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PaulThibodeau\Desktop\"/>
    </mc:Choice>
  </mc:AlternateContent>
  <xr:revisionPtr revIDLastSave="0" documentId="13_ncr:1_{753545CD-11B7-48C9-AFA9-F40AE5B266D4}" xr6:coauthVersionLast="47" xr6:coauthVersionMax="47" xr10:uidLastSave="{00000000-0000-0000-0000-000000000000}"/>
  <bookViews>
    <workbookView xWindow="28680" yWindow="-270" windowWidth="29040" windowHeight="15720" tabRatio="774" firstSheet="6" activeTab="28" xr2:uid="{00000000-000D-0000-FFFF-FFFF00000000}"/>
  </bookViews>
  <sheets>
    <sheet name="PMIS_Config" sheetId="1" state="hidden" r:id="rId1"/>
    <sheet name="Data_Health" sheetId="2" state="hidden" r:id="rId2"/>
    <sheet name="README_ARCHITECTURE" sheetId="3" state="hidden" r:id="rId3"/>
    <sheet name="V4_Mission_Control" sheetId="4" state="hidden" r:id="rId4"/>
    <sheet name="Dashboard" sheetId="5" state="hidden" r:id="rId5"/>
    <sheet name="Building_View" sheetId="6" state="hidden" r:id="rId6"/>
    <sheet name="Command_Center" sheetId="7" r:id="rId7"/>
    <sheet name="COMMAND CENTERS" sheetId="82" state="hidden" r:id="rId8"/>
    <sheet name="Command_Tile_Copy_Block" sheetId="79" state="hidden" r:id="rId9"/>
    <sheet name="Executive Brief" sheetId="77" state="hidden" r:id="rId10"/>
    <sheet name="Pilot" sheetId="78" state="hidden" r:id="rId11"/>
    <sheet name="Stakeholders" sheetId="10" state="hidden" r:id="rId12"/>
    <sheet name="_Command_Lists" sheetId="70" state="hidden" r:id="rId13"/>
    <sheet name="_PMIS_Config" sheetId="71" state="hidden" r:id="rId14"/>
    <sheet name="Lookup_Lists" sheetId="27" state="hidden" r:id="rId15"/>
    <sheet name="System_Map" sheetId="28" state="hidden" r:id="rId16"/>
    <sheet name="PMIS_Home" sheetId="29" state="hidden" r:id="rId17"/>
    <sheet name="Lists" sheetId="30" state="hidden" r:id="rId18"/>
    <sheet name="Telecom_Rooms" sheetId="31" state="hidden" r:id="rId19"/>
    <sheet name="Building_Stakeholders" sheetId="32" state="hidden" r:id="rId20"/>
    <sheet name="Existing_Conditions" sheetId="33" state="hidden" r:id="rId21"/>
    <sheet name="Doc_Register" sheetId="34" state="hidden" r:id="rId22"/>
    <sheet name="Documentation" sheetId="35" state="hidden" r:id="rId23"/>
    <sheet name="PMIS_Data (2)" sheetId="80" state="hidden" r:id="rId24"/>
    <sheet name="B61_Assessment" sheetId="58" r:id="rId25"/>
    <sheet name="CM_PM Operations" sheetId="84" r:id="rId26"/>
    <sheet name="COR_Report" sheetId="85" state="hidden" r:id="rId27"/>
    <sheet name="Project_Register" sheetId="89" r:id="rId28"/>
    <sheet name="Shutdown_Tracker" sheetId="8" r:id="rId29"/>
    <sheet name="Building_Register" sheetId="9" state="hidden" r:id="rId30"/>
    <sheet name="PMIS_Data" sheetId="36" state="hidden" r:id="rId31"/>
    <sheet name="B01_Assessment" sheetId="37" state="hidden" r:id="rId32"/>
    <sheet name="B02_Assessment" sheetId="38" state="hidden" r:id="rId33"/>
    <sheet name="B03_Assessment" sheetId="39" state="hidden" r:id="rId34"/>
    <sheet name="B04_Assessment" sheetId="40" state="hidden" r:id="rId35"/>
    <sheet name="B05_Assessment" sheetId="41" state="hidden" r:id="rId36"/>
    <sheet name="B06_Assessment" sheetId="42" state="hidden" r:id="rId37"/>
    <sheet name="B07_Assessment" sheetId="43" state="hidden" r:id="rId38"/>
    <sheet name="B08_Assessment" sheetId="44" state="hidden" r:id="rId39"/>
    <sheet name="B09_Assessment" sheetId="45" state="hidden" r:id="rId40"/>
    <sheet name="B10_Assessment" sheetId="46" state="hidden" r:id="rId41"/>
    <sheet name="B12_Assessment" sheetId="47" state="hidden" r:id="rId42"/>
    <sheet name="B13_Assessment" sheetId="48" state="hidden" r:id="rId43"/>
    <sheet name="B14_Assessment" sheetId="49" state="hidden" r:id="rId44"/>
    <sheet name="B15_Assessment" sheetId="50" state="hidden" r:id="rId45"/>
    <sheet name="B16_Assessment" sheetId="51" state="hidden" r:id="rId46"/>
    <sheet name="B17_Assessment" sheetId="52" state="hidden" r:id="rId47"/>
    <sheet name="B18_Assessment" sheetId="53" state="hidden" r:id="rId48"/>
    <sheet name="B20_Assessment" sheetId="54" state="hidden" r:id="rId49"/>
    <sheet name="B21_Assessment" sheetId="55" state="hidden" r:id="rId50"/>
    <sheet name="B22_Assessment" sheetId="56" state="hidden" r:id="rId51"/>
    <sheet name="B33_Assessment" sheetId="57" state="hidden" r:id="rId52"/>
    <sheet name="B62_TR_Assessment" sheetId="59" state="hidden" r:id="rId53"/>
    <sheet name="B70_TR_Assessment" sheetId="60" state="hidden" r:id="rId54"/>
    <sheet name="B78_Assessment" sheetId="61" state="hidden" r:id="rId55"/>
    <sheet name="B80_Assessment" sheetId="62" state="hidden" r:id="rId56"/>
    <sheet name="B82_Assessment" sheetId="63" state="hidden" r:id="rId57"/>
    <sheet name="BCH_Assessment" sheetId="64" state="hidden" r:id="rId58"/>
    <sheet name="MCR_Assessment" sheetId="65" state="hidden" r:id="rId59"/>
    <sheet name="SITE_Assesment" sheetId="66" state="hidden" r:id="rId60"/>
    <sheet name="SPEC_Assessment" sheetId="67" state="hidden" r:id="rId61"/>
    <sheet name="_Command_Source" sheetId="68" state="hidden" r:id="rId62"/>
    <sheet name="_Assessment_Full_View" sheetId="69" state="hidden" r:id="rId63"/>
    <sheet name="V4_Architecture_Map" sheetId="72" state="hidden" r:id="rId64"/>
    <sheet name="_V4_ActionQueue" sheetId="73" state="hidden" r:id="rId65"/>
    <sheet name="_Command_Trade_Notes" sheetId="74" state="hidden" r:id="rId66"/>
    <sheet name="PMIS_Trade_Notes" sheetId="75" state="hidden" r:id="rId67"/>
    <sheet name="Today's_Focus" sheetId="76" state="hidden" r:id="rId68"/>
  </sheets>
  <externalReferences>
    <externalReference r:id="rId69"/>
    <externalReference r:id="rId70"/>
    <externalReference r:id="rId71"/>
    <externalReference r:id="rId72"/>
    <externalReference r:id="rId73"/>
    <externalReference r:id="rId74"/>
    <externalReference r:id="rId75"/>
    <externalReference r:id="rId76"/>
  </externalReferences>
  <definedNames>
    <definedName name="PMIS_Building_Helper">[1]_PMIS_Helper!$A$1:$N$31</definedName>
    <definedName name="PMIS_Building_List" localSheetId="23">'PMIS_Data (2)'!$A$3:$A$32</definedName>
    <definedName name="PMIS_Building_List" localSheetId="27">[8]PMIS_Data!$A$3:$A$32</definedName>
    <definedName name="PMIS_Building_List">PMIS_Data!$A$3:$A$32</definedName>
    <definedName name="PMIS_Config_Navigation">_PMIS_Config!$A$18:$C$24</definedName>
    <definedName name="PMIS_Config_Theme">_PMIS_Config!$A$4:$D$10</definedName>
    <definedName name="PMIS_Config_Thresholds">_PMIS_Config!$A$12:$D$16</definedName>
    <definedName name="PMIS_Open_Questions" localSheetId="23">'PMIS_Data (2)'!$I$3:$I$32</definedName>
    <definedName name="PMIS_Open_Questions">PMIS_Data!$I$3:$I$32</definedName>
    <definedName name="PMIS_Open_Risks" localSheetId="23">'PMIS_Data (2)'!$H$3:$H$32</definedName>
    <definedName name="PMIS_Open_Risks">PMIS_Data!$H$3:$H$32</definedName>
    <definedName name="PMIS_Readiness" localSheetId="23">'PMIS_Data (2)'!$D$3:$D$32</definedName>
    <definedName name="PMIS_Readiness">PMIS_Data!$D$3:$D$32</definedName>
    <definedName name="PMIS_Shutdowns" localSheetId="23">'PMIS_Data (2)'!$Q$3:$Q$32</definedName>
    <definedName name="PMIS_Shutdowns">PMIS_Data!$Q$3:$Q$32</definedName>
    <definedName name="V4_Action_Queue">_V4_ActionQueue!$A$3:$O$200</definedName>
    <definedName name="V4_Active_Building">V4_Mission_Control!$C$3</definedName>
    <definedName name="V4_BuildingHelper">[2]_V4_Helper!$A$3:$N$34</definedName>
    <definedName name="V4_Config_Source">[3]_V4_Config!$A$1:$G$23</definedName>
    <definedName name="V4_ConfigTokens">[3]_V4_Config!$A$4:$G$23</definedName>
    <definedName name="V4_PriorityQueue">V4_Mission_Control!$A$10:$L$34</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6" i="89" l="1"/>
  <c r="T6" i="89"/>
  <c r="AO6" i="89"/>
  <c r="AP6" i="89"/>
  <c r="AQ6" i="89"/>
  <c r="S7" i="89"/>
  <c r="T7" i="89"/>
  <c r="AO7" i="89"/>
  <c r="AP7" i="89"/>
  <c r="AQ7" i="89"/>
  <c r="S8" i="89"/>
  <c r="T8" i="89"/>
  <c r="AO8" i="89"/>
  <c r="AP8" i="89"/>
  <c r="AQ8" i="89"/>
  <c r="S9" i="89"/>
  <c r="T9" i="89"/>
  <c r="AO9" i="89"/>
  <c r="AP9" i="89"/>
  <c r="AQ9" i="89"/>
  <c r="S10" i="89"/>
  <c r="T10" i="89"/>
  <c r="AO10" i="89"/>
  <c r="AP10" i="89"/>
  <c r="AQ10" i="89"/>
  <c r="S11" i="89"/>
  <c r="T11" i="89"/>
  <c r="AO11" i="89"/>
  <c r="AP11" i="89"/>
  <c r="AQ11" i="89"/>
  <c r="S12" i="89"/>
  <c r="T12" i="89"/>
  <c r="AO12" i="89"/>
  <c r="AP12" i="89"/>
  <c r="AQ12" i="89"/>
  <c r="S13" i="89"/>
  <c r="T13" i="89"/>
  <c r="AO13" i="89"/>
  <c r="AP13" i="89"/>
  <c r="AQ13" i="89"/>
  <c r="S14" i="89"/>
  <c r="T14" i="89"/>
  <c r="AO14" i="89"/>
  <c r="AP14" i="89"/>
  <c r="AQ14" i="89"/>
  <c r="S15" i="89"/>
  <c r="T15" i="89"/>
  <c r="AO15" i="89"/>
  <c r="AP15" i="89"/>
  <c r="AQ15" i="89"/>
  <c r="S16" i="89"/>
  <c r="T16" i="89"/>
  <c r="AO16" i="89"/>
  <c r="AP16" i="89"/>
  <c r="AQ16" i="89"/>
  <c r="S17" i="89"/>
  <c r="T17" i="89"/>
  <c r="AO17" i="89"/>
  <c r="AP17" i="89"/>
  <c r="AQ17" i="89"/>
  <c r="S18" i="89"/>
  <c r="T18" i="89"/>
  <c r="AO18" i="89"/>
  <c r="AP18" i="89"/>
  <c r="AQ18" i="89"/>
  <c r="S19" i="89"/>
  <c r="T19" i="89"/>
  <c r="AO19" i="89"/>
  <c r="AP19" i="89"/>
  <c r="AQ19" i="89"/>
  <c r="S20" i="89"/>
  <c r="T20" i="89"/>
  <c r="AO20" i="89"/>
  <c r="AP20" i="89"/>
  <c r="AQ20" i="89"/>
  <c r="S21" i="89"/>
  <c r="T21" i="89"/>
  <c r="AO21" i="89"/>
  <c r="AP21" i="89"/>
  <c r="AQ21" i="89"/>
  <c r="S22" i="89"/>
  <c r="T22" i="89"/>
  <c r="AO22" i="89"/>
  <c r="AP22" i="89"/>
  <c r="AQ22" i="89"/>
  <c r="S23" i="89"/>
  <c r="T23" i="89"/>
  <c r="AO23" i="89"/>
  <c r="AP23" i="89"/>
  <c r="AQ23" i="89"/>
  <c r="S24" i="89"/>
  <c r="T24" i="89"/>
  <c r="AO24" i="89"/>
  <c r="AP24" i="89"/>
  <c r="AQ24" i="89"/>
  <c r="S25" i="89"/>
  <c r="T25" i="89"/>
  <c r="AO25" i="89"/>
  <c r="AP25" i="89"/>
  <c r="AQ25" i="89"/>
  <c r="S26" i="89"/>
  <c r="T26" i="89"/>
  <c r="AO26" i="89"/>
  <c r="AP26" i="89"/>
  <c r="AQ26" i="89"/>
  <c r="S27" i="89"/>
  <c r="T27" i="89"/>
  <c r="AO27" i="89"/>
  <c r="AP27" i="89"/>
  <c r="AQ27" i="89"/>
  <c r="S28" i="89"/>
  <c r="T28" i="89"/>
  <c r="AO28" i="89"/>
  <c r="AP28" i="89"/>
  <c r="AQ28" i="89"/>
  <c r="S29" i="89"/>
  <c r="T29" i="89"/>
  <c r="AO29" i="89"/>
  <c r="AP29" i="89"/>
  <c r="AQ29" i="89"/>
  <c r="S30" i="89"/>
  <c r="T30" i="89"/>
  <c r="AO30" i="89"/>
  <c r="AP30" i="89"/>
  <c r="AQ30" i="89"/>
  <c r="S31" i="89"/>
  <c r="T31" i="89"/>
  <c r="AO31" i="89"/>
  <c r="AP31" i="89"/>
  <c r="AQ31" i="89"/>
  <c r="S32" i="89"/>
  <c r="T32" i="89"/>
  <c r="AO32" i="89"/>
  <c r="AP32" i="89"/>
  <c r="AQ32" i="89"/>
  <c r="S33" i="89"/>
  <c r="T33" i="89"/>
  <c r="AO33" i="89"/>
  <c r="AP33" i="89"/>
  <c r="AQ33" i="89"/>
  <c r="S34" i="89"/>
  <c r="T34" i="89"/>
  <c r="AO34" i="89"/>
  <c r="AP34" i="89"/>
  <c r="AQ34" i="89"/>
  <c r="S35" i="89"/>
  <c r="T35" i="89"/>
  <c r="AO35" i="89"/>
  <c r="AP35" i="89"/>
  <c r="AQ35" i="89"/>
  <c r="S36" i="89"/>
  <c r="T36" i="89"/>
  <c r="AO36" i="89"/>
  <c r="AP36" i="89"/>
  <c r="AQ36" i="89"/>
  <c r="S37" i="89"/>
  <c r="T37" i="89"/>
  <c r="AO37" i="89"/>
  <c r="AP37" i="89"/>
  <c r="AQ37" i="89"/>
  <c r="S38" i="89"/>
  <c r="T38" i="89"/>
  <c r="AO38" i="89"/>
  <c r="AP38" i="89"/>
  <c r="AQ38" i="89"/>
  <c r="S39" i="89"/>
  <c r="T39" i="89"/>
  <c r="AO39" i="89"/>
  <c r="AP39" i="89"/>
  <c r="AQ39" i="89"/>
  <c r="S40" i="89"/>
  <c r="T40" i="89"/>
  <c r="AO40" i="89"/>
  <c r="AP40" i="89"/>
  <c r="AQ40" i="89"/>
  <c r="S41" i="89"/>
  <c r="T41" i="89"/>
  <c r="AO41" i="89"/>
  <c r="AP41" i="89"/>
  <c r="AQ41" i="89"/>
  <c r="S42" i="89"/>
  <c r="T42" i="89"/>
  <c r="AO42" i="89"/>
  <c r="AP42" i="89"/>
  <c r="AQ42" i="89"/>
  <c r="S43" i="89"/>
  <c r="T43" i="89"/>
  <c r="AO43" i="89"/>
  <c r="AP43" i="89"/>
  <c r="AQ43" i="89"/>
  <c r="S44" i="89"/>
  <c r="T44" i="89"/>
  <c r="AO44" i="89"/>
  <c r="AP44" i="89"/>
  <c r="AQ44" i="89"/>
  <c r="S45" i="89"/>
  <c r="T45" i="89"/>
  <c r="AO45" i="89"/>
  <c r="AP45" i="89"/>
  <c r="AQ45" i="89"/>
  <c r="S46" i="89"/>
  <c r="T46" i="89"/>
  <c r="AO46" i="89"/>
  <c r="AP46" i="89"/>
  <c r="AQ46" i="89"/>
  <c r="S47" i="89"/>
  <c r="T47" i="89"/>
  <c r="AO47" i="89"/>
  <c r="AP47" i="89"/>
  <c r="AQ47" i="89"/>
  <c r="S48" i="89"/>
  <c r="T48" i="89"/>
  <c r="AO48" i="89"/>
  <c r="AP48" i="89"/>
  <c r="AQ48" i="89"/>
  <c r="S49" i="89"/>
  <c r="T49" i="89"/>
  <c r="AO49" i="89"/>
  <c r="AP49" i="89"/>
  <c r="AQ49" i="89"/>
  <c r="S50" i="89"/>
  <c r="T50" i="89"/>
  <c r="AO50" i="89"/>
  <c r="AP50" i="89"/>
  <c r="AQ50" i="89"/>
  <c r="S51" i="89"/>
  <c r="T51" i="89"/>
  <c r="AO51" i="89"/>
  <c r="AP51" i="89"/>
  <c r="AQ51" i="89"/>
  <c r="S52" i="89"/>
  <c r="T52" i="89"/>
  <c r="AO52" i="89"/>
  <c r="AP52" i="89"/>
  <c r="AQ52" i="89"/>
  <c r="S53" i="89"/>
  <c r="T53" i="89"/>
  <c r="AO53" i="89"/>
  <c r="AP53" i="89"/>
  <c r="AQ53" i="89"/>
  <c r="S54" i="89"/>
  <c r="T54" i="89"/>
  <c r="AO54" i="89"/>
  <c r="AP54" i="89"/>
  <c r="AQ54" i="89"/>
  <c r="S55" i="89"/>
  <c r="T55" i="89"/>
  <c r="AO55" i="89"/>
  <c r="AP55" i="89"/>
  <c r="AQ55" i="89"/>
  <c r="S56" i="89"/>
  <c r="T56" i="89"/>
  <c r="AO56" i="89"/>
  <c r="AP56" i="89"/>
  <c r="AQ56" i="89"/>
  <c r="S57" i="89"/>
  <c r="T57" i="89"/>
  <c r="AO57" i="89"/>
  <c r="AP57" i="89"/>
  <c r="AQ57" i="89"/>
  <c r="S58" i="89"/>
  <c r="T58" i="89"/>
  <c r="AO58" i="89"/>
  <c r="AP58" i="89"/>
  <c r="AQ58" i="89"/>
  <c r="S59" i="89"/>
  <c r="T59" i="89"/>
  <c r="AO59" i="89"/>
  <c r="AP59" i="89"/>
  <c r="AQ59" i="89"/>
  <c r="S60" i="89"/>
  <c r="T60" i="89"/>
  <c r="AO60" i="89"/>
  <c r="AP60" i="89"/>
  <c r="AQ60" i="89"/>
  <c r="S61" i="89"/>
  <c r="T61" i="89"/>
  <c r="AO61" i="89"/>
  <c r="AP61" i="89"/>
  <c r="AQ61" i="89"/>
  <c r="S62" i="89"/>
  <c r="T62" i="89"/>
  <c r="AO62" i="89"/>
  <c r="AP62" i="89"/>
  <c r="AQ62" i="89"/>
  <c r="S63" i="89"/>
  <c r="T63" i="89"/>
  <c r="AO63" i="89"/>
  <c r="AP63" i="89"/>
  <c r="AQ63" i="89"/>
  <c r="S64" i="89"/>
  <c r="T64" i="89"/>
  <c r="AO64" i="89"/>
  <c r="AP64" i="89"/>
  <c r="AQ64" i="89"/>
  <c r="S65" i="89"/>
  <c r="T65" i="89"/>
  <c r="AO65" i="89"/>
  <c r="AP65" i="89"/>
  <c r="AQ65" i="89"/>
  <c r="S66" i="89"/>
  <c r="T66" i="89"/>
  <c r="AO66" i="89"/>
  <c r="AP66" i="89"/>
  <c r="AQ66" i="89"/>
  <c r="S67" i="89"/>
  <c r="T67" i="89"/>
  <c r="AO67" i="89"/>
  <c r="AP67" i="89"/>
  <c r="AQ67" i="89"/>
  <c r="S68" i="89"/>
  <c r="T68" i="89"/>
  <c r="AO68" i="89"/>
  <c r="AP68" i="89"/>
  <c r="AQ68" i="89"/>
  <c r="S69" i="89"/>
  <c r="T69" i="89"/>
  <c r="AO69" i="89"/>
  <c r="AP69" i="89"/>
  <c r="AQ69" i="89"/>
  <c r="S70" i="89"/>
  <c r="T70" i="89"/>
  <c r="AO70" i="89"/>
  <c r="AP70" i="89"/>
  <c r="AQ70" i="89"/>
  <c r="S71" i="89"/>
  <c r="T71" i="89"/>
  <c r="AO71" i="89"/>
  <c r="AP71" i="89"/>
  <c r="AQ71" i="89"/>
  <c r="S72" i="89"/>
  <c r="T72" i="89"/>
  <c r="AO72" i="89"/>
  <c r="AP72" i="89"/>
  <c r="AQ72" i="89"/>
  <c r="S73" i="89"/>
  <c r="T73" i="89"/>
  <c r="AO73" i="89"/>
  <c r="AP73" i="89"/>
  <c r="AQ73" i="89"/>
  <c r="S74" i="89"/>
  <c r="T74" i="89"/>
  <c r="AO74" i="89"/>
  <c r="AP74" i="89"/>
  <c r="AQ74" i="89"/>
  <c r="S75" i="89"/>
  <c r="T75" i="89"/>
  <c r="AO75" i="89"/>
  <c r="AP75" i="89"/>
  <c r="AQ75" i="89"/>
  <c r="S76" i="89"/>
  <c r="T76" i="89"/>
  <c r="AO76" i="89"/>
  <c r="AP76" i="89"/>
  <c r="AQ76" i="89"/>
  <c r="S77" i="89"/>
  <c r="T77" i="89"/>
  <c r="AO77" i="89"/>
  <c r="AP77" i="89"/>
  <c r="AQ77" i="89"/>
  <c r="S78" i="89"/>
  <c r="T78" i="89"/>
  <c r="AO78" i="89"/>
  <c r="AP78" i="89"/>
  <c r="AQ78" i="89"/>
  <c r="S79" i="89"/>
  <c r="T79" i="89"/>
  <c r="AO79" i="89"/>
  <c r="AP79" i="89"/>
  <c r="AQ79" i="89"/>
  <c r="S80" i="89"/>
  <c r="T80" i="89"/>
  <c r="AO80" i="89"/>
  <c r="AP80" i="89"/>
  <c r="AQ80" i="89"/>
  <c r="S81" i="89"/>
  <c r="T81" i="89"/>
  <c r="AO81" i="89"/>
  <c r="AP81" i="89"/>
  <c r="AQ81" i="89"/>
  <c r="S82" i="89"/>
  <c r="T82" i="89"/>
  <c r="AO82" i="89"/>
  <c r="AP82" i="89"/>
  <c r="AQ82" i="89"/>
  <c r="S83" i="89"/>
  <c r="T83" i="89"/>
  <c r="AO83" i="89"/>
  <c r="AP83" i="89"/>
  <c r="AQ83" i="89"/>
  <c r="S84" i="89"/>
  <c r="T84" i="89"/>
  <c r="AO84" i="89"/>
  <c r="AP84" i="89"/>
  <c r="AQ84" i="89"/>
  <c r="S85" i="89"/>
  <c r="T85" i="89"/>
  <c r="AO85" i="89"/>
  <c r="AP85" i="89"/>
  <c r="AQ85" i="89"/>
  <c r="S86" i="89"/>
  <c r="T86" i="89"/>
  <c r="AO86" i="89"/>
  <c r="AP86" i="89"/>
  <c r="AQ86" i="89"/>
  <c r="S87" i="89"/>
  <c r="T87" i="89"/>
  <c r="AO87" i="89"/>
  <c r="AP87" i="89"/>
  <c r="AQ87" i="89"/>
  <c r="S88" i="89"/>
  <c r="T88" i="89"/>
  <c r="AO88" i="89"/>
  <c r="AP88" i="89"/>
  <c r="AQ88" i="89"/>
  <c r="S89" i="89"/>
  <c r="T89" i="89"/>
  <c r="AO89" i="89"/>
  <c r="AP89" i="89"/>
  <c r="AQ89" i="89"/>
  <c r="S90" i="89"/>
  <c r="T90" i="89"/>
  <c r="AO90" i="89"/>
  <c r="AP90" i="89"/>
  <c r="AQ90" i="89"/>
  <c r="S91" i="89"/>
  <c r="T91" i="89"/>
  <c r="AO91" i="89"/>
  <c r="AP91" i="89"/>
  <c r="AQ91" i="89"/>
  <c r="S92" i="89"/>
  <c r="T92" i="89"/>
  <c r="AO92" i="89"/>
  <c r="AP92" i="89"/>
  <c r="AQ92" i="89"/>
  <c r="S93" i="89"/>
  <c r="T93" i="89"/>
  <c r="AO93" i="89"/>
  <c r="AP93" i="89"/>
  <c r="AQ93" i="89"/>
  <c r="S94" i="89"/>
  <c r="T94" i="89"/>
  <c r="AO94" i="89"/>
  <c r="AP94" i="89"/>
  <c r="AQ94" i="89"/>
  <c r="S95" i="89"/>
  <c r="T95" i="89"/>
  <c r="AO95" i="89"/>
  <c r="AP95" i="89"/>
  <c r="AQ95" i="89"/>
  <c r="S96" i="89"/>
  <c r="T96" i="89"/>
  <c r="AO96" i="89"/>
  <c r="AP96" i="89"/>
  <c r="AQ96" i="89"/>
  <c r="S97" i="89"/>
  <c r="T97" i="89"/>
  <c r="AO97" i="89"/>
  <c r="AP97" i="89"/>
  <c r="AQ97" i="89"/>
  <c r="S98" i="89"/>
  <c r="T98" i="89"/>
  <c r="AO98" i="89"/>
  <c r="AP98" i="89"/>
  <c r="AQ98" i="89"/>
  <c r="S99" i="89"/>
  <c r="T99" i="89"/>
  <c r="AO99" i="89"/>
  <c r="AP99" i="89"/>
  <c r="AQ99" i="89"/>
  <c r="S100" i="89"/>
  <c r="T100" i="89"/>
  <c r="AO100" i="89"/>
  <c r="AP100" i="89"/>
  <c r="AQ100" i="89"/>
  <c r="S101" i="89"/>
  <c r="T101" i="89"/>
  <c r="AO101" i="89"/>
  <c r="AP101" i="89"/>
  <c r="AQ101" i="89"/>
  <c r="S102" i="89"/>
  <c r="T102" i="89"/>
  <c r="AO102" i="89"/>
  <c r="AP102" i="89"/>
  <c r="AQ102" i="89"/>
  <c r="S103" i="89"/>
  <c r="T103" i="89"/>
  <c r="AO103" i="89"/>
  <c r="AP103" i="89"/>
  <c r="AQ103" i="89"/>
  <c r="S104" i="89"/>
  <c r="T104" i="89"/>
  <c r="AO104" i="89"/>
  <c r="AP104" i="89"/>
  <c r="AQ104" i="89"/>
  <c r="S105" i="89"/>
  <c r="T105" i="89"/>
  <c r="AO105" i="89"/>
  <c r="AP105" i="89"/>
  <c r="AQ105" i="89"/>
  <c r="S106" i="89"/>
  <c r="T106" i="89"/>
  <c r="AO106" i="89"/>
  <c r="AP106" i="89"/>
  <c r="AQ106" i="89"/>
  <c r="S107" i="89"/>
  <c r="T107" i="89"/>
  <c r="AO107" i="89"/>
  <c r="AP107" i="89"/>
  <c r="AQ107" i="89"/>
  <c r="S108" i="89"/>
  <c r="T108" i="89"/>
  <c r="AO108" i="89"/>
  <c r="AP108" i="89"/>
  <c r="AQ108" i="89"/>
  <c r="S109" i="89"/>
  <c r="T109" i="89"/>
  <c r="AO109" i="89"/>
  <c r="AP109" i="89"/>
  <c r="AQ109" i="89"/>
  <c r="S110" i="89"/>
  <c r="T110" i="89"/>
  <c r="AO110" i="89"/>
  <c r="AP110" i="89"/>
  <c r="AQ110" i="89"/>
  <c r="S111" i="89"/>
  <c r="T111" i="89"/>
  <c r="AO111" i="89"/>
  <c r="AP111" i="89"/>
  <c r="AQ111" i="89"/>
  <c r="S112" i="89"/>
  <c r="T112" i="89"/>
  <c r="AO112" i="89"/>
  <c r="AP112" i="89"/>
  <c r="AQ112" i="89"/>
  <c r="S113" i="89"/>
  <c r="T113" i="89"/>
  <c r="AO113" i="89"/>
  <c r="AP113" i="89"/>
  <c r="AQ113" i="89"/>
  <c r="S114" i="89"/>
  <c r="T114" i="89"/>
  <c r="AO114" i="89"/>
  <c r="AP114" i="89"/>
  <c r="AQ114" i="89"/>
  <c r="S115" i="89"/>
  <c r="T115" i="89"/>
  <c r="AO115" i="89"/>
  <c r="AP115" i="89"/>
  <c r="AQ115" i="89"/>
  <c r="S116" i="89"/>
  <c r="T116" i="89"/>
  <c r="AO116" i="89"/>
  <c r="AP116" i="89"/>
  <c r="AQ116" i="89"/>
  <c r="S117" i="89"/>
  <c r="T117" i="89"/>
  <c r="AO117" i="89"/>
  <c r="AP117" i="89"/>
  <c r="AQ117" i="89"/>
  <c r="S118" i="89"/>
  <c r="T118" i="89"/>
  <c r="AO118" i="89"/>
  <c r="AP118" i="89"/>
  <c r="AQ118" i="89"/>
  <c r="S119" i="89"/>
  <c r="T119" i="89"/>
  <c r="AO119" i="89"/>
  <c r="AP119" i="89"/>
  <c r="AQ119" i="89"/>
  <c r="S120" i="89"/>
  <c r="T120" i="89"/>
  <c r="AO120" i="89"/>
  <c r="AP120" i="89"/>
  <c r="AQ120" i="89"/>
  <c r="S121" i="89"/>
  <c r="T121" i="89"/>
  <c r="AO121" i="89"/>
  <c r="AP121" i="89"/>
  <c r="AQ121" i="89"/>
  <c r="S122" i="89"/>
  <c r="T122" i="89"/>
  <c r="AO122" i="89"/>
  <c r="AP122" i="89"/>
  <c r="AQ122" i="89"/>
  <c r="S123" i="89"/>
  <c r="T123" i="89"/>
  <c r="AO123" i="89"/>
  <c r="AP123" i="89"/>
  <c r="AQ123" i="89"/>
  <c r="S124" i="89"/>
  <c r="T124" i="89"/>
  <c r="AO124" i="89"/>
  <c r="AP124" i="89"/>
  <c r="AQ124" i="89"/>
  <c r="S125" i="89"/>
  <c r="T125" i="89"/>
  <c r="AO125" i="89"/>
  <c r="AP125" i="89"/>
  <c r="AQ125" i="89"/>
  <c r="S126" i="89"/>
  <c r="T126" i="89"/>
  <c r="AO126" i="89"/>
  <c r="AP126" i="89"/>
  <c r="AQ126" i="89"/>
  <c r="S127" i="89"/>
  <c r="T127" i="89"/>
  <c r="AO127" i="89"/>
  <c r="AP127" i="89"/>
  <c r="AQ127" i="89"/>
  <c r="S128" i="89"/>
  <c r="T128" i="89"/>
  <c r="AO128" i="89"/>
  <c r="AP128" i="89"/>
  <c r="AQ128" i="89"/>
  <c r="S129" i="89"/>
  <c r="T129" i="89"/>
  <c r="AO129" i="89"/>
  <c r="AP129" i="89"/>
  <c r="AQ129" i="89"/>
  <c r="S130" i="89"/>
  <c r="T130" i="89"/>
  <c r="AO130" i="89"/>
  <c r="AP130" i="89"/>
  <c r="AQ130" i="89"/>
  <c r="S131" i="89"/>
  <c r="T131" i="89"/>
  <c r="AO131" i="89"/>
  <c r="AP131" i="89"/>
  <c r="AQ131" i="89"/>
  <c r="S132" i="89"/>
  <c r="T132" i="89"/>
  <c r="AO132" i="89"/>
  <c r="AP132" i="89"/>
  <c r="AQ132" i="89"/>
  <c r="S133" i="89"/>
  <c r="T133" i="89"/>
  <c r="AO133" i="89"/>
  <c r="AP133" i="89"/>
  <c r="AQ133" i="89"/>
  <c r="S134" i="89"/>
  <c r="T134" i="89"/>
  <c r="AO134" i="89"/>
  <c r="AP134" i="89"/>
  <c r="AQ134" i="89"/>
  <c r="S135" i="89"/>
  <c r="T135" i="89"/>
  <c r="AO135" i="89"/>
  <c r="AP135" i="89"/>
  <c r="AQ135" i="89"/>
  <c r="S136" i="89"/>
  <c r="T136" i="89"/>
  <c r="AO136" i="89"/>
  <c r="AP136" i="89"/>
  <c r="AQ136" i="89"/>
  <c r="S137" i="89"/>
  <c r="T137" i="89"/>
  <c r="AO137" i="89"/>
  <c r="AP137" i="89"/>
  <c r="AQ137" i="89"/>
  <c r="S138" i="89"/>
  <c r="T138" i="89"/>
  <c r="AO138" i="89"/>
  <c r="AP138" i="89"/>
  <c r="AQ138" i="89"/>
  <c r="S139" i="89"/>
  <c r="T139" i="89"/>
  <c r="AO139" i="89"/>
  <c r="AP139" i="89"/>
  <c r="AQ139" i="89"/>
  <c r="S140" i="89"/>
  <c r="T140" i="89"/>
  <c r="AO140" i="89"/>
  <c r="AP140" i="89"/>
  <c r="AQ140" i="89"/>
  <c r="S141" i="89"/>
  <c r="T141" i="89"/>
  <c r="AO141" i="89"/>
  <c r="AP141" i="89"/>
  <c r="AQ141" i="89"/>
  <c r="S142" i="89"/>
  <c r="T142" i="89"/>
  <c r="AO142" i="89"/>
  <c r="AP142" i="89"/>
  <c r="AQ142" i="89"/>
  <c r="S143" i="89"/>
  <c r="T143" i="89"/>
  <c r="AO143" i="89"/>
  <c r="AP143" i="89"/>
  <c r="AQ143" i="89"/>
  <c r="S144" i="89"/>
  <c r="T144" i="89"/>
  <c r="AO144" i="89"/>
  <c r="AP144" i="89"/>
  <c r="AQ144" i="89"/>
  <c r="S145" i="89"/>
  <c r="T145" i="89"/>
  <c r="AO145" i="89"/>
  <c r="AP145" i="89"/>
  <c r="AQ145" i="89"/>
  <c r="S146" i="89"/>
  <c r="T146" i="89"/>
  <c r="AO146" i="89"/>
  <c r="AP146" i="89"/>
  <c r="AQ146" i="89"/>
  <c r="S147" i="89"/>
  <c r="T147" i="89"/>
  <c r="AO147" i="89"/>
  <c r="AP147" i="89"/>
  <c r="AQ147" i="89"/>
  <c r="S148" i="89"/>
  <c r="T148" i="89"/>
  <c r="AO148" i="89"/>
  <c r="AP148" i="89"/>
  <c r="AQ148" i="89"/>
  <c r="S149" i="89"/>
  <c r="T149" i="89"/>
  <c r="AO149" i="89"/>
  <c r="AP149" i="89"/>
  <c r="AQ149" i="89"/>
  <c r="S150" i="89"/>
  <c r="T150" i="89"/>
  <c r="AO150" i="89"/>
  <c r="AP150" i="89"/>
  <c r="AQ150" i="89"/>
  <c r="S151" i="89"/>
  <c r="T151" i="89"/>
  <c r="AO151" i="89"/>
  <c r="AP151" i="89"/>
  <c r="AQ151" i="89"/>
  <c r="S152" i="89"/>
  <c r="T152" i="89"/>
  <c r="AO152" i="89"/>
  <c r="AP152" i="89"/>
  <c r="AQ152" i="89"/>
  <c r="S153" i="89"/>
  <c r="T153" i="89"/>
  <c r="AO153" i="89"/>
  <c r="AP153" i="89"/>
  <c r="AQ153" i="89"/>
  <c r="S154" i="89"/>
  <c r="T154" i="89"/>
  <c r="AO154" i="89"/>
  <c r="AP154" i="89"/>
  <c r="AQ154" i="89"/>
  <c r="S155" i="89"/>
  <c r="T155" i="89"/>
  <c r="AO155" i="89"/>
  <c r="AP155" i="89"/>
  <c r="AQ155" i="89"/>
  <c r="S156" i="89"/>
  <c r="T156" i="89"/>
  <c r="AO156" i="89"/>
  <c r="AP156" i="89"/>
  <c r="AQ156" i="89"/>
  <c r="S157" i="89"/>
  <c r="T157" i="89"/>
  <c r="AO157" i="89"/>
  <c r="AP157" i="89"/>
  <c r="AQ157" i="89"/>
  <c r="S158" i="89"/>
  <c r="T158" i="89"/>
  <c r="AO158" i="89"/>
  <c r="AP158" i="89"/>
  <c r="AQ158" i="89"/>
  <c r="S159" i="89"/>
  <c r="T159" i="89"/>
  <c r="AO159" i="89"/>
  <c r="AP159" i="89"/>
  <c r="AQ159" i="89"/>
  <c r="S160" i="89"/>
  <c r="T160" i="89"/>
  <c r="AO160" i="89"/>
  <c r="AP160" i="89"/>
  <c r="AQ160" i="89"/>
  <c r="S161" i="89"/>
  <c r="T161" i="89"/>
  <c r="AO161" i="89"/>
  <c r="AP161" i="89"/>
  <c r="AQ161" i="89"/>
  <c r="S162" i="89"/>
  <c r="T162" i="89"/>
  <c r="AO162" i="89"/>
  <c r="AP162" i="89"/>
  <c r="AQ162" i="89"/>
  <c r="S163" i="89"/>
  <c r="T163" i="89"/>
  <c r="AO163" i="89"/>
  <c r="AP163" i="89"/>
  <c r="AQ163" i="89"/>
  <c r="S164" i="89"/>
  <c r="T164" i="89"/>
  <c r="AO164" i="89"/>
  <c r="AP164" i="89"/>
  <c r="AQ164" i="89"/>
  <c r="S165" i="89"/>
  <c r="T165" i="89"/>
  <c r="AO165" i="89"/>
  <c r="AP165" i="89"/>
  <c r="AQ165" i="89"/>
  <c r="S166" i="89"/>
  <c r="T166" i="89"/>
  <c r="AO166" i="89"/>
  <c r="AP166" i="89"/>
  <c r="AQ166" i="89"/>
  <c r="S167" i="89"/>
  <c r="T167" i="89"/>
  <c r="AO167" i="89"/>
  <c r="AP167" i="89"/>
  <c r="AQ167" i="89"/>
  <c r="S168" i="89"/>
  <c r="T168" i="89"/>
  <c r="AO168" i="89"/>
  <c r="AP168" i="89"/>
  <c r="AQ168" i="89"/>
  <c r="S169" i="89"/>
  <c r="T169" i="89"/>
  <c r="AO169" i="89"/>
  <c r="AP169" i="89"/>
  <c r="AQ169" i="89"/>
  <c r="S170" i="89"/>
  <c r="T170" i="89"/>
  <c r="AO170" i="89"/>
  <c r="AP170" i="89"/>
  <c r="AQ170" i="89"/>
  <c r="S171" i="89"/>
  <c r="T171" i="89"/>
  <c r="AO171" i="89"/>
  <c r="AP171" i="89"/>
  <c r="AQ171" i="89"/>
  <c r="S172" i="89"/>
  <c r="T172" i="89"/>
  <c r="AO172" i="89"/>
  <c r="AP172" i="89"/>
  <c r="AQ172" i="89"/>
  <c r="S173" i="89"/>
  <c r="T173" i="89"/>
  <c r="AO173" i="89"/>
  <c r="AP173" i="89"/>
  <c r="AQ173" i="89"/>
  <c r="S174" i="89"/>
  <c r="T174" i="89"/>
  <c r="AO174" i="89"/>
  <c r="AP174" i="89"/>
  <c r="AQ174" i="89"/>
  <c r="S175" i="89"/>
  <c r="T175" i="89"/>
  <c r="AO175" i="89"/>
  <c r="AP175" i="89"/>
  <c r="AQ175" i="89"/>
  <c r="S176" i="89"/>
  <c r="T176" i="89"/>
  <c r="AO176" i="89"/>
  <c r="AP176" i="89"/>
  <c r="AQ176" i="89"/>
  <c r="S177" i="89"/>
  <c r="T177" i="89"/>
  <c r="AO177" i="89"/>
  <c r="AP177" i="89"/>
  <c r="AQ177" i="89"/>
  <c r="S178" i="89"/>
  <c r="T178" i="89"/>
  <c r="AO178" i="89"/>
  <c r="AP178" i="89"/>
  <c r="AQ178" i="89"/>
  <c r="S179" i="89"/>
  <c r="T179" i="89"/>
  <c r="AO179" i="89"/>
  <c r="AP179" i="89"/>
  <c r="AQ179" i="89"/>
  <c r="S180" i="89"/>
  <c r="T180" i="89"/>
  <c r="AO180" i="89"/>
  <c r="AP180" i="89"/>
  <c r="AQ180" i="89"/>
  <c r="S181" i="89"/>
  <c r="T181" i="89"/>
  <c r="AO181" i="89"/>
  <c r="AP181" i="89"/>
  <c r="AQ181" i="89"/>
  <c r="S182" i="89"/>
  <c r="T182" i="89"/>
  <c r="AO182" i="89"/>
  <c r="AP182" i="89"/>
  <c r="AQ182" i="89"/>
  <c r="S183" i="89"/>
  <c r="T183" i="89"/>
  <c r="AO183" i="89"/>
  <c r="AP183" i="89"/>
  <c r="AQ183" i="89"/>
  <c r="S184" i="89"/>
  <c r="T184" i="89"/>
  <c r="AO184" i="89"/>
  <c r="AP184" i="89"/>
  <c r="AQ184" i="89"/>
  <c r="S185" i="89"/>
  <c r="T185" i="89"/>
  <c r="AO185" i="89"/>
  <c r="AP185" i="89"/>
  <c r="AQ185" i="89"/>
  <c r="S186" i="89"/>
  <c r="T186" i="89"/>
  <c r="AO186" i="89"/>
  <c r="AP186" i="89"/>
  <c r="AQ186" i="89"/>
  <c r="S187" i="89"/>
  <c r="T187" i="89"/>
  <c r="AO187" i="89"/>
  <c r="AP187" i="89"/>
  <c r="AQ187" i="89"/>
  <c r="S188" i="89"/>
  <c r="T188" i="89"/>
  <c r="AO188" i="89"/>
  <c r="AP188" i="89"/>
  <c r="AQ188" i="89"/>
  <c r="S189" i="89"/>
  <c r="T189" i="89"/>
  <c r="AO189" i="89"/>
  <c r="AP189" i="89"/>
  <c r="AQ189" i="89"/>
  <c r="S190" i="89"/>
  <c r="T190" i="89"/>
  <c r="AO190" i="89"/>
  <c r="AP190" i="89"/>
  <c r="AQ190" i="89"/>
  <c r="S191" i="89"/>
  <c r="T191" i="89"/>
  <c r="AO191" i="89"/>
  <c r="AP191" i="89"/>
  <c r="AQ191" i="89"/>
  <c r="S192" i="89"/>
  <c r="T192" i="89"/>
  <c r="AO192" i="89"/>
  <c r="AP192" i="89"/>
  <c r="AQ192" i="89"/>
  <c r="S193" i="89"/>
  <c r="T193" i="89"/>
  <c r="AO193" i="89"/>
  <c r="AP193" i="89"/>
  <c r="AQ193" i="89"/>
  <c r="S194" i="89"/>
  <c r="T194" i="89"/>
  <c r="AO194" i="89"/>
  <c r="AP194" i="89"/>
  <c r="AQ194" i="89"/>
  <c r="S195" i="89"/>
  <c r="T195" i="89"/>
  <c r="AO195" i="89"/>
  <c r="AP195" i="89"/>
  <c r="AQ195" i="89"/>
  <c r="S196" i="89"/>
  <c r="T196" i="89"/>
  <c r="AO196" i="89"/>
  <c r="AP196" i="89"/>
  <c r="AQ196" i="89"/>
  <c r="S197" i="89"/>
  <c r="T197" i="89"/>
  <c r="AO197" i="89"/>
  <c r="AP197" i="89"/>
  <c r="AQ197" i="89"/>
  <c r="S198" i="89"/>
  <c r="T198" i="89"/>
  <c r="AO198" i="89"/>
  <c r="AP198" i="89"/>
  <c r="AQ198" i="89"/>
  <c r="S199" i="89"/>
  <c r="T199" i="89"/>
  <c r="AO199" i="89"/>
  <c r="AP199" i="89"/>
  <c r="AQ199" i="89"/>
  <c r="S200" i="89"/>
  <c r="T200" i="89"/>
  <c r="AO200" i="89"/>
  <c r="AP200" i="89"/>
  <c r="AQ200" i="89"/>
  <c r="S201" i="89"/>
  <c r="T201" i="89"/>
  <c r="AO201" i="89"/>
  <c r="AP201" i="89"/>
  <c r="AQ201" i="89"/>
  <c r="S202" i="89"/>
  <c r="T202" i="89"/>
  <c r="AO202" i="89"/>
  <c r="AP202" i="89"/>
  <c r="AQ202" i="89"/>
  <c r="S203" i="89"/>
  <c r="T203" i="89"/>
  <c r="AO203" i="89"/>
  <c r="AP203" i="89"/>
  <c r="AQ203" i="89"/>
  <c r="S204" i="89"/>
  <c r="T204" i="89"/>
  <c r="AO204" i="89"/>
  <c r="AP204" i="89"/>
  <c r="AQ204" i="89"/>
  <c r="S205" i="89"/>
  <c r="T205" i="89"/>
  <c r="AO205" i="89"/>
  <c r="AP205" i="89"/>
  <c r="AQ205" i="89"/>
  <c r="S206" i="89"/>
  <c r="T206" i="89"/>
  <c r="AO206" i="89"/>
  <c r="AP206" i="89"/>
  <c r="AQ206" i="89"/>
  <c r="S207" i="89"/>
  <c r="T207" i="89"/>
  <c r="AO207" i="89"/>
  <c r="AP207" i="89"/>
  <c r="AQ207" i="89"/>
  <c r="S208" i="89"/>
  <c r="T208" i="89"/>
  <c r="AO208" i="89"/>
  <c r="AP208" i="89"/>
  <c r="AQ208" i="89"/>
  <c r="S209" i="89"/>
  <c r="T209" i="89"/>
  <c r="AO209" i="89"/>
  <c r="AP209" i="89"/>
  <c r="AQ209" i="89"/>
  <c r="S210" i="89"/>
  <c r="T210" i="89"/>
  <c r="AO210" i="89"/>
  <c r="AP210" i="89"/>
  <c r="AQ210" i="89"/>
  <c r="S211" i="89"/>
  <c r="T211" i="89"/>
  <c r="AO211" i="89"/>
  <c r="AP211" i="89"/>
  <c r="AQ211" i="89"/>
  <c r="S212" i="89"/>
  <c r="T212" i="89"/>
  <c r="AO212" i="89"/>
  <c r="AP212" i="89"/>
  <c r="AQ212" i="89"/>
  <c r="S213" i="89"/>
  <c r="T213" i="89"/>
  <c r="AO213" i="89"/>
  <c r="AP213" i="89"/>
  <c r="AQ213" i="89"/>
  <c r="S214" i="89"/>
  <c r="T214" i="89"/>
  <c r="AO214" i="89"/>
  <c r="AP214" i="89"/>
  <c r="AQ214" i="89"/>
  <c r="S215" i="89"/>
  <c r="T215" i="89"/>
  <c r="AO215" i="89"/>
  <c r="AP215" i="89"/>
  <c r="AQ215" i="89"/>
  <c r="S216" i="89"/>
  <c r="T216" i="89"/>
  <c r="AO216" i="89"/>
  <c r="AP216" i="89"/>
  <c r="AQ216" i="89"/>
  <c r="S217" i="89"/>
  <c r="T217" i="89"/>
  <c r="AO217" i="89"/>
  <c r="AP217" i="89"/>
  <c r="AQ217" i="89"/>
  <c r="S218" i="89"/>
  <c r="T218" i="89"/>
  <c r="AO218" i="89"/>
  <c r="AP218" i="89"/>
  <c r="AQ218" i="89"/>
  <c r="S219" i="89"/>
  <c r="T219" i="89"/>
  <c r="AO219" i="89"/>
  <c r="AP219" i="89"/>
  <c r="AQ219" i="89"/>
  <c r="S220" i="89"/>
  <c r="T220" i="89"/>
  <c r="AO220" i="89"/>
  <c r="AP220" i="89"/>
  <c r="AQ220" i="89"/>
  <c r="S221" i="89"/>
  <c r="T221" i="89"/>
  <c r="AO221" i="89"/>
  <c r="AP221" i="89"/>
  <c r="AQ221" i="89"/>
  <c r="S222" i="89"/>
  <c r="T222" i="89"/>
  <c r="AO222" i="89"/>
  <c r="AP222" i="89"/>
  <c r="AQ222" i="89"/>
  <c r="S223" i="89"/>
  <c r="T223" i="89"/>
  <c r="AO223" i="89"/>
  <c r="AP223" i="89"/>
  <c r="AQ223" i="89"/>
  <c r="S224" i="89"/>
  <c r="T224" i="89"/>
  <c r="AO224" i="89"/>
  <c r="AP224" i="89"/>
  <c r="AQ224" i="89"/>
  <c r="S225" i="89"/>
  <c r="T225" i="89"/>
  <c r="AO225" i="89"/>
  <c r="AP225" i="89"/>
  <c r="AQ225" i="89"/>
  <c r="S226" i="89"/>
  <c r="T226" i="89"/>
  <c r="AO226" i="89"/>
  <c r="AP226" i="89"/>
  <c r="AQ226" i="89"/>
  <c r="S227" i="89"/>
  <c r="T227" i="89"/>
  <c r="AO227" i="89"/>
  <c r="AP227" i="89"/>
  <c r="AQ227" i="89"/>
  <c r="S228" i="89"/>
  <c r="T228" i="89"/>
  <c r="AO228" i="89"/>
  <c r="AP228" i="89"/>
  <c r="AQ228" i="89"/>
  <c r="S229" i="89"/>
  <c r="T229" i="89"/>
  <c r="AO229" i="89"/>
  <c r="AP229" i="89"/>
  <c r="AQ229" i="89"/>
  <c r="S230" i="89"/>
  <c r="T230" i="89"/>
  <c r="AO230" i="89"/>
  <c r="AP230" i="89"/>
  <c r="AQ230" i="89"/>
  <c r="S231" i="89"/>
  <c r="T231" i="89"/>
  <c r="AO231" i="89"/>
  <c r="AP231" i="89"/>
  <c r="AQ231" i="89"/>
  <c r="S232" i="89"/>
  <c r="T232" i="89"/>
  <c r="AO232" i="89"/>
  <c r="AP232" i="89"/>
  <c r="AQ232" i="89"/>
  <c r="S233" i="89"/>
  <c r="T233" i="89"/>
  <c r="AO233" i="89"/>
  <c r="AP233" i="89"/>
  <c r="AQ233" i="89"/>
  <c r="S234" i="89"/>
  <c r="T234" i="89"/>
  <c r="AO234" i="89"/>
  <c r="AP234" i="89"/>
  <c r="AQ234" i="89"/>
  <c r="S235" i="89"/>
  <c r="T235" i="89"/>
  <c r="AO235" i="89"/>
  <c r="AP235" i="89"/>
  <c r="AQ235" i="89"/>
  <c r="S236" i="89"/>
  <c r="T236" i="89"/>
  <c r="AO236" i="89"/>
  <c r="AP236" i="89"/>
  <c r="AQ236" i="89"/>
  <c r="S237" i="89"/>
  <c r="T237" i="89"/>
  <c r="AO237" i="89"/>
  <c r="AP237" i="89"/>
  <c r="AQ237" i="89"/>
  <c r="S238" i="89"/>
  <c r="T238" i="89"/>
  <c r="AO238" i="89"/>
  <c r="AP238" i="89"/>
  <c r="AQ238" i="89"/>
  <c r="S239" i="89"/>
  <c r="T239" i="89"/>
  <c r="AO239" i="89"/>
  <c r="AP239" i="89"/>
  <c r="AQ239" i="89"/>
  <c r="S240" i="89"/>
  <c r="T240" i="89"/>
  <c r="AO240" i="89"/>
  <c r="AP240" i="89"/>
  <c r="AQ240" i="89"/>
  <c r="S241" i="89"/>
  <c r="T241" i="89"/>
  <c r="AO241" i="89"/>
  <c r="AP241" i="89"/>
  <c r="AQ241" i="89"/>
  <c r="S242" i="89"/>
  <c r="T242" i="89"/>
  <c r="AO242" i="89"/>
  <c r="AP242" i="89"/>
  <c r="AQ242" i="89"/>
  <c r="S243" i="89"/>
  <c r="T243" i="89"/>
  <c r="AO243" i="89"/>
  <c r="AP243" i="89"/>
  <c r="AQ243" i="89"/>
  <c r="S244" i="89"/>
  <c r="T244" i="89"/>
  <c r="AO244" i="89"/>
  <c r="AP244" i="89"/>
  <c r="AQ244" i="89"/>
  <c r="S245" i="89"/>
  <c r="T245" i="89"/>
  <c r="AO245" i="89"/>
  <c r="AP245" i="89"/>
  <c r="AQ245" i="89"/>
  <c r="S246" i="89"/>
  <c r="T246" i="89"/>
  <c r="AO246" i="89"/>
  <c r="AP246" i="89"/>
  <c r="AQ246" i="89"/>
  <c r="S247" i="89"/>
  <c r="T247" i="89"/>
  <c r="AO247" i="89"/>
  <c r="AP247" i="89"/>
  <c r="AQ247" i="89"/>
  <c r="S248" i="89"/>
  <c r="T248" i="89"/>
  <c r="AO248" i="89"/>
  <c r="AP248" i="89"/>
  <c r="AQ248" i="89"/>
  <c r="S249" i="89"/>
  <c r="T249" i="89"/>
  <c r="AO249" i="89"/>
  <c r="AP249" i="89"/>
  <c r="AQ249" i="89"/>
  <c r="S250" i="89"/>
  <c r="T250" i="89"/>
  <c r="AO250" i="89"/>
  <c r="AP250" i="89"/>
  <c r="AQ250" i="89"/>
  <c r="S251" i="89"/>
  <c r="T251" i="89"/>
  <c r="AO251" i="89"/>
  <c r="AP251" i="89"/>
  <c r="AQ251" i="89"/>
  <c r="S252" i="89"/>
  <c r="T252" i="89"/>
  <c r="AO252" i="89"/>
  <c r="AP252" i="89"/>
  <c r="AQ252" i="89"/>
  <c r="S253" i="89"/>
  <c r="T253" i="89"/>
  <c r="AO253" i="89"/>
  <c r="AP253" i="89"/>
  <c r="AQ253" i="89"/>
  <c r="S254" i="89"/>
  <c r="T254" i="89"/>
  <c r="AO254" i="89"/>
  <c r="AP254" i="89"/>
  <c r="AQ254" i="89"/>
  <c r="S255" i="89"/>
  <c r="T255" i="89"/>
  <c r="AO255" i="89"/>
  <c r="AP255" i="89"/>
  <c r="AQ255" i="89"/>
  <c r="S256" i="89"/>
  <c r="T256" i="89"/>
  <c r="AO256" i="89"/>
  <c r="AP256" i="89"/>
  <c r="AQ256" i="89"/>
  <c r="S257" i="89"/>
  <c r="T257" i="89"/>
  <c r="AO257" i="89"/>
  <c r="AP257" i="89"/>
  <c r="AQ257" i="89"/>
  <c r="S258" i="89"/>
  <c r="T258" i="89"/>
  <c r="AO258" i="89"/>
  <c r="AP258" i="89"/>
  <c r="AQ258" i="89"/>
  <c r="S259" i="89"/>
  <c r="T259" i="89"/>
  <c r="AO259" i="89"/>
  <c r="AP259" i="89"/>
  <c r="AQ259" i="89"/>
  <c r="S260" i="89"/>
  <c r="T260" i="89"/>
  <c r="AO260" i="89"/>
  <c r="AP260" i="89"/>
  <c r="AQ260" i="89"/>
  <c r="S261" i="89"/>
  <c r="T261" i="89"/>
  <c r="AO261" i="89"/>
  <c r="AP261" i="89"/>
  <c r="AQ261" i="89"/>
  <c r="S262" i="89"/>
  <c r="T262" i="89"/>
  <c r="AO262" i="89"/>
  <c r="AP262" i="89"/>
  <c r="AQ262" i="89"/>
  <c r="S263" i="89"/>
  <c r="T263" i="89"/>
  <c r="AO263" i="89"/>
  <c r="AP263" i="89"/>
  <c r="AQ263" i="89"/>
  <c r="S264" i="89"/>
  <c r="T264" i="89"/>
  <c r="AO264" i="89"/>
  <c r="AP264" i="89"/>
  <c r="AQ264" i="89"/>
  <c r="S265" i="89"/>
  <c r="T265" i="89"/>
  <c r="AO265" i="89"/>
  <c r="AP265" i="89"/>
  <c r="AQ265" i="89"/>
  <c r="S266" i="89"/>
  <c r="T266" i="89"/>
  <c r="AO266" i="89"/>
  <c r="AP266" i="89"/>
  <c r="AQ266" i="89"/>
  <c r="S267" i="89"/>
  <c r="T267" i="89"/>
  <c r="AO267" i="89"/>
  <c r="AP267" i="89"/>
  <c r="AQ267" i="89"/>
  <c r="S268" i="89"/>
  <c r="T268" i="89"/>
  <c r="AO268" i="89"/>
  <c r="AP268" i="89"/>
  <c r="AQ268" i="89"/>
  <c r="S269" i="89"/>
  <c r="T269" i="89"/>
  <c r="AO269" i="89"/>
  <c r="AP269" i="89"/>
  <c r="AQ269" i="89"/>
  <c r="S270" i="89"/>
  <c r="T270" i="89"/>
  <c r="AO270" i="89"/>
  <c r="AP270" i="89"/>
  <c r="AQ270" i="89"/>
  <c r="S271" i="89"/>
  <c r="T271" i="89"/>
  <c r="AO271" i="89"/>
  <c r="AP271" i="89"/>
  <c r="AQ271" i="89"/>
  <c r="S272" i="89"/>
  <c r="T272" i="89"/>
  <c r="AO272" i="89"/>
  <c r="AP272" i="89"/>
  <c r="AQ272" i="89"/>
  <c r="S273" i="89"/>
  <c r="T273" i="89"/>
  <c r="AO273" i="89"/>
  <c r="AP273" i="89"/>
  <c r="AQ273" i="89"/>
  <c r="S274" i="89"/>
  <c r="T274" i="89"/>
  <c r="AO274" i="89"/>
  <c r="AP274" i="89"/>
  <c r="AQ274" i="89"/>
  <c r="S275" i="89"/>
  <c r="T275" i="89"/>
  <c r="AO275" i="89"/>
  <c r="AP275" i="89"/>
  <c r="AQ275" i="89"/>
  <c r="S276" i="89"/>
  <c r="T276" i="89"/>
  <c r="AO276" i="89"/>
  <c r="AP276" i="89"/>
  <c r="AQ276" i="89"/>
  <c r="S277" i="89"/>
  <c r="T277" i="89"/>
  <c r="AO277" i="89"/>
  <c r="AP277" i="89"/>
  <c r="AQ277" i="89"/>
  <c r="S278" i="89"/>
  <c r="T278" i="89"/>
  <c r="AO278" i="89"/>
  <c r="AP278" i="89"/>
  <c r="AQ278" i="89"/>
  <c r="S279" i="89"/>
  <c r="T279" i="89"/>
  <c r="AO279" i="89"/>
  <c r="AP279" i="89"/>
  <c r="AQ279" i="89"/>
  <c r="S280" i="89"/>
  <c r="T280" i="89"/>
  <c r="AO280" i="89"/>
  <c r="AP280" i="89"/>
  <c r="AQ280" i="89"/>
  <c r="S281" i="89"/>
  <c r="T281" i="89"/>
  <c r="AO281" i="89"/>
  <c r="AP281" i="89"/>
  <c r="AQ281" i="89"/>
  <c r="S282" i="89"/>
  <c r="T282" i="89"/>
  <c r="AO282" i="89"/>
  <c r="AP282" i="89"/>
  <c r="AQ282" i="89"/>
  <c r="S283" i="89"/>
  <c r="T283" i="89"/>
  <c r="AO283" i="89"/>
  <c r="AP283" i="89"/>
  <c r="AQ283" i="89"/>
  <c r="S284" i="89"/>
  <c r="T284" i="89"/>
  <c r="AO284" i="89"/>
  <c r="AP284" i="89"/>
  <c r="AQ284" i="89"/>
  <c r="S285" i="89"/>
  <c r="T285" i="89"/>
  <c r="AO285" i="89"/>
  <c r="AP285" i="89"/>
  <c r="AQ285" i="89"/>
  <c r="S286" i="89"/>
  <c r="T286" i="89"/>
  <c r="AO286" i="89"/>
  <c r="AP286" i="89"/>
  <c r="AQ286" i="89"/>
  <c r="S287" i="89"/>
  <c r="T287" i="89"/>
  <c r="AO287" i="89"/>
  <c r="AP287" i="89"/>
  <c r="AQ287" i="89"/>
  <c r="S288" i="89"/>
  <c r="T288" i="89"/>
  <c r="AO288" i="89"/>
  <c r="AP288" i="89"/>
  <c r="AQ288" i="89"/>
  <c r="S289" i="89"/>
  <c r="T289" i="89"/>
  <c r="AO289" i="89"/>
  <c r="AP289" i="89"/>
  <c r="AQ289" i="89"/>
  <c r="S290" i="89"/>
  <c r="T290" i="89"/>
  <c r="AO290" i="89"/>
  <c r="AP290" i="89"/>
  <c r="AQ290" i="89"/>
  <c r="S291" i="89"/>
  <c r="T291" i="89"/>
  <c r="AO291" i="89"/>
  <c r="AP291" i="89"/>
  <c r="AQ291" i="89"/>
  <c r="S292" i="89"/>
  <c r="T292" i="89"/>
  <c r="AO292" i="89"/>
  <c r="AP292" i="89"/>
  <c r="AQ292" i="89"/>
  <c r="S293" i="89"/>
  <c r="T293" i="89"/>
  <c r="AO293" i="89"/>
  <c r="AP293" i="89"/>
  <c r="AQ293" i="89"/>
  <c r="S294" i="89"/>
  <c r="T294" i="89"/>
  <c r="AO294" i="89"/>
  <c r="AP294" i="89"/>
  <c r="AQ294" i="89"/>
  <c r="S295" i="89"/>
  <c r="T295" i="89"/>
  <c r="AO295" i="89"/>
  <c r="AP295" i="89"/>
  <c r="AQ295" i="89"/>
  <c r="S296" i="89"/>
  <c r="T296" i="89"/>
  <c r="AO296" i="89"/>
  <c r="AP296" i="89"/>
  <c r="AQ296" i="89"/>
  <c r="S297" i="89"/>
  <c r="T297" i="89"/>
  <c r="AO297" i="89"/>
  <c r="AP297" i="89"/>
  <c r="AQ297" i="89"/>
  <c r="S298" i="89"/>
  <c r="T298" i="89"/>
  <c r="AO298" i="89"/>
  <c r="AP298" i="89"/>
  <c r="AQ298" i="89"/>
  <c r="S299" i="89"/>
  <c r="T299" i="89"/>
  <c r="AO299" i="89"/>
  <c r="AP299" i="89"/>
  <c r="AQ299" i="89"/>
  <c r="S300" i="89"/>
  <c r="T300" i="89"/>
  <c r="AO300" i="89"/>
  <c r="AP300" i="89"/>
  <c r="AQ300" i="89"/>
  <c r="S301" i="89"/>
  <c r="T301" i="89"/>
  <c r="AO301" i="89"/>
  <c r="AP301" i="89"/>
  <c r="AQ301" i="89"/>
  <c r="S302" i="89"/>
  <c r="T302" i="89"/>
  <c r="AO302" i="89"/>
  <c r="AP302" i="89"/>
  <c r="AQ302" i="89"/>
  <c r="S303" i="89"/>
  <c r="T303" i="89"/>
  <c r="AO303" i="89"/>
  <c r="AP303" i="89"/>
  <c r="AQ303" i="89"/>
  <c r="S304" i="89"/>
  <c r="T304" i="89"/>
  <c r="AO304" i="89"/>
  <c r="AP304" i="89"/>
  <c r="AQ304" i="89"/>
  <c r="S305" i="89"/>
  <c r="T305" i="89"/>
  <c r="AO305" i="89"/>
  <c r="AP305" i="89"/>
  <c r="AQ305" i="89"/>
  <c r="S306" i="89"/>
  <c r="T306" i="89"/>
  <c r="AO306" i="89"/>
  <c r="AP306" i="89"/>
  <c r="AQ306" i="89"/>
  <c r="S307" i="89"/>
  <c r="T307" i="89"/>
  <c r="AO307" i="89"/>
  <c r="AP307" i="89"/>
  <c r="AQ307" i="89"/>
  <c r="S308" i="89"/>
  <c r="T308" i="89"/>
  <c r="AO308" i="89"/>
  <c r="AP308" i="89"/>
  <c r="AQ308" i="89"/>
  <c r="S309" i="89"/>
  <c r="T309" i="89"/>
  <c r="AO309" i="89"/>
  <c r="AP309" i="89"/>
  <c r="AQ309" i="89"/>
  <c r="S310" i="89"/>
  <c r="T310" i="89"/>
  <c r="AO310" i="89"/>
  <c r="AP310" i="89"/>
  <c r="AQ310" i="89"/>
  <c r="S311" i="89"/>
  <c r="T311" i="89"/>
  <c r="AO311" i="89"/>
  <c r="AP311" i="89"/>
  <c r="AQ311" i="89"/>
  <c r="S312" i="89"/>
  <c r="T312" i="89"/>
  <c r="AO312" i="89"/>
  <c r="AP312" i="89"/>
  <c r="AQ312" i="89"/>
  <c r="S313" i="89"/>
  <c r="T313" i="89"/>
  <c r="AO313" i="89"/>
  <c r="AP313" i="89"/>
  <c r="AQ313" i="89"/>
  <c r="S314" i="89"/>
  <c r="T314" i="89"/>
  <c r="AO314" i="89"/>
  <c r="AP314" i="89"/>
  <c r="AQ314" i="89"/>
  <c r="S315" i="89"/>
  <c r="T315" i="89"/>
  <c r="AO315" i="89"/>
  <c r="AP315" i="89"/>
  <c r="AQ315" i="89"/>
  <c r="S316" i="89"/>
  <c r="T316" i="89"/>
  <c r="AO316" i="89"/>
  <c r="AP316" i="89"/>
  <c r="AQ316" i="89"/>
  <c r="S317" i="89"/>
  <c r="T317" i="89"/>
  <c r="AO317" i="89"/>
  <c r="AP317" i="89"/>
  <c r="AQ317" i="89"/>
  <c r="S318" i="89"/>
  <c r="T318" i="89"/>
  <c r="AO318" i="89"/>
  <c r="AP318" i="89"/>
  <c r="AQ318" i="89"/>
  <c r="S319" i="89"/>
  <c r="T319" i="89"/>
  <c r="AO319" i="89"/>
  <c r="AP319" i="89"/>
  <c r="AQ319" i="89"/>
  <c r="S320" i="89"/>
  <c r="T320" i="89"/>
  <c r="AO320" i="89"/>
  <c r="AP320" i="89"/>
  <c r="AQ320" i="89"/>
  <c r="S321" i="89"/>
  <c r="T321" i="89"/>
  <c r="AO321" i="89"/>
  <c r="AP321" i="89"/>
  <c r="AQ321" i="89"/>
  <c r="S322" i="89"/>
  <c r="T322" i="89"/>
  <c r="AO322" i="89"/>
  <c r="AP322" i="89"/>
  <c r="AQ322" i="89"/>
  <c r="S323" i="89"/>
  <c r="T323" i="89"/>
  <c r="AO323" i="89"/>
  <c r="AP323" i="89"/>
  <c r="AQ323" i="89"/>
  <c r="S324" i="89"/>
  <c r="T324" i="89"/>
  <c r="AO324" i="89"/>
  <c r="AP324" i="89"/>
  <c r="AQ324" i="89"/>
  <c r="S325" i="89"/>
  <c r="T325" i="89"/>
  <c r="AO325" i="89"/>
  <c r="AP325" i="89"/>
  <c r="AQ325" i="89"/>
  <c r="S326" i="89"/>
  <c r="T326" i="89"/>
  <c r="AO326" i="89"/>
  <c r="AP326" i="89"/>
  <c r="AQ326" i="89"/>
  <c r="S327" i="89"/>
  <c r="T327" i="89"/>
  <c r="AO327" i="89"/>
  <c r="AP327" i="89"/>
  <c r="AQ327" i="89"/>
  <c r="S328" i="89"/>
  <c r="T328" i="89"/>
  <c r="AO328" i="89"/>
  <c r="AP328" i="89"/>
  <c r="AQ328" i="89"/>
  <c r="S329" i="89"/>
  <c r="T329" i="89"/>
  <c r="AO329" i="89"/>
  <c r="AP329" i="89"/>
  <c r="AQ329" i="89"/>
  <c r="S330" i="89"/>
  <c r="T330" i="89"/>
  <c r="AO330" i="89"/>
  <c r="AP330" i="89"/>
  <c r="AQ330" i="89"/>
  <c r="S331" i="89"/>
  <c r="T331" i="89"/>
  <c r="AO331" i="89"/>
  <c r="AP331" i="89"/>
  <c r="AQ331" i="89"/>
  <c r="S332" i="89"/>
  <c r="T332" i="89"/>
  <c r="AO332" i="89"/>
  <c r="AP332" i="89"/>
  <c r="AQ332" i="89"/>
  <c r="S333" i="89"/>
  <c r="T333" i="89"/>
  <c r="AO333" i="89"/>
  <c r="AP333" i="89"/>
  <c r="AQ333" i="89"/>
  <c r="S334" i="89"/>
  <c r="T334" i="89"/>
  <c r="AO334" i="89"/>
  <c r="AP334" i="89"/>
  <c r="AQ334" i="89"/>
  <c r="S335" i="89"/>
  <c r="T335" i="89"/>
  <c r="AO335" i="89"/>
  <c r="AP335" i="89"/>
  <c r="AQ335" i="89"/>
  <c r="S336" i="89"/>
  <c r="T336" i="89"/>
  <c r="AO336" i="89"/>
  <c r="AP336" i="89"/>
  <c r="AQ336" i="89"/>
  <c r="S337" i="89"/>
  <c r="T337" i="89"/>
  <c r="AO337" i="89"/>
  <c r="AP337" i="89"/>
  <c r="AQ337" i="89"/>
  <c r="S338" i="89"/>
  <c r="T338" i="89"/>
  <c r="AO338" i="89"/>
  <c r="AP338" i="89"/>
  <c r="AQ338" i="89"/>
  <c r="S339" i="89"/>
  <c r="T339" i="89"/>
  <c r="AO339" i="89"/>
  <c r="AP339" i="89"/>
  <c r="AQ339" i="89"/>
  <c r="S340" i="89"/>
  <c r="T340" i="89"/>
  <c r="AO340" i="89"/>
  <c r="AP340" i="89"/>
  <c r="AQ340" i="89"/>
  <c r="S341" i="89"/>
  <c r="T341" i="89"/>
  <c r="AO341" i="89"/>
  <c r="AP341" i="89"/>
  <c r="AQ341" i="89"/>
  <c r="S342" i="89"/>
  <c r="T342" i="89"/>
  <c r="AO342" i="89"/>
  <c r="AP342" i="89"/>
  <c r="AQ342" i="89"/>
  <c r="S343" i="89"/>
  <c r="T343" i="89"/>
  <c r="AO343" i="89"/>
  <c r="AP343" i="89"/>
  <c r="AQ343" i="89"/>
  <c r="S344" i="89"/>
  <c r="T344" i="89"/>
  <c r="AO344" i="89"/>
  <c r="AP344" i="89"/>
  <c r="AQ344" i="89"/>
  <c r="S345" i="89"/>
  <c r="T345" i="89"/>
  <c r="AO345" i="89"/>
  <c r="AP345" i="89"/>
  <c r="AQ345" i="89"/>
  <c r="S346" i="89"/>
  <c r="T346" i="89"/>
  <c r="AO346" i="89"/>
  <c r="AP346" i="89"/>
  <c r="AQ346" i="89"/>
  <c r="S347" i="89"/>
  <c r="T347" i="89"/>
  <c r="AO347" i="89"/>
  <c r="AP347" i="89"/>
  <c r="AQ347" i="89"/>
  <c r="S348" i="89"/>
  <c r="T348" i="89"/>
  <c r="AO348" i="89"/>
  <c r="AP348" i="89"/>
  <c r="AQ348" i="89"/>
  <c r="S349" i="89"/>
  <c r="T349" i="89"/>
  <c r="AO349" i="89"/>
  <c r="AP349" i="89"/>
  <c r="AQ349" i="89"/>
  <c r="S350" i="89"/>
  <c r="T350" i="89"/>
  <c r="AO350" i="89"/>
  <c r="AP350" i="89"/>
  <c r="AQ350" i="89"/>
  <c r="S351" i="89"/>
  <c r="T351" i="89"/>
  <c r="AO351" i="89"/>
  <c r="AP351" i="89"/>
  <c r="AQ351" i="89"/>
  <c r="S352" i="89"/>
  <c r="T352" i="89"/>
  <c r="AO352" i="89"/>
  <c r="AP352" i="89"/>
  <c r="AQ352" i="89"/>
  <c r="S353" i="89"/>
  <c r="T353" i="89"/>
  <c r="AO353" i="89"/>
  <c r="AP353" i="89"/>
  <c r="AQ353" i="89"/>
  <c r="S354" i="89"/>
  <c r="T354" i="89"/>
  <c r="AO354" i="89"/>
  <c r="AP354" i="89"/>
  <c r="AQ354" i="89"/>
  <c r="S355" i="89"/>
  <c r="T355" i="89"/>
  <c r="AO355" i="89"/>
  <c r="AP355" i="89"/>
  <c r="AQ355" i="89"/>
  <c r="S356" i="89"/>
  <c r="T356" i="89"/>
  <c r="AO356" i="89"/>
  <c r="AP356" i="89"/>
  <c r="AQ356" i="89"/>
  <c r="S357" i="89"/>
  <c r="T357" i="89"/>
  <c r="AO357" i="89"/>
  <c r="AP357" i="89"/>
  <c r="AQ357" i="89"/>
  <c r="S358" i="89"/>
  <c r="T358" i="89"/>
  <c r="AO358" i="89"/>
  <c r="AP358" i="89"/>
  <c r="AQ358" i="89"/>
  <c r="S359" i="89"/>
  <c r="T359" i="89"/>
  <c r="AO359" i="89"/>
  <c r="AP359" i="89"/>
  <c r="AQ359" i="89"/>
  <c r="S360" i="89"/>
  <c r="T360" i="89"/>
  <c r="AO360" i="89"/>
  <c r="AP360" i="89"/>
  <c r="AQ360" i="89"/>
  <c r="S361" i="89"/>
  <c r="T361" i="89"/>
  <c r="AO361" i="89"/>
  <c r="AP361" i="89"/>
  <c r="AQ361" i="89"/>
  <c r="S362" i="89"/>
  <c r="T362" i="89"/>
  <c r="AO362" i="89"/>
  <c r="AP362" i="89"/>
  <c r="AQ362" i="89"/>
  <c r="S363" i="89"/>
  <c r="T363" i="89"/>
  <c r="AO363" i="89"/>
  <c r="AP363" i="89"/>
  <c r="AQ363" i="89"/>
  <c r="S364" i="89"/>
  <c r="T364" i="89"/>
  <c r="AO364" i="89"/>
  <c r="AP364" i="89"/>
  <c r="AQ364" i="89"/>
  <c r="S365" i="89"/>
  <c r="T365" i="89"/>
  <c r="AO365" i="89"/>
  <c r="AP365" i="89"/>
  <c r="AQ365" i="89"/>
  <c r="S366" i="89"/>
  <c r="T366" i="89"/>
  <c r="AO366" i="89"/>
  <c r="AP366" i="89"/>
  <c r="AQ366" i="89"/>
  <c r="S367" i="89"/>
  <c r="T367" i="89"/>
  <c r="AO367" i="89"/>
  <c r="AP367" i="89"/>
  <c r="AQ367" i="89"/>
  <c r="S368" i="89"/>
  <c r="T368" i="89"/>
  <c r="AO368" i="89"/>
  <c r="AP368" i="89"/>
  <c r="AQ368" i="89"/>
  <c r="S369" i="89"/>
  <c r="T369" i="89"/>
  <c r="AO369" i="89"/>
  <c r="AP369" i="89"/>
  <c r="AQ369" i="89"/>
  <c r="S370" i="89"/>
  <c r="T370" i="89"/>
  <c r="AO370" i="89"/>
  <c r="AP370" i="89"/>
  <c r="AQ370" i="89"/>
  <c r="S371" i="89"/>
  <c r="T371" i="89"/>
  <c r="AO371" i="89"/>
  <c r="AP371" i="89"/>
  <c r="AQ371" i="89"/>
  <c r="S372" i="89"/>
  <c r="T372" i="89"/>
  <c r="AO372" i="89"/>
  <c r="AP372" i="89"/>
  <c r="AQ372" i="89"/>
  <c r="S373" i="89"/>
  <c r="T373" i="89"/>
  <c r="AO373" i="89"/>
  <c r="AP373" i="89"/>
  <c r="AQ373" i="89"/>
  <c r="S374" i="89"/>
  <c r="T374" i="89"/>
  <c r="AO374" i="89"/>
  <c r="AP374" i="89"/>
  <c r="AQ374" i="89"/>
  <c r="S375" i="89"/>
  <c r="T375" i="89"/>
  <c r="AO375" i="89"/>
  <c r="AP375" i="89"/>
  <c r="AQ375" i="89"/>
  <c r="S376" i="89"/>
  <c r="T376" i="89"/>
  <c r="AO376" i="89"/>
  <c r="AP376" i="89"/>
  <c r="AQ376" i="89"/>
  <c r="S377" i="89"/>
  <c r="T377" i="89"/>
  <c r="AO377" i="89"/>
  <c r="AP377" i="89"/>
  <c r="AQ377" i="89"/>
  <c r="S378" i="89"/>
  <c r="T378" i="89"/>
  <c r="AO378" i="89"/>
  <c r="AP378" i="89"/>
  <c r="AQ378" i="89"/>
  <c r="S379" i="89"/>
  <c r="T379" i="89"/>
  <c r="AO379" i="89"/>
  <c r="AP379" i="89"/>
  <c r="AQ379" i="89"/>
  <c r="S380" i="89"/>
  <c r="T380" i="89"/>
  <c r="AO380" i="89"/>
  <c r="AP380" i="89"/>
  <c r="AQ380" i="89"/>
  <c r="S381" i="89"/>
  <c r="T381" i="89"/>
  <c r="AO381" i="89"/>
  <c r="AP381" i="89"/>
  <c r="AQ381" i="89"/>
  <c r="S382" i="89"/>
  <c r="T382" i="89"/>
  <c r="AO382" i="89"/>
  <c r="AP382" i="89"/>
  <c r="AQ382" i="89"/>
  <c r="S383" i="89"/>
  <c r="T383" i="89"/>
  <c r="AO383" i="89"/>
  <c r="AP383" i="89"/>
  <c r="AQ383" i="89"/>
  <c r="S384" i="89"/>
  <c r="T384" i="89"/>
  <c r="AO384" i="89"/>
  <c r="AP384" i="89"/>
  <c r="AQ384" i="89"/>
  <c r="S385" i="89"/>
  <c r="T385" i="89"/>
  <c r="AO385" i="89"/>
  <c r="AP385" i="89"/>
  <c r="AQ385" i="89"/>
  <c r="S386" i="89"/>
  <c r="T386" i="89"/>
  <c r="AO386" i="89"/>
  <c r="AP386" i="89"/>
  <c r="AQ386" i="89"/>
  <c r="S387" i="89"/>
  <c r="T387" i="89"/>
  <c r="AO387" i="89"/>
  <c r="AP387" i="89"/>
  <c r="AQ387" i="89"/>
  <c r="S388" i="89"/>
  <c r="T388" i="89"/>
  <c r="AO388" i="89"/>
  <c r="AP388" i="89"/>
  <c r="AQ388" i="89"/>
  <c r="S389" i="89"/>
  <c r="T389" i="89"/>
  <c r="AO389" i="89"/>
  <c r="AP389" i="89"/>
  <c r="AQ389" i="89"/>
  <c r="S390" i="89"/>
  <c r="T390" i="89"/>
  <c r="AO390" i="89"/>
  <c r="AP390" i="89"/>
  <c r="AQ390" i="89"/>
  <c r="S391" i="89"/>
  <c r="T391" i="89"/>
  <c r="AO391" i="89"/>
  <c r="AP391" i="89"/>
  <c r="AQ391" i="89"/>
  <c r="S392" i="89"/>
  <c r="T392" i="89"/>
  <c r="AO392" i="89"/>
  <c r="AP392" i="89"/>
  <c r="AQ392" i="89"/>
  <c r="S393" i="89"/>
  <c r="T393" i="89"/>
  <c r="AO393" i="89"/>
  <c r="AP393" i="89"/>
  <c r="AQ393" i="89"/>
  <c r="S394" i="89"/>
  <c r="T394" i="89"/>
  <c r="AO394" i="89"/>
  <c r="AP394" i="89"/>
  <c r="AQ394" i="89"/>
  <c r="S395" i="89"/>
  <c r="T395" i="89"/>
  <c r="AO395" i="89"/>
  <c r="AP395" i="89"/>
  <c r="AQ395" i="89"/>
  <c r="S396" i="89"/>
  <c r="T396" i="89"/>
  <c r="AO396" i="89"/>
  <c r="AP396" i="89"/>
  <c r="AQ396" i="89"/>
  <c r="S397" i="89"/>
  <c r="T397" i="89"/>
  <c r="AO397" i="89"/>
  <c r="AP397" i="89"/>
  <c r="AQ397" i="89"/>
  <c r="S398" i="89"/>
  <c r="T398" i="89"/>
  <c r="AO398" i="89"/>
  <c r="AP398" i="89"/>
  <c r="AQ398" i="89"/>
  <c r="S399" i="89"/>
  <c r="T399" i="89"/>
  <c r="AO399" i="89"/>
  <c r="AP399" i="89"/>
  <c r="AQ399" i="89"/>
  <c r="S400" i="89"/>
  <c r="T400" i="89"/>
  <c r="AO400" i="89"/>
  <c r="AP400" i="89"/>
  <c r="AQ400" i="89"/>
  <c r="S401" i="89"/>
  <c r="T401" i="89"/>
  <c r="AO401" i="89"/>
  <c r="AP401" i="89"/>
  <c r="AQ401" i="89"/>
  <c r="S402" i="89"/>
  <c r="T402" i="89"/>
  <c r="AO402" i="89"/>
  <c r="AP402" i="89"/>
  <c r="AQ402" i="89"/>
  <c r="S403" i="89"/>
  <c r="T403" i="89"/>
  <c r="AO403" i="89"/>
  <c r="AP403" i="89"/>
  <c r="AQ403" i="89"/>
  <c r="S404" i="89"/>
  <c r="T404" i="89"/>
  <c r="AO404" i="89"/>
  <c r="AP404" i="89"/>
  <c r="AQ404" i="89"/>
  <c r="S405" i="89"/>
  <c r="T405" i="89"/>
  <c r="AO405" i="89"/>
  <c r="AP405" i="89"/>
  <c r="AQ405" i="89"/>
  <c r="S406" i="89"/>
  <c r="T406" i="89"/>
  <c r="AO406" i="89"/>
  <c r="AP406" i="89"/>
  <c r="AQ406" i="89"/>
  <c r="S407" i="89"/>
  <c r="T407" i="89"/>
  <c r="AO407" i="89"/>
  <c r="AP407" i="89"/>
  <c r="AQ407" i="89"/>
  <c r="S408" i="89"/>
  <c r="T408" i="89"/>
  <c r="AO408" i="89"/>
  <c r="AP408" i="89"/>
  <c r="AQ408" i="89"/>
  <c r="S409" i="89"/>
  <c r="T409" i="89"/>
  <c r="AO409" i="89"/>
  <c r="AP409" i="89"/>
  <c r="AQ409" i="89"/>
  <c r="S410" i="89"/>
  <c r="T410" i="89"/>
  <c r="AO410" i="89"/>
  <c r="AP410" i="89"/>
  <c r="AQ410" i="89"/>
  <c r="S411" i="89"/>
  <c r="T411" i="89"/>
  <c r="AO411" i="89"/>
  <c r="AP411" i="89"/>
  <c r="AQ411" i="89"/>
  <c r="S412" i="89"/>
  <c r="T412" i="89"/>
  <c r="AO412" i="89"/>
  <c r="AP412" i="89"/>
  <c r="AQ412" i="89"/>
  <c r="S413" i="89"/>
  <c r="T413" i="89"/>
  <c r="AO413" i="89"/>
  <c r="AP413" i="89"/>
  <c r="AQ413" i="89"/>
  <c r="S414" i="89"/>
  <c r="T414" i="89"/>
  <c r="AO414" i="89"/>
  <c r="AP414" i="89"/>
  <c r="AQ414" i="89"/>
  <c r="S415" i="89"/>
  <c r="T415" i="89"/>
  <c r="AO415" i="89"/>
  <c r="AP415" i="89"/>
  <c r="AQ415" i="89"/>
  <c r="S416" i="89"/>
  <c r="T416" i="89"/>
  <c r="AO416" i="89"/>
  <c r="AP416" i="89"/>
  <c r="AQ416" i="89"/>
  <c r="S417" i="89"/>
  <c r="T417" i="89"/>
  <c r="AO417" i="89"/>
  <c r="AP417" i="89"/>
  <c r="AQ417" i="89"/>
  <c r="S418" i="89"/>
  <c r="T418" i="89"/>
  <c r="AO418" i="89"/>
  <c r="AP418" i="89"/>
  <c r="AQ418" i="89"/>
  <c r="S419" i="89"/>
  <c r="T419" i="89"/>
  <c r="AO419" i="89"/>
  <c r="AP419" i="89"/>
  <c r="AQ419" i="89"/>
  <c r="S420" i="89"/>
  <c r="T420" i="89"/>
  <c r="AO420" i="89"/>
  <c r="AP420" i="89"/>
  <c r="AQ420" i="89"/>
  <c r="S421" i="89"/>
  <c r="T421" i="89"/>
  <c r="AO421" i="89"/>
  <c r="AP421" i="89"/>
  <c r="AQ421" i="89"/>
  <c r="S422" i="89"/>
  <c r="T422" i="89"/>
  <c r="AO422" i="89"/>
  <c r="AP422" i="89"/>
  <c r="AQ422" i="89"/>
  <c r="S423" i="89"/>
  <c r="T423" i="89"/>
  <c r="AO423" i="89"/>
  <c r="AP423" i="89"/>
  <c r="AQ423" i="89"/>
  <c r="S424" i="89"/>
  <c r="T424" i="89"/>
  <c r="AO424" i="89"/>
  <c r="AP424" i="89"/>
  <c r="AQ424" i="89"/>
  <c r="S425" i="89"/>
  <c r="T425" i="89"/>
  <c r="AO425" i="89"/>
  <c r="AP425" i="89"/>
  <c r="AQ425" i="89"/>
  <c r="S426" i="89"/>
  <c r="T426" i="89"/>
  <c r="AO426" i="89"/>
  <c r="AP426" i="89"/>
  <c r="AQ426" i="89"/>
  <c r="S427" i="89"/>
  <c r="T427" i="89"/>
  <c r="AO427" i="89"/>
  <c r="AP427" i="89"/>
  <c r="AQ427" i="89"/>
  <c r="S428" i="89"/>
  <c r="T428" i="89"/>
  <c r="AO428" i="89"/>
  <c r="AP428" i="89"/>
  <c r="AQ428" i="89"/>
  <c r="S429" i="89"/>
  <c r="T429" i="89"/>
  <c r="AO429" i="89"/>
  <c r="AP429" i="89"/>
  <c r="AQ429" i="89"/>
  <c r="S430" i="89"/>
  <c r="T430" i="89"/>
  <c r="AO430" i="89"/>
  <c r="AP430" i="89"/>
  <c r="AQ430" i="89"/>
  <c r="S431" i="89"/>
  <c r="T431" i="89"/>
  <c r="AO431" i="89"/>
  <c r="AP431" i="89"/>
  <c r="AQ431" i="89"/>
  <c r="S432" i="89"/>
  <c r="T432" i="89"/>
  <c r="AO432" i="89"/>
  <c r="AP432" i="89"/>
  <c r="AQ432" i="89"/>
  <c r="S433" i="89"/>
  <c r="T433" i="89"/>
  <c r="AO433" i="89"/>
  <c r="AP433" i="89"/>
  <c r="AQ433" i="89"/>
  <c r="S434" i="89"/>
  <c r="T434" i="89"/>
  <c r="AO434" i="89"/>
  <c r="AP434" i="89"/>
  <c r="AQ434" i="89"/>
  <c r="S435" i="89"/>
  <c r="T435" i="89"/>
  <c r="AO435" i="89"/>
  <c r="AP435" i="89"/>
  <c r="AQ435" i="89"/>
  <c r="S436" i="89"/>
  <c r="T436" i="89"/>
  <c r="AO436" i="89"/>
  <c r="AP436" i="89"/>
  <c r="AQ436" i="89"/>
  <c r="S437" i="89"/>
  <c r="T437" i="89"/>
  <c r="AO437" i="89"/>
  <c r="AP437" i="89"/>
  <c r="AQ437" i="89"/>
  <c r="S438" i="89"/>
  <c r="T438" i="89"/>
  <c r="AO438" i="89"/>
  <c r="AP438" i="89"/>
  <c r="AQ438" i="89"/>
  <c r="S439" i="89"/>
  <c r="T439" i="89"/>
  <c r="AO439" i="89"/>
  <c r="AP439" i="89"/>
  <c r="AQ439" i="89"/>
  <c r="S440" i="89"/>
  <c r="T440" i="89"/>
  <c r="AO440" i="89"/>
  <c r="AP440" i="89"/>
  <c r="AQ440" i="89"/>
  <c r="S441" i="89"/>
  <c r="T441" i="89"/>
  <c r="AO441" i="89"/>
  <c r="AP441" i="89"/>
  <c r="AQ441" i="89"/>
  <c r="S442" i="89"/>
  <c r="T442" i="89"/>
  <c r="AO442" i="89"/>
  <c r="AP442" i="89"/>
  <c r="AQ442" i="89"/>
  <c r="S443" i="89"/>
  <c r="T443" i="89"/>
  <c r="AO443" i="89"/>
  <c r="AP443" i="89"/>
  <c r="AQ443" i="89"/>
  <c r="S444" i="89"/>
  <c r="T444" i="89"/>
  <c r="AO444" i="89"/>
  <c r="AP444" i="89"/>
  <c r="AQ444" i="89"/>
  <c r="S445" i="89"/>
  <c r="T445" i="89"/>
  <c r="AO445" i="89"/>
  <c r="AP445" i="89"/>
  <c r="AQ445" i="89"/>
  <c r="S446" i="89"/>
  <c r="T446" i="89"/>
  <c r="AO446" i="89"/>
  <c r="AP446" i="89"/>
  <c r="AQ446" i="89"/>
  <c r="S447" i="89"/>
  <c r="T447" i="89"/>
  <c r="AO447" i="89"/>
  <c r="AP447" i="89"/>
  <c r="AQ447" i="89"/>
  <c r="S448" i="89"/>
  <c r="T448" i="89"/>
  <c r="AO448" i="89"/>
  <c r="AP448" i="89"/>
  <c r="AQ448" i="89"/>
  <c r="S449" i="89"/>
  <c r="T449" i="89"/>
  <c r="AO449" i="89"/>
  <c r="AP449" i="89"/>
  <c r="AQ449" i="89"/>
  <c r="S450" i="89"/>
  <c r="T450" i="89"/>
  <c r="AO450" i="89"/>
  <c r="AP450" i="89"/>
  <c r="AQ450" i="89"/>
  <c r="S451" i="89"/>
  <c r="T451" i="89"/>
  <c r="AO451" i="89"/>
  <c r="AP451" i="89"/>
  <c r="AQ451" i="89"/>
  <c r="S452" i="89"/>
  <c r="T452" i="89"/>
  <c r="AO452" i="89"/>
  <c r="AP452" i="89"/>
  <c r="AQ452" i="89"/>
  <c r="S453" i="89"/>
  <c r="T453" i="89"/>
  <c r="AO453" i="89"/>
  <c r="AP453" i="89"/>
  <c r="AQ453" i="89"/>
  <c r="S454" i="89"/>
  <c r="T454" i="89"/>
  <c r="AO454" i="89"/>
  <c r="AP454" i="89"/>
  <c r="AQ454" i="89"/>
  <c r="S455" i="89"/>
  <c r="T455" i="89"/>
  <c r="AO455" i="89"/>
  <c r="AP455" i="89"/>
  <c r="AQ455" i="89"/>
  <c r="S456" i="89"/>
  <c r="T456" i="89"/>
  <c r="AO456" i="89"/>
  <c r="AP456" i="89"/>
  <c r="AQ456" i="89"/>
  <c r="S457" i="89"/>
  <c r="T457" i="89"/>
  <c r="AO457" i="89"/>
  <c r="AP457" i="89"/>
  <c r="AQ457" i="89"/>
  <c r="S458" i="89"/>
  <c r="T458" i="89"/>
  <c r="AO458" i="89"/>
  <c r="AP458" i="89"/>
  <c r="AQ458" i="89"/>
  <c r="S459" i="89"/>
  <c r="T459" i="89"/>
  <c r="AO459" i="89"/>
  <c r="AP459" i="89"/>
  <c r="AQ459" i="89"/>
  <c r="S460" i="89"/>
  <c r="T460" i="89"/>
  <c r="AO460" i="89"/>
  <c r="AP460" i="89"/>
  <c r="AQ460" i="89"/>
  <c r="S461" i="89"/>
  <c r="T461" i="89"/>
  <c r="AO461" i="89"/>
  <c r="AP461" i="89"/>
  <c r="AQ461" i="89"/>
  <c r="S462" i="89"/>
  <c r="T462" i="89"/>
  <c r="AO462" i="89"/>
  <c r="AP462" i="89"/>
  <c r="AQ462" i="89"/>
  <c r="S463" i="89"/>
  <c r="T463" i="89"/>
  <c r="AO463" i="89"/>
  <c r="AP463" i="89"/>
  <c r="AQ463" i="89"/>
  <c r="S464" i="89"/>
  <c r="T464" i="89"/>
  <c r="AO464" i="89"/>
  <c r="AP464" i="89"/>
  <c r="AQ464" i="89"/>
  <c r="S465" i="89"/>
  <c r="T465" i="89"/>
  <c r="AO465" i="89"/>
  <c r="AP465" i="89"/>
  <c r="AQ465" i="89"/>
  <c r="S466" i="89"/>
  <c r="T466" i="89"/>
  <c r="AO466" i="89"/>
  <c r="AP466" i="89"/>
  <c r="AQ466" i="89"/>
  <c r="S467" i="89"/>
  <c r="T467" i="89"/>
  <c r="AO467" i="89"/>
  <c r="AP467" i="89"/>
  <c r="AQ467" i="89"/>
  <c r="S468" i="89"/>
  <c r="T468" i="89"/>
  <c r="AO468" i="89"/>
  <c r="AP468" i="89"/>
  <c r="AQ468" i="89"/>
  <c r="S469" i="89"/>
  <c r="T469" i="89"/>
  <c r="AO469" i="89"/>
  <c r="AP469" i="89"/>
  <c r="AQ469" i="89"/>
  <c r="S470" i="89"/>
  <c r="T470" i="89"/>
  <c r="AO470" i="89"/>
  <c r="AP470" i="89"/>
  <c r="AQ470" i="89"/>
  <c r="S471" i="89"/>
  <c r="T471" i="89"/>
  <c r="AO471" i="89"/>
  <c r="AP471" i="89"/>
  <c r="AQ471" i="89"/>
  <c r="S472" i="89"/>
  <c r="T472" i="89"/>
  <c r="AO472" i="89"/>
  <c r="AP472" i="89"/>
  <c r="AQ472" i="89"/>
  <c r="S473" i="89"/>
  <c r="T473" i="89"/>
  <c r="AO473" i="89"/>
  <c r="AP473" i="89"/>
  <c r="AQ473" i="89"/>
  <c r="S474" i="89"/>
  <c r="T474" i="89"/>
  <c r="AO474" i="89"/>
  <c r="AP474" i="89"/>
  <c r="AQ474" i="89"/>
  <c r="S475" i="89"/>
  <c r="T475" i="89"/>
  <c r="AO475" i="89"/>
  <c r="AP475" i="89"/>
  <c r="AQ475" i="89"/>
  <c r="S476" i="89"/>
  <c r="T476" i="89"/>
  <c r="AO476" i="89"/>
  <c r="AP476" i="89"/>
  <c r="AQ476" i="89"/>
  <c r="S477" i="89"/>
  <c r="T477" i="89"/>
  <c r="AO477" i="89"/>
  <c r="AP477" i="89"/>
  <c r="AQ477" i="89"/>
  <c r="S478" i="89"/>
  <c r="T478" i="89"/>
  <c r="AO478" i="89"/>
  <c r="AP478" i="89"/>
  <c r="AQ478" i="89"/>
  <c r="S479" i="89"/>
  <c r="T479" i="89"/>
  <c r="AO479" i="89"/>
  <c r="AP479" i="89"/>
  <c r="AQ479" i="89"/>
  <c r="S480" i="89"/>
  <c r="T480" i="89"/>
  <c r="AO480" i="89"/>
  <c r="AP480" i="89"/>
  <c r="AQ480" i="89"/>
  <c r="S481" i="89"/>
  <c r="T481" i="89"/>
  <c r="AO481" i="89"/>
  <c r="AP481" i="89"/>
  <c r="AQ481" i="89"/>
  <c r="S482" i="89"/>
  <c r="T482" i="89"/>
  <c r="AO482" i="89"/>
  <c r="AP482" i="89"/>
  <c r="AQ482" i="89"/>
  <c r="S483" i="89"/>
  <c r="T483" i="89"/>
  <c r="AO483" i="89"/>
  <c r="AP483" i="89"/>
  <c r="AQ483" i="89"/>
  <c r="S484" i="89"/>
  <c r="T484" i="89"/>
  <c r="AO484" i="89"/>
  <c r="AP484" i="89"/>
  <c r="AQ484" i="89"/>
  <c r="S485" i="89"/>
  <c r="T485" i="89"/>
  <c r="AO485" i="89"/>
  <c r="AP485" i="89"/>
  <c r="AQ485" i="89"/>
  <c r="S486" i="89"/>
  <c r="T486" i="89"/>
  <c r="AO486" i="89"/>
  <c r="AP486" i="89"/>
  <c r="AQ486" i="89"/>
  <c r="S487" i="89"/>
  <c r="T487" i="89"/>
  <c r="AO487" i="89"/>
  <c r="AP487" i="89"/>
  <c r="AQ487" i="89"/>
  <c r="S488" i="89"/>
  <c r="T488" i="89"/>
  <c r="AO488" i="89"/>
  <c r="AP488" i="89"/>
  <c r="AQ488" i="89"/>
  <c r="S489" i="89"/>
  <c r="T489" i="89"/>
  <c r="AO489" i="89"/>
  <c r="AP489" i="89"/>
  <c r="AQ489" i="89"/>
  <c r="S490" i="89"/>
  <c r="T490" i="89"/>
  <c r="AO490" i="89"/>
  <c r="AP490" i="89"/>
  <c r="AQ490" i="89"/>
  <c r="S491" i="89"/>
  <c r="T491" i="89"/>
  <c r="AO491" i="89"/>
  <c r="AP491" i="89"/>
  <c r="AQ491" i="89"/>
  <c r="S492" i="89"/>
  <c r="T492" i="89"/>
  <c r="AO492" i="89"/>
  <c r="AP492" i="89"/>
  <c r="AQ492" i="89"/>
  <c r="S493" i="89"/>
  <c r="T493" i="89"/>
  <c r="AO493" i="89"/>
  <c r="AP493" i="89"/>
  <c r="AQ493" i="89"/>
  <c r="S494" i="89"/>
  <c r="T494" i="89"/>
  <c r="AO494" i="89"/>
  <c r="AP494" i="89"/>
  <c r="AQ494" i="89"/>
  <c r="S495" i="89"/>
  <c r="T495" i="89"/>
  <c r="AO495" i="89"/>
  <c r="AP495" i="89"/>
  <c r="AQ495" i="89"/>
  <c r="S496" i="89"/>
  <c r="T496" i="89"/>
  <c r="AO496" i="89"/>
  <c r="AP496" i="89"/>
  <c r="AQ496" i="89"/>
  <c r="S497" i="89"/>
  <c r="T497" i="89"/>
  <c r="AO497" i="89"/>
  <c r="AP497" i="89"/>
  <c r="AQ497" i="89"/>
  <c r="S498" i="89"/>
  <c r="T498" i="89"/>
  <c r="AO498" i="89"/>
  <c r="AP498" i="89"/>
  <c r="AQ498" i="89"/>
  <c r="S499" i="89"/>
  <c r="T499" i="89"/>
  <c r="AO499" i="89"/>
  <c r="AP499" i="89"/>
  <c r="AQ499" i="89"/>
  <c r="S500" i="89"/>
  <c r="T500" i="89"/>
  <c r="AO500" i="89"/>
  <c r="AP500" i="89"/>
  <c r="AQ500" i="89"/>
  <c r="S501" i="89"/>
  <c r="T501" i="89"/>
  <c r="AO501" i="89"/>
  <c r="AP501" i="89"/>
  <c r="AQ501" i="89"/>
  <c r="S502" i="89"/>
  <c r="T502" i="89"/>
  <c r="AO502" i="89"/>
  <c r="AP502" i="89"/>
  <c r="AQ502" i="89"/>
  <c r="S503" i="89"/>
  <c r="T503" i="89"/>
  <c r="AO503" i="89"/>
  <c r="AP503" i="89"/>
  <c r="AQ503" i="89"/>
  <c r="S504" i="89"/>
  <c r="T504" i="89"/>
  <c r="AO504" i="89"/>
  <c r="AP504" i="89"/>
  <c r="AQ504" i="89"/>
  <c r="S505" i="89"/>
  <c r="T505" i="89"/>
  <c r="AO505" i="89"/>
  <c r="AP505" i="89"/>
  <c r="AQ505" i="89"/>
  <c r="A242" i="84"/>
  <c r="P242" i="84" s="1"/>
  <c r="A241" i="84"/>
  <c r="P241" i="84" s="1"/>
  <c r="A261" i="84"/>
  <c r="A260" i="84"/>
  <c r="C260" i="84" s="1"/>
  <c r="A259" i="84"/>
  <c r="A258" i="84"/>
  <c r="A257" i="84"/>
  <c r="A256" i="84"/>
  <c r="C256" i="84" s="1"/>
  <c r="A255" i="84"/>
  <c r="A254" i="84"/>
  <c r="A253" i="84"/>
  <c r="A252" i="84"/>
  <c r="C252" i="84" s="1"/>
  <c r="A251" i="84"/>
  <c r="A250" i="84"/>
  <c r="A249" i="84"/>
  <c r="A248" i="84"/>
  <c r="A247" i="84"/>
  <c r="A246" i="84"/>
  <c r="A245" i="84"/>
  <c r="A244" i="84"/>
  <c r="C244" i="84" s="1"/>
  <c r="A243" i="84"/>
  <c r="K241" i="84" l="1"/>
  <c r="C241" i="84"/>
  <c r="C242" i="84"/>
  <c r="K242" i="84"/>
  <c r="I241" i="84"/>
  <c r="I242" i="84"/>
  <c r="B241" i="84"/>
  <c r="J241" i="84"/>
  <c r="A324" i="84" s="1"/>
  <c r="B242" i="84"/>
  <c r="J242" i="84"/>
  <c r="D241" i="84"/>
  <c r="L241" i="84"/>
  <c r="D242" i="84"/>
  <c r="L242" i="84"/>
  <c r="E241" i="84"/>
  <c r="M241" i="84"/>
  <c r="E242" i="84"/>
  <c r="M242" i="84"/>
  <c r="F241" i="84"/>
  <c r="N241" i="84"/>
  <c r="F242" i="84"/>
  <c r="N242" i="84"/>
  <c r="G241" i="84"/>
  <c r="O241" i="84"/>
  <c r="G242" i="84"/>
  <c r="O242" i="84"/>
  <c r="H241" i="84"/>
  <c r="H242" i="84"/>
  <c r="P258" i="84"/>
  <c r="H258" i="84"/>
  <c r="O258" i="84"/>
  <c r="G258" i="84"/>
  <c r="N258" i="84"/>
  <c r="F258" i="84"/>
  <c r="M258" i="84"/>
  <c r="E258" i="84"/>
  <c r="L258" i="84"/>
  <c r="D258" i="84"/>
  <c r="J258" i="84"/>
  <c r="B258" i="84"/>
  <c r="K258" i="84"/>
  <c r="I258" i="84"/>
  <c r="C258" i="84"/>
  <c r="P246" i="84"/>
  <c r="H246" i="84"/>
  <c r="O246" i="84"/>
  <c r="G246" i="84"/>
  <c r="N246" i="84"/>
  <c r="F246" i="84"/>
  <c r="M246" i="84"/>
  <c r="E246" i="84"/>
  <c r="L246" i="84"/>
  <c r="D246" i="84"/>
  <c r="J246" i="84"/>
  <c r="A329" i="84" s="1"/>
  <c r="B246" i="84"/>
  <c r="K246" i="84"/>
  <c r="I246" i="84"/>
  <c r="C246" i="84"/>
  <c r="P252" i="84"/>
  <c r="H252" i="84"/>
  <c r="O252" i="84"/>
  <c r="G252" i="84"/>
  <c r="N252" i="84"/>
  <c r="F252" i="84"/>
  <c r="M252" i="84"/>
  <c r="E252" i="84"/>
  <c r="L252" i="84"/>
  <c r="A129" i="85" s="1"/>
  <c r="K129" i="85" s="1"/>
  <c r="D252" i="84"/>
  <c r="J252" i="84"/>
  <c r="B252" i="84"/>
  <c r="K252" i="84"/>
  <c r="I252" i="84"/>
  <c r="P248" i="84"/>
  <c r="H248" i="84"/>
  <c r="O248" i="84"/>
  <c r="G248" i="84"/>
  <c r="N248" i="84"/>
  <c r="F248" i="84"/>
  <c r="M248" i="84"/>
  <c r="E248" i="84"/>
  <c r="L248" i="84"/>
  <c r="D248" i="84"/>
  <c r="J248" i="84"/>
  <c r="A331" i="84" s="1"/>
  <c r="B248" i="84"/>
  <c r="K248" i="84"/>
  <c r="I248" i="84"/>
  <c r="C248" i="84"/>
  <c r="P254" i="84"/>
  <c r="H254" i="84"/>
  <c r="O254" i="84"/>
  <c r="G254" i="84"/>
  <c r="N254" i="84"/>
  <c r="F254" i="84"/>
  <c r="M254" i="84"/>
  <c r="E254" i="84"/>
  <c r="L254" i="84"/>
  <c r="D254" i="84"/>
  <c r="J254" i="84"/>
  <c r="B254" i="84"/>
  <c r="K254" i="84"/>
  <c r="I254" i="84"/>
  <c r="P244" i="84"/>
  <c r="H244" i="84"/>
  <c r="O244" i="84"/>
  <c r="G244" i="84"/>
  <c r="N244" i="84"/>
  <c r="F244" i="84"/>
  <c r="M244" i="84"/>
  <c r="E244" i="84"/>
  <c r="L244" i="84"/>
  <c r="D244" i="84"/>
  <c r="J244" i="84"/>
  <c r="A327" i="84" s="1"/>
  <c r="B244" i="84"/>
  <c r="K244" i="84"/>
  <c r="I244" i="84"/>
  <c r="C254" i="84"/>
  <c r="P260" i="84"/>
  <c r="H260" i="84"/>
  <c r="O260" i="84"/>
  <c r="G260" i="84"/>
  <c r="N260" i="84"/>
  <c r="F260" i="84"/>
  <c r="M260" i="84"/>
  <c r="E260" i="84"/>
  <c r="L260" i="84"/>
  <c r="D260" i="84"/>
  <c r="J260" i="84"/>
  <c r="B260" i="84"/>
  <c r="K260" i="84"/>
  <c r="I260" i="84"/>
  <c r="P250" i="84"/>
  <c r="H250" i="84"/>
  <c r="O250" i="84"/>
  <c r="G250" i="84"/>
  <c r="N250" i="84"/>
  <c r="F250" i="84"/>
  <c r="M250" i="84"/>
  <c r="E250" i="84"/>
  <c r="L250" i="84"/>
  <c r="A127" i="85" s="1"/>
  <c r="K127" i="85" s="1"/>
  <c r="D250" i="84"/>
  <c r="J250" i="84"/>
  <c r="B250" i="84"/>
  <c r="K250" i="84"/>
  <c r="I250" i="84"/>
  <c r="C250" i="84"/>
  <c r="P256" i="84"/>
  <c r="H256" i="84"/>
  <c r="O256" i="84"/>
  <c r="G256" i="84"/>
  <c r="N256" i="84"/>
  <c r="F256" i="84"/>
  <c r="M256" i="84"/>
  <c r="E256" i="84"/>
  <c r="L256" i="84"/>
  <c r="D256" i="84"/>
  <c r="J256" i="84"/>
  <c r="B256" i="84"/>
  <c r="K256" i="84"/>
  <c r="I256" i="84"/>
  <c r="P243" i="84"/>
  <c r="H243" i="84"/>
  <c r="O243" i="84"/>
  <c r="G243" i="84"/>
  <c r="N243" i="84"/>
  <c r="F243" i="84"/>
  <c r="M243" i="84"/>
  <c r="E243" i="84"/>
  <c r="L243" i="84"/>
  <c r="D243" i="84"/>
  <c r="J243" i="84"/>
  <c r="B243" i="84"/>
  <c r="P245" i="84"/>
  <c r="H245" i="84"/>
  <c r="O245" i="84"/>
  <c r="G245" i="84"/>
  <c r="N245" i="84"/>
  <c r="F245" i="84"/>
  <c r="M245" i="84"/>
  <c r="E245" i="84"/>
  <c r="L245" i="84"/>
  <c r="D245" i="84"/>
  <c r="J245" i="84"/>
  <c r="A328" i="84" s="1"/>
  <c r="B245" i="84"/>
  <c r="P247" i="84"/>
  <c r="H247" i="84"/>
  <c r="O247" i="84"/>
  <c r="G247" i="84"/>
  <c r="N247" i="84"/>
  <c r="F247" i="84"/>
  <c r="M247" i="84"/>
  <c r="E247" i="84"/>
  <c r="L247" i="84"/>
  <c r="D247" i="84"/>
  <c r="J247" i="84"/>
  <c r="A330" i="84" s="1"/>
  <c r="B247" i="84"/>
  <c r="P249" i="84"/>
  <c r="H249" i="84"/>
  <c r="O249" i="84"/>
  <c r="G249" i="84"/>
  <c r="N249" i="84"/>
  <c r="F249" i="84"/>
  <c r="M249" i="84"/>
  <c r="E249" i="84"/>
  <c r="L249" i="84"/>
  <c r="A126" i="85" s="1"/>
  <c r="I126" i="85" s="1"/>
  <c r="D249" i="84"/>
  <c r="J249" i="84"/>
  <c r="B249" i="84"/>
  <c r="P251" i="84"/>
  <c r="H251" i="84"/>
  <c r="O251" i="84"/>
  <c r="G251" i="84"/>
  <c r="N251" i="84"/>
  <c r="F251" i="84"/>
  <c r="M251" i="84"/>
  <c r="E251" i="84"/>
  <c r="L251" i="84"/>
  <c r="A128" i="85" s="1"/>
  <c r="I128" i="85" s="1"/>
  <c r="D251" i="84"/>
  <c r="J251" i="84"/>
  <c r="B251" i="84"/>
  <c r="P253" i="84"/>
  <c r="H253" i="84"/>
  <c r="O253" i="84"/>
  <c r="G253" i="84"/>
  <c r="N253" i="84"/>
  <c r="F253" i="84"/>
  <c r="M253" i="84"/>
  <c r="E253" i="84"/>
  <c r="L253" i="84"/>
  <c r="D253" i="84"/>
  <c r="J253" i="84"/>
  <c r="B253" i="84"/>
  <c r="P255" i="84"/>
  <c r="H255" i="84"/>
  <c r="O255" i="84"/>
  <c r="G255" i="84"/>
  <c r="N255" i="84"/>
  <c r="F255" i="84"/>
  <c r="M255" i="84"/>
  <c r="E255" i="84"/>
  <c r="L255" i="84"/>
  <c r="D255" i="84"/>
  <c r="J255" i="84"/>
  <c r="B255" i="84"/>
  <c r="P257" i="84"/>
  <c r="H257" i="84"/>
  <c r="O257" i="84"/>
  <c r="G257" i="84"/>
  <c r="N257" i="84"/>
  <c r="F257" i="84"/>
  <c r="M257" i="84"/>
  <c r="E257" i="84"/>
  <c r="L257" i="84"/>
  <c r="D257" i="84"/>
  <c r="J257" i="84"/>
  <c r="B257" i="84"/>
  <c r="P259" i="84"/>
  <c r="H259" i="84"/>
  <c r="O259" i="84"/>
  <c r="G259" i="84"/>
  <c r="N259" i="84"/>
  <c r="F259" i="84"/>
  <c r="M259" i="84"/>
  <c r="E259" i="84"/>
  <c r="L259" i="84"/>
  <c r="D259" i="84"/>
  <c r="J259" i="84"/>
  <c r="B259" i="84"/>
  <c r="P261" i="84"/>
  <c r="H261" i="84"/>
  <c r="O261" i="84"/>
  <c r="G261" i="84"/>
  <c r="N261" i="84"/>
  <c r="F261" i="84"/>
  <c r="M261" i="84"/>
  <c r="E261" i="84"/>
  <c r="L261" i="84"/>
  <c r="D261" i="84"/>
  <c r="J261" i="84"/>
  <c r="B261" i="84"/>
  <c r="C243" i="84"/>
  <c r="C245" i="84"/>
  <c r="C247" i="84"/>
  <c r="C249" i="84"/>
  <c r="C251" i="84"/>
  <c r="C253" i="84"/>
  <c r="C255" i="84"/>
  <c r="C257" i="84"/>
  <c r="C259" i="84"/>
  <c r="C261" i="84"/>
  <c r="I243" i="84"/>
  <c r="I245" i="84"/>
  <c r="I247" i="84"/>
  <c r="I249" i="84"/>
  <c r="I251" i="84"/>
  <c r="I253" i="84"/>
  <c r="I255" i="84"/>
  <c r="I257" i="84"/>
  <c r="I259" i="84"/>
  <c r="I261" i="84"/>
  <c r="K243" i="84"/>
  <c r="K245" i="84"/>
  <c r="K247" i="84"/>
  <c r="K249" i="84"/>
  <c r="K251" i="84"/>
  <c r="K253" i="84"/>
  <c r="K255" i="84"/>
  <c r="K257" i="84"/>
  <c r="K259" i="84"/>
  <c r="K261" i="84"/>
  <c r="A124" i="85"/>
  <c r="F124" i="85" s="1"/>
  <c r="A125" i="85"/>
  <c r="J125" i="85" s="1"/>
  <c r="A118" i="85"/>
  <c r="H118" i="85" s="1"/>
  <c r="A120" i="85"/>
  <c r="A122" i="85"/>
  <c r="A119" i="85"/>
  <c r="A121" i="85"/>
  <c r="A123" i="85"/>
  <c r="A144" i="85"/>
  <c r="J128" i="84"/>
  <c r="I128" i="84"/>
  <c r="H128" i="84"/>
  <c r="G128" i="84"/>
  <c r="F128" i="84"/>
  <c r="E128" i="84"/>
  <c r="D128" i="84"/>
  <c r="C128" i="84"/>
  <c r="B128" i="84"/>
  <c r="A128" i="84"/>
  <c r="J127" i="84"/>
  <c r="I127" i="84"/>
  <c r="H127" i="84"/>
  <c r="H62" i="85" s="1"/>
  <c r="G127" i="84"/>
  <c r="F127" i="84"/>
  <c r="E127" i="84"/>
  <c r="D127" i="84"/>
  <c r="C127" i="84"/>
  <c r="B127" i="84"/>
  <c r="A127" i="84"/>
  <c r="J126" i="84"/>
  <c r="J61" i="85" s="1"/>
  <c r="I126" i="84"/>
  <c r="H126" i="84"/>
  <c r="G126" i="84"/>
  <c r="F126" i="84"/>
  <c r="E126" i="84"/>
  <c r="D126" i="84"/>
  <c r="C126" i="84"/>
  <c r="B126" i="84"/>
  <c r="B61" i="85" s="1"/>
  <c r="A126" i="84"/>
  <c r="J125" i="84"/>
  <c r="I125" i="84"/>
  <c r="H125" i="84"/>
  <c r="G125" i="84"/>
  <c r="F125" i="84"/>
  <c r="E125" i="84"/>
  <c r="D125" i="84"/>
  <c r="D60" i="85" s="1"/>
  <c r="C125" i="84"/>
  <c r="B125" i="84"/>
  <c r="A125" i="84"/>
  <c r="J124" i="84"/>
  <c r="I124" i="84"/>
  <c r="H124" i="84"/>
  <c r="G124" i="84"/>
  <c r="F124" i="84"/>
  <c r="F59" i="85" s="1"/>
  <c r="E124" i="84"/>
  <c r="D124" i="84"/>
  <c r="C124" i="84"/>
  <c r="B124" i="84"/>
  <c r="A124" i="84"/>
  <c r="J123" i="84"/>
  <c r="I123" i="84"/>
  <c r="H123" i="84"/>
  <c r="H58" i="85" s="1"/>
  <c r="G123" i="84"/>
  <c r="F123" i="84"/>
  <c r="E123" i="84"/>
  <c r="D123" i="84"/>
  <c r="C123" i="84"/>
  <c r="B123" i="84"/>
  <c r="A123" i="84"/>
  <c r="J122" i="84"/>
  <c r="J57" i="85" s="1"/>
  <c r="I122" i="84"/>
  <c r="H122" i="84"/>
  <c r="G122" i="84"/>
  <c r="F122" i="84"/>
  <c r="E122" i="84"/>
  <c r="D122" i="84"/>
  <c r="C122" i="84"/>
  <c r="B122" i="84"/>
  <c r="B57" i="85" s="1"/>
  <c r="A122" i="84"/>
  <c r="J121" i="84"/>
  <c r="I121" i="84"/>
  <c r="H121" i="84"/>
  <c r="G121" i="84"/>
  <c r="F121" i="84"/>
  <c r="E121" i="84"/>
  <c r="D121" i="84"/>
  <c r="D56" i="85" s="1"/>
  <c r="C121" i="84"/>
  <c r="B121" i="84"/>
  <c r="A121" i="84"/>
  <c r="J120" i="84"/>
  <c r="I120" i="84"/>
  <c r="H120" i="84"/>
  <c r="G120" i="84"/>
  <c r="F120" i="84"/>
  <c r="F55" i="85" s="1"/>
  <c r="E120" i="84"/>
  <c r="D120" i="84"/>
  <c r="C120" i="84"/>
  <c r="B120" i="84"/>
  <c r="A120" i="84"/>
  <c r="J119" i="84"/>
  <c r="I119" i="84"/>
  <c r="H119" i="84"/>
  <c r="H54" i="85" s="1"/>
  <c r="G119" i="84"/>
  <c r="F119" i="84"/>
  <c r="E119" i="84"/>
  <c r="D119" i="84"/>
  <c r="C119" i="84"/>
  <c r="B119" i="84"/>
  <c r="A119" i="84"/>
  <c r="K11" i="84"/>
  <c r="F11" i="85" s="1"/>
  <c r="L125" i="85" l="1"/>
  <c r="O11" i="84"/>
  <c r="H11" i="85" s="1"/>
  <c r="G118" i="85"/>
  <c r="A325" i="84"/>
  <c r="C325" i="84" s="1"/>
  <c r="E118" i="85"/>
  <c r="G124" i="85"/>
  <c r="F125" i="85"/>
  <c r="I125" i="85"/>
  <c r="B125" i="85"/>
  <c r="B118" i="85"/>
  <c r="I118" i="85"/>
  <c r="C125" i="85"/>
  <c r="L118" i="85"/>
  <c r="G125" i="85"/>
  <c r="D118" i="85"/>
  <c r="C118" i="85"/>
  <c r="B124" i="85"/>
  <c r="K124" i="85"/>
  <c r="D124" i="85"/>
  <c r="K125" i="85"/>
  <c r="A326" i="84"/>
  <c r="A136" i="85" s="1"/>
  <c r="E125" i="85"/>
  <c r="D125" i="85"/>
  <c r="H125" i="85"/>
  <c r="F118" i="85"/>
  <c r="K118" i="85"/>
  <c r="J118" i="85"/>
  <c r="J124" i="85"/>
  <c r="H124" i="85"/>
  <c r="L124" i="85"/>
  <c r="E124" i="85"/>
  <c r="C124" i="85"/>
  <c r="I124" i="85"/>
  <c r="L123" i="85"/>
  <c r="D123" i="85"/>
  <c r="K123" i="85"/>
  <c r="C123" i="85"/>
  <c r="J123" i="85"/>
  <c r="B123" i="85"/>
  <c r="I123" i="85"/>
  <c r="G123" i="85"/>
  <c r="H123" i="85"/>
  <c r="F123" i="85"/>
  <c r="E123" i="85"/>
  <c r="L121" i="85"/>
  <c r="D121" i="85"/>
  <c r="K121" i="85"/>
  <c r="C121" i="85"/>
  <c r="G121" i="85"/>
  <c r="J121" i="85"/>
  <c r="B121" i="85"/>
  <c r="I121" i="85"/>
  <c r="H121" i="85"/>
  <c r="F121" i="85"/>
  <c r="E121" i="85"/>
  <c r="L119" i="85"/>
  <c r="D119" i="85"/>
  <c r="K119" i="85"/>
  <c r="C119" i="85"/>
  <c r="G119" i="85"/>
  <c r="J119" i="85"/>
  <c r="B119" i="85"/>
  <c r="I119" i="85"/>
  <c r="H119" i="85"/>
  <c r="F119" i="85"/>
  <c r="E119" i="85"/>
  <c r="H122" i="85"/>
  <c r="G122" i="85"/>
  <c r="K122" i="85"/>
  <c r="F122" i="85"/>
  <c r="E122" i="85"/>
  <c r="L122" i="85"/>
  <c r="D122" i="85"/>
  <c r="C122" i="85"/>
  <c r="J122" i="85"/>
  <c r="B122" i="85"/>
  <c r="I122" i="85"/>
  <c r="H120" i="85"/>
  <c r="C120" i="85"/>
  <c r="G120" i="85"/>
  <c r="F120" i="85"/>
  <c r="E120" i="85"/>
  <c r="K120" i="85"/>
  <c r="L120" i="85"/>
  <c r="D120" i="85"/>
  <c r="J120" i="85"/>
  <c r="B120" i="85"/>
  <c r="I120" i="85"/>
  <c r="A137" i="85"/>
  <c r="A54" i="85"/>
  <c r="I54" i="85"/>
  <c r="G55" i="85"/>
  <c r="E56" i="85"/>
  <c r="C57" i="85"/>
  <c r="A58" i="85"/>
  <c r="I58" i="85"/>
  <c r="G59" i="85"/>
  <c r="E60" i="85"/>
  <c r="C61" i="85"/>
  <c r="A62" i="85"/>
  <c r="I62" i="85"/>
  <c r="B329" i="84"/>
  <c r="B139" i="85" s="1"/>
  <c r="J56" i="85"/>
  <c r="J60" i="85"/>
  <c r="A57" i="85"/>
  <c r="B54" i="85"/>
  <c r="H55" i="85"/>
  <c r="H59" i="85"/>
  <c r="B62" i="85"/>
  <c r="C54" i="85"/>
  <c r="A55" i="85"/>
  <c r="I55" i="85"/>
  <c r="G56" i="85"/>
  <c r="E57" i="85"/>
  <c r="C58" i="85"/>
  <c r="A59" i="85"/>
  <c r="I59" i="85"/>
  <c r="G60" i="85"/>
  <c r="E61" i="85"/>
  <c r="C62" i="85"/>
  <c r="D330" i="84"/>
  <c r="D127" i="85"/>
  <c r="E127" i="85"/>
  <c r="F127" i="85"/>
  <c r="J128" i="85"/>
  <c r="B128" i="85"/>
  <c r="L128" i="85"/>
  <c r="I61" i="85"/>
  <c r="B126" i="85"/>
  <c r="H127" i="85"/>
  <c r="D129" i="85"/>
  <c r="F54" i="85"/>
  <c r="G58" i="85"/>
  <c r="F62" i="85"/>
  <c r="D126" i="85"/>
  <c r="L127" i="85"/>
  <c r="E129" i="85"/>
  <c r="E55" i="85"/>
  <c r="D59" i="85"/>
  <c r="J126" i="85"/>
  <c r="F129" i="85"/>
  <c r="E59" i="85"/>
  <c r="L126" i="85"/>
  <c r="H129" i="85"/>
  <c r="B56" i="85"/>
  <c r="D128" i="85"/>
  <c r="L129" i="85"/>
  <c r="F60" i="85"/>
  <c r="A138" i="85"/>
  <c r="B58" i="85"/>
  <c r="A140" i="85"/>
  <c r="G54" i="85"/>
  <c r="F58" i="85"/>
  <c r="A61" i="85"/>
  <c r="A139" i="85"/>
  <c r="D54" i="85"/>
  <c r="B55" i="85"/>
  <c r="J55" i="85"/>
  <c r="H56" i="85"/>
  <c r="F57" i="85"/>
  <c r="D58" i="85"/>
  <c r="B59" i="85"/>
  <c r="J59" i="85"/>
  <c r="H60" i="85"/>
  <c r="F61" i="85"/>
  <c r="D62" i="85"/>
  <c r="A141" i="85"/>
  <c r="D57" i="85"/>
  <c r="E54" i="85"/>
  <c r="C55" i="85"/>
  <c r="A56" i="85"/>
  <c r="I56" i="85"/>
  <c r="G57" i="85"/>
  <c r="E58" i="85"/>
  <c r="C59" i="85"/>
  <c r="A60" i="85"/>
  <c r="I60" i="85"/>
  <c r="G61" i="85"/>
  <c r="E62" i="85"/>
  <c r="A134" i="85"/>
  <c r="J54" i="85"/>
  <c r="C56" i="85"/>
  <c r="B60" i="85"/>
  <c r="D61" i="85"/>
  <c r="G62" i="85"/>
  <c r="H57" i="85"/>
  <c r="J58" i="85"/>
  <c r="C60" i="85"/>
  <c r="D55" i="85"/>
  <c r="F56" i="85"/>
  <c r="I57" i="85"/>
  <c r="H61" i="85"/>
  <c r="J62" i="85"/>
  <c r="C126" i="85"/>
  <c r="K126" i="85"/>
  <c r="G127" i="85"/>
  <c r="C128" i="85"/>
  <c r="K128" i="85"/>
  <c r="G129" i="85"/>
  <c r="E126" i="85"/>
  <c r="I127" i="85"/>
  <c r="E128" i="85"/>
  <c r="I129" i="85"/>
  <c r="F126" i="85"/>
  <c r="B127" i="85"/>
  <c r="J127" i="85"/>
  <c r="F128" i="85"/>
  <c r="B129" i="85"/>
  <c r="J129" i="85"/>
  <c r="G126" i="85"/>
  <c r="C127" i="85"/>
  <c r="G128" i="85"/>
  <c r="C129" i="85"/>
  <c r="H126" i="85"/>
  <c r="H128" i="85"/>
  <c r="E330" i="84"/>
  <c r="C329" i="84"/>
  <c r="D329" i="84"/>
  <c r="E329" i="84"/>
  <c r="F330" i="84"/>
  <c r="F324" i="84"/>
  <c r="E324" i="84"/>
  <c r="D324" i="84"/>
  <c r="B324" i="84"/>
  <c r="C324" i="84"/>
  <c r="F327" i="84"/>
  <c r="E327" i="84"/>
  <c r="D327" i="84"/>
  <c r="C327" i="84"/>
  <c r="B327" i="84"/>
  <c r="F328" i="84"/>
  <c r="E328" i="84"/>
  <c r="D328" i="84"/>
  <c r="B328" i="84"/>
  <c r="C328" i="84"/>
  <c r="F331" i="84"/>
  <c r="E331" i="84"/>
  <c r="D331" i="84"/>
  <c r="C331" i="84"/>
  <c r="B331" i="84"/>
  <c r="F329" i="84"/>
  <c r="B330" i="84"/>
  <c r="C330" i="84"/>
  <c r="F325" i="84" l="1"/>
  <c r="F135" i="85" s="1"/>
  <c r="E325" i="84"/>
  <c r="E135" i="85" s="1"/>
  <c r="D325" i="84"/>
  <c r="D135" i="85" s="1"/>
  <c r="B325" i="84"/>
  <c r="B135" i="85" s="1"/>
  <c r="A135" i="85"/>
  <c r="F326" i="84"/>
  <c r="F136" i="85" s="1"/>
  <c r="B326" i="84"/>
  <c r="B136" i="85" s="1"/>
  <c r="E326" i="84"/>
  <c r="E136" i="85" s="1"/>
  <c r="D326" i="84"/>
  <c r="D136" i="85" s="1"/>
  <c r="C326" i="84"/>
  <c r="C136" i="85" s="1"/>
  <c r="D140" i="85"/>
  <c r="B140" i="85"/>
  <c r="B138" i="85"/>
  <c r="F137" i="85"/>
  <c r="E140" i="85"/>
  <c r="D138" i="85"/>
  <c r="E139" i="85"/>
  <c r="C141" i="85"/>
  <c r="F138" i="85"/>
  <c r="B134" i="85"/>
  <c r="F139" i="85"/>
  <c r="D139" i="85"/>
  <c r="D141" i="85"/>
  <c r="B137" i="85"/>
  <c r="C134" i="85"/>
  <c r="C139" i="85"/>
  <c r="B141" i="85"/>
  <c r="E138" i="85"/>
  <c r="E141" i="85"/>
  <c r="C137" i="85"/>
  <c r="D134" i="85"/>
  <c r="C140" i="85"/>
  <c r="F141" i="85"/>
  <c r="D137" i="85"/>
  <c r="E134" i="85"/>
  <c r="F140" i="85"/>
  <c r="C138" i="85"/>
  <c r="E137" i="85"/>
  <c r="F134" i="85"/>
  <c r="C135" i="85"/>
  <c r="B56" i="78" l="1"/>
  <c r="B55" i="78"/>
  <c r="B54" i="78"/>
  <c r="G44" i="78"/>
  <c r="G43" i="78"/>
  <c r="G42" i="78"/>
  <c r="G41" i="78"/>
  <c r="G40" i="78"/>
  <c r="G39" i="78"/>
  <c r="G38" i="78"/>
  <c r="G37" i="78"/>
  <c r="E161" i="66"/>
  <c r="E160" i="66"/>
  <c r="E159" i="66"/>
  <c r="E158" i="66"/>
  <c r="E157" i="66"/>
  <c r="E156" i="66"/>
  <c r="F151" i="66"/>
  <c r="F150" i="66"/>
  <c r="F149" i="66"/>
  <c r="F148" i="66"/>
  <c r="C144" i="66"/>
  <c r="E134" i="66"/>
  <c r="E133" i="66"/>
  <c r="E132" i="66"/>
  <c r="E131" i="66"/>
  <c r="E130" i="66"/>
  <c r="E129" i="66"/>
  <c r="E128" i="66"/>
  <c r="E127" i="66"/>
  <c r="D123" i="66"/>
  <c r="C123" i="66"/>
  <c r="F122" i="66"/>
  <c r="F121" i="66"/>
  <c r="F120" i="66"/>
  <c r="F119" i="66"/>
  <c r="F118" i="66"/>
  <c r="E163" i="65"/>
  <c r="E162" i="65"/>
  <c r="E161" i="65"/>
  <c r="E160" i="65"/>
  <c r="E159" i="65"/>
  <c r="E158" i="65"/>
  <c r="F153" i="65"/>
  <c r="F152" i="65"/>
  <c r="F151" i="65"/>
  <c r="F150" i="65"/>
  <c r="C146" i="65"/>
  <c r="E136" i="65"/>
  <c r="E135" i="65"/>
  <c r="E134" i="65"/>
  <c r="E133" i="65"/>
  <c r="E132" i="65"/>
  <c r="E131" i="65"/>
  <c r="E130" i="65"/>
  <c r="E129" i="65"/>
  <c r="D125" i="65"/>
  <c r="C125" i="65"/>
  <c r="F124" i="65"/>
  <c r="F123" i="65"/>
  <c r="F122" i="65"/>
  <c r="F121" i="65"/>
  <c r="F120" i="65"/>
  <c r="E137" i="64"/>
  <c r="E136" i="64"/>
  <c r="E135" i="64"/>
  <c r="E134" i="64"/>
  <c r="E133" i="64"/>
  <c r="E132" i="64"/>
  <c r="F127" i="64"/>
  <c r="F126" i="64"/>
  <c r="F125" i="64"/>
  <c r="F124" i="64"/>
  <c r="C120" i="64"/>
  <c r="E110" i="64"/>
  <c r="E109" i="64"/>
  <c r="E108" i="64"/>
  <c r="E107" i="64"/>
  <c r="E106" i="64"/>
  <c r="E105" i="64"/>
  <c r="E104" i="64"/>
  <c r="E103" i="64"/>
  <c r="D99" i="64"/>
  <c r="C99" i="64"/>
  <c r="F98" i="64"/>
  <c r="F97" i="64"/>
  <c r="F96" i="64"/>
  <c r="F95" i="64"/>
  <c r="F94" i="64"/>
  <c r="E136" i="63"/>
  <c r="E135" i="63"/>
  <c r="E134" i="63"/>
  <c r="E133" i="63"/>
  <c r="E132" i="63"/>
  <c r="E131" i="63"/>
  <c r="F126" i="63"/>
  <c r="F125" i="63"/>
  <c r="F124" i="63"/>
  <c r="F123" i="63"/>
  <c r="C119" i="63"/>
  <c r="E109" i="63"/>
  <c r="E108" i="63"/>
  <c r="E107" i="63"/>
  <c r="E106" i="63"/>
  <c r="E105" i="63"/>
  <c r="E104" i="63"/>
  <c r="E103" i="63"/>
  <c r="E102" i="63"/>
  <c r="D98" i="63"/>
  <c r="C98" i="63"/>
  <c r="F97" i="63"/>
  <c r="F96" i="63"/>
  <c r="F95" i="63"/>
  <c r="F94" i="63"/>
  <c r="F93" i="63"/>
  <c r="E136" i="62"/>
  <c r="E135" i="62"/>
  <c r="E134" i="62"/>
  <c r="E133" i="62"/>
  <c r="E132" i="62"/>
  <c r="E131" i="62"/>
  <c r="F126" i="62"/>
  <c r="F125" i="62"/>
  <c r="F124" i="62"/>
  <c r="F123" i="62"/>
  <c r="C119" i="62"/>
  <c r="E109" i="62"/>
  <c r="E108" i="62"/>
  <c r="E107" i="62"/>
  <c r="E106" i="62"/>
  <c r="E105" i="62"/>
  <c r="E104" i="62"/>
  <c r="E103" i="62"/>
  <c r="E102" i="62"/>
  <c r="D98" i="62"/>
  <c r="C98" i="62"/>
  <c r="F97" i="62"/>
  <c r="F96" i="62"/>
  <c r="F95" i="62"/>
  <c r="F94" i="62"/>
  <c r="F93" i="62"/>
  <c r="E177" i="61"/>
  <c r="E176" i="61"/>
  <c r="E175" i="61"/>
  <c r="E174" i="61"/>
  <c r="E173" i="61"/>
  <c r="E172" i="61"/>
  <c r="F167" i="61"/>
  <c r="F166" i="61"/>
  <c r="F165" i="61"/>
  <c r="F164" i="61"/>
  <c r="C160" i="61"/>
  <c r="E150" i="61"/>
  <c r="E149" i="61"/>
  <c r="E148" i="61"/>
  <c r="E147" i="61"/>
  <c r="E146" i="61"/>
  <c r="E145" i="61"/>
  <c r="E144" i="61"/>
  <c r="E143" i="61"/>
  <c r="D139" i="61"/>
  <c r="C139" i="61"/>
  <c r="F138" i="61"/>
  <c r="F137" i="61"/>
  <c r="F136" i="61"/>
  <c r="F135" i="61"/>
  <c r="F134" i="61"/>
  <c r="E129" i="60"/>
  <c r="E128" i="60"/>
  <c r="E127" i="60"/>
  <c r="E126" i="60"/>
  <c r="E125" i="60"/>
  <c r="E124" i="60"/>
  <c r="F119" i="60"/>
  <c r="F118" i="60"/>
  <c r="F117" i="60"/>
  <c r="F116" i="60"/>
  <c r="C112" i="60"/>
  <c r="E102" i="60"/>
  <c r="E101" i="60"/>
  <c r="E100" i="60"/>
  <c r="E99" i="60"/>
  <c r="E98" i="60"/>
  <c r="E97" i="60"/>
  <c r="E96" i="60"/>
  <c r="E95" i="60"/>
  <c r="D91" i="60"/>
  <c r="C91" i="60"/>
  <c r="F90" i="60"/>
  <c r="F89" i="60"/>
  <c r="F88" i="60"/>
  <c r="F87" i="60"/>
  <c r="F86" i="60"/>
  <c r="E125" i="59"/>
  <c r="E124" i="59"/>
  <c r="E123" i="59"/>
  <c r="E122" i="59"/>
  <c r="E121" i="59"/>
  <c r="E120" i="59"/>
  <c r="F115" i="59"/>
  <c r="F114" i="59"/>
  <c r="F113" i="59"/>
  <c r="F112" i="59"/>
  <c r="C108" i="59"/>
  <c r="E98" i="59"/>
  <c r="E97" i="59"/>
  <c r="E96" i="59"/>
  <c r="E95" i="59"/>
  <c r="E94" i="59"/>
  <c r="E93" i="59"/>
  <c r="E92" i="59"/>
  <c r="E91" i="59"/>
  <c r="D87" i="59"/>
  <c r="C87" i="59"/>
  <c r="F86" i="59"/>
  <c r="F85" i="59"/>
  <c r="F84" i="59"/>
  <c r="F83" i="59"/>
  <c r="F82" i="59"/>
  <c r="E136" i="57"/>
  <c r="E135" i="57"/>
  <c r="E134" i="57"/>
  <c r="E133" i="57"/>
  <c r="E132" i="57"/>
  <c r="E131" i="57"/>
  <c r="F126" i="57"/>
  <c r="F125" i="57"/>
  <c r="F124" i="57"/>
  <c r="F123" i="57"/>
  <c r="C119" i="57"/>
  <c r="E109" i="57"/>
  <c r="E108" i="57"/>
  <c r="E107" i="57"/>
  <c r="E106" i="57"/>
  <c r="E105" i="57"/>
  <c r="E104" i="57"/>
  <c r="E103" i="57"/>
  <c r="E102" i="57"/>
  <c r="D98" i="57"/>
  <c r="C98" i="57"/>
  <c r="F97" i="57"/>
  <c r="F96" i="57"/>
  <c r="F95" i="57"/>
  <c r="F94" i="57"/>
  <c r="F93" i="57"/>
  <c r="E137" i="56"/>
  <c r="E136" i="56"/>
  <c r="E135" i="56"/>
  <c r="E134" i="56"/>
  <c r="E133" i="56"/>
  <c r="E132" i="56"/>
  <c r="F127" i="56"/>
  <c r="F126" i="56"/>
  <c r="F125" i="56"/>
  <c r="F124" i="56"/>
  <c r="C120" i="56"/>
  <c r="E110" i="56"/>
  <c r="E109" i="56"/>
  <c r="E108" i="56"/>
  <c r="E107" i="56"/>
  <c r="E106" i="56"/>
  <c r="E105" i="56"/>
  <c r="E104" i="56"/>
  <c r="E103" i="56"/>
  <c r="D99" i="56"/>
  <c r="C99" i="56"/>
  <c r="F98" i="56"/>
  <c r="F97" i="56"/>
  <c r="F96" i="56"/>
  <c r="F95" i="56"/>
  <c r="F94" i="56"/>
  <c r="E143" i="55"/>
  <c r="E142" i="55"/>
  <c r="E141" i="55"/>
  <c r="E140" i="55"/>
  <c r="E139" i="55"/>
  <c r="E138" i="55"/>
  <c r="F133" i="55"/>
  <c r="F132" i="55"/>
  <c r="F131" i="55"/>
  <c r="F130" i="55"/>
  <c r="C126" i="55"/>
  <c r="E116" i="55"/>
  <c r="E115" i="55"/>
  <c r="E114" i="55"/>
  <c r="E113" i="55"/>
  <c r="E112" i="55"/>
  <c r="E111" i="55"/>
  <c r="E110" i="55"/>
  <c r="E109" i="55"/>
  <c r="D105" i="55"/>
  <c r="C105" i="55"/>
  <c r="F104" i="55"/>
  <c r="F103" i="55"/>
  <c r="F102" i="55"/>
  <c r="F101" i="55"/>
  <c r="F100" i="55"/>
  <c r="E135" i="54"/>
  <c r="E134" i="54"/>
  <c r="E133" i="54"/>
  <c r="E132" i="54"/>
  <c r="E131" i="54"/>
  <c r="E130" i="54"/>
  <c r="F125" i="54"/>
  <c r="F124" i="54"/>
  <c r="F123" i="54"/>
  <c r="F122" i="54"/>
  <c r="C118" i="54"/>
  <c r="E108" i="54"/>
  <c r="E107" i="54"/>
  <c r="E106" i="54"/>
  <c r="E105" i="54"/>
  <c r="E104" i="54"/>
  <c r="E103" i="54"/>
  <c r="E102" i="54"/>
  <c r="E101" i="54"/>
  <c r="D97" i="54"/>
  <c r="C97" i="54"/>
  <c r="F96" i="54"/>
  <c r="F95" i="54"/>
  <c r="F94" i="54"/>
  <c r="F93" i="54"/>
  <c r="F92" i="54"/>
  <c r="E143" i="53"/>
  <c r="E142" i="53"/>
  <c r="E141" i="53"/>
  <c r="E140" i="53"/>
  <c r="E139" i="53"/>
  <c r="E138" i="53"/>
  <c r="F133" i="53"/>
  <c r="F132" i="53"/>
  <c r="F131" i="53"/>
  <c r="F130" i="53"/>
  <c r="C126" i="53"/>
  <c r="E116" i="53"/>
  <c r="E115" i="53"/>
  <c r="E114" i="53"/>
  <c r="E113" i="53"/>
  <c r="E112" i="53"/>
  <c r="E111" i="53"/>
  <c r="E110" i="53"/>
  <c r="E109" i="53"/>
  <c r="D105" i="53"/>
  <c r="C105" i="53"/>
  <c r="F104" i="53"/>
  <c r="F103" i="53"/>
  <c r="F102" i="53"/>
  <c r="F101" i="53"/>
  <c r="F100" i="53"/>
  <c r="E144" i="52"/>
  <c r="E143" i="52"/>
  <c r="E142" i="52"/>
  <c r="E141" i="52"/>
  <c r="E140" i="52"/>
  <c r="E139" i="52"/>
  <c r="F134" i="52"/>
  <c r="F133" i="52"/>
  <c r="F132" i="52"/>
  <c r="F131" i="52"/>
  <c r="C127" i="52"/>
  <c r="E117" i="52"/>
  <c r="E116" i="52"/>
  <c r="E115" i="52"/>
  <c r="E114" i="52"/>
  <c r="E113" i="52"/>
  <c r="E112" i="52"/>
  <c r="E111" i="52"/>
  <c r="E110" i="52"/>
  <c r="D106" i="52"/>
  <c r="C106" i="52"/>
  <c r="F105" i="52"/>
  <c r="F104" i="52"/>
  <c r="F103" i="52"/>
  <c r="F102" i="52"/>
  <c r="F101" i="52"/>
  <c r="E136" i="51"/>
  <c r="E135" i="51"/>
  <c r="E134" i="51"/>
  <c r="E133" i="51"/>
  <c r="E132" i="51"/>
  <c r="E131" i="51"/>
  <c r="F126" i="51"/>
  <c r="F125" i="51"/>
  <c r="F124" i="51"/>
  <c r="F123" i="51"/>
  <c r="C119" i="51"/>
  <c r="E109" i="51"/>
  <c r="E108" i="51"/>
  <c r="E107" i="51"/>
  <c r="E106" i="51"/>
  <c r="E105" i="51"/>
  <c r="E104" i="51"/>
  <c r="E103" i="51"/>
  <c r="E102" i="51"/>
  <c r="D98" i="51"/>
  <c r="C98" i="51"/>
  <c r="F97" i="51"/>
  <c r="F96" i="51"/>
  <c r="F95" i="51"/>
  <c r="F94" i="51"/>
  <c r="F93" i="51"/>
  <c r="E144" i="50"/>
  <c r="E143" i="50"/>
  <c r="E142" i="50"/>
  <c r="E141" i="50"/>
  <c r="E140" i="50"/>
  <c r="E139" i="50"/>
  <c r="F134" i="50"/>
  <c r="F133" i="50"/>
  <c r="F132" i="50"/>
  <c r="F131" i="50"/>
  <c r="C127" i="50"/>
  <c r="E117" i="50"/>
  <c r="E116" i="50"/>
  <c r="E115" i="50"/>
  <c r="E114" i="50"/>
  <c r="E113" i="50"/>
  <c r="E112" i="50"/>
  <c r="E111" i="50"/>
  <c r="E110" i="50"/>
  <c r="D106" i="50"/>
  <c r="C106" i="50"/>
  <c r="F105" i="50"/>
  <c r="F104" i="50"/>
  <c r="F103" i="50"/>
  <c r="F102" i="50"/>
  <c r="F101" i="50"/>
  <c r="E144" i="49"/>
  <c r="E143" i="49"/>
  <c r="E142" i="49"/>
  <c r="E141" i="49"/>
  <c r="E140" i="49"/>
  <c r="E139" i="49"/>
  <c r="F134" i="49"/>
  <c r="F133" i="49"/>
  <c r="F132" i="49"/>
  <c r="F131" i="49"/>
  <c r="C127" i="49"/>
  <c r="E117" i="49"/>
  <c r="E116" i="49"/>
  <c r="E115" i="49"/>
  <c r="E114" i="49"/>
  <c r="E113" i="49"/>
  <c r="E112" i="49"/>
  <c r="E111" i="49"/>
  <c r="E110" i="49"/>
  <c r="D106" i="49"/>
  <c r="C106" i="49"/>
  <c r="F105" i="49"/>
  <c r="F104" i="49"/>
  <c r="F103" i="49"/>
  <c r="F102" i="49"/>
  <c r="F101" i="49"/>
  <c r="E136" i="48"/>
  <c r="E135" i="48"/>
  <c r="E134" i="48"/>
  <c r="E133" i="48"/>
  <c r="E132" i="48"/>
  <c r="E131" i="48"/>
  <c r="F126" i="48"/>
  <c r="F125" i="48"/>
  <c r="F124" i="48"/>
  <c r="F123" i="48"/>
  <c r="C119" i="48"/>
  <c r="E109" i="48"/>
  <c r="E108" i="48"/>
  <c r="E107" i="48"/>
  <c r="E106" i="48"/>
  <c r="E105" i="48"/>
  <c r="E104" i="48"/>
  <c r="E103" i="48"/>
  <c r="E102" i="48"/>
  <c r="D98" i="48"/>
  <c r="C98" i="48"/>
  <c r="F97" i="48"/>
  <c r="F96" i="48"/>
  <c r="F95" i="48"/>
  <c r="F94" i="48"/>
  <c r="F93" i="48"/>
  <c r="E129" i="47"/>
  <c r="E128" i="47"/>
  <c r="E127" i="47"/>
  <c r="E126" i="47"/>
  <c r="E125" i="47"/>
  <c r="E124" i="47"/>
  <c r="F119" i="47"/>
  <c r="F118" i="47"/>
  <c r="F117" i="47"/>
  <c r="F116" i="47"/>
  <c r="C112" i="47"/>
  <c r="E102" i="47"/>
  <c r="E101" i="47"/>
  <c r="E100" i="47"/>
  <c r="E99" i="47"/>
  <c r="E98" i="47"/>
  <c r="E97" i="47"/>
  <c r="E96" i="47"/>
  <c r="E95" i="47"/>
  <c r="D91" i="47"/>
  <c r="C91" i="47"/>
  <c r="F90" i="47"/>
  <c r="F89" i="47"/>
  <c r="F88" i="47"/>
  <c r="F87" i="47"/>
  <c r="F86" i="47"/>
  <c r="E143" i="46"/>
  <c r="E142" i="46"/>
  <c r="E141" i="46"/>
  <c r="E140" i="46"/>
  <c r="E139" i="46"/>
  <c r="E138" i="46"/>
  <c r="F133" i="46"/>
  <c r="F132" i="46"/>
  <c r="F131" i="46"/>
  <c r="F130" i="46"/>
  <c r="C126" i="46"/>
  <c r="E116" i="46"/>
  <c r="E115" i="46"/>
  <c r="E114" i="46"/>
  <c r="E113" i="46"/>
  <c r="E112" i="46"/>
  <c r="E111" i="46"/>
  <c r="E110" i="46"/>
  <c r="E109" i="46"/>
  <c r="D105" i="46"/>
  <c r="C105" i="46"/>
  <c r="F104" i="46"/>
  <c r="F103" i="46"/>
  <c r="F102" i="46"/>
  <c r="F101" i="46"/>
  <c r="F100" i="46"/>
  <c r="E143" i="45"/>
  <c r="E142" i="45"/>
  <c r="E141" i="45"/>
  <c r="E140" i="45"/>
  <c r="E139" i="45"/>
  <c r="E138" i="45"/>
  <c r="F133" i="45"/>
  <c r="F132" i="45"/>
  <c r="F131" i="45"/>
  <c r="F130" i="45"/>
  <c r="C126" i="45"/>
  <c r="E116" i="45"/>
  <c r="E115" i="45"/>
  <c r="E114" i="45"/>
  <c r="E113" i="45"/>
  <c r="E112" i="45"/>
  <c r="E111" i="45"/>
  <c r="E110" i="45"/>
  <c r="E109" i="45"/>
  <c r="D105" i="45"/>
  <c r="C105" i="45"/>
  <c r="F104" i="45"/>
  <c r="F103" i="45"/>
  <c r="F102" i="45"/>
  <c r="F101" i="45"/>
  <c r="F100" i="45"/>
  <c r="E143" i="44"/>
  <c r="E142" i="44"/>
  <c r="E141" i="44"/>
  <c r="E140" i="44"/>
  <c r="E139" i="44"/>
  <c r="E138" i="44"/>
  <c r="F133" i="44"/>
  <c r="F132" i="44"/>
  <c r="F131" i="44"/>
  <c r="F130" i="44"/>
  <c r="C126" i="44"/>
  <c r="E116" i="44"/>
  <c r="E115" i="44"/>
  <c r="E114" i="44"/>
  <c r="E113" i="44"/>
  <c r="E112" i="44"/>
  <c r="E111" i="44"/>
  <c r="E110" i="44"/>
  <c r="E109" i="44"/>
  <c r="D105" i="44"/>
  <c r="C105" i="44"/>
  <c r="F104" i="44"/>
  <c r="F103" i="44"/>
  <c r="F102" i="44"/>
  <c r="F101" i="44"/>
  <c r="F100" i="44"/>
  <c r="E134" i="43"/>
  <c r="E133" i="43"/>
  <c r="E132" i="43"/>
  <c r="E131" i="43"/>
  <c r="E130" i="43"/>
  <c r="E129" i="43"/>
  <c r="F124" i="43"/>
  <c r="F123" i="43"/>
  <c r="F122" i="43"/>
  <c r="F121" i="43"/>
  <c r="C117" i="43"/>
  <c r="E107" i="43"/>
  <c r="E106" i="43"/>
  <c r="E105" i="43"/>
  <c r="E104" i="43"/>
  <c r="E103" i="43"/>
  <c r="E102" i="43"/>
  <c r="E101" i="43"/>
  <c r="E100" i="43"/>
  <c r="D96" i="43"/>
  <c r="C96" i="43"/>
  <c r="F95" i="43"/>
  <c r="F94" i="43"/>
  <c r="F93" i="43"/>
  <c r="F92" i="43"/>
  <c r="F91" i="43"/>
  <c r="E143" i="42"/>
  <c r="E142" i="42"/>
  <c r="E141" i="42"/>
  <c r="E140" i="42"/>
  <c r="E139" i="42"/>
  <c r="E138" i="42"/>
  <c r="F133" i="42"/>
  <c r="F132" i="42"/>
  <c r="F131" i="42"/>
  <c r="F130" i="42"/>
  <c r="C126" i="42"/>
  <c r="E116" i="42"/>
  <c r="E115" i="42"/>
  <c r="E114" i="42"/>
  <c r="E113" i="42"/>
  <c r="E112" i="42"/>
  <c r="E111" i="42"/>
  <c r="E110" i="42"/>
  <c r="E109" i="42"/>
  <c r="D105" i="42"/>
  <c r="C105" i="42"/>
  <c r="F104" i="42"/>
  <c r="F103" i="42"/>
  <c r="F102" i="42"/>
  <c r="F101" i="42"/>
  <c r="F100" i="42"/>
  <c r="E129" i="41"/>
  <c r="E128" i="41"/>
  <c r="E127" i="41"/>
  <c r="E126" i="41"/>
  <c r="E125" i="41"/>
  <c r="E124" i="41"/>
  <c r="F119" i="41"/>
  <c r="F118" i="41"/>
  <c r="F117" i="41"/>
  <c r="F116" i="41"/>
  <c r="C112" i="41"/>
  <c r="E102" i="41"/>
  <c r="E101" i="41"/>
  <c r="E100" i="41"/>
  <c r="E99" i="41"/>
  <c r="E98" i="41"/>
  <c r="E97" i="41"/>
  <c r="E96" i="41"/>
  <c r="E95" i="41"/>
  <c r="D91" i="41"/>
  <c r="C91" i="41"/>
  <c r="F90" i="41"/>
  <c r="F89" i="41"/>
  <c r="F88" i="41"/>
  <c r="F87" i="41"/>
  <c r="F86" i="41"/>
  <c r="E143" i="40"/>
  <c r="E142" i="40"/>
  <c r="E141" i="40"/>
  <c r="E140" i="40"/>
  <c r="E139" i="40"/>
  <c r="E138" i="40"/>
  <c r="F133" i="40"/>
  <c r="F132" i="40"/>
  <c r="F131" i="40"/>
  <c r="F130" i="40"/>
  <c r="C126" i="40"/>
  <c r="E116" i="40"/>
  <c r="E115" i="40"/>
  <c r="E114" i="40"/>
  <c r="E113" i="40"/>
  <c r="E112" i="40"/>
  <c r="E111" i="40"/>
  <c r="E110" i="40"/>
  <c r="E109" i="40"/>
  <c r="D105" i="40"/>
  <c r="C105" i="40"/>
  <c r="F104" i="40"/>
  <c r="F103" i="40"/>
  <c r="F102" i="40"/>
  <c r="F101" i="40"/>
  <c r="F100" i="40"/>
  <c r="E152" i="39"/>
  <c r="E151" i="39"/>
  <c r="E150" i="39"/>
  <c r="E149" i="39"/>
  <c r="E148" i="39"/>
  <c r="E147" i="39"/>
  <c r="F142" i="39"/>
  <c r="F141" i="39"/>
  <c r="F140" i="39"/>
  <c r="F139" i="39"/>
  <c r="C135" i="39"/>
  <c r="E125" i="39"/>
  <c r="E124" i="39"/>
  <c r="E123" i="39"/>
  <c r="E122" i="39"/>
  <c r="E121" i="39"/>
  <c r="E120" i="39"/>
  <c r="E119" i="39"/>
  <c r="E118" i="39"/>
  <c r="D114" i="39"/>
  <c r="C114" i="39"/>
  <c r="F113" i="39"/>
  <c r="F112" i="39"/>
  <c r="F111" i="39"/>
  <c r="F110" i="39"/>
  <c r="F109" i="39"/>
  <c r="E153" i="38"/>
  <c r="E152" i="38"/>
  <c r="E151" i="38"/>
  <c r="E150" i="38"/>
  <c r="E149" i="38"/>
  <c r="E148" i="38"/>
  <c r="F143" i="38"/>
  <c r="F142" i="38"/>
  <c r="F141" i="38"/>
  <c r="F140" i="38"/>
  <c r="C136" i="38"/>
  <c r="E126" i="38"/>
  <c r="E125" i="38"/>
  <c r="E124" i="38"/>
  <c r="E123" i="38"/>
  <c r="E122" i="38"/>
  <c r="E121" i="38"/>
  <c r="E120" i="38"/>
  <c r="E119" i="38"/>
  <c r="D115" i="38"/>
  <c r="C115" i="38"/>
  <c r="F114" i="38"/>
  <c r="F113" i="38"/>
  <c r="F112" i="38"/>
  <c r="F111" i="38"/>
  <c r="F110" i="38"/>
  <c r="E15" i="77"/>
  <c r="A46" i="82"/>
  <c r="B35" i="77"/>
  <c r="G48" i="82"/>
  <c r="Z46" i="82" s="1"/>
  <c r="N97" i="82" s="1"/>
  <c r="D36" i="82"/>
  <c r="L34" i="82"/>
  <c r="A43" i="82"/>
  <c r="L36" i="82"/>
  <c r="H36" i="82"/>
  <c r="S13" i="82"/>
  <c r="S12" i="82"/>
  <c r="S11" i="82"/>
  <c r="AB2" i="82"/>
  <c r="T1" i="82"/>
  <c r="C162" i="66" l="1"/>
  <c r="C135" i="66"/>
  <c r="C164" i="65"/>
  <c r="C137" i="65"/>
  <c r="C138" i="64"/>
  <c r="C111" i="64"/>
  <c r="C137" i="62"/>
  <c r="C137" i="63"/>
  <c r="C110" i="63"/>
  <c r="C110" i="62"/>
  <c r="C178" i="61"/>
  <c r="C151" i="61"/>
  <c r="C130" i="60"/>
  <c r="C103" i="60"/>
  <c r="C126" i="59"/>
  <c r="C99" i="59"/>
  <c r="C137" i="57"/>
  <c r="C110" i="57"/>
  <c r="C138" i="56"/>
  <c r="C111" i="56"/>
  <c r="C144" i="55"/>
  <c r="C117" i="55"/>
  <c r="C136" i="54"/>
  <c r="C109" i="54"/>
  <c r="C144" i="53"/>
  <c r="C117" i="53"/>
  <c r="C145" i="52"/>
  <c r="C118" i="52"/>
  <c r="C137" i="51"/>
  <c r="C110" i="51"/>
  <c r="C145" i="50"/>
  <c r="C118" i="50"/>
  <c r="C145" i="49"/>
  <c r="C118" i="49"/>
  <c r="C137" i="48"/>
  <c r="C110" i="48"/>
  <c r="C130" i="47"/>
  <c r="C103" i="47"/>
  <c r="C144" i="46"/>
  <c r="C117" i="46"/>
  <c r="C144" i="45"/>
  <c r="C117" i="45"/>
  <c r="C144" i="44"/>
  <c r="C117" i="44"/>
  <c r="C135" i="43"/>
  <c r="C108" i="43"/>
  <c r="C144" i="42"/>
  <c r="C117" i="42"/>
  <c r="C130" i="41"/>
  <c r="C103" i="41"/>
  <c r="C144" i="40"/>
  <c r="C117" i="40"/>
  <c r="C126" i="39"/>
  <c r="C153" i="39"/>
  <c r="C154" i="38"/>
  <c r="C127" i="38"/>
  <c r="AH43" i="82"/>
  <c r="E121" i="82"/>
  <c r="A50" i="82"/>
  <c r="E97" i="82"/>
  <c r="H121" i="82"/>
  <c r="A97" i="82"/>
  <c r="C97" i="82"/>
  <c r="H97" i="82"/>
  <c r="K97" i="82"/>
  <c r="AA47" i="82"/>
  <c r="AG43" i="82"/>
  <c r="A46" i="7"/>
  <c r="B198" i="66"/>
  <c r="B197" i="66"/>
  <c r="B196" i="66"/>
  <c r="G186" i="66"/>
  <c r="G185" i="66"/>
  <c r="G184" i="66"/>
  <c r="G183" i="66"/>
  <c r="G182" i="66"/>
  <c r="G181" i="66"/>
  <c r="G180" i="66"/>
  <c r="G179" i="66"/>
  <c r="B200" i="65"/>
  <c r="B199" i="65"/>
  <c r="B198" i="65"/>
  <c r="G188" i="65"/>
  <c r="G187" i="65"/>
  <c r="G186" i="65"/>
  <c r="G185" i="65"/>
  <c r="G184" i="65"/>
  <c r="G183" i="65"/>
  <c r="G182" i="65"/>
  <c r="G181" i="65"/>
  <c r="B174" i="64"/>
  <c r="B173" i="64"/>
  <c r="B172" i="64"/>
  <c r="G162" i="64"/>
  <c r="G161" i="64"/>
  <c r="G160" i="64"/>
  <c r="G159" i="64"/>
  <c r="G158" i="64"/>
  <c r="G157" i="64"/>
  <c r="G156" i="64"/>
  <c r="G155" i="64"/>
  <c r="B173" i="63"/>
  <c r="B172" i="63"/>
  <c r="B171" i="63"/>
  <c r="G161" i="63"/>
  <c r="G160" i="63"/>
  <c r="G159" i="63"/>
  <c r="G158" i="63"/>
  <c r="G157" i="63"/>
  <c r="G156" i="63"/>
  <c r="G155" i="63"/>
  <c r="G154" i="63"/>
  <c r="B173" i="62"/>
  <c r="B172" i="62"/>
  <c r="B171" i="62"/>
  <c r="G161" i="62"/>
  <c r="G160" i="62"/>
  <c r="G159" i="62"/>
  <c r="G158" i="62"/>
  <c r="G157" i="62"/>
  <c r="G156" i="62"/>
  <c r="G155" i="62"/>
  <c r="G154" i="62"/>
  <c r="B214" i="61"/>
  <c r="B213" i="61"/>
  <c r="B212" i="61"/>
  <c r="G202" i="61"/>
  <c r="G201" i="61"/>
  <c r="G200" i="61"/>
  <c r="G199" i="61"/>
  <c r="G198" i="61"/>
  <c r="G197" i="61"/>
  <c r="G196" i="61"/>
  <c r="G195" i="61"/>
  <c r="B166" i="60"/>
  <c r="B165" i="60"/>
  <c r="B164" i="60"/>
  <c r="G154" i="60"/>
  <c r="G153" i="60"/>
  <c r="G152" i="60"/>
  <c r="G151" i="60"/>
  <c r="G150" i="60"/>
  <c r="G149" i="60"/>
  <c r="G148" i="60"/>
  <c r="G147" i="60"/>
  <c r="B162" i="59"/>
  <c r="B161" i="59"/>
  <c r="B160" i="59"/>
  <c r="G150" i="59"/>
  <c r="G149" i="59"/>
  <c r="G148" i="59"/>
  <c r="G147" i="59"/>
  <c r="G146" i="59"/>
  <c r="G145" i="59"/>
  <c r="G144" i="59"/>
  <c r="G143" i="59"/>
  <c r="B173" i="57"/>
  <c r="B172" i="57"/>
  <c r="B171" i="57"/>
  <c r="G161" i="57"/>
  <c r="G160" i="57"/>
  <c r="G159" i="57"/>
  <c r="G158" i="57"/>
  <c r="G157" i="57"/>
  <c r="G156" i="57"/>
  <c r="G155" i="57"/>
  <c r="G154" i="57"/>
  <c r="B174" i="56"/>
  <c r="B173" i="56"/>
  <c r="B172" i="56"/>
  <c r="G162" i="56"/>
  <c r="G161" i="56"/>
  <c r="G160" i="56"/>
  <c r="G159" i="56"/>
  <c r="G158" i="56"/>
  <c r="G157" i="56"/>
  <c r="G156" i="56"/>
  <c r="G155" i="56"/>
  <c r="B180" i="55"/>
  <c r="B179" i="55"/>
  <c r="B178" i="55"/>
  <c r="G168" i="55"/>
  <c r="G167" i="55"/>
  <c r="G166" i="55"/>
  <c r="G165" i="55"/>
  <c r="G164" i="55"/>
  <c r="G163" i="55"/>
  <c r="G162" i="55"/>
  <c r="G161" i="55"/>
  <c r="B172" i="54"/>
  <c r="B171" i="54"/>
  <c r="B170" i="54"/>
  <c r="G160" i="54"/>
  <c r="G159" i="54"/>
  <c r="G158" i="54"/>
  <c r="G157" i="54"/>
  <c r="G156" i="54"/>
  <c r="G155" i="54"/>
  <c r="G154" i="54"/>
  <c r="G153" i="54"/>
  <c r="B180" i="53"/>
  <c r="B179" i="53"/>
  <c r="B178" i="53"/>
  <c r="G168" i="53"/>
  <c r="G167" i="53"/>
  <c r="G166" i="53"/>
  <c r="G165" i="53"/>
  <c r="G164" i="53"/>
  <c r="G163" i="53"/>
  <c r="G162" i="53"/>
  <c r="G161" i="53"/>
  <c r="B181" i="52"/>
  <c r="B180" i="52"/>
  <c r="B179" i="52"/>
  <c r="G169" i="52"/>
  <c r="G168" i="52"/>
  <c r="G167" i="52"/>
  <c r="G166" i="52"/>
  <c r="G165" i="52"/>
  <c r="G164" i="52"/>
  <c r="G163" i="52"/>
  <c r="G162" i="52"/>
  <c r="B173" i="51"/>
  <c r="B172" i="51"/>
  <c r="B171" i="51"/>
  <c r="G161" i="51"/>
  <c r="G160" i="51"/>
  <c r="G159" i="51"/>
  <c r="G158" i="51"/>
  <c r="G157" i="51"/>
  <c r="G156" i="51"/>
  <c r="G155" i="51"/>
  <c r="G154" i="51"/>
  <c r="B181" i="50"/>
  <c r="B180" i="50"/>
  <c r="B179" i="50"/>
  <c r="G169" i="50"/>
  <c r="G168" i="50"/>
  <c r="G167" i="50"/>
  <c r="G166" i="50"/>
  <c r="G165" i="50"/>
  <c r="G164" i="50"/>
  <c r="G163" i="50"/>
  <c r="G162" i="50"/>
  <c r="B181" i="49"/>
  <c r="B180" i="49"/>
  <c r="B179" i="49"/>
  <c r="G169" i="49"/>
  <c r="G168" i="49"/>
  <c r="G167" i="49"/>
  <c r="G166" i="49"/>
  <c r="G165" i="49"/>
  <c r="G164" i="49"/>
  <c r="G163" i="49"/>
  <c r="G162" i="49"/>
  <c r="B173" i="48"/>
  <c r="B172" i="48"/>
  <c r="B171" i="48"/>
  <c r="G161" i="48"/>
  <c r="G160" i="48"/>
  <c r="G159" i="48"/>
  <c r="G158" i="48"/>
  <c r="G157" i="48"/>
  <c r="G156" i="48"/>
  <c r="G155" i="48"/>
  <c r="G154" i="48"/>
  <c r="B166" i="47"/>
  <c r="B165" i="47"/>
  <c r="B164" i="47"/>
  <c r="G154" i="47"/>
  <c r="G153" i="47"/>
  <c r="G152" i="47"/>
  <c r="G151" i="47"/>
  <c r="G150" i="47"/>
  <c r="G149" i="47"/>
  <c r="G148" i="47"/>
  <c r="G147" i="47"/>
  <c r="B180" i="46"/>
  <c r="B179" i="46"/>
  <c r="B178" i="46"/>
  <c r="G168" i="46"/>
  <c r="G167" i="46"/>
  <c r="G166" i="46"/>
  <c r="G165" i="46"/>
  <c r="G164" i="46"/>
  <c r="G163" i="46"/>
  <c r="G162" i="46"/>
  <c r="G161" i="46"/>
  <c r="B180" i="45"/>
  <c r="B179" i="45"/>
  <c r="B178" i="45"/>
  <c r="G168" i="45"/>
  <c r="G167" i="45"/>
  <c r="G166" i="45"/>
  <c r="G165" i="45"/>
  <c r="G164" i="45"/>
  <c r="G163" i="45"/>
  <c r="G162" i="45"/>
  <c r="G161" i="45"/>
  <c r="B180" i="44"/>
  <c r="B179" i="44"/>
  <c r="B178" i="44"/>
  <c r="G168" i="44"/>
  <c r="G167" i="44"/>
  <c r="G166" i="44"/>
  <c r="G165" i="44"/>
  <c r="G164" i="44"/>
  <c r="G163" i="44"/>
  <c r="G162" i="44"/>
  <c r="G161" i="44"/>
  <c r="B171" i="43"/>
  <c r="B170" i="43"/>
  <c r="B169" i="43"/>
  <c r="G159" i="43"/>
  <c r="G158" i="43"/>
  <c r="G157" i="43"/>
  <c r="G156" i="43"/>
  <c r="G155" i="43"/>
  <c r="G154" i="43"/>
  <c r="G153" i="43"/>
  <c r="G152" i="43"/>
  <c r="B180" i="42"/>
  <c r="B179" i="42"/>
  <c r="B178" i="42"/>
  <c r="G168" i="42"/>
  <c r="G167" i="42"/>
  <c r="G166" i="42"/>
  <c r="G165" i="42"/>
  <c r="G164" i="42"/>
  <c r="G163" i="42"/>
  <c r="G162" i="42"/>
  <c r="G161" i="42"/>
  <c r="B166" i="41"/>
  <c r="B165" i="41"/>
  <c r="B164" i="41"/>
  <c r="G154" i="41"/>
  <c r="G153" i="41"/>
  <c r="G152" i="41"/>
  <c r="G151" i="41"/>
  <c r="G150" i="41"/>
  <c r="G149" i="41"/>
  <c r="G148" i="41"/>
  <c r="G147" i="41"/>
  <c r="B180" i="40"/>
  <c r="B179" i="40"/>
  <c r="B178" i="40"/>
  <c r="G168" i="40"/>
  <c r="G167" i="40"/>
  <c r="G166" i="40"/>
  <c r="G165" i="40"/>
  <c r="G164" i="40"/>
  <c r="G163" i="40"/>
  <c r="G162" i="40"/>
  <c r="G161" i="40"/>
  <c r="B189" i="39"/>
  <c r="B188" i="39"/>
  <c r="B187" i="39"/>
  <c r="G177" i="39"/>
  <c r="G176" i="39"/>
  <c r="G175" i="39"/>
  <c r="G174" i="39"/>
  <c r="G173" i="39"/>
  <c r="G172" i="39"/>
  <c r="G171" i="39"/>
  <c r="G170" i="39"/>
  <c r="B190" i="38"/>
  <c r="B189" i="38"/>
  <c r="B188" i="38"/>
  <c r="G178" i="38"/>
  <c r="G177" i="38"/>
  <c r="G176" i="38"/>
  <c r="G175" i="38"/>
  <c r="G174" i="38"/>
  <c r="G173" i="38"/>
  <c r="G172" i="38"/>
  <c r="G171" i="38"/>
  <c r="B178" i="37"/>
  <c r="B177" i="37"/>
  <c r="B176" i="37"/>
  <c r="G166" i="37"/>
  <c r="G165" i="37"/>
  <c r="G164" i="37"/>
  <c r="G163" i="37"/>
  <c r="G162" i="37"/>
  <c r="G161" i="37"/>
  <c r="G160" i="37"/>
  <c r="G159" i="37"/>
  <c r="E141" i="37"/>
  <c r="E140" i="37"/>
  <c r="E139" i="37"/>
  <c r="E138" i="37"/>
  <c r="E137" i="37"/>
  <c r="E136" i="37"/>
  <c r="F131" i="37"/>
  <c r="F130" i="37"/>
  <c r="F129" i="37"/>
  <c r="F128" i="37"/>
  <c r="C124" i="37"/>
  <c r="E114" i="37"/>
  <c r="E113" i="37"/>
  <c r="E112" i="37"/>
  <c r="E111" i="37"/>
  <c r="E110" i="37"/>
  <c r="E109" i="37"/>
  <c r="E108" i="37"/>
  <c r="E107" i="37"/>
  <c r="D103" i="37"/>
  <c r="C103" i="37"/>
  <c r="F102" i="37"/>
  <c r="F101" i="37"/>
  <c r="F100" i="37"/>
  <c r="F99" i="37"/>
  <c r="F98" i="37"/>
  <c r="K115" i="82" l="1"/>
  <c r="AD43" i="82"/>
  <c r="A78" i="82" s="1"/>
  <c r="AC43" i="82"/>
  <c r="I71" i="82" s="1"/>
  <c r="AB43" i="82"/>
  <c r="A71" i="82" s="1"/>
  <c r="AF43" i="82"/>
  <c r="AE43" i="82"/>
  <c r="I78" i="82" s="1"/>
  <c r="N117" i="82"/>
  <c r="K118" i="82"/>
  <c r="N116" i="82"/>
  <c r="K98" i="82"/>
  <c r="K109" i="82"/>
  <c r="H101" i="82"/>
  <c r="E108" i="82"/>
  <c r="N107" i="82"/>
  <c r="A110" i="82"/>
  <c r="H116" i="82"/>
  <c r="A99" i="82"/>
  <c r="C121" i="82"/>
  <c r="C107" i="82"/>
  <c r="C112" i="82"/>
  <c r="H118" i="82"/>
  <c r="N105" i="82"/>
  <c r="N110" i="82"/>
  <c r="A120" i="82"/>
  <c r="C109" i="82"/>
  <c r="C118" i="82"/>
  <c r="E120" i="82"/>
  <c r="C100" i="82"/>
  <c r="E109" i="82"/>
  <c r="H98" i="82"/>
  <c r="H107" i="82"/>
  <c r="K108" i="82"/>
  <c r="A119" i="82"/>
  <c r="A108" i="82"/>
  <c r="E99" i="82"/>
  <c r="A98" i="82"/>
  <c r="C106" i="82"/>
  <c r="K120" i="82"/>
  <c r="E119" i="82"/>
  <c r="H120" i="82"/>
  <c r="N109" i="82"/>
  <c r="C99" i="82"/>
  <c r="E112" i="82"/>
  <c r="K101" i="82"/>
  <c r="K103" i="82"/>
  <c r="N114" i="82"/>
  <c r="C104" i="82"/>
  <c r="K119" i="82"/>
  <c r="A112" i="82"/>
  <c r="E101" i="82"/>
  <c r="N111" i="82"/>
  <c r="C101" i="82"/>
  <c r="N120" i="82"/>
  <c r="C110" i="82"/>
  <c r="H99" i="82"/>
  <c r="A105" i="82"/>
  <c r="K112" i="82"/>
  <c r="A102" i="82"/>
  <c r="C119" i="82"/>
  <c r="H108" i="82"/>
  <c r="K121" i="82"/>
  <c r="A111" i="82"/>
  <c r="E100" i="82"/>
  <c r="H113" i="82"/>
  <c r="N102" i="82"/>
  <c r="K110" i="82"/>
  <c r="A100" i="82"/>
  <c r="H110" i="82"/>
  <c r="N99" i="82"/>
  <c r="H119" i="82"/>
  <c r="N108" i="82"/>
  <c r="C98" i="82"/>
  <c r="E98" i="82"/>
  <c r="E111" i="82"/>
  <c r="K100" i="82"/>
  <c r="C115" i="82"/>
  <c r="H104" i="82"/>
  <c r="K117" i="82"/>
  <c r="A107" i="82"/>
  <c r="C120" i="82"/>
  <c r="H109" i="82"/>
  <c r="N98" i="82"/>
  <c r="E117" i="82"/>
  <c r="K106" i="82"/>
  <c r="C117" i="82"/>
  <c r="H106" i="82"/>
  <c r="A117" i="82"/>
  <c r="H115" i="82"/>
  <c r="N104" i="82"/>
  <c r="A118" i="82"/>
  <c r="E107" i="82"/>
  <c r="E114" i="82"/>
  <c r="N113" i="82"/>
  <c r="C103" i="82"/>
  <c r="E116" i="82"/>
  <c r="K105" i="82"/>
  <c r="N118" i="82"/>
  <c r="C108" i="82"/>
  <c r="A116" i="82"/>
  <c r="E105" i="82"/>
  <c r="N115" i="82"/>
  <c r="C105" i="82"/>
  <c r="E110" i="82"/>
  <c r="C114" i="82"/>
  <c r="H103" i="82"/>
  <c r="K116" i="82"/>
  <c r="A106" i="82"/>
  <c r="E106" i="82"/>
  <c r="H112" i="82"/>
  <c r="N101" i="82"/>
  <c r="K107" i="82"/>
  <c r="A115" i="82"/>
  <c r="E104" i="82"/>
  <c r="E118" i="82"/>
  <c r="H117" i="82"/>
  <c r="N106" i="82"/>
  <c r="K114" i="82"/>
  <c r="A104" i="82"/>
  <c r="H114" i="82"/>
  <c r="N103" i="82"/>
  <c r="A101" i="82"/>
  <c r="N112" i="82"/>
  <c r="C102" i="82"/>
  <c r="A121" i="82"/>
  <c r="E115" i="82"/>
  <c r="K104" i="82"/>
  <c r="C111" i="82"/>
  <c r="H100" i="82"/>
  <c r="E102" i="82"/>
  <c r="K113" i="82"/>
  <c r="A103" i="82"/>
  <c r="A109" i="82"/>
  <c r="C116" i="82"/>
  <c r="H105" i="82"/>
  <c r="E113" i="82"/>
  <c r="K102" i="82"/>
  <c r="C113" i="82"/>
  <c r="H102" i="82"/>
  <c r="H111" i="82"/>
  <c r="N100" i="82"/>
  <c r="A113" i="82"/>
  <c r="A114" i="82"/>
  <c r="E103" i="82"/>
  <c r="K111" i="82"/>
  <c r="N121" i="82"/>
  <c r="K99" i="82"/>
  <c r="N119" i="82"/>
  <c r="C142" i="37"/>
  <c r="C115" i="37"/>
  <c r="I85" i="82" l="1"/>
  <c r="G1440" i="80"/>
  <c r="F1440" i="80"/>
  <c r="E1440" i="80"/>
  <c r="D1440" i="80"/>
  <c r="C1440" i="80"/>
  <c r="B1440" i="80"/>
  <c r="A1440" i="80"/>
  <c r="G1439" i="80"/>
  <c r="F1439" i="80"/>
  <c r="E1439" i="80"/>
  <c r="D1439" i="80"/>
  <c r="C1439" i="80"/>
  <c r="B1439" i="80"/>
  <c r="A1439" i="80"/>
  <c r="G1438" i="80"/>
  <c r="F1438" i="80"/>
  <c r="E1438" i="80"/>
  <c r="D1438" i="80"/>
  <c r="C1438" i="80"/>
  <c r="B1438" i="80"/>
  <c r="A1438" i="80"/>
  <c r="G1437" i="80"/>
  <c r="F1437" i="80"/>
  <c r="E1437" i="80"/>
  <c r="D1437" i="80"/>
  <c r="C1437" i="80"/>
  <c r="B1437" i="80"/>
  <c r="A1437" i="80"/>
  <c r="G1436" i="80"/>
  <c r="F1436" i="80"/>
  <c r="E1436" i="80"/>
  <c r="D1436" i="80"/>
  <c r="C1436" i="80"/>
  <c r="B1436" i="80"/>
  <c r="A1436" i="80"/>
  <c r="G1435" i="80"/>
  <c r="F1435" i="80"/>
  <c r="E1435" i="80"/>
  <c r="D1435" i="80"/>
  <c r="C1435" i="80"/>
  <c r="B1435" i="80"/>
  <c r="A1435" i="80"/>
  <c r="G1434" i="80"/>
  <c r="F1434" i="80"/>
  <c r="E1434" i="80"/>
  <c r="D1434" i="80"/>
  <c r="C1434" i="80"/>
  <c r="B1434" i="80"/>
  <c r="A1434" i="80"/>
  <c r="G1433" i="80"/>
  <c r="F1433" i="80"/>
  <c r="E1433" i="80"/>
  <c r="D1433" i="80"/>
  <c r="C1433" i="80"/>
  <c r="B1433" i="80"/>
  <c r="A1433" i="80"/>
  <c r="G1432" i="80"/>
  <c r="F1432" i="80"/>
  <c r="E1432" i="80"/>
  <c r="D1432" i="80"/>
  <c r="C1432" i="80"/>
  <c r="B1432" i="80"/>
  <c r="A1432" i="80"/>
  <c r="G1431" i="80"/>
  <c r="F1431" i="80"/>
  <c r="E1431" i="80"/>
  <c r="D1431" i="80"/>
  <c r="C1431" i="80"/>
  <c r="B1431" i="80"/>
  <c r="A1431" i="80"/>
  <c r="G1430" i="80"/>
  <c r="F1430" i="80"/>
  <c r="E1430" i="80"/>
  <c r="D1430" i="80"/>
  <c r="C1430" i="80"/>
  <c r="B1430" i="80"/>
  <c r="A1430" i="80"/>
  <c r="G1429" i="80"/>
  <c r="F1429" i="80"/>
  <c r="E1429" i="80"/>
  <c r="D1429" i="80"/>
  <c r="C1429" i="80"/>
  <c r="B1429" i="80"/>
  <c r="A1429" i="80"/>
  <c r="G1428" i="80"/>
  <c r="F1428" i="80"/>
  <c r="E1428" i="80"/>
  <c r="D1428" i="80"/>
  <c r="C1428" i="80"/>
  <c r="B1428" i="80"/>
  <c r="A1428" i="80"/>
  <c r="G1427" i="80"/>
  <c r="F1427" i="80"/>
  <c r="E1427" i="80"/>
  <c r="D1427" i="80"/>
  <c r="C1427" i="80"/>
  <c r="B1427" i="80"/>
  <c r="A1427" i="80"/>
  <c r="G1426" i="80"/>
  <c r="F1426" i="80"/>
  <c r="E1426" i="80"/>
  <c r="D1426" i="80"/>
  <c r="C1426" i="80"/>
  <c r="B1426" i="80"/>
  <c r="A1426" i="80"/>
  <c r="G1425" i="80"/>
  <c r="F1425" i="80"/>
  <c r="E1425" i="80"/>
  <c r="D1425" i="80"/>
  <c r="C1425" i="80"/>
  <c r="B1425" i="80"/>
  <c r="A1425" i="80"/>
  <c r="G1424" i="80"/>
  <c r="F1424" i="80"/>
  <c r="E1424" i="80"/>
  <c r="D1424" i="80"/>
  <c r="C1424" i="80"/>
  <c r="B1424" i="80"/>
  <c r="A1424" i="80"/>
  <c r="G1423" i="80"/>
  <c r="F1423" i="80"/>
  <c r="E1423" i="80"/>
  <c r="D1423" i="80"/>
  <c r="C1423" i="80"/>
  <c r="B1423" i="80"/>
  <c r="A1423" i="80"/>
  <c r="G1422" i="80"/>
  <c r="F1422" i="80"/>
  <c r="E1422" i="80"/>
  <c r="D1422" i="80"/>
  <c r="C1422" i="80"/>
  <c r="B1422" i="80"/>
  <c r="A1422" i="80"/>
  <c r="G1421" i="80"/>
  <c r="F1421" i="80"/>
  <c r="E1421" i="80"/>
  <c r="D1421" i="80"/>
  <c r="C1421" i="80"/>
  <c r="B1421" i="80"/>
  <c r="A1421" i="80"/>
  <c r="G1420" i="80"/>
  <c r="F1420" i="80"/>
  <c r="E1420" i="80"/>
  <c r="D1420" i="80"/>
  <c r="C1420" i="80"/>
  <c r="B1420" i="80"/>
  <c r="A1420" i="80"/>
  <c r="G1419" i="80"/>
  <c r="F1419" i="80"/>
  <c r="E1419" i="80"/>
  <c r="D1419" i="80"/>
  <c r="C1419" i="80"/>
  <c r="B1419" i="80"/>
  <c r="A1419" i="80"/>
  <c r="G1418" i="80"/>
  <c r="F1418" i="80"/>
  <c r="E1418" i="80"/>
  <c r="D1418" i="80"/>
  <c r="C1418" i="80"/>
  <c r="B1418" i="80"/>
  <c r="A1418" i="80"/>
  <c r="G1417" i="80"/>
  <c r="F1417" i="80"/>
  <c r="E1417" i="80"/>
  <c r="D1417" i="80"/>
  <c r="C1417" i="80"/>
  <c r="B1417" i="80"/>
  <c r="A1417" i="80"/>
  <c r="G1416" i="80"/>
  <c r="F1416" i="80"/>
  <c r="E1416" i="80"/>
  <c r="D1416" i="80"/>
  <c r="C1416" i="80"/>
  <c r="B1416" i="80"/>
  <c r="A1416" i="80"/>
  <c r="G1415" i="80"/>
  <c r="F1415" i="80"/>
  <c r="E1415" i="80"/>
  <c r="D1415" i="80"/>
  <c r="C1415" i="80"/>
  <c r="B1415" i="80"/>
  <c r="A1415" i="80"/>
  <c r="G1414" i="80"/>
  <c r="F1414" i="80"/>
  <c r="E1414" i="80"/>
  <c r="D1414" i="80"/>
  <c r="C1414" i="80"/>
  <c r="B1414" i="80"/>
  <c r="A1414" i="80"/>
  <c r="G1413" i="80"/>
  <c r="F1413" i="80"/>
  <c r="E1413" i="80"/>
  <c r="D1413" i="80"/>
  <c r="C1413" i="80"/>
  <c r="B1413" i="80"/>
  <c r="A1413" i="80"/>
  <c r="G1412" i="80"/>
  <c r="F1412" i="80"/>
  <c r="E1412" i="80"/>
  <c r="D1412" i="80"/>
  <c r="C1412" i="80"/>
  <c r="B1412" i="80"/>
  <c r="A1412" i="80"/>
  <c r="G1411" i="80"/>
  <c r="F1411" i="80"/>
  <c r="E1411" i="80"/>
  <c r="D1411" i="80"/>
  <c r="C1411" i="80"/>
  <c r="B1411" i="80"/>
  <c r="A1411" i="80"/>
  <c r="G1410" i="80"/>
  <c r="F1410" i="80"/>
  <c r="E1410" i="80"/>
  <c r="D1410" i="80"/>
  <c r="C1410" i="80"/>
  <c r="B1410" i="80"/>
  <c r="A1410" i="80"/>
  <c r="G1409" i="80"/>
  <c r="F1409" i="80"/>
  <c r="E1409" i="80"/>
  <c r="D1409" i="80"/>
  <c r="C1409" i="80"/>
  <c r="B1409" i="80"/>
  <c r="A1409" i="80"/>
  <c r="G1408" i="80"/>
  <c r="F1408" i="80"/>
  <c r="E1408" i="80"/>
  <c r="D1408" i="80"/>
  <c r="C1408" i="80"/>
  <c r="B1408" i="80"/>
  <c r="A1408" i="80"/>
  <c r="G1407" i="80"/>
  <c r="F1407" i="80"/>
  <c r="E1407" i="80"/>
  <c r="D1407" i="80"/>
  <c r="C1407" i="80"/>
  <c r="B1407" i="80"/>
  <c r="A1407" i="80"/>
  <c r="G1406" i="80"/>
  <c r="F1406" i="80"/>
  <c r="E1406" i="80"/>
  <c r="D1406" i="80"/>
  <c r="C1406" i="80"/>
  <c r="B1406" i="80"/>
  <c r="A1406" i="80"/>
  <c r="G1405" i="80"/>
  <c r="F1405" i="80"/>
  <c r="E1405" i="80"/>
  <c r="D1405" i="80"/>
  <c r="C1405" i="80"/>
  <c r="B1405" i="80"/>
  <c r="A1405" i="80"/>
  <c r="G1404" i="80"/>
  <c r="F1404" i="80"/>
  <c r="E1404" i="80"/>
  <c r="D1404" i="80"/>
  <c r="C1404" i="80"/>
  <c r="B1404" i="80"/>
  <c r="A1404" i="80"/>
  <c r="G1403" i="80"/>
  <c r="F1403" i="80"/>
  <c r="E1403" i="80"/>
  <c r="D1403" i="80"/>
  <c r="C1403" i="80"/>
  <c r="B1403" i="80"/>
  <c r="A1403" i="80"/>
  <c r="G1402" i="80"/>
  <c r="F1402" i="80"/>
  <c r="E1402" i="80"/>
  <c r="D1402" i="80"/>
  <c r="C1402" i="80"/>
  <c r="B1402" i="80"/>
  <c r="A1402" i="80"/>
  <c r="G1401" i="80"/>
  <c r="F1401" i="80"/>
  <c r="E1401" i="80"/>
  <c r="D1401" i="80"/>
  <c r="C1401" i="80"/>
  <c r="B1401" i="80"/>
  <c r="A1401" i="80"/>
  <c r="G1400" i="80"/>
  <c r="F1400" i="80"/>
  <c r="E1400" i="80"/>
  <c r="D1400" i="80"/>
  <c r="C1400" i="80"/>
  <c r="B1400" i="80"/>
  <c r="A1400" i="80"/>
  <c r="G1399" i="80"/>
  <c r="F1399" i="80"/>
  <c r="E1399" i="80"/>
  <c r="D1399" i="80"/>
  <c r="C1399" i="80"/>
  <c r="B1399" i="80"/>
  <c r="A1399" i="80"/>
  <c r="G1398" i="80"/>
  <c r="F1398" i="80"/>
  <c r="E1398" i="80"/>
  <c r="D1398" i="80"/>
  <c r="C1398" i="80"/>
  <c r="B1398" i="80"/>
  <c r="A1398" i="80"/>
  <c r="G1397" i="80"/>
  <c r="F1397" i="80"/>
  <c r="E1397" i="80"/>
  <c r="D1397" i="80"/>
  <c r="C1397" i="80"/>
  <c r="B1397" i="80"/>
  <c r="A1397" i="80"/>
  <c r="G1396" i="80"/>
  <c r="F1396" i="80"/>
  <c r="E1396" i="80"/>
  <c r="D1396" i="80"/>
  <c r="C1396" i="80"/>
  <c r="B1396" i="80"/>
  <c r="A1396" i="80"/>
  <c r="G1395" i="80"/>
  <c r="F1395" i="80"/>
  <c r="E1395" i="80"/>
  <c r="D1395" i="80"/>
  <c r="C1395" i="80"/>
  <c r="B1395" i="80"/>
  <c r="A1395" i="80"/>
  <c r="G1394" i="80"/>
  <c r="F1394" i="80"/>
  <c r="E1394" i="80"/>
  <c r="D1394" i="80"/>
  <c r="C1394" i="80"/>
  <c r="B1394" i="80"/>
  <c r="A1394" i="80"/>
  <c r="G1393" i="80"/>
  <c r="F1393" i="80"/>
  <c r="E1393" i="80"/>
  <c r="D1393" i="80"/>
  <c r="C1393" i="80"/>
  <c r="B1393" i="80"/>
  <c r="A1393" i="80"/>
  <c r="G1392" i="80"/>
  <c r="F1392" i="80"/>
  <c r="E1392" i="80"/>
  <c r="D1392" i="80"/>
  <c r="C1392" i="80"/>
  <c r="B1392" i="80"/>
  <c r="A1392" i="80"/>
  <c r="G1391" i="80"/>
  <c r="F1391" i="80"/>
  <c r="E1391" i="80"/>
  <c r="D1391" i="80"/>
  <c r="C1391" i="80"/>
  <c r="B1391" i="80"/>
  <c r="A1391" i="80"/>
  <c r="G1390" i="80"/>
  <c r="F1390" i="80"/>
  <c r="E1390" i="80"/>
  <c r="D1390" i="80"/>
  <c r="C1390" i="80"/>
  <c r="B1390" i="80"/>
  <c r="A1390" i="80"/>
  <c r="G1389" i="80"/>
  <c r="F1389" i="80"/>
  <c r="E1389" i="80"/>
  <c r="D1389" i="80"/>
  <c r="C1389" i="80"/>
  <c r="B1389" i="80"/>
  <c r="A1389" i="80"/>
  <c r="G1388" i="80"/>
  <c r="F1388" i="80"/>
  <c r="E1388" i="80"/>
  <c r="D1388" i="80"/>
  <c r="C1388" i="80"/>
  <c r="B1388" i="80"/>
  <c r="A1388" i="80"/>
  <c r="G1387" i="80"/>
  <c r="F1387" i="80"/>
  <c r="E1387" i="80"/>
  <c r="D1387" i="80"/>
  <c r="C1387" i="80"/>
  <c r="B1387" i="80"/>
  <c r="A1387" i="80"/>
  <c r="G1386" i="80"/>
  <c r="F1386" i="80"/>
  <c r="E1386" i="80"/>
  <c r="D1386" i="80"/>
  <c r="C1386" i="80"/>
  <c r="B1386" i="80"/>
  <c r="A1386" i="80"/>
  <c r="G1385" i="80"/>
  <c r="F1385" i="80"/>
  <c r="E1385" i="80"/>
  <c r="D1385" i="80"/>
  <c r="C1385" i="80"/>
  <c r="B1385" i="80"/>
  <c r="A1385" i="80"/>
  <c r="G1384" i="80"/>
  <c r="F1384" i="80"/>
  <c r="E1384" i="80"/>
  <c r="D1384" i="80"/>
  <c r="C1384" i="80"/>
  <c r="B1384" i="80"/>
  <c r="A1384" i="80"/>
  <c r="G1383" i="80"/>
  <c r="F1383" i="80"/>
  <c r="E1383" i="80"/>
  <c r="D1383" i="80"/>
  <c r="C1383" i="80"/>
  <c r="B1383" i="80"/>
  <c r="A1383" i="80"/>
  <c r="G1382" i="80"/>
  <c r="F1382" i="80"/>
  <c r="E1382" i="80"/>
  <c r="D1382" i="80"/>
  <c r="C1382" i="80"/>
  <c r="B1382" i="80"/>
  <c r="A1382" i="80"/>
  <c r="G1381" i="80"/>
  <c r="F1381" i="80"/>
  <c r="E1381" i="80"/>
  <c r="D1381" i="80"/>
  <c r="C1381" i="80"/>
  <c r="B1381" i="80"/>
  <c r="A1381" i="80"/>
  <c r="G1380" i="80"/>
  <c r="F1380" i="80"/>
  <c r="E1380" i="80"/>
  <c r="D1380" i="80"/>
  <c r="C1380" i="80"/>
  <c r="B1380" i="80"/>
  <c r="A1380" i="80"/>
  <c r="G1379" i="80"/>
  <c r="F1379" i="80"/>
  <c r="E1379" i="80"/>
  <c r="D1379" i="80"/>
  <c r="C1379" i="80"/>
  <c r="B1379" i="80"/>
  <c r="A1379" i="80"/>
  <c r="G1378" i="80"/>
  <c r="F1378" i="80"/>
  <c r="E1378" i="80"/>
  <c r="D1378" i="80"/>
  <c r="C1378" i="80"/>
  <c r="B1378" i="80"/>
  <c r="A1378" i="80"/>
  <c r="G1377" i="80"/>
  <c r="F1377" i="80"/>
  <c r="E1377" i="80"/>
  <c r="D1377" i="80"/>
  <c r="C1377" i="80"/>
  <c r="B1377" i="80"/>
  <c r="A1377" i="80"/>
  <c r="G1376" i="80"/>
  <c r="F1376" i="80"/>
  <c r="E1376" i="80"/>
  <c r="D1376" i="80"/>
  <c r="C1376" i="80"/>
  <c r="B1376" i="80"/>
  <c r="A1376" i="80"/>
  <c r="G1375" i="80"/>
  <c r="F1375" i="80"/>
  <c r="E1375" i="80"/>
  <c r="D1375" i="80"/>
  <c r="C1375" i="80"/>
  <c r="B1375" i="80"/>
  <c r="A1375" i="80"/>
  <c r="G1374" i="80"/>
  <c r="F1374" i="80"/>
  <c r="E1374" i="80"/>
  <c r="D1374" i="80"/>
  <c r="C1374" i="80"/>
  <c r="B1374" i="80"/>
  <c r="A1374" i="80"/>
  <c r="G1373" i="80"/>
  <c r="F1373" i="80"/>
  <c r="E1373" i="80"/>
  <c r="D1373" i="80"/>
  <c r="C1373" i="80"/>
  <c r="B1373" i="80"/>
  <c r="A1373" i="80"/>
  <c r="G1372" i="80"/>
  <c r="F1372" i="80"/>
  <c r="E1372" i="80"/>
  <c r="D1372" i="80"/>
  <c r="C1372" i="80"/>
  <c r="B1372" i="80"/>
  <c r="A1372" i="80"/>
  <c r="G1371" i="80"/>
  <c r="F1371" i="80"/>
  <c r="E1371" i="80"/>
  <c r="D1371" i="80"/>
  <c r="C1371" i="80"/>
  <c r="B1371" i="80"/>
  <c r="A1371" i="80"/>
  <c r="G1370" i="80"/>
  <c r="F1370" i="80"/>
  <c r="E1370" i="80"/>
  <c r="D1370" i="80"/>
  <c r="C1370" i="80"/>
  <c r="B1370" i="80"/>
  <c r="A1370" i="80"/>
  <c r="G1369" i="80"/>
  <c r="F1369" i="80"/>
  <c r="E1369" i="80"/>
  <c r="D1369" i="80"/>
  <c r="C1369" i="80"/>
  <c r="B1369" i="80"/>
  <c r="A1369" i="80"/>
  <c r="G1368" i="80"/>
  <c r="F1368" i="80"/>
  <c r="E1368" i="80"/>
  <c r="D1368" i="80"/>
  <c r="C1368" i="80"/>
  <c r="B1368" i="80"/>
  <c r="A1368" i="80"/>
  <c r="G1367" i="80"/>
  <c r="F1367" i="80"/>
  <c r="E1367" i="80"/>
  <c r="D1367" i="80"/>
  <c r="C1367" i="80"/>
  <c r="B1367" i="80"/>
  <c r="A1367" i="80"/>
  <c r="G1366" i="80"/>
  <c r="F1366" i="80"/>
  <c r="E1366" i="80"/>
  <c r="D1366" i="80"/>
  <c r="C1366" i="80"/>
  <c r="B1366" i="80"/>
  <c r="A1366" i="80"/>
  <c r="G1365" i="80"/>
  <c r="F1365" i="80"/>
  <c r="E1365" i="80"/>
  <c r="D1365" i="80"/>
  <c r="C1365" i="80"/>
  <c r="B1365" i="80"/>
  <c r="A1365" i="80"/>
  <c r="G1364" i="80"/>
  <c r="F1364" i="80"/>
  <c r="E1364" i="80"/>
  <c r="D1364" i="80"/>
  <c r="C1364" i="80"/>
  <c r="B1364" i="80"/>
  <c r="A1364" i="80"/>
  <c r="G1363" i="80"/>
  <c r="F1363" i="80"/>
  <c r="E1363" i="80"/>
  <c r="D1363" i="80"/>
  <c r="C1363" i="80"/>
  <c r="B1363" i="80"/>
  <c r="A1363" i="80"/>
  <c r="G1362" i="80"/>
  <c r="F1362" i="80"/>
  <c r="E1362" i="80"/>
  <c r="D1362" i="80"/>
  <c r="C1362" i="80"/>
  <c r="B1362" i="80"/>
  <c r="A1362" i="80"/>
  <c r="G1361" i="80"/>
  <c r="F1361" i="80"/>
  <c r="E1361" i="80"/>
  <c r="D1361" i="80"/>
  <c r="C1361" i="80"/>
  <c r="B1361" i="80"/>
  <c r="A1361" i="80"/>
  <c r="G1360" i="80"/>
  <c r="F1360" i="80"/>
  <c r="E1360" i="80"/>
  <c r="D1360" i="80"/>
  <c r="C1360" i="80"/>
  <c r="B1360" i="80"/>
  <c r="A1360" i="80"/>
  <c r="G1359" i="80"/>
  <c r="F1359" i="80"/>
  <c r="E1359" i="80"/>
  <c r="D1359" i="80"/>
  <c r="C1359" i="80"/>
  <c r="B1359" i="80"/>
  <c r="A1359" i="80"/>
  <c r="G1358" i="80"/>
  <c r="F1358" i="80"/>
  <c r="E1358" i="80"/>
  <c r="D1358" i="80"/>
  <c r="C1358" i="80"/>
  <c r="B1358" i="80"/>
  <c r="A1358" i="80"/>
  <c r="G1357" i="80"/>
  <c r="F1357" i="80"/>
  <c r="E1357" i="80"/>
  <c r="D1357" i="80"/>
  <c r="C1357" i="80"/>
  <c r="B1357" i="80"/>
  <c r="A1357" i="80"/>
  <c r="G1356" i="80"/>
  <c r="F1356" i="80"/>
  <c r="E1356" i="80"/>
  <c r="D1356" i="80"/>
  <c r="C1356" i="80"/>
  <c r="B1356" i="80"/>
  <c r="A1356" i="80"/>
  <c r="G1355" i="80"/>
  <c r="F1355" i="80"/>
  <c r="E1355" i="80"/>
  <c r="D1355" i="80"/>
  <c r="C1355" i="80"/>
  <c r="B1355" i="80"/>
  <c r="A1355" i="80"/>
  <c r="G1354" i="80"/>
  <c r="F1354" i="80"/>
  <c r="E1354" i="80"/>
  <c r="D1354" i="80"/>
  <c r="C1354" i="80"/>
  <c r="B1354" i="80"/>
  <c r="A1354" i="80"/>
  <c r="G1353" i="80"/>
  <c r="F1353" i="80"/>
  <c r="E1353" i="80"/>
  <c r="D1353" i="80"/>
  <c r="C1353" i="80"/>
  <c r="B1353" i="80"/>
  <c r="A1353" i="80"/>
  <c r="G1352" i="80"/>
  <c r="F1352" i="80"/>
  <c r="E1352" i="80"/>
  <c r="D1352" i="80"/>
  <c r="C1352" i="80"/>
  <c r="B1352" i="80"/>
  <c r="A1352" i="80"/>
  <c r="G1351" i="80"/>
  <c r="F1351" i="80"/>
  <c r="E1351" i="80"/>
  <c r="D1351" i="80"/>
  <c r="C1351" i="80"/>
  <c r="B1351" i="80"/>
  <c r="A1351" i="80"/>
  <c r="G1350" i="80"/>
  <c r="F1350" i="80"/>
  <c r="E1350" i="80"/>
  <c r="D1350" i="80"/>
  <c r="C1350" i="80"/>
  <c r="B1350" i="80"/>
  <c r="A1350" i="80"/>
  <c r="G1349" i="80"/>
  <c r="F1349" i="80"/>
  <c r="E1349" i="80"/>
  <c r="D1349" i="80"/>
  <c r="C1349" i="80"/>
  <c r="B1349" i="80"/>
  <c r="A1349" i="80"/>
  <c r="G1348" i="80"/>
  <c r="F1348" i="80"/>
  <c r="E1348" i="80"/>
  <c r="D1348" i="80"/>
  <c r="C1348" i="80"/>
  <c r="B1348" i="80"/>
  <c r="A1348" i="80"/>
  <c r="G1347" i="80"/>
  <c r="F1347" i="80"/>
  <c r="E1347" i="80"/>
  <c r="D1347" i="80"/>
  <c r="C1347" i="80"/>
  <c r="B1347" i="80"/>
  <c r="A1347" i="80"/>
  <c r="G1346" i="80"/>
  <c r="F1346" i="80"/>
  <c r="E1346" i="80"/>
  <c r="D1346" i="80"/>
  <c r="C1346" i="80"/>
  <c r="B1346" i="80"/>
  <c r="A1346" i="80"/>
  <c r="G1345" i="80"/>
  <c r="F1345" i="80"/>
  <c r="E1345" i="80"/>
  <c r="D1345" i="80"/>
  <c r="C1345" i="80"/>
  <c r="B1345" i="80"/>
  <c r="A1345" i="80"/>
  <c r="G1344" i="80"/>
  <c r="F1344" i="80"/>
  <c r="E1344" i="80"/>
  <c r="D1344" i="80"/>
  <c r="C1344" i="80"/>
  <c r="B1344" i="80"/>
  <c r="A1344" i="80"/>
  <c r="G1343" i="80"/>
  <c r="F1343" i="80"/>
  <c r="E1343" i="80"/>
  <c r="D1343" i="80"/>
  <c r="C1343" i="80"/>
  <c r="B1343" i="80"/>
  <c r="A1343" i="80"/>
  <c r="G1342" i="80"/>
  <c r="F1342" i="80"/>
  <c r="E1342" i="80"/>
  <c r="D1342" i="80"/>
  <c r="C1342" i="80"/>
  <c r="B1342" i="80"/>
  <c r="A1342" i="80"/>
  <c r="G1341" i="80"/>
  <c r="F1341" i="80"/>
  <c r="E1341" i="80"/>
  <c r="D1341" i="80"/>
  <c r="C1341" i="80"/>
  <c r="B1341" i="80"/>
  <c r="A1341" i="80"/>
  <c r="G1340" i="80"/>
  <c r="F1340" i="80"/>
  <c r="E1340" i="80"/>
  <c r="D1340" i="80"/>
  <c r="C1340" i="80"/>
  <c r="B1340" i="80"/>
  <c r="A1340" i="80"/>
  <c r="G1339" i="80"/>
  <c r="F1339" i="80"/>
  <c r="D1339" i="80"/>
  <c r="C1339" i="80"/>
  <c r="B1339" i="80"/>
  <c r="A1339" i="80"/>
  <c r="G1338" i="80"/>
  <c r="F1338" i="80"/>
  <c r="D1338" i="80"/>
  <c r="C1338" i="80"/>
  <c r="B1338" i="80"/>
  <c r="A1338" i="80"/>
  <c r="G1337" i="80"/>
  <c r="F1337" i="80"/>
  <c r="D1337" i="80"/>
  <c r="C1337" i="80"/>
  <c r="B1337" i="80"/>
  <c r="A1337" i="80"/>
  <c r="G1336" i="80"/>
  <c r="F1336" i="80"/>
  <c r="D1336" i="80"/>
  <c r="C1336" i="80"/>
  <c r="B1336" i="80"/>
  <c r="A1336" i="80"/>
  <c r="G1335" i="80"/>
  <c r="F1335" i="80"/>
  <c r="D1335" i="80"/>
  <c r="C1335" i="80"/>
  <c r="B1335" i="80"/>
  <c r="A1335" i="80"/>
  <c r="G1334" i="80"/>
  <c r="F1334" i="80"/>
  <c r="D1334" i="80"/>
  <c r="C1334" i="80"/>
  <c r="B1334" i="80"/>
  <c r="A1334" i="80"/>
  <c r="G1333" i="80"/>
  <c r="F1333" i="80"/>
  <c r="D1333" i="80"/>
  <c r="C1333" i="80"/>
  <c r="B1333" i="80"/>
  <c r="A1333" i="80"/>
  <c r="G1332" i="80"/>
  <c r="F1332" i="80"/>
  <c r="D1332" i="80"/>
  <c r="C1332" i="80"/>
  <c r="B1332" i="80"/>
  <c r="A1332" i="80"/>
  <c r="G1331" i="80"/>
  <c r="F1331" i="80"/>
  <c r="D1331" i="80"/>
  <c r="C1331" i="80"/>
  <c r="B1331" i="80"/>
  <c r="A1331" i="80"/>
  <c r="G1330" i="80"/>
  <c r="F1330" i="80"/>
  <c r="D1330" i="80"/>
  <c r="C1330" i="80"/>
  <c r="B1330" i="80"/>
  <c r="A1330" i="80"/>
  <c r="G1329" i="80"/>
  <c r="F1329" i="80"/>
  <c r="D1329" i="80"/>
  <c r="C1329" i="80"/>
  <c r="B1329" i="80"/>
  <c r="A1329" i="80"/>
  <c r="G1328" i="80"/>
  <c r="F1328" i="80"/>
  <c r="D1328" i="80"/>
  <c r="C1328" i="80"/>
  <c r="B1328" i="80"/>
  <c r="A1328" i="80"/>
  <c r="G1327" i="80"/>
  <c r="F1327" i="80"/>
  <c r="D1327" i="80"/>
  <c r="C1327" i="80"/>
  <c r="B1327" i="80"/>
  <c r="A1327" i="80"/>
  <c r="G1326" i="80"/>
  <c r="F1326" i="80"/>
  <c r="D1326" i="80"/>
  <c r="C1326" i="80"/>
  <c r="B1326" i="80"/>
  <c r="A1326" i="80"/>
  <c r="G1325" i="80"/>
  <c r="F1325" i="80"/>
  <c r="D1325" i="80"/>
  <c r="C1325" i="80"/>
  <c r="B1325" i="80"/>
  <c r="A1325" i="80"/>
  <c r="G1324" i="80"/>
  <c r="F1324" i="80"/>
  <c r="D1324" i="80"/>
  <c r="C1324" i="80"/>
  <c r="B1324" i="80"/>
  <c r="A1324" i="80"/>
  <c r="G1323" i="80"/>
  <c r="F1323" i="80"/>
  <c r="D1323" i="80"/>
  <c r="C1323" i="80"/>
  <c r="B1323" i="80"/>
  <c r="A1323" i="80"/>
  <c r="G1322" i="80"/>
  <c r="F1322" i="80"/>
  <c r="D1322" i="80"/>
  <c r="C1322" i="80"/>
  <c r="B1322" i="80"/>
  <c r="A1322" i="80"/>
  <c r="G1321" i="80"/>
  <c r="F1321" i="80"/>
  <c r="E1321" i="80"/>
  <c r="D1321" i="80"/>
  <c r="C1321" i="80"/>
  <c r="B1321" i="80"/>
  <c r="A1321" i="80"/>
  <c r="G1320" i="80"/>
  <c r="F1320" i="80"/>
  <c r="E1320" i="80"/>
  <c r="D1320" i="80"/>
  <c r="C1320" i="80"/>
  <c r="B1320" i="80"/>
  <c r="A1320" i="80"/>
  <c r="G1319" i="80"/>
  <c r="F1319" i="80"/>
  <c r="E1319" i="80"/>
  <c r="D1319" i="80"/>
  <c r="C1319" i="80"/>
  <c r="B1319" i="80"/>
  <c r="A1319" i="80"/>
  <c r="G1318" i="80"/>
  <c r="F1318" i="80"/>
  <c r="E1318" i="80"/>
  <c r="D1318" i="80"/>
  <c r="C1318" i="80"/>
  <c r="B1318" i="80"/>
  <c r="A1318" i="80"/>
  <c r="G1317" i="80"/>
  <c r="F1317" i="80"/>
  <c r="E1317" i="80"/>
  <c r="D1317" i="80"/>
  <c r="C1317" i="80"/>
  <c r="B1317" i="80"/>
  <c r="A1317" i="80"/>
  <c r="G1316" i="80"/>
  <c r="F1316" i="80"/>
  <c r="E1316" i="80"/>
  <c r="D1316" i="80"/>
  <c r="C1316" i="80"/>
  <c r="B1316" i="80"/>
  <c r="A1316" i="80"/>
  <c r="G1315" i="80"/>
  <c r="F1315" i="80"/>
  <c r="E1315" i="80"/>
  <c r="D1315" i="80"/>
  <c r="C1315" i="80"/>
  <c r="B1315" i="80"/>
  <c r="A1315" i="80"/>
  <c r="G1314" i="80"/>
  <c r="F1314" i="80"/>
  <c r="E1314" i="80"/>
  <c r="D1314" i="80"/>
  <c r="C1314" i="80"/>
  <c r="B1314" i="80"/>
  <c r="A1314" i="80"/>
  <c r="G1313" i="80"/>
  <c r="F1313" i="80"/>
  <c r="E1313" i="80"/>
  <c r="D1313" i="80"/>
  <c r="C1313" i="80"/>
  <c r="B1313" i="80"/>
  <c r="A1313" i="80"/>
  <c r="G1312" i="80"/>
  <c r="F1312" i="80"/>
  <c r="E1312" i="80"/>
  <c r="D1312" i="80"/>
  <c r="C1312" i="80"/>
  <c r="B1312" i="80"/>
  <c r="A1312" i="80"/>
  <c r="G1311" i="80"/>
  <c r="F1311" i="80"/>
  <c r="E1311" i="80"/>
  <c r="D1311" i="80"/>
  <c r="C1311" i="80"/>
  <c r="B1311" i="80"/>
  <c r="A1311" i="80"/>
  <c r="G1310" i="80"/>
  <c r="F1310" i="80"/>
  <c r="E1310" i="80"/>
  <c r="D1310" i="80"/>
  <c r="C1310" i="80"/>
  <c r="B1310" i="80"/>
  <c r="A1310" i="80"/>
  <c r="G1309" i="80"/>
  <c r="F1309" i="80"/>
  <c r="E1309" i="80"/>
  <c r="D1309" i="80"/>
  <c r="C1309" i="80"/>
  <c r="B1309" i="80"/>
  <c r="A1309" i="80"/>
  <c r="G1308" i="80"/>
  <c r="F1308" i="80"/>
  <c r="E1308" i="80"/>
  <c r="D1308" i="80"/>
  <c r="C1308" i="80"/>
  <c r="B1308" i="80"/>
  <c r="A1308" i="80"/>
  <c r="G1307" i="80"/>
  <c r="F1307" i="80"/>
  <c r="E1307" i="80"/>
  <c r="D1307" i="80"/>
  <c r="C1307" i="80"/>
  <c r="B1307" i="80"/>
  <c r="A1307" i="80"/>
  <c r="G1306" i="80"/>
  <c r="F1306" i="80"/>
  <c r="E1306" i="80"/>
  <c r="D1306" i="80"/>
  <c r="C1306" i="80"/>
  <c r="B1306" i="80"/>
  <c r="A1306" i="80"/>
  <c r="G1305" i="80"/>
  <c r="F1305" i="80"/>
  <c r="E1305" i="80"/>
  <c r="D1305" i="80"/>
  <c r="C1305" i="80"/>
  <c r="B1305" i="80"/>
  <c r="A1305" i="80"/>
  <c r="G1304" i="80"/>
  <c r="F1304" i="80"/>
  <c r="E1304" i="80"/>
  <c r="D1304" i="80"/>
  <c r="C1304" i="80"/>
  <c r="B1304" i="80"/>
  <c r="A1304" i="80"/>
  <c r="G1303" i="80"/>
  <c r="F1303" i="80"/>
  <c r="E1303" i="80"/>
  <c r="D1303" i="80"/>
  <c r="C1303" i="80"/>
  <c r="B1303" i="80"/>
  <c r="A1303" i="80"/>
  <c r="G1302" i="80"/>
  <c r="F1302" i="80"/>
  <c r="E1302" i="80"/>
  <c r="D1302" i="80"/>
  <c r="C1302" i="80"/>
  <c r="B1302" i="80"/>
  <c r="A1302" i="80"/>
  <c r="G1301" i="80"/>
  <c r="F1301" i="80"/>
  <c r="E1301" i="80"/>
  <c r="D1301" i="80"/>
  <c r="C1301" i="80"/>
  <c r="B1301" i="80"/>
  <c r="A1301" i="80"/>
  <c r="G1300" i="80"/>
  <c r="F1300" i="80"/>
  <c r="E1300" i="80"/>
  <c r="D1300" i="80"/>
  <c r="C1300" i="80"/>
  <c r="B1300" i="80"/>
  <c r="A1300" i="80"/>
  <c r="G1299" i="80"/>
  <c r="F1299" i="80"/>
  <c r="E1299" i="80"/>
  <c r="D1299" i="80"/>
  <c r="C1299" i="80"/>
  <c r="B1299" i="80"/>
  <c r="A1299" i="80"/>
  <c r="G1298" i="80"/>
  <c r="F1298" i="80"/>
  <c r="E1298" i="80"/>
  <c r="D1298" i="80"/>
  <c r="C1298" i="80"/>
  <c r="B1298" i="80"/>
  <c r="A1298" i="80"/>
  <c r="G1297" i="80"/>
  <c r="F1297" i="80"/>
  <c r="E1297" i="80"/>
  <c r="D1297" i="80"/>
  <c r="C1297" i="80"/>
  <c r="B1297" i="80"/>
  <c r="A1297" i="80"/>
  <c r="G1296" i="80"/>
  <c r="F1296" i="80"/>
  <c r="E1296" i="80"/>
  <c r="D1296" i="80"/>
  <c r="C1296" i="80"/>
  <c r="B1296" i="80"/>
  <c r="A1296" i="80"/>
  <c r="G1295" i="80"/>
  <c r="F1295" i="80"/>
  <c r="E1295" i="80"/>
  <c r="D1295" i="80"/>
  <c r="C1295" i="80"/>
  <c r="B1295" i="80"/>
  <c r="A1295" i="80"/>
  <c r="G1294" i="80"/>
  <c r="F1294" i="80"/>
  <c r="E1294" i="80"/>
  <c r="D1294" i="80"/>
  <c r="C1294" i="80"/>
  <c r="B1294" i="80"/>
  <c r="A1294" i="80"/>
  <c r="G1293" i="80"/>
  <c r="F1293" i="80"/>
  <c r="E1293" i="80"/>
  <c r="D1293" i="80"/>
  <c r="C1293" i="80"/>
  <c r="B1293" i="80"/>
  <c r="A1293" i="80"/>
  <c r="G1292" i="80"/>
  <c r="F1292" i="80"/>
  <c r="E1292" i="80"/>
  <c r="D1292" i="80"/>
  <c r="C1292" i="80"/>
  <c r="B1292" i="80"/>
  <c r="A1292" i="80"/>
  <c r="G1291" i="80"/>
  <c r="F1291" i="80"/>
  <c r="E1291" i="80"/>
  <c r="D1291" i="80"/>
  <c r="C1291" i="80"/>
  <c r="B1291" i="80"/>
  <c r="A1291" i="80"/>
  <c r="G1290" i="80"/>
  <c r="F1290" i="80"/>
  <c r="E1290" i="80"/>
  <c r="D1290" i="80"/>
  <c r="C1290" i="80"/>
  <c r="B1290" i="80"/>
  <c r="A1290" i="80"/>
  <c r="G1289" i="80"/>
  <c r="F1289" i="80"/>
  <c r="E1289" i="80"/>
  <c r="D1289" i="80"/>
  <c r="C1289" i="80"/>
  <c r="B1289" i="80"/>
  <c r="A1289" i="80"/>
  <c r="G1288" i="80"/>
  <c r="F1288" i="80"/>
  <c r="E1288" i="80"/>
  <c r="D1288" i="80"/>
  <c r="C1288" i="80"/>
  <c r="B1288" i="80"/>
  <c r="A1288" i="80"/>
  <c r="G1287" i="80"/>
  <c r="F1287" i="80"/>
  <c r="E1287" i="80"/>
  <c r="D1287" i="80"/>
  <c r="C1287" i="80"/>
  <c r="B1287" i="80"/>
  <c r="A1287" i="80"/>
  <c r="G1286" i="80"/>
  <c r="F1286" i="80"/>
  <c r="E1286" i="80"/>
  <c r="D1286" i="80"/>
  <c r="C1286" i="80"/>
  <c r="B1286" i="80"/>
  <c r="A1286" i="80"/>
  <c r="G1285" i="80"/>
  <c r="F1285" i="80"/>
  <c r="E1285" i="80"/>
  <c r="D1285" i="80"/>
  <c r="C1285" i="80"/>
  <c r="B1285" i="80"/>
  <c r="A1285" i="80"/>
  <c r="G1284" i="80"/>
  <c r="F1284" i="80"/>
  <c r="E1284" i="80"/>
  <c r="D1284" i="80"/>
  <c r="C1284" i="80"/>
  <c r="B1284" i="80"/>
  <c r="A1284" i="80"/>
  <c r="G1283" i="80"/>
  <c r="F1283" i="80"/>
  <c r="E1283" i="80"/>
  <c r="D1283" i="80"/>
  <c r="C1283" i="80"/>
  <c r="B1283" i="80"/>
  <c r="A1283" i="80"/>
  <c r="G1282" i="80"/>
  <c r="F1282" i="80"/>
  <c r="E1282" i="80"/>
  <c r="D1282" i="80"/>
  <c r="C1282" i="80"/>
  <c r="B1282" i="80"/>
  <c r="A1282" i="80"/>
  <c r="G1281" i="80"/>
  <c r="F1281" i="80"/>
  <c r="E1281" i="80"/>
  <c r="D1281" i="80"/>
  <c r="C1281" i="80"/>
  <c r="B1281" i="80"/>
  <c r="A1281" i="80"/>
  <c r="G1280" i="80"/>
  <c r="F1280" i="80"/>
  <c r="E1280" i="80"/>
  <c r="D1280" i="80"/>
  <c r="C1280" i="80"/>
  <c r="B1280" i="80"/>
  <c r="A1280" i="80"/>
  <c r="G1279" i="80"/>
  <c r="F1279" i="80"/>
  <c r="E1279" i="80"/>
  <c r="D1279" i="80"/>
  <c r="C1279" i="80"/>
  <c r="B1279" i="80"/>
  <c r="A1279" i="80"/>
  <c r="G1278" i="80"/>
  <c r="F1278" i="80"/>
  <c r="E1278" i="80"/>
  <c r="D1278" i="80"/>
  <c r="C1278" i="80"/>
  <c r="B1278" i="80"/>
  <c r="A1278" i="80"/>
  <c r="G1277" i="80"/>
  <c r="F1277" i="80"/>
  <c r="E1277" i="80"/>
  <c r="D1277" i="80"/>
  <c r="C1277" i="80"/>
  <c r="B1277" i="80"/>
  <c r="A1277" i="80"/>
  <c r="G1276" i="80"/>
  <c r="F1276" i="80"/>
  <c r="E1276" i="80"/>
  <c r="D1276" i="80"/>
  <c r="C1276" i="80"/>
  <c r="B1276" i="80"/>
  <c r="A1276" i="80"/>
  <c r="G1275" i="80"/>
  <c r="F1275" i="80"/>
  <c r="E1275" i="80"/>
  <c r="D1275" i="80"/>
  <c r="C1275" i="80"/>
  <c r="B1275" i="80"/>
  <c r="A1275" i="80"/>
  <c r="G1274" i="80"/>
  <c r="F1274" i="80"/>
  <c r="E1274" i="80"/>
  <c r="D1274" i="80"/>
  <c r="C1274" i="80"/>
  <c r="B1274" i="80"/>
  <c r="A1274" i="80"/>
  <c r="G1273" i="80"/>
  <c r="F1273" i="80"/>
  <c r="E1273" i="80"/>
  <c r="D1273" i="80"/>
  <c r="C1273" i="80"/>
  <c r="B1273" i="80"/>
  <c r="A1273" i="80"/>
  <c r="G1272" i="80"/>
  <c r="F1272" i="80"/>
  <c r="E1272" i="80"/>
  <c r="D1272" i="80"/>
  <c r="C1272" i="80"/>
  <c r="B1272" i="80"/>
  <c r="A1272" i="80"/>
  <c r="G1271" i="80"/>
  <c r="F1271" i="80"/>
  <c r="E1271" i="80"/>
  <c r="D1271" i="80"/>
  <c r="C1271" i="80"/>
  <c r="B1271" i="80"/>
  <c r="A1271" i="80"/>
  <c r="G1270" i="80"/>
  <c r="F1270" i="80"/>
  <c r="E1270" i="80"/>
  <c r="D1270" i="80"/>
  <c r="C1270" i="80"/>
  <c r="B1270" i="80"/>
  <c r="A1270" i="80"/>
  <c r="G1269" i="80"/>
  <c r="F1269" i="80"/>
  <c r="E1269" i="80"/>
  <c r="D1269" i="80"/>
  <c r="C1269" i="80"/>
  <c r="B1269" i="80"/>
  <c r="A1269" i="80"/>
  <c r="G1268" i="80"/>
  <c r="F1268" i="80"/>
  <c r="E1268" i="80"/>
  <c r="D1268" i="80"/>
  <c r="C1268" i="80"/>
  <c r="B1268" i="80"/>
  <c r="A1268" i="80"/>
  <c r="G1267" i="80"/>
  <c r="F1267" i="80"/>
  <c r="E1267" i="80"/>
  <c r="D1267" i="80"/>
  <c r="C1267" i="80"/>
  <c r="B1267" i="80"/>
  <c r="A1267" i="80"/>
  <c r="G1266" i="80"/>
  <c r="F1266" i="80"/>
  <c r="E1266" i="80"/>
  <c r="D1266" i="80"/>
  <c r="C1266" i="80"/>
  <c r="B1266" i="80"/>
  <c r="A1266" i="80"/>
  <c r="G1265" i="80"/>
  <c r="F1265" i="80"/>
  <c r="E1265" i="80"/>
  <c r="D1265" i="80"/>
  <c r="C1265" i="80"/>
  <c r="B1265" i="80"/>
  <c r="A1265" i="80"/>
  <c r="G1264" i="80"/>
  <c r="F1264" i="80"/>
  <c r="E1264" i="80"/>
  <c r="D1264" i="80"/>
  <c r="C1264" i="80"/>
  <c r="B1264" i="80"/>
  <c r="A1264" i="80"/>
  <c r="G1263" i="80"/>
  <c r="F1263" i="80"/>
  <c r="E1263" i="80"/>
  <c r="D1263" i="80"/>
  <c r="C1263" i="80"/>
  <c r="B1263" i="80"/>
  <c r="A1263" i="80"/>
  <c r="G1262" i="80"/>
  <c r="F1262" i="80"/>
  <c r="E1262" i="80"/>
  <c r="D1262" i="80"/>
  <c r="C1262" i="80"/>
  <c r="B1262" i="80"/>
  <c r="A1262" i="80"/>
  <c r="G1261" i="80"/>
  <c r="F1261" i="80"/>
  <c r="E1261" i="80"/>
  <c r="D1261" i="80"/>
  <c r="C1261" i="80"/>
  <c r="B1261" i="80"/>
  <c r="A1261" i="80"/>
  <c r="G1260" i="80"/>
  <c r="F1260" i="80"/>
  <c r="E1260" i="80"/>
  <c r="D1260" i="80"/>
  <c r="C1260" i="80"/>
  <c r="B1260" i="80"/>
  <c r="A1260" i="80"/>
  <c r="G1259" i="80"/>
  <c r="F1259" i="80"/>
  <c r="E1259" i="80"/>
  <c r="D1259" i="80"/>
  <c r="C1259" i="80"/>
  <c r="B1259" i="80"/>
  <c r="A1259" i="80"/>
  <c r="G1258" i="80"/>
  <c r="F1258" i="80"/>
  <c r="E1258" i="80"/>
  <c r="D1258" i="80"/>
  <c r="C1258" i="80"/>
  <c r="B1258" i="80"/>
  <c r="A1258" i="80"/>
  <c r="G1257" i="80"/>
  <c r="F1257" i="80"/>
  <c r="E1257" i="80"/>
  <c r="D1257" i="80"/>
  <c r="C1257" i="80"/>
  <c r="B1257" i="80"/>
  <c r="A1257" i="80"/>
  <c r="G1256" i="80"/>
  <c r="F1256" i="80"/>
  <c r="E1256" i="80"/>
  <c r="D1256" i="80"/>
  <c r="C1256" i="80"/>
  <c r="B1256" i="80"/>
  <c r="A1256" i="80"/>
  <c r="G1255" i="80"/>
  <c r="F1255" i="80"/>
  <c r="E1255" i="80"/>
  <c r="D1255" i="80"/>
  <c r="C1255" i="80"/>
  <c r="B1255" i="80"/>
  <c r="A1255" i="80"/>
  <c r="G1254" i="80"/>
  <c r="F1254" i="80"/>
  <c r="E1254" i="80"/>
  <c r="D1254" i="80"/>
  <c r="C1254" i="80"/>
  <c r="B1254" i="80"/>
  <c r="A1254" i="80"/>
  <c r="G1253" i="80"/>
  <c r="F1253" i="80"/>
  <c r="E1253" i="80"/>
  <c r="D1253" i="80"/>
  <c r="C1253" i="80"/>
  <c r="B1253" i="80"/>
  <c r="A1253" i="80"/>
  <c r="G1252" i="80"/>
  <c r="F1252" i="80"/>
  <c r="E1252" i="80"/>
  <c r="D1252" i="80"/>
  <c r="C1252" i="80"/>
  <c r="B1252" i="80"/>
  <c r="A1252" i="80"/>
  <c r="G1251" i="80"/>
  <c r="F1251" i="80"/>
  <c r="E1251" i="80"/>
  <c r="D1251" i="80"/>
  <c r="C1251" i="80"/>
  <c r="B1251" i="80"/>
  <c r="A1251" i="80"/>
  <c r="G1250" i="80"/>
  <c r="F1250" i="80"/>
  <c r="E1250" i="80"/>
  <c r="D1250" i="80"/>
  <c r="C1250" i="80"/>
  <c r="B1250" i="80"/>
  <c r="A1250" i="80"/>
  <c r="G1249" i="80"/>
  <c r="F1249" i="80"/>
  <c r="E1249" i="80"/>
  <c r="D1249" i="80"/>
  <c r="C1249" i="80"/>
  <c r="B1249" i="80"/>
  <c r="A1249" i="80"/>
  <c r="G1248" i="80"/>
  <c r="F1248" i="80"/>
  <c r="E1248" i="80"/>
  <c r="D1248" i="80"/>
  <c r="C1248" i="80"/>
  <c r="B1248" i="80"/>
  <c r="A1248" i="80"/>
  <c r="G1247" i="80"/>
  <c r="F1247" i="80"/>
  <c r="E1247" i="80"/>
  <c r="D1247" i="80"/>
  <c r="C1247" i="80"/>
  <c r="B1247" i="80"/>
  <c r="A1247" i="80"/>
  <c r="G1246" i="80"/>
  <c r="F1246" i="80"/>
  <c r="E1246" i="80"/>
  <c r="D1246" i="80"/>
  <c r="C1246" i="80"/>
  <c r="B1246" i="80"/>
  <c r="A1246" i="80"/>
  <c r="G1245" i="80"/>
  <c r="F1245" i="80"/>
  <c r="E1245" i="80"/>
  <c r="D1245" i="80"/>
  <c r="C1245" i="80"/>
  <c r="B1245" i="80"/>
  <c r="A1245" i="80"/>
  <c r="G1244" i="80"/>
  <c r="F1244" i="80"/>
  <c r="E1244" i="80"/>
  <c r="D1244" i="80"/>
  <c r="C1244" i="80"/>
  <c r="B1244" i="80"/>
  <c r="A1244" i="80"/>
  <c r="G1243" i="80"/>
  <c r="F1243" i="80"/>
  <c r="E1243" i="80"/>
  <c r="D1243" i="80"/>
  <c r="C1243" i="80"/>
  <c r="B1243" i="80"/>
  <c r="A1243" i="80"/>
  <c r="G1242" i="80"/>
  <c r="F1242" i="80"/>
  <c r="E1242" i="80"/>
  <c r="D1242" i="80"/>
  <c r="C1242" i="80"/>
  <c r="B1242" i="80"/>
  <c r="A1242" i="80"/>
  <c r="G1241" i="80"/>
  <c r="F1241" i="80"/>
  <c r="E1241" i="80"/>
  <c r="D1241" i="80"/>
  <c r="C1241" i="80"/>
  <c r="B1241" i="80"/>
  <c r="A1241" i="80"/>
  <c r="G1240" i="80"/>
  <c r="F1240" i="80"/>
  <c r="E1240" i="80"/>
  <c r="D1240" i="80"/>
  <c r="C1240" i="80"/>
  <c r="B1240" i="80"/>
  <c r="A1240" i="80"/>
  <c r="G1239" i="80"/>
  <c r="F1239" i="80"/>
  <c r="E1239" i="80"/>
  <c r="D1239" i="80"/>
  <c r="C1239" i="80"/>
  <c r="B1239" i="80"/>
  <c r="A1239" i="80"/>
  <c r="G1238" i="80"/>
  <c r="F1238" i="80"/>
  <c r="E1238" i="80"/>
  <c r="D1238" i="80"/>
  <c r="C1238" i="80"/>
  <c r="B1238" i="80"/>
  <c r="A1238" i="80"/>
  <c r="G1237" i="80"/>
  <c r="F1237" i="80"/>
  <c r="E1237" i="80"/>
  <c r="D1237" i="80"/>
  <c r="C1237" i="80"/>
  <c r="B1237" i="80"/>
  <c r="A1237" i="80"/>
  <c r="G1236" i="80"/>
  <c r="F1236" i="80"/>
  <c r="E1236" i="80"/>
  <c r="D1236" i="80"/>
  <c r="C1236" i="80"/>
  <c r="B1236" i="80"/>
  <c r="A1236" i="80"/>
  <c r="G1235" i="80"/>
  <c r="F1235" i="80"/>
  <c r="E1235" i="80"/>
  <c r="D1235" i="80"/>
  <c r="C1235" i="80"/>
  <c r="B1235" i="80"/>
  <c r="A1235" i="80"/>
  <c r="G1234" i="80"/>
  <c r="F1234" i="80"/>
  <c r="E1234" i="80"/>
  <c r="D1234" i="80"/>
  <c r="C1234" i="80"/>
  <c r="B1234" i="80"/>
  <c r="A1234" i="80"/>
  <c r="G1233" i="80"/>
  <c r="F1233" i="80"/>
  <c r="E1233" i="80"/>
  <c r="D1233" i="80"/>
  <c r="C1233" i="80"/>
  <c r="B1233" i="80"/>
  <c r="A1233" i="80"/>
  <c r="G1232" i="80"/>
  <c r="F1232" i="80"/>
  <c r="E1232" i="80"/>
  <c r="D1232" i="80"/>
  <c r="C1232" i="80"/>
  <c r="B1232" i="80"/>
  <c r="A1232" i="80"/>
  <c r="G1231" i="80"/>
  <c r="F1231" i="80"/>
  <c r="E1231" i="80"/>
  <c r="D1231" i="80"/>
  <c r="C1231" i="80"/>
  <c r="B1231" i="80"/>
  <c r="A1231" i="80"/>
  <c r="G1230" i="80"/>
  <c r="F1230" i="80"/>
  <c r="E1230" i="80"/>
  <c r="D1230" i="80"/>
  <c r="C1230" i="80"/>
  <c r="B1230" i="80"/>
  <c r="A1230" i="80"/>
  <c r="G1229" i="80"/>
  <c r="F1229" i="80"/>
  <c r="E1229" i="80"/>
  <c r="D1229" i="80"/>
  <c r="C1229" i="80"/>
  <c r="B1229" i="80"/>
  <c r="A1229" i="80"/>
  <c r="G1228" i="80"/>
  <c r="F1228" i="80"/>
  <c r="E1228" i="80"/>
  <c r="D1228" i="80"/>
  <c r="C1228" i="80"/>
  <c r="B1228" i="80"/>
  <c r="A1228" i="80"/>
  <c r="G1227" i="80"/>
  <c r="F1227" i="80"/>
  <c r="E1227" i="80"/>
  <c r="D1227" i="80"/>
  <c r="C1227" i="80"/>
  <c r="B1227" i="80"/>
  <c r="A1227" i="80"/>
  <c r="G1226" i="80"/>
  <c r="F1226" i="80"/>
  <c r="E1226" i="80"/>
  <c r="D1226" i="80"/>
  <c r="C1226" i="80"/>
  <c r="B1226" i="80"/>
  <c r="A1226" i="80"/>
  <c r="G1225" i="80"/>
  <c r="F1225" i="80"/>
  <c r="E1225" i="80"/>
  <c r="D1225" i="80"/>
  <c r="C1225" i="80"/>
  <c r="B1225" i="80"/>
  <c r="A1225" i="80"/>
  <c r="G1224" i="80"/>
  <c r="F1224" i="80"/>
  <c r="E1224" i="80"/>
  <c r="D1224" i="80"/>
  <c r="C1224" i="80"/>
  <c r="B1224" i="80"/>
  <c r="A1224" i="80"/>
  <c r="G1223" i="80"/>
  <c r="F1223" i="80"/>
  <c r="E1223" i="80"/>
  <c r="D1223" i="80"/>
  <c r="C1223" i="80"/>
  <c r="B1223" i="80"/>
  <c r="A1223" i="80"/>
  <c r="G1222" i="80"/>
  <c r="F1222" i="80"/>
  <c r="E1222" i="80"/>
  <c r="D1222" i="80"/>
  <c r="C1222" i="80"/>
  <c r="B1222" i="80"/>
  <c r="A1222" i="80"/>
  <c r="G1221" i="80"/>
  <c r="F1221" i="80"/>
  <c r="E1221" i="80"/>
  <c r="D1221" i="80"/>
  <c r="C1221" i="80"/>
  <c r="B1221" i="80"/>
  <c r="A1221" i="80"/>
  <c r="G1220" i="80"/>
  <c r="F1220" i="80"/>
  <c r="E1220" i="80"/>
  <c r="D1220" i="80"/>
  <c r="C1220" i="80"/>
  <c r="B1220" i="80"/>
  <c r="A1220" i="80"/>
  <c r="G1219" i="80"/>
  <c r="F1219" i="80"/>
  <c r="E1219" i="80"/>
  <c r="D1219" i="80"/>
  <c r="C1219" i="80"/>
  <c r="B1219" i="80"/>
  <c r="A1219" i="80"/>
  <c r="G1218" i="80"/>
  <c r="F1218" i="80"/>
  <c r="E1218" i="80"/>
  <c r="D1218" i="80"/>
  <c r="C1218" i="80"/>
  <c r="B1218" i="80"/>
  <c r="A1218" i="80"/>
  <c r="G1217" i="80"/>
  <c r="F1217" i="80"/>
  <c r="E1217" i="80"/>
  <c r="D1217" i="80"/>
  <c r="C1217" i="80"/>
  <c r="B1217" i="80"/>
  <c r="A1217" i="80"/>
  <c r="G1216" i="80"/>
  <c r="F1216" i="80"/>
  <c r="E1216" i="80"/>
  <c r="D1216" i="80"/>
  <c r="C1216" i="80"/>
  <c r="B1216" i="80"/>
  <c r="A1216" i="80"/>
  <c r="G1215" i="80"/>
  <c r="F1215" i="80"/>
  <c r="E1215" i="80"/>
  <c r="D1215" i="80"/>
  <c r="C1215" i="80"/>
  <c r="B1215" i="80"/>
  <c r="A1215" i="80"/>
  <c r="G1214" i="80"/>
  <c r="F1214" i="80"/>
  <c r="E1214" i="80"/>
  <c r="D1214" i="80"/>
  <c r="C1214" i="80"/>
  <c r="B1214" i="80"/>
  <c r="A1214" i="80"/>
  <c r="G1213" i="80"/>
  <c r="F1213" i="80"/>
  <c r="E1213" i="80"/>
  <c r="D1213" i="80"/>
  <c r="C1213" i="80"/>
  <c r="B1213" i="80"/>
  <c r="A1213" i="80"/>
  <c r="G1212" i="80"/>
  <c r="F1212" i="80"/>
  <c r="E1212" i="80"/>
  <c r="D1212" i="80"/>
  <c r="C1212" i="80"/>
  <c r="B1212" i="80"/>
  <c r="A1212" i="80"/>
  <c r="G1211" i="80"/>
  <c r="F1211" i="80"/>
  <c r="E1211" i="80"/>
  <c r="D1211" i="80"/>
  <c r="C1211" i="80"/>
  <c r="B1211" i="80"/>
  <c r="A1211" i="80"/>
  <c r="G1210" i="80"/>
  <c r="F1210" i="80"/>
  <c r="E1210" i="80"/>
  <c r="D1210" i="80"/>
  <c r="C1210" i="80"/>
  <c r="B1210" i="80"/>
  <c r="A1210" i="80"/>
  <c r="G1209" i="80"/>
  <c r="F1209" i="80"/>
  <c r="E1209" i="80"/>
  <c r="D1209" i="80"/>
  <c r="C1209" i="80"/>
  <c r="B1209" i="80"/>
  <c r="A1209" i="80"/>
  <c r="G1208" i="80"/>
  <c r="F1208" i="80"/>
  <c r="E1208" i="80"/>
  <c r="D1208" i="80"/>
  <c r="C1208" i="80"/>
  <c r="B1208" i="80"/>
  <c r="A1208" i="80"/>
  <c r="G1207" i="80"/>
  <c r="F1207" i="80"/>
  <c r="E1207" i="80"/>
  <c r="D1207" i="80"/>
  <c r="C1207" i="80"/>
  <c r="B1207" i="80"/>
  <c r="A1207" i="80"/>
  <c r="G1206" i="80"/>
  <c r="F1206" i="80"/>
  <c r="E1206" i="80"/>
  <c r="D1206" i="80"/>
  <c r="C1206" i="80"/>
  <c r="B1206" i="80"/>
  <c r="A1206" i="80"/>
  <c r="G1205" i="80"/>
  <c r="F1205" i="80"/>
  <c r="E1205" i="80"/>
  <c r="D1205" i="80"/>
  <c r="C1205" i="80"/>
  <c r="B1205" i="80"/>
  <c r="A1205" i="80"/>
  <c r="G1204" i="80"/>
  <c r="F1204" i="80"/>
  <c r="E1204" i="80"/>
  <c r="D1204" i="80"/>
  <c r="C1204" i="80"/>
  <c r="B1204" i="80"/>
  <c r="A1204" i="80"/>
  <c r="G1203" i="80"/>
  <c r="F1203" i="80"/>
  <c r="E1203" i="80"/>
  <c r="D1203" i="80"/>
  <c r="C1203" i="80"/>
  <c r="B1203" i="80"/>
  <c r="A1203" i="80"/>
  <c r="G1202" i="80"/>
  <c r="F1202" i="80"/>
  <c r="E1202" i="80"/>
  <c r="D1202" i="80"/>
  <c r="C1202" i="80"/>
  <c r="B1202" i="80"/>
  <c r="A1202" i="80"/>
  <c r="G1201" i="80"/>
  <c r="F1201" i="80"/>
  <c r="E1201" i="80"/>
  <c r="D1201" i="80"/>
  <c r="C1201" i="80"/>
  <c r="B1201" i="80"/>
  <c r="A1201" i="80"/>
  <c r="G1200" i="80"/>
  <c r="F1200" i="80"/>
  <c r="E1200" i="80"/>
  <c r="D1200" i="80"/>
  <c r="C1200" i="80"/>
  <c r="B1200" i="80"/>
  <c r="A1200" i="80"/>
  <c r="G1199" i="80"/>
  <c r="F1199" i="80"/>
  <c r="E1199" i="80"/>
  <c r="D1199" i="80"/>
  <c r="C1199" i="80"/>
  <c r="B1199" i="80"/>
  <c r="A1199" i="80"/>
  <c r="G1198" i="80"/>
  <c r="F1198" i="80"/>
  <c r="E1198" i="80"/>
  <c r="D1198" i="80"/>
  <c r="C1198" i="80"/>
  <c r="B1198" i="80"/>
  <c r="A1198" i="80"/>
  <c r="G1197" i="80"/>
  <c r="F1197" i="80"/>
  <c r="E1197" i="80"/>
  <c r="D1197" i="80"/>
  <c r="C1197" i="80"/>
  <c r="B1197" i="80"/>
  <c r="A1197" i="80"/>
  <c r="G1196" i="80"/>
  <c r="F1196" i="80"/>
  <c r="E1196" i="80"/>
  <c r="D1196" i="80"/>
  <c r="C1196" i="80"/>
  <c r="B1196" i="80"/>
  <c r="A1196" i="80"/>
  <c r="G1195" i="80"/>
  <c r="F1195" i="80"/>
  <c r="E1195" i="80"/>
  <c r="D1195" i="80"/>
  <c r="C1195" i="80"/>
  <c r="B1195" i="80"/>
  <c r="A1195" i="80"/>
  <c r="G1194" i="80"/>
  <c r="F1194" i="80"/>
  <c r="E1194" i="80"/>
  <c r="D1194" i="80"/>
  <c r="C1194" i="80"/>
  <c r="B1194" i="80"/>
  <c r="A1194" i="80"/>
  <c r="G1193" i="80"/>
  <c r="F1193" i="80"/>
  <c r="E1193" i="80"/>
  <c r="D1193" i="80"/>
  <c r="C1193" i="80"/>
  <c r="B1193" i="80"/>
  <c r="A1193" i="80"/>
  <c r="G1192" i="80"/>
  <c r="F1192" i="80"/>
  <c r="E1192" i="80"/>
  <c r="D1192" i="80"/>
  <c r="C1192" i="80"/>
  <c r="B1192" i="80"/>
  <c r="A1192" i="80"/>
  <c r="G1191" i="80"/>
  <c r="F1191" i="80"/>
  <c r="E1191" i="80"/>
  <c r="D1191" i="80"/>
  <c r="C1191" i="80"/>
  <c r="B1191" i="80"/>
  <c r="A1191" i="80"/>
  <c r="G1190" i="80"/>
  <c r="F1190" i="80"/>
  <c r="E1190" i="80"/>
  <c r="D1190" i="80"/>
  <c r="C1190" i="80"/>
  <c r="B1190" i="80"/>
  <c r="A1190" i="80"/>
  <c r="G1189" i="80"/>
  <c r="F1189" i="80"/>
  <c r="E1189" i="80"/>
  <c r="D1189" i="80"/>
  <c r="C1189" i="80"/>
  <c r="B1189" i="80"/>
  <c r="A1189" i="80"/>
  <c r="G1188" i="80"/>
  <c r="F1188" i="80"/>
  <c r="E1188" i="80"/>
  <c r="D1188" i="80"/>
  <c r="C1188" i="80"/>
  <c r="B1188" i="80"/>
  <c r="A1188" i="80"/>
  <c r="G1187" i="80"/>
  <c r="F1187" i="80"/>
  <c r="E1187" i="80"/>
  <c r="D1187" i="80"/>
  <c r="C1187" i="80"/>
  <c r="B1187" i="80"/>
  <c r="A1187" i="80"/>
  <c r="G1186" i="80"/>
  <c r="F1186" i="80"/>
  <c r="E1186" i="80"/>
  <c r="D1186" i="80"/>
  <c r="C1186" i="80"/>
  <c r="B1186" i="80"/>
  <c r="A1186" i="80"/>
  <c r="G1185" i="80"/>
  <c r="F1185" i="80"/>
  <c r="E1185" i="80"/>
  <c r="D1185" i="80"/>
  <c r="C1185" i="80"/>
  <c r="B1185" i="80"/>
  <c r="A1185" i="80"/>
  <c r="G1184" i="80"/>
  <c r="F1184" i="80"/>
  <c r="E1184" i="80"/>
  <c r="D1184" i="80"/>
  <c r="C1184" i="80"/>
  <c r="B1184" i="80"/>
  <c r="A1184" i="80"/>
  <c r="G1183" i="80"/>
  <c r="F1183" i="80"/>
  <c r="E1183" i="80"/>
  <c r="D1183" i="80"/>
  <c r="C1183" i="80"/>
  <c r="B1183" i="80"/>
  <c r="A1183" i="80"/>
  <c r="G1182" i="80"/>
  <c r="F1182" i="80"/>
  <c r="E1182" i="80"/>
  <c r="D1182" i="80"/>
  <c r="C1182" i="80"/>
  <c r="B1182" i="80"/>
  <c r="A1182" i="80"/>
  <c r="G1181" i="80"/>
  <c r="F1181" i="80"/>
  <c r="E1181" i="80"/>
  <c r="D1181" i="80"/>
  <c r="C1181" i="80"/>
  <c r="B1181" i="80"/>
  <c r="A1181" i="80"/>
  <c r="G1180" i="80"/>
  <c r="F1180" i="80"/>
  <c r="E1180" i="80"/>
  <c r="D1180" i="80"/>
  <c r="C1180" i="80"/>
  <c r="B1180" i="80"/>
  <c r="A1180" i="80"/>
  <c r="G1179" i="80"/>
  <c r="F1179" i="80"/>
  <c r="E1179" i="80"/>
  <c r="D1179" i="80"/>
  <c r="C1179" i="80"/>
  <c r="B1179" i="80"/>
  <c r="A1179" i="80"/>
  <c r="G1178" i="80"/>
  <c r="F1178" i="80"/>
  <c r="E1178" i="80"/>
  <c r="D1178" i="80"/>
  <c r="C1178" i="80"/>
  <c r="B1178" i="80"/>
  <c r="A1178" i="80"/>
  <c r="G1177" i="80"/>
  <c r="F1177" i="80"/>
  <c r="E1177" i="80"/>
  <c r="D1177" i="80"/>
  <c r="C1177" i="80"/>
  <c r="B1177" i="80"/>
  <c r="A1177" i="80"/>
  <c r="G1176" i="80"/>
  <c r="F1176" i="80"/>
  <c r="E1176" i="80"/>
  <c r="D1176" i="80"/>
  <c r="C1176" i="80"/>
  <c r="B1176" i="80"/>
  <c r="A1176" i="80"/>
  <c r="G1175" i="80"/>
  <c r="F1175" i="80"/>
  <c r="E1175" i="80"/>
  <c r="D1175" i="80"/>
  <c r="C1175" i="80"/>
  <c r="B1175" i="80"/>
  <c r="A1175" i="80"/>
  <c r="G1174" i="80"/>
  <c r="F1174" i="80"/>
  <c r="E1174" i="80"/>
  <c r="D1174" i="80"/>
  <c r="C1174" i="80"/>
  <c r="B1174" i="80"/>
  <c r="A1174" i="80"/>
  <c r="G1173" i="80"/>
  <c r="F1173" i="80"/>
  <c r="E1173" i="80"/>
  <c r="D1173" i="80"/>
  <c r="C1173" i="80"/>
  <c r="B1173" i="80"/>
  <c r="A1173" i="80"/>
  <c r="G1172" i="80"/>
  <c r="F1172" i="80"/>
  <c r="E1172" i="80"/>
  <c r="D1172" i="80"/>
  <c r="C1172" i="80"/>
  <c r="B1172" i="80"/>
  <c r="A1172" i="80"/>
  <c r="G1171" i="80"/>
  <c r="F1171" i="80"/>
  <c r="E1171" i="80"/>
  <c r="D1171" i="80"/>
  <c r="C1171" i="80"/>
  <c r="B1171" i="80"/>
  <c r="A1171" i="80"/>
  <c r="G1170" i="80"/>
  <c r="F1170" i="80"/>
  <c r="E1170" i="80"/>
  <c r="D1170" i="80"/>
  <c r="C1170" i="80"/>
  <c r="B1170" i="80"/>
  <c r="A1170" i="80"/>
  <c r="G1169" i="80"/>
  <c r="F1169" i="80"/>
  <c r="E1169" i="80"/>
  <c r="D1169" i="80"/>
  <c r="C1169" i="80"/>
  <c r="B1169" i="80"/>
  <c r="A1169" i="80"/>
  <c r="G1168" i="80"/>
  <c r="F1168" i="80"/>
  <c r="E1168" i="80"/>
  <c r="D1168" i="80"/>
  <c r="C1168" i="80"/>
  <c r="B1168" i="80"/>
  <c r="A1168" i="80"/>
  <c r="G1167" i="80"/>
  <c r="F1167" i="80"/>
  <c r="E1167" i="80"/>
  <c r="D1167" i="80"/>
  <c r="C1167" i="80"/>
  <c r="B1167" i="80"/>
  <c r="A1167" i="80"/>
  <c r="G1166" i="80"/>
  <c r="F1166" i="80"/>
  <c r="E1166" i="80"/>
  <c r="D1166" i="80"/>
  <c r="C1166" i="80"/>
  <c r="B1166" i="80"/>
  <c r="A1166" i="80"/>
  <c r="G1165" i="80"/>
  <c r="F1165" i="80"/>
  <c r="E1165" i="80"/>
  <c r="D1165" i="80"/>
  <c r="C1165" i="80"/>
  <c r="B1165" i="80"/>
  <c r="A1165" i="80"/>
  <c r="G1164" i="80"/>
  <c r="F1164" i="80"/>
  <c r="E1164" i="80"/>
  <c r="D1164" i="80"/>
  <c r="C1164" i="80"/>
  <c r="B1164" i="80"/>
  <c r="A1164" i="80"/>
  <c r="G1163" i="80"/>
  <c r="F1163" i="80"/>
  <c r="E1163" i="80"/>
  <c r="D1163" i="80"/>
  <c r="C1163" i="80"/>
  <c r="B1163" i="80"/>
  <c r="A1163" i="80"/>
  <c r="G1162" i="80"/>
  <c r="F1162" i="80"/>
  <c r="E1162" i="80"/>
  <c r="D1162" i="80"/>
  <c r="C1162" i="80"/>
  <c r="B1162" i="80"/>
  <c r="A1162" i="80"/>
  <c r="G1161" i="80"/>
  <c r="F1161" i="80"/>
  <c r="E1161" i="80"/>
  <c r="D1161" i="80"/>
  <c r="C1161" i="80"/>
  <c r="B1161" i="80"/>
  <c r="A1161" i="80"/>
  <c r="G1160" i="80"/>
  <c r="F1160" i="80"/>
  <c r="E1160" i="80"/>
  <c r="D1160" i="80"/>
  <c r="C1160" i="80"/>
  <c r="B1160" i="80"/>
  <c r="A1160" i="80"/>
  <c r="G1159" i="80"/>
  <c r="F1159" i="80"/>
  <c r="E1159" i="80"/>
  <c r="D1159" i="80"/>
  <c r="C1159" i="80"/>
  <c r="B1159" i="80"/>
  <c r="A1159" i="80"/>
  <c r="G1158" i="80"/>
  <c r="F1158" i="80"/>
  <c r="E1158" i="80"/>
  <c r="D1158" i="80"/>
  <c r="C1158" i="80"/>
  <c r="B1158" i="80"/>
  <c r="A1158" i="80"/>
  <c r="G1157" i="80"/>
  <c r="F1157" i="80"/>
  <c r="E1157" i="80"/>
  <c r="D1157" i="80"/>
  <c r="C1157" i="80"/>
  <c r="B1157" i="80"/>
  <c r="A1157" i="80"/>
  <c r="G1156" i="80"/>
  <c r="F1156" i="80"/>
  <c r="E1156" i="80"/>
  <c r="D1156" i="80"/>
  <c r="C1156" i="80"/>
  <c r="B1156" i="80"/>
  <c r="A1156" i="80"/>
  <c r="G1155" i="80"/>
  <c r="F1155" i="80"/>
  <c r="E1155" i="80"/>
  <c r="D1155" i="80"/>
  <c r="C1155" i="80"/>
  <c r="B1155" i="80"/>
  <c r="A1155" i="80"/>
  <c r="G1154" i="80"/>
  <c r="F1154" i="80"/>
  <c r="E1154" i="80"/>
  <c r="D1154" i="80"/>
  <c r="C1154" i="80"/>
  <c r="B1154" i="80"/>
  <c r="A1154" i="80"/>
  <c r="G1153" i="80"/>
  <c r="F1153" i="80"/>
  <c r="E1153" i="80"/>
  <c r="D1153" i="80"/>
  <c r="C1153" i="80"/>
  <c r="B1153" i="80"/>
  <c r="A1153" i="80"/>
  <c r="G1152" i="80"/>
  <c r="F1152" i="80"/>
  <c r="E1152" i="80"/>
  <c r="D1152" i="80"/>
  <c r="C1152" i="80"/>
  <c r="B1152" i="80"/>
  <c r="A1152" i="80"/>
  <c r="G1151" i="80"/>
  <c r="F1151" i="80"/>
  <c r="E1151" i="80"/>
  <c r="D1151" i="80"/>
  <c r="C1151" i="80"/>
  <c r="B1151" i="80"/>
  <c r="A1151" i="80"/>
  <c r="G1150" i="80"/>
  <c r="F1150" i="80"/>
  <c r="E1150" i="80"/>
  <c r="D1150" i="80"/>
  <c r="C1150" i="80"/>
  <c r="B1150" i="80"/>
  <c r="A1150" i="80"/>
  <c r="G1149" i="80"/>
  <c r="F1149" i="80"/>
  <c r="E1149" i="80"/>
  <c r="D1149" i="80"/>
  <c r="C1149" i="80"/>
  <c r="B1149" i="80"/>
  <c r="A1149" i="80"/>
  <c r="G1148" i="80"/>
  <c r="F1148" i="80"/>
  <c r="E1148" i="80"/>
  <c r="D1148" i="80"/>
  <c r="C1148" i="80"/>
  <c r="B1148" i="80"/>
  <c r="A1148" i="80"/>
  <c r="G1147" i="80"/>
  <c r="F1147" i="80"/>
  <c r="E1147" i="80"/>
  <c r="D1147" i="80"/>
  <c r="C1147" i="80"/>
  <c r="B1147" i="80"/>
  <c r="A1147" i="80"/>
  <c r="G1146" i="80"/>
  <c r="F1146" i="80"/>
  <c r="E1146" i="80"/>
  <c r="D1146" i="80"/>
  <c r="C1146" i="80"/>
  <c r="B1146" i="80"/>
  <c r="A1146" i="80"/>
  <c r="G1145" i="80"/>
  <c r="F1145" i="80"/>
  <c r="E1145" i="80"/>
  <c r="D1145" i="80"/>
  <c r="C1145" i="80"/>
  <c r="B1145" i="80"/>
  <c r="A1145" i="80"/>
  <c r="G1144" i="80"/>
  <c r="F1144" i="80"/>
  <c r="E1144" i="80"/>
  <c r="D1144" i="80"/>
  <c r="C1144" i="80"/>
  <c r="B1144" i="80"/>
  <c r="A1144" i="80"/>
  <c r="G1143" i="80"/>
  <c r="F1143" i="80"/>
  <c r="E1143" i="80"/>
  <c r="D1143" i="80"/>
  <c r="C1143" i="80"/>
  <c r="B1143" i="80"/>
  <c r="A1143" i="80"/>
  <c r="G1142" i="80"/>
  <c r="F1142" i="80"/>
  <c r="E1142" i="80"/>
  <c r="D1142" i="80"/>
  <c r="C1142" i="80"/>
  <c r="B1142" i="80"/>
  <c r="A1142" i="80"/>
  <c r="G1141" i="80"/>
  <c r="F1141" i="80"/>
  <c r="E1141" i="80"/>
  <c r="D1141" i="80"/>
  <c r="C1141" i="80"/>
  <c r="B1141" i="80"/>
  <c r="A1141" i="80"/>
  <c r="G1140" i="80"/>
  <c r="F1140" i="80"/>
  <c r="E1140" i="80"/>
  <c r="D1140" i="80"/>
  <c r="C1140" i="80"/>
  <c r="B1140" i="80"/>
  <c r="A1140" i="80"/>
  <c r="G1139" i="80"/>
  <c r="F1139" i="80"/>
  <c r="E1139" i="80"/>
  <c r="D1139" i="80"/>
  <c r="C1139" i="80"/>
  <c r="B1139" i="80"/>
  <c r="A1139" i="80"/>
  <c r="G1138" i="80"/>
  <c r="F1138" i="80"/>
  <c r="E1138" i="80"/>
  <c r="D1138" i="80"/>
  <c r="C1138" i="80"/>
  <c r="B1138" i="80"/>
  <c r="A1138" i="80"/>
  <c r="G1137" i="80"/>
  <c r="F1137" i="80"/>
  <c r="E1137" i="80"/>
  <c r="D1137" i="80"/>
  <c r="C1137" i="80"/>
  <c r="B1137" i="80"/>
  <c r="A1137" i="80"/>
  <c r="G1136" i="80"/>
  <c r="F1136" i="80"/>
  <c r="E1136" i="80"/>
  <c r="D1136" i="80"/>
  <c r="C1136" i="80"/>
  <c r="B1136" i="80"/>
  <c r="A1136" i="80"/>
  <c r="G1135" i="80"/>
  <c r="F1135" i="80"/>
  <c r="E1135" i="80"/>
  <c r="D1135" i="80"/>
  <c r="C1135" i="80"/>
  <c r="B1135" i="80"/>
  <c r="A1135" i="80"/>
  <c r="G1134" i="80"/>
  <c r="F1134" i="80"/>
  <c r="E1134" i="80"/>
  <c r="D1134" i="80"/>
  <c r="C1134" i="80"/>
  <c r="B1134" i="80"/>
  <c r="A1134" i="80"/>
  <c r="G1133" i="80"/>
  <c r="F1133" i="80"/>
  <c r="E1133" i="80"/>
  <c r="D1133" i="80"/>
  <c r="C1133" i="80"/>
  <c r="B1133" i="80"/>
  <c r="A1133" i="80"/>
  <c r="G1132" i="80"/>
  <c r="F1132" i="80"/>
  <c r="E1132" i="80"/>
  <c r="D1132" i="80"/>
  <c r="C1132" i="80"/>
  <c r="B1132" i="80"/>
  <c r="A1132" i="80"/>
  <c r="G1131" i="80"/>
  <c r="F1131" i="80"/>
  <c r="E1131" i="80"/>
  <c r="D1131" i="80"/>
  <c r="C1131" i="80"/>
  <c r="B1131" i="80"/>
  <c r="A1131" i="80"/>
  <c r="G1130" i="80"/>
  <c r="F1130" i="80"/>
  <c r="E1130" i="80"/>
  <c r="D1130" i="80"/>
  <c r="C1130" i="80"/>
  <c r="B1130" i="80"/>
  <c r="A1130" i="80"/>
  <c r="G1129" i="80"/>
  <c r="F1129" i="80"/>
  <c r="E1129" i="80"/>
  <c r="D1129" i="80"/>
  <c r="C1129" i="80"/>
  <c r="B1129" i="80"/>
  <c r="A1129" i="80"/>
  <c r="G1128" i="80"/>
  <c r="F1128" i="80"/>
  <c r="E1128" i="80"/>
  <c r="D1128" i="80"/>
  <c r="C1128" i="80"/>
  <c r="B1128" i="80"/>
  <c r="A1128" i="80"/>
  <c r="G1127" i="80"/>
  <c r="F1127" i="80"/>
  <c r="E1127" i="80"/>
  <c r="D1127" i="80"/>
  <c r="C1127" i="80"/>
  <c r="B1127" i="80"/>
  <c r="A1127" i="80"/>
  <c r="G1126" i="80"/>
  <c r="F1126" i="80"/>
  <c r="E1126" i="80"/>
  <c r="D1126" i="80"/>
  <c r="C1126" i="80"/>
  <c r="B1126" i="80"/>
  <c r="A1126" i="80"/>
  <c r="G1125" i="80"/>
  <c r="F1125" i="80"/>
  <c r="E1125" i="80"/>
  <c r="D1125" i="80"/>
  <c r="C1125" i="80"/>
  <c r="B1125" i="80"/>
  <c r="A1125" i="80"/>
  <c r="G1124" i="80"/>
  <c r="F1124" i="80"/>
  <c r="E1124" i="80"/>
  <c r="D1124" i="80"/>
  <c r="C1124" i="80"/>
  <c r="B1124" i="80"/>
  <c r="A1124" i="80"/>
  <c r="G1123" i="80"/>
  <c r="F1123" i="80"/>
  <c r="E1123" i="80"/>
  <c r="D1123" i="80"/>
  <c r="C1123" i="80"/>
  <c r="B1123" i="80"/>
  <c r="A1123" i="80"/>
  <c r="G1122" i="80"/>
  <c r="F1122" i="80"/>
  <c r="E1122" i="80"/>
  <c r="D1122" i="80"/>
  <c r="C1122" i="80"/>
  <c r="B1122" i="80"/>
  <c r="A1122" i="80"/>
  <c r="G1121" i="80"/>
  <c r="F1121" i="80"/>
  <c r="E1121" i="80"/>
  <c r="D1121" i="80"/>
  <c r="C1121" i="80"/>
  <c r="B1121" i="80"/>
  <c r="A1121" i="80"/>
  <c r="G1120" i="80"/>
  <c r="F1120" i="80"/>
  <c r="E1120" i="80"/>
  <c r="D1120" i="80"/>
  <c r="C1120" i="80"/>
  <c r="B1120" i="80"/>
  <c r="A1120" i="80"/>
  <c r="G1119" i="80"/>
  <c r="F1119" i="80"/>
  <c r="E1119" i="80"/>
  <c r="D1119" i="80"/>
  <c r="C1119" i="80"/>
  <c r="B1119" i="80"/>
  <c r="A1119" i="80"/>
  <c r="G1118" i="80"/>
  <c r="F1118" i="80"/>
  <c r="E1118" i="80"/>
  <c r="D1118" i="80"/>
  <c r="C1118" i="80"/>
  <c r="B1118" i="80"/>
  <c r="A1118" i="80"/>
  <c r="G1117" i="80"/>
  <c r="F1117" i="80"/>
  <c r="E1117" i="80"/>
  <c r="D1117" i="80"/>
  <c r="C1117" i="80"/>
  <c r="B1117" i="80"/>
  <c r="A1117" i="80"/>
  <c r="G1116" i="80"/>
  <c r="F1116" i="80"/>
  <c r="E1116" i="80"/>
  <c r="D1116" i="80"/>
  <c r="C1116" i="80"/>
  <c r="B1116" i="80"/>
  <c r="A1116" i="80"/>
  <c r="G1115" i="80"/>
  <c r="F1115" i="80"/>
  <c r="E1115" i="80"/>
  <c r="D1115" i="80"/>
  <c r="C1115" i="80"/>
  <c r="B1115" i="80"/>
  <c r="A1115" i="80"/>
  <c r="G1114" i="80"/>
  <c r="F1114" i="80"/>
  <c r="E1114" i="80"/>
  <c r="D1114" i="80"/>
  <c r="C1114" i="80"/>
  <c r="B1114" i="80"/>
  <c r="A1114" i="80"/>
  <c r="G1113" i="80"/>
  <c r="F1113" i="80"/>
  <c r="E1113" i="80"/>
  <c r="D1113" i="80"/>
  <c r="C1113" i="80"/>
  <c r="B1113" i="80"/>
  <c r="A1113" i="80"/>
  <c r="G1112" i="80"/>
  <c r="F1112" i="80"/>
  <c r="E1112" i="80"/>
  <c r="D1112" i="80"/>
  <c r="C1112" i="80"/>
  <c r="B1112" i="80"/>
  <c r="A1112" i="80"/>
  <c r="G1111" i="80"/>
  <c r="F1111" i="80"/>
  <c r="E1111" i="80"/>
  <c r="D1111" i="80"/>
  <c r="C1111" i="80"/>
  <c r="B1111" i="80"/>
  <c r="A1111" i="80"/>
  <c r="G1110" i="80"/>
  <c r="F1110" i="80"/>
  <c r="E1110" i="80"/>
  <c r="D1110" i="80"/>
  <c r="C1110" i="80"/>
  <c r="B1110" i="80"/>
  <c r="A1110" i="80"/>
  <c r="G1109" i="80"/>
  <c r="F1109" i="80"/>
  <c r="E1109" i="80"/>
  <c r="D1109" i="80"/>
  <c r="C1109" i="80"/>
  <c r="B1109" i="80"/>
  <c r="A1109" i="80"/>
  <c r="G1108" i="80"/>
  <c r="F1108" i="80"/>
  <c r="E1108" i="80"/>
  <c r="D1108" i="80"/>
  <c r="C1108" i="80"/>
  <c r="B1108" i="80"/>
  <c r="A1108" i="80"/>
  <c r="G1107" i="80"/>
  <c r="F1107" i="80"/>
  <c r="E1107" i="80"/>
  <c r="D1107" i="80"/>
  <c r="C1107" i="80"/>
  <c r="B1107" i="80"/>
  <c r="A1107" i="80"/>
  <c r="G1106" i="80"/>
  <c r="F1106" i="80"/>
  <c r="E1106" i="80"/>
  <c r="D1106" i="80"/>
  <c r="C1106" i="80"/>
  <c r="B1106" i="80"/>
  <c r="A1106" i="80"/>
  <c r="G1105" i="80"/>
  <c r="F1105" i="80"/>
  <c r="E1105" i="80"/>
  <c r="D1105" i="80"/>
  <c r="C1105" i="80"/>
  <c r="B1105" i="80"/>
  <c r="A1105" i="80"/>
  <c r="G1104" i="80"/>
  <c r="F1104" i="80"/>
  <c r="E1104" i="80"/>
  <c r="D1104" i="80"/>
  <c r="C1104" i="80"/>
  <c r="B1104" i="80"/>
  <c r="A1104" i="80"/>
  <c r="G1103" i="80"/>
  <c r="F1103" i="80"/>
  <c r="E1103" i="80"/>
  <c r="D1103" i="80"/>
  <c r="C1103" i="80"/>
  <c r="B1103" i="80"/>
  <c r="A1103" i="80"/>
  <c r="G1102" i="80"/>
  <c r="F1102" i="80"/>
  <c r="E1102" i="80"/>
  <c r="D1102" i="80"/>
  <c r="C1102" i="80"/>
  <c r="B1102" i="80"/>
  <c r="A1102" i="80"/>
  <c r="G1101" i="80"/>
  <c r="F1101" i="80"/>
  <c r="E1101" i="80"/>
  <c r="D1101" i="80"/>
  <c r="C1101" i="80"/>
  <c r="B1101" i="80"/>
  <c r="A1101" i="80"/>
  <c r="G1100" i="80"/>
  <c r="F1100" i="80"/>
  <c r="E1100" i="80"/>
  <c r="D1100" i="80"/>
  <c r="C1100" i="80"/>
  <c r="B1100" i="80"/>
  <c r="A1100" i="80"/>
  <c r="G1099" i="80"/>
  <c r="F1099" i="80"/>
  <c r="E1099" i="80"/>
  <c r="D1099" i="80"/>
  <c r="C1099" i="80"/>
  <c r="B1099" i="80"/>
  <c r="A1099" i="80"/>
  <c r="G1098" i="80"/>
  <c r="F1098" i="80"/>
  <c r="E1098" i="80"/>
  <c r="D1098" i="80"/>
  <c r="C1098" i="80"/>
  <c r="B1098" i="80"/>
  <c r="A1098" i="80"/>
  <c r="G1097" i="80"/>
  <c r="F1097" i="80"/>
  <c r="E1097" i="80"/>
  <c r="D1097" i="80"/>
  <c r="C1097" i="80"/>
  <c r="B1097" i="80"/>
  <c r="A1097" i="80"/>
  <c r="G1096" i="80"/>
  <c r="F1096" i="80"/>
  <c r="E1096" i="80"/>
  <c r="D1096" i="80"/>
  <c r="C1096" i="80"/>
  <c r="B1096" i="80"/>
  <c r="A1096" i="80"/>
  <c r="G1095" i="80"/>
  <c r="F1095" i="80"/>
  <c r="E1095" i="80"/>
  <c r="D1095" i="80"/>
  <c r="C1095" i="80"/>
  <c r="B1095" i="80"/>
  <c r="A1095" i="80"/>
  <c r="G1094" i="80"/>
  <c r="F1094" i="80"/>
  <c r="E1094" i="80"/>
  <c r="D1094" i="80"/>
  <c r="C1094" i="80"/>
  <c r="B1094" i="80"/>
  <c r="A1094" i="80"/>
  <c r="G1093" i="80"/>
  <c r="F1093" i="80"/>
  <c r="E1093" i="80"/>
  <c r="D1093" i="80"/>
  <c r="C1093" i="80"/>
  <c r="B1093" i="80"/>
  <c r="A1093" i="80"/>
  <c r="G1092" i="80"/>
  <c r="F1092" i="80"/>
  <c r="E1092" i="80"/>
  <c r="D1092" i="80"/>
  <c r="C1092" i="80"/>
  <c r="B1092" i="80"/>
  <c r="A1092" i="80"/>
  <c r="G1091" i="80"/>
  <c r="F1091" i="80"/>
  <c r="E1091" i="80"/>
  <c r="D1091" i="80"/>
  <c r="C1091" i="80"/>
  <c r="B1091" i="80"/>
  <c r="A1091" i="80"/>
  <c r="G1090" i="80"/>
  <c r="F1090" i="80"/>
  <c r="E1090" i="80"/>
  <c r="D1090" i="80"/>
  <c r="C1090" i="80"/>
  <c r="B1090" i="80"/>
  <c r="A1090" i="80"/>
  <c r="G1089" i="80"/>
  <c r="F1089" i="80"/>
  <c r="E1089" i="80"/>
  <c r="D1089" i="80"/>
  <c r="C1089" i="80"/>
  <c r="B1089" i="80"/>
  <c r="A1089" i="80"/>
  <c r="G1088" i="80"/>
  <c r="F1088" i="80"/>
  <c r="E1088" i="80"/>
  <c r="D1088" i="80"/>
  <c r="C1088" i="80"/>
  <c r="B1088" i="80"/>
  <c r="A1088" i="80"/>
  <c r="G1087" i="80"/>
  <c r="F1087" i="80"/>
  <c r="E1087" i="80"/>
  <c r="D1087" i="80"/>
  <c r="C1087" i="80"/>
  <c r="B1087" i="80"/>
  <c r="A1087" i="80"/>
  <c r="G1086" i="80"/>
  <c r="F1086" i="80"/>
  <c r="E1086" i="80"/>
  <c r="D1086" i="80"/>
  <c r="C1086" i="80"/>
  <c r="B1086" i="80"/>
  <c r="A1086" i="80"/>
  <c r="G1085" i="80"/>
  <c r="F1085" i="80"/>
  <c r="E1085" i="80"/>
  <c r="D1085" i="80"/>
  <c r="C1085" i="80"/>
  <c r="B1085" i="80"/>
  <c r="A1085" i="80"/>
  <c r="G1084" i="80"/>
  <c r="F1084" i="80"/>
  <c r="E1084" i="80"/>
  <c r="D1084" i="80"/>
  <c r="C1084" i="80"/>
  <c r="B1084" i="80"/>
  <c r="A1084" i="80"/>
  <c r="G1083" i="80"/>
  <c r="F1083" i="80"/>
  <c r="E1083" i="80"/>
  <c r="D1083" i="80"/>
  <c r="C1083" i="80"/>
  <c r="B1083" i="80"/>
  <c r="A1083" i="80"/>
  <c r="G1082" i="80"/>
  <c r="F1082" i="80"/>
  <c r="E1082" i="80"/>
  <c r="D1082" i="80"/>
  <c r="C1082" i="80"/>
  <c r="B1082" i="80"/>
  <c r="A1082" i="80"/>
  <c r="G1081" i="80"/>
  <c r="F1081" i="80"/>
  <c r="E1081" i="80"/>
  <c r="D1081" i="80"/>
  <c r="C1081" i="80"/>
  <c r="B1081" i="80"/>
  <c r="A1081" i="80"/>
  <c r="G1080" i="80"/>
  <c r="F1080" i="80"/>
  <c r="E1080" i="80"/>
  <c r="D1080" i="80"/>
  <c r="C1080" i="80"/>
  <c r="B1080" i="80"/>
  <c r="A1080" i="80"/>
  <c r="G1079" i="80"/>
  <c r="F1079" i="80"/>
  <c r="E1079" i="80"/>
  <c r="D1079" i="80"/>
  <c r="C1079" i="80"/>
  <c r="B1079" i="80"/>
  <c r="A1079" i="80"/>
  <c r="G1078" i="80"/>
  <c r="F1078" i="80"/>
  <c r="E1078" i="80"/>
  <c r="D1078" i="80"/>
  <c r="C1078" i="80"/>
  <c r="B1078" i="80"/>
  <c r="A1078" i="80"/>
  <c r="G1077" i="80"/>
  <c r="F1077" i="80"/>
  <c r="E1077" i="80"/>
  <c r="D1077" i="80"/>
  <c r="C1077" i="80"/>
  <c r="B1077" i="80"/>
  <c r="A1077" i="80"/>
  <c r="G1076" i="80"/>
  <c r="F1076" i="80"/>
  <c r="E1076" i="80"/>
  <c r="D1076" i="80"/>
  <c r="C1076" i="80"/>
  <c r="B1076" i="80"/>
  <c r="A1076" i="80"/>
  <c r="G1075" i="80"/>
  <c r="F1075" i="80"/>
  <c r="E1075" i="80"/>
  <c r="D1075" i="80"/>
  <c r="C1075" i="80"/>
  <c r="B1075" i="80"/>
  <c r="A1075" i="80"/>
  <c r="G1074" i="80"/>
  <c r="F1074" i="80"/>
  <c r="E1074" i="80"/>
  <c r="D1074" i="80"/>
  <c r="C1074" i="80"/>
  <c r="B1074" i="80"/>
  <c r="A1074" i="80"/>
  <c r="G1073" i="80"/>
  <c r="F1073" i="80"/>
  <c r="E1073" i="80"/>
  <c r="D1073" i="80"/>
  <c r="C1073" i="80"/>
  <c r="B1073" i="80"/>
  <c r="A1073" i="80"/>
  <c r="G1072" i="80"/>
  <c r="F1072" i="80"/>
  <c r="E1072" i="80"/>
  <c r="D1072" i="80"/>
  <c r="C1072" i="80"/>
  <c r="B1072" i="80"/>
  <c r="A1072" i="80"/>
  <c r="G1071" i="80"/>
  <c r="F1071" i="80"/>
  <c r="E1071" i="80"/>
  <c r="D1071" i="80"/>
  <c r="C1071" i="80"/>
  <c r="B1071" i="80"/>
  <c r="A1071" i="80"/>
  <c r="G1070" i="80"/>
  <c r="F1070" i="80"/>
  <c r="E1070" i="80"/>
  <c r="D1070" i="80"/>
  <c r="C1070" i="80"/>
  <c r="B1070" i="80"/>
  <c r="A1070" i="80"/>
  <c r="G1069" i="80"/>
  <c r="F1069" i="80"/>
  <c r="E1069" i="80"/>
  <c r="D1069" i="80"/>
  <c r="C1069" i="80"/>
  <c r="B1069" i="80"/>
  <c r="A1069" i="80"/>
  <c r="G1068" i="80"/>
  <c r="F1068" i="80"/>
  <c r="E1068" i="80"/>
  <c r="D1068" i="80"/>
  <c r="C1068" i="80"/>
  <c r="B1068" i="80"/>
  <c r="A1068" i="80"/>
  <c r="G1067" i="80"/>
  <c r="F1067" i="80"/>
  <c r="E1067" i="80"/>
  <c r="D1067" i="80"/>
  <c r="C1067" i="80"/>
  <c r="B1067" i="80"/>
  <c r="A1067" i="80"/>
  <c r="G1066" i="80"/>
  <c r="F1066" i="80"/>
  <c r="E1066" i="80"/>
  <c r="D1066" i="80"/>
  <c r="C1066" i="80"/>
  <c r="B1066" i="80"/>
  <c r="A1066" i="80"/>
  <c r="G1065" i="80"/>
  <c r="F1065" i="80"/>
  <c r="E1065" i="80"/>
  <c r="D1065" i="80"/>
  <c r="C1065" i="80"/>
  <c r="B1065" i="80"/>
  <c r="A1065" i="80"/>
  <c r="G1064" i="80"/>
  <c r="F1064" i="80"/>
  <c r="E1064" i="80"/>
  <c r="D1064" i="80"/>
  <c r="C1064" i="80"/>
  <c r="B1064" i="80"/>
  <c r="A1064" i="80"/>
  <c r="G1063" i="80"/>
  <c r="F1063" i="80"/>
  <c r="E1063" i="80"/>
  <c r="D1063" i="80"/>
  <c r="C1063" i="80"/>
  <c r="B1063" i="80"/>
  <c r="A1063" i="80"/>
  <c r="G1062" i="80"/>
  <c r="F1062" i="80"/>
  <c r="E1062" i="80"/>
  <c r="D1062" i="80"/>
  <c r="C1062" i="80"/>
  <c r="B1062" i="80"/>
  <c r="A1062" i="80"/>
  <c r="G1061" i="80"/>
  <c r="F1061" i="80"/>
  <c r="E1061" i="80"/>
  <c r="D1061" i="80"/>
  <c r="C1061" i="80"/>
  <c r="B1061" i="80"/>
  <c r="A1061" i="80"/>
  <c r="G1060" i="80"/>
  <c r="F1060" i="80"/>
  <c r="E1060" i="80"/>
  <c r="D1060" i="80"/>
  <c r="C1060" i="80"/>
  <c r="B1060" i="80"/>
  <c r="A1060" i="80"/>
  <c r="G1059" i="80"/>
  <c r="F1059" i="80"/>
  <c r="E1059" i="80"/>
  <c r="D1059" i="80"/>
  <c r="C1059" i="80"/>
  <c r="B1059" i="80"/>
  <c r="A1059" i="80"/>
  <c r="G1058" i="80"/>
  <c r="F1058" i="80"/>
  <c r="E1058" i="80"/>
  <c r="D1058" i="80"/>
  <c r="C1058" i="80"/>
  <c r="B1058" i="80"/>
  <c r="A1058" i="80"/>
  <c r="G1057" i="80"/>
  <c r="F1057" i="80"/>
  <c r="E1057" i="80"/>
  <c r="D1057" i="80"/>
  <c r="C1057" i="80"/>
  <c r="B1057" i="80"/>
  <c r="A1057" i="80"/>
  <c r="G1056" i="80"/>
  <c r="F1056" i="80"/>
  <c r="E1056" i="80"/>
  <c r="D1056" i="80"/>
  <c r="C1056" i="80"/>
  <c r="B1056" i="80"/>
  <c r="A1056" i="80"/>
  <c r="G1055" i="80"/>
  <c r="F1055" i="80"/>
  <c r="E1055" i="80"/>
  <c r="D1055" i="80"/>
  <c r="C1055" i="80"/>
  <c r="B1055" i="80"/>
  <c r="A1055" i="80"/>
  <c r="G1054" i="80"/>
  <c r="F1054" i="80"/>
  <c r="E1054" i="80"/>
  <c r="D1054" i="80"/>
  <c r="C1054" i="80"/>
  <c r="B1054" i="80"/>
  <c r="A1054" i="80"/>
  <c r="G1053" i="80"/>
  <c r="F1053" i="80"/>
  <c r="E1053" i="80"/>
  <c r="D1053" i="80"/>
  <c r="C1053" i="80"/>
  <c r="B1053" i="80"/>
  <c r="A1053" i="80"/>
  <c r="G1052" i="80"/>
  <c r="F1052" i="80"/>
  <c r="E1052" i="80"/>
  <c r="D1052" i="80"/>
  <c r="C1052" i="80"/>
  <c r="B1052" i="80"/>
  <c r="A1052" i="80"/>
  <c r="G1051" i="80"/>
  <c r="F1051" i="80"/>
  <c r="E1051" i="80"/>
  <c r="D1051" i="80"/>
  <c r="C1051" i="80"/>
  <c r="B1051" i="80"/>
  <c r="A1051" i="80"/>
  <c r="G1050" i="80"/>
  <c r="F1050" i="80"/>
  <c r="E1050" i="80"/>
  <c r="D1050" i="80"/>
  <c r="C1050" i="80"/>
  <c r="B1050" i="80"/>
  <c r="A1050" i="80"/>
  <c r="G1049" i="80"/>
  <c r="F1049" i="80"/>
  <c r="E1049" i="80"/>
  <c r="D1049" i="80"/>
  <c r="C1049" i="80"/>
  <c r="B1049" i="80"/>
  <c r="A1049" i="80"/>
  <c r="G1048" i="80"/>
  <c r="F1048" i="80"/>
  <c r="E1048" i="80"/>
  <c r="D1048" i="80"/>
  <c r="C1048" i="80"/>
  <c r="B1048" i="80"/>
  <c r="A1048" i="80"/>
  <c r="G1047" i="80"/>
  <c r="F1047" i="80"/>
  <c r="E1047" i="80"/>
  <c r="D1047" i="80"/>
  <c r="C1047" i="80"/>
  <c r="B1047" i="80"/>
  <c r="A1047" i="80"/>
  <c r="G1046" i="80"/>
  <c r="F1046" i="80"/>
  <c r="E1046" i="80"/>
  <c r="D1046" i="80"/>
  <c r="C1046" i="80"/>
  <c r="B1046" i="80"/>
  <c r="A1046" i="80"/>
  <c r="G1045" i="80"/>
  <c r="F1045" i="80"/>
  <c r="E1045" i="80"/>
  <c r="D1045" i="80"/>
  <c r="C1045" i="80"/>
  <c r="B1045" i="80"/>
  <c r="A1045" i="80"/>
  <c r="G1044" i="80"/>
  <c r="F1044" i="80"/>
  <c r="E1044" i="80"/>
  <c r="D1044" i="80"/>
  <c r="C1044" i="80"/>
  <c r="B1044" i="80"/>
  <c r="A1044" i="80"/>
  <c r="G1043" i="80"/>
  <c r="F1043" i="80"/>
  <c r="E1043" i="80"/>
  <c r="D1043" i="80"/>
  <c r="C1043" i="80"/>
  <c r="B1043" i="80"/>
  <c r="A1043" i="80"/>
  <c r="G1042" i="80"/>
  <c r="F1042" i="80"/>
  <c r="E1042" i="80"/>
  <c r="D1042" i="80"/>
  <c r="C1042" i="80"/>
  <c r="B1042" i="80"/>
  <c r="A1042" i="80"/>
  <c r="G1041" i="80"/>
  <c r="F1041" i="80"/>
  <c r="E1041" i="80"/>
  <c r="D1041" i="80"/>
  <c r="C1041" i="80"/>
  <c r="B1041" i="80"/>
  <c r="A1041" i="80"/>
  <c r="G1040" i="80"/>
  <c r="F1040" i="80"/>
  <c r="E1040" i="80"/>
  <c r="D1040" i="80"/>
  <c r="C1040" i="80"/>
  <c r="B1040" i="80"/>
  <c r="A1040" i="80"/>
  <c r="G1039" i="80"/>
  <c r="F1039" i="80"/>
  <c r="E1039" i="80"/>
  <c r="D1039" i="80"/>
  <c r="C1039" i="80"/>
  <c r="B1039" i="80"/>
  <c r="A1039" i="80"/>
  <c r="G1038" i="80"/>
  <c r="F1038" i="80"/>
  <c r="E1038" i="80"/>
  <c r="D1038" i="80"/>
  <c r="C1038" i="80"/>
  <c r="B1038" i="80"/>
  <c r="A1038" i="80"/>
  <c r="G1037" i="80"/>
  <c r="F1037" i="80"/>
  <c r="E1037" i="80"/>
  <c r="D1037" i="80"/>
  <c r="C1037" i="80"/>
  <c r="B1037" i="80"/>
  <c r="A1037" i="80"/>
  <c r="G1036" i="80"/>
  <c r="F1036" i="80"/>
  <c r="E1036" i="80"/>
  <c r="D1036" i="80"/>
  <c r="C1036" i="80"/>
  <c r="B1036" i="80"/>
  <c r="A1036" i="80"/>
  <c r="G1035" i="80"/>
  <c r="F1035" i="80"/>
  <c r="E1035" i="80"/>
  <c r="D1035" i="80"/>
  <c r="C1035" i="80"/>
  <c r="B1035" i="80"/>
  <c r="A1035" i="80"/>
  <c r="G1034" i="80"/>
  <c r="F1034" i="80"/>
  <c r="E1034" i="80"/>
  <c r="D1034" i="80"/>
  <c r="C1034" i="80"/>
  <c r="B1034" i="80"/>
  <c r="A1034" i="80"/>
  <c r="G1033" i="80"/>
  <c r="F1033" i="80"/>
  <c r="E1033" i="80"/>
  <c r="D1033" i="80"/>
  <c r="C1033" i="80"/>
  <c r="B1033" i="80"/>
  <c r="A1033" i="80"/>
  <c r="G1032" i="80"/>
  <c r="F1032" i="80"/>
  <c r="E1032" i="80"/>
  <c r="D1032" i="80"/>
  <c r="C1032" i="80"/>
  <c r="B1032" i="80"/>
  <c r="A1032" i="80"/>
  <c r="G1031" i="80"/>
  <c r="F1031" i="80"/>
  <c r="E1031" i="80"/>
  <c r="D1031" i="80"/>
  <c r="C1031" i="80"/>
  <c r="B1031" i="80"/>
  <c r="A1031" i="80"/>
  <c r="G1030" i="80"/>
  <c r="F1030" i="80"/>
  <c r="E1030" i="80"/>
  <c r="D1030" i="80"/>
  <c r="C1030" i="80"/>
  <c r="B1030" i="80"/>
  <c r="A1030" i="80"/>
  <c r="G1029" i="80"/>
  <c r="F1029" i="80"/>
  <c r="E1029" i="80"/>
  <c r="D1029" i="80"/>
  <c r="C1029" i="80"/>
  <c r="B1029" i="80"/>
  <c r="A1029" i="80"/>
  <c r="G1028" i="80"/>
  <c r="F1028" i="80"/>
  <c r="E1028" i="80"/>
  <c r="D1028" i="80"/>
  <c r="C1028" i="80"/>
  <c r="B1028" i="80"/>
  <c r="A1028" i="80"/>
  <c r="G1027" i="80"/>
  <c r="F1027" i="80"/>
  <c r="E1027" i="80"/>
  <c r="D1027" i="80"/>
  <c r="C1027" i="80"/>
  <c r="B1027" i="80"/>
  <c r="A1027" i="80"/>
  <c r="G1026" i="80"/>
  <c r="F1026" i="80"/>
  <c r="E1026" i="80"/>
  <c r="D1026" i="80"/>
  <c r="C1026" i="80"/>
  <c r="B1026" i="80"/>
  <c r="A1026" i="80"/>
  <c r="G1025" i="80"/>
  <c r="F1025" i="80"/>
  <c r="E1025" i="80"/>
  <c r="D1025" i="80"/>
  <c r="C1025" i="80"/>
  <c r="B1025" i="80"/>
  <c r="A1025" i="80"/>
  <c r="G1024" i="80"/>
  <c r="F1024" i="80"/>
  <c r="E1024" i="80"/>
  <c r="D1024" i="80"/>
  <c r="C1024" i="80"/>
  <c r="B1024" i="80"/>
  <c r="A1024" i="80"/>
  <c r="G1023" i="80"/>
  <c r="F1023" i="80"/>
  <c r="E1023" i="80"/>
  <c r="D1023" i="80"/>
  <c r="C1023" i="80"/>
  <c r="B1023" i="80"/>
  <c r="A1023" i="80"/>
  <c r="G1022" i="80"/>
  <c r="F1022" i="80"/>
  <c r="E1022" i="80"/>
  <c r="D1022" i="80"/>
  <c r="C1022" i="80"/>
  <c r="B1022" i="80"/>
  <c r="A1022" i="80"/>
  <c r="G1021" i="80"/>
  <c r="F1021" i="80"/>
  <c r="E1021" i="80"/>
  <c r="D1021" i="80"/>
  <c r="C1021" i="80"/>
  <c r="B1021" i="80"/>
  <c r="A1021" i="80"/>
  <c r="G1020" i="80"/>
  <c r="F1020" i="80"/>
  <c r="E1020" i="80"/>
  <c r="D1020" i="80"/>
  <c r="C1020" i="80"/>
  <c r="B1020" i="80"/>
  <c r="A1020" i="80"/>
  <c r="G1019" i="80"/>
  <c r="F1019" i="80"/>
  <c r="E1019" i="80"/>
  <c r="D1019" i="80"/>
  <c r="C1019" i="80"/>
  <c r="B1019" i="80"/>
  <c r="A1019" i="80"/>
  <c r="G1018" i="80"/>
  <c r="F1018" i="80"/>
  <c r="E1018" i="80"/>
  <c r="D1018" i="80"/>
  <c r="C1018" i="80"/>
  <c r="B1018" i="80"/>
  <c r="A1018" i="80"/>
  <c r="G1017" i="80"/>
  <c r="F1017" i="80"/>
  <c r="E1017" i="80"/>
  <c r="D1017" i="80"/>
  <c r="C1017" i="80"/>
  <c r="B1017" i="80"/>
  <c r="A1017" i="80"/>
  <c r="G1016" i="80"/>
  <c r="F1016" i="80"/>
  <c r="E1016" i="80"/>
  <c r="D1016" i="80"/>
  <c r="C1016" i="80"/>
  <c r="B1016" i="80"/>
  <c r="A1016" i="80"/>
  <c r="G1015" i="80"/>
  <c r="F1015" i="80"/>
  <c r="E1015" i="80"/>
  <c r="D1015" i="80"/>
  <c r="C1015" i="80"/>
  <c r="B1015" i="80"/>
  <c r="A1015" i="80"/>
  <c r="G1014" i="80"/>
  <c r="F1014" i="80"/>
  <c r="E1014" i="80"/>
  <c r="D1014" i="80"/>
  <c r="C1014" i="80"/>
  <c r="B1014" i="80"/>
  <c r="A1014" i="80"/>
  <c r="G1013" i="80"/>
  <c r="F1013" i="80"/>
  <c r="E1013" i="80"/>
  <c r="D1013" i="80"/>
  <c r="C1013" i="80"/>
  <c r="B1013" i="80"/>
  <c r="A1013" i="80"/>
  <c r="G1012" i="80"/>
  <c r="F1012" i="80"/>
  <c r="E1012" i="80"/>
  <c r="D1012" i="80"/>
  <c r="C1012" i="80"/>
  <c r="B1012" i="80"/>
  <c r="A1012" i="80"/>
  <c r="B1011" i="80"/>
  <c r="B1010" i="80"/>
  <c r="B1009" i="80"/>
  <c r="L1006" i="80"/>
  <c r="K1006" i="80"/>
  <c r="J1006" i="80"/>
  <c r="I1006" i="80"/>
  <c r="H1006" i="80"/>
  <c r="G1006" i="80"/>
  <c r="F1006" i="80"/>
  <c r="E1006" i="80"/>
  <c r="D1006" i="80"/>
  <c r="C1006" i="80"/>
  <c r="B1006" i="80"/>
  <c r="A1006" i="80"/>
  <c r="L1005" i="80"/>
  <c r="K1005" i="80"/>
  <c r="J1005" i="80"/>
  <c r="I1005" i="80"/>
  <c r="H1005" i="80"/>
  <c r="G1005" i="80"/>
  <c r="F1005" i="80"/>
  <c r="E1005" i="80"/>
  <c r="D1005" i="80"/>
  <c r="C1005" i="80"/>
  <c r="B1005" i="80"/>
  <c r="A1005" i="80"/>
  <c r="L1004" i="80"/>
  <c r="K1004" i="80"/>
  <c r="J1004" i="80"/>
  <c r="I1004" i="80"/>
  <c r="H1004" i="80"/>
  <c r="G1004" i="80"/>
  <c r="F1004" i="80"/>
  <c r="E1004" i="80"/>
  <c r="D1004" i="80"/>
  <c r="C1004" i="80"/>
  <c r="B1004" i="80"/>
  <c r="A1004" i="80"/>
  <c r="L1003" i="80"/>
  <c r="K1003" i="80"/>
  <c r="J1003" i="80"/>
  <c r="I1003" i="80"/>
  <c r="H1003" i="80"/>
  <c r="G1003" i="80"/>
  <c r="F1003" i="80"/>
  <c r="E1003" i="80"/>
  <c r="D1003" i="80"/>
  <c r="C1003" i="80"/>
  <c r="B1003" i="80"/>
  <c r="A1003" i="80"/>
  <c r="L1002" i="80"/>
  <c r="K1002" i="80"/>
  <c r="J1002" i="80"/>
  <c r="I1002" i="80"/>
  <c r="H1002" i="80"/>
  <c r="G1002" i="80"/>
  <c r="F1002" i="80"/>
  <c r="E1002" i="80"/>
  <c r="D1002" i="80"/>
  <c r="C1002" i="80"/>
  <c r="B1002" i="80"/>
  <c r="A1002" i="80"/>
  <c r="L1001" i="80"/>
  <c r="K1001" i="80"/>
  <c r="J1001" i="80"/>
  <c r="I1001" i="80"/>
  <c r="H1001" i="80"/>
  <c r="G1001" i="80"/>
  <c r="F1001" i="80"/>
  <c r="E1001" i="80"/>
  <c r="D1001" i="80"/>
  <c r="C1001" i="80"/>
  <c r="B1001" i="80"/>
  <c r="A1001" i="80"/>
  <c r="L1000" i="80"/>
  <c r="K1000" i="80"/>
  <c r="J1000" i="80"/>
  <c r="I1000" i="80"/>
  <c r="H1000" i="80"/>
  <c r="G1000" i="80"/>
  <c r="F1000" i="80"/>
  <c r="E1000" i="80"/>
  <c r="D1000" i="80"/>
  <c r="C1000" i="80"/>
  <c r="B1000" i="80"/>
  <c r="A1000" i="80"/>
  <c r="L999" i="80"/>
  <c r="K999" i="80"/>
  <c r="J999" i="80"/>
  <c r="I999" i="80"/>
  <c r="H999" i="80"/>
  <c r="G999" i="80"/>
  <c r="F999" i="80"/>
  <c r="E999" i="80"/>
  <c r="D999" i="80"/>
  <c r="C999" i="80"/>
  <c r="B999" i="80"/>
  <c r="A999" i="80"/>
  <c r="L998" i="80"/>
  <c r="K998" i="80"/>
  <c r="J998" i="80"/>
  <c r="I998" i="80"/>
  <c r="H998" i="80"/>
  <c r="G998" i="80"/>
  <c r="F998" i="80"/>
  <c r="E998" i="80"/>
  <c r="D998" i="80"/>
  <c r="C998" i="80"/>
  <c r="B998" i="80"/>
  <c r="A998" i="80"/>
  <c r="L997" i="80"/>
  <c r="K997" i="80"/>
  <c r="J997" i="80"/>
  <c r="I997" i="80"/>
  <c r="H997" i="80"/>
  <c r="G997" i="80"/>
  <c r="F997" i="80"/>
  <c r="E997" i="80"/>
  <c r="D997" i="80"/>
  <c r="C997" i="80"/>
  <c r="B997" i="80"/>
  <c r="A997" i="80"/>
  <c r="L996" i="80"/>
  <c r="K996" i="80"/>
  <c r="J996" i="80"/>
  <c r="I996" i="80"/>
  <c r="H996" i="80"/>
  <c r="G996" i="80"/>
  <c r="F996" i="80"/>
  <c r="E996" i="80"/>
  <c r="D996" i="80"/>
  <c r="C996" i="80"/>
  <c r="B996" i="80"/>
  <c r="A996" i="80"/>
  <c r="L995" i="80"/>
  <c r="K995" i="80"/>
  <c r="J995" i="80"/>
  <c r="I995" i="80"/>
  <c r="H995" i="80"/>
  <c r="G995" i="80"/>
  <c r="F995" i="80"/>
  <c r="E995" i="80"/>
  <c r="D995" i="80"/>
  <c r="C995" i="80"/>
  <c r="B995" i="80"/>
  <c r="A995" i="80"/>
  <c r="L994" i="80"/>
  <c r="K994" i="80"/>
  <c r="J994" i="80"/>
  <c r="I994" i="80"/>
  <c r="H994" i="80"/>
  <c r="G994" i="80"/>
  <c r="F994" i="80"/>
  <c r="E994" i="80"/>
  <c r="D994" i="80"/>
  <c r="C994" i="80"/>
  <c r="B994" i="80"/>
  <c r="A994" i="80"/>
  <c r="L993" i="80"/>
  <c r="K993" i="80"/>
  <c r="J993" i="80"/>
  <c r="I993" i="80"/>
  <c r="H993" i="80"/>
  <c r="G993" i="80"/>
  <c r="F993" i="80"/>
  <c r="E993" i="80"/>
  <c r="D993" i="80"/>
  <c r="C993" i="80"/>
  <c r="B993" i="80"/>
  <c r="A993" i="80"/>
  <c r="L992" i="80"/>
  <c r="K992" i="80"/>
  <c r="J992" i="80"/>
  <c r="I992" i="80"/>
  <c r="H992" i="80"/>
  <c r="G992" i="80"/>
  <c r="F992" i="80"/>
  <c r="E992" i="80"/>
  <c r="D992" i="80"/>
  <c r="C992" i="80"/>
  <c r="B992" i="80"/>
  <c r="A992" i="80"/>
  <c r="L991" i="80"/>
  <c r="K991" i="80"/>
  <c r="J991" i="80"/>
  <c r="I991" i="80"/>
  <c r="H991" i="80"/>
  <c r="G991" i="80"/>
  <c r="F991" i="80"/>
  <c r="E991" i="80"/>
  <c r="D991" i="80"/>
  <c r="C991" i="80"/>
  <c r="B991" i="80"/>
  <c r="A991" i="80"/>
  <c r="L990" i="80"/>
  <c r="K990" i="80"/>
  <c r="J990" i="80"/>
  <c r="I990" i="80"/>
  <c r="H990" i="80"/>
  <c r="G990" i="80"/>
  <c r="F990" i="80"/>
  <c r="E990" i="80"/>
  <c r="D990" i="80"/>
  <c r="C990" i="80"/>
  <c r="B990" i="80"/>
  <c r="A990" i="80"/>
  <c r="L989" i="80"/>
  <c r="K989" i="80"/>
  <c r="J989" i="80"/>
  <c r="I989" i="80"/>
  <c r="H989" i="80"/>
  <c r="G989" i="80"/>
  <c r="F989" i="80"/>
  <c r="E989" i="80"/>
  <c r="D989" i="80"/>
  <c r="C989" i="80"/>
  <c r="B989" i="80"/>
  <c r="A989" i="80"/>
  <c r="L988" i="80"/>
  <c r="K988" i="80"/>
  <c r="J988" i="80"/>
  <c r="I988" i="80"/>
  <c r="H988" i="80"/>
  <c r="G988" i="80"/>
  <c r="F988" i="80"/>
  <c r="E988" i="80"/>
  <c r="D988" i="80"/>
  <c r="C988" i="80"/>
  <c r="B988" i="80"/>
  <c r="A988" i="80"/>
  <c r="L987" i="80"/>
  <c r="K987" i="80"/>
  <c r="J987" i="80"/>
  <c r="I987" i="80"/>
  <c r="H987" i="80"/>
  <c r="G987" i="80"/>
  <c r="F987" i="80"/>
  <c r="E987" i="80"/>
  <c r="D987" i="80"/>
  <c r="C987" i="80"/>
  <c r="B987" i="80"/>
  <c r="A987" i="80"/>
  <c r="L986" i="80"/>
  <c r="K986" i="80"/>
  <c r="J986" i="80"/>
  <c r="I986" i="80"/>
  <c r="H986" i="80"/>
  <c r="G986" i="80"/>
  <c r="F986" i="80"/>
  <c r="E986" i="80"/>
  <c r="D986" i="80"/>
  <c r="C986" i="80"/>
  <c r="B986" i="80"/>
  <c r="A986" i="80"/>
  <c r="L985" i="80"/>
  <c r="K985" i="80"/>
  <c r="J985" i="80"/>
  <c r="I985" i="80"/>
  <c r="H985" i="80"/>
  <c r="G985" i="80"/>
  <c r="F985" i="80"/>
  <c r="E985" i="80"/>
  <c r="D985" i="80"/>
  <c r="C985" i="80"/>
  <c r="B985" i="80"/>
  <c r="A985" i="80"/>
  <c r="L984" i="80"/>
  <c r="K984" i="80"/>
  <c r="J984" i="80"/>
  <c r="I984" i="80"/>
  <c r="H984" i="80"/>
  <c r="G984" i="80"/>
  <c r="F984" i="80"/>
  <c r="E984" i="80"/>
  <c r="D984" i="80"/>
  <c r="C984" i="80"/>
  <c r="B984" i="80"/>
  <c r="A984" i="80"/>
  <c r="L983" i="80"/>
  <c r="K983" i="80"/>
  <c r="J983" i="80"/>
  <c r="I983" i="80"/>
  <c r="H983" i="80"/>
  <c r="G983" i="80"/>
  <c r="F983" i="80"/>
  <c r="E983" i="80"/>
  <c r="D983" i="80"/>
  <c r="C983" i="80"/>
  <c r="B983" i="80"/>
  <c r="A983" i="80"/>
  <c r="L982" i="80"/>
  <c r="K982" i="80"/>
  <c r="J982" i="80"/>
  <c r="I982" i="80"/>
  <c r="H982" i="80"/>
  <c r="G982" i="80"/>
  <c r="F982" i="80"/>
  <c r="E982" i="80"/>
  <c r="D982" i="80"/>
  <c r="C982" i="80"/>
  <c r="B982" i="80"/>
  <c r="A982" i="80"/>
  <c r="L981" i="80"/>
  <c r="K981" i="80"/>
  <c r="J981" i="80"/>
  <c r="I981" i="80"/>
  <c r="H981" i="80"/>
  <c r="G981" i="80"/>
  <c r="F981" i="80"/>
  <c r="E981" i="80"/>
  <c r="D981" i="80"/>
  <c r="C981" i="80"/>
  <c r="B981" i="80"/>
  <c r="A981" i="80"/>
  <c r="L980" i="80"/>
  <c r="K980" i="80"/>
  <c r="J980" i="80"/>
  <c r="I980" i="80"/>
  <c r="H980" i="80"/>
  <c r="G980" i="80"/>
  <c r="F980" i="80"/>
  <c r="E980" i="80"/>
  <c r="D980" i="80"/>
  <c r="C980" i="80"/>
  <c r="B980" i="80"/>
  <c r="A980" i="80"/>
  <c r="L979" i="80"/>
  <c r="K979" i="80"/>
  <c r="J979" i="80"/>
  <c r="I979" i="80"/>
  <c r="H979" i="80"/>
  <c r="G979" i="80"/>
  <c r="F979" i="80"/>
  <c r="E979" i="80"/>
  <c r="D979" i="80"/>
  <c r="C979" i="80"/>
  <c r="B979" i="80"/>
  <c r="A979" i="80"/>
  <c r="L978" i="80"/>
  <c r="K978" i="80"/>
  <c r="J978" i="80"/>
  <c r="I978" i="80"/>
  <c r="H978" i="80"/>
  <c r="G978" i="80"/>
  <c r="F978" i="80"/>
  <c r="E978" i="80"/>
  <c r="D978" i="80"/>
  <c r="C978" i="80"/>
  <c r="B978" i="80"/>
  <c r="A978" i="80"/>
  <c r="L977" i="80"/>
  <c r="K977" i="80"/>
  <c r="J977" i="80"/>
  <c r="I977" i="80"/>
  <c r="H977" i="80"/>
  <c r="G977" i="80"/>
  <c r="F977" i="80"/>
  <c r="E977" i="80"/>
  <c r="D977" i="80"/>
  <c r="C977" i="80"/>
  <c r="B977" i="80"/>
  <c r="A977" i="80"/>
  <c r="L976" i="80"/>
  <c r="K976" i="80"/>
  <c r="J976" i="80"/>
  <c r="I976" i="80"/>
  <c r="H976" i="80"/>
  <c r="G976" i="80"/>
  <c r="F976" i="80"/>
  <c r="E976" i="80"/>
  <c r="D976" i="80"/>
  <c r="C976" i="80"/>
  <c r="B976" i="80"/>
  <c r="A976" i="80"/>
  <c r="L975" i="80"/>
  <c r="K975" i="80"/>
  <c r="J975" i="80"/>
  <c r="I975" i="80"/>
  <c r="H975" i="80"/>
  <c r="G975" i="80"/>
  <c r="F975" i="80"/>
  <c r="E975" i="80"/>
  <c r="D975" i="80"/>
  <c r="C975" i="80"/>
  <c r="B975" i="80"/>
  <c r="A975" i="80"/>
  <c r="L974" i="80"/>
  <c r="K974" i="80"/>
  <c r="J974" i="80"/>
  <c r="I974" i="80"/>
  <c r="H974" i="80"/>
  <c r="G974" i="80"/>
  <c r="F974" i="80"/>
  <c r="E974" i="80"/>
  <c r="D974" i="80"/>
  <c r="C974" i="80"/>
  <c r="B974" i="80"/>
  <c r="A974" i="80"/>
  <c r="L973" i="80"/>
  <c r="K973" i="80"/>
  <c r="J973" i="80"/>
  <c r="I973" i="80"/>
  <c r="H973" i="80"/>
  <c r="G973" i="80"/>
  <c r="F973" i="80"/>
  <c r="E973" i="80"/>
  <c r="D973" i="80"/>
  <c r="C973" i="80"/>
  <c r="B973" i="80"/>
  <c r="A973" i="80"/>
  <c r="L972" i="80"/>
  <c r="K972" i="80"/>
  <c r="J972" i="80"/>
  <c r="I972" i="80"/>
  <c r="H972" i="80"/>
  <c r="G972" i="80"/>
  <c r="F972" i="80"/>
  <c r="E972" i="80"/>
  <c r="D972" i="80"/>
  <c r="C972" i="80"/>
  <c r="B972" i="80"/>
  <c r="A972" i="80"/>
  <c r="L971" i="80"/>
  <c r="K971" i="80"/>
  <c r="J971" i="80"/>
  <c r="I971" i="80"/>
  <c r="H971" i="80"/>
  <c r="G971" i="80"/>
  <c r="F971" i="80"/>
  <c r="E971" i="80"/>
  <c r="D971" i="80"/>
  <c r="C971" i="80"/>
  <c r="B971" i="80"/>
  <c r="A971" i="80"/>
  <c r="L970" i="80"/>
  <c r="K970" i="80"/>
  <c r="J970" i="80"/>
  <c r="I970" i="80"/>
  <c r="H970" i="80"/>
  <c r="G970" i="80"/>
  <c r="F970" i="80"/>
  <c r="E970" i="80"/>
  <c r="D970" i="80"/>
  <c r="C970" i="80"/>
  <c r="B970" i="80"/>
  <c r="A970" i="80"/>
  <c r="L969" i="80"/>
  <c r="K969" i="80"/>
  <c r="J969" i="80"/>
  <c r="I969" i="80"/>
  <c r="H969" i="80"/>
  <c r="G969" i="80"/>
  <c r="F969" i="80"/>
  <c r="E969" i="80"/>
  <c r="D969" i="80"/>
  <c r="C969" i="80"/>
  <c r="B969" i="80"/>
  <c r="A969" i="80"/>
  <c r="L968" i="80"/>
  <c r="K968" i="80"/>
  <c r="J968" i="80"/>
  <c r="I968" i="80"/>
  <c r="H968" i="80"/>
  <c r="G968" i="80"/>
  <c r="F968" i="80"/>
  <c r="E968" i="80"/>
  <c r="D968" i="80"/>
  <c r="C968" i="80"/>
  <c r="B968" i="80"/>
  <c r="A968" i="80"/>
  <c r="L967" i="80"/>
  <c r="K967" i="80"/>
  <c r="J967" i="80"/>
  <c r="I967" i="80"/>
  <c r="H967" i="80"/>
  <c r="G967" i="80"/>
  <c r="F967" i="80"/>
  <c r="E967" i="80"/>
  <c r="D967" i="80"/>
  <c r="C967" i="80"/>
  <c r="B967" i="80"/>
  <c r="A967" i="80"/>
  <c r="L966" i="80"/>
  <c r="K966" i="80"/>
  <c r="J966" i="80"/>
  <c r="I966" i="80"/>
  <c r="H966" i="80"/>
  <c r="G966" i="80"/>
  <c r="F966" i="80"/>
  <c r="E966" i="80"/>
  <c r="D966" i="80"/>
  <c r="C966" i="80"/>
  <c r="B966" i="80"/>
  <c r="A966" i="80"/>
  <c r="L965" i="80"/>
  <c r="K965" i="80"/>
  <c r="J965" i="80"/>
  <c r="I965" i="80"/>
  <c r="H965" i="80"/>
  <c r="G965" i="80"/>
  <c r="F965" i="80"/>
  <c r="E965" i="80"/>
  <c r="D965" i="80"/>
  <c r="C965" i="80"/>
  <c r="B965" i="80"/>
  <c r="A965" i="80"/>
  <c r="L964" i="80"/>
  <c r="K964" i="80"/>
  <c r="J964" i="80"/>
  <c r="I964" i="80"/>
  <c r="H964" i="80"/>
  <c r="G964" i="80"/>
  <c r="F964" i="80"/>
  <c r="E964" i="80"/>
  <c r="D964" i="80"/>
  <c r="C964" i="80"/>
  <c r="B964" i="80"/>
  <c r="A964" i="80"/>
  <c r="L963" i="80"/>
  <c r="K963" i="80"/>
  <c r="J963" i="80"/>
  <c r="I963" i="80"/>
  <c r="H963" i="80"/>
  <c r="G963" i="80"/>
  <c r="F963" i="80"/>
  <c r="E963" i="80"/>
  <c r="D963" i="80"/>
  <c r="C963" i="80"/>
  <c r="B963" i="80"/>
  <c r="A963" i="80"/>
  <c r="L962" i="80"/>
  <c r="K962" i="80"/>
  <c r="J962" i="80"/>
  <c r="I962" i="80"/>
  <c r="H962" i="80"/>
  <c r="G962" i="80"/>
  <c r="F962" i="80"/>
  <c r="E962" i="80"/>
  <c r="D962" i="80"/>
  <c r="C962" i="80"/>
  <c r="B962" i="80"/>
  <c r="A962" i="80"/>
  <c r="L961" i="80"/>
  <c r="K961" i="80"/>
  <c r="J961" i="80"/>
  <c r="I961" i="80"/>
  <c r="H961" i="80"/>
  <c r="G961" i="80"/>
  <c r="F961" i="80"/>
  <c r="E961" i="80"/>
  <c r="D961" i="80"/>
  <c r="C961" i="80"/>
  <c r="B961" i="80"/>
  <c r="A961" i="80"/>
  <c r="L960" i="80"/>
  <c r="K960" i="80"/>
  <c r="J960" i="80"/>
  <c r="I960" i="80"/>
  <c r="H960" i="80"/>
  <c r="G960" i="80"/>
  <c r="F960" i="80"/>
  <c r="E960" i="80"/>
  <c r="D960" i="80"/>
  <c r="C960" i="80"/>
  <c r="B960" i="80"/>
  <c r="A960" i="80"/>
  <c r="L959" i="80"/>
  <c r="K959" i="80"/>
  <c r="J959" i="80"/>
  <c r="I959" i="80"/>
  <c r="H959" i="80"/>
  <c r="G959" i="80"/>
  <c r="F959" i="80"/>
  <c r="E959" i="80"/>
  <c r="D959" i="80"/>
  <c r="C959" i="80"/>
  <c r="B959" i="80"/>
  <c r="A959" i="80"/>
  <c r="L958" i="80"/>
  <c r="K958" i="80"/>
  <c r="J958" i="80"/>
  <c r="I958" i="80"/>
  <c r="H958" i="80"/>
  <c r="G958" i="80"/>
  <c r="F958" i="80"/>
  <c r="E958" i="80"/>
  <c r="D958" i="80"/>
  <c r="C958" i="80"/>
  <c r="B958" i="80"/>
  <c r="A958" i="80"/>
  <c r="L957" i="80"/>
  <c r="K957" i="80"/>
  <c r="J957" i="80"/>
  <c r="I957" i="80"/>
  <c r="H957" i="80"/>
  <c r="G957" i="80"/>
  <c r="F957" i="80"/>
  <c r="E957" i="80"/>
  <c r="D957" i="80"/>
  <c r="C957" i="80"/>
  <c r="B957" i="80"/>
  <c r="A957" i="80"/>
  <c r="L956" i="80"/>
  <c r="K956" i="80"/>
  <c r="J956" i="80"/>
  <c r="I956" i="80"/>
  <c r="H956" i="80"/>
  <c r="G956" i="80"/>
  <c r="F956" i="80"/>
  <c r="E956" i="80"/>
  <c r="D956" i="80"/>
  <c r="C956" i="80"/>
  <c r="B956" i="80"/>
  <c r="A956" i="80"/>
  <c r="L955" i="80"/>
  <c r="K955" i="80"/>
  <c r="J955" i="80"/>
  <c r="I955" i="80"/>
  <c r="H955" i="80"/>
  <c r="G955" i="80"/>
  <c r="F955" i="80"/>
  <c r="E955" i="80"/>
  <c r="D955" i="80"/>
  <c r="C955" i="80"/>
  <c r="B955" i="80"/>
  <c r="A955" i="80"/>
  <c r="L954" i="80"/>
  <c r="K954" i="80"/>
  <c r="J954" i="80"/>
  <c r="I954" i="80"/>
  <c r="H954" i="80"/>
  <c r="G954" i="80"/>
  <c r="F954" i="80"/>
  <c r="E954" i="80"/>
  <c r="D954" i="80"/>
  <c r="C954" i="80"/>
  <c r="B954" i="80"/>
  <c r="A954" i="80"/>
  <c r="L953" i="80"/>
  <c r="K953" i="80"/>
  <c r="J953" i="80"/>
  <c r="I953" i="80"/>
  <c r="H953" i="80"/>
  <c r="G953" i="80"/>
  <c r="F953" i="80"/>
  <c r="E953" i="80"/>
  <c r="D953" i="80"/>
  <c r="C953" i="80"/>
  <c r="B953" i="80"/>
  <c r="A953" i="80"/>
  <c r="L952" i="80"/>
  <c r="K952" i="80"/>
  <c r="J952" i="80"/>
  <c r="I952" i="80"/>
  <c r="H952" i="80"/>
  <c r="G952" i="80"/>
  <c r="F952" i="80"/>
  <c r="E952" i="80"/>
  <c r="D952" i="80"/>
  <c r="C952" i="80"/>
  <c r="B952" i="80"/>
  <c r="A952" i="80"/>
  <c r="L951" i="80"/>
  <c r="K951" i="80"/>
  <c r="J951" i="80"/>
  <c r="I951" i="80"/>
  <c r="H951" i="80"/>
  <c r="G951" i="80"/>
  <c r="F951" i="80"/>
  <c r="E951" i="80"/>
  <c r="D951" i="80"/>
  <c r="C951" i="80"/>
  <c r="B951" i="80"/>
  <c r="A951" i="80"/>
  <c r="L950" i="80"/>
  <c r="K950" i="80"/>
  <c r="J950" i="80"/>
  <c r="I950" i="80"/>
  <c r="H950" i="80"/>
  <c r="G950" i="80"/>
  <c r="F950" i="80"/>
  <c r="E950" i="80"/>
  <c r="D950" i="80"/>
  <c r="C950" i="80"/>
  <c r="B950" i="80"/>
  <c r="A950" i="80"/>
  <c r="L949" i="80"/>
  <c r="K949" i="80"/>
  <c r="J949" i="80"/>
  <c r="I949" i="80"/>
  <c r="H949" i="80"/>
  <c r="G949" i="80"/>
  <c r="F949" i="80"/>
  <c r="E949" i="80"/>
  <c r="D949" i="80"/>
  <c r="C949" i="80"/>
  <c r="B949" i="80"/>
  <c r="A949" i="80"/>
  <c r="L948" i="80"/>
  <c r="K948" i="80"/>
  <c r="J948" i="80"/>
  <c r="I948" i="80"/>
  <c r="H948" i="80"/>
  <c r="G948" i="80"/>
  <c r="F948" i="80"/>
  <c r="E948" i="80"/>
  <c r="D948" i="80"/>
  <c r="C948" i="80"/>
  <c r="B948" i="80"/>
  <c r="A948" i="80"/>
  <c r="L947" i="80"/>
  <c r="K947" i="80"/>
  <c r="J947" i="80"/>
  <c r="I947" i="80"/>
  <c r="H947" i="80"/>
  <c r="G947" i="80"/>
  <c r="F947" i="80"/>
  <c r="E947" i="80"/>
  <c r="D947" i="80"/>
  <c r="C947" i="80"/>
  <c r="B947" i="80"/>
  <c r="A947" i="80"/>
  <c r="L946" i="80"/>
  <c r="K946" i="80"/>
  <c r="J946" i="80"/>
  <c r="I946" i="80"/>
  <c r="H946" i="80"/>
  <c r="G946" i="80"/>
  <c r="F946" i="80"/>
  <c r="E946" i="80"/>
  <c r="D946" i="80"/>
  <c r="C946" i="80"/>
  <c r="B946" i="80"/>
  <c r="A946" i="80"/>
  <c r="L945" i="80"/>
  <c r="K945" i="80"/>
  <c r="J945" i="80"/>
  <c r="I945" i="80"/>
  <c r="H945" i="80"/>
  <c r="G945" i="80"/>
  <c r="F945" i="80"/>
  <c r="E945" i="80"/>
  <c r="D945" i="80"/>
  <c r="C945" i="80"/>
  <c r="B945" i="80"/>
  <c r="A945" i="80"/>
  <c r="L944" i="80"/>
  <c r="K944" i="80"/>
  <c r="J944" i="80"/>
  <c r="I944" i="80"/>
  <c r="H944" i="80"/>
  <c r="G944" i="80"/>
  <c r="F944" i="80"/>
  <c r="E944" i="80"/>
  <c r="D944" i="80"/>
  <c r="C944" i="80"/>
  <c r="B944" i="80"/>
  <c r="A944" i="80"/>
  <c r="L943" i="80"/>
  <c r="K943" i="80"/>
  <c r="J943" i="80"/>
  <c r="I943" i="80"/>
  <c r="H943" i="80"/>
  <c r="G943" i="80"/>
  <c r="F943" i="80"/>
  <c r="E943" i="80"/>
  <c r="D943" i="80"/>
  <c r="C943" i="80"/>
  <c r="B943" i="80"/>
  <c r="A943" i="80"/>
  <c r="L942" i="80"/>
  <c r="K942" i="80"/>
  <c r="J942" i="80"/>
  <c r="I942" i="80"/>
  <c r="H942" i="80"/>
  <c r="G942" i="80"/>
  <c r="F942" i="80"/>
  <c r="E942" i="80"/>
  <c r="D942" i="80"/>
  <c r="C942" i="80"/>
  <c r="B942" i="80"/>
  <c r="A942" i="80"/>
  <c r="L941" i="80"/>
  <c r="K941" i="80"/>
  <c r="J941" i="80"/>
  <c r="I941" i="80"/>
  <c r="H941" i="80"/>
  <c r="G941" i="80"/>
  <c r="F941" i="80"/>
  <c r="E941" i="80"/>
  <c r="D941" i="80"/>
  <c r="C941" i="80"/>
  <c r="B941" i="80"/>
  <c r="A941" i="80"/>
  <c r="L940" i="80"/>
  <c r="K940" i="80"/>
  <c r="J940" i="80"/>
  <c r="I940" i="80"/>
  <c r="H940" i="80"/>
  <c r="G940" i="80"/>
  <c r="F940" i="80"/>
  <c r="E940" i="80"/>
  <c r="D940" i="80"/>
  <c r="C940" i="80"/>
  <c r="B940" i="80"/>
  <c r="A940" i="80"/>
  <c r="L939" i="80"/>
  <c r="K939" i="80"/>
  <c r="J939" i="80"/>
  <c r="I939" i="80"/>
  <c r="H939" i="80"/>
  <c r="G939" i="80"/>
  <c r="F939" i="80"/>
  <c r="E939" i="80"/>
  <c r="D939" i="80"/>
  <c r="C939" i="80"/>
  <c r="B939" i="80"/>
  <c r="A939" i="80"/>
  <c r="L938" i="80"/>
  <c r="K938" i="80"/>
  <c r="J938" i="80"/>
  <c r="I938" i="80"/>
  <c r="H938" i="80"/>
  <c r="G938" i="80"/>
  <c r="F938" i="80"/>
  <c r="E938" i="80"/>
  <c r="D938" i="80"/>
  <c r="C938" i="80"/>
  <c r="B938" i="80"/>
  <c r="A938" i="80"/>
  <c r="L937" i="80"/>
  <c r="K937" i="80"/>
  <c r="J937" i="80"/>
  <c r="I937" i="80"/>
  <c r="H937" i="80"/>
  <c r="G937" i="80"/>
  <c r="F937" i="80"/>
  <c r="E937" i="80"/>
  <c r="D937" i="80"/>
  <c r="C937" i="80"/>
  <c r="B937" i="80"/>
  <c r="A937" i="80"/>
  <c r="L936" i="80"/>
  <c r="K936" i="80"/>
  <c r="J936" i="80"/>
  <c r="I936" i="80"/>
  <c r="H936" i="80"/>
  <c r="G936" i="80"/>
  <c r="F936" i="80"/>
  <c r="E936" i="80"/>
  <c r="D936" i="80"/>
  <c r="C936" i="80"/>
  <c r="B936" i="80"/>
  <c r="A936" i="80"/>
  <c r="L935" i="80"/>
  <c r="K935" i="80"/>
  <c r="J935" i="80"/>
  <c r="I935" i="80"/>
  <c r="H935" i="80"/>
  <c r="G935" i="80"/>
  <c r="F935" i="80"/>
  <c r="E935" i="80"/>
  <c r="D935" i="80"/>
  <c r="C935" i="80"/>
  <c r="B935" i="80"/>
  <c r="A935" i="80"/>
  <c r="L934" i="80"/>
  <c r="K934" i="80"/>
  <c r="J934" i="80"/>
  <c r="I934" i="80"/>
  <c r="H934" i="80"/>
  <c r="G934" i="80"/>
  <c r="F934" i="80"/>
  <c r="E934" i="80"/>
  <c r="D934" i="80"/>
  <c r="C934" i="80"/>
  <c r="B934" i="80"/>
  <c r="A934" i="80"/>
  <c r="L933" i="80"/>
  <c r="K933" i="80"/>
  <c r="J933" i="80"/>
  <c r="I933" i="80"/>
  <c r="H933" i="80"/>
  <c r="G933" i="80"/>
  <c r="F933" i="80"/>
  <c r="E933" i="80"/>
  <c r="D933" i="80"/>
  <c r="C933" i="80"/>
  <c r="B933" i="80"/>
  <c r="A933" i="80"/>
  <c r="L932" i="80"/>
  <c r="K932" i="80"/>
  <c r="J932" i="80"/>
  <c r="I932" i="80"/>
  <c r="H932" i="80"/>
  <c r="G932" i="80"/>
  <c r="F932" i="80"/>
  <c r="E932" i="80"/>
  <c r="D932" i="80"/>
  <c r="C932" i="80"/>
  <c r="B932" i="80"/>
  <c r="A932" i="80"/>
  <c r="L931" i="80"/>
  <c r="K931" i="80"/>
  <c r="J931" i="80"/>
  <c r="I931" i="80"/>
  <c r="H931" i="80"/>
  <c r="G931" i="80"/>
  <c r="F931" i="80"/>
  <c r="E931" i="80"/>
  <c r="D931" i="80"/>
  <c r="C931" i="80"/>
  <c r="B931" i="80"/>
  <c r="A931" i="80"/>
  <c r="L930" i="80"/>
  <c r="K930" i="80"/>
  <c r="J930" i="80"/>
  <c r="I930" i="80"/>
  <c r="H930" i="80"/>
  <c r="G930" i="80"/>
  <c r="F930" i="80"/>
  <c r="E930" i="80"/>
  <c r="D930" i="80"/>
  <c r="C930" i="80"/>
  <c r="B930" i="80"/>
  <c r="A930" i="80"/>
  <c r="L929" i="80"/>
  <c r="K929" i="80"/>
  <c r="J929" i="80"/>
  <c r="I929" i="80"/>
  <c r="H929" i="80"/>
  <c r="G929" i="80"/>
  <c r="F929" i="80"/>
  <c r="E929" i="80"/>
  <c r="D929" i="80"/>
  <c r="C929" i="80"/>
  <c r="B929" i="80"/>
  <c r="A929" i="80"/>
  <c r="L928" i="80"/>
  <c r="K928" i="80"/>
  <c r="J928" i="80"/>
  <c r="I928" i="80"/>
  <c r="H928" i="80"/>
  <c r="G928" i="80"/>
  <c r="F928" i="80"/>
  <c r="E928" i="80"/>
  <c r="D928" i="80"/>
  <c r="C928" i="80"/>
  <c r="B928" i="80"/>
  <c r="A928" i="80"/>
  <c r="L927" i="80"/>
  <c r="K927" i="80"/>
  <c r="J927" i="80"/>
  <c r="I927" i="80"/>
  <c r="H927" i="80"/>
  <c r="G927" i="80"/>
  <c r="F927" i="80"/>
  <c r="E927" i="80"/>
  <c r="D927" i="80"/>
  <c r="C927" i="80"/>
  <c r="B927" i="80"/>
  <c r="A927" i="80"/>
  <c r="L926" i="80"/>
  <c r="K926" i="80"/>
  <c r="J926" i="80"/>
  <c r="I926" i="80"/>
  <c r="H926" i="80"/>
  <c r="G926" i="80"/>
  <c r="F926" i="80"/>
  <c r="E926" i="80"/>
  <c r="D926" i="80"/>
  <c r="C926" i="80"/>
  <c r="B926" i="80"/>
  <c r="A926" i="80"/>
  <c r="L925" i="80"/>
  <c r="K925" i="80"/>
  <c r="J925" i="80"/>
  <c r="I925" i="80"/>
  <c r="H925" i="80"/>
  <c r="G925" i="80"/>
  <c r="F925" i="80"/>
  <c r="E925" i="80"/>
  <c r="D925" i="80"/>
  <c r="C925" i="80"/>
  <c r="B925" i="80"/>
  <c r="A925" i="80"/>
  <c r="L924" i="80"/>
  <c r="K924" i="80"/>
  <c r="J924" i="80"/>
  <c r="I924" i="80"/>
  <c r="H924" i="80"/>
  <c r="G924" i="80"/>
  <c r="F924" i="80"/>
  <c r="E924" i="80"/>
  <c r="D924" i="80"/>
  <c r="C924" i="80"/>
  <c r="B924" i="80"/>
  <c r="A924" i="80"/>
  <c r="L923" i="80"/>
  <c r="K923" i="80"/>
  <c r="J923" i="80"/>
  <c r="I923" i="80"/>
  <c r="H923" i="80"/>
  <c r="G923" i="80"/>
  <c r="F923" i="80"/>
  <c r="E923" i="80"/>
  <c r="D923" i="80"/>
  <c r="C923" i="80"/>
  <c r="B923" i="80"/>
  <c r="A923" i="80"/>
  <c r="L922" i="80"/>
  <c r="K922" i="80"/>
  <c r="J922" i="80"/>
  <c r="I922" i="80"/>
  <c r="H922" i="80"/>
  <c r="G922" i="80"/>
  <c r="F922" i="80"/>
  <c r="E922" i="80"/>
  <c r="D922" i="80"/>
  <c r="C922" i="80"/>
  <c r="B922" i="80"/>
  <c r="A922" i="80"/>
  <c r="L921" i="80"/>
  <c r="K921" i="80"/>
  <c r="J921" i="80"/>
  <c r="I921" i="80"/>
  <c r="H921" i="80"/>
  <c r="G921" i="80"/>
  <c r="F921" i="80"/>
  <c r="E921" i="80"/>
  <c r="D921" i="80"/>
  <c r="C921" i="80"/>
  <c r="B921" i="80"/>
  <c r="A921" i="80"/>
  <c r="L920" i="80"/>
  <c r="K920" i="80"/>
  <c r="J920" i="80"/>
  <c r="I920" i="80"/>
  <c r="H920" i="80"/>
  <c r="G920" i="80"/>
  <c r="F920" i="80"/>
  <c r="E920" i="80"/>
  <c r="D920" i="80"/>
  <c r="C920" i="80"/>
  <c r="B920" i="80"/>
  <c r="A920" i="80"/>
  <c r="L919" i="80"/>
  <c r="K919" i="80"/>
  <c r="J919" i="80"/>
  <c r="I919" i="80"/>
  <c r="H919" i="80"/>
  <c r="G919" i="80"/>
  <c r="F919" i="80"/>
  <c r="E919" i="80"/>
  <c r="D919" i="80"/>
  <c r="C919" i="80"/>
  <c r="B919" i="80"/>
  <c r="A919" i="80"/>
  <c r="L918" i="80"/>
  <c r="K918" i="80"/>
  <c r="J918" i="80"/>
  <c r="I918" i="80"/>
  <c r="H918" i="80"/>
  <c r="G918" i="80"/>
  <c r="F918" i="80"/>
  <c r="E918" i="80"/>
  <c r="D918" i="80"/>
  <c r="C918" i="80"/>
  <c r="B918" i="80"/>
  <c r="A918" i="80"/>
  <c r="L917" i="80"/>
  <c r="K917" i="80"/>
  <c r="J917" i="80"/>
  <c r="I917" i="80"/>
  <c r="H917" i="80"/>
  <c r="G917" i="80"/>
  <c r="F917" i="80"/>
  <c r="E917" i="80"/>
  <c r="D917" i="80"/>
  <c r="C917" i="80"/>
  <c r="B917" i="80"/>
  <c r="A917" i="80"/>
  <c r="L916" i="80"/>
  <c r="K916" i="80"/>
  <c r="J916" i="80"/>
  <c r="I916" i="80"/>
  <c r="H916" i="80"/>
  <c r="G916" i="80"/>
  <c r="F916" i="80"/>
  <c r="E916" i="80"/>
  <c r="D916" i="80"/>
  <c r="C916" i="80"/>
  <c r="B916" i="80"/>
  <c r="A916" i="80"/>
  <c r="L915" i="80"/>
  <c r="K915" i="80"/>
  <c r="J915" i="80"/>
  <c r="I915" i="80"/>
  <c r="H915" i="80"/>
  <c r="G915" i="80"/>
  <c r="F915" i="80"/>
  <c r="E915" i="80"/>
  <c r="D915" i="80"/>
  <c r="C915" i="80"/>
  <c r="B915" i="80"/>
  <c r="A915" i="80"/>
  <c r="L914" i="80"/>
  <c r="K914" i="80"/>
  <c r="J914" i="80"/>
  <c r="I914" i="80"/>
  <c r="H914" i="80"/>
  <c r="G914" i="80"/>
  <c r="F914" i="80"/>
  <c r="E914" i="80"/>
  <c r="D914" i="80"/>
  <c r="C914" i="80"/>
  <c r="B914" i="80"/>
  <c r="A914" i="80"/>
  <c r="L913" i="80"/>
  <c r="K913" i="80"/>
  <c r="J913" i="80"/>
  <c r="I913" i="80"/>
  <c r="H913" i="80"/>
  <c r="G913" i="80"/>
  <c r="F913" i="80"/>
  <c r="E913" i="80"/>
  <c r="D913" i="80"/>
  <c r="C913" i="80"/>
  <c r="B913" i="80"/>
  <c r="A913" i="80"/>
  <c r="L912" i="80"/>
  <c r="K912" i="80"/>
  <c r="J912" i="80"/>
  <c r="I912" i="80"/>
  <c r="H912" i="80"/>
  <c r="G912" i="80"/>
  <c r="F912" i="80"/>
  <c r="E912" i="80"/>
  <c r="D912" i="80"/>
  <c r="C912" i="80"/>
  <c r="B912" i="80"/>
  <c r="A912" i="80"/>
  <c r="L911" i="80"/>
  <c r="K911" i="80"/>
  <c r="J911" i="80"/>
  <c r="I911" i="80"/>
  <c r="H911" i="80"/>
  <c r="G911" i="80"/>
  <c r="F911" i="80"/>
  <c r="E911" i="80"/>
  <c r="D911" i="80"/>
  <c r="C911" i="80"/>
  <c r="B911" i="80"/>
  <c r="A911" i="80"/>
  <c r="L910" i="80"/>
  <c r="K910" i="80"/>
  <c r="J910" i="80"/>
  <c r="I910" i="80"/>
  <c r="H910" i="80"/>
  <c r="G910" i="80"/>
  <c r="F910" i="80"/>
  <c r="E910" i="80"/>
  <c r="D910" i="80"/>
  <c r="C910" i="80"/>
  <c r="B910" i="80"/>
  <c r="A910" i="80"/>
  <c r="L909" i="80"/>
  <c r="K909" i="80"/>
  <c r="J909" i="80"/>
  <c r="I909" i="80"/>
  <c r="H909" i="80"/>
  <c r="G909" i="80"/>
  <c r="F909" i="80"/>
  <c r="E909" i="80"/>
  <c r="D909" i="80"/>
  <c r="C909" i="80"/>
  <c r="B909" i="80"/>
  <c r="A909" i="80"/>
  <c r="L908" i="80"/>
  <c r="K908" i="80"/>
  <c r="J908" i="80"/>
  <c r="I908" i="80"/>
  <c r="H908" i="80"/>
  <c r="G908" i="80"/>
  <c r="F908" i="80"/>
  <c r="E908" i="80"/>
  <c r="D908" i="80"/>
  <c r="C908" i="80"/>
  <c r="B908" i="80"/>
  <c r="A908" i="80"/>
  <c r="L907" i="80"/>
  <c r="K907" i="80"/>
  <c r="J907" i="80"/>
  <c r="I907" i="80"/>
  <c r="H907" i="80"/>
  <c r="G907" i="80"/>
  <c r="F907" i="80"/>
  <c r="E907" i="80"/>
  <c r="D907" i="80"/>
  <c r="C907" i="80"/>
  <c r="B907" i="80"/>
  <c r="A907" i="80"/>
  <c r="L906" i="80"/>
  <c r="K906" i="80"/>
  <c r="J906" i="80"/>
  <c r="I906" i="80"/>
  <c r="H906" i="80"/>
  <c r="G906" i="80"/>
  <c r="F906" i="80"/>
  <c r="E906" i="80"/>
  <c r="D906" i="80"/>
  <c r="C906" i="80"/>
  <c r="B906" i="80"/>
  <c r="A906" i="80"/>
  <c r="L905" i="80"/>
  <c r="K905" i="80"/>
  <c r="J905" i="80"/>
  <c r="I905" i="80"/>
  <c r="H905" i="80"/>
  <c r="G905" i="80"/>
  <c r="F905" i="80"/>
  <c r="E905" i="80"/>
  <c r="D905" i="80"/>
  <c r="C905" i="80"/>
  <c r="B905" i="80"/>
  <c r="A905" i="80"/>
  <c r="L904" i="80"/>
  <c r="K904" i="80"/>
  <c r="J904" i="80"/>
  <c r="I904" i="80"/>
  <c r="H904" i="80"/>
  <c r="G904" i="80"/>
  <c r="F904" i="80"/>
  <c r="E904" i="80"/>
  <c r="D904" i="80"/>
  <c r="C904" i="80"/>
  <c r="B904" i="80"/>
  <c r="A904" i="80"/>
  <c r="L903" i="80"/>
  <c r="K903" i="80"/>
  <c r="J903" i="80"/>
  <c r="I903" i="80"/>
  <c r="H903" i="80"/>
  <c r="G903" i="80"/>
  <c r="F903" i="80"/>
  <c r="E903" i="80"/>
  <c r="D903" i="80"/>
  <c r="C903" i="80"/>
  <c r="B903" i="80"/>
  <c r="A903" i="80"/>
  <c r="L902" i="80"/>
  <c r="K902" i="80"/>
  <c r="J902" i="80"/>
  <c r="I902" i="80"/>
  <c r="H902" i="80"/>
  <c r="G902" i="80"/>
  <c r="F902" i="80"/>
  <c r="E902" i="80"/>
  <c r="D902" i="80"/>
  <c r="C902" i="80"/>
  <c r="B902" i="80"/>
  <c r="A902" i="80"/>
  <c r="L901" i="80"/>
  <c r="I901" i="80"/>
  <c r="C901" i="80"/>
  <c r="B901" i="80"/>
  <c r="A901" i="80"/>
  <c r="L900" i="80"/>
  <c r="I900" i="80"/>
  <c r="C900" i="80"/>
  <c r="B900" i="80"/>
  <c r="A900" i="80"/>
  <c r="L899" i="80"/>
  <c r="I899" i="80"/>
  <c r="C899" i="80"/>
  <c r="B899" i="80"/>
  <c r="A899" i="80"/>
  <c r="L898" i="80"/>
  <c r="I898" i="80"/>
  <c r="C898" i="80"/>
  <c r="B898" i="80"/>
  <c r="A898" i="80"/>
  <c r="L897" i="80"/>
  <c r="I897" i="80"/>
  <c r="C897" i="80"/>
  <c r="B897" i="80"/>
  <c r="A897" i="80"/>
  <c r="L896" i="80"/>
  <c r="I896" i="80"/>
  <c r="C896" i="80"/>
  <c r="B896" i="80"/>
  <c r="A896" i="80"/>
  <c r="L895" i="80"/>
  <c r="K895" i="80"/>
  <c r="J895" i="80"/>
  <c r="I895" i="80"/>
  <c r="H895" i="80"/>
  <c r="G895" i="80"/>
  <c r="F895" i="80"/>
  <c r="E895" i="80"/>
  <c r="D895" i="80"/>
  <c r="C895" i="80"/>
  <c r="B895" i="80"/>
  <c r="A895" i="80"/>
  <c r="L894" i="80"/>
  <c r="K894" i="80"/>
  <c r="J894" i="80"/>
  <c r="I894" i="80"/>
  <c r="H894" i="80"/>
  <c r="G894" i="80"/>
  <c r="F894" i="80"/>
  <c r="E894" i="80"/>
  <c r="D894" i="80"/>
  <c r="C894" i="80"/>
  <c r="B894" i="80"/>
  <c r="A894" i="80"/>
  <c r="L893" i="80"/>
  <c r="K893" i="80"/>
  <c r="J893" i="80"/>
  <c r="I893" i="80"/>
  <c r="H893" i="80"/>
  <c r="G893" i="80"/>
  <c r="F893" i="80"/>
  <c r="E893" i="80"/>
  <c r="D893" i="80"/>
  <c r="C893" i="80"/>
  <c r="B893" i="80"/>
  <c r="A893" i="80"/>
  <c r="L892" i="80"/>
  <c r="K892" i="80"/>
  <c r="J892" i="80"/>
  <c r="I892" i="80"/>
  <c r="H892" i="80"/>
  <c r="G892" i="80"/>
  <c r="F892" i="80"/>
  <c r="E892" i="80"/>
  <c r="D892" i="80"/>
  <c r="C892" i="80"/>
  <c r="B892" i="80"/>
  <c r="A892" i="80"/>
  <c r="L891" i="80"/>
  <c r="K891" i="80"/>
  <c r="J891" i="80"/>
  <c r="I891" i="80"/>
  <c r="H891" i="80"/>
  <c r="G891" i="80"/>
  <c r="F891" i="80"/>
  <c r="E891" i="80"/>
  <c r="D891" i="80"/>
  <c r="C891" i="80"/>
  <c r="B891" i="80"/>
  <c r="A891" i="80"/>
  <c r="L890" i="80"/>
  <c r="K890" i="80"/>
  <c r="J890" i="80"/>
  <c r="I890" i="80"/>
  <c r="H890" i="80"/>
  <c r="G890" i="80"/>
  <c r="F890" i="80"/>
  <c r="E890" i="80"/>
  <c r="D890" i="80"/>
  <c r="C890" i="80"/>
  <c r="B890" i="80"/>
  <c r="A890" i="80"/>
  <c r="L889" i="80"/>
  <c r="K889" i="80"/>
  <c r="J889" i="80"/>
  <c r="I889" i="80"/>
  <c r="H889" i="80"/>
  <c r="G889" i="80"/>
  <c r="F889" i="80"/>
  <c r="E889" i="80"/>
  <c r="D889" i="80"/>
  <c r="C889" i="80"/>
  <c r="B889" i="80"/>
  <c r="A889" i="80"/>
  <c r="L888" i="80"/>
  <c r="K888" i="80"/>
  <c r="J888" i="80"/>
  <c r="I888" i="80"/>
  <c r="H888" i="80"/>
  <c r="G888" i="80"/>
  <c r="F888" i="80"/>
  <c r="E888" i="80"/>
  <c r="D888" i="80"/>
  <c r="C888" i="80"/>
  <c r="B888" i="80"/>
  <c r="A888" i="80"/>
  <c r="L887" i="80"/>
  <c r="K887" i="80"/>
  <c r="J887" i="80"/>
  <c r="I887" i="80"/>
  <c r="H887" i="80"/>
  <c r="G887" i="80"/>
  <c r="F887" i="80"/>
  <c r="E887" i="80"/>
  <c r="D887" i="80"/>
  <c r="C887" i="80"/>
  <c r="B887" i="80"/>
  <c r="A887" i="80"/>
  <c r="L886" i="80"/>
  <c r="K886" i="80"/>
  <c r="J886" i="80"/>
  <c r="I886" i="80"/>
  <c r="H886" i="80"/>
  <c r="G886" i="80"/>
  <c r="F886" i="80"/>
  <c r="E886" i="80"/>
  <c r="D886" i="80"/>
  <c r="C886" i="80"/>
  <c r="B886" i="80"/>
  <c r="A886" i="80"/>
  <c r="L885" i="80"/>
  <c r="K885" i="80"/>
  <c r="J885" i="80"/>
  <c r="I885" i="80"/>
  <c r="H885" i="80"/>
  <c r="G885" i="80"/>
  <c r="F885" i="80"/>
  <c r="E885" i="80"/>
  <c r="D885" i="80"/>
  <c r="C885" i="80"/>
  <c r="B885" i="80"/>
  <c r="A885" i="80"/>
  <c r="L884" i="80"/>
  <c r="K884" i="80"/>
  <c r="J884" i="80"/>
  <c r="I884" i="80"/>
  <c r="H884" i="80"/>
  <c r="G884" i="80"/>
  <c r="F884" i="80"/>
  <c r="E884" i="80"/>
  <c r="D884" i="80"/>
  <c r="C884" i="80"/>
  <c r="B884" i="80"/>
  <c r="A884" i="80"/>
  <c r="L883" i="80"/>
  <c r="K883" i="80"/>
  <c r="J883" i="80"/>
  <c r="I883" i="80"/>
  <c r="H883" i="80"/>
  <c r="G883" i="80"/>
  <c r="F883" i="80"/>
  <c r="E883" i="80"/>
  <c r="D883" i="80"/>
  <c r="C883" i="80"/>
  <c r="B883" i="80"/>
  <c r="A883" i="80"/>
  <c r="L882" i="80"/>
  <c r="K882" i="80"/>
  <c r="J882" i="80"/>
  <c r="I882" i="80"/>
  <c r="H882" i="80"/>
  <c r="G882" i="80"/>
  <c r="F882" i="80"/>
  <c r="E882" i="80"/>
  <c r="D882" i="80"/>
  <c r="C882" i="80"/>
  <c r="B882" i="80"/>
  <c r="A882" i="80"/>
  <c r="L881" i="80"/>
  <c r="K881" i="80"/>
  <c r="J881" i="80"/>
  <c r="I881" i="80"/>
  <c r="H881" i="80"/>
  <c r="G881" i="80"/>
  <c r="F881" i="80"/>
  <c r="E881" i="80"/>
  <c r="D881" i="80"/>
  <c r="C881" i="80"/>
  <c r="B881" i="80"/>
  <c r="A881" i="80"/>
  <c r="L880" i="80"/>
  <c r="K880" i="80"/>
  <c r="J880" i="80"/>
  <c r="I880" i="80"/>
  <c r="H880" i="80"/>
  <c r="G880" i="80"/>
  <c r="F880" i="80"/>
  <c r="E880" i="80"/>
  <c r="D880" i="80"/>
  <c r="C880" i="80"/>
  <c r="B880" i="80"/>
  <c r="A880" i="80"/>
  <c r="L879" i="80"/>
  <c r="K879" i="80"/>
  <c r="J879" i="80"/>
  <c r="I879" i="80"/>
  <c r="H879" i="80"/>
  <c r="G879" i="80"/>
  <c r="F879" i="80"/>
  <c r="E879" i="80"/>
  <c r="D879" i="80"/>
  <c r="C879" i="80"/>
  <c r="B879" i="80"/>
  <c r="A879" i="80"/>
  <c r="L878" i="80"/>
  <c r="K878" i="80"/>
  <c r="J878" i="80"/>
  <c r="I878" i="80"/>
  <c r="H878" i="80"/>
  <c r="G878" i="80"/>
  <c r="F878" i="80"/>
  <c r="E878" i="80"/>
  <c r="D878" i="80"/>
  <c r="C878" i="80"/>
  <c r="B878" i="80"/>
  <c r="A878" i="80"/>
  <c r="L877" i="80"/>
  <c r="K877" i="80"/>
  <c r="J877" i="80"/>
  <c r="I877" i="80"/>
  <c r="H877" i="80"/>
  <c r="G877" i="80"/>
  <c r="F877" i="80"/>
  <c r="E877" i="80"/>
  <c r="D877" i="80"/>
  <c r="C877" i="80"/>
  <c r="B877" i="80"/>
  <c r="A877" i="80"/>
  <c r="L876" i="80"/>
  <c r="K876" i="80"/>
  <c r="J876" i="80"/>
  <c r="I876" i="80"/>
  <c r="H876" i="80"/>
  <c r="G876" i="80"/>
  <c r="F876" i="80"/>
  <c r="E876" i="80"/>
  <c r="D876" i="80"/>
  <c r="C876" i="80"/>
  <c r="B876" i="80"/>
  <c r="A876" i="80"/>
  <c r="L875" i="80"/>
  <c r="K875" i="80"/>
  <c r="J875" i="80"/>
  <c r="I875" i="80"/>
  <c r="H875" i="80"/>
  <c r="G875" i="80"/>
  <c r="F875" i="80"/>
  <c r="E875" i="80"/>
  <c r="D875" i="80"/>
  <c r="C875" i="80"/>
  <c r="B875" i="80"/>
  <c r="A875" i="80"/>
  <c r="L874" i="80"/>
  <c r="K874" i="80"/>
  <c r="J874" i="80"/>
  <c r="I874" i="80"/>
  <c r="H874" i="80"/>
  <c r="G874" i="80"/>
  <c r="F874" i="80"/>
  <c r="E874" i="80"/>
  <c r="D874" i="80"/>
  <c r="C874" i="80"/>
  <c r="B874" i="80"/>
  <c r="A874" i="80"/>
  <c r="L873" i="80"/>
  <c r="K873" i="80"/>
  <c r="J873" i="80"/>
  <c r="I873" i="80"/>
  <c r="H873" i="80"/>
  <c r="G873" i="80"/>
  <c r="F873" i="80"/>
  <c r="E873" i="80"/>
  <c r="D873" i="80"/>
  <c r="C873" i="80"/>
  <c r="B873" i="80"/>
  <c r="A873" i="80"/>
  <c r="L872" i="80"/>
  <c r="K872" i="80"/>
  <c r="J872" i="80"/>
  <c r="I872" i="80"/>
  <c r="H872" i="80"/>
  <c r="G872" i="80"/>
  <c r="F872" i="80"/>
  <c r="E872" i="80"/>
  <c r="D872" i="80"/>
  <c r="C872" i="80"/>
  <c r="B872" i="80"/>
  <c r="A872" i="80"/>
  <c r="L871" i="80"/>
  <c r="K871" i="80"/>
  <c r="J871" i="80"/>
  <c r="I871" i="80"/>
  <c r="H871" i="80"/>
  <c r="G871" i="80"/>
  <c r="F871" i="80"/>
  <c r="E871" i="80"/>
  <c r="D871" i="80"/>
  <c r="C871" i="80"/>
  <c r="B871" i="80"/>
  <c r="A871" i="80"/>
  <c r="L870" i="80"/>
  <c r="K870" i="80"/>
  <c r="J870" i="80"/>
  <c r="I870" i="80"/>
  <c r="H870" i="80"/>
  <c r="G870" i="80"/>
  <c r="F870" i="80"/>
  <c r="E870" i="80"/>
  <c r="D870" i="80"/>
  <c r="C870" i="80"/>
  <c r="B870" i="80"/>
  <c r="A870" i="80"/>
  <c r="L869" i="80"/>
  <c r="K869" i="80"/>
  <c r="J869" i="80"/>
  <c r="I869" i="80"/>
  <c r="H869" i="80"/>
  <c r="G869" i="80"/>
  <c r="F869" i="80"/>
  <c r="E869" i="80"/>
  <c r="D869" i="80"/>
  <c r="C869" i="80"/>
  <c r="B869" i="80"/>
  <c r="A869" i="80"/>
  <c r="L868" i="80"/>
  <c r="K868" i="80"/>
  <c r="J868" i="80"/>
  <c r="I868" i="80"/>
  <c r="H868" i="80"/>
  <c r="G868" i="80"/>
  <c r="F868" i="80"/>
  <c r="E868" i="80"/>
  <c r="D868" i="80"/>
  <c r="C868" i="80"/>
  <c r="B868" i="80"/>
  <c r="A868" i="80"/>
  <c r="L867" i="80"/>
  <c r="K867" i="80"/>
  <c r="J867" i="80"/>
  <c r="I867" i="80"/>
  <c r="H867" i="80"/>
  <c r="G867" i="80"/>
  <c r="F867" i="80"/>
  <c r="E867" i="80"/>
  <c r="D867" i="80"/>
  <c r="C867" i="80"/>
  <c r="B867" i="80"/>
  <c r="A867" i="80"/>
  <c r="L866" i="80"/>
  <c r="K866" i="80"/>
  <c r="J866" i="80"/>
  <c r="I866" i="80"/>
  <c r="H866" i="80"/>
  <c r="G866" i="80"/>
  <c r="F866" i="80"/>
  <c r="E866" i="80"/>
  <c r="D866" i="80"/>
  <c r="C866" i="80"/>
  <c r="B866" i="80"/>
  <c r="A866" i="80"/>
  <c r="L865" i="80"/>
  <c r="K865" i="80"/>
  <c r="J865" i="80"/>
  <c r="I865" i="80"/>
  <c r="H865" i="80"/>
  <c r="G865" i="80"/>
  <c r="F865" i="80"/>
  <c r="E865" i="80"/>
  <c r="D865" i="80"/>
  <c r="C865" i="80"/>
  <c r="B865" i="80"/>
  <c r="A865" i="80"/>
  <c r="L864" i="80"/>
  <c r="K864" i="80"/>
  <c r="J864" i="80"/>
  <c r="I864" i="80"/>
  <c r="H864" i="80"/>
  <c r="G864" i="80"/>
  <c r="F864" i="80"/>
  <c r="E864" i="80"/>
  <c r="D864" i="80"/>
  <c r="C864" i="80"/>
  <c r="B864" i="80"/>
  <c r="A864" i="80"/>
  <c r="L863" i="80"/>
  <c r="K863" i="80"/>
  <c r="J863" i="80"/>
  <c r="I863" i="80"/>
  <c r="H863" i="80"/>
  <c r="G863" i="80"/>
  <c r="F863" i="80"/>
  <c r="E863" i="80"/>
  <c r="D863" i="80"/>
  <c r="C863" i="80"/>
  <c r="B863" i="80"/>
  <c r="A863" i="80"/>
  <c r="L862" i="80"/>
  <c r="K862" i="80"/>
  <c r="J862" i="80"/>
  <c r="I862" i="80"/>
  <c r="H862" i="80"/>
  <c r="G862" i="80"/>
  <c r="F862" i="80"/>
  <c r="E862" i="80"/>
  <c r="D862" i="80"/>
  <c r="C862" i="80"/>
  <c r="B862" i="80"/>
  <c r="A862" i="80"/>
  <c r="L861" i="80"/>
  <c r="K861" i="80"/>
  <c r="J861" i="80"/>
  <c r="I861" i="80"/>
  <c r="H861" i="80"/>
  <c r="G861" i="80"/>
  <c r="F861" i="80"/>
  <c r="E861" i="80"/>
  <c r="D861" i="80"/>
  <c r="C861" i="80"/>
  <c r="B861" i="80"/>
  <c r="A861" i="80"/>
  <c r="L860" i="80"/>
  <c r="K860" i="80"/>
  <c r="J860" i="80"/>
  <c r="I860" i="80"/>
  <c r="H860" i="80"/>
  <c r="G860" i="80"/>
  <c r="F860" i="80"/>
  <c r="E860" i="80"/>
  <c r="D860" i="80"/>
  <c r="C860" i="80"/>
  <c r="B860" i="80"/>
  <c r="A860" i="80"/>
  <c r="L859" i="80"/>
  <c r="K859" i="80"/>
  <c r="J859" i="80"/>
  <c r="I859" i="80"/>
  <c r="H859" i="80"/>
  <c r="G859" i="80"/>
  <c r="F859" i="80"/>
  <c r="E859" i="80"/>
  <c r="D859" i="80"/>
  <c r="C859" i="80"/>
  <c r="B859" i="80"/>
  <c r="A859" i="80"/>
  <c r="L858" i="80"/>
  <c r="K858" i="80"/>
  <c r="J858" i="80"/>
  <c r="I858" i="80"/>
  <c r="H858" i="80"/>
  <c r="G858" i="80"/>
  <c r="F858" i="80"/>
  <c r="E858" i="80"/>
  <c r="D858" i="80"/>
  <c r="C858" i="80"/>
  <c r="B858" i="80"/>
  <c r="A858" i="80"/>
  <c r="L857" i="80"/>
  <c r="K857" i="80"/>
  <c r="J857" i="80"/>
  <c r="I857" i="80"/>
  <c r="H857" i="80"/>
  <c r="G857" i="80"/>
  <c r="F857" i="80"/>
  <c r="E857" i="80"/>
  <c r="D857" i="80"/>
  <c r="C857" i="80"/>
  <c r="B857" i="80"/>
  <c r="A857" i="80"/>
  <c r="L856" i="80"/>
  <c r="K856" i="80"/>
  <c r="J856" i="80"/>
  <c r="I856" i="80"/>
  <c r="H856" i="80"/>
  <c r="G856" i="80"/>
  <c r="F856" i="80"/>
  <c r="E856" i="80"/>
  <c r="D856" i="80"/>
  <c r="C856" i="80"/>
  <c r="B856" i="80"/>
  <c r="A856" i="80"/>
  <c r="L855" i="80"/>
  <c r="K855" i="80"/>
  <c r="J855" i="80"/>
  <c r="I855" i="80"/>
  <c r="H855" i="80"/>
  <c r="G855" i="80"/>
  <c r="F855" i="80"/>
  <c r="E855" i="80"/>
  <c r="D855" i="80"/>
  <c r="C855" i="80"/>
  <c r="B855" i="80"/>
  <c r="A855" i="80"/>
  <c r="L854" i="80"/>
  <c r="K854" i="80"/>
  <c r="J854" i="80"/>
  <c r="I854" i="80"/>
  <c r="H854" i="80"/>
  <c r="G854" i="80"/>
  <c r="F854" i="80"/>
  <c r="E854" i="80"/>
  <c r="D854" i="80"/>
  <c r="C854" i="80"/>
  <c r="B854" i="80"/>
  <c r="A854" i="80"/>
  <c r="L853" i="80"/>
  <c r="K853" i="80"/>
  <c r="J853" i="80"/>
  <c r="I853" i="80"/>
  <c r="H853" i="80"/>
  <c r="G853" i="80"/>
  <c r="F853" i="80"/>
  <c r="E853" i="80"/>
  <c r="D853" i="80"/>
  <c r="C853" i="80"/>
  <c r="B853" i="80"/>
  <c r="A853" i="80"/>
  <c r="L852" i="80"/>
  <c r="K852" i="80"/>
  <c r="J852" i="80"/>
  <c r="I852" i="80"/>
  <c r="H852" i="80"/>
  <c r="G852" i="80"/>
  <c r="F852" i="80"/>
  <c r="E852" i="80"/>
  <c r="D852" i="80"/>
  <c r="C852" i="80"/>
  <c r="B852" i="80"/>
  <c r="A852" i="80"/>
  <c r="L851" i="80"/>
  <c r="K851" i="80"/>
  <c r="J851" i="80"/>
  <c r="I851" i="80"/>
  <c r="H851" i="80"/>
  <c r="G851" i="80"/>
  <c r="F851" i="80"/>
  <c r="E851" i="80"/>
  <c r="D851" i="80"/>
  <c r="C851" i="80"/>
  <c r="B851" i="80"/>
  <c r="A851" i="80"/>
  <c r="L850" i="80"/>
  <c r="K850" i="80"/>
  <c r="J850" i="80"/>
  <c r="I850" i="80"/>
  <c r="H850" i="80"/>
  <c r="G850" i="80"/>
  <c r="F850" i="80"/>
  <c r="E850" i="80"/>
  <c r="D850" i="80"/>
  <c r="C850" i="80"/>
  <c r="B850" i="80"/>
  <c r="A850" i="80"/>
  <c r="L849" i="80"/>
  <c r="K849" i="80"/>
  <c r="J849" i="80"/>
  <c r="I849" i="80"/>
  <c r="H849" i="80"/>
  <c r="G849" i="80"/>
  <c r="F849" i="80"/>
  <c r="E849" i="80"/>
  <c r="D849" i="80"/>
  <c r="C849" i="80"/>
  <c r="B849" i="80"/>
  <c r="A849" i="80"/>
  <c r="L848" i="80"/>
  <c r="K848" i="80"/>
  <c r="J848" i="80"/>
  <c r="I848" i="80"/>
  <c r="H848" i="80"/>
  <c r="G848" i="80"/>
  <c r="F848" i="80"/>
  <c r="E848" i="80"/>
  <c r="D848" i="80"/>
  <c r="C848" i="80"/>
  <c r="B848" i="80"/>
  <c r="A848" i="80"/>
  <c r="L847" i="80"/>
  <c r="K847" i="80"/>
  <c r="J847" i="80"/>
  <c r="I847" i="80"/>
  <c r="H847" i="80"/>
  <c r="G847" i="80"/>
  <c r="F847" i="80"/>
  <c r="E847" i="80"/>
  <c r="D847" i="80"/>
  <c r="C847" i="80"/>
  <c r="B847" i="80"/>
  <c r="A847" i="80"/>
  <c r="L846" i="80"/>
  <c r="K846" i="80"/>
  <c r="J846" i="80"/>
  <c r="I846" i="80"/>
  <c r="H846" i="80"/>
  <c r="G846" i="80"/>
  <c r="F846" i="80"/>
  <c r="E846" i="80"/>
  <c r="D846" i="80"/>
  <c r="C846" i="80"/>
  <c r="B846" i="80"/>
  <c r="A846" i="80"/>
  <c r="L845" i="80"/>
  <c r="K845" i="80"/>
  <c r="J845" i="80"/>
  <c r="I845" i="80"/>
  <c r="H845" i="80"/>
  <c r="G845" i="80"/>
  <c r="F845" i="80"/>
  <c r="E845" i="80"/>
  <c r="D845" i="80"/>
  <c r="C845" i="80"/>
  <c r="B845" i="80"/>
  <c r="A845" i="80"/>
  <c r="L844" i="80"/>
  <c r="K844" i="80"/>
  <c r="J844" i="80"/>
  <c r="I844" i="80"/>
  <c r="H844" i="80"/>
  <c r="G844" i="80"/>
  <c r="F844" i="80"/>
  <c r="E844" i="80"/>
  <c r="D844" i="80"/>
  <c r="C844" i="80"/>
  <c r="B844" i="80"/>
  <c r="A844" i="80"/>
  <c r="L843" i="80"/>
  <c r="K843" i="80"/>
  <c r="J843" i="80"/>
  <c r="I843" i="80"/>
  <c r="H843" i="80"/>
  <c r="G843" i="80"/>
  <c r="F843" i="80"/>
  <c r="E843" i="80"/>
  <c r="D843" i="80"/>
  <c r="C843" i="80"/>
  <c r="B843" i="80"/>
  <c r="A843" i="80"/>
  <c r="L842" i="80"/>
  <c r="K842" i="80"/>
  <c r="J842" i="80"/>
  <c r="I842" i="80"/>
  <c r="H842" i="80"/>
  <c r="G842" i="80"/>
  <c r="F842" i="80"/>
  <c r="E842" i="80"/>
  <c r="D842" i="80"/>
  <c r="C842" i="80"/>
  <c r="B842" i="80"/>
  <c r="A842" i="80"/>
  <c r="L841" i="80"/>
  <c r="K841" i="80"/>
  <c r="J841" i="80"/>
  <c r="I841" i="80"/>
  <c r="H841" i="80"/>
  <c r="G841" i="80"/>
  <c r="F841" i="80"/>
  <c r="E841" i="80"/>
  <c r="D841" i="80"/>
  <c r="C841" i="80"/>
  <c r="B841" i="80"/>
  <c r="A841" i="80"/>
  <c r="L840" i="80"/>
  <c r="K840" i="80"/>
  <c r="J840" i="80"/>
  <c r="I840" i="80"/>
  <c r="H840" i="80"/>
  <c r="G840" i="80"/>
  <c r="F840" i="80"/>
  <c r="E840" i="80"/>
  <c r="D840" i="80"/>
  <c r="C840" i="80"/>
  <c r="B840" i="80"/>
  <c r="A840" i="80"/>
  <c r="L839" i="80"/>
  <c r="K839" i="80"/>
  <c r="J839" i="80"/>
  <c r="I839" i="80"/>
  <c r="H839" i="80"/>
  <c r="G839" i="80"/>
  <c r="F839" i="80"/>
  <c r="E839" i="80"/>
  <c r="D839" i="80"/>
  <c r="C839" i="80"/>
  <c r="B839" i="80"/>
  <c r="A839" i="80"/>
  <c r="L838" i="80"/>
  <c r="K838" i="80"/>
  <c r="J838" i="80"/>
  <c r="I838" i="80"/>
  <c r="H838" i="80"/>
  <c r="G838" i="80"/>
  <c r="F838" i="80"/>
  <c r="E838" i="80"/>
  <c r="D838" i="80"/>
  <c r="C838" i="80"/>
  <c r="B838" i="80"/>
  <c r="A838" i="80"/>
  <c r="L837" i="80"/>
  <c r="K837" i="80"/>
  <c r="J837" i="80"/>
  <c r="I837" i="80"/>
  <c r="H837" i="80"/>
  <c r="G837" i="80"/>
  <c r="F837" i="80"/>
  <c r="E837" i="80"/>
  <c r="D837" i="80"/>
  <c r="C837" i="80"/>
  <c r="B837" i="80"/>
  <c r="A837" i="80"/>
  <c r="L836" i="80"/>
  <c r="K836" i="80"/>
  <c r="J836" i="80"/>
  <c r="I836" i="80"/>
  <c r="H836" i="80"/>
  <c r="G836" i="80"/>
  <c r="F836" i="80"/>
  <c r="E836" i="80"/>
  <c r="D836" i="80"/>
  <c r="C836" i="80"/>
  <c r="B836" i="80"/>
  <c r="A836" i="80"/>
  <c r="L835" i="80"/>
  <c r="K835" i="80"/>
  <c r="J835" i="80"/>
  <c r="I835" i="80"/>
  <c r="H835" i="80"/>
  <c r="G835" i="80"/>
  <c r="F835" i="80"/>
  <c r="E835" i="80"/>
  <c r="D835" i="80"/>
  <c r="C835" i="80"/>
  <c r="B835" i="80"/>
  <c r="A835" i="80"/>
  <c r="L834" i="80"/>
  <c r="K834" i="80"/>
  <c r="J834" i="80"/>
  <c r="I834" i="80"/>
  <c r="H834" i="80"/>
  <c r="G834" i="80"/>
  <c r="F834" i="80"/>
  <c r="E834" i="80"/>
  <c r="D834" i="80"/>
  <c r="C834" i="80"/>
  <c r="B834" i="80"/>
  <c r="A834" i="80"/>
  <c r="L828" i="80"/>
  <c r="K828" i="80"/>
  <c r="J828" i="80"/>
  <c r="I828" i="80"/>
  <c r="H828" i="80"/>
  <c r="G828" i="80"/>
  <c r="F828" i="80"/>
  <c r="E828" i="80"/>
  <c r="D828" i="80"/>
  <c r="C828" i="80"/>
  <c r="B828" i="80"/>
  <c r="A828" i="80"/>
  <c r="L827" i="80"/>
  <c r="K827" i="80"/>
  <c r="J827" i="80"/>
  <c r="I827" i="80"/>
  <c r="H827" i="80"/>
  <c r="G827" i="80"/>
  <c r="F827" i="80"/>
  <c r="E827" i="80"/>
  <c r="D827" i="80"/>
  <c r="C827" i="80"/>
  <c r="B827" i="80"/>
  <c r="A827" i="80"/>
  <c r="L826" i="80"/>
  <c r="K826" i="80"/>
  <c r="J826" i="80"/>
  <c r="I826" i="80"/>
  <c r="H826" i="80"/>
  <c r="G826" i="80"/>
  <c r="F826" i="80"/>
  <c r="E826" i="80"/>
  <c r="D826" i="80"/>
  <c r="C826" i="80"/>
  <c r="B826" i="80"/>
  <c r="A826" i="80"/>
  <c r="L825" i="80"/>
  <c r="K825" i="80"/>
  <c r="J825" i="80"/>
  <c r="I825" i="80"/>
  <c r="H825" i="80"/>
  <c r="G825" i="80"/>
  <c r="F825" i="80"/>
  <c r="E825" i="80"/>
  <c r="D825" i="80"/>
  <c r="C825" i="80"/>
  <c r="B825" i="80"/>
  <c r="A825" i="80"/>
  <c r="L824" i="80"/>
  <c r="K824" i="80"/>
  <c r="J824" i="80"/>
  <c r="I824" i="80"/>
  <c r="H824" i="80"/>
  <c r="G824" i="80"/>
  <c r="F824" i="80"/>
  <c r="E824" i="80"/>
  <c r="D824" i="80"/>
  <c r="C824" i="80"/>
  <c r="B824" i="80"/>
  <c r="A824" i="80"/>
  <c r="L823" i="80"/>
  <c r="K823" i="80"/>
  <c r="J823" i="80"/>
  <c r="I823" i="80"/>
  <c r="H823" i="80"/>
  <c r="G823" i="80"/>
  <c r="F823" i="80"/>
  <c r="E823" i="80"/>
  <c r="D823" i="80"/>
  <c r="C823" i="80"/>
  <c r="B823" i="80"/>
  <c r="A823" i="80"/>
  <c r="L822" i="80"/>
  <c r="K822" i="80"/>
  <c r="J822" i="80"/>
  <c r="I822" i="80"/>
  <c r="H822" i="80"/>
  <c r="G822" i="80"/>
  <c r="F822" i="80"/>
  <c r="E822" i="80"/>
  <c r="D822" i="80"/>
  <c r="C822" i="80"/>
  <c r="B822" i="80"/>
  <c r="A822" i="80"/>
  <c r="L821" i="80"/>
  <c r="K821" i="80"/>
  <c r="J821" i="80"/>
  <c r="I821" i="80"/>
  <c r="H821" i="80"/>
  <c r="G821" i="80"/>
  <c r="F821" i="80"/>
  <c r="E821" i="80"/>
  <c r="D821" i="80"/>
  <c r="C821" i="80"/>
  <c r="B821" i="80"/>
  <c r="A821" i="80"/>
  <c r="L820" i="80"/>
  <c r="K820" i="80"/>
  <c r="J820" i="80"/>
  <c r="I820" i="80"/>
  <c r="H820" i="80"/>
  <c r="G820" i="80"/>
  <c r="F820" i="80"/>
  <c r="E820" i="80"/>
  <c r="D820" i="80"/>
  <c r="C820" i="80"/>
  <c r="B820" i="80"/>
  <c r="A820" i="80"/>
  <c r="L819" i="80"/>
  <c r="K819" i="80"/>
  <c r="J819" i="80"/>
  <c r="I819" i="80"/>
  <c r="H819" i="80"/>
  <c r="G819" i="80"/>
  <c r="F819" i="80"/>
  <c r="E819" i="80"/>
  <c r="D819" i="80"/>
  <c r="C819" i="80"/>
  <c r="B819" i="80"/>
  <c r="A819" i="80"/>
  <c r="L818" i="80"/>
  <c r="K818" i="80"/>
  <c r="J818" i="80"/>
  <c r="I818" i="80"/>
  <c r="H818" i="80"/>
  <c r="G818" i="80"/>
  <c r="F818" i="80"/>
  <c r="E818" i="80"/>
  <c r="D818" i="80"/>
  <c r="C818" i="80"/>
  <c r="B818" i="80"/>
  <c r="A818" i="80"/>
  <c r="L817" i="80"/>
  <c r="K817" i="80"/>
  <c r="J817" i="80"/>
  <c r="I817" i="80"/>
  <c r="H817" i="80"/>
  <c r="G817" i="80"/>
  <c r="F817" i="80"/>
  <c r="E817" i="80"/>
  <c r="D817" i="80"/>
  <c r="C817" i="80"/>
  <c r="B817" i="80"/>
  <c r="A817" i="80"/>
  <c r="L816" i="80"/>
  <c r="K816" i="80"/>
  <c r="J816" i="80"/>
  <c r="I816" i="80"/>
  <c r="H816" i="80"/>
  <c r="G816" i="80"/>
  <c r="F816" i="80"/>
  <c r="E816" i="80"/>
  <c r="D816" i="80"/>
  <c r="C816" i="80"/>
  <c r="B816" i="80"/>
  <c r="A816" i="80"/>
  <c r="L815" i="80"/>
  <c r="K815" i="80"/>
  <c r="J815" i="80"/>
  <c r="I815" i="80"/>
  <c r="H815" i="80"/>
  <c r="G815" i="80"/>
  <c r="F815" i="80"/>
  <c r="E815" i="80"/>
  <c r="D815" i="80"/>
  <c r="C815" i="80"/>
  <c r="B815" i="80"/>
  <c r="A815" i="80"/>
  <c r="L814" i="80"/>
  <c r="K814" i="80"/>
  <c r="J814" i="80"/>
  <c r="I814" i="80"/>
  <c r="H814" i="80"/>
  <c r="G814" i="80"/>
  <c r="F814" i="80"/>
  <c r="E814" i="80"/>
  <c r="D814" i="80"/>
  <c r="C814" i="80"/>
  <c r="B814" i="80"/>
  <c r="A814" i="80"/>
  <c r="L813" i="80"/>
  <c r="K813" i="80"/>
  <c r="J813" i="80"/>
  <c r="I813" i="80"/>
  <c r="H813" i="80"/>
  <c r="G813" i="80"/>
  <c r="F813" i="80"/>
  <c r="E813" i="80"/>
  <c r="D813" i="80"/>
  <c r="C813" i="80"/>
  <c r="B813" i="80"/>
  <c r="A813" i="80"/>
  <c r="L812" i="80"/>
  <c r="K812" i="80"/>
  <c r="J812" i="80"/>
  <c r="I812" i="80"/>
  <c r="H812" i="80"/>
  <c r="G812" i="80"/>
  <c r="F812" i="80"/>
  <c r="E812" i="80"/>
  <c r="D812" i="80"/>
  <c r="C812" i="80"/>
  <c r="B812" i="80"/>
  <c r="A812" i="80"/>
  <c r="L811" i="80"/>
  <c r="K811" i="80"/>
  <c r="J811" i="80"/>
  <c r="I811" i="80"/>
  <c r="H811" i="80"/>
  <c r="G811" i="80"/>
  <c r="F811" i="80"/>
  <c r="E811" i="80"/>
  <c r="D811" i="80"/>
  <c r="C811" i="80"/>
  <c r="B811" i="80"/>
  <c r="A811" i="80"/>
  <c r="L810" i="80"/>
  <c r="K810" i="80"/>
  <c r="J810" i="80"/>
  <c r="I810" i="80"/>
  <c r="H810" i="80"/>
  <c r="G810" i="80"/>
  <c r="F810" i="80"/>
  <c r="E810" i="80"/>
  <c r="D810" i="80"/>
  <c r="C810" i="80"/>
  <c r="B810" i="80"/>
  <c r="A810" i="80"/>
  <c r="L809" i="80"/>
  <c r="K809" i="80"/>
  <c r="J809" i="80"/>
  <c r="I809" i="80"/>
  <c r="H809" i="80"/>
  <c r="G809" i="80"/>
  <c r="F809" i="80"/>
  <c r="E809" i="80"/>
  <c r="D809" i="80"/>
  <c r="C809" i="80"/>
  <c r="B809" i="80"/>
  <c r="A809" i="80"/>
  <c r="L808" i="80"/>
  <c r="K808" i="80"/>
  <c r="J808" i="80"/>
  <c r="I808" i="80"/>
  <c r="H808" i="80"/>
  <c r="G808" i="80"/>
  <c r="F808" i="80"/>
  <c r="E808" i="80"/>
  <c r="D808" i="80"/>
  <c r="C808" i="80"/>
  <c r="B808" i="80"/>
  <c r="A808" i="80"/>
  <c r="L807" i="80"/>
  <c r="K807" i="80"/>
  <c r="J807" i="80"/>
  <c r="I807" i="80"/>
  <c r="H807" i="80"/>
  <c r="G807" i="80"/>
  <c r="F807" i="80"/>
  <c r="E807" i="80"/>
  <c r="D807" i="80"/>
  <c r="C807" i="80"/>
  <c r="B807" i="80"/>
  <c r="A807" i="80"/>
  <c r="L806" i="80"/>
  <c r="K806" i="80"/>
  <c r="J806" i="80"/>
  <c r="I806" i="80"/>
  <c r="H806" i="80"/>
  <c r="G806" i="80"/>
  <c r="F806" i="80"/>
  <c r="E806" i="80"/>
  <c r="D806" i="80"/>
  <c r="C806" i="80"/>
  <c r="B806" i="80"/>
  <c r="A806" i="80"/>
  <c r="L805" i="80"/>
  <c r="K805" i="80"/>
  <c r="J805" i="80"/>
  <c r="I805" i="80"/>
  <c r="H805" i="80"/>
  <c r="G805" i="80"/>
  <c r="F805" i="80"/>
  <c r="E805" i="80"/>
  <c r="D805" i="80"/>
  <c r="C805" i="80"/>
  <c r="B805" i="80"/>
  <c r="A805" i="80"/>
  <c r="L804" i="80"/>
  <c r="K804" i="80"/>
  <c r="J804" i="80"/>
  <c r="I804" i="80"/>
  <c r="H804" i="80"/>
  <c r="G804" i="80"/>
  <c r="F804" i="80"/>
  <c r="E804" i="80"/>
  <c r="D804" i="80"/>
  <c r="C804" i="80"/>
  <c r="B804" i="80"/>
  <c r="A804" i="80"/>
  <c r="L803" i="80"/>
  <c r="K803" i="80"/>
  <c r="J803" i="80"/>
  <c r="I803" i="80"/>
  <c r="H803" i="80"/>
  <c r="G803" i="80"/>
  <c r="F803" i="80"/>
  <c r="E803" i="80"/>
  <c r="D803" i="80"/>
  <c r="C803" i="80"/>
  <c r="B803" i="80"/>
  <c r="A803" i="80"/>
  <c r="L802" i="80"/>
  <c r="K802" i="80"/>
  <c r="J802" i="80"/>
  <c r="I802" i="80"/>
  <c r="H802" i="80"/>
  <c r="G802" i="80"/>
  <c r="F802" i="80"/>
  <c r="E802" i="80"/>
  <c r="D802" i="80"/>
  <c r="C802" i="80"/>
  <c r="B802" i="80"/>
  <c r="A802" i="80"/>
  <c r="L801" i="80"/>
  <c r="K801" i="80"/>
  <c r="J801" i="80"/>
  <c r="I801" i="80"/>
  <c r="H801" i="80"/>
  <c r="G801" i="80"/>
  <c r="F801" i="80"/>
  <c r="E801" i="80"/>
  <c r="D801" i="80"/>
  <c r="C801" i="80"/>
  <c r="B801" i="80"/>
  <c r="A801" i="80"/>
  <c r="L800" i="80"/>
  <c r="K800" i="80"/>
  <c r="J800" i="80"/>
  <c r="I800" i="80"/>
  <c r="H800" i="80"/>
  <c r="G800" i="80"/>
  <c r="F800" i="80"/>
  <c r="E800" i="80"/>
  <c r="D800" i="80"/>
  <c r="C800" i="80"/>
  <c r="B800" i="80"/>
  <c r="A800" i="80"/>
  <c r="L799" i="80"/>
  <c r="K799" i="80"/>
  <c r="J799" i="80"/>
  <c r="I799" i="80"/>
  <c r="H799" i="80"/>
  <c r="G799" i="80"/>
  <c r="F799" i="80"/>
  <c r="E799" i="80"/>
  <c r="D799" i="80"/>
  <c r="C799" i="80"/>
  <c r="B799" i="80"/>
  <c r="A799" i="80"/>
  <c r="L798" i="80"/>
  <c r="K798" i="80"/>
  <c r="J798" i="80"/>
  <c r="I798" i="80"/>
  <c r="H798" i="80"/>
  <c r="G798" i="80"/>
  <c r="F798" i="80"/>
  <c r="E798" i="80"/>
  <c r="D798" i="80"/>
  <c r="C798" i="80"/>
  <c r="B798" i="80"/>
  <c r="A798" i="80"/>
  <c r="L797" i="80"/>
  <c r="K797" i="80"/>
  <c r="J797" i="80"/>
  <c r="I797" i="80"/>
  <c r="H797" i="80"/>
  <c r="G797" i="80"/>
  <c r="F797" i="80"/>
  <c r="E797" i="80"/>
  <c r="D797" i="80"/>
  <c r="C797" i="80"/>
  <c r="B797" i="80"/>
  <c r="A797" i="80"/>
  <c r="L796" i="80"/>
  <c r="K796" i="80"/>
  <c r="J796" i="80"/>
  <c r="I796" i="80"/>
  <c r="H796" i="80"/>
  <c r="G796" i="80"/>
  <c r="F796" i="80"/>
  <c r="E796" i="80"/>
  <c r="D796" i="80"/>
  <c r="C796" i="80"/>
  <c r="B796" i="80"/>
  <c r="A796" i="80"/>
  <c r="L795" i="80"/>
  <c r="K795" i="80"/>
  <c r="J795" i="80"/>
  <c r="I795" i="80"/>
  <c r="H795" i="80"/>
  <c r="G795" i="80"/>
  <c r="F795" i="80"/>
  <c r="E795" i="80"/>
  <c r="D795" i="80"/>
  <c r="C795" i="80"/>
  <c r="B795" i="80"/>
  <c r="A795" i="80"/>
  <c r="L794" i="80"/>
  <c r="K794" i="80"/>
  <c r="J794" i="80"/>
  <c r="I794" i="80"/>
  <c r="H794" i="80"/>
  <c r="G794" i="80"/>
  <c r="F794" i="80"/>
  <c r="E794" i="80"/>
  <c r="D794" i="80"/>
  <c r="C794" i="80"/>
  <c r="B794" i="80"/>
  <c r="A794" i="80"/>
  <c r="L793" i="80"/>
  <c r="K793" i="80"/>
  <c r="J793" i="80"/>
  <c r="I793" i="80"/>
  <c r="H793" i="80"/>
  <c r="G793" i="80"/>
  <c r="F793" i="80"/>
  <c r="E793" i="80"/>
  <c r="D793" i="80"/>
  <c r="C793" i="80"/>
  <c r="B793" i="80"/>
  <c r="A793" i="80"/>
  <c r="L792" i="80"/>
  <c r="K792" i="80"/>
  <c r="J792" i="80"/>
  <c r="I792" i="80"/>
  <c r="H792" i="80"/>
  <c r="G792" i="80"/>
  <c r="F792" i="80"/>
  <c r="E792" i="80"/>
  <c r="D792" i="80"/>
  <c r="C792" i="80"/>
  <c r="B792" i="80"/>
  <c r="A792" i="80"/>
  <c r="L791" i="80"/>
  <c r="K791" i="80"/>
  <c r="J791" i="80"/>
  <c r="I791" i="80"/>
  <c r="H791" i="80"/>
  <c r="G791" i="80"/>
  <c r="F791" i="80"/>
  <c r="E791" i="80"/>
  <c r="D791" i="80"/>
  <c r="C791" i="80"/>
  <c r="B791" i="80"/>
  <c r="A791" i="80"/>
  <c r="L790" i="80"/>
  <c r="K790" i="80"/>
  <c r="J790" i="80"/>
  <c r="I790" i="80"/>
  <c r="H790" i="80"/>
  <c r="G790" i="80"/>
  <c r="F790" i="80"/>
  <c r="E790" i="80"/>
  <c r="D790" i="80"/>
  <c r="C790" i="80"/>
  <c r="B790" i="80"/>
  <c r="A790" i="80"/>
  <c r="L789" i="80"/>
  <c r="K789" i="80"/>
  <c r="J789" i="80"/>
  <c r="I789" i="80"/>
  <c r="H789" i="80"/>
  <c r="G789" i="80"/>
  <c r="F789" i="80"/>
  <c r="E789" i="80"/>
  <c r="D789" i="80"/>
  <c r="C789" i="80"/>
  <c r="B789" i="80"/>
  <c r="A789" i="80"/>
  <c r="L788" i="80"/>
  <c r="K788" i="80"/>
  <c r="J788" i="80"/>
  <c r="I788" i="80"/>
  <c r="H788" i="80"/>
  <c r="G788" i="80"/>
  <c r="F788" i="80"/>
  <c r="E788" i="80"/>
  <c r="D788" i="80"/>
  <c r="C788" i="80"/>
  <c r="B788" i="80"/>
  <c r="A788" i="80"/>
  <c r="L787" i="80"/>
  <c r="K787" i="80"/>
  <c r="J787" i="80"/>
  <c r="I787" i="80"/>
  <c r="H787" i="80"/>
  <c r="G787" i="80"/>
  <c r="F787" i="80"/>
  <c r="E787" i="80"/>
  <c r="D787" i="80"/>
  <c r="C787" i="80"/>
  <c r="B787" i="80"/>
  <c r="A787" i="80"/>
  <c r="L786" i="80"/>
  <c r="K786" i="80"/>
  <c r="J786" i="80"/>
  <c r="I786" i="80"/>
  <c r="H786" i="80"/>
  <c r="G786" i="80"/>
  <c r="F786" i="80"/>
  <c r="E786" i="80"/>
  <c r="D786" i="80"/>
  <c r="C786" i="80"/>
  <c r="B786" i="80"/>
  <c r="A786" i="80"/>
  <c r="L785" i="80"/>
  <c r="K785" i="80"/>
  <c r="J785" i="80"/>
  <c r="I785" i="80"/>
  <c r="H785" i="80"/>
  <c r="G785" i="80"/>
  <c r="F785" i="80"/>
  <c r="E785" i="80"/>
  <c r="D785" i="80"/>
  <c r="C785" i="80"/>
  <c r="B785" i="80"/>
  <c r="A785" i="80"/>
  <c r="L784" i="80"/>
  <c r="K784" i="80"/>
  <c r="J784" i="80"/>
  <c r="I784" i="80"/>
  <c r="H784" i="80"/>
  <c r="G784" i="80"/>
  <c r="F784" i="80"/>
  <c r="E784" i="80"/>
  <c r="D784" i="80"/>
  <c r="C784" i="80"/>
  <c r="B784" i="80"/>
  <c r="A784" i="80"/>
  <c r="L783" i="80"/>
  <c r="K783" i="80"/>
  <c r="J783" i="80"/>
  <c r="I783" i="80"/>
  <c r="H783" i="80"/>
  <c r="G783" i="80"/>
  <c r="F783" i="80"/>
  <c r="E783" i="80"/>
  <c r="D783" i="80"/>
  <c r="C783" i="80"/>
  <c r="B783" i="80"/>
  <c r="A783" i="80"/>
  <c r="L782" i="80"/>
  <c r="K782" i="80"/>
  <c r="J782" i="80"/>
  <c r="I782" i="80"/>
  <c r="H782" i="80"/>
  <c r="G782" i="80"/>
  <c r="F782" i="80"/>
  <c r="E782" i="80"/>
  <c r="D782" i="80"/>
  <c r="C782" i="80"/>
  <c r="B782" i="80"/>
  <c r="A782" i="80"/>
  <c r="L781" i="80"/>
  <c r="K781" i="80"/>
  <c r="J781" i="80"/>
  <c r="I781" i="80"/>
  <c r="H781" i="80"/>
  <c r="G781" i="80"/>
  <c r="F781" i="80"/>
  <c r="E781" i="80"/>
  <c r="D781" i="80"/>
  <c r="C781" i="80"/>
  <c r="B781" i="80"/>
  <c r="A781" i="80"/>
  <c r="L780" i="80"/>
  <c r="K780" i="80"/>
  <c r="J780" i="80"/>
  <c r="I780" i="80"/>
  <c r="H780" i="80"/>
  <c r="G780" i="80"/>
  <c r="F780" i="80"/>
  <c r="E780" i="80"/>
  <c r="D780" i="80"/>
  <c r="C780" i="80"/>
  <c r="B780" i="80"/>
  <c r="A780" i="80"/>
  <c r="L779" i="80"/>
  <c r="K779" i="80"/>
  <c r="J779" i="80"/>
  <c r="I779" i="80"/>
  <c r="H779" i="80"/>
  <c r="G779" i="80"/>
  <c r="F779" i="80"/>
  <c r="E779" i="80"/>
  <c r="D779" i="80"/>
  <c r="C779" i="80"/>
  <c r="B779" i="80"/>
  <c r="A779" i="80"/>
  <c r="L778" i="80"/>
  <c r="K778" i="80"/>
  <c r="J778" i="80"/>
  <c r="I778" i="80"/>
  <c r="H778" i="80"/>
  <c r="G778" i="80"/>
  <c r="F778" i="80"/>
  <c r="E778" i="80"/>
  <c r="D778" i="80"/>
  <c r="C778" i="80"/>
  <c r="B778" i="80"/>
  <c r="A778" i="80"/>
  <c r="L777" i="80"/>
  <c r="K777" i="80"/>
  <c r="J777" i="80"/>
  <c r="I777" i="80"/>
  <c r="H777" i="80"/>
  <c r="G777" i="80"/>
  <c r="F777" i="80"/>
  <c r="E777" i="80"/>
  <c r="D777" i="80"/>
  <c r="C777" i="80"/>
  <c r="B777" i="80"/>
  <c r="A777" i="80"/>
  <c r="L776" i="80"/>
  <c r="K776" i="80"/>
  <c r="J776" i="80"/>
  <c r="I776" i="80"/>
  <c r="H776" i="80"/>
  <c r="G776" i="80"/>
  <c r="F776" i="80"/>
  <c r="E776" i="80"/>
  <c r="D776" i="80"/>
  <c r="C776" i="80"/>
  <c r="B776" i="80"/>
  <c r="A776" i="80"/>
  <c r="L775" i="80"/>
  <c r="K775" i="80"/>
  <c r="J775" i="80"/>
  <c r="I775" i="80"/>
  <c r="H775" i="80"/>
  <c r="G775" i="80"/>
  <c r="F775" i="80"/>
  <c r="E775" i="80"/>
  <c r="D775" i="80"/>
  <c r="C775" i="80"/>
  <c r="B775" i="80"/>
  <c r="A775" i="80"/>
  <c r="L774" i="80"/>
  <c r="K774" i="80"/>
  <c r="J774" i="80"/>
  <c r="I774" i="80"/>
  <c r="H774" i="80"/>
  <c r="G774" i="80"/>
  <c r="F774" i="80"/>
  <c r="E774" i="80"/>
  <c r="D774" i="80"/>
  <c r="C774" i="80"/>
  <c r="B774" i="80"/>
  <c r="A774" i="80"/>
  <c r="L773" i="80"/>
  <c r="K773" i="80"/>
  <c r="J773" i="80"/>
  <c r="I773" i="80"/>
  <c r="H773" i="80"/>
  <c r="G773" i="80"/>
  <c r="F773" i="80"/>
  <c r="E773" i="80"/>
  <c r="D773" i="80"/>
  <c r="C773" i="80"/>
  <c r="B773" i="80"/>
  <c r="A773" i="80"/>
  <c r="L772" i="80"/>
  <c r="K772" i="80"/>
  <c r="J772" i="80"/>
  <c r="I772" i="80"/>
  <c r="H772" i="80"/>
  <c r="G772" i="80"/>
  <c r="F772" i="80"/>
  <c r="E772" i="80"/>
  <c r="D772" i="80"/>
  <c r="C772" i="80"/>
  <c r="B772" i="80"/>
  <c r="A772" i="80"/>
  <c r="L771" i="80"/>
  <c r="K771" i="80"/>
  <c r="J771" i="80"/>
  <c r="I771" i="80"/>
  <c r="H771" i="80"/>
  <c r="G771" i="80"/>
  <c r="F771" i="80"/>
  <c r="E771" i="80"/>
  <c r="D771" i="80"/>
  <c r="C771" i="80"/>
  <c r="B771" i="80"/>
  <c r="A771" i="80"/>
  <c r="L770" i="80"/>
  <c r="K770" i="80"/>
  <c r="J770" i="80"/>
  <c r="I770" i="80"/>
  <c r="H770" i="80"/>
  <c r="G770" i="80"/>
  <c r="F770" i="80"/>
  <c r="E770" i="80"/>
  <c r="D770" i="80"/>
  <c r="C770" i="80"/>
  <c r="B770" i="80"/>
  <c r="A770" i="80"/>
  <c r="L769" i="80"/>
  <c r="K769" i="80"/>
  <c r="J769" i="80"/>
  <c r="I769" i="80"/>
  <c r="H769" i="80"/>
  <c r="G769" i="80"/>
  <c r="F769" i="80"/>
  <c r="E769" i="80"/>
  <c r="D769" i="80"/>
  <c r="C769" i="80"/>
  <c r="B769" i="80"/>
  <c r="A769" i="80"/>
  <c r="L768" i="80"/>
  <c r="K768" i="80"/>
  <c r="J768" i="80"/>
  <c r="I768" i="80"/>
  <c r="H768" i="80"/>
  <c r="G768" i="80"/>
  <c r="F768" i="80"/>
  <c r="E768" i="80"/>
  <c r="D768" i="80"/>
  <c r="C768" i="80"/>
  <c r="B768" i="80"/>
  <c r="A768" i="80"/>
  <c r="L767" i="80"/>
  <c r="K767" i="80"/>
  <c r="J767" i="80"/>
  <c r="I767" i="80"/>
  <c r="H767" i="80"/>
  <c r="G767" i="80"/>
  <c r="F767" i="80"/>
  <c r="E767" i="80"/>
  <c r="D767" i="80"/>
  <c r="C767" i="80"/>
  <c r="B767" i="80"/>
  <c r="A767" i="80"/>
  <c r="L766" i="80"/>
  <c r="K766" i="80"/>
  <c r="J766" i="80"/>
  <c r="I766" i="80"/>
  <c r="H766" i="80"/>
  <c r="G766" i="80"/>
  <c r="F766" i="80"/>
  <c r="E766" i="80"/>
  <c r="D766" i="80"/>
  <c r="C766" i="80"/>
  <c r="B766" i="80"/>
  <c r="A766" i="80"/>
  <c r="L765" i="80"/>
  <c r="K765" i="80"/>
  <c r="J765" i="80"/>
  <c r="I765" i="80"/>
  <c r="H765" i="80"/>
  <c r="G765" i="80"/>
  <c r="F765" i="80"/>
  <c r="E765" i="80"/>
  <c r="D765" i="80"/>
  <c r="C765" i="80"/>
  <c r="B765" i="80"/>
  <c r="A765" i="80"/>
  <c r="L764" i="80"/>
  <c r="K764" i="80"/>
  <c r="J764" i="80"/>
  <c r="I764" i="80"/>
  <c r="H764" i="80"/>
  <c r="G764" i="80"/>
  <c r="F764" i="80"/>
  <c r="E764" i="80"/>
  <c r="D764" i="80"/>
  <c r="C764" i="80"/>
  <c r="B764" i="80"/>
  <c r="A764" i="80"/>
  <c r="L763" i="80"/>
  <c r="K763" i="80"/>
  <c r="J763" i="80"/>
  <c r="I763" i="80"/>
  <c r="H763" i="80"/>
  <c r="G763" i="80"/>
  <c r="F763" i="80"/>
  <c r="E763" i="80"/>
  <c r="D763" i="80"/>
  <c r="C763" i="80"/>
  <c r="B763" i="80"/>
  <c r="A763" i="80"/>
  <c r="L762" i="80"/>
  <c r="K762" i="80"/>
  <c r="J762" i="80"/>
  <c r="I762" i="80"/>
  <c r="H762" i="80"/>
  <c r="G762" i="80"/>
  <c r="F762" i="80"/>
  <c r="E762" i="80"/>
  <c r="D762" i="80"/>
  <c r="C762" i="80"/>
  <c r="B762" i="80"/>
  <c r="A762" i="80"/>
  <c r="L761" i="80"/>
  <c r="K761" i="80"/>
  <c r="J761" i="80"/>
  <c r="I761" i="80"/>
  <c r="H761" i="80"/>
  <c r="G761" i="80"/>
  <c r="F761" i="80"/>
  <c r="E761" i="80"/>
  <c r="D761" i="80"/>
  <c r="C761" i="80"/>
  <c r="B761" i="80"/>
  <c r="A761" i="80"/>
  <c r="L760" i="80"/>
  <c r="K760" i="80"/>
  <c r="J760" i="80"/>
  <c r="I760" i="80"/>
  <c r="H760" i="80"/>
  <c r="G760" i="80"/>
  <c r="F760" i="80"/>
  <c r="E760" i="80"/>
  <c r="D760" i="80"/>
  <c r="C760" i="80"/>
  <c r="B760" i="80"/>
  <c r="A760" i="80"/>
  <c r="L759" i="80"/>
  <c r="K759" i="80"/>
  <c r="J759" i="80"/>
  <c r="I759" i="80"/>
  <c r="H759" i="80"/>
  <c r="G759" i="80"/>
  <c r="F759" i="80"/>
  <c r="E759" i="80"/>
  <c r="D759" i="80"/>
  <c r="C759" i="80"/>
  <c r="B759" i="80"/>
  <c r="A759" i="80"/>
  <c r="L758" i="80"/>
  <c r="K758" i="80"/>
  <c r="J758" i="80"/>
  <c r="I758" i="80"/>
  <c r="H758" i="80"/>
  <c r="G758" i="80"/>
  <c r="F758" i="80"/>
  <c r="E758" i="80"/>
  <c r="D758" i="80"/>
  <c r="C758" i="80"/>
  <c r="B758" i="80"/>
  <c r="A758" i="80"/>
  <c r="L757" i="80"/>
  <c r="K757" i="80"/>
  <c r="J757" i="80"/>
  <c r="I757" i="80"/>
  <c r="H757" i="80"/>
  <c r="G757" i="80"/>
  <c r="F757" i="80"/>
  <c r="E757" i="80"/>
  <c r="D757" i="80"/>
  <c r="C757" i="80"/>
  <c r="B757" i="80"/>
  <c r="A757" i="80"/>
  <c r="L756" i="80"/>
  <c r="K756" i="80"/>
  <c r="J756" i="80"/>
  <c r="I756" i="80"/>
  <c r="H756" i="80"/>
  <c r="G756" i="80"/>
  <c r="F756" i="80"/>
  <c r="E756" i="80"/>
  <c r="D756" i="80"/>
  <c r="C756" i="80"/>
  <c r="B756" i="80"/>
  <c r="A756" i="80"/>
  <c r="L755" i="80"/>
  <c r="K755" i="80"/>
  <c r="J755" i="80"/>
  <c r="I755" i="80"/>
  <c r="H755" i="80"/>
  <c r="G755" i="80"/>
  <c r="F755" i="80"/>
  <c r="E755" i="80"/>
  <c r="D755" i="80"/>
  <c r="C755" i="80"/>
  <c r="B755" i="80"/>
  <c r="A755" i="80"/>
  <c r="L754" i="80"/>
  <c r="K754" i="80"/>
  <c r="J754" i="80"/>
  <c r="I754" i="80"/>
  <c r="H754" i="80"/>
  <c r="G754" i="80"/>
  <c r="F754" i="80"/>
  <c r="E754" i="80"/>
  <c r="D754" i="80"/>
  <c r="C754" i="80"/>
  <c r="B754" i="80"/>
  <c r="A754" i="80"/>
  <c r="L753" i="80"/>
  <c r="K753" i="80"/>
  <c r="J753" i="80"/>
  <c r="I753" i="80"/>
  <c r="H753" i="80"/>
  <c r="G753" i="80"/>
  <c r="F753" i="80"/>
  <c r="E753" i="80"/>
  <c r="D753" i="80"/>
  <c r="C753" i="80"/>
  <c r="B753" i="80"/>
  <c r="A753" i="80"/>
  <c r="L752" i="80"/>
  <c r="K752" i="80"/>
  <c r="J752" i="80"/>
  <c r="I752" i="80"/>
  <c r="H752" i="80"/>
  <c r="G752" i="80"/>
  <c r="F752" i="80"/>
  <c r="E752" i="80"/>
  <c r="D752" i="80"/>
  <c r="C752" i="80"/>
  <c r="B752" i="80"/>
  <c r="A752" i="80"/>
  <c r="L751" i="80"/>
  <c r="K751" i="80"/>
  <c r="J751" i="80"/>
  <c r="I751" i="80"/>
  <c r="H751" i="80"/>
  <c r="G751" i="80"/>
  <c r="F751" i="80"/>
  <c r="E751" i="80"/>
  <c r="D751" i="80"/>
  <c r="C751" i="80"/>
  <c r="B751" i="80"/>
  <c r="A751" i="80"/>
  <c r="L750" i="80"/>
  <c r="K750" i="80"/>
  <c r="J750" i="80"/>
  <c r="I750" i="80"/>
  <c r="H750" i="80"/>
  <c r="G750" i="80"/>
  <c r="F750" i="80"/>
  <c r="E750" i="80"/>
  <c r="D750" i="80"/>
  <c r="C750" i="80"/>
  <c r="B750" i="80"/>
  <c r="A750" i="80"/>
  <c r="L749" i="80"/>
  <c r="K749" i="80"/>
  <c r="J749" i="80"/>
  <c r="I749" i="80"/>
  <c r="H749" i="80"/>
  <c r="G749" i="80"/>
  <c r="F749" i="80"/>
  <c r="E749" i="80"/>
  <c r="D749" i="80"/>
  <c r="C749" i="80"/>
  <c r="B749" i="80"/>
  <c r="A749" i="80"/>
  <c r="L748" i="80"/>
  <c r="K748" i="80"/>
  <c r="J748" i="80"/>
  <c r="I748" i="80"/>
  <c r="H748" i="80"/>
  <c r="G748" i="80"/>
  <c r="F748" i="80"/>
  <c r="E748" i="80"/>
  <c r="D748" i="80"/>
  <c r="C748" i="80"/>
  <c r="B748" i="80"/>
  <c r="A748" i="80"/>
  <c r="L747" i="80"/>
  <c r="K747" i="80"/>
  <c r="J747" i="80"/>
  <c r="I747" i="80"/>
  <c r="H747" i="80"/>
  <c r="G747" i="80"/>
  <c r="F747" i="80"/>
  <c r="E747" i="80"/>
  <c r="D747" i="80"/>
  <c r="C747" i="80"/>
  <c r="B747" i="80"/>
  <c r="A747" i="80"/>
  <c r="L746" i="80"/>
  <c r="K746" i="80"/>
  <c r="J746" i="80"/>
  <c r="I746" i="80"/>
  <c r="H746" i="80"/>
  <c r="G746" i="80"/>
  <c r="F746" i="80"/>
  <c r="E746" i="80"/>
  <c r="D746" i="80"/>
  <c r="C746" i="80"/>
  <c r="B746" i="80"/>
  <c r="A746" i="80"/>
  <c r="L745" i="80"/>
  <c r="K745" i="80"/>
  <c r="J745" i="80"/>
  <c r="I745" i="80"/>
  <c r="H745" i="80"/>
  <c r="G745" i="80"/>
  <c r="F745" i="80"/>
  <c r="E745" i="80"/>
  <c r="D745" i="80"/>
  <c r="C745" i="80"/>
  <c r="B745" i="80"/>
  <c r="A745" i="80"/>
  <c r="L744" i="80"/>
  <c r="K744" i="80"/>
  <c r="J744" i="80"/>
  <c r="I744" i="80"/>
  <c r="H744" i="80"/>
  <c r="G744" i="80"/>
  <c r="F744" i="80"/>
  <c r="E744" i="80"/>
  <c r="D744" i="80"/>
  <c r="C744" i="80"/>
  <c r="B744" i="80"/>
  <c r="A744" i="80"/>
  <c r="L743" i="80"/>
  <c r="K743" i="80"/>
  <c r="J743" i="80"/>
  <c r="I743" i="80"/>
  <c r="H743" i="80"/>
  <c r="G743" i="80"/>
  <c r="F743" i="80"/>
  <c r="E743" i="80"/>
  <c r="D743" i="80"/>
  <c r="C743" i="80"/>
  <c r="B743" i="80"/>
  <c r="A743" i="80"/>
  <c r="L742" i="80"/>
  <c r="K742" i="80"/>
  <c r="J742" i="80"/>
  <c r="I742" i="80"/>
  <c r="H742" i="80"/>
  <c r="G742" i="80"/>
  <c r="F742" i="80"/>
  <c r="E742" i="80"/>
  <c r="D742" i="80"/>
  <c r="C742" i="80"/>
  <c r="B742" i="80"/>
  <c r="A742" i="80"/>
  <c r="L741" i="80"/>
  <c r="K741" i="80"/>
  <c r="J741" i="80"/>
  <c r="I741" i="80"/>
  <c r="H741" i="80"/>
  <c r="G741" i="80"/>
  <c r="F741" i="80"/>
  <c r="E741" i="80"/>
  <c r="D741" i="80"/>
  <c r="C741" i="80"/>
  <c r="B741" i="80"/>
  <c r="A741" i="80"/>
  <c r="L740" i="80"/>
  <c r="K740" i="80"/>
  <c r="J740" i="80"/>
  <c r="I740" i="80"/>
  <c r="H740" i="80"/>
  <c r="G740" i="80"/>
  <c r="F740" i="80"/>
  <c r="E740" i="80"/>
  <c r="D740" i="80"/>
  <c r="C740" i="80"/>
  <c r="B740" i="80"/>
  <c r="A740" i="80"/>
  <c r="L739" i="80"/>
  <c r="K739" i="80"/>
  <c r="J739" i="80"/>
  <c r="I739" i="80"/>
  <c r="H739" i="80"/>
  <c r="G739" i="80"/>
  <c r="F739" i="80"/>
  <c r="E739" i="80"/>
  <c r="D739" i="80"/>
  <c r="C739" i="80"/>
  <c r="B739" i="80"/>
  <c r="A739" i="80"/>
  <c r="L738" i="80"/>
  <c r="K738" i="80"/>
  <c r="J738" i="80"/>
  <c r="I738" i="80"/>
  <c r="H738" i="80"/>
  <c r="G738" i="80"/>
  <c r="F738" i="80"/>
  <c r="E738" i="80"/>
  <c r="D738" i="80"/>
  <c r="C738" i="80"/>
  <c r="B738" i="80"/>
  <c r="A738" i="80"/>
  <c r="L737" i="80"/>
  <c r="K737" i="80"/>
  <c r="J737" i="80"/>
  <c r="I737" i="80"/>
  <c r="H737" i="80"/>
  <c r="G737" i="80"/>
  <c r="F737" i="80"/>
  <c r="E737" i="80"/>
  <c r="D737" i="80"/>
  <c r="C737" i="80"/>
  <c r="B737" i="80"/>
  <c r="A737" i="80"/>
  <c r="L736" i="80"/>
  <c r="K736" i="80"/>
  <c r="J736" i="80"/>
  <c r="I736" i="80"/>
  <c r="H736" i="80"/>
  <c r="G736" i="80"/>
  <c r="F736" i="80"/>
  <c r="E736" i="80"/>
  <c r="D736" i="80"/>
  <c r="C736" i="80"/>
  <c r="B736" i="80"/>
  <c r="A736" i="80"/>
  <c r="L735" i="80"/>
  <c r="K735" i="80"/>
  <c r="J735" i="80"/>
  <c r="I735" i="80"/>
  <c r="H735" i="80"/>
  <c r="G735" i="80"/>
  <c r="F735" i="80"/>
  <c r="E735" i="80"/>
  <c r="D735" i="80"/>
  <c r="C735" i="80"/>
  <c r="B735" i="80"/>
  <c r="A735" i="80"/>
  <c r="L734" i="80"/>
  <c r="K734" i="80"/>
  <c r="J734" i="80"/>
  <c r="I734" i="80"/>
  <c r="H734" i="80"/>
  <c r="G734" i="80"/>
  <c r="F734" i="80"/>
  <c r="E734" i="80"/>
  <c r="D734" i="80"/>
  <c r="C734" i="80"/>
  <c r="B734" i="80"/>
  <c r="A734" i="80"/>
  <c r="L733" i="80"/>
  <c r="K733" i="80"/>
  <c r="J733" i="80"/>
  <c r="I733" i="80"/>
  <c r="H733" i="80"/>
  <c r="G733" i="80"/>
  <c r="F733" i="80"/>
  <c r="E733" i="80"/>
  <c r="D733" i="80"/>
  <c r="C733" i="80"/>
  <c r="B733" i="80"/>
  <c r="A733" i="80"/>
  <c r="L732" i="80"/>
  <c r="K732" i="80"/>
  <c r="J732" i="80"/>
  <c r="I732" i="80"/>
  <c r="H732" i="80"/>
  <c r="G732" i="80"/>
  <c r="F732" i="80"/>
  <c r="E732" i="80"/>
  <c r="D732" i="80"/>
  <c r="C732" i="80"/>
  <c r="B732" i="80"/>
  <c r="A732" i="80"/>
  <c r="L731" i="80"/>
  <c r="K731" i="80"/>
  <c r="J731" i="80"/>
  <c r="I731" i="80"/>
  <c r="H731" i="80"/>
  <c r="G731" i="80"/>
  <c r="F731" i="80"/>
  <c r="E731" i="80"/>
  <c r="D731" i="80"/>
  <c r="C731" i="80"/>
  <c r="B731" i="80"/>
  <c r="A731" i="80"/>
  <c r="L730" i="80"/>
  <c r="K730" i="80"/>
  <c r="J730" i="80"/>
  <c r="I730" i="80"/>
  <c r="H730" i="80"/>
  <c r="G730" i="80"/>
  <c r="F730" i="80"/>
  <c r="E730" i="80"/>
  <c r="D730" i="80"/>
  <c r="C730" i="80"/>
  <c r="B730" i="80"/>
  <c r="A730" i="80"/>
  <c r="L729" i="80"/>
  <c r="K729" i="80"/>
  <c r="J729" i="80"/>
  <c r="I729" i="80"/>
  <c r="H729" i="80"/>
  <c r="G729" i="80"/>
  <c r="F729" i="80"/>
  <c r="E729" i="80"/>
  <c r="D729" i="80"/>
  <c r="C729" i="80"/>
  <c r="B729" i="80"/>
  <c r="A729" i="80"/>
  <c r="L728" i="80"/>
  <c r="K728" i="80"/>
  <c r="J728" i="80"/>
  <c r="I728" i="80"/>
  <c r="H728" i="80"/>
  <c r="G728" i="80"/>
  <c r="F728" i="80"/>
  <c r="E728" i="80"/>
  <c r="D728" i="80"/>
  <c r="C728" i="80"/>
  <c r="B728" i="80"/>
  <c r="A728" i="80"/>
  <c r="L727" i="80"/>
  <c r="K727" i="80"/>
  <c r="J727" i="80"/>
  <c r="I727" i="80"/>
  <c r="H727" i="80"/>
  <c r="G727" i="80"/>
  <c r="F727" i="80"/>
  <c r="E727" i="80"/>
  <c r="D727" i="80"/>
  <c r="C727" i="80"/>
  <c r="B727" i="80"/>
  <c r="A727" i="80"/>
  <c r="L726" i="80"/>
  <c r="K726" i="80"/>
  <c r="J726" i="80"/>
  <c r="I726" i="80"/>
  <c r="H726" i="80"/>
  <c r="G726" i="80"/>
  <c r="F726" i="80"/>
  <c r="E726" i="80"/>
  <c r="D726" i="80"/>
  <c r="C726" i="80"/>
  <c r="B726" i="80"/>
  <c r="A726" i="80"/>
  <c r="L725" i="80"/>
  <c r="K725" i="80"/>
  <c r="J725" i="80"/>
  <c r="I725" i="80"/>
  <c r="H725" i="80"/>
  <c r="G725" i="80"/>
  <c r="F725" i="80"/>
  <c r="E725" i="80"/>
  <c r="D725" i="80"/>
  <c r="C725" i="80"/>
  <c r="B725" i="80"/>
  <c r="A725" i="80"/>
  <c r="L724" i="80"/>
  <c r="K724" i="80"/>
  <c r="J724" i="80"/>
  <c r="I724" i="80"/>
  <c r="H724" i="80"/>
  <c r="G724" i="80"/>
  <c r="F724" i="80"/>
  <c r="E724" i="80"/>
  <c r="D724" i="80"/>
  <c r="C724" i="80"/>
  <c r="B724" i="80"/>
  <c r="A724" i="80"/>
  <c r="L723" i="80"/>
  <c r="K723" i="80"/>
  <c r="J723" i="80"/>
  <c r="I723" i="80"/>
  <c r="H723" i="80"/>
  <c r="G723" i="80"/>
  <c r="F723" i="80"/>
  <c r="E723" i="80"/>
  <c r="D723" i="80"/>
  <c r="C723" i="80"/>
  <c r="B723" i="80"/>
  <c r="A723" i="80"/>
  <c r="L722" i="80"/>
  <c r="K722" i="80"/>
  <c r="J722" i="80"/>
  <c r="I722" i="80"/>
  <c r="H722" i="80"/>
  <c r="G722" i="80"/>
  <c r="F722" i="80"/>
  <c r="E722" i="80"/>
  <c r="D722" i="80"/>
  <c r="C722" i="80"/>
  <c r="B722" i="80"/>
  <c r="A722" i="80"/>
  <c r="L721" i="80"/>
  <c r="K721" i="80"/>
  <c r="J721" i="80"/>
  <c r="I721" i="80"/>
  <c r="H721" i="80"/>
  <c r="G721" i="80"/>
  <c r="F721" i="80"/>
  <c r="E721" i="80"/>
  <c r="D721" i="80"/>
  <c r="C721" i="80"/>
  <c r="B721" i="80"/>
  <c r="A721" i="80"/>
  <c r="L720" i="80"/>
  <c r="K720" i="80"/>
  <c r="J720" i="80"/>
  <c r="I720" i="80"/>
  <c r="H720" i="80"/>
  <c r="G720" i="80"/>
  <c r="F720" i="80"/>
  <c r="E720" i="80"/>
  <c r="D720" i="80"/>
  <c r="C720" i="80"/>
  <c r="B720" i="80"/>
  <c r="A720" i="80"/>
  <c r="L719" i="80"/>
  <c r="K719" i="80"/>
  <c r="J719" i="80"/>
  <c r="I719" i="80"/>
  <c r="H719" i="80"/>
  <c r="G719" i="80"/>
  <c r="F719" i="80"/>
  <c r="E719" i="80"/>
  <c r="D719" i="80"/>
  <c r="C719" i="80"/>
  <c r="B719" i="80"/>
  <c r="A719" i="80"/>
  <c r="L718" i="80"/>
  <c r="K718" i="80"/>
  <c r="J718" i="80"/>
  <c r="I718" i="80"/>
  <c r="H718" i="80"/>
  <c r="G718" i="80"/>
  <c r="F718" i="80"/>
  <c r="E718" i="80"/>
  <c r="D718" i="80"/>
  <c r="C718" i="80"/>
  <c r="B718" i="80"/>
  <c r="A718" i="80"/>
  <c r="L717" i="80"/>
  <c r="K717" i="80"/>
  <c r="J717" i="80"/>
  <c r="I717" i="80"/>
  <c r="H717" i="80"/>
  <c r="G717" i="80"/>
  <c r="F717" i="80"/>
  <c r="E717" i="80"/>
  <c r="D717" i="80"/>
  <c r="C717" i="80"/>
  <c r="B717" i="80"/>
  <c r="A717" i="80"/>
  <c r="L716" i="80"/>
  <c r="K716" i="80"/>
  <c r="J716" i="80"/>
  <c r="I716" i="80"/>
  <c r="H716" i="80"/>
  <c r="G716" i="80"/>
  <c r="F716" i="80"/>
  <c r="E716" i="80"/>
  <c r="D716" i="80"/>
  <c r="C716" i="80"/>
  <c r="B716" i="80"/>
  <c r="A716" i="80"/>
  <c r="L715" i="80"/>
  <c r="K715" i="80"/>
  <c r="J715" i="80"/>
  <c r="I715" i="80"/>
  <c r="H715" i="80"/>
  <c r="G715" i="80"/>
  <c r="F715" i="80"/>
  <c r="E715" i="80"/>
  <c r="D715" i="80"/>
  <c r="C715" i="80"/>
  <c r="B715" i="80"/>
  <c r="A715" i="80"/>
  <c r="L714" i="80"/>
  <c r="K714" i="80"/>
  <c r="J714" i="80"/>
  <c r="I714" i="80"/>
  <c r="H714" i="80"/>
  <c r="G714" i="80"/>
  <c r="F714" i="80"/>
  <c r="E714" i="80"/>
  <c r="D714" i="80"/>
  <c r="C714" i="80"/>
  <c r="B714" i="80"/>
  <c r="A714" i="80"/>
  <c r="L713" i="80"/>
  <c r="K713" i="80"/>
  <c r="J713" i="80"/>
  <c r="I713" i="80"/>
  <c r="H713" i="80"/>
  <c r="G713" i="80"/>
  <c r="F713" i="80"/>
  <c r="E713" i="80"/>
  <c r="D713" i="80"/>
  <c r="C713" i="80"/>
  <c r="B713" i="80"/>
  <c r="A713" i="80"/>
  <c r="L712" i="80"/>
  <c r="K712" i="80"/>
  <c r="J712" i="80"/>
  <c r="I712" i="80"/>
  <c r="H712" i="80"/>
  <c r="G712" i="80"/>
  <c r="F712" i="80"/>
  <c r="E712" i="80"/>
  <c r="D712" i="80"/>
  <c r="C712" i="80"/>
  <c r="B712" i="80"/>
  <c r="A712" i="80"/>
  <c r="L711" i="80"/>
  <c r="K711" i="80"/>
  <c r="J711" i="80"/>
  <c r="I711" i="80"/>
  <c r="H711" i="80"/>
  <c r="G711" i="80"/>
  <c r="F711" i="80"/>
  <c r="E711" i="80"/>
  <c r="D711" i="80"/>
  <c r="C711" i="80"/>
  <c r="B711" i="80"/>
  <c r="A711" i="80"/>
  <c r="L710" i="80"/>
  <c r="K710" i="80"/>
  <c r="J710" i="80"/>
  <c r="I710" i="80"/>
  <c r="H710" i="80"/>
  <c r="G710" i="80"/>
  <c r="F710" i="80"/>
  <c r="E710" i="80"/>
  <c r="D710" i="80"/>
  <c r="C710" i="80"/>
  <c r="B710" i="80"/>
  <c r="A710" i="80"/>
  <c r="L709" i="80"/>
  <c r="K709" i="80"/>
  <c r="J709" i="80"/>
  <c r="I709" i="80"/>
  <c r="H709" i="80"/>
  <c r="G709" i="80"/>
  <c r="F709" i="80"/>
  <c r="E709" i="80"/>
  <c r="D709" i="80"/>
  <c r="C709" i="80"/>
  <c r="B709" i="80"/>
  <c r="A709" i="80"/>
  <c r="L708" i="80"/>
  <c r="K708" i="80"/>
  <c r="J708" i="80"/>
  <c r="I708" i="80"/>
  <c r="H708" i="80"/>
  <c r="G708" i="80"/>
  <c r="F708" i="80"/>
  <c r="E708" i="80"/>
  <c r="D708" i="80"/>
  <c r="C708" i="80"/>
  <c r="B708" i="80"/>
  <c r="A708" i="80"/>
  <c r="L707" i="80"/>
  <c r="K707" i="80"/>
  <c r="J707" i="80"/>
  <c r="I707" i="80"/>
  <c r="H707" i="80"/>
  <c r="G707" i="80"/>
  <c r="F707" i="80"/>
  <c r="E707" i="80"/>
  <c r="D707" i="80"/>
  <c r="C707" i="80"/>
  <c r="B707" i="80"/>
  <c r="A707" i="80"/>
  <c r="L706" i="80"/>
  <c r="K706" i="80"/>
  <c r="J706" i="80"/>
  <c r="I706" i="80"/>
  <c r="H706" i="80"/>
  <c r="G706" i="80"/>
  <c r="F706" i="80"/>
  <c r="E706" i="80"/>
  <c r="D706" i="80"/>
  <c r="C706" i="80"/>
  <c r="B706" i="80"/>
  <c r="A706" i="80"/>
  <c r="L705" i="80"/>
  <c r="K705" i="80"/>
  <c r="J705" i="80"/>
  <c r="I705" i="80"/>
  <c r="H705" i="80"/>
  <c r="G705" i="80"/>
  <c r="F705" i="80"/>
  <c r="E705" i="80"/>
  <c r="D705" i="80"/>
  <c r="C705" i="80"/>
  <c r="B705" i="80"/>
  <c r="A705" i="80"/>
  <c r="L704" i="80"/>
  <c r="K704" i="80"/>
  <c r="J704" i="80"/>
  <c r="I704" i="80"/>
  <c r="H704" i="80"/>
  <c r="G704" i="80"/>
  <c r="F704" i="80"/>
  <c r="E704" i="80"/>
  <c r="D704" i="80"/>
  <c r="C704" i="80"/>
  <c r="B704" i="80"/>
  <c r="A704" i="80"/>
  <c r="L703" i="80"/>
  <c r="K703" i="80"/>
  <c r="J703" i="80"/>
  <c r="I703" i="80"/>
  <c r="H703" i="80"/>
  <c r="G703" i="80"/>
  <c r="F703" i="80"/>
  <c r="E703" i="80"/>
  <c r="D703" i="80"/>
  <c r="C703" i="80"/>
  <c r="B703" i="80"/>
  <c r="A703" i="80"/>
  <c r="L702" i="80"/>
  <c r="K702" i="80"/>
  <c r="J702" i="80"/>
  <c r="I702" i="80"/>
  <c r="H702" i="80"/>
  <c r="G702" i="80"/>
  <c r="F702" i="80"/>
  <c r="E702" i="80"/>
  <c r="D702" i="80"/>
  <c r="C702" i="80"/>
  <c r="B702" i="80"/>
  <c r="A702" i="80"/>
  <c r="L701" i="80"/>
  <c r="K701" i="80"/>
  <c r="J701" i="80"/>
  <c r="I701" i="80"/>
  <c r="H701" i="80"/>
  <c r="G701" i="80"/>
  <c r="F701" i="80"/>
  <c r="E701" i="80"/>
  <c r="D701" i="80"/>
  <c r="C701" i="80"/>
  <c r="B701" i="80"/>
  <c r="A701" i="80"/>
  <c r="L700" i="80"/>
  <c r="K700" i="80"/>
  <c r="J700" i="80"/>
  <c r="I700" i="80"/>
  <c r="H700" i="80"/>
  <c r="G700" i="80"/>
  <c r="F700" i="80"/>
  <c r="E700" i="80"/>
  <c r="D700" i="80"/>
  <c r="C700" i="80"/>
  <c r="B700" i="80"/>
  <c r="A700" i="80"/>
  <c r="L699" i="80"/>
  <c r="K699" i="80"/>
  <c r="J699" i="80"/>
  <c r="I699" i="80"/>
  <c r="H699" i="80"/>
  <c r="G699" i="80"/>
  <c r="F699" i="80"/>
  <c r="E699" i="80"/>
  <c r="D699" i="80"/>
  <c r="C699" i="80"/>
  <c r="B699" i="80"/>
  <c r="A699" i="80"/>
  <c r="L698" i="80"/>
  <c r="K698" i="80"/>
  <c r="J698" i="80"/>
  <c r="I698" i="80"/>
  <c r="H698" i="80"/>
  <c r="G698" i="80"/>
  <c r="F698" i="80"/>
  <c r="E698" i="80"/>
  <c r="D698" i="80"/>
  <c r="C698" i="80"/>
  <c r="B698" i="80"/>
  <c r="A698" i="80"/>
  <c r="L697" i="80"/>
  <c r="K697" i="80"/>
  <c r="J697" i="80"/>
  <c r="I697" i="80"/>
  <c r="H697" i="80"/>
  <c r="G697" i="80"/>
  <c r="F697" i="80"/>
  <c r="E697" i="80"/>
  <c r="D697" i="80"/>
  <c r="C697" i="80"/>
  <c r="B697" i="80"/>
  <c r="A697" i="80"/>
  <c r="L696" i="80"/>
  <c r="K696" i="80"/>
  <c r="J696" i="80"/>
  <c r="I696" i="80"/>
  <c r="H696" i="80"/>
  <c r="G696" i="80"/>
  <c r="F696" i="80"/>
  <c r="E696" i="80"/>
  <c r="D696" i="80"/>
  <c r="C696" i="80"/>
  <c r="B696" i="80"/>
  <c r="A696" i="80"/>
  <c r="L695" i="80"/>
  <c r="K695" i="80"/>
  <c r="J695" i="80"/>
  <c r="I695" i="80"/>
  <c r="H695" i="80"/>
  <c r="G695" i="80"/>
  <c r="F695" i="80"/>
  <c r="E695" i="80"/>
  <c r="D695" i="80"/>
  <c r="C695" i="80"/>
  <c r="B695" i="80"/>
  <c r="A695" i="80"/>
  <c r="L694" i="80"/>
  <c r="K694" i="80"/>
  <c r="J694" i="80"/>
  <c r="I694" i="80"/>
  <c r="H694" i="80"/>
  <c r="G694" i="80"/>
  <c r="F694" i="80"/>
  <c r="E694" i="80"/>
  <c r="D694" i="80"/>
  <c r="C694" i="80"/>
  <c r="B694" i="80"/>
  <c r="A694" i="80"/>
  <c r="L693" i="80"/>
  <c r="K693" i="80"/>
  <c r="J693" i="80"/>
  <c r="I693" i="80"/>
  <c r="H693" i="80"/>
  <c r="G693" i="80"/>
  <c r="F693" i="80"/>
  <c r="E693" i="80"/>
  <c r="D693" i="80"/>
  <c r="C693" i="80"/>
  <c r="B693" i="80"/>
  <c r="A693" i="80"/>
  <c r="L692" i="80"/>
  <c r="K692" i="80"/>
  <c r="J692" i="80"/>
  <c r="I692" i="80"/>
  <c r="H692" i="80"/>
  <c r="G692" i="80"/>
  <c r="F692" i="80"/>
  <c r="E692" i="80"/>
  <c r="D692" i="80"/>
  <c r="C692" i="80"/>
  <c r="B692" i="80"/>
  <c r="A692" i="80"/>
  <c r="L691" i="80"/>
  <c r="K691" i="80"/>
  <c r="J691" i="80"/>
  <c r="I691" i="80"/>
  <c r="H691" i="80"/>
  <c r="G691" i="80"/>
  <c r="F691" i="80"/>
  <c r="E691" i="80"/>
  <c r="D691" i="80"/>
  <c r="C691" i="80"/>
  <c r="B691" i="80"/>
  <c r="A691" i="80"/>
  <c r="L690" i="80"/>
  <c r="K690" i="80"/>
  <c r="J690" i="80"/>
  <c r="I690" i="80"/>
  <c r="H690" i="80"/>
  <c r="G690" i="80"/>
  <c r="F690" i="80"/>
  <c r="E690" i="80"/>
  <c r="D690" i="80"/>
  <c r="C690" i="80"/>
  <c r="B690" i="80"/>
  <c r="A690" i="80"/>
  <c r="L689" i="80"/>
  <c r="K689" i="80"/>
  <c r="J689" i="80"/>
  <c r="I689" i="80"/>
  <c r="H689" i="80"/>
  <c r="G689" i="80"/>
  <c r="F689" i="80"/>
  <c r="E689" i="80"/>
  <c r="D689" i="80"/>
  <c r="C689" i="80"/>
  <c r="B689" i="80"/>
  <c r="A689" i="80"/>
  <c r="L688" i="80"/>
  <c r="K688" i="80"/>
  <c r="J688" i="80"/>
  <c r="I688" i="80"/>
  <c r="H688" i="80"/>
  <c r="G688" i="80"/>
  <c r="F688" i="80"/>
  <c r="E688" i="80"/>
  <c r="D688" i="80"/>
  <c r="C688" i="80"/>
  <c r="B688" i="80"/>
  <c r="A688" i="80"/>
  <c r="L687" i="80"/>
  <c r="K687" i="80"/>
  <c r="J687" i="80"/>
  <c r="I687" i="80"/>
  <c r="H687" i="80"/>
  <c r="G687" i="80"/>
  <c r="F687" i="80"/>
  <c r="E687" i="80"/>
  <c r="D687" i="80"/>
  <c r="C687" i="80"/>
  <c r="B687" i="80"/>
  <c r="A687" i="80"/>
  <c r="L686" i="80"/>
  <c r="K686" i="80"/>
  <c r="J686" i="80"/>
  <c r="I686" i="80"/>
  <c r="H686" i="80"/>
  <c r="G686" i="80"/>
  <c r="F686" i="80"/>
  <c r="E686" i="80"/>
  <c r="D686" i="80"/>
  <c r="C686" i="80"/>
  <c r="B686" i="80"/>
  <c r="A686" i="80"/>
  <c r="L685" i="80"/>
  <c r="K685" i="80"/>
  <c r="J685" i="80"/>
  <c r="I685" i="80"/>
  <c r="H685" i="80"/>
  <c r="G685" i="80"/>
  <c r="F685" i="80"/>
  <c r="E685" i="80"/>
  <c r="D685" i="80"/>
  <c r="C685" i="80"/>
  <c r="B685" i="80"/>
  <c r="A685" i="80"/>
  <c r="L684" i="80"/>
  <c r="K684" i="80"/>
  <c r="J684" i="80"/>
  <c r="I684" i="80"/>
  <c r="H684" i="80"/>
  <c r="G684" i="80"/>
  <c r="F684" i="80"/>
  <c r="E684" i="80"/>
  <c r="D684" i="80"/>
  <c r="C684" i="80"/>
  <c r="B684" i="80"/>
  <c r="A684" i="80"/>
  <c r="L683" i="80"/>
  <c r="K683" i="80"/>
  <c r="J683" i="80"/>
  <c r="I683" i="80"/>
  <c r="H683" i="80"/>
  <c r="G683" i="80"/>
  <c r="F683" i="80"/>
  <c r="E683" i="80"/>
  <c r="D683" i="80"/>
  <c r="C683" i="80"/>
  <c r="B683" i="80"/>
  <c r="A683" i="80"/>
  <c r="L682" i="80"/>
  <c r="K682" i="80"/>
  <c r="J682" i="80"/>
  <c r="I682" i="80"/>
  <c r="H682" i="80"/>
  <c r="G682" i="80"/>
  <c r="F682" i="80"/>
  <c r="E682" i="80"/>
  <c r="D682" i="80"/>
  <c r="C682" i="80"/>
  <c r="B682" i="80"/>
  <c r="A682" i="80"/>
  <c r="L681" i="80"/>
  <c r="K681" i="80"/>
  <c r="J681" i="80"/>
  <c r="I681" i="80"/>
  <c r="H681" i="80"/>
  <c r="G681" i="80"/>
  <c r="F681" i="80"/>
  <c r="E681" i="80"/>
  <c r="D681" i="80"/>
  <c r="C681" i="80"/>
  <c r="B681" i="80"/>
  <c r="A681" i="80"/>
  <c r="L680" i="80"/>
  <c r="K680" i="80"/>
  <c r="J680" i="80"/>
  <c r="I680" i="80"/>
  <c r="H680" i="80"/>
  <c r="G680" i="80"/>
  <c r="F680" i="80"/>
  <c r="E680" i="80"/>
  <c r="D680" i="80"/>
  <c r="C680" i="80"/>
  <c r="B680" i="80"/>
  <c r="A680" i="80"/>
  <c r="L679" i="80"/>
  <c r="K679" i="80"/>
  <c r="J679" i="80"/>
  <c r="I679" i="80"/>
  <c r="H679" i="80"/>
  <c r="G679" i="80"/>
  <c r="F679" i="80"/>
  <c r="E679" i="80"/>
  <c r="D679" i="80"/>
  <c r="C679" i="80"/>
  <c r="B679" i="80"/>
  <c r="A679" i="80"/>
  <c r="L678" i="80"/>
  <c r="K678" i="80"/>
  <c r="J678" i="80"/>
  <c r="I678" i="80"/>
  <c r="H678" i="80"/>
  <c r="G678" i="80"/>
  <c r="F678" i="80"/>
  <c r="E678" i="80"/>
  <c r="D678" i="80"/>
  <c r="C678" i="80"/>
  <c r="B678" i="80"/>
  <c r="A678" i="80"/>
  <c r="L677" i="80"/>
  <c r="K677" i="80"/>
  <c r="J677" i="80"/>
  <c r="I677" i="80"/>
  <c r="H677" i="80"/>
  <c r="G677" i="80"/>
  <c r="F677" i="80"/>
  <c r="E677" i="80"/>
  <c r="D677" i="80"/>
  <c r="C677" i="80"/>
  <c r="B677" i="80"/>
  <c r="A677" i="80"/>
  <c r="L676" i="80"/>
  <c r="K676" i="80"/>
  <c r="J676" i="80"/>
  <c r="I676" i="80"/>
  <c r="H676" i="80"/>
  <c r="G676" i="80"/>
  <c r="F676" i="80"/>
  <c r="E676" i="80"/>
  <c r="D676" i="80"/>
  <c r="C676" i="80"/>
  <c r="B676" i="80"/>
  <c r="A676" i="80"/>
  <c r="L675" i="80"/>
  <c r="K675" i="80"/>
  <c r="J675" i="80"/>
  <c r="I675" i="80"/>
  <c r="H675" i="80"/>
  <c r="G675" i="80"/>
  <c r="F675" i="80"/>
  <c r="E675" i="80"/>
  <c r="D675" i="80"/>
  <c r="C675" i="80"/>
  <c r="B675" i="80"/>
  <c r="A675" i="80"/>
  <c r="L674" i="80"/>
  <c r="K674" i="80"/>
  <c r="J674" i="80"/>
  <c r="I674" i="80"/>
  <c r="H674" i="80"/>
  <c r="G674" i="80"/>
  <c r="F674" i="80"/>
  <c r="E674" i="80"/>
  <c r="D674" i="80"/>
  <c r="C674" i="80"/>
  <c r="B674" i="80"/>
  <c r="A674" i="80"/>
  <c r="L673" i="80"/>
  <c r="K673" i="80"/>
  <c r="J673" i="80"/>
  <c r="I673" i="80"/>
  <c r="H673" i="80"/>
  <c r="G673" i="80"/>
  <c r="F673" i="80"/>
  <c r="E673" i="80"/>
  <c r="D673" i="80"/>
  <c r="C673" i="80"/>
  <c r="B673" i="80"/>
  <c r="A673" i="80"/>
  <c r="L672" i="80"/>
  <c r="K672" i="80"/>
  <c r="J672" i="80"/>
  <c r="I672" i="80"/>
  <c r="H672" i="80"/>
  <c r="G672" i="80"/>
  <c r="F672" i="80"/>
  <c r="E672" i="80"/>
  <c r="D672" i="80"/>
  <c r="C672" i="80"/>
  <c r="B672" i="80"/>
  <c r="A672" i="80"/>
  <c r="L671" i="80"/>
  <c r="K671" i="80"/>
  <c r="J671" i="80"/>
  <c r="I671" i="80"/>
  <c r="H671" i="80"/>
  <c r="G671" i="80"/>
  <c r="F671" i="80"/>
  <c r="E671" i="80"/>
  <c r="D671" i="80"/>
  <c r="C671" i="80"/>
  <c r="B671" i="80"/>
  <c r="A671" i="80"/>
  <c r="L670" i="80"/>
  <c r="K670" i="80"/>
  <c r="J670" i="80"/>
  <c r="I670" i="80"/>
  <c r="H670" i="80"/>
  <c r="G670" i="80"/>
  <c r="F670" i="80"/>
  <c r="E670" i="80"/>
  <c r="D670" i="80"/>
  <c r="C670" i="80"/>
  <c r="B670" i="80"/>
  <c r="A670" i="80"/>
  <c r="L669" i="80"/>
  <c r="K669" i="80"/>
  <c r="J669" i="80"/>
  <c r="I669" i="80"/>
  <c r="H669" i="80"/>
  <c r="G669" i="80"/>
  <c r="F669" i="80"/>
  <c r="E669" i="80"/>
  <c r="D669" i="80"/>
  <c r="C669" i="80"/>
  <c r="B669" i="80"/>
  <c r="A669" i="80"/>
  <c r="L668" i="80"/>
  <c r="K668" i="80"/>
  <c r="J668" i="80"/>
  <c r="I668" i="80"/>
  <c r="H668" i="80"/>
  <c r="G668" i="80"/>
  <c r="F668" i="80"/>
  <c r="E668" i="80"/>
  <c r="D668" i="80"/>
  <c r="C668" i="80"/>
  <c r="B668" i="80"/>
  <c r="A668" i="80"/>
  <c r="L667" i="80"/>
  <c r="K667" i="80"/>
  <c r="J667" i="80"/>
  <c r="I667" i="80"/>
  <c r="H667" i="80"/>
  <c r="G667" i="80"/>
  <c r="F667" i="80"/>
  <c r="E667" i="80"/>
  <c r="D667" i="80"/>
  <c r="C667" i="80"/>
  <c r="B667" i="80"/>
  <c r="A667" i="80"/>
  <c r="L666" i="80"/>
  <c r="K666" i="80"/>
  <c r="J666" i="80"/>
  <c r="I666" i="80"/>
  <c r="H666" i="80"/>
  <c r="G666" i="80"/>
  <c r="F666" i="80"/>
  <c r="E666" i="80"/>
  <c r="D666" i="80"/>
  <c r="C666" i="80"/>
  <c r="B666" i="80"/>
  <c r="A666" i="80"/>
  <c r="L665" i="80"/>
  <c r="K665" i="80"/>
  <c r="J665" i="80"/>
  <c r="I665" i="80"/>
  <c r="H665" i="80"/>
  <c r="G665" i="80"/>
  <c r="F665" i="80"/>
  <c r="E665" i="80"/>
  <c r="D665" i="80"/>
  <c r="C665" i="80"/>
  <c r="B665" i="80"/>
  <c r="A665" i="80"/>
  <c r="L664" i="80"/>
  <c r="K664" i="80"/>
  <c r="J664" i="80"/>
  <c r="I664" i="80"/>
  <c r="H664" i="80"/>
  <c r="G664" i="80"/>
  <c r="F664" i="80"/>
  <c r="E664" i="80"/>
  <c r="D664" i="80"/>
  <c r="C664" i="80"/>
  <c r="B664" i="80"/>
  <c r="A664" i="80"/>
  <c r="L663" i="80"/>
  <c r="K663" i="80"/>
  <c r="J663" i="80"/>
  <c r="I663" i="80"/>
  <c r="H663" i="80"/>
  <c r="G663" i="80"/>
  <c r="F663" i="80"/>
  <c r="E663" i="80"/>
  <c r="D663" i="80"/>
  <c r="C663" i="80"/>
  <c r="B663" i="80"/>
  <c r="A663" i="80"/>
  <c r="L662" i="80"/>
  <c r="K662" i="80"/>
  <c r="J662" i="80"/>
  <c r="I662" i="80"/>
  <c r="H662" i="80"/>
  <c r="G662" i="80"/>
  <c r="F662" i="80"/>
  <c r="E662" i="80"/>
  <c r="D662" i="80"/>
  <c r="C662" i="80"/>
  <c r="B662" i="80"/>
  <c r="A662" i="80"/>
  <c r="L661" i="80"/>
  <c r="K661" i="80"/>
  <c r="J661" i="80"/>
  <c r="I661" i="80"/>
  <c r="H661" i="80"/>
  <c r="G661" i="80"/>
  <c r="F661" i="80"/>
  <c r="E661" i="80"/>
  <c r="D661" i="80"/>
  <c r="C661" i="80"/>
  <c r="B661" i="80"/>
  <c r="A661" i="80"/>
  <c r="L660" i="80"/>
  <c r="K660" i="80"/>
  <c r="J660" i="80"/>
  <c r="I660" i="80"/>
  <c r="H660" i="80"/>
  <c r="G660" i="80"/>
  <c r="F660" i="80"/>
  <c r="E660" i="80"/>
  <c r="D660" i="80"/>
  <c r="C660" i="80"/>
  <c r="B660" i="80"/>
  <c r="A660" i="80"/>
  <c r="L659" i="80"/>
  <c r="K659" i="80"/>
  <c r="J659" i="80"/>
  <c r="I659" i="80"/>
  <c r="H659" i="80"/>
  <c r="G659" i="80"/>
  <c r="F659" i="80"/>
  <c r="E659" i="80"/>
  <c r="D659" i="80"/>
  <c r="C659" i="80"/>
  <c r="B659" i="80"/>
  <c r="A659" i="80"/>
  <c r="L658" i="80"/>
  <c r="K658" i="80"/>
  <c r="J658" i="80"/>
  <c r="I658" i="80"/>
  <c r="H658" i="80"/>
  <c r="G658" i="80"/>
  <c r="F658" i="80"/>
  <c r="E658" i="80"/>
  <c r="D658" i="80"/>
  <c r="C658" i="80"/>
  <c r="B658" i="80"/>
  <c r="A658" i="80"/>
  <c r="L657" i="80"/>
  <c r="K657" i="80"/>
  <c r="J657" i="80"/>
  <c r="I657" i="80"/>
  <c r="H657" i="80"/>
  <c r="G657" i="80"/>
  <c r="F657" i="80"/>
  <c r="E657" i="80"/>
  <c r="D657" i="80"/>
  <c r="C657" i="80"/>
  <c r="B657" i="80"/>
  <c r="A657" i="80"/>
  <c r="L656" i="80"/>
  <c r="K656" i="80"/>
  <c r="J656" i="80"/>
  <c r="I656" i="80"/>
  <c r="H656" i="80"/>
  <c r="G656" i="80"/>
  <c r="F656" i="80"/>
  <c r="E656" i="80"/>
  <c r="D656" i="80"/>
  <c r="C656" i="80"/>
  <c r="B656" i="80"/>
  <c r="A656" i="80"/>
  <c r="L655" i="80"/>
  <c r="K655" i="80"/>
  <c r="J655" i="80"/>
  <c r="I655" i="80"/>
  <c r="H655" i="80"/>
  <c r="G655" i="80"/>
  <c r="F655" i="80"/>
  <c r="E655" i="80"/>
  <c r="D655" i="80"/>
  <c r="C655" i="80"/>
  <c r="B655" i="80"/>
  <c r="A655" i="80"/>
  <c r="L654" i="80"/>
  <c r="K654" i="80"/>
  <c r="J654" i="80"/>
  <c r="I654" i="80"/>
  <c r="H654" i="80"/>
  <c r="G654" i="80"/>
  <c r="F654" i="80"/>
  <c r="E654" i="80"/>
  <c r="D654" i="80"/>
  <c r="C654" i="80"/>
  <c r="B654" i="80"/>
  <c r="A654" i="80"/>
  <c r="L653" i="80"/>
  <c r="K653" i="80"/>
  <c r="J653" i="80"/>
  <c r="I653" i="80"/>
  <c r="H653" i="80"/>
  <c r="G653" i="80"/>
  <c r="F653" i="80"/>
  <c r="E653" i="80"/>
  <c r="D653" i="80"/>
  <c r="C653" i="80"/>
  <c r="B653" i="80"/>
  <c r="A653" i="80"/>
  <c r="L652" i="80"/>
  <c r="K652" i="80"/>
  <c r="J652" i="80"/>
  <c r="I652" i="80"/>
  <c r="H652" i="80"/>
  <c r="G652" i="80"/>
  <c r="F652" i="80"/>
  <c r="E652" i="80"/>
  <c r="D652" i="80"/>
  <c r="C652" i="80"/>
  <c r="B652" i="80"/>
  <c r="A652" i="80"/>
  <c r="L651" i="80"/>
  <c r="K651" i="80"/>
  <c r="J651" i="80"/>
  <c r="I651" i="80"/>
  <c r="H651" i="80"/>
  <c r="G651" i="80"/>
  <c r="F651" i="80"/>
  <c r="E651" i="80"/>
  <c r="D651" i="80"/>
  <c r="C651" i="80"/>
  <c r="B651" i="80"/>
  <c r="A651" i="80"/>
  <c r="L650" i="80"/>
  <c r="K650" i="80"/>
  <c r="J650" i="80"/>
  <c r="I650" i="80"/>
  <c r="H650" i="80"/>
  <c r="G650" i="80"/>
  <c r="F650" i="80"/>
  <c r="E650" i="80"/>
  <c r="D650" i="80"/>
  <c r="C650" i="80"/>
  <c r="B650" i="80"/>
  <c r="A650" i="80"/>
  <c r="L649" i="80"/>
  <c r="K649" i="80"/>
  <c r="J649" i="80"/>
  <c r="I649" i="80"/>
  <c r="H649" i="80"/>
  <c r="G649" i="80"/>
  <c r="F649" i="80"/>
  <c r="E649" i="80"/>
  <c r="D649" i="80"/>
  <c r="C649" i="80"/>
  <c r="B649" i="80"/>
  <c r="A649" i="80"/>
  <c r="L648" i="80"/>
  <c r="K648" i="80"/>
  <c r="J648" i="80"/>
  <c r="I648" i="80"/>
  <c r="H648" i="80"/>
  <c r="G648" i="80"/>
  <c r="F648" i="80"/>
  <c r="E648" i="80"/>
  <c r="D648" i="80"/>
  <c r="C648" i="80"/>
  <c r="B648" i="80"/>
  <c r="A648" i="80"/>
  <c r="L647" i="80"/>
  <c r="K647" i="80"/>
  <c r="J647" i="80"/>
  <c r="I647" i="80"/>
  <c r="H647" i="80"/>
  <c r="G647" i="80"/>
  <c r="F647" i="80"/>
  <c r="E647" i="80"/>
  <c r="D647" i="80"/>
  <c r="C647" i="80"/>
  <c r="B647" i="80"/>
  <c r="A647" i="80"/>
  <c r="L646" i="80"/>
  <c r="K646" i="80"/>
  <c r="J646" i="80"/>
  <c r="I646" i="80"/>
  <c r="H646" i="80"/>
  <c r="G646" i="80"/>
  <c r="F646" i="80"/>
  <c r="E646" i="80"/>
  <c r="D646" i="80"/>
  <c r="C646" i="80"/>
  <c r="B646" i="80"/>
  <c r="A646" i="80"/>
  <c r="L645" i="80"/>
  <c r="K645" i="80"/>
  <c r="J645" i="80"/>
  <c r="I645" i="80"/>
  <c r="H645" i="80"/>
  <c r="G645" i="80"/>
  <c r="F645" i="80"/>
  <c r="E645" i="80"/>
  <c r="D645" i="80"/>
  <c r="C645" i="80"/>
  <c r="B645" i="80"/>
  <c r="A645" i="80"/>
  <c r="L644" i="80"/>
  <c r="K644" i="80"/>
  <c r="J644" i="80"/>
  <c r="I644" i="80"/>
  <c r="H644" i="80"/>
  <c r="G644" i="80"/>
  <c r="F644" i="80"/>
  <c r="E644" i="80"/>
  <c r="D644" i="80"/>
  <c r="C644" i="80"/>
  <c r="B644" i="80"/>
  <c r="A644" i="80"/>
  <c r="L643" i="80"/>
  <c r="K643" i="80"/>
  <c r="J643" i="80"/>
  <c r="I643" i="80"/>
  <c r="H643" i="80"/>
  <c r="G643" i="80"/>
  <c r="F643" i="80"/>
  <c r="E643" i="80"/>
  <c r="D643" i="80"/>
  <c r="C643" i="80"/>
  <c r="B643" i="80"/>
  <c r="A643" i="80"/>
  <c r="L642" i="80"/>
  <c r="K642" i="80"/>
  <c r="J642" i="80"/>
  <c r="I642" i="80"/>
  <c r="H642" i="80"/>
  <c r="G642" i="80"/>
  <c r="F642" i="80"/>
  <c r="E642" i="80"/>
  <c r="D642" i="80"/>
  <c r="C642" i="80"/>
  <c r="B642" i="80"/>
  <c r="A642" i="80"/>
  <c r="L641" i="80"/>
  <c r="K641" i="80"/>
  <c r="J641" i="80"/>
  <c r="I641" i="80"/>
  <c r="H641" i="80"/>
  <c r="G641" i="80"/>
  <c r="F641" i="80"/>
  <c r="E641" i="80"/>
  <c r="D641" i="80"/>
  <c r="C641" i="80"/>
  <c r="B641" i="80"/>
  <c r="A641" i="80"/>
  <c r="L640" i="80"/>
  <c r="K640" i="80"/>
  <c r="J640" i="80"/>
  <c r="I640" i="80"/>
  <c r="H640" i="80"/>
  <c r="G640" i="80"/>
  <c r="F640" i="80"/>
  <c r="E640" i="80"/>
  <c r="D640" i="80"/>
  <c r="C640" i="80"/>
  <c r="B640" i="80"/>
  <c r="A640" i="80"/>
  <c r="L639" i="80"/>
  <c r="K639" i="80"/>
  <c r="J639" i="80"/>
  <c r="I639" i="80"/>
  <c r="H639" i="80"/>
  <c r="G639" i="80"/>
  <c r="F639" i="80"/>
  <c r="E639" i="80"/>
  <c r="D639" i="80"/>
  <c r="C639" i="80"/>
  <c r="B639" i="80"/>
  <c r="A639" i="80"/>
  <c r="L638" i="80"/>
  <c r="K638" i="80"/>
  <c r="J638" i="80"/>
  <c r="I638" i="80"/>
  <c r="H638" i="80"/>
  <c r="G638" i="80"/>
  <c r="F638" i="80"/>
  <c r="E638" i="80"/>
  <c r="D638" i="80"/>
  <c r="C638" i="80"/>
  <c r="B638" i="80"/>
  <c r="A638" i="80"/>
  <c r="L637" i="80"/>
  <c r="K637" i="80"/>
  <c r="J637" i="80"/>
  <c r="I637" i="80"/>
  <c r="H637" i="80"/>
  <c r="G637" i="80"/>
  <c r="F637" i="80"/>
  <c r="E637" i="80"/>
  <c r="D637" i="80"/>
  <c r="C637" i="80"/>
  <c r="B637" i="80"/>
  <c r="A637" i="80"/>
  <c r="L636" i="80"/>
  <c r="K636" i="80"/>
  <c r="J636" i="80"/>
  <c r="I636" i="80"/>
  <c r="H636" i="80"/>
  <c r="G636" i="80"/>
  <c r="F636" i="80"/>
  <c r="E636" i="80"/>
  <c r="D636" i="80"/>
  <c r="C636" i="80"/>
  <c r="B636" i="80"/>
  <c r="A636" i="80"/>
  <c r="L635" i="80"/>
  <c r="K635" i="80"/>
  <c r="J635" i="80"/>
  <c r="I635" i="80"/>
  <c r="H635" i="80"/>
  <c r="G635" i="80"/>
  <c r="F635" i="80"/>
  <c r="E635" i="80"/>
  <c r="D635" i="80"/>
  <c r="C635" i="80"/>
  <c r="B635" i="80"/>
  <c r="A635" i="80"/>
  <c r="L634" i="80"/>
  <c r="K634" i="80"/>
  <c r="J634" i="80"/>
  <c r="I634" i="80"/>
  <c r="H634" i="80"/>
  <c r="G634" i="80"/>
  <c r="F634" i="80"/>
  <c r="E634" i="80"/>
  <c r="D634" i="80"/>
  <c r="C634" i="80"/>
  <c r="B634" i="80"/>
  <c r="A634" i="80"/>
  <c r="L633" i="80"/>
  <c r="K633" i="80"/>
  <c r="J633" i="80"/>
  <c r="I633" i="80"/>
  <c r="H633" i="80"/>
  <c r="G633" i="80"/>
  <c r="F633" i="80"/>
  <c r="E633" i="80"/>
  <c r="D633" i="80"/>
  <c r="C633" i="80"/>
  <c r="B633" i="80"/>
  <c r="A633" i="80"/>
  <c r="L632" i="80"/>
  <c r="K632" i="80"/>
  <c r="J632" i="80"/>
  <c r="I632" i="80"/>
  <c r="H632" i="80"/>
  <c r="G632" i="80"/>
  <c r="F632" i="80"/>
  <c r="E632" i="80"/>
  <c r="D632" i="80"/>
  <c r="C632" i="80"/>
  <c r="B632" i="80"/>
  <c r="A632" i="80"/>
  <c r="L631" i="80"/>
  <c r="K631" i="80"/>
  <c r="J631" i="80"/>
  <c r="I631" i="80"/>
  <c r="H631" i="80"/>
  <c r="G631" i="80"/>
  <c r="F631" i="80"/>
  <c r="E631" i="80"/>
  <c r="D631" i="80"/>
  <c r="C631" i="80"/>
  <c r="B631" i="80"/>
  <c r="A631" i="80"/>
  <c r="L630" i="80"/>
  <c r="K630" i="80"/>
  <c r="J630" i="80"/>
  <c r="I630" i="80"/>
  <c r="H630" i="80"/>
  <c r="G630" i="80"/>
  <c r="F630" i="80"/>
  <c r="E630" i="80"/>
  <c r="D630" i="80"/>
  <c r="C630" i="80"/>
  <c r="B630" i="80"/>
  <c r="A630" i="80"/>
  <c r="L629" i="80"/>
  <c r="K629" i="80"/>
  <c r="J629" i="80"/>
  <c r="I629" i="80"/>
  <c r="H629" i="80"/>
  <c r="G629" i="80"/>
  <c r="F629" i="80"/>
  <c r="E629" i="80"/>
  <c r="D629" i="80"/>
  <c r="C629" i="80"/>
  <c r="B629" i="80"/>
  <c r="A629" i="80"/>
  <c r="L628" i="80"/>
  <c r="K628" i="80"/>
  <c r="J628" i="80"/>
  <c r="I628" i="80"/>
  <c r="H628" i="80"/>
  <c r="G628" i="80"/>
  <c r="F628" i="80"/>
  <c r="E628" i="80"/>
  <c r="D628" i="80"/>
  <c r="C628" i="80"/>
  <c r="B628" i="80"/>
  <c r="A628" i="80"/>
  <c r="L627" i="80"/>
  <c r="K627" i="80"/>
  <c r="J627" i="80"/>
  <c r="I627" i="80"/>
  <c r="H627" i="80"/>
  <c r="G627" i="80"/>
  <c r="F627" i="80"/>
  <c r="E627" i="80"/>
  <c r="D627" i="80"/>
  <c r="C627" i="80"/>
  <c r="B627" i="80"/>
  <c r="A627" i="80"/>
  <c r="L626" i="80"/>
  <c r="K626" i="80"/>
  <c r="J626" i="80"/>
  <c r="I626" i="80"/>
  <c r="H626" i="80"/>
  <c r="G626" i="80"/>
  <c r="F626" i="80"/>
  <c r="E626" i="80"/>
  <c r="D626" i="80"/>
  <c r="C626" i="80"/>
  <c r="B626" i="80"/>
  <c r="A626" i="80"/>
  <c r="L625" i="80"/>
  <c r="K625" i="80"/>
  <c r="J625" i="80"/>
  <c r="I625" i="80"/>
  <c r="H625" i="80"/>
  <c r="G625" i="80"/>
  <c r="F625" i="80"/>
  <c r="E625" i="80"/>
  <c r="D625" i="80"/>
  <c r="C625" i="80"/>
  <c r="B625" i="80"/>
  <c r="A625" i="80"/>
  <c r="L624" i="80"/>
  <c r="K624" i="80"/>
  <c r="J624" i="80"/>
  <c r="I624" i="80"/>
  <c r="H624" i="80"/>
  <c r="G624" i="80"/>
  <c r="F624" i="80"/>
  <c r="E624" i="80"/>
  <c r="D624" i="80"/>
  <c r="C624" i="80"/>
  <c r="B624" i="80"/>
  <c r="A624" i="80"/>
  <c r="L623" i="80"/>
  <c r="K623" i="80"/>
  <c r="J623" i="80"/>
  <c r="I623" i="80"/>
  <c r="H623" i="80"/>
  <c r="G623" i="80"/>
  <c r="F623" i="80"/>
  <c r="E623" i="80"/>
  <c r="D623" i="80"/>
  <c r="C623" i="80"/>
  <c r="B623" i="80"/>
  <c r="A623" i="80"/>
  <c r="L622" i="80"/>
  <c r="K622" i="80"/>
  <c r="J622" i="80"/>
  <c r="I622" i="80"/>
  <c r="H622" i="80"/>
  <c r="G622" i="80"/>
  <c r="F622" i="80"/>
  <c r="E622" i="80"/>
  <c r="D622" i="80"/>
  <c r="C622" i="80"/>
  <c r="B622" i="80"/>
  <c r="A622" i="80"/>
  <c r="L621" i="80"/>
  <c r="K621" i="80"/>
  <c r="J621" i="80"/>
  <c r="I621" i="80"/>
  <c r="H621" i="80"/>
  <c r="G621" i="80"/>
  <c r="F621" i="80"/>
  <c r="E621" i="80"/>
  <c r="D621" i="80"/>
  <c r="C621" i="80"/>
  <c r="B621" i="80"/>
  <c r="A621" i="80"/>
  <c r="L620" i="80"/>
  <c r="K620" i="80"/>
  <c r="J620" i="80"/>
  <c r="I620" i="80"/>
  <c r="H620" i="80"/>
  <c r="G620" i="80"/>
  <c r="F620" i="80"/>
  <c r="E620" i="80"/>
  <c r="D620" i="80"/>
  <c r="C620" i="80"/>
  <c r="B620" i="80"/>
  <c r="A620" i="80"/>
  <c r="L619" i="80"/>
  <c r="K619" i="80"/>
  <c r="J619" i="80"/>
  <c r="I619" i="80"/>
  <c r="H619" i="80"/>
  <c r="G619" i="80"/>
  <c r="F619" i="80"/>
  <c r="E619" i="80"/>
  <c r="D619" i="80"/>
  <c r="C619" i="80"/>
  <c r="B619" i="80"/>
  <c r="A619" i="80"/>
  <c r="L618" i="80"/>
  <c r="K618" i="80"/>
  <c r="J618" i="80"/>
  <c r="I618" i="80"/>
  <c r="H618" i="80"/>
  <c r="G618" i="80"/>
  <c r="F618" i="80"/>
  <c r="E618" i="80"/>
  <c r="D618" i="80"/>
  <c r="C618" i="80"/>
  <c r="B618" i="80"/>
  <c r="A618" i="80"/>
  <c r="L617" i="80"/>
  <c r="K617" i="80"/>
  <c r="J617" i="80"/>
  <c r="I617" i="80"/>
  <c r="H617" i="80"/>
  <c r="G617" i="80"/>
  <c r="F617" i="80"/>
  <c r="E617" i="80"/>
  <c r="D617" i="80"/>
  <c r="C617" i="80"/>
  <c r="B617" i="80"/>
  <c r="A617" i="80"/>
  <c r="L616" i="80"/>
  <c r="K616" i="80"/>
  <c r="J616" i="80"/>
  <c r="I616" i="80"/>
  <c r="H616" i="80"/>
  <c r="G616" i="80"/>
  <c r="F616" i="80"/>
  <c r="E616" i="80"/>
  <c r="D616" i="80"/>
  <c r="C616" i="80"/>
  <c r="B616" i="80"/>
  <c r="A616" i="80"/>
  <c r="L615" i="80"/>
  <c r="K615" i="80"/>
  <c r="J615" i="80"/>
  <c r="I615" i="80"/>
  <c r="H615" i="80"/>
  <c r="G615" i="80"/>
  <c r="F615" i="80"/>
  <c r="E615" i="80"/>
  <c r="D615" i="80"/>
  <c r="C615" i="80"/>
  <c r="B615" i="80"/>
  <c r="A615" i="80"/>
  <c r="L614" i="80"/>
  <c r="K614" i="80"/>
  <c r="J614" i="80"/>
  <c r="I614" i="80"/>
  <c r="H614" i="80"/>
  <c r="G614" i="80"/>
  <c r="F614" i="80"/>
  <c r="E614" i="80"/>
  <c r="D614" i="80"/>
  <c r="C614" i="80"/>
  <c r="B614" i="80"/>
  <c r="A614" i="80"/>
  <c r="L613" i="80"/>
  <c r="K613" i="80"/>
  <c r="J613" i="80"/>
  <c r="I613" i="80"/>
  <c r="H613" i="80"/>
  <c r="G613" i="80"/>
  <c r="F613" i="80"/>
  <c r="E613" i="80"/>
  <c r="D613" i="80"/>
  <c r="C613" i="80"/>
  <c r="B613" i="80"/>
  <c r="A613" i="80"/>
  <c r="L612" i="80"/>
  <c r="K612" i="80"/>
  <c r="J612" i="80"/>
  <c r="I612" i="80"/>
  <c r="H612" i="80"/>
  <c r="G612" i="80"/>
  <c r="F612" i="80"/>
  <c r="E612" i="80"/>
  <c r="D612" i="80"/>
  <c r="C612" i="80"/>
  <c r="B612" i="80"/>
  <c r="A612" i="80"/>
  <c r="L611" i="80"/>
  <c r="K611" i="80"/>
  <c r="J611" i="80"/>
  <c r="I611" i="80"/>
  <c r="H611" i="80"/>
  <c r="G611" i="80"/>
  <c r="F611" i="80"/>
  <c r="E611" i="80"/>
  <c r="D611" i="80"/>
  <c r="C611" i="80"/>
  <c r="B611" i="80"/>
  <c r="A611" i="80"/>
  <c r="L610" i="80"/>
  <c r="K610" i="80"/>
  <c r="J610" i="80"/>
  <c r="I610" i="80"/>
  <c r="H610" i="80"/>
  <c r="G610" i="80"/>
  <c r="F610" i="80"/>
  <c r="E610" i="80"/>
  <c r="D610" i="80"/>
  <c r="C610" i="80"/>
  <c r="B610" i="80"/>
  <c r="A610" i="80"/>
  <c r="L609" i="80"/>
  <c r="K609" i="80"/>
  <c r="J609" i="80"/>
  <c r="I609" i="80"/>
  <c r="H609" i="80"/>
  <c r="G609" i="80"/>
  <c r="F609" i="80"/>
  <c r="E609" i="80"/>
  <c r="D609" i="80"/>
  <c r="C609" i="80"/>
  <c r="B609" i="80"/>
  <c r="A609" i="80"/>
  <c r="L608" i="80"/>
  <c r="K608" i="80"/>
  <c r="J608" i="80"/>
  <c r="I608" i="80"/>
  <c r="H608" i="80"/>
  <c r="G608" i="80"/>
  <c r="F608" i="80"/>
  <c r="E608" i="80"/>
  <c r="D608" i="80"/>
  <c r="C608" i="80"/>
  <c r="B608" i="80"/>
  <c r="A608" i="80"/>
  <c r="L607" i="80"/>
  <c r="K607" i="80"/>
  <c r="J607" i="80"/>
  <c r="I607" i="80"/>
  <c r="H607" i="80"/>
  <c r="G607" i="80"/>
  <c r="F607" i="80"/>
  <c r="E607" i="80"/>
  <c r="D607" i="80"/>
  <c r="C607" i="80"/>
  <c r="B607" i="80"/>
  <c r="A607" i="80"/>
  <c r="L606" i="80"/>
  <c r="K606" i="80"/>
  <c r="J606" i="80"/>
  <c r="I606" i="80"/>
  <c r="H606" i="80"/>
  <c r="G606" i="80"/>
  <c r="F606" i="80"/>
  <c r="E606" i="80"/>
  <c r="D606" i="80"/>
  <c r="C606" i="80"/>
  <c r="B606" i="80"/>
  <c r="A606" i="80"/>
  <c r="L605" i="80"/>
  <c r="K605" i="80"/>
  <c r="J605" i="80"/>
  <c r="I605" i="80"/>
  <c r="H605" i="80"/>
  <c r="G605" i="80"/>
  <c r="F605" i="80"/>
  <c r="E605" i="80"/>
  <c r="D605" i="80"/>
  <c r="C605" i="80"/>
  <c r="B605" i="80"/>
  <c r="A605" i="80"/>
  <c r="L604" i="80"/>
  <c r="K604" i="80"/>
  <c r="J604" i="80"/>
  <c r="I604" i="80"/>
  <c r="H604" i="80"/>
  <c r="G604" i="80"/>
  <c r="F604" i="80"/>
  <c r="E604" i="80"/>
  <c r="D604" i="80"/>
  <c r="C604" i="80"/>
  <c r="B604" i="80"/>
  <c r="A604" i="80"/>
  <c r="L603" i="80"/>
  <c r="K603" i="80"/>
  <c r="J603" i="80"/>
  <c r="I603" i="80"/>
  <c r="H603" i="80"/>
  <c r="G603" i="80"/>
  <c r="F603" i="80"/>
  <c r="E603" i="80"/>
  <c r="D603" i="80"/>
  <c r="C603" i="80"/>
  <c r="B603" i="80"/>
  <c r="A603" i="80"/>
  <c r="L602" i="80"/>
  <c r="K602" i="80"/>
  <c r="J602" i="80"/>
  <c r="I602" i="80"/>
  <c r="H602" i="80"/>
  <c r="G602" i="80"/>
  <c r="F602" i="80"/>
  <c r="E602" i="80"/>
  <c r="D602" i="80"/>
  <c r="C602" i="80"/>
  <c r="B602" i="80"/>
  <c r="A602" i="80"/>
  <c r="B601" i="80"/>
  <c r="B600" i="80"/>
  <c r="B599" i="80"/>
  <c r="L596" i="80"/>
  <c r="K596" i="80"/>
  <c r="J596" i="80"/>
  <c r="I596" i="80"/>
  <c r="H596" i="80"/>
  <c r="G596" i="80"/>
  <c r="F596" i="80"/>
  <c r="E596" i="80"/>
  <c r="D596" i="80"/>
  <c r="C596" i="80"/>
  <c r="B596" i="80"/>
  <c r="A596" i="80"/>
  <c r="L595" i="80"/>
  <c r="K595" i="80"/>
  <c r="J595" i="80"/>
  <c r="I595" i="80"/>
  <c r="H595" i="80"/>
  <c r="G595" i="80"/>
  <c r="F595" i="80"/>
  <c r="E595" i="80"/>
  <c r="D595" i="80"/>
  <c r="C595" i="80"/>
  <c r="B595" i="80"/>
  <c r="A595" i="80"/>
  <c r="L594" i="80"/>
  <c r="K594" i="80"/>
  <c r="J594" i="80"/>
  <c r="I594" i="80"/>
  <c r="H594" i="80"/>
  <c r="G594" i="80"/>
  <c r="F594" i="80"/>
  <c r="E594" i="80"/>
  <c r="D594" i="80"/>
  <c r="C594" i="80"/>
  <c r="B594" i="80"/>
  <c r="A594" i="80"/>
  <c r="L593" i="80"/>
  <c r="K593" i="80"/>
  <c r="J593" i="80"/>
  <c r="I593" i="80"/>
  <c r="H593" i="80"/>
  <c r="G593" i="80"/>
  <c r="F593" i="80"/>
  <c r="E593" i="80"/>
  <c r="D593" i="80"/>
  <c r="C593" i="80"/>
  <c r="B593" i="80"/>
  <c r="A593" i="80"/>
  <c r="L592" i="80"/>
  <c r="K592" i="80"/>
  <c r="J592" i="80"/>
  <c r="I592" i="80"/>
  <c r="H592" i="80"/>
  <c r="G592" i="80"/>
  <c r="F592" i="80"/>
  <c r="E592" i="80"/>
  <c r="D592" i="80"/>
  <c r="C592" i="80"/>
  <c r="B592" i="80"/>
  <c r="A592" i="80"/>
  <c r="L591" i="80"/>
  <c r="K591" i="80"/>
  <c r="J591" i="80"/>
  <c r="I591" i="80"/>
  <c r="H591" i="80"/>
  <c r="G591" i="80"/>
  <c r="F591" i="80"/>
  <c r="E591" i="80"/>
  <c r="D591" i="80"/>
  <c r="C591" i="80"/>
  <c r="B591" i="80"/>
  <c r="A591" i="80"/>
  <c r="L590" i="80"/>
  <c r="K590" i="80"/>
  <c r="J590" i="80"/>
  <c r="I590" i="80"/>
  <c r="H590" i="80"/>
  <c r="G590" i="80"/>
  <c r="F590" i="80"/>
  <c r="E590" i="80"/>
  <c r="D590" i="80"/>
  <c r="C590" i="80"/>
  <c r="B590" i="80"/>
  <c r="A590" i="80"/>
  <c r="L589" i="80"/>
  <c r="K589" i="80"/>
  <c r="J589" i="80"/>
  <c r="I589" i="80"/>
  <c r="H589" i="80"/>
  <c r="G589" i="80"/>
  <c r="F589" i="80"/>
  <c r="E589" i="80"/>
  <c r="D589" i="80"/>
  <c r="C589" i="80"/>
  <c r="B589" i="80"/>
  <c r="A589" i="80"/>
  <c r="L588" i="80"/>
  <c r="K588" i="80"/>
  <c r="J588" i="80"/>
  <c r="I588" i="80"/>
  <c r="H588" i="80"/>
  <c r="G588" i="80"/>
  <c r="F588" i="80"/>
  <c r="E588" i="80"/>
  <c r="D588" i="80"/>
  <c r="C588" i="80"/>
  <c r="B588" i="80"/>
  <c r="A588" i="80"/>
  <c r="L587" i="80"/>
  <c r="K587" i="80"/>
  <c r="J587" i="80"/>
  <c r="I587" i="80"/>
  <c r="H587" i="80"/>
  <c r="G587" i="80"/>
  <c r="F587" i="80"/>
  <c r="E587" i="80"/>
  <c r="D587" i="80"/>
  <c r="C587" i="80"/>
  <c r="B587" i="80"/>
  <c r="A587" i="80"/>
  <c r="L586" i="80"/>
  <c r="K586" i="80"/>
  <c r="J586" i="80"/>
  <c r="I586" i="80"/>
  <c r="H586" i="80"/>
  <c r="G586" i="80"/>
  <c r="F586" i="80"/>
  <c r="E586" i="80"/>
  <c r="D586" i="80"/>
  <c r="C586" i="80"/>
  <c r="B586" i="80"/>
  <c r="A586" i="80"/>
  <c r="L585" i="80"/>
  <c r="K585" i="80"/>
  <c r="J585" i="80"/>
  <c r="I585" i="80"/>
  <c r="H585" i="80"/>
  <c r="G585" i="80"/>
  <c r="F585" i="80"/>
  <c r="E585" i="80"/>
  <c r="D585" i="80"/>
  <c r="C585" i="80"/>
  <c r="B585" i="80"/>
  <c r="A585" i="80"/>
  <c r="L584" i="80"/>
  <c r="K584" i="80"/>
  <c r="J584" i="80"/>
  <c r="I584" i="80"/>
  <c r="H584" i="80"/>
  <c r="G584" i="80"/>
  <c r="F584" i="80"/>
  <c r="E584" i="80"/>
  <c r="D584" i="80"/>
  <c r="C584" i="80"/>
  <c r="B584" i="80"/>
  <c r="A584" i="80"/>
  <c r="L583" i="80"/>
  <c r="K583" i="80"/>
  <c r="J583" i="80"/>
  <c r="I583" i="80"/>
  <c r="H583" i="80"/>
  <c r="G583" i="80"/>
  <c r="F583" i="80"/>
  <c r="E583" i="80"/>
  <c r="D583" i="80"/>
  <c r="C583" i="80"/>
  <c r="B583" i="80"/>
  <c r="A583" i="80"/>
  <c r="L582" i="80"/>
  <c r="K582" i="80"/>
  <c r="J582" i="80"/>
  <c r="I582" i="80"/>
  <c r="H582" i="80"/>
  <c r="G582" i="80"/>
  <c r="F582" i="80"/>
  <c r="E582" i="80"/>
  <c r="D582" i="80"/>
  <c r="C582" i="80"/>
  <c r="B582" i="80"/>
  <c r="A582" i="80"/>
  <c r="L581" i="80"/>
  <c r="K581" i="80"/>
  <c r="J581" i="80"/>
  <c r="I581" i="80"/>
  <c r="H581" i="80"/>
  <c r="G581" i="80"/>
  <c r="F581" i="80"/>
  <c r="E581" i="80"/>
  <c r="D581" i="80"/>
  <c r="C581" i="80"/>
  <c r="B581" i="80"/>
  <c r="A581" i="80"/>
  <c r="L580" i="80"/>
  <c r="K580" i="80"/>
  <c r="J580" i="80"/>
  <c r="I580" i="80"/>
  <c r="H580" i="80"/>
  <c r="G580" i="80"/>
  <c r="F580" i="80"/>
  <c r="E580" i="80"/>
  <c r="D580" i="80"/>
  <c r="C580" i="80"/>
  <c r="B580" i="80"/>
  <c r="A580" i="80"/>
  <c r="L579" i="80"/>
  <c r="K579" i="80"/>
  <c r="J579" i="80"/>
  <c r="I579" i="80"/>
  <c r="H579" i="80"/>
  <c r="G579" i="80"/>
  <c r="F579" i="80"/>
  <c r="E579" i="80"/>
  <c r="D579" i="80"/>
  <c r="C579" i="80"/>
  <c r="B579" i="80"/>
  <c r="A579" i="80"/>
  <c r="L578" i="80"/>
  <c r="K578" i="80"/>
  <c r="J578" i="80"/>
  <c r="I578" i="80"/>
  <c r="H578" i="80"/>
  <c r="G578" i="80"/>
  <c r="F578" i="80"/>
  <c r="E578" i="80"/>
  <c r="D578" i="80"/>
  <c r="C578" i="80"/>
  <c r="B578" i="80"/>
  <c r="A578" i="80"/>
  <c r="L577" i="80"/>
  <c r="K577" i="80"/>
  <c r="J577" i="80"/>
  <c r="I577" i="80"/>
  <c r="H577" i="80"/>
  <c r="G577" i="80"/>
  <c r="F577" i="80"/>
  <c r="E577" i="80"/>
  <c r="D577" i="80"/>
  <c r="C577" i="80"/>
  <c r="B577" i="80"/>
  <c r="A577" i="80"/>
  <c r="L576" i="80"/>
  <c r="K576" i="80"/>
  <c r="J576" i="80"/>
  <c r="I576" i="80"/>
  <c r="H576" i="80"/>
  <c r="G576" i="80"/>
  <c r="F576" i="80"/>
  <c r="E576" i="80"/>
  <c r="D576" i="80"/>
  <c r="C576" i="80"/>
  <c r="B576" i="80"/>
  <c r="A576" i="80"/>
  <c r="L575" i="80"/>
  <c r="K575" i="80"/>
  <c r="J575" i="80"/>
  <c r="I575" i="80"/>
  <c r="H575" i="80"/>
  <c r="G575" i="80"/>
  <c r="F575" i="80"/>
  <c r="E575" i="80"/>
  <c r="D575" i="80"/>
  <c r="C575" i="80"/>
  <c r="B575" i="80"/>
  <c r="A575" i="80"/>
  <c r="L574" i="80"/>
  <c r="K574" i="80"/>
  <c r="J574" i="80"/>
  <c r="I574" i="80"/>
  <c r="H574" i="80"/>
  <c r="G574" i="80"/>
  <c r="F574" i="80"/>
  <c r="E574" i="80"/>
  <c r="D574" i="80"/>
  <c r="C574" i="80"/>
  <c r="B574" i="80"/>
  <c r="A574" i="80"/>
  <c r="L573" i="80"/>
  <c r="K573" i="80"/>
  <c r="J573" i="80"/>
  <c r="I573" i="80"/>
  <c r="H573" i="80"/>
  <c r="G573" i="80"/>
  <c r="F573" i="80"/>
  <c r="E573" i="80"/>
  <c r="D573" i="80"/>
  <c r="C573" i="80"/>
  <c r="B573" i="80"/>
  <c r="A573" i="80"/>
  <c r="L572" i="80"/>
  <c r="K572" i="80"/>
  <c r="J572" i="80"/>
  <c r="I572" i="80"/>
  <c r="H572" i="80"/>
  <c r="G572" i="80"/>
  <c r="F572" i="80"/>
  <c r="E572" i="80"/>
  <c r="D572" i="80"/>
  <c r="C572" i="80"/>
  <c r="B572" i="80"/>
  <c r="A572" i="80"/>
  <c r="L571" i="80"/>
  <c r="K571" i="80"/>
  <c r="J571" i="80"/>
  <c r="I571" i="80"/>
  <c r="H571" i="80"/>
  <c r="G571" i="80"/>
  <c r="F571" i="80"/>
  <c r="E571" i="80"/>
  <c r="D571" i="80"/>
  <c r="C571" i="80"/>
  <c r="B571" i="80"/>
  <c r="A571" i="80"/>
  <c r="L570" i="80"/>
  <c r="K570" i="80"/>
  <c r="J570" i="80"/>
  <c r="I570" i="80"/>
  <c r="H570" i="80"/>
  <c r="G570" i="80"/>
  <c r="F570" i="80"/>
  <c r="E570" i="80"/>
  <c r="D570" i="80"/>
  <c r="C570" i="80"/>
  <c r="B570" i="80"/>
  <c r="A570" i="80"/>
  <c r="L569" i="80"/>
  <c r="K569" i="80"/>
  <c r="J569" i="80"/>
  <c r="I569" i="80"/>
  <c r="H569" i="80"/>
  <c r="G569" i="80"/>
  <c r="F569" i="80"/>
  <c r="E569" i="80"/>
  <c r="D569" i="80"/>
  <c r="C569" i="80"/>
  <c r="B569" i="80"/>
  <c r="A569" i="80"/>
  <c r="L568" i="80"/>
  <c r="K568" i="80"/>
  <c r="J568" i="80"/>
  <c r="I568" i="80"/>
  <c r="H568" i="80"/>
  <c r="G568" i="80"/>
  <c r="F568" i="80"/>
  <c r="E568" i="80"/>
  <c r="D568" i="80"/>
  <c r="C568" i="80"/>
  <c r="B568" i="80"/>
  <c r="A568" i="80"/>
  <c r="L567" i="80"/>
  <c r="K567" i="80"/>
  <c r="J567" i="80"/>
  <c r="I567" i="80"/>
  <c r="H567" i="80"/>
  <c r="G567" i="80"/>
  <c r="F567" i="80"/>
  <c r="E567" i="80"/>
  <c r="D567" i="80"/>
  <c r="C567" i="80"/>
  <c r="B567" i="80"/>
  <c r="A567" i="80"/>
  <c r="L566" i="80"/>
  <c r="K566" i="80"/>
  <c r="J566" i="80"/>
  <c r="I566" i="80"/>
  <c r="H566" i="80"/>
  <c r="G566" i="80"/>
  <c r="F566" i="80"/>
  <c r="E566" i="80"/>
  <c r="D566" i="80"/>
  <c r="C566" i="80"/>
  <c r="B566" i="80"/>
  <c r="A566" i="80"/>
  <c r="L565" i="80"/>
  <c r="K565" i="80"/>
  <c r="J565" i="80"/>
  <c r="I565" i="80"/>
  <c r="H565" i="80"/>
  <c r="G565" i="80"/>
  <c r="F565" i="80"/>
  <c r="E565" i="80"/>
  <c r="D565" i="80"/>
  <c r="C565" i="80"/>
  <c r="B565" i="80"/>
  <c r="A565" i="80"/>
  <c r="L564" i="80"/>
  <c r="K564" i="80"/>
  <c r="J564" i="80"/>
  <c r="I564" i="80"/>
  <c r="H564" i="80"/>
  <c r="G564" i="80"/>
  <c r="F564" i="80"/>
  <c r="E564" i="80"/>
  <c r="D564" i="80"/>
  <c r="C564" i="80"/>
  <c r="B564" i="80"/>
  <c r="A564" i="80"/>
  <c r="L563" i="80"/>
  <c r="K563" i="80"/>
  <c r="J563" i="80"/>
  <c r="I563" i="80"/>
  <c r="H563" i="80"/>
  <c r="G563" i="80"/>
  <c r="F563" i="80"/>
  <c r="E563" i="80"/>
  <c r="D563" i="80"/>
  <c r="C563" i="80"/>
  <c r="B563" i="80"/>
  <c r="A563" i="80"/>
  <c r="L562" i="80"/>
  <c r="K562" i="80"/>
  <c r="J562" i="80"/>
  <c r="I562" i="80"/>
  <c r="H562" i="80"/>
  <c r="G562" i="80"/>
  <c r="F562" i="80"/>
  <c r="E562" i="80"/>
  <c r="D562" i="80"/>
  <c r="C562" i="80"/>
  <c r="B562" i="80"/>
  <c r="A562" i="80"/>
  <c r="L561" i="80"/>
  <c r="K561" i="80"/>
  <c r="J561" i="80"/>
  <c r="I561" i="80"/>
  <c r="H561" i="80"/>
  <c r="G561" i="80"/>
  <c r="F561" i="80"/>
  <c r="E561" i="80"/>
  <c r="D561" i="80"/>
  <c r="C561" i="80"/>
  <c r="B561" i="80"/>
  <c r="A561" i="80"/>
  <c r="L560" i="80"/>
  <c r="K560" i="80"/>
  <c r="J560" i="80"/>
  <c r="I560" i="80"/>
  <c r="H560" i="80"/>
  <c r="G560" i="80"/>
  <c r="F560" i="80"/>
  <c r="E560" i="80"/>
  <c r="D560" i="80"/>
  <c r="C560" i="80"/>
  <c r="B560" i="80"/>
  <c r="A560" i="80"/>
  <c r="L559" i="80"/>
  <c r="K559" i="80"/>
  <c r="J559" i="80"/>
  <c r="I559" i="80"/>
  <c r="H559" i="80"/>
  <c r="G559" i="80"/>
  <c r="F559" i="80"/>
  <c r="E559" i="80"/>
  <c r="D559" i="80"/>
  <c r="C559" i="80"/>
  <c r="B559" i="80"/>
  <c r="A559" i="80"/>
  <c r="L558" i="80"/>
  <c r="K558" i="80"/>
  <c r="J558" i="80"/>
  <c r="I558" i="80"/>
  <c r="H558" i="80"/>
  <c r="G558" i="80"/>
  <c r="F558" i="80"/>
  <c r="E558" i="80"/>
  <c r="D558" i="80"/>
  <c r="C558" i="80"/>
  <c r="B558" i="80"/>
  <c r="A558" i="80"/>
  <c r="L557" i="80"/>
  <c r="K557" i="80"/>
  <c r="J557" i="80"/>
  <c r="I557" i="80"/>
  <c r="H557" i="80"/>
  <c r="G557" i="80"/>
  <c r="F557" i="80"/>
  <c r="E557" i="80"/>
  <c r="D557" i="80"/>
  <c r="C557" i="80"/>
  <c r="B557" i="80"/>
  <c r="A557" i="80"/>
  <c r="L556" i="80"/>
  <c r="K556" i="80"/>
  <c r="J556" i="80"/>
  <c r="I556" i="80"/>
  <c r="H556" i="80"/>
  <c r="G556" i="80"/>
  <c r="F556" i="80"/>
  <c r="E556" i="80"/>
  <c r="D556" i="80"/>
  <c r="C556" i="80"/>
  <c r="B556" i="80"/>
  <c r="A556" i="80"/>
  <c r="L555" i="80"/>
  <c r="K555" i="80"/>
  <c r="J555" i="80"/>
  <c r="I555" i="80"/>
  <c r="H555" i="80"/>
  <c r="G555" i="80"/>
  <c r="F555" i="80"/>
  <c r="E555" i="80"/>
  <c r="D555" i="80"/>
  <c r="C555" i="80"/>
  <c r="B555" i="80"/>
  <c r="A555" i="80"/>
  <c r="L554" i="80"/>
  <c r="K554" i="80"/>
  <c r="J554" i="80"/>
  <c r="I554" i="80"/>
  <c r="H554" i="80"/>
  <c r="G554" i="80"/>
  <c r="F554" i="80"/>
  <c r="E554" i="80"/>
  <c r="D554" i="80"/>
  <c r="C554" i="80"/>
  <c r="B554" i="80"/>
  <c r="A554" i="80"/>
  <c r="L553" i="80"/>
  <c r="K553" i="80"/>
  <c r="J553" i="80"/>
  <c r="I553" i="80"/>
  <c r="H553" i="80"/>
  <c r="G553" i="80"/>
  <c r="F553" i="80"/>
  <c r="E553" i="80"/>
  <c r="D553" i="80"/>
  <c r="C553" i="80"/>
  <c r="B553" i="80"/>
  <c r="A553" i="80"/>
  <c r="L552" i="80"/>
  <c r="K552" i="80"/>
  <c r="J552" i="80"/>
  <c r="I552" i="80"/>
  <c r="H552" i="80"/>
  <c r="G552" i="80"/>
  <c r="F552" i="80"/>
  <c r="E552" i="80"/>
  <c r="D552" i="80"/>
  <c r="C552" i="80"/>
  <c r="B552" i="80"/>
  <c r="A552" i="80"/>
  <c r="L551" i="80"/>
  <c r="K551" i="80"/>
  <c r="J551" i="80"/>
  <c r="I551" i="80"/>
  <c r="H551" i="80"/>
  <c r="G551" i="80"/>
  <c r="F551" i="80"/>
  <c r="E551" i="80"/>
  <c r="D551" i="80"/>
  <c r="C551" i="80"/>
  <c r="B551" i="80"/>
  <c r="A551" i="80"/>
  <c r="L550" i="80"/>
  <c r="K550" i="80"/>
  <c r="J550" i="80"/>
  <c r="I550" i="80"/>
  <c r="H550" i="80"/>
  <c r="G550" i="80"/>
  <c r="F550" i="80"/>
  <c r="E550" i="80"/>
  <c r="D550" i="80"/>
  <c r="C550" i="80"/>
  <c r="B550" i="80"/>
  <c r="A550" i="80"/>
  <c r="L549" i="80"/>
  <c r="K549" i="80"/>
  <c r="J549" i="80"/>
  <c r="I549" i="80"/>
  <c r="H549" i="80"/>
  <c r="G549" i="80"/>
  <c r="F549" i="80"/>
  <c r="E549" i="80"/>
  <c r="D549" i="80"/>
  <c r="C549" i="80"/>
  <c r="B549" i="80"/>
  <c r="A549" i="80"/>
  <c r="L548" i="80"/>
  <c r="K548" i="80"/>
  <c r="J548" i="80"/>
  <c r="I548" i="80"/>
  <c r="H548" i="80"/>
  <c r="G548" i="80"/>
  <c r="F548" i="80"/>
  <c r="E548" i="80"/>
  <c r="D548" i="80"/>
  <c r="C548" i="80"/>
  <c r="B548" i="80"/>
  <c r="A548" i="80"/>
  <c r="L547" i="80"/>
  <c r="K547" i="80"/>
  <c r="J547" i="80"/>
  <c r="I547" i="80"/>
  <c r="H547" i="80"/>
  <c r="G547" i="80"/>
  <c r="F547" i="80"/>
  <c r="E547" i="80"/>
  <c r="D547" i="80"/>
  <c r="C547" i="80"/>
  <c r="B547" i="80"/>
  <c r="A547" i="80"/>
  <c r="L546" i="80"/>
  <c r="K546" i="80"/>
  <c r="J546" i="80"/>
  <c r="I546" i="80"/>
  <c r="H546" i="80"/>
  <c r="G546" i="80"/>
  <c r="F546" i="80"/>
  <c r="E546" i="80"/>
  <c r="D546" i="80"/>
  <c r="C546" i="80"/>
  <c r="B546" i="80"/>
  <c r="A546" i="80"/>
  <c r="L545" i="80"/>
  <c r="K545" i="80"/>
  <c r="J545" i="80"/>
  <c r="I545" i="80"/>
  <c r="H545" i="80"/>
  <c r="G545" i="80"/>
  <c r="F545" i="80"/>
  <c r="E545" i="80"/>
  <c r="D545" i="80"/>
  <c r="C545" i="80"/>
  <c r="B545" i="80"/>
  <c r="A545" i="80"/>
  <c r="L544" i="80"/>
  <c r="K544" i="80"/>
  <c r="J544" i="80"/>
  <c r="I544" i="80"/>
  <c r="H544" i="80"/>
  <c r="G544" i="80"/>
  <c r="F544" i="80"/>
  <c r="E544" i="80"/>
  <c r="D544" i="80"/>
  <c r="C544" i="80"/>
  <c r="B544" i="80"/>
  <c r="A544" i="80"/>
  <c r="L543" i="80"/>
  <c r="K543" i="80"/>
  <c r="J543" i="80"/>
  <c r="I543" i="80"/>
  <c r="H543" i="80"/>
  <c r="G543" i="80"/>
  <c r="F543" i="80"/>
  <c r="E543" i="80"/>
  <c r="D543" i="80"/>
  <c r="C543" i="80"/>
  <c r="B543" i="80"/>
  <c r="A543" i="80"/>
  <c r="L542" i="80"/>
  <c r="K542" i="80"/>
  <c r="J542" i="80"/>
  <c r="I542" i="80"/>
  <c r="H542" i="80"/>
  <c r="G542" i="80"/>
  <c r="F542" i="80"/>
  <c r="E542" i="80"/>
  <c r="D542" i="80"/>
  <c r="C542" i="80"/>
  <c r="B542" i="80"/>
  <c r="A542" i="80"/>
  <c r="L541" i="80"/>
  <c r="K541" i="80"/>
  <c r="J541" i="80"/>
  <c r="I541" i="80"/>
  <c r="H541" i="80"/>
  <c r="G541" i="80"/>
  <c r="F541" i="80"/>
  <c r="E541" i="80"/>
  <c r="D541" i="80"/>
  <c r="C541" i="80"/>
  <c r="B541" i="80"/>
  <c r="A541" i="80"/>
  <c r="L540" i="80"/>
  <c r="K540" i="80"/>
  <c r="J540" i="80"/>
  <c r="I540" i="80"/>
  <c r="H540" i="80"/>
  <c r="G540" i="80"/>
  <c r="F540" i="80"/>
  <c r="E540" i="80"/>
  <c r="D540" i="80"/>
  <c r="C540" i="80"/>
  <c r="B540" i="80"/>
  <c r="A540" i="80"/>
  <c r="L539" i="80"/>
  <c r="K539" i="80"/>
  <c r="J539" i="80"/>
  <c r="I539" i="80"/>
  <c r="H539" i="80"/>
  <c r="G539" i="80"/>
  <c r="F539" i="80"/>
  <c r="E539" i="80"/>
  <c r="D539" i="80"/>
  <c r="C539" i="80"/>
  <c r="B539" i="80"/>
  <c r="A539" i="80"/>
  <c r="L538" i="80"/>
  <c r="K538" i="80"/>
  <c r="J538" i="80"/>
  <c r="I538" i="80"/>
  <c r="H538" i="80"/>
  <c r="G538" i="80"/>
  <c r="F538" i="80"/>
  <c r="E538" i="80"/>
  <c r="D538" i="80"/>
  <c r="C538" i="80"/>
  <c r="B538" i="80"/>
  <c r="A538" i="80"/>
  <c r="L537" i="80"/>
  <c r="K537" i="80"/>
  <c r="J537" i="80"/>
  <c r="I537" i="80"/>
  <c r="H537" i="80"/>
  <c r="G537" i="80"/>
  <c r="F537" i="80"/>
  <c r="E537" i="80"/>
  <c r="D537" i="80"/>
  <c r="C537" i="80"/>
  <c r="B537" i="80"/>
  <c r="A537" i="80"/>
  <c r="L536" i="80"/>
  <c r="K536" i="80"/>
  <c r="J536" i="80"/>
  <c r="I536" i="80"/>
  <c r="H536" i="80"/>
  <c r="G536" i="80"/>
  <c r="F536" i="80"/>
  <c r="E536" i="80"/>
  <c r="D536" i="80"/>
  <c r="C536" i="80"/>
  <c r="B536" i="80"/>
  <c r="A536" i="80"/>
  <c r="L535" i="80"/>
  <c r="K535" i="80"/>
  <c r="J535" i="80"/>
  <c r="I535" i="80"/>
  <c r="H535" i="80"/>
  <c r="G535" i="80"/>
  <c r="F535" i="80"/>
  <c r="E535" i="80"/>
  <c r="D535" i="80"/>
  <c r="C535" i="80"/>
  <c r="B535" i="80"/>
  <c r="A535" i="80"/>
  <c r="L534" i="80"/>
  <c r="K534" i="80"/>
  <c r="J534" i="80"/>
  <c r="I534" i="80"/>
  <c r="H534" i="80"/>
  <c r="G534" i="80"/>
  <c r="F534" i="80"/>
  <c r="E534" i="80"/>
  <c r="D534" i="80"/>
  <c r="C534" i="80"/>
  <c r="B534" i="80"/>
  <c r="A534" i="80"/>
  <c r="L533" i="80"/>
  <c r="K533" i="80"/>
  <c r="J533" i="80"/>
  <c r="I533" i="80"/>
  <c r="H533" i="80"/>
  <c r="G533" i="80"/>
  <c r="F533" i="80"/>
  <c r="E533" i="80"/>
  <c r="D533" i="80"/>
  <c r="C533" i="80"/>
  <c r="B533" i="80"/>
  <c r="A533" i="80"/>
  <c r="L532" i="80"/>
  <c r="K532" i="80"/>
  <c r="J532" i="80"/>
  <c r="I532" i="80"/>
  <c r="H532" i="80"/>
  <c r="G532" i="80"/>
  <c r="F532" i="80"/>
  <c r="E532" i="80"/>
  <c r="D532" i="80"/>
  <c r="C532" i="80"/>
  <c r="B532" i="80"/>
  <c r="A532" i="80"/>
  <c r="L531" i="80"/>
  <c r="K531" i="80"/>
  <c r="J531" i="80"/>
  <c r="I531" i="80"/>
  <c r="H531" i="80"/>
  <c r="G531" i="80"/>
  <c r="F531" i="80"/>
  <c r="E531" i="80"/>
  <c r="D531" i="80"/>
  <c r="C531" i="80"/>
  <c r="B531" i="80"/>
  <c r="A531" i="80"/>
  <c r="L530" i="80"/>
  <c r="K530" i="80"/>
  <c r="J530" i="80"/>
  <c r="I530" i="80"/>
  <c r="H530" i="80"/>
  <c r="G530" i="80"/>
  <c r="F530" i="80"/>
  <c r="E530" i="80"/>
  <c r="D530" i="80"/>
  <c r="C530" i="80"/>
  <c r="B530" i="80"/>
  <c r="A530" i="80"/>
  <c r="L529" i="80"/>
  <c r="K529" i="80"/>
  <c r="J529" i="80"/>
  <c r="I529" i="80"/>
  <c r="H529" i="80"/>
  <c r="G529" i="80"/>
  <c r="F529" i="80"/>
  <c r="E529" i="80"/>
  <c r="D529" i="80"/>
  <c r="C529" i="80"/>
  <c r="B529" i="80"/>
  <c r="A529" i="80"/>
  <c r="L528" i="80"/>
  <c r="K528" i="80"/>
  <c r="J528" i="80"/>
  <c r="I528" i="80"/>
  <c r="H528" i="80"/>
  <c r="G528" i="80"/>
  <c r="F528" i="80"/>
  <c r="E528" i="80"/>
  <c r="D528" i="80"/>
  <c r="C528" i="80"/>
  <c r="B528" i="80"/>
  <c r="A528" i="80"/>
  <c r="L527" i="80"/>
  <c r="K527" i="80"/>
  <c r="J527" i="80"/>
  <c r="I527" i="80"/>
  <c r="H527" i="80"/>
  <c r="G527" i="80"/>
  <c r="F527" i="80"/>
  <c r="E527" i="80"/>
  <c r="D527" i="80"/>
  <c r="C527" i="80"/>
  <c r="B527" i="80"/>
  <c r="A527" i="80"/>
  <c r="L526" i="80"/>
  <c r="K526" i="80"/>
  <c r="J526" i="80"/>
  <c r="I526" i="80"/>
  <c r="H526" i="80"/>
  <c r="G526" i="80"/>
  <c r="F526" i="80"/>
  <c r="E526" i="80"/>
  <c r="D526" i="80"/>
  <c r="C526" i="80"/>
  <c r="B526" i="80"/>
  <c r="A526" i="80"/>
  <c r="L525" i="80"/>
  <c r="K525" i="80"/>
  <c r="J525" i="80"/>
  <c r="I525" i="80"/>
  <c r="H525" i="80"/>
  <c r="G525" i="80"/>
  <c r="F525" i="80"/>
  <c r="E525" i="80"/>
  <c r="D525" i="80"/>
  <c r="C525" i="80"/>
  <c r="B525" i="80"/>
  <c r="A525" i="80"/>
  <c r="L524" i="80"/>
  <c r="K524" i="80"/>
  <c r="J524" i="80"/>
  <c r="I524" i="80"/>
  <c r="H524" i="80"/>
  <c r="G524" i="80"/>
  <c r="F524" i="80"/>
  <c r="E524" i="80"/>
  <c r="D524" i="80"/>
  <c r="C524" i="80"/>
  <c r="B524" i="80"/>
  <c r="A524" i="80"/>
  <c r="L523" i="80"/>
  <c r="K523" i="80"/>
  <c r="J523" i="80"/>
  <c r="I523" i="80"/>
  <c r="H523" i="80"/>
  <c r="G523" i="80"/>
  <c r="F523" i="80"/>
  <c r="E523" i="80"/>
  <c r="D523" i="80"/>
  <c r="C523" i="80"/>
  <c r="B523" i="80"/>
  <c r="A523" i="80"/>
  <c r="L522" i="80"/>
  <c r="K522" i="80"/>
  <c r="J522" i="80"/>
  <c r="I522" i="80"/>
  <c r="H522" i="80"/>
  <c r="G522" i="80"/>
  <c r="F522" i="80"/>
  <c r="E522" i="80"/>
  <c r="D522" i="80"/>
  <c r="C522" i="80"/>
  <c r="B522" i="80"/>
  <c r="A522" i="80"/>
  <c r="L521" i="80"/>
  <c r="K521" i="80"/>
  <c r="J521" i="80"/>
  <c r="I521" i="80"/>
  <c r="H521" i="80"/>
  <c r="G521" i="80"/>
  <c r="F521" i="80"/>
  <c r="E521" i="80"/>
  <c r="D521" i="80"/>
  <c r="C521" i="80"/>
  <c r="B521" i="80"/>
  <c r="A521" i="80"/>
  <c r="L520" i="80"/>
  <c r="K520" i="80"/>
  <c r="J520" i="80"/>
  <c r="I520" i="80"/>
  <c r="H520" i="80"/>
  <c r="G520" i="80"/>
  <c r="F520" i="80"/>
  <c r="E520" i="80"/>
  <c r="D520" i="80"/>
  <c r="C520" i="80"/>
  <c r="B520" i="80"/>
  <c r="A520" i="80"/>
  <c r="L519" i="80"/>
  <c r="K519" i="80"/>
  <c r="J519" i="80"/>
  <c r="I519" i="80"/>
  <c r="H519" i="80"/>
  <c r="G519" i="80"/>
  <c r="F519" i="80"/>
  <c r="E519" i="80"/>
  <c r="D519" i="80"/>
  <c r="C519" i="80"/>
  <c r="B519" i="80"/>
  <c r="A519" i="80"/>
  <c r="L518" i="80"/>
  <c r="K518" i="80"/>
  <c r="J518" i="80"/>
  <c r="I518" i="80"/>
  <c r="H518" i="80"/>
  <c r="G518" i="80"/>
  <c r="F518" i="80"/>
  <c r="E518" i="80"/>
  <c r="D518" i="80"/>
  <c r="C518" i="80"/>
  <c r="B518" i="80"/>
  <c r="A518" i="80"/>
  <c r="L517" i="80"/>
  <c r="K517" i="80"/>
  <c r="J517" i="80"/>
  <c r="I517" i="80"/>
  <c r="H517" i="80"/>
  <c r="G517" i="80"/>
  <c r="F517" i="80"/>
  <c r="E517" i="80"/>
  <c r="D517" i="80"/>
  <c r="C517" i="80"/>
  <c r="B517" i="80"/>
  <c r="A517" i="80"/>
  <c r="L516" i="80"/>
  <c r="K516" i="80"/>
  <c r="J516" i="80"/>
  <c r="I516" i="80"/>
  <c r="H516" i="80"/>
  <c r="G516" i="80"/>
  <c r="F516" i="80"/>
  <c r="E516" i="80"/>
  <c r="D516" i="80"/>
  <c r="C516" i="80"/>
  <c r="B516" i="80"/>
  <c r="A516" i="80"/>
  <c r="L515" i="80"/>
  <c r="K515" i="80"/>
  <c r="J515" i="80"/>
  <c r="I515" i="80"/>
  <c r="H515" i="80"/>
  <c r="G515" i="80"/>
  <c r="F515" i="80"/>
  <c r="E515" i="80"/>
  <c r="D515" i="80"/>
  <c r="C515" i="80"/>
  <c r="B515" i="80"/>
  <c r="A515" i="80"/>
  <c r="L514" i="80"/>
  <c r="K514" i="80"/>
  <c r="J514" i="80"/>
  <c r="I514" i="80"/>
  <c r="H514" i="80"/>
  <c r="G514" i="80"/>
  <c r="F514" i="80"/>
  <c r="E514" i="80"/>
  <c r="D514" i="80"/>
  <c r="C514" i="80"/>
  <c r="B514" i="80"/>
  <c r="A514" i="80"/>
  <c r="L513" i="80"/>
  <c r="K513" i="80"/>
  <c r="J513" i="80"/>
  <c r="I513" i="80"/>
  <c r="H513" i="80"/>
  <c r="G513" i="80"/>
  <c r="F513" i="80"/>
  <c r="E513" i="80"/>
  <c r="D513" i="80"/>
  <c r="C513" i="80"/>
  <c r="B513" i="80"/>
  <c r="A513" i="80"/>
  <c r="L512" i="80"/>
  <c r="K512" i="80"/>
  <c r="J512" i="80"/>
  <c r="I512" i="80"/>
  <c r="H512" i="80"/>
  <c r="G512" i="80"/>
  <c r="F512" i="80"/>
  <c r="E512" i="80"/>
  <c r="D512" i="80"/>
  <c r="C512" i="80"/>
  <c r="B512" i="80"/>
  <c r="A512" i="80"/>
  <c r="L511" i="80"/>
  <c r="K511" i="80"/>
  <c r="J511" i="80"/>
  <c r="I511" i="80"/>
  <c r="H511" i="80"/>
  <c r="G511" i="80"/>
  <c r="F511" i="80"/>
  <c r="E511" i="80"/>
  <c r="D511" i="80"/>
  <c r="C511" i="80"/>
  <c r="B511" i="80"/>
  <c r="A511" i="80"/>
  <c r="L510" i="80"/>
  <c r="K510" i="80"/>
  <c r="J510" i="80"/>
  <c r="I510" i="80"/>
  <c r="H510" i="80"/>
  <c r="G510" i="80"/>
  <c r="F510" i="80"/>
  <c r="E510" i="80"/>
  <c r="D510" i="80"/>
  <c r="C510" i="80"/>
  <c r="B510" i="80"/>
  <c r="A510" i="80"/>
  <c r="L509" i="80"/>
  <c r="K509" i="80"/>
  <c r="J509" i="80"/>
  <c r="I509" i="80"/>
  <c r="H509" i="80"/>
  <c r="G509" i="80"/>
  <c r="F509" i="80"/>
  <c r="E509" i="80"/>
  <c r="D509" i="80"/>
  <c r="C509" i="80"/>
  <c r="B509" i="80"/>
  <c r="A509" i="80"/>
  <c r="L508" i="80"/>
  <c r="K508" i="80"/>
  <c r="J508" i="80"/>
  <c r="I508" i="80"/>
  <c r="H508" i="80"/>
  <c r="G508" i="80"/>
  <c r="F508" i="80"/>
  <c r="E508" i="80"/>
  <c r="D508" i="80"/>
  <c r="C508" i="80"/>
  <c r="B508" i="80"/>
  <c r="A508" i="80"/>
  <c r="L502" i="80"/>
  <c r="K502" i="80"/>
  <c r="J502" i="80"/>
  <c r="I502" i="80"/>
  <c r="H502" i="80"/>
  <c r="G502" i="80"/>
  <c r="F502" i="80"/>
  <c r="E502" i="80"/>
  <c r="D502" i="80"/>
  <c r="C502" i="80"/>
  <c r="B502" i="80"/>
  <c r="A502" i="80"/>
  <c r="L501" i="80"/>
  <c r="K501" i="80"/>
  <c r="J501" i="80"/>
  <c r="I501" i="80"/>
  <c r="H501" i="80"/>
  <c r="G501" i="80"/>
  <c r="F501" i="80"/>
  <c r="E501" i="80"/>
  <c r="D501" i="80"/>
  <c r="C501" i="80"/>
  <c r="B501" i="80"/>
  <c r="A501" i="80"/>
  <c r="L500" i="80"/>
  <c r="K500" i="80"/>
  <c r="J500" i="80"/>
  <c r="I500" i="80"/>
  <c r="H500" i="80"/>
  <c r="G500" i="80"/>
  <c r="F500" i="80"/>
  <c r="E500" i="80"/>
  <c r="D500" i="80"/>
  <c r="C500" i="80"/>
  <c r="B500" i="80"/>
  <c r="A500" i="80"/>
  <c r="L499" i="80"/>
  <c r="K499" i="80"/>
  <c r="J499" i="80"/>
  <c r="I499" i="80"/>
  <c r="H499" i="80"/>
  <c r="G499" i="80"/>
  <c r="F499" i="80"/>
  <c r="E499" i="80"/>
  <c r="D499" i="80"/>
  <c r="C499" i="80"/>
  <c r="B499" i="80"/>
  <c r="A499" i="80"/>
  <c r="L498" i="80"/>
  <c r="K498" i="80"/>
  <c r="J498" i="80"/>
  <c r="I498" i="80"/>
  <c r="H498" i="80"/>
  <c r="G498" i="80"/>
  <c r="F498" i="80"/>
  <c r="E498" i="80"/>
  <c r="D498" i="80"/>
  <c r="C498" i="80"/>
  <c r="B498" i="80"/>
  <c r="A498" i="80"/>
  <c r="L497" i="80"/>
  <c r="K497" i="80"/>
  <c r="J497" i="80"/>
  <c r="I497" i="80"/>
  <c r="H497" i="80"/>
  <c r="G497" i="80"/>
  <c r="F497" i="80"/>
  <c r="E497" i="80"/>
  <c r="D497" i="80"/>
  <c r="C497" i="80"/>
  <c r="B497" i="80"/>
  <c r="A497" i="80"/>
  <c r="L496" i="80"/>
  <c r="K496" i="80"/>
  <c r="J496" i="80"/>
  <c r="I496" i="80"/>
  <c r="H496" i="80"/>
  <c r="G496" i="80"/>
  <c r="F496" i="80"/>
  <c r="E496" i="80"/>
  <c r="D496" i="80"/>
  <c r="C496" i="80"/>
  <c r="B496" i="80"/>
  <c r="A496" i="80"/>
  <c r="L495" i="80"/>
  <c r="K495" i="80"/>
  <c r="J495" i="80"/>
  <c r="I495" i="80"/>
  <c r="H495" i="80"/>
  <c r="G495" i="80"/>
  <c r="F495" i="80"/>
  <c r="E495" i="80"/>
  <c r="D495" i="80"/>
  <c r="C495" i="80"/>
  <c r="B495" i="80"/>
  <c r="A495" i="80"/>
  <c r="L494" i="80"/>
  <c r="K494" i="80"/>
  <c r="J494" i="80"/>
  <c r="I494" i="80"/>
  <c r="H494" i="80"/>
  <c r="G494" i="80"/>
  <c r="F494" i="80"/>
  <c r="E494" i="80"/>
  <c r="D494" i="80"/>
  <c r="C494" i="80"/>
  <c r="B494" i="80"/>
  <c r="A494" i="80"/>
  <c r="L493" i="80"/>
  <c r="K493" i="80"/>
  <c r="J493" i="80"/>
  <c r="I493" i="80"/>
  <c r="H493" i="80"/>
  <c r="G493" i="80"/>
  <c r="F493" i="80"/>
  <c r="E493" i="80"/>
  <c r="D493" i="80"/>
  <c r="C493" i="80"/>
  <c r="B493" i="80"/>
  <c r="A493" i="80"/>
  <c r="L492" i="80"/>
  <c r="K492" i="80"/>
  <c r="J492" i="80"/>
  <c r="I492" i="80"/>
  <c r="H492" i="80"/>
  <c r="G492" i="80"/>
  <c r="F492" i="80"/>
  <c r="E492" i="80"/>
  <c r="D492" i="80"/>
  <c r="C492" i="80"/>
  <c r="B492" i="80"/>
  <c r="A492" i="80"/>
  <c r="L491" i="80"/>
  <c r="K491" i="80"/>
  <c r="J491" i="80"/>
  <c r="I491" i="80"/>
  <c r="H491" i="80"/>
  <c r="G491" i="80"/>
  <c r="F491" i="80"/>
  <c r="E491" i="80"/>
  <c r="D491" i="80"/>
  <c r="C491" i="80"/>
  <c r="B491" i="80"/>
  <c r="A491" i="80"/>
  <c r="L490" i="80"/>
  <c r="K490" i="80"/>
  <c r="J490" i="80"/>
  <c r="I490" i="80"/>
  <c r="H490" i="80"/>
  <c r="G490" i="80"/>
  <c r="F490" i="80"/>
  <c r="E490" i="80"/>
  <c r="D490" i="80"/>
  <c r="C490" i="80"/>
  <c r="B490" i="80"/>
  <c r="A490" i="80"/>
  <c r="L489" i="80"/>
  <c r="K489" i="80"/>
  <c r="J489" i="80"/>
  <c r="I489" i="80"/>
  <c r="H489" i="80"/>
  <c r="G489" i="80"/>
  <c r="F489" i="80"/>
  <c r="E489" i="80"/>
  <c r="D489" i="80"/>
  <c r="C489" i="80"/>
  <c r="B489" i="80"/>
  <c r="A489" i="80"/>
  <c r="L488" i="80"/>
  <c r="K488" i="80"/>
  <c r="J488" i="80"/>
  <c r="I488" i="80"/>
  <c r="H488" i="80"/>
  <c r="G488" i="80"/>
  <c r="F488" i="80"/>
  <c r="E488" i="80"/>
  <c r="D488" i="80"/>
  <c r="C488" i="80"/>
  <c r="B488" i="80"/>
  <c r="A488" i="80"/>
  <c r="L487" i="80"/>
  <c r="K487" i="80"/>
  <c r="J487" i="80"/>
  <c r="I487" i="80"/>
  <c r="H487" i="80"/>
  <c r="G487" i="80"/>
  <c r="F487" i="80"/>
  <c r="E487" i="80"/>
  <c r="D487" i="80"/>
  <c r="C487" i="80"/>
  <c r="B487" i="80"/>
  <c r="A487" i="80"/>
  <c r="L486" i="80"/>
  <c r="K486" i="80"/>
  <c r="J486" i="80"/>
  <c r="I486" i="80"/>
  <c r="H486" i="80"/>
  <c r="G486" i="80"/>
  <c r="F486" i="80"/>
  <c r="E486" i="80"/>
  <c r="D486" i="80"/>
  <c r="C486" i="80"/>
  <c r="B486" i="80"/>
  <c r="A486" i="80"/>
  <c r="L485" i="80"/>
  <c r="K485" i="80"/>
  <c r="J485" i="80"/>
  <c r="I485" i="80"/>
  <c r="H485" i="80"/>
  <c r="G485" i="80"/>
  <c r="F485" i="80"/>
  <c r="E485" i="80"/>
  <c r="D485" i="80"/>
  <c r="C485" i="80"/>
  <c r="B485" i="80"/>
  <c r="A485" i="80"/>
  <c r="L484" i="80"/>
  <c r="K484" i="80"/>
  <c r="J484" i="80"/>
  <c r="I484" i="80"/>
  <c r="H484" i="80"/>
  <c r="G484" i="80"/>
  <c r="F484" i="80"/>
  <c r="E484" i="80"/>
  <c r="D484" i="80"/>
  <c r="C484" i="80"/>
  <c r="B484" i="80"/>
  <c r="A484" i="80"/>
  <c r="L483" i="80"/>
  <c r="K483" i="80"/>
  <c r="J483" i="80"/>
  <c r="I483" i="80"/>
  <c r="H483" i="80"/>
  <c r="G483" i="80"/>
  <c r="F483" i="80"/>
  <c r="E483" i="80"/>
  <c r="D483" i="80"/>
  <c r="C483" i="80"/>
  <c r="B483" i="80"/>
  <c r="A483" i="80"/>
  <c r="L482" i="80"/>
  <c r="K482" i="80"/>
  <c r="J482" i="80"/>
  <c r="I482" i="80"/>
  <c r="H482" i="80"/>
  <c r="G482" i="80"/>
  <c r="F482" i="80"/>
  <c r="E482" i="80"/>
  <c r="D482" i="80"/>
  <c r="C482" i="80"/>
  <c r="B482" i="80"/>
  <c r="A482" i="80"/>
  <c r="L481" i="80"/>
  <c r="K481" i="80"/>
  <c r="J481" i="80"/>
  <c r="I481" i="80"/>
  <c r="H481" i="80"/>
  <c r="G481" i="80"/>
  <c r="F481" i="80"/>
  <c r="E481" i="80"/>
  <c r="D481" i="80"/>
  <c r="C481" i="80"/>
  <c r="B481" i="80"/>
  <c r="A481" i="80"/>
  <c r="L480" i="80"/>
  <c r="K480" i="80"/>
  <c r="J480" i="80"/>
  <c r="I480" i="80"/>
  <c r="H480" i="80"/>
  <c r="G480" i="80"/>
  <c r="F480" i="80"/>
  <c r="E480" i="80"/>
  <c r="D480" i="80"/>
  <c r="C480" i="80"/>
  <c r="B480" i="80"/>
  <c r="A480" i="80"/>
  <c r="L479" i="80"/>
  <c r="K479" i="80"/>
  <c r="J479" i="80"/>
  <c r="I479" i="80"/>
  <c r="H479" i="80"/>
  <c r="G479" i="80"/>
  <c r="F479" i="80"/>
  <c r="E479" i="80"/>
  <c r="D479" i="80"/>
  <c r="C479" i="80"/>
  <c r="B479" i="80"/>
  <c r="A479" i="80"/>
  <c r="L478" i="80"/>
  <c r="K478" i="80"/>
  <c r="J478" i="80"/>
  <c r="I478" i="80"/>
  <c r="H478" i="80"/>
  <c r="G478" i="80"/>
  <c r="F478" i="80"/>
  <c r="E478" i="80"/>
  <c r="D478" i="80"/>
  <c r="C478" i="80"/>
  <c r="B478" i="80"/>
  <c r="A478" i="80"/>
  <c r="L477" i="80"/>
  <c r="K477" i="80"/>
  <c r="J477" i="80"/>
  <c r="I477" i="80"/>
  <c r="H477" i="80"/>
  <c r="G477" i="80"/>
  <c r="F477" i="80"/>
  <c r="E477" i="80"/>
  <c r="D477" i="80"/>
  <c r="C477" i="80"/>
  <c r="B477" i="80"/>
  <c r="A477" i="80"/>
  <c r="L476" i="80"/>
  <c r="K476" i="80"/>
  <c r="J476" i="80"/>
  <c r="I476" i="80"/>
  <c r="H476" i="80"/>
  <c r="G476" i="80"/>
  <c r="F476" i="80"/>
  <c r="E476" i="80"/>
  <c r="D476" i="80"/>
  <c r="C476" i="80"/>
  <c r="B476" i="80"/>
  <c r="A476" i="80"/>
  <c r="L475" i="80"/>
  <c r="K475" i="80"/>
  <c r="J475" i="80"/>
  <c r="I475" i="80"/>
  <c r="H475" i="80"/>
  <c r="G475" i="80"/>
  <c r="F475" i="80"/>
  <c r="E475" i="80"/>
  <c r="D475" i="80"/>
  <c r="C475" i="80"/>
  <c r="B475" i="80"/>
  <c r="A475" i="80"/>
  <c r="L474" i="80"/>
  <c r="K474" i="80"/>
  <c r="J474" i="80"/>
  <c r="I474" i="80"/>
  <c r="H474" i="80"/>
  <c r="G474" i="80"/>
  <c r="F474" i="80"/>
  <c r="E474" i="80"/>
  <c r="D474" i="80"/>
  <c r="C474" i="80"/>
  <c r="B474" i="80"/>
  <c r="A474" i="80"/>
  <c r="L473" i="80"/>
  <c r="K473" i="80"/>
  <c r="J473" i="80"/>
  <c r="I473" i="80"/>
  <c r="H473" i="80"/>
  <c r="G473" i="80"/>
  <c r="F473" i="80"/>
  <c r="E473" i="80"/>
  <c r="D473" i="80"/>
  <c r="C473" i="80"/>
  <c r="B473" i="80"/>
  <c r="A473" i="80"/>
  <c r="L472" i="80"/>
  <c r="K472" i="80"/>
  <c r="J472" i="80"/>
  <c r="I472" i="80"/>
  <c r="H472" i="80"/>
  <c r="G472" i="80"/>
  <c r="F472" i="80"/>
  <c r="E472" i="80"/>
  <c r="D472" i="80"/>
  <c r="C472" i="80"/>
  <c r="B472" i="80"/>
  <c r="A472" i="80"/>
  <c r="L471" i="80"/>
  <c r="K471" i="80"/>
  <c r="J471" i="80"/>
  <c r="I471" i="80"/>
  <c r="H471" i="80"/>
  <c r="G471" i="80"/>
  <c r="F471" i="80"/>
  <c r="E471" i="80"/>
  <c r="D471" i="80"/>
  <c r="C471" i="80"/>
  <c r="B471" i="80"/>
  <c r="A471" i="80"/>
  <c r="L470" i="80"/>
  <c r="K470" i="80"/>
  <c r="J470" i="80"/>
  <c r="I470" i="80"/>
  <c r="H470" i="80"/>
  <c r="G470" i="80"/>
  <c r="F470" i="80"/>
  <c r="E470" i="80"/>
  <c r="D470" i="80"/>
  <c r="C470" i="80"/>
  <c r="B470" i="80"/>
  <c r="A470" i="80"/>
  <c r="L469" i="80"/>
  <c r="K469" i="80"/>
  <c r="J469" i="80"/>
  <c r="I469" i="80"/>
  <c r="H469" i="80"/>
  <c r="G469" i="80"/>
  <c r="F469" i="80"/>
  <c r="E469" i="80"/>
  <c r="D469" i="80"/>
  <c r="C469" i="80"/>
  <c r="B469" i="80"/>
  <c r="A469" i="80"/>
  <c r="L468" i="80"/>
  <c r="K468" i="80"/>
  <c r="J468" i="80"/>
  <c r="I468" i="80"/>
  <c r="H468" i="80"/>
  <c r="G468" i="80"/>
  <c r="F468" i="80"/>
  <c r="E468" i="80"/>
  <c r="D468" i="80"/>
  <c r="C468" i="80"/>
  <c r="B468" i="80"/>
  <c r="A468" i="80"/>
  <c r="L467" i="80"/>
  <c r="K467" i="80"/>
  <c r="J467" i="80"/>
  <c r="I467" i="80"/>
  <c r="H467" i="80"/>
  <c r="G467" i="80"/>
  <c r="F467" i="80"/>
  <c r="E467" i="80"/>
  <c r="D467" i="80"/>
  <c r="C467" i="80"/>
  <c r="B467" i="80"/>
  <c r="A467" i="80"/>
  <c r="L466" i="80"/>
  <c r="K466" i="80"/>
  <c r="J466" i="80"/>
  <c r="I466" i="80"/>
  <c r="H466" i="80"/>
  <c r="G466" i="80"/>
  <c r="F466" i="80"/>
  <c r="E466" i="80"/>
  <c r="D466" i="80"/>
  <c r="C466" i="80"/>
  <c r="B466" i="80"/>
  <c r="A466" i="80"/>
  <c r="L465" i="80"/>
  <c r="K465" i="80"/>
  <c r="J465" i="80"/>
  <c r="I465" i="80"/>
  <c r="H465" i="80"/>
  <c r="G465" i="80"/>
  <c r="F465" i="80"/>
  <c r="E465" i="80"/>
  <c r="D465" i="80"/>
  <c r="C465" i="80"/>
  <c r="B465" i="80"/>
  <c r="A465" i="80"/>
  <c r="L464" i="80"/>
  <c r="K464" i="80"/>
  <c r="J464" i="80"/>
  <c r="I464" i="80"/>
  <c r="H464" i="80"/>
  <c r="G464" i="80"/>
  <c r="F464" i="80"/>
  <c r="E464" i="80"/>
  <c r="D464" i="80"/>
  <c r="C464" i="80"/>
  <c r="B464" i="80"/>
  <c r="A464" i="80"/>
  <c r="L463" i="80"/>
  <c r="K463" i="80"/>
  <c r="J463" i="80"/>
  <c r="I463" i="80"/>
  <c r="H463" i="80"/>
  <c r="G463" i="80"/>
  <c r="F463" i="80"/>
  <c r="E463" i="80"/>
  <c r="D463" i="80"/>
  <c r="C463" i="80"/>
  <c r="B463" i="80"/>
  <c r="A463" i="80"/>
  <c r="L462" i="80"/>
  <c r="K462" i="80"/>
  <c r="J462" i="80"/>
  <c r="I462" i="80"/>
  <c r="H462" i="80"/>
  <c r="G462" i="80"/>
  <c r="F462" i="80"/>
  <c r="E462" i="80"/>
  <c r="D462" i="80"/>
  <c r="C462" i="80"/>
  <c r="B462" i="80"/>
  <c r="A462" i="80"/>
  <c r="L461" i="80"/>
  <c r="K461" i="80"/>
  <c r="J461" i="80"/>
  <c r="I461" i="80"/>
  <c r="H461" i="80"/>
  <c r="G461" i="80"/>
  <c r="F461" i="80"/>
  <c r="E461" i="80"/>
  <c r="D461" i="80"/>
  <c r="C461" i="80"/>
  <c r="B461" i="80"/>
  <c r="A461" i="80"/>
  <c r="L460" i="80"/>
  <c r="K460" i="80"/>
  <c r="J460" i="80"/>
  <c r="I460" i="80"/>
  <c r="H460" i="80"/>
  <c r="G460" i="80"/>
  <c r="F460" i="80"/>
  <c r="E460" i="80"/>
  <c r="D460" i="80"/>
  <c r="C460" i="80"/>
  <c r="B460" i="80"/>
  <c r="A460" i="80"/>
  <c r="L459" i="80"/>
  <c r="K459" i="80"/>
  <c r="J459" i="80"/>
  <c r="I459" i="80"/>
  <c r="H459" i="80"/>
  <c r="G459" i="80"/>
  <c r="F459" i="80"/>
  <c r="E459" i="80"/>
  <c r="D459" i="80"/>
  <c r="C459" i="80"/>
  <c r="B459" i="80"/>
  <c r="A459" i="80"/>
  <c r="L458" i="80"/>
  <c r="K458" i="80"/>
  <c r="J458" i="80"/>
  <c r="I458" i="80"/>
  <c r="H458" i="80"/>
  <c r="G458" i="80"/>
  <c r="F458" i="80"/>
  <c r="E458" i="80"/>
  <c r="D458" i="80"/>
  <c r="C458" i="80"/>
  <c r="B458" i="80"/>
  <c r="A458" i="80"/>
  <c r="L457" i="80"/>
  <c r="K457" i="80"/>
  <c r="J457" i="80"/>
  <c r="I457" i="80"/>
  <c r="H457" i="80"/>
  <c r="G457" i="80"/>
  <c r="F457" i="80"/>
  <c r="E457" i="80"/>
  <c r="D457" i="80"/>
  <c r="C457" i="80"/>
  <c r="B457" i="80"/>
  <c r="A457" i="80"/>
  <c r="L456" i="80"/>
  <c r="K456" i="80"/>
  <c r="J456" i="80"/>
  <c r="I456" i="80"/>
  <c r="H456" i="80"/>
  <c r="G456" i="80"/>
  <c r="F456" i="80"/>
  <c r="E456" i="80"/>
  <c r="D456" i="80"/>
  <c r="C456" i="80"/>
  <c r="B456" i="80"/>
  <c r="A456" i="80"/>
  <c r="L455" i="80"/>
  <c r="K455" i="80"/>
  <c r="J455" i="80"/>
  <c r="I455" i="80"/>
  <c r="H455" i="80"/>
  <c r="G455" i="80"/>
  <c r="F455" i="80"/>
  <c r="E455" i="80"/>
  <c r="D455" i="80"/>
  <c r="C455" i="80"/>
  <c r="B455" i="80"/>
  <c r="A455" i="80"/>
  <c r="L454" i="80"/>
  <c r="K454" i="80"/>
  <c r="J454" i="80"/>
  <c r="I454" i="80"/>
  <c r="H454" i="80"/>
  <c r="G454" i="80"/>
  <c r="F454" i="80"/>
  <c r="E454" i="80"/>
  <c r="D454" i="80"/>
  <c r="C454" i="80"/>
  <c r="B454" i="80"/>
  <c r="A454" i="80"/>
  <c r="L453" i="80"/>
  <c r="K453" i="80"/>
  <c r="J453" i="80"/>
  <c r="I453" i="80"/>
  <c r="H453" i="80"/>
  <c r="G453" i="80"/>
  <c r="F453" i="80"/>
  <c r="E453" i="80"/>
  <c r="D453" i="80"/>
  <c r="C453" i="80"/>
  <c r="B453" i="80"/>
  <c r="A453" i="80"/>
  <c r="L452" i="80"/>
  <c r="K452" i="80"/>
  <c r="J452" i="80"/>
  <c r="I452" i="80"/>
  <c r="H452" i="80"/>
  <c r="G452" i="80"/>
  <c r="F452" i="80"/>
  <c r="E452" i="80"/>
  <c r="D452" i="80"/>
  <c r="C452" i="80"/>
  <c r="B452" i="80"/>
  <c r="A452" i="80"/>
  <c r="L451" i="80"/>
  <c r="K451" i="80"/>
  <c r="J451" i="80"/>
  <c r="I451" i="80"/>
  <c r="H451" i="80"/>
  <c r="G451" i="80"/>
  <c r="F451" i="80"/>
  <c r="E451" i="80"/>
  <c r="D451" i="80"/>
  <c r="C451" i="80"/>
  <c r="B451" i="80"/>
  <c r="A451" i="80"/>
  <c r="L450" i="80"/>
  <c r="K450" i="80"/>
  <c r="J450" i="80"/>
  <c r="I450" i="80"/>
  <c r="H450" i="80"/>
  <c r="G450" i="80"/>
  <c r="F450" i="80"/>
  <c r="E450" i="80"/>
  <c r="D450" i="80"/>
  <c r="C450" i="80"/>
  <c r="B450" i="80"/>
  <c r="A450" i="80"/>
  <c r="L449" i="80"/>
  <c r="K449" i="80"/>
  <c r="J449" i="80"/>
  <c r="I449" i="80"/>
  <c r="H449" i="80"/>
  <c r="G449" i="80"/>
  <c r="F449" i="80"/>
  <c r="E449" i="80"/>
  <c r="D449" i="80"/>
  <c r="C449" i="80"/>
  <c r="B449" i="80"/>
  <c r="A449" i="80"/>
  <c r="L448" i="80"/>
  <c r="K448" i="80"/>
  <c r="J448" i="80"/>
  <c r="I448" i="80"/>
  <c r="H448" i="80"/>
  <c r="G448" i="80"/>
  <c r="F448" i="80"/>
  <c r="E448" i="80"/>
  <c r="D448" i="80"/>
  <c r="C448" i="80"/>
  <c r="B448" i="80"/>
  <c r="A448" i="80"/>
  <c r="L447" i="80"/>
  <c r="K447" i="80"/>
  <c r="J447" i="80"/>
  <c r="I447" i="80"/>
  <c r="H447" i="80"/>
  <c r="G447" i="80"/>
  <c r="F447" i="80"/>
  <c r="E447" i="80"/>
  <c r="D447" i="80"/>
  <c r="C447" i="80"/>
  <c r="B447" i="80"/>
  <c r="A447" i="80"/>
  <c r="L446" i="80"/>
  <c r="K446" i="80"/>
  <c r="J446" i="80"/>
  <c r="I446" i="80"/>
  <c r="H446" i="80"/>
  <c r="G446" i="80"/>
  <c r="F446" i="80"/>
  <c r="E446" i="80"/>
  <c r="D446" i="80"/>
  <c r="C446" i="80"/>
  <c r="B446" i="80"/>
  <c r="A446" i="80"/>
  <c r="L445" i="80"/>
  <c r="K445" i="80"/>
  <c r="J445" i="80"/>
  <c r="I445" i="80"/>
  <c r="H445" i="80"/>
  <c r="G445" i="80"/>
  <c r="F445" i="80"/>
  <c r="E445" i="80"/>
  <c r="D445" i="80"/>
  <c r="C445" i="80"/>
  <c r="B445" i="80"/>
  <c r="A445" i="80"/>
  <c r="L444" i="80"/>
  <c r="K444" i="80"/>
  <c r="J444" i="80"/>
  <c r="I444" i="80"/>
  <c r="H444" i="80"/>
  <c r="G444" i="80"/>
  <c r="F444" i="80"/>
  <c r="E444" i="80"/>
  <c r="D444" i="80"/>
  <c r="C444" i="80"/>
  <c r="B444" i="80"/>
  <c r="A444" i="80"/>
  <c r="L443" i="80"/>
  <c r="K443" i="80"/>
  <c r="J443" i="80"/>
  <c r="I443" i="80"/>
  <c r="H443" i="80"/>
  <c r="G443" i="80"/>
  <c r="F443" i="80"/>
  <c r="E443" i="80"/>
  <c r="D443" i="80"/>
  <c r="C443" i="80"/>
  <c r="B443" i="80"/>
  <c r="A443" i="80"/>
  <c r="L442" i="80"/>
  <c r="K442" i="80"/>
  <c r="J442" i="80"/>
  <c r="I442" i="80"/>
  <c r="H442" i="80"/>
  <c r="G442" i="80"/>
  <c r="F442" i="80"/>
  <c r="E442" i="80"/>
  <c r="D442" i="80"/>
  <c r="C442" i="80"/>
  <c r="B442" i="80"/>
  <c r="A442" i="80"/>
  <c r="L441" i="80"/>
  <c r="K441" i="80"/>
  <c r="J441" i="80"/>
  <c r="I441" i="80"/>
  <c r="H441" i="80"/>
  <c r="G441" i="80"/>
  <c r="F441" i="80"/>
  <c r="E441" i="80"/>
  <c r="D441" i="80"/>
  <c r="C441" i="80"/>
  <c r="B441" i="80"/>
  <c r="A441" i="80"/>
  <c r="L440" i="80"/>
  <c r="K440" i="80"/>
  <c r="J440" i="80"/>
  <c r="I440" i="80"/>
  <c r="H440" i="80"/>
  <c r="G440" i="80"/>
  <c r="F440" i="80"/>
  <c r="E440" i="80"/>
  <c r="D440" i="80"/>
  <c r="C440" i="80"/>
  <c r="B440" i="80"/>
  <c r="A440" i="80"/>
  <c r="L439" i="80"/>
  <c r="K439" i="80"/>
  <c r="J439" i="80"/>
  <c r="I439" i="80"/>
  <c r="H439" i="80"/>
  <c r="G439" i="80"/>
  <c r="F439" i="80"/>
  <c r="E439" i="80"/>
  <c r="D439" i="80"/>
  <c r="C439" i="80"/>
  <c r="B439" i="80"/>
  <c r="A439" i="80"/>
  <c r="L438" i="80"/>
  <c r="K438" i="80"/>
  <c r="J438" i="80"/>
  <c r="I438" i="80"/>
  <c r="H438" i="80"/>
  <c r="G438" i="80"/>
  <c r="F438" i="80"/>
  <c r="E438" i="80"/>
  <c r="D438" i="80"/>
  <c r="C438" i="80"/>
  <c r="B438" i="80"/>
  <c r="A438" i="80"/>
  <c r="L437" i="80"/>
  <c r="K437" i="80"/>
  <c r="J437" i="80"/>
  <c r="I437" i="80"/>
  <c r="H437" i="80"/>
  <c r="G437" i="80"/>
  <c r="F437" i="80"/>
  <c r="E437" i="80"/>
  <c r="D437" i="80"/>
  <c r="C437" i="80"/>
  <c r="B437" i="80"/>
  <c r="A437" i="80"/>
  <c r="L436" i="80"/>
  <c r="K436" i="80"/>
  <c r="J436" i="80"/>
  <c r="I436" i="80"/>
  <c r="H436" i="80"/>
  <c r="G436" i="80"/>
  <c r="F436" i="80"/>
  <c r="E436" i="80"/>
  <c r="D436" i="80"/>
  <c r="C436" i="80"/>
  <c r="B436" i="80"/>
  <c r="A436" i="80"/>
  <c r="L435" i="80"/>
  <c r="K435" i="80"/>
  <c r="J435" i="80"/>
  <c r="I435" i="80"/>
  <c r="H435" i="80"/>
  <c r="G435" i="80"/>
  <c r="F435" i="80"/>
  <c r="E435" i="80"/>
  <c r="D435" i="80"/>
  <c r="C435" i="80"/>
  <c r="B435" i="80"/>
  <c r="A435" i="80"/>
  <c r="L434" i="80"/>
  <c r="K434" i="80"/>
  <c r="J434" i="80"/>
  <c r="I434" i="80"/>
  <c r="H434" i="80"/>
  <c r="G434" i="80"/>
  <c r="F434" i="80"/>
  <c r="E434" i="80"/>
  <c r="D434" i="80"/>
  <c r="C434" i="80"/>
  <c r="B434" i="80"/>
  <c r="A434" i="80"/>
  <c r="L433" i="80"/>
  <c r="K433" i="80"/>
  <c r="J433" i="80"/>
  <c r="I433" i="80"/>
  <c r="H433" i="80"/>
  <c r="G433" i="80"/>
  <c r="F433" i="80"/>
  <c r="E433" i="80"/>
  <c r="D433" i="80"/>
  <c r="C433" i="80"/>
  <c r="B433" i="80"/>
  <c r="A433" i="80"/>
  <c r="L432" i="80"/>
  <c r="K432" i="80"/>
  <c r="J432" i="80"/>
  <c r="I432" i="80"/>
  <c r="H432" i="80"/>
  <c r="G432" i="80"/>
  <c r="F432" i="80"/>
  <c r="E432" i="80"/>
  <c r="D432" i="80"/>
  <c r="C432" i="80"/>
  <c r="B432" i="80"/>
  <c r="A432" i="80"/>
  <c r="L431" i="80"/>
  <c r="K431" i="80"/>
  <c r="J431" i="80"/>
  <c r="I431" i="80"/>
  <c r="H431" i="80"/>
  <c r="G431" i="80"/>
  <c r="F431" i="80"/>
  <c r="E431" i="80"/>
  <c r="D431" i="80"/>
  <c r="C431" i="80"/>
  <c r="B431" i="80"/>
  <c r="A431" i="80"/>
  <c r="L430" i="80"/>
  <c r="K430" i="80"/>
  <c r="J430" i="80"/>
  <c r="I430" i="80"/>
  <c r="H430" i="80"/>
  <c r="G430" i="80"/>
  <c r="F430" i="80"/>
  <c r="E430" i="80"/>
  <c r="D430" i="80"/>
  <c r="C430" i="80"/>
  <c r="B430" i="80"/>
  <c r="A430" i="80"/>
  <c r="L429" i="80"/>
  <c r="K429" i="80"/>
  <c r="J429" i="80"/>
  <c r="I429" i="80"/>
  <c r="H429" i="80"/>
  <c r="G429" i="80"/>
  <c r="F429" i="80"/>
  <c r="E429" i="80"/>
  <c r="D429" i="80"/>
  <c r="C429" i="80"/>
  <c r="B429" i="80"/>
  <c r="A429" i="80"/>
  <c r="L428" i="80"/>
  <c r="K428" i="80"/>
  <c r="J428" i="80"/>
  <c r="I428" i="80"/>
  <c r="H428" i="80"/>
  <c r="G428" i="80"/>
  <c r="F428" i="80"/>
  <c r="E428" i="80"/>
  <c r="D428" i="80"/>
  <c r="C428" i="80"/>
  <c r="B428" i="80"/>
  <c r="A428" i="80"/>
  <c r="L427" i="80"/>
  <c r="K427" i="80"/>
  <c r="J427" i="80"/>
  <c r="I427" i="80"/>
  <c r="H427" i="80"/>
  <c r="G427" i="80"/>
  <c r="F427" i="80"/>
  <c r="E427" i="80"/>
  <c r="D427" i="80"/>
  <c r="C427" i="80"/>
  <c r="B427" i="80"/>
  <c r="A427" i="80"/>
  <c r="L426" i="80"/>
  <c r="K426" i="80"/>
  <c r="J426" i="80"/>
  <c r="I426" i="80"/>
  <c r="H426" i="80"/>
  <c r="G426" i="80"/>
  <c r="F426" i="80"/>
  <c r="E426" i="80"/>
  <c r="D426" i="80"/>
  <c r="C426" i="80"/>
  <c r="B426" i="80"/>
  <c r="A426" i="80"/>
  <c r="L425" i="80"/>
  <c r="K425" i="80"/>
  <c r="J425" i="80"/>
  <c r="I425" i="80"/>
  <c r="H425" i="80"/>
  <c r="G425" i="80"/>
  <c r="F425" i="80"/>
  <c r="E425" i="80"/>
  <c r="D425" i="80"/>
  <c r="C425" i="80"/>
  <c r="B425" i="80"/>
  <c r="A425" i="80"/>
  <c r="L424" i="80"/>
  <c r="K424" i="80"/>
  <c r="J424" i="80"/>
  <c r="I424" i="80"/>
  <c r="H424" i="80"/>
  <c r="G424" i="80"/>
  <c r="F424" i="80"/>
  <c r="E424" i="80"/>
  <c r="D424" i="80"/>
  <c r="C424" i="80"/>
  <c r="B424" i="80"/>
  <c r="A424" i="80"/>
  <c r="L423" i="80"/>
  <c r="K423" i="80"/>
  <c r="J423" i="80"/>
  <c r="I423" i="80"/>
  <c r="H423" i="80"/>
  <c r="G423" i="80"/>
  <c r="F423" i="80"/>
  <c r="E423" i="80"/>
  <c r="D423" i="80"/>
  <c r="C423" i="80"/>
  <c r="B423" i="80"/>
  <c r="A423" i="80"/>
  <c r="L422" i="80"/>
  <c r="K422" i="80"/>
  <c r="J422" i="80"/>
  <c r="I422" i="80"/>
  <c r="H422" i="80"/>
  <c r="G422" i="80"/>
  <c r="F422" i="80"/>
  <c r="E422" i="80"/>
  <c r="D422" i="80"/>
  <c r="C422" i="80"/>
  <c r="B422" i="80"/>
  <c r="A422" i="80"/>
  <c r="L421" i="80"/>
  <c r="K421" i="80"/>
  <c r="J421" i="80"/>
  <c r="I421" i="80"/>
  <c r="H421" i="80"/>
  <c r="G421" i="80"/>
  <c r="F421" i="80"/>
  <c r="E421" i="80"/>
  <c r="D421" i="80"/>
  <c r="C421" i="80"/>
  <c r="B421" i="80"/>
  <c r="A421" i="80"/>
  <c r="L420" i="80"/>
  <c r="K420" i="80"/>
  <c r="J420" i="80"/>
  <c r="I420" i="80"/>
  <c r="H420" i="80"/>
  <c r="G420" i="80"/>
  <c r="F420" i="80"/>
  <c r="E420" i="80"/>
  <c r="D420" i="80"/>
  <c r="C420" i="80"/>
  <c r="B420" i="80"/>
  <c r="A420" i="80"/>
  <c r="L419" i="80"/>
  <c r="K419" i="80"/>
  <c r="J419" i="80"/>
  <c r="I419" i="80"/>
  <c r="H419" i="80"/>
  <c r="G419" i="80"/>
  <c r="F419" i="80"/>
  <c r="E419" i="80"/>
  <c r="D419" i="80"/>
  <c r="C419" i="80"/>
  <c r="B419" i="80"/>
  <c r="A419" i="80"/>
  <c r="L418" i="80"/>
  <c r="K418" i="80"/>
  <c r="J418" i="80"/>
  <c r="I418" i="80"/>
  <c r="H418" i="80"/>
  <c r="G418" i="80"/>
  <c r="F418" i="80"/>
  <c r="E418" i="80"/>
  <c r="D418" i="80"/>
  <c r="C418" i="80"/>
  <c r="B418" i="80"/>
  <c r="A418" i="80"/>
  <c r="L417" i="80"/>
  <c r="K417" i="80"/>
  <c r="J417" i="80"/>
  <c r="I417" i="80"/>
  <c r="H417" i="80"/>
  <c r="G417" i="80"/>
  <c r="F417" i="80"/>
  <c r="E417" i="80"/>
  <c r="D417" i="80"/>
  <c r="C417" i="80"/>
  <c r="B417" i="80"/>
  <c r="A417" i="80"/>
  <c r="L416" i="80"/>
  <c r="K416" i="80"/>
  <c r="J416" i="80"/>
  <c r="I416" i="80"/>
  <c r="H416" i="80"/>
  <c r="G416" i="80"/>
  <c r="F416" i="80"/>
  <c r="E416" i="80"/>
  <c r="D416" i="80"/>
  <c r="C416" i="80"/>
  <c r="B416" i="80"/>
  <c r="A416" i="80"/>
  <c r="L415" i="80"/>
  <c r="K415" i="80"/>
  <c r="J415" i="80"/>
  <c r="I415" i="80"/>
  <c r="H415" i="80"/>
  <c r="G415" i="80"/>
  <c r="F415" i="80"/>
  <c r="E415" i="80"/>
  <c r="D415" i="80"/>
  <c r="C415" i="80"/>
  <c r="B415" i="80"/>
  <c r="A415" i="80"/>
  <c r="L414" i="80"/>
  <c r="K414" i="80"/>
  <c r="J414" i="80"/>
  <c r="I414" i="80"/>
  <c r="H414" i="80"/>
  <c r="G414" i="80"/>
  <c r="F414" i="80"/>
  <c r="E414" i="80"/>
  <c r="D414" i="80"/>
  <c r="C414" i="80"/>
  <c r="B414" i="80"/>
  <c r="A414" i="80"/>
  <c r="L413" i="80"/>
  <c r="K413" i="80"/>
  <c r="J413" i="80"/>
  <c r="I413" i="80"/>
  <c r="H413" i="80"/>
  <c r="G413" i="80"/>
  <c r="F413" i="80"/>
  <c r="E413" i="80"/>
  <c r="D413" i="80"/>
  <c r="C413" i="80"/>
  <c r="B413" i="80"/>
  <c r="A413" i="80"/>
  <c r="L412" i="80"/>
  <c r="K412" i="80"/>
  <c r="J412" i="80"/>
  <c r="I412" i="80"/>
  <c r="H412" i="80"/>
  <c r="G412" i="80"/>
  <c r="F412" i="80"/>
  <c r="E412" i="80"/>
  <c r="D412" i="80"/>
  <c r="C412" i="80"/>
  <c r="B412" i="80"/>
  <c r="A412" i="80"/>
  <c r="L411" i="80"/>
  <c r="K411" i="80"/>
  <c r="J411" i="80"/>
  <c r="I411" i="80"/>
  <c r="H411" i="80"/>
  <c r="G411" i="80"/>
  <c r="F411" i="80"/>
  <c r="E411" i="80"/>
  <c r="D411" i="80"/>
  <c r="C411" i="80"/>
  <c r="B411" i="80"/>
  <c r="A411" i="80"/>
  <c r="L410" i="80"/>
  <c r="K410" i="80"/>
  <c r="J410" i="80"/>
  <c r="I410" i="80"/>
  <c r="H410" i="80"/>
  <c r="G410" i="80"/>
  <c r="F410" i="80"/>
  <c r="E410" i="80"/>
  <c r="D410" i="80"/>
  <c r="C410" i="80"/>
  <c r="B410" i="80"/>
  <c r="A410" i="80"/>
  <c r="L409" i="80"/>
  <c r="K409" i="80"/>
  <c r="J409" i="80"/>
  <c r="I409" i="80"/>
  <c r="H409" i="80"/>
  <c r="G409" i="80"/>
  <c r="F409" i="80"/>
  <c r="E409" i="80"/>
  <c r="D409" i="80"/>
  <c r="C409" i="80"/>
  <c r="B409" i="80"/>
  <c r="A409" i="80"/>
  <c r="L408" i="80"/>
  <c r="K408" i="80"/>
  <c r="J408" i="80"/>
  <c r="I408" i="80"/>
  <c r="H408" i="80"/>
  <c r="G408" i="80"/>
  <c r="F408" i="80"/>
  <c r="E408" i="80"/>
  <c r="D408" i="80"/>
  <c r="C408" i="80"/>
  <c r="B408" i="80"/>
  <c r="A408" i="80"/>
  <c r="L407" i="80"/>
  <c r="K407" i="80"/>
  <c r="J407" i="80"/>
  <c r="I407" i="80"/>
  <c r="H407" i="80"/>
  <c r="G407" i="80"/>
  <c r="F407" i="80"/>
  <c r="E407" i="80"/>
  <c r="D407" i="80"/>
  <c r="C407" i="80"/>
  <c r="B407" i="80"/>
  <c r="A407" i="80"/>
  <c r="L406" i="80"/>
  <c r="K406" i="80"/>
  <c r="J406" i="80"/>
  <c r="I406" i="80"/>
  <c r="H406" i="80"/>
  <c r="G406" i="80"/>
  <c r="F406" i="80"/>
  <c r="E406" i="80"/>
  <c r="D406" i="80"/>
  <c r="C406" i="80"/>
  <c r="B406" i="80"/>
  <c r="A406" i="80"/>
  <c r="L405" i="80"/>
  <c r="K405" i="80"/>
  <c r="J405" i="80"/>
  <c r="I405" i="80"/>
  <c r="H405" i="80"/>
  <c r="G405" i="80"/>
  <c r="F405" i="80"/>
  <c r="E405" i="80"/>
  <c r="D405" i="80"/>
  <c r="C405" i="80"/>
  <c r="B405" i="80"/>
  <c r="A405" i="80"/>
  <c r="L404" i="80"/>
  <c r="K404" i="80"/>
  <c r="J404" i="80"/>
  <c r="I404" i="80"/>
  <c r="H404" i="80"/>
  <c r="G404" i="80"/>
  <c r="F404" i="80"/>
  <c r="E404" i="80"/>
  <c r="D404" i="80"/>
  <c r="C404" i="80"/>
  <c r="B404" i="80"/>
  <c r="A404" i="80"/>
  <c r="L403" i="80"/>
  <c r="K403" i="80"/>
  <c r="J403" i="80"/>
  <c r="I403" i="80"/>
  <c r="H403" i="80"/>
  <c r="G403" i="80"/>
  <c r="F403" i="80"/>
  <c r="E403" i="80"/>
  <c r="D403" i="80"/>
  <c r="C403" i="80"/>
  <c r="B403" i="80"/>
  <c r="A403" i="80"/>
  <c r="L402" i="80"/>
  <c r="K402" i="80"/>
  <c r="J402" i="80"/>
  <c r="I402" i="80"/>
  <c r="H402" i="80"/>
  <c r="G402" i="80"/>
  <c r="F402" i="80"/>
  <c r="E402" i="80"/>
  <c r="D402" i="80"/>
  <c r="C402" i="80"/>
  <c r="B402" i="80"/>
  <c r="A402" i="80"/>
  <c r="L401" i="80"/>
  <c r="K401" i="80"/>
  <c r="J401" i="80"/>
  <c r="I401" i="80"/>
  <c r="H401" i="80"/>
  <c r="G401" i="80"/>
  <c r="F401" i="80"/>
  <c r="E401" i="80"/>
  <c r="D401" i="80"/>
  <c r="C401" i="80"/>
  <c r="B401" i="80"/>
  <c r="A401" i="80"/>
  <c r="L400" i="80"/>
  <c r="K400" i="80"/>
  <c r="J400" i="80"/>
  <c r="I400" i="80"/>
  <c r="H400" i="80"/>
  <c r="G400" i="80"/>
  <c r="F400" i="80"/>
  <c r="E400" i="80"/>
  <c r="D400" i="80"/>
  <c r="C400" i="80"/>
  <c r="B400" i="80"/>
  <c r="A400" i="80"/>
  <c r="L399" i="80"/>
  <c r="K399" i="80"/>
  <c r="J399" i="80"/>
  <c r="I399" i="80"/>
  <c r="H399" i="80"/>
  <c r="G399" i="80"/>
  <c r="F399" i="80"/>
  <c r="E399" i="80"/>
  <c r="D399" i="80"/>
  <c r="C399" i="80"/>
  <c r="B399" i="80"/>
  <c r="A399" i="80"/>
  <c r="L398" i="80"/>
  <c r="K398" i="80"/>
  <c r="J398" i="80"/>
  <c r="I398" i="80"/>
  <c r="H398" i="80"/>
  <c r="G398" i="80"/>
  <c r="F398" i="80"/>
  <c r="E398" i="80"/>
  <c r="D398" i="80"/>
  <c r="C398" i="80"/>
  <c r="B398" i="80"/>
  <c r="A398" i="80"/>
  <c r="L397" i="80"/>
  <c r="K397" i="80"/>
  <c r="J397" i="80"/>
  <c r="I397" i="80"/>
  <c r="H397" i="80"/>
  <c r="G397" i="80"/>
  <c r="F397" i="80"/>
  <c r="E397" i="80"/>
  <c r="D397" i="80"/>
  <c r="C397" i="80"/>
  <c r="B397" i="80"/>
  <c r="A397" i="80"/>
  <c r="L396" i="80"/>
  <c r="K396" i="80"/>
  <c r="J396" i="80"/>
  <c r="I396" i="80"/>
  <c r="H396" i="80"/>
  <c r="G396" i="80"/>
  <c r="F396" i="80"/>
  <c r="E396" i="80"/>
  <c r="D396" i="80"/>
  <c r="C396" i="80"/>
  <c r="B396" i="80"/>
  <c r="A396" i="80"/>
  <c r="L395" i="80"/>
  <c r="K395" i="80"/>
  <c r="J395" i="80"/>
  <c r="I395" i="80"/>
  <c r="H395" i="80"/>
  <c r="G395" i="80"/>
  <c r="F395" i="80"/>
  <c r="E395" i="80"/>
  <c r="D395" i="80"/>
  <c r="C395" i="80"/>
  <c r="B395" i="80"/>
  <c r="A395" i="80"/>
  <c r="L394" i="80"/>
  <c r="K394" i="80"/>
  <c r="J394" i="80"/>
  <c r="I394" i="80"/>
  <c r="H394" i="80"/>
  <c r="G394" i="80"/>
  <c r="F394" i="80"/>
  <c r="E394" i="80"/>
  <c r="D394" i="80"/>
  <c r="C394" i="80"/>
  <c r="B394" i="80"/>
  <c r="A394" i="80"/>
  <c r="L393" i="80"/>
  <c r="K393" i="80"/>
  <c r="J393" i="80"/>
  <c r="I393" i="80"/>
  <c r="H393" i="80"/>
  <c r="G393" i="80"/>
  <c r="F393" i="80"/>
  <c r="E393" i="80"/>
  <c r="D393" i="80"/>
  <c r="C393" i="80"/>
  <c r="B393" i="80"/>
  <c r="A393" i="80"/>
  <c r="L392" i="80"/>
  <c r="K392" i="80"/>
  <c r="J392" i="80"/>
  <c r="I392" i="80"/>
  <c r="H392" i="80"/>
  <c r="G392" i="80"/>
  <c r="F392" i="80"/>
  <c r="E392" i="80"/>
  <c r="D392" i="80"/>
  <c r="C392" i="80"/>
  <c r="B392" i="80"/>
  <c r="A392" i="80"/>
  <c r="L391" i="80"/>
  <c r="K391" i="80"/>
  <c r="J391" i="80"/>
  <c r="I391" i="80"/>
  <c r="H391" i="80"/>
  <c r="G391" i="80"/>
  <c r="F391" i="80"/>
  <c r="E391" i="80"/>
  <c r="D391" i="80"/>
  <c r="C391" i="80"/>
  <c r="B391" i="80"/>
  <c r="A391" i="80"/>
  <c r="L390" i="80"/>
  <c r="K390" i="80"/>
  <c r="J390" i="80"/>
  <c r="I390" i="80"/>
  <c r="H390" i="80"/>
  <c r="G390" i="80"/>
  <c r="F390" i="80"/>
  <c r="E390" i="80"/>
  <c r="D390" i="80"/>
  <c r="C390" i="80"/>
  <c r="B390" i="80"/>
  <c r="A390" i="80"/>
  <c r="L389" i="80"/>
  <c r="K389" i="80"/>
  <c r="J389" i="80"/>
  <c r="I389" i="80"/>
  <c r="H389" i="80"/>
  <c r="G389" i="80"/>
  <c r="F389" i="80"/>
  <c r="E389" i="80"/>
  <c r="D389" i="80"/>
  <c r="C389" i="80"/>
  <c r="B389" i="80"/>
  <c r="A389" i="80"/>
  <c r="L388" i="80"/>
  <c r="K388" i="80"/>
  <c r="J388" i="80"/>
  <c r="I388" i="80"/>
  <c r="H388" i="80"/>
  <c r="G388" i="80"/>
  <c r="F388" i="80"/>
  <c r="E388" i="80"/>
  <c r="D388" i="80"/>
  <c r="C388" i="80"/>
  <c r="B388" i="80"/>
  <c r="A388" i="80"/>
  <c r="L387" i="80"/>
  <c r="K387" i="80"/>
  <c r="J387" i="80"/>
  <c r="I387" i="80"/>
  <c r="H387" i="80"/>
  <c r="G387" i="80"/>
  <c r="F387" i="80"/>
  <c r="E387" i="80"/>
  <c r="D387" i="80"/>
  <c r="C387" i="80"/>
  <c r="B387" i="80"/>
  <c r="A387" i="80"/>
  <c r="L386" i="80"/>
  <c r="K386" i="80"/>
  <c r="J386" i="80"/>
  <c r="I386" i="80"/>
  <c r="H386" i="80"/>
  <c r="G386" i="80"/>
  <c r="F386" i="80"/>
  <c r="E386" i="80"/>
  <c r="D386" i="80"/>
  <c r="C386" i="80"/>
  <c r="B386" i="80"/>
  <c r="A386" i="80"/>
  <c r="L385" i="80"/>
  <c r="K385" i="80"/>
  <c r="J385" i="80"/>
  <c r="I385" i="80"/>
  <c r="H385" i="80"/>
  <c r="G385" i="80"/>
  <c r="F385" i="80"/>
  <c r="E385" i="80"/>
  <c r="D385" i="80"/>
  <c r="C385" i="80"/>
  <c r="B385" i="80"/>
  <c r="A385" i="80"/>
  <c r="L384" i="80"/>
  <c r="K384" i="80"/>
  <c r="J384" i="80"/>
  <c r="I384" i="80"/>
  <c r="H384" i="80"/>
  <c r="G384" i="80"/>
  <c r="F384" i="80"/>
  <c r="E384" i="80"/>
  <c r="D384" i="80"/>
  <c r="C384" i="80"/>
  <c r="B384" i="80"/>
  <c r="A384" i="80"/>
  <c r="L383" i="80"/>
  <c r="K383" i="80"/>
  <c r="J383" i="80"/>
  <c r="I383" i="80"/>
  <c r="H383" i="80"/>
  <c r="G383" i="80"/>
  <c r="F383" i="80"/>
  <c r="E383" i="80"/>
  <c r="D383" i="80"/>
  <c r="C383" i="80"/>
  <c r="B383" i="80"/>
  <c r="A383" i="80"/>
  <c r="L382" i="80"/>
  <c r="K382" i="80"/>
  <c r="J382" i="80"/>
  <c r="I382" i="80"/>
  <c r="H382" i="80"/>
  <c r="G382" i="80"/>
  <c r="F382" i="80"/>
  <c r="E382" i="80"/>
  <c r="D382" i="80"/>
  <c r="C382" i="80"/>
  <c r="B382" i="80"/>
  <c r="A382" i="80"/>
  <c r="L381" i="80"/>
  <c r="K381" i="80"/>
  <c r="J381" i="80"/>
  <c r="I381" i="80"/>
  <c r="H381" i="80"/>
  <c r="G381" i="80"/>
  <c r="F381" i="80"/>
  <c r="E381" i="80"/>
  <c r="D381" i="80"/>
  <c r="C381" i="80"/>
  <c r="B381" i="80"/>
  <c r="A381" i="80"/>
  <c r="L380" i="80"/>
  <c r="K380" i="80"/>
  <c r="J380" i="80"/>
  <c r="I380" i="80"/>
  <c r="H380" i="80"/>
  <c r="G380" i="80"/>
  <c r="F380" i="80"/>
  <c r="E380" i="80"/>
  <c r="D380" i="80"/>
  <c r="C380" i="80"/>
  <c r="B380" i="80"/>
  <c r="A380" i="80"/>
  <c r="L379" i="80"/>
  <c r="K379" i="80"/>
  <c r="J379" i="80"/>
  <c r="I379" i="80"/>
  <c r="H379" i="80"/>
  <c r="G379" i="80"/>
  <c r="F379" i="80"/>
  <c r="E379" i="80"/>
  <c r="D379" i="80"/>
  <c r="C379" i="80"/>
  <c r="B379" i="80"/>
  <c r="A379" i="80"/>
  <c r="L378" i="80"/>
  <c r="K378" i="80"/>
  <c r="J378" i="80"/>
  <c r="I378" i="80"/>
  <c r="H378" i="80"/>
  <c r="G378" i="80"/>
  <c r="F378" i="80"/>
  <c r="E378" i="80"/>
  <c r="D378" i="80"/>
  <c r="C378" i="80"/>
  <c r="B378" i="80"/>
  <c r="A378" i="80"/>
  <c r="L377" i="80"/>
  <c r="K377" i="80"/>
  <c r="J377" i="80"/>
  <c r="I377" i="80"/>
  <c r="H377" i="80"/>
  <c r="G377" i="80"/>
  <c r="F377" i="80"/>
  <c r="E377" i="80"/>
  <c r="D377" i="80"/>
  <c r="C377" i="80"/>
  <c r="B377" i="80"/>
  <c r="A377" i="80"/>
  <c r="L376" i="80"/>
  <c r="K376" i="80"/>
  <c r="J376" i="80"/>
  <c r="I376" i="80"/>
  <c r="H376" i="80"/>
  <c r="G376" i="80"/>
  <c r="F376" i="80"/>
  <c r="E376" i="80"/>
  <c r="D376" i="80"/>
  <c r="C376" i="80"/>
  <c r="B376" i="80"/>
  <c r="A376" i="80"/>
  <c r="L375" i="80"/>
  <c r="K375" i="80"/>
  <c r="J375" i="80"/>
  <c r="I375" i="80"/>
  <c r="H375" i="80"/>
  <c r="G375" i="80"/>
  <c r="F375" i="80"/>
  <c r="E375" i="80"/>
  <c r="D375" i="80"/>
  <c r="C375" i="80"/>
  <c r="B375" i="80"/>
  <c r="A375" i="80"/>
  <c r="L374" i="80"/>
  <c r="K374" i="80"/>
  <c r="J374" i="80"/>
  <c r="I374" i="80"/>
  <c r="H374" i="80"/>
  <c r="G374" i="80"/>
  <c r="F374" i="80"/>
  <c r="E374" i="80"/>
  <c r="D374" i="80"/>
  <c r="C374" i="80"/>
  <c r="B374" i="80"/>
  <c r="A374" i="80"/>
  <c r="L373" i="80"/>
  <c r="K373" i="80"/>
  <c r="J373" i="80"/>
  <c r="I373" i="80"/>
  <c r="H373" i="80"/>
  <c r="G373" i="80"/>
  <c r="F373" i="80"/>
  <c r="E373" i="80"/>
  <c r="D373" i="80"/>
  <c r="C373" i="80"/>
  <c r="B373" i="80"/>
  <c r="A373" i="80"/>
  <c r="L372" i="80"/>
  <c r="K372" i="80"/>
  <c r="J372" i="80"/>
  <c r="I372" i="80"/>
  <c r="H372" i="80"/>
  <c r="G372" i="80"/>
  <c r="F372" i="80"/>
  <c r="E372" i="80"/>
  <c r="D372" i="80"/>
  <c r="C372" i="80"/>
  <c r="B372" i="80"/>
  <c r="A372" i="80"/>
  <c r="L371" i="80"/>
  <c r="K371" i="80"/>
  <c r="J371" i="80"/>
  <c r="I371" i="80"/>
  <c r="H371" i="80"/>
  <c r="G371" i="80"/>
  <c r="F371" i="80"/>
  <c r="E371" i="80"/>
  <c r="D371" i="80"/>
  <c r="C371" i="80"/>
  <c r="B371" i="80"/>
  <c r="A371" i="80"/>
  <c r="L370" i="80"/>
  <c r="K370" i="80"/>
  <c r="J370" i="80"/>
  <c r="I370" i="80"/>
  <c r="H370" i="80"/>
  <c r="G370" i="80"/>
  <c r="F370" i="80"/>
  <c r="E370" i="80"/>
  <c r="D370" i="80"/>
  <c r="C370" i="80"/>
  <c r="B370" i="80"/>
  <c r="A370" i="80"/>
  <c r="L369" i="80"/>
  <c r="K369" i="80"/>
  <c r="J369" i="80"/>
  <c r="I369" i="80"/>
  <c r="H369" i="80"/>
  <c r="G369" i="80"/>
  <c r="F369" i="80"/>
  <c r="E369" i="80"/>
  <c r="D369" i="80"/>
  <c r="C369" i="80"/>
  <c r="B369" i="80"/>
  <c r="A369" i="80"/>
  <c r="L368" i="80"/>
  <c r="K368" i="80"/>
  <c r="J368" i="80"/>
  <c r="I368" i="80"/>
  <c r="H368" i="80"/>
  <c r="G368" i="80"/>
  <c r="F368" i="80"/>
  <c r="E368" i="80"/>
  <c r="D368" i="80"/>
  <c r="C368" i="80"/>
  <c r="B368" i="80"/>
  <c r="A368" i="80"/>
  <c r="L367" i="80"/>
  <c r="K367" i="80"/>
  <c r="J367" i="80"/>
  <c r="I367" i="80"/>
  <c r="H367" i="80"/>
  <c r="G367" i="80"/>
  <c r="F367" i="80"/>
  <c r="E367" i="80"/>
  <c r="D367" i="80"/>
  <c r="C367" i="80"/>
  <c r="B367" i="80"/>
  <c r="A367" i="80"/>
  <c r="L366" i="80"/>
  <c r="K366" i="80"/>
  <c r="J366" i="80"/>
  <c r="I366" i="80"/>
  <c r="H366" i="80"/>
  <c r="G366" i="80"/>
  <c r="F366" i="80"/>
  <c r="E366" i="80"/>
  <c r="D366" i="80"/>
  <c r="C366" i="80"/>
  <c r="B366" i="80"/>
  <c r="A366" i="80"/>
  <c r="L365" i="80"/>
  <c r="K365" i="80"/>
  <c r="J365" i="80"/>
  <c r="I365" i="80"/>
  <c r="H365" i="80"/>
  <c r="G365" i="80"/>
  <c r="F365" i="80"/>
  <c r="E365" i="80"/>
  <c r="D365" i="80"/>
  <c r="C365" i="80"/>
  <c r="B365" i="80"/>
  <c r="A365" i="80"/>
  <c r="L364" i="80"/>
  <c r="K364" i="80"/>
  <c r="J364" i="80"/>
  <c r="I364" i="80"/>
  <c r="H364" i="80"/>
  <c r="G364" i="80"/>
  <c r="F364" i="80"/>
  <c r="E364" i="80"/>
  <c r="D364" i="80"/>
  <c r="C364" i="80"/>
  <c r="B364" i="80"/>
  <c r="A364" i="80"/>
  <c r="L363" i="80"/>
  <c r="K363" i="80"/>
  <c r="J363" i="80"/>
  <c r="I363" i="80"/>
  <c r="H363" i="80"/>
  <c r="G363" i="80"/>
  <c r="F363" i="80"/>
  <c r="E363" i="80"/>
  <c r="D363" i="80"/>
  <c r="C363" i="80"/>
  <c r="B363" i="80"/>
  <c r="A363" i="80"/>
  <c r="L362" i="80"/>
  <c r="K362" i="80"/>
  <c r="J362" i="80"/>
  <c r="I362" i="80"/>
  <c r="H362" i="80"/>
  <c r="G362" i="80"/>
  <c r="F362" i="80"/>
  <c r="E362" i="80"/>
  <c r="D362" i="80"/>
  <c r="C362" i="80"/>
  <c r="B362" i="80"/>
  <c r="A362" i="80"/>
  <c r="L361" i="80"/>
  <c r="K361" i="80"/>
  <c r="J361" i="80"/>
  <c r="I361" i="80"/>
  <c r="H361" i="80"/>
  <c r="G361" i="80"/>
  <c r="F361" i="80"/>
  <c r="E361" i="80"/>
  <c r="D361" i="80"/>
  <c r="C361" i="80"/>
  <c r="B361" i="80"/>
  <c r="A361" i="80"/>
  <c r="L360" i="80"/>
  <c r="K360" i="80"/>
  <c r="J360" i="80"/>
  <c r="I360" i="80"/>
  <c r="H360" i="80"/>
  <c r="G360" i="80"/>
  <c r="F360" i="80"/>
  <c r="E360" i="80"/>
  <c r="D360" i="80"/>
  <c r="C360" i="80"/>
  <c r="B360" i="80"/>
  <c r="A360" i="80"/>
  <c r="L359" i="80"/>
  <c r="K359" i="80"/>
  <c r="J359" i="80"/>
  <c r="I359" i="80"/>
  <c r="H359" i="80"/>
  <c r="G359" i="80"/>
  <c r="F359" i="80"/>
  <c r="E359" i="80"/>
  <c r="D359" i="80"/>
  <c r="C359" i="80"/>
  <c r="B359" i="80"/>
  <c r="A359" i="80"/>
  <c r="L358" i="80"/>
  <c r="K358" i="80"/>
  <c r="J358" i="80"/>
  <c r="I358" i="80"/>
  <c r="H358" i="80"/>
  <c r="G358" i="80"/>
  <c r="F358" i="80"/>
  <c r="E358" i="80"/>
  <c r="D358" i="80"/>
  <c r="C358" i="80"/>
  <c r="B358" i="80"/>
  <c r="A358" i="80"/>
  <c r="L357" i="80"/>
  <c r="K357" i="80"/>
  <c r="J357" i="80"/>
  <c r="I357" i="80"/>
  <c r="H357" i="80"/>
  <c r="G357" i="80"/>
  <c r="F357" i="80"/>
  <c r="E357" i="80"/>
  <c r="D357" i="80"/>
  <c r="C357" i="80"/>
  <c r="B357" i="80"/>
  <c r="A357" i="80"/>
  <c r="L356" i="80"/>
  <c r="K356" i="80"/>
  <c r="J356" i="80"/>
  <c r="I356" i="80"/>
  <c r="H356" i="80"/>
  <c r="G356" i="80"/>
  <c r="F356" i="80"/>
  <c r="E356" i="80"/>
  <c r="D356" i="80"/>
  <c r="C356" i="80"/>
  <c r="B356" i="80"/>
  <c r="A356" i="80"/>
  <c r="L355" i="80"/>
  <c r="K355" i="80"/>
  <c r="J355" i="80"/>
  <c r="I355" i="80"/>
  <c r="H355" i="80"/>
  <c r="G355" i="80"/>
  <c r="F355" i="80"/>
  <c r="E355" i="80"/>
  <c r="D355" i="80"/>
  <c r="C355" i="80"/>
  <c r="B355" i="80"/>
  <c r="A355" i="80"/>
  <c r="L354" i="80"/>
  <c r="K354" i="80"/>
  <c r="J354" i="80"/>
  <c r="I354" i="80"/>
  <c r="H354" i="80"/>
  <c r="G354" i="80"/>
  <c r="F354" i="80"/>
  <c r="E354" i="80"/>
  <c r="D354" i="80"/>
  <c r="C354" i="80"/>
  <c r="B354" i="80"/>
  <c r="A354" i="80"/>
  <c r="L353" i="80"/>
  <c r="K353" i="80"/>
  <c r="J353" i="80"/>
  <c r="I353" i="80"/>
  <c r="H353" i="80"/>
  <c r="G353" i="80"/>
  <c r="F353" i="80"/>
  <c r="E353" i="80"/>
  <c r="D353" i="80"/>
  <c r="C353" i="80"/>
  <c r="B353" i="80"/>
  <c r="A353" i="80"/>
  <c r="L352" i="80"/>
  <c r="K352" i="80"/>
  <c r="J352" i="80"/>
  <c r="I352" i="80"/>
  <c r="H352" i="80"/>
  <c r="G352" i="80"/>
  <c r="F352" i="80"/>
  <c r="E352" i="80"/>
  <c r="D352" i="80"/>
  <c r="C352" i="80"/>
  <c r="B352" i="80"/>
  <c r="A352" i="80"/>
  <c r="L351" i="80"/>
  <c r="K351" i="80"/>
  <c r="J351" i="80"/>
  <c r="I351" i="80"/>
  <c r="H351" i="80"/>
  <c r="G351" i="80"/>
  <c r="F351" i="80"/>
  <c r="E351" i="80"/>
  <c r="D351" i="80"/>
  <c r="C351" i="80"/>
  <c r="B351" i="80"/>
  <c r="A351" i="80"/>
  <c r="L350" i="80"/>
  <c r="K350" i="80"/>
  <c r="J350" i="80"/>
  <c r="I350" i="80"/>
  <c r="H350" i="80"/>
  <c r="G350" i="80"/>
  <c r="F350" i="80"/>
  <c r="E350" i="80"/>
  <c r="D350" i="80"/>
  <c r="C350" i="80"/>
  <c r="B350" i="80"/>
  <c r="A350" i="80"/>
  <c r="L349" i="80"/>
  <c r="K349" i="80"/>
  <c r="J349" i="80"/>
  <c r="I349" i="80"/>
  <c r="H349" i="80"/>
  <c r="G349" i="80"/>
  <c r="F349" i="80"/>
  <c r="E349" i="80"/>
  <c r="D349" i="80"/>
  <c r="C349" i="80"/>
  <c r="B349" i="80"/>
  <c r="A349" i="80"/>
  <c r="L348" i="80"/>
  <c r="K348" i="80"/>
  <c r="J348" i="80"/>
  <c r="I348" i="80"/>
  <c r="H348" i="80"/>
  <c r="G348" i="80"/>
  <c r="F348" i="80"/>
  <c r="E348" i="80"/>
  <c r="D348" i="80"/>
  <c r="C348" i="80"/>
  <c r="B348" i="80"/>
  <c r="A348" i="80"/>
  <c r="L347" i="80"/>
  <c r="K347" i="80"/>
  <c r="J347" i="80"/>
  <c r="I347" i="80"/>
  <c r="H347" i="80"/>
  <c r="G347" i="80"/>
  <c r="F347" i="80"/>
  <c r="E347" i="80"/>
  <c r="D347" i="80"/>
  <c r="C347" i="80"/>
  <c r="B347" i="80"/>
  <c r="A347" i="80"/>
  <c r="L346" i="80"/>
  <c r="K346" i="80"/>
  <c r="J346" i="80"/>
  <c r="I346" i="80"/>
  <c r="H346" i="80"/>
  <c r="G346" i="80"/>
  <c r="F346" i="80"/>
  <c r="E346" i="80"/>
  <c r="D346" i="80"/>
  <c r="C346" i="80"/>
  <c r="B346" i="80"/>
  <c r="A346" i="80"/>
  <c r="L345" i="80"/>
  <c r="K345" i="80"/>
  <c r="J345" i="80"/>
  <c r="I345" i="80"/>
  <c r="H345" i="80"/>
  <c r="G345" i="80"/>
  <c r="F345" i="80"/>
  <c r="E345" i="80"/>
  <c r="D345" i="80"/>
  <c r="C345" i="80"/>
  <c r="B345" i="80"/>
  <c r="A345" i="80"/>
  <c r="L344" i="80"/>
  <c r="K344" i="80"/>
  <c r="J344" i="80"/>
  <c r="I344" i="80"/>
  <c r="H344" i="80"/>
  <c r="G344" i="80"/>
  <c r="F344" i="80"/>
  <c r="E344" i="80"/>
  <c r="D344" i="80"/>
  <c r="C344" i="80"/>
  <c r="B344" i="80"/>
  <c r="A344" i="80"/>
  <c r="L343" i="80"/>
  <c r="K343" i="80"/>
  <c r="J343" i="80"/>
  <c r="I343" i="80"/>
  <c r="H343" i="80"/>
  <c r="G343" i="80"/>
  <c r="F343" i="80"/>
  <c r="E343" i="80"/>
  <c r="D343" i="80"/>
  <c r="C343" i="80"/>
  <c r="B343" i="80"/>
  <c r="A343" i="80"/>
  <c r="L342" i="80"/>
  <c r="K342" i="80"/>
  <c r="J342" i="80"/>
  <c r="I342" i="80"/>
  <c r="H342" i="80"/>
  <c r="G342" i="80"/>
  <c r="F342" i="80"/>
  <c r="E342" i="80"/>
  <c r="D342" i="80"/>
  <c r="C342" i="80"/>
  <c r="B342" i="80"/>
  <c r="A342" i="80"/>
  <c r="L341" i="80"/>
  <c r="K341" i="80"/>
  <c r="J341" i="80"/>
  <c r="I341" i="80"/>
  <c r="H341" i="80"/>
  <c r="G341" i="80"/>
  <c r="F341" i="80"/>
  <c r="E341" i="80"/>
  <c r="D341" i="80"/>
  <c r="C341" i="80"/>
  <c r="B341" i="80"/>
  <c r="A341" i="80"/>
  <c r="L340" i="80"/>
  <c r="K340" i="80"/>
  <c r="J340" i="80"/>
  <c r="I340" i="80"/>
  <c r="H340" i="80"/>
  <c r="G340" i="80"/>
  <c r="F340" i="80"/>
  <c r="E340" i="80"/>
  <c r="D340" i="80"/>
  <c r="C340" i="80"/>
  <c r="B340" i="80"/>
  <c r="A340" i="80"/>
  <c r="L339" i="80"/>
  <c r="K339" i="80"/>
  <c r="J339" i="80"/>
  <c r="I339" i="80"/>
  <c r="H339" i="80"/>
  <c r="G339" i="80"/>
  <c r="F339" i="80"/>
  <c r="E339" i="80"/>
  <c r="D339" i="80"/>
  <c r="C339" i="80"/>
  <c r="B339" i="80"/>
  <c r="A339" i="80"/>
  <c r="L338" i="80"/>
  <c r="K338" i="80"/>
  <c r="J338" i="80"/>
  <c r="I338" i="80"/>
  <c r="H338" i="80"/>
  <c r="G338" i="80"/>
  <c r="F338" i="80"/>
  <c r="E338" i="80"/>
  <c r="D338" i="80"/>
  <c r="C338" i="80"/>
  <c r="B338" i="80"/>
  <c r="A338" i="80"/>
  <c r="L337" i="80"/>
  <c r="K337" i="80"/>
  <c r="J337" i="80"/>
  <c r="I337" i="80"/>
  <c r="H337" i="80"/>
  <c r="G337" i="80"/>
  <c r="F337" i="80"/>
  <c r="E337" i="80"/>
  <c r="D337" i="80"/>
  <c r="C337" i="80"/>
  <c r="B337" i="80"/>
  <c r="A337" i="80"/>
  <c r="L336" i="80"/>
  <c r="K336" i="80"/>
  <c r="J336" i="80"/>
  <c r="I336" i="80"/>
  <c r="H336" i="80"/>
  <c r="G336" i="80"/>
  <c r="F336" i="80"/>
  <c r="E336" i="80"/>
  <c r="D336" i="80"/>
  <c r="C336" i="80"/>
  <c r="B336" i="80"/>
  <c r="A336" i="80"/>
  <c r="L335" i="80"/>
  <c r="K335" i="80"/>
  <c r="J335" i="80"/>
  <c r="I335" i="80"/>
  <c r="H335" i="80"/>
  <c r="G335" i="80"/>
  <c r="F335" i="80"/>
  <c r="E335" i="80"/>
  <c r="D335" i="80"/>
  <c r="C335" i="80"/>
  <c r="B335" i="80"/>
  <c r="A335" i="80"/>
  <c r="L334" i="80"/>
  <c r="K334" i="80"/>
  <c r="J334" i="80"/>
  <c r="I334" i="80"/>
  <c r="H334" i="80"/>
  <c r="G334" i="80"/>
  <c r="F334" i="80"/>
  <c r="E334" i="80"/>
  <c r="D334" i="80"/>
  <c r="C334" i="80"/>
  <c r="B334" i="80"/>
  <c r="A334" i="80"/>
  <c r="L333" i="80"/>
  <c r="K333" i="80"/>
  <c r="J333" i="80"/>
  <c r="I333" i="80"/>
  <c r="H333" i="80"/>
  <c r="G333" i="80"/>
  <c r="F333" i="80"/>
  <c r="E333" i="80"/>
  <c r="D333" i="80"/>
  <c r="C333" i="80"/>
  <c r="B333" i="80"/>
  <c r="A333" i="80"/>
  <c r="L332" i="80"/>
  <c r="K332" i="80"/>
  <c r="J332" i="80"/>
  <c r="I332" i="80"/>
  <c r="H332" i="80"/>
  <c r="G332" i="80"/>
  <c r="F332" i="80"/>
  <c r="E332" i="80"/>
  <c r="D332" i="80"/>
  <c r="C332" i="80"/>
  <c r="B332" i="80"/>
  <c r="A332" i="80"/>
  <c r="L331" i="80"/>
  <c r="K331" i="80"/>
  <c r="J331" i="80"/>
  <c r="I331" i="80"/>
  <c r="H331" i="80"/>
  <c r="G331" i="80"/>
  <c r="F331" i="80"/>
  <c r="E331" i="80"/>
  <c r="D331" i="80"/>
  <c r="C331" i="80"/>
  <c r="B331" i="80"/>
  <c r="A331" i="80"/>
  <c r="L330" i="80"/>
  <c r="K330" i="80"/>
  <c r="J330" i="80"/>
  <c r="I330" i="80"/>
  <c r="H330" i="80"/>
  <c r="G330" i="80"/>
  <c r="F330" i="80"/>
  <c r="E330" i="80"/>
  <c r="D330" i="80"/>
  <c r="C330" i="80"/>
  <c r="B330" i="80"/>
  <c r="A330" i="80"/>
  <c r="L329" i="80"/>
  <c r="K329" i="80"/>
  <c r="J329" i="80"/>
  <c r="I329" i="80"/>
  <c r="H329" i="80"/>
  <c r="G329" i="80"/>
  <c r="F329" i="80"/>
  <c r="E329" i="80"/>
  <c r="D329" i="80"/>
  <c r="C329" i="80"/>
  <c r="B329" i="80"/>
  <c r="A329" i="80"/>
  <c r="L328" i="80"/>
  <c r="K328" i="80"/>
  <c r="J328" i="80"/>
  <c r="I328" i="80"/>
  <c r="H328" i="80"/>
  <c r="G328" i="80"/>
  <c r="F328" i="80"/>
  <c r="E328" i="80"/>
  <c r="D328" i="80"/>
  <c r="C328" i="80"/>
  <c r="B328" i="80"/>
  <c r="A328" i="80"/>
  <c r="L327" i="80"/>
  <c r="K327" i="80"/>
  <c r="J327" i="80"/>
  <c r="I327" i="80"/>
  <c r="H327" i="80"/>
  <c r="G327" i="80"/>
  <c r="F327" i="80"/>
  <c r="E327" i="80"/>
  <c r="D327" i="80"/>
  <c r="C327" i="80"/>
  <c r="B327" i="80"/>
  <c r="A327" i="80"/>
  <c r="L326" i="80"/>
  <c r="K326" i="80"/>
  <c r="J326" i="80"/>
  <c r="I326" i="80"/>
  <c r="H326" i="80"/>
  <c r="G326" i="80"/>
  <c r="F326" i="80"/>
  <c r="E326" i="80"/>
  <c r="D326" i="80"/>
  <c r="C326" i="80"/>
  <c r="B326" i="80"/>
  <c r="A326" i="80"/>
  <c r="L325" i="80"/>
  <c r="K325" i="80"/>
  <c r="J325" i="80"/>
  <c r="I325" i="80"/>
  <c r="H325" i="80"/>
  <c r="G325" i="80"/>
  <c r="F325" i="80"/>
  <c r="E325" i="80"/>
  <c r="D325" i="80"/>
  <c r="C325" i="80"/>
  <c r="B325" i="80"/>
  <c r="A325" i="80"/>
  <c r="L324" i="80"/>
  <c r="K324" i="80"/>
  <c r="J324" i="80"/>
  <c r="I324" i="80"/>
  <c r="H324" i="80"/>
  <c r="G324" i="80"/>
  <c r="F324" i="80"/>
  <c r="E324" i="80"/>
  <c r="D324" i="80"/>
  <c r="C324" i="80"/>
  <c r="B324" i="80"/>
  <c r="A324" i="80"/>
  <c r="L323" i="80"/>
  <c r="K323" i="80"/>
  <c r="J323" i="80"/>
  <c r="I323" i="80"/>
  <c r="H323" i="80"/>
  <c r="G323" i="80"/>
  <c r="F323" i="80"/>
  <c r="E323" i="80"/>
  <c r="D323" i="80"/>
  <c r="C323" i="80"/>
  <c r="B323" i="80"/>
  <c r="A323" i="80"/>
  <c r="L322" i="80"/>
  <c r="K322" i="80"/>
  <c r="J322" i="80"/>
  <c r="I322" i="80"/>
  <c r="H322" i="80"/>
  <c r="G322" i="80"/>
  <c r="F322" i="80"/>
  <c r="E322" i="80"/>
  <c r="D322" i="80"/>
  <c r="C322" i="80"/>
  <c r="B322" i="80"/>
  <c r="A322" i="80"/>
  <c r="L321" i="80"/>
  <c r="K321" i="80"/>
  <c r="J321" i="80"/>
  <c r="I321" i="80"/>
  <c r="H321" i="80"/>
  <c r="G321" i="80"/>
  <c r="F321" i="80"/>
  <c r="E321" i="80"/>
  <c r="D321" i="80"/>
  <c r="C321" i="80"/>
  <c r="B321" i="80"/>
  <c r="A321" i="80"/>
  <c r="L320" i="80"/>
  <c r="K320" i="80"/>
  <c r="J320" i="80"/>
  <c r="I320" i="80"/>
  <c r="H320" i="80"/>
  <c r="G320" i="80"/>
  <c r="F320" i="80"/>
  <c r="E320" i="80"/>
  <c r="D320" i="80"/>
  <c r="C320" i="80"/>
  <c r="B320" i="80"/>
  <c r="A320" i="80"/>
  <c r="L319" i="80"/>
  <c r="K319" i="80"/>
  <c r="J319" i="80"/>
  <c r="I319" i="80"/>
  <c r="H319" i="80"/>
  <c r="G319" i="80"/>
  <c r="F319" i="80"/>
  <c r="E319" i="80"/>
  <c r="D319" i="80"/>
  <c r="C319" i="80"/>
  <c r="B319" i="80"/>
  <c r="A319" i="80"/>
  <c r="L318" i="80"/>
  <c r="K318" i="80"/>
  <c r="J318" i="80"/>
  <c r="I318" i="80"/>
  <c r="H318" i="80"/>
  <c r="G318" i="80"/>
  <c r="F318" i="80"/>
  <c r="E318" i="80"/>
  <c r="D318" i="80"/>
  <c r="C318" i="80"/>
  <c r="B318" i="80"/>
  <c r="A318" i="80"/>
  <c r="L317" i="80"/>
  <c r="K317" i="80"/>
  <c r="J317" i="80"/>
  <c r="I317" i="80"/>
  <c r="H317" i="80"/>
  <c r="G317" i="80"/>
  <c r="F317" i="80"/>
  <c r="E317" i="80"/>
  <c r="D317" i="80"/>
  <c r="C317" i="80"/>
  <c r="B317" i="80"/>
  <c r="A317" i="80"/>
  <c r="L316" i="80"/>
  <c r="K316" i="80"/>
  <c r="J316" i="80"/>
  <c r="I316" i="80"/>
  <c r="H316" i="80"/>
  <c r="G316" i="80"/>
  <c r="F316" i="80"/>
  <c r="E316" i="80"/>
  <c r="D316" i="80"/>
  <c r="C316" i="80"/>
  <c r="B316" i="80"/>
  <c r="A316" i="80"/>
  <c r="L315" i="80"/>
  <c r="K315" i="80"/>
  <c r="J315" i="80"/>
  <c r="I315" i="80"/>
  <c r="H315" i="80"/>
  <c r="G315" i="80"/>
  <c r="F315" i="80"/>
  <c r="E315" i="80"/>
  <c r="D315" i="80"/>
  <c r="C315" i="80"/>
  <c r="B315" i="80"/>
  <c r="A315" i="80"/>
  <c r="L314" i="80"/>
  <c r="K314" i="80"/>
  <c r="J314" i="80"/>
  <c r="I314" i="80"/>
  <c r="H314" i="80"/>
  <c r="G314" i="80"/>
  <c r="F314" i="80"/>
  <c r="E314" i="80"/>
  <c r="D314" i="80"/>
  <c r="C314" i="80"/>
  <c r="B314" i="80"/>
  <c r="A314" i="80"/>
  <c r="L313" i="80"/>
  <c r="K313" i="80"/>
  <c r="J313" i="80"/>
  <c r="I313" i="80"/>
  <c r="H313" i="80"/>
  <c r="G313" i="80"/>
  <c r="F313" i="80"/>
  <c r="E313" i="80"/>
  <c r="D313" i="80"/>
  <c r="C313" i="80"/>
  <c r="B313" i="80"/>
  <c r="A313" i="80"/>
  <c r="L312" i="80"/>
  <c r="K312" i="80"/>
  <c r="J312" i="80"/>
  <c r="I312" i="80"/>
  <c r="H312" i="80"/>
  <c r="G312" i="80"/>
  <c r="F312" i="80"/>
  <c r="E312" i="80"/>
  <c r="D312" i="80"/>
  <c r="C312" i="80"/>
  <c r="B312" i="80"/>
  <c r="A312" i="80"/>
  <c r="L311" i="80"/>
  <c r="K311" i="80"/>
  <c r="J311" i="80"/>
  <c r="I311" i="80"/>
  <c r="H311" i="80"/>
  <c r="G311" i="80"/>
  <c r="F311" i="80"/>
  <c r="E311" i="80"/>
  <c r="D311" i="80"/>
  <c r="C311" i="80"/>
  <c r="B311" i="80"/>
  <c r="A311" i="80"/>
  <c r="L310" i="80"/>
  <c r="K310" i="80"/>
  <c r="J310" i="80"/>
  <c r="I310" i="80"/>
  <c r="H310" i="80"/>
  <c r="G310" i="80"/>
  <c r="F310" i="80"/>
  <c r="E310" i="80"/>
  <c r="D310" i="80"/>
  <c r="C310" i="80"/>
  <c r="B310" i="80"/>
  <c r="A310" i="80"/>
  <c r="L309" i="80"/>
  <c r="K309" i="80"/>
  <c r="J309" i="80"/>
  <c r="I309" i="80"/>
  <c r="H309" i="80"/>
  <c r="G309" i="80"/>
  <c r="F309" i="80"/>
  <c r="E309" i="80"/>
  <c r="D309" i="80"/>
  <c r="C309" i="80"/>
  <c r="B309" i="80"/>
  <c r="A309" i="80"/>
  <c r="L308" i="80"/>
  <c r="K308" i="80"/>
  <c r="J308" i="80"/>
  <c r="I308" i="80"/>
  <c r="H308" i="80"/>
  <c r="G308" i="80"/>
  <c r="F308" i="80"/>
  <c r="E308" i="80"/>
  <c r="D308" i="80"/>
  <c r="C308" i="80"/>
  <c r="B308" i="80"/>
  <c r="A308" i="80"/>
  <c r="L307" i="80"/>
  <c r="K307" i="80"/>
  <c r="J307" i="80"/>
  <c r="I307" i="80"/>
  <c r="H307" i="80"/>
  <c r="G307" i="80"/>
  <c r="F307" i="80"/>
  <c r="E307" i="80"/>
  <c r="D307" i="80"/>
  <c r="C307" i="80"/>
  <c r="B307" i="80"/>
  <c r="A307" i="80"/>
  <c r="L306" i="80"/>
  <c r="K306" i="80"/>
  <c r="J306" i="80"/>
  <c r="I306" i="80"/>
  <c r="H306" i="80"/>
  <c r="G306" i="80"/>
  <c r="F306" i="80"/>
  <c r="E306" i="80"/>
  <c r="D306" i="80"/>
  <c r="C306" i="80"/>
  <c r="B306" i="80"/>
  <c r="A306" i="80"/>
  <c r="L305" i="80"/>
  <c r="K305" i="80"/>
  <c r="J305" i="80"/>
  <c r="I305" i="80"/>
  <c r="H305" i="80"/>
  <c r="G305" i="80"/>
  <c r="F305" i="80"/>
  <c r="E305" i="80"/>
  <c r="D305" i="80"/>
  <c r="C305" i="80"/>
  <c r="B305" i="80"/>
  <c r="A305" i="80"/>
  <c r="L304" i="80"/>
  <c r="K304" i="80"/>
  <c r="J304" i="80"/>
  <c r="I304" i="80"/>
  <c r="H304" i="80"/>
  <c r="G304" i="80"/>
  <c r="F304" i="80"/>
  <c r="E304" i="80"/>
  <c r="D304" i="80"/>
  <c r="C304" i="80"/>
  <c r="B304" i="80"/>
  <c r="A304" i="80"/>
  <c r="L303" i="80"/>
  <c r="K303" i="80"/>
  <c r="J303" i="80"/>
  <c r="I303" i="80"/>
  <c r="H303" i="80"/>
  <c r="G303" i="80"/>
  <c r="F303" i="80"/>
  <c r="E303" i="80"/>
  <c r="D303" i="80"/>
  <c r="C303" i="80"/>
  <c r="B303" i="80"/>
  <c r="A303" i="80"/>
  <c r="L302" i="80"/>
  <c r="K302" i="80"/>
  <c r="J302" i="80"/>
  <c r="I302" i="80"/>
  <c r="H302" i="80"/>
  <c r="G302" i="80"/>
  <c r="F302" i="80"/>
  <c r="E302" i="80"/>
  <c r="D302" i="80"/>
  <c r="C302" i="80"/>
  <c r="B302" i="80"/>
  <c r="A302" i="80"/>
  <c r="L301" i="80"/>
  <c r="K301" i="80"/>
  <c r="J301" i="80"/>
  <c r="I301" i="80"/>
  <c r="H301" i="80"/>
  <c r="G301" i="80"/>
  <c r="F301" i="80"/>
  <c r="E301" i="80"/>
  <c r="D301" i="80"/>
  <c r="C301" i="80"/>
  <c r="B301" i="80"/>
  <c r="A301" i="80"/>
  <c r="L300" i="80"/>
  <c r="K300" i="80"/>
  <c r="J300" i="80"/>
  <c r="I300" i="80"/>
  <c r="H300" i="80"/>
  <c r="G300" i="80"/>
  <c r="F300" i="80"/>
  <c r="E300" i="80"/>
  <c r="D300" i="80"/>
  <c r="C300" i="80"/>
  <c r="B300" i="80"/>
  <c r="A300" i="80"/>
  <c r="L299" i="80"/>
  <c r="K299" i="80"/>
  <c r="J299" i="80"/>
  <c r="I299" i="80"/>
  <c r="H299" i="80"/>
  <c r="G299" i="80"/>
  <c r="F299" i="80"/>
  <c r="E299" i="80"/>
  <c r="D299" i="80"/>
  <c r="C299" i="80"/>
  <c r="B299" i="80"/>
  <c r="A299" i="80"/>
  <c r="L298" i="80"/>
  <c r="K298" i="80"/>
  <c r="J298" i="80"/>
  <c r="I298" i="80"/>
  <c r="H298" i="80"/>
  <c r="G298" i="80"/>
  <c r="F298" i="80"/>
  <c r="E298" i="80"/>
  <c r="D298" i="80"/>
  <c r="C298" i="80"/>
  <c r="B298" i="80"/>
  <c r="A298" i="80"/>
  <c r="L297" i="80"/>
  <c r="K297" i="80"/>
  <c r="J297" i="80"/>
  <c r="I297" i="80"/>
  <c r="H297" i="80"/>
  <c r="G297" i="80"/>
  <c r="F297" i="80"/>
  <c r="E297" i="80"/>
  <c r="D297" i="80"/>
  <c r="C297" i="80"/>
  <c r="B297" i="80"/>
  <c r="A297" i="80"/>
  <c r="L296" i="80"/>
  <c r="K296" i="80"/>
  <c r="J296" i="80"/>
  <c r="I296" i="80"/>
  <c r="H296" i="80"/>
  <c r="G296" i="80"/>
  <c r="F296" i="80"/>
  <c r="E296" i="80"/>
  <c r="D296" i="80"/>
  <c r="C296" i="80"/>
  <c r="B296" i="80"/>
  <c r="A296" i="80"/>
  <c r="L295" i="80"/>
  <c r="K295" i="80"/>
  <c r="J295" i="80"/>
  <c r="I295" i="80"/>
  <c r="H295" i="80"/>
  <c r="G295" i="80"/>
  <c r="F295" i="80"/>
  <c r="E295" i="80"/>
  <c r="D295" i="80"/>
  <c r="C295" i="80"/>
  <c r="B295" i="80"/>
  <c r="A295" i="80"/>
  <c r="L294" i="80"/>
  <c r="K294" i="80"/>
  <c r="J294" i="80"/>
  <c r="I294" i="80"/>
  <c r="H294" i="80"/>
  <c r="G294" i="80"/>
  <c r="F294" i="80"/>
  <c r="E294" i="80"/>
  <c r="D294" i="80"/>
  <c r="C294" i="80"/>
  <c r="B294" i="80"/>
  <c r="A294" i="80"/>
  <c r="L293" i="80"/>
  <c r="K293" i="80"/>
  <c r="J293" i="80"/>
  <c r="I293" i="80"/>
  <c r="H293" i="80"/>
  <c r="G293" i="80"/>
  <c r="F293" i="80"/>
  <c r="E293" i="80"/>
  <c r="D293" i="80"/>
  <c r="C293" i="80"/>
  <c r="B293" i="80"/>
  <c r="A293" i="80"/>
  <c r="L292" i="80"/>
  <c r="K292" i="80"/>
  <c r="J292" i="80"/>
  <c r="I292" i="80"/>
  <c r="H292" i="80"/>
  <c r="G292" i="80"/>
  <c r="F292" i="80"/>
  <c r="E292" i="80"/>
  <c r="D292" i="80"/>
  <c r="C292" i="80"/>
  <c r="B292" i="80"/>
  <c r="A292" i="80"/>
  <c r="L291" i="80"/>
  <c r="K291" i="80"/>
  <c r="J291" i="80"/>
  <c r="I291" i="80"/>
  <c r="H291" i="80"/>
  <c r="G291" i="80"/>
  <c r="F291" i="80"/>
  <c r="E291" i="80"/>
  <c r="D291" i="80"/>
  <c r="C291" i="80"/>
  <c r="B291" i="80"/>
  <c r="A291" i="80"/>
  <c r="L290" i="80"/>
  <c r="K290" i="80"/>
  <c r="J290" i="80"/>
  <c r="I290" i="80"/>
  <c r="H290" i="80"/>
  <c r="G290" i="80"/>
  <c r="F290" i="80"/>
  <c r="E290" i="80"/>
  <c r="D290" i="80"/>
  <c r="C290" i="80"/>
  <c r="B290" i="80"/>
  <c r="A290" i="80"/>
  <c r="L289" i="80"/>
  <c r="K289" i="80"/>
  <c r="J289" i="80"/>
  <c r="I289" i="80"/>
  <c r="H289" i="80"/>
  <c r="G289" i="80"/>
  <c r="F289" i="80"/>
  <c r="E289" i="80"/>
  <c r="D289" i="80"/>
  <c r="C289" i="80"/>
  <c r="B289" i="80"/>
  <c r="A289" i="80"/>
  <c r="L288" i="80"/>
  <c r="K288" i="80"/>
  <c r="J288" i="80"/>
  <c r="I288" i="80"/>
  <c r="H288" i="80"/>
  <c r="G288" i="80"/>
  <c r="F288" i="80"/>
  <c r="E288" i="80"/>
  <c r="D288" i="80"/>
  <c r="C288" i="80"/>
  <c r="B288" i="80"/>
  <c r="A288" i="80"/>
  <c r="L287" i="80"/>
  <c r="K287" i="80"/>
  <c r="J287" i="80"/>
  <c r="I287" i="80"/>
  <c r="H287" i="80"/>
  <c r="G287" i="80"/>
  <c r="F287" i="80"/>
  <c r="E287" i="80"/>
  <c r="D287" i="80"/>
  <c r="C287" i="80"/>
  <c r="B287" i="80"/>
  <c r="A287" i="80"/>
  <c r="L286" i="80"/>
  <c r="K286" i="80"/>
  <c r="J286" i="80"/>
  <c r="I286" i="80"/>
  <c r="H286" i="80"/>
  <c r="G286" i="80"/>
  <c r="F286" i="80"/>
  <c r="E286" i="80"/>
  <c r="D286" i="80"/>
  <c r="C286" i="80"/>
  <c r="B286" i="80"/>
  <c r="A286" i="80"/>
  <c r="L285" i="80"/>
  <c r="K285" i="80"/>
  <c r="J285" i="80"/>
  <c r="I285" i="80"/>
  <c r="H285" i="80"/>
  <c r="G285" i="80"/>
  <c r="F285" i="80"/>
  <c r="E285" i="80"/>
  <c r="D285" i="80"/>
  <c r="C285" i="80"/>
  <c r="B285" i="80"/>
  <c r="A285" i="80"/>
  <c r="L284" i="80"/>
  <c r="K284" i="80"/>
  <c r="J284" i="80"/>
  <c r="I284" i="80"/>
  <c r="H284" i="80"/>
  <c r="G284" i="80"/>
  <c r="F284" i="80"/>
  <c r="E284" i="80"/>
  <c r="D284" i="80"/>
  <c r="C284" i="80"/>
  <c r="B284" i="80"/>
  <c r="A284" i="80"/>
  <c r="L283" i="80"/>
  <c r="K283" i="80"/>
  <c r="J283" i="80"/>
  <c r="I283" i="80"/>
  <c r="H283" i="80"/>
  <c r="G283" i="80"/>
  <c r="F283" i="80"/>
  <c r="E283" i="80"/>
  <c r="D283" i="80"/>
  <c r="C283" i="80"/>
  <c r="B283" i="80"/>
  <c r="A283" i="80"/>
  <c r="L282" i="80"/>
  <c r="K282" i="80"/>
  <c r="J282" i="80"/>
  <c r="I282" i="80"/>
  <c r="H282" i="80"/>
  <c r="G282" i="80"/>
  <c r="F282" i="80"/>
  <c r="E282" i="80"/>
  <c r="D282" i="80"/>
  <c r="C282" i="80"/>
  <c r="B282" i="80"/>
  <c r="A282" i="80"/>
  <c r="L281" i="80"/>
  <c r="K281" i="80"/>
  <c r="J281" i="80"/>
  <c r="I281" i="80"/>
  <c r="H281" i="80"/>
  <c r="G281" i="80"/>
  <c r="F281" i="80"/>
  <c r="E281" i="80"/>
  <c r="D281" i="80"/>
  <c r="C281" i="80"/>
  <c r="B281" i="80"/>
  <c r="A281" i="80"/>
  <c r="L280" i="80"/>
  <c r="K280" i="80"/>
  <c r="J280" i="80"/>
  <c r="I280" i="80"/>
  <c r="H280" i="80"/>
  <c r="G280" i="80"/>
  <c r="F280" i="80"/>
  <c r="E280" i="80"/>
  <c r="D280" i="80"/>
  <c r="C280" i="80"/>
  <c r="B280" i="80"/>
  <c r="A280" i="80"/>
  <c r="L279" i="80"/>
  <c r="K279" i="80"/>
  <c r="J279" i="80"/>
  <c r="I279" i="80"/>
  <c r="H279" i="80"/>
  <c r="G279" i="80"/>
  <c r="F279" i="80"/>
  <c r="E279" i="80"/>
  <c r="D279" i="80"/>
  <c r="C279" i="80"/>
  <c r="B279" i="80"/>
  <c r="A279" i="80"/>
  <c r="L278" i="80"/>
  <c r="K278" i="80"/>
  <c r="J278" i="80"/>
  <c r="I278" i="80"/>
  <c r="H278" i="80"/>
  <c r="G278" i="80"/>
  <c r="F278" i="80"/>
  <c r="E278" i="80"/>
  <c r="D278" i="80"/>
  <c r="C278" i="80"/>
  <c r="B278" i="80"/>
  <c r="A278" i="80"/>
  <c r="L277" i="80"/>
  <c r="K277" i="80"/>
  <c r="J277" i="80"/>
  <c r="I277" i="80"/>
  <c r="H277" i="80"/>
  <c r="G277" i="80"/>
  <c r="F277" i="80"/>
  <c r="E277" i="80"/>
  <c r="D277" i="80"/>
  <c r="C277" i="80"/>
  <c r="B277" i="80"/>
  <c r="A277" i="80"/>
  <c r="L276" i="80"/>
  <c r="K276" i="80"/>
  <c r="J276" i="80"/>
  <c r="I276" i="80"/>
  <c r="H276" i="80"/>
  <c r="G276" i="80"/>
  <c r="F276" i="80"/>
  <c r="E276" i="80"/>
  <c r="D276" i="80"/>
  <c r="C276" i="80"/>
  <c r="B276" i="80"/>
  <c r="A276" i="80"/>
  <c r="L275" i="80"/>
  <c r="K275" i="80"/>
  <c r="J275" i="80"/>
  <c r="I275" i="80"/>
  <c r="H275" i="80"/>
  <c r="G275" i="80"/>
  <c r="F275" i="80"/>
  <c r="E275" i="80"/>
  <c r="D275" i="80"/>
  <c r="C275" i="80"/>
  <c r="B275" i="80"/>
  <c r="A275" i="80"/>
  <c r="L274" i="80"/>
  <c r="K274" i="80"/>
  <c r="J274" i="80"/>
  <c r="I274" i="80"/>
  <c r="H274" i="80"/>
  <c r="G274" i="80"/>
  <c r="F274" i="80"/>
  <c r="E274" i="80"/>
  <c r="D274" i="80"/>
  <c r="C274" i="80"/>
  <c r="B274" i="80"/>
  <c r="A274" i="80"/>
  <c r="L273" i="80"/>
  <c r="K273" i="80"/>
  <c r="J273" i="80"/>
  <c r="I273" i="80"/>
  <c r="H273" i="80"/>
  <c r="G273" i="80"/>
  <c r="F273" i="80"/>
  <c r="E273" i="80"/>
  <c r="D273" i="80"/>
  <c r="C273" i="80"/>
  <c r="B273" i="80"/>
  <c r="A273" i="80"/>
  <c r="L272" i="80"/>
  <c r="K272" i="80"/>
  <c r="J272" i="80"/>
  <c r="I272" i="80"/>
  <c r="H272" i="80"/>
  <c r="G272" i="80"/>
  <c r="F272" i="80"/>
  <c r="E272" i="80"/>
  <c r="D272" i="80"/>
  <c r="C272" i="80"/>
  <c r="B272" i="80"/>
  <c r="A272" i="80"/>
  <c r="B271" i="80"/>
  <c r="B270" i="80"/>
  <c r="B269" i="80"/>
  <c r="L266" i="80"/>
  <c r="K266" i="80"/>
  <c r="J266" i="80"/>
  <c r="I266" i="80"/>
  <c r="H266" i="80"/>
  <c r="G266" i="80"/>
  <c r="F266" i="80"/>
  <c r="E266" i="80"/>
  <c r="D266" i="80"/>
  <c r="C266" i="80"/>
  <c r="B266" i="80"/>
  <c r="A266" i="80"/>
  <c r="L265" i="80"/>
  <c r="K265" i="80"/>
  <c r="J265" i="80"/>
  <c r="I265" i="80"/>
  <c r="H265" i="80"/>
  <c r="G265" i="80"/>
  <c r="F265" i="80"/>
  <c r="E265" i="80"/>
  <c r="D265" i="80"/>
  <c r="C265" i="80"/>
  <c r="B265" i="80"/>
  <c r="A265" i="80"/>
  <c r="L264" i="80"/>
  <c r="K264" i="80"/>
  <c r="J264" i="80"/>
  <c r="I264" i="80"/>
  <c r="H264" i="80"/>
  <c r="G264" i="80"/>
  <c r="F264" i="80"/>
  <c r="E264" i="80"/>
  <c r="D264" i="80"/>
  <c r="C264" i="80"/>
  <c r="B264" i="80"/>
  <c r="A264" i="80"/>
  <c r="L263" i="80"/>
  <c r="K263" i="80"/>
  <c r="J263" i="80"/>
  <c r="I263" i="80"/>
  <c r="H263" i="80"/>
  <c r="G263" i="80"/>
  <c r="F263" i="80"/>
  <c r="E263" i="80"/>
  <c r="D263" i="80"/>
  <c r="C263" i="80"/>
  <c r="B263" i="80"/>
  <c r="A263" i="80"/>
  <c r="L262" i="80"/>
  <c r="K262" i="80"/>
  <c r="J262" i="80"/>
  <c r="I262" i="80"/>
  <c r="H262" i="80"/>
  <c r="G262" i="80"/>
  <c r="F262" i="80"/>
  <c r="E262" i="80"/>
  <c r="D262" i="80"/>
  <c r="C262" i="80"/>
  <c r="B262" i="80"/>
  <c r="A262" i="80"/>
  <c r="L261" i="80"/>
  <c r="K261" i="80"/>
  <c r="J261" i="80"/>
  <c r="I261" i="80"/>
  <c r="H261" i="80"/>
  <c r="G261" i="80"/>
  <c r="F261" i="80"/>
  <c r="E261" i="80"/>
  <c r="D261" i="80"/>
  <c r="C261" i="80"/>
  <c r="B261" i="80"/>
  <c r="A261" i="80"/>
  <c r="L260" i="80"/>
  <c r="K260" i="80"/>
  <c r="J260" i="80"/>
  <c r="I260" i="80"/>
  <c r="H260" i="80"/>
  <c r="G260" i="80"/>
  <c r="F260" i="80"/>
  <c r="E260" i="80"/>
  <c r="D260" i="80"/>
  <c r="C260" i="80"/>
  <c r="B260" i="80"/>
  <c r="A260" i="80"/>
  <c r="L259" i="80"/>
  <c r="K259" i="80"/>
  <c r="J259" i="80"/>
  <c r="I259" i="80"/>
  <c r="H259" i="80"/>
  <c r="G259" i="80"/>
  <c r="F259" i="80"/>
  <c r="E259" i="80"/>
  <c r="D259" i="80"/>
  <c r="C259" i="80"/>
  <c r="B259" i="80"/>
  <c r="A259" i="80"/>
  <c r="L258" i="80"/>
  <c r="K258" i="80"/>
  <c r="J258" i="80"/>
  <c r="I258" i="80"/>
  <c r="H258" i="80"/>
  <c r="G258" i="80"/>
  <c r="F258" i="80"/>
  <c r="E258" i="80"/>
  <c r="D258" i="80"/>
  <c r="C258" i="80"/>
  <c r="B258" i="80"/>
  <c r="A258" i="80"/>
  <c r="L257" i="80"/>
  <c r="K257" i="80"/>
  <c r="J257" i="80"/>
  <c r="I257" i="80"/>
  <c r="H257" i="80"/>
  <c r="G257" i="80"/>
  <c r="F257" i="80"/>
  <c r="E257" i="80"/>
  <c r="D257" i="80"/>
  <c r="C257" i="80"/>
  <c r="B257" i="80"/>
  <c r="A257" i="80"/>
  <c r="L256" i="80"/>
  <c r="K256" i="80"/>
  <c r="J256" i="80"/>
  <c r="I256" i="80"/>
  <c r="H256" i="80"/>
  <c r="G256" i="80"/>
  <c r="F256" i="80"/>
  <c r="E256" i="80"/>
  <c r="D256" i="80"/>
  <c r="C256" i="80"/>
  <c r="B256" i="80"/>
  <c r="A256" i="80"/>
  <c r="L255" i="80"/>
  <c r="K255" i="80"/>
  <c r="J255" i="80"/>
  <c r="I255" i="80"/>
  <c r="H255" i="80"/>
  <c r="G255" i="80"/>
  <c r="F255" i="80"/>
  <c r="E255" i="80"/>
  <c r="D255" i="80"/>
  <c r="C255" i="80"/>
  <c r="B255" i="80"/>
  <c r="A255" i="80"/>
  <c r="L254" i="80"/>
  <c r="K254" i="80"/>
  <c r="J254" i="80"/>
  <c r="I254" i="80"/>
  <c r="H254" i="80"/>
  <c r="G254" i="80"/>
  <c r="F254" i="80"/>
  <c r="E254" i="80"/>
  <c r="D254" i="80"/>
  <c r="C254" i="80"/>
  <c r="B254" i="80"/>
  <c r="A254" i="80"/>
  <c r="L253" i="80"/>
  <c r="K253" i="80"/>
  <c r="J253" i="80"/>
  <c r="I253" i="80"/>
  <c r="H253" i="80"/>
  <c r="G253" i="80"/>
  <c r="F253" i="80"/>
  <c r="E253" i="80"/>
  <c r="D253" i="80"/>
  <c r="C253" i="80"/>
  <c r="B253" i="80"/>
  <c r="A253" i="80"/>
  <c r="L252" i="80"/>
  <c r="K252" i="80"/>
  <c r="J252" i="80"/>
  <c r="I252" i="80"/>
  <c r="H252" i="80"/>
  <c r="G252" i="80"/>
  <c r="F252" i="80"/>
  <c r="E252" i="80"/>
  <c r="D252" i="80"/>
  <c r="C252" i="80"/>
  <c r="B252" i="80"/>
  <c r="A252" i="80"/>
  <c r="L251" i="80"/>
  <c r="K251" i="80"/>
  <c r="J251" i="80"/>
  <c r="I251" i="80"/>
  <c r="H251" i="80"/>
  <c r="G251" i="80"/>
  <c r="F251" i="80"/>
  <c r="E251" i="80"/>
  <c r="D251" i="80"/>
  <c r="C251" i="80"/>
  <c r="B251" i="80"/>
  <c r="A251" i="80"/>
  <c r="L250" i="80"/>
  <c r="K250" i="80"/>
  <c r="J250" i="80"/>
  <c r="I250" i="80"/>
  <c r="H250" i="80"/>
  <c r="G250" i="80"/>
  <c r="F250" i="80"/>
  <c r="E250" i="80"/>
  <c r="D250" i="80"/>
  <c r="C250" i="80"/>
  <c r="B250" i="80"/>
  <c r="A250" i="80"/>
  <c r="L249" i="80"/>
  <c r="K249" i="80"/>
  <c r="J249" i="80"/>
  <c r="I249" i="80"/>
  <c r="H249" i="80"/>
  <c r="G249" i="80"/>
  <c r="F249" i="80"/>
  <c r="E249" i="80"/>
  <c r="D249" i="80"/>
  <c r="C249" i="80"/>
  <c r="B249" i="80"/>
  <c r="A249" i="80"/>
  <c r="L248" i="80"/>
  <c r="K248" i="80"/>
  <c r="J248" i="80"/>
  <c r="I248" i="80"/>
  <c r="H248" i="80"/>
  <c r="G248" i="80"/>
  <c r="F248" i="80"/>
  <c r="E248" i="80"/>
  <c r="D248" i="80"/>
  <c r="C248" i="80"/>
  <c r="B248" i="80"/>
  <c r="A248" i="80"/>
  <c r="L247" i="80"/>
  <c r="K247" i="80"/>
  <c r="J247" i="80"/>
  <c r="I247" i="80"/>
  <c r="H247" i="80"/>
  <c r="G247" i="80"/>
  <c r="F247" i="80"/>
  <c r="E247" i="80"/>
  <c r="D247" i="80"/>
  <c r="C247" i="80"/>
  <c r="B247" i="80"/>
  <c r="A247" i="80"/>
  <c r="L246" i="80"/>
  <c r="K246" i="80"/>
  <c r="J246" i="80"/>
  <c r="I246" i="80"/>
  <c r="H246" i="80"/>
  <c r="G246" i="80"/>
  <c r="F246" i="80"/>
  <c r="E246" i="80"/>
  <c r="D246" i="80"/>
  <c r="C246" i="80"/>
  <c r="B246" i="80"/>
  <c r="A246" i="80"/>
  <c r="L245" i="80"/>
  <c r="K245" i="80"/>
  <c r="J245" i="80"/>
  <c r="I245" i="80"/>
  <c r="H245" i="80"/>
  <c r="G245" i="80"/>
  <c r="F245" i="80"/>
  <c r="E245" i="80"/>
  <c r="D245" i="80"/>
  <c r="C245" i="80"/>
  <c r="B245" i="80"/>
  <c r="A245" i="80"/>
  <c r="L244" i="80"/>
  <c r="K244" i="80"/>
  <c r="J244" i="80"/>
  <c r="I244" i="80"/>
  <c r="H244" i="80"/>
  <c r="G244" i="80"/>
  <c r="F244" i="80"/>
  <c r="E244" i="80"/>
  <c r="D244" i="80"/>
  <c r="C244" i="80"/>
  <c r="B244" i="80"/>
  <c r="A244" i="80"/>
  <c r="L243" i="80"/>
  <c r="K243" i="80"/>
  <c r="J243" i="80"/>
  <c r="I243" i="80"/>
  <c r="H243" i="80"/>
  <c r="G243" i="80"/>
  <c r="F243" i="80"/>
  <c r="E243" i="80"/>
  <c r="D243" i="80"/>
  <c r="C243" i="80"/>
  <c r="B243" i="80"/>
  <c r="A243" i="80"/>
  <c r="L242" i="80"/>
  <c r="K242" i="80"/>
  <c r="J242" i="80"/>
  <c r="I242" i="80"/>
  <c r="H242" i="80"/>
  <c r="G242" i="80"/>
  <c r="F242" i="80"/>
  <c r="E242" i="80"/>
  <c r="D242" i="80"/>
  <c r="C242" i="80"/>
  <c r="B242" i="80"/>
  <c r="A242" i="80"/>
  <c r="L241" i="80"/>
  <c r="K241" i="80"/>
  <c r="J241" i="80"/>
  <c r="I241" i="80"/>
  <c r="H241" i="80"/>
  <c r="G241" i="80"/>
  <c r="F241" i="80"/>
  <c r="E241" i="80"/>
  <c r="D241" i="80"/>
  <c r="C241" i="80"/>
  <c r="B241" i="80"/>
  <c r="A241" i="80"/>
  <c r="L240" i="80"/>
  <c r="K240" i="80"/>
  <c r="J240" i="80"/>
  <c r="I240" i="80"/>
  <c r="H240" i="80"/>
  <c r="G240" i="80"/>
  <c r="F240" i="80"/>
  <c r="E240" i="80"/>
  <c r="D240" i="80"/>
  <c r="C240" i="80"/>
  <c r="B240" i="80"/>
  <c r="A240" i="80"/>
  <c r="L239" i="80"/>
  <c r="K239" i="80"/>
  <c r="J239" i="80"/>
  <c r="I239" i="80"/>
  <c r="H239" i="80"/>
  <c r="G239" i="80"/>
  <c r="F239" i="80"/>
  <c r="E239" i="80"/>
  <c r="D239" i="80"/>
  <c r="C239" i="80"/>
  <c r="B239" i="80"/>
  <c r="A239" i="80"/>
  <c r="L238" i="80"/>
  <c r="K238" i="80"/>
  <c r="J238" i="80"/>
  <c r="I238" i="80"/>
  <c r="H238" i="80"/>
  <c r="G238" i="80"/>
  <c r="F238" i="80"/>
  <c r="E238" i="80"/>
  <c r="D238" i="80"/>
  <c r="C238" i="80"/>
  <c r="B238" i="80"/>
  <c r="A238" i="80"/>
  <c r="L237" i="80"/>
  <c r="K237" i="80"/>
  <c r="J237" i="80"/>
  <c r="I237" i="80"/>
  <c r="H237" i="80"/>
  <c r="G237" i="80"/>
  <c r="F237" i="80"/>
  <c r="E237" i="80"/>
  <c r="D237" i="80"/>
  <c r="C237" i="80"/>
  <c r="B237" i="80"/>
  <c r="A237" i="80"/>
  <c r="L236" i="80"/>
  <c r="K236" i="80"/>
  <c r="J236" i="80"/>
  <c r="I236" i="80"/>
  <c r="H236" i="80"/>
  <c r="G236" i="80"/>
  <c r="F236" i="80"/>
  <c r="E236" i="80"/>
  <c r="D236" i="80"/>
  <c r="C236" i="80"/>
  <c r="B236" i="80"/>
  <c r="A236" i="80"/>
  <c r="L235" i="80"/>
  <c r="K235" i="80"/>
  <c r="J235" i="80"/>
  <c r="I235" i="80"/>
  <c r="H235" i="80"/>
  <c r="G235" i="80"/>
  <c r="F235" i="80"/>
  <c r="E235" i="80"/>
  <c r="D235" i="80"/>
  <c r="C235" i="80"/>
  <c r="B235" i="80"/>
  <c r="A235" i="80"/>
  <c r="L234" i="80"/>
  <c r="K234" i="80"/>
  <c r="J234" i="80"/>
  <c r="I234" i="80"/>
  <c r="H234" i="80"/>
  <c r="G234" i="80"/>
  <c r="F234" i="80"/>
  <c r="E234" i="80"/>
  <c r="D234" i="80"/>
  <c r="C234" i="80"/>
  <c r="B234" i="80"/>
  <c r="A234" i="80"/>
  <c r="L233" i="80"/>
  <c r="K233" i="80"/>
  <c r="J233" i="80"/>
  <c r="I233" i="80"/>
  <c r="H233" i="80"/>
  <c r="G233" i="80"/>
  <c r="F233" i="80"/>
  <c r="E233" i="80"/>
  <c r="D233" i="80"/>
  <c r="C233" i="80"/>
  <c r="B233" i="80"/>
  <c r="A233" i="80"/>
  <c r="L232" i="80"/>
  <c r="K232" i="80"/>
  <c r="J232" i="80"/>
  <c r="I232" i="80"/>
  <c r="H232" i="80"/>
  <c r="G232" i="80"/>
  <c r="F232" i="80"/>
  <c r="E232" i="80"/>
  <c r="D232" i="80"/>
  <c r="C232" i="80"/>
  <c r="B232" i="80"/>
  <c r="A232" i="80"/>
  <c r="L231" i="80"/>
  <c r="K231" i="80"/>
  <c r="J231" i="80"/>
  <c r="I231" i="80"/>
  <c r="H231" i="80"/>
  <c r="G231" i="80"/>
  <c r="F231" i="80"/>
  <c r="E231" i="80"/>
  <c r="D231" i="80"/>
  <c r="C231" i="80"/>
  <c r="B231" i="80"/>
  <c r="A231" i="80"/>
  <c r="L230" i="80"/>
  <c r="K230" i="80"/>
  <c r="J230" i="80"/>
  <c r="I230" i="80"/>
  <c r="H230" i="80"/>
  <c r="G230" i="80"/>
  <c r="F230" i="80"/>
  <c r="E230" i="80"/>
  <c r="D230" i="80"/>
  <c r="C230" i="80"/>
  <c r="B230" i="80"/>
  <c r="A230" i="80"/>
  <c r="L229" i="80"/>
  <c r="K229" i="80"/>
  <c r="J229" i="80"/>
  <c r="I229" i="80"/>
  <c r="H229" i="80"/>
  <c r="G229" i="80"/>
  <c r="F229" i="80"/>
  <c r="E229" i="80"/>
  <c r="D229" i="80"/>
  <c r="C229" i="80"/>
  <c r="B229" i="80"/>
  <c r="A229" i="80"/>
  <c r="L228" i="80"/>
  <c r="K228" i="80"/>
  <c r="J228" i="80"/>
  <c r="I228" i="80"/>
  <c r="H228" i="80"/>
  <c r="G228" i="80"/>
  <c r="F228" i="80"/>
  <c r="E228" i="80"/>
  <c r="D228" i="80"/>
  <c r="C228" i="80"/>
  <c r="B228" i="80"/>
  <c r="A228" i="80"/>
  <c r="L227" i="80"/>
  <c r="K227" i="80"/>
  <c r="J227" i="80"/>
  <c r="I227" i="80"/>
  <c r="H227" i="80"/>
  <c r="G227" i="80"/>
  <c r="F227" i="80"/>
  <c r="E227" i="80"/>
  <c r="D227" i="80"/>
  <c r="C227" i="80"/>
  <c r="B227" i="80"/>
  <c r="A227" i="80"/>
  <c r="L226" i="80"/>
  <c r="K226" i="80"/>
  <c r="J226" i="80"/>
  <c r="I226" i="80"/>
  <c r="H226" i="80"/>
  <c r="G226" i="80"/>
  <c r="F226" i="80"/>
  <c r="E226" i="80"/>
  <c r="D226" i="80"/>
  <c r="C226" i="80"/>
  <c r="B226" i="80"/>
  <c r="A226" i="80"/>
  <c r="L225" i="80"/>
  <c r="K225" i="80"/>
  <c r="J225" i="80"/>
  <c r="I225" i="80"/>
  <c r="H225" i="80"/>
  <c r="G225" i="80"/>
  <c r="F225" i="80"/>
  <c r="E225" i="80"/>
  <c r="D225" i="80"/>
  <c r="C225" i="80"/>
  <c r="B225" i="80"/>
  <c r="A225" i="80"/>
  <c r="L224" i="80"/>
  <c r="K224" i="80"/>
  <c r="J224" i="80"/>
  <c r="I224" i="80"/>
  <c r="H224" i="80"/>
  <c r="G224" i="80"/>
  <c r="F224" i="80"/>
  <c r="E224" i="80"/>
  <c r="D224" i="80"/>
  <c r="C224" i="80"/>
  <c r="B224" i="80"/>
  <c r="A224" i="80"/>
  <c r="L223" i="80"/>
  <c r="K223" i="80"/>
  <c r="J223" i="80"/>
  <c r="I223" i="80"/>
  <c r="H223" i="80"/>
  <c r="G223" i="80"/>
  <c r="F223" i="80"/>
  <c r="E223" i="80"/>
  <c r="D223" i="80"/>
  <c r="C223" i="80"/>
  <c r="B223" i="80"/>
  <c r="A223" i="80"/>
  <c r="L222" i="80"/>
  <c r="K222" i="80"/>
  <c r="J222" i="80"/>
  <c r="I222" i="80"/>
  <c r="H222" i="80"/>
  <c r="G222" i="80"/>
  <c r="F222" i="80"/>
  <c r="E222" i="80"/>
  <c r="D222" i="80"/>
  <c r="C222" i="80"/>
  <c r="B222" i="80"/>
  <c r="A222" i="80"/>
  <c r="L221" i="80"/>
  <c r="K221" i="80"/>
  <c r="J221" i="80"/>
  <c r="I221" i="80"/>
  <c r="H221" i="80"/>
  <c r="G221" i="80"/>
  <c r="F221" i="80"/>
  <c r="E221" i="80"/>
  <c r="D221" i="80"/>
  <c r="C221" i="80"/>
  <c r="B221" i="80"/>
  <c r="A221" i="80"/>
  <c r="L220" i="80"/>
  <c r="K220" i="80"/>
  <c r="J220" i="80"/>
  <c r="I220" i="80"/>
  <c r="H220" i="80"/>
  <c r="G220" i="80"/>
  <c r="F220" i="80"/>
  <c r="E220" i="80"/>
  <c r="D220" i="80"/>
  <c r="C220" i="80"/>
  <c r="B220" i="80"/>
  <c r="A220" i="80"/>
  <c r="L219" i="80"/>
  <c r="K219" i="80"/>
  <c r="J219" i="80"/>
  <c r="I219" i="80"/>
  <c r="H219" i="80"/>
  <c r="G219" i="80"/>
  <c r="F219" i="80"/>
  <c r="E219" i="80"/>
  <c r="D219" i="80"/>
  <c r="C219" i="80"/>
  <c r="B219" i="80"/>
  <c r="A219" i="80"/>
  <c r="L218" i="80"/>
  <c r="K218" i="80"/>
  <c r="J218" i="80"/>
  <c r="I218" i="80"/>
  <c r="G218" i="80"/>
  <c r="F218" i="80"/>
  <c r="E218" i="80"/>
  <c r="D218" i="80"/>
  <c r="C218" i="80"/>
  <c r="B218" i="80"/>
  <c r="A218" i="80"/>
  <c r="L217" i="80"/>
  <c r="K217" i="80"/>
  <c r="J217" i="80"/>
  <c r="I217" i="80"/>
  <c r="G217" i="80"/>
  <c r="F217" i="80"/>
  <c r="E217" i="80"/>
  <c r="D217" i="80"/>
  <c r="C217" i="80"/>
  <c r="B217" i="80"/>
  <c r="A217" i="80"/>
  <c r="L216" i="80"/>
  <c r="K216" i="80"/>
  <c r="J216" i="80"/>
  <c r="I216" i="80"/>
  <c r="G216" i="80"/>
  <c r="F216" i="80"/>
  <c r="E216" i="80"/>
  <c r="D216" i="80"/>
  <c r="C216" i="80"/>
  <c r="B216" i="80"/>
  <c r="A216" i="80"/>
  <c r="L215" i="80"/>
  <c r="K215" i="80"/>
  <c r="J215" i="80"/>
  <c r="I215" i="80"/>
  <c r="G215" i="80"/>
  <c r="F215" i="80"/>
  <c r="E215" i="80"/>
  <c r="D215" i="80"/>
  <c r="C215" i="80"/>
  <c r="B215" i="80"/>
  <c r="A215" i="80"/>
  <c r="L214" i="80"/>
  <c r="K214" i="80"/>
  <c r="J214" i="80"/>
  <c r="I214" i="80"/>
  <c r="G214" i="80"/>
  <c r="F214" i="80"/>
  <c r="E214" i="80"/>
  <c r="D214" i="80"/>
  <c r="C214" i="80"/>
  <c r="B214" i="80"/>
  <c r="A214" i="80"/>
  <c r="L213" i="80"/>
  <c r="K213" i="80"/>
  <c r="J213" i="80"/>
  <c r="I213" i="80"/>
  <c r="G213" i="80"/>
  <c r="F213" i="80"/>
  <c r="E213" i="80"/>
  <c r="D213" i="80"/>
  <c r="C213" i="80"/>
  <c r="B213" i="80"/>
  <c r="A213" i="80"/>
  <c r="L212" i="80"/>
  <c r="K212" i="80"/>
  <c r="J212" i="80"/>
  <c r="I212" i="80"/>
  <c r="G212" i="80"/>
  <c r="F212" i="80"/>
  <c r="E212" i="80"/>
  <c r="D212" i="80"/>
  <c r="C212" i="80"/>
  <c r="B212" i="80"/>
  <c r="A212" i="80"/>
  <c r="L211" i="80"/>
  <c r="K211" i="80"/>
  <c r="J211" i="80"/>
  <c r="I211" i="80"/>
  <c r="G211" i="80"/>
  <c r="F211" i="80"/>
  <c r="E211" i="80"/>
  <c r="D211" i="80"/>
  <c r="C211" i="80"/>
  <c r="B211" i="80"/>
  <c r="A211" i="80"/>
  <c r="L210" i="80"/>
  <c r="K210" i="80"/>
  <c r="J210" i="80"/>
  <c r="I210" i="80"/>
  <c r="G210" i="80"/>
  <c r="F210" i="80"/>
  <c r="E210" i="80"/>
  <c r="D210" i="80"/>
  <c r="C210" i="80"/>
  <c r="B210" i="80"/>
  <c r="A210" i="80"/>
  <c r="L209" i="80"/>
  <c r="K209" i="80"/>
  <c r="J209" i="80"/>
  <c r="I209" i="80"/>
  <c r="H209" i="80"/>
  <c r="G209" i="80"/>
  <c r="F209" i="80"/>
  <c r="E209" i="80"/>
  <c r="D209" i="80"/>
  <c r="C209" i="80"/>
  <c r="B209" i="80"/>
  <c r="A209" i="80"/>
  <c r="L208" i="80"/>
  <c r="K208" i="80"/>
  <c r="J208" i="80"/>
  <c r="I208" i="80"/>
  <c r="H208" i="80"/>
  <c r="G208" i="80"/>
  <c r="F208" i="80"/>
  <c r="E208" i="80"/>
  <c r="D208" i="80"/>
  <c r="C208" i="80"/>
  <c r="B208" i="80"/>
  <c r="A208" i="80"/>
  <c r="L207" i="80"/>
  <c r="K207" i="80"/>
  <c r="J207" i="80"/>
  <c r="I207" i="80"/>
  <c r="H207" i="80"/>
  <c r="G207" i="80"/>
  <c r="F207" i="80"/>
  <c r="E207" i="80"/>
  <c r="D207" i="80"/>
  <c r="C207" i="80"/>
  <c r="B207" i="80"/>
  <c r="A207" i="80"/>
  <c r="L206" i="80"/>
  <c r="K206" i="80"/>
  <c r="J206" i="80"/>
  <c r="I206" i="80"/>
  <c r="H206" i="80"/>
  <c r="G206" i="80"/>
  <c r="F206" i="80"/>
  <c r="E206" i="80"/>
  <c r="D206" i="80"/>
  <c r="C206" i="80"/>
  <c r="B206" i="80"/>
  <c r="A206" i="80"/>
  <c r="L205" i="80"/>
  <c r="K205" i="80"/>
  <c r="J205" i="80"/>
  <c r="I205" i="80"/>
  <c r="H205" i="80"/>
  <c r="G205" i="80"/>
  <c r="F205" i="80"/>
  <c r="E205" i="80"/>
  <c r="D205" i="80"/>
  <c r="C205" i="80"/>
  <c r="B205" i="80"/>
  <c r="A205" i="80"/>
  <c r="L204" i="80"/>
  <c r="K204" i="80"/>
  <c r="J204" i="80"/>
  <c r="I204" i="80"/>
  <c r="H204" i="80"/>
  <c r="G204" i="80"/>
  <c r="F204" i="80"/>
  <c r="E204" i="80"/>
  <c r="D204" i="80"/>
  <c r="C204" i="80"/>
  <c r="B204" i="80"/>
  <c r="A204" i="80"/>
  <c r="L203" i="80"/>
  <c r="K203" i="80"/>
  <c r="J203" i="80"/>
  <c r="I203" i="80"/>
  <c r="H203" i="80"/>
  <c r="G203" i="80"/>
  <c r="F203" i="80"/>
  <c r="E203" i="80"/>
  <c r="D203" i="80"/>
  <c r="C203" i="80"/>
  <c r="B203" i="80"/>
  <c r="A203" i="80"/>
  <c r="L202" i="80"/>
  <c r="K202" i="80"/>
  <c r="J202" i="80"/>
  <c r="I202" i="80"/>
  <c r="H202" i="80"/>
  <c r="G202" i="80"/>
  <c r="F202" i="80"/>
  <c r="E202" i="80"/>
  <c r="D202" i="80"/>
  <c r="C202" i="80"/>
  <c r="B202" i="80"/>
  <c r="A202" i="80"/>
  <c r="L201" i="80"/>
  <c r="K201" i="80"/>
  <c r="J201" i="80"/>
  <c r="I201" i="80"/>
  <c r="H201" i="80"/>
  <c r="G201" i="80"/>
  <c r="F201" i="80"/>
  <c r="E201" i="80"/>
  <c r="D201" i="80"/>
  <c r="C201" i="80"/>
  <c r="B201" i="80"/>
  <c r="A201" i="80"/>
  <c r="X32" i="80"/>
  <c r="R32" i="80"/>
  <c r="Q32" i="80"/>
  <c r="P32" i="80"/>
  <c r="O32" i="80"/>
  <c r="N32" i="80"/>
  <c r="M32" i="80"/>
  <c r="L32" i="80"/>
  <c r="K32" i="80"/>
  <c r="J32" i="80"/>
  <c r="I32" i="80"/>
  <c r="H32" i="80"/>
  <c r="G32" i="80"/>
  <c r="F32" i="80"/>
  <c r="E32" i="80"/>
  <c r="D32" i="80"/>
  <c r="C32" i="80"/>
  <c r="B32" i="80"/>
  <c r="A32" i="80"/>
  <c r="X31" i="80"/>
  <c r="R31" i="80"/>
  <c r="Q31" i="80"/>
  <c r="P31" i="80"/>
  <c r="O31" i="80"/>
  <c r="N31" i="80"/>
  <c r="M31" i="80"/>
  <c r="L31" i="80"/>
  <c r="K31" i="80"/>
  <c r="J31" i="80"/>
  <c r="I31" i="80"/>
  <c r="H31" i="80"/>
  <c r="G31" i="80"/>
  <c r="F31" i="80"/>
  <c r="E31" i="80"/>
  <c r="D31" i="80"/>
  <c r="C31" i="80"/>
  <c r="B31" i="80"/>
  <c r="A31" i="80"/>
  <c r="X30" i="80"/>
  <c r="R30" i="80"/>
  <c r="Q30" i="80"/>
  <c r="P30" i="80"/>
  <c r="O30" i="80"/>
  <c r="N30" i="80"/>
  <c r="M30" i="80"/>
  <c r="L30" i="80"/>
  <c r="K30" i="80"/>
  <c r="J30" i="80"/>
  <c r="I30" i="80"/>
  <c r="H30" i="80"/>
  <c r="G30" i="80"/>
  <c r="F30" i="80"/>
  <c r="E30" i="80"/>
  <c r="D30" i="80"/>
  <c r="C30" i="80"/>
  <c r="B30" i="80"/>
  <c r="A30" i="80"/>
  <c r="X29" i="80"/>
  <c r="R29" i="80"/>
  <c r="Q29" i="80"/>
  <c r="P29" i="80"/>
  <c r="O29" i="80"/>
  <c r="N29" i="80"/>
  <c r="M29" i="80"/>
  <c r="L29" i="80"/>
  <c r="K29" i="80"/>
  <c r="J29" i="80"/>
  <c r="I29" i="80"/>
  <c r="H29" i="80"/>
  <c r="G29" i="80"/>
  <c r="F29" i="80"/>
  <c r="E29" i="80"/>
  <c r="D29" i="80"/>
  <c r="C29" i="80"/>
  <c r="B29" i="80"/>
  <c r="A29" i="80"/>
  <c r="X28" i="80"/>
  <c r="R28" i="80"/>
  <c r="Q28" i="80"/>
  <c r="P28" i="80"/>
  <c r="O28" i="80"/>
  <c r="N28" i="80"/>
  <c r="M28" i="80"/>
  <c r="L28" i="80"/>
  <c r="K28" i="80"/>
  <c r="J28" i="80"/>
  <c r="I28" i="80"/>
  <c r="H28" i="80"/>
  <c r="G28" i="80"/>
  <c r="F28" i="80"/>
  <c r="E28" i="80"/>
  <c r="D28" i="80"/>
  <c r="C28" i="80"/>
  <c r="B28" i="80"/>
  <c r="A28" i="80"/>
  <c r="X27" i="80"/>
  <c r="R27" i="80"/>
  <c r="Q27" i="80"/>
  <c r="P27" i="80"/>
  <c r="O27" i="80"/>
  <c r="N27" i="80"/>
  <c r="M27" i="80"/>
  <c r="L27" i="80"/>
  <c r="K27" i="80"/>
  <c r="J27" i="80"/>
  <c r="I27" i="80"/>
  <c r="H27" i="80"/>
  <c r="G27" i="80"/>
  <c r="F27" i="80"/>
  <c r="E27" i="80"/>
  <c r="D27" i="80"/>
  <c r="C27" i="80"/>
  <c r="B27" i="80"/>
  <c r="A27" i="80"/>
  <c r="X26" i="80"/>
  <c r="R26" i="80"/>
  <c r="Q26" i="80"/>
  <c r="P26" i="80"/>
  <c r="O26" i="80"/>
  <c r="N26" i="80"/>
  <c r="M26" i="80"/>
  <c r="L26" i="80"/>
  <c r="K26" i="80"/>
  <c r="I26" i="80"/>
  <c r="G26" i="80"/>
  <c r="F26" i="80"/>
  <c r="E26" i="80"/>
  <c r="D26" i="80"/>
  <c r="C26" i="80"/>
  <c r="B26" i="80"/>
  <c r="A26" i="80"/>
  <c r="X25" i="80"/>
  <c r="R25" i="80"/>
  <c r="Q25" i="80"/>
  <c r="P25" i="80"/>
  <c r="O25" i="80"/>
  <c r="N25" i="80"/>
  <c r="M25" i="80"/>
  <c r="L25" i="80"/>
  <c r="K25" i="80"/>
  <c r="I25" i="80"/>
  <c r="G25" i="80"/>
  <c r="F25" i="80"/>
  <c r="E25" i="80"/>
  <c r="D25" i="80"/>
  <c r="C25" i="80"/>
  <c r="B25" i="80"/>
  <c r="A25" i="80"/>
  <c r="X24" i="80"/>
  <c r="R24" i="80"/>
  <c r="Q24" i="80"/>
  <c r="P24" i="80"/>
  <c r="O24" i="80"/>
  <c r="N24" i="80"/>
  <c r="M24" i="80"/>
  <c r="L24" i="80"/>
  <c r="K24" i="80"/>
  <c r="J24" i="80"/>
  <c r="I24" i="80"/>
  <c r="H24" i="80"/>
  <c r="G24" i="80"/>
  <c r="F24" i="80"/>
  <c r="W24" i="80" s="1"/>
  <c r="E24" i="80"/>
  <c r="D24" i="80"/>
  <c r="C24" i="80"/>
  <c r="B24" i="80"/>
  <c r="A24" i="80"/>
  <c r="X23" i="80"/>
  <c r="R23" i="80"/>
  <c r="Q23" i="80"/>
  <c r="P23" i="80"/>
  <c r="O23" i="80"/>
  <c r="N23" i="80"/>
  <c r="M23" i="80"/>
  <c r="L23" i="80"/>
  <c r="K23" i="80"/>
  <c r="J23" i="80"/>
  <c r="I23" i="80"/>
  <c r="H23" i="80"/>
  <c r="G23" i="80"/>
  <c r="F23" i="80"/>
  <c r="E23" i="80"/>
  <c r="D23" i="80"/>
  <c r="C23" i="80"/>
  <c r="B23" i="80"/>
  <c r="A23" i="80"/>
  <c r="X22" i="80"/>
  <c r="R22" i="80"/>
  <c r="Q22" i="80"/>
  <c r="P22" i="80"/>
  <c r="O22" i="80"/>
  <c r="N22" i="80"/>
  <c r="M22" i="80"/>
  <c r="L22" i="80"/>
  <c r="K22" i="80"/>
  <c r="J22" i="80"/>
  <c r="I22" i="80"/>
  <c r="H22" i="80"/>
  <c r="G22" i="80"/>
  <c r="F22" i="80"/>
  <c r="E22" i="80"/>
  <c r="D22" i="80"/>
  <c r="C22" i="80"/>
  <c r="B22" i="80"/>
  <c r="A22" i="80"/>
  <c r="X21" i="80"/>
  <c r="R21" i="80"/>
  <c r="Q21" i="80"/>
  <c r="P21" i="80"/>
  <c r="O21" i="80"/>
  <c r="N21" i="80"/>
  <c r="M21" i="80"/>
  <c r="L21" i="80"/>
  <c r="K21" i="80"/>
  <c r="J21" i="80"/>
  <c r="I21" i="80"/>
  <c r="H21" i="80"/>
  <c r="G21" i="80"/>
  <c r="F21" i="80"/>
  <c r="E21" i="80"/>
  <c r="D21" i="80"/>
  <c r="C21" i="80"/>
  <c r="B21" i="80"/>
  <c r="A21" i="80"/>
  <c r="X20" i="80"/>
  <c r="R20" i="80"/>
  <c r="Q20" i="80"/>
  <c r="P20" i="80"/>
  <c r="O20" i="80"/>
  <c r="N20" i="80"/>
  <c r="M20" i="80"/>
  <c r="L20" i="80"/>
  <c r="K20" i="80"/>
  <c r="J20" i="80"/>
  <c r="I20" i="80"/>
  <c r="H20" i="80"/>
  <c r="G20" i="80"/>
  <c r="F20" i="80"/>
  <c r="E20" i="80"/>
  <c r="D20" i="80"/>
  <c r="C20" i="80"/>
  <c r="B20" i="80"/>
  <c r="A20" i="80"/>
  <c r="X19" i="80"/>
  <c r="R19" i="80"/>
  <c r="Q19" i="80"/>
  <c r="P19" i="80"/>
  <c r="O19" i="80"/>
  <c r="N19" i="80"/>
  <c r="M19" i="80"/>
  <c r="L19" i="80"/>
  <c r="K19" i="80"/>
  <c r="J19" i="80"/>
  <c r="I19" i="80"/>
  <c r="H19" i="80"/>
  <c r="G19" i="80"/>
  <c r="F19" i="80"/>
  <c r="E19" i="80"/>
  <c r="D19" i="80"/>
  <c r="C19" i="80"/>
  <c r="B19" i="80"/>
  <c r="A19" i="80"/>
  <c r="X18" i="80"/>
  <c r="R18" i="80"/>
  <c r="Q18" i="80"/>
  <c r="P18" i="80"/>
  <c r="O18" i="80"/>
  <c r="N18" i="80"/>
  <c r="M18" i="80"/>
  <c r="L18" i="80"/>
  <c r="K18" i="80"/>
  <c r="J18" i="80"/>
  <c r="I18" i="80"/>
  <c r="H18" i="80"/>
  <c r="G18" i="80"/>
  <c r="F18" i="80"/>
  <c r="E18" i="80"/>
  <c r="D18" i="80"/>
  <c r="C18" i="80"/>
  <c r="B18" i="80"/>
  <c r="A18" i="80"/>
  <c r="X17" i="80"/>
  <c r="R17" i="80"/>
  <c r="Q17" i="80"/>
  <c r="P17" i="80"/>
  <c r="O17" i="80"/>
  <c r="N17" i="80"/>
  <c r="M17" i="80"/>
  <c r="L17" i="80"/>
  <c r="K17" i="80"/>
  <c r="J17" i="80"/>
  <c r="I17" i="80"/>
  <c r="H17" i="80"/>
  <c r="G17" i="80"/>
  <c r="F17" i="80"/>
  <c r="E17" i="80"/>
  <c r="D17" i="80"/>
  <c r="C17" i="80"/>
  <c r="B17" i="80"/>
  <c r="A17" i="80"/>
  <c r="X16" i="80"/>
  <c r="R16" i="80"/>
  <c r="Q16" i="80"/>
  <c r="P16" i="80"/>
  <c r="O16" i="80"/>
  <c r="N16" i="80"/>
  <c r="M16" i="80"/>
  <c r="L16" i="80"/>
  <c r="K16" i="80"/>
  <c r="J16" i="80"/>
  <c r="I16" i="80"/>
  <c r="H16" i="80"/>
  <c r="G16" i="80"/>
  <c r="F16" i="80"/>
  <c r="E16" i="80"/>
  <c r="D16" i="80"/>
  <c r="C16" i="80"/>
  <c r="B16" i="80"/>
  <c r="A16" i="80"/>
  <c r="X15" i="80"/>
  <c r="R15" i="80"/>
  <c r="Q15" i="80"/>
  <c r="P15" i="80"/>
  <c r="O15" i="80"/>
  <c r="N15" i="80"/>
  <c r="M15" i="80"/>
  <c r="L15" i="80"/>
  <c r="K15" i="80"/>
  <c r="J15" i="80"/>
  <c r="I15" i="80"/>
  <c r="H15" i="80"/>
  <c r="G15" i="80"/>
  <c r="F15" i="80"/>
  <c r="E15" i="80"/>
  <c r="D15" i="80"/>
  <c r="C15" i="80"/>
  <c r="B15" i="80"/>
  <c r="A15" i="80"/>
  <c r="X14" i="80"/>
  <c r="R14" i="80"/>
  <c r="Q14" i="80"/>
  <c r="P14" i="80"/>
  <c r="O14" i="80"/>
  <c r="N14" i="80"/>
  <c r="M14" i="80"/>
  <c r="L14" i="80"/>
  <c r="K14" i="80"/>
  <c r="J14" i="80"/>
  <c r="I14" i="80"/>
  <c r="H14" i="80"/>
  <c r="G14" i="80"/>
  <c r="F14" i="80"/>
  <c r="E14" i="80"/>
  <c r="D14" i="80"/>
  <c r="C14" i="80"/>
  <c r="B14" i="80"/>
  <c r="A14" i="80"/>
  <c r="X13" i="80"/>
  <c r="R13" i="80"/>
  <c r="Q13" i="80"/>
  <c r="P13" i="80"/>
  <c r="O13" i="80"/>
  <c r="N13" i="80"/>
  <c r="M13" i="80"/>
  <c r="L13" i="80"/>
  <c r="K13" i="80"/>
  <c r="J13" i="80"/>
  <c r="I13" i="80"/>
  <c r="H13" i="80"/>
  <c r="G13" i="80"/>
  <c r="F13" i="80"/>
  <c r="E13" i="80"/>
  <c r="D13" i="80"/>
  <c r="C13" i="80"/>
  <c r="B13" i="80"/>
  <c r="A13" i="80"/>
  <c r="X12" i="80"/>
  <c r="R12" i="80"/>
  <c r="Q12" i="80"/>
  <c r="P12" i="80"/>
  <c r="O12" i="80"/>
  <c r="N12" i="80"/>
  <c r="M12" i="80"/>
  <c r="L12" i="80"/>
  <c r="K12" i="80"/>
  <c r="J12" i="80"/>
  <c r="I12" i="80"/>
  <c r="H12" i="80"/>
  <c r="G12" i="80"/>
  <c r="F12" i="80"/>
  <c r="E12" i="80"/>
  <c r="D12" i="80"/>
  <c r="C12" i="80"/>
  <c r="B12" i="80"/>
  <c r="A12" i="80"/>
  <c r="X11" i="80"/>
  <c r="R11" i="80"/>
  <c r="Q11" i="80"/>
  <c r="P11" i="80"/>
  <c r="O11" i="80"/>
  <c r="N11" i="80"/>
  <c r="M11" i="80"/>
  <c r="L11" i="80"/>
  <c r="K11" i="80"/>
  <c r="J11" i="80"/>
  <c r="I11" i="80"/>
  <c r="H11" i="80"/>
  <c r="G11" i="80"/>
  <c r="F11" i="80"/>
  <c r="E11" i="80"/>
  <c r="D11" i="80"/>
  <c r="C11" i="80"/>
  <c r="B11" i="80"/>
  <c r="A11" i="80"/>
  <c r="X10" i="80"/>
  <c r="R10" i="80"/>
  <c r="Q10" i="80"/>
  <c r="P10" i="80"/>
  <c r="O10" i="80"/>
  <c r="N10" i="80"/>
  <c r="M10" i="80"/>
  <c r="L10" i="80"/>
  <c r="K10" i="80"/>
  <c r="J10" i="80"/>
  <c r="I10" i="80"/>
  <c r="H10" i="80"/>
  <c r="G10" i="80"/>
  <c r="F10" i="80"/>
  <c r="E10" i="80"/>
  <c r="D10" i="80"/>
  <c r="C10" i="80"/>
  <c r="B10" i="80"/>
  <c r="A10" i="80"/>
  <c r="X9" i="80"/>
  <c r="R9" i="80"/>
  <c r="Q9" i="80"/>
  <c r="P9" i="80"/>
  <c r="O9" i="80"/>
  <c r="N9" i="80"/>
  <c r="M9" i="80"/>
  <c r="L9" i="80"/>
  <c r="K9" i="80"/>
  <c r="J9" i="80"/>
  <c r="I9" i="80"/>
  <c r="H9" i="80"/>
  <c r="G9" i="80"/>
  <c r="F9" i="80"/>
  <c r="E9" i="80"/>
  <c r="D9" i="80"/>
  <c r="C9" i="80"/>
  <c r="B9" i="80"/>
  <c r="A9" i="80"/>
  <c r="X8" i="80"/>
  <c r="R8" i="80"/>
  <c r="Q8" i="80"/>
  <c r="P8" i="80"/>
  <c r="O8" i="80"/>
  <c r="N8" i="80"/>
  <c r="M8" i="80"/>
  <c r="L8" i="80"/>
  <c r="K8" i="80"/>
  <c r="J8" i="80"/>
  <c r="I8" i="80"/>
  <c r="H8" i="80"/>
  <c r="G8" i="80"/>
  <c r="F8" i="80"/>
  <c r="E8" i="80"/>
  <c r="D8" i="80"/>
  <c r="C8" i="80"/>
  <c r="B8" i="80"/>
  <c r="A8" i="80"/>
  <c r="X7" i="80"/>
  <c r="R7" i="80"/>
  <c r="Q7" i="80"/>
  <c r="P7" i="80"/>
  <c r="O7" i="80"/>
  <c r="N7" i="80"/>
  <c r="M7" i="80"/>
  <c r="L7" i="80"/>
  <c r="K7" i="80"/>
  <c r="J7" i="80"/>
  <c r="I7" i="80"/>
  <c r="H7" i="80"/>
  <c r="G7" i="80"/>
  <c r="F7" i="80"/>
  <c r="E7" i="80"/>
  <c r="D7" i="80"/>
  <c r="C7" i="80"/>
  <c r="B7" i="80"/>
  <c r="A7" i="80"/>
  <c r="X6" i="80"/>
  <c r="R6" i="80"/>
  <c r="Q6" i="80"/>
  <c r="P6" i="80"/>
  <c r="O6" i="80"/>
  <c r="N6" i="80"/>
  <c r="M6" i="80"/>
  <c r="L6" i="80"/>
  <c r="K6" i="80"/>
  <c r="J6" i="80"/>
  <c r="I6" i="80"/>
  <c r="H6" i="80"/>
  <c r="G6" i="80"/>
  <c r="F6" i="80"/>
  <c r="E6" i="80"/>
  <c r="D6" i="80"/>
  <c r="C6" i="80"/>
  <c r="B6" i="80"/>
  <c r="A6" i="80"/>
  <c r="X5" i="80"/>
  <c r="R5" i="80"/>
  <c r="Q5" i="80"/>
  <c r="P5" i="80"/>
  <c r="O5" i="80"/>
  <c r="N5" i="80"/>
  <c r="M5" i="80"/>
  <c r="L5" i="80"/>
  <c r="K5" i="80"/>
  <c r="J5" i="80"/>
  <c r="I5" i="80"/>
  <c r="H5" i="80"/>
  <c r="G5" i="80"/>
  <c r="F5" i="80"/>
  <c r="E5" i="80"/>
  <c r="D5" i="80"/>
  <c r="C5" i="80"/>
  <c r="B5" i="80"/>
  <c r="A5" i="80"/>
  <c r="X4" i="80"/>
  <c r="R4" i="80"/>
  <c r="Q4" i="80"/>
  <c r="P4" i="80"/>
  <c r="O4" i="80"/>
  <c r="N4" i="80"/>
  <c r="M4" i="80"/>
  <c r="L4" i="80"/>
  <c r="K4" i="80"/>
  <c r="J4" i="80"/>
  <c r="I4" i="80"/>
  <c r="H4" i="80"/>
  <c r="G4" i="80"/>
  <c r="F4" i="80"/>
  <c r="E4" i="80"/>
  <c r="D4" i="80"/>
  <c r="C4" i="80"/>
  <c r="B4" i="80"/>
  <c r="A4" i="80"/>
  <c r="X3" i="80"/>
  <c r="R3" i="80"/>
  <c r="Q3" i="80"/>
  <c r="P3" i="80"/>
  <c r="O3" i="80"/>
  <c r="N3" i="80"/>
  <c r="M3" i="80"/>
  <c r="L3" i="80"/>
  <c r="K3" i="80"/>
  <c r="J3" i="80"/>
  <c r="I3" i="80"/>
  <c r="H3" i="80"/>
  <c r="G3" i="80"/>
  <c r="F3" i="80"/>
  <c r="E3" i="80"/>
  <c r="D3" i="80"/>
  <c r="C3" i="80"/>
  <c r="B3" i="80"/>
  <c r="A3" i="80"/>
  <c r="Q1" i="80"/>
  <c r="E142" i="58"/>
  <c r="E141" i="58"/>
  <c r="E140" i="58"/>
  <c r="E139" i="58"/>
  <c r="E138" i="58"/>
  <c r="E137" i="58"/>
  <c r="F132" i="58"/>
  <c r="F131" i="58"/>
  <c r="F130" i="58"/>
  <c r="F129" i="58"/>
  <c r="C125" i="58"/>
  <c r="E115" i="58"/>
  <c r="E114" i="58"/>
  <c r="E113" i="58"/>
  <c r="E112" i="58"/>
  <c r="E111" i="58"/>
  <c r="E110" i="58"/>
  <c r="E109" i="58"/>
  <c r="E108" i="58"/>
  <c r="D104" i="58"/>
  <c r="C104" i="58"/>
  <c r="F103" i="58"/>
  <c r="F102" i="58"/>
  <c r="F101" i="58"/>
  <c r="F100" i="58"/>
  <c r="F99" i="58"/>
  <c r="Q51" i="77"/>
  <c r="Q52" i="77"/>
  <c r="Q53" i="77"/>
  <c r="Q54" i="77"/>
  <c r="Q55" i="77"/>
  <c r="Q56" i="77"/>
  <c r="Q57" i="77"/>
  <c r="Q58" i="77"/>
  <c r="B237" i="58"/>
  <c r="B236" i="58"/>
  <c r="B235" i="58"/>
  <c r="G225" i="58"/>
  <c r="G224" i="58"/>
  <c r="G223" i="58"/>
  <c r="G222" i="58"/>
  <c r="G221" i="58"/>
  <c r="G220" i="58"/>
  <c r="G219" i="58"/>
  <c r="G218" i="58"/>
  <c r="I26" i="36"/>
  <c r="F9" i="76"/>
  <c r="F8" i="76"/>
  <c r="F7" i="76"/>
  <c r="F6" i="76"/>
  <c r="F5" i="76"/>
  <c r="C33" i="75"/>
  <c r="B33" i="75"/>
  <c r="A33" i="75"/>
  <c r="C32" i="75"/>
  <c r="B32" i="75"/>
  <c r="A32" i="75"/>
  <c r="C31" i="75"/>
  <c r="B31" i="75"/>
  <c r="A31" i="75"/>
  <c r="C30" i="75"/>
  <c r="B30" i="75"/>
  <c r="A30" i="75"/>
  <c r="C29" i="75"/>
  <c r="B29" i="75"/>
  <c r="A29" i="75"/>
  <c r="C28" i="75"/>
  <c r="B28" i="75"/>
  <c r="A28" i="75"/>
  <c r="C27" i="75"/>
  <c r="B27" i="75"/>
  <c r="A27" i="75"/>
  <c r="C26" i="75"/>
  <c r="B26" i="75"/>
  <c r="A26" i="75"/>
  <c r="C25" i="75"/>
  <c r="B25" i="75"/>
  <c r="A25" i="75"/>
  <c r="C24" i="75"/>
  <c r="B24" i="75"/>
  <c r="A24" i="75"/>
  <c r="C23" i="75"/>
  <c r="B23" i="75"/>
  <c r="A23" i="75"/>
  <c r="C22" i="75"/>
  <c r="B22" i="75"/>
  <c r="A22" i="75"/>
  <c r="C21" i="75"/>
  <c r="B21" i="75"/>
  <c r="A21" i="75"/>
  <c r="C20" i="75"/>
  <c r="B20" i="75"/>
  <c r="A20" i="75"/>
  <c r="C19" i="75"/>
  <c r="B19" i="75"/>
  <c r="A19" i="75"/>
  <c r="C18" i="75"/>
  <c r="B18" i="75"/>
  <c r="A18" i="75"/>
  <c r="C17" i="75"/>
  <c r="B17" i="75"/>
  <c r="A17" i="75"/>
  <c r="C16" i="75"/>
  <c r="B16" i="75"/>
  <c r="A16" i="75"/>
  <c r="C15" i="75"/>
  <c r="B15" i="75"/>
  <c r="A15" i="75"/>
  <c r="C14" i="75"/>
  <c r="B14" i="75"/>
  <c r="A14" i="75"/>
  <c r="C13" i="75"/>
  <c r="B13" i="75"/>
  <c r="A13" i="75"/>
  <c r="C12" i="75"/>
  <c r="B12" i="75"/>
  <c r="A12" i="75"/>
  <c r="C11" i="75"/>
  <c r="B11" i="75"/>
  <c r="A11" i="75"/>
  <c r="C10" i="75"/>
  <c r="B10" i="75"/>
  <c r="A10" i="75"/>
  <c r="C9" i="75"/>
  <c r="B9" i="75"/>
  <c r="A9" i="75"/>
  <c r="C8" i="75"/>
  <c r="B8" i="75"/>
  <c r="A8" i="75"/>
  <c r="C7" i="75"/>
  <c r="B7" i="75"/>
  <c r="A7" i="75"/>
  <c r="C6" i="75"/>
  <c r="B6" i="75"/>
  <c r="A6" i="75"/>
  <c r="C5" i="75"/>
  <c r="B5" i="75"/>
  <c r="A5" i="75"/>
  <c r="C4" i="75"/>
  <c r="B4" i="75"/>
  <c r="A4" i="75"/>
  <c r="C3" i="75"/>
  <c r="B3" i="75"/>
  <c r="A3" i="75"/>
  <c r="C2" i="75"/>
  <c r="B2" i="75"/>
  <c r="A2" i="75"/>
  <c r="Q2355" i="69"/>
  <c r="P2355" i="69"/>
  <c r="O2355" i="69"/>
  <c r="N2355" i="69"/>
  <c r="M2355" i="69"/>
  <c r="L2355" i="69"/>
  <c r="K2355" i="69"/>
  <c r="J2355" i="69"/>
  <c r="I2355" i="69"/>
  <c r="H2355" i="69"/>
  <c r="G2355" i="69"/>
  <c r="Q2354" i="69"/>
  <c r="P2354" i="69"/>
  <c r="O2354" i="69"/>
  <c r="N2354" i="69"/>
  <c r="M2354" i="69"/>
  <c r="L2354" i="69"/>
  <c r="K2354" i="69"/>
  <c r="J2354" i="69"/>
  <c r="I2354" i="69"/>
  <c r="H2354" i="69"/>
  <c r="G2354" i="69"/>
  <c r="Q2353" i="69"/>
  <c r="P2353" i="69"/>
  <c r="O2353" i="69"/>
  <c r="N2353" i="69"/>
  <c r="M2353" i="69"/>
  <c r="L2353" i="69"/>
  <c r="K2353" i="69"/>
  <c r="J2353" i="69"/>
  <c r="I2353" i="69"/>
  <c r="H2353" i="69"/>
  <c r="G2353" i="69"/>
  <c r="Q2352" i="69"/>
  <c r="P2352" i="69"/>
  <c r="O2352" i="69"/>
  <c r="N2352" i="69"/>
  <c r="M2352" i="69"/>
  <c r="L2352" i="69"/>
  <c r="K2352" i="69"/>
  <c r="J2352" i="69"/>
  <c r="I2352" i="69"/>
  <c r="H2352" i="69"/>
  <c r="G2352" i="69"/>
  <c r="Q2351" i="69"/>
  <c r="P2351" i="69"/>
  <c r="O2351" i="69"/>
  <c r="N2351" i="69"/>
  <c r="M2351" i="69"/>
  <c r="L2351" i="69"/>
  <c r="K2351" i="69"/>
  <c r="J2351" i="69"/>
  <c r="I2351" i="69"/>
  <c r="H2351" i="69"/>
  <c r="G2351" i="69"/>
  <c r="Q2350" i="69"/>
  <c r="P2350" i="69"/>
  <c r="O2350" i="69"/>
  <c r="N2350" i="69"/>
  <c r="M2350" i="69"/>
  <c r="L2350" i="69"/>
  <c r="K2350" i="69"/>
  <c r="J2350" i="69"/>
  <c r="I2350" i="69"/>
  <c r="H2350" i="69"/>
  <c r="G2350" i="69"/>
  <c r="Q2349" i="69"/>
  <c r="P2349" i="69"/>
  <c r="O2349" i="69"/>
  <c r="N2349" i="69"/>
  <c r="M2349" i="69"/>
  <c r="L2349" i="69"/>
  <c r="K2349" i="69"/>
  <c r="J2349" i="69"/>
  <c r="I2349" i="69"/>
  <c r="H2349" i="69"/>
  <c r="G2349" i="69"/>
  <c r="Q2348" i="69"/>
  <c r="P2348" i="69"/>
  <c r="O2348" i="69"/>
  <c r="N2348" i="69"/>
  <c r="M2348" i="69"/>
  <c r="L2348" i="69"/>
  <c r="K2348" i="69"/>
  <c r="J2348" i="69"/>
  <c r="I2348" i="69"/>
  <c r="H2348" i="69"/>
  <c r="G2348" i="69"/>
  <c r="Q2347" i="69"/>
  <c r="P2347" i="69"/>
  <c r="O2347" i="69"/>
  <c r="N2347" i="69"/>
  <c r="M2347" i="69"/>
  <c r="L2347" i="69"/>
  <c r="K2347" i="69"/>
  <c r="J2347" i="69"/>
  <c r="I2347" i="69"/>
  <c r="H2347" i="69"/>
  <c r="G2347" i="69"/>
  <c r="Q2346" i="69"/>
  <c r="P2346" i="69"/>
  <c r="O2346" i="69"/>
  <c r="N2346" i="69"/>
  <c r="M2346" i="69"/>
  <c r="L2346" i="69"/>
  <c r="K2346" i="69"/>
  <c r="J2346" i="69"/>
  <c r="I2346" i="69"/>
  <c r="H2346" i="69"/>
  <c r="G2346" i="69"/>
  <c r="Q2345" i="69"/>
  <c r="P2345" i="69"/>
  <c r="O2345" i="69"/>
  <c r="N2345" i="69"/>
  <c r="M2345" i="69"/>
  <c r="L2345" i="69"/>
  <c r="K2345" i="69"/>
  <c r="J2345" i="69"/>
  <c r="I2345" i="69"/>
  <c r="H2345" i="69"/>
  <c r="G2345" i="69"/>
  <c r="Q2344" i="69"/>
  <c r="P2344" i="69"/>
  <c r="O2344" i="69"/>
  <c r="N2344" i="69"/>
  <c r="M2344" i="69"/>
  <c r="L2344" i="69"/>
  <c r="K2344" i="69"/>
  <c r="J2344" i="69"/>
  <c r="I2344" i="69"/>
  <c r="H2344" i="69"/>
  <c r="G2344" i="69"/>
  <c r="Q2343" i="69"/>
  <c r="P2343" i="69"/>
  <c r="O2343" i="69"/>
  <c r="N2343" i="69"/>
  <c r="M2343" i="69"/>
  <c r="L2343" i="69"/>
  <c r="K2343" i="69"/>
  <c r="J2343" i="69"/>
  <c r="I2343" i="69"/>
  <c r="H2343" i="69"/>
  <c r="G2343" i="69"/>
  <c r="Q2342" i="69"/>
  <c r="P2342" i="69"/>
  <c r="O2342" i="69"/>
  <c r="N2342" i="69"/>
  <c r="M2342" i="69"/>
  <c r="L2342" i="69"/>
  <c r="K2342" i="69"/>
  <c r="J2342" i="69"/>
  <c r="I2342" i="69"/>
  <c r="H2342" i="69"/>
  <c r="G2342" i="69"/>
  <c r="Q2341" i="69"/>
  <c r="P2341" i="69"/>
  <c r="O2341" i="69"/>
  <c r="N2341" i="69"/>
  <c r="M2341" i="69"/>
  <c r="L2341" i="69"/>
  <c r="K2341" i="69"/>
  <c r="J2341" i="69"/>
  <c r="I2341" i="69"/>
  <c r="H2341" i="69"/>
  <c r="G2341" i="69"/>
  <c r="Q2340" i="69"/>
  <c r="P2340" i="69"/>
  <c r="O2340" i="69"/>
  <c r="N2340" i="69"/>
  <c r="M2340" i="69"/>
  <c r="L2340" i="69"/>
  <c r="K2340" i="69"/>
  <c r="J2340" i="69"/>
  <c r="I2340" i="69"/>
  <c r="H2340" i="69"/>
  <c r="G2340" i="69"/>
  <c r="Q2339" i="69"/>
  <c r="P2339" i="69"/>
  <c r="O2339" i="69"/>
  <c r="N2339" i="69"/>
  <c r="M2339" i="69"/>
  <c r="L2339" i="69"/>
  <c r="K2339" i="69"/>
  <c r="J2339" i="69"/>
  <c r="I2339" i="69"/>
  <c r="H2339" i="69"/>
  <c r="G2339" i="69"/>
  <c r="Q2338" i="69"/>
  <c r="P2338" i="69"/>
  <c r="O2338" i="69"/>
  <c r="N2338" i="69"/>
  <c r="M2338" i="69"/>
  <c r="L2338" i="69"/>
  <c r="K2338" i="69"/>
  <c r="J2338" i="69"/>
  <c r="I2338" i="69"/>
  <c r="H2338" i="69"/>
  <c r="G2338" i="69"/>
  <c r="Q2337" i="69"/>
  <c r="P2337" i="69"/>
  <c r="O2337" i="69"/>
  <c r="N2337" i="69"/>
  <c r="M2337" i="69"/>
  <c r="L2337" i="69"/>
  <c r="K2337" i="69"/>
  <c r="J2337" i="69"/>
  <c r="I2337" i="69"/>
  <c r="H2337" i="69"/>
  <c r="G2337" i="69"/>
  <c r="Q2336" i="69"/>
  <c r="P2336" i="69"/>
  <c r="O2336" i="69"/>
  <c r="N2336" i="69"/>
  <c r="M2336" i="69"/>
  <c r="L2336" i="69"/>
  <c r="K2336" i="69"/>
  <c r="J2336" i="69"/>
  <c r="I2336" i="69"/>
  <c r="H2336" i="69"/>
  <c r="G2336" i="69"/>
  <c r="Q2335" i="69"/>
  <c r="P2335" i="69"/>
  <c r="O2335" i="69"/>
  <c r="N2335" i="69"/>
  <c r="M2335" i="69"/>
  <c r="L2335" i="69"/>
  <c r="K2335" i="69"/>
  <c r="J2335" i="69"/>
  <c r="I2335" i="69"/>
  <c r="H2335" i="69"/>
  <c r="G2335" i="69"/>
  <c r="Q2334" i="69"/>
  <c r="P2334" i="69"/>
  <c r="O2334" i="69"/>
  <c r="N2334" i="69"/>
  <c r="M2334" i="69"/>
  <c r="L2334" i="69"/>
  <c r="K2334" i="69"/>
  <c r="J2334" i="69"/>
  <c r="I2334" i="69"/>
  <c r="H2334" i="69"/>
  <c r="G2334" i="69"/>
  <c r="Q2333" i="69"/>
  <c r="P2333" i="69"/>
  <c r="O2333" i="69"/>
  <c r="N2333" i="69"/>
  <c r="M2333" i="69"/>
  <c r="L2333" i="69"/>
  <c r="K2333" i="69"/>
  <c r="J2333" i="69"/>
  <c r="I2333" i="69"/>
  <c r="H2333" i="69"/>
  <c r="G2333" i="69"/>
  <c r="Q2332" i="69"/>
  <c r="P2332" i="69"/>
  <c r="O2332" i="69"/>
  <c r="N2332" i="69"/>
  <c r="M2332" i="69"/>
  <c r="L2332" i="69"/>
  <c r="K2332" i="69"/>
  <c r="J2332" i="69"/>
  <c r="I2332" i="69"/>
  <c r="H2332" i="69"/>
  <c r="G2332" i="69"/>
  <c r="Q2331" i="69"/>
  <c r="P2331" i="69"/>
  <c r="O2331" i="69"/>
  <c r="N2331" i="69"/>
  <c r="M2331" i="69"/>
  <c r="L2331" i="69"/>
  <c r="K2331" i="69"/>
  <c r="J2331" i="69"/>
  <c r="I2331" i="69"/>
  <c r="H2331" i="69"/>
  <c r="G2331" i="69"/>
  <c r="Q2330" i="69"/>
  <c r="P2330" i="69"/>
  <c r="O2330" i="69"/>
  <c r="N2330" i="69"/>
  <c r="M2330" i="69"/>
  <c r="L2330" i="69"/>
  <c r="K2330" i="69"/>
  <c r="J2330" i="69"/>
  <c r="I2330" i="69"/>
  <c r="H2330" i="69"/>
  <c r="G2330" i="69"/>
  <c r="Q2329" i="69"/>
  <c r="P2329" i="69"/>
  <c r="O2329" i="69"/>
  <c r="N2329" i="69"/>
  <c r="M2329" i="69"/>
  <c r="L2329" i="69"/>
  <c r="K2329" i="69"/>
  <c r="J2329" i="69"/>
  <c r="I2329" i="69"/>
  <c r="H2329" i="69"/>
  <c r="G2329" i="69"/>
  <c r="Q2328" i="69"/>
  <c r="P2328" i="69"/>
  <c r="O2328" i="69"/>
  <c r="N2328" i="69"/>
  <c r="M2328" i="69"/>
  <c r="L2328" i="69"/>
  <c r="K2328" i="69"/>
  <c r="J2328" i="69"/>
  <c r="I2328" i="69"/>
  <c r="H2328" i="69"/>
  <c r="G2328" i="69"/>
  <c r="Q2327" i="69"/>
  <c r="P2327" i="69"/>
  <c r="O2327" i="69"/>
  <c r="N2327" i="69"/>
  <c r="M2327" i="69"/>
  <c r="L2327" i="69"/>
  <c r="K2327" i="69"/>
  <c r="J2327" i="69"/>
  <c r="I2327" i="69"/>
  <c r="H2327" i="69"/>
  <c r="G2327" i="69"/>
  <c r="Q2326" i="69"/>
  <c r="P2326" i="69"/>
  <c r="O2326" i="69"/>
  <c r="N2326" i="69"/>
  <c r="M2326" i="69"/>
  <c r="L2326" i="69"/>
  <c r="K2326" i="69"/>
  <c r="J2326" i="69"/>
  <c r="I2326" i="69"/>
  <c r="H2326" i="69"/>
  <c r="G2326" i="69"/>
  <c r="Q2325" i="69"/>
  <c r="P2325" i="69"/>
  <c r="O2325" i="69"/>
  <c r="N2325" i="69"/>
  <c r="M2325" i="69"/>
  <c r="L2325" i="69"/>
  <c r="K2325" i="69"/>
  <c r="J2325" i="69"/>
  <c r="I2325" i="69"/>
  <c r="H2325" i="69"/>
  <c r="G2325" i="69"/>
  <c r="Q2324" i="69"/>
  <c r="P2324" i="69"/>
  <c r="O2324" i="69"/>
  <c r="N2324" i="69"/>
  <c r="M2324" i="69"/>
  <c r="L2324" i="69"/>
  <c r="K2324" i="69"/>
  <c r="J2324" i="69"/>
  <c r="I2324" i="69"/>
  <c r="H2324" i="69"/>
  <c r="G2324" i="69"/>
  <c r="Q2323" i="69"/>
  <c r="P2323" i="69"/>
  <c r="O2323" i="69"/>
  <c r="N2323" i="69"/>
  <c r="M2323" i="69"/>
  <c r="L2323" i="69"/>
  <c r="K2323" i="69"/>
  <c r="J2323" i="69"/>
  <c r="I2323" i="69"/>
  <c r="H2323" i="69"/>
  <c r="G2323" i="69"/>
  <c r="Q2322" i="69"/>
  <c r="P2322" i="69"/>
  <c r="O2322" i="69"/>
  <c r="N2322" i="69"/>
  <c r="M2322" i="69"/>
  <c r="L2322" i="69"/>
  <c r="K2322" i="69"/>
  <c r="J2322" i="69"/>
  <c r="I2322" i="69"/>
  <c r="H2322" i="69"/>
  <c r="G2322" i="69"/>
  <c r="Q2321" i="69"/>
  <c r="P2321" i="69"/>
  <c r="O2321" i="69"/>
  <c r="N2321" i="69"/>
  <c r="M2321" i="69"/>
  <c r="L2321" i="69"/>
  <c r="K2321" i="69"/>
  <c r="J2321" i="69"/>
  <c r="I2321" i="69"/>
  <c r="H2321" i="69"/>
  <c r="G2321" i="69"/>
  <c r="Q2320" i="69"/>
  <c r="P2320" i="69"/>
  <c r="O2320" i="69"/>
  <c r="N2320" i="69"/>
  <c r="M2320" i="69"/>
  <c r="L2320" i="69"/>
  <c r="K2320" i="69"/>
  <c r="J2320" i="69"/>
  <c r="I2320" i="69"/>
  <c r="H2320" i="69"/>
  <c r="G2320" i="69"/>
  <c r="Q2319" i="69"/>
  <c r="P2319" i="69"/>
  <c r="O2319" i="69"/>
  <c r="N2319" i="69"/>
  <c r="M2319" i="69"/>
  <c r="L2319" i="69"/>
  <c r="K2319" i="69"/>
  <c r="J2319" i="69"/>
  <c r="I2319" i="69"/>
  <c r="H2319" i="69"/>
  <c r="G2319" i="69"/>
  <c r="Q2318" i="69"/>
  <c r="P2318" i="69"/>
  <c r="O2318" i="69"/>
  <c r="N2318" i="69"/>
  <c r="M2318" i="69"/>
  <c r="L2318" i="69"/>
  <c r="K2318" i="69"/>
  <c r="J2318" i="69"/>
  <c r="I2318" i="69"/>
  <c r="H2318" i="69"/>
  <c r="G2318" i="69"/>
  <c r="Q2317" i="69"/>
  <c r="P2317" i="69"/>
  <c r="O2317" i="69"/>
  <c r="N2317" i="69"/>
  <c r="M2317" i="69"/>
  <c r="L2317" i="69"/>
  <c r="K2317" i="69"/>
  <c r="J2317" i="69"/>
  <c r="I2317" i="69"/>
  <c r="H2317" i="69"/>
  <c r="G2317" i="69"/>
  <c r="Q2316" i="69"/>
  <c r="P2316" i="69"/>
  <c r="O2316" i="69"/>
  <c r="N2316" i="69"/>
  <c r="M2316" i="69"/>
  <c r="L2316" i="69"/>
  <c r="K2316" i="69"/>
  <c r="J2316" i="69"/>
  <c r="I2316" i="69"/>
  <c r="H2316" i="69"/>
  <c r="G2316" i="69"/>
  <c r="Q2315" i="69"/>
  <c r="P2315" i="69"/>
  <c r="O2315" i="69"/>
  <c r="N2315" i="69"/>
  <c r="M2315" i="69"/>
  <c r="L2315" i="69"/>
  <c r="K2315" i="69"/>
  <c r="J2315" i="69"/>
  <c r="I2315" i="69"/>
  <c r="H2315" i="69"/>
  <c r="G2315" i="69"/>
  <c r="Q2314" i="69"/>
  <c r="P2314" i="69"/>
  <c r="O2314" i="69"/>
  <c r="N2314" i="69"/>
  <c r="M2314" i="69"/>
  <c r="L2314" i="69"/>
  <c r="K2314" i="69"/>
  <c r="J2314" i="69"/>
  <c r="I2314" i="69"/>
  <c r="H2314" i="69"/>
  <c r="G2314" i="69"/>
  <c r="Q2313" i="69"/>
  <c r="P2313" i="69"/>
  <c r="O2313" i="69"/>
  <c r="N2313" i="69"/>
  <c r="M2313" i="69"/>
  <c r="L2313" i="69"/>
  <c r="K2313" i="69"/>
  <c r="J2313" i="69"/>
  <c r="I2313" i="69"/>
  <c r="H2313" i="69"/>
  <c r="G2313" i="69"/>
  <c r="Q2312" i="69"/>
  <c r="P2312" i="69"/>
  <c r="O2312" i="69"/>
  <c r="N2312" i="69"/>
  <c r="M2312" i="69"/>
  <c r="L2312" i="69"/>
  <c r="K2312" i="69"/>
  <c r="J2312" i="69"/>
  <c r="I2312" i="69"/>
  <c r="H2312" i="69"/>
  <c r="G2312" i="69"/>
  <c r="Q2311" i="69"/>
  <c r="P2311" i="69"/>
  <c r="O2311" i="69"/>
  <c r="N2311" i="69"/>
  <c r="M2311" i="69"/>
  <c r="L2311" i="69"/>
  <c r="K2311" i="69"/>
  <c r="J2311" i="69"/>
  <c r="I2311" i="69"/>
  <c r="H2311" i="69"/>
  <c r="G2311" i="69"/>
  <c r="Q2310" i="69"/>
  <c r="P2310" i="69"/>
  <c r="O2310" i="69"/>
  <c r="N2310" i="69"/>
  <c r="M2310" i="69"/>
  <c r="L2310" i="69"/>
  <c r="K2310" i="69"/>
  <c r="J2310" i="69"/>
  <c r="I2310" i="69"/>
  <c r="H2310" i="69"/>
  <c r="G2310" i="69"/>
  <c r="Q2309" i="69"/>
  <c r="P2309" i="69"/>
  <c r="O2309" i="69"/>
  <c r="N2309" i="69"/>
  <c r="M2309" i="69"/>
  <c r="L2309" i="69"/>
  <c r="K2309" i="69"/>
  <c r="J2309" i="69"/>
  <c r="I2309" i="69"/>
  <c r="H2309" i="69"/>
  <c r="G2309" i="69"/>
  <c r="Q2308" i="69"/>
  <c r="P2308" i="69"/>
  <c r="O2308" i="69"/>
  <c r="N2308" i="69"/>
  <c r="M2308" i="69"/>
  <c r="L2308" i="69"/>
  <c r="K2308" i="69"/>
  <c r="J2308" i="69"/>
  <c r="I2308" i="69"/>
  <c r="H2308" i="69"/>
  <c r="G2308" i="69"/>
  <c r="Q2307" i="69"/>
  <c r="P2307" i="69"/>
  <c r="O2307" i="69"/>
  <c r="N2307" i="69"/>
  <c r="M2307" i="69"/>
  <c r="L2307" i="69"/>
  <c r="K2307" i="69"/>
  <c r="J2307" i="69"/>
  <c r="I2307" i="69"/>
  <c r="H2307" i="69"/>
  <c r="G2307" i="69"/>
  <c r="Q2306" i="69"/>
  <c r="P2306" i="69"/>
  <c r="O2306" i="69"/>
  <c r="N2306" i="69"/>
  <c r="M2306" i="69"/>
  <c r="L2306" i="69"/>
  <c r="K2306" i="69"/>
  <c r="J2306" i="69"/>
  <c r="I2306" i="69"/>
  <c r="H2306" i="69"/>
  <c r="G2306" i="69"/>
  <c r="Q2305" i="69"/>
  <c r="P2305" i="69"/>
  <c r="O2305" i="69"/>
  <c r="N2305" i="69"/>
  <c r="M2305" i="69"/>
  <c r="L2305" i="69"/>
  <c r="K2305" i="69"/>
  <c r="J2305" i="69"/>
  <c r="I2305" i="69"/>
  <c r="H2305" i="69"/>
  <c r="G2305" i="69"/>
  <c r="Q2304" i="69"/>
  <c r="P2304" i="69"/>
  <c r="O2304" i="69"/>
  <c r="N2304" i="69"/>
  <c r="M2304" i="69"/>
  <c r="L2304" i="69"/>
  <c r="K2304" i="69"/>
  <c r="J2304" i="69"/>
  <c r="I2304" i="69"/>
  <c r="H2304" i="69"/>
  <c r="G2304" i="69"/>
  <c r="Q2303" i="69"/>
  <c r="P2303" i="69"/>
  <c r="O2303" i="69"/>
  <c r="N2303" i="69"/>
  <c r="M2303" i="69"/>
  <c r="L2303" i="69"/>
  <c r="K2303" i="69"/>
  <c r="J2303" i="69"/>
  <c r="I2303" i="69"/>
  <c r="H2303" i="69"/>
  <c r="G2303" i="69"/>
  <c r="Q2302" i="69"/>
  <c r="P2302" i="69"/>
  <c r="O2302" i="69"/>
  <c r="N2302" i="69"/>
  <c r="M2302" i="69"/>
  <c r="L2302" i="69"/>
  <c r="K2302" i="69"/>
  <c r="J2302" i="69"/>
  <c r="I2302" i="69"/>
  <c r="H2302" i="69"/>
  <c r="G2302" i="69"/>
  <c r="Q2301" i="69"/>
  <c r="P2301" i="69"/>
  <c r="O2301" i="69"/>
  <c r="N2301" i="69"/>
  <c r="M2301" i="69"/>
  <c r="L2301" i="69"/>
  <c r="K2301" i="69"/>
  <c r="J2301" i="69"/>
  <c r="I2301" i="69"/>
  <c r="H2301" i="69"/>
  <c r="G2301" i="69"/>
  <c r="Q2300" i="69"/>
  <c r="P2300" i="69"/>
  <c r="O2300" i="69"/>
  <c r="N2300" i="69"/>
  <c r="M2300" i="69"/>
  <c r="L2300" i="69"/>
  <c r="K2300" i="69"/>
  <c r="J2300" i="69"/>
  <c r="I2300" i="69"/>
  <c r="H2300" i="69"/>
  <c r="G2300" i="69"/>
  <c r="Q2299" i="69"/>
  <c r="P2299" i="69"/>
  <c r="O2299" i="69"/>
  <c r="N2299" i="69"/>
  <c r="M2299" i="69"/>
  <c r="L2299" i="69"/>
  <c r="K2299" i="69"/>
  <c r="J2299" i="69"/>
  <c r="I2299" i="69"/>
  <c r="H2299" i="69"/>
  <c r="G2299" i="69"/>
  <c r="Q2298" i="69"/>
  <c r="P2298" i="69"/>
  <c r="O2298" i="69"/>
  <c r="N2298" i="69"/>
  <c r="M2298" i="69"/>
  <c r="L2298" i="69"/>
  <c r="K2298" i="69"/>
  <c r="J2298" i="69"/>
  <c r="I2298" i="69"/>
  <c r="H2298" i="69"/>
  <c r="G2298" i="69"/>
  <c r="Q2297" i="69"/>
  <c r="P2297" i="69"/>
  <c r="O2297" i="69"/>
  <c r="N2297" i="69"/>
  <c r="M2297" i="69"/>
  <c r="L2297" i="69"/>
  <c r="K2297" i="69"/>
  <c r="J2297" i="69"/>
  <c r="I2297" i="69"/>
  <c r="H2297" i="69"/>
  <c r="G2297" i="69"/>
  <c r="Q2296" i="69"/>
  <c r="P2296" i="69"/>
  <c r="O2296" i="69"/>
  <c r="N2296" i="69"/>
  <c r="M2296" i="69"/>
  <c r="L2296" i="69"/>
  <c r="K2296" i="69"/>
  <c r="J2296" i="69"/>
  <c r="I2296" i="69"/>
  <c r="H2296" i="69"/>
  <c r="G2296" i="69"/>
  <c r="Q2295" i="69"/>
  <c r="P2295" i="69"/>
  <c r="O2295" i="69"/>
  <c r="N2295" i="69"/>
  <c r="M2295" i="69"/>
  <c r="L2295" i="69"/>
  <c r="K2295" i="69"/>
  <c r="J2295" i="69"/>
  <c r="I2295" i="69"/>
  <c r="H2295" i="69"/>
  <c r="G2295" i="69"/>
  <c r="Q2294" i="69"/>
  <c r="P2294" i="69"/>
  <c r="O2294" i="69"/>
  <c r="N2294" i="69"/>
  <c r="M2294" i="69"/>
  <c r="L2294" i="69"/>
  <c r="K2294" i="69"/>
  <c r="J2294" i="69"/>
  <c r="I2294" i="69"/>
  <c r="H2294" i="69"/>
  <c r="G2294" i="69"/>
  <c r="Q2293" i="69"/>
  <c r="P2293" i="69"/>
  <c r="O2293" i="69"/>
  <c r="N2293" i="69"/>
  <c r="M2293" i="69"/>
  <c r="L2293" i="69"/>
  <c r="K2293" i="69"/>
  <c r="J2293" i="69"/>
  <c r="I2293" i="69"/>
  <c r="H2293" i="69"/>
  <c r="G2293" i="69"/>
  <c r="Q2292" i="69"/>
  <c r="P2292" i="69"/>
  <c r="O2292" i="69"/>
  <c r="N2292" i="69"/>
  <c r="M2292" i="69"/>
  <c r="L2292" i="69"/>
  <c r="K2292" i="69"/>
  <c r="J2292" i="69"/>
  <c r="I2292" i="69"/>
  <c r="H2292" i="69"/>
  <c r="G2292" i="69"/>
  <c r="Q2291" i="69"/>
  <c r="P2291" i="69"/>
  <c r="O2291" i="69"/>
  <c r="N2291" i="69"/>
  <c r="M2291" i="69"/>
  <c r="L2291" i="69"/>
  <c r="K2291" i="69"/>
  <c r="J2291" i="69"/>
  <c r="I2291" i="69"/>
  <c r="H2291" i="69"/>
  <c r="G2291" i="69"/>
  <c r="Q2290" i="69"/>
  <c r="P2290" i="69"/>
  <c r="O2290" i="69"/>
  <c r="N2290" i="69"/>
  <c r="M2290" i="69"/>
  <c r="L2290" i="69"/>
  <c r="K2290" i="69"/>
  <c r="J2290" i="69"/>
  <c r="I2290" i="69"/>
  <c r="H2290" i="69"/>
  <c r="G2290" i="69"/>
  <c r="Q2289" i="69"/>
  <c r="P2289" i="69"/>
  <c r="O2289" i="69"/>
  <c r="N2289" i="69"/>
  <c r="M2289" i="69"/>
  <c r="L2289" i="69"/>
  <c r="K2289" i="69"/>
  <c r="J2289" i="69"/>
  <c r="I2289" i="69"/>
  <c r="H2289" i="69"/>
  <c r="G2289" i="69"/>
  <c r="Q2288" i="69"/>
  <c r="P2288" i="69"/>
  <c r="O2288" i="69"/>
  <c r="N2288" i="69"/>
  <c r="M2288" i="69"/>
  <c r="L2288" i="69"/>
  <c r="K2288" i="69"/>
  <c r="J2288" i="69"/>
  <c r="I2288" i="69"/>
  <c r="H2288" i="69"/>
  <c r="G2288" i="69"/>
  <c r="Q2287" i="69"/>
  <c r="P2287" i="69"/>
  <c r="O2287" i="69"/>
  <c r="N2287" i="69"/>
  <c r="M2287" i="69"/>
  <c r="L2287" i="69"/>
  <c r="K2287" i="69"/>
  <c r="J2287" i="69"/>
  <c r="I2287" i="69"/>
  <c r="H2287" i="69"/>
  <c r="G2287" i="69"/>
  <c r="Q2286" i="69"/>
  <c r="P2286" i="69"/>
  <c r="O2286" i="69"/>
  <c r="N2286" i="69"/>
  <c r="M2286" i="69"/>
  <c r="L2286" i="69"/>
  <c r="K2286" i="69"/>
  <c r="J2286" i="69"/>
  <c r="I2286" i="69"/>
  <c r="H2286" i="69"/>
  <c r="G2286" i="69"/>
  <c r="Q2285" i="69"/>
  <c r="P2285" i="69"/>
  <c r="O2285" i="69"/>
  <c r="N2285" i="69"/>
  <c r="M2285" i="69"/>
  <c r="L2285" i="69"/>
  <c r="K2285" i="69"/>
  <c r="J2285" i="69"/>
  <c r="I2285" i="69"/>
  <c r="H2285" i="69"/>
  <c r="G2285" i="69"/>
  <c r="Q2284" i="69"/>
  <c r="P2284" i="69"/>
  <c r="O2284" i="69"/>
  <c r="N2284" i="69"/>
  <c r="M2284" i="69"/>
  <c r="L2284" i="69"/>
  <c r="K2284" i="69"/>
  <c r="J2284" i="69"/>
  <c r="I2284" i="69"/>
  <c r="H2284" i="69"/>
  <c r="G2284" i="69"/>
  <c r="Q2283" i="69"/>
  <c r="P2283" i="69"/>
  <c r="O2283" i="69"/>
  <c r="N2283" i="69"/>
  <c r="M2283" i="69"/>
  <c r="L2283" i="69"/>
  <c r="K2283" i="69"/>
  <c r="J2283" i="69"/>
  <c r="I2283" i="69"/>
  <c r="H2283" i="69"/>
  <c r="G2283" i="69"/>
  <c r="Q2282" i="69"/>
  <c r="P2282" i="69"/>
  <c r="O2282" i="69"/>
  <c r="N2282" i="69"/>
  <c r="M2282" i="69"/>
  <c r="L2282" i="69"/>
  <c r="K2282" i="69"/>
  <c r="J2282" i="69"/>
  <c r="I2282" i="69"/>
  <c r="H2282" i="69"/>
  <c r="G2282" i="69"/>
  <c r="Q2281" i="69"/>
  <c r="P2281" i="69"/>
  <c r="O2281" i="69"/>
  <c r="N2281" i="69"/>
  <c r="M2281" i="69"/>
  <c r="L2281" i="69"/>
  <c r="K2281" i="69"/>
  <c r="J2281" i="69"/>
  <c r="I2281" i="69"/>
  <c r="H2281" i="69"/>
  <c r="G2281" i="69"/>
  <c r="Q2280" i="69"/>
  <c r="P2280" i="69"/>
  <c r="O2280" i="69"/>
  <c r="N2280" i="69"/>
  <c r="M2280" i="69"/>
  <c r="L2280" i="69"/>
  <c r="K2280" i="69"/>
  <c r="J2280" i="69"/>
  <c r="I2280" i="69"/>
  <c r="H2280" i="69"/>
  <c r="G2280" i="69"/>
  <c r="Q2279" i="69"/>
  <c r="P2279" i="69"/>
  <c r="O2279" i="69"/>
  <c r="N2279" i="69"/>
  <c r="M2279" i="69"/>
  <c r="L2279" i="69"/>
  <c r="K2279" i="69"/>
  <c r="J2279" i="69"/>
  <c r="I2279" i="69"/>
  <c r="H2279" i="69"/>
  <c r="G2279" i="69"/>
  <c r="Q2278" i="69"/>
  <c r="P2278" i="69"/>
  <c r="O2278" i="69"/>
  <c r="N2278" i="69"/>
  <c r="M2278" i="69"/>
  <c r="L2278" i="69"/>
  <c r="K2278" i="69"/>
  <c r="J2278" i="69"/>
  <c r="I2278" i="69"/>
  <c r="H2278" i="69"/>
  <c r="G2278" i="69"/>
  <c r="Q2277" i="69"/>
  <c r="P2277" i="69"/>
  <c r="O2277" i="69"/>
  <c r="N2277" i="69"/>
  <c r="M2277" i="69"/>
  <c r="L2277" i="69"/>
  <c r="K2277" i="69"/>
  <c r="J2277" i="69"/>
  <c r="I2277" i="69"/>
  <c r="H2277" i="69"/>
  <c r="G2277" i="69"/>
  <c r="Q2276" i="69"/>
  <c r="P2276" i="69"/>
  <c r="O2276" i="69"/>
  <c r="N2276" i="69"/>
  <c r="M2276" i="69"/>
  <c r="L2276" i="69"/>
  <c r="K2276" i="69"/>
  <c r="J2276" i="69"/>
  <c r="I2276" i="69"/>
  <c r="H2276" i="69"/>
  <c r="G2276" i="69"/>
  <c r="Q2275" i="69"/>
  <c r="P2275" i="69"/>
  <c r="O2275" i="69"/>
  <c r="N2275" i="69"/>
  <c r="M2275" i="69"/>
  <c r="L2275" i="69"/>
  <c r="K2275" i="69"/>
  <c r="J2275" i="69"/>
  <c r="I2275" i="69"/>
  <c r="H2275" i="69"/>
  <c r="G2275" i="69"/>
  <c r="Q2274" i="69"/>
  <c r="P2274" i="69"/>
  <c r="O2274" i="69"/>
  <c r="N2274" i="69"/>
  <c r="M2274" i="69"/>
  <c r="L2274" i="69"/>
  <c r="K2274" i="69"/>
  <c r="J2274" i="69"/>
  <c r="I2274" i="69"/>
  <c r="H2274" i="69"/>
  <c r="G2274" i="69"/>
  <c r="Q2273" i="69"/>
  <c r="P2273" i="69"/>
  <c r="O2273" i="69"/>
  <c r="N2273" i="69"/>
  <c r="M2273" i="69"/>
  <c r="L2273" i="69"/>
  <c r="K2273" i="69"/>
  <c r="J2273" i="69"/>
  <c r="I2273" i="69"/>
  <c r="H2273" i="69"/>
  <c r="G2273" i="69"/>
  <c r="Q2272" i="69"/>
  <c r="P2272" i="69"/>
  <c r="O2272" i="69"/>
  <c r="N2272" i="69"/>
  <c r="M2272" i="69"/>
  <c r="L2272" i="69"/>
  <c r="K2272" i="69"/>
  <c r="J2272" i="69"/>
  <c r="I2272" i="69"/>
  <c r="H2272" i="69"/>
  <c r="G2272" i="69"/>
  <c r="Q2271" i="69"/>
  <c r="P2271" i="69"/>
  <c r="O2271" i="69"/>
  <c r="N2271" i="69"/>
  <c r="M2271" i="69"/>
  <c r="L2271" i="69"/>
  <c r="K2271" i="69"/>
  <c r="J2271" i="69"/>
  <c r="I2271" i="69"/>
  <c r="H2271" i="69"/>
  <c r="G2271" i="69"/>
  <c r="Q2270" i="69"/>
  <c r="P2270" i="69"/>
  <c r="O2270" i="69"/>
  <c r="N2270" i="69"/>
  <c r="M2270" i="69"/>
  <c r="L2270" i="69"/>
  <c r="K2270" i="69"/>
  <c r="J2270" i="69"/>
  <c r="I2270" i="69"/>
  <c r="H2270" i="69"/>
  <c r="G2270" i="69"/>
  <c r="Q2269" i="69"/>
  <c r="P2269" i="69"/>
  <c r="O2269" i="69"/>
  <c r="N2269" i="69"/>
  <c r="M2269" i="69"/>
  <c r="L2269" i="69"/>
  <c r="K2269" i="69"/>
  <c r="J2269" i="69"/>
  <c r="I2269" i="69"/>
  <c r="H2269" i="69"/>
  <c r="G2269" i="69"/>
  <c r="Q2268" i="69"/>
  <c r="P2268" i="69"/>
  <c r="O2268" i="69"/>
  <c r="N2268" i="69"/>
  <c r="M2268" i="69"/>
  <c r="L2268" i="69"/>
  <c r="K2268" i="69"/>
  <c r="J2268" i="69"/>
  <c r="I2268" i="69"/>
  <c r="H2268" i="69"/>
  <c r="G2268" i="69"/>
  <c r="Q2267" i="69"/>
  <c r="P2267" i="69"/>
  <c r="O2267" i="69"/>
  <c r="N2267" i="69"/>
  <c r="M2267" i="69"/>
  <c r="L2267" i="69"/>
  <c r="K2267" i="69"/>
  <c r="J2267" i="69"/>
  <c r="I2267" i="69"/>
  <c r="H2267" i="69"/>
  <c r="G2267" i="69"/>
  <c r="Q2266" i="69"/>
  <c r="P2266" i="69"/>
  <c r="O2266" i="69"/>
  <c r="N2266" i="69"/>
  <c r="M2266" i="69"/>
  <c r="L2266" i="69"/>
  <c r="K2266" i="69"/>
  <c r="J2266" i="69"/>
  <c r="I2266" i="69"/>
  <c r="H2266" i="69"/>
  <c r="G2266" i="69"/>
  <c r="Q2265" i="69"/>
  <c r="P2265" i="69"/>
  <c r="O2265" i="69"/>
  <c r="N2265" i="69"/>
  <c r="M2265" i="69"/>
  <c r="L2265" i="69"/>
  <c r="K2265" i="69"/>
  <c r="J2265" i="69"/>
  <c r="I2265" i="69"/>
  <c r="H2265" i="69"/>
  <c r="G2265" i="69"/>
  <c r="Q2264" i="69"/>
  <c r="P2264" i="69"/>
  <c r="O2264" i="69"/>
  <c r="N2264" i="69"/>
  <c r="M2264" i="69"/>
  <c r="L2264" i="69"/>
  <c r="K2264" i="69"/>
  <c r="J2264" i="69"/>
  <c r="I2264" i="69"/>
  <c r="H2264" i="69"/>
  <c r="G2264" i="69"/>
  <c r="Q2263" i="69"/>
  <c r="P2263" i="69"/>
  <c r="O2263" i="69"/>
  <c r="N2263" i="69"/>
  <c r="M2263" i="69"/>
  <c r="L2263" i="69"/>
  <c r="K2263" i="69"/>
  <c r="J2263" i="69"/>
  <c r="I2263" i="69"/>
  <c r="H2263" i="69"/>
  <c r="G2263" i="69"/>
  <c r="Q2262" i="69"/>
  <c r="P2262" i="69"/>
  <c r="O2262" i="69"/>
  <c r="N2262" i="69"/>
  <c r="M2262" i="69"/>
  <c r="L2262" i="69"/>
  <c r="K2262" i="69"/>
  <c r="J2262" i="69"/>
  <c r="I2262" i="69"/>
  <c r="H2262" i="69"/>
  <c r="G2262" i="69"/>
  <c r="Q2261" i="69"/>
  <c r="P2261" i="69"/>
  <c r="O2261" i="69"/>
  <c r="N2261" i="69"/>
  <c r="M2261" i="69"/>
  <c r="L2261" i="69"/>
  <c r="K2261" i="69"/>
  <c r="J2261" i="69"/>
  <c r="I2261" i="69"/>
  <c r="H2261" i="69"/>
  <c r="G2261" i="69"/>
  <c r="Q2260" i="69"/>
  <c r="P2260" i="69"/>
  <c r="O2260" i="69"/>
  <c r="N2260" i="69"/>
  <c r="M2260" i="69"/>
  <c r="L2260" i="69"/>
  <c r="K2260" i="69"/>
  <c r="J2260" i="69"/>
  <c r="I2260" i="69"/>
  <c r="H2260" i="69"/>
  <c r="G2260" i="69"/>
  <c r="Q2259" i="69"/>
  <c r="P2259" i="69"/>
  <c r="O2259" i="69"/>
  <c r="N2259" i="69"/>
  <c r="M2259" i="69"/>
  <c r="L2259" i="69"/>
  <c r="K2259" i="69"/>
  <c r="J2259" i="69"/>
  <c r="I2259" i="69"/>
  <c r="H2259" i="69"/>
  <c r="G2259" i="69"/>
  <c r="Q2258" i="69"/>
  <c r="P2258" i="69"/>
  <c r="O2258" i="69"/>
  <c r="N2258" i="69"/>
  <c r="M2258" i="69"/>
  <c r="L2258" i="69"/>
  <c r="K2258" i="69"/>
  <c r="J2258" i="69"/>
  <c r="I2258" i="69"/>
  <c r="H2258" i="69"/>
  <c r="G2258" i="69"/>
  <c r="Q2257" i="69"/>
  <c r="P2257" i="69"/>
  <c r="O2257" i="69"/>
  <c r="N2257" i="69"/>
  <c r="M2257" i="69"/>
  <c r="L2257" i="69"/>
  <c r="K2257" i="69"/>
  <c r="J2257" i="69"/>
  <c r="I2257" i="69"/>
  <c r="H2257" i="69"/>
  <c r="G2257" i="69"/>
  <c r="Q2256" i="69"/>
  <c r="P2256" i="69"/>
  <c r="O2256" i="69"/>
  <c r="N2256" i="69"/>
  <c r="M2256" i="69"/>
  <c r="L2256" i="69"/>
  <c r="K2256" i="69"/>
  <c r="J2256" i="69"/>
  <c r="I2256" i="69"/>
  <c r="H2256" i="69"/>
  <c r="G2256" i="69"/>
  <c r="Q2255" i="69"/>
  <c r="P2255" i="69"/>
  <c r="O2255" i="69"/>
  <c r="N2255" i="69"/>
  <c r="M2255" i="69"/>
  <c r="L2255" i="69"/>
  <c r="K2255" i="69"/>
  <c r="J2255" i="69"/>
  <c r="I2255" i="69"/>
  <c r="H2255" i="69"/>
  <c r="G2255" i="69"/>
  <c r="Q2254" i="69"/>
  <c r="P2254" i="69"/>
  <c r="O2254" i="69"/>
  <c r="N2254" i="69"/>
  <c r="M2254" i="69"/>
  <c r="L2254" i="69"/>
  <c r="K2254" i="69"/>
  <c r="J2254" i="69"/>
  <c r="I2254" i="69"/>
  <c r="H2254" i="69"/>
  <c r="G2254" i="69"/>
  <c r="Q2253" i="69"/>
  <c r="P2253" i="69"/>
  <c r="O2253" i="69"/>
  <c r="N2253" i="69"/>
  <c r="M2253" i="69"/>
  <c r="L2253" i="69"/>
  <c r="K2253" i="69"/>
  <c r="J2253" i="69"/>
  <c r="I2253" i="69"/>
  <c r="H2253" i="69"/>
  <c r="G2253" i="69"/>
  <c r="Q2252" i="69"/>
  <c r="P2252" i="69"/>
  <c r="O2252" i="69"/>
  <c r="N2252" i="69"/>
  <c r="M2252" i="69"/>
  <c r="L2252" i="69"/>
  <c r="K2252" i="69"/>
  <c r="J2252" i="69"/>
  <c r="I2252" i="69"/>
  <c r="H2252" i="69"/>
  <c r="G2252" i="69"/>
  <c r="Q2251" i="69"/>
  <c r="P2251" i="69"/>
  <c r="O2251" i="69"/>
  <c r="N2251" i="69"/>
  <c r="M2251" i="69"/>
  <c r="L2251" i="69"/>
  <c r="K2251" i="69"/>
  <c r="J2251" i="69"/>
  <c r="I2251" i="69"/>
  <c r="H2251" i="69"/>
  <c r="G2251" i="69"/>
  <c r="Q2250" i="69"/>
  <c r="P2250" i="69"/>
  <c r="O2250" i="69"/>
  <c r="N2250" i="69"/>
  <c r="M2250" i="69"/>
  <c r="L2250" i="69"/>
  <c r="K2250" i="69"/>
  <c r="J2250" i="69"/>
  <c r="I2250" i="69"/>
  <c r="H2250" i="69"/>
  <c r="G2250" i="69"/>
  <c r="Q2249" i="69"/>
  <c r="P2249" i="69"/>
  <c r="O2249" i="69"/>
  <c r="N2249" i="69"/>
  <c r="M2249" i="69"/>
  <c r="L2249" i="69"/>
  <c r="K2249" i="69"/>
  <c r="J2249" i="69"/>
  <c r="I2249" i="69"/>
  <c r="H2249" i="69"/>
  <c r="G2249" i="69"/>
  <c r="Q2248" i="69"/>
  <c r="P2248" i="69"/>
  <c r="O2248" i="69"/>
  <c r="N2248" i="69"/>
  <c r="M2248" i="69"/>
  <c r="L2248" i="69"/>
  <c r="K2248" i="69"/>
  <c r="J2248" i="69"/>
  <c r="I2248" i="69"/>
  <c r="H2248" i="69"/>
  <c r="G2248" i="69"/>
  <c r="Q2247" i="69"/>
  <c r="P2247" i="69"/>
  <c r="O2247" i="69"/>
  <c r="N2247" i="69"/>
  <c r="M2247" i="69"/>
  <c r="L2247" i="69"/>
  <c r="K2247" i="69"/>
  <c r="J2247" i="69"/>
  <c r="I2247" i="69"/>
  <c r="H2247" i="69"/>
  <c r="G2247" i="69"/>
  <c r="Q2246" i="69"/>
  <c r="P2246" i="69"/>
  <c r="O2246" i="69"/>
  <c r="N2246" i="69"/>
  <c r="M2246" i="69"/>
  <c r="L2246" i="69"/>
  <c r="K2246" i="69"/>
  <c r="J2246" i="69"/>
  <c r="I2246" i="69"/>
  <c r="H2246" i="69"/>
  <c r="G2246" i="69"/>
  <c r="Q2245" i="69"/>
  <c r="P2245" i="69"/>
  <c r="O2245" i="69"/>
  <c r="N2245" i="69"/>
  <c r="M2245" i="69"/>
  <c r="L2245" i="69"/>
  <c r="K2245" i="69"/>
  <c r="J2245" i="69"/>
  <c r="I2245" i="69"/>
  <c r="H2245" i="69"/>
  <c r="G2245" i="69"/>
  <c r="Q2244" i="69"/>
  <c r="P2244" i="69"/>
  <c r="O2244" i="69"/>
  <c r="N2244" i="69"/>
  <c r="M2244" i="69"/>
  <c r="L2244" i="69"/>
  <c r="K2244" i="69"/>
  <c r="J2244" i="69"/>
  <c r="I2244" i="69"/>
  <c r="H2244" i="69"/>
  <c r="G2244" i="69"/>
  <c r="Q2243" i="69"/>
  <c r="P2243" i="69"/>
  <c r="O2243" i="69"/>
  <c r="N2243" i="69"/>
  <c r="M2243" i="69"/>
  <c r="L2243" i="69"/>
  <c r="K2243" i="69"/>
  <c r="J2243" i="69"/>
  <c r="I2243" i="69"/>
  <c r="H2243" i="69"/>
  <c r="G2243" i="69"/>
  <c r="Q2242" i="69"/>
  <c r="P2242" i="69"/>
  <c r="O2242" i="69"/>
  <c r="N2242" i="69"/>
  <c r="M2242" i="69"/>
  <c r="L2242" i="69"/>
  <c r="K2242" i="69"/>
  <c r="J2242" i="69"/>
  <c r="I2242" i="69"/>
  <c r="H2242" i="69"/>
  <c r="G2242" i="69"/>
  <c r="Q2241" i="69"/>
  <c r="P2241" i="69"/>
  <c r="O2241" i="69"/>
  <c r="N2241" i="69"/>
  <c r="M2241" i="69"/>
  <c r="L2241" i="69"/>
  <c r="K2241" i="69"/>
  <c r="J2241" i="69"/>
  <c r="I2241" i="69"/>
  <c r="H2241" i="69"/>
  <c r="G2241" i="69"/>
  <c r="Q2240" i="69"/>
  <c r="P2240" i="69"/>
  <c r="O2240" i="69"/>
  <c r="N2240" i="69"/>
  <c r="M2240" i="69"/>
  <c r="L2240" i="69"/>
  <c r="K2240" i="69"/>
  <c r="J2240" i="69"/>
  <c r="I2240" i="69"/>
  <c r="H2240" i="69"/>
  <c r="G2240" i="69"/>
  <c r="Q2239" i="69"/>
  <c r="P2239" i="69"/>
  <c r="O2239" i="69"/>
  <c r="N2239" i="69"/>
  <c r="M2239" i="69"/>
  <c r="L2239" i="69"/>
  <c r="K2239" i="69"/>
  <c r="J2239" i="69"/>
  <c r="I2239" i="69"/>
  <c r="H2239" i="69"/>
  <c r="G2239" i="69"/>
  <c r="Q2238" i="69"/>
  <c r="P2238" i="69"/>
  <c r="O2238" i="69"/>
  <c r="N2238" i="69"/>
  <c r="M2238" i="69"/>
  <c r="L2238" i="69"/>
  <c r="K2238" i="69"/>
  <c r="J2238" i="69"/>
  <c r="I2238" i="69"/>
  <c r="H2238" i="69"/>
  <c r="G2238" i="69"/>
  <c r="Q2237" i="69"/>
  <c r="P2237" i="69"/>
  <c r="O2237" i="69"/>
  <c r="N2237" i="69"/>
  <c r="M2237" i="69"/>
  <c r="L2237" i="69"/>
  <c r="K2237" i="69"/>
  <c r="J2237" i="69"/>
  <c r="I2237" i="69"/>
  <c r="H2237" i="69"/>
  <c r="G2237" i="69"/>
  <c r="Q2236" i="69"/>
  <c r="P2236" i="69"/>
  <c r="O2236" i="69"/>
  <c r="N2236" i="69"/>
  <c r="M2236" i="69"/>
  <c r="L2236" i="69"/>
  <c r="K2236" i="69"/>
  <c r="J2236" i="69"/>
  <c r="I2236" i="69"/>
  <c r="H2236" i="69"/>
  <c r="G2236" i="69"/>
  <c r="Q2235" i="69"/>
  <c r="P2235" i="69"/>
  <c r="O2235" i="69"/>
  <c r="N2235" i="69"/>
  <c r="M2235" i="69"/>
  <c r="L2235" i="69"/>
  <c r="K2235" i="69"/>
  <c r="J2235" i="69"/>
  <c r="I2235" i="69"/>
  <c r="H2235" i="69"/>
  <c r="G2235" i="69"/>
  <c r="Q2234" i="69"/>
  <c r="P2234" i="69"/>
  <c r="O2234" i="69"/>
  <c r="N2234" i="69"/>
  <c r="M2234" i="69"/>
  <c r="L2234" i="69"/>
  <c r="K2234" i="69"/>
  <c r="J2234" i="69"/>
  <c r="I2234" i="69"/>
  <c r="H2234" i="69"/>
  <c r="G2234" i="69"/>
  <c r="Q2233" i="69"/>
  <c r="P2233" i="69"/>
  <c r="O2233" i="69"/>
  <c r="N2233" i="69"/>
  <c r="M2233" i="69"/>
  <c r="L2233" i="69"/>
  <c r="K2233" i="69"/>
  <c r="J2233" i="69"/>
  <c r="I2233" i="69"/>
  <c r="H2233" i="69"/>
  <c r="G2233" i="69"/>
  <c r="Q2232" i="69"/>
  <c r="P2232" i="69"/>
  <c r="O2232" i="69"/>
  <c r="N2232" i="69"/>
  <c r="M2232" i="69"/>
  <c r="L2232" i="69"/>
  <c r="K2232" i="69"/>
  <c r="J2232" i="69"/>
  <c r="I2232" i="69"/>
  <c r="H2232" i="69"/>
  <c r="G2232" i="69"/>
  <c r="Q2231" i="69"/>
  <c r="P2231" i="69"/>
  <c r="O2231" i="69"/>
  <c r="N2231" i="69"/>
  <c r="M2231" i="69"/>
  <c r="L2231" i="69"/>
  <c r="K2231" i="69"/>
  <c r="J2231" i="69"/>
  <c r="I2231" i="69"/>
  <c r="H2231" i="69"/>
  <c r="G2231" i="69"/>
  <c r="Q2230" i="69"/>
  <c r="P2230" i="69"/>
  <c r="O2230" i="69"/>
  <c r="N2230" i="69"/>
  <c r="M2230" i="69"/>
  <c r="L2230" i="69"/>
  <c r="K2230" i="69"/>
  <c r="J2230" i="69"/>
  <c r="I2230" i="69"/>
  <c r="H2230" i="69"/>
  <c r="G2230" i="69"/>
  <c r="Q2229" i="69"/>
  <c r="P2229" i="69"/>
  <c r="O2229" i="69"/>
  <c r="N2229" i="69"/>
  <c r="M2229" i="69"/>
  <c r="L2229" i="69"/>
  <c r="K2229" i="69"/>
  <c r="J2229" i="69"/>
  <c r="I2229" i="69"/>
  <c r="H2229" i="69"/>
  <c r="G2229" i="69"/>
  <c r="Q2228" i="69"/>
  <c r="P2228" i="69"/>
  <c r="O2228" i="69"/>
  <c r="N2228" i="69"/>
  <c r="M2228" i="69"/>
  <c r="L2228" i="69"/>
  <c r="K2228" i="69"/>
  <c r="J2228" i="69"/>
  <c r="I2228" i="69"/>
  <c r="H2228" i="69"/>
  <c r="G2228" i="69"/>
  <c r="Q2227" i="69"/>
  <c r="P2227" i="69"/>
  <c r="O2227" i="69"/>
  <c r="N2227" i="69"/>
  <c r="M2227" i="69"/>
  <c r="L2227" i="69"/>
  <c r="K2227" i="69"/>
  <c r="J2227" i="69"/>
  <c r="I2227" i="69"/>
  <c r="H2227" i="69"/>
  <c r="G2227" i="69"/>
  <c r="Q2226" i="69"/>
  <c r="P2226" i="69"/>
  <c r="O2226" i="69"/>
  <c r="N2226" i="69"/>
  <c r="M2226" i="69"/>
  <c r="L2226" i="69"/>
  <c r="K2226" i="69"/>
  <c r="J2226" i="69"/>
  <c r="I2226" i="69"/>
  <c r="H2226" i="69"/>
  <c r="G2226" i="69"/>
  <c r="Q2225" i="69"/>
  <c r="P2225" i="69"/>
  <c r="O2225" i="69"/>
  <c r="N2225" i="69"/>
  <c r="M2225" i="69"/>
  <c r="L2225" i="69"/>
  <c r="K2225" i="69"/>
  <c r="J2225" i="69"/>
  <c r="I2225" i="69"/>
  <c r="H2225" i="69"/>
  <c r="G2225" i="69"/>
  <c r="Q2224" i="69"/>
  <c r="P2224" i="69"/>
  <c r="O2224" i="69"/>
  <c r="N2224" i="69"/>
  <c r="M2224" i="69"/>
  <c r="L2224" i="69"/>
  <c r="K2224" i="69"/>
  <c r="J2224" i="69"/>
  <c r="I2224" i="69"/>
  <c r="H2224" i="69"/>
  <c r="G2224" i="69"/>
  <c r="Q2223" i="69"/>
  <c r="P2223" i="69"/>
  <c r="O2223" i="69"/>
  <c r="N2223" i="69"/>
  <c r="M2223" i="69"/>
  <c r="L2223" i="69"/>
  <c r="K2223" i="69"/>
  <c r="J2223" i="69"/>
  <c r="I2223" i="69"/>
  <c r="H2223" i="69"/>
  <c r="G2223" i="69"/>
  <c r="Q2222" i="69"/>
  <c r="P2222" i="69"/>
  <c r="O2222" i="69"/>
  <c r="N2222" i="69"/>
  <c r="M2222" i="69"/>
  <c r="L2222" i="69"/>
  <c r="K2222" i="69"/>
  <c r="J2222" i="69"/>
  <c r="I2222" i="69"/>
  <c r="H2222" i="69"/>
  <c r="G2222" i="69"/>
  <c r="Q2221" i="69"/>
  <c r="P2221" i="69"/>
  <c r="O2221" i="69"/>
  <c r="N2221" i="69"/>
  <c r="M2221" i="69"/>
  <c r="L2221" i="69"/>
  <c r="K2221" i="69"/>
  <c r="J2221" i="69"/>
  <c r="I2221" i="69"/>
  <c r="H2221" i="69"/>
  <c r="G2221" i="69"/>
  <c r="Q2220" i="69"/>
  <c r="P2220" i="69"/>
  <c r="O2220" i="69"/>
  <c r="N2220" i="69"/>
  <c r="M2220" i="69"/>
  <c r="L2220" i="69"/>
  <c r="K2220" i="69"/>
  <c r="J2220" i="69"/>
  <c r="I2220" i="69"/>
  <c r="H2220" i="69"/>
  <c r="G2220" i="69"/>
  <c r="Q2219" i="69"/>
  <c r="P2219" i="69"/>
  <c r="O2219" i="69"/>
  <c r="N2219" i="69"/>
  <c r="M2219" i="69"/>
  <c r="L2219" i="69"/>
  <c r="K2219" i="69"/>
  <c r="J2219" i="69"/>
  <c r="I2219" i="69"/>
  <c r="H2219" i="69"/>
  <c r="G2219" i="69"/>
  <c r="Q2218" i="69"/>
  <c r="P2218" i="69"/>
  <c r="O2218" i="69"/>
  <c r="N2218" i="69"/>
  <c r="M2218" i="69"/>
  <c r="L2218" i="69"/>
  <c r="K2218" i="69"/>
  <c r="J2218" i="69"/>
  <c r="I2218" i="69"/>
  <c r="H2218" i="69"/>
  <c r="G2218" i="69"/>
  <c r="Q2217" i="69"/>
  <c r="P2217" i="69"/>
  <c r="O2217" i="69"/>
  <c r="N2217" i="69"/>
  <c r="M2217" i="69"/>
  <c r="L2217" i="69"/>
  <c r="K2217" i="69"/>
  <c r="J2217" i="69"/>
  <c r="I2217" i="69"/>
  <c r="H2217" i="69"/>
  <c r="G2217" i="69"/>
  <c r="Q2216" i="69"/>
  <c r="P2216" i="69"/>
  <c r="O2216" i="69"/>
  <c r="N2216" i="69"/>
  <c r="M2216" i="69"/>
  <c r="L2216" i="69"/>
  <c r="K2216" i="69"/>
  <c r="J2216" i="69"/>
  <c r="I2216" i="69"/>
  <c r="H2216" i="69"/>
  <c r="G2216" i="69"/>
  <c r="Q2215" i="69"/>
  <c r="P2215" i="69"/>
  <c r="O2215" i="69"/>
  <c r="N2215" i="69"/>
  <c r="M2215" i="69"/>
  <c r="L2215" i="69"/>
  <c r="K2215" i="69"/>
  <c r="J2215" i="69"/>
  <c r="I2215" i="69"/>
  <c r="H2215" i="69"/>
  <c r="G2215" i="69"/>
  <c r="Q2214" i="69"/>
  <c r="P2214" i="69"/>
  <c r="O2214" i="69"/>
  <c r="N2214" i="69"/>
  <c r="M2214" i="69"/>
  <c r="L2214" i="69"/>
  <c r="K2214" i="69"/>
  <c r="J2214" i="69"/>
  <c r="I2214" i="69"/>
  <c r="H2214" i="69"/>
  <c r="G2214" i="69"/>
  <c r="Q2213" i="69"/>
  <c r="P2213" i="69"/>
  <c r="O2213" i="69"/>
  <c r="N2213" i="69"/>
  <c r="M2213" i="69"/>
  <c r="L2213" i="69"/>
  <c r="K2213" i="69"/>
  <c r="J2213" i="69"/>
  <c r="I2213" i="69"/>
  <c r="H2213" i="69"/>
  <c r="G2213" i="69"/>
  <c r="Q2212" i="69"/>
  <c r="P2212" i="69"/>
  <c r="O2212" i="69"/>
  <c r="N2212" i="69"/>
  <c r="M2212" i="69"/>
  <c r="L2212" i="69"/>
  <c r="K2212" i="69"/>
  <c r="J2212" i="69"/>
  <c r="I2212" i="69"/>
  <c r="H2212" i="69"/>
  <c r="G2212" i="69"/>
  <c r="Q2211" i="69"/>
  <c r="P2211" i="69"/>
  <c r="O2211" i="69"/>
  <c r="N2211" i="69"/>
  <c r="M2211" i="69"/>
  <c r="L2211" i="69"/>
  <c r="K2211" i="69"/>
  <c r="J2211" i="69"/>
  <c r="I2211" i="69"/>
  <c r="H2211" i="69"/>
  <c r="G2211" i="69"/>
  <c r="Q2210" i="69"/>
  <c r="P2210" i="69"/>
  <c r="O2210" i="69"/>
  <c r="N2210" i="69"/>
  <c r="M2210" i="69"/>
  <c r="L2210" i="69"/>
  <c r="K2210" i="69"/>
  <c r="J2210" i="69"/>
  <c r="I2210" i="69"/>
  <c r="H2210" i="69"/>
  <c r="G2210" i="69"/>
  <c r="Q2209" i="69"/>
  <c r="P2209" i="69"/>
  <c r="O2209" i="69"/>
  <c r="N2209" i="69"/>
  <c r="M2209" i="69"/>
  <c r="L2209" i="69"/>
  <c r="K2209" i="69"/>
  <c r="J2209" i="69"/>
  <c r="I2209" i="69"/>
  <c r="H2209" i="69"/>
  <c r="G2209" i="69"/>
  <c r="Q2208" i="69"/>
  <c r="P2208" i="69"/>
  <c r="O2208" i="69"/>
  <c r="N2208" i="69"/>
  <c r="M2208" i="69"/>
  <c r="L2208" i="69"/>
  <c r="K2208" i="69"/>
  <c r="J2208" i="69"/>
  <c r="I2208" i="69"/>
  <c r="H2208" i="69"/>
  <c r="G2208" i="69"/>
  <c r="Q2207" i="69"/>
  <c r="P2207" i="69"/>
  <c r="O2207" i="69"/>
  <c r="N2207" i="69"/>
  <c r="M2207" i="69"/>
  <c r="L2207" i="69"/>
  <c r="K2207" i="69"/>
  <c r="J2207" i="69"/>
  <c r="I2207" i="69"/>
  <c r="H2207" i="69"/>
  <c r="G2207" i="69"/>
  <c r="Q2206" i="69"/>
  <c r="P2206" i="69"/>
  <c r="O2206" i="69"/>
  <c r="N2206" i="69"/>
  <c r="M2206" i="69"/>
  <c r="L2206" i="69"/>
  <c r="K2206" i="69"/>
  <c r="J2206" i="69"/>
  <c r="I2206" i="69"/>
  <c r="H2206" i="69"/>
  <c r="G2206" i="69"/>
  <c r="Q2205" i="69"/>
  <c r="P2205" i="69"/>
  <c r="O2205" i="69"/>
  <c r="N2205" i="69"/>
  <c r="M2205" i="69"/>
  <c r="L2205" i="69"/>
  <c r="K2205" i="69"/>
  <c r="J2205" i="69"/>
  <c r="I2205" i="69"/>
  <c r="H2205" i="69"/>
  <c r="G2205" i="69"/>
  <c r="Q2204" i="69"/>
  <c r="P2204" i="69"/>
  <c r="O2204" i="69"/>
  <c r="N2204" i="69"/>
  <c r="M2204" i="69"/>
  <c r="L2204" i="69"/>
  <c r="K2204" i="69"/>
  <c r="J2204" i="69"/>
  <c r="I2204" i="69"/>
  <c r="H2204" i="69"/>
  <c r="G2204" i="69"/>
  <c r="Q2203" i="69"/>
  <c r="P2203" i="69"/>
  <c r="O2203" i="69"/>
  <c r="N2203" i="69"/>
  <c r="M2203" i="69"/>
  <c r="L2203" i="69"/>
  <c r="K2203" i="69"/>
  <c r="J2203" i="69"/>
  <c r="I2203" i="69"/>
  <c r="H2203" i="69"/>
  <c r="G2203" i="69"/>
  <c r="Q2202" i="69"/>
  <c r="P2202" i="69"/>
  <c r="O2202" i="69"/>
  <c r="N2202" i="69"/>
  <c r="M2202" i="69"/>
  <c r="L2202" i="69"/>
  <c r="K2202" i="69"/>
  <c r="J2202" i="69"/>
  <c r="I2202" i="69"/>
  <c r="H2202" i="69"/>
  <c r="G2202" i="69"/>
  <c r="Q2201" i="69"/>
  <c r="P2201" i="69"/>
  <c r="O2201" i="69"/>
  <c r="N2201" i="69"/>
  <c r="M2201" i="69"/>
  <c r="L2201" i="69"/>
  <c r="K2201" i="69"/>
  <c r="J2201" i="69"/>
  <c r="I2201" i="69"/>
  <c r="H2201" i="69"/>
  <c r="G2201" i="69"/>
  <c r="Q2200" i="69"/>
  <c r="P2200" i="69"/>
  <c r="O2200" i="69"/>
  <c r="N2200" i="69"/>
  <c r="M2200" i="69"/>
  <c r="L2200" i="69"/>
  <c r="K2200" i="69"/>
  <c r="J2200" i="69"/>
  <c r="I2200" i="69"/>
  <c r="H2200" i="69"/>
  <c r="G2200" i="69"/>
  <c r="Q2199" i="69"/>
  <c r="P2199" i="69"/>
  <c r="O2199" i="69"/>
  <c r="N2199" i="69"/>
  <c r="M2199" i="69"/>
  <c r="L2199" i="69"/>
  <c r="K2199" i="69"/>
  <c r="J2199" i="69"/>
  <c r="I2199" i="69"/>
  <c r="H2199" i="69"/>
  <c r="G2199" i="69"/>
  <c r="Q2198" i="69"/>
  <c r="P2198" i="69"/>
  <c r="O2198" i="69"/>
  <c r="N2198" i="69"/>
  <c r="M2198" i="69"/>
  <c r="L2198" i="69"/>
  <c r="K2198" i="69"/>
  <c r="J2198" i="69"/>
  <c r="I2198" i="69"/>
  <c r="H2198" i="69"/>
  <c r="G2198" i="69"/>
  <c r="Q2197" i="69"/>
  <c r="P2197" i="69"/>
  <c r="O2197" i="69"/>
  <c r="N2197" i="69"/>
  <c r="M2197" i="69"/>
  <c r="L2197" i="69"/>
  <c r="K2197" i="69"/>
  <c r="J2197" i="69"/>
  <c r="I2197" i="69"/>
  <c r="H2197" i="69"/>
  <c r="G2197" i="69"/>
  <c r="Q2196" i="69"/>
  <c r="P2196" i="69"/>
  <c r="O2196" i="69"/>
  <c r="N2196" i="69"/>
  <c r="M2196" i="69"/>
  <c r="L2196" i="69"/>
  <c r="K2196" i="69"/>
  <c r="J2196" i="69"/>
  <c r="I2196" i="69"/>
  <c r="H2196" i="69"/>
  <c r="G2196" i="69"/>
  <c r="Q2195" i="69"/>
  <c r="P2195" i="69"/>
  <c r="O2195" i="69"/>
  <c r="N2195" i="69"/>
  <c r="M2195" i="69"/>
  <c r="L2195" i="69"/>
  <c r="K2195" i="69"/>
  <c r="J2195" i="69"/>
  <c r="I2195" i="69"/>
  <c r="H2195" i="69"/>
  <c r="G2195" i="69"/>
  <c r="Q2194" i="69"/>
  <c r="P2194" i="69"/>
  <c r="O2194" i="69"/>
  <c r="N2194" i="69"/>
  <c r="M2194" i="69"/>
  <c r="L2194" i="69"/>
  <c r="K2194" i="69"/>
  <c r="J2194" i="69"/>
  <c r="I2194" i="69"/>
  <c r="H2194" i="69"/>
  <c r="G2194" i="69"/>
  <c r="Q2193" i="69"/>
  <c r="P2193" i="69"/>
  <c r="O2193" i="69"/>
  <c r="N2193" i="69"/>
  <c r="M2193" i="69"/>
  <c r="L2193" i="69"/>
  <c r="K2193" i="69"/>
  <c r="J2193" i="69"/>
  <c r="I2193" i="69"/>
  <c r="H2193" i="69"/>
  <c r="G2193" i="69"/>
  <c r="Q2192" i="69"/>
  <c r="P2192" i="69"/>
  <c r="O2192" i="69"/>
  <c r="N2192" i="69"/>
  <c r="M2192" i="69"/>
  <c r="L2192" i="69"/>
  <c r="K2192" i="69"/>
  <c r="J2192" i="69"/>
  <c r="I2192" i="69"/>
  <c r="H2192" i="69"/>
  <c r="G2192" i="69"/>
  <c r="Q2191" i="69"/>
  <c r="P2191" i="69"/>
  <c r="O2191" i="69"/>
  <c r="N2191" i="69"/>
  <c r="M2191" i="69"/>
  <c r="L2191" i="69"/>
  <c r="K2191" i="69"/>
  <c r="J2191" i="69"/>
  <c r="I2191" i="69"/>
  <c r="H2191" i="69"/>
  <c r="G2191" i="69"/>
  <c r="Q2190" i="69"/>
  <c r="P2190" i="69"/>
  <c r="O2190" i="69"/>
  <c r="N2190" i="69"/>
  <c r="M2190" i="69"/>
  <c r="L2190" i="69"/>
  <c r="K2190" i="69"/>
  <c r="J2190" i="69"/>
  <c r="I2190" i="69"/>
  <c r="H2190" i="69"/>
  <c r="G2190" i="69"/>
  <c r="Q2189" i="69"/>
  <c r="P2189" i="69"/>
  <c r="O2189" i="69"/>
  <c r="N2189" i="69"/>
  <c r="M2189" i="69"/>
  <c r="L2189" i="69"/>
  <c r="K2189" i="69"/>
  <c r="J2189" i="69"/>
  <c r="I2189" i="69"/>
  <c r="H2189" i="69"/>
  <c r="G2189" i="69"/>
  <c r="Q2188" i="69"/>
  <c r="P2188" i="69"/>
  <c r="O2188" i="69"/>
  <c r="N2188" i="69"/>
  <c r="M2188" i="69"/>
  <c r="L2188" i="69"/>
  <c r="K2188" i="69"/>
  <c r="J2188" i="69"/>
  <c r="I2188" i="69"/>
  <c r="H2188" i="69"/>
  <c r="G2188" i="69"/>
  <c r="Q2187" i="69"/>
  <c r="P2187" i="69"/>
  <c r="O2187" i="69"/>
  <c r="N2187" i="69"/>
  <c r="M2187" i="69"/>
  <c r="L2187" i="69"/>
  <c r="K2187" i="69"/>
  <c r="J2187" i="69"/>
  <c r="I2187" i="69"/>
  <c r="H2187" i="69"/>
  <c r="G2187" i="69"/>
  <c r="Q2186" i="69"/>
  <c r="P2186" i="69"/>
  <c r="O2186" i="69"/>
  <c r="N2186" i="69"/>
  <c r="M2186" i="69"/>
  <c r="L2186" i="69"/>
  <c r="K2186" i="69"/>
  <c r="J2186" i="69"/>
  <c r="I2186" i="69"/>
  <c r="H2186" i="69"/>
  <c r="G2186" i="69"/>
  <c r="Q2185" i="69"/>
  <c r="P2185" i="69"/>
  <c r="O2185" i="69"/>
  <c r="N2185" i="69"/>
  <c r="M2185" i="69"/>
  <c r="L2185" i="69"/>
  <c r="K2185" i="69"/>
  <c r="J2185" i="69"/>
  <c r="I2185" i="69"/>
  <c r="H2185" i="69"/>
  <c r="G2185" i="69"/>
  <c r="Q2184" i="69"/>
  <c r="P2184" i="69"/>
  <c r="O2184" i="69"/>
  <c r="N2184" i="69"/>
  <c r="M2184" i="69"/>
  <c r="L2184" i="69"/>
  <c r="K2184" i="69"/>
  <c r="J2184" i="69"/>
  <c r="I2184" i="69"/>
  <c r="H2184" i="69"/>
  <c r="G2184" i="69"/>
  <c r="Q2183" i="69"/>
  <c r="P2183" i="69"/>
  <c r="O2183" i="69"/>
  <c r="N2183" i="69"/>
  <c r="M2183" i="69"/>
  <c r="L2183" i="69"/>
  <c r="K2183" i="69"/>
  <c r="J2183" i="69"/>
  <c r="I2183" i="69"/>
  <c r="H2183" i="69"/>
  <c r="G2183" i="69"/>
  <c r="Q2182" i="69"/>
  <c r="P2182" i="69"/>
  <c r="O2182" i="69"/>
  <c r="N2182" i="69"/>
  <c r="M2182" i="69"/>
  <c r="L2182" i="69"/>
  <c r="K2182" i="69"/>
  <c r="J2182" i="69"/>
  <c r="I2182" i="69"/>
  <c r="H2182" i="69"/>
  <c r="G2182" i="69"/>
  <c r="Q2181" i="69"/>
  <c r="P2181" i="69"/>
  <c r="O2181" i="69"/>
  <c r="N2181" i="69"/>
  <c r="M2181" i="69"/>
  <c r="L2181" i="69"/>
  <c r="K2181" i="69"/>
  <c r="J2181" i="69"/>
  <c r="I2181" i="69"/>
  <c r="H2181" i="69"/>
  <c r="G2181" i="69"/>
  <c r="Q2180" i="69"/>
  <c r="P2180" i="69"/>
  <c r="O2180" i="69"/>
  <c r="N2180" i="69"/>
  <c r="M2180" i="69"/>
  <c r="L2180" i="69"/>
  <c r="K2180" i="69"/>
  <c r="J2180" i="69"/>
  <c r="I2180" i="69"/>
  <c r="H2180" i="69"/>
  <c r="G2180" i="69"/>
  <c r="Q2179" i="69"/>
  <c r="P2179" i="69"/>
  <c r="O2179" i="69"/>
  <c r="N2179" i="69"/>
  <c r="M2179" i="69"/>
  <c r="L2179" i="69"/>
  <c r="K2179" i="69"/>
  <c r="J2179" i="69"/>
  <c r="I2179" i="69"/>
  <c r="H2179" i="69"/>
  <c r="G2179" i="69"/>
  <c r="Q2178" i="69"/>
  <c r="P2178" i="69"/>
  <c r="O2178" i="69"/>
  <c r="N2178" i="69"/>
  <c r="M2178" i="69"/>
  <c r="L2178" i="69"/>
  <c r="K2178" i="69"/>
  <c r="J2178" i="69"/>
  <c r="I2178" i="69"/>
  <c r="H2178" i="69"/>
  <c r="G2178" i="69"/>
  <c r="Q2177" i="69"/>
  <c r="P2177" i="69"/>
  <c r="O2177" i="69"/>
  <c r="N2177" i="69"/>
  <c r="M2177" i="69"/>
  <c r="L2177" i="69"/>
  <c r="K2177" i="69"/>
  <c r="J2177" i="69"/>
  <c r="I2177" i="69"/>
  <c r="H2177" i="69"/>
  <c r="G2177" i="69"/>
  <c r="Q2176" i="69"/>
  <c r="P2176" i="69"/>
  <c r="O2176" i="69"/>
  <c r="N2176" i="69"/>
  <c r="M2176" i="69"/>
  <c r="L2176" i="69"/>
  <c r="K2176" i="69"/>
  <c r="J2176" i="69"/>
  <c r="I2176" i="69"/>
  <c r="H2176" i="69"/>
  <c r="G2176" i="69"/>
  <c r="Q2175" i="69"/>
  <c r="P2175" i="69"/>
  <c r="O2175" i="69"/>
  <c r="N2175" i="69"/>
  <c r="M2175" i="69"/>
  <c r="L2175" i="69"/>
  <c r="K2175" i="69"/>
  <c r="J2175" i="69"/>
  <c r="I2175" i="69"/>
  <c r="H2175" i="69"/>
  <c r="G2175" i="69"/>
  <c r="Q2174" i="69"/>
  <c r="P2174" i="69"/>
  <c r="O2174" i="69"/>
  <c r="N2174" i="69"/>
  <c r="M2174" i="69"/>
  <c r="L2174" i="69"/>
  <c r="K2174" i="69"/>
  <c r="J2174" i="69"/>
  <c r="I2174" i="69"/>
  <c r="H2174" i="69"/>
  <c r="G2174" i="69"/>
  <c r="Q2173" i="69"/>
  <c r="P2173" i="69"/>
  <c r="O2173" i="69"/>
  <c r="N2173" i="69"/>
  <c r="M2173" i="69"/>
  <c r="L2173" i="69"/>
  <c r="K2173" i="69"/>
  <c r="J2173" i="69"/>
  <c r="I2173" i="69"/>
  <c r="H2173" i="69"/>
  <c r="G2173" i="69"/>
  <c r="Q2172" i="69"/>
  <c r="P2172" i="69"/>
  <c r="O2172" i="69"/>
  <c r="N2172" i="69"/>
  <c r="M2172" i="69"/>
  <c r="L2172" i="69"/>
  <c r="K2172" i="69"/>
  <c r="J2172" i="69"/>
  <c r="I2172" i="69"/>
  <c r="H2172" i="69"/>
  <c r="G2172" i="69"/>
  <c r="Q2171" i="69"/>
  <c r="P2171" i="69"/>
  <c r="O2171" i="69"/>
  <c r="N2171" i="69"/>
  <c r="M2171" i="69"/>
  <c r="L2171" i="69"/>
  <c r="K2171" i="69"/>
  <c r="J2171" i="69"/>
  <c r="I2171" i="69"/>
  <c r="H2171" i="69"/>
  <c r="G2171" i="69"/>
  <c r="Q2170" i="69"/>
  <c r="P2170" i="69"/>
  <c r="O2170" i="69"/>
  <c r="N2170" i="69"/>
  <c r="M2170" i="69"/>
  <c r="L2170" i="69"/>
  <c r="K2170" i="69"/>
  <c r="J2170" i="69"/>
  <c r="I2170" i="69"/>
  <c r="H2170" i="69"/>
  <c r="G2170" i="69"/>
  <c r="Q2169" i="69"/>
  <c r="P2169" i="69"/>
  <c r="O2169" i="69"/>
  <c r="N2169" i="69"/>
  <c r="M2169" i="69"/>
  <c r="L2169" i="69"/>
  <c r="K2169" i="69"/>
  <c r="J2169" i="69"/>
  <c r="I2169" i="69"/>
  <c r="H2169" i="69"/>
  <c r="G2169" i="69"/>
  <c r="Q2168" i="69"/>
  <c r="P2168" i="69"/>
  <c r="O2168" i="69"/>
  <c r="N2168" i="69"/>
  <c r="M2168" i="69"/>
  <c r="L2168" i="69"/>
  <c r="K2168" i="69"/>
  <c r="J2168" i="69"/>
  <c r="I2168" i="69"/>
  <c r="H2168" i="69"/>
  <c r="G2168" i="69"/>
  <c r="Q2167" i="69"/>
  <c r="P2167" i="69"/>
  <c r="O2167" i="69"/>
  <c r="N2167" i="69"/>
  <c r="M2167" i="69"/>
  <c r="L2167" i="69"/>
  <c r="K2167" i="69"/>
  <c r="J2167" i="69"/>
  <c r="I2167" i="69"/>
  <c r="H2167" i="69"/>
  <c r="G2167" i="69"/>
  <c r="Q2166" i="69"/>
  <c r="P2166" i="69"/>
  <c r="O2166" i="69"/>
  <c r="N2166" i="69"/>
  <c r="M2166" i="69"/>
  <c r="L2166" i="69"/>
  <c r="K2166" i="69"/>
  <c r="J2166" i="69"/>
  <c r="I2166" i="69"/>
  <c r="H2166" i="69"/>
  <c r="G2166" i="69"/>
  <c r="Q2165" i="69"/>
  <c r="P2165" i="69"/>
  <c r="O2165" i="69"/>
  <c r="N2165" i="69"/>
  <c r="M2165" i="69"/>
  <c r="L2165" i="69"/>
  <c r="K2165" i="69"/>
  <c r="J2165" i="69"/>
  <c r="I2165" i="69"/>
  <c r="H2165" i="69"/>
  <c r="G2165" i="69"/>
  <c r="Q2164" i="69"/>
  <c r="P2164" i="69"/>
  <c r="O2164" i="69"/>
  <c r="N2164" i="69"/>
  <c r="M2164" i="69"/>
  <c r="L2164" i="69"/>
  <c r="K2164" i="69"/>
  <c r="J2164" i="69"/>
  <c r="I2164" i="69"/>
  <c r="H2164" i="69"/>
  <c r="G2164" i="69"/>
  <c r="Q2163" i="69"/>
  <c r="P2163" i="69"/>
  <c r="O2163" i="69"/>
  <c r="N2163" i="69"/>
  <c r="M2163" i="69"/>
  <c r="L2163" i="69"/>
  <c r="K2163" i="69"/>
  <c r="J2163" i="69"/>
  <c r="I2163" i="69"/>
  <c r="H2163" i="69"/>
  <c r="G2163" i="69"/>
  <c r="Q2162" i="69"/>
  <c r="P2162" i="69"/>
  <c r="O2162" i="69"/>
  <c r="N2162" i="69"/>
  <c r="M2162" i="69"/>
  <c r="L2162" i="69"/>
  <c r="K2162" i="69"/>
  <c r="J2162" i="69"/>
  <c r="I2162" i="69"/>
  <c r="H2162" i="69"/>
  <c r="G2162" i="69"/>
  <c r="Q2161" i="69"/>
  <c r="P2161" i="69"/>
  <c r="O2161" i="69"/>
  <c r="N2161" i="69"/>
  <c r="M2161" i="69"/>
  <c r="L2161" i="69"/>
  <c r="K2161" i="69"/>
  <c r="J2161" i="69"/>
  <c r="I2161" i="69"/>
  <c r="H2161" i="69"/>
  <c r="G2161" i="69"/>
  <c r="Q2160" i="69"/>
  <c r="P2160" i="69"/>
  <c r="O2160" i="69"/>
  <c r="N2160" i="69"/>
  <c r="M2160" i="69"/>
  <c r="L2160" i="69"/>
  <c r="K2160" i="69"/>
  <c r="J2160" i="69"/>
  <c r="I2160" i="69"/>
  <c r="H2160" i="69"/>
  <c r="G2160" i="69"/>
  <c r="Q2159" i="69"/>
  <c r="P2159" i="69"/>
  <c r="O2159" i="69"/>
  <c r="N2159" i="69"/>
  <c r="M2159" i="69"/>
  <c r="L2159" i="69"/>
  <c r="K2159" i="69"/>
  <c r="J2159" i="69"/>
  <c r="I2159" i="69"/>
  <c r="H2159" i="69"/>
  <c r="G2159" i="69"/>
  <c r="Q2158" i="69"/>
  <c r="P2158" i="69"/>
  <c r="O2158" i="69"/>
  <c r="N2158" i="69"/>
  <c r="M2158" i="69"/>
  <c r="L2158" i="69"/>
  <c r="K2158" i="69"/>
  <c r="J2158" i="69"/>
  <c r="I2158" i="69"/>
  <c r="H2158" i="69"/>
  <c r="G2158" i="69"/>
  <c r="Q2157" i="69"/>
  <c r="P2157" i="69"/>
  <c r="O2157" i="69"/>
  <c r="N2157" i="69"/>
  <c r="M2157" i="69"/>
  <c r="L2157" i="69"/>
  <c r="K2157" i="69"/>
  <c r="J2157" i="69"/>
  <c r="I2157" i="69"/>
  <c r="H2157" i="69"/>
  <c r="G2157" i="69"/>
  <c r="Q2156" i="69"/>
  <c r="P2156" i="69"/>
  <c r="O2156" i="69"/>
  <c r="N2156" i="69"/>
  <c r="M2156" i="69"/>
  <c r="L2156" i="69"/>
  <c r="K2156" i="69"/>
  <c r="J2156" i="69"/>
  <c r="I2156" i="69"/>
  <c r="H2156" i="69"/>
  <c r="G2156" i="69"/>
  <c r="Q2155" i="69"/>
  <c r="P2155" i="69"/>
  <c r="O2155" i="69"/>
  <c r="N2155" i="69"/>
  <c r="M2155" i="69"/>
  <c r="L2155" i="69"/>
  <c r="K2155" i="69"/>
  <c r="J2155" i="69"/>
  <c r="I2155" i="69"/>
  <c r="H2155" i="69"/>
  <c r="G2155" i="69"/>
  <c r="Q2154" i="69"/>
  <c r="P2154" i="69"/>
  <c r="O2154" i="69"/>
  <c r="N2154" i="69"/>
  <c r="M2154" i="69"/>
  <c r="L2154" i="69"/>
  <c r="K2154" i="69"/>
  <c r="J2154" i="69"/>
  <c r="I2154" i="69"/>
  <c r="H2154" i="69"/>
  <c r="G2154" i="69"/>
  <c r="Q2153" i="69"/>
  <c r="P2153" i="69"/>
  <c r="O2153" i="69"/>
  <c r="N2153" i="69"/>
  <c r="M2153" i="69"/>
  <c r="L2153" i="69"/>
  <c r="K2153" i="69"/>
  <c r="J2153" i="69"/>
  <c r="I2153" i="69"/>
  <c r="H2153" i="69"/>
  <c r="G2153" i="69"/>
  <c r="Q2152" i="69"/>
  <c r="P2152" i="69"/>
  <c r="O2152" i="69"/>
  <c r="N2152" i="69"/>
  <c r="M2152" i="69"/>
  <c r="L2152" i="69"/>
  <c r="K2152" i="69"/>
  <c r="J2152" i="69"/>
  <c r="I2152" i="69"/>
  <c r="H2152" i="69"/>
  <c r="G2152" i="69"/>
  <c r="Q2151" i="69"/>
  <c r="P2151" i="69"/>
  <c r="O2151" i="69"/>
  <c r="N2151" i="69"/>
  <c r="M2151" i="69"/>
  <c r="L2151" i="69"/>
  <c r="K2151" i="69"/>
  <c r="J2151" i="69"/>
  <c r="I2151" i="69"/>
  <c r="H2151" i="69"/>
  <c r="G2151" i="69"/>
  <c r="Q2150" i="69"/>
  <c r="P2150" i="69"/>
  <c r="O2150" i="69"/>
  <c r="N2150" i="69"/>
  <c r="M2150" i="69"/>
  <c r="L2150" i="69"/>
  <c r="K2150" i="69"/>
  <c r="J2150" i="69"/>
  <c r="I2150" i="69"/>
  <c r="H2150" i="69"/>
  <c r="G2150" i="69"/>
  <c r="Q2149" i="69"/>
  <c r="P2149" i="69"/>
  <c r="O2149" i="69"/>
  <c r="N2149" i="69"/>
  <c r="M2149" i="69"/>
  <c r="L2149" i="69"/>
  <c r="K2149" i="69"/>
  <c r="J2149" i="69"/>
  <c r="I2149" i="69"/>
  <c r="H2149" i="69"/>
  <c r="G2149" i="69"/>
  <c r="Q2148" i="69"/>
  <c r="P2148" i="69"/>
  <c r="O2148" i="69"/>
  <c r="N2148" i="69"/>
  <c r="M2148" i="69"/>
  <c r="L2148" i="69"/>
  <c r="K2148" i="69"/>
  <c r="J2148" i="69"/>
  <c r="I2148" i="69"/>
  <c r="H2148" i="69"/>
  <c r="G2148" i="69"/>
  <c r="Q2147" i="69"/>
  <c r="P2147" i="69"/>
  <c r="O2147" i="69"/>
  <c r="N2147" i="69"/>
  <c r="M2147" i="69"/>
  <c r="L2147" i="69"/>
  <c r="K2147" i="69"/>
  <c r="J2147" i="69"/>
  <c r="I2147" i="69"/>
  <c r="H2147" i="69"/>
  <c r="G2147" i="69"/>
  <c r="Q2146" i="69"/>
  <c r="P2146" i="69"/>
  <c r="O2146" i="69"/>
  <c r="N2146" i="69"/>
  <c r="M2146" i="69"/>
  <c r="L2146" i="69"/>
  <c r="K2146" i="69"/>
  <c r="J2146" i="69"/>
  <c r="I2146" i="69"/>
  <c r="H2146" i="69"/>
  <c r="G2146" i="69"/>
  <c r="Q2145" i="69"/>
  <c r="P2145" i="69"/>
  <c r="O2145" i="69"/>
  <c r="N2145" i="69"/>
  <c r="M2145" i="69"/>
  <c r="L2145" i="69"/>
  <c r="K2145" i="69"/>
  <c r="J2145" i="69"/>
  <c r="I2145" i="69"/>
  <c r="H2145" i="69"/>
  <c r="G2145" i="69"/>
  <c r="Q2144" i="69"/>
  <c r="P2144" i="69"/>
  <c r="O2144" i="69"/>
  <c r="N2144" i="69"/>
  <c r="M2144" i="69"/>
  <c r="L2144" i="69"/>
  <c r="K2144" i="69"/>
  <c r="J2144" i="69"/>
  <c r="I2144" i="69"/>
  <c r="H2144" i="69"/>
  <c r="G2144" i="69"/>
  <c r="Q2143" i="69"/>
  <c r="P2143" i="69"/>
  <c r="O2143" i="69"/>
  <c r="N2143" i="69"/>
  <c r="M2143" i="69"/>
  <c r="L2143" i="69"/>
  <c r="K2143" i="69"/>
  <c r="J2143" i="69"/>
  <c r="I2143" i="69"/>
  <c r="H2143" i="69"/>
  <c r="G2143" i="69"/>
  <c r="Q2142" i="69"/>
  <c r="P2142" i="69"/>
  <c r="O2142" i="69"/>
  <c r="N2142" i="69"/>
  <c r="M2142" i="69"/>
  <c r="L2142" i="69"/>
  <c r="K2142" i="69"/>
  <c r="J2142" i="69"/>
  <c r="I2142" i="69"/>
  <c r="H2142" i="69"/>
  <c r="G2142" i="69"/>
  <c r="Q2141" i="69"/>
  <c r="P2141" i="69"/>
  <c r="O2141" i="69"/>
  <c r="N2141" i="69"/>
  <c r="M2141" i="69"/>
  <c r="L2141" i="69"/>
  <c r="K2141" i="69"/>
  <c r="J2141" i="69"/>
  <c r="I2141" i="69"/>
  <c r="H2141" i="69"/>
  <c r="G2141" i="69"/>
  <c r="Q2140" i="69"/>
  <c r="P2140" i="69"/>
  <c r="O2140" i="69"/>
  <c r="N2140" i="69"/>
  <c r="M2140" i="69"/>
  <c r="L2140" i="69"/>
  <c r="K2140" i="69"/>
  <c r="J2140" i="69"/>
  <c r="I2140" i="69"/>
  <c r="H2140" i="69"/>
  <c r="G2140" i="69"/>
  <c r="Q2139" i="69"/>
  <c r="P2139" i="69"/>
  <c r="O2139" i="69"/>
  <c r="N2139" i="69"/>
  <c r="M2139" i="69"/>
  <c r="L2139" i="69"/>
  <c r="K2139" i="69"/>
  <c r="J2139" i="69"/>
  <c r="I2139" i="69"/>
  <c r="H2139" i="69"/>
  <c r="G2139" i="69"/>
  <c r="Q2138" i="69"/>
  <c r="P2138" i="69"/>
  <c r="O2138" i="69"/>
  <c r="N2138" i="69"/>
  <c r="M2138" i="69"/>
  <c r="L2138" i="69"/>
  <c r="K2138" i="69"/>
  <c r="J2138" i="69"/>
  <c r="I2138" i="69"/>
  <c r="H2138" i="69"/>
  <c r="G2138" i="69"/>
  <c r="Q2137" i="69"/>
  <c r="P2137" i="69"/>
  <c r="O2137" i="69"/>
  <c r="N2137" i="69"/>
  <c r="M2137" i="69"/>
  <c r="L2137" i="69"/>
  <c r="K2137" i="69"/>
  <c r="J2137" i="69"/>
  <c r="I2137" i="69"/>
  <c r="H2137" i="69"/>
  <c r="G2137" i="69"/>
  <c r="Q2136" i="69"/>
  <c r="P2136" i="69"/>
  <c r="O2136" i="69"/>
  <c r="N2136" i="69"/>
  <c r="M2136" i="69"/>
  <c r="L2136" i="69"/>
  <c r="K2136" i="69"/>
  <c r="J2136" i="69"/>
  <c r="I2136" i="69"/>
  <c r="H2136" i="69"/>
  <c r="G2136" i="69"/>
  <c r="Q2135" i="69"/>
  <c r="P2135" i="69"/>
  <c r="O2135" i="69"/>
  <c r="N2135" i="69"/>
  <c r="M2135" i="69"/>
  <c r="L2135" i="69"/>
  <c r="K2135" i="69"/>
  <c r="J2135" i="69"/>
  <c r="I2135" i="69"/>
  <c r="H2135" i="69"/>
  <c r="G2135" i="69"/>
  <c r="Q2134" i="69"/>
  <c r="P2134" i="69"/>
  <c r="O2134" i="69"/>
  <c r="N2134" i="69"/>
  <c r="M2134" i="69"/>
  <c r="L2134" i="69"/>
  <c r="K2134" i="69"/>
  <c r="J2134" i="69"/>
  <c r="I2134" i="69"/>
  <c r="H2134" i="69"/>
  <c r="G2134" i="69"/>
  <c r="Q2133" i="69"/>
  <c r="P2133" i="69"/>
  <c r="O2133" i="69"/>
  <c r="N2133" i="69"/>
  <c r="M2133" i="69"/>
  <c r="L2133" i="69"/>
  <c r="K2133" i="69"/>
  <c r="J2133" i="69"/>
  <c r="I2133" i="69"/>
  <c r="H2133" i="69"/>
  <c r="G2133" i="69"/>
  <c r="Q2132" i="69"/>
  <c r="P2132" i="69"/>
  <c r="O2132" i="69"/>
  <c r="N2132" i="69"/>
  <c r="M2132" i="69"/>
  <c r="L2132" i="69"/>
  <c r="K2132" i="69"/>
  <c r="J2132" i="69"/>
  <c r="I2132" i="69"/>
  <c r="H2132" i="69"/>
  <c r="G2132" i="69"/>
  <c r="Q2131" i="69"/>
  <c r="P2131" i="69"/>
  <c r="O2131" i="69"/>
  <c r="N2131" i="69"/>
  <c r="M2131" i="69"/>
  <c r="L2131" i="69"/>
  <c r="K2131" i="69"/>
  <c r="J2131" i="69"/>
  <c r="I2131" i="69"/>
  <c r="H2131" i="69"/>
  <c r="G2131" i="69"/>
  <c r="Q2130" i="69"/>
  <c r="P2130" i="69"/>
  <c r="O2130" i="69"/>
  <c r="N2130" i="69"/>
  <c r="M2130" i="69"/>
  <c r="L2130" i="69"/>
  <c r="K2130" i="69"/>
  <c r="J2130" i="69"/>
  <c r="I2130" i="69"/>
  <c r="H2130" i="69"/>
  <c r="G2130" i="69"/>
  <c r="Q2129" i="69"/>
  <c r="P2129" i="69"/>
  <c r="O2129" i="69"/>
  <c r="N2129" i="69"/>
  <c r="M2129" i="69"/>
  <c r="L2129" i="69"/>
  <c r="K2129" i="69"/>
  <c r="J2129" i="69"/>
  <c r="I2129" i="69"/>
  <c r="H2129" i="69"/>
  <c r="G2129" i="69"/>
  <c r="Q2128" i="69"/>
  <c r="P2128" i="69"/>
  <c r="O2128" i="69"/>
  <c r="N2128" i="69"/>
  <c r="M2128" i="69"/>
  <c r="L2128" i="69"/>
  <c r="K2128" i="69"/>
  <c r="J2128" i="69"/>
  <c r="I2128" i="69"/>
  <c r="H2128" i="69"/>
  <c r="G2128" i="69"/>
  <c r="Q2127" i="69"/>
  <c r="P2127" i="69"/>
  <c r="O2127" i="69"/>
  <c r="N2127" i="69"/>
  <c r="M2127" i="69"/>
  <c r="L2127" i="69"/>
  <c r="K2127" i="69"/>
  <c r="J2127" i="69"/>
  <c r="I2127" i="69"/>
  <c r="H2127" i="69"/>
  <c r="G2127" i="69"/>
  <c r="Q2126" i="69"/>
  <c r="P2126" i="69"/>
  <c r="O2126" i="69"/>
  <c r="N2126" i="69"/>
  <c r="M2126" i="69"/>
  <c r="L2126" i="69"/>
  <c r="K2126" i="69"/>
  <c r="J2126" i="69"/>
  <c r="I2126" i="69"/>
  <c r="H2126" i="69"/>
  <c r="G2126" i="69"/>
  <c r="Q2125" i="69"/>
  <c r="P2125" i="69"/>
  <c r="O2125" i="69"/>
  <c r="N2125" i="69"/>
  <c r="M2125" i="69"/>
  <c r="L2125" i="69"/>
  <c r="K2125" i="69"/>
  <c r="J2125" i="69"/>
  <c r="I2125" i="69"/>
  <c r="H2125" i="69"/>
  <c r="G2125" i="69"/>
  <c r="Q2124" i="69"/>
  <c r="P2124" i="69"/>
  <c r="O2124" i="69"/>
  <c r="N2124" i="69"/>
  <c r="M2124" i="69"/>
  <c r="L2124" i="69"/>
  <c r="K2124" i="69"/>
  <c r="J2124" i="69"/>
  <c r="I2124" i="69"/>
  <c r="H2124" i="69"/>
  <c r="G2124" i="69"/>
  <c r="Q2123" i="69"/>
  <c r="P2123" i="69"/>
  <c r="O2123" i="69"/>
  <c r="N2123" i="69"/>
  <c r="M2123" i="69"/>
  <c r="L2123" i="69"/>
  <c r="K2123" i="69"/>
  <c r="J2123" i="69"/>
  <c r="I2123" i="69"/>
  <c r="H2123" i="69"/>
  <c r="G2123" i="69"/>
  <c r="Q2122" i="69"/>
  <c r="P2122" i="69"/>
  <c r="O2122" i="69"/>
  <c r="N2122" i="69"/>
  <c r="M2122" i="69"/>
  <c r="L2122" i="69"/>
  <c r="K2122" i="69"/>
  <c r="J2122" i="69"/>
  <c r="I2122" i="69"/>
  <c r="H2122" i="69"/>
  <c r="G2122" i="69"/>
  <c r="Q2121" i="69"/>
  <c r="P2121" i="69"/>
  <c r="O2121" i="69"/>
  <c r="N2121" i="69"/>
  <c r="M2121" i="69"/>
  <c r="L2121" i="69"/>
  <c r="K2121" i="69"/>
  <c r="J2121" i="69"/>
  <c r="I2121" i="69"/>
  <c r="H2121" i="69"/>
  <c r="G2121" i="69"/>
  <c r="Q2120" i="69"/>
  <c r="P2120" i="69"/>
  <c r="O2120" i="69"/>
  <c r="N2120" i="69"/>
  <c r="M2120" i="69"/>
  <c r="L2120" i="69"/>
  <c r="K2120" i="69"/>
  <c r="J2120" i="69"/>
  <c r="I2120" i="69"/>
  <c r="H2120" i="69"/>
  <c r="G2120" i="69"/>
  <c r="Q2119" i="69"/>
  <c r="P2119" i="69"/>
  <c r="O2119" i="69"/>
  <c r="N2119" i="69"/>
  <c r="M2119" i="69"/>
  <c r="L2119" i="69"/>
  <c r="K2119" i="69"/>
  <c r="J2119" i="69"/>
  <c r="I2119" i="69"/>
  <c r="H2119" i="69"/>
  <c r="G2119" i="69"/>
  <c r="Q2118" i="69"/>
  <c r="P2118" i="69"/>
  <c r="O2118" i="69"/>
  <c r="N2118" i="69"/>
  <c r="M2118" i="69"/>
  <c r="L2118" i="69"/>
  <c r="K2118" i="69"/>
  <c r="J2118" i="69"/>
  <c r="I2118" i="69"/>
  <c r="H2118" i="69"/>
  <c r="G2118" i="69"/>
  <c r="Q2117" i="69"/>
  <c r="P2117" i="69"/>
  <c r="O2117" i="69"/>
  <c r="N2117" i="69"/>
  <c r="M2117" i="69"/>
  <c r="L2117" i="69"/>
  <c r="K2117" i="69"/>
  <c r="J2117" i="69"/>
  <c r="I2117" i="69"/>
  <c r="H2117" i="69"/>
  <c r="G2117" i="69"/>
  <c r="Q2116" i="69"/>
  <c r="P2116" i="69"/>
  <c r="O2116" i="69"/>
  <c r="N2116" i="69"/>
  <c r="M2116" i="69"/>
  <c r="L2116" i="69"/>
  <c r="K2116" i="69"/>
  <c r="J2116" i="69"/>
  <c r="I2116" i="69"/>
  <c r="H2116" i="69"/>
  <c r="G2116" i="69"/>
  <c r="Q2115" i="69"/>
  <c r="P2115" i="69"/>
  <c r="O2115" i="69"/>
  <c r="N2115" i="69"/>
  <c r="M2115" i="69"/>
  <c r="L2115" i="69"/>
  <c r="K2115" i="69"/>
  <c r="J2115" i="69"/>
  <c r="I2115" i="69"/>
  <c r="H2115" i="69"/>
  <c r="G2115" i="69"/>
  <c r="Q2114" i="69"/>
  <c r="P2114" i="69"/>
  <c r="O2114" i="69"/>
  <c r="N2114" i="69"/>
  <c r="M2114" i="69"/>
  <c r="L2114" i="69"/>
  <c r="K2114" i="69"/>
  <c r="J2114" i="69"/>
  <c r="I2114" i="69"/>
  <c r="H2114" i="69"/>
  <c r="G2114" i="69"/>
  <c r="Q2113" i="69"/>
  <c r="P2113" i="69"/>
  <c r="O2113" i="69"/>
  <c r="N2113" i="69"/>
  <c r="M2113" i="69"/>
  <c r="L2113" i="69"/>
  <c r="K2113" i="69"/>
  <c r="J2113" i="69"/>
  <c r="I2113" i="69"/>
  <c r="H2113" i="69"/>
  <c r="G2113" i="69"/>
  <c r="Q2112" i="69"/>
  <c r="P2112" i="69"/>
  <c r="O2112" i="69"/>
  <c r="N2112" i="69"/>
  <c r="M2112" i="69"/>
  <c r="L2112" i="69"/>
  <c r="K2112" i="69"/>
  <c r="J2112" i="69"/>
  <c r="I2112" i="69"/>
  <c r="H2112" i="69"/>
  <c r="G2112" i="69"/>
  <c r="Q2111" i="69"/>
  <c r="P2111" i="69"/>
  <c r="O2111" i="69"/>
  <c r="N2111" i="69"/>
  <c r="M2111" i="69"/>
  <c r="L2111" i="69"/>
  <c r="K2111" i="69"/>
  <c r="J2111" i="69"/>
  <c r="I2111" i="69"/>
  <c r="H2111" i="69"/>
  <c r="G2111" i="69"/>
  <c r="Q2110" i="69"/>
  <c r="P2110" i="69"/>
  <c r="O2110" i="69"/>
  <c r="N2110" i="69"/>
  <c r="M2110" i="69"/>
  <c r="L2110" i="69"/>
  <c r="K2110" i="69"/>
  <c r="J2110" i="69"/>
  <c r="I2110" i="69"/>
  <c r="H2110" i="69"/>
  <c r="G2110" i="69"/>
  <c r="Q2109" i="69"/>
  <c r="P2109" i="69"/>
  <c r="O2109" i="69"/>
  <c r="N2109" i="69"/>
  <c r="M2109" i="69"/>
  <c r="L2109" i="69"/>
  <c r="K2109" i="69"/>
  <c r="J2109" i="69"/>
  <c r="I2109" i="69"/>
  <c r="H2109" i="69"/>
  <c r="G2109" i="69"/>
  <c r="Q2108" i="69"/>
  <c r="P2108" i="69"/>
  <c r="O2108" i="69"/>
  <c r="N2108" i="69"/>
  <c r="M2108" i="69"/>
  <c r="L2108" i="69"/>
  <c r="K2108" i="69"/>
  <c r="J2108" i="69"/>
  <c r="I2108" i="69"/>
  <c r="H2108" i="69"/>
  <c r="G2108" i="69"/>
  <c r="Q2107" i="69"/>
  <c r="P2107" i="69"/>
  <c r="O2107" i="69"/>
  <c r="N2107" i="69"/>
  <c r="M2107" i="69"/>
  <c r="L2107" i="69"/>
  <c r="K2107" i="69"/>
  <c r="J2107" i="69"/>
  <c r="I2107" i="69"/>
  <c r="H2107" i="69"/>
  <c r="G2107" i="69"/>
  <c r="Q2106" i="69"/>
  <c r="P2106" i="69"/>
  <c r="O2106" i="69"/>
  <c r="N2106" i="69"/>
  <c r="M2106" i="69"/>
  <c r="L2106" i="69"/>
  <c r="K2106" i="69"/>
  <c r="J2106" i="69"/>
  <c r="I2106" i="69"/>
  <c r="H2106" i="69"/>
  <c r="G2106" i="69"/>
  <c r="Q2105" i="69"/>
  <c r="P2105" i="69"/>
  <c r="O2105" i="69"/>
  <c r="N2105" i="69"/>
  <c r="M2105" i="69"/>
  <c r="L2105" i="69"/>
  <c r="K2105" i="69"/>
  <c r="J2105" i="69"/>
  <c r="I2105" i="69"/>
  <c r="H2105" i="69"/>
  <c r="G2105" i="69"/>
  <c r="Q2104" i="69"/>
  <c r="P2104" i="69"/>
  <c r="O2104" i="69"/>
  <c r="N2104" i="69"/>
  <c r="M2104" i="69"/>
  <c r="L2104" i="69"/>
  <c r="K2104" i="69"/>
  <c r="J2104" i="69"/>
  <c r="I2104" i="69"/>
  <c r="H2104" i="69"/>
  <c r="G2104" i="69"/>
  <c r="Q2103" i="69"/>
  <c r="P2103" i="69"/>
  <c r="O2103" i="69"/>
  <c r="N2103" i="69"/>
  <c r="M2103" i="69"/>
  <c r="L2103" i="69"/>
  <c r="K2103" i="69"/>
  <c r="J2103" i="69"/>
  <c r="I2103" i="69"/>
  <c r="H2103" i="69"/>
  <c r="G2103" i="69"/>
  <c r="Q2102" i="69"/>
  <c r="P2102" i="69"/>
  <c r="O2102" i="69"/>
  <c r="N2102" i="69"/>
  <c r="M2102" i="69"/>
  <c r="L2102" i="69"/>
  <c r="K2102" i="69"/>
  <c r="J2102" i="69"/>
  <c r="I2102" i="69"/>
  <c r="H2102" i="69"/>
  <c r="G2102" i="69"/>
  <c r="Q2101" i="69"/>
  <c r="P2101" i="69"/>
  <c r="O2101" i="69"/>
  <c r="N2101" i="69"/>
  <c r="M2101" i="69"/>
  <c r="L2101" i="69"/>
  <c r="K2101" i="69"/>
  <c r="J2101" i="69"/>
  <c r="I2101" i="69"/>
  <c r="H2101" i="69"/>
  <c r="G2101" i="69"/>
  <c r="Q2100" i="69"/>
  <c r="P2100" i="69"/>
  <c r="O2100" i="69"/>
  <c r="N2100" i="69"/>
  <c r="M2100" i="69"/>
  <c r="L2100" i="69"/>
  <c r="K2100" i="69"/>
  <c r="J2100" i="69"/>
  <c r="I2100" i="69"/>
  <c r="H2100" i="69"/>
  <c r="G2100" i="69"/>
  <c r="Q2099" i="69"/>
  <c r="P2099" i="69"/>
  <c r="O2099" i="69"/>
  <c r="N2099" i="69"/>
  <c r="M2099" i="69"/>
  <c r="L2099" i="69"/>
  <c r="K2099" i="69"/>
  <c r="J2099" i="69"/>
  <c r="I2099" i="69"/>
  <c r="H2099" i="69"/>
  <c r="G2099" i="69"/>
  <c r="Q2098" i="69"/>
  <c r="P2098" i="69"/>
  <c r="O2098" i="69"/>
  <c r="N2098" i="69"/>
  <c r="M2098" i="69"/>
  <c r="L2098" i="69"/>
  <c r="K2098" i="69"/>
  <c r="J2098" i="69"/>
  <c r="I2098" i="69"/>
  <c r="H2098" i="69"/>
  <c r="G2098" i="69"/>
  <c r="Q2097" i="69"/>
  <c r="P2097" i="69"/>
  <c r="O2097" i="69"/>
  <c r="N2097" i="69"/>
  <c r="M2097" i="69"/>
  <c r="L2097" i="69"/>
  <c r="K2097" i="69"/>
  <c r="J2097" i="69"/>
  <c r="I2097" i="69"/>
  <c r="H2097" i="69"/>
  <c r="G2097" i="69"/>
  <c r="Q2096" i="69"/>
  <c r="P2096" i="69"/>
  <c r="O2096" i="69"/>
  <c r="N2096" i="69"/>
  <c r="M2096" i="69"/>
  <c r="L2096" i="69"/>
  <c r="K2096" i="69"/>
  <c r="J2096" i="69"/>
  <c r="I2096" i="69"/>
  <c r="H2096" i="69"/>
  <c r="G2096" i="69"/>
  <c r="Q2095" i="69"/>
  <c r="P2095" i="69"/>
  <c r="O2095" i="69"/>
  <c r="N2095" i="69"/>
  <c r="M2095" i="69"/>
  <c r="L2095" i="69"/>
  <c r="K2095" i="69"/>
  <c r="J2095" i="69"/>
  <c r="I2095" i="69"/>
  <c r="H2095" i="69"/>
  <c r="G2095" i="69"/>
  <c r="Q2094" i="69"/>
  <c r="P2094" i="69"/>
  <c r="O2094" i="69"/>
  <c r="N2094" i="69"/>
  <c r="M2094" i="69"/>
  <c r="L2094" i="69"/>
  <c r="K2094" i="69"/>
  <c r="J2094" i="69"/>
  <c r="I2094" i="69"/>
  <c r="H2094" i="69"/>
  <c r="G2094" i="69"/>
  <c r="Q2093" i="69"/>
  <c r="P2093" i="69"/>
  <c r="O2093" i="69"/>
  <c r="N2093" i="69"/>
  <c r="M2093" i="69"/>
  <c r="L2093" i="69"/>
  <c r="K2093" i="69"/>
  <c r="J2093" i="69"/>
  <c r="I2093" i="69"/>
  <c r="H2093" i="69"/>
  <c r="G2093" i="69"/>
  <c r="Q2092" i="69"/>
  <c r="P2092" i="69"/>
  <c r="O2092" i="69"/>
  <c r="N2092" i="69"/>
  <c r="M2092" i="69"/>
  <c r="L2092" i="69"/>
  <c r="K2092" i="69"/>
  <c r="J2092" i="69"/>
  <c r="I2092" i="69"/>
  <c r="H2092" i="69"/>
  <c r="G2092" i="69"/>
  <c r="Q2091" i="69"/>
  <c r="P2091" i="69"/>
  <c r="O2091" i="69"/>
  <c r="N2091" i="69"/>
  <c r="M2091" i="69"/>
  <c r="L2091" i="69"/>
  <c r="K2091" i="69"/>
  <c r="J2091" i="69"/>
  <c r="I2091" i="69"/>
  <c r="H2091" i="69"/>
  <c r="G2091" i="69"/>
  <c r="Q2090" i="69"/>
  <c r="P2090" i="69"/>
  <c r="O2090" i="69"/>
  <c r="N2090" i="69"/>
  <c r="M2090" i="69"/>
  <c r="L2090" i="69"/>
  <c r="K2090" i="69"/>
  <c r="J2090" i="69"/>
  <c r="I2090" i="69"/>
  <c r="H2090" i="69"/>
  <c r="G2090" i="69"/>
  <c r="Q2089" i="69"/>
  <c r="P2089" i="69"/>
  <c r="O2089" i="69"/>
  <c r="N2089" i="69"/>
  <c r="M2089" i="69"/>
  <c r="L2089" i="69"/>
  <c r="K2089" i="69"/>
  <c r="J2089" i="69"/>
  <c r="I2089" i="69"/>
  <c r="H2089" i="69"/>
  <c r="G2089" i="69"/>
  <c r="Q2088" i="69"/>
  <c r="P2088" i="69"/>
  <c r="O2088" i="69"/>
  <c r="N2088" i="69"/>
  <c r="M2088" i="69"/>
  <c r="L2088" i="69"/>
  <c r="K2088" i="69"/>
  <c r="J2088" i="69"/>
  <c r="I2088" i="69"/>
  <c r="H2088" i="69"/>
  <c r="G2088" i="69"/>
  <c r="Q2087" i="69"/>
  <c r="P2087" i="69"/>
  <c r="O2087" i="69"/>
  <c r="N2087" i="69"/>
  <c r="M2087" i="69"/>
  <c r="L2087" i="69"/>
  <c r="K2087" i="69"/>
  <c r="J2087" i="69"/>
  <c r="I2087" i="69"/>
  <c r="H2087" i="69"/>
  <c r="G2087" i="69"/>
  <c r="Q2086" i="69"/>
  <c r="P2086" i="69"/>
  <c r="O2086" i="69"/>
  <c r="N2086" i="69"/>
  <c r="M2086" i="69"/>
  <c r="L2086" i="69"/>
  <c r="K2086" i="69"/>
  <c r="J2086" i="69"/>
  <c r="I2086" i="69"/>
  <c r="H2086" i="69"/>
  <c r="G2086" i="69"/>
  <c r="Q2085" i="69"/>
  <c r="P2085" i="69"/>
  <c r="O2085" i="69"/>
  <c r="N2085" i="69"/>
  <c r="M2085" i="69"/>
  <c r="L2085" i="69"/>
  <c r="K2085" i="69"/>
  <c r="J2085" i="69"/>
  <c r="I2085" i="69"/>
  <c r="H2085" i="69"/>
  <c r="G2085" i="69"/>
  <c r="Q2084" i="69"/>
  <c r="P2084" i="69"/>
  <c r="O2084" i="69"/>
  <c r="N2084" i="69"/>
  <c r="M2084" i="69"/>
  <c r="L2084" i="69"/>
  <c r="K2084" i="69"/>
  <c r="J2084" i="69"/>
  <c r="I2084" i="69"/>
  <c r="H2084" i="69"/>
  <c r="G2084" i="69"/>
  <c r="Q2083" i="69"/>
  <c r="P2083" i="69"/>
  <c r="O2083" i="69"/>
  <c r="N2083" i="69"/>
  <c r="M2083" i="69"/>
  <c r="L2083" i="69"/>
  <c r="K2083" i="69"/>
  <c r="J2083" i="69"/>
  <c r="I2083" i="69"/>
  <c r="H2083" i="69"/>
  <c r="G2083" i="69"/>
  <c r="Q2082" i="69"/>
  <c r="P2082" i="69"/>
  <c r="O2082" i="69"/>
  <c r="N2082" i="69"/>
  <c r="M2082" i="69"/>
  <c r="L2082" i="69"/>
  <c r="K2082" i="69"/>
  <c r="J2082" i="69"/>
  <c r="I2082" i="69"/>
  <c r="H2082" i="69"/>
  <c r="G2082" i="69"/>
  <c r="Q2081" i="69"/>
  <c r="P2081" i="69"/>
  <c r="O2081" i="69"/>
  <c r="N2081" i="69"/>
  <c r="M2081" i="69"/>
  <c r="L2081" i="69"/>
  <c r="K2081" i="69"/>
  <c r="J2081" i="69"/>
  <c r="I2081" i="69"/>
  <c r="H2081" i="69"/>
  <c r="G2081" i="69"/>
  <c r="Q2080" i="69"/>
  <c r="P2080" i="69"/>
  <c r="O2080" i="69"/>
  <c r="N2080" i="69"/>
  <c r="M2080" i="69"/>
  <c r="L2080" i="69"/>
  <c r="K2080" i="69"/>
  <c r="J2080" i="69"/>
  <c r="I2080" i="69"/>
  <c r="H2080" i="69"/>
  <c r="G2080" i="69"/>
  <c r="Q2079" i="69"/>
  <c r="P2079" i="69"/>
  <c r="O2079" i="69"/>
  <c r="N2079" i="69"/>
  <c r="M2079" i="69"/>
  <c r="L2079" i="69"/>
  <c r="K2079" i="69"/>
  <c r="J2079" i="69"/>
  <c r="I2079" i="69"/>
  <c r="H2079" i="69"/>
  <c r="G2079" i="69"/>
  <c r="Q2078" i="69"/>
  <c r="P2078" i="69"/>
  <c r="O2078" i="69"/>
  <c r="N2078" i="69"/>
  <c r="M2078" i="69"/>
  <c r="L2078" i="69"/>
  <c r="K2078" i="69"/>
  <c r="J2078" i="69"/>
  <c r="I2078" i="69"/>
  <c r="H2078" i="69"/>
  <c r="G2078" i="69"/>
  <c r="Q2077" i="69"/>
  <c r="P2077" i="69"/>
  <c r="O2077" i="69"/>
  <c r="N2077" i="69"/>
  <c r="M2077" i="69"/>
  <c r="L2077" i="69"/>
  <c r="K2077" i="69"/>
  <c r="J2077" i="69"/>
  <c r="I2077" i="69"/>
  <c r="H2077" i="69"/>
  <c r="G2077" i="69"/>
  <c r="Q2076" i="69"/>
  <c r="P2076" i="69"/>
  <c r="O2076" i="69"/>
  <c r="N2076" i="69"/>
  <c r="M2076" i="69"/>
  <c r="L2076" i="69"/>
  <c r="K2076" i="69"/>
  <c r="J2076" i="69"/>
  <c r="I2076" i="69"/>
  <c r="H2076" i="69"/>
  <c r="G2076" i="69"/>
  <c r="Q2075" i="69"/>
  <c r="P2075" i="69"/>
  <c r="O2075" i="69"/>
  <c r="N2075" i="69"/>
  <c r="M2075" i="69"/>
  <c r="L2075" i="69"/>
  <c r="K2075" i="69"/>
  <c r="J2075" i="69"/>
  <c r="I2075" i="69"/>
  <c r="H2075" i="69"/>
  <c r="G2075" i="69"/>
  <c r="Q2074" i="69"/>
  <c r="P2074" i="69"/>
  <c r="O2074" i="69"/>
  <c r="N2074" i="69"/>
  <c r="M2074" i="69"/>
  <c r="L2074" i="69"/>
  <c r="K2074" i="69"/>
  <c r="J2074" i="69"/>
  <c r="I2074" i="69"/>
  <c r="H2074" i="69"/>
  <c r="G2074" i="69"/>
  <c r="Q2073" i="69"/>
  <c r="P2073" i="69"/>
  <c r="O2073" i="69"/>
  <c r="N2073" i="69"/>
  <c r="M2073" i="69"/>
  <c r="L2073" i="69"/>
  <c r="K2073" i="69"/>
  <c r="J2073" i="69"/>
  <c r="I2073" i="69"/>
  <c r="H2073" i="69"/>
  <c r="G2073" i="69"/>
  <c r="Q2072" i="69"/>
  <c r="P2072" i="69"/>
  <c r="O2072" i="69"/>
  <c r="N2072" i="69"/>
  <c r="M2072" i="69"/>
  <c r="L2072" i="69"/>
  <c r="K2072" i="69"/>
  <c r="J2072" i="69"/>
  <c r="I2072" i="69"/>
  <c r="H2072" i="69"/>
  <c r="G2072" i="69"/>
  <c r="Q2071" i="69"/>
  <c r="P2071" i="69"/>
  <c r="O2071" i="69"/>
  <c r="N2071" i="69"/>
  <c r="M2071" i="69"/>
  <c r="L2071" i="69"/>
  <c r="K2071" i="69"/>
  <c r="J2071" i="69"/>
  <c r="I2071" i="69"/>
  <c r="H2071" i="69"/>
  <c r="G2071" i="69"/>
  <c r="Q2070" i="69"/>
  <c r="P2070" i="69"/>
  <c r="O2070" i="69"/>
  <c r="N2070" i="69"/>
  <c r="M2070" i="69"/>
  <c r="L2070" i="69"/>
  <c r="K2070" i="69"/>
  <c r="J2070" i="69"/>
  <c r="I2070" i="69"/>
  <c r="H2070" i="69"/>
  <c r="G2070" i="69"/>
  <c r="Q2069" i="69"/>
  <c r="P2069" i="69"/>
  <c r="O2069" i="69"/>
  <c r="N2069" i="69"/>
  <c r="M2069" i="69"/>
  <c r="L2069" i="69"/>
  <c r="K2069" i="69"/>
  <c r="J2069" i="69"/>
  <c r="I2069" i="69"/>
  <c r="H2069" i="69"/>
  <c r="G2069" i="69"/>
  <c r="Q2068" i="69"/>
  <c r="P2068" i="69"/>
  <c r="O2068" i="69"/>
  <c r="N2068" i="69"/>
  <c r="M2068" i="69"/>
  <c r="L2068" i="69"/>
  <c r="K2068" i="69"/>
  <c r="J2068" i="69"/>
  <c r="I2068" i="69"/>
  <c r="H2068" i="69"/>
  <c r="G2068" i="69"/>
  <c r="Q2067" i="69"/>
  <c r="P2067" i="69"/>
  <c r="O2067" i="69"/>
  <c r="N2067" i="69"/>
  <c r="M2067" i="69"/>
  <c r="L2067" i="69"/>
  <c r="K2067" i="69"/>
  <c r="J2067" i="69"/>
  <c r="I2067" i="69"/>
  <c r="H2067" i="69"/>
  <c r="G2067" i="69"/>
  <c r="Q2066" i="69"/>
  <c r="P2066" i="69"/>
  <c r="O2066" i="69"/>
  <c r="N2066" i="69"/>
  <c r="M2066" i="69"/>
  <c r="L2066" i="69"/>
  <c r="K2066" i="69"/>
  <c r="J2066" i="69"/>
  <c r="I2066" i="69"/>
  <c r="H2066" i="69"/>
  <c r="G2066" i="69"/>
  <c r="Q2065" i="69"/>
  <c r="P2065" i="69"/>
  <c r="O2065" i="69"/>
  <c r="N2065" i="69"/>
  <c r="M2065" i="69"/>
  <c r="L2065" i="69"/>
  <c r="K2065" i="69"/>
  <c r="J2065" i="69"/>
  <c r="I2065" i="69"/>
  <c r="H2065" i="69"/>
  <c r="G2065" i="69"/>
  <c r="Q2064" i="69"/>
  <c r="P2064" i="69"/>
  <c r="O2064" i="69"/>
  <c r="N2064" i="69"/>
  <c r="M2064" i="69"/>
  <c r="L2064" i="69"/>
  <c r="K2064" i="69"/>
  <c r="J2064" i="69"/>
  <c r="I2064" i="69"/>
  <c r="H2064" i="69"/>
  <c r="G2064" i="69"/>
  <c r="Q2063" i="69"/>
  <c r="P2063" i="69"/>
  <c r="O2063" i="69"/>
  <c r="N2063" i="69"/>
  <c r="M2063" i="69"/>
  <c r="L2063" i="69"/>
  <c r="K2063" i="69"/>
  <c r="J2063" i="69"/>
  <c r="I2063" i="69"/>
  <c r="H2063" i="69"/>
  <c r="G2063" i="69"/>
  <c r="Q2062" i="69"/>
  <c r="P2062" i="69"/>
  <c r="O2062" i="69"/>
  <c r="N2062" i="69"/>
  <c r="M2062" i="69"/>
  <c r="L2062" i="69"/>
  <c r="K2062" i="69"/>
  <c r="J2062" i="69"/>
  <c r="I2062" i="69"/>
  <c r="H2062" i="69"/>
  <c r="G2062" i="69"/>
  <c r="Q2061" i="69"/>
  <c r="P2061" i="69"/>
  <c r="O2061" i="69"/>
  <c r="N2061" i="69"/>
  <c r="M2061" i="69"/>
  <c r="L2061" i="69"/>
  <c r="K2061" i="69"/>
  <c r="J2061" i="69"/>
  <c r="I2061" i="69"/>
  <c r="H2061" i="69"/>
  <c r="G2061" i="69"/>
  <c r="Q2060" i="69"/>
  <c r="P2060" i="69"/>
  <c r="O2060" i="69"/>
  <c r="N2060" i="69"/>
  <c r="M2060" i="69"/>
  <c r="L2060" i="69"/>
  <c r="K2060" i="69"/>
  <c r="J2060" i="69"/>
  <c r="I2060" i="69"/>
  <c r="H2060" i="69"/>
  <c r="G2060" i="69"/>
  <c r="Q2059" i="69"/>
  <c r="P2059" i="69"/>
  <c r="O2059" i="69"/>
  <c r="N2059" i="69"/>
  <c r="M2059" i="69"/>
  <c r="L2059" i="69"/>
  <c r="K2059" i="69"/>
  <c r="J2059" i="69"/>
  <c r="I2059" i="69"/>
  <c r="H2059" i="69"/>
  <c r="G2059" i="69"/>
  <c r="Q2058" i="69"/>
  <c r="P2058" i="69"/>
  <c r="O2058" i="69"/>
  <c r="N2058" i="69"/>
  <c r="M2058" i="69"/>
  <c r="L2058" i="69"/>
  <c r="K2058" i="69"/>
  <c r="J2058" i="69"/>
  <c r="I2058" i="69"/>
  <c r="H2058" i="69"/>
  <c r="G2058" i="69"/>
  <c r="Q2057" i="69"/>
  <c r="P2057" i="69"/>
  <c r="O2057" i="69"/>
  <c r="N2057" i="69"/>
  <c r="M2057" i="69"/>
  <c r="L2057" i="69"/>
  <c r="K2057" i="69"/>
  <c r="J2057" i="69"/>
  <c r="I2057" i="69"/>
  <c r="H2057" i="69"/>
  <c r="G2057" i="69"/>
  <c r="Q2056" i="69"/>
  <c r="P2056" i="69"/>
  <c r="O2056" i="69"/>
  <c r="N2056" i="69"/>
  <c r="M2056" i="69"/>
  <c r="L2056" i="69"/>
  <c r="K2056" i="69"/>
  <c r="J2056" i="69"/>
  <c r="I2056" i="69"/>
  <c r="H2056" i="69"/>
  <c r="G2056" i="69"/>
  <c r="Q2055" i="69"/>
  <c r="P2055" i="69"/>
  <c r="O2055" i="69"/>
  <c r="N2055" i="69"/>
  <c r="M2055" i="69"/>
  <c r="L2055" i="69"/>
  <c r="K2055" i="69"/>
  <c r="J2055" i="69"/>
  <c r="I2055" i="69"/>
  <c r="H2055" i="69"/>
  <c r="G2055" i="69"/>
  <c r="Q2054" i="69"/>
  <c r="P2054" i="69"/>
  <c r="O2054" i="69"/>
  <c r="N2054" i="69"/>
  <c r="M2054" i="69"/>
  <c r="L2054" i="69"/>
  <c r="K2054" i="69"/>
  <c r="J2054" i="69"/>
  <c r="I2054" i="69"/>
  <c r="H2054" i="69"/>
  <c r="G2054" i="69"/>
  <c r="Q2053" i="69"/>
  <c r="P2053" i="69"/>
  <c r="O2053" i="69"/>
  <c r="N2053" i="69"/>
  <c r="M2053" i="69"/>
  <c r="L2053" i="69"/>
  <c r="K2053" i="69"/>
  <c r="J2053" i="69"/>
  <c r="I2053" i="69"/>
  <c r="H2053" i="69"/>
  <c r="G2053" i="69"/>
  <c r="Q2052" i="69"/>
  <c r="P2052" i="69"/>
  <c r="O2052" i="69"/>
  <c r="N2052" i="69"/>
  <c r="M2052" i="69"/>
  <c r="L2052" i="69"/>
  <c r="K2052" i="69"/>
  <c r="J2052" i="69"/>
  <c r="I2052" i="69"/>
  <c r="H2052" i="69"/>
  <c r="G2052" i="69"/>
  <c r="Q2051" i="69"/>
  <c r="P2051" i="69"/>
  <c r="O2051" i="69"/>
  <c r="N2051" i="69"/>
  <c r="M2051" i="69"/>
  <c r="L2051" i="69"/>
  <c r="K2051" i="69"/>
  <c r="J2051" i="69"/>
  <c r="I2051" i="69"/>
  <c r="H2051" i="69"/>
  <c r="G2051" i="69"/>
  <c r="Q2050" i="69"/>
  <c r="P2050" i="69"/>
  <c r="O2050" i="69"/>
  <c r="N2050" i="69"/>
  <c r="M2050" i="69"/>
  <c r="L2050" i="69"/>
  <c r="K2050" i="69"/>
  <c r="J2050" i="69"/>
  <c r="I2050" i="69"/>
  <c r="H2050" i="69"/>
  <c r="G2050" i="69"/>
  <c r="Q2049" i="69"/>
  <c r="P2049" i="69"/>
  <c r="O2049" i="69"/>
  <c r="N2049" i="69"/>
  <c r="M2049" i="69"/>
  <c r="L2049" i="69"/>
  <c r="K2049" i="69"/>
  <c r="J2049" i="69"/>
  <c r="I2049" i="69"/>
  <c r="H2049" i="69"/>
  <c r="G2049" i="69"/>
  <c r="Q2048" i="69"/>
  <c r="P2048" i="69"/>
  <c r="O2048" i="69"/>
  <c r="N2048" i="69"/>
  <c r="M2048" i="69"/>
  <c r="L2048" i="69"/>
  <c r="K2048" i="69"/>
  <c r="J2048" i="69"/>
  <c r="I2048" i="69"/>
  <c r="H2048" i="69"/>
  <c r="G2048" i="69"/>
  <c r="Q2047" i="69"/>
  <c r="P2047" i="69"/>
  <c r="O2047" i="69"/>
  <c r="N2047" i="69"/>
  <c r="M2047" i="69"/>
  <c r="L2047" i="69"/>
  <c r="K2047" i="69"/>
  <c r="J2047" i="69"/>
  <c r="I2047" i="69"/>
  <c r="H2047" i="69"/>
  <c r="G2047" i="69"/>
  <c r="Q2046" i="69"/>
  <c r="P2046" i="69"/>
  <c r="O2046" i="69"/>
  <c r="N2046" i="69"/>
  <c r="M2046" i="69"/>
  <c r="L2046" i="69"/>
  <c r="K2046" i="69"/>
  <c r="J2046" i="69"/>
  <c r="I2046" i="69"/>
  <c r="H2046" i="69"/>
  <c r="G2046" i="69"/>
  <c r="Q2045" i="69"/>
  <c r="P2045" i="69"/>
  <c r="O2045" i="69"/>
  <c r="N2045" i="69"/>
  <c r="M2045" i="69"/>
  <c r="L2045" i="69"/>
  <c r="K2045" i="69"/>
  <c r="J2045" i="69"/>
  <c r="I2045" i="69"/>
  <c r="H2045" i="69"/>
  <c r="G2045" i="69"/>
  <c r="Q2044" i="69"/>
  <c r="P2044" i="69"/>
  <c r="O2044" i="69"/>
  <c r="N2044" i="69"/>
  <c r="M2044" i="69"/>
  <c r="L2044" i="69"/>
  <c r="K2044" i="69"/>
  <c r="J2044" i="69"/>
  <c r="I2044" i="69"/>
  <c r="H2044" i="69"/>
  <c r="G2044" i="69"/>
  <c r="Q2043" i="69"/>
  <c r="P2043" i="69"/>
  <c r="O2043" i="69"/>
  <c r="N2043" i="69"/>
  <c r="M2043" i="69"/>
  <c r="L2043" i="69"/>
  <c r="K2043" i="69"/>
  <c r="J2043" i="69"/>
  <c r="I2043" i="69"/>
  <c r="H2043" i="69"/>
  <c r="G2043" i="69"/>
  <c r="Q2042" i="69"/>
  <c r="P2042" i="69"/>
  <c r="O2042" i="69"/>
  <c r="N2042" i="69"/>
  <c r="M2042" i="69"/>
  <c r="L2042" i="69"/>
  <c r="K2042" i="69"/>
  <c r="J2042" i="69"/>
  <c r="I2042" i="69"/>
  <c r="H2042" i="69"/>
  <c r="G2042" i="69"/>
  <c r="Q2041" i="69"/>
  <c r="P2041" i="69"/>
  <c r="O2041" i="69"/>
  <c r="N2041" i="69"/>
  <c r="M2041" i="69"/>
  <c r="L2041" i="69"/>
  <c r="K2041" i="69"/>
  <c r="J2041" i="69"/>
  <c r="I2041" i="69"/>
  <c r="H2041" i="69"/>
  <c r="G2041" i="69"/>
  <c r="Q2040" i="69"/>
  <c r="P2040" i="69"/>
  <c r="O2040" i="69"/>
  <c r="N2040" i="69"/>
  <c r="M2040" i="69"/>
  <c r="L2040" i="69"/>
  <c r="K2040" i="69"/>
  <c r="J2040" i="69"/>
  <c r="I2040" i="69"/>
  <c r="H2040" i="69"/>
  <c r="G2040" i="69"/>
  <c r="Q2039" i="69"/>
  <c r="P2039" i="69"/>
  <c r="O2039" i="69"/>
  <c r="N2039" i="69"/>
  <c r="M2039" i="69"/>
  <c r="L2039" i="69"/>
  <c r="K2039" i="69"/>
  <c r="J2039" i="69"/>
  <c r="I2039" i="69"/>
  <c r="H2039" i="69"/>
  <c r="G2039" i="69"/>
  <c r="Q2038" i="69"/>
  <c r="P2038" i="69"/>
  <c r="O2038" i="69"/>
  <c r="N2038" i="69"/>
  <c r="M2038" i="69"/>
  <c r="L2038" i="69"/>
  <c r="K2038" i="69"/>
  <c r="J2038" i="69"/>
  <c r="I2038" i="69"/>
  <c r="H2038" i="69"/>
  <c r="G2038" i="69"/>
  <c r="Q2037" i="69"/>
  <c r="P2037" i="69"/>
  <c r="O2037" i="69"/>
  <c r="N2037" i="69"/>
  <c r="M2037" i="69"/>
  <c r="L2037" i="69"/>
  <c r="K2037" i="69"/>
  <c r="J2037" i="69"/>
  <c r="I2037" i="69"/>
  <c r="H2037" i="69"/>
  <c r="G2037" i="69"/>
  <c r="Q2036" i="69"/>
  <c r="P2036" i="69"/>
  <c r="O2036" i="69"/>
  <c r="N2036" i="69"/>
  <c r="M2036" i="69"/>
  <c r="L2036" i="69"/>
  <c r="K2036" i="69"/>
  <c r="J2036" i="69"/>
  <c r="I2036" i="69"/>
  <c r="H2036" i="69"/>
  <c r="G2036" i="69"/>
  <c r="Q2035" i="69"/>
  <c r="P2035" i="69"/>
  <c r="O2035" i="69"/>
  <c r="N2035" i="69"/>
  <c r="M2035" i="69"/>
  <c r="L2035" i="69"/>
  <c r="K2035" i="69"/>
  <c r="J2035" i="69"/>
  <c r="I2035" i="69"/>
  <c r="H2035" i="69"/>
  <c r="G2035" i="69"/>
  <c r="Q2034" i="69"/>
  <c r="P2034" i="69"/>
  <c r="O2034" i="69"/>
  <c r="N2034" i="69"/>
  <c r="M2034" i="69"/>
  <c r="L2034" i="69"/>
  <c r="K2034" i="69"/>
  <c r="J2034" i="69"/>
  <c r="I2034" i="69"/>
  <c r="H2034" i="69"/>
  <c r="G2034" i="69"/>
  <c r="Q2033" i="69"/>
  <c r="P2033" i="69"/>
  <c r="O2033" i="69"/>
  <c r="N2033" i="69"/>
  <c r="M2033" i="69"/>
  <c r="L2033" i="69"/>
  <c r="K2033" i="69"/>
  <c r="J2033" i="69"/>
  <c r="I2033" i="69"/>
  <c r="H2033" i="69"/>
  <c r="G2033" i="69"/>
  <c r="Q2032" i="69"/>
  <c r="P2032" i="69"/>
  <c r="O2032" i="69"/>
  <c r="N2032" i="69"/>
  <c r="M2032" i="69"/>
  <c r="L2032" i="69"/>
  <c r="K2032" i="69"/>
  <c r="J2032" i="69"/>
  <c r="I2032" i="69"/>
  <c r="H2032" i="69"/>
  <c r="G2032" i="69"/>
  <c r="Q2031" i="69"/>
  <c r="P2031" i="69"/>
  <c r="O2031" i="69"/>
  <c r="N2031" i="69"/>
  <c r="M2031" i="69"/>
  <c r="L2031" i="69"/>
  <c r="K2031" i="69"/>
  <c r="J2031" i="69"/>
  <c r="I2031" i="69"/>
  <c r="H2031" i="69"/>
  <c r="G2031" i="69"/>
  <c r="Q2030" i="69"/>
  <c r="P2030" i="69"/>
  <c r="O2030" i="69"/>
  <c r="N2030" i="69"/>
  <c r="M2030" i="69"/>
  <c r="L2030" i="69"/>
  <c r="K2030" i="69"/>
  <c r="J2030" i="69"/>
  <c r="I2030" i="69"/>
  <c r="H2030" i="69"/>
  <c r="G2030" i="69"/>
  <c r="Q2029" i="69"/>
  <c r="P2029" i="69"/>
  <c r="O2029" i="69"/>
  <c r="N2029" i="69"/>
  <c r="M2029" i="69"/>
  <c r="L2029" i="69"/>
  <c r="K2029" i="69"/>
  <c r="J2029" i="69"/>
  <c r="I2029" i="69"/>
  <c r="H2029" i="69"/>
  <c r="G2029" i="69"/>
  <c r="Q2028" i="69"/>
  <c r="P2028" i="69"/>
  <c r="O2028" i="69"/>
  <c r="N2028" i="69"/>
  <c r="M2028" i="69"/>
  <c r="L2028" i="69"/>
  <c r="K2028" i="69"/>
  <c r="J2028" i="69"/>
  <c r="I2028" i="69"/>
  <c r="H2028" i="69"/>
  <c r="G2028" i="69"/>
  <c r="Q2027" i="69"/>
  <c r="P2027" i="69"/>
  <c r="O2027" i="69"/>
  <c r="N2027" i="69"/>
  <c r="M2027" i="69"/>
  <c r="L2027" i="69"/>
  <c r="K2027" i="69"/>
  <c r="J2027" i="69"/>
  <c r="I2027" i="69"/>
  <c r="H2027" i="69"/>
  <c r="G2027" i="69"/>
  <c r="Q2026" i="69"/>
  <c r="P2026" i="69"/>
  <c r="O2026" i="69"/>
  <c r="N2026" i="69"/>
  <c r="M2026" i="69"/>
  <c r="L2026" i="69"/>
  <c r="K2026" i="69"/>
  <c r="J2026" i="69"/>
  <c r="I2026" i="69"/>
  <c r="H2026" i="69"/>
  <c r="G2026" i="69"/>
  <c r="Q2025" i="69"/>
  <c r="P2025" i="69"/>
  <c r="O2025" i="69"/>
  <c r="N2025" i="69"/>
  <c r="M2025" i="69"/>
  <c r="L2025" i="69"/>
  <c r="K2025" i="69"/>
  <c r="J2025" i="69"/>
  <c r="I2025" i="69"/>
  <c r="H2025" i="69"/>
  <c r="G2025" i="69"/>
  <c r="Q2024" i="69"/>
  <c r="P2024" i="69"/>
  <c r="O2024" i="69"/>
  <c r="N2024" i="69"/>
  <c r="M2024" i="69"/>
  <c r="L2024" i="69"/>
  <c r="K2024" i="69"/>
  <c r="J2024" i="69"/>
  <c r="I2024" i="69"/>
  <c r="H2024" i="69"/>
  <c r="G2024" i="69"/>
  <c r="Q2023" i="69"/>
  <c r="P2023" i="69"/>
  <c r="O2023" i="69"/>
  <c r="N2023" i="69"/>
  <c r="M2023" i="69"/>
  <c r="L2023" i="69"/>
  <c r="K2023" i="69"/>
  <c r="J2023" i="69"/>
  <c r="I2023" i="69"/>
  <c r="H2023" i="69"/>
  <c r="G2023" i="69"/>
  <c r="Q2022" i="69"/>
  <c r="P2022" i="69"/>
  <c r="O2022" i="69"/>
  <c r="N2022" i="69"/>
  <c r="M2022" i="69"/>
  <c r="L2022" i="69"/>
  <c r="K2022" i="69"/>
  <c r="J2022" i="69"/>
  <c r="I2022" i="69"/>
  <c r="H2022" i="69"/>
  <c r="G2022" i="69"/>
  <c r="Q2021" i="69"/>
  <c r="P2021" i="69"/>
  <c r="O2021" i="69"/>
  <c r="N2021" i="69"/>
  <c r="M2021" i="69"/>
  <c r="L2021" i="69"/>
  <c r="K2021" i="69"/>
  <c r="J2021" i="69"/>
  <c r="I2021" i="69"/>
  <c r="H2021" i="69"/>
  <c r="G2021" i="69"/>
  <c r="Q2020" i="69"/>
  <c r="P2020" i="69"/>
  <c r="O2020" i="69"/>
  <c r="N2020" i="69"/>
  <c r="M2020" i="69"/>
  <c r="L2020" i="69"/>
  <c r="K2020" i="69"/>
  <c r="J2020" i="69"/>
  <c r="I2020" i="69"/>
  <c r="H2020" i="69"/>
  <c r="G2020" i="69"/>
  <c r="Q2019" i="69"/>
  <c r="P2019" i="69"/>
  <c r="O2019" i="69"/>
  <c r="N2019" i="69"/>
  <c r="M2019" i="69"/>
  <c r="L2019" i="69"/>
  <c r="K2019" i="69"/>
  <c r="J2019" i="69"/>
  <c r="I2019" i="69"/>
  <c r="H2019" i="69"/>
  <c r="G2019" i="69"/>
  <c r="Q2018" i="69"/>
  <c r="P2018" i="69"/>
  <c r="O2018" i="69"/>
  <c r="N2018" i="69"/>
  <c r="M2018" i="69"/>
  <c r="L2018" i="69"/>
  <c r="K2018" i="69"/>
  <c r="J2018" i="69"/>
  <c r="I2018" i="69"/>
  <c r="H2018" i="69"/>
  <c r="G2018" i="69"/>
  <c r="Q2017" i="69"/>
  <c r="P2017" i="69"/>
  <c r="O2017" i="69"/>
  <c r="N2017" i="69"/>
  <c r="M2017" i="69"/>
  <c r="L2017" i="69"/>
  <c r="K2017" i="69"/>
  <c r="J2017" i="69"/>
  <c r="I2017" i="69"/>
  <c r="H2017" i="69"/>
  <c r="G2017" i="69"/>
  <c r="Q2016" i="69"/>
  <c r="P2016" i="69"/>
  <c r="O2016" i="69"/>
  <c r="N2016" i="69"/>
  <c r="M2016" i="69"/>
  <c r="L2016" i="69"/>
  <c r="K2016" i="69"/>
  <c r="J2016" i="69"/>
  <c r="I2016" i="69"/>
  <c r="H2016" i="69"/>
  <c r="G2016" i="69"/>
  <c r="Q2015" i="69"/>
  <c r="P2015" i="69"/>
  <c r="O2015" i="69"/>
  <c r="N2015" i="69"/>
  <c r="M2015" i="69"/>
  <c r="L2015" i="69"/>
  <c r="K2015" i="69"/>
  <c r="J2015" i="69"/>
  <c r="I2015" i="69"/>
  <c r="H2015" i="69"/>
  <c r="G2015" i="69"/>
  <c r="Q2014" i="69"/>
  <c r="P2014" i="69"/>
  <c r="O2014" i="69"/>
  <c r="N2014" i="69"/>
  <c r="M2014" i="69"/>
  <c r="L2014" i="69"/>
  <c r="K2014" i="69"/>
  <c r="J2014" i="69"/>
  <c r="I2014" i="69"/>
  <c r="H2014" i="69"/>
  <c r="G2014" i="69"/>
  <c r="Q2013" i="69"/>
  <c r="P2013" i="69"/>
  <c r="O2013" i="69"/>
  <c r="N2013" i="69"/>
  <c r="M2013" i="69"/>
  <c r="L2013" i="69"/>
  <c r="K2013" i="69"/>
  <c r="J2013" i="69"/>
  <c r="I2013" i="69"/>
  <c r="H2013" i="69"/>
  <c r="G2013" i="69"/>
  <c r="Q2012" i="69"/>
  <c r="P2012" i="69"/>
  <c r="O2012" i="69"/>
  <c r="N2012" i="69"/>
  <c r="M2012" i="69"/>
  <c r="L2012" i="69"/>
  <c r="K2012" i="69"/>
  <c r="J2012" i="69"/>
  <c r="I2012" i="69"/>
  <c r="H2012" i="69"/>
  <c r="G2012" i="69"/>
  <c r="Q2011" i="69"/>
  <c r="P2011" i="69"/>
  <c r="O2011" i="69"/>
  <c r="N2011" i="69"/>
  <c r="M2011" i="69"/>
  <c r="L2011" i="69"/>
  <c r="K2011" i="69"/>
  <c r="J2011" i="69"/>
  <c r="I2011" i="69"/>
  <c r="H2011" i="69"/>
  <c r="G2011" i="69"/>
  <c r="Q2010" i="69"/>
  <c r="P2010" i="69"/>
  <c r="O2010" i="69"/>
  <c r="N2010" i="69"/>
  <c r="M2010" i="69"/>
  <c r="L2010" i="69"/>
  <c r="K2010" i="69"/>
  <c r="J2010" i="69"/>
  <c r="I2010" i="69"/>
  <c r="H2010" i="69"/>
  <c r="G2010" i="69"/>
  <c r="Q2009" i="69"/>
  <c r="P2009" i="69"/>
  <c r="O2009" i="69"/>
  <c r="N2009" i="69"/>
  <c r="M2009" i="69"/>
  <c r="L2009" i="69"/>
  <c r="K2009" i="69"/>
  <c r="J2009" i="69"/>
  <c r="I2009" i="69"/>
  <c r="H2009" i="69"/>
  <c r="G2009" i="69"/>
  <c r="Q2008" i="69"/>
  <c r="P2008" i="69"/>
  <c r="O2008" i="69"/>
  <c r="N2008" i="69"/>
  <c r="M2008" i="69"/>
  <c r="L2008" i="69"/>
  <c r="K2008" i="69"/>
  <c r="J2008" i="69"/>
  <c r="I2008" i="69"/>
  <c r="H2008" i="69"/>
  <c r="G2008" i="69"/>
  <c r="Q2007" i="69"/>
  <c r="P2007" i="69"/>
  <c r="O2007" i="69"/>
  <c r="N2007" i="69"/>
  <c r="M2007" i="69"/>
  <c r="L2007" i="69"/>
  <c r="K2007" i="69"/>
  <c r="J2007" i="69"/>
  <c r="I2007" i="69"/>
  <c r="H2007" i="69"/>
  <c r="G2007" i="69"/>
  <c r="Q2006" i="69"/>
  <c r="P2006" i="69"/>
  <c r="O2006" i="69"/>
  <c r="N2006" i="69"/>
  <c r="M2006" i="69"/>
  <c r="L2006" i="69"/>
  <c r="K2006" i="69"/>
  <c r="J2006" i="69"/>
  <c r="I2006" i="69"/>
  <c r="H2006" i="69"/>
  <c r="G2006" i="69"/>
  <c r="Q2005" i="69"/>
  <c r="P2005" i="69"/>
  <c r="O2005" i="69"/>
  <c r="N2005" i="69"/>
  <c r="M2005" i="69"/>
  <c r="L2005" i="69"/>
  <c r="K2005" i="69"/>
  <c r="J2005" i="69"/>
  <c r="I2005" i="69"/>
  <c r="H2005" i="69"/>
  <c r="G2005" i="69"/>
  <c r="Q2004" i="69"/>
  <c r="P2004" i="69"/>
  <c r="O2004" i="69"/>
  <c r="N2004" i="69"/>
  <c r="M2004" i="69"/>
  <c r="L2004" i="69"/>
  <c r="K2004" i="69"/>
  <c r="J2004" i="69"/>
  <c r="I2004" i="69"/>
  <c r="H2004" i="69"/>
  <c r="G2004" i="69"/>
  <c r="Q2003" i="69"/>
  <c r="P2003" i="69"/>
  <c r="O2003" i="69"/>
  <c r="N2003" i="69"/>
  <c r="M2003" i="69"/>
  <c r="L2003" i="69"/>
  <c r="K2003" i="69"/>
  <c r="J2003" i="69"/>
  <c r="I2003" i="69"/>
  <c r="H2003" i="69"/>
  <c r="G2003" i="69"/>
  <c r="Q2002" i="69"/>
  <c r="P2002" i="69"/>
  <c r="O2002" i="69"/>
  <c r="N2002" i="69"/>
  <c r="M2002" i="69"/>
  <c r="L2002" i="69"/>
  <c r="K2002" i="69"/>
  <c r="J2002" i="69"/>
  <c r="I2002" i="69"/>
  <c r="H2002" i="69"/>
  <c r="G2002" i="69"/>
  <c r="Q2001" i="69"/>
  <c r="P2001" i="69"/>
  <c r="O2001" i="69"/>
  <c r="N2001" i="69"/>
  <c r="M2001" i="69"/>
  <c r="L2001" i="69"/>
  <c r="K2001" i="69"/>
  <c r="J2001" i="69"/>
  <c r="I2001" i="69"/>
  <c r="H2001" i="69"/>
  <c r="G2001" i="69"/>
  <c r="Q2000" i="69"/>
  <c r="P2000" i="69"/>
  <c r="O2000" i="69"/>
  <c r="N2000" i="69"/>
  <c r="M2000" i="69"/>
  <c r="L2000" i="69"/>
  <c r="K2000" i="69"/>
  <c r="J2000" i="69"/>
  <c r="I2000" i="69"/>
  <c r="H2000" i="69"/>
  <c r="G2000" i="69"/>
  <c r="Q1999" i="69"/>
  <c r="P1999" i="69"/>
  <c r="O1999" i="69"/>
  <c r="N1999" i="69"/>
  <c r="M1999" i="69"/>
  <c r="L1999" i="69"/>
  <c r="K1999" i="69"/>
  <c r="J1999" i="69"/>
  <c r="I1999" i="69"/>
  <c r="H1999" i="69"/>
  <c r="G1999" i="69"/>
  <c r="Q1998" i="69"/>
  <c r="P1998" i="69"/>
  <c r="O1998" i="69"/>
  <c r="N1998" i="69"/>
  <c r="M1998" i="69"/>
  <c r="L1998" i="69"/>
  <c r="K1998" i="69"/>
  <c r="J1998" i="69"/>
  <c r="I1998" i="69"/>
  <c r="H1998" i="69"/>
  <c r="G1998" i="69"/>
  <c r="Q1997" i="69"/>
  <c r="P1997" i="69"/>
  <c r="O1997" i="69"/>
  <c r="N1997" i="69"/>
  <c r="M1997" i="69"/>
  <c r="L1997" i="69"/>
  <c r="K1997" i="69"/>
  <c r="J1997" i="69"/>
  <c r="I1997" i="69"/>
  <c r="H1997" i="69"/>
  <c r="G1997" i="69"/>
  <c r="Q1996" i="69"/>
  <c r="P1996" i="69"/>
  <c r="O1996" i="69"/>
  <c r="N1996" i="69"/>
  <c r="M1996" i="69"/>
  <c r="L1996" i="69"/>
  <c r="K1996" i="69"/>
  <c r="J1996" i="69"/>
  <c r="I1996" i="69"/>
  <c r="H1996" i="69"/>
  <c r="G1996" i="69"/>
  <c r="Q1995" i="69"/>
  <c r="P1995" i="69"/>
  <c r="O1995" i="69"/>
  <c r="N1995" i="69"/>
  <c r="M1995" i="69"/>
  <c r="L1995" i="69"/>
  <c r="K1995" i="69"/>
  <c r="J1995" i="69"/>
  <c r="I1995" i="69"/>
  <c r="H1995" i="69"/>
  <c r="G1995" i="69"/>
  <c r="Q1994" i="69"/>
  <c r="P1994" i="69"/>
  <c r="O1994" i="69"/>
  <c r="N1994" i="69"/>
  <c r="M1994" i="69"/>
  <c r="L1994" i="69"/>
  <c r="K1994" i="69"/>
  <c r="J1994" i="69"/>
  <c r="I1994" i="69"/>
  <c r="H1994" i="69"/>
  <c r="G1994" i="69"/>
  <c r="Q1993" i="69"/>
  <c r="P1993" i="69"/>
  <c r="O1993" i="69"/>
  <c r="N1993" i="69"/>
  <c r="M1993" i="69"/>
  <c r="L1993" i="69"/>
  <c r="K1993" i="69"/>
  <c r="J1993" i="69"/>
  <c r="I1993" i="69"/>
  <c r="H1993" i="69"/>
  <c r="G1993" i="69"/>
  <c r="Q1992" i="69"/>
  <c r="P1992" i="69"/>
  <c r="O1992" i="69"/>
  <c r="N1992" i="69"/>
  <c r="M1992" i="69"/>
  <c r="L1992" i="69"/>
  <c r="K1992" i="69"/>
  <c r="J1992" i="69"/>
  <c r="I1992" i="69"/>
  <c r="H1992" i="69"/>
  <c r="G1992" i="69"/>
  <c r="Q1991" i="69"/>
  <c r="P1991" i="69"/>
  <c r="O1991" i="69"/>
  <c r="N1991" i="69"/>
  <c r="M1991" i="69"/>
  <c r="L1991" i="69"/>
  <c r="K1991" i="69"/>
  <c r="J1991" i="69"/>
  <c r="I1991" i="69"/>
  <c r="H1991" i="69"/>
  <c r="G1991" i="69"/>
  <c r="Q1990" i="69"/>
  <c r="P1990" i="69"/>
  <c r="O1990" i="69"/>
  <c r="N1990" i="69"/>
  <c r="M1990" i="69"/>
  <c r="L1990" i="69"/>
  <c r="K1990" i="69"/>
  <c r="J1990" i="69"/>
  <c r="I1990" i="69"/>
  <c r="H1990" i="69"/>
  <c r="G1990" i="69"/>
  <c r="Q1989" i="69"/>
  <c r="P1989" i="69"/>
  <c r="O1989" i="69"/>
  <c r="N1989" i="69"/>
  <c r="M1989" i="69"/>
  <c r="L1989" i="69"/>
  <c r="K1989" i="69"/>
  <c r="J1989" i="69"/>
  <c r="I1989" i="69"/>
  <c r="H1989" i="69"/>
  <c r="G1989" i="69"/>
  <c r="Q1988" i="69"/>
  <c r="P1988" i="69"/>
  <c r="O1988" i="69"/>
  <c r="N1988" i="69"/>
  <c r="M1988" i="69"/>
  <c r="L1988" i="69"/>
  <c r="K1988" i="69"/>
  <c r="J1988" i="69"/>
  <c r="I1988" i="69"/>
  <c r="H1988" i="69"/>
  <c r="G1988" i="69"/>
  <c r="Q1987" i="69"/>
  <c r="P1987" i="69"/>
  <c r="O1987" i="69"/>
  <c r="N1987" i="69"/>
  <c r="M1987" i="69"/>
  <c r="L1987" i="69"/>
  <c r="K1987" i="69"/>
  <c r="J1987" i="69"/>
  <c r="I1987" i="69"/>
  <c r="H1987" i="69"/>
  <c r="G1987" i="69"/>
  <c r="Q1986" i="69"/>
  <c r="P1986" i="69"/>
  <c r="O1986" i="69"/>
  <c r="N1986" i="69"/>
  <c r="M1986" i="69"/>
  <c r="L1986" i="69"/>
  <c r="K1986" i="69"/>
  <c r="J1986" i="69"/>
  <c r="I1986" i="69"/>
  <c r="H1986" i="69"/>
  <c r="G1986" i="69"/>
  <c r="Q1985" i="69"/>
  <c r="P1985" i="69"/>
  <c r="O1985" i="69"/>
  <c r="N1985" i="69"/>
  <c r="M1985" i="69"/>
  <c r="L1985" i="69"/>
  <c r="K1985" i="69"/>
  <c r="J1985" i="69"/>
  <c r="I1985" i="69"/>
  <c r="H1985" i="69"/>
  <c r="G1985" i="69"/>
  <c r="Q1984" i="69"/>
  <c r="P1984" i="69"/>
  <c r="O1984" i="69"/>
  <c r="N1984" i="69"/>
  <c r="M1984" i="69"/>
  <c r="L1984" i="69"/>
  <c r="K1984" i="69"/>
  <c r="J1984" i="69"/>
  <c r="I1984" i="69"/>
  <c r="H1984" i="69"/>
  <c r="G1984" i="69"/>
  <c r="Q1983" i="69"/>
  <c r="P1983" i="69"/>
  <c r="O1983" i="69"/>
  <c r="N1983" i="69"/>
  <c r="M1983" i="69"/>
  <c r="L1983" i="69"/>
  <c r="K1983" i="69"/>
  <c r="J1983" i="69"/>
  <c r="I1983" i="69"/>
  <c r="H1983" i="69"/>
  <c r="G1983" i="69"/>
  <c r="Q1982" i="69"/>
  <c r="P1982" i="69"/>
  <c r="O1982" i="69"/>
  <c r="N1982" i="69"/>
  <c r="M1982" i="69"/>
  <c r="L1982" i="69"/>
  <c r="K1982" i="69"/>
  <c r="J1982" i="69"/>
  <c r="I1982" i="69"/>
  <c r="H1982" i="69"/>
  <c r="G1982" i="69"/>
  <c r="Q1981" i="69"/>
  <c r="P1981" i="69"/>
  <c r="O1981" i="69"/>
  <c r="N1981" i="69"/>
  <c r="M1981" i="69"/>
  <c r="L1981" i="69"/>
  <c r="K1981" i="69"/>
  <c r="J1981" i="69"/>
  <c r="I1981" i="69"/>
  <c r="H1981" i="69"/>
  <c r="G1981" i="69"/>
  <c r="Q1980" i="69"/>
  <c r="P1980" i="69"/>
  <c r="O1980" i="69"/>
  <c r="N1980" i="69"/>
  <c r="M1980" i="69"/>
  <c r="L1980" i="69"/>
  <c r="K1980" i="69"/>
  <c r="J1980" i="69"/>
  <c r="I1980" i="69"/>
  <c r="H1980" i="69"/>
  <c r="G1980" i="69"/>
  <c r="Q1979" i="69"/>
  <c r="P1979" i="69"/>
  <c r="O1979" i="69"/>
  <c r="N1979" i="69"/>
  <c r="M1979" i="69"/>
  <c r="L1979" i="69"/>
  <c r="K1979" i="69"/>
  <c r="J1979" i="69"/>
  <c r="I1979" i="69"/>
  <c r="H1979" i="69"/>
  <c r="G1979" i="69"/>
  <c r="Q1978" i="69"/>
  <c r="P1978" i="69"/>
  <c r="O1978" i="69"/>
  <c r="N1978" i="69"/>
  <c r="M1978" i="69"/>
  <c r="L1978" i="69"/>
  <c r="K1978" i="69"/>
  <c r="J1978" i="69"/>
  <c r="I1978" i="69"/>
  <c r="H1978" i="69"/>
  <c r="G1978" i="69"/>
  <c r="Q1977" i="69"/>
  <c r="P1977" i="69"/>
  <c r="O1977" i="69"/>
  <c r="N1977" i="69"/>
  <c r="M1977" i="69"/>
  <c r="L1977" i="69"/>
  <c r="K1977" i="69"/>
  <c r="J1977" i="69"/>
  <c r="I1977" i="69"/>
  <c r="H1977" i="69"/>
  <c r="G1977" i="69"/>
  <c r="Q1976" i="69"/>
  <c r="P1976" i="69"/>
  <c r="O1976" i="69"/>
  <c r="N1976" i="69"/>
  <c r="M1976" i="69"/>
  <c r="L1976" i="69"/>
  <c r="K1976" i="69"/>
  <c r="J1976" i="69"/>
  <c r="I1976" i="69"/>
  <c r="H1976" i="69"/>
  <c r="G1976" i="69"/>
  <c r="Q1975" i="69"/>
  <c r="P1975" i="69"/>
  <c r="O1975" i="69"/>
  <c r="N1975" i="69"/>
  <c r="M1975" i="69"/>
  <c r="L1975" i="69"/>
  <c r="K1975" i="69"/>
  <c r="J1975" i="69"/>
  <c r="I1975" i="69"/>
  <c r="H1975" i="69"/>
  <c r="G1975" i="69"/>
  <c r="Q1974" i="69"/>
  <c r="P1974" i="69"/>
  <c r="O1974" i="69"/>
  <c r="N1974" i="69"/>
  <c r="M1974" i="69"/>
  <c r="L1974" i="69"/>
  <c r="K1974" i="69"/>
  <c r="J1974" i="69"/>
  <c r="I1974" i="69"/>
  <c r="H1974" i="69"/>
  <c r="G1974" i="69"/>
  <c r="Q1973" i="69"/>
  <c r="P1973" i="69"/>
  <c r="O1973" i="69"/>
  <c r="N1973" i="69"/>
  <c r="M1973" i="69"/>
  <c r="L1973" i="69"/>
  <c r="K1973" i="69"/>
  <c r="J1973" i="69"/>
  <c r="I1973" i="69"/>
  <c r="H1973" i="69"/>
  <c r="G1973" i="69"/>
  <c r="Q1972" i="69"/>
  <c r="P1972" i="69"/>
  <c r="O1972" i="69"/>
  <c r="N1972" i="69"/>
  <c r="M1972" i="69"/>
  <c r="L1972" i="69"/>
  <c r="K1972" i="69"/>
  <c r="J1972" i="69"/>
  <c r="I1972" i="69"/>
  <c r="H1972" i="69"/>
  <c r="G1972" i="69"/>
  <c r="Q1971" i="69"/>
  <c r="P1971" i="69"/>
  <c r="O1971" i="69"/>
  <c r="N1971" i="69"/>
  <c r="M1971" i="69"/>
  <c r="L1971" i="69"/>
  <c r="K1971" i="69"/>
  <c r="J1971" i="69"/>
  <c r="I1971" i="69"/>
  <c r="H1971" i="69"/>
  <c r="G1971" i="69"/>
  <c r="Q1970" i="69"/>
  <c r="P1970" i="69"/>
  <c r="O1970" i="69"/>
  <c r="N1970" i="69"/>
  <c r="M1970" i="69"/>
  <c r="L1970" i="69"/>
  <c r="K1970" i="69"/>
  <c r="J1970" i="69"/>
  <c r="I1970" i="69"/>
  <c r="H1970" i="69"/>
  <c r="G1970" i="69"/>
  <c r="Q1969" i="69"/>
  <c r="P1969" i="69"/>
  <c r="O1969" i="69"/>
  <c r="N1969" i="69"/>
  <c r="M1969" i="69"/>
  <c r="L1969" i="69"/>
  <c r="K1969" i="69"/>
  <c r="J1969" i="69"/>
  <c r="I1969" i="69"/>
  <c r="H1969" i="69"/>
  <c r="G1969" i="69"/>
  <c r="Q1968" i="69"/>
  <c r="P1968" i="69"/>
  <c r="O1968" i="69"/>
  <c r="N1968" i="69"/>
  <c r="M1968" i="69"/>
  <c r="L1968" i="69"/>
  <c r="K1968" i="69"/>
  <c r="J1968" i="69"/>
  <c r="I1968" i="69"/>
  <c r="H1968" i="69"/>
  <c r="G1968" i="69"/>
  <c r="Q1967" i="69"/>
  <c r="P1967" i="69"/>
  <c r="O1967" i="69"/>
  <c r="N1967" i="69"/>
  <c r="M1967" i="69"/>
  <c r="L1967" i="69"/>
  <c r="K1967" i="69"/>
  <c r="J1967" i="69"/>
  <c r="I1967" i="69"/>
  <c r="H1967" i="69"/>
  <c r="G1967" i="69"/>
  <c r="Q1966" i="69"/>
  <c r="P1966" i="69"/>
  <c r="O1966" i="69"/>
  <c r="N1966" i="69"/>
  <c r="M1966" i="69"/>
  <c r="L1966" i="69"/>
  <c r="K1966" i="69"/>
  <c r="J1966" i="69"/>
  <c r="I1966" i="69"/>
  <c r="H1966" i="69"/>
  <c r="G1966" i="69"/>
  <c r="Q1965" i="69"/>
  <c r="P1965" i="69"/>
  <c r="O1965" i="69"/>
  <c r="N1965" i="69"/>
  <c r="M1965" i="69"/>
  <c r="L1965" i="69"/>
  <c r="K1965" i="69"/>
  <c r="J1965" i="69"/>
  <c r="I1965" i="69"/>
  <c r="H1965" i="69"/>
  <c r="G1965" i="69"/>
  <c r="Q1964" i="69"/>
  <c r="P1964" i="69"/>
  <c r="O1964" i="69"/>
  <c r="N1964" i="69"/>
  <c r="M1964" i="69"/>
  <c r="L1964" i="69"/>
  <c r="K1964" i="69"/>
  <c r="J1964" i="69"/>
  <c r="I1964" i="69"/>
  <c r="H1964" i="69"/>
  <c r="G1964" i="69"/>
  <c r="Q1963" i="69"/>
  <c r="P1963" i="69"/>
  <c r="O1963" i="69"/>
  <c r="N1963" i="69"/>
  <c r="M1963" i="69"/>
  <c r="L1963" i="69"/>
  <c r="K1963" i="69"/>
  <c r="J1963" i="69"/>
  <c r="I1963" i="69"/>
  <c r="H1963" i="69"/>
  <c r="G1963" i="69"/>
  <c r="Q1962" i="69"/>
  <c r="P1962" i="69"/>
  <c r="O1962" i="69"/>
  <c r="N1962" i="69"/>
  <c r="M1962" i="69"/>
  <c r="L1962" i="69"/>
  <c r="K1962" i="69"/>
  <c r="J1962" i="69"/>
  <c r="I1962" i="69"/>
  <c r="H1962" i="69"/>
  <c r="G1962" i="69"/>
  <c r="Q1961" i="69"/>
  <c r="P1961" i="69"/>
  <c r="O1961" i="69"/>
  <c r="N1961" i="69"/>
  <c r="M1961" i="69"/>
  <c r="L1961" i="69"/>
  <c r="K1961" i="69"/>
  <c r="J1961" i="69"/>
  <c r="I1961" i="69"/>
  <c r="H1961" i="69"/>
  <c r="G1961" i="69"/>
  <c r="Q1960" i="69"/>
  <c r="P1960" i="69"/>
  <c r="O1960" i="69"/>
  <c r="N1960" i="69"/>
  <c r="M1960" i="69"/>
  <c r="L1960" i="69"/>
  <c r="K1960" i="69"/>
  <c r="J1960" i="69"/>
  <c r="I1960" i="69"/>
  <c r="H1960" i="69"/>
  <c r="G1960" i="69"/>
  <c r="Q1959" i="69"/>
  <c r="P1959" i="69"/>
  <c r="O1959" i="69"/>
  <c r="N1959" i="69"/>
  <c r="M1959" i="69"/>
  <c r="L1959" i="69"/>
  <c r="K1959" i="69"/>
  <c r="J1959" i="69"/>
  <c r="I1959" i="69"/>
  <c r="H1959" i="69"/>
  <c r="G1959" i="69"/>
  <c r="Q1958" i="69"/>
  <c r="P1958" i="69"/>
  <c r="O1958" i="69"/>
  <c r="N1958" i="69"/>
  <c r="M1958" i="69"/>
  <c r="L1958" i="69"/>
  <c r="K1958" i="69"/>
  <c r="J1958" i="69"/>
  <c r="I1958" i="69"/>
  <c r="H1958" i="69"/>
  <c r="G1958" i="69"/>
  <c r="Q1957" i="69"/>
  <c r="P1957" i="69"/>
  <c r="O1957" i="69"/>
  <c r="N1957" i="69"/>
  <c r="M1957" i="69"/>
  <c r="L1957" i="69"/>
  <c r="K1957" i="69"/>
  <c r="J1957" i="69"/>
  <c r="I1957" i="69"/>
  <c r="H1957" i="69"/>
  <c r="G1957" i="69"/>
  <c r="Q1956" i="69"/>
  <c r="P1956" i="69"/>
  <c r="O1956" i="69"/>
  <c r="N1956" i="69"/>
  <c r="M1956" i="69"/>
  <c r="L1956" i="69"/>
  <c r="K1956" i="69"/>
  <c r="J1956" i="69"/>
  <c r="I1956" i="69"/>
  <c r="H1956" i="69"/>
  <c r="G1956" i="69"/>
  <c r="Q1955" i="69"/>
  <c r="P1955" i="69"/>
  <c r="O1955" i="69"/>
  <c r="N1955" i="69"/>
  <c r="M1955" i="69"/>
  <c r="L1955" i="69"/>
  <c r="K1955" i="69"/>
  <c r="J1955" i="69"/>
  <c r="I1955" i="69"/>
  <c r="H1955" i="69"/>
  <c r="G1955" i="69"/>
  <c r="Q1954" i="69"/>
  <c r="P1954" i="69"/>
  <c r="O1954" i="69"/>
  <c r="N1954" i="69"/>
  <c r="M1954" i="69"/>
  <c r="L1954" i="69"/>
  <c r="K1954" i="69"/>
  <c r="J1954" i="69"/>
  <c r="I1954" i="69"/>
  <c r="H1954" i="69"/>
  <c r="G1954" i="69"/>
  <c r="Q1953" i="69"/>
  <c r="P1953" i="69"/>
  <c r="O1953" i="69"/>
  <c r="N1953" i="69"/>
  <c r="M1953" i="69"/>
  <c r="L1953" i="69"/>
  <c r="K1953" i="69"/>
  <c r="J1953" i="69"/>
  <c r="I1953" i="69"/>
  <c r="H1953" i="69"/>
  <c r="G1953" i="69"/>
  <c r="Q1952" i="69"/>
  <c r="P1952" i="69"/>
  <c r="O1952" i="69"/>
  <c r="N1952" i="69"/>
  <c r="M1952" i="69"/>
  <c r="L1952" i="69"/>
  <c r="K1952" i="69"/>
  <c r="J1952" i="69"/>
  <c r="I1952" i="69"/>
  <c r="H1952" i="69"/>
  <c r="G1952" i="69"/>
  <c r="Q1951" i="69"/>
  <c r="P1951" i="69"/>
  <c r="O1951" i="69"/>
  <c r="N1951" i="69"/>
  <c r="M1951" i="69"/>
  <c r="L1951" i="69"/>
  <c r="K1951" i="69"/>
  <c r="J1951" i="69"/>
  <c r="I1951" i="69"/>
  <c r="H1951" i="69"/>
  <c r="G1951" i="69"/>
  <c r="Q1950" i="69"/>
  <c r="P1950" i="69"/>
  <c r="O1950" i="69"/>
  <c r="N1950" i="69"/>
  <c r="M1950" i="69"/>
  <c r="L1950" i="69"/>
  <c r="K1950" i="69"/>
  <c r="J1950" i="69"/>
  <c r="I1950" i="69"/>
  <c r="H1950" i="69"/>
  <c r="G1950" i="69"/>
  <c r="Q1949" i="69"/>
  <c r="P1949" i="69"/>
  <c r="O1949" i="69"/>
  <c r="N1949" i="69"/>
  <c r="M1949" i="69"/>
  <c r="L1949" i="69"/>
  <c r="K1949" i="69"/>
  <c r="J1949" i="69"/>
  <c r="I1949" i="69"/>
  <c r="H1949" i="69"/>
  <c r="G1949" i="69"/>
  <c r="Q1948" i="69"/>
  <c r="P1948" i="69"/>
  <c r="O1948" i="69"/>
  <c r="N1948" i="69"/>
  <c r="M1948" i="69"/>
  <c r="L1948" i="69"/>
  <c r="K1948" i="69"/>
  <c r="J1948" i="69"/>
  <c r="I1948" i="69"/>
  <c r="H1948" i="69"/>
  <c r="G1948" i="69"/>
  <c r="Q1947" i="69"/>
  <c r="P1947" i="69"/>
  <c r="O1947" i="69"/>
  <c r="N1947" i="69"/>
  <c r="M1947" i="69"/>
  <c r="L1947" i="69"/>
  <c r="K1947" i="69"/>
  <c r="J1947" i="69"/>
  <c r="I1947" i="69"/>
  <c r="H1947" i="69"/>
  <c r="G1947" i="69"/>
  <c r="Q1946" i="69"/>
  <c r="P1946" i="69"/>
  <c r="O1946" i="69"/>
  <c r="N1946" i="69"/>
  <c r="M1946" i="69"/>
  <c r="L1946" i="69"/>
  <c r="K1946" i="69"/>
  <c r="J1946" i="69"/>
  <c r="I1946" i="69"/>
  <c r="H1946" i="69"/>
  <c r="G1946" i="69"/>
  <c r="Q1945" i="69"/>
  <c r="P1945" i="69"/>
  <c r="O1945" i="69"/>
  <c r="N1945" i="69"/>
  <c r="M1945" i="69"/>
  <c r="L1945" i="69"/>
  <c r="K1945" i="69"/>
  <c r="J1945" i="69"/>
  <c r="I1945" i="69"/>
  <c r="H1945" i="69"/>
  <c r="G1945" i="69"/>
  <c r="Q1944" i="69"/>
  <c r="P1944" i="69"/>
  <c r="O1944" i="69"/>
  <c r="N1944" i="69"/>
  <c r="M1944" i="69"/>
  <c r="L1944" i="69"/>
  <c r="K1944" i="69"/>
  <c r="J1944" i="69"/>
  <c r="I1944" i="69"/>
  <c r="H1944" i="69"/>
  <c r="G1944" i="69"/>
  <c r="Q1943" i="69"/>
  <c r="P1943" i="69"/>
  <c r="O1943" i="69"/>
  <c r="N1943" i="69"/>
  <c r="M1943" i="69"/>
  <c r="L1943" i="69"/>
  <c r="K1943" i="69"/>
  <c r="J1943" i="69"/>
  <c r="I1943" i="69"/>
  <c r="H1943" i="69"/>
  <c r="G1943" i="69"/>
  <c r="Q1942" i="69"/>
  <c r="P1942" i="69"/>
  <c r="O1942" i="69"/>
  <c r="N1942" i="69"/>
  <c r="M1942" i="69"/>
  <c r="L1942" i="69"/>
  <c r="K1942" i="69"/>
  <c r="J1942" i="69"/>
  <c r="I1942" i="69"/>
  <c r="H1942" i="69"/>
  <c r="G1942" i="69"/>
  <c r="Q1941" i="69"/>
  <c r="P1941" i="69"/>
  <c r="O1941" i="69"/>
  <c r="N1941" i="69"/>
  <c r="M1941" i="69"/>
  <c r="L1941" i="69"/>
  <c r="K1941" i="69"/>
  <c r="J1941" i="69"/>
  <c r="I1941" i="69"/>
  <c r="H1941" i="69"/>
  <c r="G1941" i="69"/>
  <c r="Q1940" i="69"/>
  <c r="P1940" i="69"/>
  <c r="O1940" i="69"/>
  <c r="N1940" i="69"/>
  <c r="M1940" i="69"/>
  <c r="L1940" i="69"/>
  <c r="K1940" i="69"/>
  <c r="J1940" i="69"/>
  <c r="I1940" i="69"/>
  <c r="H1940" i="69"/>
  <c r="G1940" i="69"/>
  <c r="Q1939" i="69"/>
  <c r="P1939" i="69"/>
  <c r="O1939" i="69"/>
  <c r="N1939" i="69"/>
  <c r="M1939" i="69"/>
  <c r="L1939" i="69"/>
  <c r="K1939" i="69"/>
  <c r="J1939" i="69"/>
  <c r="I1939" i="69"/>
  <c r="H1939" i="69"/>
  <c r="G1939" i="69"/>
  <c r="Q1938" i="69"/>
  <c r="P1938" i="69"/>
  <c r="O1938" i="69"/>
  <c r="N1938" i="69"/>
  <c r="M1938" i="69"/>
  <c r="L1938" i="69"/>
  <c r="K1938" i="69"/>
  <c r="J1938" i="69"/>
  <c r="I1938" i="69"/>
  <c r="H1938" i="69"/>
  <c r="G1938" i="69"/>
  <c r="Q1937" i="69"/>
  <c r="P1937" i="69"/>
  <c r="O1937" i="69"/>
  <c r="N1937" i="69"/>
  <c r="M1937" i="69"/>
  <c r="L1937" i="69"/>
  <c r="K1937" i="69"/>
  <c r="J1937" i="69"/>
  <c r="I1937" i="69"/>
  <c r="H1937" i="69"/>
  <c r="G1937" i="69"/>
  <c r="Q1936" i="69"/>
  <c r="P1936" i="69"/>
  <c r="O1936" i="69"/>
  <c r="N1936" i="69"/>
  <c r="M1936" i="69"/>
  <c r="L1936" i="69"/>
  <c r="K1936" i="69"/>
  <c r="J1936" i="69"/>
  <c r="I1936" i="69"/>
  <c r="H1936" i="69"/>
  <c r="G1936" i="69"/>
  <c r="Q1935" i="69"/>
  <c r="P1935" i="69"/>
  <c r="O1935" i="69"/>
  <c r="N1935" i="69"/>
  <c r="M1935" i="69"/>
  <c r="L1935" i="69"/>
  <c r="K1935" i="69"/>
  <c r="J1935" i="69"/>
  <c r="I1935" i="69"/>
  <c r="H1935" i="69"/>
  <c r="G1935" i="69"/>
  <c r="Q1934" i="69"/>
  <c r="P1934" i="69"/>
  <c r="O1934" i="69"/>
  <c r="N1934" i="69"/>
  <c r="M1934" i="69"/>
  <c r="L1934" i="69"/>
  <c r="K1934" i="69"/>
  <c r="J1934" i="69"/>
  <c r="I1934" i="69"/>
  <c r="H1934" i="69"/>
  <c r="G1934" i="69"/>
  <c r="Q1933" i="69"/>
  <c r="P1933" i="69"/>
  <c r="O1933" i="69"/>
  <c r="N1933" i="69"/>
  <c r="M1933" i="69"/>
  <c r="L1933" i="69"/>
  <c r="K1933" i="69"/>
  <c r="J1933" i="69"/>
  <c r="I1933" i="69"/>
  <c r="H1933" i="69"/>
  <c r="G1933" i="69"/>
  <c r="Q1932" i="69"/>
  <c r="P1932" i="69"/>
  <c r="O1932" i="69"/>
  <c r="N1932" i="69"/>
  <c r="M1932" i="69"/>
  <c r="L1932" i="69"/>
  <c r="K1932" i="69"/>
  <c r="J1932" i="69"/>
  <c r="I1932" i="69"/>
  <c r="H1932" i="69"/>
  <c r="G1932" i="69"/>
  <c r="Q1931" i="69"/>
  <c r="P1931" i="69"/>
  <c r="O1931" i="69"/>
  <c r="N1931" i="69"/>
  <c r="M1931" i="69"/>
  <c r="L1931" i="69"/>
  <c r="K1931" i="69"/>
  <c r="J1931" i="69"/>
  <c r="I1931" i="69"/>
  <c r="H1931" i="69"/>
  <c r="G1931" i="69"/>
  <c r="Q1930" i="69"/>
  <c r="P1930" i="69"/>
  <c r="O1930" i="69"/>
  <c r="N1930" i="69"/>
  <c r="M1930" i="69"/>
  <c r="L1930" i="69"/>
  <c r="K1930" i="69"/>
  <c r="J1930" i="69"/>
  <c r="I1930" i="69"/>
  <c r="H1930" i="69"/>
  <c r="G1930" i="69"/>
  <c r="Q1929" i="69"/>
  <c r="P1929" i="69"/>
  <c r="O1929" i="69"/>
  <c r="N1929" i="69"/>
  <c r="M1929" i="69"/>
  <c r="L1929" i="69"/>
  <c r="K1929" i="69"/>
  <c r="J1929" i="69"/>
  <c r="I1929" i="69"/>
  <c r="H1929" i="69"/>
  <c r="G1929" i="69"/>
  <c r="Q1928" i="69"/>
  <c r="P1928" i="69"/>
  <c r="O1928" i="69"/>
  <c r="N1928" i="69"/>
  <c r="M1928" i="69"/>
  <c r="L1928" i="69"/>
  <c r="K1928" i="69"/>
  <c r="J1928" i="69"/>
  <c r="I1928" i="69"/>
  <c r="H1928" i="69"/>
  <c r="G1928" i="69"/>
  <c r="Q1927" i="69"/>
  <c r="P1927" i="69"/>
  <c r="O1927" i="69"/>
  <c r="N1927" i="69"/>
  <c r="M1927" i="69"/>
  <c r="L1927" i="69"/>
  <c r="K1927" i="69"/>
  <c r="J1927" i="69"/>
  <c r="I1927" i="69"/>
  <c r="H1927" i="69"/>
  <c r="G1927" i="69"/>
  <c r="Q1926" i="69"/>
  <c r="P1926" i="69"/>
  <c r="O1926" i="69"/>
  <c r="N1926" i="69"/>
  <c r="M1926" i="69"/>
  <c r="L1926" i="69"/>
  <c r="K1926" i="69"/>
  <c r="J1926" i="69"/>
  <c r="I1926" i="69"/>
  <c r="H1926" i="69"/>
  <c r="G1926" i="69"/>
  <c r="Q1925" i="69"/>
  <c r="P1925" i="69"/>
  <c r="O1925" i="69"/>
  <c r="N1925" i="69"/>
  <c r="M1925" i="69"/>
  <c r="L1925" i="69"/>
  <c r="K1925" i="69"/>
  <c r="J1925" i="69"/>
  <c r="I1925" i="69"/>
  <c r="H1925" i="69"/>
  <c r="G1925" i="69"/>
  <c r="Q1924" i="69"/>
  <c r="P1924" i="69"/>
  <c r="O1924" i="69"/>
  <c r="N1924" i="69"/>
  <c r="M1924" i="69"/>
  <c r="L1924" i="69"/>
  <c r="K1924" i="69"/>
  <c r="J1924" i="69"/>
  <c r="I1924" i="69"/>
  <c r="H1924" i="69"/>
  <c r="G1924" i="69"/>
  <c r="Q1923" i="69"/>
  <c r="P1923" i="69"/>
  <c r="O1923" i="69"/>
  <c r="N1923" i="69"/>
  <c r="M1923" i="69"/>
  <c r="L1923" i="69"/>
  <c r="K1923" i="69"/>
  <c r="J1923" i="69"/>
  <c r="I1923" i="69"/>
  <c r="H1923" i="69"/>
  <c r="G1923" i="69"/>
  <c r="Q1922" i="69"/>
  <c r="P1922" i="69"/>
  <c r="O1922" i="69"/>
  <c r="N1922" i="69"/>
  <c r="M1922" i="69"/>
  <c r="L1922" i="69"/>
  <c r="K1922" i="69"/>
  <c r="J1922" i="69"/>
  <c r="I1922" i="69"/>
  <c r="H1922" i="69"/>
  <c r="G1922" i="69"/>
  <c r="Q1921" i="69"/>
  <c r="P1921" i="69"/>
  <c r="O1921" i="69"/>
  <c r="N1921" i="69"/>
  <c r="M1921" i="69"/>
  <c r="L1921" i="69"/>
  <c r="K1921" i="69"/>
  <c r="J1921" i="69"/>
  <c r="I1921" i="69"/>
  <c r="H1921" i="69"/>
  <c r="G1921" i="69"/>
  <c r="Q1920" i="69"/>
  <c r="P1920" i="69"/>
  <c r="O1920" i="69"/>
  <c r="N1920" i="69"/>
  <c r="M1920" i="69"/>
  <c r="L1920" i="69"/>
  <c r="K1920" i="69"/>
  <c r="J1920" i="69"/>
  <c r="I1920" i="69"/>
  <c r="H1920" i="69"/>
  <c r="G1920" i="69"/>
  <c r="Q1919" i="69"/>
  <c r="P1919" i="69"/>
  <c r="O1919" i="69"/>
  <c r="N1919" i="69"/>
  <c r="M1919" i="69"/>
  <c r="L1919" i="69"/>
  <c r="K1919" i="69"/>
  <c r="J1919" i="69"/>
  <c r="I1919" i="69"/>
  <c r="H1919" i="69"/>
  <c r="G1919" i="69"/>
  <c r="Q1918" i="69"/>
  <c r="P1918" i="69"/>
  <c r="O1918" i="69"/>
  <c r="N1918" i="69"/>
  <c r="M1918" i="69"/>
  <c r="L1918" i="69"/>
  <c r="K1918" i="69"/>
  <c r="J1918" i="69"/>
  <c r="I1918" i="69"/>
  <c r="H1918" i="69"/>
  <c r="G1918" i="69"/>
  <c r="Q1917" i="69"/>
  <c r="P1917" i="69"/>
  <c r="O1917" i="69"/>
  <c r="N1917" i="69"/>
  <c r="M1917" i="69"/>
  <c r="L1917" i="69"/>
  <c r="K1917" i="69"/>
  <c r="J1917" i="69"/>
  <c r="I1917" i="69"/>
  <c r="H1917" i="69"/>
  <c r="G1917" i="69"/>
  <c r="Q1916" i="69"/>
  <c r="P1916" i="69"/>
  <c r="O1916" i="69"/>
  <c r="N1916" i="69"/>
  <c r="M1916" i="69"/>
  <c r="L1916" i="69"/>
  <c r="K1916" i="69"/>
  <c r="J1916" i="69"/>
  <c r="I1916" i="69"/>
  <c r="H1916" i="69"/>
  <c r="G1916" i="69"/>
  <c r="Q1915" i="69"/>
  <c r="P1915" i="69"/>
  <c r="O1915" i="69"/>
  <c r="N1915" i="69"/>
  <c r="M1915" i="69"/>
  <c r="L1915" i="69"/>
  <c r="K1915" i="69"/>
  <c r="J1915" i="69"/>
  <c r="I1915" i="69"/>
  <c r="H1915" i="69"/>
  <c r="G1915" i="69"/>
  <c r="Q1914" i="69"/>
  <c r="P1914" i="69"/>
  <c r="O1914" i="69"/>
  <c r="N1914" i="69"/>
  <c r="M1914" i="69"/>
  <c r="L1914" i="69"/>
  <c r="K1914" i="69"/>
  <c r="J1914" i="69"/>
  <c r="I1914" i="69"/>
  <c r="H1914" i="69"/>
  <c r="G1914" i="69"/>
  <c r="Q1913" i="69"/>
  <c r="P1913" i="69"/>
  <c r="O1913" i="69"/>
  <c r="N1913" i="69"/>
  <c r="M1913" i="69"/>
  <c r="L1913" i="69"/>
  <c r="K1913" i="69"/>
  <c r="J1913" i="69"/>
  <c r="I1913" i="69"/>
  <c r="H1913" i="69"/>
  <c r="G1913" i="69"/>
  <c r="Q1912" i="69"/>
  <c r="P1912" i="69"/>
  <c r="O1912" i="69"/>
  <c r="N1912" i="69"/>
  <c r="M1912" i="69"/>
  <c r="L1912" i="69"/>
  <c r="K1912" i="69"/>
  <c r="J1912" i="69"/>
  <c r="I1912" i="69"/>
  <c r="H1912" i="69"/>
  <c r="G1912" i="69"/>
  <c r="Q1911" i="69"/>
  <c r="P1911" i="69"/>
  <c r="O1911" i="69"/>
  <c r="N1911" i="69"/>
  <c r="M1911" i="69"/>
  <c r="L1911" i="69"/>
  <c r="K1911" i="69"/>
  <c r="J1911" i="69"/>
  <c r="I1911" i="69"/>
  <c r="H1911" i="69"/>
  <c r="G1911" i="69"/>
  <c r="Q1910" i="69"/>
  <c r="P1910" i="69"/>
  <c r="O1910" i="69"/>
  <c r="N1910" i="69"/>
  <c r="M1910" i="69"/>
  <c r="L1910" i="69"/>
  <c r="K1910" i="69"/>
  <c r="J1910" i="69"/>
  <c r="I1910" i="69"/>
  <c r="H1910" i="69"/>
  <c r="G1910" i="69"/>
  <c r="Q1909" i="69"/>
  <c r="P1909" i="69"/>
  <c r="O1909" i="69"/>
  <c r="N1909" i="69"/>
  <c r="M1909" i="69"/>
  <c r="L1909" i="69"/>
  <c r="K1909" i="69"/>
  <c r="J1909" i="69"/>
  <c r="I1909" i="69"/>
  <c r="H1909" i="69"/>
  <c r="G1909" i="69"/>
  <c r="Q1908" i="69"/>
  <c r="P1908" i="69"/>
  <c r="O1908" i="69"/>
  <c r="N1908" i="69"/>
  <c r="M1908" i="69"/>
  <c r="L1908" i="69"/>
  <c r="K1908" i="69"/>
  <c r="J1908" i="69"/>
  <c r="I1908" i="69"/>
  <c r="H1908" i="69"/>
  <c r="G1908" i="69"/>
  <c r="Q1907" i="69"/>
  <c r="P1907" i="69"/>
  <c r="O1907" i="69"/>
  <c r="N1907" i="69"/>
  <c r="M1907" i="69"/>
  <c r="L1907" i="69"/>
  <c r="K1907" i="69"/>
  <c r="J1907" i="69"/>
  <c r="I1907" i="69"/>
  <c r="H1907" i="69"/>
  <c r="G1907" i="69"/>
  <c r="Q1906" i="69"/>
  <c r="P1906" i="69"/>
  <c r="O1906" i="69"/>
  <c r="N1906" i="69"/>
  <c r="M1906" i="69"/>
  <c r="L1906" i="69"/>
  <c r="K1906" i="69"/>
  <c r="J1906" i="69"/>
  <c r="I1906" i="69"/>
  <c r="H1906" i="69"/>
  <c r="G1906" i="69"/>
  <c r="Q1905" i="69"/>
  <c r="P1905" i="69"/>
  <c r="O1905" i="69"/>
  <c r="N1905" i="69"/>
  <c r="M1905" i="69"/>
  <c r="L1905" i="69"/>
  <c r="K1905" i="69"/>
  <c r="J1905" i="69"/>
  <c r="I1905" i="69"/>
  <c r="H1905" i="69"/>
  <c r="G1905" i="69"/>
  <c r="Q1904" i="69"/>
  <c r="P1904" i="69"/>
  <c r="O1904" i="69"/>
  <c r="N1904" i="69"/>
  <c r="M1904" i="69"/>
  <c r="L1904" i="69"/>
  <c r="K1904" i="69"/>
  <c r="J1904" i="69"/>
  <c r="I1904" i="69"/>
  <c r="H1904" i="69"/>
  <c r="G1904" i="69"/>
  <c r="Q1903" i="69"/>
  <c r="P1903" i="69"/>
  <c r="O1903" i="69"/>
  <c r="N1903" i="69"/>
  <c r="M1903" i="69"/>
  <c r="L1903" i="69"/>
  <c r="K1903" i="69"/>
  <c r="J1903" i="69"/>
  <c r="I1903" i="69"/>
  <c r="H1903" i="69"/>
  <c r="G1903" i="69"/>
  <c r="Q1902" i="69"/>
  <c r="P1902" i="69"/>
  <c r="O1902" i="69"/>
  <c r="N1902" i="69"/>
  <c r="M1902" i="69"/>
  <c r="L1902" i="69"/>
  <c r="K1902" i="69"/>
  <c r="J1902" i="69"/>
  <c r="I1902" i="69"/>
  <c r="H1902" i="69"/>
  <c r="G1902" i="69"/>
  <c r="Q1901" i="69"/>
  <c r="P1901" i="69"/>
  <c r="O1901" i="69"/>
  <c r="N1901" i="69"/>
  <c r="M1901" i="69"/>
  <c r="L1901" i="69"/>
  <c r="K1901" i="69"/>
  <c r="J1901" i="69"/>
  <c r="I1901" i="69"/>
  <c r="H1901" i="69"/>
  <c r="G1901" i="69"/>
  <c r="Q1900" i="69"/>
  <c r="P1900" i="69"/>
  <c r="O1900" i="69"/>
  <c r="N1900" i="69"/>
  <c r="M1900" i="69"/>
  <c r="L1900" i="69"/>
  <c r="K1900" i="69"/>
  <c r="J1900" i="69"/>
  <c r="I1900" i="69"/>
  <c r="H1900" i="69"/>
  <c r="G1900" i="69"/>
  <c r="Q1899" i="69"/>
  <c r="P1899" i="69"/>
  <c r="O1899" i="69"/>
  <c r="N1899" i="69"/>
  <c r="M1899" i="69"/>
  <c r="L1899" i="69"/>
  <c r="K1899" i="69"/>
  <c r="J1899" i="69"/>
  <c r="I1899" i="69"/>
  <c r="H1899" i="69"/>
  <c r="G1899" i="69"/>
  <c r="Q1898" i="69"/>
  <c r="P1898" i="69"/>
  <c r="O1898" i="69"/>
  <c r="N1898" i="69"/>
  <c r="M1898" i="69"/>
  <c r="L1898" i="69"/>
  <c r="K1898" i="69"/>
  <c r="J1898" i="69"/>
  <c r="I1898" i="69"/>
  <c r="H1898" i="69"/>
  <c r="G1898" i="69"/>
  <c r="Q1897" i="69"/>
  <c r="P1897" i="69"/>
  <c r="O1897" i="69"/>
  <c r="N1897" i="69"/>
  <c r="M1897" i="69"/>
  <c r="L1897" i="69"/>
  <c r="K1897" i="69"/>
  <c r="J1897" i="69"/>
  <c r="I1897" i="69"/>
  <c r="H1897" i="69"/>
  <c r="G1897" i="69"/>
  <c r="Q1896" i="69"/>
  <c r="P1896" i="69"/>
  <c r="O1896" i="69"/>
  <c r="N1896" i="69"/>
  <c r="M1896" i="69"/>
  <c r="L1896" i="69"/>
  <c r="K1896" i="69"/>
  <c r="J1896" i="69"/>
  <c r="I1896" i="69"/>
  <c r="H1896" i="69"/>
  <c r="G1896" i="69"/>
  <c r="Q1895" i="69"/>
  <c r="P1895" i="69"/>
  <c r="O1895" i="69"/>
  <c r="N1895" i="69"/>
  <c r="M1895" i="69"/>
  <c r="L1895" i="69"/>
  <c r="K1895" i="69"/>
  <c r="J1895" i="69"/>
  <c r="I1895" i="69"/>
  <c r="H1895" i="69"/>
  <c r="G1895" i="69"/>
  <c r="Q1894" i="69"/>
  <c r="P1894" i="69"/>
  <c r="O1894" i="69"/>
  <c r="N1894" i="69"/>
  <c r="M1894" i="69"/>
  <c r="L1894" i="69"/>
  <c r="K1894" i="69"/>
  <c r="J1894" i="69"/>
  <c r="I1894" i="69"/>
  <c r="H1894" i="69"/>
  <c r="G1894" i="69"/>
  <c r="Q1893" i="69"/>
  <c r="P1893" i="69"/>
  <c r="O1893" i="69"/>
  <c r="N1893" i="69"/>
  <c r="M1893" i="69"/>
  <c r="L1893" i="69"/>
  <c r="K1893" i="69"/>
  <c r="J1893" i="69"/>
  <c r="I1893" i="69"/>
  <c r="H1893" i="69"/>
  <c r="G1893" i="69"/>
  <c r="Q1892" i="69"/>
  <c r="P1892" i="69"/>
  <c r="O1892" i="69"/>
  <c r="N1892" i="69"/>
  <c r="M1892" i="69"/>
  <c r="L1892" i="69"/>
  <c r="K1892" i="69"/>
  <c r="J1892" i="69"/>
  <c r="I1892" i="69"/>
  <c r="H1892" i="69"/>
  <c r="G1892" i="69"/>
  <c r="Q1891" i="69"/>
  <c r="P1891" i="69"/>
  <c r="O1891" i="69"/>
  <c r="N1891" i="69"/>
  <c r="M1891" i="69"/>
  <c r="L1891" i="69"/>
  <c r="K1891" i="69"/>
  <c r="J1891" i="69"/>
  <c r="I1891" i="69"/>
  <c r="H1891" i="69"/>
  <c r="G1891" i="69"/>
  <c r="Q1890" i="69"/>
  <c r="P1890" i="69"/>
  <c r="O1890" i="69"/>
  <c r="N1890" i="69"/>
  <c r="M1890" i="69"/>
  <c r="L1890" i="69"/>
  <c r="K1890" i="69"/>
  <c r="J1890" i="69"/>
  <c r="I1890" i="69"/>
  <c r="H1890" i="69"/>
  <c r="G1890" i="69"/>
  <c r="Q1889" i="69"/>
  <c r="P1889" i="69"/>
  <c r="O1889" i="69"/>
  <c r="N1889" i="69"/>
  <c r="M1889" i="69"/>
  <c r="L1889" i="69"/>
  <c r="K1889" i="69"/>
  <c r="J1889" i="69"/>
  <c r="I1889" i="69"/>
  <c r="H1889" i="69"/>
  <c r="G1889" i="69"/>
  <c r="Q1888" i="69"/>
  <c r="P1888" i="69"/>
  <c r="O1888" i="69"/>
  <c r="N1888" i="69"/>
  <c r="M1888" i="69"/>
  <c r="L1888" i="69"/>
  <c r="K1888" i="69"/>
  <c r="J1888" i="69"/>
  <c r="I1888" i="69"/>
  <c r="H1888" i="69"/>
  <c r="G1888" i="69"/>
  <c r="Q1887" i="69"/>
  <c r="P1887" i="69"/>
  <c r="O1887" i="69"/>
  <c r="N1887" i="69"/>
  <c r="M1887" i="69"/>
  <c r="L1887" i="69"/>
  <c r="K1887" i="69"/>
  <c r="J1887" i="69"/>
  <c r="I1887" i="69"/>
  <c r="H1887" i="69"/>
  <c r="G1887" i="69"/>
  <c r="Q1886" i="69"/>
  <c r="P1886" i="69"/>
  <c r="O1886" i="69"/>
  <c r="N1886" i="69"/>
  <c r="M1886" i="69"/>
  <c r="L1886" i="69"/>
  <c r="K1886" i="69"/>
  <c r="J1886" i="69"/>
  <c r="I1886" i="69"/>
  <c r="H1886" i="69"/>
  <c r="G1886" i="69"/>
  <c r="Q1885" i="69"/>
  <c r="P1885" i="69"/>
  <c r="O1885" i="69"/>
  <c r="N1885" i="69"/>
  <c r="M1885" i="69"/>
  <c r="L1885" i="69"/>
  <c r="K1885" i="69"/>
  <c r="J1885" i="69"/>
  <c r="I1885" i="69"/>
  <c r="H1885" i="69"/>
  <c r="G1885" i="69"/>
  <c r="Q1884" i="69"/>
  <c r="P1884" i="69"/>
  <c r="O1884" i="69"/>
  <c r="N1884" i="69"/>
  <c r="M1884" i="69"/>
  <c r="L1884" i="69"/>
  <c r="K1884" i="69"/>
  <c r="J1884" i="69"/>
  <c r="I1884" i="69"/>
  <c r="H1884" i="69"/>
  <c r="G1884" i="69"/>
  <c r="Q1883" i="69"/>
  <c r="P1883" i="69"/>
  <c r="O1883" i="69"/>
  <c r="N1883" i="69"/>
  <c r="M1883" i="69"/>
  <c r="L1883" i="69"/>
  <c r="K1883" i="69"/>
  <c r="J1883" i="69"/>
  <c r="I1883" i="69"/>
  <c r="H1883" i="69"/>
  <c r="G1883" i="69"/>
  <c r="Q1882" i="69"/>
  <c r="P1882" i="69"/>
  <c r="O1882" i="69"/>
  <c r="N1882" i="69"/>
  <c r="M1882" i="69"/>
  <c r="L1882" i="69"/>
  <c r="K1882" i="69"/>
  <c r="J1882" i="69"/>
  <c r="I1882" i="69"/>
  <c r="H1882" i="69"/>
  <c r="G1882" i="69"/>
  <c r="Q1881" i="69"/>
  <c r="P1881" i="69"/>
  <c r="O1881" i="69"/>
  <c r="N1881" i="69"/>
  <c r="M1881" i="69"/>
  <c r="L1881" i="69"/>
  <c r="K1881" i="69"/>
  <c r="J1881" i="69"/>
  <c r="I1881" i="69"/>
  <c r="H1881" i="69"/>
  <c r="G1881" i="69"/>
  <c r="Q1880" i="69"/>
  <c r="P1880" i="69"/>
  <c r="O1880" i="69"/>
  <c r="N1880" i="69"/>
  <c r="M1880" i="69"/>
  <c r="L1880" i="69"/>
  <c r="K1880" i="69"/>
  <c r="J1880" i="69"/>
  <c r="I1880" i="69"/>
  <c r="H1880" i="69"/>
  <c r="G1880" i="69"/>
  <c r="Q1879" i="69"/>
  <c r="P1879" i="69"/>
  <c r="O1879" i="69"/>
  <c r="N1879" i="69"/>
  <c r="M1879" i="69"/>
  <c r="L1879" i="69"/>
  <c r="K1879" i="69"/>
  <c r="J1879" i="69"/>
  <c r="I1879" i="69"/>
  <c r="H1879" i="69"/>
  <c r="G1879" i="69"/>
  <c r="Q1878" i="69"/>
  <c r="P1878" i="69"/>
  <c r="O1878" i="69"/>
  <c r="N1878" i="69"/>
  <c r="M1878" i="69"/>
  <c r="L1878" i="69"/>
  <c r="K1878" i="69"/>
  <c r="J1878" i="69"/>
  <c r="I1878" i="69"/>
  <c r="H1878" i="69"/>
  <c r="G1878" i="69"/>
  <c r="Q1877" i="69"/>
  <c r="P1877" i="69"/>
  <c r="O1877" i="69"/>
  <c r="N1877" i="69"/>
  <c r="M1877" i="69"/>
  <c r="L1877" i="69"/>
  <c r="K1877" i="69"/>
  <c r="J1877" i="69"/>
  <c r="I1877" i="69"/>
  <c r="H1877" i="69"/>
  <c r="G1877" i="69"/>
  <c r="Q1876" i="69"/>
  <c r="P1876" i="69"/>
  <c r="O1876" i="69"/>
  <c r="N1876" i="69"/>
  <c r="M1876" i="69"/>
  <c r="L1876" i="69"/>
  <c r="K1876" i="69"/>
  <c r="J1876" i="69"/>
  <c r="I1876" i="69"/>
  <c r="H1876" i="69"/>
  <c r="G1876" i="69"/>
  <c r="Q1875" i="69"/>
  <c r="P1875" i="69"/>
  <c r="O1875" i="69"/>
  <c r="N1875" i="69"/>
  <c r="M1875" i="69"/>
  <c r="L1875" i="69"/>
  <c r="K1875" i="69"/>
  <c r="J1875" i="69"/>
  <c r="I1875" i="69"/>
  <c r="H1875" i="69"/>
  <c r="G1875" i="69"/>
  <c r="Q1874" i="69"/>
  <c r="P1874" i="69"/>
  <c r="O1874" i="69"/>
  <c r="N1874" i="69"/>
  <c r="M1874" i="69"/>
  <c r="L1874" i="69"/>
  <c r="K1874" i="69"/>
  <c r="J1874" i="69"/>
  <c r="I1874" i="69"/>
  <c r="H1874" i="69"/>
  <c r="G1874" i="69"/>
  <c r="Q1873" i="69"/>
  <c r="P1873" i="69"/>
  <c r="O1873" i="69"/>
  <c r="N1873" i="69"/>
  <c r="M1873" i="69"/>
  <c r="L1873" i="69"/>
  <c r="K1873" i="69"/>
  <c r="J1873" i="69"/>
  <c r="I1873" i="69"/>
  <c r="H1873" i="69"/>
  <c r="G1873" i="69"/>
  <c r="Q1872" i="69"/>
  <c r="P1872" i="69"/>
  <c r="O1872" i="69"/>
  <c r="N1872" i="69"/>
  <c r="M1872" i="69"/>
  <c r="L1872" i="69"/>
  <c r="K1872" i="69"/>
  <c r="J1872" i="69"/>
  <c r="I1872" i="69"/>
  <c r="H1872" i="69"/>
  <c r="G1872" i="69"/>
  <c r="Q1871" i="69"/>
  <c r="P1871" i="69"/>
  <c r="O1871" i="69"/>
  <c r="N1871" i="69"/>
  <c r="M1871" i="69"/>
  <c r="L1871" i="69"/>
  <c r="K1871" i="69"/>
  <c r="J1871" i="69"/>
  <c r="I1871" i="69"/>
  <c r="H1871" i="69"/>
  <c r="G1871" i="69"/>
  <c r="Q1870" i="69"/>
  <c r="P1870" i="69"/>
  <c r="O1870" i="69"/>
  <c r="N1870" i="69"/>
  <c r="M1870" i="69"/>
  <c r="L1870" i="69"/>
  <c r="K1870" i="69"/>
  <c r="J1870" i="69"/>
  <c r="I1870" i="69"/>
  <c r="H1870" i="69"/>
  <c r="G1870" i="69"/>
  <c r="Q1869" i="69"/>
  <c r="P1869" i="69"/>
  <c r="O1869" i="69"/>
  <c r="N1869" i="69"/>
  <c r="M1869" i="69"/>
  <c r="L1869" i="69"/>
  <c r="K1869" i="69"/>
  <c r="J1869" i="69"/>
  <c r="I1869" i="69"/>
  <c r="H1869" i="69"/>
  <c r="G1869" i="69"/>
  <c r="Q1868" i="69"/>
  <c r="P1868" i="69"/>
  <c r="O1868" i="69"/>
  <c r="N1868" i="69"/>
  <c r="M1868" i="69"/>
  <c r="L1868" i="69"/>
  <c r="K1868" i="69"/>
  <c r="J1868" i="69"/>
  <c r="I1868" i="69"/>
  <c r="H1868" i="69"/>
  <c r="G1868" i="69"/>
  <c r="Q1867" i="69"/>
  <c r="P1867" i="69"/>
  <c r="O1867" i="69"/>
  <c r="N1867" i="69"/>
  <c r="M1867" i="69"/>
  <c r="L1867" i="69"/>
  <c r="K1867" i="69"/>
  <c r="J1867" i="69"/>
  <c r="I1867" i="69"/>
  <c r="H1867" i="69"/>
  <c r="G1867" i="69"/>
  <c r="Q1866" i="69"/>
  <c r="P1866" i="69"/>
  <c r="O1866" i="69"/>
  <c r="N1866" i="69"/>
  <c r="M1866" i="69"/>
  <c r="L1866" i="69"/>
  <c r="K1866" i="69"/>
  <c r="J1866" i="69"/>
  <c r="I1866" i="69"/>
  <c r="H1866" i="69"/>
  <c r="G1866" i="69"/>
  <c r="Q1865" i="69"/>
  <c r="P1865" i="69"/>
  <c r="O1865" i="69"/>
  <c r="N1865" i="69"/>
  <c r="M1865" i="69"/>
  <c r="L1865" i="69"/>
  <c r="K1865" i="69"/>
  <c r="J1865" i="69"/>
  <c r="I1865" i="69"/>
  <c r="H1865" i="69"/>
  <c r="G1865" i="69"/>
  <c r="Q1864" i="69"/>
  <c r="P1864" i="69"/>
  <c r="O1864" i="69"/>
  <c r="N1864" i="69"/>
  <c r="M1864" i="69"/>
  <c r="L1864" i="69"/>
  <c r="K1864" i="69"/>
  <c r="J1864" i="69"/>
  <c r="I1864" i="69"/>
  <c r="H1864" i="69"/>
  <c r="G1864" i="69"/>
  <c r="Q1863" i="69"/>
  <c r="P1863" i="69"/>
  <c r="O1863" i="69"/>
  <c r="N1863" i="69"/>
  <c r="M1863" i="69"/>
  <c r="L1863" i="69"/>
  <c r="K1863" i="69"/>
  <c r="J1863" i="69"/>
  <c r="I1863" i="69"/>
  <c r="H1863" i="69"/>
  <c r="G1863" i="69"/>
  <c r="Q1862" i="69"/>
  <c r="P1862" i="69"/>
  <c r="O1862" i="69"/>
  <c r="N1862" i="69"/>
  <c r="M1862" i="69"/>
  <c r="L1862" i="69"/>
  <c r="K1862" i="69"/>
  <c r="J1862" i="69"/>
  <c r="I1862" i="69"/>
  <c r="H1862" i="69"/>
  <c r="G1862" i="69"/>
  <c r="Q1861" i="69"/>
  <c r="P1861" i="69"/>
  <c r="O1861" i="69"/>
  <c r="N1861" i="69"/>
  <c r="M1861" i="69"/>
  <c r="L1861" i="69"/>
  <c r="K1861" i="69"/>
  <c r="J1861" i="69"/>
  <c r="I1861" i="69"/>
  <c r="H1861" i="69"/>
  <c r="G1861" i="69"/>
  <c r="Q1860" i="69"/>
  <c r="P1860" i="69"/>
  <c r="O1860" i="69"/>
  <c r="N1860" i="69"/>
  <c r="M1860" i="69"/>
  <c r="L1860" i="69"/>
  <c r="K1860" i="69"/>
  <c r="J1860" i="69"/>
  <c r="I1860" i="69"/>
  <c r="H1860" i="69"/>
  <c r="G1860" i="69"/>
  <c r="Q1859" i="69"/>
  <c r="P1859" i="69"/>
  <c r="O1859" i="69"/>
  <c r="N1859" i="69"/>
  <c r="M1859" i="69"/>
  <c r="L1859" i="69"/>
  <c r="K1859" i="69"/>
  <c r="J1859" i="69"/>
  <c r="I1859" i="69"/>
  <c r="H1859" i="69"/>
  <c r="G1859" i="69"/>
  <c r="Q1858" i="69"/>
  <c r="P1858" i="69"/>
  <c r="O1858" i="69"/>
  <c r="N1858" i="69"/>
  <c r="M1858" i="69"/>
  <c r="L1858" i="69"/>
  <c r="K1858" i="69"/>
  <c r="J1858" i="69"/>
  <c r="I1858" i="69"/>
  <c r="H1858" i="69"/>
  <c r="G1858" i="69"/>
  <c r="Q1857" i="69"/>
  <c r="P1857" i="69"/>
  <c r="O1857" i="69"/>
  <c r="N1857" i="69"/>
  <c r="M1857" i="69"/>
  <c r="L1857" i="69"/>
  <c r="K1857" i="69"/>
  <c r="J1857" i="69"/>
  <c r="I1857" i="69"/>
  <c r="H1857" i="69"/>
  <c r="G1857" i="69"/>
  <c r="Q1856" i="69"/>
  <c r="P1856" i="69"/>
  <c r="O1856" i="69"/>
  <c r="N1856" i="69"/>
  <c r="M1856" i="69"/>
  <c r="L1856" i="69"/>
  <c r="K1856" i="69"/>
  <c r="J1856" i="69"/>
  <c r="I1856" i="69"/>
  <c r="H1856" i="69"/>
  <c r="G1856" i="69"/>
  <c r="Q1855" i="69"/>
  <c r="P1855" i="69"/>
  <c r="O1855" i="69"/>
  <c r="N1855" i="69"/>
  <c r="M1855" i="69"/>
  <c r="L1855" i="69"/>
  <c r="K1855" i="69"/>
  <c r="J1855" i="69"/>
  <c r="I1855" i="69"/>
  <c r="H1855" i="69"/>
  <c r="G1855" i="69"/>
  <c r="Q1854" i="69"/>
  <c r="P1854" i="69"/>
  <c r="O1854" i="69"/>
  <c r="N1854" i="69"/>
  <c r="M1854" i="69"/>
  <c r="L1854" i="69"/>
  <c r="K1854" i="69"/>
  <c r="J1854" i="69"/>
  <c r="I1854" i="69"/>
  <c r="H1854" i="69"/>
  <c r="G1854" i="69"/>
  <c r="Q1853" i="69"/>
  <c r="P1853" i="69"/>
  <c r="O1853" i="69"/>
  <c r="N1853" i="69"/>
  <c r="M1853" i="69"/>
  <c r="L1853" i="69"/>
  <c r="K1853" i="69"/>
  <c r="J1853" i="69"/>
  <c r="I1853" i="69"/>
  <c r="H1853" i="69"/>
  <c r="G1853" i="69"/>
  <c r="Q1852" i="69"/>
  <c r="P1852" i="69"/>
  <c r="O1852" i="69"/>
  <c r="N1852" i="69"/>
  <c r="M1852" i="69"/>
  <c r="L1852" i="69"/>
  <c r="K1852" i="69"/>
  <c r="J1852" i="69"/>
  <c r="I1852" i="69"/>
  <c r="H1852" i="69"/>
  <c r="G1852" i="69"/>
  <c r="Q1851" i="69"/>
  <c r="P1851" i="69"/>
  <c r="O1851" i="69"/>
  <c r="N1851" i="69"/>
  <c r="M1851" i="69"/>
  <c r="L1851" i="69"/>
  <c r="K1851" i="69"/>
  <c r="J1851" i="69"/>
  <c r="I1851" i="69"/>
  <c r="H1851" i="69"/>
  <c r="G1851" i="69"/>
  <c r="Q1850" i="69"/>
  <c r="P1850" i="69"/>
  <c r="O1850" i="69"/>
  <c r="N1850" i="69"/>
  <c r="M1850" i="69"/>
  <c r="L1850" i="69"/>
  <c r="K1850" i="69"/>
  <c r="J1850" i="69"/>
  <c r="I1850" i="69"/>
  <c r="H1850" i="69"/>
  <c r="G1850" i="69"/>
  <c r="Q1849" i="69"/>
  <c r="P1849" i="69"/>
  <c r="O1849" i="69"/>
  <c r="N1849" i="69"/>
  <c r="M1849" i="69"/>
  <c r="L1849" i="69"/>
  <c r="K1849" i="69"/>
  <c r="J1849" i="69"/>
  <c r="I1849" i="69"/>
  <c r="H1849" i="69"/>
  <c r="G1849" i="69"/>
  <c r="Q1848" i="69"/>
  <c r="P1848" i="69"/>
  <c r="O1848" i="69"/>
  <c r="N1848" i="69"/>
  <c r="M1848" i="69"/>
  <c r="L1848" i="69"/>
  <c r="K1848" i="69"/>
  <c r="J1848" i="69"/>
  <c r="I1848" i="69"/>
  <c r="H1848" i="69"/>
  <c r="G1848" i="69"/>
  <c r="Q1847" i="69"/>
  <c r="P1847" i="69"/>
  <c r="O1847" i="69"/>
  <c r="N1847" i="69"/>
  <c r="M1847" i="69"/>
  <c r="L1847" i="69"/>
  <c r="K1847" i="69"/>
  <c r="J1847" i="69"/>
  <c r="I1847" i="69"/>
  <c r="H1847" i="69"/>
  <c r="G1847" i="69"/>
  <c r="Q1846" i="69"/>
  <c r="P1846" i="69"/>
  <c r="O1846" i="69"/>
  <c r="N1846" i="69"/>
  <c r="M1846" i="69"/>
  <c r="L1846" i="69"/>
  <c r="K1846" i="69"/>
  <c r="J1846" i="69"/>
  <c r="I1846" i="69"/>
  <c r="H1846" i="69"/>
  <c r="G1846" i="69"/>
  <c r="Q1845" i="69"/>
  <c r="P1845" i="69"/>
  <c r="O1845" i="69"/>
  <c r="N1845" i="69"/>
  <c r="M1845" i="69"/>
  <c r="L1845" i="69"/>
  <c r="K1845" i="69"/>
  <c r="J1845" i="69"/>
  <c r="I1845" i="69"/>
  <c r="H1845" i="69"/>
  <c r="G1845" i="69"/>
  <c r="Q1844" i="69"/>
  <c r="P1844" i="69"/>
  <c r="O1844" i="69"/>
  <c r="N1844" i="69"/>
  <c r="M1844" i="69"/>
  <c r="L1844" i="69"/>
  <c r="K1844" i="69"/>
  <c r="J1844" i="69"/>
  <c r="I1844" i="69"/>
  <c r="H1844" i="69"/>
  <c r="G1844" i="69"/>
  <c r="Q1843" i="69"/>
  <c r="P1843" i="69"/>
  <c r="O1843" i="69"/>
  <c r="N1843" i="69"/>
  <c r="M1843" i="69"/>
  <c r="L1843" i="69"/>
  <c r="K1843" i="69"/>
  <c r="J1843" i="69"/>
  <c r="I1843" i="69"/>
  <c r="H1843" i="69"/>
  <c r="G1843" i="69"/>
  <c r="Q1842" i="69"/>
  <c r="P1842" i="69"/>
  <c r="O1842" i="69"/>
  <c r="N1842" i="69"/>
  <c r="M1842" i="69"/>
  <c r="L1842" i="69"/>
  <c r="K1842" i="69"/>
  <c r="J1842" i="69"/>
  <c r="I1842" i="69"/>
  <c r="H1842" i="69"/>
  <c r="G1842" i="69"/>
  <c r="Q1841" i="69"/>
  <c r="P1841" i="69"/>
  <c r="O1841" i="69"/>
  <c r="N1841" i="69"/>
  <c r="M1841" i="69"/>
  <c r="L1841" i="69"/>
  <c r="K1841" i="69"/>
  <c r="J1841" i="69"/>
  <c r="I1841" i="69"/>
  <c r="H1841" i="69"/>
  <c r="G1841" i="69"/>
  <c r="Q1840" i="69"/>
  <c r="P1840" i="69"/>
  <c r="O1840" i="69"/>
  <c r="N1840" i="69"/>
  <c r="M1840" i="69"/>
  <c r="L1840" i="69"/>
  <c r="K1840" i="69"/>
  <c r="J1840" i="69"/>
  <c r="I1840" i="69"/>
  <c r="H1840" i="69"/>
  <c r="G1840" i="69"/>
  <c r="Q1839" i="69"/>
  <c r="P1839" i="69"/>
  <c r="O1839" i="69"/>
  <c r="N1839" i="69"/>
  <c r="M1839" i="69"/>
  <c r="L1839" i="69"/>
  <c r="K1839" i="69"/>
  <c r="J1839" i="69"/>
  <c r="I1839" i="69"/>
  <c r="H1839" i="69"/>
  <c r="G1839" i="69"/>
  <c r="Q1838" i="69"/>
  <c r="P1838" i="69"/>
  <c r="O1838" i="69"/>
  <c r="N1838" i="69"/>
  <c r="M1838" i="69"/>
  <c r="L1838" i="69"/>
  <c r="K1838" i="69"/>
  <c r="J1838" i="69"/>
  <c r="I1838" i="69"/>
  <c r="H1838" i="69"/>
  <c r="G1838" i="69"/>
  <c r="Q1837" i="69"/>
  <c r="P1837" i="69"/>
  <c r="O1837" i="69"/>
  <c r="N1837" i="69"/>
  <c r="M1837" i="69"/>
  <c r="L1837" i="69"/>
  <c r="K1837" i="69"/>
  <c r="J1837" i="69"/>
  <c r="I1837" i="69"/>
  <c r="H1837" i="69"/>
  <c r="G1837" i="69"/>
  <c r="Q1836" i="69"/>
  <c r="P1836" i="69"/>
  <c r="O1836" i="69"/>
  <c r="N1836" i="69"/>
  <c r="M1836" i="69"/>
  <c r="L1836" i="69"/>
  <c r="K1836" i="69"/>
  <c r="J1836" i="69"/>
  <c r="I1836" i="69"/>
  <c r="H1836" i="69"/>
  <c r="G1836" i="69"/>
  <c r="Q1835" i="69"/>
  <c r="P1835" i="69"/>
  <c r="O1835" i="69"/>
  <c r="N1835" i="69"/>
  <c r="M1835" i="69"/>
  <c r="L1835" i="69"/>
  <c r="K1835" i="69"/>
  <c r="J1835" i="69"/>
  <c r="I1835" i="69"/>
  <c r="H1835" i="69"/>
  <c r="G1835" i="69"/>
  <c r="Q1834" i="69"/>
  <c r="P1834" i="69"/>
  <c r="O1834" i="69"/>
  <c r="N1834" i="69"/>
  <c r="M1834" i="69"/>
  <c r="L1834" i="69"/>
  <c r="K1834" i="69"/>
  <c r="J1834" i="69"/>
  <c r="I1834" i="69"/>
  <c r="H1834" i="69"/>
  <c r="G1834" i="69"/>
  <c r="Q1833" i="69"/>
  <c r="P1833" i="69"/>
  <c r="O1833" i="69"/>
  <c r="N1833" i="69"/>
  <c r="M1833" i="69"/>
  <c r="L1833" i="69"/>
  <c r="K1833" i="69"/>
  <c r="J1833" i="69"/>
  <c r="I1833" i="69"/>
  <c r="H1833" i="69"/>
  <c r="G1833" i="69"/>
  <c r="Q1832" i="69"/>
  <c r="P1832" i="69"/>
  <c r="O1832" i="69"/>
  <c r="N1832" i="69"/>
  <c r="M1832" i="69"/>
  <c r="L1832" i="69"/>
  <c r="K1832" i="69"/>
  <c r="J1832" i="69"/>
  <c r="I1832" i="69"/>
  <c r="H1832" i="69"/>
  <c r="G1832" i="69"/>
  <c r="Q1831" i="69"/>
  <c r="P1831" i="69"/>
  <c r="O1831" i="69"/>
  <c r="N1831" i="69"/>
  <c r="M1831" i="69"/>
  <c r="L1831" i="69"/>
  <c r="K1831" i="69"/>
  <c r="J1831" i="69"/>
  <c r="I1831" i="69"/>
  <c r="H1831" i="69"/>
  <c r="G1831" i="69"/>
  <c r="Q1830" i="69"/>
  <c r="P1830" i="69"/>
  <c r="O1830" i="69"/>
  <c r="N1830" i="69"/>
  <c r="M1830" i="69"/>
  <c r="L1830" i="69"/>
  <c r="K1830" i="69"/>
  <c r="J1830" i="69"/>
  <c r="I1830" i="69"/>
  <c r="H1830" i="69"/>
  <c r="G1830" i="69"/>
  <c r="Q1829" i="69"/>
  <c r="P1829" i="69"/>
  <c r="O1829" i="69"/>
  <c r="N1829" i="69"/>
  <c r="M1829" i="69"/>
  <c r="L1829" i="69"/>
  <c r="K1829" i="69"/>
  <c r="J1829" i="69"/>
  <c r="I1829" i="69"/>
  <c r="H1829" i="69"/>
  <c r="G1829" i="69"/>
  <c r="Q1828" i="69"/>
  <c r="P1828" i="69"/>
  <c r="O1828" i="69"/>
  <c r="N1828" i="69"/>
  <c r="M1828" i="69"/>
  <c r="L1828" i="69"/>
  <c r="K1828" i="69"/>
  <c r="J1828" i="69"/>
  <c r="I1828" i="69"/>
  <c r="H1828" i="69"/>
  <c r="G1828" i="69"/>
  <c r="Q1827" i="69"/>
  <c r="P1827" i="69"/>
  <c r="O1827" i="69"/>
  <c r="N1827" i="69"/>
  <c r="M1827" i="69"/>
  <c r="L1827" i="69"/>
  <c r="K1827" i="69"/>
  <c r="J1827" i="69"/>
  <c r="I1827" i="69"/>
  <c r="H1827" i="69"/>
  <c r="G1827" i="69"/>
  <c r="Q1826" i="69"/>
  <c r="P1826" i="69"/>
  <c r="O1826" i="69"/>
  <c r="N1826" i="69"/>
  <c r="M1826" i="69"/>
  <c r="L1826" i="69"/>
  <c r="K1826" i="69"/>
  <c r="J1826" i="69"/>
  <c r="I1826" i="69"/>
  <c r="H1826" i="69"/>
  <c r="G1826" i="69"/>
  <c r="Q1825" i="69"/>
  <c r="P1825" i="69"/>
  <c r="O1825" i="69"/>
  <c r="N1825" i="69"/>
  <c r="M1825" i="69"/>
  <c r="L1825" i="69"/>
  <c r="K1825" i="69"/>
  <c r="J1825" i="69"/>
  <c r="I1825" i="69"/>
  <c r="H1825" i="69"/>
  <c r="G1825" i="69"/>
  <c r="Q1824" i="69"/>
  <c r="P1824" i="69"/>
  <c r="O1824" i="69"/>
  <c r="N1824" i="69"/>
  <c r="M1824" i="69"/>
  <c r="L1824" i="69"/>
  <c r="K1824" i="69"/>
  <c r="J1824" i="69"/>
  <c r="I1824" i="69"/>
  <c r="H1824" i="69"/>
  <c r="G1824" i="69"/>
  <c r="Q1823" i="69"/>
  <c r="P1823" i="69"/>
  <c r="O1823" i="69"/>
  <c r="N1823" i="69"/>
  <c r="M1823" i="69"/>
  <c r="L1823" i="69"/>
  <c r="K1823" i="69"/>
  <c r="J1823" i="69"/>
  <c r="I1823" i="69"/>
  <c r="H1823" i="69"/>
  <c r="G1823" i="69"/>
  <c r="Q1822" i="69"/>
  <c r="P1822" i="69"/>
  <c r="O1822" i="69"/>
  <c r="N1822" i="69"/>
  <c r="M1822" i="69"/>
  <c r="L1822" i="69"/>
  <c r="K1822" i="69"/>
  <c r="J1822" i="69"/>
  <c r="I1822" i="69"/>
  <c r="H1822" i="69"/>
  <c r="G1822" i="69"/>
  <c r="Q1821" i="69"/>
  <c r="P1821" i="69"/>
  <c r="O1821" i="69"/>
  <c r="N1821" i="69"/>
  <c r="M1821" i="69"/>
  <c r="L1821" i="69"/>
  <c r="K1821" i="69"/>
  <c r="J1821" i="69"/>
  <c r="I1821" i="69"/>
  <c r="H1821" i="69"/>
  <c r="G1821" i="69"/>
  <c r="Q1820" i="69"/>
  <c r="P1820" i="69"/>
  <c r="O1820" i="69"/>
  <c r="N1820" i="69"/>
  <c r="M1820" i="69"/>
  <c r="L1820" i="69"/>
  <c r="K1820" i="69"/>
  <c r="J1820" i="69"/>
  <c r="I1820" i="69"/>
  <c r="H1820" i="69"/>
  <c r="G1820" i="69"/>
  <c r="Q1819" i="69"/>
  <c r="P1819" i="69"/>
  <c r="O1819" i="69"/>
  <c r="N1819" i="69"/>
  <c r="M1819" i="69"/>
  <c r="L1819" i="69"/>
  <c r="K1819" i="69"/>
  <c r="J1819" i="69"/>
  <c r="I1819" i="69"/>
  <c r="H1819" i="69"/>
  <c r="G1819" i="69"/>
  <c r="Q1818" i="69"/>
  <c r="P1818" i="69"/>
  <c r="O1818" i="69"/>
  <c r="N1818" i="69"/>
  <c r="M1818" i="69"/>
  <c r="L1818" i="69"/>
  <c r="K1818" i="69"/>
  <c r="J1818" i="69"/>
  <c r="I1818" i="69"/>
  <c r="H1818" i="69"/>
  <c r="G1818" i="69"/>
  <c r="Q1817" i="69"/>
  <c r="P1817" i="69"/>
  <c r="O1817" i="69"/>
  <c r="N1817" i="69"/>
  <c r="M1817" i="69"/>
  <c r="L1817" i="69"/>
  <c r="K1817" i="69"/>
  <c r="J1817" i="69"/>
  <c r="I1817" i="69"/>
  <c r="H1817" i="69"/>
  <c r="G1817" i="69"/>
  <c r="Q1816" i="69"/>
  <c r="P1816" i="69"/>
  <c r="O1816" i="69"/>
  <c r="N1816" i="69"/>
  <c r="M1816" i="69"/>
  <c r="L1816" i="69"/>
  <c r="K1816" i="69"/>
  <c r="J1816" i="69"/>
  <c r="I1816" i="69"/>
  <c r="H1816" i="69"/>
  <c r="G1816" i="69"/>
  <c r="Q1815" i="69"/>
  <c r="P1815" i="69"/>
  <c r="O1815" i="69"/>
  <c r="N1815" i="69"/>
  <c r="M1815" i="69"/>
  <c r="L1815" i="69"/>
  <c r="K1815" i="69"/>
  <c r="J1815" i="69"/>
  <c r="I1815" i="69"/>
  <c r="H1815" i="69"/>
  <c r="G1815" i="69"/>
  <c r="Q1814" i="69"/>
  <c r="P1814" i="69"/>
  <c r="O1814" i="69"/>
  <c r="N1814" i="69"/>
  <c r="M1814" i="69"/>
  <c r="L1814" i="69"/>
  <c r="K1814" i="69"/>
  <c r="J1814" i="69"/>
  <c r="I1814" i="69"/>
  <c r="H1814" i="69"/>
  <c r="G1814" i="69"/>
  <c r="Q1813" i="69"/>
  <c r="P1813" i="69"/>
  <c r="O1813" i="69"/>
  <c r="N1813" i="69"/>
  <c r="M1813" i="69"/>
  <c r="L1813" i="69"/>
  <c r="K1813" i="69"/>
  <c r="J1813" i="69"/>
  <c r="I1813" i="69"/>
  <c r="H1813" i="69"/>
  <c r="G1813" i="69"/>
  <c r="Q1812" i="69"/>
  <c r="P1812" i="69"/>
  <c r="O1812" i="69"/>
  <c r="N1812" i="69"/>
  <c r="M1812" i="69"/>
  <c r="L1812" i="69"/>
  <c r="K1812" i="69"/>
  <c r="J1812" i="69"/>
  <c r="I1812" i="69"/>
  <c r="H1812" i="69"/>
  <c r="G1812" i="69"/>
  <c r="Q1811" i="69"/>
  <c r="P1811" i="69"/>
  <c r="O1811" i="69"/>
  <c r="N1811" i="69"/>
  <c r="M1811" i="69"/>
  <c r="L1811" i="69"/>
  <c r="K1811" i="69"/>
  <c r="J1811" i="69"/>
  <c r="I1811" i="69"/>
  <c r="H1811" i="69"/>
  <c r="G1811" i="69"/>
  <c r="Q1810" i="69"/>
  <c r="P1810" i="69"/>
  <c r="O1810" i="69"/>
  <c r="N1810" i="69"/>
  <c r="M1810" i="69"/>
  <c r="L1810" i="69"/>
  <c r="K1810" i="69"/>
  <c r="J1810" i="69"/>
  <c r="I1810" i="69"/>
  <c r="H1810" i="69"/>
  <c r="G1810" i="69"/>
  <c r="Q1809" i="69"/>
  <c r="P1809" i="69"/>
  <c r="O1809" i="69"/>
  <c r="N1809" i="69"/>
  <c r="M1809" i="69"/>
  <c r="L1809" i="69"/>
  <c r="K1809" i="69"/>
  <c r="J1809" i="69"/>
  <c r="I1809" i="69"/>
  <c r="H1809" i="69"/>
  <c r="G1809" i="69"/>
  <c r="Q1808" i="69"/>
  <c r="P1808" i="69"/>
  <c r="O1808" i="69"/>
  <c r="N1808" i="69"/>
  <c r="M1808" i="69"/>
  <c r="L1808" i="69"/>
  <c r="K1808" i="69"/>
  <c r="J1808" i="69"/>
  <c r="I1808" i="69"/>
  <c r="H1808" i="69"/>
  <c r="G1808" i="69"/>
  <c r="Q1807" i="69"/>
  <c r="P1807" i="69"/>
  <c r="O1807" i="69"/>
  <c r="N1807" i="69"/>
  <c r="M1807" i="69"/>
  <c r="L1807" i="69"/>
  <c r="K1807" i="69"/>
  <c r="J1807" i="69"/>
  <c r="I1807" i="69"/>
  <c r="H1807" i="69"/>
  <c r="G1807" i="69"/>
  <c r="Q1806" i="69"/>
  <c r="P1806" i="69"/>
  <c r="O1806" i="69"/>
  <c r="N1806" i="69"/>
  <c r="M1806" i="69"/>
  <c r="L1806" i="69"/>
  <c r="K1806" i="69"/>
  <c r="J1806" i="69"/>
  <c r="I1806" i="69"/>
  <c r="H1806" i="69"/>
  <c r="G1806" i="69"/>
  <c r="Q1805" i="69"/>
  <c r="P1805" i="69"/>
  <c r="O1805" i="69"/>
  <c r="N1805" i="69"/>
  <c r="M1805" i="69"/>
  <c r="L1805" i="69"/>
  <c r="K1805" i="69"/>
  <c r="J1805" i="69"/>
  <c r="I1805" i="69"/>
  <c r="H1805" i="69"/>
  <c r="G1805" i="69"/>
  <c r="Q1804" i="69"/>
  <c r="P1804" i="69"/>
  <c r="O1804" i="69"/>
  <c r="N1804" i="69"/>
  <c r="M1804" i="69"/>
  <c r="L1804" i="69"/>
  <c r="K1804" i="69"/>
  <c r="J1804" i="69"/>
  <c r="I1804" i="69"/>
  <c r="H1804" i="69"/>
  <c r="G1804" i="69"/>
  <c r="Q1803" i="69"/>
  <c r="P1803" i="69"/>
  <c r="O1803" i="69"/>
  <c r="N1803" i="69"/>
  <c r="M1803" i="69"/>
  <c r="L1803" i="69"/>
  <c r="K1803" i="69"/>
  <c r="J1803" i="69"/>
  <c r="I1803" i="69"/>
  <c r="H1803" i="69"/>
  <c r="G1803" i="69"/>
  <c r="Q1802" i="69"/>
  <c r="P1802" i="69"/>
  <c r="O1802" i="69"/>
  <c r="N1802" i="69"/>
  <c r="M1802" i="69"/>
  <c r="L1802" i="69"/>
  <c r="K1802" i="69"/>
  <c r="J1802" i="69"/>
  <c r="I1802" i="69"/>
  <c r="H1802" i="69"/>
  <c r="G1802" i="69"/>
  <c r="Q1801" i="69"/>
  <c r="P1801" i="69"/>
  <c r="O1801" i="69"/>
  <c r="N1801" i="69"/>
  <c r="M1801" i="69"/>
  <c r="L1801" i="69"/>
  <c r="K1801" i="69"/>
  <c r="J1801" i="69"/>
  <c r="I1801" i="69"/>
  <c r="H1801" i="69"/>
  <c r="G1801" i="69"/>
  <c r="Q1800" i="69"/>
  <c r="P1800" i="69"/>
  <c r="O1800" i="69"/>
  <c r="N1800" i="69"/>
  <c r="M1800" i="69"/>
  <c r="L1800" i="69"/>
  <c r="K1800" i="69"/>
  <c r="J1800" i="69"/>
  <c r="I1800" i="69"/>
  <c r="H1800" i="69"/>
  <c r="G1800" i="69"/>
  <c r="Q1799" i="69"/>
  <c r="P1799" i="69"/>
  <c r="O1799" i="69"/>
  <c r="N1799" i="69"/>
  <c r="M1799" i="69"/>
  <c r="L1799" i="69"/>
  <c r="K1799" i="69"/>
  <c r="J1799" i="69"/>
  <c r="I1799" i="69"/>
  <c r="H1799" i="69"/>
  <c r="G1799" i="69"/>
  <c r="Q1798" i="69"/>
  <c r="P1798" i="69"/>
  <c r="O1798" i="69"/>
  <c r="N1798" i="69"/>
  <c r="M1798" i="69"/>
  <c r="L1798" i="69"/>
  <c r="K1798" i="69"/>
  <c r="J1798" i="69"/>
  <c r="I1798" i="69"/>
  <c r="H1798" i="69"/>
  <c r="G1798" i="69"/>
  <c r="Q1797" i="69"/>
  <c r="P1797" i="69"/>
  <c r="O1797" i="69"/>
  <c r="N1797" i="69"/>
  <c r="M1797" i="69"/>
  <c r="L1797" i="69"/>
  <c r="K1797" i="69"/>
  <c r="J1797" i="69"/>
  <c r="I1797" i="69"/>
  <c r="H1797" i="69"/>
  <c r="G1797" i="69"/>
  <c r="Q1796" i="69"/>
  <c r="P1796" i="69"/>
  <c r="O1796" i="69"/>
  <c r="N1796" i="69"/>
  <c r="M1796" i="69"/>
  <c r="L1796" i="69"/>
  <c r="K1796" i="69"/>
  <c r="J1796" i="69"/>
  <c r="I1796" i="69"/>
  <c r="H1796" i="69"/>
  <c r="G1796" i="69"/>
  <c r="Q1795" i="69"/>
  <c r="P1795" i="69"/>
  <c r="O1795" i="69"/>
  <c r="N1795" i="69"/>
  <c r="M1795" i="69"/>
  <c r="L1795" i="69"/>
  <c r="K1795" i="69"/>
  <c r="J1795" i="69"/>
  <c r="I1795" i="69"/>
  <c r="H1795" i="69"/>
  <c r="G1795" i="69"/>
  <c r="Q1794" i="69"/>
  <c r="P1794" i="69"/>
  <c r="O1794" i="69"/>
  <c r="N1794" i="69"/>
  <c r="M1794" i="69"/>
  <c r="L1794" i="69"/>
  <c r="K1794" i="69"/>
  <c r="J1794" i="69"/>
  <c r="I1794" i="69"/>
  <c r="H1794" i="69"/>
  <c r="G1794" i="69"/>
  <c r="Q1793" i="69"/>
  <c r="P1793" i="69"/>
  <c r="O1793" i="69"/>
  <c r="N1793" i="69"/>
  <c r="M1793" i="69"/>
  <c r="L1793" i="69"/>
  <c r="K1793" i="69"/>
  <c r="J1793" i="69"/>
  <c r="I1793" i="69"/>
  <c r="H1793" i="69"/>
  <c r="G1793" i="69"/>
  <c r="Q1792" i="69"/>
  <c r="P1792" i="69"/>
  <c r="O1792" i="69"/>
  <c r="N1792" i="69"/>
  <c r="M1792" i="69"/>
  <c r="L1792" i="69"/>
  <c r="K1792" i="69"/>
  <c r="J1792" i="69"/>
  <c r="I1792" i="69"/>
  <c r="H1792" i="69"/>
  <c r="G1792" i="69"/>
  <c r="Q1791" i="69"/>
  <c r="P1791" i="69"/>
  <c r="O1791" i="69"/>
  <c r="N1791" i="69"/>
  <c r="M1791" i="69"/>
  <c r="L1791" i="69"/>
  <c r="K1791" i="69"/>
  <c r="J1791" i="69"/>
  <c r="I1791" i="69"/>
  <c r="H1791" i="69"/>
  <c r="G1791" i="69"/>
  <c r="Q1790" i="69"/>
  <c r="P1790" i="69"/>
  <c r="O1790" i="69"/>
  <c r="N1790" i="69"/>
  <c r="M1790" i="69"/>
  <c r="L1790" i="69"/>
  <c r="K1790" i="69"/>
  <c r="J1790" i="69"/>
  <c r="I1790" i="69"/>
  <c r="H1790" i="69"/>
  <c r="G1790" i="69"/>
  <c r="Q1789" i="69"/>
  <c r="P1789" i="69"/>
  <c r="O1789" i="69"/>
  <c r="N1789" i="69"/>
  <c r="M1789" i="69"/>
  <c r="L1789" i="69"/>
  <c r="K1789" i="69"/>
  <c r="J1789" i="69"/>
  <c r="I1789" i="69"/>
  <c r="H1789" i="69"/>
  <c r="G1789" i="69"/>
  <c r="Q1788" i="69"/>
  <c r="P1788" i="69"/>
  <c r="O1788" i="69"/>
  <c r="N1788" i="69"/>
  <c r="M1788" i="69"/>
  <c r="L1788" i="69"/>
  <c r="K1788" i="69"/>
  <c r="J1788" i="69"/>
  <c r="I1788" i="69"/>
  <c r="H1788" i="69"/>
  <c r="G1788" i="69"/>
  <c r="Q1787" i="69"/>
  <c r="P1787" i="69"/>
  <c r="O1787" i="69"/>
  <c r="N1787" i="69"/>
  <c r="M1787" i="69"/>
  <c r="L1787" i="69"/>
  <c r="K1787" i="69"/>
  <c r="J1787" i="69"/>
  <c r="I1787" i="69"/>
  <c r="H1787" i="69"/>
  <c r="G1787" i="69"/>
  <c r="Q1786" i="69"/>
  <c r="P1786" i="69"/>
  <c r="O1786" i="69"/>
  <c r="N1786" i="69"/>
  <c r="M1786" i="69"/>
  <c r="L1786" i="69"/>
  <c r="K1786" i="69"/>
  <c r="J1786" i="69"/>
  <c r="I1786" i="69"/>
  <c r="H1786" i="69"/>
  <c r="G1786" i="69"/>
  <c r="Q1785" i="69"/>
  <c r="P1785" i="69"/>
  <c r="O1785" i="69"/>
  <c r="N1785" i="69"/>
  <c r="M1785" i="69"/>
  <c r="L1785" i="69"/>
  <c r="K1785" i="69"/>
  <c r="J1785" i="69"/>
  <c r="I1785" i="69"/>
  <c r="H1785" i="69"/>
  <c r="G1785" i="69"/>
  <c r="Q1784" i="69"/>
  <c r="P1784" i="69"/>
  <c r="O1784" i="69"/>
  <c r="N1784" i="69"/>
  <c r="M1784" i="69"/>
  <c r="L1784" i="69"/>
  <c r="K1784" i="69"/>
  <c r="J1784" i="69"/>
  <c r="I1784" i="69"/>
  <c r="H1784" i="69"/>
  <c r="G1784" i="69"/>
  <c r="Q1783" i="69"/>
  <c r="P1783" i="69"/>
  <c r="O1783" i="69"/>
  <c r="N1783" i="69"/>
  <c r="M1783" i="69"/>
  <c r="L1783" i="69"/>
  <c r="K1783" i="69"/>
  <c r="J1783" i="69"/>
  <c r="I1783" i="69"/>
  <c r="H1783" i="69"/>
  <c r="G1783" i="69"/>
  <c r="Q1782" i="69"/>
  <c r="P1782" i="69"/>
  <c r="O1782" i="69"/>
  <c r="N1782" i="69"/>
  <c r="M1782" i="69"/>
  <c r="L1782" i="69"/>
  <c r="K1782" i="69"/>
  <c r="J1782" i="69"/>
  <c r="I1782" i="69"/>
  <c r="H1782" i="69"/>
  <c r="G1782" i="69"/>
  <c r="Q1781" i="69"/>
  <c r="P1781" i="69"/>
  <c r="O1781" i="69"/>
  <c r="N1781" i="69"/>
  <c r="M1781" i="69"/>
  <c r="L1781" i="69"/>
  <c r="K1781" i="69"/>
  <c r="J1781" i="69"/>
  <c r="I1781" i="69"/>
  <c r="H1781" i="69"/>
  <c r="G1781" i="69"/>
  <c r="Q1780" i="69"/>
  <c r="P1780" i="69"/>
  <c r="O1780" i="69"/>
  <c r="N1780" i="69"/>
  <c r="M1780" i="69"/>
  <c r="L1780" i="69"/>
  <c r="K1780" i="69"/>
  <c r="J1780" i="69"/>
  <c r="I1780" i="69"/>
  <c r="H1780" i="69"/>
  <c r="G1780" i="69"/>
  <c r="Q1779" i="69"/>
  <c r="P1779" i="69"/>
  <c r="O1779" i="69"/>
  <c r="N1779" i="69"/>
  <c r="M1779" i="69"/>
  <c r="L1779" i="69"/>
  <c r="K1779" i="69"/>
  <c r="J1779" i="69"/>
  <c r="I1779" i="69"/>
  <c r="H1779" i="69"/>
  <c r="G1779" i="69"/>
  <c r="Q1778" i="69"/>
  <c r="P1778" i="69"/>
  <c r="O1778" i="69"/>
  <c r="N1778" i="69"/>
  <c r="M1778" i="69"/>
  <c r="L1778" i="69"/>
  <c r="K1778" i="69"/>
  <c r="J1778" i="69"/>
  <c r="I1778" i="69"/>
  <c r="H1778" i="69"/>
  <c r="G1778" i="69"/>
  <c r="Q1777" i="69"/>
  <c r="P1777" i="69"/>
  <c r="O1777" i="69"/>
  <c r="N1777" i="69"/>
  <c r="M1777" i="69"/>
  <c r="L1777" i="69"/>
  <c r="K1777" i="69"/>
  <c r="J1777" i="69"/>
  <c r="I1777" i="69"/>
  <c r="H1777" i="69"/>
  <c r="G1777" i="69"/>
  <c r="Q1776" i="69"/>
  <c r="P1776" i="69"/>
  <c r="O1776" i="69"/>
  <c r="N1776" i="69"/>
  <c r="M1776" i="69"/>
  <c r="L1776" i="69"/>
  <c r="K1776" i="69"/>
  <c r="J1776" i="69"/>
  <c r="I1776" i="69"/>
  <c r="H1776" i="69"/>
  <c r="G1776" i="69"/>
  <c r="Q1775" i="69"/>
  <c r="P1775" i="69"/>
  <c r="O1775" i="69"/>
  <c r="N1775" i="69"/>
  <c r="M1775" i="69"/>
  <c r="L1775" i="69"/>
  <c r="K1775" i="69"/>
  <c r="J1775" i="69"/>
  <c r="I1775" i="69"/>
  <c r="H1775" i="69"/>
  <c r="G1775" i="69"/>
  <c r="Q1774" i="69"/>
  <c r="P1774" i="69"/>
  <c r="O1774" i="69"/>
  <c r="N1774" i="69"/>
  <c r="M1774" i="69"/>
  <c r="L1774" i="69"/>
  <c r="K1774" i="69"/>
  <c r="J1774" i="69"/>
  <c r="I1774" i="69"/>
  <c r="H1774" i="69"/>
  <c r="G1774" i="69"/>
  <c r="Q1773" i="69"/>
  <c r="P1773" i="69"/>
  <c r="O1773" i="69"/>
  <c r="N1773" i="69"/>
  <c r="M1773" i="69"/>
  <c r="L1773" i="69"/>
  <c r="K1773" i="69"/>
  <c r="J1773" i="69"/>
  <c r="I1773" i="69"/>
  <c r="H1773" i="69"/>
  <c r="G1773" i="69"/>
  <c r="Q1772" i="69"/>
  <c r="P1772" i="69"/>
  <c r="O1772" i="69"/>
  <c r="N1772" i="69"/>
  <c r="M1772" i="69"/>
  <c r="L1772" i="69"/>
  <c r="K1772" i="69"/>
  <c r="J1772" i="69"/>
  <c r="I1772" i="69"/>
  <c r="H1772" i="69"/>
  <c r="G1772" i="69"/>
  <c r="Q1771" i="69"/>
  <c r="P1771" i="69"/>
  <c r="O1771" i="69"/>
  <c r="N1771" i="69"/>
  <c r="M1771" i="69"/>
  <c r="L1771" i="69"/>
  <c r="K1771" i="69"/>
  <c r="J1771" i="69"/>
  <c r="I1771" i="69"/>
  <c r="H1771" i="69"/>
  <c r="G1771" i="69"/>
  <c r="Q1770" i="69"/>
  <c r="P1770" i="69"/>
  <c r="O1770" i="69"/>
  <c r="N1770" i="69"/>
  <c r="M1770" i="69"/>
  <c r="L1770" i="69"/>
  <c r="K1770" i="69"/>
  <c r="J1770" i="69"/>
  <c r="I1770" i="69"/>
  <c r="H1770" i="69"/>
  <c r="G1770" i="69"/>
  <c r="Q1769" i="69"/>
  <c r="P1769" i="69"/>
  <c r="O1769" i="69"/>
  <c r="N1769" i="69"/>
  <c r="M1769" i="69"/>
  <c r="L1769" i="69"/>
  <c r="K1769" i="69"/>
  <c r="J1769" i="69"/>
  <c r="I1769" i="69"/>
  <c r="H1769" i="69"/>
  <c r="G1769" i="69"/>
  <c r="Q1768" i="69"/>
  <c r="P1768" i="69"/>
  <c r="O1768" i="69"/>
  <c r="N1768" i="69"/>
  <c r="M1768" i="69"/>
  <c r="L1768" i="69"/>
  <c r="K1768" i="69"/>
  <c r="J1768" i="69"/>
  <c r="I1768" i="69"/>
  <c r="H1768" i="69"/>
  <c r="G1768" i="69"/>
  <c r="Q1767" i="69"/>
  <c r="P1767" i="69"/>
  <c r="O1767" i="69"/>
  <c r="N1767" i="69"/>
  <c r="M1767" i="69"/>
  <c r="L1767" i="69"/>
  <c r="K1767" i="69"/>
  <c r="J1767" i="69"/>
  <c r="I1767" i="69"/>
  <c r="H1767" i="69"/>
  <c r="G1767" i="69"/>
  <c r="Q1766" i="69"/>
  <c r="P1766" i="69"/>
  <c r="O1766" i="69"/>
  <c r="N1766" i="69"/>
  <c r="M1766" i="69"/>
  <c r="L1766" i="69"/>
  <c r="K1766" i="69"/>
  <c r="J1766" i="69"/>
  <c r="I1766" i="69"/>
  <c r="H1766" i="69"/>
  <c r="G1766" i="69"/>
  <c r="Q1765" i="69"/>
  <c r="P1765" i="69"/>
  <c r="O1765" i="69"/>
  <c r="N1765" i="69"/>
  <c r="M1765" i="69"/>
  <c r="L1765" i="69"/>
  <c r="K1765" i="69"/>
  <c r="J1765" i="69"/>
  <c r="I1765" i="69"/>
  <c r="H1765" i="69"/>
  <c r="G1765" i="69"/>
  <c r="Q1764" i="69"/>
  <c r="P1764" i="69"/>
  <c r="O1764" i="69"/>
  <c r="N1764" i="69"/>
  <c r="M1764" i="69"/>
  <c r="L1764" i="69"/>
  <c r="K1764" i="69"/>
  <c r="J1764" i="69"/>
  <c r="I1764" i="69"/>
  <c r="H1764" i="69"/>
  <c r="G1764" i="69"/>
  <c r="Q1763" i="69"/>
  <c r="P1763" i="69"/>
  <c r="O1763" i="69"/>
  <c r="N1763" i="69"/>
  <c r="M1763" i="69"/>
  <c r="L1763" i="69"/>
  <c r="K1763" i="69"/>
  <c r="J1763" i="69"/>
  <c r="I1763" i="69"/>
  <c r="H1763" i="69"/>
  <c r="G1763" i="69"/>
  <c r="Q1762" i="69"/>
  <c r="P1762" i="69"/>
  <c r="O1762" i="69"/>
  <c r="N1762" i="69"/>
  <c r="M1762" i="69"/>
  <c r="L1762" i="69"/>
  <c r="K1762" i="69"/>
  <c r="J1762" i="69"/>
  <c r="I1762" i="69"/>
  <c r="H1762" i="69"/>
  <c r="G1762" i="69"/>
  <c r="Q1761" i="69"/>
  <c r="P1761" i="69"/>
  <c r="O1761" i="69"/>
  <c r="N1761" i="69"/>
  <c r="M1761" i="69"/>
  <c r="L1761" i="69"/>
  <c r="K1761" i="69"/>
  <c r="J1761" i="69"/>
  <c r="I1761" i="69"/>
  <c r="H1761" i="69"/>
  <c r="G1761" i="69"/>
  <c r="Q1760" i="69"/>
  <c r="P1760" i="69"/>
  <c r="O1760" i="69"/>
  <c r="N1760" i="69"/>
  <c r="M1760" i="69"/>
  <c r="L1760" i="69"/>
  <c r="K1760" i="69"/>
  <c r="J1760" i="69"/>
  <c r="I1760" i="69"/>
  <c r="H1760" i="69"/>
  <c r="G1760" i="69"/>
  <c r="Q1759" i="69"/>
  <c r="P1759" i="69"/>
  <c r="M1759" i="69"/>
  <c r="G1759" i="69"/>
  <c r="Q1758" i="69"/>
  <c r="P1758" i="69"/>
  <c r="M1758" i="69"/>
  <c r="G1758" i="69"/>
  <c r="Q1757" i="69"/>
  <c r="P1757" i="69"/>
  <c r="M1757" i="69"/>
  <c r="G1757" i="69"/>
  <c r="Q1756" i="69"/>
  <c r="P1756" i="69"/>
  <c r="O1756" i="69"/>
  <c r="N1756" i="69"/>
  <c r="M1756" i="69"/>
  <c r="L1756" i="69"/>
  <c r="K1756" i="69"/>
  <c r="J1756" i="69"/>
  <c r="I1756" i="69"/>
  <c r="H1756" i="69"/>
  <c r="G1756" i="69"/>
  <c r="Q1755" i="69"/>
  <c r="P1755" i="69"/>
  <c r="O1755" i="69"/>
  <c r="N1755" i="69"/>
  <c r="M1755" i="69"/>
  <c r="L1755" i="69"/>
  <c r="K1755" i="69"/>
  <c r="J1755" i="69"/>
  <c r="I1755" i="69"/>
  <c r="H1755" i="69"/>
  <c r="G1755" i="69"/>
  <c r="Q1754" i="69"/>
  <c r="P1754" i="69"/>
  <c r="O1754" i="69"/>
  <c r="N1754" i="69"/>
  <c r="M1754" i="69"/>
  <c r="L1754" i="69"/>
  <c r="K1754" i="69"/>
  <c r="J1754" i="69"/>
  <c r="I1754" i="69"/>
  <c r="H1754" i="69"/>
  <c r="G1754" i="69"/>
  <c r="Q1753" i="69"/>
  <c r="P1753" i="69"/>
  <c r="O1753" i="69"/>
  <c r="N1753" i="69"/>
  <c r="M1753" i="69"/>
  <c r="L1753" i="69"/>
  <c r="K1753" i="69"/>
  <c r="J1753" i="69"/>
  <c r="I1753" i="69"/>
  <c r="H1753" i="69"/>
  <c r="G1753" i="69"/>
  <c r="Q1752" i="69"/>
  <c r="P1752" i="69"/>
  <c r="O1752" i="69"/>
  <c r="N1752" i="69"/>
  <c r="M1752" i="69"/>
  <c r="L1752" i="69"/>
  <c r="K1752" i="69"/>
  <c r="J1752" i="69"/>
  <c r="I1752" i="69"/>
  <c r="H1752" i="69"/>
  <c r="G1752" i="69"/>
  <c r="Q1751" i="69"/>
  <c r="P1751" i="69"/>
  <c r="O1751" i="69"/>
  <c r="N1751" i="69"/>
  <c r="M1751" i="69"/>
  <c r="L1751" i="69"/>
  <c r="K1751" i="69"/>
  <c r="J1751" i="69"/>
  <c r="I1751" i="69"/>
  <c r="H1751" i="69"/>
  <c r="G1751" i="69"/>
  <c r="Q1750" i="69"/>
  <c r="P1750" i="69"/>
  <c r="O1750" i="69"/>
  <c r="N1750" i="69"/>
  <c r="M1750" i="69"/>
  <c r="L1750" i="69"/>
  <c r="K1750" i="69"/>
  <c r="J1750" i="69"/>
  <c r="I1750" i="69"/>
  <c r="H1750" i="69"/>
  <c r="G1750" i="69"/>
  <c r="Q1749" i="69"/>
  <c r="P1749" i="69"/>
  <c r="O1749" i="69"/>
  <c r="N1749" i="69"/>
  <c r="M1749" i="69"/>
  <c r="L1749" i="69"/>
  <c r="K1749" i="69"/>
  <c r="J1749" i="69"/>
  <c r="I1749" i="69"/>
  <c r="H1749" i="69"/>
  <c r="G1749" i="69"/>
  <c r="Q1748" i="69"/>
  <c r="P1748" i="69"/>
  <c r="O1748" i="69"/>
  <c r="N1748" i="69"/>
  <c r="M1748" i="69"/>
  <c r="L1748" i="69"/>
  <c r="K1748" i="69"/>
  <c r="J1748" i="69"/>
  <c r="I1748" i="69"/>
  <c r="H1748" i="69"/>
  <c r="G1748" i="69"/>
  <c r="Q1747" i="69"/>
  <c r="P1747" i="69"/>
  <c r="O1747" i="69"/>
  <c r="N1747" i="69"/>
  <c r="M1747" i="69"/>
  <c r="L1747" i="69"/>
  <c r="K1747" i="69"/>
  <c r="J1747" i="69"/>
  <c r="I1747" i="69"/>
  <c r="H1747" i="69"/>
  <c r="G1747" i="69"/>
  <c r="Q1746" i="69"/>
  <c r="P1746" i="69"/>
  <c r="O1746" i="69"/>
  <c r="N1746" i="69"/>
  <c r="M1746" i="69"/>
  <c r="L1746" i="69"/>
  <c r="K1746" i="69"/>
  <c r="J1746" i="69"/>
  <c r="I1746" i="69"/>
  <c r="H1746" i="69"/>
  <c r="G1746" i="69"/>
  <c r="Q1745" i="69"/>
  <c r="P1745" i="69"/>
  <c r="O1745" i="69"/>
  <c r="N1745" i="69"/>
  <c r="M1745" i="69"/>
  <c r="L1745" i="69"/>
  <c r="K1745" i="69"/>
  <c r="J1745" i="69"/>
  <c r="I1745" i="69"/>
  <c r="H1745" i="69"/>
  <c r="G1745" i="69"/>
  <c r="Q1744" i="69"/>
  <c r="P1744" i="69"/>
  <c r="O1744" i="69"/>
  <c r="N1744" i="69"/>
  <c r="M1744" i="69"/>
  <c r="L1744" i="69"/>
  <c r="K1744" i="69"/>
  <c r="J1744" i="69"/>
  <c r="I1744" i="69"/>
  <c r="H1744" i="69"/>
  <c r="G1744" i="69"/>
  <c r="Q1743" i="69"/>
  <c r="P1743" i="69"/>
  <c r="O1743" i="69"/>
  <c r="N1743" i="69"/>
  <c r="M1743" i="69"/>
  <c r="L1743" i="69"/>
  <c r="K1743" i="69"/>
  <c r="J1743" i="69"/>
  <c r="I1743" i="69"/>
  <c r="H1743" i="69"/>
  <c r="G1743" i="69"/>
  <c r="Q1742" i="69"/>
  <c r="P1742" i="69"/>
  <c r="O1742" i="69"/>
  <c r="N1742" i="69"/>
  <c r="M1742" i="69"/>
  <c r="L1742" i="69"/>
  <c r="K1742" i="69"/>
  <c r="J1742" i="69"/>
  <c r="I1742" i="69"/>
  <c r="H1742" i="69"/>
  <c r="G1742" i="69"/>
  <c r="Q1741" i="69"/>
  <c r="P1741" i="69"/>
  <c r="O1741" i="69"/>
  <c r="N1741" i="69"/>
  <c r="M1741" i="69"/>
  <c r="L1741" i="69"/>
  <c r="K1741" i="69"/>
  <c r="J1741" i="69"/>
  <c r="I1741" i="69"/>
  <c r="H1741" i="69"/>
  <c r="G1741" i="69"/>
  <c r="Q1740" i="69"/>
  <c r="P1740" i="69"/>
  <c r="O1740" i="69"/>
  <c r="N1740" i="69"/>
  <c r="M1740" i="69"/>
  <c r="L1740" i="69"/>
  <c r="K1740" i="69"/>
  <c r="J1740" i="69"/>
  <c r="I1740" i="69"/>
  <c r="H1740" i="69"/>
  <c r="G1740" i="69"/>
  <c r="Q1739" i="69"/>
  <c r="P1739" i="69"/>
  <c r="O1739" i="69"/>
  <c r="N1739" i="69"/>
  <c r="M1739" i="69"/>
  <c r="L1739" i="69"/>
  <c r="K1739" i="69"/>
  <c r="J1739" i="69"/>
  <c r="I1739" i="69"/>
  <c r="H1739" i="69"/>
  <c r="G1739" i="69"/>
  <c r="Q1738" i="69"/>
  <c r="P1738" i="69"/>
  <c r="O1738" i="69"/>
  <c r="N1738" i="69"/>
  <c r="M1738" i="69"/>
  <c r="L1738" i="69"/>
  <c r="K1738" i="69"/>
  <c r="J1738" i="69"/>
  <c r="I1738" i="69"/>
  <c r="H1738" i="69"/>
  <c r="G1738" i="69"/>
  <c r="Q1737" i="69"/>
  <c r="P1737" i="69"/>
  <c r="O1737" i="69"/>
  <c r="N1737" i="69"/>
  <c r="M1737" i="69"/>
  <c r="L1737" i="69"/>
  <c r="K1737" i="69"/>
  <c r="J1737" i="69"/>
  <c r="I1737" i="69"/>
  <c r="H1737" i="69"/>
  <c r="G1737" i="69"/>
  <c r="Q1736" i="69"/>
  <c r="P1736" i="69"/>
  <c r="O1736" i="69"/>
  <c r="N1736" i="69"/>
  <c r="M1736" i="69"/>
  <c r="L1736" i="69"/>
  <c r="K1736" i="69"/>
  <c r="J1736" i="69"/>
  <c r="I1736" i="69"/>
  <c r="H1736" i="69"/>
  <c r="G1736" i="69"/>
  <c r="Q1735" i="69"/>
  <c r="P1735" i="69"/>
  <c r="O1735" i="69"/>
  <c r="N1735" i="69"/>
  <c r="M1735" i="69"/>
  <c r="L1735" i="69"/>
  <c r="K1735" i="69"/>
  <c r="J1735" i="69"/>
  <c r="I1735" i="69"/>
  <c r="H1735" i="69"/>
  <c r="G1735" i="69"/>
  <c r="Q1734" i="69"/>
  <c r="P1734" i="69"/>
  <c r="O1734" i="69"/>
  <c r="N1734" i="69"/>
  <c r="M1734" i="69"/>
  <c r="K1734" i="69"/>
  <c r="J1734" i="69"/>
  <c r="I1734" i="69"/>
  <c r="H1734" i="69"/>
  <c r="G1734" i="69"/>
  <c r="Q1733" i="69"/>
  <c r="P1733" i="69"/>
  <c r="O1733" i="69"/>
  <c r="N1733" i="69"/>
  <c r="M1733" i="69"/>
  <c r="K1733" i="69"/>
  <c r="J1733" i="69"/>
  <c r="I1733" i="69"/>
  <c r="H1733" i="69"/>
  <c r="G1733" i="69"/>
  <c r="Q1732" i="69"/>
  <c r="P1732" i="69"/>
  <c r="O1732" i="69"/>
  <c r="N1732" i="69"/>
  <c r="M1732" i="69"/>
  <c r="K1732" i="69"/>
  <c r="J1732" i="69"/>
  <c r="I1732" i="69"/>
  <c r="H1732" i="69"/>
  <c r="G1732" i="69"/>
  <c r="Q1731" i="69"/>
  <c r="P1731" i="69"/>
  <c r="O1731" i="69"/>
  <c r="N1731" i="69"/>
  <c r="M1731" i="69"/>
  <c r="K1731" i="69"/>
  <c r="J1731" i="69"/>
  <c r="I1731" i="69"/>
  <c r="H1731" i="69"/>
  <c r="G1731" i="69"/>
  <c r="Q1730" i="69"/>
  <c r="P1730" i="69"/>
  <c r="O1730" i="69"/>
  <c r="N1730" i="69"/>
  <c r="M1730" i="69"/>
  <c r="K1730" i="69"/>
  <c r="J1730" i="69"/>
  <c r="I1730" i="69"/>
  <c r="H1730" i="69"/>
  <c r="G1730" i="69"/>
  <c r="Q1729" i="69"/>
  <c r="P1729" i="69"/>
  <c r="O1729" i="69"/>
  <c r="N1729" i="69"/>
  <c r="M1729" i="69"/>
  <c r="L1729" i="69"/>
  <c r="K1729" i="69"/>
  <c r="J1729" i="69"/>
  <c r="I1729" i="69"/>
  <c r="H1729" i="69"/>
  <c r="G1729" i="69"/>
  <c r="Q1728" i="69"/>
  <c r="P1728" i="69"/>
  <c r="O1728" i="69"/>
  <c r="N1728" i="69"/>
  <c r="M1728" i="69"/>
  <c r="L1728" i="69"/>
  <c r="K1728" i="69"/>
  <c r="J1728" i="69"/>
  <c r="I1728" i="69"/>
  <c r="H1728" i="69"/>
  <c r="G1728" i="69"/>
  <c r="Q1727" i="69"/>
  <c r="P1727" i="69"/>
  <c r="O1727" i="69"/>
  <c r="N1727" i="69"/>
  <c r="M1727" i="69"/>
  <c r="L1727" i="69"/>
  <c r="K1727" i="69"/>
  <c r="J1727" i="69"/>
  <c r="I1727" i="69"/>
  <c r="H1727" i="69"/>
  <c r="G1727" i="69"/>
  <c r="Q1726" i="69"/>
  <c r="P1726" i="69"/>
  <c r="O1726" i="69"/>
  <c r="N1726" i="69"/>
  <c r="M1726" i="69"/>
  <c r="L1726" i="69"/>
  <c r="K1726" i="69"/>
  <c r="J1726" i="69"/>
  <c r="I1726" i="69"/>
  <c r="H1726" i="69"/>
  <c r="G1726" i="69"/>
  <c r="Q1725" i="69"/>
  <c r="P1725" i="69"/>
  <c r="N1725" i="69"/>
  <c r="M1725" i="69"/>
  <c r="L1725" i="69"/>
  <c r="K1725" i="69"/>
  <c r="J1725" i="69"/>
  <c r="I1725" i="69"/>
  <c r="H1725" i="69"/>
  <c r="G1725" i="69"/>
  <c r="Q1724" i="69"/>
  <c r="P1724" i="69"/>
  <c r="N1724" i="69"/>
  <c r="M1724" i="69"/>
  <c r="L1724" i="69"/>
  <c r="K1724" i="69"/>
  <c r="J1724" i="69"/>
  <c r="I1724" i="69"/>
  <c r="H1724" i="69"/>
  <c r="G1724" i="69"/>
  <c r="Q1723" i="69"/>
  <c r="P1723" i="69"/>
  <c r="N1723" i="69"/>
  <c r="M1723" i="69"/>
  <c r="L1723" i="69"/>
  <c r="K1723" i="69"/>
  <c r="J1723" i="69"/>
  <c r="I1723" i="69"/>
  <c r="H1723" i="69"/>
  <c r="G1723" i="69"/>
  <c r="Q1722" i="69"/>
  <c r="P1722" i="69"/>
  <c r="O1722" i="69"/>
  <c r="N1722" i="69"/>
  <c r="M1722" i="69"/>
  <c r="L1722" i="69"/>
  <c r="K1722" i="69"/>
  <c r="J1722" i="69"/>
  <c r="I1722" i="69"/>
  <c r="H1722" i="69"/>
  <c r="G1722" i="69"/>
  <c r="Q1721" i="69"/>
  <c r="P1721" i="69"/>
  <c r="O1721" i="69"/>
  <c r="N1721" i="69"/>
  <c r="M1721" i="69"/>
  <c r="L1721" i="69"/>
  <c r="K1721" i="69"/>
  <c r="J1721" i="69"/>
  <c r="I1721" i="69"/>
  <c r="H1721" i="69"/>
  <c r="G1721" i="69"/>
  <c r="Q1720" i="69"/>
  <c r="P1720" i="69"/>
  <c r="O1720" i="69"/>
  <c r="N1720" i="69"/>
  <c r="M1720" i="69"/>
  <c r="L1720" i="69"/>
  <c r="K1720" i="69"/>
  <c r="J1720" i="69"/>
  <c r="I1720" i="69"/>
  <c r="H1720" i="69"/>
  <c r="G1720" i="69"/>
  <c r="Q1719" i="69"/>
  <c r="P1719" i="69"/>
  <c r="O1719" i="69"/>
  <c r="N1719" i="69"/>
  <c r="M1719" i="69"/>
  <c r="L1719" i="69"/>
  <c r="K1719" i="69"/>
  <c r="J1719" i="69"/>
  <c r="I1719" i="69"/>
  <c r="H1719" i="69"/>
  <c r="G1719" i="69"/>
  <c r="Q1718" i="69"/>
  <c r="P1718" i="69"/>
  <c r="N1718" i="69"/>
  <c r="M1718" i="69"/>
  <c r="L1718" i="69"/>
  <c r="K1718" i="69"/>
  <c r="J1718" i="69"/>
  <c r="I1718" i="69"/>
  <c r="H1718" i="69"/>
  <c r="G1718" i="69"/>
  <c r="Q1717" i="69"/>
  <c r="P1717" i="69"/>
  <c r="N1717" i="69"/>
  <c r="M1717" i="69"/>
  <c r="L1717" i="69"/>
  <c r="K1717" i="69"/>
  <c r="J1717" i="69"/>
  <c r="I1717" i="69"/>
  <c r="H1717" i="69"/>
  <c r="G1717" i="69"/>
  <c r="Q1716" i="69"/>
  <c r="P1716" i="69"/>
  <c r="N1716" i="69"/>
  <c r="M1716" i="69"/>
  <c r="L1716" i="69"/>
  <c r="K1716" i="69"/>
  <c r="J1716" i="69"/>
  <c r="I1716" i="69"/>
  <c r="H1716" i="69"/>
  <c r="G1716" i="69"/>
  <c r="Q1715" i="69"/>
  <c r="P1715" i="69"/>
  <c r="O1715" i="69"/>
  <c r="N1715" i="69"/>
  <c r="M1715" i="69"/>
  <c r="L1715" i="69"/>
  <c r="K1715" i="69"/>
  <c r="J1715" i="69"/>
  <c r="I1715" i="69"/>
  <c r="H1715" i="69"/>
  <c r="G1715" i="69"/>
  <c r="Q1714" i="69"/>
  <c r="P1714" i="69"/>
  <c r="O1714" i="69"/>
  <c r="N1714" i="69"/>
  <c r="M1714" i="69"/>
  <c r="L1714" i="69"/>
  <c r="K1714" i="69"/>
  <c r="J1714" i="69"/>
  <c r="I1714" i="69"/>
  <c r="H1714" i="69"/>
  <c r="G1714" i="69"/>
  <c r="Q1713" i="69"/>
  <c r="P1713" i="69"/>
  <c r="O1713" i="69"/>
  <c r="N1713" i="69"/>
  <c r="M1713" i="69"/>
  <c r="L1713" i="69"/>
  <c r="K1713" i="69"/>
  <c r="J1713" i="69"/>
  <c r="I1713" i="69"/>
  <c r="H1713" i="69"/>
  <c r="G1713" i="69"/>
  <c r="Q1712" i="69"/>
  <c r="P1712" i="69"/>
  <c r="O1712" i="69"/>
  <c r="N1712" i="69"/>
  <c r="M1712" i="69"/>
  <c r="L1712" i="69"/>
  <c r="K1712" i="69"/>
  <c r="J1712" i="69"/>
  <c r="I1712" i="69"/>
  <c r="H1712" i="69"/>
  <c r="G1712" i="69"/>
  <c r="Q1711" i="69"/>
  <c r="P1711" i="69"/>
  <c r="N1711" i="69"/>
  <c r="M1711" i="69"/>
  <c r="L1711" i="69"/>
  <c r="K1711" i="69"/>
  <c r="J1711" i="69"/>
  <c r="I1711" i="69"/>
  <c r="H1711" i="69"/>
  <c r="G1711" i="69"/>
  <c r="Q1710" i="69"/>
  <c r="P1710" i="69"/>
  <c r="N1710" i="69"/>
  <c r="M1710" i="69"/>
  <c r="L1710" i="69"/>
  <c r="K1710" i="69"/>
  <c r="J1710" i="69"/>
  <c r="I1710" i="69"/>
  <c r="H1710" i="69"/>
  <c r="G1710" i="69"/>
  <c r="Q1709" i="69"/>
  <c r="P1709" i="69"/>
  <c r="N1709" i="69"/>
  <c r="M1709" i="69"/>
  <c r="L1709" i="69"/>
  <c r="K1709" i="69"/>
  <c r="J1709" i="69"/>
  <c r="I1709" i="69"/>
  <c r="H1709" i="69"/>
  <c r="G1709" i="69"/>
  <c r="Q1708" i="69"/>
  <c r="P1708" i="69"/>
  <c r="O1708" i="69"/>
  <c r="N1708" i="69"/>
  <c r="M1708" i="69"/>
  <c r="L1708" i="69"/>
  <c r="K1708" i="69"/>
  <c r="J1708" i="69"/>
  <c r="I1708" i="69"/>
  <c r="H1708" i="69"/>
  <c r="G1708" i="69"/>
  <c r="Q1707" i="69"/>
  <c r="P1707" i="69"/>
  <c r="O1707" i="69"/>
  <c r="N1707" i="69"/>
  <c r="M1707" i="69"/>
  <c r="L1707" i="69"/>
  <c r="K1707" i="69"/>
  <c r="J1707" i="69"/>
  <c r="I1707" i="69"/>
  <c r="H1707" i="69"/>
  <c r="G1707" i="69"/>
  <c r="Q1706" i="69"/>
  <c r="P1706" i="69"/>
  <c r="O1706" i="69"/>
  <c r="N1706" i="69"/>
  <c r="M1706" i="69"/>
  <c r="L1706" i="69"/>
  <c r="K1706" i="69"/>
  <c r="J1706" i="69"/>
  <c r="I1706" i="69"/>
  <c r="H1706" i="69"/>
  <c r="G1706" i="69"/>
  <c r="Q1705" i="69"/>
  <c r="P1705" i="69"/>
  <c r="O1705" i="69"/>
  <c r="N1705" i="69"/>
  <c r="M1705" i="69"/>
  <c r="L1705" i="69"/>
  <c r="K1705" i="69"/>
  <c r="J1705" i="69"/>
  <c r="I1705" i="69"/>
  <c r="H1705" i="69"/>
  <c r="G1705" i="69"/>
  <c r="Q1704" i="69"/>
  <c r="P1704" i="69"/>
  <c r="N1704" i="69"/>
  <c r="M1704" i="69"/>
  <c r="L1704" i="69"/>
  <c r="K1704" i="69"/>
  <c r="J1704" i="69"/>
  <c r="I1704" i="69"/>
  <c r="H1704" i="69"/>
  <c r="G1704" i="69"/>
  <c r="Q1703" i="69"/>
  <c r="P1703" i="69"/>
  <c r="N1703" i="69"/>
  <c r="M1703" i="69"/>
  <c r="L1703" i="69"/>
  <c r="K1703" i="69"/>
  <c r="J1703" i="69"/>
  <c r="I1703" i="69"/>
  <c r="H1703" i="69"/>
  <c r="G1703" i="69"/>
  <c r="Q1702" i="69"/>
  <c r="P1702" i="69"/>
  <c r="N1702" i="69"/>
  <c r="M1702" i="69"/>
  <c r="L1702" i="69"/>
  <c r="K1702" i="69"/>
  <c r="J1702" i="69"/>
  <c r="I1702" i="69"/>
  <c r="H1702" i="69"/>
  <c r="G1702" i="69"/>
  <c r="Q1701" i="69"/>
  <c r="P1701" i="69"/>
  <c r="O1701" i="69"/>
  <c r="N1701" i="69"/>
  <c r="M1701" i="69"/>
  <c r="L1701" i="69"/>
  <c r="K1701" i="69"/>
  <c r="J1701" i="69"/>
  <c r="I1701" i="69"/>
  <c r="H1701" i="69"/>
  <c r="G1701" i="69"/>
  <c r="Q1700" i="69"/>
  <c r="P1700" i="69"/>
  <c r="O1700" i="69"/>
  <c r="N1700" i="69"/>
  <c r="M1700" i="69"/>
  <c r="L1700" i="69"/>
  <c r="K1700" i="69"/>
  <c r="J1700" i="69"/>
  <c r="I1700" i="69"/>
  <c r="H1700" i="69"/>
  <c r="G1700" i="69"/>
  <c r="Q1699" i="69"/>
  <c r="P1699" i="69"/>
  <c r="O1699" i="69"/>
  <c r="N1699" i="69"/>
  <c r="M1699" i="69"/>
  <c r="L1699" i="69"/>
  <c r="K1699" i="69"/>
  <c r="J1699" i="69"/>
  <c r="I1699" i="69"/>
  <c r="H1699" i="69"/>
  <c r="G1699" i="69"/>
  <c r="Q1698" i="69"/>
  <c r="P1698" i="69"/>
  <c r="O1698" i="69"/>
  <c r="N1698" i="69"/>
  <c r="M1698" i="69"/>
  <c r="L1698" i="69"/>
  <c r="K1698" i="69"/>
  <c r="J1698" i="69"/>
  <c r="I1698" i="69"/>
  <c r="H1698" i="69"/>
  <c r="G1698" i="69"/>
  <c r="Q1697" i="69"/>
  <c r="P1697" i="69"/>
  <c r="N1697" i="69"/>
  <c r="M1697" i="69"/>
  <c r="L1697" i="69"/>
  <c r="K1697" i="69"/>
  <c r="J1697" i="69"/>
  <c r="I1697" i="69"/>
  <c r="H1697" i="69"/>
  <c r="G1697" i="69"/>
  <c r="Q1696" i="69"/>
  <c r="P1696" i="69"/>
  <c r="N1696" i="69"/>
  <c r="M1696" i="69"/>
  <c r="L1696" i="69"/>
  <c r="K1696" i="69"/>
  <c r="J1696" i="69"/>
  <c r="I1696" i="69"/>
  <c r="H1696" i="69"/>
  <c r="G1696" i="69"/>
  <c r="Q1695" i="69"/>
  <c r="P1695" i="69"/>
  <c r="N1695" i="69"/>
  <c r="M1695" i="69"/>
  <c r="L1695" i="69"/>
  <c r="K1695" i="69"/>
  <c r="J1695" i="69"/>
  <c r="I1695" i="69"/>
  <c r="H1695" i="69"/>
  <c r="G1695" i="69"/>
  <c r="Q1694" i="69"/>
  <c r="P1694" i="69"/>
  <c r="O1694" i="69"/>
  <c r="N1694" i="69"/>
  <c r="M1694" i="69"/>
  <c r="L1694" i="69"/>
  <c r="K1694" i="69"/>
  <c r="J1694" i="69"/>
  <c r="I1694" i="69"/>
  <c r="H1694" i="69"/>
  <c r="G1694" i="69"/>
  <c r="Q1693" i="69"/>
  <c r="P1693" i="69"/>
  <c r="O1693" i="69"/>
  <c r="N1693" i="69"/>
  <c r="M1693" i="69"/>
  <c r="L1693" i="69"/>
  <c r="K1693" i="69"/>
  <c r="J1693" i="69"/>
  <c r="I1693" i="69"/>
  <c r="H1693" i="69"/>
  <c r="G1693" i="69"/>
  <c r="Q1692" i="69"/>
  <c r="P1692" i="69"/>
  <c r="O1692" i="69"/>
  <c r="N1692" i="69"/>
  <c r="M1692" i="69"/>
  <c r="L1692" i="69"/>
  <c r="K1692" i="69"/>
  <c r="J1692" i="69"/>
  <c r="I1692" i="69"/>
  <c r="H1692" i="69"/>
  <c r="G1692" i="69"/>
  <c r="Q1691" i="69"/>
  <c r="P1691" i="69"/>
  <c r="O1691" i="69"/>
  <c r="N1691" i="69"/>
  <c r="M1691" i="69"/>
  <c r="L1691" i="69"/>
  <c r="K1691" i="69"/>
  <c r="J1691" i="69"/>
  <c r="I1691" i="69"/>
  <c r="H1691" i="69"/>
  <c r="G1691" i="69"/>
  <c r="Q1690" i="69"/>
  <c r="P1690" i="69"/>
  <c r="O1690" i="69"/>
  <c r="N1690" i="69"/>
  <c r="M1690" i="69"/>
  <c r="L1690" i="69"/>
  <c r="K1690" i="69"/>
  <c r="J1690" i="69"/>
  <c r="I1690" i="69"/>
  <c r="H1690" i="69"/>
  <c r="G1690" i="69"/>
  <c r="Q1689" i="69"/>
  <c r="P1689" i="69"/>
  <c r="O1689" i="69"/>
  <c r="N1689" i="69"/>
  <c r="M1689" i="69"/>
  <c r="L1689" i="69"/>
  <c r="K1689" i="69"/>
  <c r="J1689" i="69"/>
  <c r="I1689" i="69"/>
  <c r="H1689" i="69"/>
  <c r="G1689" i="69"/>
  <c r="Q1688" i="69"/>
  <c r="P1688" i="69"/>
  <c r="O1688" i="69"/>
  <c r="N1688" i="69"/>
  <c r="M1688" i="69"/>
  <c r="L1688" i="69"/>
  <c r="K1688" i="69"/>
  <c r="J1688" i="69"/>
  <c r="I1688" i="69"/>
  <c r="H1688" i="69"/>
  <c r="G1688" i="69"/>
  <c r="Q1687" i="69"/>
  <c r="P1687" i="69"/>
  <c r="O1687" i="69"/>
  <c r="N1687" i="69"/>
  <c r="M1687" i="69"/>
  <c r="L1687" i="69"/>
  <c r="K1687" i="69"/>
  <c r="J1687" i="69"/>
  <c r="I1687" i="69"/>
  <c r="H1687" i="69"/>
  <c r="G1687" i="69"/>
  <c r="Q1686" i="69"/>
  <c r="P1686" i="69"/>
  <c r="O1686" i="69"/>
  <c r="N1686" i="69"/>
  <c r="M1686" i="69"/>
  <c r="L1686" i="69"/>
  <c r="K1686" i="69"/>
  <c r="J1686" i="69"/>
  <c r="I1686" i="69"/>
  <c r="H1686" i="69"/>
  <c r="G1686" i="69"/>
  <c r="Q1685" i="69"/>
  <c r="P1685" i="69"/>
  <c r="O1685" i="69"/>
  <c r="N1685" i="69"/>
  <c r="M1685" i="69"/>
  <c r="L1685" i="69"/>
  <c r="K1685" i="69"/>
  <c r="J1685" i="69"/>
  <c r="I1685" i="69"/>
  <c r="H1685" i="69"/>
  <c r="G1685" i="69"/>
  <c r="Q1684" i="69"/>
  <c r="P1684" i="69"/>
  <c r="O1684" i="69"/>
  <c r="N1684" i="69"/>
  <c r="M1684" i="69"/>
  <c r="L1684" i="69"/>
  <c r="K1684" i="69"/>
  <c r="J1684" i="69"/>
  <c r="I1684" i="69"/>
  <c r="H1684" i="69"/>
  <c r="G1684" i="69"/>
  <c r="Q1683" i="69"/>
  <c r="P1683" i="69"/>
  <c r="M1683" i="69"/>
  <c r="G1683" i="69"/>
  <c r="Q1682" i="69"/>
  <c r="P1682" i="69"/>
  <c r="M1682" i="69"/>
  <c r="G1682" i="69"/>
  <c r="Q1681" i="69"/>
  <c r="P1681" i="69"/>
  <c r="M1681" i="69"/>
  <c r="G1681" i="69"/>
  <c r="Q1680" i="69"/>
  <c r="P1680" i="69"/>
  <c r="O1680" i="69"/>
  <c r="N1680" i="69"/>
  <c r="M1680" i="69"/>
  <c r="L1680" i="69"/>
  <c r="K1680" i="69"/>
  <c r="J1680" i="69"/>
  <c r="I1680" i="69"/>
  <c r="H1680" i="69"/>
  <c r="G1680" i="69"/>
  <c r="Q1679" i="69"/>
  <c r="P1679" i="69"/>
  <c r="O1679" i="69"/>
  <c r="N1679" i="69"/>
  <c r="M1679" i="69"/>
  <c r="L1679" i="69"/>
  <c r="K1679" i="69"/>
  <c r="J1679" i="69"/>
  <c r="I1679" i="69"/>
  <c r="H1679" i="69"/>
  <c r="G1679" i="69"/>
  <c r="Q1678" i="69"/>
  <c r="P1678" i="69"/>
  <c r="O1678" i="69"/>
  <c r="N1678" i="69"/>
  <c r="M1678" i="69"/>
  <c r="L1678" i="69"/>
  <c r="K1678" i="69"/>
  <c r="J1678" i="69"/>
  <c r="I1678" i="69"/>
  <c r="H1678" i="69"/>
  <c r="G1678" i="69"/>
  <c r="Q1677" i="69"/>
  <c r="P1677" i="69"/>
  <c r="O1677" i="69"/>
  <c r="N1677" i="69"/>
  <c r="M1677" i="69"/>
  <c r="L1677" i="69"/>
  <c r="K1677" i="69"/>
  <c r="J1677" i="69"/>
  <c r="I1677" i="69"/>
  <c r="H1677" i="69"/>
  <c r="G1677" i="69"/>
  <c r="Q1676" i="69"/>
  <c r="P1676" i="69"/>
  <c r="O1676" i="69"/>
  <c r="N1676" i="69"/>
  <c r="M1676" i="69"/>
  <c r="L1676" i="69"/>
  <c r="K1676" i="69"/>
  <c r="J1676" i="69"/>
  <c r="I1676" i="69"/>
  <c r="H1676" i="69"/>
  <c r="G1676" i="69"/>
  <c r="Q1675" i="69"/>
  <c r="P1675" i="69"/>
  <c r="O1675" i="69"/>
  <c r="N1675" i="69"/>
  <c r="M1675" i="69"/>
  <c r="L1675" i="69"/>
  <c r="K1675" i="69"/>
  <c r="J1675" i="69"/>
  <c r="I1675" i="69"/>
  <c r="H1675" i="69"/>
  <c r="G1675" i="69"/>
  <c r="Q1674" i="69"/>
  <c r="P1674" i="69"/>
  <c r="O1674" i="69"/>
  <c r="N1674" i="69"/>
  <c r="M1674" i="69"/>
  <c r="L1674" i="69"/>
  <c r="K1674" i="69"/>
  <c r="J1674" i="69"/>
  <c r="I1674" i="69"/>
  <c r="H1674" i="69"/>
  <c r="G1674" i="69"/>
  <c r="Q1673" i="69"/>
  <c r="P1673" i="69"/>
  <c r="O1673" i="69"/>
  <c r="N1673" i="69"/>
  <c r="M1673" i="69"/>
  <c r="L1673" i="69"/>
  <c r="K1673" i="69"/>
  <c r="J1673" i="69"/>
  <c r="I1673" i="69"/>
  <c r="H1673" i="69"/>
  <c r="G1673" i="69"/>
  <c r="Q1672" i="69"/>
  <c r="P1672" i="69"/>
  <c r="O1672" i="69"/>
  <c r="N1672" i="69"/>
  <c r="M1672" i="69"/>
  <c r="L1672" i="69"/>
  <c r="K1672" i="69"/>
  <c r="J1672" i="69"/>
  <c r="I1672" i="69"/>
  <c r="H1672" i="69"/>
  <c r="G1672" i="69"/>
  <c r="Q1671" i="69"/>
  <c r="P1671" i="69"/>
  <c r="O1671" i="69"/>
  <c r="N1671" i="69"/>
  <c r="M1671" i="69"/>
  <c r="L1671" i="69"/>
  <c r="K1671" i="69"/>
  <c r="J1671" i="69"/>
  <c r="I1671" i="69"/>
  <c r="H1671" i="69"/>
  <c r="G1671" i="69"/>
  <c r="Q1670" i="69"/>
  <c r="P1670" i="69"/>
  <c r="O1670" i="69"/>
  <c r="N1670" i="69"/>
  <c r="M1670" i="69"/>
  <c r="L1670" i="69"/>
  <c r="K1670" i="69"/>
  <c r="J1670" i="69"/>
  <c r="I1670" i="69"/>
  <c r="H1670" i="69"/>
  <c r="G1670" i="69"/>
  <c r="Q1669" i="69"/>
  <c r="P1669" i="69"/>
  <c r="O1669" i="69"/>
  <c r="N1669" i="69"/>
  <c r="M1669" i="69"/>
  <c r="L1669" i="69"/>
  <c r="K1669" i="69"/>
  <c r="J1669" i="69"/>
  <c r="I1669" i="69"/>
  <c r="H1669" i="69"/>
  <c r="G1669" i="69"/>
  <c r="Q1668" i="69"/>
  <c r="P1668" i="69"/>
  <c r="O1668" i="69"/>
  <c r="N1668" i="69"/>
  <c r="M1668" i="69"/>
  <c r="L1668" i="69"/>
  <c r="K1668" i="69"/>
  <c r="J1668" i="69"/>
  <c r="I1668" i="69"/>
  <c r="H1668" i="69"/>
  <c r="G1668" i="69"/>
  <c r="Q1667" i="69"/>
  <c r="P1667" i="69"/>
  <c r="O1667" i="69"/>
  <c r="N1667" i="69"/>
  <c r="M1667" i="69"/>
  <c r="L1667" i="69"/>
  <c r="K1667" i="69"/>
  <c r="J1667" i="69"/>
  <c r="I1667" i="69"/>
  <c r="H1667" i="69"/>
  <c r="G1667" i="69"/>
  <c r="Q1666" i="69"/>
  <c r="P1666" i="69"/>
  <c r="O1666" i="69"/>
  <c r="N1666" i="69"/>
  <c r="M1666" i="69"/>
  <c r="L1666" i="69"/>
  <c r="K1666" i="69"/>
  <c r="J1666" i="69"/>
  <c r="I1666" i="69"/>
  <c r="H1666" i="69"/>
  <c r="G1666" i="69"/>
  <c r="Q1665" i="69"/>
  <c r="P1665" i="69"/>
  <c r="O1665" i="69"/>
  <c r="N1665" i="69"/>
  <c r="M1665" i="69"/>
  <c r="L1665" i="69"/>
  <c r="K1665" i="69"/>
  <c r="J1665" i="69"/>
  <c r="I1665" i="69"/>
  <c r="H1665" i="69"/>
  <c r="G1665" i="69"/>
  <c r="Q1664" i="69"/>
  <c r="P1664" i="69"/>
  <c r="O1664" i="69"/>
  <c r="N1664" i="69"/>
  <c r="M1664" i="69"/>
  <c r="L1664" i="69"/>
  <c r="K1664" i="69"/>
  <c r="J1664" i="69"/>
  <c r="I1664" i="69"/>
  <c r="H1664" i="69"/>
  <c r="G1664" i="69"/>
  <c r="Q1663" i="69"/>
  <c r="P1663" i="69"/>
  <c r="O1663" i="69"/>
  <c r="N1663" i="69"/>
  <c r="M1663" i="69"/>
  <c r="L1663" i="69"/>
  <c r="K1663" i="69"/>
  <c r="J1663" i="69"/>
  <c r="I1663" i="69"/>
  <c r="H1663" i="69"/>
  <c r="G1663" i="69"/>
  <c r="Q1662" i="69"/>
  <c r="P1662" i="69"/>
  <c r="O1662" i="69"/>
  <c r="N1662" i="69"/>
  <c r="M1662" i="69"/>
  <c r="L1662" i="69"/>
  <c r="K1662" i="69"/>
  <c r="J1662" i="69"/>
  <c r="I1662" i="69"/>
  <c r="H1662" i="69"/>
  <c r="G1662" i="69"/>
  <c r="Q1661" i="69"/>
  <c r="P1661" i="69"/>
  <c r="O1661" i="69"/>
  <c r="N1661" i="69"/>
  <c r="M1661" i="69"/>
  <c r="L1661" i="69"/>
  <c r="K1661" i="69"/>
  <c r="J1661" i="69"/>
  <c r="I1661" i="69"/>
  <c r="H1661" i="69"/>
  <c r="G1661" i="69"/>
  <c r="Q1660" i="69"/>
  <c r="P1660" i="69"/>
  <c r="O1660" i="69"/>
  <c r="N1660" i="69"/>
  <c r="M1660" i="69"/>
  <c r="K1660" i="69"/>
  <c r="J1660" i="69"/>
  <c r="I1660" i="69"/>
  <c r="H1660" i="69"/>
  <c r="G1660" i="69"/>
  <c r="Q1659" i="69"/>
  <c r="P1659" i="69"/>
  <c r="O1659" i="69"/>
  <c r="N1659" i="69"/>
  <c r="M1659" i="69"/>
  <c r="K1659" i="69"/>
  <c r="J1659" i="69"/>
  <c r="I1659" i="69"/>
  <c r="H1659" i="69"/>
  <c r="G1659" i="69"/>
  <c r="Q1658" i="69"/>
  <c r="P1658" i="69"/>
  <c r="O1658" i="69"/>
  <c r="N1658" i="69"/>
  <c r="M1658" i="69"/>
  <c r="K1658" i="69"/>
  <c r="J1658" i="69"/>
  <c r="I1658" i="69"/>
  <c r="H1658" i="69"/>
  <c r="G1658" i="69"/>
  <c r="Q1657" i="69"/>
  <c r="P1657" i="69"/>
  <c r="O1657" i="69"/>
  <c r="N1657" i="69"/>
  <c r="M1657" i="69"/>
  <c r="K1657" i="69"/>
  <c r="J1657" i="69"/>
  <c r="I1657" i="69"/>
  <c r="H1657" i="69"/>
  <c r="G1657" i="69"/>
  <c r="Q1656" i="69"/>
  <c r="P1656" i="69"/>
  <c r="O1656" i="69"/>
  <c r="N1656" i="69"/>
  <c r="M1656" i="69"/>
  <c r="L1656" i="69"/>
  <c r="K1656" i="69"/>
  <c r="J1656" i="69"/>
  <c r="I1656" i="69"/>
  <c r="H1656" i="69"/>
  <c r="G1656" i="69"/>
  <c r="Q1655" i="69"/>
  <c r="P1655" i="69"/>
  <c r="O1655" i="69"/>
  <c r="N1655" i="69"/>
  <c r="M1655" i="69"/>
  <c r="L1655" i="69"/>
  <c r="K1655" i="69"/>
  <c r="J1655" i="69"/>
  <c r="I1655" i="69"/>
  <c r="H1655" i="69"/>
  <c r="G1655" i="69"/>
  <c r="Q1654" i="69"/>
  <c r="P1654" i="69"/>
  <c r="O1654" i="69"/>
  <c r="N1654" i="69"/>
  <c r="M1654" i="69"/>
  <c r="L1654" i="69"/>
  <c r="K1654" i="69"/>
  <c r="J1654" i="69"/>
  <c r="I1654" i="69"/>
  <c r="H1654" i="69"/>
  <c r="G1654" i="69"/>
  <c r="Q1653" i="69"/>
  <c r="P1653" i="69"/>
  <c r="O1653" i="69"/>
  <c r="N1653" i="69"/>
  <c r="M1653" i="69"/>
  <c r="L1653" i="69"/>
  <c r="K1653" i="69"/>
  <c r="J1653" i="69"/>
  <c r="I1653" i="69"/>
  <c r="H1653" i="69"/>
  <c r="G1653" i="69"/>
  <c r="Q1652" i="69"/>
  <c r="P1652" i="69"/>
  <c r="N1652" i="69"/>
  <c r="M1652" i="69"/>
  <c r="L1652" i="69"/>
  <c r="K1652" i="69"/>
  <c r="J1652" i="69"/>
  <c r="I1652" i="69"/>
  <c r="H1652" i="69"/>
  <c r="G1652" i="69"/>
  <c r="Q1651" i="69"/>
  <c r="P1651" i="69"/>
  <c r="N1651" i="69"/>
  <c r="M1651" i="69"/>
  <c r="L1651" i="69"/>
  <c r="K1651" i="69"/>
  <c r="J1651" i="69"/>
  <c r="I1651" i="69"/>
  <c r="H1651" i="69"/>
  <c r="G1651" i="69"/>
  <c r="Q1650" i="69"/>
  <c r="P1650" i="69"/>
  <c r="N1650" i="69"/>
  <c r="M1650" i="69"/>
  <c r="L1650" i="69"/>
  <c r="K1650" i="69"/>
  <c r="J1650" i="69"/>
  <c r="I1650" i="69"/>
  <c r="H1650" i="69"/>
  <c r="G1650" i="69"/>
  <c r="Q1649" i="69"/>
  <c r="P1649" i="69"/>
  <c r="O1649" i="69"/>
  <c r="N1649" i="69"/>
  <c r="M1649" i="69"/>
  <c r="L1649" i="69"/>
  <c r="K1649" i="69"/>
  <c r="J1649" i="69"/>
  <c r="I1649" i="69"/>
  <c r="H1649" i="69"/>
  <c r="G1649" i="69"/>
  <c r="Q1648" i="69"/>
  <c r="P1648" i="69"/>
  <c r="O1648" i="69"/>
  <c r="N1648" i="69"/>
  <c r="M1648" i="69"/>
  <c r="L1648" i="69"/>
  <c r="K1648" i="69"/>
  <c r="J1648" i="69"/>
  <c r="I1648" i="69"/>
  <c r="H1648" i="69"/>
  <c r="G1648" i="69"/>
  <c r="Q1647" i="69"/>
  <c r="P1647" i="69"/>
  <c r="O1647" i="69"/>
  <c r="N1647" i="69"/>
  <c r="M1647" i="69"/>
  <c r="L1647" i="69"/>
  <c r="K1647" i="69"/>
  <c r="J1647" i="69"/>
  <c r="I1647" i="69"/>
  <c r="H1647" i="69"/>
  <c r="G1647" i="69"/>
  <c r="Q1646" i="69"/>
  <c r="P1646" i="69"/>
  <c r="O1646" i="69"/>
  <c r="N1646" i="69"/>
  <c r="M1646" i="69"/>
  <c r="L1646" i="69"/>
  <c r="K1646" i="69"/>
  <c r="J1646" i="69"/>
  <c r="I1646" i="69"/>
  <c r="H1646" i="69"/>
  <c r="G1646" i="69"/>
  <c r="Q1645" i="69"/>
  <c r="P1645" i="69"/>
  <c r="N1645" i="69"/>
  <c r="M1645" i="69"/>
  <c r="L1645" i="69"/>
  <c r="K1645" i="69"/>
  <c r="J1645" i="69"/>
  <c r="I1645" i="69"/>
  <c r="H1645" i="69"/>
  <c r="G1645" i="69"/>
  <c r="Q1644" i="69"/>
  <c r="P1644" i="69"/>
  <c r="N1644" i="69"/>
  <c r="M1644" i="69"/>
  <c r="L1644" i="69"/>
  <c r="K1644" i="69"/>
  <c r="J1644" i="69"/>
  <c r="I1644" i="69"/>
  <c r="H1644" i="69"/>
  <c r="G1644" i="69"/>
  <c r="Q1643" i="69"/>
  <c r="P1643" i="69"/>
  <c r="N1643" i="69"/>
  <c r="M1643" i="69"/>
  <c r="L1643" i="69"/>
  <c r="K1643" i="69"/>
  <c r="J1643" i="69"/>
  <c r="I1643" i="69"/>
  <c r="H1643" i="69"/>
  <c r="G1643" i="69"/>
  <c r="Q1642" i="69"/>
  <c r="P1642" i="69"/>
  <c r="O1642" i="69"/>
  <c r="N1642" i="69"/>
  <c r="M1642" i="69"/>
  <c r="L1642" i="69"/>
  <c r="K1642" i="69"/>
  <c r="J1642" i="69"/>
  <c r="I1642" i="69"/>
  <c r="H1642" i="69"/>
  <c r="G1642" i="69"/>
  <c r="Q1641" i="69"/>
  <c r="P1641" i="69"/>
  <c r="O1641" i="69"/>
  <c r="N1641" i="69"/>
  <c r="M1641" i="69"/>
  <c r="L1641" i="69"/>
  <c r="K1641" i="69"/>
  <c r="J1641" i="69"/>
  <c r="I1641" i="69"/>
  <c r="H1641" i="69"/>
  <c r="G1641" i="69"/>
  <c r="Q1640" i="69"/>
  <c r="P1640" i="69"/>
  <c r="O1640" i="69"/>
  <c r="N1640" i="69"/>
  <c r="M1640" i="69"/>
  <c r="L1640" i="69"/>
  <c r="K1640" i="69"/>
  <c r="J1640" i="69"/>
  <c r="I1640" i="69"/>
  <c r="H1640" i="69"/>
  <c r="G1640" i="69"/>
  <c r="Q1639" i="69"/>
  <c r="P1639" i="69"/>
  <c r="O1639" i="69"/>
  <c r="N1639" i="69"/>
  <c r="M1639" i="69"/>
  <c r="L1639" i="69"/>
  <c r="K1639" i="69"/>
  <c r="J1639" i="69"/>
  <c r="I1639" i="69"/>
  <c r="H1639" i="69"/>
  <c r="G1639" i="69"/>
  <c r="Q1638" i="69"/>
  <c r="P1638" i="69"/>
  <c r="N1638" i="69"/>
  <c r="M1638" i="69"/>
  <c r="L1638" i="69"/>
  <c r="K1638" i="69"/>
  <c r="J1638" i="69"/>
  <c r="I1638" i="69"/>
  <c r="H1638" i="69"/>
  <c r="G1638" i="69"/>
  <c r="Q1637" i="69"/>
  <c r="P1637" i="69"/>
  <c r="N1637" i="69"/>
  <c r="M1637" i="69"/>
  <c r="L1637" i="69"/>
  <c r="K1637" i="69"/>
  <c r="J1637" i="69"/>
  <c r="I1637" i="69"/>
  <c r="H1637" i="69"/>
  <c r="G1637" i="69"/>
  <c r="Q1636" i="69"/>
  <c r="P1636" i="69"/>
  <c r="N1636" i="69"/>
  <c r="M1636" i="69"/>
  <c r="L1636" i="69"/>
  <c r="K1636" i="69"/>
  <c r="J1636" i="69"/>
  <c r="I1636" i="69"/>
  <c r="H1636" i="69"/>
  <c r="G1636" i="69"/>
  <c r="Q1635" i="69"/>
  <c r="P1635" i="69"/>
  <c r="O1635" i="69"/>
  <c r="N1635" i="69"/>
  <c r="M1635" i="69"/>
  <c r="L1635" i="69"/>
  <c r="K1635" i="69"/>
  <c r="J1635" i="69"/>
  <c r="I1635" i="69"/>
  <c r="H1635" i="69"/>
  <c r="G1635" i="69"/>
  <c r="Q1634" i="69"/>
  <c r="P1634" i="69"/>
  <c r="O1634" i="69"/>
  <c r="N1634" i="69"/>
  <c r="M1634" i="69"/>
  <c r="L1634" i="69"/>
  <c r="K1634" i="69"/>
  <c r="J1634" i="69"/>
  <c r="I1634" i="69"/>
  <c r="H1634" i="69"/>
  <c r="G1634" i="69"/>
  <c r="Q1633" i="69"/>
  <c r="P1633" i="69"/>
  <c r="O1633" i="69"/>
  <c r="N1633" i="69"/>
  <c r="M1633" i="69"/>
  <c r="L1633" i="69"/>
  <c r="K1633" i="69"/>
  <c r="J1633" i="69"/>
  <c r="I1633" i="69"/>
  <c r="H1633" i="69"/>
  <c r="G1633" i="69"/>
  <c r="Q1632" i="69"/>
  <c r="P1632" i="69"/>
  <c r="O1632" i="69"/>
  <c r="N1632" i="69"/>
  <c r="M1632" i="69"/>
  <c r="L1632" i="69"/>
  <c r="K1632" i="69"/>
  <c r="J1632" i="69"/>
  <c r="I1632" i="69"/>
  <c r="H1632" i="69"/>
  <c r="G1632" i="69"/>
  <c r="Q1631" i="69"/>
  <c r="P1631" i="69"/>
  <c r="N1631" i="69"/>
  <c r="M1631" i="69"/>
  <c r="L1631" i="69"/>
  <c r="K1631" i="69"/>
  <c r="J1631" i="69"/>
  <c r="I1631" i="69"/>
  <c r="H1631" i="69"/>
  <c r="G1631" i="69"/>
  <c r="Q1630" i="69"/>
  <c r="P1630" i="69"/>
  <c r="N1630" i="69"/>
  <c r="M1630" i="69"/>
  <c r="L1630" i="69"/>
  <c r="K1630" i="69"/>
  <c r="J1630" i="69"/>
  <c r="I1630" i="69"/>
  <c r="H1630" i="69"/>
  <c r="G1630" i="69"/>
  <c r="Q1629" i="69"/>
  <c r="P1629" i="69"/>
  <c r="N1629" i="69"/>
  <c r="M1629" i="69"/>
  <c r="L1629" i="69"/>
  <c r="K1629" i="69"/>
  <c r="J1629" i="69"/>
  <c r="I1629" i="69"/>
  <c r="H1629" i="69"/>
  <c r="G1629" i="69"/>
  <c r="Q1628" i="69"/>
  <c r="P1628" i="69"/>
  <c r="O1628" i="69"/>
  <c r="N1628" i="69"/>
  <c r="M1628" i="69"/>
  <c r="L1628" i="69"/>
  <c r="K1628" i="69"/>
  <c r="J1628" i="69"/>
  <c r="I1628" i="69"/>
  <c r="H1628" i="69"/>
  <c r="G1628" i="69"/>
  <c r="Q1627" i="69"/>
  <c r="P1627" i="69"/>
  <c r="O1627" i="69"/>
  <c r="N1627" i="69"/>
  <c r="M1627" i="69"/>
  <c r="L1627" i="69"/>
  <c r="K1627" i="69"/>
  <c r="J1627" i="69"/>
  <c r="I1627" i="69"/>
  <c r="H1627" i="69"/>
  <c r="G1627" i="69"/>
  <c r="Q1626" i="69"/>
  <c r="P1626" i="69"/>
  <c r="O1626" i="69"/>
  <c r="N1626" i="69"/>
  <c r="M1626" i="69"/>
  <c r="L1626" i="69"/>
  <c r="K1626" i="69"/>
  <c r="J1626" i="69"/>
  <c r="I1626" i="69"/>
  <c r="H1626" i="69"/>
  <c r="G1626" i="69"/>
  <c r="Q1625" i="69"/>
  <c r="P1625" i="69"/>
  <c r="O1625" i="69"/>
  <c r="N1625" i="69"/>
  <c r="M1625" i="69"/>
  <c r="L1625" i="69"/>
  <c r="K1625" i="69"/>
  <c r="J1625" i="69"/>
  <c r="I1625" i="69"/>
  <c r="H1625" i="69"/>
  <c r="G1625" i="69"/>
  <c r="Q1624" i="69"/>
  <c r="P1624" i="69"/>
  <c r="N1624" i="69"/>
  <c r="M1624" i="69"/>
  <c r="L1624" i="69"/>
  <c r="K1624" i="69"/>
  <c r="J1624" i="69"/>
  <c r="I1624" i="69"/>
  <c r="H1624" i="69"/>
  <c r="G1624" i="69"/>
  <c r="Q1623" i="69"/>
  <c r="P1623" i="69"/>
  <c r="N1623" i="69"/>
  <c r="M1623" i="69"/>
  <c r="L1623" i="69"/>
  <c r="K1623" i="69"/>
  <c r="J1623" i="69"/>
  <c r="I1623" i="69"/>
  <c r="H1623" i="69"/>
  <c r="G1623" i="69"/>
  <c r="Q1622" i="69"/>
  <c r="P1622" i="69"/>
  <c r="N1622" i="69"/>
  <c r="M1622" i="69"/>
  <c r="L1622" i="69"/>
  <c r="K1622" i="69"/>
  <c r="J1622" i="69"/>
  <c r="I1622" i="69"/>
  <c r="H1622" i="69"/>
  <c r="G1622" i="69"/>
  <c r="Q1621" i="69"/>
  <c r="P1621" i="69"/>
  <c r="O1621" i="69"/>
  <c r="N1621" i="69"/>
  <c r="M1621" i="69"/>
  <c r="L1621" i="69"/>
  <c r="K1621" i="69"/>
  <c r="J1621" i="69"/>
  <c r="I1621" i="69"/>
  <c r="H1621" i="69"/>
  <c r="G1621" i="69"/>
  <c r="Q1620" i="69"/>
  <c r="P1620" i="69"/>
  <c r="O1620" i="69"/>
  <c r="N1620" i="69"/>
  <c r="M1620" i="69"/>
  <c r="L1620" i="69"/>
  <c r="K1620" i="69"/>
  <c r="J1620" i="69"/>
  <c r="I1620" i="69"/>
  <c r="H1620" i="69"/>
  <c r="G1620" i="69"/>
  <c r="Q1619" i="69"/>
  <c r="P1619" i="69"/>
  <c r="O1619" i="69"/>
  <c r="N1619" i="69"/>
  <c r="M1619" i="69"/>
  <c r="L1619" i="69"/>
  <c r="K1619" i="69"/>
  <c r="J1619" i="69"/>
  <c r="I1619" i="69"/>
  <c r="H1619" i="69"/>
  <c r="G1619" i="69"/>
  <c r="Q1618" i="69"/>
  <c r="P1618" i="69"/>
  <c r="O1618" i="69"/>
  <c r="N1618" i="69"/>
  <c r="M1618" i="69"/>
  <c r="L1618" i="69"/>
  <c r="K1618" i="69"/>
  <c r="J1618" i="69"/>
  <c r="I1618" i="69"/>
  <c r="H1618" i="69"/>
  <c r="G1618" i="69"/>
  <c r="Q1617" i="69"/>
  <c r="P1617" i="69"/>
  <c r="O1617" i="69"/>
  <c r="N1617" i="69"/>
  <c r="M1617" i="69"/>
  <c r="L1617" i="69"/>
  <c r="K1617" i="69"/>
  <c r="J1617" i="69"/>
  <c r="I1617" i="69"/>
  <c r="H1617" i="69"/>
  <c r="G1617" i="69"/>
  <c r="Q1616" i="69"/>
  <c r="P1616" i="69"/>
  <c r="O1616" i="69"/>
  <c r="N1616" i="69"/>
  <c r="M1616" i="69"/>
  <c r="L1616" i="69"/>
  <c r="K1616" i="69"/>
  <c r="J1616" i="69"/>
  <c r="I1616" i="69"/>
  <c r="H1616" i="69"/>
  <c r="G1616" i="69"/>
  <c r="Q1615" i="69"/>
  <c r="P1615" i="69"/>
  <c r="O1615" i="69"/>
  <c r="N1615" i="69"/>
  <c r="M1615" i="69"/>
  <c r="L1615" i="69"/>
  <c r="K1615" i="69"/>
  <c r="J1615" i="69"/>
  <c r="I1615" i="69"/>
  <c r="H1615" i="69"/>
  <c r="G1615" i="69"/>
  <c r="Q1614" i="69"/>
  <c r="P1614" i="69"/>
  <c r="O1614" i="69"/>
  <c r="N1614" i="69"/>
  <c r="M1614" i="69"/>
  <c r="L1614" i="69"/>
  <c r="K1614" i="69"/>
  <c r="J1614" i="69"/>
  <c r="I1614" i="69"/>
  <c r="H1614" i="69"/>
  <c r="G1614" i="69"/>
  <c r="Q1613" i="69"/>
  <c r="P1613" i="69"/>
  <c r="O1613" i="69"/>
  <c r="N1613" i="69"/>
  <c r="M1613" i="69"/>
  <c r="L1613" i="69"/>
  <c r="K1613" i="69"/>
  <c r="J1613" i="69"/>
  <c r="I1613" i="69"/>
  <c r="H1613" i="69"/>
  <c r="G1613" i="69"/>
  <c r="Q1612" i="69"/>
  <c r="P1612" i="69"/>
  <c r="O1612" i="69"/>
  <c r="N1612" i="69"/>
  <c r="M1612" i="69"/>
  <c r="L1612" i="69"/>
  <c r="K1612" i="69"/>
  <c r="J1612" i="69"/>
  <c r="I1612" i="69"/>
  <c r="H1612" i="69"/>
  <c r="G1612" i="69"/>
  <c r="Q1611" i="69"/>
  <c r="P1611" i="69"/>
  <c r="O1611" i="69"/>
  <c r="N1611" i="69"/>
  <c r="M1611" i="69"/>
  <c r="L1611" i="69"/>
  <c r="K1611" i="69"/>
  <c r="J1611" i="69"/>
  <c r="I1611" i="69"/>
  <c r="H1611" i="69"/>
  <c r="G1611" i="69"/>
  <c r="Q1610" i="69"/>
  <c r="P1610" i="69"/>
  <c r="O1610" i="69"/>
  <c r="N1610" i="69"/>
  <c r="M1610" i="69"/>
  <c r="L1610" i="69"/>
  <c r="K1610" i="69"/>
  <c r="J1610" i="69"/>
  <c r="I1610" i="69"/>
  <c r="H1610" i="69"/>
  <c r="G1610" i="69"/>
  <c r="Q1609" i="69"/>
  <c r="P1609" i="69"/>
  <c r="O1609" i="69"/>
  <c r="N1609" i="69"/>
  <c r="M1609" i="69"/>
  <c r="L1609" i="69"/>
  <c r="K1609" i="69"/>
  <c r="J1609" i="69"/>
  <c r="I1609" i="69"/>
  <c r="H1609" i="69"/>
  <c r="G1609" i="69"/>
  <c r="Q1608" i="69"/>
  <c r="P1608" i="69"/>
  <c r="O1608" i="69"/>
  <c r="N1608" i="69"/>
  <c r="M1608" i="69"/>
  <c r="L1608" i="69"/>
  <c r="K1608" i="69"/>
  <c r="J1608" i="69"/>
  <c r="I1608" i="69"/>
  <c r="H1608" i="69"/>
  <c r="G1608" i="69"/>
  <c r="Q1607" i="69"/>
  <c r="P1607" i="69"/>
  <c r="O1607" i="69"/>
  <c r="N1607" i="69"/>
  <c r="M1607" i="69"/>
  <c r="L1607" i="69"/>
  <c r="K1607" i="69"/>
  <c r="J1607" i="69"/>
  <c r="I1607" i="69"/>
  <c r="H1607" i="69"/>
  <c r="G1607" i="69"/>
  <c r="Q1606" i="69"/>
  <c r="P1606" i="69"/>
  <c r="O1606" i="69"/>
  <c r="N1606" i="69"/>
  <c r="M1606" i="69"/>
  <c r="L1606" i="69"/>
  <c r="K1606" i="69"/>
  <c r="J1606" i="69"/>
  <c r="I1606" i="69"/>
  <c r="H1606" i="69"/>
  <c r="G1606" i="69"/>
  <c r="Q1605" i="69"/>
  <c r="P1605" i="69"/>
  <c r="O1605" i="69"/>
  <c r="N1605" i="69"/>
  <c r="M1605" i="69"/>
  <c r="L1605" i="69"/>
  <c r="K1605" i="69"/>
  <c r="J1605" i="69"/>
  <c r="I1605" i="69"/>
  <c r="H1605" i="69"/>
  <c r="G1605" i="69"/>
  <c r="Q1604" i="69"/>
  <c r="P1604" i="69"/>
  <c r="O1604" i="69"/>
  <c r="N1604" i="69"/>
  <c r="M1604" i="69"/>
  <c r="L1604" i="69"/>
  <c r="K1604" i="69"/>
  <c r="J1604" i="69"/>
  <c r="I1604" i="69"/>
  <c r="H1604" i="69"/>
  <c r="G1604" i="69"/>
  <c r="Q1603" i="69"/>
  <c r="P1603" i="69"/>
  <c r="O1603" i="69"/>
  <c r="N1603" i="69"/>
  <c r="M1603" i="69"/>
  <c r="L1603" i="69"/>
  <c r="K1603" i="69"/>
  <c r="J1603" i="69"/>
  <c r="I1603" i="69"/>
  <c r="H1603" i="69"/>
  <c r="G1603" i="69"/>
  <c r="Q1602" i="69"/>
  <c r="P1602" i="69"/>
  <c r="O1602" i="69"/>
  <c r="N1602" i="69"/>
  <c r="M1602" i="69"/>
  <c r="L1602" i="69"/>
  <c r="K1602" i="69"/>
  <c r="J1602" i="69"/>
  <c r="I1602" i="69"/>
  <c r="H1602" i="69"/>
  <c r="G1602" i="69"/>
  <c r="Q1601" i="69"/>
  <c r="P1601" i="69"/>
  <c r="O1601" i="69"/>
  <c r="N1601" i="69"/>
  <c r="M1601" i="69"/>
  <c r="L1601" i="69"/>
  <c r="K1601" i="69"/>
  <c r="J1601" i="69"/>
  <c r="I1601" i="69"/>
  <c r="H1601" i="69"/>
  <c r="G1601" i="69"/>
  <c r="Q1600" i="69"/>
  <c r="P1600" i="69"/>
  <c r="O1600" i="69"/>
  <c r="N1600" i="69"/>
  <c r="M1600" i="69"/>
  <c r="L1600" i="69"/>
  <c r="K1600" i="69"/>
  <c r="J1600" i="69"/>
  <c r="I1600" i="69"/>
  <c r="H1600" i="69"/>
  <c r="G1600" i="69"/>
  <c r="Q1599" i="69"/>
  <c r="P1599" i="69"/>
  <c r="O1599" i="69"/>
  <c r="N1599" i="69"/>
  <c r="M1599" i="69"/>
  <c r="L1599" i="69"/>
  <c r="K1599" i="69"/>
  <c r="J1599" i="69"/>
  <c r="I1599" i="69"/>
  <c r="H1599" i="69"/>
  <c r="G1599" i="69"/>
  <c r="Q1598" i="69"/>
  <c r="P1598" i="69"/>
  <c r="O1598" i="69"/>
  <c r="N1598" i="69"/>
  <c r="M1598" i="69"/>
  <c r="L1598" i="69"/>
  <c r="K1598" i="69"/>
  <c r="J1598" i="69"/>
  <c r="I1598" i="69"/>
  <c r="H1598" i="69"/>
  <c r="G1598" i="69"/>
  <c r="Q1597" i="69"/>
  <c r="P1597" i="69"/>
  <c r="O1597" i="69"/>
  <c r="N1597" i="69"/>
  <c r="M1597" i="69"/>
  <c r="L1597" i="69"/>
  <c r="K1597" i="69"/>
  <c r="J1597" i="69"/>
  <c r="I1597" i="69"/>
  <c r="H1597" i="69"/>
  <c r="G1597" i="69"/>
  <c r="Q1596" i="69"/>
  <c r="P1596" i="69"/>
  <c r="O1596" i="69"/>
  <c r="N1596" i="69"/>
  <c r="M1596" i="69"/>
  <c r="L1596" i="69"/>
  <c r="K1596" i="69"/>
  <c r="J1596" i="69"/>
  <c r="I1596" i="69"/>
  <c r="H1596" i="69"/>
  <c r="G1596" i="69"/>
  <c r="Q1595" i="69"/>
  <c r="P1595" i="69"/>
  <c r="O1595" i="69"/>
  <c r="N1595" i="69"/>
  <c r="M1595" i="69"/>
  <c r="L1595" i="69"/>
  <c r="K1595" i="69"/>
  <c r="J1595" i="69"/>
  <c r="I1595" i="69"/>
  <c r="H1595" i="69"/>
  <c r="G1595" i="69"/>
  <c r="Q1594" i="69"/>
  <c r="P1594" i="69"/>
  <c r="O1594" i="69"/>
  <c r="N1594" i="69"/>
  <c r="M1594" i="69"/>
  <c r="L1594" i="69"/>
  <c r="K1594" i="69"/>
  <c r="J1594" i="69"/>
  <c r="I1594" i="69"/>
  <c r="H1594" i="69"/>
  <c r="G1594" i="69"/>
  <c r="Q1593" i="69"/>
  <c r="P1593" i="69"/>
  <c r="O1593" i="69"/>
  <c r="N1593" i="69"/>
  <c r="M1593" i="69"/>
  <c r="L1593" i="69"/>
  <c r="K1593" i="69"/>
  <c r="J1593" i="69"/>
  <c r="I1593" i="69"/>
  <c r="H1593" i="69"/>
  <c r="G1593" i="69"/>
  <c r="Q1592" i="69"/>
  <c r="P1592" i="69"/>
  <c r="O1592" i="69"/>
  <c r="N1592" i="69"/>
  <c r="M1592" i="69"/>
  <c r="L1592" i="69"/>
  <c r="K1592" i="69"/>
  <c r="J1592" i="69"/>
  <c r="I1592" i="69"/>
  <c r="H1592" i="69"/>
  <c r="G1592" i="69"/>
  <c r="Q1591" i="69"/>
  <c r="P1591" i="69"/>
  <c r="O1591" i="69"/>
  <c r="N1591" i="69"/>
  <c r="M1591" i="69"/>
  <c r="L1591" i="69"/>
  <c r="K1591" i="69"/>
  <c r="J1591" i="69"/>
  <c r="I1591" i="69"/>
  <c r="H1591" i="69"/>
  <c r="G1591" i="69"/>
  <c r="Q1590" i="69"/>
  <c r="P1590" i="69"/>
  <c r="O1590" i="69"/>
  <c r="N1590" i="69"/>
  <c r="M1590" i="69"/>
  <c r="L1590" i="69"/>
  <c r="K1590" i="69"/>
  <c r="J1590" i="69"/>
  <c r="I1590" i="69"/>
  <c r="H1590" i="69"/>
  <c r="G1590" i="69"/>
  <c r="Q1589" i="69"/>
  <c r="P1589" i="69"/>
  <c r="O1589" i="69"/>
  <c r="N1589" i="69"/>
  <c r="M1589" i="69"/>
  <c r="L1589" i="69"/>
  <c r="K1589" i="69"/>
  <c r="J1589" i="69"/>
  <c r="I1589" i="69"/>
  <c r="H1589" i="69"/>
  <c r="G1589" i="69"/>
  <c r="Q1588" i="69"/>
  <c r="P1588" i="69"/>
  <c r="O1588" i="69"/>
  <c r="N1588" i="69"/>
  <c r="M1588" i="69"/>
  <c r="L1588" i="69"/>
  <c r="K1588" i="69"/>
  <c r="J1588" i="69"/>
  <c r="I1588" i="69"/>
  <c r="H1588" i="69"/>
  <c r="G1588" i="69"/>
  <c r="Q1587" i="69"/>
  <c r="P1587" i="69"/>
  <c r="O1587" i="69"/>
  <c r="N1587" i="69"/>
  <c r="M1587" i="69"/>
  <c r="L1587" i="69"/>
  <c r="K1587" i="69"/>
  <c r="J1587" i="69"/>
  <c r="I1587" i="69"/>
  <c r="H1587" i="69"/>
  <c r="G1587" i="69"/>
  <c r="Q1586" i="69"/>
  <c r="P1586" i="69"/>
  <c r="O1586" i="69"/>
  <c r="N1586" i="69"/>
  <c r="M1586" i="69"/>
  <c r="L1586" i="69"/>
  <c r="K1586" i="69"/>
  <c r="J1586" i="69"/>
  <c r="I1586" i="69"/>
  <c r="H1586" i="69"/>
  <c r="G1586" i="69"/>
  <c r="Q1585" i="69"/>
  <c r="P1585" i="69"/>
  <c r="O1585" i="69"/>
  <c r="N1585" i="69"/>
  <c r="M1585" i="69"/>
  <c r="L1585" i="69"/>
  <c r="K1585" i="69"/>
  <c r="J1585" i="69"/>
  <c r="I1585" i="69"/>
  <c r="H1585" i="69"/>
  <c r="G1585" i="69"/>
  <c r="Q1584" i="69"/>
  <c r="P1584" i="69"/>
  <c r="O1584" i="69"/>
  <c r="N1584" i="69"/>
  <c r="M1584" i="69"/>
  <c r="L1584" i="69"/>
  <c r="K1584" i="69"/>
  <c r="J1584" i="69"/>
  <c r="I1584" i="69"/>
  <c r="H1584" i="69"/>
  <c r="G1584" i="69"/>
  <c r="Q1583" i="69"/>
  <c r="P1583" i="69"/>
  <c r="O1583" i="69"/>
  <c r="N1583" i="69"/>
  <c r="M1583" i="69"/>
  <c r="L1583" i="69"/>
  <c r="K1583" i="69"/>
  <c r="J1583" i="69"/>
  <c r="I1583" i="69"/>
  <c r="H1583" i="69"/>
  <c r="G1583" i="69"/>
  <c r="Q1582" i="69"/>
  <c r="P1582" i="69"/>
  <c r="O1582" i="69"/>
  <c r="N1582" i="69"/>
  <c r="M1582" i="69"/>
  <c r="L1582" i="69"/>
  <c r="K1582" i="69"/>
  <c r="J1582" i="69"/>
  <c r="I1582" i="69"/>
  <c r="H1582" i="69"/>
  <c r="G1582" i="69"/>
  <c r="Q1581" i="69"/>
  <c r="P1581" i="69"/>
  <c r="O1581" i="69"/>
  <c r="N1581" i="69"/>
  <c r="M1581" i="69"/>
  <c r="L1581" i="69"/>
  <c r="K1581" i="69"/>
  <c r="J1581" i="69"/>
  <c r="I1581" i="69"/>
  <c r="H1581" i="69"/>
  <c r="G1581" i="69"/>
  <c r="Q1580" i="69"/>
  <c r="P1580" i="69"/>
  <c r="O1580" i="69"/>
  <c r="N1580" i="69"/>
  <c r="M1580" i="69"/>
  <c r="L1580" i="69"/>
  <c r="K1580" i="69"/>
  <c r="J1580" i="69"/>
  <c r="I1580" i="69"/>
  <c r="H1580" i="69"/>
  <c r="G1580" i="69"/>
  <c r="Q1579" i="69"/>
  <c r="P1579" i="69"/>
  <c r="O1579" i="69"/>
  <c r="N1579" i="69"/>
  <c r="M1579" i="69"/>
  <c r="L1579" i="69"/>
  <c r="K1579" i="69"/>
  <c r="J1579" i="69"/>
  <c r="I1579" i="69"/>
  <c r="H1579" i="69"/>
  <c r="G1579" i="69"/>
  <c r="Q1578" i="69"/>
  <c r="P1578" i="69"/>
  <c r="O1578" i="69"/>
  <c r="N1578" i="69"/>
  <c r="M1578" i="69"/>
  <c r="L1578" i="69"/>
  <c r="K1578" i="69"/>
  <c r="J1578" i="69"/>
  <c r="I1578" i="69"/>
  <c r="H1578" i="69"/>
  <c r="G1578" i="69"/>
  <c r="Q1577" i="69"/>
  <c r="P1577" i="69"/>
  <c r="O1577" i="69"/>
  <c r="N1577" i="69"/>
  <c r="M1577" i="69"/>
  <c r="L1577" i="69"/>
  <c r="K1577" i="69"/>
  <c r="J1577" i="69"/>
  <c r="I1577" i="69"/>
  <c r="H1577" i="69"/>
  <c r="G1577" i="69"/>
  <c r="Q1576" i="69"/>
  <c r="P1576" i="69"/>
  <c r="O1576" i="69"/>
  <c r="N1576" i="69"/>
  <c r="M1576" i="69"/>
  <c r="L1576" i="69"/>
  <c r="K1576" i="69"/>
  <c r="J1576" i="69"/>
  <c r="I1576" i="69"/>
  <c r="H1576" i="69"/>
  <c r="G1576" i="69"/>
  <c r="Q1575" i="69"/>
  <c r="P1575" i="69"/>
  <c r="O1575" i="69"/>
  <c r="N1575" i="69"/>
  <c r="M1575" i="69"/>
  <c r="L1575" i="69"/>
  <c r="K1575" i="69"/>
  <c r="J1575" i="69"/>
  <c r="I1575" i="69"/>
  <c r="H1575" i="69"/>
  <c r="G1575" i="69"/>
  <c r="Q1574" i="69"/>
  <c r="P1574" i="69"/>
  <c r="O1574" i="69"/>
  <c r="N1574" i="69"/>
  <c r="M1574" i="69"/>
  <c r="L1574" i="69"/>
  <c r="K1574" i="69"/>
  <c r="J1574" i="69"/>
  <c r="I1574" i="69"/>
  <c r="H1574" i="69"/>
  <c r="G1574" i="69"/>
  <c r="Q1573" i="69"/>
  <c r="P1573" i="69"/>
  <c r="O1573" i="69"/>
  <c r="N1573" i="69"/>
  <c r="M1573" i="69"/>
  <c r="L1573" i="69"/>
  <c r="K1573" i="69"/>
  <c r="J1573" i="69"/>
  <c r="I1573" i="69"/>
  <c r="H1573" i="69"/>
  <c r="G1573" i="69"/>
  <c r="Q1572" i="69"/>
  <c r="P1572" i="69"/>
  <c r="O1572" i="69"/>
  <c r="N1572" i="69"/>
  <c r="M1572" i="69"/>
  <c r="L1572" i="69"/>
  <c r="K1572" i="69"/>
  <c r="J1572" i="69"/>
  <c r="I1572" i="69"/>
  <c r="H1572" i="69"/>
  <c r="G1572" i="69"/>
  <c r="Q1571" i="69"/>
  <c r="P1571" i="69"/>
  <c r="O1571" i="69"/>
  <c r="N1571" i="69"/>
  <c r="M1571" i="69"/>
  <c r="L1571" i="69"/>
  <c r="K1571" i="69"/>
  <c r="J1571" i="69"/>
  <c r="I1571" i="69"/>
  <c r="H1571" i="69"/>
  <c r="G1571" i="69"/>
  <c r="Q1570" i="69"/>
  <c r="P1570" i="69"/>
  <c r="O1570" i="69"/>
  <c r="N1570" i="69"/>
  <c r="M1570" i="69"/>
  <c r="L1570" i="69"/>
  <c r="K1570" i="69"/>
  <c r="J1570" i="69"/>
  <c r="I1570" i="69"/>
  <c r="H1570" i="69"/>
  <c r="G1570" i="69"/>
  <c r="Q1569" i="69"/>
  <c r="P1569" i="69"/>
  <c r="O1569" i="69"/>
  <c r="N1569" i="69"/>
  <c r="M1569" i="69"/>
  <c r="L1569" i="69"/>
  <c r="K1569" i="69"/>
  <c r="J1569" i="69"/>
  <c r="I1569" i="69"/>
  <c r="H1569" i="69"/>
  <c r="G1569" i="69"/>
  <c r="Q1568" i="69"/>
  <c r="P1568" i="69"/>
  <c r="O1568" i="69"/>
  <c r="N1568" i="69"/>
  <c r="M1568" i="69"/>
  <c r="L1568" i="69"/>
  <c r="K1568" i="69"/>
  <c r="J1568" i="69"/>
  <c r="I1568" i="69"/>
  <c r="H1568" i="69"/>
  <c r="G1568" i="69"/>
  <c r="Q1567" i="69"/>
  <c r="P1567" i="69"/>
  <c r="O1567" i="69"/>
  <c r="N1567" i="69"/>
  <c r="M1567" i="69"/>
  <c r="L1567" i="69"/>
  <c r="K1567" i="69"/>
  <c r="J1567" i="69"/>
  <c r="I1567" i="69"/>
  <c r="H1567" i="69"/>
  <c r="G1567" i="69"/>
  <c r="Q1566" i="69"/>
  <c r="P1566" i="69"/>
  <c r="O1566" i="69"/>
  <c r="N1566" i="69"/>
  <c r="M1566" i="69"/>
  <c r="L1566" i="69"/>
  <c r="K1566" i="69"/>
  <c r="J1566" i="69"/>
  <c r="I1566" i="69"/>
  <c r="H1566" i="69"/>
  <c r="G1566" i="69"/>
  <c r="Q1565" i="69"/>
  <c r="P1565" i="69"/>
  <c r="O1565" i="69"/>
  <c r="N1565" i="69"/>
  <c r="M1565" i="69"/>
  <c r="L1565" i="69"/>
  <c r="K1565" i="69"/>
  <c r="J1565" i="69"/>
  <c r="I1565" i="69"/>
  <c r="H1565" i="69"/>
  <c r="G1565" i="69"/>
  <c r="Q1564" i="69"/>
  <c r="P1564" i="69"/>
  <c r="O1564" i="69"/>
  <c r="N1564" i="69"/>
  <c r="M1564" i="69"/>
  <c r="L1564" i="69"/>
  <c r="K1564" i="69"/>
  <c r="J1564" i="69"/>
  <c r="I1564" i="69"/>
  <c r="H1564" i="69"/>
  <c r="G1564" i="69"/>
  <c r="Q1563" i="69"/>
  <c r="P1563" i="69"/>
  <c r="O1563" i="69"/>
  <c r="N1563" i="69"/>
  <c r="M1563" i="69"/>
  <c r="L1563" i="69"/>
  <c r="K1563" i="69"/>
  <c r="J1563" i="69"/>
  <c r="I1563" i="69"/>
  <c r="H1563" i="69"/>
  <c r="G1563" i="69"/>
  <c r="Q1562" i="69"/>
  <c r="P1562" i="69"/>
  <c r="O1562" i="69"/>
  <c r="N1562" i="69"/>
  <c r="M1562" i="69"/>
  <c r="L1562" i="69"/>
  <c r="K1562" i="69"/>
  <c r="J1562" i="69"/>
  <c r="I1562" i="69"/>
  <c r="H1562" i="69"/>
  <c r="G1562" i="69"/>
  <c r="Q1561" i="69"/>
  <c r="P1561" i="69"/>
  <c r="O1561" i="69"/>
  <c r="N1561" i="69"/>
  <c r="M1561" i="69"/>
  <c r="L1561" i="69"/>
  <c r="K1561" i="69"/>
  <c r="J1561" i="69"/>
  <c r="I1561" i="69"/>
  <c r="H1561" i="69"/>
  <c r="G1561" i="69"/>
  <c r="Q1560" i="69"/>
  <c r="P1560" i="69"/>
  <c r="O1560" i="69"/>
  <c r="N1560" i="69"/>
  <c r="M1560" i="69"/>
  <c r="L1560" i="69"/>
  <c r="K1560" i="69"/>
  <c r="J1560" i="69"/>
  <c r="I1560" i="69"/>
  <c r="H1560" i="69"/>
  <c r="G1560" i="69"/>
  <c r="Q1559" i="69"/>
  <c r="P1559" i="69"/>
  <c r="O1559" i="69"/>
  <c r="N1559" i="69"/>
  <c r="M1559" i="69"/>
  <c r="L1559" i="69"/>
  <c r="K1559" i="69"/>
  <c r="J1559" i="69"/>
  <c r="I1559" i="69"/>
  <c r="H1559" i="69"/>
  <c r="G1559" i="69"/>
  <c r="Q1558" i="69"/>
  <c r="P1558" i="69"/>
  <c r="O1558" i="69"/>
  <c r="N1558" i="69"/>
  <c r="M1558" i="69"/>
  <c r="L1558" i="69"/>
  <c r="K1558" i="69"/>
  <c r="J1558" i="69"/>
  <c r="I1558" i="69"/>
  <c r="H1558" i="69"/>
  <c r="G1558" i="69"/>
  <c r="Q1557" i="69"/>
  <c r="P1557" i="69"/>
  <c r="O1557" i="69"/>
  <c r="N1557" i="69"/>
  <c r="M1557" i="69"/>
  <c r="L1557" i="69"/>
  <c r="K1557" i="69"/>
  <c r="J1557" i="69"/>
  <c r="I1557" i="69"/>
  <c r="H1557" i="69"/>
  <c r="G1557" i="69"/>
  <c r="Q1556" i="69"/>
  <c r="P1556" i="69"/>
  <c r="O1556" i="69"/>
  <c r="N1556" i="69"/>
  <c r="M1556" i="69"/>
  <c r="L1556" i="69"/>
  <c r="K1556" i="69"/>
  <c r="J1556" i="69"/>
  <c r="I1556" i="69"/>
  <c r="H1556" i="69"/>
  <c r="G1556" i="69"/>
  <c r="Q1555" i="69"/>
  <c r="P1555" i="69"/>
  <c r="O1555" i="69"/>
  <c r="N1555" i="69"/>
  <c r="M1555" i="69"/>
  <c r="L1555" i="69"/>
  <c r="K1555" i="69"/>
  <c r="J1555" i="69"/>
  <c r="I1555" i="69"/>
  <c r="H1555" i="69"/>
  <c r="G1555" i="69"/>
  <c r="Q1554" i="69"/>
  <c r="P1554" i="69"/>
  <c r="O1554" i="69"/>
  <c r="N1554" i="69"/>
  <c r="M1554" i="69"/>
  <c r="L1554" i="69"/>
  <c r="K1554" i="69"/>
  <c r="J1554" i="69"/>
  <c r="I1554" i="69"/>
  <c r="H1554" i="69"/>
  <c r="G1554" i="69"/>
  <c r="Q1553" i="69"/>
  <c r="P1553" i="69"/>
  <c r="O1553" i="69"/>
  <c r="N1553" i="69"/>
  <c r="M1553" i="69"/>
  <c r="L1553" i="69"/>
  <c r="K1553" i="69"/>
  <c r="J1553" i="69"/>
  <c r="I1553" i="69"/>
  <c r="H1553" i="69"/>
  <c r="G1553" i="69"/>
  <c r="Q1552" i="69"/>
  <c r="P1552" i="69"/>
  <c r="O1552" i="69"/>
  <c r="N1552" i="69"/>
  <c r="M1552" i="69"/>
  <c r="L1552" i="69"/>
  <c r="K1552" i="69"/>
  <c r="J1552" i="69"/>
  <c r="I1552" i="69"/>
  <c r="H1552" i="69"/>
  <c r="G1552" i="69"/>
  <c r="Q1551" i="69"/>
  <c r="P1551" i="69"/>
  <c r="O1551" i="69"/>
  <c r="N1551" i="69"/>
  <c r="M1551" i="69"/>
  <c r="L1551" i="69"/>
  <c r="K1551" i="69"/>
  <c r="J1551" i="69"/>
  <c r="I1551" i="69"/>
  <c r="H1551" i="69"/>
  <c r="G1551" i="69"/>
  <c r="Q1550" i="69"/>
  <c r="P1550" i="69"/>
  <c r="O1550" i="69"/>
  <c r="N1550" i="69"/>
  <c r="M1550" i="69"/>
  <c r="L1550" i="69"/>
  <c r="K1550" i="69"/>
  <c r="J1550" i="69"/>
  <c r="I1550" i="69"/>
  <c r="H1550" i="69"/>
  <c r="G1550" i="69"/>
  <c r="Q1549" i="69"/>
  <c r="P1549" i="69"/>
  <c r="O1549" i="69"/>
  <c r="N1549" i="69"/>
  <c r="M1549" i="69"/>
  <c r="L1549" i="69"/>
  <c r="K1549" i="69"/>
  <c r="J1549" i="69"/>
  <c r="I1549" i="69"/>
  <c r="H1549" i="69"/>
  <c r="G1549" i="69"/>
  <c r="Q1548" i="69"/>
  <c r="P1548" i="69"/>
  <c r="O1548" i="69"/>
  <c r="N1548" i="69"/>
  <c r="M1548" i="69"/>
  <c r="L1548" i="69"/>
  <c r="K1548" i="69"/>
  <c r="J1548" i="69"/>
  <c r="I1548" i="69"/>
  <c r="H1548" i="69"/>
  <c r="G1548" i="69"/>
  <c r="Q1547" i="69"/>
  <c r="P1547" i="69"/>
  <c r="O1547" i="69"/>
  <c r="N1547" i="69"/>
  <c r="M1547" i="69"/>
  <c r="L1547" i="69"/>
  <c r="K1547" i="69"/>
  <c r="J1547" i="69"/>
  <c r="I1547" i="69"/>
  <c r="H1547" i="69"/>
  <c r="G1547" i="69"/>
  <c r="Q1546" i="69"/>
  <c r="P1546" i="69"/>
  <c r="O1546" i="69"/>
  <c r="N1546" i="69"/>
  <c r="M1546" i="69"/>
  <c r="L1546" i="69"/>
  <c r="K1546" i="69"/>
  <c r="J1546" i="69"/>
  <c r="I1546" i="69"/>
  <c r="H1546" i="69"/>
  <c r="G1546" i="69"/>
  <c r="Q1545" i="69"/>
  <c r="P1545" i="69"/>
  <c r="O1545" i="69"/>
  <c r="N1545" i="69"/>
  <c r="M1545" i="69"/>
  <c r="L1545" i="69"/>
  <c r="K1545" i="69"/>
  <c r="J1545" i="69"/>
  <c r="I1545" i="69"/>
  <c r="H1545" i="69"/>
  <c r="G1545" i="69"/>
  <c r="Q1544" i="69"/>
  <c r="P1544" i="69"/>
  <c r="O1544" i="69"/>
  <c r="N1544" i="69"/>
  <c r="M1544" i="69"/>
  <c r="L1544" i="69"/>
  <c r="K1544" i="69"/>
  <c r="J1544" i="69"/>
  <c r="I1544" i="69"/>
  <c r="H1544" i="69"/>
  <c r="G1544" i="69"/>
  <c r="Q1543" i="69"/>
  <c r="P1543" i="69"/>
  <c r="O1543" i="69"/>
  <c r="N1543" i="69"/>
  <c r="M1543" i="69"/>
  <c r="L1543" i="69"/>
  <c r="K1543" i="69"/>
  <c r="J1543" i="69"/>
  <c r="I1543" i="69"/>
  <c r="H1543" i="69"/>
  <c r="G1543" i="69"/>
  <c r="Q1542" i="69"/>
  <c r="P1542" i="69"/>
  <c r="O1542" i="69"/>
  <c r="N1542" i="69"/>
  <c r="M1542" i="69"/>
  <c r="L1542" i="69"/>
  <c r="K1542" i="69"/>
  <c r="J1542" i="69"/>
  <c r="I1542" i="69"/>
  <c r="H1542" i="69"/>
  <c r="G1542" i="69"/>
  <c r="Q1541" i="69"/>
  <c r="P1541" i="69"/>
  <c r="O1541" i="69"/>
  <c r="N1541" i="69"/>
  <c r="M1541" i="69"/>
  <c r="L1541" i="69"/>
  <c r="K1541" i="69"/>
  <c r="J1541" i="69"/>
  <c r="I1541" i="69"/>
  <c r="H1541" i="69"/>
  <c r="G1541" i="69"/>
  <c r="Q1540" i="69"/>
  <c r="P1540" i="69"/>
  <c r="O1540" i="69"/>
  <c r="N1540" i="69"/>
  <c r="M1540" i="69"/>
  <c r="L1540" i="69"/>
  <c r="K1540" i="69"/>
  <c r="J1540" i="69"/>
  <c r="I1540" i="69"/>
  <c r="H1540" i="69"/>
  <c r="G1540" i="69"/>
  <c r="Q1539" i="69"/>
  <c r="P1539" i="69"/>
  <c r="O1539" i="69"/>
  <c r="N1539" i="69"/>
  <c r="M1539" i="69"/>
  <c r="L1539" i="69"/>
  <c r="K1539" i="69"/>
  <c r="J1539" i="69"/>
  <c r="I1539" i="69"/>
  <c r="H1539" i="69"/>
  <c r="G1539" i="69"/>
  <c r="Q1538" i="69"/>
  <c r="P1538" i="69"/>
  <c r="O1538" i="69"/>
  <c r="N1538" i="69"/>
  <c r="M1538" i="69"/>
  <c r="L1538" i="69"/>
  <c r="K1538" i="69"/>
  <c r="J1538" i="69"/>
  <c r="I1538" i="69"/>
  <c r="H1538" i="69"/>
  <c r="G1538" i="69"/>
  <c r="Q1537" i="69"/>
  <c r="P1537" i="69"/>
  <c r="O1537" i="69"/>
  <c r="N1537" i="69"/>
  <c r="M1537" i="69"/>
  <c r="L1537" i="69"/>
  <c r="K1537" i="69"/>
  <c r="J1537" i="69"/>
  <c r="I1537" i="69"/>
  <c r="H1537" i="69"/>
  <c r="G1537" i="69"/>
  <c r="Q1536" i="69"/>
  <c r="P1536" i="69"/>
  <c r="O1536" i="69"/>
  <c r="N1536" i="69"/>
  <c r="M1536" i="69"/>
  <c r="L1536" i="69"/>
  <c r="K1536" i="69"/>
  <c r="J1536" i="69"/>
  <c r="I1536" i="69"/>
  <c r="H1536" i="69"/>
  <c r="G1536" i="69"/>
  <c r="Q1535" i="69"/>
  <c r="P1535" i="69"/>
  <c r="O1535" i="69"/>
  <c r="N1535" i="69"/>
  <c r="M1535" i="69"/>
  <c r="L1535" i="69"/>
  <c r="K1535" i="69"/>
  <c r="J1535" i="69"/>
  <c r="I1535" i="69"/>
  <c r="H1535" i="69"/>
  <c r="G1535" i="69"/>
  <c r="Q1534" i="69"/>
  <c r="P1534" i="69"/>
  <c r="O1534" i="69"/>
  <c r="N1534" i="69"/>
  <c r="M1534" i="69"/>
  <c r="L1534" i="69"/>
  <c r="K1534" i="69"/>
  <c r="J1534" i="69"/>
  <c r="I1534" i="69"/>
  <c r="H1534" i="69"/>
  <c r="G1534" i="69"/>
  <c r="Q1533" i="69"/>
  <c r="P1533" i="69"/>
  <c r="O1533" i="69"/>
  <c r="N1533" i="69"/>
  <c r="M1533" i="69"/>
  <c r="L1533" i="69"/>
  <c r="K1533" i="69"/>
  <c r="J1533" i="69"/>
  <c r="I1533" i="69"/>
  <c r="H1533" i="69"/>
  <c r="G1533" i="69"/>
  <c r="Q1532" i="69"/>
  <c r="P1532" i="69"/>
  <c r="O1532" i="69"/>
  <c r="N1532" i="69"/>
  <c r="M1532" i="69"/>
  <c r="L1532" i="69"/>
  <c r="K1532" i="69"/>
  <c r="J1532" i="69"/>
  <c r="I1532" i="69"/>
  <c r="H1532" i="69"/>
  <c r="G1532" i="69"/>
  <c r="Q1531" i="69"/>
  <c r="P1531" i="69"/>
  <c r="O1531" i="69"/>
  <c r="N1531" i="69"/>
  <c r="M1531" i="69"/>
  <c r="L1531" i="69"/>
  <c r="K1531" i="69"/>
  <c r="J1531" i="69"/>
  <c r="I1531" i="69"/>
  <c r="H1531" i="69"/>
  <c r="G1531" i="69"/>
  <c r="Q1530" i="69"/>
  <c r="P1530" i="69"/>
  <c r="O1530" i="69"/>
  <c r="N1530" i="69"/>
  <c r="M1530" i="69"/>
  <c r="L1530" i="69"/>
  <c r="K1530" i="69"/>
  <c r="J1530" i="69"/>
  <c r="I1530" i="69"/>
  <c r="H1530" i="69"/>
  <c r="G1530" i="69"/>
  <c r="Q1529" i="69"/>
  <c r="P1529" i="69"/>
  <c r="O1529" i="69"/>
  <c r="N1529" i="69"/>
  <c r="M1529" i="69"/>
  <c r="L1529" i="69"/>
  <c r="K1529" i="69"/>
  <c r="J1529" i="69"/>
  <c r="I1529" i="69"/>
  <c r="H1529" i="69"/>
  <c r="G1529" i="69"/>
  <c r="Q1528" i="69"/>
  <c r="P1528" i="69"/>
  <c r="O1528" i="69"/>
  <c r="N1528" i="69"/>
  <c r="M1528" i="69"/>
  <c r="L1528" i="69"/>
  <c r="K1528" i="69"/>
  <c r="J1528" i="69"/>
  <c r="I1528" i="69"/>
  <c r="H1528" i="69"/>
  <c r="G1528" i="69"/>
  <c r="Q1527" i="69"/>
  <c r="P1527" i="69"/>
  <c r="O1527" i="69"/>
  <c r="N1527" i="69"/>
  <c r="M1527" i="69"/>
  <c r="L1527" i="69"/>
  <c r="K1527" i="69"/>
  <c r="J1527" i="69"/>
  <c r="I1527" i="69"/>
  <c r="H1527" i="69"/>
  <c r="G1527" i="69"/>
  <c r="Q1526" i="69"/>
  <c r="P1526" i="69"/>
  <c r="O1526" i="69"/>
  <c r="N1526" i="69"/>
  <c r="M1526" i="69"/>
  <c r="L1526" i="69"/>
  <c r="K1526" i="69"/>
  <c r="J1526" i="69"/>
  <c r="I1526" i="69"/>
  <c r="H1526" i="69"/>
  <c r="G1526" i="69"/>
  <c r="Q1525" i="69"/>
  <c r="P1525" i="69"/>
  <c r="O1525" i="69"/>
  <c r="N1525" i="69"/>
  <c r="M1525" i="69"/>
  <c r="L1525" i="69"/>
  <c r="K1525" i="69"/>
  <c r="J1525" i="69"/>
  <c r="I1525" i="69"/>
  <c r="H1525" i="69"/>
  <c r="G1525" i="69"/>
  <c r="Q1524" i="69"/>
  <c r="P1524" i="69"/>
  <c r="O1524" i="69"/>
  <c r="N1524" i="69"/>
  <c r="M1524" i="69"/>
  <c r="L1524" i="69"/>
  <c r="K1524" i="69"/>
  <c r="J1524" i="69"/>
  <c r="I1524" i="69"/>
  <c r="H1524" i="69"/>
  <c r="G1524" i="69"/>
  <c r="Q1523" i="69"/>
  <c r="P1523" i="69"/>
  <c r="O1523" i="69"/>
  <c r="N1523" i="69"/>
  <c r="M1523" i="69"/>
  <c r="L1523" i="69"/>
  <c r="K1523" i="69"/>
  <c r="J1523" i="69"/>
  <c r="I1523" i="69"/>
  <c r="H1523" i="69"/>
  <c r="G1523" i="69"/>
  <c r="Q1522" i="69"/>
  <c r="P1522" i="69"/>
  <c r="O1522" i="69"/>
  <c r="N1522" i="69"/>
  <c r="M1522" i="69"/>
  <c r="L1522" i="69"/>
  <c r="K1522" i="69"/>
  <c r="J1522" i="69"/>
  <c r="I1522" i="69"/>
  <c r="H1522" i="69"/>
  <c r="G1522" i="69"/>
  <c r="Q1521" i="69"/>
  <c r="P1521" i="69"/>
  <c r="O1521" i="69"/>
  <c r="N1521" i="69"/>
  <c r="M1521" i="69"/>
  <c r="L1521" i="69"/>
  <c r="K1521" i="69"/>
  <c r="J1521" i="69"/>
  <c r="I1521" i="69"/>
  <c r="H1521" i="69"/>
  <c r="G1521" i="69"/>
  <c r="Q1520" i="69"/>
  <c r="P1520" i="69"/>
  <c r="O1520" i="69"/>
  <c r="N1520" i="69"/>
  <c r="M1520" i="69"/>
  <c r="L1520" i="69"/>
  <c r="K1520" i="69"/>
  <c r="J1520" i="69"/>
  <c r="I1520" i="69"/>
  <c r="H1520" i="69"/>
  <c r="G1520" i="69"/>
  <c r="Q1519" i="69"/>
  <c r="P1519" i="69"/>
  <c r="O1519" i="69"/>
  <c r="N1519" i="69"/>
  <c r="M1519" i="69"/>
  <c r="L1519" i="69"/>
  <c r="K1519" i="69"/>
  <c r="J1519" i="69"/>
  <c r="I1519" i="69"/>
  <c r="H1519" i="69"/>
  <c r="G1519" i="69"/>
  <c r="Q1518" i="69"/>
  <c r="P1518" i="69"/>
  <c r="O1518" i="69"/>
  <c r="N1518" i="69"/>
  <c r="M1518" i="69"/>
  <c r="L1518" i="69"/>
  <c r="K1518" i="69"/>
  <c r="J1518" i="69"/>
  <c r="I1518" i="69"/>
  <c r="H1518" i="69"/>
  <c r="G1518" i="69"/>
  <c r="Q1517" i="69"/>
  <c r="P1517" i="69"/>
  <c r="O1517" i="69"/>
  <c r="N1517" i="69"/>
  <c r="M1517" i="69"/>
  <c r="L1517" i="69"/>
  <c r="K1517" i="69"/>
  <c r="J1517" i="69"/>
  <c r="I1517" i="69"/>
  <c r="H1517" i="69"/>
  <c r="G1517" i="69"/>
  <c r="Q1516" i="69"/>
  <c r="P1516" i="69"/>
  <c r="O1516" i="69"/>
  <c r="N1516" i="69"/>
  <c r="M1516" i="69"/>
  <c r="L1516" i="69"/>
  <c r="K1516" i="69"/>
  <c r="J1516" i="69"/>
  <c r="I1516" i="69"/>
  <c r="H1516" i="69"/>
  <c r="G1516" i="69"/>
  <c r="Q1515" i="69"/>
  <c r="P1515" i="69"/>
  <c r="O1515" i="69"/>
  <c r="N1515" i="69"/>
  <c r="M1515" i="69"/>
  <c r="L1515" i="69"/>
  <c r="K1515" i="69"/>
  <c r="J1515" i="69"/>
  <c r="I1515" i="69"/>
  <c r="H1515" i="69"/>
  <c r="G1515" i="69"/>
  <c r="Q1514" i="69"/>
  <c r="P1514" i="69"/>
  <c r="O1514" i="69"/>
  <c r="N1514" i="69"/>
  <c r="M1514" i="69"/>
  <c r="L1514" i="69"/>
  <c r="K1514" i="69"/>
  <c r="J1514" i="69"/>
  <c r="I1514" i="69"/>
  <c r="H1514" i="69"/>
  <c r="G1514" i="69"/>
  <c r="Q1513" i="69"/>
  <c r="P1513" i="69"/>
  <c r="O1513" i="69"/>
  <c r="N1513" i="69"/>
  <c r="M1513" i="69"/>
  <c r="L1513" i="69"/>
  <c r="K1513" i="69"/>
  <c r="J1513" i="69"/>
  <c r="I1513" i="69"/>
  <c r="H1513" i="69"/>
  <c r="G1513" i="69"/>
  <c r="Q1512" i="69"/>
  <c r="P1512" i="69"/>
  <c r="O1512" i="69"/>
  <c r="N1512" i="69"/>
  <c r="M1512" i="69"/>
  <c r="L1512" i="69"/>
  <c r="K1512" i="69"/>
  <c r="J1512" i="69"/>
  <c r="I1512" i="69"/>
  <c r="H1512" i="69"/>
  <c r="G1512" i="69"/>
  <c r="Q1511" i="69"/>
  <c r="P1511" i="69"/>
  <c r="O1511" i="69"/>
  <c r="N1511" i="69"/>
  <c r="M1511" i="69"/>
  <c r="L1511" i="69"/>
  <c r="K1511" i="69"/>
  <c r="J1511" i="69"/>
  <c r="I1511" i="69"/>
  <c r="H1511" i="69"/>
  <c r="G1511" i="69"/>
  <c r="Q1510" i="69"/>
  <c r="P1510" i="69"/>
  <c r="O1510" i="69"/>
  <c r="N1510" i="69"/>
  <c r="M1510" i="69"/>
  <c r="L1510" i="69"/>
  <c r="K1510" i="69"/>
  <c r="J1510" i="69"/>
  <c r="I1510" i="69"/>
  <c r="H1510" i="69"/>
  <c r="G1510" i="69"/>
  <c r="Q1509" i="69"/>
  <c r="P1509" i="69"/>
  <c r="O1509" i="69"/>
  <c r="N1509" i="69"/>
  <c r="M1509" i="69"/>
  <c r="L1509" i="69"/>
  <c r="K1509" i="69"/>
  <c r="J1509" i="69"/>
  <c r="I1509" i="69"/>
  <c r="H1509" i="69"/>
  <c r="G1509" i="69"/>
  <c r="Q1508" i="69"/>
  <c r="P1508" i="69"/>
  <c r="O1508" i="69"/>
  <c r="N1508" i="69"/>
  <c r="M1508" i="69"/>
  <c r="L1508" i="69"/>
  <c r="K1508" i="69"/>
  <c r="J1508" i="69"/>
  <c r="I1508" i="69"/>
  <c r="H1508" i="69"/>
  <c r="G1508" i="69"/>
  <c r="Q1507" i="69"/>
  <c r="P1507" i="69"/>
  <c r="O1507" i="69"/>
  <c r="N1507" i="69"/>
  <c r="M1507" i="69"/>
  <c r="L1507" i="69"/>
  <c r="K1507" i="69"/>
  <c r="J1507" i="69"/>
  <c r="I1507" i="69"/>
  <c r="H1507" i="69"/>
  <c r="G1507" i="69"/>
  <c r="Q1506" i="69"/>
  <c r="P1506" i="69"/>
  <c r="O1506" i="69"/>
  <c r="N1506" i="69"/>
  <c r="M1506" i="69"/>
  <c r="L1506" i="69"/>
  <c r="K1506" i="69"/>
  <c r="J1506" i="69"/>
  <c r="I1506" i="69"/>
  <c r="H1506" i="69"/>
  <c r="G1506" i="69"/>
  <c r="Q1505" i="69"/>
  <c r="P1505" i="69"/>
  <c r="O1505" i="69"/>
  <c r="N1505" i="69"/>
  <c r="M1505" i="69"/>
  <c r="L1505" i="69"/>
  <c r="K1505" i="69"/>
  <c r="J1505" i="69"/>
  <c r="I1505" i="69"/>
  <c r="H1505" i="69"/>
  <c r="G1505" i="69"/>
  <c r="Q1504" i="69"/>
  <c r="P1504" i="69"/>
  <c r="O1504" i="69"/>
  <c r="N1504" i="69"/>
  <c r="M1504" i="69"/>
  <c r="L1504" i="69"/>
  <c r="K1504" i="69"/>
  <c r="J1504" i="69"/>
  <c r="I1504" i="69"/>
  <c r="H1504" i="69"/>
  <c r="G1504" i="69"/>
  <c r="Q1503" i="69"/>
  <c r="P1503" i="69"/>
  <c r="O1503" i="69"/>
  <c r="N1503" i="69"/>
  <c r="M1503" i="69"/>
  <c r="L1503" i="69"/>
  <c r="K1503" i="69"/>
  <c r="J1503" i="69"/>
  <c r="I1503" i="69"/>
  <c r="H1503" i="69"/>
  <c r="G1503" i="69"/>
  <c r="Q1502" i="69"/>
  <c r="P1502" i="69"/>
  <c r="O1502" i="69"/>
  <c r="N1502" i="69"/>
  <c r="M1502" i="69"/>
  <c r="L1502" i="69"/>
  <c r="K1502" i="69"/>
  <c r="J1502" i="69"/>
  <c r="I1502" i="69"/>
  <c r="H1502" i="69"/>
  <c r="G1502" i="69"/>
  <c r="Q1501" i="69"/>
  <c r="P1501" i="69"/>
  <c r="O1501" i="69"/>
  <c r="N1501" i="69"/>
  <c r="M1501" i="69"/>
  <c r="L1501" i="69"/>
  <c r="K1501" i="69"/>
  <c r="J1501" i="69"/>
  <c r="I1501" i="69"/>
  <c r="H1501" i="69"/>
  <c r="G1501" i="69"/>
  <c r="Q1500" i="69"/>
  <c r="P1500" i="69"/>
  <c r="O1500" i="69"/>
  <c r="N1500" i="69"/>
  <c r="M1500" i="69"/>
  <c r="L1500" i="69"/>
  <c r="K1500" i="69"/>
  <c r="J1500" i="69"/>
  <c r="I1500" i="69"/>
  <c r="H1500" i="69"/>
  <c r="G1500" i="69"/>
  <c r="Q1499" i="69"/>
  <c r="P1499" i="69"/>
  <c r="O1499" i="69"/>
  <c r="N1499" i="69"/>
  <c r="M1499" i="69"/>
  <c r="L1499" i="69"/>
  <c r="K1499" i="69"/>
  <c r="J1499" i="69"/>
  <c r="I1499" i="69"/>
  <c r="H1499" i="69"/>
  <c r="G1499" i="69"/>
  <c r="Q1498" i="69"/>
  <c r="P1498" i="69"/>
  <c r="O1498" i="69"/>
  <c r="N1498" i="69"/>
  <c r="M1498" i="69"/>
  <c r="L1498" i="69"/>
  <c r="K1498" i="69"/>
  <c r="J1498" i="69"/>
  <c r="I1498" i="69"/>
  <c r="H1498" i="69"/>
  <c r="G1498" i="69"/>
  <c r="Q1497" i="69"/>
  <c r="P1497" i="69"/>
  <c r="O1497" i="69"/>
  <c r="N1497" i="69"/>
  <c r="M1497" i="69"/>
  <c r="L1497" i="69"/>
  <c r="K1497" i="69"/>
  <c r="J1497" i="69"/>
  <c r="I1497" i="69"/>
  <c r="H1497" i="69"/>
  <c r="G1497" i="69"/>
  <c r="Q1496" i="69"/>
  <c r="P1496" i="69"/>
  <c r="O1496" i="69"/>
  <c r="N1496" i="69"/>
  <c r="M1496" i="69"/>
  <c r="L1496" i="69"/>
  <c r="K1496" i="69"/>
  <c r="J1496" i="69"/>
  <c r="I1496" i="69"/>
  <c r="H1496" i="69"/>
  <c r="G1496" i="69"/>
  <c r="Q1495" i="69"/>
  <c r="P1495" i="69"/>
  <c r="O1495" i="69"/>
  <c r="N1495" i="69"/>
  <c r="M1495" i="69"/>
  <c r="L1495" i="69"/>
  <c r="K1495" i="69"/>
  <c r="J1495" i="69"/>
  <c r="I1495" i="69"/>
  <c r="H1495" i="69"/>
  <c r="G1495" i="69"/>
  <c r="Q1494" i="69"/>
  <c r="P1494" i="69"/>
  <c r="O1494" i="69"/>
  <c r="N1494" i="69"/>
  <c r="M1494" i="69"/>
  <c r="L1494" i="69"/>
  <c r="K1494" i="69"/>
  <c r="J1494" i="69"/>
  <c r="I1494" i="69"/>
  <c r="H1494" i="69"/>
  <c r="G1494" i="69"/>
  <c r="Q1493" i="69"/>
  <c r="P1493" i="69"/>
  <c r="O1493" i="69"/>
  <c r="N1493" i="69"/>
  <c r="M1493" i="69"/>
  <c r="L1493" i="69"/>
  <c r="K1493" i="69"/>
  <c r="J1493" i="69"/>
  <c r="I1493" i="69"/>
  <c r="H1493" i="69"/>
  <c r="G1493" i="69"/>
  <c r="Q1492" i="69"/>
  <c r="P1492" i="69"/>
  <c r="O1492" i="69"/>
  <c r="N1492" i="69"/>
  <c r="M1492" i="69"/>
  <c r="L1492" i="69"/>
  <c r="K1492" i="69"/>
  <c r="J1492" i="69"/>
  <c r="I1492" i="69"/>
  <c r="H1492" i="69"/>
  <c r="G1492" i="69"/>
  <c r="Q1491" i="69"/>
  <c r="P1491" i="69"/>
  <c r="O1491" i="69"/>
  <c r="N1491" i="69"/>
  <c r="M1491" i="69"/>
  <c r="L1491" i="69"/>
  <c r="K1491" i="69"/>
  <c r="J1491" i="69"/>
  <c r="I1491" i="69"/>
  <c r="H1491" i="69"/>
  <c r="G1491" i="69"/>
  <c r="Q1490" i="69"/>
  <c r="P1490" i="69"/>
  <c r="O1490" i="69"/>
  <c r="N1490" i="69"/>
  <c r="M1490" i="69"/>
  <c r="L1490" i="69"/>
  <c r="K1490" i="69"/>
  <c r="J1490" i="69"/>
  <c r="I1490" i="69"/>
  <c r="H1490" i="69"/>
  <c r="G1490" i="69"/>
  <c r="Q1489" i="69"/>
  <c r="P1489" i="69"/>
  <c r="O1489" i="69"/>
  <c r="N1489" i="69"/>
  <c r="M1489" i="69"/>
  <c r="L1489" i="69"/>
  <c r="K1489" i="69"/>
  <c r="J1489" i="69"/>
  <c r="I1489" i="69"/>
  <c r="H1489" i="69"/>
  <c r="G1489" i="69"/>
  <c r="Q1488" i="69"/>
  <c r="P1488" i="69"/>
  <c r="O1488" i="69"/>
  <c r="N1488" i="69"/>
  <c r="M1488" i="69"/>
  <c r="L1488" i="69"/>
  <c r="K1488" i="69"/>
  <c r="J1488" i="69"/>
  <c r="I1488" i="69"/>
  <c r="H1488" i="69"/>
  <c r="G1488" i="69"/>
  <c r="Q1487" i="69"/>
  <c r="P1487" i="69"/>
  <c r="O1487" i="69"/>
  <c r="N1487" i="69"/>
  <c r="M1487" i="69"/>
  <c r="L1487" i="69"/>
  <c r="K1487" i="69"/>
  <c r="J1487" i="69"/>
  <c r="I1487" i="69"/>
  <c r="H1487" i="69"/>
  <c r="G1487" i="69"/>
  <c r="Q1486" i="69"/>
  <c r="P1486" i="69"/>
  <c r="O1486" i="69"/>
  <c r="N1486" i="69"/>
  <c r="M1486" i="69"/>
  <c r="L1486" i="69"/>
  <c r="K1486" i="69"/>
  <c r="J1486" i="69"/>
  <c r="I1486" i="69"/>
  <c r="H1486" i="69"/>
  <c r="G1486" i="69"/>
  <c r="Q1485" i="69"/>
  <c r="P1485" i="69"/>
  <c r="O1485" i="69"/>
  <c r="N1485" i="69"/>
  <c r="M1485" i="69"/>
  <c r="L1485" i="69"/>
  <c r="K1485" i="69"/>
  <c r="J1485" i="69"/>
  <c r="I1485" i="69"/>
  <c r="H1485" i="69"/>
  <c r="G1485" i="69"/>
  <c r="Q1484" i="69"/>
  <c r="P1484" i="69"/>
  <c r="O1484" i="69"/>
  <c r="N1484" i="69"/>
  <c r="M1484" i="69"/>
  <c r="L1484" i="69"/>
  <c r="K1484" i="69"/>
  <c r="J1484" i="69"/>
  <c r="I1484" i="69"/>
  <c r="H1484" i="69"/>
  <c r="G1484" i="69"/>
  <c r="Q1483" i="69"/>
  <c r="P1483" i="69"/>
  <c r="O1483" i="69"/>
  <c r="N1483" i="69"/>
  <c r="M1483" i="69"/>
  <c r="L1483" i="69"/>
  <c r="K1483" i="69"/>
  <c r="J1483" i="69"/>
  <c r="I1483" i="69"/>
  <c r="H1483" i="69"/>
  <c r="G1483" i="69"/>
  <c r="Q1482" i="69"/>
  <c r="P1482" i="69"/>
  <c r="O1482" i="69"/>
  <c r="N1482" i="69"/>
  <c r="M1482" i="69"/>
  <c r="L1482" i="69"/>
  <c r="K1482" i="69"/>
  <c r="J1482" i="69"/>
  <c r="I1482" i="69"/>
  <c r="H1482" i="69"/>
  <c r="G1482" i="69"/>
  <c r="Q1481" i="69"/>
  <c r="P1481" i="69"/>
  <c r="O1481" i="69"/>
  <c r="N1481" i="69"/>
  <c r="M1481" i="69"/>
  <c r="L1481" i="69"/>
  <c r="K1481" i="69"/>
  <c r="J1481" i="69"/>
  <c r="I1481" i="69"/>
  <c r="H1481" i="69"/>
  <c r="G1481" i="69"/>
  <c r="Q1480" i="69"/>
  <c r="P1480" i="69"/>
  <c r="O1480" i="69"/>
  <c r="N1480" i="69"/>
  <c r="M1480" i="69"/>
  <c r="L1480" i="69"/>
  <c r="K1480" i="69"/>
  <c r="J1480" i="69"/>
  <c r="I1480" i="69"/>
  <c r="H1480" i="69"/>
  <c r="G1480" i="69"/>
  <c r="Q1479" i="69"/>
  <c r="P1479" i="69"/>
  <c r="O1479" i="69"/>
  <c r="N1479" i="69"/>
  <c r="M1479" i="69"/>
  <c r="L1479" i="69"/>
  <c r="K1479" i="69"/>
  <c r="J1479" i="69"/>
  <c r="I1479" i="69"/>
  <c r="H1479" i="69"/>
  <c r="G1479" i="69"/>
  <c r="Q1478" i="69"/>
  <c r="P1478" i="69"/>
  <c r="O1478" i="69"/>
  <c r="N1478" i="69"/>
  <c r="M1478" i="69"/>
  <c r="L1478" i="69"/>
  <c r="K1478" i="69"/>
  <c r="J1478" i="69"/>
  <c r="I1478" i="69"/>
  <c r="H1478" i="69"/>
  <c r="G1478" i="69"/>
  <c r="Q1477" i="69"/>
  <c r="P1477" i="69"/>
  <c r="O1477" i="69"/>
  <c r="N1477" i="69"/>
  <c r="M1477" i="69"/>
  <c r="L1477" i="69"/>
  <c r="K1477" i="69"/>
  <c r="J1477" i="69"/>
  <c r="I1477" i="69"/>
  <c r="H1477" i="69"/>
  <c r="G1477" i="69"/>
  <c r="Q1476" i="69"/>
  <c r="P1476" i="69"/>
  <c r="O1476" i="69"/>
  <c r="N1476" i="69"/>
  <c r="M1476" i="69"/>
  <c r="L1476" i="69"/>
  <c r="K1476" i="69"/>
  <c r="J1476" i="69"/>
  <c r="I1476" i="69"/>
  <c r="H1476" i="69"/>
  <c r="G1476" i="69"/>
  <c r="Q1475" i="69"/>
  <c r="P1475" i="69"/>
  <c r="O1475" i="69"/>
  <c r="N1475" i="69"/>
  <c r="M1475" i="69"/>
  <c r="L1475" i="69"/>
  <c r="K1475" i="69"/>
  <c r="J1475" i="69"/>
  <c r="I1475" i="69"/>
  <c r="H1475" i="69"/>
  <c r="G1475" i="69"/>
  <c r="Q1474" i="69"/>
  <c r="P1474" i="69"/>
  <c r="O1474" i="69"/>
  <c r="N1474" i="69"/>
  <c r="M1474" i="69"/>
  <c r="L1474" i="69"/>
  <c r="K1474" i="69"/>
  <c r="J1474" i="69"/>
  <c r="I1474" i="69"/>
  <c r="H1474" i="69"/>
  <c r="G1474" i="69"/>
  <c r="Q1473" i="69"/>
  <c r="P1473" i="69"/>
  <c r="O1473" i="69"/>
  <c r="N1473" i="69"/>
  <c r="M1473" i="69"/>
  <c r="L1473" i="69"/>
  <c r="K1473" i="69"/>
  <c r="J1473" i="69"/>
  <c r="I1473" i="69"/>
  <c r="H1473" i="69"/>
  <c r="G1473" i="69"/>
  <c r="Q1472" i="69"/>
  <c r="P1472" i="69"/>
  <c r="O1472" i="69"/>
  <c r="N1472" i="69"/>
  <c r="M1472" i="69"/>
  <c r="L1472" i="69"/>
  <c r="K1472" i="69"/>
  <c r="J1472" i="69"/>
  <c r="I1472" i="69"/>
  <c r="H1472" i="69"/>
  <c r="G1472" i="69"/>
  <c r="Q1471" i="69"/>
  <c r="P1471" i="69"/>
  <c r="O1471" i="69"/>
  <c r="N1471" i="69"/>
  <c r="M1471" i="69"/>
  <c r="L1471" i="69"/>
  <c r="K1471" i="69"/>
  <c r="J1471" i="69"/>
  <c r="I1471" i="69"/>
  <c r="H1471" i="69"/>
  <c r="G1471" i="69"/>
  <c r="Q1470" i="69"/>
  <c r="P1470" i="69"/>
  <c r="O1470" i="69"/>
  <c r="N1470" i="69"/>
  <c r="M1470" i="69"/>
  <c r="L1470" i="69"/>
  <c r="K1470" i="69"/>
  <c r="J1470" i="69"/>
  <c r="I1470" i="69"/>
  <c r="H1470" i="69"/>
  <c r="G1470" i="69"/>
  <c r="Q1469" i="69"/>
  <c r="P1469" i="69"/>
  <c r="O1469" i="69"/>
  <c r="N1469" i="69"/>
  <c r="M1469" i="69"/>
  <c r="L1469" i="69"/>
  <c r="K1469" i="69"/>
  <c r="J1469" i="69"/>
  <c r="I1469" i="69"/>
  <c r="H1469" i="69"/>
  <c r="G1469" i="69"/>
  <c r="Q1468" i="69"/>
  <c r="P1468" i="69"/>
  <c r="O1468" i="69"/>
  <c r="N1468" i="69"/>
  <c r="M1468" i="69"/>
  <c r="L1468" i="69"/>
  <c r="K1468" i="69"/>
  <c r="J1468" i="69"/>
  <c r="I1468" i="69"/>
  <c r="H1468" i="69"/>
  <c r="G1468" i="69"/>
  <c r="Q1467" i="69"/>
  <c r="P1467" i="69"/>
  <c r="O1467" i="69"/>
  <c r="N1467" i="69"/>
  <c r="M1467" i="69"/>
  <c r="L1467" i="69"/>
  <c r="K1467" i="69"/>
  <c r="J1467" i="69"/>
  <c r="I1467" i="69"/>
  <c r="H1467" i="69"/>
  <c r="G1467" i="69"/>
  <c r="Q1466" i="69"/>
  <c r="P1466" i="69"/>
  <c r="O1466" i="69"/>
  <c r="N1466" i="69"/>
  <c r="M1466" i="69"/>
  <c r="L1466" i="69"/>
  <c r="K1466" i="69"/>
  <c r="J1466" i="69"/>
  <c r="I1466" i="69"/>
  <c r="H1466" i="69"/>
  <c r="G1466" i="69"/>
  <c r="Q1465" i="69"/>
  <c r="P1465" i="69"/>
  <c r="O1465" i="69"/>
  <c r="N1465" i="69"/>
  <c r="M1465" i="69"/>
  <c r="L1465" i="69"/>
  <c r="K1465" i="69"/>
  <c r="J1465" i="69"/>
  <c r="I1465" i="69"/>
  <c r="H1465" i="69"/>
  <c r="G1465" i="69"/>
  <c r="Q1464" i="69"/>
  <c r="P1464" i="69"/>
  <c r="O1464" i="69"/>
  <c r="N1464" i="69"/>
  <c r="M1464" i="69"/>
  <c r="L1464" i="69"/>
  <c r="K1464" i="69"/>
  <c r="J1464" i="69"/>
  <c r="I1464" i="69"/>
  <c r="H1464" i="69"/>
  <c r="G1464" i="69"/>
  <c r="Q1463" i="69"/>
  <c r="P1463" i="69"/>
  <c r="O1463" i="69"/>
  <c r="N1463" i="69"/>
  <c r="M1463" i="69"/>
  <c r="L1463" i="69"/>
  <c r="K1463" i="69"/>
  <c r="J1463" i="69"/>
  <c r="I1463" i="69"/>
  <c r="H1463" i="69"/>
  <c r="G1463" i="69"/>
  <c r="Q1462" i="69"/>
  <c r="P1462" i="69"/>
  <c r="O1462" i="69"/>
  <c r="N1462" i="69"/>
  <c r="M1462" i="69"/>
  <c r="L1462" i="69"/>
  <c r="K1462" i="69"/>
  <c r="J1462" i="69"/>
  <c r="I1462" i="69"/>
  <c r="H1462" i="69"/>
  <c r="G1462" i="69"/>
  <c r="Q1461" i="69"/>
  <c r="P1461" i="69"/>
  <c r="O1461" i="69"/>
  <c r="N1461" i="69"/>
  <c r="M1461" i="69"/>
  <c r="L1461" i="69"/>
  <c r="K1461" i="69"/>
  <c r="J1461" i="69"/>
  <c r="I1461" i="69"/>
  <c r="H1461" i="69"/>
  <c r="G1461" i="69"/>
  <c r="Q1460" i="69"/>
  <c r="P1460" i="69"/>
  <c r="O1460" i="69"/>
  <c r="N1460" i="69"/>
  <c r="M1460" i="69"/>
  <c r="L1460" i="69"/>
  <c r="K1460" i="69"/>
  <c r="J1460" i="69"/>
  <c r="I1460" i="69"/>
  <c r="H1460" i="69"/>
  <c r="G1460" i="69"/>
  <c r="Q1459" i="69"/>
  <c r="P1459" i="69"/>
  <c r="O1459" i="69"/>
  <c r="N1459" i="69"/>
  <c r="M1459" i="69"/>
  <c r="L1459" i="69"/>
  <c r="K1459" i="69"/>
  <c r="J1459" i="69"/>
  <c r="I1459" i="69"/>
  <c r="H1459" i="69"/>
  <c r="G1459" i="69"/>
  <c r="Q1458" i="69"/>
  <c r="P1458" i="69"/>
  <c r="O1458" i="69"/>
  <c r="N1458" i="69"/>
  <c r="M1458" i="69"/>
  <c r="L1458" i="69"/>
  <c r="K1458" i="69"/>
  <c r="J1458" i="69"/>
  <c r="I1458" i="69"/>
  <c r="H1458" i="69"/>
  <c r="G1458" i="69"/>
  <c r="Q1457" i="69"/>
  <c r="P1457" i="69"/>
  <c r="O1457" i="69"/>
  <c r="N1457" i="69"/>
  <c r="M1457" i="69"/>
  <c r="L1457" i="69"/>
  <c r="K1457" i="69"/>
  <c r="J1457" i="69"/>
  <c r="I1457" i="69"/>
  <c r="H1457" i="69"/>
  <c r="G1457" i="69"/>
  <c r="Q1456" i="69"/>
  <c r="P1456" i="69"/>
  <c r="O1456" i="69"/>
  <c r="N1456" i="69"/>
  <c r="M1456" i="69"/>
  <c r="L1456" i="69"/>
  <c r="K1456" i="69"/>
  <c r="J1456" i="69"/>
  <c r="I1456" i="69"/>
  <c r="H1456" i="69"/>
  <c r="G1456" i="69"/>
  <c r="Q1455" i="69"/>
  <c r="P1455" i="69"/>
  <c r="O1455" i="69"/>
  <c r="N1455" i="69"/>
  <c r="M1455" i="69"/>
  <c r="L1455" i="69"/>
  <c r="K1455" i="69"/>
  <c r="J1455" i="69"/>
  <c r="I1455" i="69"/>
  <c r="H1455" i="69"/>
  <c r="G1455" i="69"/>
  <c r="Q1454" i="69"/>
  <c r="P1454" i="69"/>
  <c r="O1454" i="69"/>
  <c r="N1454" i="69"/>
  <c r="M1454" i="69"/>
  <c r="L1454" i="69"/>
  <c r="K1454" i="69"/>
  <c r="J1454" i="69"/>
  <c r="I1454" i="69"/>
  <c r="H1454" i="69"/>
  <c r="G1454" i="69"/>
  <c r="Q1453" i="69"/>
  <c r="P1453" i="69"/>
  <c r="O1453" i="69"/>
  <c r="N1453" i="69"/>
  <c r="M1453" i="69"/>
  <c r="L1453" i="69"/>
  <c r="K1453" i="69"/>
  <c r="J1453" i="69"/>
  <c r="I1453" i="69"/>
  <c r="H1453" i="69"/>
  <c r="G1453" i="69"/>
  <c r="Q1452" i="69"/>
  <c r="P1452" i="69"/>
  <c r="O1452" i="69"/>
  <c r="N1452" i="69"/>
  <c r="M1452" i="69"/>
  <c r="L1452" i="69"/>
  <c r="K1452" i="69"/>
  <c r="J1452" i="69"/>
  <c r="I1452" i="69"/>
  <c r="H1452" i="69"/>
  <c r="G1452" i="69"/>
  <c r="Q1451" i="69"/>
  <c r="P1451" i="69"/>
  <c r="O1451" i="69"/>
  <c r="N1451" i="69"/>
  <c r="M1451" i="69"/>
  <c r="L1451" i="69"/>
  <c r="K1451" i="69"/>
  <c r="J1451" i="69"/>
  <c r="I1451" i="69"/>
  <c r="H1451" i="69"/>
  <c r="G1451" i="69"/>
  <c r="Q1450" i="69"/>
  <c r="P1450" i="69"/>
  <c r="O1450" i="69"/>
  <c r="N1450" i="69"/>
  <c r="M1450" i="69"/>
  <c r="L1450" i="69"/>
  <c r="K1450" i="69"/>
  <c r="J1450" i="69"/>
  <c r="I1450" i="69"/>
  <c r="H1450" i="69"/>
  <c r="G1450" i="69"/>
  <c r="Q1449" i="69"/>
  <c r="P1449" i="69"/>
  <c r="O1449" i="69"/>
  <c r="N1449" i="69"/>
  <c r="M1449" i="69"/>
  <c r="L1449" i="69"/>
  <c r="K1449" i="69"/>
  <c r="J1449" i="69"/>
  <c r="I1449" i="69"/>
  <c r="H1449" i="69"/>
  <c r="G1449" i="69"/>
  <c r="Q1448" i="69"/>
  <c r="P1448" i="69"/>
  <c r="O1448" i="69"/>
  <c r="N1448" i="69"/>
  <c r="M1448" i="69"/>
  <c r="L1448" i="69"/>
  <c r="K1448" i="69"/>
  <c r="J1448" i="69"/>
  <c r="I1448" i="69"/>
  <c r="H1448" i="69"/>
  <c r="G1448" i="69"/>
  <c r="Q1447" i="69"/>
  <c r="P1447" i="69"/>
  <c r="O1447" i="69"/>
  <c r="N1447" i="69"/>
  <c r="M1447" i="69"/>
  <c r="L1447" i="69"/>
  <c r="K1447" i="69"/>
  <c r="J1447" i="69"/>
  <c r="I1447" i="69"/>
  <c r="H1447" i="69"/>
  <c r="G1447" i="69"/>
  <c r="Q1446" i="69"/>
  <c r="P1446" i="69"/>
  <c r="O1446" i="69"/>
  <c r="N1446" i="69"/>
  <c r="M1446" i="69"/>
  <c r="L1446" i="69"/>
  <c r="K1446" i="69"/>
  <c r="J1446" i="69"/>
  <c r="I1446" i="69"/>
  <c r="H1446" i="69"/>
  <c r="G1446" i="69"/>
  <c r="Q1445" i="69"/>
  <c r="P1445" i="69"/>
  <c r="O1445" i="69"/>
  <c r="N1445" i="69"/>
  <c r="M1445" i="69"/>
  <c r="L1445" i="69"/>
  <c r="K1445" i="69"/>
  <c r="J1445" i="69"/>
  <c r="I1445" i="69"/>
  <c r="H1445" i="69"/>
  <c r="G1445" i="69"/>
  <c r="Q1444" i="69"/>
  <c r="P1444" i="69"/>
  <c r="O1444" i="69"/>
  <c r="N1444" i="69"/>
  <c r="M1444" i="69"/>
  <c r="L1444" i="69"/>
  <c r="K1444" i="69"/>
  <c r="J1444" i="69"/>
  <c r="I1444" i="69"/>
  <c r="H1444" i="69"/>
  <c r="G1444" i="69"/>
  <c r="Q1443" i="69"/>
  <c r="P1443" i="69"/>
  <c r="O1443" i="69"/>
  <c r="N1443" i="69"/>
  <c r="M1443" i="69"/>
  <c r="L1443" i="69"/>
  <c r="K1443" i="69"/>
  <c r="J1443" i="69"/>
  <c r="I1443" i="69"/>
  <c r="H1443" i="69"/>
  <c r="G1443" i="69"/>
  <c r="Q1442" i="69"/>
  <c r="P1442" i="69"/>
  <c r="O1442" i="69"/>
  <c r="N1442" i="69"/>
  <c r="M1442" i="69"/>
  <c r="L1442" i="69"/>
  <c r="K1442" i="69"/>
  <c r="J1442" i="69"/>
  <c r="I1442" i="69"/>
  <c r="H1442" i="69"/>
  <c r="G1442" i="69"/>
  <c r="Q1441" i="69"/>
  <c r="P1441" i="69"/>
  <c r="O1441" i="69"/>
  <c r="N1441" i="69"/>
  <c r="M1441" i="69"/>
  <c r="L1441" i="69"/>
  <c r="K1441" i="69"/>
  <c r="J1441" i="69"/>
  <c r="I1441" i="69"/>
  <c r="H1441" i="69"/>
  <c r="G1441" i="69"/>
  <c r="Q1440" i="69"/>
  <c r="P1440" i="69"/>
  <c r="O1440" i="69"/>
  <c r="N1440" i="69"/>
  <c r="M1440" i="69"/>
  <c r="L1440" i="69"/>
  <c r="K1440" i="69"/>
  <c r="J1440" i="69"/>
  <c r="I1440" i="69"/>
  <c r="H1440" i="69"/>
  <c r="G1440" i="69"/>
  <c r="Q1439" i="69"/>
  <c r="P1439" i="69"/>
  <c r="O1439" i="69"/>
  <c r="N1439" i="69"/>
  <c r="M1439" i="69"/>
  <c r="L1439" i="69"/>
  <c r="K1439" i="69"/>
  <c r="J1439" i="69"/>
  <c r="I1439" i="69"/>
  <c r="H1439" i="69"/>
  <c r="G1439" i="69"/>
  <c r="Q1438" i="69"/>
  <c r="P1438" i="69"/>
  <c r="O1438" i="69"/>
  <c r="N1438" i="69"/>
  <c r="M1438" i="69"/>
  <c r="L1438" i="69"/>
  <c r="K1438" i="69"/>
  <c r="J1438" i="69"/>
  <c r="I1438" i="69"/>
  <c r="H1438" i="69"/>
  <c r="G1438" i="69"/>
  <c r="Q1437" i="69"/>
  <c r="P1437" i="69"/>
  <c r="O1437" i="69"/>
  <c r="N1437" i="69"/>
  <c r="M1437" i="69"/>
  <c r="L1437" i="69"/>
  <c r="K1437" i="69"/>
  <c r="J1437" i="69"/>
  <c r="I1437" i="69"/>
  <c r="H1437" i="69"/>
  <c r="G1437" i="69"/>
  <c r="Q1436" i="69"/>
  <c r="P1436" i="69"/>
  <c r="O1436" i="69"/>
  <c r="N1436" i="69"/>
  <c r="M1436" i="69"/>
  <c r="L1436" i="69"/>
  <c r="K1436" i="69"/>
  <c r="J1436" i="69"/>
  <c r="I1436" i="69"/>
  <c r="H1436" i="69"/>
  <c r="G1436" i="69"/>
  <c r="Q1435" i="69"/>
  <c r="P1435" i="69"/>
  <c r="O1435" i="69"/>
  <c r="N1435" i="69"/>
  <c r="M1435" i="69"/>
  <c r="L1435" i="69"/>
  <c r="K1435" i="69"/>
  <c r="J1435" i="69"/>
  <c r="I1435" i="69"/>
  <c r="H1435" i="69"/>
  <c r="G1435" i="69"/>
  <c r="Q1434" i="69"/>
  <c r="P1434" i="69"/>
  <c r="O1434" i="69"/>
  <c r="N1434" i="69"/>
  <c r="M1434" i="69"/>
  <c r="L1434" i="69"/>
  <c r="K1434" i="69"/>
  <c r="J1434" i="69"/>
  <c r="I1434" i="69"/>
  <c r="H1434" i="69"/>
  <c r="G1434" i="69"/>
  <c r="Q1433" i="69"/>
  <c r="P1433" i="69"/>
  <c r="O1433" i="69"/>
  <c r="N1433" i="69"/>
  <c r="M1433" i="69"/>
  <c r="L1433" i="69"/>
  <c r="K1433" i="69"/>
  <c r="J1433" i="69"/>
  <c r="I1433" i="69"/>
  <c r="H1433" i="69"/>
  <c r="G1433" i="69"/>
  <c r="Q1432" i="69"/>
  <c r="P1432" i="69"/>
  <c r="O1432" i="69"/>
  <c r="N1432" i="69"/>
  <c r="M1432" i="69"/>
  <c r="L1432" i="69"/>
  <c r="K1432" i="69"/>
  <c r="J1432" i="69"/>
  <c r="I1432" i="69"/>
  <c r="H1432" i="69"/>
  <c r="G1432" i="69"/>
  <c r="Q1431" i="69"/>
  <c r="P1431" i="69"/>
  <c r="O1431" i="69"/>
  <c r="N1431" i="69"/>
  <c r="M1431" i="69"/>
  <c r="L1431" i="69"/>
  <c r="K1431" i="69"/>
  <c r="J1431" i="69"/>
  <c r="I1431" i="69"/>
  <c r="H1431" i="69"/>
  <c r="G1431" i="69"/>
  <c r="Q1430" i="69"/>
  <c r="P1430" i="69"/>
  <c r="O1430" i="69"/>
  <c r="N1430" i="69"/>
  <c r="M1430" i="69"/>
  <c r="L1430" i="69"/>
  <c r="K1430" i="69"/>
  <c r="J1430" i="69"/>
  <c r="I1430" i="69"/>
  <c r="H1430" i="69"/>
  <c r="G1430" i="69"/>
  <c r="Q1429" i="69"/>
  <c r="P1429" i="69"/>
  <c r="O1429" i="69"/>
  <c r="N1429" i="69"/>
  <c r="M1429" i="69"/>
  <c r="L1429" i="69"/>
  <c r="K1429" i="69"/>
  <c r="J1429" i="69"/>
  <c r="I1429" i="69"/>
  <c r="H1429" i="69"/>
  <c r="G1429" i="69"/>
  <c r="Q1428" i="69"/>
  <c r="P1428" i="69"/>
  <c r="O1428" i="69"/>
  <c r="N1428" i="69"/>
  <c r="M1428" i="69"/>
  <c r="L1428" i="69"/>
  <c r="K1428" i="69"/>
  <c r="J1428" i="69"/>
  <c r="I1428" i="69"/>
  <c r="H1428" i="69"/>
  <c r="G1428" i="69"/>
  <c r="Q1427" i="69"/>
  <c r="P1427" i="69"/>
  <c r="O1427" i="69"/>
  <c r="N1427" i="69"/>
  <c r="M1427" i="69"/>
  <c r="L1427" i="69"/>
  <c r="K1427" i="69"/>
  <c r="J1427" i="69"/>
  <c r="I1427" i="69"/>
  <c r="H1427" i="69"/>
  <c r="G1427" i="69"/>
  <c r="Q1426" i="69"/>
  <c r="P1426" i="69"/>
  <c r="O1426" i="69"/>
  <c r="N1426" i="69"/>
  <c r="M1426" i="69"/>
  <c r="L1426" i="69"/>
  <c r="K1426" i="69"/>
  <c r="J1426" i="69"/>
  <c r="I1426" i="69"/>
  <c r="H1426" i="69"/>
  <c r="G1426" i="69"/>
  <c r="Q1425" i="69"/>
  <c r="P1425" i="69"/>
  <c r="O1425" i="69"/>
  <c r="N1425" i="69"/>
  <c r="M1425" i="69"/>
  <c r="L1425" i="69"/>
  <c r="K1425" i="69"/>
  <c r="J1425" i="69"/>
  <c r="I1425" i="69"/>
  <c r="H1425" i="69"/>
  <c r="G1425" i="69"/>
  <c r="Q1424" i="69"/>
  <c r="P1424" i="69"/>
  <c r="O1424" i="69"/>
  <c r="N1424" i="69"/>
  <c r="M1424" i="69"/>
  <c r="L1424" i="69"/>
  <c r="K1424" i="69"/>
  <c r="J1424" i="69"/>
  <c r="I1424" i="69"/>
  <c r="H1424" i="69"/>
  <c r="G1424" i="69"/>
  <c r="Q1423" i="69"/>
  <c r="P1423" i="69"/>
  <c r="O1423" i="69"/>
  <c r="N1423" i="69"/>
  <c r="M1423" i="69"/>
  <c r="L1423" i="69"/>
  <c r="K1423" i="69"/>
  <c r="J1423" i="69"/>
  <c r="I1423" i="69"/>
  <c r="H1423" i="69"/>
  <c r="G1423" i="69"/>
  <c r="Q1422" i="69"/>
  <c r="P1422" i="69"/>
  <c r="O1422" i="69"/>
  <c r="N1422" i="69"/>
  <c r="M1422" i="69"/>
  <c r="L1422" i="69"/>
  <c r="K1422" i="69"/>
  <c r="J1422" i="69"/>
  <c r="I1422" i="69"/>
  <c r="H1422" i="69"/>
  <c r="G1422" i="69"/>
  <c r="Q1421" i="69"/>
  <c r="P1421" i="69"/>
  <c r="O1421" i="69"/>
  <c r="N1421" i="69"/>
  <c r="M1421" i="69"/>
  <c r="L1421" i="69"/>
  <c r="K1421" i="69"/>
  <c r="J1421" i="69"/>
  <c r="I1421" i="69"/>
  <c r="H1421" i="69"/>
  <c r="G1421" i="69"/>
  <c r="Q1420" i="69"/>
  <c r="P1420" i="69"/>
  <c r="O1420" i="69"/>
  <c r="N1420" i="69"/>
  <c r="M1420" i="69"/>
  <c r="L1420" i="69"/>
  <c r="K1420" i="69"/>
  <c r="J1420" i="69"/>
  <c r="I1420" i="69"/>
  <c r="H1420" i="69"/>
  <c r="G1420" i="69"/>
  <c r="Q1419" i="69"/>
  <c r="P1419" i="69"/>
  <c r="O1419" i="69"/>
  <c r="N1419" i="69"/>
  <c r="M1419" i="69"/>
  <c r="L1419" i="69"/>
  <c r="K1419" i="69"/>
  <c r="J1419" i="69"/>
  <c r="I1419" i="69"/>
  <c r="H1419" i="69"/>
  <c r="G1419" i="69"/>
  <c r="Q1418" i="69"/>
  <c r="P1418" i="69"/>
  <c r="O1418" i="69"/>
  <c r="N1418" i="69"/>
  <c r="M1418" i="69"/>
  <c r="L1418" i="69"/>
  <c r="K1418" i="69"/>
  <c r="J1418" i="69"/>
  <c r="I1418" i="69"/>
  <c r="H1418" i="69"/>
  <c r="G1418" i="69"/>
  <c r="Q1417" i="69"/>
  <c r="P1417" i="69"/>
  <c r="O1417" i="69"/>
  <c r="N1417" i="69"/>
  <c r="M1417" i="69"/>
  <c r="L1417" i="69"/>
  <c r="K1417" i="69"/>
  <c r="J1417" i="69"/>
  <c r="I1417" i="69"/>
  <c r="H1417" i="69"/>
  <c r="G1417" i="69"/>
  <c r="Q1416" i="69"/>
  <c r="P1416" i="69"/>
  <c r="O1416" i="69"/>
  <c r="N1416" i="69"/>
  <c r="M1416" i="69"/>
  <c r="L1416" i="69"/>
  <c r="K1416" i="69"/>
  <c r="J1416" i="69"/>
  <c r="I1416" i="69"/>
  <c r="H1416" i="69"/>
  <c r="G1416" i="69"/>
  <c r="Q1415" i="69"/>
  <c r="P1415" i="69"/>
  <c r="O1415" i="69"/>
  <c r="N1415" i="69"/>
  <c r="M1415" i="69"/>
  <c r="L1415" i="69"/>
  <c r="K1415" i="69"/>
  <c r="J1415" i="69"/>
  <c r="I1415" i="69"/>
  <c r="H1415" i="69"/>
  <c r="G1415" i="69"/>
  <c r="Q1414" i="69"/>
  <c r="P1414" i="69"/>
  <c r="O1414" i="69"/>
  <c r="N1414" i="69"/>
  <c r="M1414" i="69"/>
  <c r="L1414" i="69"/>
  <c r="K1414" i="69"/>
  <c r="J1414" i="69"/>
  <c r="I1414" i="69"/>
  <c r="H1414" i="69"/>
  <c r="G1414" i="69"/>
  <c r="Q1413" i="69"/>
  <c r="P1413" i="69"/>
  <c r="O1413" i="69"/>
  <c r="N1413" i="69"/>
  <c r="M1413" i="69"/>
  <c r="L1413" i="69"/>
  <c r="K1413" i="69"/>
  <c r="J1413" i="69"/>
  <c r="I1413" i="69"/>
  <c r="H1413" i="69"/>
  <c r="G1413" i="69"/>
  <c r="Q1412" i="69"/>
  <c r="P1412" i="69"/>
  <c r="O1412" i="69"/>
  <c r="N1412" i="69"/>
  <c r="M1412" i="69"/>
  <c r="L1412" i="69"/>
  <c r="K1412" i="69"/>
  <c r="J1412" i="69"/>
  <c r="I1412" i="69"/>
  <c r="H1412" i="69"/>
  <c r="G1412" i="69"/>
  <c r="Q1411" i="69"/>
  <c r="P1411" i="69"/>
  <c r="O1411" i="69"/>
  <c r="N1411" i="69"/>
  <c r="M1411" i="69"/>
  <c r="L1411" i="69"/>
  <c r="K1411" i="69"/>
  <c r="J1411" i="69"/>
  <c r="I1411" i="69"/>
  <c r="H1411" i="69"/>
  <c r="G1411" i="69"/>
  <c r="Q1410" i="69"/>
  <c r="P1410" i="69"/>
  <c r="O1410" i="69"/>
  <c r="N1410" i="69"/>
  <c r="M1410" i="69"/>
  <c r="L1410" i="69"/>
  <c r="K1410" i="69"/>
  <c r="J1410" i="69"/>
  <c r="I1410" i="69"/>
  <c r="H1410" i="69"/>
  <c r="G1410" i="69"/>
  <c r="Q1409" i="69"/>
  <c r="P1409" i="69"/>
  <c r="O1409" i="69"/>
  <c r="N1409" i="69"/>
  <c r="M1409" i="69"/>
  <c r="L1409" i="69"/>
  <c r="K1409" i="69"/>
  <c r="J1409" i="69"/>
  <c r="I1409" i="69"/>
  <c r="H1409" i="69"/>
  <c r="G1409" i="69"/>
  <c r="Q1408" i="69"/>
  <c r="P1408" i="69"/>
  <c r="O1408" i="69"/>
  <c r="N1408" i="69"/>
  <c r="M1408" i="69"/>
  <c r="L1408" i="69"/>
  <c r="K1408" i="69"/>
  <c r="J1408" i="69"/>
  <c r="I1408" i="69"/>
  <c r="H1408" i="69"/>
  <c r="G1408" i="69"/>
  <c r="Q1407" i="69"/>
  <c r="P1407" i="69"/>
  <c r="O1407" i="69"/>
  <c r="N1407" i="69"/>
  <c r="M1407" i="69"/>
  <c r="L1407" i="69"/>
  <c r="K1407" i="69"/>
  <c r="J1407" i="69"/>
  <c r="I1407" i="69"/>
  <c r="H1407" i="69"/>
  <c r="G1407" i="69"/>
  <c r="Q1406" i="69"/>
  <c r="P1406" i="69"/>
  <c r="O1406" i="69"/>
  <c r="N1406" i="69"/>
  <c r="M1406" i="69"/>
  <c r="L1406" i="69"/>
  <c r="K1406" i="69"/>
  <c r="J1406" i="69"/>
  <c r="I1406" i="69"/>
  <c r="H1406" i="69"/>
  <c r="G1406" i="69"/>
  <c r="Q1405" i="69"/>
  <c r="P1405" i="69"/>
  <c r="O1405" i="69"/>
  <c r="N1405" i="69"/>
  <c r="M1405" i="69"/>
  <c r="L1405" i="69"/>
  <c r="K1405" i="69"/>
  <c r="J1405" i="69"/>
  <c r="I1405" i="69"/>
  <c r="H1405" i="69"/>
  <c r="G1405" i="69"/>
  <c r="Q1404" i="69"/>
  <c r="P1404" i="69"/>
  <c r="O1404" i="69"/>
  <c r="N1404" i="69"/>
  <c r="M1404" i="69"/>
  <c r="L1404" i="69"/>
  <c r="K1404" i="69"/>
  <c r="J1404" i="69"/>
  <c r="I1404" i="69"/>
  <c r="H1404" i="69"/>
  <c r="G1404" i="69"/>
  <c r="Q1403" i="69"/>
  <c r="P1403" i="69"/>
  <c r="O1403" i="69"/>
  <c r="N1403" i="69"/>
  <c r="M1403" i="69"/>
  <c r="L1403" i="69"/>
  <c r="K1403" i="69"/>
  <c r="J1403" i="69"/>
  <c r="I1403" i="69"/>
  <c r="H1403" i="69"/>
  <c r="G1403" i="69"/>
  <c r="Q1402" i="69"/>
  <c r="P1402" i="69"/>
  <c r="O1402" i="69"/>
  <c r="N1402" i="69"/>
  <c r="M1402" i="69"/>
  <c r="L1402" i="69"/>
  <c r="K1402" i="69"/>
  <c r="J1402" i="69"/>
  <c r="I1402" i="69"/>
  <c r="H1402" i="69"/>
  <c r="G1402" i="69"/>
  <c r="Q1401" i="69"/>
  <c r="P1401" i="69"/>
  <c r="O1401" i="69"/>
  <c r="N1401" i="69"/>
  <c r="M1401" i="69"/>
  <c r="L1401" i="69"/>
  <c r="K1401" i="69"/>
  <c r="J1401" i="69"/>
  <c r="I1401" i="69"/>
  <c r="H1401" i="69"/>
  <c r="G1401" i="69"/>
  <c r="Q1400" i="69"/>
  <c r="P1400" i="69"/>
  <c r="O1400" i="69"/>
  <c r="N1400" i="69"/>
  <c r="M1400" i="69"/>
  <c r="L1400" i="69"/>
  <c r="K1400" i="69"/>
  <c r="J1400" i="69"/>
  <c r="I1400" i="69"/>
  <c r="H1400" i="69"/>
  <c r="G1400" i="69"/>
  <c r="Q1399" i="69"/>
  <c r="P1399" i="69"/>
  <c r="O1399" i="69"/>
  <c r="N1399" i="69"/>
  <c r="M1399" i="69"/>
  <c r="L1399" i="69"/>
  <c r="K1399" i="69"/>
  <c r="J1399" i="69"/>
  <c r="I1399" i="69"/>
  <c r="H1399" i="69"/>
  <c r="G1399" i="69"/>
  <c r="Q1398" i="69"/>
  <c r="P1398" i="69"/>
  <c r="O1398" i="69"/>
  <c r="N1398" i="69"/>
  <c r="M1398" i="69"/>
  <c r="L1398" i="69"/>
  <c r="K1398" i="69"/>
  <c r="J1398" i="69"/>
  <c r="I1398" i="69"/>
  <c r="H1398" i="69"/>
  <c r="G1398" i="69"/>
  <c r="Q1397" i="69"/>
  <c r="P1397" i="69"/>
  <c r="O1397" i="69"/>
  <c r="N1397" i="69"/>
  <c r="M1397" i="69"/>
  <c r="L1397" i="69"/>
  <c r="K1397" i="69"/>
  <c r="J1397" i="69"/>
  <c r="I1397" i="69"/>
  <c r="H1397" i="69"/>
  <c r="G1397" i="69"/>
  <c r="Q1396" i="69"/>
  <c r="P1396" i="69"/>
  <c r="O1396" i="69"/>
  <c r="N1396" i="69"/>
  <c r="M1396" i="69"/>
  <c r="L1396" i="69"/>
  <c r="K1396" i="69"/>
  <c r="J1396" i="69"/>
  <c r="I1396" i="69"/>
  <c r="H1396" i="69"/>
  <c r="G1396" i="69"/>
  <c r="Q1395" i="69"/>
  <c r="P1395" i="69"/>
  <c r="O1395" i="69"/>
  <c r="N1395" i="69"/>
  <c r="M1395" i="69"/>
  <c r="L1395" i="69"/>
  <c r="K1395" i="69"/>
  <c r="J1395" i="69"/>
  <c r="I1395" i="69"/>
  <c r="H1395" i="69"/>
  <c r="G1395" i="69"/>
  <c r="Q1394" i="69"/>
  <c r="P1394" i="69"/>
  <c r="O1394" i="69"/>
  <c r="N1394" i="69"/>
  <c r="M1394" i="69"/>
  <c r="L1394" i="69"/>
  <c r="K1394" i="69"/>
  <c r="J1394" i="69"/>
  <c r="I1394" i="69"/>
  <c r="H1394" i="69"/>
  <c r="G1394" i="69"/>
  <c r="Q1393" i="69"/>
  <c r="P1393" i="69"/>
  <c r="O1393" i="69"/>
  <c r="N1393" i="69"/>
  <c r="M1393" i="69"/>
  <c r="L1393" i="69"/>
  <c r="K1393" i="69"/>
  <c r="J1393" i="69"/>
  <c r="I1393" i="69"/>
  <c r="H1393" i="69"/>
  <c r="G1393" i="69"/>
  <c r="Q1392" i="69"/>
  <c r="P1392" i="69"/>
  <c r="O1392" i="69"/>
  <c r="N1392" i="69"/>
  <c r="M1392" i="69"/>
  <c r="L1392" i="69"/>
  <c r="K1392" i="69"/>
  <c r="J1392" i="69"/>
  <c r="I1392" i="69"/>
  <c r="H1392" i="69"/>
  <c r="G1392" i="69"/>
  <c r="Q1391" i="69"/>
  <c r="P1391" i="69"/>
  <c r="O1391" i="69"/>
  <c r="N1391" i="69"/>
  <c r="M1391" i="69"/>
  <c r="L1391" i="69"/>
  <c r="K1391" i="69"/>
  <c r="J1391" i="69"/>
  <c r="I1391" i="69"/>
  <c r="H1391" i="69"/>
  <c r="G1391" i="69"/>
  <c r="Q1390" i="69"/>
  <c r="P1390" i="69"/>
  <c r="O1390" i="69"/>
  <c r="N1390" i="69"/>
  <c r="M1390" i="69"/>
  <c r="L1390" i="69"/>
  <c r="K1390" i="69"/>
  <c r="J1390" i="69"/>
  <c r="I1390" i="69"/>
  <c r="H1390" i="69"/>
  <c r="G1390" i="69"/>
  <c r="Q1389" i="69"/>
  <c r="P1389" i="69"/>
  <c r="O1389" i="69"/>
  <c r="N1389" i="69"/>
  <c r="M1389" i="69"/>
  <c r="L1389" i="69"/>
  <c r="K1389" i="69"/>
  <c r="J1389" i="69"/>
  <c r="I1389" i="69"/>
  <c r="H1389" i="69"/>
  <c r="G1389" i="69"/>
  <c r="Q1388" i="69"/>
  <c r="P1388" i="69"/>
  <c r="O1388" i="69"/>
  <c r="N1388" i="69"/>
  <c r="M1388" i="69"/>
  <c r="L1388" i="69"/>
  <c r="K1388" i="69"/>
  <c r="J1388" i="69"/>
  <c r="I1388" i="69"/>
  <c r="H1388" i="69"/>
  <c r="G1388" i="69"/>
  <c r="Q1387" i="69"/>
  <c r="P1387" i="69"/>
  <c r="O1387" i="69"/>
  <c r="N1387" i="69"/>
  <c r="M1387" i="69"/>
  <c r="L1387" i="69"/>
  <c r="K1387" i="69"/>
  <c r="J1387" i="69"/>
  <c r="I1387" i="69"/>
  <c r="H1387" i="69"/>
  <c r="G1387" i="69"/>
  <c r="Q1386" i="69"/>
  <c r="P1386" i="69"/>
  <c r="O1386" i="69"/>
  <c r="N1386" i="69"/>
  <c r="M1386" i="69"/>
  <c r="L1386" i="69"/>
  <c r="K1386" i="69"/>
  <c r="J1386" i="69"/>
  <c r="I1386" i="69"/>
  <c r="H1386" i="69"/>
  <c r="G1386" i="69"/>
  <c r="Q1385" i="69"/>
  <c r="P1385" i="69"/>
  <c r="O1385" i="69"/>
  <c r="N1385" i="69"/>
  <c r="M1385" i="69"/>
  <c r="L1385" i="69"/>
  <c r="K1385" i="69"/>
  <c r="J1385" i="69"/>
  <c r="I1385" i="69"/>
  <c r="H1385" i="69"/>
  <c r="G1385" i="69"/>
  <c r="Q1384" i="69"/>
  <c r="P1384" i="69"/>
  <c r="O1384" i="69"/>
  <c r="N1384" i="69"/>
  <c r="M1384" i="69"/>
  <c r="L1384" i="69"/>
  <c r="K1384" i="69"/>
  <c r="J1384" i="69"/>
  <c r="I1384" i="69"/>
  <c r="H1384" i="69"/>
  <c r="G1384" i="69"/>
  <c r="Q1383" i="69"/>
  <c r="P1383" i="69"/>
  <c r="O1383" i="69"/>
  <c r="N1383" i="69"/>
  <c r="M1383" i="69"/>
  <c r="L1383" i="69"/>
  <c r="K1383" i="69"/>
  <c r="J1383" i="69"/>
  <c r="I1383" i="69"/>
  <c r="H1383" i="69"/>
  <c r="G1383" i="69"/>
  <c r="Q1382" i="69"/>
  <c r="P1382" i="69"/>
  <c r="O1382" i="69"/>
  <c r="N1382" i="69"/>
  <c r="M1382" i="69"/>
  <c r="L1382" i="69"/>
  <c r="K1382" i="69"/>
  <c r="J1382" i="69"/>
  <c r="I1382" i="69"/>
  <c r="H1382" i="69"/>
  <c r="G1382" i="69"/>
  <c r="Q1381" i="69"/>
  <c r="P1381" i="69"/>
  <c r="O1381" i="69"/>
  <c r="N1381" i="69"/>
  <c r="M1381" i="69"/>
  <c r="L1381" i="69"/>
  <c r="K1381" i="69"/>
  <c r="J1381" i="69"/>
  <c r="I1381" i="69"/>
  <c r="H1381" i="69"/>
  <c r="G1381" i="69"/>
  <c r="Q1380" i="69"/>
  <c r="P1380" i="69"/>
  <c r="O1380" i="69"/>
  <c r="N1380" i="69"/>
  <c r="M1380" i="69"/>
  <c r="L1380" i="69"/>
  <c r="K1380" i="69"/>
  <c r="J1380" i="69"/>
  <c r="I1380" i="69"/>
  <c r="H1380" i="69"/>
  <c r="G1380" i="69"/>
  <c r="Q1379" i="69"/>
  <c r="P1379" i="69"/>
  <c r="O1379" i="69"/>
  <c r="N1379" i="69"/>
  <c r="M1379" i="69"/>
  <c r="L1379" i="69"/>
  <c r="K1379" i="69"/>
  <c r="J1379" i="69"/>
  <c r="I1379" i="69"/>
  <c r="H1379" i="69"/>
  <c r="G1379" i="69"/>
  <c r="Q1378" i="69"/>
  <c r="P1378" i="69"/>
  <c r="O1378" i="69"/>
  <c r="N1378" i="69"/>
  <c r="M1378" i="69"/>
  <c r="L1378" i="69"/>
  <c r="K1378" i="69"/>
  <c r="J1378" i="69"/>
  <c r="I1378" i="69"/>
  <c r="H1378" i="69"/>
  <c r="G1378" i="69"/>
  <c r="Q1377" i="69"/>
  <c r="P1377" i="69"/>
  <c r="O1377" i="69"/>
  <c r="N1377" i="69"/>
  <c r="M1377" i="69"/>
  <c r="L1377" i="69"/>
  <c r="K1377" i="69"/>
  <c r="J1377" i="69"/>
  <c r="I1377" i="69"/>
  <c r="H1377" i="69"/>
  <c r="G1377" i="69"/>
  <c r="Q1376" i="69"/>
  <c r="P1376" i="69"/>
  <c r="O1376" i="69"/>
  <c r="N1376" i="69"/>
  <c r="M1376" i="69"/>
  <c r="L1376" i="69"/>
  <c r="K1376" i="69"/>
  <c r="J1376" i="69"/>
  <c r="I1376" i="69"/>
  <c r="H1376" i="69"/>
  <c r="G1376" i="69"/>
  <c r="Q1375" i="69"/>
  <c r="P1375" i="69"/>
  <c r="O1375" i="69"/>
  <c r="N1375" i="69"/>
  <c r="M1375" i="69"/>
  <c r="L1375" i="69"/>
  <c r="K1375" i="69"/>
  <c r="J1375" i="69"/>
  <c r="I1375" i="69"/>
  <c r="H1375" i="69"/>
  <c r="G1375" i="69"/>
  <c r="Q1374" i="69"/>
  <c r="P1374" i="69"/>
  <c r="O1374" i="69"/>
  <c r="N1374" i="69"/>
  <c r="M1374" i="69"/>
  <c r="L1374" i="69"/>
  <c r="K1374" i="69"/>
  <c r="J1374" i="69"/>
  <c r="I1374" i="69"/>
  <c r="H1374" i="69"/>
  <c r="G1374" i="69"/>
  <c r="Q1373" i="69"/>
  <c r="P1373" i="69"/>
  <c r="O1373" i="69"/>
  <c r="N1373" i="69"/>
  <c r="M1373" i="69"/>
  <c r="L1373" i="69"/>
  <c r="K1373" i="69"/>
  <c r="J1373" i="69"/>
  <c r="I1373" i="69"/>
  <c r="H1373" i="69"/>
  <c r="G1373" i="69"/>
  <c r="Q1372" i="69"/>
  <c r="P1372" i="69"/>
  <c r="O1372" i="69"/>
  <c r="N1372" i="69"/>
  <c r="M1372" i="69"/>
  <c r="L1372" i="69"/>
  <c r="K1372" i="69"/>
  <c r="J1372" i="69"/>
  <c r="I1372" i="69"/>
  <c r="H1372" i="69"/>
  <c r="G1372" i="69"/>
  <c r="Q1371" i="69"/>
  <c r="P1371" i="69"/>
  <c r="O1371" i="69"/>
  <c r="N1371" i="69"/>
  <c r="M1371" i="69"/>
  <c r="L1371" i="69"/>
  <c r="K1371" i="69"/>
  <c r="J1371" i="69"/>
  <c r="I1371" i="69"/>
  <c r="H1371" i="69"/>
  <c r="G1371" i="69"/>
  <c r="Q1370" i="69"/>
  <c r="P1370" i="69"/>
  <c r="O1370" i="69"/>
  <c r="N1370" i="69"/>
  <c r="M1370" i="69"/>
  <c r="L1370" i="69"/>
  <c r="K1370" i="69"/>
  <c r="J1370" i="69"/>
  <c r="I1370" i="69"/>
  <c r="H1370" i="69"/>
  <c r="G1370" i="69"/>
  <c r="Q1369" i="69"/>
  <c r="P1369" i="69"/>
  <c r="O1369" i="69"/>
  <c r="N1369" i="69"/>
  <c r="M1369" i="69"/>
  <c r="L1369" i="69"/>
  <c r="K1369" i="69"/>
  <c r="J1369" i="69"/>
  <c r="I1369" i="69"/>
  <c r="H1369" i="69"/>
  <c r="G1369" i="69"/>
  <c r="Q1368" i="69"/>
  <c r="P1368" i="69"/>
  <c r="O1368" i="69"/>
  <c r="N1368" i="69"/>
  <c r="M1368" i="69"/>
  <c r="L1368" i="69"/>
  <c r="K1368" i="69"/>
  <c r="J1368" i="69"/>
  <c r="I1368" i="69"/>
  <c r="H1368" i="69"/>
  <c r="G1368" i="69"/>
  <c r="Q1367" i="69"/>
  <c r="P1367" i="69"/>
  <c r="O1367" i="69"/>
  <c r="N1367" i="69"/>
  <c r="M1367" i="69"/>
  <c r="L1367" i="69"/>
  <c r="K1367" i="69"/>
  <c r="J1367" i="69"/>
  <c r="I1367" i="69"/>
  <c r="H1367" i="69"/>
  <c r="G1367" i="69"/>
  <c r="Q1366" i="69"/>
  <c r="P1366" i="69"/>
  <c r="O1366" i="69"/>
  <c r="N1366" i="69"/>
  <c r="M1366" i="69"/>
  <c r="L1366" i="69"/>
  <c r="K1366" i="69"/>
  <c r="J1366" i="69"/>
  <c r="I1366" i="69"/>
  <c r="H1366" i="69"/>
  <c r="G1366" i="69"/>
  <c r="Q1365" i="69"/>
  <c r="P1365" i="69"/>
  <c r="O1365" i="69"/>
  <c r="N1365" i="69"/>
  <c r="M1365" i="69"/>
  <c r="L1365" i="69"/>
  <c r="K1365" i="69"/>
  <c r="J1365" i="69"/>
  <c r="I1365" i="69"/>
  <c r="H1365" i="69"/>
  <c r="G1365" i="69"/>
  <c r="Q1364" i="69"/>
  <c r="P1364" i="69"/>
  <c r="O1364" i="69"/>
  <c r="N1364" i="69"/>
  <c r="M1364" i="69"/>
  <c r="L1364" i="69"/>
  <c r="K1364" i="69"/>
  <c r="J1364" i="69"/>
  <c r="I1364" i="69"/>
  <c r="H1364" i="69"/>
  <c r="G1364" i="69"/>
  <c r="Q1363" i="69"/>
  <c r="P1363" i="69"/>
  <c r="O1363" i="69"/>
  <c r="N1363" i="69"/>
  <c r="M1363" i="69"/>
  <c r="L1363" i="69"/>
  <c r="K1363" i="69"/>
  <c r="J1363" i="69"/>
  <c r="I1363" i="69"/>
  <c r="H1363" i="69"/>
  <c r="G1363" i="69"/>
  <c r="Q1362" i="69"/>
  <c r="P1362" i="69"/>
  <c r="O1362" i="69"/>
  <c r="N1362" i="69"/>
  <c r="M1362" i="69"/>
  <c r="L1362" i="69"/>
  <c r="K1362" i="69"/>
  <c r="J1362" i="69"/>
  <c r="I1362" i="69"/>
  <c r="H1362" i="69"/>
  <c r="G1362" i="69"/>
  <c r="Q1361" i="69"/>
  <c r="P1361" i="69"/>
  <c r="O1361" i="69"/>
  <c r="N1361" i="69"/>
  <c r="M1361" i="69"/>
  <c r="L1361" i="69"/>
  <c r="K1361" i="69"/>
  <c r="J1361" i="69"/>
  <c r="I1361" i="69"/>
  <c r="H1361" i="69"/>
  <c r="G1361" i="69"/>
  <c r="Q1360" i="69"/>
  <c r="P1360" i="69"/>
  <c r="O1360" i="69"/>
  <c r="N1360" i="69"/>
  <c r="M1360" i="69"/>
  <c r="L1360" i="69"/>
  <c r="K1360" i="69"/>
  <c r="J1360" i="69"/>
  <c r="I1360" i="69"/>
  <c r="H1360" i="69"/>
  <c r="G1360" i="69"/>
  <c r="Q1359" i="69"/>
  <c r="P1359" i="69"/>
  <c r="O1359" i="69"/>
  <c r="N1359" i="69"/>
  <c r="M1359" i="69"/>
  <c r="L1359" i="69"/>
  <c r="K1359" i="69"/>
  <c r="J1359" i="69"/>
  <c r="I1359" i="69"/>
  <c r="H1359" i="69"/>
  <c r="G1359" i="69"/>
  <c r="Q1358" i="69"/>
  <c r="P1358" i="69"/>
  <c r="O1358" i="69"/>
  <c r="N1358" i="69"/>
  <c r="M1358" i="69"/>
  <c r="L1358" i="69"/>
  <c r="K1358" i="69"/>
  <c r="J1358" i="69"/>
  <c r="I1358" i="69"/>
  <c r="H1358" i="69"/>
  <c r="G1358" i="69"/>
  <c r="Q1357" i="69"/>
  <c r="P1357" i="69"/>
  <c r="O1357" i="69"/>
  <c r="N1357" i="69"/>
  <c r="M1357" i="69"/>
  <c r="L1357" i="69"/>
  <c r="K1357" i="69"/>
  <c r="J1357" i="69"/>
  <c r="I1357" i="69"/>
  <c r="H1357" i="69"/>
  <c r="G1357" i="69"/>
  <c r="Q1356" i="69"/>
  <c r="P1356" i="69"/>
  <c r="O1356" i="69"/>
  <c r="N1356" i="69"/>
  <c r="M1356" i="69"/>
  <c r="L1356" i="69"/>
  <c r="K1356" i="69"/>
  <c r="J1356" i="69"/>
  <c r="I1356" i="69"/>
  <c r="H1356" i="69"/>
  <c r="G1356" i="69"/>
  <c r="Q1355" i="69"/>
  <c r="P1355" i="69"/>
  <c r="O1355" i="69"/>
  <c r="N1355" i="69"/>
  <c r="M1355" i="69"/>
  <c r="L1355" i="69"/>
  <c r="K1355" i="69"/>
  <c r="J1355" i="69"/>
  <c r="I1355" i="69"/>
  <c r="H1355" i="69"/>
  <c r="G1355" i="69"/>
  <c r="Q1354" i="69"/>
  <c r="P1354" i="69"/>
  <c r="O1354" i="69"/>
  <c r="N1354" i="69"/>
  <c r="M1354" i="69"/>
  <c r="L1354" i="69"/>
  <c r="K1354" i="69"/>
  <c r="J1354" i="69"/>
  <c r="I1354" i="69"/>
  <c r="H1354" i="69"/>
  <c r="G1354" i="69"/>
  <c r="Q1353" i="69"/>
  <c r="P1353" i="69"/>
  <c r="O1353" i="69"/>
  <c r="N1353" i="69"/>
  <c r="M1353" i="69"/>
  <c r="L1353" i="69"/>
  <c r="K1353" i="69"/>
  <c r="J1353" i="69"/>
  <c r="I1353" i="69"/>
  <c r="H1353" i="69"/>
  <c r="G1353" i="69"/>
  <c r="Q1352" i="69"/>
  <c r="P1352" i="69"/>
  <c r="O1352" i="69"/>
  <c r="N1352" i="69"/>
  <c r="M1352" i="69"/>
  <c r="L1352" i="69"/>
  <c r="K1352" i="69"/>
  <c r="J1352" i="69"/>
  <c r="I1352" i="69"/>
  <c r="H1352" i="69"/>
  <c r="G1352" i="69"/>
  <c r="Q1351" i="69"/>
  <c r="P1351" i="69"/>
  <c r="O1351" i="69"/>
  <c r="N1351" i="69"/>
  <c r="M1351" i="69"/>
  <c r="L1351" i="69"/>
  <c r="K1351" i="69"/>
  <c r="J1351" i="69"/>
  <c r="I1351" i="69"/>
  <c r="H1351" i="69"/>
  <c r="G1351" i="69"/>
  <c r="Q1350" i="69"/>
  <c r="P1350" i="69"/>
  <c r="O1350" i="69"/>
  <c r="N1350" i="69"/>
  <c r="M1350" i="69"/>
  <c r="L1350" i="69"/>
  <c r="K1350" i="69"/>
  <c r="J1350" i="69"/>
  <c r="I1350" i="69"/>
  <c r="H1350" i="69"/>
  <c r="G1350" i="69"/>
  <c r="Q1349" i="69"/>
  <c r="P1349" i="69"/>
  <c r="O1349" i="69"/>
  <c r="N1349" i="69"/>
  <c r="M1349" i="69"/>
  <c r="L1349" i="69"/>
  <c r="K1349" i="69"/>
  <c r="J1349" i="69"/>
  <c r="I1349" i="69"/>
  <c r="H1349" i="69"/>
  <c r="G1349" i="69"/>
  <c r="Q1348" i="69"/>
  <c r="P1348" i="69"/>
  <c r="O1348" i="69"/>
  <c r="N1348" i="69"/>
  <c r="M1348" i="69"/>
  <c r="L1348" i="69"/>
  <c r="K1348" i="69"/>
  <c r="J1348" i="69"/>
  <c r="I1348" i="69"/>
  <c r="H1348" i="69"/>
  <c r="G1348" i="69"/>
  <c r="Q1347" i="69"/>
  <c r="P1347" i="69"/>
  <c r="O1347" i="69"/>
  <c r="N1347" i="69"/>
  <c r="M1347" i="69"/>
  <c r="L1347" i="69"/>
  <c r="K1347" i="69"/>
  <c r="J1347" i="69"/>
  <c r="I1347" i="69"/>
  <c r="H1347" i="69"/>
  <c r="G1347" i="69"/>
  <c r="Q1346" i="69"/>
  <c r="P1346" i="69"/>
  <c r="O1346" i="69"/>
  <c r="N1346" i="69"/>
  <c r="M1346" i="69"/>
  <c r="L1346" i="69"/>
  <c r="K1346" i="69"/>
  <c r="J1346" i="69"/>
  <c r="I1346" i="69"/>
  <c r="H1346" i="69"/>
  <c r="G1346" i="69"/>
  <c r="Q1345" i="69"/>
  <c r="P1345" i="69"/>
  <c r="O1345" i="69"/>
  <c r="N1345" i="69"/>
  <c r="M1345" i="69"/>
  <c r="L1345" i="69"/>
  <c r="K1345" i="69"/>
  <c r="J1345" i="69"/>
  <c r="I1345" i="69"/>
  <c r="H1345" i="69"/>
  <c r="G1345" i="69"/>
  <c r="Q1344" i="69"/>
  <c r="P1344" i="69"/>
  <c r="O1344" i="69"/>
  <c r="N1344" i="69"/>
  <c r="M1344" i="69"/>
  <c r="L1344" i="69"/>
  <c r="K1344" i="69"/>
  <c r="J1344" i="69"/>
  <c r="I1344" i="69"/>
  <c r="H1344" i="69"/>
  <c r="G1344" i="69"/>
  <c r="Q1343" i="69"/>
  <c r="P1343" i="69"/>
  <c r="O1343" i="69"/>
  <c r="N1343" i="69"/>
  <c r="M1343" i="69"/>
  <c r="L1343" i="69"/>
  <c r="K1343" i="69"/>
  <c r="J1343" i="69"/>
  <c r="I1343" i="69"/>
  <c r="H1343" i="69"/>
  <c r="G1343" i="69"/>
  <c r="Q1342" i="69"/>
  <c r="P1342" i="69"/>
  <c r="O1342" i="69"/>
  <c r="N1342" i="69"/>
  <c r="M1342" i="69"/>
  <c r="L1342" i="69"/>
  <c r="K1342" i="69"/>
  <c r="J1342" i="69"/>
  <c r="I1342" i="69"/>
  <c r="H1342" i="69"/>
  <c r="G1342" i="69"/>
  <c r="Q1341" i="69"/>
  <c r="P1341" i="69"/>
  <c r="O1341" i="69"/>
  <c r="N1341" i="69"/>
  <c r="M1341" i="69"/>
  <c r="L1341" i="69"/>
  <c r="K1341" i="69"/>
  <c r="J1341" i="69"/>
  <c r="I1341" i="69"/>
  <c r="H1341" i="69"/>
  <c r="G1341" i="69"/>
  <c r="Q1340" i="69"/>
  <c r="P1340" i="69"/>
  <c r="O1340" i="69"/>
  <c r="N1340" i="69"/>
  <c r="M1340" i="69"/>
  <c r="L1340" i="69"/>
  <c r="K1340" i="69"/>
  <c r="J1340" i="69"/>
  <c r="I1340" i="69"/>
  <c r="H1340" i="69"/>
  <c r="G1340" i="69"/>
  <c r="Q1339" i="69"/>
  <c r="P1339" i="69"/>
  <c r="O1339" i="69"/>
  <c r="N1339" i="69"/>
  <c r="M1339" i="69"/>
  <c r="L1339" i="69"/>
  <c r="K1339" i="69"/>
  <c r="J1339" i="69"/>
  <c r="I1339" i="69"/>
  <c r="H1339" i="69"/>
  <c r="G1339" i="69"/>
  <c r="Q1338" i="69"/>
  <c r="P1338" i="69"/>
  <c r="O1338" i="69"/>
  <c r="N1338" i="69"/>
  <c r="M1338" i="69"/>
  <c r="L1338" i="69"/>
  <c r="K1338" i="69"/>
  <c r="J1338" i="69"/>
  <c r="I1338" i="69"/>
  <c r="H1338" i="69"/>
  <c r="G1338" i="69"/>
  <c r="Q1337" i="69"/>
  <c r="P1337" i="69"/>
  <c r="O1337" i="69"/>
  <c r="N1337" i="69"/>
  <c r="M1337" i="69"/>
  <c r="L1337" i="69"/>
  <c r="K1337" i="69"/>
  <c r="J1337" i="69"/>
  <c r="I1337" i="69"/>
  <c r="H1337" i="69"/>
  <c r="G1337" i="69"/>
  <c r="Q1336" i="69"/>
  <c r="P1336" i="69"/>
  <c r="O1336" i="69"/>
  <c r="N1336" i="69"/>
  <c r="M1336" i="69"/>
  <c r="L1336" i="69"/>
  <c r="K1336" i="69"/>
  <c r="J1336" i="69"/>
  <c r="I1336" i="69"/>
  <c r="H1336" i="69"/>
  <c r="G1336" i="69"/>
  <c r="Q1335" i="69"/>
  <c r="P1335" i="69"/>
  <c r="O1335" i="69"/>
  <c r="N1335" i="69"/>
  <c r="M1335" i="69"/>
  <c r="L1335" i="69"/>
  <c r="K1335" i="69"/>
  <c r="J1335" i="69"/>
  <c r="I1335" i="69"/>
  <c r="H1335" i="69"/>
  <c r="G1335" i="69"/>
  <c r="Q1334" i="69"/>
  <c r="P1334" i="69"/>
  <c r="O1334" i="69"/>
  <c r="N1334" i="69"/>
  <c r="M1334" i="69"/>
  <c r="L1334" i="69"/>
  <c r="K1334" i="69"/>
  <c r="J1334" i="69"/>
  <c r="I1334" i="69"/>
  <c r="H1334" i="69"/>
  <c r="G1334" i="69"/>
  <c r="Q1333" i="69"/>
  <c r="P1333" i="69"/>
  <c r="O1333" i="69"/>
  <c r="N1333" i="69"/>
  <c r="M1333" i="69"/>
  <c r="L1333" i="69"/>
  <c r="K1333" i="69"/>
  <c r="J1333" i="69"/>
  <c r="I1333" i="69"/>
  <c r="H1333" i="69"/>
  <c r="G1333" i="69"/>
  <c r="Q1332" i="69"/>
  <c r="P1332" i="69"/>
  <c r="O1332" i="69"/>
  <c r="N1332" i="69"/>
  <c r="M1332" i="69"/>
  <c r="L1332" i="69"/>
  <c r="K1332" i="69"/>
  <c r="J1332" i="69"/>
  <c r="I1332" i="69"/>
  <c r="H1332" i="69"/>
  <c r="G1332" i="69"/>
  <c r="Q1331" i="69"/>
  <c r="P1331" i="69"/>
  <c r="O1331" i="69"/>
  <c r="N1331" i="69"/>
  <c r="M1331" i="69"/>
  <c r="L1331" i="69"/>
  <c r="K1331" i="69"/>
  <c r="J1331" i="69"/>
  <c r="I1331" i="69"/>
  <c r="H1331" i="69"/>
  <c r="G1331" i="69"/>
  <c r="Q1330" i="69"/>
  <c r="P1330" i="69"/>
  <c r="O1330" i="69"/>
  <c r="N1330" i="69"/>
  <c r="M1330" i="69"/>
  <c r="L1330" i="69"/>
  <c r="K1330" i="69"/>
  <c r="J1330" i="69"/>
  <c r="I1330" i="69"/>
  <c r="H1330" i="69"/>
  <c r="G1330" i="69"/>
  <c r="Q1329" i="69"/>
  <c r="P1329" i="69"/>
  <c r="O1329" i="69"/>
  <c r="N1329" i="69"/>
  <c r="M1329" i="69"/>
  <c r="L1329" i="69"/>
  <c r="K1329" i="69"/>
  <c r="J1329" i="69"/>
  <c r="I1329" i="69"/>
  <c r="H1329" i="69"/>
  <c r="G1329" i="69"/>
  <c r="Q1328" i="69"/>
  <c r="P1328" i="69"/>
  <c r="O1328" i="69"/>
  <c r="N1328" i="69"/>
  <c r="M1328" i="69"/>
  <c r="L1328" i="69"/>
  <c r="K1328" i="69"/>
  <c r="J1328" i="69"/>
  <c r="I1328" i="69"/>
  <c r="H1328" i="69"/>
  <c r="G1328" i="69"/>
  <c r="Q1327" i="69"/>
  <c r="P1327" i="69"/>
  <c r="O1327" i="69"/>
  <c r="N1327" i="69"/>
  <c r="M1327" i="69"/>
  <c r="L1327" i="69"/>
  <c r="K1327" i="69"/>
  <c r="J1327" i="69"/>
  <c r="I1327" i="69"/>
  <c r="H1327" i="69"/>
  <c r="G1327" i="69"/>
  <c r="Q1326" i="69"/>
  <c r="P1326" i="69"/>
  <c r="O1326" i="69"/>
  <c r="N1326" i="69"/>
  <c r="M1326" i="69"/>
  <c r="L1326" i="69"/>
  <c r="K1326" i="69"/>
  <c r="J1326" i="69"/>
  <c r="I1326" i="69"/>
  <c r="H1326" i="69"/>
  <c r="G1326" i="69"/>
  <c r="Q1325" i="69"/>
  <c r="P1325" i="69"/>
  <c r="O1325" i="69"/>
  <c r="N1325" i="69"/>
  <c r="M1325" i="69"/>
  <c r="L1325" i="69"/>
  <c r="K1325" i="69"/>
  <c r="J1325" i="69"/>
  <c r="I1325" i="69"/>
  <c r="H1325" i="69"/>
  <c r="G1325" i="69"/>
  <c r="Q1324" i="69"/>
  <c r="P1324" i="69"/>
  <c r="O1324" i="69"/>
  <c r="N1324" i="69"/>
  <c r="M1324" i="69"/>
  <c r="L1324" i="69"/>
  <c r="K1324" i="69"/>
  <c r="J1324" i="69"/>
  <c r="I1324" i="69"/>
  <c r="H1324" i="69"/>
  <c r="G1324" i="69"/>
  <c r="Q1323" i="69"/>
  <c r="P1323" i="69"/>
  <c r="O1323" i="69"/>
  <c r="N1323" i="69"/>
  <c r="M1323" i="69"/>
  <c r="L1323" i="69"/>
  <c r="K1323" i="69"/>
  <c r="J1323" i="69"/>
  <c r="I1323" i="69"/>
  <c r="H1323" i="69"/>
  <c r="G1323" i="69"/>
  <c r="Q1322" i="69"/>
  <c r="P1322" i="69"/>
  <c r="O1322" i="69"/>
  <c r="N1322" i="69"/>
  <c r="M1322" i="69"/>
  <c r="L1322" i="69"/>
  <c r="K1322" i="69"/>
  <c r="J1322" i="69"/>
  <c r="I1322" i="69"/>
  <c r="H1322" i="69"/>
  <c r="G1322" i="69"/>
  <c r="Q1321" i="69"/>
  <c r="P1321" i="69"/>
  <c r="O1321" i="69"/>
  <c r="N1321" i="69"/>
  <c r="M1321" i="69"/>
  <c r="L1321" i="69"/>
  <c r="K1321" i="69"/>
  <c r="J1321" i="69"/>
  <c r="I1321" i="69"/>
  <c r="H1321" i="69"/>
  <c r="G1321" i="69"/>
  <c r="Q1320" i="69"/>
  <c r="P1320" i="69"/>
  <c r="O1320" i="69"/>
  <c r="N1320" i="69"/>
  <c r="M1320" i="69"/>
  <c r="L1320" i="69"/>
  <c r="K1320" i="69"/>
  <c r="J1320" i="69"/>
  <c r="I1320" i="69"/>
  <c r="H1320" i="69"/>
  <c r="G1320" i="69"/>
  <c r="Q1319" i="69"/>
  <c r="P1319" i="69"/>
  <c r="O1319" i="69"/>
  <c r="N1319" i="69"/>
  <c r="M1319" i="69"/>
  <c r="L1319" i="69"/>
  <c r="K1319" i="69"/>
  <c r="J1319" i="69"/>
  <c r="I1319" i="69"/>
  <c r="H1319" i="69"/>
  <c r="G1319" i="69"/>
  <c r="Q1318" i="69"/>
  <c r="P1318" i="69"/>
  <c r="O1318" i="69"/>
  <c r="N1318" i="69"/>
  <c r="M1318" i="69"/>
  <c r="L1318" i="69"/>
  <c r="K1318" i="69"/>
  <c r="J1318" i="69"/>
  <c r="I1318" i="69"/>
  <c r="H1318" i="69"/>
  <c r="G1318" i="69"/>
  <c r="Q1317" i="69"/>
  <c r="P1317" i="69"/>
  <c r="O1317" i="69"/>
  <c r="N1317" i="69"/>
  <c r="M1317" i="69"/>
  <c r="L1317" i="69"/>
  <c r="K1317" i="69"/>
  <c r="J1317" i="69"/>
  <c r="I1317" i="69"/>
  <c r="H1317" i="69"/>
  <c r="G1317" i="69"/>
  <c r="Q1316" i="69"/>
  <c r="P1316" i="69"/>
  <c r="O1316" i="69"/>
  <c r="N1316" i="69"/>
  <c r="M1316" i="69"/>
  <c r="L1316" i="69"/>
  <c r="K1316" i="69"/>
  <c r="J1316" i="69"/>
  <c r="I1316" i="69"/>
  <c r="H1316" i="69"/>
  <c r="G1316" i="69"/>
  <c r="Q1315" i="69"/>
  <c r="P1315" i="69"/>
  <c r="O1315" i="69"/>
  <c r="N1315" i="69"/>
  <c r="M1315" i="69"/>
  <c r="L1315" i="69"/>
  <c r="K1315" i="69"/>
  <c r="J1315" i="69"/>
  <c r="I1315" i="69"/>
  <c r="H1315" i="69"/>
  <c r="G1315" i="69"/>
  <c r="Q1314" i="69"/>
  <c r="P1314" i="69"/>
  <c r="O1314" i="69"/>
  <c r="N1314" i="69"/>
  <c r="M1314" i="69"/>
  <c r="L1314" i="69"/>
  <c r="K1314" i="69"/>
  <c r="J1314" i="69"/>
  <c r="I1314" i="69"/>
  <c r="H1314" i="69"/>
  <c r="G1314" i="69"/>
  <c r="Q1313" i="69"/>
  <c r="P1313" i="69"/>
  <c r="O1313" i="69"/>
  <c r="N1313" i="69"/>
  <c r="M1313" i="69"/>
  <c r="L1313" i="69"/>
  <c r="K1313" i="69"/>
  <c r="J1313" i="69"/>
  <c r="I1313" i="69"/>
  <c r="H1313" i="69"/>
  <c r="G1313" i="69"/>
  <c r="Q1312" i="69"/>
  <c r="P1312" i="69"/>
  <c r="O1312" i="69"/>
  <c r="N1312" i="69"/>
  <c r="M1312" i="69"/>
  <c r="L1312" i="69"/>
  <c r="K1312" i="69"/>
  <c r="J1312" i="69"/>
  <c r="I1312" i="69"/>
  <c r="H1312" i="69"/>
  <c r="G1312" i="69"/>
  <c r="Q1311" i="69"/>
  <c r="P1311" i="69"/>
  <c r="O1311" i="69"/>
  <c r="N1311" i="69"/>
  <c r="M1311" i="69"/>
  <c r="L1311" i="69"/>
  <c r="K1311" i="69"/>
  <c r="J1311" i="69"/>
  <c r="I1311" i="69"/>
  <c r="H1311" i="69"/>
  <c r="G1311" i="69"/>
  <c r="Q1310" i="69"/>
  <c r="P1310" i="69"/>
  <c r="O1310" i="69"/>
  <c r="N1310" i="69"/>
  <c r="M1310" i="69"/>
  <c r="L1310" i="69"/>
  <c r="K1310" i="69"/>
  <c r="J1310" i="69"/>
  <c r="I1310" i="69"/>
  <c r="H1310" i="69"/>
  <c r="G1310" i="69"/>
  <c r="Q1309" i="69"/>
  <c r="P1309" i="69"/>
  <c r="O1309" i="69"/>
  <c r="N1309" i="69"/>
  <c r="M1309" i="69"/>
  <c r="L1309" i="69"/>
  <c r="K1309" i="69"/>
  <c r="J1309" i="69"/>
  <c r="I1309" i="69"/>
  <c r="H1309" i="69"/>
  <c r="G1309" i="69"/>
  <c r="Q1308" i="69"/>
  <c r="P1308" i="69"/>
  <c r="O1308" i="69"/>
  <c r="N1308" i="69"/>
  <c r="M1308" i="69"/>
  <c r="L1308" i="69"/>
  <c r="K1308" i="69"/>
  <c r="J1308" i="69"/>
  <c r="I1308" i="69"/>
  <c r="H1308" i="69"/>
  <c r="G1308" i="69"/>
  <c r="Q1307" i="69"/>
  <c r="P1307" i="69"/>
  <c r="O1307" i="69"/>
  <c r="N1307" i="69"/>
  <c r="M1307" i="69"/>
  <c r="L1307" i="69"/>
  <c r="K1307" i="69"/>
  <c r="J1307" i="69"/>
  <c r="I1307" i="69"/>
  <c r="H1307" i="69"/>
  <c r="G1307" i="69"/>
  <c r="Q1306" i="69"/>
  <c r="P1306" i="69"/>
  <c r="O1306" i="69"/>
  <c r="N1306" i="69"/>
  <c r="M1306" i="69"/>
  <c r="L1306" i="69"/>
  <c r="K1306" i="69"/>
  <c r="J1306" i="69"/>
  <c r="I1306" i="69"/>
  <c r="H1306" i="69"/>
  <c r="G1306" i="69"/>
  <c r="Q1305" i="69"/>
  <c r="P1305" i="69"/>
  <c r="O1305" i="69"/>
  <c r="N1305" i="69"/>
  <c r="M1305" i="69"/>
  <c r="L1305" i="69"/>
  <c r="K1305" i="69"/>
  <c r="J1305" i="69"/>
  <c r="I1305" i="69"/>
  <c r="H1305" i="69"/>
  <c r="G1305" i="69"/>
  <c r="Q1304" i="69"/>
  <c r="P1304" i="69"/>
  <c r="O1304" i="69"/>
  <c r="N1304" i="69"/>
  <c r="M1304" i="69"/>
  <c r="L1304" i="69"/>
  <c r="K1304" i="69"/>
  <c r="J1304" i="69"/>
  <c r="I1304" i="69"/>
  <c r="H1304" i="69"/>
  <c r="G1304" i="69"/>
  <c r="Q1303" i="69"/>
  <c r="P1303" i="69"/>
  <c r="O1303" i="69"/>
  <c r="N1303" i="69"/>
  <c r="M1303" i="69"/>
  <c r="L1303" i="69"/>
  <c r="K1303" i="69"/>
  <c r="J1303" i="69"/>
  <c r="I1303" i="69"/>
  <c r="H1303" i="69"/>
  <c r="G1303" i="69"/>
  <c r="Q1302" i="69"/>
  <c r="P1302" i="69"/>
  <c r="O1302" i="69"/>
  <c r="N1302" i="69"/>
  <c r="M1302" i="69"/>
  <c r="L1302" i="69"/>
  <c r="K1302" i="69"/>
  <c r="J1302" i="69"/>
  <c r="I1302" i="69"/>
  <c r="H1302" i="69"/>
  <c r="G1302" i="69"/>
  <c r="Q1301" i="69"/>
  <c r="P1301" i="69"/>
  <c r="O1301" i="69"/>
  <c r="N1301" i="69"/>
  <c r="M1301" i="69"/>
  <c r="L1301" i="69"/>
  <c r="K1301" i="69"/>
  <c r="J1301" i="69"/>
  <c r="I1301" i="69"/>
  <c r="H1301" i="69"/>
  <c r="G1301" i="69"/>
  <c r="Q1300" i="69"/>
  <c r="P1300" i="69"/>
  <c r="O1300" i="69"/>
  <c r="N1300" i="69"/>
  <c r="M1300" i="69"/>
  <c r="L1300" i="69"/>
  <c r="K1300" i="69"/>
  <c r="J1300" i="69"/>
  <c r="I1300" i="69"/>
  <c r="H1300" i="69"/>
  <c r="G1300" i="69"/>
  <c r="Q1299" i="69"/>
  <c r="P1299" i="69"/>
  <c r="O1299" i="69"/>
  <c r="N1299" i="69"/>
  <c r="M1299" i="69"/>
  <c r="L1299" i="69"/>
  <c r="K1299" i="69"/>
  <c r="J1299" i="69"/>
  <c r="I1299" i="69"/>
  <c r="H1299" i="69"/>
  <c r="G1299" i="69"/>
  <c r="Q1298" i="69"/>
  <c r="P1298" i="69"/>
  <c r="O1298" i="69"/>
  <c r="N1298" i="69"/>
  <c r="M1298" i="69"/>
  <c r="L1298" i="69"/>
  <c r="K1298" i="69"/>
  <c r="J1298" i="69"/>
  <c r="I1298" i="69"/>
  <c r="H1298" i="69"/>
  <c r="G1298" i="69"/>
  <c r="Q1297" i="69"/>
  <c r="P1297" i="69"/>
  <c r="O1297" i="69"/>
  <c r="N1297" i="69"/>
  <c r="M1297" i="69"/>
  <c r="L1297" i="69"/>
  <c r="K1297" i="69"/>
  <c r="J1297" i="69"/>
  <c r="I1297" i="69"/>
  <c r="H1297" i="69"/>
  <c r="G1297" i="69"/>
  <c r="Q1296" i="69"/>
  <c r="P1296" i="69"/>
  <c r="O1296" i="69"/>
  <c r="N1296" i="69"/>
  <c r="M1296" i="69"/>
  <c r="L1296" i="69"/>
  <c r="K1296" i="69"/>
  <c r="J1296" i="69"/>
  <c r="I1296" i="69"/>
  <c r="H1296" i="69"/>
  <c r="G1296" i="69"/>
  <c r="Q1295" i="69"/>
  <c r="P1295" i="69"/>
  <c r="O1295" i="69"/>
  <c r="N1295" i="69"/>
  <c r="M1295" i="69"/>
  <c r="L1295" i="69"/>
  <c r="K1295" i="69"/>
  <c r="J1295" i="69"/>
  <c r="I1295" i="69"/>
  <c r="H1295" i="69"/>
  <c r="G1295" i="69"/>
  <c r="Q1294" i="69"/>
  <c r="P1294" i="69"/>
  <c r="O1294" i="69"/>
  <c r="N1294" i="69"/>
  <c r="M1294" i="69"/>
  <c r="L1294" i="69"/>
  <c r="K1294" i="69"/>
  <c r="J1294" i="69"/>
  <c r="I1294" i="69"/>
  <c r="H1294" i="69"/>
  <c r="G1294" i="69"/>
  <c r="Q1293" i="69"/>
  <c r="P1293" i="69"/>
  <c r="O1293" i="69"/>
  <c r="N1293" i="69"/>
  <c r="M1293" i="69"/>
  <c r="L1293" i="69"/>
  <c r="K1293" i="69"/>
  <c r="J1293" i="69"/>
  <c r="I1293" i="69"/>
  <c r="H1293" i="69"/>
  <c r="G1293" i="69"/>
  <c r="Q1292" i="69"/>
  <c r="P1292" i="69"/>
  <c r="O1292" i="69"/>
  <c r="N1292" i="69"/>
  <c r="M1292" i="69"/>
  <c r="L1292" i="69"/>
  <c r="K1292" i="69"/>
  <c r="J1292" i="69"/>
  <c r="I1292" i="69"/>
  <c r="H1292" i="69"/>
  <c r="G1292" i="69"/>
  <c r="Q1291" i="69"/>
  <c r="P1291" i="69"/>
  <c r="O1291" i="69"/>
  <c r="N1291" i="69"/>
  <c r="M1291" i="69"/>
  <c r="L1291" i="69"/>
  <c r="K1291" i="69"/>
  <c r="J1291" i="69"/>
  <c r="I1291" i="69"/>
  <c r="H1291" i="69"/>
  <c r="G1291" i="69"/>
  <c r="Q1290" i="69"/>
  <c r="P1290" i="69"/>
  <c r="O1290" i="69"/>
  <c r="N1290" i="69"/>
  <c r="M1290" i="69"/>
  <c r="L1290" i="69"/>
  <c r="K1290" i="69"/>
  <c r="J1290" i="69"/>
  <c r="I1290" i="69"/>
  <c r="H1290" i="69"/>
  <c r="G1290" i="69"/>
  <c r="Q1289" i="69"/>
  <c r="P1289" i="69"/>
  <c r="O1289" i="69"/>
  <c r="N1289" i="69"/>
  <c r="M1289" i="69"/>
  <c r="L1289" i="69"/>
  <c r="K1289" i="69"/>
  <c r="J1289" i="69"/>
  <c r="I1289" i="69"/>
  <c r="H1289" i="69"/>
  <c r="G1289" i="69"/>
  <c r="Q1288" i="69"/>
  <c r="P1288" i="69"/>
  <c r="O1288" i="69"/>
  <c r="N1288" i="69"/>
  <c r="M1288" i="69"/>
  <c r="L1288" i="69"/>
  <c r="K1288" i="69"/>
  <c r="J1288" i="69"/>
  <c r="I1288" i="69"/>
  <c r="H1288" i="69"/>
  <c r="G1288" i="69"/>
  <c r="Q1287" i="69"/>
  <c r="P1287" i="69"/>
  <c r="O1287" i="69"/>
  <c r="N1287" i="69"/>
  <c r="M1287" i="69"/>
  <c r="L1287" i="69"/>
  <c r="K1287" i="69"/>
  <c r="J1287" i="69"/>
  <c r="I1287" i="69"/>
  <c r="H1287" i="69"/>
  <c r="G1287" i="69"/>
  <c r="Q1286" i="69"/>
  <c r="P1286" i="69"/>
  <c r="O1286" i="69"/>
  <c r="N1286" i="69"/>
  <c r="M1286" i="69"/>
  <c r="L1286" i="69"/>
  <c r="K1286" i="69"/>
  <c r="J1286" i="69"/>
  <c r="I1286" i="69"/>
  <c r="H1286" i="69"/>
  <c r="G1286" i="69"/>
  <c r="Q1285" i="69"/>
  <c r="P1285" i="69"/>
  <c r="O1285" i="69"/>
  <c r="N1285" i="69"/>
  <c r="M1285" i="69"/>
  <c r="L1285" i="69"/>
  <c r="K1285" i="69"/>
  <c r="J1285" i="69"/>
  <c r="I1285" i="69"/>
  <c r="H1285" i="69"/>
  <c r="G1285" i="69"/>
  <c r="Q1284" i="69"/>
  <c r="P1284" i="69"/>
  <c r="O1284" i="69"/>
  <c r="N1284" i="69"/>
  <c r="M1284" i="69"/>
  <c r="L1284" i="69"/>
  <c r="K1284" i="69"/>
  <c r="J1284" i="69"/>
  <c r="I1284" i="69"/>
  <c r="H1284" i="69"/>
  <c r="G1284" i="69"/>
  <c r="Q1283" i="69"/>
  <c r="P1283" i="69"/>
  <c r="O1283" i="69"/>
  <c r="N1283" i="69"/>
  <c r="M1283" i="69"/>
  <c r="L1283" i="69"/>
  <c r="K1283" i="69"/>
  <c r="J1283" i="69"/>
  <c r="I1283" i="69"/>
  <c r="H1283" i="69"/>
  <c r="G1283" i="69"/>
  <c r="Q1282" i="69"/>
  <c r="P1282" i="69"/>
  <c r="O1282" i="69"/>
  <c r="N1282" i="69"/>
  <c r="M1282" i="69"/>
  <c r="L1282" i="69"/>
  <c r="K1282" i="69"/>
  <c r="J1282" i="69"/>
  <c r="I1282" i="69"/>
  <c r="H1282" i="69"/>
  <c r="G1282" i="69"/>
  <c r="Q1281" i="69"/>
  <c r="P1281" i="69"/>
  <c r="O1281" i="69"/>
  <c r="N1281" i="69"/>
  <c r="M1281" i="69"/>
  <c r="L1281" i="69"/>
  <c r="K1281" i="69"/>
  <c r="J1281" i="69"/>
  <c r="I1281" i="69"/>
  <c r="H1281" i="69"/>
  <c r="G1281" i="69"/>
  <c r="Q1280" i="69"/>
  <c r="P1280" i="69"/>
  <c r="O1280" i="69"/>
  <c r="N1280" i="69"/>
  <c r="M1280" i="69"/>
  <c r="L1280" i="69"/>
  <c r="K1280" i="69"/>
  <c r="J1280" i="69"/>
  <c r="I1280" i="69"/>
  <c r="H1280" i="69"/>
  <c r="G1280" i="69"/>
  <c r="Q1279" i="69"/>
  <c r="P1279" i="69"/>
  <c r="O1279" i="69"/>
  <c r="N1279" i="69"/>
  <c r="M1279" i="69"/>
  <c r="L1279" i="69"/>
  <c r="K1279" i="69"/>
  <c r="J1279" i="69"/>
  <c r="I1279" i="69"/>
  <c r="H1279" i="69"/>
  <c r="G1279" i="69"/>
  <c r="Q1278" i="69"/>
  <c r="P1278" i="69"/>
  <c r="O1278" i="69"/>
  <c r="N1278" i="69"/>
  <c r="M1278" i="69"/>
  <c r="L1278" i="69"/>
  <c r="K1278" i="69"/>
  <c r="J1278" i="69"/>
  <c r="I1278" i="69"/>
  <c r="H1278" i="69"/>
  <c r="G1278" i="69"/>
  <c r="Q1277" i="69"/>
  <c r="P1277" i="69"/>
  <c r="O1277" i="69"/>
  <c r="N1277" i="69"/>
  <c r="M1277" i="69"/>
  <c r="L1277" i="69"/>
  <c r="K1277" i="69"/>
  <c r="J1277" i="69"/>
  <c r="I1277" i="69"/>
  <c r="H1277" i="69"/>
  <c r="G1277" i="69"/>
  <c r="Q1276" i="69"/>
  <c r="P1276" i="69"/>
  <c r="O1276" i="69"/>
  <c r="N1276" i="69"/>
  <c r="M1276" i="69"/>
  <c r="L1276" i="69"/>
  <c r="K1276" i="69"/>
  <c r="J1276" i="69"/>
  <c r="I1276" i="69"/>
  <c r="H1276" i="69"/>
  <c r="G1276" i="69"/>
  <c r="Q1275" i="69"/>
  <c r="P1275" i="69"/>
  <c r="O1275" i="69"/>
  <c r="N1275" i="69"/>
  <c r="M1275" i="69"/>
  <c r="L1275" i="69"/>
  <c r="K1275" i="69"/>
  <c r="J1275" i="69"/>
  <c r="I1275" i="69"/>
  <c r="H1275" i="69"/>
  <c r="G1275" i="69"/>
  <c r="Q1274" i="69"/>
  <c r="P1274" i="69"/>
  <c r="O1274" i="69"/>
  <c r="N1274" i="69"/>
  <c r="M1274" i="69"/>
  <c r="L1274" i="69"/>
  <c r="K1274" i="69"/>
  <c r="J1274" i="69"/>
  <c r="I1274" i="69"/>
  <c r="H1274" i="69"/>
  <c r="G1274" i="69"/>
  <c r="Q1273" i="69"/>
  <c r="P1273" i="69"/>
  <c r="O1273" i="69"/>
  <c r="N1273" i="69"/>
  <c r="M1273" i="69"/>
  <c r="L1273" i="69"/>
  <c r="K1273" i="69"/>
  <c r="J1273" i="69"/>
  <c r="I1273" i="69"/>
  <c r="H1273" i="69"/>
  <c r="G1273" i="69"/>
  <c r="Q1272" i="69"/>
  <c r="P1272" i="69"/>
  <c r="O1272" i="69"/>
  <c r="N1272" i="69"/>
  <c r="M1272" i="69"/>
  <c r="L1272" i="69"/>
  <c r="K1272" i="69"/>
  <c r="J1272" i="69"/>
  <c r="I1272" i="69"/>
  <c r="H1272" i="69"/>
  <c r="G1272" i="69"/>
  <c r="Q1271" i="69"/>
  <c r="P1271" i="69"/>
  <c r="O1271" i="69"/>
  <c r="N1271" i="69"/>
  <c r="M1271" i="69"/>
  <c r="L1271" i="69"/>
  <c r="K1271" i="69"/>
  <c r="J1271" i="69"/>
  <c r="I1271" i="69"/>
  <c r="H1271" i="69"/>
  <c r="G1271" i="69"/>
  <c r="Q1270" i="69"/>
  <c r="P1270" i="69"/>
  <c r="O1270" i="69"/>
  <c r="N1270" i="69"/>
  <c r="M1270" i="69"/>
  <c r="L1270" i="69"/>
  <c r="K1270" i="69"/>
  <c r="J1270" i="69"/>
  <c r="I1270" i="69"/>
  <c r="H1270" i="69"/>
  <c r="G1270" i="69"/>
  <c r="Q1269" i="69"/>
  <c r="P1269" i="69"/>
  <c r="O1269" i="69"/>
  <c r="N1269" i="69"/>
  <c r="M1269" i="69"/>
  <c r="L1269" i="69"/>
  <c r="K1269" i="69"/>
  <c r="J1269" i="69"/>
  <c r="I1269" i="69"/>
  <c r="H1269" i="69"/>
  <c r="G1269" i="69"/>
  <c r="Q1268" i="69"/>
  <c r="P1268" i="69"/>
  <c r="O1268" i="69"/>
  <c r="N1268" i="69"/>
  <c r="M1268" i="69"/>
  <c r="L1268" i="69"/>
  <c r="K1268" i="69"/>
  <c r="J1268" i="69"/>
  <c r="I1268" i="69"/>
  <c r="H1268" i="69"/>
  <c r="G1268" i="69"/>
  <c r="Q1267" i="69"/>
  <c r="P1267" i="69"/>
  <c r="O1267" i="69"/>
  <c r="N1267" i="69"/>
  <c r="M1267" i="69"/>
  <c r="L1267" i="69"/>
  <c r="K1267" i="69"/>
  <c r="J1267" i="69"/>
  <c r="I1267" i="69"/>
  <c r="H1267" i="69"/>
  <c r="G1267" i="69"/>
  <c r="Q1266" i="69"/>
  <c r="P1266" i="69"/>
  <c r="O1266" i="69"/>
  <c r="N1266" i="69"/>
  <c r="M1266" i="69"/>
  <c r="L1266" i="69"/>
  <c r="K1266" i="69"/>
  <c r="J1266" i="69"/>
  <c r="I1266" i="69"/>
  <c r="H1266" i="69"/>
  <c r="G1266" i="69"/>
  <c r="Q1265" i="69"/>
  <c r="P1265" i="69"/>
  <c r="O1265" i="69"/>
  <c r="N1265" i="69"/>
  <c r="M1265" i="69"/>
  <c r="L1265" i="69"/>
  <c r="K1265" i="69"/>
  <c r="J1265" i="69"/>
  <c r="I1265" i="69"/>
  <c r="H1265" i="69"/>
  <c r="G1265" i="69"/>
  <c r="Q1264" i="69"/>
  <c r="P1264" i="69"/>
  <c r="O1264" i="69"/>
  <c r="N1264" i="69"/>
  <c r="M1264" i="69"/>
  <c r="L1264" i="69"/>
  <c r="K1264" i="69"/>
  <c r="J1264" i="69"/>
  <c r="I1264" i="69"/>
  <c r="H1264" i="69"/>
  <c r="G1264" i="69"/>
  <c r="Q1263" i="69"/>
  <c r="P1263" i="69"/>
  <c r="O1263" i="69"/>
  <c r="N1263" i="69"/>
  <c r="M1263" i="69"/>
  <c r="L1263" i="69"/>
  <c r="K1263" i="69"/>
  <c r="J1263" i="69"/>
  <c r="I1263" i="69"/>
  <c r="H1263" i="69"/>
  <c r="G1263" i="69"/>
  <c r="Q1262" i="69"/>
  <c r="P1262" i="69"/>
  <c r="O1262" i="69"/>
  <c r="N1262" i="69"/>
  <c r="M1262" i="69"/>
  <c r="L1262" i="69"/>
  <c r="K1262" i="69"/>
  <c r="J1262" i="69"/>
  <c r="I1262" i="69"/>
  <c r="H1262" i="69"/>
  <c r="G1262" i="69"/>
  <c r="Q1261" i="69"/>
  <c r="P1261" i="69"/>
  <c r="O1261" i="69"/>
  <c r="N1261" i="69"/>
  <c r="M1261" i="69"/>
  <c r="L1261" i="69"/>
  <c r="K1261" i="69"/>
  <c r="J1261" i="69"/>
  <c r="I1261" i="69"/>
  <c r="H1261" i="69"/>
  <c r="G1261" i="69"/>
  <c r="Q1260" i="69"/>
  <c r="P1260" i="69"/>
  <c r="O1260" i="69"/>
  <c r="N1260" i="69"/>
  <c r="M1260" i="69"/>
  <c r="L1260" i="69"/>
  <c r="K1260" i="69"/>
  <c r="J1260" i="69"/>
  <c r="I1260" i="69"/>
  <c r="H1260" i="69"/>
  <c r="G1260" i="69"/>
  <c r="Q1259" i="69"/>
  <c r="P1259" i="69"/>
  <c r="O1259" i="69"/>
  <c r="N1259" i="69"/>
  <c r="M1259" i="69"/>
  <c r="L1259" i="69"/>
  <c r="K1259" i="69"/>
  <c r="J1259" i="69"/>
  <c r="I1259" i="69"/>
  <c r="H1259" i="69"/>
  <c r="G1259" i="69"/>
  <c r="Q1258" i="69"/>
  <c r="P1258" i="69"/>
  <c r="O1258" i="69"/>
  <c r="N1258" i="69"/>
  <c r="M1258" i="69"/>
  <c r="L1258" i="69"/>
  <c r="K1258" i="69"/>
  <c r="J1258" i="69"/>
  <c r="I1258" i="69"/>
  <c r="H1258" i="69"/>
  <c r="G1258" i="69"/>
  <c r="Q1257" i="69"/>
  <c r="P1257" i="69"/>
  <c r="O1257" i="69"/>
  <c r="N1257" i="69"/>
  <c r="M1257" i="69"/>
  <c r="L1257" i="69"/>
  <c r="K1257" i="69"/>
  <c r="J1257" i="69"/>
  <c r="I1257" i="69"/>
  <c r="H1257" i="69"/>
  <c r="G1257" i="69"/>
  <c r="Q1256" i="69"/>
  <c r="P1256" i="69"/>
  <c r="O1256" i="69"/>
  <c r="N1256" i="69"/>
  <c r="M1256" i="69"/>
  <c r="L1256" i="69"/>
  <c r="K1256" i="69"/>
  <c r="J1256" i="69"/>
  <c r="I1256" i="69"/>
  <c r="H1256" i="69"/>
  <c r="G1256" i="69"/>
  <c r="Q1255" i="69"/>
  <c r="P1255" i="69"/>
  <c r="O1255" i="69"/>
  <c r="N1255" i="69"/>
  <c r="M1255" i="69"/>
  <c r="L1255" i="69"/>
  <c r="K1255" i="69"/>
  <c r="J1255" i="69"/>
  <c r="I1255" i="69"/>
  <c r="H1255" i="69"/>
  <c r="G1255" i="69"/>
  <c r="Q1254" i="69"/>
  <c r="P1254" i="69"/>
  <c r="O1254" i="69"/>
  <c r="N1254" i="69"/>
  <c r="M1254" i="69"/>
  <c r="L1254" i="69"/>
  <c r="K1254" i="69"/>
  <c r="J1254" i="69"/>
  <c r="I1254" i="69"/>
  <c r="H1254" i="69"/>
  <c r="G1254" i="69"/>
  <c r="Q1253" i="69"/>
  <c r="P1253" i="69"/>
  <c r="O1253" i="69"/>
  <c r="N1253" i="69"/>
  <c r="M1253" i="69"/>
  <c r="L1253" i="69"/>
  <c r="K1253" i="69"/>
  <c r="J1253" i="69"/>
  <c r="I1253" i="69"/>
  <c r="H1253" i="69"/>
  <c r="G1253" i="69"/>
  <c r="Q1252" i="69"/>
  <c r="P1252" i="69"/>
  <c r="O1252" i="69"/>
  <c r="N1252" i="69"/>
  <c r="M1252" i="69"/>
  <c r="L1252" i="69"/>
  <c r="K1252" i="69"/>
  <c r="J1252" i="69"/>
  <c r="I1252" i="69"/>
  <c r="H1252" i="69"/>
  <c r="G1252" i="69"/>
  <c r="Q1251" i="69"/>
  <c r="P1251" i="69"/>
  <c r="O1251" i="69"/>
  <c r="N1251" i="69"/>
  <c r="M1251" i="69"/>
  <c r="L1251" i="69"/>
  <c r="K1251" i="69"/>
  <c r="J1251" i="69"/>
  <c r="I1251" i="69"/>
  <c r="H1251" i="69"/>
  <c r="G1251" i="69"/>
  <c r="Q1250" i="69"/>
  <c r="P1250" i="69"/>
  <c r="O1250" i="69"/>
  <c r="N1250" i="69"/>
  <c r="M1250" i="69"/>
  <c r="L1250" i="69"/>
  <c r="K1250" i="69"/>
  <c r="J1250" i="69"/>
  <c r="I1250" i="69"/>
  <c r="H1250" i="69"/>
  <c r="G1250" i="69"/>
  <c r="Q1249" i="69"/>
  <c r="P1249" i="69"/>
  <c r="O1249" i="69"/>
  <c r="N1249" i="69"/>
  <c r="M1249" i="69"/>
  <c r="L1249" i="69"/>
  <c r="K1249" i="69"/>
  <c r="J1249" i="69"/>
  <c r="I1249" i="69"/>
  <c r="H1249" i="69"/>
  <c r="G1249" i="69"/>
  <c r="Q1248" i="69"/>
  <c r="P1248" i="69"/>
  <c r="O1248" i="69"/>
  <c r="N1248" i="69"/>
  <c r="M1248" i="69"/>
  <c r="L1248" i="69"/>
  <c r="K1248" i="69"/>
  <c r="J1248" i="69"/>
  <c r="I1248" i="69"/>
  <c r="H1248" i="69"/>
  <c r="G1248" i="69"/>
  <c r="Q1247" i="69"/>
  <c r="P1247" i="69"/>
  <c r="O1247" i="69"/>
  <c r="N1247" i="69"/>
  <c r="M1247" i="69"/>
  <c r="L1247" i="69"/>
  <c r="K1247" i="69"/>
  <c r="J1247" i="69"/>
  <c r="I1247" i="69"/>
  <c r="H1247" i="69"/>
  <c r="G1247" i="69"/>
  <c r="Q1246" i="69"/>
  <c r="P1246" i="69"/>
  <c r="O1246" i="69"/>
  <c r="N1246" i="69"/>
  <c r="M1246" i="69"/>
  <c r="L1246" i="69"/>
  <c r="K1246" i="69"/>
  <c r="J1246" i="69"/>
  <c r="I1246" i="69"/>
  <c r="H1246" i="69"/>
  <c r="G1246" i="69"/>
  <c r="Q1245" i="69"/>
  <c r="P1245" i="69"/>
  <c r="O1245" i="69"/>
  <c r="N1245" i="69"/>
  <c r="M1245" i="69"/>
  <c r="L1245" i="69"/>
  <c r="K1245" i="69"/>
  <c r="J1245" i="69"/>
  <c r="I1245" i="69"/>
  <c r="H1245" i="69"/>
  <c r="G1245" i="69"/>
  <c r="Q1244" i="69"/>
  <c r="P1244" i="69"/>
  <c r="O1244" i="69"/>
  <c r="N1244" i="69"/>
  <c r="M1244" i="69"/>
  <c r="L1244" i="69"/>
  <c r="K1244" i="69"/>
  <c r="J1244" i="69"/>
  <c r="I1244" i="69"/>
  <c r="H1244" i="69"/>
  <c r="G1244" i="69"/>
  <c r="Q1243" i="69"/>
  <c r="P1243" i="69"/>
  <c r="O1243" i="69"/>
  <c r="N1243" i="69"/>
  <c r="M1243" i="69"/>
  <c r="L1243" i="69"/>
  <c r="K1243" i="69"/>
  <c r="J1243" i="69"/>
  <c r="I1243" i="69"/>
  <c r="H1243" i="69"/>
  <c r="G1243" i="69"/>
  <c r="Q1242" i="69"/>
  <c r="P1242" i="69"/>
  <c r="O1242" i="69"/>
  <c r="N1242" i="69"/>
  <c r="M1242" i="69"/>
  <c r="L1242" i="69"/>
  <c r="K1242" i="69"/>
  <c r="J1242" i="69"/>
  <c r="I1242" i="69"/>
  <c r="H1242" i="69"/>
  <c r="G1242" i="69"/>
  <c r="Q1241" i="69"/>
  <c r="P1241" i="69"/>
  <c r="O1241" i="69"/>
  <c r="N1241" i="69"/>
  <c r="M1241" i="69"/>
  <c r="L1241" i="69"/>
  <c r="K1241" i="69"/>
  <c r="J1241" i="69"/>
  <c r="I1241" i="69"/>
  <c r="H1241" i="69"/>
  <c r="G1241" i="69"/>
  <c r="Q1240" i="69"/>
  <c r="P1240" i="69"/>
  <c r="O1240" i="69"/>
  <c r="N1240" i="69"/>
  <c r="M1240" i="69"/>
  <c r="L1240" i="69"/>
  <c r="K1240" i="69"/>
  <c r="J1240" i="69"/>
  <c r="I1240" i="69"/>
  <c r="H1240" i="69"/>
  <c r="G1240" i="69"/>
  <c r="Q1239" i="69"/>
  <c r="P1239" i="69"/>
  <c r="O1239" i="69"/>
  <c r="N1239" i="69"/>
  <c r="M1239" i="69"/>
  <c r="L1239" i="69"/>
  <c r="K1239" i="69"/>
  <c r="J1239" i="69"/>
  <c r="I1239" i="69"/>
  <c r="H1239" i="69"/>
  <c r="G1239" i="69"/>
  <c r="Q1238" i="69"/>
  <c r="P1238" i="69"/>
  <c r="O1238" i="69"/>
  <c r="N1238" i="69"/>
  <c r="M1238" i="69"/>
  <c r="L1238" i="69"/>
  <c r="K1238" i="69"/>
  <c r="J1238" i="69"/>
  <c r="I1238" i="69"/>
  <c r="H1238" i="69"/>
  <c r="G1238" i="69"/>
  <c r="Q1237" i="69"/>
  <c r="P1237" i="69"/>
  <c r="O1237" i="69"/>
  <c r="N1237" i="69"/>
  <c r="M1237" i="69"/>
  <c r="L1237" i="69"/>
  <c r="K1237" i="69"/>
  <c r="J1237" i="69"/>
  <c r="I1237" i="69"/>
  <c r="H1237" i="69"/>
  <c r="G1237" i="69"/>
  <c r="Q1236" i="69"/>
  <c r="P1236" i="69"/>
  <c r="O1236" i="69"/>
  <c r="N1236" i="69"/>
  <c r="M1236" i="69"/>
  <c r="L1236" i="69"/>
  <c r="K1236" i="69"/>
  <c r="J1236" i="69"/>
  <c r="I1236" i="69"/>
  <c r="H1236" i="69"/>
  <c r="G1236" i="69"/>
  <c r="Q1235" i="69"/>
  <c r="P1235" i="69"/>
  <c r="O1235" i="69"/>
  <c r="N1235" i="69"/>
  <c r="M1235" i="69"/>
  <c r="L1235" i="69"/>
  <c r="K1235" i="69"/>
  <c r="J1235" i="69"/>
  <c r="I1235" i="69"/>
  <c r="H1235" i="69"/>
  <c r="G1235" i="69"/>
  <c r="Q1234" i="69"/>
  <c r="P1234" i="69"/>
  <c r="O1234" i="69"/>
  <c r="N1234" i="69"/>
  <c r="M1234" i="69"/>
  <c r="L1234" i="69"/>
  <c r="K1234" i="69"/>
  <c r="J1234" i="69"/>
  <c r="I1234" i="69"/>
  <c r="H1234" i="69"/>
  <c r="G1234" i="69"/>
  <c r="Q1233" i="69"/>
  <c r="P1233" i="69"/>
  <c r="O1233" i="69"/>
  <c r="N1233" i="69"/>
  <c r="M1233" i="69"/>
  <c r="L1233" i="69"/>
  <c r="K1233" i="69"/>
  <c r="J1233" i="69"/>
  <c r="I1233" i="69"/>
  <c r="H1233" i="69"/>
  <c r="G1233" i="69"/>
  <c r="Q1232" i="69"/>
  <c r="P1232" i="69"/>
  <c r="O1232" i="69"/>
  <c r="N1232" i="69"/>
  <c r="M1232" i="69"/>
  <c r="L1232" i="69"/>
  <c r="K1232" i="69"/>
  <c r="J1232" i="69"/>
  <c r="I1232" i="69"/>
  <c r="H1232" i="69"/>
  <c r="G1232" i="69"/>
  <c r="Q1231" i="69"/>
  <c r="P1231" i="69"/>
  <c r="O1231" i="69"/>
  <c r="N1231" i="69"/>
  <c r="M1231" i="69"/>
  <c r="L1231" i="69"/>
  <c r="K1231" i="69"/>
  <c r="J1231" i="69"/>
  <c r="I1231" i="69"/>
  <c r="H1231" i="69"/>
  <c r="G1231" i="69"/>
  <c r="Q1230" i="69"/>
  <c r="P1230" i="69"/>
  <c r="O1230" i="69"/>
  <c r="N1230" i="69"/>
  <c r="M1230" i="69"/>
  <c r="L1230" i="69"/>
  <c r="K1230" i="69"/>
  <c r="J1230" i="69"/>
  <c r="I1230" i="69"/>
  <c r="H1230" i="69"/>
  <c r="G1230" i="69"/>
  <c r="Q1229" i="69"/>
  <c r="P1229" i="69"/>
  <c r="O1229" i="69"/>
  <c r="N1229" i="69"/>
  <c r="M1229" i="69"/>
  <c r="L1229" i="69"/>
  <c r="K1229" i="69"/>
  <c r="J1229" i="69"/>
  <c r="I1229" i="69"/>
  <c r="H1229" i="69"/>
  <c r="G1229" i="69"/>
  <c r="Q1228" i="69"/>
  <c r="P1228" i="69"/>
  <c r="O1228" i="69"/>
  <c r="N1228" i="69"/>
  <c r="M1228" i="69"/>
  <c r="L1228" i="69"/>
  <c r="K1228" i="69"/>
  <c r="J1228" i="69"/>
  <c r="I1228" i="69"/>
  <c r="H1228" i="69"/>
  <c r="G1228" i="69"/>
  <c r="Q1227" i="69"/>
  <c r="P1227" i="69"/>
  <c r="O1227" i="69"/>
  <c r="N1227" i="69"/>
  <c r="M1227" i="69"/>
  <c r="L1227" i="69"/>
  <c r="K1227" i="69"/>
  <c r="J1227" i="69"/>
  <c r="I1227" i="69"/>
  <c r="H1227" i="69"/>
  <c r="G1227" i="69"/>
  <c r="Q1226" i="69"/>
  <c r="P1226" i="69"/>
  <c r="O1226" i="69"/>
  <c r="N1226" i="69"/>
  <c r="M1226" i="69"/>
  <c r="L1226" i="69"/>
  <c r="K1226" i="69"/>
  <c r="J1226" i="69"/>
  <c r="I1226" i="69"/>
  <c r="H1226" i="69"/>
  <c r="G1226" i="69"/>
  <c r="Q1225" i="69"/>
  <c r="P1225" i="69"/>
  <c r="O1225" i="69"/>
  <c r="N1225" i="69"/>
  <c r="M1225" i="69"/>
  <c r="L1225" i="69"/>
  <c r="K1225" i="69"/>
  <c r="J1225" i="69"/>
  <c r="I1225" i="69"/>
  <c r="H1225" i="69"/>
  <c r="G1225" i="69"/>
  <c r="Q1224" i="69"/>
  <c r="P1224" i="69"/>
  <c r="O1224" i="69"/>
  <c r="N1224" i="69"/>
  <c r="M1224" i="69"/>
  <c r="L1224" i="69"/>
  <c r="K1224" i="69"/>
  <c r="J1224" i="69"/>
  <c r="I1224" i="69"/>
  <c r="H1224" i="69"/>
  <c r="G1224" i="69"/>
  <c r="Q1223" i="69"/>
  <c r="P1223" i="69"/>
  <c r="O1223" i="69"/>
  <c r="N1223" i="69"/>
  <c r="M1223" i="69"/>
  <c r="L1223" i="69"/>
  <c r="K1223" i="69"/>
  <c r="J1223" i="69"/>
  <c r="I1223" i="69"/>
  <c r="H1223" i="69"/>
  <c r="G1223" i="69"/>
  <c r="Q1222" i="69"/>
  <c r="P1222" i="69"/>
  <c r="O1222" i="69"/>
  <c r="N1222" i="69"/>
  <c r="M1222" i="69"/>
  <c r="L1222" i="69"/>
  <c r="K1222" i="69"/>
  <c r="J1222" i="69"/>
  <c r="I1222" i="69"/>
  <c r="H1222" i="69"/>
  <c r="G1222" i="69"/>
  <c r="Q1221" i="69"/>
  <c r="P1221" i="69"/>
  <c r="O1221" i="69"/>
  <c r="N1221" i="69"/>
  <c r="M1221" i="69"/>
  <c r="L1221" i="69"/>
  <c r="K1221" i="69"/>
  <c r="J1221" i="69"/>
  <c r="I1221" i="69"/>
  <c r="H1221" i="69"/>
  <c r="G1221" i="69"/>
  <c r="Q1220" i="69"/>
  <c r="P1220" i="69"/>
  <c r="O1220" i="69"/>
  <c r="N1220" i="69"/>
  <c r="M1220" i="69"/>
  <c r="L1220" i="69"/>
  <c r="K1220" i="69"/>
  <c r="J1220" i="69"/>
  <c r="I1220" i="69"/>
  <c r="H1220" i="69"/>
  <c r="G1220" i="69"/>
  <c r="Q1219" i="69"/>
  <c r="P1219" i="69"/>
  <c r="O1219" i="69"/>
  <c r="N1219" i="69"/>
  <c r="M1219" i="69"/>
  <c r="L1219" i="69"/>
  <c r="K1219" i="69"/>
  <c r="J1219" i="69"/>
  <c r="I1219" i="69"/>
  <c r="H1219" i="69"/>
  <c r="G1219" i="69"/>
  <c r="Q1218" i="69"/>
  <c r="P1218" i="69"/>
  <c r="O1218" i="69"/>
  <c r="N1218" i="69"/>
  <c r="M1218" i="69"/>
  <c r="L1218" i="69"/>
  <c r="K1218" i="69"/>
  <c r="J1218" i="69"/>
  <c r="I1218" i="69"/>
  <c r="H1218" i="69"/>
  <c r="G1218" i="69"/>
  <c r="Q1217" i="69"/>
  <c r="P1217" i="69"/>
  <c r="O1217" i="69"/>
  <c r="N1217" i="69"/>
  <c r="M1217" i="69"/>
  <c r="L1217" i="69"/>
  <c r="K1217" i="69"/>
  <c r="J1217" i="69"/>
  <c r="I1217" i="69"/>
  <c r="H1217" i="69"/>
  <c r="G1217" i="69"/>
  <c r="Q1216" i="69"/>
  <c r="P1216" i="69"/>
  <c r="O1216" i="69"/>
  <c r="N1216" i="69"/>
  <c r="M1216" i="69"/>
  <c r="L1216" i="69"/>
  <c r="K1216" i="69"/>
  <c r="J1216" i="69"/>
  <c r="I1216" i="69"/>
  <c r="H1216" i="69"/>
  <c r="G1216" i="69"/>
  <c r="Q1215" i="69"/>
  <c r="P1215" i="69"/>
  <c r="O1215" i="69"/>
  <c r="N1215" i="69"/>
  <c r="M1215" i="69"/>
  <c r="L1215" i="69"/>
  <c r="K1215" i="69"/>
  <c r="J1215" i="69"/>
  <c r="I1215" i="69"/>
  <c r="H1215" i="69"/>
  <c r="G1215" i="69"/>
  <c r="Q1214" i="69"/>
  <c r="P1214" i="69"/>
  <c r="O1214" i="69"/>
  <c r="N1214" i="69"/>
  <c r="M1214" i="69"/>
  <c r="L1214" i="69"/>
  <c r="K1214" i="69"/>
  <c r="J1214" i="69"/>
  <c r="I1214" i="69"/>
  <c r="H1214" i="69"/>
  <c r="G1214" i="69"/>
  <c r="Q1213" i="69"/>
  <c r="P1213" i="69"/>
  <c r="O1213" i="69"/>
  <c r="N1213" i="69"/>
  <c r="M1213" i="69"/>
  <c r="L1213" i="69"/>
  <c r="K1213" i="69"/>
  <c r="J1213" i="69"/>
  <c r="I1213" i="69"/>
  <c r="H1213" i="69"/>
  <c r="G1213" i="69"/>
  <c r="Q1212" i="69"/>
  <c r="P1212" i="69"/>
  <c r="O1212" i="69"/>
  <c r="N1212" i="69"/>
  <c r="M1212" i="69"/>
  <c r="L1212" i="69"/>
  <c r="K1212" i="69"/>
  <c r="J1212" i="69"/>
  <c r="I1212" i="69"/>
  <c r="H1212" i="69"/>
  <c r="G1212" i="69"/>
  <c r="Q1211" i="69"/>
  <c r="P1211" i="69"/>
  <c r="O1211" i="69"/>
  <c r="N1211" i="69"/>
  <c r="M1211" i="69"/>
  <c r="L1211" i="69"/>
  <c r="K1211" i="69"/>
  <c r="J1211" i="69"/>
  <c r="I1211" i="69"/>
  <c r="H1211" i="69"/>
  <c r="G1211" i="69"/>
  <c r="Q1210" i="69"/>
  <c r="P1210" i="69"/>
  <c r="O1210" i="69"/>
  <c r="N1210" i="69"/>
  <c r="M1210" i="69"/>
  <c r="L1210" i="69"/>
  <c r="K1210" i="69"/>
  <c r="J1210" i="69"/>
  <c r="I1210" i="69"/>
  <c r="H1210" i="69"/>
  <c r="G1210" i="69"/>
  <c r="Q1209" i="69"/>
  <c r="P1209" i="69"/>
  <c r="O1209" i="69"/>
  <c r="N1209" i="69"/>
  <c r="M1209" i="69"/>
  <c r="L1209" i="69"/>
  <c r="K1209" i="69"/>
  <c r="J1209" i="69"/>
  <c r="I1209" i="69"/>
  <c r="H1209" i="69"/>
  <c r="G1209" i="69"/>
  <c r="Q1208" i="69"/>
  <c r="P1208" i="69"/>
  <c r="O1208" i="69"/>
  <c r="N1208" i="69"/>
  <c r="M1208" i="69"/>
  <c r="L1208" i="69"/>
  <c r="K1208" i="69"/>
  <c r="J1208" i="69"/>
  <c r="I1208" i="69"/>
  <c r="H1208" i="69"/>
  <c r="G1208" i="69"/>
  <c r="Q1207" i="69"/>
  <c r="P1207" i="69"/>
  <c r="O1207" i="69"/>
  <c r="N1207" i="69"/>
  <c r="M1207" i="69"/>
  <c r="L1207" i="69"/>
  <c r="K1207" i="69"/>
  <c r="J1207" i="69"/>
  <c r="I1207" i="69"/>
  <c r="H1207" i="69"/>
  <c r="G1207" i="69"/>
  <c r="Q1206" i="69"/>
  <c r="P1206" i="69"/>
  <c r="O1206" i="69"/>
  <c r="N1206" i="69"/>
  <c r="M1206" i="69"/>
  <c r="L1206" i="69"/>
  <c r="K1206" i="69"/>
  <c r="J1206" i="69"/>
  <c r="I1206" i="69"/>
  <c r="H1206" i="69"/>
  <c r="G1206" i="69"/>
  <c r="Q1205" i="69"/>
  <c r="P1205" i="69"/>
  <c r="O1205" i="69"/>
  <c r="N1205" i="69"/>
  <c r="M1205" i="69"/>
  <c r="L1205" i="69"/>
  <c r="K1205" i="69"/>
  <c r="J1205" i="69"/>
  <c r="I1205" i="69"/>
  <c r="H1205" i="69"/>
  <c r="G1205" i="69"/>
  <c r="Q1204" i="69"/>
  <c r="P1204" i="69"/>
  <c r="O1204" i="69"/>
  <c r="N1204" i="69"/>
  <c r="M1204" i="69"/>
  <c r="L1204" i="69"/>
  <c r="K1204" i="69"/>
  <c r="J1204" i="69"/>
  <c r="I1204" i="69"/>
  <c r="H1204" i="69"/>
  <c r="G1204" i="69"/>
  <c r="Q1203" i="69"/>
  <c r="P1203" i="69"/>
  <c r="O1203" i="69"/>
  <c r="N1203" i="69"/>
  <c r="M1203" i="69"/>
  <c r="L1203" i="69"/>
  <c r="K1203" i="69"/>
  <c r="J1203" i="69"/>
  <c r="I1203" i="69"/>
  <c r="H1203" i="69"/>
  <c r="G1203" i="69"/>
  <c r="Q1202" i="69"/>
  <c r="P1202" i="69"/>
  <c r="O1202" i="69"/>
  <c r="N1202" i="69"/>
  <c r="M1202" i="69"/>
  <c r="L1202" i="69"/>
  <c r="K1202" i="69"/>
  <c r="J1202" i="69"/>
  <c r="I1202" i="69"/>
  <c r="H1202" i="69"/>
  <c r="G1202" i="69"/>
  <c r="Q1201" i="69"/>
  <c r="P1201" i="69"/>
  <c r="O1201" i="69"/>
  <c r="N1201" i="69"/>
  <c r="M1201" i="69"/>
  <c r="L1201" i="69"/>
  <c r="K1201" i="69"/>
  <c r="J1201" i="69"/>
  <c r="I1201" i="69"/>
  <c r="H1201" i="69"/>
  <c r="G1201" i="69"/>
  <c r="Q1200" i="69"/>
  <c r="P1200" i="69"/>
  <c r="O1200" i="69"/>
  <c r="N1200" i="69"/>
  <c r="M1200" i="69"/>
  <c r="L1200" i="69"/>
  <c r="K1200" i="69"/>
  <c r="J1200" i="69"/>
  <c r="I1200" i="69"/>
  <c r="H1200" i="69"/>
  <c r="G1200" i="69"/>
  <c r="Q1199" i="69"/>
  <c r="P1199" i="69"/>
  <c r="O1199" i="69"/>
  <c r="N1199" i="69"/>
  <c r="M1199" i="69"/>
  <c r="L1199" i="69"/>
  <c r="K1199" i="69"/>
  <c r="J1199" i="69"/>
  <c r="I1199" i="69"/>
  <c r="H1199" i="69"/>
  <c r="G1199" i="69"/>
  <c r="Q1198" i="69"/>
  <c r="P1198" i="69"/>
  <c r="O1198" i="69"/>
  <c r="N1198" i="69"/>
  <c r="M1198" i="69"/>
  <c r="L1198" i="69"/>
  <c r="K1198" i="69"/>
  <c r="J1198" i="69"/>
  <c r="I1198" i="69"/>
  <c r="H1198" i="69"/>
  <c r="G1198" i="69"/>
  <c r="Q1197" i="69"/>
  <c r="P1197" i="69"/>
  <c r="O1197" i="69"/>
  <c r="N1197" i="69"/>
  <c r="M1197" i="69"/>
  <c r="L1197" i="69"/>
  <c r="K1197" i="69"/>
  <c r="J1197" i="69"/>
  <c r="I1197" i="69"/>
  <c r="H1197" i="69"/>
  <c r="G1197" i="69"/>
  <c r="Q1196" i="69"/>
  <c r="P1196" i="69"/>
  <c r="O1196" i="69"/>
  <c r="N1196" i="69"/>
  <c r="M1196" i="69"/>
  <c r="L1196" i="69"/>
  <c r="K1196" i="69"/>
  <c r="J1196" i="69"/>
  <c r="I1196" i="69"/>
  <c r="H1196" i="69"/>
  <c r="G1196" i="69"/>
  <c r="Q1195" i="69"/>
  <c r="P1195" i="69"/>
  <c r="O1195" i="69"/>
  <c r="N1195" i="69"/>
  <c r="M1195" i="69"/>
  <c r="L1195" i="69"/>
  <c r="K1195" i="69"/>
  <c r="J1195" i="69"/>
  <c r="I1195" i="69"/>
  <c r="H1195" i="69"/>
  <c r="G1195" i="69"/>
  <c r="Q1194" i="69"/>
  <c r="P1194" i="69"/>
  <c r="O1194" i="69"/>
  <c r="N1194" i="69"/>
  <c r="M1194" i="69"/>
  <c r="L1194" i="69"/>
  <c r="K1194" i="69"/>
  <c r="J1194" i="69"/>
  <c r="I1194" i="69"/>
  <c r="H1194" i="69"/>
  <c r="G1194" i="69"/>
  <c r="Q1193" i="69"/>
  <c r="P1193" i="69"/>
  <c r="O1193" i="69"/>
  <c r="N1193" i="69"/>
  <c r="M1193" i="69"/>
  <c r="L1193" i="69"/>
  <c r="K1193" i="69"/>
  <c r="J1193" i="69"/>
  <c r="I1193" i="69"/>
  <c r="H1193" i="69"/>
  <c r="G1193" i="69"/>
  <c r="Q1192" i="69"/>
  <c r="P1192" i="69"/>
  <c r="O1192" i="69"/>
  <c r="N1192" i="69"/>
  <c r="M1192" i="69"/>
  <c r="L1192" i="69"/>
  <c r="K1192" i="69"/>
  <c r="J1192" i="69"/>
  <c r="I1192" i="69"/>
  <c r="H1192" i="69"/>
  <c r="G1192" i="69"/>
  <c r="Q1191" i="69"/>
  <c r="P1191" i="69"/>
  <c r="O1191" i="69"/>
  <c r="N1191" i="69"/>
  <c r="M1191" i="69"/>
  <c r="L1191" i="69"/>
  <c r="K1191" i="69"/>
  <c r="J1191" i="69"/>
  <c r="I1191" i="69"/>
  <c r="H1191" i="69"/>
  <c r="G1191" i="69"/>
  <c r="Q1190" i="69"/>
  <c r="P1190" i="69"/>
  <c r="O1190" i="69"/>
  <c r="N1190" i="69"/>
  <c r="M1190" i="69"/>
  <c r="L1190" i="69"/>
  <c r="K1190" i="69"/>
  <c r="J1190" i="69"/>
  <c r="I1190" i="69"/>
  <c r="H1190" i="69"/>
  <c r="G1190" i="69"/>
  <c r="Q1189" i="69"/>
  <c r="P1189" i="69"/>
  <c r="O1189" i="69"/>
  <c r="N1189" i="69"/>
  <c r="M1189" i="69"/>
  <c r="L1189" i="69"/>
  <c r="K1189" i="69"/>
  <c r="J1189" i="69"/>
  <c r="I1189" i="69"/>
  <c r="H1189" i="69"/>
  <c r="G1189" i="69"/>
  <c r="Q1188" i="69"/>
  <c r="P1188" i="69"/>
  <c r="O1188" i="69"/>
  <c r="N1188" i="69"/>
  <c r="M1188" i="69"/>
  <c r="L1188" i="69"/>
  <c r="K1188" i="69"/>
  <c r="J1188" i="69"/>
  <c r="I1188" i="69"/>
  <c r="H1188" i="69"/>
  <c r="G1188" i="69"/>
  <c r="Q1187" i="69"/>
  <c r="P1187" i="69"/>
  <c r="O1187" i="69"/>
  <c r="N1187" i="69"/>
  <c r="M1187" i="69"/>
  <c r="L1187" i="69"/>
  <c r="K1187" i="69"/>
  <c r="J1187" i="69"/>
  <c r="I1187" i="69"/>
  <c r="H1187" i="69"/>
  <c r="G1187" i="69"/>
  <c r="Q1186" i="69"/>
  <c r="P1186" i="69"/>
  <c r="O1186" i="69"/>
  <c r="N1186" i="69"/>
  <c r="M1186" i="69"/>
  <c r="L1186" i="69"/>
  <c r="K1186" i="69"/>
  <c r="J1186" i="69"/>
  <c r="I1186" i="69"/>
  <c r="H1186" i="69"/>
  <c r="G1186" i="69"/>
  <c r="Q1185" i="69"/>
  <c r="P1185" i="69"/>
  <c r="O1185" i="69"/>
  <c r="N1185" i="69"/>
  <c r="M1185" i="69"/>
  <c r="L1185" i="69"/>
  <c r="K1185" i="69"/>
  <c r="J1185" i="69"/>
  <c r="I1185" i="69"/>
  <c r="H1185" i="69"/>
  <c r="G1185" i="69"/>
  <c r="Q1184" i="69"/>
  <c r="P1184" i="69"/>
  <c r="O1184" i="69"/>
  <c r="N1184" i="69"/>
  <c r="M1184" i="69"/>
  <c r="L1184" i="69"/>
  <c r="K1184" i="69"/>
  <c r="J1184" i="69"/>
  <c r="I1184" i="69"/>
  <c r="H1184" i="69"/>
  <c r="G1184" i="69"/>
  <c r="Q1183" i="69"/>
  <c r="P1183" i="69"/>
  <c r="O1183" i="69"/>
  <c r="N1183" i="69"/>
  <c r="M1183" i="69"/>
  <c r="L1183" i="69"/>
  <c r="K1183" i="69"/>
  <c r="J1183" i="69"/>
  <c r="I1183" i="69"/>
  <c r="H1183" i="69"/>
  <c r="G1183" i="69"/>
  <c r="Q1182" i="69"/>
  <c r="P1182" i="69"/>
  <c r="O1182" i="69"/>
  <c r="N1182" i="69"/>
  <c r="M1182" i="69"/>
  <c r="L1182" i="69"/>
  <c r="K1182" i="69"/>
  <c r="J1182" i="69"/>
  <c r="I1182" i="69"/>
  <c r="H1182" i="69"/>
  <c r="G1182" i="69"/>
  <c r="Q1181" i="69"/>
  <c r="P1181" i="69"/>
  <c r="O1181" i="69"/>
  <c r="N1181" i="69"/>
  <c r="M1181" i="69"/>
  <c r="L1181" i="69"/>
  <c r="K1181" i="69"/>
  <c r="J1181" i="69"/>
  <c r="I1181" i="69"/>
  <c r="H1181" i="69"/>
  <c r="G1181" i="69"/>
  <c r="Q1180" i="69"/>
  <c r="P1180" i="69"/>
  <c r="O1180" i="69"/>
  <c r="N1180" i="69"/>
  <c r="M1180" i="69"/>
  <c r="L1180" i="69"/>
  <c r="K1180" i="69"/>
  <c r="J1180" i="69"/>
  <c r="I1180" i="69"/>
  <c r="H1180" i="69"/>
  <c r="G1180" i="69"/>
  <c r="Q1179" i="69"/>
  <c r="P1179" i="69"/>
  <c r="O1179" i="69"/>
  <c r="N1179" i="69"/>
  <c r="M1179" i="69"/>
  <c r="L1179" i="69"/>
  <c r="K1179" i="69"/>
  <c r="J1179" i="69"/>
  <c r="I1179" i="69"/>
  <c r="H1179" i="69"/>
  <c r="G1179" i="69"/>
  <c r="Q1178" i="69"/>
  <c r="P1178" i="69"/>
  <c r="O1178" i="69"/>
  <c r="N1178" i="69"/>
  <c r="M1178" i="69"/>
  <c r="L1178" i="69"/>
  <c r="K1178" i="69"/>
  <c r="J1178" i="69"/>
  <c r="I1178" i="69"/>
  <c r="H1178" i="69"/>
  <c r="G1178" i="69"/>
  <c r="Q1177" i="69"/>
  <c r="P1177" i="69"/>
  <c r="O1177" i="69"/>
  <c r="N1177" i="69"/>
  <c r="M1177" i="69"/>
  <c r="L1177" i="69"/>
  <c r="K1177" i="69"/>
  <c r="J1177" i="69"/>
  <c r="I1177" i="69"/>
  <c r="H1177" i="69"/>
  <c r="G1177" i="69"/>
  <c r="Q1176" i="69"/>
  <c r="P1176" i="69"/>
  <c r="O1176" i="69"/>
  <c r="N1176" i="69"/>
  <c r="M1176" i="69"/>
  <c r="L1176" i="69"/>
  <c r="K1176" i="69"/>
  <c r="J1176" i="69"/>
  <c r="I1176" i="69"/>
  <c r="H1176" i="69"/>
  <c r="G1176" i="69"/>
  <c r="Q1175" i="69"/>
  <c r="P1175" i="69"/>
  <c r="O1175" i="69"/>
  <c r="N1175" i="69"/>
  <c r="M1175" i="69"/>
  <c r="L1175" i="69"/>
  <c r="K1175" i="69"/>
  <c r="J1175" i="69"/>
  <c r="I1175" i="69"/>
  <c r="H1175" i="69"/>
  <c r="G1175" i="69"/>
  <c r="Q1174" i="69"/>
  <c r="P1174" i="69"/>
  <c r="O1174" i="69"/>
  <c r="N1174" i="69"/>
  <c r="M1174" i="69"/>
  <c r="L1174" i="69"/>
  <c r="K1174" i="69"/>
  <c r="J1174" i="69"/>
  <c r="I1174" i="69"/>
  <c r="H1174" i="69"/>
  <c r="G1174" i="69"/>
  <c r="Q1173" i="69"/>
  <c r="P1173" i="69"/>
  <c r="O1173" i="69"/>
  <c r="N1173" i="69"/>
  <c r="M1173" i="69"/>
  <c r="L1173" i="69"/>
  <c r="K1173" i="69"/>
  <c r="J1173" i="69"/>
  <c r="I1173" i="69"/>
  <c r="H1173" i="69"/>
  <c r="G1173" i="69"/>
  <c r="Q1172" i="69"/>
  <c r="P1172" i="69"/>
  <c r="O1172" i="69"/>
  <c r="N1172" i="69"/>
  <c r="M1172" i="69"/>
  <c r="L1172" i="69"/>
  <c r="K1172" i="69"/>
  <c r="J1172" i="69"/>
  <c r="I1172" i="69"/>
  <c r="H1172" i="69"/>
  <c r="G1172" i="69"/>
  <c r="Q1171" i="69"/>
  <c r="P1171" i="69"/>
  <c r="O1171" i="69"/>
  <c r="N1171" i="69"/>
  <c r="M1171" i="69"/>
  <c r="L1171" i="69"/>
  <c r="K1171" i="69"/>
  <c r="J1171" i="69"/>
  <c r="I1171" i="69"/>
  <c r="H1171" i="69"/>
  <c r="G1171" i="69"/>
  <c r="Q1170" i="69"/>
  <c r="P1170" i="69"/>
  <c r="O1170" i="69"/>
  <c r="N1170" i="69"/>
  <c r="M1170" i="69"/>
  <c r="L1170" i="69"/>
  <c r="K1170" i="69"/>
  <c r="J1170" i="69"/>
  <c r="I1170" i="69"/>
  <c r="H1170" i="69"/>
  <c r="G1170" i="69"/>
  <c r="Q1169" i="69"/>
  <c r="P1169" i="69"/>
  <c r="O1169" i="69"/>
  <c r="N1169" i="69"/>
  <c r="M1169" i="69"/>
  <c r="L1169" i="69"/>
  <c r="K1169" i="69"/>
  <c r="J1169" i="69"/>
  <c r="I1169" i="69"/>
  <c r="H1169" i="69"/>
  <c r="G1169" i="69"/>
  <c r="Q1168" i="69"/>
  <c r="P1168" i="69"/>
  <c r="O1168" i="69"/>
  <c r="N1168" i="69"/>
  <c r="M1168" i="69"/>
  <c r="L1168" i="69"/>
  <c r="K1168" i="69"/>
  <c r="J1168" i="69"/>
  <c r="I1168" i="69"/>
  <c r="H1168" i="69"/>
  <c r="G1168" i="69"/>
  <c r="Q1167" i="69"/>
  <c r="P1167" i="69"/>
  <c r="O1167" i="69"/>
  <c r="N1167" i="69"/>
  <c r="M1167" i="69"/>
  <c r="L1167" i="69"/>
  <c r="K1167" i="69"/>
  <c r="J1167" i="69"/>
  <c r="I1167" i="69"/>
  <c r="H1167" i="69"/>
  <c r="G1167" i="69"/>
  <c r="Q1166" i="69"/>
  <c r="P1166" i="69"/>
  <c r="O1166" i="69"/>
  <c r="N1166" i="69"/>
  <c r="M1166" i="69"/>
  <c r="L1166" i="69"/>
  <c r="K1166" i="69"/>
  <c r="J1166" i="69"/>
  <c r="I1166" i="69"/>
  <c r="H1166" i="69"/>
  <c r="G1166" i="69"/>
  <c r="Q1165" i="69"/>
  <c r="P1165" i="69"/>
  <c r="O1165" i="69"/>
  <c r="N1165" i="69"/>
  <c r="M1165" i="69"/>
  <c r="L1165" i="69"/>
  <c r="K1165" i="69"/>
  <c r="J1165" i="69"/>
  <c r="I1165" i="69"/>
  <c r="H1165" i="69"/>
  <c r="G1165" i="69"/>
  <c r="Q1164" i="69"/>
  <c r="P1164" i="69"/>
  <c r="O1164" i="69"/>
  <c r="N1164" i="69"/>
  <c r="M1164" i="69"/>
  <c r="L1164" i="69"/>
  <c r="K1164" i="69"/>
  <c r="J1164" i="69"/>
  <c r="I1164" i="69"/>
  <c r="H1164" i="69"/>
  <c r="G1164" i="69"/>
  <c r="Q1163" i="69"/>
  <c r="P1163" i="69"/>
  <c r="O1163" i="69"/>
  <c r="N1163" i="69"/>
  <c r="M1163" i="69"/>
  <c r="L1163" i="69"/>
  <c r="K1163" i="69"/>
  <c r="J1163" i="69"/>
  <c r="I1163" i="69"/>
  <c r="H1163" i="69"/>
  <c r="G1163" i="69"/>
  <c r="Q1162" i="69"/>
  <c r="P1162" i="69"/>
  <c r="O1162" i="69"/>
  <c r="N1162" i="69"/>
  <c r="M1162" i="69"/>
  <c r="L1162" i="69"/>
  <c r="K1162" i="69"/>
  <c r="J1162" i="69"/>
  <c r="I1162" i="69"/>
  <c r="H1162" i="69"/>
  <c r="G1162" i="69"/>
  <c r="Q1161" i="69"/>
  <c r="P1161" i="69"/>
  <c r="O1161" i="69"/>
  <c r="N1161" i="69"/>
  <c r="M1161" i="69"/>
  <c r="L1161" i="69"/>
  <c r="K1161" i="69"/>
  <c r="J1161" i="69"/>
  <c r="I1161" i="69"/>
  <c r="H1161" i="69"/>
  <c r="G1161" i="69"/>
  <c r="Q1160" i="69"/>
  <c r="P1160" i="69"/>
  <c r="O1160" i="69"/>
  <c r="N1160" i="69"/>
  <c r="M1160" i="69"/>
  <c r="L1160" i="69"/>
  <c r="K1160" i="69"/>
  <c r="J1160" i="69"/>
  <c r="I1160" i="69"/>
  <c r="H1160" i="69"/>
  <c r="G1160" i="69"/>
  <c r="Q1159" i="69"/>
  <c r="P1159" i="69"/>
  <c r="O1159" i="69"/>
  <c r="N1159" i="69"/>
  <c r="M1159" i="69"/>
  <c r="L1159" i="69"/>
  <c r="K1159" i="69"/>
  <c r="J1159" i="69"/>
  <c r="I1159" i="69"/>
  <c r="H1159" i="69"/>
  <c r="G1159" i="69"/>
  <c r="Q1158" i="69"/>
  <c r="P1158" i="69"/>
  <c r="O1158" i="69"/>
  <c r="N1158" i="69"/>
  <c r="M1158" i="69"/>
  <c r="L1158" i="69"/>
  <c r="K1158" i="69"/>
  <c r="J1158" i="69"/>
  <c r="I1158" i="69"/>
  <c r="H1158" i="69"/>
  <c r="G1158" i="69"/>
  <c r="Q1157" i="69"/>
  <c r="P1157" i="69"/>
  <c r="O1157" i="69"/>
  <c r="N1157" i="69"/>
  <c r="M1157" i="69"/>
  <c r="L1157" i="69"/>
  <c r="K1157" i="69"/>
  <c r="J1157" i="69"/>
  <c r="I1157" i="69"/>
  <c r="H1157" i="69"/>
  <c r="G1157" i="69"/>
  <c r="Q1156" i="69"/>
  <c r="P1156" i="69"/>
  <c r="O1156" i="69"/>
  <c r="N1156" i="69"/>
  <c r="M1156" i="69"/>
  <c r="L1156" i="69"/>
  <c r="K1156" i="69"/>
  <c r="J1156" i="69"/>
  <c r="I1156" i="69"/>
  <c r="H1156" i="69"/>
  <c r="G1156" i="69"/>
  <c r="Q1155" i="69"/>
  <c r="P1155" i="69"/>
  <c r="O1155" i="69"/>
  <c r="N1155" i="69"/>
  <c r="M1155" i="69"/>
  <c r="L1155" i="69"/>
  <c r="K1155" i="69"/>
  <c r="J1155" i="69"/>
  <c r="I1155" i="69"/>
  <c r="H1155" i="69"/>
  <c r="G1155" i="69"/>
  <c r="Q1154" i="69"/>
  <c r="P1154" i="69"/>
  <c r="O1154" i="69"/>
  <c r="N1154" i="69"/>
  <c r="M1154" i="69"/>
  <c r="L1154" i="69"/>
  <c r="K1154" i="69"/>
  <c r="J1154" i="69"/>
  <c r="I1154" i="69"/>
  <c r="H1154" i="69"/>
  <c r="G1154" i="69"/>
  <c r="Q1153" i="69"/>
  <c r="P1153" i="69"/>
  <c r="O1153" i="69"/>
  <c r="N1153" i="69"/>
  <c r="M1153" i="69"/>
  <c r="L1153" i="69"/>
  <c r="K1153" i="69"/>
  <c r="J1153" i="69"/>
  <c r="I1153" i="69"/>
  <c r="H1153" i="69"/>
  <c r="G1153" i="69"/>
  <c r="Q1152" i="69"/>
  <c r="P1152" i="69"/>
  <c r="O1152" i="69"/>
  <c r="N1152" i="69"/>
  <c r="M1152" i="69"/>
  <c r="L1152" i="69"/>
  <c r="K1152" i="69"/>
  <c r="J1152" i="69"/>
  <c r="I1152" i="69"/>
  <c r="H1152" i="69"/>
  <c r="G1152" i="69"/>
  <c r="Q1151" i="69"/>
  <c r="P1151" i="69"/>
  <c r="O1151" i="69"/>
  <c r="N1151" i="69"/>
  <c r="M1151" i="69"/>
  <c r="L1151" i="69"/>
  <c r="K1151" i="69"/>
  <c r="J1151" i="69"/>
  <c r="I1151" i="69"/>
  <c r="H1151" i="69"/>
  <c r="G1151" i="69"/>
  <c r="Q1150" i="69"/>
  <c r="P1150" i="69"/>
  <c r="O1150" i="69"/>
  <c r="N1150" i="69"/>
  <c r="M1150" i="69"/>
  <c r="L1150" i="69"/>
  <c r="K1150" i="69"/>
  <c r="J1150" i="69"/>
  <c r="I1150" i="69"/>
  <c r="H1150" i="69"/>
  <c r="G1150" i="69"/>
  <c r="Q1149" i="69"/>
  <c r="P1149" i="69"/>
  <c r="O1149" i="69"/>
  <c r="N1149" i="69"/>
  <c r="M1149" i="69"/>
  <c r="L1149" i="69"/>
  <c r="K1149" i="69"/>
  <c r="J1149" i="69"/>
  <c r="I1149" i="69"/>
  <c r="H1149" i="69"/>
  <c r="G1149" i="69"/>
  <c r="Q1148" i="69"/>
  <c r="P1148" i="69"/>
  <c r="O1148" i="69"/>
  <c r="N1148" i="69"/>
  <c r="M1148" i="69"/>
  <c r="L1148" i="69"/>
  <c r="K1148" i="69"/>
  <c r="J1148" i="69"/>
  <c r="I1148" i="69"/>
  <c r="H1148" i="69"/>
  <c r="G1148" i="69"/>
  <c r="Q1147" i="69"/>
  <c r="P1147" i="69"/>
  <c r="O1147" i="69"/>
  <c r="N1147" i="69"/>
  <c r="M1147" i="69"/>
  <c r="L1147" i="69"/>
  <c r="K1147" i="69"/>
  <c r="J1147" i="69"/>
  <c r="I1147" i="69"/>
  <c r="H1147" i="69"/>
  <c r="G1147" i="69"/>
  <c r="Q1146" i="69"/>
  <c r="P1146" i="69"/>
  <c r="O1146" i="69"/>
  <c r="N1146" i="69"/>
  <c r="M1146" i="69"/>
  <c r="L1146" i="69"/>
  <c r="K1146" i="69"/>
  <c r="J1146" i="69"/>
  <c r="I1146" i="69"/>
  <c r="H1146" i="69"/>
  <c r="G1146" i="69"/>
  <c r="Q1145" i="69"/>
  <c r="P1145" i="69"/>
  <c r="O1145" i="69"/>
  <c r="N1145" i="69"/>
  <c r="M1145" i="69"/>
  <c r="L1145" i="69"/>
  <c r="K1145" i="69"/>
  <c r="J1145" i="69"/>
  <c r="I1145" i="69"/>
  <c r="H1145" i="69"/>
  <c r="G1145" i="69"/>
  <c r="Q1144" i="69"/>
  <c r="P1144" i="69"/>
  <c r="O1144" i="69"/>
  <c r="N1144" i="69"/>
  <c r="M1144" i="69"/>
  <c r="L1144" i="69"/>
  <c r="K1144" i="69"/>
  <c r="J1144" i="69"/>
  <c r="I1144" i="69"/>
  <c r="H1144" i="69"/>
  <c r="G1144" i="69"/>
  <c r="Q1143" i="69"/>
  <c r="P1143" i="69"/>
  <c r="O1143" i="69"/>
  <c r="N1143" i="69"/>
  <c r="M1143" i="69"/>
  <c r="L1143" i="69"/>
  <c r="K1143" i="69"/>
  <c r="J1143" i="69"/>
  <c r="I1143" i="69"/>
  <c r="H1143" i="69"/>
  <c r="G1143" i="69"/>
  <c r="Q1142" i="69"/>
  <c r="P1142" i="69"/>
  <c r="O1142" i="69"/>
  <c r="N1142" i="69"/>
  <c r="M1142" i="69"/>
  <c r="L1142" i="69"/>
  <c r="K1142" i="69"/>
  <c r="J1142" i="69"/>
  <c r="I1142" i="69"/>
  <c r="H1142" i="69"/>
  <c r="G1142" i="69"/>
  <c r="Q1141" i="69"/>
  <c r="P1141" i="69"/>
  <c r="O1141" i="69"/>
  <c r="N1141" i="69"/>
  <c r="M1141" i="69"/>
  <c r="L1141" i="69"/>
  <c r="K1141" i="69"/>
  <c r="J1141" i="69"/>
  <c r="I1141" i="69"/>
  <c r="H1141" i="69"/>
  <c r="G1141" i="69"/>
  <c r="Q1140" i="69"/>
  <c r="P1140" i="69"/>
  <c r="O1140" i="69"/>
  <c r="N1140" i="69"/>
  <c r="M1140" i="69"/>
  <c r="L1140" i="69"/>
  <c r="K1140" i="69"/>
  <c r="J1140" i="69"/>
  <c r="I1140" i="69"/>
  <c r="H1140" i="69"/>
  <c r="G1140" i="69"/>
  <c r="Q1139" i="69"/>
  <c r="P1139" i="69"/>
  <c r="O1139" i="69"/>
  <c r="N1139" i="69"/>
  <c r="M1139" i="69"/>
  <c r="L1139" i="69"/>
  <c r="K1139" i="69"/>
  <c r="J1139" i="69"/>
  <c r="I1139" i="69"/>
  <c r="H1139" i="69"/>
  <c r="G1139" i="69"/>
  <c r="Q1138" i="69"/>
  <c r="P1138" i="69"/>
  <c r="O1138" i="69"/>
  <c r="N1138" i="69"/>
  <c r="M1138" i="69"/>
  <c r="L1138" i="69"/>
  <c r="K1138" i="69"/>
  <c r="J1138" i="69"/>
  <c r="I1138" i="69"/>
  <c r="H1138" i="69"/>
  <c r="G1138" i="69"/>
  <c r="Q1137" i="69"/>
  <c r="P1137" i="69"/>
  <c r="O1137" i="69"/>
  <c r="N1137" i="69"/>
  <c r="M1137" i="69"/>
  <c r="L1137" i="69"/>
  <c r="K1137" i="69"/>
  <c r="J1137" i="69"/>
  <c r="I1137" i="69"/>
  <c r="H1137" i="69"/>
  <c r="G1137" i="69"/>
  <c r="Q1136" i="69"/>
  <c r="P1136" i="69"/>
  <c r="O1136" i="69"/>
  <c r="N1136" i="69"/>
  <c r="M1136" i="69"/>
  <c r="L1136" i="69"/>
  <c r="K1136" i="69"/>
  <c r="J1136" i="69"/>
  <c r="I1136" i="69"/>
  <c r="H1136" i="69"/>
  <c r="G1136" i="69"/>
  <c r="Q1135" i="69"/>
  <c r="P1135" i="69"/>
  <c r="O1135" i="69"/>
  <c r="N1135" i="69"/>
  <c r="M1135" i="69"/>
  <c r="L1135" i="69"/>
  <c r="K1135" i="69"/>
  <c r="J1135" i="69"/>
  <c r="I1135" i="69"/>
  <c r="H1135" i="69"/>
  <c r="G1135" i="69"/>
  <c r="Q1134" i="69"/>
  <c r="P1134" i="69"/>
  <c r="O1134" i="69"/>
  <c r="N1134" i="69"/>
  <c r="M1134" i="69"/>
  <c r="L1134" i="69"/>
  <c r="K1134" i="69"/>
  <c r="J1134" i="69"/>
  <c r="I1134" i="69"/>
  <c r="H1134" i="69"/>
  <c r="G1134" i="69"/>
  <c r="Q1133" i="69"/>
  <c r="P1133" i="69"/>
  <c r="O1133" i="69"/>
  <c r="N1133" i="69"/>
  <c r="M1133" i="69"/>
  <c r="L1133" i="69"/>
  <c r="K1133" i="69"/>
  <c r="J1133" i="69"/>
  <c r="I1133" i="69"/>
  <c r="H1133" i="69"/>
  <c r="G1133" i="69"/>
  <c r="Q1132" i="69"/>
  <c r="P1132" i="69"/>
  <c r="O1132" i="69"/>
  <c r="N1132" i="69"/>
  <c r="M1132" i="69"/>
  <c r="L1132" i="69"/>
  <c r="K1132" i="69"/>
  <c r="J1132" i="69"/>
  <c r="I1132" i="69"/>
  <c r="H1132" i="69"/>
  <c r="G1132" i="69"/>
  <c r="Q1131" i="69"/>
  <c r="P1131" i="69"/>
  <c r="O1131" i="69"/>
  <c r="N1131" i="69"/>
  <c r="M1131" i="69"/>
  <c r="L1131" i="69"/>
  <c r="K1131" i="69"/>
  <c r="J1131" i="69"/>
  <c r="I1131" i="69"/>
  <c r="H1131" i="69"/>
  <c r="G1131" i="69"/>
  <c r="Q1130" i="69"/>
  <c r="P1130" i="69"/>
  <c r="O1130" i="69"/>
  <c r="N1130" i="69"/>
  <c r="M1130" i="69"/>
  <c r="L1130" i="69"/>
  <c r="K1130" i="69"/>
  <c r="J1130" i="69"/>
  <c r="I1130" i="69"/>
  <c r="H1130" i="69"/>
  <c r="G1130" i="69"/>
  <c r="Q1129" i="69"/>
  <c r="P1129" i="69"/>
  <c r="O1129" i="69"/>
  <c r="N1129" i="69"/>
  <c r="M1129" i="69"/>
  <c r="L1129" i="69"/>
  <c r="K1129" i="69"/>
  <c r="J1129" i="69"/>
  <c r="I1129" i="69"/>
  <c r="H1129" i="69"/>
  <c r="G1129" i="69"/>
  <c r="Q1128" i="69"/>
  <c r="P1128" i="69"/>
  <c r="O1128" i="69"/>
  <c r="N1128" i="69"/>
  <c r="M1128" i="69"/>
  <c r="L1128" i="69"/>
  <c r="K1128" i="69"/>
  <c r="J1128" i="69"/>
  <c r="I1128" i="69"/>
  <c r="H1128" i="69"/>
  <c r="G1128" i="69"/>
  <c r="Q1127" i="69"/>
  <c r="P1127" i="69"/>
  <c r="O1127" i="69"/>
  <c r="N1127" i="69"/>
  <c r="M1127" i="69"/>
  <c r="L1127" i="69"/>
  <c r="K1127" i="69"/>
  <c r="J1127" i="69"/>
  <c r="I1127" i="69"/>
  <c r="H1127" i="69"/>
  <c r="G1127" i="69"/>
  <c r="Q1126" i="69"/>
  <c r="P1126" i="69"/>
  <c r="O1126" i="69"/>
  <c r="N1126" i="69"/>
  <c r="M1126" i="69"/>
  <c r="L1126" i="69"/>
  <c r="K1126" i="69"/>
  <c r="J1126" i="69"/>
  <c r="I1126" i="69"/>
  <c r="H1126" i="69"/>
  <c r="G1126" i="69"/>
  <c r="Q1125" i="69"/>
  <c r="P1125" i="69"/>
  <c r="O1125" i="69"/>
  <c r="N1125" i="69"/>
  <c r="M1125" i="69"/>
  <c r="L1125" i="69"/>
  <c r="K1125" i="69"/>
  <c r="J1125" i="69"/>
  <c r="I1125" i="69"/>
  <c r="H1125" i="69"/>
  <c r="G1125" i="69"/>
  <c r="Q1124" i="69"/>
  <c r="P1124" i="69"/>
  <c r="O1124" i="69"/>
  <c r="N1124" i="69"/>
  <c r="M1124" i="69"/>
  <c r="L1124" i="69"/>
  <c r="K1124" i="69"/>
  <c r="J1124" i="69"/>
  <c r="I1124" i="69"/>
  <c r="H1124" i="69"/>
  <c r="G1124" i="69"/>
  <c r="Q1123" i="69"/>
  <c r="P1123" i="69"/>
  <c r="O1123" i="69"/>
  <c r="N1123" i="69"/>
  <c r="M1123" i="69"/>
  <c r="L1123" i="69"/>
  <c r="K1123" i="69"/>
  <c r="J1123" i="69"/>
  <c r="I1123" i="69"/>
  <c r="H1123" i="69"/>
  <c r="G1123" i="69"/>
  <c r="Q1122" i="69"/>
  <c r="P1122" i="69"/>
  <c r="O1122" i="69"/>
  <c r="N1122" i="69"/>
  <c r="M1122" i="69"/>
  <c r="L1122" i="69"/>
  <c r="K1122" i="69"/>
  <c r="J1122" i="69"/>
  <c r="I1122" i="69"/>
  <c r="H1122" i="69"/>
  <c r="G1122" i="69"/>
  <c r="Q1121" i="69"/>
  <c r="P1121" i="69"/>
  <c r="O1121" i="69"/>
  <c r="N1121" i="69"/>
  <c r="M1121" i="69"/>
  <c r="L1121" i="69"/>
  <c r="K1121" i="69"/>
  <c r="J1121" i="69"/>
  <c r="I1121" i="69"/>
  <c r="H1121" i="69"/>
  <c r="G1121" i="69"/>
  <c r="Q1120" i="69"/>
  <c r="P1120" i="69"/>
  <c r="O1120" i="69"/>
  <c r="N1120" i="69"/>
  <c r="M1120" i="69"/>
  <c r="L1120" i="69"/>
  <c r="K1120" i="69"/>
  <c r="J1120" i="69"/>
  <c r="I1120" i="69"/>
  <c r="H1120" i="69"/>
  <c r="G1120" i="69"/>
  <c r="Q1119" i="69"/>
  <c r="P1119" i="69"/>
  <c r="O1119" i="69"/>
  <c r="N1119" i="69"/>
  <c r="M1119" i="69"/>
  <c r="L1119" i="69"/>
  <c r="K1119" i="69"/>
  <c r="J1119" i="69"/>
  <c r="I1119" i="69"/>
  <c r="H1119" i="69"/>
  <c r="G1119" i="69"/>
  <c r="Q1118" i="69"/>
  <c r="P1118" i="69"/>
  <c r="O1118" i="69"/>
  <c r="N1118" i="69"/>
  <c r="M1118" i="69"/>
  <c r="L1118" i="69"/>
  <c r="K1118" i="69"/>
  <c r="J1118" i="69"/>
  <c r="I1118" i="69"/>
  <c r="H1118" i="69"/>
  <c r="G1118" i="69"/>
  <c r="Q1117" i="69"/>
  <c r="P1117" i="69"/>
  <c r="O1117" i="69"/>
  <c r="N1117" i="69"/>
  <c r="M1117" i="69"/>
  <c r="L1117" i="69"/>
  <c r="K1117" i="69"/>
  <c r="J1117" i="69"/>
  <c r="I1117" i="69"/>
  <c r="H1117" i="69"/>
  <c r="G1117" i="69"/>
  <c r="Q1116" i="69"/>
  <c r="P1116" i="69"/>
  <c r="O1116" i="69"/>
  <c r="N1116" i="69"/>
  <c r="M1116" i="69"/>
  <c r="L1116" i="69"/>
  <c r="K1116" i="69"/>
  <c r="J1116" i="69"/>
  <c r="I1116" i="69"/>
  <c r="H1116" i="69"/>
  <c r="G1116" i="69"/>
  <c r="Q1115" i="69"/>
  <c r="P1115" i="69"/>
  <c r="O1115" i="69"/>
  <c r="N1115" i="69"/>
  <c r="M1115" i="69"/>
  <c r="L1115" i="69"/>
  <c r="K1115" i="69"/>
  <c r="J1115" i="69"/>
  <c r="I1115" i="69"/>
  <c r="H1115" i="69"/>
  <c r="G1115" i="69"/>
  <c r="Q1114" i="69"/>
  <c r="P1114" i="69"/>
  <c r="O1114" i="69"/>
  <c r="N1114" i="69"/>
  <c r="M1114" i="69"/>
  <c r="L1114" i="69"/>
  <c r="K1114" i="69"/>
  <c r="J1114" i="69"/>
  <c r="I1114" i="69"/>
  <c r="H1114" i="69"/>
  <c r="G1114" i="69"/>
  <c r="Q1113" i="69"/>
  <c r="P1113" i="69"/>
  <c r="O1113" i="69"/>
  <c r="N1113" i="69"/>
  <c r="M1113" i="69"/>
  <c r="L1113" i="69"/>
  <c r="K1113" i="69"/>
  <c r="J1113" i="69"/>
  <c r="I1113" i="69"/>
  <c r="H1113" i="69"/>
  <c r="G1113" i="69"/>
  <c r="Q1112" i="69"/>
  <c r="P1112" i="69"/>
  <c r="O1112" i="69"/>
  <c r="N1112" i="69"/>
  <c r="M1112" i="69"/>
  <c r="L1112" i="69"/>
  <c r="K1112" i="69"/>
  <c r="J1112" i="69"/>
  <c r="I1112" i="69"/>
  <c r="H1112" i="69"/>
  <c r="G1112" i="69"/>
  <c r="Q1111" i="69"/>
  <c r="P1111" i="69"/>
  <c r="O1111" i="69"/>
  <c r="N1111" i="69"/>
  <c r="M1111" i="69"/>
  <c r="L1111" i="69"/>
  <c r="K1111" i="69"/>
  <c r="J1111" i="69"/>
  <c r="I1111" i="69"/>
  <c r="H1111" i="69"/>
  <c r="G1111" i="69"/>
  <c r="Q1110" i="69"/>
  <c r="P1110" i="69"/>
  <c r="O1110" i="69"/>
  <c r="N1110" i="69"/>
  <c r="M1110" i="69"/>
  <c r="L1110" i="69"/>
  <c r="K1110" i="69"/>
  <c r="J1110" i="69"/>
  <c r="I1110" i="69"/>
  <c r="H1110" i="69"/>
  <c r="G1110" i="69"/>
  <c r="Q1109" i="69"/>
  <c r="P1109" i="69"/>
  <c r="O1109" i="69"/>
  <c r="N1109" i="69"/>
  <c r="M1109" i="69"/>
  <c r="L1109" i="69"/>
  <c r="K1109" i="69"/>
  <c r="J1109" i="69"/>
  <c r="I1109" i="69"/>
  <c r="H1109" i="69"/>
  <c r="G1109" i="69"/>
  <c r="Q1108" i="69"/>
  <c r="P1108" i="69"/>
  <c r="O1108" i="69"/>
  <c r="N1108" i="69"/>
  <c r="M1108" i="69"/>
  <c r="L1108" i="69"/>
  <c r="K1108" i="69"/>
  <c r="J1108" i="69"/>
  <c r="I1108" i="69"/>
  <c r="H1108" i="69"/>
  <c r="G1108" i="69"/>
  <c r="Q1107" i="69"/>
  <c r="P1107" i="69"/>
  <c r="O1107" i="69"/>
  <c r="N1107" i="69"/>
  <c r="M1107" i="69"/>
  <c r="L1107" i="69"/>
  <c r="K1107" i="69"/>
  <c r="J1107" i="69"/>
  <c r="I1107" i="69"/>
  <c r="H1107" i="69"/>
  <c r="G1107" i="69"/>
  <c r="Q1106" i="69"/>
  <c r="P1106" i="69"/>
  <c r="O1106" i="69"/>
  <c r="N1106" i="69"/>
  <c r="M1106" i="69"/>
  <c r="L1106" i="69"/>
  <c r="K1106" i="69"/>
  <c r="J1106" i="69"/>
  <c r="I1106" i="69"/>
  <c r="H1106" i="69"/>
  <c r="G1106" i="69"/>
  <c r="Q1105" i="69"/>
  <c r="P1105" i="69"/>
  <c r="O1105" i="69"/>
  <c r="N1105" i="69"/>
  <c r="M1105" i="69"/>
  <c r="L1105" i="69"/>
  <c r="K1105" i="69"/>
  <c r="J1105" i="69"/>
  <c r="I1105" i="69"/>
  <c r="H1105" i="69"/>
  <c r="G1105" i="69"/>
  <c r="Q1104" i="69"/>
  <c r="P1104" i="69"/>
  <c r="O1104" i="69"/>
  <c r="N1104" i="69"/>
  <c r="M1104" i="69"/>
  <c r="L1104" i="69"/>
  <c r="K1104" i="69"/>
  <c r="J1104" i="69"/>
  <c r="I1104" i="69"/>
  <c r="H1104" i="69"/>
  <c r="G1104" i="69"/>
  <c r="Q1103" i="69"/>
  <c r="P1103" i="69"/>
  <c r="O1103" i="69"/>
  <c r="N1103" i="69"/>
  <c r="M1103" i="69"/>
  <c r="L1103" i="69"/>
  <c r="K1103" i="69"/>
  <c r="J1103" i="69"/>
  <c r="I1103" i="69"/>
  <c r="H1103" i="69"/>
  <c r="G1103" i="69"/>
  <c r="Q1102" i="69"/>
  <c r="P1102" i="69"/>
  <c r="O1102" i="69"/>
  <c r="N1102" i="69"/>
  <c r="M1102" i="69"/>
  <c r="L1102" i="69"/>
  <c r="K1102" i="69"/>
  <c r="J1102" i="69"/>
  <c r="I1102" i="69"/>
  <c r="H1102" i="69"/>
  <c r="G1102" i="69"/>
  <c r="Q1101" i="69"/>
  <c r="P1101" i="69"/>
  <c r="O1101" i="69"/>
  <c r="N1101" i="69"/>
  <c r="M1101" i="69"/>
  <c r="L1101" i="69"/>
  <c r="K1101" i="69"/>
  <c r="J1101" i="69"/>
  <c r="I1101" i="69"/>
  <c r="H1101" i="69"/>
  <c r="G1101" i="69"/>
  <c r="Q1100" i="69"/>
  <c r="P1100" i="69"/>
  <c r="O1100" i="69"/>
  <c r="N1100" i="69"/>
  <c r="M1100" i="69"/>
  <c r="L1100" i="69"/>
  <c r="K1100" i="69"/>
  <c r="J1100" i="69"/>
  <c r="I1100" i="69"/>
  <c r="H1100" i="69"/>
  <c r="G1100" i="69"/>
  <c r="Q1099" i="69"/>
  <c r="P1099" i="69"/>
  <c r="O1099" i="69"/>
  <c r="N1099" i="69"/>
  <c r="M1099" i="69"/>
  <c r="L1099" i="69"/>
  <c r="K1099" i="69"/>
  <c r="J1099" i="69"/>
  <c r="I1099" i="69"/>
  <c r="H1099" i="69"/>
  <c r="G1099" i="69"/>
  <c r="Q1098" i="69"/>
  <c r="P1098" i="69"/>
  <c r="O1098" i="69"/>
  <c r="N1098" i="69"/>
  <c r="M1098" i="69"/>
  <c r="L1098" i="69"/>
  <c r="K1098" i="69"/>
  <c r="J1098" i="69"/>
  <c r="I1098" i="69"/>
  <c r="H1098" i="69"/>
  <c r="G1098" i="69"/>
  <c r="Q1097" i="69"/>
  <c r="P1097" i="69"/>
  <c r="O1097" i="69"/>
  <c r="N1097" i="69"/>
  <c r="M1097" i="69"/>
  <c r="L1097" i="69"/>
  <c r="K1097" i="69"/>
  <c r="J1097" i="69"/>
  <c r="I1097" i="69"/>
  <c r="H1097" i="69"/>
  <c r="G1097" i="69"/>
  <c r="Q1096" i="69"/>
  <c r="P1096" i="69"/>
  <c r="O1096" i="69"/>
  <c r="N1096" i="69"/>
  <c r="M1096" i="69"/>
  <c r="L1096" i="69"/>
  <c r="K1096" i="69"/>
  <c r="J1096" i="69"/>
  <c r="I1096" i="69"/>
  <c r="H1096" i="69"/>
  <c r="G1096" i="69"/>
  <c r="Q1095" i="69"/>
  <c r="P1095" i="69"/>
  <c r="O1095" i="69"/>
  <c r="N1095" i="69"/>
  <c r="M1095" i="69"/>
  <c r="L1095" i="69"/>
  <c r="K1095" i="69"/>
  <c r="J1095" i="69"/>
  <c r="I1095" i="69"/>
  <c r="H1095" i="69"/>
  <c r="G1095" i="69"/>
  <c r="Q1094" i="69"/>
  <c r="P1094" i="69"/>
  <c r="O1094" i="69"/>
  <c r="N1094" i="69"/>
  <c r="M1094" i="69"/>
  <c r="L1094" i="69"/>
  <c r="K1094" i="69"/>
  <c r="J1094" i="69"/>
  <c r="I1094" i="69"/>
  <c r="H1094" i="69"/>
  <c r="G1094" i="69"/>
  <c r="Q1093" i="69"/>
  <c r="P1093" i="69"/>
  <c r="O1093" i="69"/>
  <c r="N1093" i="69"/>
  <c r="M1093" i="69"/>
  <c r="L1093" i="69"/>
  <c r="K1093" i="69"/>
  <c r="J1093" i="69"/>
  <c r="I1093" i="69"/>
  <c r="H1093" i="69"/>
  <c r="G1093" i="69"/>
  <c r="Q1092" i="69"/>
  <c r="P1092" i="69"/>
  <c r="O1092" i="69"/>
  <c r="N1092" i="69"/>
  <c r="M1092" i="69"/>
  <c r="L1092" i="69"/>
  <c r="K1092" i="69"/>
  <c r="J1092" i="69"/>
  <c r="I1092" i="69"/>
  <c r="H1092" i="69"/>
  <c r="G1092" i="69"/>
  <c r="Q1091" i="69"/>
  <c r="P1091" i="69"/>
  <c r="O1091" i="69"/>
  <c r="N1091" i="69"/>
  <c r="M1091" i="69"/>
  <c r="L1091" i="69"/>
  <c r="K1091" i="69"/>
  <c r="J1091" i="69"/>
  <c r="I1091" i="69"/>
  <c r="H1091" i="69"/>
  <c r="G1091" i="69"/>
  <c r="Q1090" i="69"/>
  <c r="P1090" i="69"/>
  <c r="O1090" i="69"/>
  <c r="N1090" i="69"/>
  <c r="M1090" i="69"/>
  <c r="L1090" i="69"/>
  <c r="K1090" i="69"/>
  <c r="J1090" i="69"/>
  <c r="I1090" i="69"/>
  <c r="H1090" i="69"/>
  <c r="G1090" i="69"/>
  <c r="Q1089" i="69"/>
  <c r="P1089" i="69"/>
  <c r="O1089" i="69"/>
  <c r="N1089" i="69"/>
  <c r="M1089" i="69"/>
  <c r="L1089" i="69"/>
  <c r="K1089" i="69"/>
  <c r="J1089" i="69"/>
  <c r="I1089" i="69"/>
  <c r="H1089" i="69"/>
  <c r="G1089" i="69"/>
  <c r="Q1088" i="69"/>
  <c r="P1088" i="69"/>
  <c r="O1088" i="69"/>
  <c r="N1088" i="69"/>
  <c r="M1088" i="69"/>
  <c r="L1088" i="69"/>
  <c r="K1088" i="69"/>
  <c r="J1088" i="69"/>
  <c r="I1088" i="69"/>
  <c r="H1088" i="69"/>
  <c r="G1088" i="69"/>
  <c r="Q1087" i="69"/>
  <c r="P1087" i="69"/>
  <c r="O1087" i="69"/>
  <c r="N1087" i="69"/>
  <c r="M1087" i="69"/>
  <c r="L1087" i="69"/>
  <c r="K1087" i="69"/>
  <c r="J1087" i="69"/>
  <c r="I1087" i="69"/>
  <c r="H1087" i="69"/>
  <c r="G1087" i="69"/>
  <c r="Q1086" i="69"/>
  <c r="P1086" i="69"/>
  <c r="O1086" i="69"/>
  <c r="N1086" i="69"/>
  <c r="M1086" i="69"/>
  <c r="L1086" i="69"/>
  <c r="K1086" i="69"/>
  <c r="J1086" i="69"/>
  <c r="I1086" i="69"/>
  <c r="H1086" i="69"/>
  <c r="G1086" i="69"/>
  <c r="Q1085" i="69"/>
  <c r="P1085" i="69"/>
  <c r="O1085" i="69"/>
  <c r="N1085" i="69"/>
  <c r="M1085" i="69"/>
  <c r="L1085" i="69"/>
  <c r="K1085" i="69"/>
  <c r="J1085" i="69"/>
  <c r="I1085" i="69"/>
  <c r="H1085" i="69"/>
  <c r="G1085" i="69"/>
  <c r="Q1084" i="69"/>
  <c r="P1084" i="69"/>
  <c r="O1084" i="69"/>
  <c r="N1084" i="69"/>
  <c r="M1084" i="69"/>
  <c r="L1084" i="69"/>
  <c r="K1084" i="69"/>
  <c r="J1084" i="69"/>
  <c r="I1084" i="69"/>
  <c r="H1084" i="69"/>
  <c r="G1084" i="69"/>
  <c r="Q1083" i="69"/>
  <c r="P1083" i="69"/>
  <c r="O1083" i="69"/>
  <c r="N1083" i="69"/>
  <c r="M1083" i="69"/>
  <c r="L1083" i="69"/>
  <c r="K1083" i="69"/>
  <c r="J1083" i="69"/>
  <c r="I1083" i="69"/>
  <c r="H1083" i="69"/>
  <c r="G1083" i="69"/>
  <c r="Q1082" i="69"/>
  <c r="P1082" i="69"/>
  <c r="O1082" i="69"/>
  <c r="N1082" i="69"/>
  <c r="M1082" i="69"/>
  <c r="L1082" i="69"/>
  <c r="K1082" i="69"/>
  <c r="J1082" i="69"/>
  <c r="I1082" i="69"/>
  <c r="H1082" i="69"/>
  <c r="G1082" i="69"/>
  <c r="Q1081" i="69"/>
  <c r="P1081" i="69"/>
  <c r="O1081" i="69"/>
  <c r="N1081" i="69"/>
  <c r="M1081" i="69"/>
  <c r="L1081" i="69"/>
  <c r="K1081" i="69"/>
  <c r="J1081" i="69"/>
  <c r="I1081" i="69"/>
  <c r="H1081" i="69"/>
  <c r="G1081" i="69"/>
  <c r="Q1080" i="69"/>
  <c r="P1080" i="69"/>
  <c r="O1080" i="69"/>
  <c r="N1080" i="69"/>
  <c r="M1080" i="69"/>
  <c r="L1080" i="69"/>
  <c r="K1080" i="69"/>
  <c r="J1080" i="69"/>
  <c r="I1080" i="69"/>
  <c r="H1080" i="69"/>
  <c r="G1080" i="69"/>
  <c r="Q1079" i="69"/>
  <c r="P1079" i="69"/>
  <c r="O1079" i="69"/>
  <c r="N1079" i="69"/>
  <c r="M1079" i="69"/>
  <c r="L1079" i="69"/>
  <c r="K1079" i="69"/>
  <c r="J1079" i="69"/>
  <c r="I1079" i="69"/>
  <c r="H1079" i="69"/>
  <c r="G1079" i="69"/>
  <c r="Q1078" i="69"/>
  <c r="P1078" i="69"/>
  <c r="O1078" i="69"/>
  <c r="N1078" i="69"/>
  <c r="M1078" i="69"/>
  <c r="L1078" i="69"/>
  <c r="K1078" i="69"/>
  <c r="J1078" i="69"/>
  <c r="I1078" i="69"/>
  <c r="H1078" i="69"/>
  <c r="G1078" i="69"/>
  <c r="Q1077" i="69"/>
  <c r="P1077" i="69"/>
  <c r="O1077" i="69"/>
  <c r="N1077" i="69"/>
  <c r="M1077" i="69"/>
  <c r="L1077" i="69"/>
  <c r="K1077" i="69"/>
  <c r="J1077" i="69"/>
  <c r="I1077" i="69"/>
  <c r="H1077" i="69"/>
  <c r="G1077" i="69"/>
  <c r="Q1076" i="69"/>
  <c r="P1076" i="69"/>
  <c r="O1076" i="69"/>
  <c r="N1076" i="69"/>
  <c r="M1076" i="69"/>
  <c r="L1076" i="69"/>
  <c r="K1076" i="69"/>
  <c r="J1076" i="69"/>
  <c r="I1076" i="69"/>
  <c r="H1076" i="69"/>
  <c r="G1076" i="69"/>
  <c r="Q1075" i="69"/>
  <c r="P1075" i="69"/>
  <c r="O1075" i="69"/>
  <c r="N1075" i="69"/>
  <c r="M1075" i="69"/>
  <c r="L1075" i="69"/>
  <c r="K1075" i="69"/>
  <c r="J1075" i="69"/>
  <c r="I1075" i="69"/>
  <c r="H1075" i="69"/>
  <c r="G1075" i="69"/>
  <c r="Q1074" i="69"/>
  <c r="P1074" i="69"/>
  <c r="O1074" i="69"/>
  <c r="N1074" i="69"/>
  <c r="M1074" i="69"/>
  <c r="L1074" i="69"/>
  <c r="K1074" i="69"/>
  <c r="J1074" i="69"/>
  <c r="I1074" i="69"/>
  <c r="H1074" i="69"/>
  <c r="G1074" i="69"/>
  <c r="Q1073" i="69"/>
  <c r="P1073" i="69"/>
  <c r="O1073" i="69"/>
  <c r="N1073" i="69"/>
  <c r="M1073" i="69"/>
  <c r="L1073" i="69"/>
  <c r="K1073" i="69"/>
  <c r="J1073" i="69"/>
  <c r="I1073" i="69"/>
  <c r="H1073" i="69"/>
  <c r="G1073" i="69"/>
  <c r="Q1072" i="69"/>
  <c r="P1072" i="69"/>
  <c r="O1072" i="69"/>
  <c r="N1072" i="69"/>
  <c r="M1072" i="69"/>
  <c r="L1072" i="69"/>
  <c r="K1072" i="69"/>
  <c r="J1072" i="69"/>
  <c r="I1072" i="69"/>
  <c r="H1072" i="69"/>
  <c r="G1072" i="69"/>
  <c r="Q1071" i="69"/>
  <c r="P1071" i="69"/>
  <c r="O1071" i="69"/>
  <c r="N1071" i="69"/>
  <c r="M1071" i="69"/>
  <c r="L1071" i="69"/>
  <c r="K1071" i="69"/>
  <c r="J1071" i="69"/>
  <c r="I1071" i="69"/>
  <c r="H1071" i="69"/>
  <c r="G1071" i="69"/>
  <c r="Q1070" i="69"/>
  <c r="P1070" i="69"/>
  <c r="O1070" i="69"/>
  <c r="N1070" i="69"/>
  <c r="M1070" i="69"/>
  <c r="L1070" i="69"/>
  <c r="K1070" i="69"/>
  <c r="J1070" i="69"/>
  <c r="I1070" i="69"/>
  <c r="H1070" i="69"/>
  <c r="G1070" i="69"/>
  <c r="Q1069" i="69"/>
  <c r="P1069" i="69"/>
  <c r="O1069" i="69"/>
  <c r="N1069" i="69"/>
  <c r="M1069" i="69"/>
  <c r="L1069" i="69"/>
  <c r="K1069" i="69"/>
  <c r="J1069" i="69"/>
  <c r="I1069" i="69"/>
  <c r="H1069" i="69"/>
  <c r="G1069" i="69"/>
  <c r="Q1068" i="69"/>
  <c r="P1068" i="69"/>
  <c r="O1068" i="69"/>
  <c r="N1068" i="69"/>
  <c r="M1068" i="69"/>
  <c r="L1068" i="69"/>
  <c r="K1068" i="69"/>
  <c r="J1068" i="69"/>
  <c r="I1068" i="69"/>
  <c r="H1068" i="69"/>
  <c r="G1068" i="69"/>
  <c r="Q1067" i="69"/>
  <c r="P1067" i="69"/>
  <c r="O1067" i="69"/>
  <c r="N1067" i="69"/>
  <c r="M1067" i="69"/>
  <c r="L1067" i="69"/>
  <c r="K1067" i="69"/>
  <c r="J1067" i="69"/>
  <c r="I1067" i="69"/>
  <c r="H1067" i="69"/>
  <c r="G1067" i="69"/>
  <c r="Q1066" i="69"/>
  <c r="P1066" i="69"/>
  <c r="O1066" i="69"/>
  <c r="N1066" i="69"/>
  <c r="M1066" i="69"/>
  <c r="L1066" i="69"/>
  <c r="K1066" i="69"/>
  <c r="J1066" i="69"/>
  <c r="I1066" i="69"/>
  <c r="H1066" i="69"/>
  <c r="G1066" i="69"/>
  <c r="Q1065" i="69"/>
  <c r="P1065" i="69"/>
  <c r="O1065" i="69"/>
  <c r="N1065" i="69"/>
  <c r="M1065" i="69"/>
  <c r="L1065" i="69"/>
  <c r="K1065" i="69"/>
  <c r="J1065" i="69"/>
  <c r="I1065" i="69"/>
  <c r="H1065" i="69"/>
  <c r="G1065" i="69"/>
  <c r="Q1064" i="69"/>
  <c r="P1064" i="69"/>
  <c r="O1064" i="69"/>
  <c r="N1064" i="69"/>
  <c r="M1064" i="69"/>
  <c r="L1064" i="69"/>
  <c r="K1064" i="69"/>
  <c r="J1064" i="69"/>
  <c r="I1064" i="69"/>
  <c r="H1064" i="69"/>
  <c r="G1064" i="69"/>
  <c r="Q1063" i="69"/>
  <c r="P1063" i="69"/>
  <c r="O1063" i="69"/>
  <c r="N1063" i="69"/>
  <c r="M1063" i="69"/>
  <c r="L1063" i="69"/>
  <c r="K1063" i="69"/>
  <c r="J1063" i="69"/>
  <c r="I1063" i="69"/>
  <c r="H1063" i="69"/>
  <c r="G1063" i="69"/>
  <c r="Q1062" i="69"/>
  <c r="P1062" i="69"/>
  <c r="O1062" i="69"/>
  <c r="N1062" i="69"/>
  <c r="M1062" i="69"/>
  <c r="L1062" i="69"/>
  <c r="K1062" i="69"/>
  <c r="J1062" i="69"/>
  <c r="I1062" i="69"/>
  <c r="H1062" i="69"/>
  <c r="G1062" i="69"/>
  <c r="Q1061" i="69"/>
  <c r="P1061" i="69"/>
  <c r="O1061" i="69"/>
  <c r="N1061" i="69"/>
  <c r="M1061" i="69"/>
  <c r="L1061" i="69"/>
  <c r="K1061" i="69"/>
  <c r="J1061" i="69"/>
  <c r="I1061" i="69"/>
  <c r="H1061" i="69"/>
  <c r="G1061" i="69"/>
  <c r="Q1060" i="69"/>
  <c r="P1060" i="69"/>
  <c r="O1060" i="69"/>
  <c r="N1060" i="69"/>
  <c r="M1060" i="69"/>
  <c r="L1060" i="69"/>
  <c r="K1060" i="69"/>
  <c r="J1060" i="69"/>
  <c r="I1060" i="69"/>
  <c r="H1060" i="69"/>
  <c r="G1060" i="69"/>
  <c r="Q1059" i="69"/>
  <c r="P1059" i="69"/>
  <c r="O1059" i="69"/>
  <c r="N1059" i="69"/>
  <c r="M1059" i="69"/>
  <c r="L1059" i="69"/>
  <c r="K1059" i="69"/>
  <c r="J1059" i="69"/>
  <c r="I1059" i="69"/>
  <c r="H1059" i="69"/>
  <c r="G1059" i="69"/>
  <c r="Q1058" i="69"/>
  <c r="P1058" i="69"/>
  <c r="O1058" i="69"/>
  <c r="N1058" i="69"/>
  <c r="M1058" i="69"/>
  <c r="L1058" i="69"/>
  <c r="K1058" i="69"/>
  <c r="J1058" i="69"/>
  <c r="I1058" i="69"/>
  <c r="H1058" i="69"/>
  <c r="G1058" i="69"/>
  <c r="Q1057" i="69"/>
  <c r="P1057" i="69"/>
  <c r="O1057" i="69"/>
  <c r="N1057" i="69"/>
  <c r="M1057" i="69"/>
  <c r="L1057" i="69"/>
  <c r="K1057" i="69"/>
  <c r="J1057" i="69"/>
  <c r="I1057" i="69"/>
  <c r="H1057" i="69"/>
  <c r="G1057" i="69"/>
  <c r="Q1056" i="69"/>
  <c r="P1056" i="69"/>
  <c r="O1056" i="69"/>
  <c r="N1056" i="69"/>
  <c r="M1056" i="69"/>
  <c r="L1056" i="69"/>
  <c r="K1056" i="69"/>
  <c r="J1056" i="69"/>
  <c r="I1056" i="69"/>
  <c r="H1056" i="69"/>
  <c r="G1056" i="69"/>
  <c r="Q1055" i="69"/>
  <c r="P1055" i="69"/>
  <c r="O1055" i="69"/>
  <c r="N1055" i="69"/>
  <c r="M1055" i="69"/>
  <c r="L1055" i="69"/>
  <c r="K1055" i="69"/>
  <c r="J1055" i="69"/>
  <c r="I1055" i="69"/>
  <c r="H1055" i="69"/>
  <c r="G1055" i="69"/>
  <c r="Q1054" i="69"/>
  <c r="P1054" i="69"/>
  <c r="O1054" i="69"/>
  <c r="N1054" i="69"/>
  <c r="M1054" i="69"/>
  <c r="L1054" i="69"/>
  <c r="K1054" i="69"/>
  <c r="J1054" i="69"/>
  <c r="I1054" i="69"/>
  <c r="H1054" i="69"/>
  <c r="G1054" i="69"/>
  <c r="Q1053" i="69"/>
  <c r="P1053" i="69"/>
  <c r="O1053" i="69"/>
  <c r="N1053" i="69"/>
  <c r="M1053" i="69"/>
  <c r="L1053" i="69"/>
  <c r="K1053" i="69"/>
  <c r="J1053" i="69"/>
  <c r="I1053" i="69"/>
  <c r="H1053" i="69"/>
  <c r="G1053" i="69"/>
  <c r="Q1052" i="69"/>
  <c r="P1052" i="69"/>
  <c r="O1052" i="69"/>
  <c r="N1052" i="69"/>
  <c r="M1052" i="69"/>
  <c r="L1052" i="69"/>
  <c r="K1052" i="69"/>
  <c r="J1052" i="69"/>
  <c r="I1052" i="69"/>
  <c r="H1052" i="69"/>
  <c r="G1052" i="69"/>
  <c r="Q1051" i="69"/>
  <c r="P1051" i="69"/>
  <c r="O1051" i="69"/>
  <c r="N1051" i="69"/>
  <c r="M1051" i="69"/>
  <c r="L1051" i="69"/>
  <c r="K1051" i="69"/>
  <c r="J1051" i="69"/>
  <c r="I1051" i="69"/>
  <c r="H1051" i="69"/>
  <c r="G1051" i="69"/>
  <c r="Q1050" i="69"/>
  <c r="P1050" i="69"/>
  <c r="O1050" i="69"/>
  <c r="N1050" i="69"/>
  <c r="M1050" i="69"/>
  <c r="L1050" i="69"/>
  <c r="K1050" i="69"/>
  <c r="J1050" i="69"/>
  <c r="I1050" i="69"/>
  <c r="H1050" i="69"/>
  <c r="G1050" i="69"/>
  <c r="Q1049" i="69"/>
  <c r="P1049" i="69"/>
  <c r="O1049" i="69"/>
  <c r="N1049" i="69"/>
  <c r="M1049" i="69"/>
  <c r="L1049" i="69"/>
  <c r="K1049" i="69"/>
  <c r="J1049" i="69"/>
  <c r="I1049" i="69"/>
  <c r="H1049" i="69"/>
  <c r="G1049" i="69"/>
  <c r="Q1048" i="69"/>
  <c r="P1048" i="69"/>
  <c r="O1048" i="69"/>
  <c r="N1048" i="69"/>
  <c r="M1048" i="69"/>
  <c r="L1048" i="69"/>
  <c r="K1048" i="69"/>
  <c r="J1048" i="69"/>
  <c r="I1048" i="69"/>
  <c r="H1048" i="69"/>
  <c r="G1048" i="69"/>
  <c r="Q1047" i="69"/>
  <c r="P1047" i="69"/>
  <c r="O1047" i="69"/>
  <c r="N1047" i="69"/>
  <c r="M1047" i="69"/>
  <c r="L1047" i="69"/>
  <c r="K1047" i="69"/>
  <c r="J1047" i="69"/>
  <c r="I1047" i="69"/>
  <c r="H1047" i="69"/>
  <c r="G1047" i="69"/>
  <c r="Q1046" i="69"/>
  <c r="P1046" i="69"/>
  <c r="O1046" i="69"/>
  <c r="N1046" i="69"/>
  <c r="M1046" i="69"/>
  <c r="L1046" i="69"/>
  <c r="K1046" i="69"/>
  <c r="J1046" i="69"/>
  <c r="I1046" i="69"/>
  <c r="H1046" i="69"/>
  <c r="G1046" i="69"/>
  <c r="Q1045" i="69"/>
  <c r="P1045" i="69"/>
  <c r="O1045" i="69"/>
  <c r="N1045" i="69"/>
  <c r="M1045" i="69"/>
  <c r="L1045" i="69"/>
  <c r="K1045" i="69"/>
  <c r="J1045" i="69"/>
  <c r="I1045" i="69"/>
  <c r="H1045" i="69"/>
  <c r="G1045" i="69"/>
  <c r="Q1044" i="69"/>
  <c r="P1044" i="69"/>
  <c r="O1044" i="69"/>
  <c r="N1044" i="69"/>
  <c r="M1044" i="69"/>
  <c r="L1044" i="69"/>
  <c r="K1044" i="69"/>
  <c r="J1044" i="69"/>
  <c r="I1044" i="69"/>
  <c r="H1044" i="69"/>
  <c r="G1044" i="69"/>
  <c r="Q1043" i="69"/>
  <c r="P1043" i="69"/>
  <c r="O1043" i="69"/>
  <c r="N1043" i="69"/>
  <c r="M1043" i="69"/>
  <c r="L1043" i="69"/>
  <c r="K1043" i="69"/>
  <c r="J1043" i="69"/>
  <c r="I1043" i="69"/>
  <c r="H1043" i="69"/>
  <c r="G1043" i="69"/>
  <c r="Q1042" i="69"/>
  <c r="P1042" i="69"/>
  <c r="O1042" i="69"/>
  <c r="N1042" i="69"/>
  <c r="M1042" i="69"/>
  <c r="L1042" i="69"/>
  <c r="K1042" i="69"/>
  <c r="J1042" i="69"/>
  <c r="I1042" i="69"/>
  <c r="H1042" i="69"/>
  <c r="G1042" i="69"/>
  <c r="Q1041" i="69"/>
  <c r="P1041" i="69"/>
  <c r="O1041" i="69"/>
  <c r="N1041" i="69"/>
  <c r="M1041" i="69"/>
  <c r="L1041" i="69"/>
  <c r="K1041" i="69"/>
  <c r="J1041" i="69"/>
  <c r="I1041" i="69"/>
  <c r="H1041" i="69"/>
  <c r="G1041" i="69"/>
  <c r="Q1040" i="69"/>
  <c r="P1040" i="69"/>
  <c r="O1040" i="69"/>
  <c r="N1040" i="69"/>
  <c r="M1040" i="69"/>
  <c r="L1040" i="69"/>
  <c r="K1040" i="69"/>
  <c r="J1040" i="69"/>
  <c r="I1040" i="69"/>
  <c r="H1040" i="69"/>
  <c r="G1040" i="69"/>
  <c r="Q1039" i="69"/>
  <c r="P1039" i="69"/>
  <c r="O1039" i="69"/>
  <c r="N1039" i="69"/>
  <c r="M1039" i="69"/>
  <c r="L1039" i="69"/>
  <c r="K1039" i="69"/>
  <c r="J1039" i="69"/>
  <c r="I1039" i="69"/>
  <c r="H1039" i="69"/>
  <c r="G1039" i="69"/>
  <c r="Q1038" i="69"/>
  <c r="P1038" i="69"/>
  <c r="O1038" i="69"/>
  <c r="N1038" i="69"/>
  <c r="M1038" i="69"/>
  <c r="L1038" i="69"/>
  <c r="K1038" i="69"/>
  <c r="J1038" i="69"/>
  <c r="I1038" i="69"/>
  <c r="H1038" i="69"/>
  <c r="G1038" i="69"/>
  <c r="Q1037" i="69"/>
  <c r="P1037" i="69"/>
  <c r="O1037" i="69"/>
  <c r="N1037" i="69"/>
  <c r="M1037" i="69"/>
  <c r="L1037" i="69"/>
  <c r="K1037" i="69"/>
  <c r="J1037" i="69"/>
  <c r="I1037" i="69"/>
  <c r="H1037" i="69"/>
  <c r="G1037" i="69"/>
  <c r="Q1036" i="69"/>
  <c r="P1036" i="69"/>
  <c r="O1036" i="69"/>
  <c r="N1036" i="69"/>
  <c r="M1036" i="69"/>
  <c r="L1036" i="69"/>
  <c r="K1036" i="69"/>
  <c r="J1036" i="69"/>
  <c r="I1036" i="69"/>
  <c r="H1036" i="69"/>
  <c r="G1036" i="69"/>
  <c r="Q1035" i="69"/>
  <c r="P1035" i="69"/>
  <c r="O1035" i="69"/>
  <c r="N1035" i="69"/>
  <c r="M1035" i="69"/>
  <c r="L1035" i="69"/>
  <c r="K1035" i="69"/>
  <c r="J1035" i="69"/>
  <c r="I1035" i="69"/>
  <c r="H1035" i="69"/>
  <c r="G1035" i="69"/>
  <c r="Q1034" i="69"/>
  <c r="P1034" i="69"/>
  <c r="O1034" i="69"/>
  <c r="N1034" i="69"/>
  <c r="M1034" i="69"/>
  <c r="L1034" i="69"/>
  <c r="K1034" i="69"/>
  <c r="J1034" i="69"/>
  <c r="I1034" i="69"/>
  <c r="H1034" i="69"/>
  <c r="G1034" i="69"/>
  <c r="Q1033" i="69"/>
  <c r="P1033" i="69"/>
  <c r="O1033" i="69"/>
  <c r="N1033" i="69"/>
  <c r="M1033" i="69"/>
  <c r="L1033" i="69"/>
  <c r="K1033" i="69"/>
  <c r="J1033" i="69"/>
  <c r="I1033" i="69"/>
  <c r="H1033" i="69"/>
  <c r="G1033" i="69"/>
  <c r="Q1032" i="69"/>
  <c r="P1032" i="69"/>
  <c r="O1032" i="69"/>
  <c r="N1032" i="69"/>
  <c r="M1032" i="69"/>
  <c r="L1032" i="69"/>
  <c r="K1032" i="69"/>
  <c r="J1032" i="69"/>
  <c r="I1032" i="69"/>
  <c r="H1032" i="69"/>
  <c r="G1032" i="69"/>
  <c r="Q1031" i="69"/>
  <c r="P1031" i="69"/>
  <c r="O1031" i="69"/>
  <c r="N1031" i="69"/>
  <c r="M1031" i="69"/>
  <c r="L1031" i="69"/>
  <c r="K1031" i="69"/>
  <c r="J1031" i="69"/>
  <c r="I1031" i="69"/>
  <c r="H1031" i="69"/>
  <c r="G1031" i="69"/>
  <c r="Q1030" i="69"/>
  <c r="P1030" i="69"/>
  <c r="O1030" i="69"/>
  <c r="N1030" i="69"/>
  <c r="M1030" i="69"/>
  <c r="L1030" i="69"/>
  <c r="K1030" i="69"/>
  <c r="J1030" i="69"/>
  <c r="I1030" i="69"/>
  <c r="H1030" i="69"/>
  <c r="G1030" i="69"/>
  <c r="Q1029" i="69"/>
  <c r="P1029" i="69"/>
  <c r="O1029" i="69"/>
  <c r="N1029" i="69"/>
  <c r="M1029" i="69"/>
  <c r="L1029" i="69"/>
  <c r="K1029" i="69"/>
  <c r="J1029" i="69"/>
  <c r="I1029" i="69"/>
  <c r="H1029" i="69"/>
  <c r="G1029" i="69"/>
  <c r="Q1028" i="69"/>
  <c r="P1028" i="69"/>
  <c r="O1028" i="69"/>
  <c r="N1028" i="69"/>
  <c r="M1028" i="69"/>
  <c r="L1028" i="69"/>
  <c r="K1028" i="69"/>
  <c r="J1028" i="69"/>
  <c r="I1028" i="69"/>
  <c r="H1028" i="69"/>
  <c r="G1028" i="69"/>
  <c r="Q1027" i="69"/>
  <c r="P1027" i="69"/>
  <c r="O1027" i="69"/>
  <c r="N1027" i="69"/>
  <c r="M1027" i="69"/>
  <c r="L1027" i="69"/>
  <c r="K1027" i="69"/>
  <c r="J1027" i="69"/>
  <c r="I1027" i="69"/>
  <c r="H1027" i="69"/>
  <c r="G1027" i="69"/>
  <c r="Q1026" i="69"/>
  <c r="P1026" i="69"/>
  <c r="O1026" i="69"/>
  <c r="N1026" i="69"/>
  <c r="M1026" i="69"/>
  <c r="L1026" i="69"/>
  <c r="K1026" i="69"/>
  <c r="J1026" i="69"/>
  <c r="I1026" i="69"/>
  <c r="H1026" i="69"/>
  <c r="G1026" i="69"/>
  <c r="Q1025" i="69"/>
  <c r="P1025" i="69"/>
  <c r="O1025" i="69"/>
  <c r="N1025" i="69"/>
  <c r="M1025" i="69"/>
  <c r="L1025" i="69"/>
  <c r="K1025" i="69"/>
  <c r="J1025" i="69"/>
  <c r="I1025" i="69"/>
  <c r="H1025" i="69"/>
  <c r="G1025" i="69"/>
  <c r="Q1024" i="69"/>
  <c r="P1024" i="69"/>
  <c r="O1024" i="69"/>
  <c r="N1024" i="69"/>
  <c r="M1024" i="69"/>
  <c r="L1024" i="69"/>
  <c r="K1024" i="69"/>
  <c r="J1024" i="69"/>
  <c r="I1024" i="69"/>
  <c r="H1024" i="69"/>
  <c r="G1024" i="69"/>
  <c r="Q1023" i="69"/>
  <c r="P1023" i="69"/>
  <c r="O1023" i="69"/>
  <c r="N1023" i="69"/>
  <c r="M1023" i="69"/>
  <c r="L1023" i="69"/>
  <c r="K1023" i="69"/>
  <c r="J1023" i="69"/>
  <c r="I1023" i="69"/>
  <c r="H1023" i="69"/>
  <c r="G1023" i="69"/>
  <c r="Q1022" i="69"/>
  <c r="P1022" i="69"/>
  <c r="O1022" i="69"/>
  <c r="N1022" i="69"/>
  <c r="M1022" i="69"/>
  <c r="L1022" i="69"/>
  <c r="K1022" i="69"/>
  <c r="J1022" i="69"/>
  <c r="I1022" i="69"/>
  <c r="H1022" i="69"/>
  <c r="G1022" i="69"/>
  <c r="Q1021" i="69"/>
  <c r="P1021" i="69"/>
  <c r="O1021" i="69"/>
  <c r="N1021" i="69"/>
  <c r="M1021" i="69"/>
  <c r="L1021" i="69"/>
  <c r="K1021" i="69"/>
  <c r="J1021" i="69"/>
  <c r="I1021" i="69"/>
  <c r="H1021" i="69"/>
  <c r="G1021" i="69"/>
  <c r="Q1020" i="69"/>
  <c r="P1020" i="69"/>
  <c r="O1020" i="69"/>
  <c r="N1020" i="69"/>
  <c r="M1020" i="69"/>
  <c r="L1020" i="69"/>
  <c r="K1020" i="69"/>
  <c r="J1020" i="69"/>
  <c r="I1020" i="69"/>
  <c r="H1020" i="69"/>
  <c r="G1020" i="69"/>
  <c r="Q1019" i="69"/>
  <c r="P1019" i="69"/>
  <c r="O1019" i="69"/>
  <c r="N1019" i="69"/>
  <c r="M1019" i="69"/>
  <c r="L1019" i="69"/>
  <c r="K1019" i="69"/>
  <c r="J1019" i="69"/>
  <c r="I1019" i="69"/>
  <c r="H1019" i="69"/>
  <c r="G1019" i="69"/>
  <c r="Q1018" i="69"/>
  <c r="P1018" i="69"/>
  <c r="O1018" i="69"/>
  <c r="N1018" i="69"/>
  <c r="M1018" i="69"/>
  <c r="L1018" i="69"/>
  <c r="K1018" i="69"/>
  <c r="J1018" i="69"/>
  <c r="I1018" i="69"/>
  <c r="H1018" i="69"/>
  <c r="G1018" i="69"/>
  <c r="Q1017" i="69"/>
  <c r="P1017" i="69"/>
  <c r="O1017" i="69"/>
  <c r="N1017" i="69"/>
  <c r="M1017" i="69"/>
  <c r="L1017" i="69"/>
  <c r="K1017" i="69"/>
  <c r="J1017" i="69"/>
  <c r="I1017" i="69"/>
  <c r="H1017" i="69"/>
  <c r="G1017" i="69"/>
  <c r="Q1016" i="69"/>
  <c r="P1016" i="69"/>
  <c r="O1016" i="69"/>
  <c r="N1016" i="69"/>
  <c r="M1016" i="69"/>
  <c r="L1016" i="69"/>
  <c r="K1016" i="69"/>
  <c r="J1016" i="69"/>
  <c r="I1016" i="69"/>
  <c r="H1016" i="69"/>
  <c r="G1016" i="69"/>
  <c r="Q1015" i="69"/>
  <c r="P1015" i="69"/>
  <c r="O1015" i="69"/>
  <c r="N1015" i="69"/>
  <c r="M1015" i="69"/>
  <c r="L1015" i="69"/>
  <c r="K1015" i="69"/>
  <c r="J1015" i="69"/>
  <c r="I1015" i="69"/>
  <c r="H1015" i="69"/>
  <c r="G1015" i="69"/>
  <c r="Q1014" i="69"/>
  <c r="P1014" i="69"/>
  <c r="O1014" i="69"/>
  <c r="N1014" i="69"/>
  <c r="M1014" i="69"/>
  <c r="L1014" i="69"/>
  <c r="K1014" i="69"/>
  <c r="J1014" i="69"/>
  <c r="I1014" i="69"/>
  <c r="H1014" i="69"/>
  <c r="G1014" i="69"/>
  <c r="Q1013" i="69"/>
  <c r="P1013" i="69"/>
  <c r="O1013" i="69"/>
  <c r="N1013" i="69"/>
  <c r="M1013" i="69"/>
  <c r="L1013" i="69"/>
  <c r="K1013" i="69"/>
  <c r="J1013" i="69"/>
  <c r="I1013" i="69"/>
  <c r="H1013" i="69"/>
  <c r="G1013" i="69"/>
  <c r="Q1012" i="69"/>
  <c r="P1012" i="69"/>
  <c r="O1012" i="69"/>
  <c r="N1012" i="69"/>
  <c r="M1012" i="69"/>
  <c r="L1012" i="69"/>
  <c r="K1012" i="69"/>
  <c r="J1012" i="69"/>
  <c r="I1012" i="69"/>
  <c r="H1012" i="69"/>
  <c r="G1012" i="69"/>
  <c r="Q1011" i="69"/>
  <c r="P1011" i="69"/>
  <c r="O1011" i="69"/>
  <c r="N1011" i="69"/>
  <c r="M1011" i="69"/>
  <c r="L1011" i="69"/>
  <c r="K1011" i="69"/>
  <c r="J1011" i="69"/>
  <c r="I1011" i="69"/>
  <c r="H1011" i="69"/>
  <c r="G1011" i="69"/>
  <c r="Q1010" i="69"/>
  <c r="P1010" i="69"/>
  <c r="O1010" i="69"/>
  <c r="N1010" i="69"/>
  <c r="M1010" i="69"/>
  <c r="L1010" i="69"/>
  <c r="K1010" i="69"/>
  <c r="J1010" i="69"/>
  <c r="I1010" i="69"/>
  <c r="H1010" i="69"/>
  <c r="G1010" i="69"/>
  <c r="Q1009" i="69"/>
  <c r="P1009" i="69"/>
  <c r="O1009" i="69"/>
  <c r="N1009" i="69"/>
  <c r="M1009" i="69"/>
  <c r="L1009" i="69"/>
  <c r="K1009" i="69"/>
  <c r="J1009" i="69"/>
  <c r="I1009" i="69"/>
  <c r="H1009" i="69"/>
  <c r="G1009" i="69"/>
  <c r="Q1008" i="69"/>
  <c r="P1008" i="69"/>
  <c r="O1008" i="69"/>
  <c r="N1008" i="69"/>
  <c r="M1008" i="69"/>
  <c r="L1008" i="69"/>
  <c r="K1008" i="69"/>
  <c r="J1008" i="69"/>
  <c r="I1008" i="69"/>
  <c r="H1008" i="69"/>
  <c r="G1008" i="69"/>
  <c r="Q1007" i="69"/>
  <c r="P1007" i="69"/>
  <c r="O1007" i="69"/>
  <c r="N1007" i="69"/>
  <c r="M1007" i="69"/>
  <c r="L1007" i="69"/>
  <c r="K1007" i="69"/>
  <c r="J1007" i="69"/>
  <c r="I1007" i="69"/>
  <c r="H1007" i="69"/>
  <c r="G1007" i="69"/>
  <c r="Q1006" i="69"/>
  <c r="P1006" i="69"/>
  <c r="O1006" i="69"/>
  <c r="N1006" i="69"/>
  <c r="M1006" i="69"/>
  <c r="L1006" i="69"/>
  <c r="K1006" i="69"/>
  <c r="J1006" i="69"/>
  <c r="I1006" i="69"/>
  <c r="H1006" i="69"/>
  <c r="G1006" i="69"/>
  <c r="Q1005" i="69"/>
  <c r="P1005" i="69"/>
  <c r="O1005" i="69"/>
  <c r="N1005" i="69"/>
  <c r="M1005" i="69"/>
  <c r="L1005" i="69"/>
  <c r="K1005" i="69"/>
  <c r="J1005" i="69"/>
  <c r="I1005" i="69"/>
  <c r="H1005" i="69"/>
  <c r="G1005" i="69"/>
  <c r="Q1004" i="69"/>
  <c r="P1004" i="69"/>
  <c r="O1004" i="69"/>
  <c r="N1004" i="69"/>
  <c r="M1004" i="69"/>
  <c r="L1004" i="69"/>
  <c r="K1004" i="69"/>
  <c r="J1004" i="69"/>
  <c r="I1004" i="69"/>
  <c r="H1004" i="69"/>
  <c r="G1004" i="69"/>
  <c r="Q1003" i="69"/>
  <c r="P1003" i="69"/>
  <c r="O1003" i="69"/>
  <c r="N1003" i="69"/>
  <c r="M1003" i="69"/>
  <c r="L1003" i="69"/>
  <c r="K1003" i="69"/>
  <c r="J1003" i="69"/>
  <c r="I1003" i="69"/>
  <c r="H1003" i="69"/>
  <c r="G1003" i="69"/>
  <c r="Q1002" i="69"/>
  <c r="P1002" i="69"/>
  <c r="O1002" i="69"/>
  <c r="N1002" i="69"/>
  <c r="M1002" i="69"/>
  <c r="L1002" i="69"/>
  <c r="K1002" i="69"/>
  <c r="J1002" i="69"/>
  <c r="I1002" i="69"/>
  <c r="H1002" i="69"/>
  <c r="G1002" i="69"/>
  <c r="Q1001" i="69"/>
  <c r="P1001" i="69"/>
  <c r="O1001" i="69"/>
  <c r="N1001" i="69"/>
  <c r="M1001" i="69"/>
  <c r="L1001" i="69"/>
  <c r="K1001" i="69"/>
  <c r="J1001" i="69"/>
  <c r="I1001" i="69"/>
  <c r="H1001" i="69"/>
  <c r="G1001" i="69"/>
  <c r="Q1000" i="69"/>
  <c r="P1000" i="69"/>
  <c r="O1000" i="69"/>
  <c r="N1000" i="69"/>
  <c r="M1000" i="69"/>
  <c r="L1000" i="69"/>
  <c r="K1000" i="69"/>
  <c r="J1000" i="69"/>
  <c r="I1000" i="69"/>
  <c r="H1000" i="69"/>
  <c r="G1000" i="69"/>
  <c r="Q999" i="69"/>
  <c r="P999" i="69"/>
  <c r="O999" i="69"/>
  <c r="N999" i="69"/>
  <c r="M999" i="69"/>
  <c r="L999" i="69"/>
  <c r="K999" i="69"/>
  <c r="J999" i="69"/>
  <c r="I999" i="69"/>
  <c r="H999" i="69"/>
  <c r="G999" i="69"/>
  <c r="Q998" i="69"/>
  <c r="P998" i="69"/>
  <c r="O998" i="69"/>
  <c r="N998" i="69"/>
  <c r="M998" i="69"/>
  <c r="L998" i="69"/>
  <c r="K998" i="69"/>
  <c r="J998" i="69"/>
  <c r="I998" i="69"/>
  <c r="H998" i="69"/>
  <c r="G998" i="69"/>
  <c r="Q997" i="69"/>
  <c r="P997" i="69"/>
  <c r="O997" i="69"/>
  <c r="N997" i="69"/>
  <c r="M997" i="69"/>
  <c r="L997" i="69"/>
  <c r="K997" i="69"/>
  <c r="J997" i="69"/>
  <c r="I997" i="69"/>
  <c r="H997" i="69"/>
  <c r="G997" i="69"/>
  <c r="Q996" i="69"/>
  <c r="P996" i="69"/>
  <c r="O996" i="69"/>
  <c r="N996" i="69"/>
  <c r="M996" i="69"/>
  <c r="L996" i="69"/>
  <c r="K996" i="69"/>
  <c r="J996" i="69"/>
  <c r="I996" i="69"/>
  <c r="H996" i="69"/>
  <c r="G996" i="69"/>
  <c r="Q995" i="69"/>
  <c r="P995" i="69"/>
  <c r="O995" i="69"/>
  <c r="N995" i="69"/>
  <c r="M995" i="69"/>
  <c r="L995" i="69"/>
  <c r="K995" i="69"/>
  <c r="J995" i="69"/>
  <c r="I995" i="69"/>
  <c r="H995" i="69"/>
  <c r="G995" i="69"/>
  <c r="Q994" i="69"/>
  <c r="P994" i="69"/>
  <c r="O994" i="69"/>
  <c r="N994" i="69"/>
  <c r="M994" i="69"/>
  <c r="L994" i="69"/>
  <c r="K994" i="69"/>
  <c r="J994" i="69"/>
  <c r="I994" i="69"/>
  <c r="H994" i="69"/>
  <c r="G994" i="69"/>
  <c r="Q993" i="69"/>
  <c r="P993" i="69"/>
  <c r="O993" i="69"/>
  <c r="N993" i="69"/>
  <c r="M993" i="69"/>
  <c r="L993" i="69"/>
  <c r="K993" i="69"/>
  <c r="J993" i="69"/>
  <c r="I993" i="69"/>
  <c r="H993" i="69"/>
  <c r="G993" i="69"/>
  <c r="Q992" i="69"/>
  <c r="P992" i="69"/>
  <c r="O992" i="69"/>
  <c r="N992" i="69"/>
  <c r="M992" i="69"/>
  <c r="L992" i="69"/>
  <c r="K992" i="69"/>
  <c r="J992" i="69"/>
  <c r="I992" i="69"/>
  <c r="H992" i="69"/>
  <c r="G992" i="69"/>
  <c r="Q991" i="69"/>
  <c r="P991" i="69"/>
  <c r="O991" i="69"/>
  <c r="N991" i="69"/>
  <c r="M991" i="69"/>
  <c r="L991" i="69"/>
  <c r="K991" i="69"/>
  <c r="J991" i="69"/>
  <c r="I991" i="69"/>
  <c r="H991" i="69"/>
  <c r="G991" i="69"/>
  <c r="Q990" i="69"/>
  <c r="P990" i="69"/>
  <c r="O990" i="69"/>
  <c r="N990" i="69"/>
  <c r="M990" i="69"/>
  <c r="L990" i="69"/>
  <c r="K990" i="69"/>
  <c r="J990" i="69"/>
  <c r="I990" i="69"/>
  <c r="H990" i="69"/>
  <c r="G990" i="69"/>
  <c r="Q989" i="69"/>
  <c r="P989" i="69"/>
  <c r="O989" i="69"/>
  <c r="N989" i="69"/>
  <c r="M989" i="69"/>
  <c r="L989" i="69"/>
  <c r="K989" i="69"/>
  <c r="J989" i="69"/>
  <c r="I989" i="69"/>
  <c r="H989" i="69"/>
  <c r="G989" i="69"/>
  <c r="Q988" i="69"/>
  <c r="P988" i="69"/>
  <c r="O988" i="69"/>
  <c r="N988" i="69"/>
  <c r="M988" i="69"/>
  <c r="L988" i="69"/>
  <c r="K988" i="69"/>
  <c r="J988" i="69"/>
  <c r="I988" i="69"/>
  <c r="H988" i="69"/>
  <c r="G988" i="69"/>
  <c r="Q987" i="69"/>
  <c r="P987" i="69"/>
  <c r="O987" i="69"/>
  <c r="N987" i="69"/>
  <c r="M987" i="69"/>
  <c r="L987" i="69"/>
  <c r="K987" i="69"/>
  <c r="J987" i="69"/>
  <c r="I987" i="69"/>
  <c r="H987" i="69"/>
  <c r="G987" i="69"/>
  <c r="Q986" i="69"/>
  <c r="P986" i="69"/>
  <c r="O986" i="69"/>
  <c r="N986" i="69"/>
  <c r="M986" i="69"/>
  <c r="L986" i="69"/>
  <c r="K986" i="69"/>
  <c r="J986" i="69"/>
  <c r="I986" i="69"/>
  <c r="H986" i="69"/>
  <c r="G986" i="69"/>
  <c r="Q985" i="69"/>
  <c r="P985" i="69"/>
  <c r="O985" i="69"/>
  <c r="N985" i="69"/>
  <c r="M985" i="69"/>
  <c r="L985" i="69"/>
  <c r="K985" i="69"/>
  <c r="J985" i="69"/>
  <c r="I985" i="69"/>
  <c r="H985" i="69"/>
  <c r="G985" i="69"/>
  <c r="Q984" i="69"/>
  <c r="P984" i="69"/>
  <c r="O984" i="69"/>
  <c r="N984" i="69"/>
  <c r="M984" i="69"/>
  <c r="L984" i="69"/>
  <c r="K984" i="69"/>
  <c r="J984" i="69"/>
  <c r="I984" i="69"/>
  <c r="H984" i="69"/>
  <c r="G984" i="69"/>
  <c r="Q983" i="69"/>
  <c r="P983" i="69"/>
  <c r="O983" i="69"/>
  <c r="N983" i="69"/>
  <c r="M983" i="69"/>
  <c r="L983" i="69"/>
  <c r="K983" i="69"/>
  <c r="J983" i="69"/>
  <c r="I983" i="69"/>
  <c r="H983" i="69"/>
  <c r="G983" i="69"/>
  <c r="Q982" i="69"/>
  <c r="P982" i="69"/>
  <c r="O982" i="69"/>
  <c r="N982" i="69"/>
  <c r="M982" i="69"/>
  <c r="L982" i="69"/>
  <c r="K982" i="69"/>
  <c r="J982" i="69"/>
  <c r="I982" i="69"/>
  <c r="H982" i="69"/>
  <c r="G982" i="69"/>
  <c r="Q981" i="69"/>
  <c r="P981" i="69"/>
  <c r="O981" i="69"/>
  <c r="N981" i="69"/>
  <c r="M981" i="69"/>
  <c r="L981" i="69"/>
  <c r="K981" i="69"/>
  <c r="J981" i="69"/>
  <c r="I981" i="69"/>
  <c r="H981" i="69"/>
  <c r="G981" i="69"/>
  <c r="Q980" i="69"/>
  <c r="P980" i="69"/>
  <c r="O980" i="69"/>
  <c r="N980" i="69"/>
  <c r="M980" i="69"/>
  <c r="L980" i="69"/>
  <c r="K980" i="69"/>
  <c r="J980" i="69"/>
  <c r="I980" i="69"/>
  <c r="H980" i="69"/>
  <c r="G980" i="69"/>
  <c r="Q979" i="69"/>
  <c r="P979" i="69"/>
  <c r="O979" i="69"/>
  <c r="N979" i="69"/>
  <c r="M979" i="69"/>
  <c r="L979" i="69"/>
  <c r="K979" i="69"/>
  <c r="J979" i="69"/>
  <c r="I979" i="69"/>
  <c r="H979" i="69"/>
  <c r="G979" i="69"/>
  <c r="Q978" i="69"/>
  <c r="P978" i="69"/>
  <c r="O978" i="69"/>
  <c r="N978" i="69"/>
  <c r="M978" i="69"/>
  <c r="L978" i="69"/>
  <c r="K978" i="69"/>
  <c r="J978" i="69"/>
  <c r="I978" i="69"/>
  <c r="H978" i="69"/>
  <c r="G978" i="69"/>
  <c r="Q977" i="69"/>
  <c r="P977" i="69"/>
  <c r="O977" i="69"/>
  <c r="N977" i="69"/>
  <c r="M977" i="69"/>
  <c r="L977" i="69"/>
  <c r="K977" i="69"/>
  <c r="J977" i="69"/>
  <c r="I977" i="69"/>
  <c r="H977" i="69"/>
  <c r="G977" i="69"/>
  <c r="Q976" i="69"/>
  <c r="P976" i="69"/>
  <c r="O976" i="69"/>
  <c r="N976" i="69"/>
  <c r="M976" i="69"/>
  <c r="L976" i="69"/>
  <c r="K976" i="69"/>
  <c r="J976" i="69"/>
  <c r="I976" i="69"/>
  <c r="H976" i="69"/>
  <c r="G976" i="69"/>
  <c r="Q975" i="69"/>
  <c r="P975" i="69"/>
  <c r="O975" i="69"/>
  <c r="N975" i="69"/>
  <c r="M975" i="69"/>
  <c r="L975" i="69"/>
  <c r="K975" i="69"/>
  <c r="J975" i="69"/>
  <c r="I975" i="69"/>
  <c r="H975" i="69"/>
  <c r="G975" i="69"/>
  <c r="Q974" i="69"/>
  <c r="P974" i="69"/>
  <c r="O974" i="69"/>
  <c r="N974" i="69"/>
  <c r="M974" i="69"/>
  <c r="L974" i="69"/>
  <c r="K974" i="69"/>
  <c r="J974" i="69"/>
  <c r="I974" i="69"/>
  <c r="H974" i="69"/>
  <c r="G974" i="69"/>
  <c r="Q973" i="69"/>
  <c r="P973" i="69"/>
  <c r="O973" i="69"/>
  <c r="N973" i="69"/>
  <c r="M973" i="69"/>
  <c r="L973" i="69"/>
  <c r="K973" i="69"/>
  <c r="J973" i="69"/>
  <c r="I973" i="69"/>
  <c r="H973" i="69"/>
  <c r="G973" i="69"/>
  <c r="Q972" i="69"/>
  <c r="P972" i="69"/>
  <c r="O972" i="69"/>
  <c r="N972" i="69"/>
  <c r="M972" i="69"/>
  <c r="L972" i="69"/>
  <c r="K972" i="69"/>
  <c r="J972" i="69"/>
  <c r="I972" i="69"/>
  <c r="H972" i="69"/>
  <c r="G972" i="69"/>
  <c r="Q971" i="69"/>
  <c r="P971" i="69"/>
  <c r="O971" i="69"/>
  <c r="N971" i="69"/>
  <c r="M971" i="69"/>
  <c r="L971" i="69"/>
  <c r="K971" i="69"/>
  <c r="J971" i="69"/>
  <c r="I971" i="69"/>
  <c r="H971" i="69"/>
  <c r="G971" i="69"/>
  <c r="Q970" i="69"/>
  <c r="P970" i="69"/>
  <c r="O970" i="69"/>
  <c r="N970" i="69"/>
  <c r="M970" i="69"/>
  <c r="L970" i="69"/>
  <c r="K970" i="69"/>
  <c r="J970" i="69"/>
  <c r="I970" i="69"/>
  <c r="H970" i="69"/>
  <c r="G970" i="69"/>
  <c r="Q969" i="69"/>
  <c r="P969" i="69"/>
  <c r="O969" i="69"/>
  <c r="N969" i="69"/>
  <c r="M969" i="69"/>
  <c r="L969" i="69"/>
  <c r="K969" i="69"/>
  <c r="J969" i="69"/>
  <c r="I969" i="69"/>
  <c r="H969" i="69"/>
  <c r="G969" i="69"/>
  <c r="Q968" i="69"/>
  <c r="P968" i="69"/>
  <c r="O968" i="69"/>
  <c r="N968" i="69"/>
  <c r="M968" i="69"/>
  <c r="L968" i="69"/>
  <c r="K968" i="69"/>
  <c r="J968" i="69"/>
  <c r="I968" i="69"/>
  <c r="H968" i="69"/>
  <c r="G968" i="69"/>
  <c r="Q967" i="69"/>
  <c r="P967" i="69"/>
  <c r="O967" i="69"/>
  <c r="N967" i="69"/>
  <c r="M967" i="69"/>
  <c r="L967" i="69"/>
  <c r="K967" i="69"/>
  <c r="J967" i="69"/>
  <c r="I967" i="69"/>
  <c r="H967" i="69"/>
  <c r="G967" i="69"/>
  <c r="Q966" i="69"/>
  <c r="P966" i="69"/>
  <c r="O966" i="69"/>
  <c r="N966" i="69"/>
  <c r="M966" i="69"/>
  <c r="L966" i="69"/>
  <c r="K966" i="69"/>
  <c r="J966" i="69"/>
  <c r="I966" i="69"/>
  <c r="H966" i="69"/>
  <c r="G966" i="69"/>
  <c r="Q965" i="69"/>
  <c r="P965" i="69"/>
  <c r="O965" i="69"/>
  <c r="N965" i="69"/>
  <c r="M965" i="69"/>
  <c r="L965" i="69"/>
  <c r="K965" i="69"/>
  <c r="J965" i="69"/>
  <c r="I965" i="69"/>
  <c r="H965" i="69"/>
  <c r="G965" i="69"/>
  <c r="Q964" i="69"/>
  <c r="P964" i="69"/>
  <c r="O964" i="69"/>
  <c r="N964" i="69"/>
  <c r="M964" i="69"/>
  <c r="L964" i="69"/>
  <c r="K964" i="69"/>
  <c r="J964" i="69"/>
  <c r="I964" i="69"/>
  <c r="H964" i="69"/>
  <c r="G964" i="69"/>
  <c r="Q963" i="69"/>
  <c r="P963" i="69"/>
  <c r="O963" i="69"/>
  <c r="N963" i="69"/>
  <c r="M963" i="69"/>
  <c r="L963" i="69"/>
  <c r="K963" i="69"/>
  <c r="J963" i="69"/>
  <c r="I963" i="69"/>
  <c r="H963" i="69"/>
  <c r="G963" i="69"/>
  <c r="Q962" i="69"/>
  <c r="P962" i="69"/>
  <c r="O962" i="69"/>
  <c r="N962" i="69"/>
  <c r="M962" i="69"/>
  <c r="L962" i="69"/>
  <c r="K962" i="69"/>
  <c r="J962" i="69"/>
  <c r="I962" i="69"/>
  <c r="H962" i="69"/>
  <c r="G962" i="69"/>
  <c r="Q961" i="69"/>
  <c r="P961" i="69"/>
  <c r="O961" i="69"/>
  <c r="N961" i="69"/>
  <c r="M961" i="69"/>
  <c r="L961" i="69"/>
  <c r="K961" i="69"/>
  <c r="J961" i="69"/>
  <c r="I961" i="69"/>
  <c r="H961" i="69"/>
  <c r="G961" i="69"/>
  <c r="Q960" i="69"/>
  <c r="P960" i="69"/>
  <c r="O960" i="69"/>
  <c r="N960" i="69"/>
  <c r="M960" i="69"/>
  <c r="L960" i="69"/>
  <c r="K960" i="69"/>
  <c r="J960" i="69"/>
  <c r="I960" i="69"/>
  <c r="H960" i="69"/>
  <c r="G960" i="69"/>
  <c r="Q959" i="69"/>
  <c r="P959" i="69"/>
  <c r="O959" i="69"/>
  <c r="N959" i="69"/>
  <c r="M959" i="69"/>
  <c r="L959" i="69"/>
  <c r="K959" i="69"/>
  <c r="J959" i="69"/>
  <c r="I959" i="69"/>
  <c r="H959" i="69"/>
  <c r="G959" i="69"/>
  <c r="Q958" i="69"/>
  <c r="P958" i="69"/>
  <c r="O958" i="69"/>
  <c r="N958" i="69"/>
  <c r="M958" i="69"/>
  <c r="L958" i="69"/>
  <c r="K958" i="69"/>
  <c r="J958" i="69"/>
  <c r="I958" i="69"/>
  <c r="H958" i="69"/>
  <c r="G958" i="69"/>
  <c r="Q957" i="69"/>
  <c r="P957" i="69"/>
  <c r="O957" i="69"/>
  <c r="N957" i="69"/>
  <c r="M957" i="69"/>
  <c r="L957" i="69"/>
  <c r="K957" i="69"/>
  <c r="J957" i="69"/>
  <c r="I957" i="69"/>
  <c r="H957" i="69"/>
  <c r="G957" i="69"/>
  <c r="Q956" i="69"/>
  <c r="P956" i="69"/>
  <c r="O956" i="69"/>
  <c r="N956" i="69"/>
  <c r="M956" i="69"/>
  <c r="L956" i="69"/>
  <c r="K956" i="69"/>
  <c r="J956" i="69"/>
  <c r="I956" i="69"/>
  <c r="H956" i="69"/>
  <c r="G956" i="69"/>
  <c r="Q955" i="69"/>
  <c r="P955" i="69"/>
  <c r="O955" i="69"/>
  <c r="N955" i="69"/>
  <c r="M955" i="69"/>
  <c r="L955" i="69"/>
  <c r="K955" i="69"/>
  <c r="J955" i="69"/>
  <c r="I955" i="69"/>
  <c r="H955" i="69"/>
  <c r="G955" i="69"/>
  <c r="Q954" i="69"/>
  <c r="P954" i="69"/>
  <c r="O954" i="69"/>
  <c r="N954" i="69"/>
  <c r="M954" i="69"/>
  <c r="L954" i="69"/>
  <c r="K954" i="69"/>
  <c r="J954" i="69"/>
  <c r="I954" i="69"/>
  <c r="H954" i="69"/>
  <c r="G954" i="69"/>
  <c r="Q953" i="69"/>
  <c r="P953" i="69"/>
  <c r="O953" i="69"/>
  <c r="N953" i="69"/>
  <c r="M953" i="69"/>
  <c r="L953" i="69"/>
  <c r="K953" i="69"/>
  <c r="J953" i="69"/>
  <c r="I953" i="69"/>
  <c r="H953" i="69"/>
  <c r="G953" i="69"/>
  <c r="Q952" i="69"/>
  <c r="P952" i="69"/>
  <c r="O952" i="69"/>
  <c r="N952" i="69"/>
  <c r="M952" i="69"/>
  <c r="L952" i="69"/>
  <c r="K952" i="69"/>
  <c r="J952" i="69"/>
  <c r="I952" i="69"/>
  <c r="H952" i="69"/>
  <c r="G952" i="69"/>
  <c r="Q951" i="69"/>
  <c r="P951" i="69"/>
  <c r="O951" i="69"/>
  <c r="N951" i="69"/>
  <c r="M951" i="69"/>
  <c r="L951" i="69"/>
  <c r="K951" i="69"/>
  <c r="J951" i="69"/>
  <c r="I951" i="69"/>
  <c r="H951" i="69"/>
  <c r="G951" i="69"/>
  <c r="Q950" i="69"/>
  <c r="P950" i="69"/>
  <c r="O950" i="69"/>
  <c r="N950" i="69"/>
  <c r="M950" i="69"/>
  <c r="L950" i="69"/>
  <c r="K950" i="69"/>
  <c r="J950" i="69"/>
  <c r="I950" i="69"/>
  <c r="H950" i="69"/>
  <c r="G950" i="69"/>
  <c r="Q949" i="69"/>
  <c r="P949" i="69"/>
  <c r="O949" i="69"/>
  <c r="N949" i="69"/>
  <c r="M949" i="69"/>
  <c r="L949" i="69"/>
  <c r="K949" i="69"/>
  <c r="J949" i="69"/>
  <c r="I949" i="69"/>
  <c r="H949" i="69"/>
  <c r="G949" i="69"/>
  <c r="Q948" i="69"/>
  <c r="P948" i="69"/>
  <c r="O948" i="69"/>
  <c r="N948" i="69"/>
  <c r="M948" i="69"/>
  <c r="L948" i="69"/>
  <c r="K948" i="69"/>
  <c r="J948" i="69"/>
  <c r="I948" i="69"/>
  <c r="H948" i="69"/>
  <c r="G948" i="69"/>
  <c r="Q947" i="69"/>
  <c r="P947" i="69"/>
  <c r="O947" i="69"/>
  <c r="N947" i="69"/>
  <c r="M947" i="69"/>
  <c r="L947" i="69"/>
  <c r="K947" i="69"/>
  <c r="J947" i="69"/>
  <c r="I947" i="69"/>
  <c r="H947" i="69"/>
  <c r="G947" i="69"/>
  <c r="Q946" i="69"/>
  <c r="P946" i="69"/>
  <c r="O946" i="69"/>
  <c r="N946" i="69"/>
  <c r="M946" i="69"/>
  <c r="L946" i="69"/>
  <c r="K946" i="69"/>
  <c r="J946" i="69"/>
  <c r="I946" i="69"/>
  <c r="H946" i="69"/>
  <c r="G946" i="69"/>
  <c r="Q945" i="69"/>
  <c r="P945" i="69"/>
  <c r="O945" i="69"/>
  <c r="N945" i="69"/>
  <c r="M945" i="69"/>
  <c r="L945" i="69"/>
  <c r="K945" i="69"/>
  <c r="J945" i="69"/>
  <c r="I945" i="69"/>
  <c r="H945" i="69"/>
  <c r="G945" i="69"/>
  <c r="Q944" i="69"/>
  <c r="P944" i="69"/>
  <c r="O944" i="69"/>
  <c r="N944" i="69"/>
  <c r="M944" i="69"/>
  <c r="L944" i="69"/>
  <c r="K944" i="69"/>
  <c r="J944" i="69"/>
  <c r="I944" i="69"/>
  <c r="H944" i="69"/>
  <c r="G944" i="69"/>
  <c r="Q943" i="69"/>
  <c r="P943" i="69"/>
  <c r="O943" i="69"/>
  <c r="N943" i="69"/>
  <c r="M943" i="69"/>
  <c r="L943" i="69"/>
  <c r="K943" i="69"/>
  <c r="J943" i="69"/>
  <c r="I943" i="69"/>
  <c r="H943" i="69"/>
  <c r="G943" i="69"/>
  <c r="Q942" i="69"/>
  <c r="P942" i="69"/>
  <c r="O942" i="69"/>
  <c r="N942" i="69"/>
  <c r="M942" i="69"/>
  <c r="L942" i="69"/>
  <c r="K942" i="69"/>
  <c r="J942" i="69"/>
  <c r="I942" i="69"/>
  <c r="H942" i="69"/>
  <c r="G942" i="69"/>
  <c r="Q941" i="69"/>
  <c r="P941" i="69"/>
  <c r="O941" i="69"/>
  <c r="N941" i="69"/>
  <c r="M941" i="69"/>
  <c r="L941" i="69"/>
  <c r="K941" i="69"/>
  <c r="J941" i="69"/>
  <c r="I941" i="69"/>
  <c r="H941" i="69"/>
  <c r="G941" i="69"/>
  <c r="Q940" i="69"/>
  <c r="P940" i="69"/>
  <c r="O940" i="69"/>
  <c r="N940" i="69"/>
  <c r="M940" i="69"/>
  <c r="L940" i="69"/>
  <c r="K940" i="69"/>
  <c r="J940" i="69"/>
  <c r="I940" i="69"/>
  <c r="H940" i="69"/>
  <c r="G940" i="69"/>
  <c r="Q939" i="69"/>
  <c r="P939" i="69"/>
  <c r="O939" i="69"/>
  <c r="N939" i="69"/>
  <c r="M939" i="69"/>
  <c r="L939" i="69"/>
  <c r="K939" i="69"/>
  <c r="J939" i="69"/>
  <c r="I939" i="69"/>
  <c r="H939" i="69"/>
  <c r="G939" i="69"/>
  <c r="Q938" i="69"/>
  <c r="P938" i="69"/>
  <c r="O938" i="69"/>
  <c r="N938" i="69"/>
  <c r="M938" i="69"/>
  <c r="L938" i="69"/>
  <c r="K938" i="69"/>
  <c r="J938" i="69"/>
  <c r="I938" i="69"/>
  <c r="H938" i="69"/>
  <c r="G938" i="69"/>
  <c r="Q937" i="69"/>
  <c r="P937" i="69"/>
  <c r="O937" i="69"/>
  <c r="N937" i="69"/>
  <c r="M937" i="69"/>
  <c r="L937" i="69"/>
  <c r="K937" i="69"/>
  <c r="J937" i="69"/>
  <c r="I937" i="69"/>
  <c r="H937" i="69"/>
  <c r="G937" i="69"/>
  <c r="Q936" i="69"/>
  <c r="P936" i="69"/>
  <c r="O936" i="69"/>
  <c r="N936" i="69"/>
  <c r="M936" i="69"/>
  <c r="L936" i="69"/>
  <c r="K936" i="69"/>
  <c r="J936" i="69"/>
  <c r="I936" i="69"/>
  <c r="H936" i="69"/>
  <c r="G936" i="69"/>
  <c r="Q935" i="69"/>
  <c r="P935" i="69"/>
  <c r="O935" i="69"/>
  <c r="N935" i="69"/>
  <c r="M935" i="69"/>
  <c r="L935" i="69"/>
  <c r="K935" i="69"/>
  <c r="J935" i="69"/>
  <c r="I935" i="69"/>
  <c r="H935" i="69"/>
  <c r="G935" i="69"/>
  <c r="Q934" i="69"/>
  <c r="P934" i="69"/>
  <c r="O934" i="69"/>
  <c r="N934" i="69"/>
  <c r="M934" i="69"/>
  <c r="L934" i="69"/>
  <c r="K934" i="69"/>
  <c r="J934" i="69"/>
  <c r="I934" i="69"/>
  <c r="H934" i="69"/>
  <c r="G934" i="69"/>
  <c r="Q933" i="69"/>
  <c r="P933" i="69"/>
  <c r="O933" i="69"/>
  <c r="N933" i="69"/>
  <c r="M933" i="69"/>
  <c r="L933" i="69"/>
  <c r="K933" i="69"/>
  <c r="J933" i="69"/>
  <c r="I933" i="69"/>
  <c r="H933" i="69"/>
  <c r="G933" i="69"/>
  <c r="Q932" i="69"/>
  <c r="P932" i="69"/>
  <c r="O932" i="69"/>
  <c r="N932" i="69"/>
  <c r="M932" i="69"/>
  <c r="L932" i="69"/>
  <c r="K932" i="69"/>
  <c r="J932" i="69"/>
  <c r="I932" i="69"/>
  <c r="H932" i="69"/>
  <c r="G932" i="69"/>
  <c r="Q931" i="69"/>
  <c r="P931" i="69"/>
  <c r="O931" i="69"/>
  <c r="N931" i="69"/>
  <c r="M931" i="69"/>
  <c r="L931" i="69"/>
  <c r="K931" i="69"/>
  <c r="J931" i="69"/>
  <c r="I931" i="69"/>
  <c r="H931" i="69"/>
  <c r="G931" i="69"/>
  <c r="Q930" i="69"/>
  <c r="P930" i="69"/>
  <c r="O930" i="69"/>
  <c r="N930" i="69"/>
  <c r="M930" i="69"/>
  <c r="L930" i="69"/>
  <c r="K930" i="69"/>
  <c r="J930" i="69"/>
  <c r="I930" i="69"/>
  <c r="H930" i="69"/>
  <c r="G930" i="69"/>
  <c r="Q929" i="69"/>
  <c r="P929" i="69"/>
  <c r="O929" i="69"/>
  <c r="N929" i="69"/>
  <c r="M929" i="69"/>
  <c r="L929" i="69"/>
  <c r="K929" i="69"/>
  <c r="J929" i="69"/>
  <c r="I929" i="69"/>
  <c r="H929" i="69"/>
  <c r="G929" i="69"/>
  <c r="Q928" i="69"/>
  <c r="P928" i="69"/>
  <c r="O928" i="69"/>
  <c r="N928" i="69"/>
  <c r="M928" i="69"/>
  <c r="L928" i="69"/>
  <c r="K928" i="69"/>
  <c r="J928" i="69"/>
  <c r="I928" i="69"/>
  <c r="H928" i="69"/>
  <c r="G928" i="69"/>
  <c r="Q927" i="69"/>
  <c r="P927" i="69"/>
  <c r="O927" i="69"/>
  <c r="N927" i="69"/>
  <c r="M927" i="69"/>
  <c r="L927" i="69"/>
  <c r="K927" i="69"/>
  <c r="J927" i="69"/>
  <c r="I927" i="69"/>
  <c r="H927" i="69"/>
  <c r="G927" i="69"/>
  <c r="Q926" i="69"/>
  <c r="P926" i="69"/>
  <c r="O926" i="69"/>
  <c r="N926" i="69"/>
  <c r="M926" i="69"/>
  <c r="L926" i="69"/>
  <c r="K926" i="69"/>
  <c r="J926" i="69"/>
  <c r="I926" i="69"/>
  <c r="H926" i="69"/>
  <c r="G926" i="69"/>
  <c r="Q925" i="69"/>
  <c r="P925" i="69"/>
  <c r="O925" i="69"/>
  <c r="N925" i="69"/>
  <c r="M925" i="69"/>
  <c r="L925" i="69"/>
  <c r="K925" i="69"/>
  <c r="J925" i="69"/>
  <c r="I925" i="69"/>
  <c r="H925" i="69"/>
  <c r="G925" i="69"/>
  <c r="Q924" i="69"/>
  <c r="P924" i="69"/>
  <c r="O924" i="69"/>
  <c r="N924" i="69"/>
  <c r="M924" i="69"/>
  <c r="L924" i="69"/>
  <c r="K924" i="69"/>
  <c r="J924" i="69"/>
  <c r="I924" i="69"/>
  <c r="H924" i="69"/>
  <c r="G924" i="69"/>
  <c r="Q923" i="69"/>
  <c r="P923" i="69"/>
  <c r="O923" i="69"/>
  <c r="N923" i="69"/>
  <c r="M923" i="69"/>
  <c r="L923" i="69"/>
  <c r="K923" i="69"/>
  <c r="J923" i="69"/>
  <c r="I923" i="69"/>
  <c r="H923" i="69"/>
  <c r="G923" i="69"/>
  <c r="Q922" i="69"/>
  <c r="P922" i="69"/>
  <c r="O922" i="69"/>
  <c r="N922" i="69"/>
  <c r="M922" i="69"/>
  <c r="L922" i="69"/>
  <c r="K922" i="69"/>
  <c r="J922" i="69"/>
  <c r="I922" i="69"/>
  <c r="H922" i="69"/>
  <c r="G922" i="69"/>
  <c r="Q921" i="69"/>
  <c r="P921" i="69"/>
  <c r="O921" i="69"/>
  <c r="N921" i="69"/>
  <c r="M921" i="69"/>
  <c r="L921" i="69"/>
  <c r="K921" i="69"/>
  <c r="J921" i="69"/>
  <c r="I921" i="69"/>
  <c r="H921" i="69"/>
  <c r="G921" i="69"/>
  <c r="Q920" i="69"/>
  <c r="P920" i="69"/>
  <c r="O920" i="69"/>
  <c r="N920" i="69"/>
  <c r="M920" i="69"/>
  <c r="L920" i="69"/>
  <c r="K920" i="69"/>
  <c r="J920" i="69"/>
  <c r="I920" i="69"/>
  <c r="H920" i="69"/>
  <c r="G920" i="69"/>
  <c r="Q919" i="69"/>
  <c r="P919" i="69"/>
  <c r="O919" i="69"/>
  <c r="N919" i="69"/>
  <c r="M919" i="69"/>
  <c r="L919" i="69"/>
  <c r="K919" i="69"/>
  <c r="J919" i="69"/>
  <c r="I919" i="69"/>
  <c r="H919" i="69"/>
  <c r="G919" i="69"/>
  <c r="Q918" i="69"/>
  <c r="P918" i="69"/>
  <c r="O918" i="69"/>
  <c r="N918" i="69"/>
  <c r="M918" i="69"/>
  <c r="L918" i="69"/>
  <c r="K918" i="69"/>
  <c r="J918" i="69"/>
  <c r="I918" i="69"/>
  <c r="H918" i="69"/>
  <c r="G918" i="69"/>
  <c r="Q917" i="69"/>
  <c r="P917" i="69"/>
  <c r="O917" i="69"/>
  <c r="N917" i="69"/>
  <c r="M917" i="69"/>
  <c r="L917" i="69"/>
  <c r="K917" i="69"/>
  <c r="J917" i="69"/>
  <c r="I917" i="69"/>
  <c r="H917" i="69"/>
  <c r="G917" i="69"/>
  <c r="Q916" i="69"/>
  <c r="P916" i="69"/>
  <c r="O916" i="69"/>
  <c r="N916" i="69"/>
  <c r="M916" i="69"/>
  <c r="L916" i="69"/>
  <c r="K916" i="69"/>
  <c r="J916" i="69"/>
  <c r="I916" i="69"/>
  <c r="H916" i="69"/>
  <c r="G916" i="69"/>
  <c r="Q915" i="69"/>
  <c r="P915" i="69"/>
  <c r="O915" i="69"/>
  <c r="N915" i="69"/>
  <c r="M915" i="69"/>
  <c r="L915" i="69"/>
  <c r="K915" i="69"/>
  <c r="J915" i="69"/>
  <c r="I915" i="69"/>
  <c r="H915" i="69"/>
  <c r="G915" i="69"/>
  <c r="Q914" i="69"/>
  <c r="P914" i="69"/>
  <c r="O914" i="69"/>
  <c r="N914" i="69"/>
  <c r="M914" i="69"/>
  <c r="L914" i="69"/>
  <c r="K914" i="69"/>
  <c r="J914" i="69"/>
  <c r="I914" i="69"/>
  <c r="H914" i="69"/>
  <c r="G914" i="69"/>
  <c r="Q913" i="69"/>
  <c r="P913" i="69"/>
  <c r="O913" i="69"/>
  <c r="N913" i="69"/>
  <c r="M913" i="69"/>
  <c r="L913" i="69"/>
  <c r="K913" i="69"/>
  <c r="J913" i="69"/>
  <c r="I913" i="69"/>
  <c r="H913" i="69"/>
  <c r="G913" i="69"/>
  <c r="Q912" i="69"/>
  <c r="P912" i="69"/>
  <c r="O912" i="69"/>
  <c r="N912" i="69"/>
  <c r="M912" i="69"/>
  <c r="L912" i="69"/>
  <c r="K912" i="69"/>
  <c r="J912" i="69"/>
  <c r="I912" i="69"/>
  <c r="H912" i="69"/>
  <c r="G912" i="69"/>
  <c r="Q911" i="69"/>
  <c r="P911" i="69"/>
  <c r="O911" i="69"/>
  <c r="N911" i="69"/>
  <c r="M911" i="69"/>
  <c r="L911" i="69"/>
  <c r="K911" i="69"/>
  <c r="J911" i="69"/>
  <c r="I911" i="69"/>
  <c r="H911" i="69"/>
  <c r="G911" i="69"/>
  <c r="Q910" i="69"/>
  <c r="P910" i="69"/>
  <c r="O910" i="69"/>
  <c r="N910" i="69"/>
  <c r="M910" i="69"/>
  <c r="L910" i="69"/>
  <c r="K910" i="69"/>
  <c r="J910" i="69"/>
  <c r="I910" i="69"/>
  <c r="H910" i="69"/>
  <c r="G910" i="69"/>
  <c r="Q909" i="69"/>
  <c r="P909" i="69"/>
  <c r="O909" i="69"/>
  <c r="N909" i="69"/>
  <c r="M909" i="69"/>
  <c r="L909" i="69"/>
  <c r="K909" i="69"/>
  <c r="J909" i="69"/>
  <c r="I909" i="69"/>
  <c r="H909" i="69"/>
  <c r="G909" i="69"/>
  <c r="Q908" i="69"/>
  <c r="P908" i="69"/>
  <c r="O908" i="69"/>
  <c r="N908" i="69"/>
  <c r="M908" i="69"/>
  <c r="L908" i="69"/>
  <c r="K908" i="69"/>
  <c r="J908" i="69"/>
  <c r="I908" i="69"/>
  <c r="H908" i="69"/>
  <c r="G908" i="69"/>
  <c r="Q907" i="69"/>
  <c r="P907" i="69"/>
  <c r="O907" i="69"/>
  <c r="N907" i="69"/>
  <c r="M907" i="69"/>
  <c r="L907" i="69"/>
  <c r="K907" i="69"/>
  <c r="J907" i="69"/>
  <c r="I907" i="69"/>
  <c r="H907" i="69"/>
  <c r="G907" i="69"/>
  <c r="Q906" i="69"/>
  <c r="P906" i="69"/>
  <c r="O906" i="69"/>
  <c r="N906" i="69"/>
  <c r="M906" i="69"/>
  <c r="L906" i="69"/>
  <c r="K906" i="69"/>
  <c r="J906" i="69"/>
  <c r="I906" i="69"/>
  <c r="H906" i="69"/>
  <c r="G906" i="69"/>
  <c r="Q905" i="69"/>
  <c r="P905" i="69"/>
  <c r="O905" i="69"/>
  <c r="N905" i="69"/>
  <c r="M905" i="69"/>
  <c r="L905" i="69"/>
  <c r="K905" i="69"/>
  <c r="J905" i="69"/>
  <c r="I905" i="69"/>
  <c r="H905" i="69"/>
  <c r="G905" i="69"/>
  <c r="Q904" i="69"/>
  <c r="P904" i="69"/>
  <c r="O904" i="69"/>
  <c r="N904" i="69"/>
  <c r="M904" i="69"/>
  <c r="L904" i="69"/>
  <c r="K904" i="69"/>
  <c r="J904" i="69"/>
  <c r="I904" i="69"/>
  <c r="H904" i="69"/>
  <c r="G904" i="69"/>
  <c r="Q903" i="69"/>
  <c r="P903" i="69"/>
  <c r="O903" i="69"/>
  <c r="N903" i="69"/>
  <c r="M903" i="69"/>
  <c r="L903" i="69"/>
  <c r="K903" i="69"/>
  <c r="J903" i="69"/>
  <c r="I903" i="69"/>
  <c r="H903" i="69"/>
  <c r="G903" i="69"/>
  <c r="Q902" i="69"/>
  <c r="P902" i="69"/>
  <c r="O902" i="69"/>
  <c r="N902" i="69"/>
  <c r="M902" i="69"/>
  <c r="L902" i="69"/>
  <c r="K902" i="69"/>
  <c r="J902" i="69"/>
  <c r="I902" i="69"/>
  <c r="H902" i="69"/>
  <c r="G902" i="69"/>
  <c r="Q901" i="69"/>
  <c r="P901" i="69"/>
  <c r="O901" i="69"/>
  <c r="N901" i="69"/>
  <c r="M901" i="69"/>
  <c r="L901" i="69"/>
  <c r="K901" i="69"/>
  <c r="J901" i="69"/>
  <c r="I901" i="69"/>
  <c r="H901" i="69"/>
  <c r="G901" i="69"/>
  <c r="Q900" i="69"/>
  <c r="P900" i="69"/>
  <c r="O900" i="69"/>
  <c r="N900" i="69"/>
  <c r="M900" i="69"/>
  <c r="L900" i="69"/>
  <c r="K900" i="69"/>
  <c r="J900" i="69"/>
  <c r="I900" i="69"/>
  <c r="H900" i="69"/>
  <c r="G900" i="69"/>
  <c r="Q899" i="69"/>
  <c r="P899" i="69"/>
  <c r="O899" i="69"/>
  <c r="N899" i="69"/>
  <c r="M899" i="69"/>
  <c r="L899" i="69"/>
  <c r="K899" i="69"/>
  <c r="J899" i="69"/>
  <c r="I899" i="69"/>
  <c r="H899" i="69"/>
  <c r="G899" i="69"/>
  <c r="Q898" i="69"/>
  <c r="P898" i="69"/>
  <c r="O898" i="69"/>
  <c r="N898" i="69"/>
  <c r="M898" i="69"/>
  <c r="L898" i="69"/>
  <c r="K898" i="69"/>
  <c r="J898" i="69"/>
  <c r="I898" i="69"/>
  <c r="H898" i="69"/>
  <c r="G898" i="69"/>
  <c r="Q897" i="69"/>
  <c r="P897" i="69"/>
  <c r="O897" i="69"/>
  <c r="N897" i="69"/>
  <c r="M897" i="69"/>
  <c r="L897" i="69"/>
  <c r="K897" i="69"/>
  <c r="J897" i="69"/>
  <c r="I897" i="69"/>
  <c r="H897" i="69"/>
  <c r="G897" i="69"/>
  <c r="Q896" i="69"/>
  <c r="P896" i="69"/>
  <c r="O896" i="69"/>
  <c r="N896" i="69"/>
  <c r="M896" i="69"/>
  <c r="L896" i="69"/>
  <c r="K896" i="69"/>
  <c r="J896" i="69"/>
  <c r="I896" i="69"/>
  <c r="H896" i="69"/>
  <c r="G896" i="69"/>
  <c r="Q895" i="69"/>
  <c r="P895" i="69"/>
  <c r="O895" i="69"/>
  <c r="N895" i="69"/>
  <c r="M895" i="69"/>
  <c r="L895" i="69"/>
  <c r="K895" i="69"/>
  <c r="J895" i="69"/>
  <c r="I895" i="69"/>
  <c r="H895" i="69"/>
  <c r="G895" i="69"/>
  <c r="Q894" i="69"/>
  <c r="P894" i="69"/>
  <c r="O894" i="69"/>
  <c r="N894" i="69"/>
  <c r="M894" i="69"/>
  <c r="L894" i="69"/>
  <c r="K894" i="69"/>
  <c r="J894" i="69"/>
  <c r="I894" i="69"/>
  <c r="H894" i="69"/>
  <c r="G894" i="69"/>
  <c r="Q893" i="69"/>
  <c r="P893" i="69"/>
  <c r="O893" i="69"/>
  <c r="N893" i="69"/>
  <c r="M893" i="69"/>
  <c r="L893" i="69"/>
  <c r="K893" i="69"/>
  <c r="J893" i="69"/>
  <c r="I893" i="69"/>
  <c r="H893" i="69"/>
  <c r="G893" i="69"/>
  <c r="Q892" i="69"/>
  <c r="P892" i="69"/>
  <c r="O892" i="69"/>
  <c r="N892" i="69"/>
  <c r="M892" i="69"/>
  <c r="L892" i="69"/>
  <c r="K892" i="69"/>
  <c r="J892" i="69"/>
  <c r="I892" i="69"/>
  <c r="H892" i="69"/>
  <c r="G892" i="69"/>
  <c r="Q891" i="69"/>
  <c r="P891" i="69"/>
  <c r="O891" i="69"/>
  <c r="N891" i="69"/>
  <c r="M891" i="69"/>
  <c r="L891" i="69"/>
  <c r="K891" i="69"/>
  <c r="J891" i="69"/>
  <c r="I891" i="69"/>
  <c r="H891" i="69"/>
  <c r="G891" i="69"/>
  <c r="Q890" i="69"/>
  <c r="P890" i="69"/>
  <c r="O890" i="69"/>
  <c r="N890" i="69"/>
  <c r="M890" i="69"/>
  <c r="L890" i="69"/>
  <c r="K890" i="69"/>
  <c r="J890" i="69"/>
  <c r="I890" i="69"/>
  <c r="H890" i="69"/>
  <c r="G890" i="69"/>
  <c r="Q889" i="69"/>
  <c r="P889" i="69"/>
  <c r="O889" i="69"/>
  <c r="N889" i="69"/>
  <c r="M889" i="69"/>
  <c r="L889" i="69"/>
  <c r="K889" i="69"/>
  <c r="J889" i="69"/>
  <c r="I889" i="69"/>
  <c r="H889" i="69"/>
  <c r="G889" i="69"/>
  <c r="Q888" i="69"/>
  <c r="P888" i="69"/>
  <c r="O888" i="69"/>
  <c r="N888" i="69"/>
  <c r="M888" i="69"/>
  <c r="L888" i="69"/>
  <c r="K888" i="69"/>
  <c r="J888" i="69"/>
  <c r="I888" i="69"/>
  <c r="H888" i="69"/>
  <c r="G888" i="69"/>
  <c r="Q887" i="69"/>
  <c r="P887" i="69"/>
  <c r="O887" i="69"/>
  <c r="N887" i="69"/>
  <c r="M887" i="69"/>
  <c r="L887" i="69"/>
  <c r="K887" i="69"/>
  <c r="J887" i="69"/>
  <c r="I887" i="69"/>
  <c r="H887" i="69"/>
  <c r="G887" i="69"/>
  <c r="Q886" i="69"/>
  <c r="P886" i="69"/>
  <c r="O886" i="69"/>
  <c r="N886" i="69"/>
  <c r="M886" i="69"/>
  <c r="L886" i="69"/>
  <c r="K886" i="69"/>
  <c r="J886" i="69"/>
  <c r="I886" i="69"/>
  <c r="H886" i="69"/>
  <c r="G886" i="69"/>
  <c r="Q885" i="69"/>
  <c r="P885" i="69"/>
  <c r="O885" i="69"/>
  <c r="N885" i="69"/>
  <c r="M885" i="69"/>
  <c r="L885" i="69"/>
  <c r="K885" i="69"/>
  <c r="J885" i="69"/>
  <c r="I885" i="69"/>
  <c r="H885" i="69"/>
  <c r="G885" i="69"/>
  <c r="Q884" i="69"/>
  <c r="P884" i="69"/>
  <c r="O884" i="69"/>
  <c r="N884" i="69"/>
  <c r="M884" i="69"/>
  <c r="L884" i="69"/>
  <c r="K884" i="69"/>
  <c r="J884" i="69"/>
  <c r="I884" i="69"/>
  <c r="H884" i="69"/>
  <c r="G884" i="69"/>
  <c r="Q883" i="69"/>
  <c r="P883" i="69"/>
  <c r="O883" i="69"/>
  <c r="N883" i="69"/>
  <c r="M883" i="69"/>
  <c r="L883" i="69"/>
  <c r="K883" i="69"/>
  <c r="J883" i="69"/>
  <c r="I883" i="69"/>
  <c r="H883" i="69"/>
  <c r="G883" i="69"/>
  <c r="Q882" i="69"/>
  <c r="P882" i="69"/>
  <c r="O882" i="69"/>
  <c r="N882" i="69"/>
  <c r="M882" i="69"/>
  <c r="L882" i="69"/>
  <c r="K882" i="69"/>
  <c r="J882" i="69"/>
  <c r="I882" i="69"/>
  <c r="H882" i="69"/>
  <c r="G882" i="69"/>
  <c r="Q881" i="69"/>
  <c r="P881" i="69"/>
  <c r="O881" i="69"/>
  <c r="N881" i="69"/>
  <c r="M881" i="69"/>
  <c r="L881" i="69"/>
  <c r="K881" i="69"/>
  <c r="J881" i="69"/>
  <c r="I881" i="69"/>
  <c r="H881" i="69"/>
  <c r="G881" i="69"/>
  <c r="Q880" i="69"/>
  <c r="P880" i="69"/>
  <c r="O880" i="69"/>
  <c r="N880" i="69"/>
  <c r="M880" i="69"/>
  <c r="L880" i="69"/>
  <c r="K880" i="69"/>
  <c r="J880" i="69"/>
  <c r="I880" i="69"/>
  <c r="H880" i="69"/>
  <c r="G880" i="69"/>
  <c r="Q879" i="69"/>
  <c r="P879" i="69"/>
  <c r="O879" i="69"/>
  <c r="N879" i="69"/>
  <c r="M879" i="69"/>
  <c r="L879" i="69"/>
  <c r="K879" i="69"/>
  <c r="J879" i="69"/>
  <c r="I879" i="69"/>
  <c r="H879" i="69"/>
  <c r="G879" i="69"/>
  <c r="Q878" i="69"/>
  <c r="P878" i="69"/>
  <c r="O878" i="69"/>
  <c r="N878" i="69"/>
  <c r="M878" i="69"/>
  <c r="L878" i="69"/>
  <c r="K878" i="69"/>
  <c r="J878" i="69"/>
  <c r="I878" i="69"/>
  <c r="H878" i="69"/>
  <c r="G878" i="69"/>
  <c r="Q877" i="69"/>
  <c r="P877" i="69"/>
  <c r="O877" i="69"/>
  <c r="N877" i="69"/>
  <c r="M877" i="69"/>
  <c r="L877" i="69"/>
  <c r="K877" i="69"/>
  <c r="J877" i="69"/>
  <c r="I877" i="69"/>
  <c r="H877" i="69"/>
  <c r="G877" i="69"/>
  <c r="Q876" i="69"/>
  <c r="P876" i="69"/>
  <c r="O876" i="69"/>
  <c r="N876" i="69"/>
  <c r="M876" i="69"/>
  <c r="L876" i="69"/>
  <c r="K876" i="69"/>
  <c r="J876" i="69"/>
  <c r="I876" i="69"/>
  <c r="H876" i="69"/>
  <c r="G876" i="69"/>
  <c r="Q875" i="69"/>
  <c r="P875" i="69"/>
  <c r="O875" i="69"/>
  <c r="N875" i="69"/>
  <c r="M875" i="69"/>
  <c r="L875" i="69"/>
  <c r="K875" i="69"/>
  <c r="J875" i="69"/>
  <c r="I875" i="69"/>
  <c r="H875" i="69"/>
  <c r="G875" i="69"/>
  <c r="Q874" i="69"/>
  <c r="P874" i="69"/>
  <c r="O874" i="69"/>
  <c r="N874" i="69"/>
  <c r="M874" i="69"/>
  <c r="L874" i="69"/>
  <c r="K874" i="69"/>
  <c r="J874" i="69"/>
  <c r="I874" i="69"/>
  <c r="H874" i="69"/>
  <c r="G874" i="69"/>
  <c r="Q873" i="69"/>
  <c r="P873" i="69"/>
  <c r="O873" i="69"/>
  <c r="N873" i="69"/>
  <c r="M873" i="69"/>
  <c r="L873" i="69"/>
  <c r="K873" i="69"/>
  <c r="J873" i="69"/>
  <c r="I873" i="69"/>
  <c r="H873" i="69"/>
  <c r="G873" i="69"/>
  <c r="Q872" i="69"/>
  <c r="P872" i="69"/>
  <c r="O872" i="69"/>
  <c r="N872" i="69"/>
  <c r="M872" i="69"/>
  <c r="L872" i="69"/>
  <c r="K872" i="69"/>
  <c r="J872" i="69"/>
  <c r="I872" i="69"/>
  <c r="H872" i="69"/>
  <c r="G872" i="69"/>
  <c r="Q871" i="69"/>
  <c r="P871" i="69"/>
  <c r="O871" i="69"/>
  <c r="N871" i="69"/>
  <c r="M871" i="69"/>
  <c r="L871" i="69"/>
  <c r="K871" i="69"/>
  <c r="J871" i="69"/>
  <c r="I871" i="69"/>
  <c r="H871" i="69"/>
  <c r="G871" i="69"/>
  <c r="Q870" i="69"/>
  <c r="P870" i="69"/>
  <c r="O870" i="69"/>
  <c r="N870" i="69"/>
  <c r="M870" i="69"/>
  <c r="L870" i="69"/>
  <c r="K870" i="69"/>
  <c r="J870" i="69"/>
  <c r="I870" i="69"/>
  <c r="H870" i="69"/>
  <c r="G870" i="69"/>
  <c r="Q869" i="69"/>
  <c r="P869" i="69"/>
  <c r="O869" i="69"/>
  <c r="N869" i="69"/>
  <c r="M869" i="69"/>
  <c r="L869" i="69"/>
  <c r="K869" i="69"/>
  <c r="J869" i="69"/>
  <c r="I869" i="69"/>
  <c r="H869" i="69"/>
  <c r="G869" i="69"/>
  <c r="Q868" i="69"/>
  <c r="P868" i="69"/>
  <c r="O868" i="69"/>
  <c r="N868" i="69"/>
  <c r="M868" i="69"/>
  <c r="L868" i="69"/>
  <c r="K868" i="69"/>
  <c r="J868" i="69"/>
  <c r="I868" i="69"/>
  <c r="H868" i="69"/>
  <c r="G868" i="69"/>
  <c r="Q867" i="69"/>
  <c r="P867" i="69"/>
  <c r="O867" i="69"/>
  <c r="N867" i="69"/>
  <c r="M867" i="69"/>
  <c r="L867" i="69"/>
  <c r="K867" i="69"/>
  <c r="J867" i="69"/>
  <c r="I867" i="69"/>
  <c r="H867" i="69"/>
  <c r="G867" i="69"/>
  <c r="Q866" i="69"/>
  <c r="P866" i="69"/>
  <c r="O866" i="69"/>
  <c r="N866" i="69"/>
  <c r="M866" i="69"/>
  <c r="L866" i="69"/>
  <c r="K866" i="69"/>
  <c r="J866" i="69"/>
  <c r="I866" i="69"/>
  <c r="H866" i="69"/>
  <c r="G866" i="69"/>
  <c r="Q865" i="69"/>
  <c r="P865" i="69"/>
  <c r="O865" i="69"/>
  <c r="N865" i="69"/>
  <c r="M865" i="69"/>
  <c r="L865" i="69"/>
  <c r="K865" i="69"/>
  <c r="J865" i="69"/>
  <c r="I865" i="69"/>
  <c r="H865" i="69"/>
  <c r="G865" i="69"/>
  <c r="Q864" i="69"/>
  <c r="P864" i="69"/>
  <c r="O864" i="69"/>
  <c r="N864" i="69"/>
  <c r="M864" i="69"/>
  <c r="L864" i="69"/>
  <c r="K864" i="69"/>
  <c r="J864" i="69"/>
  <c r="I864" i="69"/>
  <c r="H864" i="69"/>
  <c r="G864" i="69"/>
  <c r="Q863" i="69"/>
  <c r="P863" i="69"/>
  <c r="O863" i="69"/>
  <c r="N863" i="69"/>
  <c r="M863" i="69"/>
  <c r="L863" i="69"/>
  <c r="K863" i="69"/>
  <c r="J863" i="69"/>
  <c r="I863" i="69"/>
  <c r="H863" i="69"/>
  <c r="G863" i="69"/>
  <c r="Q862" i="69"/>
  <c r="P862" i="69"/>
  <c r="O862" i="69"/>
  <c r="N862" i="69"/>
  <c r="M862" i="69"/>
  <c r="L862" i="69"/>
  <c r="K862" i="69"/>
  <c r="J862" i="69"/>
  <c r="I862" i="69"/>
  <c r="H862" i="69"/>
  <c r="G862" i="69"/>
  <c r="Q861" i="69"/>
  <c r="P861" i="69"/>
  <c r="O861" i="69"/>
  <c r="N861" i="69"/>
  <c r="M861" i="69"/>
  <c r="L861" i="69"/>
  <c r="K861" i="69"/>
  <c r="J861" i="69"/>
  <c r="I861" i="69"/>
  <c r="H861" i="69"/>
  <c r="G861" i="69"/>
  <c r="Q860" i="69"/>
  <c r="P860" i="69"/>
  <c r="O860" i="69"/>
  <c r="N860" i="69"/>
  <c r="M860" i="69"/>
  <c r="L860" i="69"/>
  <c r="K860" i="69"/>
  <c r="J860" i="69"/>
  <c r="I860" i="69"/>
  <c r="H860" i="69"/>
  <c r="G860" i="69"/>
  <c r="Q859" i="69"/>
  <c r="P859" i="69"/>
  <c r="O859" i="69"/>
  <c r="N859" i="69"/>
  <c r="M859" i="69"/>
  <c r="L859" i="69"/>
  <c r="K859" i="69"/>
  <c r="J859" i="69"/>
  <c r="I859" i="69"/>
  <c r="H859" i="69"/>
  <c r="G859" i="69"/>
  <c r="Q858" i="69"/>
  <c r="P858" i="69"/>
  <c r="O858" i="69"/>
  <c r="N858" i="69"/>
  <c r="M858" i="69"/>
  <c r="L858" i="69"/>
  <c r="K858" i="69"/>
  <c r="J858" i="69"/>
  <c r="I858" i="69"/>
  <c r="H858" i="69"/>
  <c r="G858" i="69"/>
  <c r="Q857" i="69"/>
  <c r="P857" i="69"/>
  <c r="O857" i="69"/>
  <c r="N857" i="69"/>
  <c r="M857" i="69"/>
  <c r="L857" i="69"/>
  <c r="K857" i="69"/>
  <c r="J857" i="69"/>
  <c r="I857" i="69"/>
  <c r="H857" i="69"/>
  <c r="G857" i="69"/>
  <c r="Q856" i="69"/>
  <c r="P856" i="69"/>
  <c r="O856" i="69"/>
  <c r="N856" i="69"/>
  <c r="M856" i="69"/>
  <c r="L856" i="69"/>
  <c r="K856" i="69"/>
  <c r="J856" i="69"/>
  <c r="I856" i="69"/>
  <c r="H856" i="69"/>
  <c r="G856" i="69"/>
  <c r="Q855" i="69"/>
  <c r="P855" i="69"/>
  <c r="O855" i="69"/>
  <c r="N855" i="69"/>
  <c r="M855" i="69"/>
  <c r="L855" i="69"/>
  <c r="K855" i="69"/>
  <c r="J855" i="69"/>
  <c r="I855" i="69"/>
  <c r="H855" i="69"/>
  <c r="G855" i="69"/>
  <c r="Q854" i="69"/>
  <c r="P854" i="69"/>
  <c r="O854" i="69"/>
  <c r="N854" i="69"/>
  <c r="M854" i="69"/>
  <c r="L854" i="69"/>
  <c r="K854" i="69"/>
  <c r="J854" i="69"/>
  <c r="I854" i="69"/>
  <c r="H854" i="69"/>
  <c r="G854" i="69"/>
  <c r="Q853" i="69"/>
  <c r="P853" i="69"/>
  <c r="O853" i="69"/>
  <c r="N853" i="69"/>
  <c r="M853" i="69"/>
  <c r="L853" i="69"/>
  <c r="K853" i="69"/>
  <c r="J853" i="69"/>
  <c r="I853" i="69"/>
  <c r="H853" i="69"/>
  <c r="G853" i="69"/>
  <c r="Q852" i="69"/>
  <c r="P852" i="69"/>
  <c r="O852" i="69"/>
  <c r="N852" i="69"/>
  <c r="M852" i="69"/>
  <c r="L852" i="69"/>
  <c r="K852" i="69"/>
  <c r="J852" i="69"/>
  <c r="I852" i="69"/>
  <c r="H852" i="69"/>
  <c r="G852" i="69"/>
  <c r="Q851" i="69"/>
  <c r="P851" i="69"/>
  <c r="O851" i="69"/>
  <c r="N851" i="69"/>
  <c r="M851" i="69"/>
  <c r="L851" i="69"/>
  <c r="K851" i="69"/>
  <c r="J851" i="69"/>
  <c r="I851" i="69"/>
  <c r="H851" i="69"/>
  <c r="G851" i="69"/>
  <c r="Q850" i="69"/>
  <c r="P850" i="69"/>
  <c r="O850" i="69"/>
  <c r="N850" i="69"/>
  <c r="M850" i="69"/>
  <c r="L850" i="69"/>
  <c r="K850" i="69"/>
  <c r="J850" i="69"/>
  <c r="I850" i="69"/>
  <c r="H850" i="69"/>
  <c r="G850" i="69"/>
  <c r="Q849" i="69"/>
  <c r="P849" i="69"/>
  <c r="O849" i="69"/>
  <c r="N849" i="69"/>
  <c r="M849" i="69"/>
  <c r="L849" i="69"/>
  <c r="K849" i="69"/>
  <c r="J849" i="69"/>
  <c r="I849" i="69"/>
  <c r="H849" i="69"/>
  <c r="G849" i="69"/>
  <c r="Q848" i="69"/>
  <c r="P848" i="69"/>
  <c r="O848" i="69"/>
  <c r="N848" i="69"/>
  <c r="M848" i="69"/>
  <c r="L848" i="69"/>
  <c r="K848" i="69"/>
  <c r="J848" i="69"/>
  <c r="I848" i="69"/>
  <c r="H848" i="69"/>
  <c r="G848" i="69"/>
  <c r="Q847" i="69"/>
  <c r="P847" i="69"/>
  <c r="O847" i="69"/>
  <c r="N847" i="69"/>
  <c r="M847" i="69"/>
  <c r="L847" i="69"/>
  <c r="K847" i="69"/>
  <c r="J847" i="69"/>
  <c r="I847" i="69"/>
  <c r="H847" i="69"/>
  <c r="G847" i="69"/>
  <c r="Q846" i="69"/>
  <c r="P846" i="69"/>
  <c r="O846" i="69"/>
  <c r="N846" i="69"/>
  <c r="M846" i="69"/>
  <c r="L846" i="69"/>
  <c r="K846" i="69"/>
  <c r="J846" i="69"/>
  <c r="I846" i="69"/>
  <c r="H846" i="69"/>
  <c r="G846" i="69"/>
  <c r="Q845" i="69"/>
  <c r="P845" i="69"/>
  <c r="O845" i="69"/>
  <c r="N845" i="69"/>
  <c r="M845" i="69"/>
  <c r="L845" i="69"/>
  <c r="K845" i="69"/>
  <c r="J845" i="69"/>
  <c r="I845" i="69"/>
  <c r="H845" i="69"/>
  <c r="G845" i="69"/>
  <c r="Q844" i="69"/>
  <c r="P844" i="69"/>
  <c r="O844" i="69"/>
  <c r="N844" i="69"/>
  <c r="M844" i="69"/>
  <c r="L844" i="69"/>
  <c r="K844" i="69"/>
  <c r="J844" i="69"/>
  <c r="I844" i="69"/>
  <c r="H844" i="69"/>
  <c r="G844" i="69"/>
  <c r="Q843" i="69"/>
  <c r="P843" i="69"/>
  <c r="O843" i="69"/>
  <c r="N843" i="69"/>
  <c r="M843" i="69"/>
  <c r="L843" i="69"/>
  <c r="K843" i="69"/>
  <c r="J843" i="69"/>
  <c r="I843" i="69"/>
  <c r="H843" i="69"/>
  <c r="G843" i="69"/>
  <c r="Q842" i="69"/>
  <c r="P842" i="69"/>
  <c r="O842" i="69"/>
  <c r="N842" i="69"/>
  <c r="M842" i="69"/>
  <c r="L842" i="69"/>
  <c r="K842" i="69"/>
  <c r="J842" i="69"/>
  <c r="I842" i="69"/>
  <c r="H842" i="69"/>
  <c r="G842" i="69"/>
  <c r="Q841" i="69"/>
  <c r="P841" i="69"/>
  <c r="O841" i="69"/>
  <c r="N841" i="69"/>
  <c r="M841" i="69"/>
  <c r="L841" i="69"/>
  <c r="K841" i="69"/>
  <c r="J841" i="69"/>
  <c r="I841" i="69"/>
  <c r="H841" i="69"/>
  <c r="G841" i="69"/>
  <c r="Q840" i="69"/>
  <c r="P840" i="69"/>
  <c r="O840" i="69"/>
  <c r="N840" i="69"/>
  <c r="M840" i="69"/>
  <c r="L840" i="69"/>
  <c r="K840" i="69"/>
  <c r="J840" i="69"/>
  <c r="I840" i="69"/>
  <c r="H840" i="69"/>
  <c r="G840" i="69"/>
  <c r="Q839" i="69"/>
  <c r="P839" i="69"/>
  <c r="O839" i="69"/>
  <c r="N839" i="69"/>
  <c r="M839" i="69"/>
  <c r="L839" i="69"/>
  <c r="K839" i="69"/>
  <c r="J839" i="69"/>
  <c r="I839" i="69"/>
  <c r="H839" i="69"/>
  <c r="G839" i="69"/>
  <c r="Q838" i="69"/>
  <c r="P838" i="69"/>
  <c r="O838" i="69"/>
  <c r="N838" i="69"/>
  <c r="M838" i="69"/>
  <c r="L838" i="69"/>
  <c r="K838" i="69"/>
  <c r="J838" i="69"/>
  <c r="I838" i="69"/>
  <c r="H838" i="69"/>
  <c r="G838" i="69"/>
  <c r="Q837" i="69"/>
  <c r="P837" i="69"/>
  <c r="O837" i="69"/>
  <c r="N837" i="69"/>
  <c r="M837" i="69"/>
  <c r="L837" i="69"/>
  <c r="K837" i="69"/>
  <c r="J837" i="69"/>
  <c r="I837" i="69"/>
  <c r="H837" i="69"/>
  <c r="G837" i="69"/>
  <c r="Q836" i="69"/>
  <c r="P836" i="69"/>
  <c r="O836" i="69"/>
  <c r="N836" i="69"/>
  <c r="M836" i="69"/>
  <c r="L836" i="69"/>
  <c r="K836" i="69"/>
  <c r="J836" i="69"/>
  <c r="I836" i="69"/>
  <c r="H836" i="69"/>
  <c r="G836" i="69"/>
  <c r="Q835" i="69"/>
  <c r="P835" i="69"/>
  <c r="O835" i="69"/>
  <c r="N835" i="69"/>
  <c r="M835" i="69"/>
  <c r="L835" i="69"/>
  <c r="K835" i="69"/>
  <c r="J835" i="69"/>
  <c r="I835" i="69"/>
  <c r="H835" i="69"/>
  <c r="G835" i="69"/>
  <c r="Q834" i="69"/>
  <c r="P834" i="69"/>
  <c r="O834" i="69"/>
  <c r="N834" i="69"/>
  <c r="M834" i="69"/>
  <c r="L834" i="69"/>
  <c r="K834" i="69"/>
  <c r="J834" i="69"/>
  <c r="I834" i="69"/>
  <c r="H834" i="69"/>
  <c r="G834" i="69"/>
  <c r="Q833" i="69"/>
  <c r="P833" i="69"/>
  <c r="O833" i="69"/>
  <c r="N833" i="69"/>
  <c r="M833" i="69"/>
  <c r="L833" i="69"/>
  <c r="K833" i="69"/>
  <c r="J833" i="69"/>
  <c r="I833" i="69"/>
  <c r="H833" i="69"/>
  <c r="G833" i="69"/>
  <c r="Q832" i="69"/>
  <c r="P832" i="69"/>
  <c r="O832" i="69"/>
  <c r="N832" i="69"/>
  <c r="M832" i="69"/>
  <c r="L832" i="69"/>
  <c r="K832" i="69"/>
  <c r="J832" i="69"/>
  <c r="I832" i="69"/>
  <c r="H832" i="69"/>
  <c r="G832" i="69"/>
  <c r="Q831" i="69"/>
  <c r="P831" i="69"/>
  <c r="O831" i="69"/>
  <c r="N831" i="69"/>
  <c r="M831" i="69"/>
  <c r="L831" i="69"/>
  <c r="K831" i="69"/>
  <c r="J831" i="69"/>
  <c r="I831" i="69"/>
  <c r="H831" i="69"/>
  <c r="G831" i="69"/>
  <c r="Q830" i="69"/>
  <c r="P830" i="69"/>
  <c r="O830" i="69"/>
  <c r="N830" i="69"/>
  <c r="M830" i="69"/>
  <c r="L830" i="69"/>
  <c r="K830" i="69"/>
  <c r="J830" i="69"/>
  <c r="I830" i="69"/>
  <c r="H830" i="69"/>
  <c r="G830" i="69"/>
  <c r="Q829" i="69"/>
  <c r="P829" i="69"/>
  <c r="O829" i="69"/>
  <c r="N829" i="69"/>
  <c r="M829" i="69"/>
  <c r="L829" i="69"/>
  <c r="K829" i="69"/>
  <c r="J829" i="69"/>
  <c r="I829" i="69"/>
  <c r="H829" i="69"/>
  <c r="G829" i="69"/>
  <c r="Q828" i="69"/>
  <c r="P828" i="69"/>
  <c r="O828" i="69"/>
  <c r="N828" i="69"/>
  <c r="M828" i="69"/>
  <c r="L828" i="69"/>
  <c r="K828" i="69"/>
  <c r="J828" i="69"/>
  <c r="I828" i="69"/>
  <c r="H828" i="69"/>
  <c r="G828" i="69"/>
  <c r="Q827" i="69"/>
  <c r="P827" i="69"/>
  <c r="O827" i="69"/>
  <c r="N827" i="69"/>
  <c r="M827" i="69"/>
  <c r="L827" i="69"/>
  <c r="K827" i="69"/>
  <c r="J827" i="69"/>
  <c r="I827" i="69"/>
  <c r="H827" i="69"/>
  <c r="G827" i="69"/>
  <c r="Q826" i="69"/>
  <c r="P826" i="69"/>
  <c r="O826" i="69"/>
  <c r="N826" i="69"/>
  <c r="M826" i="69"/>
  <c r="L826" i="69"/>
  <c r="K826" i="69"/>
  <c r="J826" i="69"/>
  <c r="I826" i="69"/>
  <c r="H826" i="69"/>
  <c r="G826" i="69"/>
  <c r="Q825" i="69"/>
  <c r="P825" i="69"/>
  <c r="O825" i="69"/>
  <c r="N825" i="69"/>
  <c r="M825" i="69"/>
  <c r="L825" i="69"/>
  <c r="K825" i="69"/>
  <c r="J825" i="69"/>
  <c r="I825" i="69"/>
  <c r="H825" i="69"/>
  <c r="G825" i="69"/>
  <c r="Q824" i="69"/>
  <c r="P824" i="69"/>
  <c r="O824" i="69"/>
  <c r="N824" i="69"/>
  <c r="M824" i="69"/>
  <c r="L824" i="69"/>
  <c r="K824" i="69"/>
  <c r="J824" i="69"/>
  <c r="I824" i="69"/>
  <c r="H824" i="69"/>
  <c r="G824" i="69"/>
  <c r="Q823" i="69"/>
  <c r="P823" i="69"/>
  <c r="O823" i="69"/>
  <c r="N823" i="69"/>
  <c r="M823" i="69"/>
  <c r="L823" i="69"/>
  <c r="K823" i="69"/>
  <c r="J823" i="69"/>
  <c r="I823" i="69"/>
  <c r="H823" i="69"/>
  <c r="G823" i="69"/>
  <c r="Q822" i="69"/>
  <c r="P822" i="69"/>
  <c r="O822" i="69"/>
  <c r="N822" i="69"/>
  <c r="M822" i="69"/>
  <c r="L822" i="69"/>
  <c r="K822" i="69"/>
  <c r="J822" i="69"/>
  <c r="I822" i="69"/>
  <c r="H822" i="69"/>
  <c r="G822" i="69"/>
  <c r="Q821" i="69"/>
  <c r="P821" i="69"/>
  <c r="O821" i="69"/>
  <c r="N821" i="69"/>
  <c r="M821" i="69"/>
  <c r="L821" i="69"/>
  <c r="K821" i="69"/>
  <c r="J821" i="69"/>
  <c r="I821" i="69"/>
  <c r="H821" i="69"/>
  <c r="G821" i="69"/>
  <c r="Q820" i="69"/>
  <c r="P820" i="69"/>
  <c r="O820" i="69"/>
  <c r="N820" i="69"/>
  <c r="M820" i="69"/>
  <c r="L820" i="69"/>
  <c r="K820" i="69"/>
  <c r="J820" i="69"/>
  <c r="I820" i="69"/>
  <c r="H820" i="69"/>
  <c r="G820" i="69"/>
  <c r="Q819" i="69"/>
  <c r="P819" i="69"/>
  <c r="O819" i="69"/>
  <c r="N819" i="69"/>
  <c r="M819" i="69"/>
  <c r="L819" i="69"/>
  <c r="K819" i="69"/>
  <c r="J819" i="69"/>
  <c r="I819" i="69"/>
  <c r="H819" i="69"/>
  <c r="G819" i="69"/>
  <c r="Q818" i="69"/>
  <c r="P818" i="69"/>
  <c r="O818" i="69"/>
  <c r="N818" i="69"/>
  <c r="M818" i="69"/>
  <c r="L818" i="69"/>
  <c r="K818" i="69"/>
  <c r="J818" i="69"/>
  <c r="I818" i="69"/>
  <c r="H818" i="69"/>
  <c r="G818" i="69"/>
  <c r="Q817" i="69"/>
  <c r="P817" i="69"/>
  <c r="O817" i="69"/>
  <c r="N817" i="69"/>
  <c r="M817" i="69"/>
  <c r="L817" i="69"/>
  <c r="K817" i="69"/>
  <c r="J817" i="69"/>
  <c r="I817" i="69"/>
  <c r="H817" i="69"/>
  <c r="G817" i="69"/>
  <c r="Q816" i="69"/>
  <c r="P816" i="69"/>
  <c r="O816" i="69"/>
  <c r="N816" i="69"/>
  <c r="M816" i="69"/>
  <c r="L816" i="69"/>
  <c r="K816" i="69"/>
  <c r="J816" i="69"/>
  <c r="I816" i="69"/>
  <c r="H816" i="69"/>
  <c r="G816" i="69"/>
  <c r="Q815" i="69"/>
  <c r="P815" i="69"/>
  <c r="O815" i="69"/>
  <c r="N815" i="69"/>
  <c r="M815" i="69"/>
  <c r="L815" i="69"/>
  <c r="K815" i="69"/>
  <c r="J815" i="69"/>
  <c r="I815" i="69"/>
  <c r="H815" i="69"/>
  <c r="G815" i="69"/>
  <c r="Q814" i="69"/>
  <c r="P814" i="69"/>
  <c r="O814" i="69"/>
  <c r="N814" i="69"/>
  <c r="M814" i="69"/>
  <c r="L814" i="69"/>
  <c r="K814" i="69"/>
  <c r="J814" i="69"/>
  <c r="I814" i="69"/>
  <c r="H814" i="69"/>
  <c r="G814" i="69"/>
  <c r="Q813" i="69"/>
  <c r="P813" i="69"/>
  <c r="O813" i="69"/>
  <c r="N813" i="69"/>
  <c r="M813" i="69"/>
  <c r="L813" i="69"/>
  <c r="K813" i="69"/>
  <c r="J813" i="69"/>
  <c r="I813" i="69"/>
  <c r="H813" i="69"/>
  <c r="G813" i="69"/>
  <c r="Q812" i="69"/>
  <c r="P812" i="69"/>
  <c r="O812" i="69"/>
  <c r="N812" i="69"/>
  <c r="M812" i="69"/>
  <c r="L812" i="69"/>
  <c r="K812" i="69"/>
  <c r="J812" i="69"/>
  <c r="I812" i="69"/>
  <c r="H812" i="69"/>
  <c r="G812" i="69"/>
  <c r="Q811" i="69"/>
  <c r="P811" i="69"/>
  <c r="O811" i="69"/>
  <c r="N811" i="69"/>
  <c r="M811" i="69"/>
  <c r="L811" i="69"/>
  <c r="K811" i="69"/>
  <c r="J811" i="69"/>
  <c r="I811" i="69"/>
  <c r="H811" i="69"/>
  <c r="G811" i="69"/>
  <c r="Q810" i="69"/>
  <c r="P810" i="69"/>
  <c r="O810" i="69"/>
  <c r="N810" i="69"/>
  <c r="M810" i="69"/>
  <c r="L810" i="69"/>
  <c r="K810" i="69"/>
  <c r="J810" i="69"/>
  <c r="I810" i="69"/>
  <c r="H810" i="69"/>
  <c r="G810" i="69"/>
  <c r="Q809" i="69"/>
  <c r="P809" i="69"/>
  <c r="O809" i="69"/>
  <c r="N809" i="69"/>
  <c r="M809" i="69"/>
  <c r="L809" i="69"/>
  <c r="K809" i="69"/>
  <c r="J809" i="69"/>
  <c r="I809" i="69"/>
  <c r="H809" i="69"/>
  <c r="G809" i="69"/>
  <c r="Q808" i="69"/>
  <c r="P808" i="69"/>
  <c r="O808" i="69"/>
  <c r="N808" i="69"/>
  <c r="M808" i="69"/>
  <c r="L808" i="69"/>
  <c r="K808" i="69"/>
  <c r="J808" i="69"/>
  <c r="I808" i="69"/>
  <c r="H808" i="69"/>
  <c r="G808" i="69"/>
  <c r="Q807" i="69"/>
  <c r="P807" i="69"/>
  <c r="O807" i="69"/>
  <c r="N807" i="69"/>
  <c r="M807" i="69"/>
  <c r="L807" i="69"/>
  <c r="K807" i="69"/>
  <c r="J807" i="69"/>
  <c r="I807" i="69"/>
  <c r="H807" i="69"/>
  <c r="G807" i="69"/>
  <c r="Q806" i="69"/>
  <c r="P806" i="69"/>
  <c r="O806" i="69"/>
  <c r="N806" i="69"/>
  <c r="M806" i="69"/>
  <c r="L806" i="69"/>
  <c r="K806" i="69"/>
  <c r="J806" i="69"/>
  <c r="I806" i="69"/>
  <c r="H806" i="69"/>
  <c r="G806" i="69"/>
  <c r="Q805" i="69"/>
  <c r="P805" i="69"/>
  <c r="O805" i="69"/>
  <c r="N805" i="69"/>
  <c r="M805" i="69"/>
  <c r="L805" i="69"/>
  <c r="K805" i="69"/>
  <c r="J805" i="69"/>
  <c r="I805" i="69"/>
  <c r="H805" i="69"/>
  <c r="G805" i="69"/>
  <c r="Q804" i="69"/>
  <c r="P804" i="69"/>
  <c r="O804" i="69"/>
  <c r="N804" i="69"/>
  <c r="M804" i="69"/>
  <c r="L804" i="69"/>
  <c r="K804" i="69"/>
  <c r="J804" i="69"/>
  <c r="I804" i="69"/>
  <c r="H804" i="69"/>
  <c r="G804" i="69"/>
  <c r="Q803" i="69"/>
  <c r="P803" i="69"/>
  <c r="O803" i="69"/>
  <c r="N803" i="69"/>
  <c r="M803" i="69"/>
  <c r="L803" i="69"/>
  <c r="K803" i="69"/>
  <c r="J803" i="69"/>
  <c r="I803" i="69"/>
  <c r="H803" i="69"/>
  <c r="G803" i="69"/>
  <c r="Q802" i="69"/>
  <c r="P802" i="69"/>
  <c r="O802" i="69"/>
  <c r="N802" i="69"/>
  <c r="M802" i="69"/>
  <c r="L802" i="69"/>
  <c r="K802" i="69"/>
  <c r="J802" i="69"/>
  <c r="I802" i="69"/>
  <c r="H802" i="69"/>
  <c r="G802" i="69"/>
  <c r="Q801" i="69"/>
  <c r="P801" i="69"/>
  <c r="O801" i="69"/>
  <c r="N801" i="69"/>
  <c r="M801" i="69"/>
  <c r="L801" i="69"/>
  <c r="K801" i="69"/>
  <c r="J801" i="69"/>
  <c r="I801" i="69"/>
  <c r="H801" i="69"/>
  <c r="G801" i="69"/>
  <c r="Q800" i="69"/>
  <c r="P800" i="69"/>
  <c r="O800" i="69"/>
  <c r="N800" i="69"/>
  <c r="M800" i="69"/>
  <c r="L800" i="69"/>
  <c r="K800" i="69"/>
  <c r="J800" i="69"/>
  <c r="I800" i="69"/>
  <c r="H800" i="69"/>
  <c r="G800" i="69"/>
  <c r="Q799" i="69"/>
  <c r="P799" i="69"/>
  <c r="O799" i="69"/>
  <c r="N799" i="69"/>
  <c r="M799" i="69"/>
  <c r="L799" i="69"/>
  <c r="K799" i="69"/>
  <c r="J799" i="69"/>
  <c r="I799" i="69"/>
  <c r="H799" i="69"/>
  <c r="G799" i="69"/>
  <c r="Q798" i="69"/>
  <c r="P798" i="69"/>
  <c r="O798" i="69"/>
  <c r="N798" i="69"/>
  <c r="M798" i="69"/>
  <c r="L798" i="69"/>
  <c r="K798" i="69"/>
  <c r="J798" i="69"/>
  <c r="I798" i="69"/>
  <c r="H798" i="69"/>
  <c r="G798" i="69"/>
  <c r="Q797" i="69"/>
  <c r="P797" i="69"/>
  <c r="O797" i="69"/>
  <c r="N797" i="69"/>
  <c r="M797" i="69"/>
  <c r="L797" i="69"/>
  <c r="K797" i="69"/>
  <c r="J797" i="69"/>
  <c r="I797" i="69"/>
  <c r="H797" i="69"/>
  <c r="G797" i="69"/>
  <c r="Q796" i="69"/>
  <c r="P796" i="69"/>
  <c r="O796" i="69"/>
  <c r="N796" i="69"/>
  <c r="M796" i="69"/>
  <c r="L796" i="69"/>
  <c r="K796" i="69"/>
  <c r="J796" i="69"/>
  <c r="I796" i="69"/>
  <c r="H796" i="69"/>
  <c r="G796" i="69"/>
  <c r="Q795" i="69"/>
  <c r="P795" i="69"/>
  <c r="O795" i="69"/>
  <c r="N795" i="69"/>
  <c r="M795" i="69"/>
  <c r="L795" i="69"/>
  <c r="K795" i="69"/>
  <c r="J795" i="69"/>
  <c r="I795" i="69"/>
  <c r="H795" i="69"/>
  <c r="G795" i="69"/>
  <c r="Q794" i="69"/>
  <c r="P794" i="69"/>
  <c r="O794" i="69"/>
  <c r="N794" i="69"/>
  <c r="M794" i="69"/>
  <c r="L794" i="69"/>
  <c r="K794" i="69"/>
  <c r="J794" i="69"/>
  <c r="I794" i="69"/>
  <c r="H794" i="69"/>
  <c r="G794" i="69"/>
  <c r="Q793" i="69"/>
  <c r="P793" i="69"/>
  <c r="O793" i="69"/>
  <c r="N793" i="69"/>
  <c r="M793" i="69"/>
  <c r="L793" i="69"/>
  <c r="K793" i="69"/>
  <c r="J793" i="69"/>
  <c r="I793" i="69"/>
  <c r="H793" i="69"/>
  <c r="G793" i="69"/>
  <c r="Q792" i="69"/>
  <c r="P792" i="69"/>
  <c r="O792" i="69"/>
  <c r="N792" i="69"/>
  <c r="M792" i="69"/>
  <c r="L792" i="69"/>
  <c r="K792" i="69"/>
  <c r="J792" i="69"/>
  <c r="I792" i="69"/>
  <c r="H792" i="69"/>
  <c r="G792" i="69"/>
  <c r="Q791" i="69"/>
  <c r="P791" i="69"/>
  <c r="O791" i="69"/>
  <c r="N791" i="69"/>
  <c r="M791" i="69"/>
  <c r="L791" i="69"/>
  <c r="K791" i="69"/>
  <c r="J791" i="69"/>
  <c r="I791" i="69"/>
  <c r="H791" i="69"/>
  <c r="G791" i="69"/>
  <c r="Q790" i="69"/>
  <c r="P790" i="69"/>
  <c r="O790" i="69"/>
  <c r="N790" i="69"/>
  <c r="M790" i="69"/>
  <c r="L790" i="69"/>
  <c r="K790" i="69"/>
  <c r="J790" i="69"/>
  <c r="I790" i="69"/>
  <c r="H790" i="69"/>
  <c r="G790" i="69"/>
  <c r="Q789" i="69"/>
  <c r="P789" i="69"/>
  <c r="O789" i="69"/>
  <c r="N789" i="69"/>
  <c r="M789" i="69"/>
  <c r="L789" i="69"/>
  <c r="K789" i="69"/>
  <c r="J789" i="69"/>
  <c r="I789" i="69"/>
  <c r="H789" i="69"/>
  <c r="G789" i="69"/>
  <c r="Q788" i="69"/>
  <c r="P788" i="69"/>
  <c r="O788" i="69"/>
  <c r="N788" i="69"/>
  <c r="M788" i="69"/>
  <c r="L788" i="69"/>
  <c r="K788" i="69"/>
  <c r="J788" i="69"/>
  <c r="I788" i="69"/>
  <c r="H788" i="69"/>
  <c r="G788" i="69"/>
  <c r="Q787" i="69"/>
  <c r="P787" i="69"/>
  <c r="O787" i="69"/>
  <c r="N787" i="69"/>
  <c r="M787" i="69"/>
  <c r="L787" i="69"/>
  <c r="K787" i="69"/>
  <c r="J787" i="69"/>
  <c r="I787" i="69"/>
  <c r="H787" i="69"/>
  <c r="G787" i="69"/>
  <c r="Q786" i="69"/>
  <c r="P786" i="69"/>
  <c r="O786" i="69"/>
  <c r="N786" i="69"/>
  <c r="M786" i="69"/>
  <c r="L786" i="69"/>
  <c r="K786" i="69"/>
  <c r="J786" i="69"/>
  <c r="I786" i="69"/>
  <c r="H786" i="69"/>
  <c r="G786" i="69"/>
  <c r="Q785" i="69"/>
  <c r="P785" i="69"/>
  <c r="O785" i="69"/>
  <c r="N785" i="69"/>
  <c r="M785" i="69"/>
  <c r="L785" i="69"/>
  <c r="K785" i="69"/>
  <c r="J785" i="69"/>
  <c r="I785" i="69"/>
  <c r="H785" i="69"/>
  <c r="G785" i="69"/>
  <c r="Q784" i="69"/>
  <c r="P784" i="69"/>
  <c r="O784" i="69"/>
  <c r="N784" i="69"/>
  <c r="M784" i="69"/>
  <c r="L784" i="69"/>
  <c r="K784" i="69"/>
  <c r="J784" i="69"/>
  <c r="I784" i="69"/>
  <c r="H784" i="69"/>
  <c r="G784" i="69"/>
  <c r="Q783" i="69"/>
  <c r="P783" i="69"/>
  <c r="O783" i="69"/>
  <c r="N783" i="69"/>
  <c r="M783" i="69"/>
  <c r="L783" i="69"/>
  <c r="K783" i="69"/>
  <c r="J783" i="69"/>
  <c r="I783" i="69"/>
  <c r="H783" i="69"/>
  <c r="G783" i="69"/>
  <c r="Q782" i="69"/>
  <c r="P782" i="69"/>
  <c r="O782" i="69"/>
  <c r="N782" i="69"/>
  <c r="M782" i="69"/>
  <c r="L782" i="69"/>
  <c r="K782" i="69"/>
  <c r="J782" i="69"/>
  <c r="I782" i="69"/>
  <c r="H782" i="69"/>
  <c r="G782" i="69"/>
  <c r="Q781" i="69"/>
  <c r="P781" i="69"/>
  <c r="O781" i="69"/>
  <c r="N781" i="69"/>
  <c r="M781" i="69"/>
  <c r="L781" i="69"/>
  <c r="K781" i="69"/>
  <c r="J781" i="69"/>
  <c r="I781" i="69"/>
  <c r="H781" i="69"/>
  <c r="G781" i="69"/>
  <c r="Q780" i="69"/>
  <c r="P780" i="69"/>
  <c r="O780" i="69"/>
  <c r="N780" i="69"/>
  <c r="M780" i="69"/>
  <c r="L780" i="69"/>
  <c r="K780" i="69"/>
  <c r="J780" i="69"/>
  <c r="I780" i="69"/>
  <c r="H780" i="69"/>
  <c r="G780" i="69"/>
  <c r="Q779" i="69"/>
  <c r="P779" i="69"/>
  <c r="O779" i="69"/>
  <c r="N779" i="69"/>
  <c r="M779" i="69"/>
  <c r="L779" i="69"/>
  <c r="K779" i="69"/>
  <c r="J779" i="69"/>
  <c r="I779" i="69"/>
  <c r="H779" i="69"/>
  <c r="G779" i="69"/>
  <c r="Q778" i="69"/>
  <c r="P778" i="69"/>
  <c r="O778" i="69"/>
  <c r="N778" i="69"/>
  <c r="M778" i="69"/>
  <c r="L778" i="69"/>
  <c r="K778" i="69"/>
  <c r="J778" i="69"/>
  <c r="I778" i="69"/>
  <c r="H778" i="69"/>
  <c r="G778" i="69"/>
  <c r="Q777" i="69"/>
  <c r="P777" i="69"/>
  <c r="O777" i="69"/>
  <c r="N777" i="69"/>
  <c r="M777" i="69"/>
  <c r="L777" i="69"/>
  <c r="K777" i="69"/>
  <c r="J777" i="69"/>
  <c r="I777" i="69"/>
  <c r="H777" i="69"/>
  <c r="G777" i="69"/>
  <c r="Q776" i="69"/>
  <c r="P776" i="69"/>
  <c r="O776" i="69"/>
  <c r="N776" i="69"/>
  <c r="M776" i="69"/>
  <c r="L776" i="69"/>
  <c r="K776" i="69"/>
  <c r="J776" i="69"/>
  <c r="I776" i="69"/>
  <c r="H776" i="69"/>
  <c r="G776" i="69"/>
  <c r="Q775" i="69"/>
  <c r="P775" i="69"/>
  <c r="O775" i="69"/>
  <c r="N775" i="69"/>
  <c r="M775" i="69"/>
  <c r="L775" i="69"/>
  <c r="K775" i="69"/>
  <c r="J775" i="69"/>
  <c r="I775" i="69"/>
  <c r="H775" i="69"/>
  <c r="G775" i="69"/>
  <c r="Q774" i="69"/>
  <c r="P774" i="69"/>
  <c r="O774" i="69"/>
  <c r="N774" i="69"/>
  <c r="M774" i="69"/>
  <c r="L774" i="69"/>
  <c r="K774" i="69"/>
  <c r="J774" i="69"/>
  <c r="I774" i="69"/>
  <c r="H774" i="69"/>
  <c r="G774" i="69"/>
  <c r="Q773" i="69"/>
  <c r="P773" i="69"/>
  <c r="O773" i="69"/>
  <c r="N773" i="69"/>
  <c r="M773" i="69"/>
  <c r="L773" i="69"/>
  <c r="K773" i="69"/>
  <c r="J773" i="69"/>
  <c r="I773" i="69"/>
  <c r="H773" i="69"/>
  <c r="G773" i="69"/>
  <c r="Q772" i="69"/>
  <c r="P772" i="69"/>
  <c r="O772" i="69"/>
  <c r="N772" i="69"/>
  <c r="M772" i="69"/>
  <c r="L772" i="69"/>
  <c r="K772" i="69"/>
  <c r="J772" i="69"/>
  <c r="I772" i="69"/>
  <c r="H772" i="69"/>
  <c r="G772" i="69"/>
  <c r="Q771" i="69"/>
  <c r="P771" i="69"/>
  <c r="O771" i="69"/>
  <c r="N771" i="69"/>
  <c r="M771" i="69"/>
  <c r="L771" i="69"/>
  <c r="K771" i="69"/>
  <c r="J771" i="69"/>
  <c r="I771" i="69"/>
  <c r="H771" i="69"/>
  <c r="G771" i="69"/>
  <c r="Q770" i="69"/>
  <c r="P770" i="69"/>
  <c r="O770" i="69"/>
  <c r="N770" i="69"/>
  <c r="M770" i="69"/>
  <c r="L770" i="69"/>
  <c r="K770" i="69"/>
  <c r="J770" i="69"/>
  <c r="I770" i="69"/>
  <c r="H770" i="69"/>
  <c r="G770" i="69"/>
  <c r="Q769" i="69"/>
  <c r="P769" i="69"/>
  <c r="O769" i="69"/>
  <c r="N769" i="69"/>
  <c r="M769" i="69"/>
  <c r="L769" i="69"/>
  <c r="K769" i="69"/>
  <c r="J769" i="69"/>
  <c r="I769" i="69"/>
  <c r="H769" i="69"/>
  <c r="G769" i="69"/>
  <c r="Q768" i="69"/>
  <c r="P768" i="69"/>
  <c r="O768" i="69"/>
  <c r="N768" i="69"/>
  <c r="M768" i="69"/>
  <c r="L768" i="69"/>
  <c r="K768" i="69"/>
  <c r="J768" i="69"/>
  <c r="I768" i="69"/>
  <c r="H768" i="69"/>
  <c r="G768" i="69"/>
  <c r="Q767" i="69"/>
  <c r="P767" i="69"/>
  <c r="O767" i="69"/>
  <c r="N767" i="69"/>
  <c r="M767" i="69"/>
  <c r="L767" i="69"/>
  <c r="K767" i="69"/>
  <c r="J767" i="69"/>
  <c r="I767" i="69"/>
  <c r="H767" i="69"/>
  <c r="G767" i="69"/>
  <c r="Q766" i="69"/>
  <c r="P766" i="69"/>
  <c r="O766" i="69"/>
  <c r="N766" i="69"/>
  <c r="M766" i="69"/>
  <c r="L766" i="69"/>
  <c r="K766" i="69"/>
  <c r="J766" i="69"/>
  <c r="I766" i="69"/>
  <c r="H766" i="69"/>
  <c r="G766" i="69"/>
  <c r="Q765" i="69"/>
  <c r="P765" i="69"/>
  <c r="O765" i="69"/>
  <c r="N765" i="69"/>
  <c r="M765" i="69"/>
  <c r="L765" i="69"/>
  <c r="K765" i="69"/>
  <c r="J765" i="69"/>
  <c r="I765" i="69"/>
  <c r="H765" i="69"/>
  <c r="G765" i="69"/>
  <c r="Q764" i="69"/>
  <c r="P764" i="69"/>
  <c r="O764" i="69"/>
  <c r="N764" i="69"/>
  <c r="M764" i="69"/>
  <c r="L764" i="69"/>
  <c r="K764" i="69"/>
  <c r="J764" i="69"/>
  <c r="I764" i="69"/>
  <c r="H764" i="69"/>
  <c r="G764" i="69"/>
  <c r="Q763" i="69"/>
  <c r="P763" i="69"/>
  <c r="O763" i="69"/>
  <c r="N763" i="69"/>
  <c r="M763" i="69"/>
  <c r="L763" i="69"/>
  <c r="K763" i="69"/>
  <c r="J763" i="69"/>
  <c r="I763" i="69"/>
  <c r="H763" i="69"/>
  <c r="G763" i="69"/>
  <c r="Q762" i="69"/>
  <c r="P762" i="69"/>
  <c r="O762" i="69"/>
  <c r="N762" i="69"/>
  <c r="M762" i="69"/>
  <c r="L762" i="69"/>
  <c r="K762" i="69"/>
  <c r="J762" i="69"/>
  <c r="I762" i="69"/>
  <c r="H762" i="69"/>
  <c r="G762" i="69"/>
  <c r="Q761" i="69"/>
  <c r="P761" i="69"/>
  <c r="O761" i="69"/>
  <c r="N761" i="69"/>
  <c r="M761" i="69"/>
  <c r="L761" i="69"/>
  <c r="K761" i="69"/>
  <c r="J761" i="69"/>
  <c r="I761" i="69"/>
  <c r="H761" i="69"/>
  <c r="G761" i="69"/>
  <c r="Q760" i="69"/>
  <c r="P760" i="69"/>
  <c r="O760" i="69"/>
  <c r="N760" i="69"/>
  <c r="M760" i="69"/>
  <c r="L760" i="69"/>
  <c r="K760" i="69"/>
  <c r="J760" i="69"/>
  <c r="I760" i="69"/>
  <c r="H760" i="69"/>
  <c r="G760" i="69"/>
  <c r="Q759" i="69"/>
  <c r="P759" i="69"/>
  <c r="O759" i="69"/>
  <c r="N759" i="69"/>
  <c r="M759" i="69"/>
  <c r="L759" i="69"/>
  <c r="K759" i="69"/>
  <c r="J759" i="69"/>
  <c r="I759" i="69"/>
  <c r="H759" i="69"/>
  <c r="G759" i="69"/>
  <c r="Q758" i="69"/>
  <c r="P758" i="69"/>
  <c r="O758" i="69"/>
  <c r="N758" i="69"/>
  <c r="M758" i="69"/>
  <c r="L758" i="69"/>
  <c r="K758" i="69"/>
  <c r="J758" i="69"/>
  <c r="I758" i="69"/>
  <c r="H758" i="69"/>
  <c r="G758" i="69"/>
  <c r="Q757" i="69"/>
  <c r="P757" i="69"/>
  <c r="O757" i="69"/>
  <c r="N757" i="69"/>
  <c r="M757" i="69"/>
  <c r="L757" i="69"/>
  <c r="K757" i="69"/>
  <c r="J757" i="69"/>
  <c r="I757" i="69"/>
  <c r="H757" i="69"/>
  <c r="G757" i="69"/>
  <c r="Q756" i="69"/>
  <c r="P756" i="69"/>
  <c r="O756" i="69"/>
  <c r="N756" i="69"/>
  <c r="M756" i="69"/>
  <c r="L756" i="69"/>
  <c r="K756" i="69"/>
  <c r="J756" i="69"/>
  <c r="I756" i="69"/>
  <c r="H756" i="69"/>
  <c r="G756" i="69"/>
  <c r="Q755" i="69"/>
  <c r="P755" i="69"/>
  <c r="O755" i="69"/>
  <c r="N755" i="69"/>
  <c r="M755" i="69"/>
  <c r="L755" i="69"/>
  <c r="K755" i="69"/>
  <c r="J755" i="69"/>
  <c r="I755" i="69"/>
  <c r="H755" i="69"/>
  <c r="G755" i="69"/>
  <c r="Q754" i="69"/>
  <c r="P754" i="69"/>
  <c r="O754" i="69"/>
  <c r="N754" i="69"/>
  <c r="M754" i="69"/>
  <c r="L754" i="69"/>
  <c r="K754" i="69"/>
  <c r="J754" i="69"/>
  <c r="I754" i="69"/>
  <c r="H754" i="69"/>
  <c r="G754" i="69"/>
  <c r="Q753" i="69"/>
  <c r="P753" i="69"/>
  <c r="O753" i="69"/>
  <c r="N753" i="69"/>
  <c r="M753" i="69"/>
  <c r="L753" i="69"/>
  <c r="K753" i="69"/>
  <c r="J753" i="69"/>
  <c r="I753" i="69"/>
  <c r="H753" i="69"/>
  <c r="G753" i="69"/>
  <c r="Q752" i="69"/>
  <c r="P752" i="69"/>
  <c r="O752" i="69"/>
  <c r="N752" i="69"/>
  <c r="M752" i="69"/>
  <c r="L752" i="69"/>
  <c r="K752" i="69"/>
  <c r="J752" i="69"/>
  <c r="I752" i="69"/>
  <c r="H752" i="69"/>
  <c r="G752" i="69"/>
  <c r="Q751" i="69"/>
  <c r="P751" i="69"/>
  <c r="O751" i="69"/>
  <c r="N751" i="69"/>
  <c r="M751" i="69"/>
  <c r="L751" i="69"/>
  <c r="K751" i="69"/>
  <c r="J751" i="69"/>
  <c r="I751" i="69"/>
  <c r="H751" i="69"/>
  <c r="G751" i="69"/>
  <c r="Q750" i="69"/>
  <c r="P750" i="69"/>
  <c r="O750" i="69"/>
  <c r="N750" i="69"/>
  <c r="M750" i="69"/>
  <c r="L750" i="69"/>
  <c r="K750" i="69"/>
  <c r="J750" i="69"/>
  <c r="I750" i="69"/>
  <c r="H750" i="69"/>
  <c r="G750" i="69"/>
  <c r="Q749" i="69"/>
  <c r="P749" i="69"/>
  <c r="O749" i="69"/>
  <c r="N749" i="69"/>
  <c r="M749" i="69"/>
  <c r="L749" i="69"/>
  <c r="K749" i="69"/>
  <c r="J749" i="69"/>
  <c r="I749" i="69"/>
  <c r="H749" i="69"/>
  <c r="G749" i="69"/>
  <c r="Q748" i="69"/>
  <c r="P748" i="69"/>
  <c r="O748" i="69"/>
  <c r="N748" i="69"/>
  <c r="M748" i="69"/>
  <c r="L748" i="69"/>
  <c r="K748" i="69"/>
  <c r="J748" i="69"/>
  <c r="I748" i="69"/>
  <c r="H748" i="69"/>
  <c r="G748" i="69"/>
  <c r="Q747" i="69"/>
  <c r="P747" i="69"/>
  <c r="O747" i="69"/>
  <c r="N747" i="69"/>
  <c r="M747" i="69"/>
  <c r="L747" i="69"/>
  <c r="K747" i="69"/>
  <c r="J747" i="69"/>
  <c r="I747" i="69"/>
  <c r="H747" i="69"/>
  <c r="G747" i="69"/>
  <c r="Q746" i="69"/>
  <c r="P746" i="69"/>
  <c r="O746" i="69"/>
  <c r="N746" i="69"/>
  <c r="M746" i="69"/>
  <c r="L746" i="69"/>
  <c r="K746" i="69"/>
  <c r="J746" i="69"/>
  <c r="I746" i="69"/>
  <c r="H746" i="69"/>
  <c r="G746" i="69"/>
  <c r="Q745" i="69"/>
  <c r="P745" i="69"/>
  <c r="O745" i="69"/>
  <c r="N745" i="69"/>
  <c r="M745" i="69"/>
  <c r="L745" i="69"/>
  <c r="K745" i="69"/>
  <c r="J745" i="69"/>
  <c r="I745" i="69"/>
  <c r="H745" i="69"/>
  <c r="G745" i="69"/>
  <c r="Q744" i="69"/>
  <c r="P744" i="69"/>
  <c r="O744" i="69"/>
  <c r="N744" i="69"/>
  <c r="M744" i="69"/>
  <c r="L744" i="69"/>
  <c r="K744" i="69"/>
  <c r="J744" i="69"/>
  <c r="I744" i="69"/>
  <c r="H744" i="69"/>
  <c r="G744" i="69"/>
  <c r="Q743" i="69"/>
  <c r="P743" i="69"/>
  <c r="O743" i="69"/>
  <c r="N743" i="69"/>
  <c r="M743" i="69"/>
  <c r="L743" i="69"/>
  <c r="K743" i="69"/>
  <c r="J743" i="69"/>
  <c r="I743" i="69"/>
  <c r="H743" i="69"/>
  <c r="G743" i="69"/>
  <c r="Q742" i="69"/>
  <c r="P742" i="69"/>
  <c r="O742" i="69"/>
  <c r="N742" i="69"/>
  <c r="M742" i="69"/>
  <c r="L742" i="69"/>
  <c r="K742" i="69"/>
  <c r="J742" i="69"/>
  <c r="I742" i="69"/>
  <c r="H742" i="69"/>
  <c r="G742" i="69"/>
  <c r="Q741" i="69"/>
  <c r="P741" i="69"/>
  <c r="O741" i="69"/>
  <c r="N741" i="69"/>
  <c r="M741" i="69"/>
  <c r="L741" i="69"/>
  <c r="K741" i="69"/>
  <c r="J741" i="69"/>
  <c r="I741" i="69"/>
  <c r="H741" i="69"/>
  <c r="G741" i="69"/>
  <c r="Q740" i="69"/>
  <c r="P740" i="69"/>
  <c r="O740" i="69"/>
  <c r="N740" i="69"/>
  <c r="M740" i="69"/>
  <c r="L740" i="69"/>
  <c r="K740" i="69"/>
  <c r="J740" i="69"/>
  <c r="I740" i="69"/>
  <c r="H740" i="69"/>
  <c r="G740" i="69"/>
  <c r="Q739" i="69"/>
  <c r="P739" i="69"/>
  <c r="O739" i="69"/>
  <c r="N739" i="69"/>
  <c r="M739" i="69"/>
  <c r="L739" i="69"/>
  <c r="K739" i="69"/>
  <c r="J739" i="69"/>
  <c r="I739" i="69"/>
  <c r="H739" i="69"/>
  <c r="G739" i="69"/>
  <c r="Q738" i="69"/>
  <c r="P738" i="69"/>
  <c r="O738" i="69"/>
  <c r="N738" i="69"/>
  <c r="M738" i="69"/>
  <c r="L738" i="69"/>
  <c r="K738" i="69"/>
  <c r="J738" i="69"/>
  <c r="I738" i="69"/>
  <c r="H738" i="69"/>
  <c r="G738" i="69"/>
  <c r="Q737" i="69"/>
  <c r="P737" i="69"/>
  <c r="O737" i="69"/>
  <c r="N737" i="69"/>
  <c r="M737" i="69"/>
  <c r="L737" i="69"/>
  <c r="K737" i="69"/>
  <c r="J737" i="69"/>
  <c r="I737" i="69"/>
  <c r="H737" i="69"/>
  <c r="G737" i="69"/>
  <c r="Q736" i="69"/>
  <c r="P736" i="69"/>
  <c r="O736" i="69"/>
  <c r="N736" i="69"/>
  <c r="M736" i="69"/>
  <c r="L736" i="69"/>
  <c r="K736" i="69"/>
  <c r="J736" i="69"/>
  <c r="I736" i="69"/>
  <c r="H736" i="69"/>
  <c r="G736" i="69"/>
  <c r="Q735" i="69"/>
  <c r="P735" i="69"/>
  <c r="O735" i="69"/>
  <c r="N735" i="69"/>
  <c r="M735" i="69"/>
  <c r="L735" i="69"/>
  <c r="K735" i="69"/>
  <c r="J735" i="69"/>
  <c r="I735" i="69"/>
  <c r="H735" i="69"/>
  <c r="G735" i="69"/>
  <c r="Q734" i="69"/>
  <c r="P734" i="69"/>
  <c r="O734" i="69"/>
  <c r="N734" i="69"/>
  <c r="M734" i="69"/>
  <c r="L734" i="69"/>
  <c r="K734" i="69"/>
  <c r="J734" i="69"/>
  <c r="I734" i="69"/>
  <c r="H734" i="69"/>
  <c r="G734" i="69"/>
  <c r="Q733" i="69"/>
  <c r="P733" i="69"/>
  <c r="O733" i="69"/>
  <c r="N733" i="69"/>
  <c r="M733" i="69"/>
  <c r="L733" i="69"/>
  <c r="K733" i="69"/>
  <c r="J733" i="69"/>
  <c r="I733" i="69"/>
  <c r="H733" i="69"/>
  <c r="G733" i="69"/>
  <c r="Q732" i="69"/>
  <c r="P732" i="69"/>
  <c r="O732" i="69"/>
  <c r="N732" i="69"/>
  <c r="M732" i="69"/>
  <c r="L732" i="69"/>
  <c r="K732" i="69"/>
  <c r="J732" i="69"/>
  <c r="I732" i="69"/>
  <c r="H732" i="69"/>
  <c r="G732" i="69"/>
  <c r="Q731" i="69"/>
  <c r="P731" i="69"/>
  <c r="O731" i="69"/>
  <c r="N731" i="69"/>
  <c r="M731" i="69"/>
  <c r="L731" i="69"/>
  <c r="K731" i="69"/>
  <c r="J731" i="69"/>
  <c r="I731" i="69"/>
  <c r="H731" i="69"/>
  <c r="G731" i="69"/>
  <c r="Q730" i="69"/>
  <c r="P730" i="69"/>
  <c r="O730" i="69"/>
  <c r="N730" i="69"/>
  <c r="M730" i="69"/>
  <c r="L730" i="69"/>
  <c r="K730" i="69"/>
  <c r="J730" i="69"/>
  <c r="I730" i="69"/>
  <c r="H730" i="69"/>
  <c r="G730" i="69"/>
  <c r="Q729" i="69"/>
  <c r="P729" i="69"/>
  <c r="O729" i="69"/>
  <c r="N729" i="69"/>
  <c r="M729" i="69"/>
  <c r="L729" i="69"/>
  <c r="K729" i="69"/>
  <c r="J729" i="69"/>
  <c r="I729" i="69"/>
  <c r="H729" i="69"/>
  <c r="G729" i="69"/>
  <c r="Q728" i="69"/>
  <c r="P728" i="69"/>
  <c r="O728" i="69"/>
  <c r="N728" i="69"/>
  <c r="M728" i="69"/>
  <c r="L728" i="69"/>
  <c r="K728" i="69"/>
  <c r="J728" i="69"/>
  <c r="I728" i="69"/>
  <c r="H728" i="69"/>
  <c r="G728" i="69"/>
  <c r="Q727" i="69"/>
  <c r="P727" i="69"/>
  <c r="O727" i="69"/>
  <c r="N727" i="69"/>
  <c r="M727" i="69"/>
  <c r="L727" i="69"/>
  <c r="K727" i="69"/>
  <c r="J727" i="69"/>
  <c r="I727" i="69"/>
  <c r="H727" i="69"/>
  <c r="G727" i="69"/>
  <c r="Q726" i="69"/>
  <c r="P726" i="69"/>
  <c r="O726" i="69"/>
  <c r="N726" i="69"/>
  <c r="M726" i="69"/>
  <c r="L726" i="69"/>
  <c r="K726" i="69"/>
  <c r="J726" i="69"/>
  <c r="I726" i="69"/>
  <c r="H726" i="69"/>
  <c r="G726" i="69"/>
  <c r="Q725" i="69"/>
  <c r="P725" i="69"/>
  <c r="O725" i="69"/>
  <c r="N725" i="69"/>
  <c r="M725" i="69"/>
  <c r="L725" i="69"/>
  <c r="K725" i="69"/>
  <c r="J725" i="69"/>
  <c r="I725" i="69"/>
  <c r="H725" i="69"/>
  <c r="G725" i="69"/>
  <c r="Q724" i="69"/>
  <c r="P724" i="69"/>
  <c r="O724" i="69"/>
  <c r="N724" i="69"/>
  <c r="M724" i="69"/>
  <c r="L724" i="69"/>
  <c r="K724" i="69"/>
  <c r="J724" i="69"/>
  <c r="I724" i="69"/>
  <c r="H724" i="69"/>
  <c r="G724" i="69"/>
  <c r="Q723" i="69"/>
  <c r="P723" i="69"/>
  <c r="O723" i="69"/>
  <c r="N723" i="69"/>
  <c r="M723" i="69"/>
  <c r="L723" i="69"/>
  <c r="K723" i="69"/>
  <c r="J723" i="69"/>
  <c r="I723" i="69"/>
  <c r="H723" i="69"/>
  <c r="G723" i="69"/>
  <c r="Q722" i="69"/>
  <c r="P722" i="69"/>
  <c r="O722" i="69"/>
  <c r="N722" i="69"/>
  <c r="M722" i="69"/>
  <c r="L722" i="69"/>
  <c r="K722" i="69"/>
  <c r="J722" i="69"/>
  <c r="I722" i="69"/>
  <c r="H722" i="69"/>
  <c r="G722" i="69"/>
  <c r="Q721" i="69"/>
  <c r="P721" i="69"/>
  <c r="O721" i="69"/>
  <c r="N721" i="69"/>
  <c r="M721" i="69"/>
  <c r="L721" i="69"/>
  <c r="K721" i="69"/>
  <c r="J721" i="69"/>
  <c r="I721" i="69"/>
  <c r="H721" i="69"/>
  <c r="G721" i="69"/>
  <c r="Q720" i="69"/>
  <c r="P720" i="69"/>
  <c r="O720" i="69"/>
  <c r="N720" i="69"/>
  <c r="M720" i="69"/>
  <c r="L720" i="69"/>
  <c r="K720" i="69"/>
  <c r="J720" i="69"/>
  <c r="I720" i="69"/>
  <c r="H720" i="69"/>
  <c r="G720" i="69"/>
  <c r="Q719" i="69"/>
  <c r="P719" i="69"/>
  <c r="O719" i="69"/>
  <c r="N719" i="69"/>
  <c r="M719" i="69"/>
  <c r="L719" i="69"/>
  <c r="K719" i="69"/>
  <c r="J719" i="69"/>
  <c r="I719" i="69"/>
  <c r="H719" i="69"/>
  <c r="G719" i="69"/>
  <c r="Q718" i="69"/>
  <c r="P718" i="69"/>
  <c r="O718" i="69"/>
  <c r="N718" i="69"/>
  <c r="M718" i="69"/>
  <c r="L718" i="69"/>
  <c r="K718" i="69"/>
  <c r="J718" i="69"/>
  <c r="I718" i="69"/>
  <c r="H718" i="69"/>
  <c r="G718" i="69"/>
  <c r="Q717" i="69"/>
  <c r="P717" i="69"/>
  <c r="O717" i="69"/>
  <c r="N717" i="69"/>
  <c r="M717" i="69"/>
  <c r="L717" i="69"/>
  <c r="K717" i="69"/>
  <c r="J717" i="69"/>
  <c r="I717" i="69"/>
  <c r="H717" i="69"/>
  <c r="G717" i="69"/>
  <c r="Q716" i="69"/>
  <c r="P716" i="69"/>
  <c r="O716" i="69"/>
  <c r="N716" i="69"/>
  <c r="M716" i="69"/>
  <c r="L716" i="69"/>
  <c r="K716" i="69"/>
  <c r="J716" i="69"/>
  <c r="I716" i="69"/>
  <c r="H716" i="69"/>
  <c r="G716" i="69"/>
  <c r="Q715" i="69"/>
  <c r="P715" i="69"/>
  <c r="O715" i="69"/>
  <c r="N715" i="69"/>
  <c r="M715" i="69"/>
  <c r="L715" i="69"/>
  <c r="K715" i="69"/>
  <c r="J715" i="69"/>
  <c r="I715" i="69"/>
  <c r="H715" i="69"/>
  <c r="G715" i="69"/>
  <c r="Q714" i="69"/>
  <c r="P714" i="69"/>
  <c r="O714" i="69"/>
  <c r="N714" i="69"/>
  <c r="M714" i="69"/>
  <c r="L714" i="69"/>
  <c r="K714" i="69"/>
  <c r="J714" i="69"/>
  <c r="I714" i="69"/>
  <c r="H714" i="69"/>
  <c r="G714" i="69"/>
  <c r="Q713" i="69"/>
  <c r="P713" i="69"/>
  <c r="O713" i="69"/>
  <c r="N713" i="69"/>
  <c r="M713" i="69"/>
  <c r="L713" i="69"/>
  <c r="K713" i="69"/>
  <c r="J713" i="69"/>
  <c r="I713" i="69"/>
  <c r="H713" i="69"/>
  <c r="G713" i="69"/>
  <c r="Q712" i="69"/>
  <c r="P712" i="69"/>
  <c r="O712" i="69"/>
  <c r="N712" i="69"/>
  <c r="M712" i="69"/>
  <c r="L712" i="69"/>
  <c r="K712" i="69"/>
  <c r="J712" i="69"/>
  <c r="I712" i="69"/>
  <c r="H712" i="69"/>
  <c r="G712" i="69"/>
  <c r="Q711" i="69"/>
  <c r="P711" i="69"/>
  <c r="O711" i="69"/>
  <c r="N711" i="69"/>
  <c r="M711" i="69"/>
  <c r="L711" i="69"/>
  <c r="K711" i="69"/>
  <c r="J711" i="69"/>
  <c r="I711" i="69"/>
  <c r="H711" i="69"/>
  <c r="G711" i="69"/>
  <c r="Q710" i="69"/>
  <c r="P710" i="69"/>
  <c r="O710" i="69"/>
  <c r="N710" i="69"/>
  <c r="M710" i="69"/>
  <c r="L710" i="69"/>
  <c r="K710" i="69"/>
  <c r="J710" i="69"/>
  <c r="I710" i="69"/>
  <c r="H710" i="69"/>
  <c r="G710" i="69"/>
  <c r="Q709" i="69"/>
  <c r="P709" i="69"/>
  <c r="O709" i="69"/>
  <c r="N709" i="69"/>
  <c r="M709" i="69"/>
  <c r="L709" i="69"/>
  <c r="K709" i="69"/>
  <c r="J709" i="69"/>
  <c r="I709" i="69"/>
  <c r="H709" i="69"/>
  <c r="G709" i="69"/>
  <c r="Q708" i="69"/>
  <c r="P708" i="69"/>
  <c r="O708" i="69"/>
  <c r="N708" i="69"/>
  <c r="M708" i="69"/>
  <c r="L708" i="69"/>
  <c r="K708" i="69"/>
  <c r="J708" i="69"/>
  <c r="I708" i="69"/>
  <c r="H708" i="69"/>
  <c r="G708" i="69"/>
  <c r="Q707" i="69"/>
  <c r="P707" i="69"/>
  <c r="O707" i="69"/>
  <c r="N707" i="69"/>
  <c r="M707" i="69"/>
  <c r="L707" i="69"/>
  <c r="K707" i="69"/>
  <c r="J707" i="69"/>
  <c r="I707" i="69"/>
  <c r="H707" i="69"/>
  <c r="G707" i="69"/>
  <c r="Q706" i="69"/>
  <c r="P706" i="69"/>
  <c r="O706" i="69"/>
  <c r="N706" i="69"/>
  <c r="M706" i="69"/>
  <c r="L706" i="69"/>
  <c r="K706" i="69"/>
  <c r="J706" i="69"/>
  <c r="I706" i="69"/>
  <c r="H706" i="69"/>
  <c r="G706" i="69"/>
  <c r="Q705" i="69"/>
  <c r="P705" i="69"/>
  <c r="O705" i="69"/>
  <c r="N705" i="69"/>
  <c r="M705" i="69"/>
  <c r="L705" i="69"/>
  <c r="K705" i="69"/>
  <c r="J705" i="69"/>
  <c r="I705" i="69"/>
  <c r="H705" i="69"/>
  <c r="G705" i="69"/>
  <c r="Q704" i="69"/>
  <c r="P704" i="69"/>
  <c r="O704" i="69"/>
  <c r="N704" i="69"/>
  <c r="M704" i="69"/>
  <c r="L704" i="69"/>
  <c r="K704" i="69"/>
  <c r="J704" i="69"/>
  <c r="I704" i="69"/>
  <c r="H704" i="69"/>
  <c r="G704" i="69"/>
  <c r="Q703" i="69"/>
  <c r="P703" i="69"/>
  <c r="O703" i="69"/>
  <c r="N703" i="69"/>
  <c r="M703" i="69"/>
  <c r="L703" i="69"/>
  <c r="K703" i="69"/>
  <c r="J703" i="69"/>
  <c r="I703" i="69"/>
  <c r="H703" i="69"/>
  <c r="G703" i="69"/>
  <c r="Q702" i="69"/>
  <c r="P702" i="69"/>
  <c r="O702" i="69"/>
  <c r="N702" i="69"/>
  <c r="M702" i="69"/>
  <c r="L702" i="69"/>
  <c r="K702" i="69"/>
  <c r="J702" i="69"/>
  <c r="I702" i="69"/>
  <c r="H702" i="69"/>
  <c r="G702" i="69"/>
  <c r="Q701" i="69"/>
  <c r="P701" i="69"/>
  <c r="O701" i="69"/>
  <c r="N701" i="69"/>
  <c r="M701" i="69"/>
  <c r="L701" i="69"/>
  <c r="K701" i="69"/>
  <c r="J701" i="69"/>
  <c r="I701" i="69"/>
  <c r="H701" i="69"/>
  <c r="G701" i="69"/>
  <c r="Q700" i="69"/>
  <c r="P700" i="69"/>
  <c r="O700" i="69"/>
  <c r="N700" i="69"/>
  <c r="M700" i="69"/>
  <c r="L700" i="69"/>
  <c r="K700" i="69"/>
  <c r="J700" i="69"/>
  <c r="I700" i="69"/>
  <c r="H700" i="69"/>
  <c r="G700" i="69"/>
  <c r="Q699" i="69"/>
  <c r="P699" i="69"/>
  <c r="O699" i="69"/>
  <c r="N699" i="69"/>
  <c r="M699" i="69"/>
  <c r="L699" i="69"/>
  <c r="K699" i="69"/>
  <c r="J699" i="69"/>
  <c r="I699" i="69"/>
  <c r="H699" i="69"/>
  <c r="G699" i="69"/>
  <c r="Q698" i="69"/>
  <c r="P698" i="69"/>
  <c r="O698" i="69"/>
  <c r="N698" i="69"/>
  <c r="M698" i="69"/>
  <c r="L698" i="69"/>
  <c r="K698" i="69"/>
  <c r="J698" i="69"/>
  <c r="I698" i="69"/>
  <c r="H698" i="69"/>
  <c r="G698" i="69"/>
  <c r="Q697" i="69"/>
  <c r="P697" i="69"/>
  <c r="O697" i="69"/>
  <c r="N697" i="69"/>
  <c r="M697" i="69"/>
  <c r="L697" i="69"/>
  <c r="K697" i="69"/>
  <c r="J697" i="69"/>
  <c r="I697" i="69"/>
  <c r="H697" i="69"/>
  <c r="G697" i="69"/>
  <c r="Q696" i="69"/>
  <c r="P696" i="69"/>
  <c r="O696" i="69"/>
  <c r="N696" i="69"/>
  <c r="M696" i="69"/>
  <c r="L696" i="69"/>
  <c r="K696" i="69"/>
  <c r="J696" i="69"/>
  <c r="I696" i="69"/>
  <c r="H696" i="69"/>
  <c r="G696" i="69"/>
  <c r="Q695" i="69"/>
  <c r="P695" i="69"/>
  <c r="O695" i="69"/>
  <c r="N695" i="69"/>
  <c r="M695" i="69"/>
  <c r="L695" i="69"/>
  <c r="K695" i="69"/>
  <c r="J695" i="69"/>
  <c r="I695" i="69"/>
  <c r="H695" i="69"/>
  <c r="G695" i="69"/>
  <c r="Q694" i="69"/>
  <c r="P694" i="69"/>
  <c r="O694" i="69"/>
  <c r="N694" i="69"/>
  <c r="M694" i="69"/>
  <c r="L694" i="69"/>
  <c r="K694" i="69"/>
  <c r="J694" i="69"/>
  <c r="I694" i="69"/>
  <c r="H694" i="69"/>
  <c r="G694" i="69"/>
  <c r="Q693" i="69"/>
  <c r="P693" i="69"/>
  <c r="O693" i="69"/>
  <c r="N693" i="69"/>
  <c r="M693" i="69"/>
  <c r="L693" i="69"/>
  <c r="K693" i="69"/>
  <c r="J693" i="69"/>
  <c r="I693" i="69"/>
  <c r="H693" i="69"/>
  <c r="G693" i="69"/>
  <c r="Q692" i="69"/>
  <c r="P692" i="69"/>
  <c r="O692" i="69"/>
  <c r="N692" i="69"/>
  <c r="M692" i="69"/>
  <c r="L692" i="69"/>
  <c r="K692" i="69"/>
  <c r="J692" i="69"/>
  <c r="I692" i="69"/>
  <c r="H692" i="69"/>
  <c r="G692" i="69"/>
  <c r="Q691" i="69"/>
  <c r="P691" i="69"/>
  <c r="O691" i="69"/>
  <c r="N691" i="69"/>
  <c r="M691" i="69"/>
  <c r="L691" i="69"/>
  <c r="K691" i="69"/>
  <c r="J691" i="69"/>
  <c r="I691" i="69"/>
  <c r="H691" i="69"/>
  <c r="G691" i="69"/>
  <c r="Q690" i="69"/>
  <c r="P690" i="69"/>
  <c r="O690" i="69"/>
  <c r="N690" i="69"/>
  <c r="M690" i="69"/>
  <c r="L690" i="69"/>
  <c r="K690" i="69"/>
  <c r="J690" i="69"/>
  <c r="I690" i="69"/>
  <c r="H690" i="69"/>
  <c r="G690" i="69"/>
  <c r="Q689" i="69"/>
  <c r="P689" i="69"/>
  <c r="O689" i="69"/>
  <c r="N689" i="69"/>
  <c r="M689" i="69"/>
  <c r="L689" i="69"/>
  <c r="K689" i="69"/>
  <c r="J689" i="69"/>
  <c r="I689" i="69"/>
  <c r="H689" i="69"/>
  <c r="G689" i="69"/>
  <c r="Q688" i="69"/>
  <c r="P688" i="69"/>
  <c r="O688" i="69"/>
  <c r="N688" i="69"/>
  <c r="M688" i="69"/>
  <c r="L688" i="69"/>
  <c r="K688" i="69"/>
  <c r="J688" i="69"/>
  <c r="I688" i="69"/>
  <c r="H688" i="69"/>
  <c r="G688" i="69"/>
  <c r="Q687" i="69"/>
  <c r="P687" i="69"/>
  <c r="O687" i="69"/>
  <c r="N687" i="69"/>
  <c r="M687" i="69"/>
  <c r="L687" i="69"/>
  <c r="K687" i="69"/>
  <c r="J687" i="69"/>
  <c r="I687" i="69"/>
  <c r="H687" i="69"/>
  <c r="G687" i="69"/>
  <c r="Q686" i="69"/>
  <c r="P686" i="69"/>
  <c r="O686" i="69"/>
  <c r="N686" i="69"/>
  <c r="M686" i="69"/>
  <c r="L686" i="69"/>
  <c r="K686" i="69"/>
  <c r="J686" i="69"/>
  <c r="I686" i="69"/>
  <c r="H686" i="69"/>
  <c r="G686" i="69"/>
  <c r="Q685" i="69"/>
  <c r="P685" i="69"/>
  <c r="O685" i="69"/>
  <c r="N685" i="69"/>
  <c r="M685" i="69"/>
  <c r="L685" i="69"/>
  <c r="K685" i="69"/>
  <c r="J685" i="69"/>
  <c r="I685" i="69"/>
  <c r="H685" i="69"/>
  <c r="G685" i="69"/>
  <c r="Q684" i="69"/>
  <c r="P684" i="69"/>
  <c r="O684" i="69"/>
  <c r="N684" i="69"/>
  <c r="M684" i="69"/>
  <c r="L684" i="69"/>
  <c r="K684" i="69"/>
  <c r="J684" i="69"/>
  <c r="I684" i="69"/>
  <c r="H684" i="69"/>
  <c r="G684" i="69"/>
  <c r="Q683" i="69"/>
  <c r="P683" i="69"/>
  <c r="O683" i="69"/>
  <c r="N683" i="69"/>
  <c r="M683" i="69"/>
  <c r="L683" i="69"/>
  <c r="K683" i="69"/>
  <c r="J683" i="69"/>
  <c r="I683" i="69"/>
  <c r="H683" i="69"/>
  <c r="G683" i="69"/>
  <c r="Q682" i="69"/>
  <c r="P682" i="69"/>
  <c r="O682" i="69"/>
  <c r="N682" i="69"/>
  <c r="M682" i="69"/>
  <c r="L682" i="69"/>
  <c r="K682" i="69"/>
  <c r="J682" i="69"/>
  <c r="I682" i="69"/>
  <c r="H682" i="69"/>
  <c r="G682" i="69"/>
  <c r="Q681" i="69"/>
  <c r="P681" i="69"/>
  <c r="O681" i="69"/>
  <c r="N681" i="69"/>
  <c r="M681" i="69"/>
  <c r="L681" i="69"/>
  <c r="K681" i="69"/>
  <c r="J681" i="69"/>
  <c r="I681" i="69"/>
  <c r="H681" i="69"/>
  <c r="G681" i="69"/>
  <c r="Q680" i="69"/>
  <c r="P680" i="69"/>
  <c r="O680" i="69"/>
  <c r="N680" i="69"/>
  <c r="M680" i="69"/>
  <c r="L680" i="69"/>
  <c r="K680" i="69"/>
  <c r="J680" i="69"/>
  <c r="I680" i="69"/>
  <c r="H680" i="69"/>
  <c r="G680" i="69"/>
  <c r="Q679" i="69"/>
  <c r="P679" i="69"/>
  <c r="O679" i="69"/>
  <c r="N679" i="69"/>
  <c r="M679" i="69"/>
  <c r="L679" i="69"/>
  <c r="K679" i="69"/>
  <c r="J679" i="69"/>
  <c r="I679" i="69"/>
  <c r="H679" i="69"/>
  <c r="G679" i="69"/>
  <c r="Q678" i="69"/>
  <c r="P678" i="69"/>
  <c r="O678" i="69"/>
  <c r="N678" i="69"/>
  <c r="M678" i="69"/>
  <c r="L678" i="69"/>
  <c r="K678" i="69"/>
  <c r="J678" i="69"/>
  <c r="I678" i="69"/>
  <c r="H678" i="69"/>
  <c r="G678" i="69"/>
  <c r="Q677" i="69"/>
  <c r="P677" i="69"/>
  <c r="O677" i="69"/>
  <c r="N677" i="69"/>
  <c r="M677" i="69"/>
  <c r="L677" i="69"/>
  <c r="K677" i="69"/>
  <c r="J677" i="69"/>
  <c r="I677" i="69"/>
  <c r="H677" i="69"/>
  <c r="G677" i="69"/>
  <c r="Q676" i="69"/>
  <c r="P676" i="69"/>
  <c r="O676" i="69"/>
  <c r="N676" i="69"/>
  <c r="M676" i="69"/>
  <c r="L676" i="69"/>
  <c r="K676" i="69"/>
  <c r="J676" i="69"/>
  <c r="I676" i="69"/>
  <c r="H676" i="69"/>
  <c r="G676" i="69"/>
  <c r="Q675" i="69"/>
  <c r="P675" i="69"/>
  <c r="O675" i="69"/>
  <c r="N675" i="69"/>
  <c r="M675" i="69"/>
  <c r="L675" i="69"/>
  <c r="K675" i="69"/>
  <c r="J675" i="69"/>
  <c r="I675" i="69"/>
  <c r="H675" i="69"/>
  <c r="G675" i="69"/>
  <c r="Q674" i="69"/>
  <c r="P674" i="69"/>
  <c r="O674" i="69"/>
  <c r="N674" i="69"/>
  <c r="M674" i="69"/>
  <c r="L674" i="69"/>
  <c r="K674" i="69"/>
  <c r="J674" i="69"/>
  <c r="I674" i="69"/>
  <c r="H674" i="69"/>
  <c r="G674" i="69"/>
  <c r="Q673" i="69"/>
  <c r="P673" i="69"/>
  <c r="O673" i="69"/>
  <c r="N673" i="69"/>
  <c r="M673" i="69"/>
  <c r="L673" i="69"/>
  <c r="K673" i="69"/>
  <c r="J673" i="69"/>
  <c r="I673" i="69"/>
  <c r="H673" i="69"/>
  <c r="G673" i="69"/>
  <c r="Q672" i="69"/>
  <c r="P672" i="69"/>
  <c r="O672" i="69"/>
  <c r="N672" i="69"/>
  <c r="M672" i="69"/>
  <c r="L672" i="69"/>
  <c r="K672" i="69"/>
  <c r="J672" i="69"/>
  <c r="I672" i="69"/>
  <c r="H672" i="69"/>
  <c r="G672" i="69"/>
  <c r="Q671" i="69"/>
  <c r="P671" i="69"/>
  <c r="O671" i="69"/>
  <c r="N671" i="69"/>
  <c r="M671" i="69"/>
  <c r="L671" i="69"/>
  <c r="K671" i="69"/>
  <c r="J671" i="69"/>
  <c r="I671" i="69"/>
  <c r="H671" i="69"/>
  <c r="G671" i="69"/>
  <c r="Q670" i="69"/>
  <c r="P670" i="69"/>
  <c r="O670" i="69"/>
  <c r="N670" i="69"/>
  <c r="M670" i="69"/>
  <c r="L670" i="69"/>
  <c r="K670" i="69"/>
  <c r="J670" i="69"/>
  <c r="I670" i="69"/>
  <c r="H670" i="69"/>
  <c r="G670" i="69"/>
  <c r="Q669" i="69"/>
  <c r="P669" i="69"/>
  <c r="O669" i="69"/>
  <c r="N669" i="69"/>
  <c r="M669" i="69"/>
  <c r="L669" i="69"/>
  <c r="K669" i="69"/>
  <c r="J669" i="69"/>
  <c r="I669" i="69"/>
  <c r="H669" i="69"/>
  <c r="G669" i="69"/>
  <c r="Q668" i="69"/>
  <c r="P668" i="69"/>
  <c r="O668" i="69"/>
  <c r="N668" i="69"/>
  <c r="M668" i="69"/>
  <c r="L668" i="69"/>
  <c r="K668" i="69"/>
  <c r="J668" i="69"/>
  <c r="I668" i="69"/>
  <c r="H668" i="69"/>
  <c r="G668" i="69"/>
  <c r="Q667" i="69"/>
  <c r="P667" i="69"/>
  <c r="O667" i="69"/>
  <c r="N667" i="69"/>
  <c r="M667" i="69"/>
  <c r="L667" i="69"/>
  <c r="K667" i="69"/>
  <c r="J667" i="69"/>
  <c r="I667" i="69"/>
  <c r="H667" i="69"/>
  <c r="G667" i="69"/>
  <c r="Q666" i="69"/>
  <c r="P666" i="69"/>
  <c r="O666" i="69"/>
  <c r="N666" i="69"/>
  <c r="M666" i="69"/>
  <c r="L666" i="69"/>
  <c r="K666" i="69"/>
  <c r="J666" i="69"/>
  <c r="I666" i="69"/>
  <c r="H666" i="69"/>
  <c r="G666" i="69"/>
  <c r="Q665" i="69"/>
  <c r="P665" i="69"/>
  <c r="O665" i="69"/>
  <c r="N665" i="69"/>
  <c r="M665" i="69"/>
  <c r="L665" i="69"/>
  <c r="K665" i="69"/>
  <c r="J665" i="69"/>
  <c r="I665" i="69"/>
  <c r="H665" i="69"/>
  <c r="G665" i="69"/>
  <c r="Q664" i="69"/>
  <c r="P664" i="69"/>
  <c r="O664" i="69"/>
  <c r="N664" i="69"/>
  <c r="M664" i="69"/>
  <c r="L664" i="69"/>
  <c r="K664" i="69"/>
  <c r="J664" i="69"/>
  <c r="I664" i="69"/>
  <c r="H664" i="69"/>
  <c r="G664" i="69"/>
  <c r="Q663" i="69"/>
  <c r="P663" i="69"/>
  <c r="O663" i="69"/>
  <c r="N663" i="69"/>
  <c r="M663" i="69"/>
  <c r="L663" i="69"/>
  <c r="K663" i="69"/>
  <c r="J663" i="69"/>
  <c r="I663" i="69"/>
  <c r="H663" i="69"/>
  <c r="G663" i="69"/>
  <c r="Q662" i="69"/>
  <c r="P662" i="69"/>
  <c r="O662" i="69"/>
  <c r="N662" i="69"/>
  <c r="M662" i="69"/>
  <c r="L662" i="69"/>
  <c r="K662" i="69"/>
  <c r="J662" i="69"/>
  <c r="I662" i="69"/>
  <c r="H662" i="69"/>
  <c r="G662" i="69"/>
  <c r="Q661" i="69"/>
  <c r="P661" i="69"/>
  <c r="O661" i="69"/>
  <c r="N661" i="69"/>
  <c r="M661" i="69"/>
  <c r="L661" i="69"/>
  <c r="K661" i="69"/>
  <c r="J661" i="69"/>
  <c r="I661" i="69"/>
  <c r="H661" i="69"/>
  <c r="G661" i="69"/>
  <c r="Q660" i="69"/>
  <c r="P660" i="69"/>
  <c r="O660" i="69"/>
  <c r="N660" i="69"/>
  <c r="M660" i="69"/>
  <c r="L660" i="69"/>
  <c r="K660" i="69"/>
  <c r="J660" i="69"/>
  <c r="I660" i="69"/>
  <c r="H660" i="69"/>
  <c r="G660" i="69"/>
  <c r="Q659" i="69"/>
  <c r="P659" i="69"/>
  <c r="O659" i="69"/>
  <c r="N659" i="69"/>
  <c r="M659" i="69"/>
  <c r="L659" i="69"/>
  <c r="K659" i="69"/>
  <c r="J659" i="69"/>
  <c r="I659" i="69"/>
  <c r="H659" i="69"/>
  <c r="G659" i="69"/>
  <c r="Q658" i="69"/>
  <c r="P658" i="69"/>
  <c r="O658" i="69"/>
  <c r="N658" i="69"/>
  <c r="M658" i="69"/>
  <c r="L658" i="69"/>
  <c r="K658" i="69"/>
  <c r="J658" i="69"/>
  <c r="I658" i="69"/>
  <c r="H658" i="69"/>
  <c r="G658" i="69"/>
  <c r="Q657" i="69"/>
  <c r="P657" i="69"/>
  <c r="O657" i="69"/>
  <c r="N657" i="69"/>
  <c r="M657" i="69"/>
  <c r="L657" i="69"/>
  <c r="K657" i="69"/>
  <c r="J657" i="69"/>
  <c r="I657" i="69"/>
  <c r="H657" i="69"/>
  <c r="G657" i="69"/>
  <c r="Q656" i="69"/>
  <c r="P656" i="69"/>
  <c r="O656" i="69"/>
  <c r="N656" i="69"/>
  <c r="M656" i="69"/>
  <c r="L656" i="69"/>
  <c r="K656" i="69"/>
  <c r="J656" i="69"/>
  <c r="I656" i="69"/>
  <c r="H656" i="69"/>
  <c r="G656" i="69"/>
  <c r="Q655" i="69"/>
  <c r="P655" i="69"/>
  <c r="O655" i="69"/>
  <c r="N655" i="69"/>
  <c r="M655" i="69"/>
  <c r="L655" i="69"/>
  <c r="K655" i="69"/>
  <c r="J655" i="69"/>
  <c r="I655" i="69"/>
  <c r="H655" i="69"/>
  <c r="G655" i="69"/>
  <c r="Q654" i="69"/>
  <c r="P654" i="69"/>
  <c r="O654" i="69"/>
  <c r="N654" i="69"/>
  <c r="M654" i="69"/>
  <c r="L654" i="69"/>
  <c r="K654" i="69"/>
  <c r="J654" i="69"/>
  <c r="I654" i="69"/>
  <c r="H654" i="69"/>
  <c r="G654" i="69"/>
  <c r="Q653" i="69"/>
  <c r="P653" i="69"/>
  <c r="O653" i="69"/>
  <c r="N653" i="69"/>
  <c r="M653" i="69"/>
  <c r="L653" i="69"/>
  <c r="K653" i="69"/>
  <c r="J653" i="69"/>
  <c r="I653" i="69"/>
  <c r="H653" i="69"/>
  <c r="G653" i="69"/>
  <c r="Q652" i="69"/>
  <c r="P652" i="69"/>
  <c r="O652" i="69"/>
  <c r="N652" i="69"/>
  <c r="M652" i="69"/>
  <c r="L652" i="69"/>
  <c r="K652" i="69"/>
  <c r="J652" i="69"/>
  <c r="I652" i="69"/>
  <c r="H652" i="69"/>
  <c r="G652" i="69"/>
  <c r="Q651" i="69"/>
  <c r="P651" i="69"/>
  <c r="O651" i="69"/>
  <c r="N651" i="69"/>
  <c r="M651" i="69"/>
  <c r="L651" i="69"/>
  <c r="K651" i="69"/>
  <c r="J651" i="69"/>
  <c r="I651" i="69"/>
  <c r="H651" i="69"/>
  <c r="G651" i="69"/>
  <c r="Q650" i="69"/>
  <c r="P650" i="69"/>
  <c r="O650" i="69"/>
  <c r="N650" i="69"/>
  <c r="M650" i="69"/>
  <c r="L650" i="69"/>
  <c r="K650" i="69"/>
  <c r="J650" i="69"/>
  <c r="I650" i="69"/>
  <c r="H650" i="69"/>
  <c r="G650" i="69"/>
  <c r="Q649" i="69"/>
  <c r="P649" i="69"/>
  <c r="O649" i="69"/>
  <c r="N649" i="69"/>
  <c r="M649" i="69"/>
  <c r="L649" i="69"/>
  <c r="K649" i="69"/>
  <c r="J649" i="69"/>
  <c r="I649" i="69"/>
  <c r="H649" i="69"/>
  <c r="G649" i="69"/>
  <c r="Q648" i="69"/>
  <c r="P648" i="69"/>
  <c r="O648" i="69"/>
  <c r="N648" i="69"/>
  <c r="M648" i="69"/>
  <c r="L648" i="69"/>
  <c r="K648" i="69"/>
  <c r="J648" i="69"/>
  <c r="I648" i="69"/>
  <c r="H648" i="69"/>
  <c r="G648" i="69"/>
  <c r="Q647" i="69"/>
  <c r="P647" i="69"/>
  <c r="O647" i="69"/>
  <c r="N647" i="69"/>
  <c r="M647" i="69"/>
  <c r="L647" i="69"/>
  <c r="K647" i="69"/>
  <c r="J647" i="69"/>
  <c r="I647" i="69"/>
  <c r="H647" i="69"/>
  <c r="G647" i="69"/>
  <c r="Q646" i="69"/>
  <c r="P646" i="69"/>
  <c r="O646" i="69"/>
  <c r="N646" i="69"/>
  <c r="M646" i="69"/>
  <c r="L646" i="69"/>
  <c r="K646" i="69"/>
  <c r="J646" i="69"/>
  <c r="I646" i="69"/>
  <c r="H646" i="69"/>
  <c r="G646" i="69"/>
  <c r="Q645" i="69"/>
  <c r="P645" i="69"/>
  <c r="O645" i="69"/>
  <c r="N645" i="69"/>
  <c r="M645" i="69"/>
  <c r="L645" i="69"/>
  <c r="K645" i="69"/>
  <c r="J645" i="69"/>
  <c r="I645" i="69"/>
  <c r="H645" i="69"/>
  <c r="G645" i="69"/>
  <c r="Q644" i="69"/>
  <c r="P644" i="69"/>
  <c r="O644" i="69"/>
  <c r="N644" i="69"/>
  <c r="M644" i="69"/>
  <c r="L644" i="69"/>
  <c r="K644" i="69"/>
  <c r="J644" i="69"/>
  <c r="I644" i="69"/>
  <c r="H644" i="69"/>
  <c r="G644" i="69"/>
  <c r="Q643" i="69"/>
  <c r="P643" i="69"/>
  <c r="O643" i="69"/>
  <c r="N643" i="69"/>
  <c r="M643" i="69"/>
  <c r="L643" i="69"/>
  <c r="K643" i="69"/>
  <c r="J643" i="69"/>
  <c r="I643" i="69"/>
  <c r="H643" i="69"/>
  <c r="G643" i="69"/>
  <c r="Q642" i="69"/>
  <c r="P642" i="69"/>
  <c r="O642" i="69"/>
  <c r="N642" i="69"/>
  <c r="M642" i="69"/>
  <c r="L642" i="69"/>
  <c r="K642" i="69"/>
  <c r="J642" i="69"/>
  <c r="I642" i="69"/>
  <c r="H642" i="69"/>
  <c r="G642" i="69"/>
  <c r="Q641" i="69"/>
  <c r="P641" i="69"/>
  <c r="O641" i="69"/>
  <c r="N641" i="69"/>
  <c r="M641" i="69"/>
  <c r="L641" i="69"/>
  <c r="K641" i="69"/>
  <c r="J641" i="69"/>
  <c r="I641" i="69"/>
  <c r="H641" i="69"/>
  <c r="G641" i="69"/>
  <c r="Q640" i="69"/>
  <c r="P640" i="69"/>
  <c r="O640" i="69"/>
  <c r="N640" i="69"/>
  <c r="M640" i="69"/>
  <c r="L640" i="69"/>
  <c r="K640" i="69"/>
  <c r="J640" i="69"/>
  <c r="I640" i="69"/>
  <c r="H640" i="69"/>
  <c r="G640" i="69"/>
  <c r="Q639" i="69"/>
  <c r="P639" i="69"/>
  <c r="O639" i="69"/>
  <c r="N639" i="69"/>
  <c r="M639" i="69"/>
  <c r="L639" i="69"/>
  <c r="K639" i="69"/>
  <c r="J639" i="69"/>
  <c r="I639" i="69"/>
  <c r="H639" i="69"/>
  <c r="G639" i="69"/>
  <c r="Q638" i="69"/>
  <c r="P638" i="69"/>
  <c r="O638" i="69"/>
  <c r="N638" i="69"/>
  <c r="M638" i="69"/>
  <c r="L638" i="69"/>
  <c r="K638" i="69"/>
  <c r="J638" i="69"/>
  <c r="I638" i="69"/>
  <c r="H638" i="69"/>
  <c r="G638" i="69"/>
  <c r="Q637" i="69"/>
  <c r="P637" i="69"/>
  <c r="O637" i="69"/>
  <c r="N637" i="69"/>
  <c r="M637" i="69"/>
  <c r="L637" i="69"/>
  <c r="K637" i="69"/>
  <c r="J637" i="69"/>
  <c r="I637" i="69"/>
  <c r="H637" i="69"/>
  <c r="G637" i="69"/>
  <c r="Q636" i="69"/>
  <c r="P636" i="69"/>
  <c r="O636" i="69"/>
  <c r="N636" i="69"/>
  <c r="M636" i="69"/>
  <c r="L636" i="69"/>
  <c r="K636" i="69"/>
  <c r="J636" i="69"/>
  <c r="I636" i="69"/>
  <c r="H636" i="69"/>
  <c r="G636" i="69"/>
  <c r="Q635" i="69"/>
  <c r="P635" i="69"/>
  <c r="O635" i="69"/>
  <c r="N635" i="69"/>
  <c r="M635" i="69"/>
  <c r="L635" i="69"/>
  <c r="K635" i="69"/>
  <c r="J635" i="69"/>
  <c r="I635" i="69"/>
  <c r="H635" i="69"/>
  <c r="G635" i="69"/>
  <c r="Q634" i="69"/>
  <c r="P634" i="69"/>
  <c r="O634" i="69"/>
  <c r="N634" i="69"/>
  <c r="M634" i="69"/>
  <c r="L634" i="69"/>
  <c r="K634" i="69"/>
  <c r="J634" i="69"/>
  <c r="I634" i="69"/>
  <c r="H634" i="69"/>
  <c r="G634" i="69"/>
  <c r="Q633" i="69"/>
  <c r="P633" i="69"/>
  <c r="O633" i="69"/>
  <c r="N633" i="69"/>
  <c r="M633" i="69"/>
  <c r="L633" i="69"/>
  <c r="K633" i="69"/>
  <c r="J633" i="69"/>
  <c r="I633" i="69"/>
  <c r="H633" i="69"/>
  <c r="G633" i="69"/>
  <c r="Q632" i="69"/>
  <c r="P632" i="69"/>
  <c r="O632" i="69"/>
  <c r="N632" i="69"/>
  <c r="M632" i="69"/>
  <c r="L632" i="69"/>
  <c r="K632" i="69"/>
  <c r="J632" i="69"/>
  <c r="I632" i="69"/>
  <c r="H632" i="69"/>
  <c r="G632" i="69"/>
  <c r="Q631" i="69"/>
  <c r="P631" i="69"/>
  <c r="O631" i="69"/>
  <c r="N631" i="69"/>
  <c r="M631" i="69"/>
  <c r="L631" i="69"/>
  <c r="K631" i="69"/>
  <c r="J631" i="69"/>
  <c r="I631" i="69"/>
  <c r="H631" i="69"/>
  <c r="G631" i="69"/>
  <c r="Q630" i="69"/>
  <c r="P630" i="69"/>
  <c r="O630" i="69"/>
  <c r="N630" i="69"/>
  <c r="M630" i="69"/>
  <c r="L630" i="69"/>
  <c r="K630" i="69"/>
  <c r="J630" i="69"/>
  <c r="I630" i="69"/>
  <c r="H630" i="69"/>
  <c r="G630" i="69"/>
  <c r="Q629" i="69"/>
  <c r="P629" i="69"/>
  <c r="O629" i="69"/>
  <c r="N629" i="69"/>
  <c r="M629" i="69"/>
  <c r="L629" i="69"/>
  <c r="K629" i="69"/>
  <c r="J629" i="69"/>
  <c r="I629" i="69"/>
  <c r="H629" i="69"/>
  <c r="G629" i="69"/>
  <c r="Q628" i="69"/>
  <c r="P628" i="69"/>
  <c r="O628" i="69"/>
  <c r="N628" i="69"/>
  <c r="M628" i="69"/>
  <c r="L628" i="69"/>
  <c r="K628" i="69"/>
  <c r="J628" i="69"/>
  <c r="I628" i="69"/>
  <c r="H628" i="69"/>
  <c r="G628" i="69"/>
  <c r="Q627" i="69"/>
  <c r="P627" i="69"/>
  <c r="O627" i="69"/>
  <c r="N627" i="69"/>
  <c r="M627" i="69"/>
  <c r="L627" i="69"/>
  <c r="K627" i="69"/>
  <c r="J627" i="69"/>
  <c r="I627" i="69"/>
  <c r="H627" i="69"/>
  <c r="G627" i="69"/>
  <c r="Q626" i="69"/>
  <c r="P626" i="69"/>
  <c r="O626" i="69"/>
  <c r="N626" i="69"/>
  <c r="M626" i="69"/>
  <c r="L626" i="69"/>
  <c r="K626" i="69"/>
  <c r="J626" i="69"/>
  <c r="I626" i="69"/>
  <c r="H626" i="69"/>
  <c r="G626" i="69"/>
  <c r="Q625" i="69"/>
  <c r="P625" i="69"/>
  <c r="O625" i="69"/>
  <c r="N625" i="69"/>
  <c r="M625" i="69"/>
  <c r="L625" i="69"/>
  <c r="K625" i="69"/>
  <c r="J625" i="69"/>
  <c r="I625" i="69"/>
  <c r="H625" i="69"/>
  <c r="G625" i="69"/>
  <c r="Q624" i="69"/>
  <c r="P624" i="69"/>
  <c r="O624" i="69"/>
  <c r="N624" i="69"/>
  <c r="M624" i="69"/>
  <c r="L624" i="69"/>
  <c r="K624" i="69"/>
  <c r="J624" i="69"/>
  <c r="I624" i="69"/>
  <c r="H624" i="69"/>
  <c r="G624" i="69"/>
  <c r="Q623" i="69"/>
  <c r="P623" i="69"/>
  <c r="O623" i="69"/>
  <c r="N623" i="69"/>
  <c r="M623" i="69"/>
  <c r="L623" i="69"/>
  <c r="K623" i="69"/>
  <c r="J623" i="69"/>
  <c r="I623" i="69"/>
  <c r="H623" i="69"/>
  <c r="G623" i="69"/>
  <c r="Q622" i="69"/>
  <c r="P622" i="69"/>
  <c r="O622" i="69"/>
  <c r="N622" i="69"/>
  <c r="M622" i="69"/>
  <c r="L622" i="69"/>
  <c r="K622" i="69"/>
  <c r="J622" i="69"/>
  <c r="I622" i="69"/>
  <c r="H622" i="69"/>
  <c r="G622" i="69"/>
  <c r="Q621" i="69"/>
  <c r="P621" i="69"/>
  <c r="O621" i="69"/>
  <c r="N621" i="69"/>
  <c r="M621" i="69"/>
  <c r="L621" i="69"/>
  <c r="K621" i="69"/>
  <c r="J621" i="69"/>
  <c r="I621" i="69"/>
  <c r="H621" i="69"/>
  <c r="G621" i="69"/>
  <c r="Q620" i="69"/>
  <c r="P620" i="69"/>
  <c r="O620" i="69"/>
  <c r="N620" i="69"/>
  <c r="M620" i="69"/>
  <c r="L620" i="69"/>
  <c r="K620" i="69"/>
  <c r="J620" i="69"/>
  <c r="I620" i="69"/>
  <c r="H620" i="69"/>
  <c r="G620" i="69"/>
  <c r="Q619" i="69"/>
  <c r="P619" i="69"/>
  <c r="O619" i="69"/>
  <c r="N619" i="69"/>
  <c r="M619" i="69"/>
  <c r="L619" i="69"/>
  <c r="K619" i="69"/>
  <c r="J619" i="69"/>
  <c r="I619" i="69"/>
  <c r="H619" i="69"/>
  <c r="G619" i="69"/>
  <c r="Q618" i="69"/>
  <c r="P618" i="69"/>
  <c r="O618" i="69"/>
  <c r="N618" i="69"/>
  <c r="M618" i="69"/>
  <c r="L618" i="69"/>
  <c r="K618" i="69"/>
  <c r="J618" i="69"/>
  <c r="I618" i="69"/>
  <c r="H618" i="69"/>
  <c r="G618" i="69"/>
  <c r="Q617" i="69"/>
  <c r="P617" i="69"/>
  <c r="O617" i="69"/>
  <c r="N617" i="69"/>
  <c r="M617" i="69"/>
  <c r="L617" i="69"/>
  <c r="K617" i="69"/>
  <c r="J617" i="69"/>
  <c r="I617" i="69"/>
  <c r="H617" i="69"/>
  <c r="G617" i="69"/>
  <c r="Q616" i="69"/>
  <c r="P616" i="69"/>
  <c r="O616" i="69"/>
  <c r="N616" i="69"/>
  <c r="M616" i="69"/>
  <c r="L616" i="69"/>
  <c r="K616" i="69"/>
  <c r="J616" i="69"/>
  <c r="I616" i="69"/>
  <c r="H616" i="69"/>
  <c r="G616" i="69"/>
  <c r="Q615" i="69"/>
  <c r="P615" i="69"/>
  <c r="O615" i="69"/>
  <c r="N615" i="69"/>
  <c r="M615" i="69"/>
  <c r="L615" i="69"/>
  <c r="K615" i="69"/>
  <c r="J615" i="69"/>
  <c r="I615" i="69"/>
  <c r="H615" i="69"/>
  <c r="G615" i="69"/>
  <c r="Q614" i="69"/>
  <c r="P614" i="69"/>
  <c r="O614" i="69"/>
  <c r="N614" i="69"/>
  <c r="M614" i="69"/>
  <c r="L614" i="69"/>
  <c r="K614" i="69"/>
  <c r="J614" i="69"/>
  <c r="I614" i="69"/>
  <c r="H614" i="69"/>
  <c r="G614" i="69"/>
  <c r="Q613" i="69"/>
  <c r="P613" i="69"/>
  <c r="O613" i="69"/>
  <c r="N613" i="69"/>
  <c r="M613" i="69"/>
  <c r="L613" i="69"/>
  <c r="K613" i="69"/>
  <c r="J613" i="69"/>
  <c r="I613" i="69"/>
  <c r="H613" i="69"/>
  <c r="G613" i="69"/>
  <c r="Q612" i="69"/>
  <c r="P612" i="69"/>
  <c r="O612" i="69"/>
  <c r="N612" i="69"/>
  <c r="M612" i="69"/>
  <c r="L612" i="69"/>
  <c r="K612" i="69"/>
  <c r="J612" i="69"/>
  <c r="I612" i="69"/>
  <c r="H612" i="69"/>
  <c r="G612" i="69"/>
  <c r="Q611" i="69"/>
  <c r="P611" i="69"/>
  <c r="O611" i="69"/>
  <c r="N611" i="69"/>
  <c r="M611" i="69"/>
  <c r="L611" i="69"/>
  <c r="K611" i="69"/>
  <c r="J611" i="69"/>
  <c r="I611" i="69"/>
  <c r="H611" i="69"/>
  <c r="G611" i="69"/>
  <c r="Q610" i="69"/>
  <c r="P610" i="69"/>
  <c r="O610" i="69"/>
  <c r="N610" i="69"/>
  <c r="M610" i="69"/>
  <c r="L610" i="69"/>
  <c r="K610" i="69"/>
  <c r="J610" i="69"/>
  <c r="I610" i="69"/>
  <c r="H610" i="69"/>
  <c r="G610" i="69"/>
  <c r="Q609" i="69"/>
  <c r="P609" i="69"/>
  <c r="O609" i="69"/>
  <c r="N609" i="69"/>
  <c r="M609" i="69"/>
  <c r="L609" i="69"/>
  <c r="K609" i="69"/>
  <c r="J609" i="69"/>
  <c r="I609" i="69"/>
  <c r="H609" i="69"/>
  <c r="G609" i="69"/>
  <c r="Q608" i="69"/>
  <c r="P608" i="69"/>
  <c r="O608" i="69"/>
  <c r="N608" i="69"/>
  <c r="M608" i="69"/>
  <c r="L608" i="69"/>
  <c r="K608" i="69"/>
  <c r="J608" i="69"/>
  <c r="I608" i="69"/>
  <c r="H608" i="69"/>
  <c r="G608" i="69"/>
  <c r="Q607" i="69"/>
  <c r="P607" i="69"/>
  <c r="O607" i="69"/>
  <c r="N607" i="69"/>
  <c r="M607" i="69"/>
  <c r="L607" i="69"/>
  <c r="K607" i="69"/>
  <c r="J607" i="69"/>
  <c r="I607" i="69"/>
  <c r="H607" i="69"/>
  <c r="G607" i="69"/>
  <c r="Q606" i="69"/>
  <c r="P606" i="69"/>
  <c r="O606" i="69"/>
  <c r="N606" i="69"/>
  <c r="M606" i="69"/>
  <c r="L606" i="69"/>
  <c r="K606" i="69"/>
  <c r="J606" i="69"/>
  <c r="I606" i="69"/>
  <c r="H606" i="69"/>
  <c r="G606" i="69"/>
  <c r="Q605" i="69"/>
  <c r="P605" i="69"/>
  <c r="O605" i="69"/>
  <c r="N605" i="69"/>
  <c r="M605" i="69"/>
  <c r="L605" i="69"/>
  <c r="K605" i="69"/>
  <c r="J605" i="69"/>
  <c r="I605" i="69"/>
  <c r="H605" i="69"/>
  <c r="G605" i="69"/>
  <c r="Q604" i="69"/>
  <c r="P604" i="69"/>
  <c r="O604" i="69"/>
  <c r="N604" i="69"/>
  <c r="M604" i="69"/>
  <c r="L604" i="69"/>
  <c r="K604" i="69"/>
  <c r="J604" i="69"/>
  <c r="I604" i="69"/>
  <c r="H604" i="69"/>
  <c r="G604" i="69"/>
  <c r="Q603" i="69"/>
  <c r="P603" i="69"/>
  <c r="O603" i="69"/>
  <c r="N603" i="69"/>
  <c r="M603" i="69"/>
  <c r="L603" i="69"/>
  <c r="K603" i="69"/>
  <c r="J603" i="69"/>
  <c r="I603" i="69"/>
  <c r="H603" i="69"/>
  <c r="G603" i="69"/>
  <c r="Q602" i="69"/>
  <c r="P602" i="69"/>
  <c r="O602" i="69"/>
  <c r="N602" i="69"/>
  <c r="M602" i="69"/>
  <c r="L602" i="69"/>
  <c r="K602" i="69"/>
  <c r="J602" i="69"/>
  <c r="I602" i="69"/>
  <c r="H602" i="69"/>
  <c r="G602" i="69"/>
  <c r="Q601" i="69"/>
  <c r="P601" i="69"/>
  <c r="O601" i="69"/>
  <c r="N601" i="69"/>
  <c r="M601" i="69"/>
  <c r="L601" i="69"/>
  <c r="K601" i="69"/>
  <c r="J601" i="69"/>
  <c r="I601" i="69"/>
  <c r="H601" i="69"/>
  <c r="G601" i="69"/>
  <c r="Q600" i="69"/>
  <c r="P600" i="69"/>
  <c r="O600" i="69"/>
  <c r="N600" i="69"/>
  <c r="M600" i="69"/>
  <c r="L600" i="69"/>
  <c r="K600" i="69"/>
  <c r="J600" i="69"/>
  <c r="I600" i="69"/>
  <c r="H600" i="69"/>
  <c r="G600" i="69"/>
  <c r="Q599" i="69"/>
  <c r="P599" i="69"/>
  <c r="O599" i="69"/>
  <c r="N599" i="69"/>
  <c r="M599" i="69"/>
  <c r="L599" i="69"/>
  <c r="K599" i="69"/>
  <c r="J599" i="69"/>
  <c r="I599" i="69"/>
  <c r="H599" i="69"/>
  <c r="G599" i="69"/>
  <c r="Q598" i="69"/>
  <c r="P598" i="69"/>
  <c r="O598" i="69"/>
  <c r="N598" i="69"/>
  <c r="M598" i="69"/>
  <c r="L598" i="69"/>
  <c r="K598" i="69"/>
  <c r="J598" i="69"/>
  <c r="I598" i="69"/>
  <c r="H598" i="69"/>
  <c r="G598" i="69"/>
  <c r="Q597" i="69"/>
  <c r="P597" i="69"/>
  <c r="O597" i="69"/>
  <c r="N597" i="69"/>
  <c r="M597" i="69"/>
  <c r="L597" i="69"/>
  <c r="K597" i="69"/>
  <c r="J597" i="69"/>
  <c r="I597" i="69"/>
  <c r="H597" i="69"/>
  <c r="G597" i="69"/>
  <c r="Q596" i="69"/>
  <c r="P596" i="69"/>
  <c r="O596" i="69"/>
  <c r="N596" i="69"/>
  <c r="M596" i="69"/>
  <c r="L596" i="69"/>
  <c r="K596" i="69"/>
  <c r="J596" i="69"/>
  <c r="I596" i="69"/>
  <c r="H596" i="69"/>
  <c r="G596" i="69"/>
  <c r="Q595" i="69"/>
  <c r="P595" i="69"/>
  <c r="O595" i="69"/>
  <c r="N595" i="69"/>
  <c r="M595" i="69"/>
  <c r="L595" i="69"/>
  <c r="K595" i="69"/>
  <c r="J595" i="69"/>
  <c r="I595" i="69"/>
  <c r="H595" i="69"/>
  <c r="G595" i="69"/>
  <c r="Q594" i="69"/>
  <c r="P594" i="69"/>
  <c r="O594" i="69"/>
  <c r="N594" i="69"/>
  <c r="M594" i="69"/>
  <c r="L594" i="69"/>
  <c r="K594" i="69"/>
  <c r="J594" i="69"/>
  <c r="I594" i="69"/>
  <c r="H594" i="69"/>
  <c r="G594" i="69"/>
  <c r="Q593" i="69"/>
  <c r="P593" i="69"/>
  <c r="O593" i="69"/>
  <c r="N593" i="69"/>
  <c r="M593" i="69"/>
  <c r="L593" i="69"/>
  <c r="K593" i="69"/>
  <c r="J593" i="69"/>
  <c r="I593" i="69"/>
  <c r="H593" i="69"/>
  <c r="G593" i="69"/>
  <c r="Q592" i="69"/>
  <c r="P592" i="69"/>
  <c r="O592" i="69"/>
  <c r="N592" i="69"/>
  <c r="M592" i="69"/>
  <c r="L592" i="69"/>
  <c r="K592" i="69"/>
  <c r="J592" i="69"/>
  <c r="I592" i="69"/>
  <c r="H592" i="69"/>
  <c r="G592" i="69"/>
  <c r="Q591" i="69"/>
  <c r="P591" i="69"/>
  <c r="O591" i="69"/>
  <c r="N591" i="69"/>
  <c r="M591" i="69"/>
  <c r="L591" i="69"/>
  <c r="K591" i="69"/>
  <c r="J591" i="69"/>
  <c r="I591" i="69"/>
  <c r="H591" i="69"/>
  <c r="G591" i="69"/>
  <c r="Q590" i="69"/>
  <c r="P590" i="69"/>
  <c r="O590" i="69"/>
  <c r="N590" i="69"/>
  <c r="M590" i="69"/>
  <c r="L590" i="69"/>
  <c r="K590" i="69"/>
  <c r="J590" i="69"/>
  <c r="I590" i="69"/>
  <c r="H590" i="69"/>
  <c r="G590" i="69"/>
  <c r="Q589" i="69"/>
  <c r="P589" i="69"/>
  <c r="O589" i="69"/>
  <c r="N589" i="69"/>
  <c r="M589" i="69"/>
  <c r="L589" i="69"/>
  <c r="K589" i="69"/>
  <c r="J589" i="69"/>
  <c r="I589" i="69"/>
  <c r="H589" i="69"/>
  <c r="G589" i="69"/>
  <c r="Q588" i="69"/>
  <c r="P588" i="69"/>
  <c r="O588" i="69"/>
  <c r="N588" i="69"/>
  <c r="M588" i="69"/>
  <c r="L588" i="69"/>
  <c r="K588" i="69"/>
  <c r="J588" i="69"/>
  <c r="I588" i="69"/>
  <c r="H588" i="69"/>
  <c r="G588" i="69"/>
  <c r="Q587" i="69"/>
  <c r="P587" i="69"/>
  <c r="O587" i="69"/>
  <c r="N587" i="69"/>
  <c r="M587" i="69"/>
  <c r="L587" i="69"/>
  <c r="K587" i="69"/>
  <c r="J587" i="69"/>
  <c r="I587" i="69"/>
  <c r="H587" i="69"/>
  <c r="G587" i="69"/>
  <c r="Q586" i="69"/>
  <c r="P586" i="69"/>
  <c r="O586" i="69"/>
  <c r="N586" i="69"/>
  <c r="M586" i="69"/>
  <c r="L586" i="69"/>
  <c r="K586" i="69"/>
  <c r="J586" i="69"/>
  <c r="I586" i="69"/>
  <c r="H586" i="69"/>
  <c r="G586" i="69"/>
  <c r="Q585" i="69"/>
  <c r="P585" i="69"/>
  <c r="O585" i="69"/>
  <c r="N585" i="69"/>
  <c r="M585" i="69"/>
  <c r="L585" i="69"/>
  <c r="K585" i="69"/>
  <c r="J585" i="69"/>
  <c r="I585" i="69"/>
  <c r="H585" i="69"/>
  <c r="G585" i="69"/>
  <c r="Q584" i="69"/>
  <c r="P584" i="69"/>
  <c r="O584" i="69"/>
  <c r="N584" i="69"/>
  <c r="M584" i="69"/>
  <c r="L584" i="69"/>
  <c r="K584" i="69"/>
  <c r="J584" i="69"/>
  <c r="I584" i="69"/>
  <c r="H584" i="69"/>
  <c r="G584" i="69"/>
  <c r="Q583" i="69"/>
  <c r="P583" i="69"/>
  <c r="O583" i="69"/>
  <c r="N583" i="69"/>
  <c r="M583" i="69"/>
  <c r="L583" i="69"/>
  <c r="K583" i="69"/>
  <c r="J583" i="69"/>
  <c r="I583" i="69"/>
  <c r="H583" i="69"/>
  <c r="G583" i="69"/>
  <c r="Q582" i="69"/>
  <c r="P582" i="69"/>
  <c r="O582" i="69"/>
  <c r="N582" i="69"/>
  <c r="M582" i="69"/>
  <c r="L582" i="69"/>
  <c r="K582" i="69"/>
  <c r="J582" i="69"/>
  <c r="I582" i="69"/>
  <c r="H582" i="69"/>
  <c r="G582" i="69"/>
  <c r="Q581" i="69"/>
  <c r="P581" i="69"/>
  <c r="O581" i="69"/>
  <c r="N581" i="69"/>
  <c r="M581" i="69"/>
  <c r="L581" i="69"/>
  <c r="K581" i="69"/>
  <c r="J581" i="69"/>
  <c r="I581" i="69"/>
  <c r="H581" i="69"/>
  <c r="G581" i="69"/>
  <c r="Q580" i="69"/>
  <c r="P580" i="69"/>
  <c r="O580" i="69"/>
  <c r="N580" i="69"/>
  <c r="M580" i="69"/>
  <c r="L580" i="69"/>
  <c r="K580" i="69"/>
  <c r="J580" i="69"/>
  <c r="I580" i="69"/>
  <c r="H580" i="69"/>
  <c r="G580" i="69"/>
  <c r="Q579" i="69"/>
  <c r="P579" i="69"/>
  <c r="O579" i="69"/>
  <c r="N579" i="69"/>
  <c r="M579" i="69"/>
  <c r="L579" i="69"/>
  <c r="K579" i="69"/>
  <c r="J579" i="69"/>
  <c r="I579" i="69"/>
  <c r="H579" i="69"/>
  <c r="G579" i="69"/>
  <c r="Q578" i="69"/>
  <c r="P578" i="69"/>
  <c r="O578" i="69"/>
  <c r="N578" i="69"/>
  <c r="M578" i="69"/>
  <c r="L578" i="69"/>
  <c r="K578" i="69"/>
  <c r="J578" i="69"/>
  <c r="I578" i="69"/>
  <c r="H578" i="69"/>
  <c r="G578" i="69"/>
  <c r="Q577" i="69"/>
  <c r="P577" i="69"/>
  <c r="O577" i="69"/>
  <c r="N577" i="69"/>
  <c r="M577" i="69"/>
  <c r="L577" i="69"/>
  <c r="K577" i="69"/>
  <c r="J577" i="69"/>
  <c r="I577" i="69"/>
  <c r="H577" i="69"/>
  <c r="G577" i="69"/>
  <c r="Q576" i="69"/>
  <c r="P576" i="69"/>
  <c r="O576" i="69"/>
  <c r="N576" i="69"/>
  <c r="M576" i="69"/>
  <c r="L576" i="69"/>
  <c r="K576" i="69"/>
  <c r="J576" i="69"/>
  <c r="I576" i="69"/>
  <c r="H576" i="69"/>
  <c r="G576" i="69"/>
  <c r="Q575" i="69"/>
  <c r="P575" i="69"/>
  <c r="O575" i="69"/>
  <c r="N575" i="69"/>
  <c r="M575" i="69"/>
  <c r="L575" i="69"/>
  <c r="K575" i="69"/>
  <c r="J575" i="69"/>
  <c r="I575" i="69"/>
  <c r="H575" i="69"/>
  <c r="G575" i="69"/>
  <c r="Q574" i="69"/>
  <c r="P574" i="69"/>
  <c r="O574" i="69"/>
  <c r="N574" i="69"/>
  <c r="M574" i="69"/>
  <c r="L574" i="69"/>
  <c r="K574" i="69"/>
  <c r="J574" i="69"/>
  <c r="I574" i="69"/>
  <c r="H574" i="69"/>
  <c r="G574" i="69"/>
  <c r="Q573" i="69"/>
  <c r="P573" i="69"/>
  <c r="O573" i="69"/>
  <c r="N573" i="69"/>
  <c r="M573" i="69"/>
  <c r="L573" i="69"/>
  <c r="K573" i="69"/>
  <c r="J573" i="69"/>
  <c r="I573" i="69"/>
  <c r="H573" i="69"/>
  <c r="G573" i="69"/>
  <c r="Q572" i="69"/>
  <c r="P572" i="69"/>
  <c r="O572" i="69"/>
  <c r="N572" i="69"/>
  <c r="M572" i="69"/>
  <c r="L572" i="69"/>
  <c r="K572" i="69"/>
  <c r="J572" i="69"/>
  <c r="I572" i="69"/>
  <c r="H572" i="69"/>
  <c r="G572" i="69"/>
  <c r="Q571" i="69"/>
  <c r="P571" i="69"/>
  <c r="O571" i="69"/>
  <c r="N571" i="69"/>
  <c r="M571" i="69"/>
  <c r="L571" i="69"/>
  <c r="K571" i="69"/>
  <c r="J571" i="69"/>
  <c r="I571" i="69"/>
  <c r="H571" i="69"/>
  <c r="G571" i="69"/>
  <c r="Q570" i="69"/>
  <c r="P570" i="69"/>
  <c r="O570" i="69"/>
  <c r="N570" i="69"/>
  <c r="M570" i="69"/>
  <c r="L570" i="69"/>
  <c r="K570" i="69"/>
  <c r="J570" i="69"/>
  <c r="I570" i="69"/>
  <c r="H570" i="69"/>
  <c r="G570" i="69"/>
  <c r="Q569" i="69"/>
  <c r="P569" i="69"/>
  <c r="O569" i="69"/>
  <c r="N569" i="69"/>
  <c r="M569" i="69"/>
  <c r="L569" i="69"/>
  <c r="K569" i="69"/>
  <c r="J569" i="69"/>
  <c r="I569" i="69"/>
  <c r="H569" i="69"/>
  <c r="G569" i="69"/>
  <c r="Q568" i="69"/>
  <c r="P568" i="69"/>
  <c r="O568" i="69"/>
  <c r="N568" i="69"/>
  <c r="M568" i="69"/>
  <c r="L568" i="69"/>
  <c r="K568" i="69"/>
  <c r="J568" i="69"/>
  <c r="I568" i="69"/>
  <c r="H568" i="69"/>
  <c r="G568" i="69"/>
  <c r="Q567" i="69"/>
  <c r="P567" i="69"/>
  <c r="O567" i="69"/>
  <c r="N567" i="69"/>
  <c r="M567" i="69"/>
  <c r="L567" i="69"/>
  <c r="K567" i="69"/>
  <c r="J567" i="69"/>
  <c r="I567" i="69"/>
  <c r="H567" i="69"/>
  <c r="G567" i="69"/>
  <c r="Q566" i="69"/>
  <c r="P566" i="69"/>
  <c r="O566" i="69"/>
  <c r="N566" i="69"/>
  <c r="M566" i="69"/>
  <c r="L566" i="69"/>
  <c r="K566" i="69"/>
  <c r="J566" i="69"/>
  <c r="I566" i="69"/>
  <c r="H566" i="69"/>
  <c r="G566" i="69"/>
  <c r="Q565" i="69"/>
  <c r="P565" i="69"/>
  <c r="O565" i="69"/>
  <c r="N565" i="69"/>
  <c r="M565" i="69"/>
  <c r="L565" i="69"/>
  <c r="K565" i="69"/>
  <c r="J565" i="69"/>
  <c r="I565" i="69"/>
  <c r="H565" i="69"/>
  <c r="G565" i="69"/>
  <c r="Q564" i="69"/>
  <c r="P564" i="69"/>
  <c r="O564" i="69"/>
  <c r="N564" i="69"/>
  <c r="M564" i="69"/>
  <c r="L564" i="69"/>
  <c r="K564" i="69"/>
  <c r="J564" i="69"/>
  <c r="I564" i="69"/>
  <c r="H564" i="69"/>
  <c r="G564" i="69"/>
  <c r="Q563" i="69"/>
  <c r="P563" i="69"/>
  <c r="O563" i="69"/>
  <c r="N563" i="69"/>
  <c r="M563" i="69"/>
  <c r="L563" i="69"/>
  <c r="K563" i="69"/>
  <c r="J563" i="69"/>
  <c r="I563" i="69"/>
  <c r="H563" i="69"/>
  <c r="G563" i="69"/>
  <c r="Q562" i="69"/>
  <c r="P562" i="69"/>
  <c r="O562" i="69"/>
  <c r="N562" i="69"/>
  <c r="M562" i="69"/>
  <c r="L562" i="69"/>
  <c r="K562" i="69"/>
  <c r="J562" i="69"/>
  <c r="I562" i="69"/>
  <c r="H562" i="69"/>
  <c r="G562" i="69"/>
  <c r="Q561" i="69"/>
  <c r="P561" i="69"/>
  <c r="O561" i="69"/>
  <c r="N561" i="69"/>
  <c r="M561" i="69"/>
  <c r="L561" i="69"/>
  <c r="K561" i="69"/>
  <c r="J561" i="69"/>
  <c r="I561" i="69"/>
  <c r="H561" i="69"/>
  <c r="G561" i="69"/>
  <c r="Q560" i="69"/>
  <c r="P560" i="69"/>
  <c r="O560" i="69"/>
  <c r="N560" i="69"/>
  <c r="M560" i="69"/>
  <c r="L560" i="69"/>
  <c r="K560" i="69"/>
  <c r="J560" i="69"/>
  <c r="I560" i="69"/>
  <c r="H560" i="69"/>
  <c r="G560" i="69"/>
  <c r="Q559" i="69"/>
  <c r="P559" i="69"/>
  <c r="O559" i="69"/>
  <c r="N559" i="69"/>
  <c r="M559" i="69"/>
  <c r="L559" i="69"/>
  <c r="K559" i="69"/>
  <c r="J559" i="69"/>
  <c r="I559" i="69"/>
  <c r="H559" i="69"/>
  <c r="G559" i="69"/>
  <c r="Q558" i="69"/>
  <c r="P558" i="69"/>
  <c r="O558" i="69"/>
  <c r="N558" i="69"/>
  <c r="M558" i="69"/>
  <c r="L558" i="69"/>
  <c r="K558" i="69"/>
  <c r="J558" i="69"/>
  <c r="I558" i="69"/>
  <c r="H558" i="69"/>
  <c r="G558" i="69"/>
  <c r="Q557" i="69"/>
  <c r="P557" i="69"/>
  <c r="O557" i="69"/>
  <c r="N557" i="69"/>
  <c r="M557" i="69"/>
  <c r="L557" i="69"/>
  <c r="K557" i="69"/>
  <c r="J557" i="69"/>
  <c r="I557" i="69"/>
  <c r="H557" i="69"/>
  <c r="G557" i="69"/>
  <c r="Q556" i="69"/>
  <c r="P556" i="69"/>
  <c r="O556" i="69"/>
  <c r="N556" i="69"/>
  <c r="M556" i="69"/>
  <c r="L556" i="69"/>
  <c r="K556" i="69"/>
  <c r="J556" i="69"/>
  <c r="I556" i="69"/>
  <c r="H556" i="69"/>
  <c r="G556" i="69"/>
  <c r="Q555" i="69"/>
  <c r="P555" i="69"/>
  <c r="O555" i="69"/>
  <c r="N555" i="69"/>
  <c r="M555" i="69"/>
  <c r="L555" i="69"/>
  <c r="K555" i="69"/>
  <c r="J555" i="69"/>
  <c r="I555" i="69"/>
  <c r="H555" i="69"/>
  <c r="G555" i="69"/>
  <c r="Q554" i="69"/>
  <c r="P554" i="69"/>
  <c r="O554" i="69"/>
  <c r="N554" i="69"/>
  <c r="M554" i="69"/>
  <c r="L554" i="69"/>
  <c r="K554" i="69"/>
  <c r="J554" i="69"/>
  <c r="I554" i="69"/>
  <c r="H554" i="69"/>
  <c r="G554" i="69"/>
  <c r="Q553" i="69"/>
  <c r="P553" i="69"/>
  <c r="O553" i="69"/>
  <c r="N553" i="69"/>
  <c r="M553" i="69"/>
  <c r="L553" i="69"/>
  <c r="K553" i="69"/>
  <c r="J553" i="69"/>
  <c r="I553" i="69"/>
  <c r="H553" i="69"/>
  <c r="G553" i="69"/>
  <c r="Q552" i="69"/>
  <c r="P552" i="69"/>
  <c r="O552" i="69"/>
  <c r="N552" i="69"/>
  <c r="M552" i="69"/>
  <c r="L552" i="69"/>
  <c r="K552" i="69"/>
  <c r="J552" i="69"/>
  <c r="I552" i="69"/>
  <c r="H552" i="69"/>
  <c r="G552" i="69"/>
  <c r="Q551" i="69"/>
  <c r="P551" i="69"/>
  <c r="O551" i="69"/>
  <c r="N551" i="69"/>
  <c r="M551" i="69"/>
  <c r="L551" i="69"/>
  <c r="K551" i="69"/>
  <c r="J551" i="69"/>
  <c r="I551" i="69"/>
  <c r="H551" i="69"/>
  <c r="G551" i="69"/>
  <c r="Q550" i="69"/>
  <c r="P550" i="69"/>
  <c r="O550" i="69"/>
  <c r="N550" i="69"/>
  <c r="M550" i="69"/>
  <c r="L550" i="69"/>
  <c r="K550" i="69"/>
  <c r="J550" i="69"/>
  <c r="I550" i="69"/>
  <c r="H550" i="69"/>
  <c r="G550" i="69"/>
  <c r="Q549" i="69"/>
  <c r="P549" i="69"/>
  <c r="O549" i="69"/>
  <c r="N549" i="69"/>
  <c r="M549" i="69"/>
  <c r="L549" i="69"/>
  <c r="K549" i="69"/>
  <c r="J549" i="69"/>
  <c r="I549" i="69"/>
  <c r="H549" i="69"/>
  <c r="G549" i="69"/>
  <c r="Q548" i="69"/>
  <c r="P548" i="69"/>
  <c r="O548" i="69"/>
  <c r="N548" i="69"/>
  <c r="M548" i="69"/>
  <c r="L548" i="69"/>
  <c r="K548" i="69"/>
  <c r="J548" i="69"/>
  <c r="I548" i="69"/>
  <c r="H548" i="69"/>
  <c r="G548" i="69"/>
  <c r="Q547" i="69"/>
  <c r="P547" i="69"/>
  <c r="O547" i="69"/>
  <c r="N547" i="69"/>
  <c r="M547" i="69"/>
  <c r="L547" i="69"/>
  <c r="K547" i="69"/>
  <c r="J547" i="69"/>
  <c r="I547" i="69"/>
  <c r="H547" i="69"/>
  <c r="G547" i="69"/>
  <c r="Q546" i="69"/>
  <c r="P546" i="69"/>
  <c r="O546" i="69"/>
  <c r="N546" i="69"/>
  <c r="M546" i="69"/>
  <c r="L546" i="69"/>
  <c r="K546" i="69"/>
  <c r="J546" i="69"/>
  <c r="I546" i="69"/>
  <c r="H546" i="69"/>
  <c r="G546" i="69"/>
  <c r="Q545" i="69"/>
  <c r="P545" i="69"/>
  <c r="O545" i="69"/>
  <c r="N545" i="69"/>
  <c r="M545" i="69"/>
  <c r="L545" i="69"/>
  <c r="K545" i="69"/>
  <c r="J545" i="69"/>
  <c r="I545" i="69"/>
  <c r="H545" i="69"/>
  <c r="G545" i="69"/>
  <c r="Q544" i="69"/>
  <c r="P544" i="69"/>
  <c r="O544" i="69"/>
  <c r="N544" i="69"/>
  <c r="M544" i="69"/>
  <c r="L544" i="69"/>
  <c r="K544" i="69"/>
  <c r="J544" i="69"/>
  <c r="I544" i="69"/>
  <c r="H544" i="69"/>
  <c r="G544" i="69"/>
  <c r="Q543" i="69"/>
  <c r="P543" i="69"/>
  <c r="O543" i="69"/>
  <c r="N543" i="69"/>
  <c r="M543" i="69"/>
  <c r="L543" i="69"/>
  <c r="K543" i="69"/>
  <c r="J543" i="69"/>
  <c r="I543" i="69"/>
  <c r="H543" i="69"/>
  <c r="G543" i="69"/>
  <c r="Q542" i="69"/>
  <c r="P542" i="69"/>
  <c r="O542" i="69"/>
  <c r="N542" i="69"/>
  <c r="M542" i="69"/>
  <c r="L542" i="69"/>
  <c r="K542" i="69"/>
  <c r="J542" i="69"/>
  <c r="I542" i="69"/>
  <c r="H542" i="69"/>
  <c r="G542" i="69"/>
  <c r="Q541" i="69"/>
  <c r="P541" i="69"/>
  <c r="O541" i="69"/>
  <c r="N541" i="69"/>
  <c r="M541" i="69"/>
  <c r="L541" i="69"/>
  <c r="K541" i="69"/>
  <c r="J541" i="69"/>
  <c r="I541" i="69"/>
  <c r="H541" i="69"/>
  <c r="G541" i="69"/>
  <c r="Q540" i="69"/>
  <c r="P540" i="69"/>
  <c r="O540" i="69"/>
  <c r="N540" i="69"/>
  <c r="M540" i="69"/>
  <c r="L540" i="69"/>
  <c r="K540" i="69"/>
  <c r="J540" i="69"/>
  <c r="I540" i="69"/>
  <c r="H540" i="69"/>
  <c r="G540" i="69"/>
  <c r="Q539" i="69"/>
  <c r="P539" i="69"/>
  <c r="O539" i="69"/>
  <c r="N539" i="69"/>
  <c r="M539" i="69"/>
  <c r="L539" i="69"/>
  <c r="K539" i="69"/>
  <c r="J539" i="69"/>
  <c r="I539" i="69"/>
  <c r="H539" i="69"/>
  <c r="G539" i="69"/>
  <c r="Q538" i="69"/>
  <c r="P538" i="69"/>
  <c r="O538" i="69"/>
  <c r="N538" i="69"/>
  <c r="M538" i="69"/>
  <c r="L538" i="69"/>
  <c r="K538" i="69"/>
  <c r="J538" i="69"/>
  <c r="I538" i="69"/>
  <c r="H538" i="69"/>
  <c r="G538" i="69"/>
  <c r="Q537" i="69"/>
  <c r="P537" i="69"/>
  <c r="O537" i="69"/>
  <c r="N537" i="69"/>
  <c r="M537" i="69"/>
  <c r="L537" i="69"/>
  <c r="K537" i="69"/>
  <c r="J537" i="69"/>
  <c r="I537" i="69"/>
  <c r="H537" i="69"/>
  <c r="G537" i="69"/>
  <c r="Q536" i="69"/>
  <c r="P536" i="69"/>
  <c r="O536" i="69"/>
  <c r="N536" i="69"/>
  <c r="M536" i="69"/>
  <c r="L536" i="69"/>
  <c r="K536" i="69"/>
  <c r="J536" i="69"/>
  <c r="I536" i="69"/>
  <c r="H536" i="69"/>
  <c r="G536" i="69"/>
  <c r="Q535" i="69"/>
  <c r="P535" i="69"/>
  <c r="O535" i="69"/>
  <c r="N535" i="69"/>
  <c r="M535" i="69"/>
  <c r="L535" i="69"/>
  <c r="K535" i="69"/>
  <c r="J535" i="69"/>
  <c r="I535" i="69"/>
  <c r="H535" i="69"/>
  <c r="G535" i="69"/>
  <c r="Q534" i="69"/>
  <c r="P534" i="69"/>
  <c r="O534" i="69"/>
  <c r="N534" i="69"/>
  <c r="M534" i="69"/>
  <c r="L534" i="69"/>
  <c r="K534" i="69"/>
  <c r="J534" i="69"/>
  <c r="I534" i="69"/>
  <c r="H534" i="69"/>
  <c r="G534" i="69"/>
  <c r="Q533" i="69"/>
  <c r="P533" i="69"/>
  <c r="O533" i="69"/>
  <c r="N533" i="69"/>
  <c r="M533" i="69"/>
  <c r="L533" i="69"/>
  <c r="K533" i="69"/>
  <c r="J533" i="69"/>
  <c r="I533" i="69"/>
  <c r="H533" i="69"/>
  <c r="G533" i="69"/>
  <c r="Q532" i="69"/>
  <c r="P532" i="69"/>
  <c r="O532" i="69"/>
  <c r="N532" i="69"/>
  <c r="M532" i="69"/>
  <c r="L532" i="69"/>
  <c r="K532" i="69"/>
  <c r="J532" i="69"/>
  <c r="I532" i="69"/>
  <c r="H532" i="69"/>
  <c r="G532" i="69"/>
  <c r="Q531" i="69"/>
  <c r="P531" i="69"/>
  <c r="O531" i="69"/>
  <c r="N531" i="69"/>
  <c r="M531" i="69"/>
  <c r="L531" i="69"/>
  <c r="K531" i="69"/>
  <c r="J531" i="69"/>
  <c r="I531" i="69"/>
  <c r="H531" i="69"/>
  <c r="G531" i="69"/>
  <c r="Q530" i="69"/>
  <c r="P530" i="69"/>
  <c r="O530" i="69"/>
  <c r="N530" i="69"/>
  <c r="M530" i="69"/>
  <c r="L530" i="69"/>
  <c r="K530" i="69"/>
  <c r="J530" i="69"/>
  <c r="I530" i="69"/>
  <c r="H530" i="69"/>
  <c r="G530" i="69"/>
  <c r="Q529" i="69"/>
  <c r="P529" i="69"/>
  <c r="O529" i="69"/>
  <c r="N529" i="69"/>
  <c r="M529" i="69"/>
  <c r="L529" i="69"/>
  <c r="K529" i="69"/>
  <c r="J529" i="69"/>
  <c r="I529" i="69"/>
  <c r="H529" i="69"/>
  <c r="G529" i="69"/>
  <c r="Q528" i="69"/>
  <c r="P528" i="69"/>
  <c r="O528" i="69"/>
  <c r="N528" i="69"/>
  <c r="M528" i="69"/>
  <c r="L528" i="69"/>
  <c r="K528" i="69"/>
  <c r="J528" i="69"/>
  <c r="I528" i="69"/>
  <c r="H528" i="69"/>
  <c r="G528" i="69"/>
  <c r="Q527" i="69"/>
  <c r="P527" i="69"/>
  <c r="O527" i="69"/>
  <c r="N527" i="69"/>
  <c r="M527" i="69"/>
  <c r="L527" i="69"/>
  <c r="K527" i="69"/>
  <c r="J527" i="69"/>
  <c r="I527" i="69"/>
  <c r="H527" i="69"/>
  <c r="G527" i="69"/>
  <c r="Q526" i="69"/>
  <c r="P526" i="69"/>
  <c r="O526" i="69"/>
  <c r="N526" i="69"/>
  <c r="M526" i="69"/>
  <c r="L526" i="69"/>
  <c r="K526" i="69"/>
  <c r="J526" i="69"/>
  <c r="I526" i="69"/>
  <c r="H526" i="69"/>
  <c r="G526" i="69"/>
  <c r="Q525" i="69"/>
  <c r="P525" i="69"/>
  <c r="O525" i="69"/>
  <c r="N525" i="69"/>
  <c r="M525" i="69"/>
  <c r="L525" i="69"/>
  <c r="K525" i="69"/>
  <c r="J525" i="69"/>
  <c r="I525" i="69"/>
  <c r="H525" i="69"/>
  <c r="G525" i="69"/>
  <c r="Q524" i="69"/>
  <c r="P524" i="69"/>
  <c r="O524" i="69"/>
  <c r="N524" i="69"/>
  <c r="M524" i="69"/>
  <c r="L524" i="69"/>
  <c r="K524" i="69"/>
  <c r="J524" i="69"/>
  <c r="I524" i="69"/>
  <c r="H524" i="69"/>
  <c r="G524" i="69"/>
  <c r="Q523" i="69"/>
  <c r="P523" i="69"/>
  <c r="O523" i="69"/>
  <c r="N523" i="69"/>
  <c r="M523" i="69"/>
  <c r="L523" i="69"/>
  <c r="K523" i="69"/>
  <c r="J523" i="69"/>
  <c r="I523" i="69"/>
  <c r="H523" i="69"/>
  <c r="G523" i="69"/>
  <c r="Q522" i="69"/>
  <c r="P522" i="69"/>
  <c r="O522" i="69"/>
  <c r="N522" i="69"/>
  <c r="M522" i="69"/>
  <c r="L522" i="69"/>
  <c r="K522" i="69"/>
  <c r="J522" i="69"/>
  <c r="I522" i="69"/>
  <c r="H522" i="69"/>
  <c r="G522" i="69"/>
  <c r="Q521" i="69"/>
  <c r="P521" i="69"/>
  <c r="O521" i="69"/>
  <c r="N521" i="69"/>
  <c r="M521" i="69"/>
  <c r="L521" i="69"/>
  <c r="K521" i="69"/>
  <c r="J521" i="69"/>
  <c r="I521" i="69"/>
  <c r="H521" i="69"/>
  <c r="G521" i="69"/>
  <c r="Q520" i="69"/>
  <c r="P520" i="69"/>
  <c r="O520" i="69"/>
  <c r="N520" i="69"/>
  <c r="M520" i="69"/>
  <c r="L520" i="69"/>
  <c r="K520" i="69"/>
  <c r="J520" i="69"/>
  <c r="I520" i="69"/>
  <c r="H520" i="69"/>
  <c r="G520" i="69"/>
  <c r="Q519" i="69"/>
  <c r="P519" i="69"/>
  <c r="O519" i="69"/>
  <c r="N519" i="69"/>
  <c r="M519" i="69"/>
  <c r="L519" i="69"/>
  <c r="K519" i="69"/>
  <c r="J519" i="69"/>
  <c r="I519" i="69"/>
  <c r="H519" i="69"/>
  <c r="G519" i="69"/>
  <c r="Q518" i="69"/>
  <c r="P518" i="69"/>
  <c r="O518" i="69"/>
  <c r="N518" i="69"/>
  <c r="M518" i="69"/>
  <c r="L518" i="69"/>
  <c r="K518" i="69"/>
  <c r="J518" i="69"/>
  <c r="I518" i="69"/>
  <c r="H518" i="69"/>
  <c r="G518" i="69"/>
  <c r="Q517" i="69"/>
  <c r="P517" i="69"/>
  <c r="O517" i="69"/>
  <c r="N517" i="69"/>
  <c r="M517" i="69"/>
  <c r="L517" i="69"/>
  <c r="K517" i="69"/>
  <c r="J517" i="69"/>
  <c r="I517" i="69"/>
  <c r="H517" i="69"/>
  <c r="G517" i="69"/>
  <c r="Q516" i="69"/>
  <c r="P516" i="69"/>
  <c r="O516" i="69"/>
  <c r="N516" i="69"/>
  <c r="M516" i="69"/>
  <c r="L516" i="69"/>
  <c r="K516" i="69"/>
  <c r="J516" i="69"/>
  <c r="I516" i="69"/>
  <c r="H516" i="69"/>
  <c r="G516" i="69"/>
  <c r="Q515" i="69"/>
  <c r="P515" i="69"/>
  <c r="O515" i="69"/>
  <c r="N515" i="69"/>
  <c r="M515" i="69"/>
  <c r="L515" i="69"/>
  <c r="K515" i="69"/>
  <c r="J515" i="69"/>
  <c r="I515" i="69"/>
  <c r="H515" i="69"/>
  <c r="G515" i="69"/>
  <c r="Q514" i="69"/>
  <c r="P514" i="69"/>
  <c r="O514" i="69"/>
  <c r="N514" i="69"/>
  <c r="M514" i="69"/>
  <c r="L514" i="69"/>
  <c r="K514" i="69"/>
  <c r="J514" i="69"/>
  <c r="I514" i="69"/>
  <c r="H514" i="69"/>
  <c r="G514" i="69"/>
  <c r="Q513" i="69"/>
  <c r="P513" i="69"/>
  <c r="O513" i="69"/>
  <c r="N513" i="69"/>
  <c r="M513" i="69"/>
  <c r="L513" i="69"/>
  <c r="K513" i="69"/>
  <c r="J513" i="69"/>
  <c r="I513" i="69"/>
  <c r="H513" i="69"/>
  <c r="G513" i="69"/>
  <c r="Q512" i="69"/>
  <c r="P512" i="69"/>
  <c r="O512" i="69"/>
  <c r="N512" i="69"/>
  <c r="M512" i="69"/>
  <c r="L512" i="69"/>
  <c r="K512" i="69"/>
  <c r="J512" i="69"/>
  <c r="I512" i="69"/>
  <c r="H512" i="69"/>
  <c r="G512" i="69"/>
  <c r="Q511" i="69"/>
  <c r="P511" i="69"/>
  <c r="O511" i="69"/>
  <c r="N511" i="69"/>
  <c r="M511" i="69"/>
  <c r="L511" i="69"/>
  <c r="K511" i="69"/>
  <c r="J511" i="69"/>
  <c r="I511" i="69"/>
  <c r="H511" i="69"/>
  <c r="G511" i="69"/>
  <c r="Q510" i="69"/>
  <c r="P510" i="69"/>
  <c r="O510" i="69"/>
  <c r="N510" i="69"/>
  <c r="M510" i="69"/>
  <c r="L510" i="69"/>
  <c r="K510" i="69"/>
  <c r="J510" i="69"/>
  <c r="I510" i="69"/>
  <c r="H510" i="69"/>
  <c r="G510" i="69"/>
  <c r="Q509" i="69"/>
  <c r="P509" i="69"/>
  <c r="O509" i="69"/>
  <c r="N509" i="69"/>
  <c r="M509" i="69"/>
  <c r="L509" i="69"/>
  <c r="K509" i="69"/>
  <c r="J509" i="69"/>
  <c r="I509" i="69"/>
  <c r="H509" i="69"/>
  <c r="G509" i="69"/>
  <c r="Q508" i="69"/>
  <c r="P508" i="69"/>
  <c r="O508" i="69"/>
  <c r="N508" i="69"/>
  <c r="M508" i="69"/>
  <c r="L508" i="69"/>
  <c r="K508" i="69"/>
  <c r="J508" i="69"/>
  <c r="I508" i="69"/>
  <c r="H508" i="69"/>
  <c r="G508" i="69"/>
  <c r="Q507" i="69"/>
  <c r="P507" i="69"/>
  <c r="O507" i="69"/>
  <c r="N507" i="69"/>
  <c r="M507" i="69"/>
  <c r="L507" i="69"/>
  <c r="K507" i="69"/>
  <c r="J507" i="69"/>
  <c r="I507" i="69"/>
  <c r="H507" i="69"/>
  <c r="G507" i="69"/>
  <c r="Q506" i="69"/>
  <c r="P506" i="69"/>
  <c r="O506" i="69"/>
  <c r="N506" i="69"/>
  <c r="M506" i="69"/>
  <c r="L506" i="69"/>
  <c r="K506" i="69"/>
  <c r="J506" i="69"/>
  <c r="I506" i="69"/>
  <c r="H506" i="69"/>
  <c r="G506" i="69"/>
  <c r="Q505" i="69"/>
  <c r="P505" i="69"/>
  <c r="O505" i="69"/>
  <c r="N505" i="69"/>
  <c r="M505" i="69"/>
  <c r="L505" i="69"/>
  <c r="K505" i="69"/>
  <c r="J505" i="69"/>
  <c r="I505" i="69"/>
  <c r="H505" i="69"/>
  <c r="G505" i="69"/>
  <c r="Q504" i="69"/>
  <c r="P504" i="69"/>
  <c r="O504" i="69"/>
  <c r="N504" i="69"/>
  <c r="M504" i="69"/>
  <c r="L504" i="69"/>
  <c r="K504" i="69"/>
  <c r="J504" i="69"/>
  <c r="I504" i="69"/>
  <c r="H504" i="69"/>
  <c r="G504" i="69"/>
  <c r="Q503" i="69"/>
  <c r="P503" i="69"/>
  <c r="O503" i="69"/>
  <c r="N503" i="69"/>
  <c r="M503" i="69"/>
  <c r="L503" i="69"/>
  <c r="K503" i="69"/>
  <c r="J503" i="69"/>
  <c r="I503" i="69"/>
  <c r="H503" i="69"/>
  <c r="G503" i="69"/>
  <c r="Q502" i="69"/>
  <c r="P502" i="69"/>
  <c r="O502" i="69"/>
  <c r="N502" i="69"/>
  <c r="M502" i="69"/>
  <c r="L502" i="69"/>
  <c r="K502" i="69"/>
  <c r="J502" i="69"/>
  <c r="I502" i="69"/>
  <c r="H502" i="69"/>
  <c r="G502" i="69"/>
  <c r="Q501" i="69"/>
  <c r="P501" i="69"/>
  <c r="O501" i="69"/>
  <c r="N501" i="69"/>
  <c r="M501" i="69"/>
  <c r="L501" i="69"/>
  <c r="K501" i="69"/>
  <c r="J501" i="69"/>
  <c r="I501" i="69"/>
  <c r="H501" i="69"/>
  <c r="G501" i="69"/>
  <c r="Q500" i="69"/>
  <c r="P500" i="69"/>
  <c r="O500" i="69"/>
  <c r="N500" i="69"/>
  <c r="M500" i="69"/>
  <c r="L500" i="69"/>
  <c r="K500" i="69"/>
  <c r="J500" i="69"/>
  <c r="I500" i="69"/>
  <c r="H500" i="69"/>
  <c r="G500" i="69"/>
  <c r="Q499" i="69"/>
  <c r="P499" i="69"/>
  <c r="O499" i="69"/>
  <c r="N499" i="69"/>
  <c r="M499" i="69"/>
  <c r="L499" i="69"/>
  <c r="K499" i="69"/>
  <c r="J499" i="69"/>
  <c r="I499" i="69"/>
  <c r="H499" i="69"/>
  <c r="G499" i="69"/>
  <c r="Q498" i="69"/>
  <c r="P498" i="69"/>
  <c r="O498" i="69"/>
  <c r="N498" i="69"/>
  <c r="M498" i="69"/>
  <c r="L498" i="69"/>
  <c r="K498" i="69"/>
  <c r="J498" i="69"/>
  <c r="I498" i="69"/>
  <c r="H498" i="69"/>
  <c r="G498" i="69"/>
  <c r="Q497" i="69"/>
  <c r="P497" i="69"/>
  <c r="O497" i="69"/>
  <c r="N497" i="69"/>
  <c r="M497" i="69"/>
  <c r="L497" i="69"/>
  <c r="K497" i="69"/>
  <c r="J497" i="69"/>
  <c r="I497" i="69"/>
  <c r="H497" i="69"/>
  <c r="G497" i="69"/>
  <c r="Q496" i="69"/>
  <c r="P496" i="69"/>
  <c r="O496" i="69"/>
  <c r="N496" i="69"/>
  <c r="M496" i="69"/>
  <c r="L496" i="69"/>
  <c r="K496" i="69"/>
  <c r="J496" i="69"/>
  <c r="I496" i="69"/>
  <c r="H496" i="69"/>
  <c r="G496" i="69"/>
  <c r="Q495" i="69"/>
  <c r="P495" i="69"/>
  <c r="O495" i="69"/>
  <c r="N495" i="69"/>
  <c r="M495" i="69"/>
  <c r="L495" i="69"/>
  <c r="K495" i="69"/>
  <c r="J495" i="69"/>
  <c r="I495" i="69"/>
  <c r="H495" i="69"/>
  <c r="G495" i="69"/>
  <c r="Q494" i="69"/>
  <c r="P494" i="69"/>
  <c r="O494" i="69"/>
  <c r="N494" i="69"/>
  <c r="M494" i="69"/>
  <c r="L494" i="69"/>
  <c r="K494" i="69"/>
  <c r="J494" i="69"/>
  <c r="I494" i="69"/>
  <c r="H494" i="69"/>
  <c r="G494" i="69"/>
  <c r="Q493" i="69"/>
  <c r="P493" i="69"/>
  <c r="O493" i="69"/>
  <c r="N493" i="69"/>
  <c r="M493" i="69"/>
  <c r="L493" i="69"/>
  <c r="K493" i="69"/>
  <c r="J493" i="69"/>
  <c r="I493" i="69"/>
  <c r="H493" i="69"/>
  <c r="G493" i="69"/>
  <c r="Q492" i="69"/>
  <c r="P492" i="69"/>
  <c r="O492" i="69"/>
  <c r="N492" i="69"/>
  <c r="M492" i="69"/>
  <c r="L492" i="69"/>
  <c r="K492" i="69"/>
  <c r="J492" i="69"/>
  <c r="I492" i="69"/>
  <c r="H492" i="69"/>
  <c r="G492" i="69"/>
  <c r="Q491" i="69"/>
  <c r="P491" i="69"/>
  <c r="O491" i="69"/>
  <c r="N491" i="69"/>
  <c r="M491" i="69"/>
  <c r="L491" i="69"/>
  <c r="K491" i="69"/>
  <c r="J491" i="69"/>
  <c r="I491" i="69"/>
  <c r="H491" i="69"/>
  <c r="G491" i="69"/>
  <c r="Q490" i="69"/>
  <c r="P490" i="69"/>
  <c r="O490" i="69"/>
  <c r="N490" i="69"/>
  <c r="M490" i="69"/>
  <c r="L490" i="69"/>
  <c r="K490" i="69"/>
  <c r="J490" i="69"/>
  <c r="I490" i="69"/>
  <c r="H490" i="69"/>
  <c r="G490" i="69"/>
  <c r="Q489" i="69"/>
  <c r="P489" i="69"/>
  <c r="O489" i="69"/>
  <c r="N489" i="69"/>
  <c r="M489" i="69"/>
  <c r="L489" i="69"/>
  <c r="K489" i="69"/>
  <c r="J489" i="69"/>
  <c r="I489" i="69"/>
  <c r="H489" i="69"/>
  <c r="G489" i="69"/>
  <c r="Q488" i="69"/>
  <c r="P488" i="69"/>
  <c r="O488" i="69"/>
  <c r="N488" i="69"/>
  <c r="M488" i="69"/>
  <c r="L488" i="69"/>
  <c r="K488" i="69"/>
  <c r="J488" i="69"/>
  <c r="I488" i="69"/>
  <c r="H488" i="69"/>
  <c r="G488" i="69"/>
  <c r="Q487" i="69"/>
  <c r="P487" i="69"/>
  <c r="O487" i="69"/>
  <c r="N487" i="69"/>
  <c r="M487" i="69"/>
  <c r="L487" i="69"/>
  <c r="K487" i="69"/>
  <c r="J487" i="69"/>
  <c r="I487" i="69"/>
  <c r="H487" i="69"/>
  <c r="G487" i="69"/>
  <c r="Q486" i="69"/>
  <c r="P486" i="69"/>
  <c r="O486" i="69"/>
  <c r="N486" i="69"/>
  <c r="M486" i="69"/>
  <c r="L486" i="69"/>
  <c r="K486" i="69"/>
  <c r="J486" i="69"/>
  <c r="I486" i="69"/>
  <c r="H486" i="69"/>
  <c r="G486" i="69"/>
  <c r="Q485" i="69"/>
  <c r="P485" i="69"/>
  <c r="O485" i="69"/>
  <c r="N485" i="69"/>
  <c r="M485" i="69"/>
  <c r="L485" i="69"/>
  <c r="K485" i="69"/>
  <c r="J485" i="69"/>
  <c r="I485" i="69"/>
  <c r="H485" i="69"/>
  <c r="G485" i="69"/>
  <c r="Q484" i="69"/>
  <c r="P484" i="69"/>
  <c r="O484" i="69"/>
  <c r="N484" i="69"/>
  <c r="M484" i="69"/>
  <c r="L484" i="69"/>
  <c r="K484" i="69"/>
  <c r="J484" i="69"/>
  <c r="I484" i="69"/>
  <c r="H484" i="69"/>
  <c r="G484" i="69"/>
  <c r="Q483" i="69"/>
  <c r="P483" i="69"/>
  <c r="O483" i="69"/>
  <c r="N483" i="69"/>
  <c r="M483" i="69"/>
  <c r="L483" i="69"/>
  <c r="K483" i="69"/>
  <c r="J483" i="69"/>
  <c r="I483" i="69"/>
  <c r="H483" i="69"/>
  <c r="G483" i="69"/>
  <c r="Q482" i="69"/>
  <c r="P482" i="69"/>
  <c r="O482" i="69"/>
  <c r="N482" i="69"/>
  <c r="M482" i="69"/>
  <c r="L482" i="69"/>
  <c r="K482" i="69"/>
  <c r="J482" i="69"/>
  <c r="I482" i="69"/>
  <c r="H482" i="69"/>
  <c r="G482" i="69"/>
  <c r="Q481" i="69"/>
  <c r="P481" i="69"/>
  <c r="O481" i="69"/>
  <c r="N481" i="69"/>
  <c r="M481" i="69"/>
  <c r="L481" i="69"/>
  <c r="K481" i="69"/>
  <c r="J481" i="69"/>
  <c r="I481" i="69"/>
  <c r="H481" i="69"/>
  <c r="G481" i="69"/>
  <c r="Q480" i="69"/>
  <c r="P480" i="69"/>
  <c r="O480" i="69"/>
  <c r="N480" i="69"/>
  <c r="M480" i="69"/>
  <c r="L480" i="69"/>
  <c r="K480" i="69"/>
  <c r="J480" i="69"/>
  <c r="I480" i="69"/>
  <c r="H480" i="69"/>
  <c r="G480" i="69"/>
  <c r="Q479" i="69"/>
  <c r="P479" i="69"/>
  <c r="O479" i="69"/>
  <c r="N479" i="69"/>
  <c r="M479" i="69"/>
  <c r="L479" i="69"/>
  <c r="K479" i="69"/>
  <c r="J479" i="69"/>
  <c r="I479" i="69"/>
  <c r="H479" i="69"/>
  <c r="G479" i="69"/>
  <c r="Q478" i="69"/>
  <c r="P478" i="69"/>
  <c r="O478" i="69"/>
  <c r="N478" i="69"/>
  <c r="M478" i="69"/>
  <c r="L478" i="69"/>
  <c r="K478" i="69"/>
  <c r="J478" i="69"/>
  <c r="I478" i="69"/>
  <c r="H478" i="69"/>
  <c r="G478" i="69"/>
  <c r="Q477" i="69"/>
  <c r="P477" i="69"/>
  <c r="O477" i="69"/>
  <c r="N477" i="69"/>
  <c r="M477" i="69"/>
  <c r="L477" i="69"/>
  <c r="K477" i="69"/>
  <c r="J477" i="69"/>
  <c r="I477" i="69"/>
  <c r="H477" i="69"/>
  <c r="G477" i="69"/>
  <c r="Q476" i="69"/>
  <c r="P476" i="69"/>
  <c r="O476" i="69"/>
  <c r="N476" i="69"/>
  <c r="M476" i="69"/>
  <c r="L476" i="69"/>
  <c r="K476" i="69"/>
  <c r="J476" i="69"/>
  <c r="I476" i="69"/>
  <c r="H476" i="69"/>
  <c r="G476" i="69"/>
  <c r="Q475" i="69"/>
  <c r="P475" i="69"/>
  <c r="O475" i="69"/>
  <c r="N475" i="69"/>
  <c r="M475" i="69"/>
  <c r="L475" i="69"/>
  <c r="K475" i="69"/>
  <c r="J475" i="69"/>
  <c r="I475" i="69"/>
  <c r="H475" i="69"/>
  <c r="G475" i="69"/>
  <c r="Q474" i="69"/>
  <c r="P474" i="69"/>
  <c r="O474" i="69"/>
  <c r="N474" i="69"/>
  <c r="M474" i="69"/>
  <c r="L474" i="69"/>
  <c r="K474" i="69"/>
  <c r="J474" i="69"/>
  <c r="I474" i="69"/>
  <c r="H474" i="69"/>
  <c r="G474" i="69"/>
  <c r="Q473" i="69"/>
  <c r="P473" i="69"/>
  <c r="O473" i="69"/>
  <c r="N473" i="69"/>
  <c r="M473" i="69"/>
  <c r="L473" i="69"/>
  <c r="K473" i="69"/>
  <c r="J473" i="69"/>
  <c r="I473" i="69"/>
  <c r="H473" i="69"/>
  <c r="G473" i="69"/>
  <c r="Q472" i="69"/>
  <c r="P472" i="69"/>
  <c r="O472" i="69"/>
  <c r="N472" i="69"/>
  <c r="M472" i="69"/>
  <c r="L472" i="69"/>
  <c r="K472" i="69"/>
  <c r="J472" i="69"/>
  <c r="I472" i="69"/>
  <c r="H472" i="69"/>
  <c r="G472" i="69"/>
  <c r="Q471" i="69"/>
  <c r="P471" i="69"/>
  <c r="O471" i="69"/>
  <c r="N471" i="69"/>
  <c r="M471" i="69"/>
  <c r="L471" i="69"/>
  <c r="K471" i="69"/>
  <c r="J471" i="69"/>
  <c r="I471" i="69"/>
  <c r="H471" i="69"/>
  <c r="G471" i="69"/>
  <c r="Q470" i="69"/>
  <c r="P470" i="69"/>
  <c r="O470" i="69"/>
  <c r="N470" i="69"/>
  <c r="M470" i="69"/>
  <c r="L470" i="69"/>
  <c r="K470" i="69"/>
  <c r="J470" i="69"/>
  <c r="I470" i="69"/>
  <c r="H470" i="69"/>
  <c r="G470" i="69"/>
  <c r="Q469" i="69"/>
  <c r="P469" i="69"/>
  <c r="O469" i="69"/>
  <c r="N469" i="69"/>
  <c r="M469" i="69"/>
  <c r="L469" i="69"/>
  <c r="K469" i="69"/>
  <c r="J469" i="69"/>
  <c r="I469" i="69"/>
  <c r="H469" i="69"/>
  <c r="G469" i="69"/>
  <c r="Q468" i="69"/>
  <c r="P468" i="69"/>
  <c r="O468" i="69"/>
  <c r="N468" i="69"/>
  <c r="M468" i="69"/>
  <c r="L468" i="69"/>
  <c r="K468" i="69"/>
  <c r="J468" i="69"/>
  <c r="I468" i="69"/>
  <c r="H468" i="69"/>
  <c r="G468" i="69"/>
  <c r="Q467" i="69"/>
  <c r="P467" i="69"/>
  <c r="O467" i="69"/>
  <c r="N467" i="69"/>
  <c r="M467" i="69"/>
  <c r="L467" i="69"/>
  <c r="K467" i="69"/>
  <c r="J467" i="69"/>
  <c r="I467" i="69"/>
  <c r="H467" i="69"/>
  <c r="G467" i="69"/>
  <c r="Q466" i="69"/>
  <c r="P466" i="69"/>
  <c r="O466" i="69"/>
  <c r="N466" i="69"/>
  <c r="M466" i="69"/>
  <c r="L466" i="69"/>
  <c r="K466" i="69"/>
  <c r="J466" i="69"/>
  <c r="I466" i="69"/>
  <c r="H466" i="69"/>
  <c r="G466" i="69"/>
  <c r="Q465" i="69"/>
  <c r="P465" i="69"/>
  <c r="O465" i="69"/>
  <c r="N465" i="69"/>
  <c r="M465" i="69"/>
  <c r="L465" i="69"/>
  <c r="K465" i="69"/>
  <c r="J465" i="69"/>
  <c r="I465" i="69"/>
  <c r="H465" i="69"/>
  <c r="G465" i="69"/>
  <c r="Q464" i="69"/>
  <c r="P464" i="69"/>
  <c r="O464" i="69"/>
  <c r="N464" i="69"/>
  <c r="M464" i="69"/>
  <c r="L464" i="69"/>
  <c r="K464" i="69"/>
  <c r="J464" i="69"/>
  <c r="I464" i="69"/>
  <c r="H464" i="69"/>
  <c r="G464" i="69"/>
  <c r="Q463" i="69"/>
  <c r="P463" i="69"/>
  <c r="O463" i="69"/>
  <c r="N463" i="69"/>
  <c r="M463" i="69"/>
  <c r="L463" i="69"/>
  <c r="K463" i="69"/>
  <c r="J463" i="69"/>
  <c r="I463" i="69"/>
  <c r="H463" i="69"/>
  <c r="G463" i="69"/>
  <c r="Q462" i="69"/>
  <c r="P462" i="69"/>
  <c r="O462" i="69"/>
  <c r="N462" i="69"/>
  <c r="M462" i="69"/>
  <c r="L462" i="69"/>
  <c r="K462" i="69"/>
  <c r="J462" i="69"/>
  <c r="I462" i="69"/>
  <c r="H462" i="69"/>
  <c r="G462" i="69"/>
  <c r="Q461" i="69"/>
  <c r="P461" i="69"/>
  <c r="O461" i="69"/>
  <c r="N461" i="69"/>
  <c r="M461" i="69"/>
  <c r="L461" i="69"/>
  <c r="K461" i="69"/>
  <c r="J461" i="69"/>
  <c r="I461" i="69"/>
  <c r="H461" i="69"/>
  <c r="G461" i="69"/>
  <c r="Q460" i="69"/>
  <c r="P460" i="69"/>
  <c r="O460" i="69"/>
  <c r="N460" i="69"/>
  <c r="M460" i="69"/>
  <c r="L460" i="69"/>
  <c r="K460" i="69"/>
  <c r="J460" i="69"/>
  <c r="I460" i="69"/>
  <c r="H460" i="69"/>
  <c r="G460" i="69"/>
  <c r="Q459" i="69"/>
  <c r="P459" i="69"/>
  <c r="O459" i="69"/>
  <c r="N459" i="69"/>
  <c r="M459" i="69"/>
  <c r="L459" i="69"/>
  <c r="K459" i="69"/>
  <c r="J459" i="69"/>
  <c r="I459" i="69"/>
  <c r="H459" i="69"/>
  <c r="G459" i="69"/>
  <c r="Q458" i="69"/>
  <c r="P458" i="69"/>
  <c r="O458" i="69"/>
  <c r="N458" i="69"/>
  <c r="M458" i="69"/>
  <c r="L458" i="69"/>
  <c r="K458" i="69"/>
  <c r="J458" i="69"/>
  <c r="I458" i="69"/>
  <c r="H458" i="69"/>
  <c r="G458" i="69"/>
  <c r="Q457" i="69"/>
  <c r="P457" i="69"/>
  <c r="O457" i="69"/>
  <c r="N457" i="69"/>
  <c r="M457" i="69"/>
  <c r="L457" i="69"/>
  <c r="K457" i="69"/>
  <c r="J457" i="69"/>
  <c r="I457" i="69"/>
  <c r="H457" i="69"/>
  <c r="G457" i="69"/>
  <c r="Q456" i="69"/>
  <c r="P456" i="69"/>
  <c r="O456" i="69"/>
  <c r="N456" i="69"/>
  <c r="M456" i="69"/>
  <c r="L456" i="69"/>
  <c r="K456" i="69"/>
  <c r="J456" i="69"/>
  <c r="I456" i="69"/>
  <c r="H456" i="69"/>
  <c r="G456" i="69"/>
  <c r="Q455" i="69"/>
  <c r="P455" i="69"/>
  <c r="O455" i="69"/>
  <c r="N455" i="69"/>
  <c r="M455" i="69"/>
  <c r="L455" i="69"/>
  <c r="K455" i="69"/>
  <c r="J455" i="69"/>
  <c r="I455" i="69"/>
  <c r="H455" i="69"/>
  <c r="G455" i="69"/>
  <c r="Q454" i="69"/>
  <c r="P454" i="69"/>
  <c r="O454" i="69"/>
  <c r="N454" i="69"/>
  <c r="M454" i="69"/>
  <c r="L454" i="69"/>
  <c r="K454" i="69"/>
  <c r="J454" i="69"/>
  <c r="I454" i="69"/>
  <c r="H454" i="69"/>
  <c r="G454" i="69"/>
  <c r="Q453" i="69"/>
  <c r="P453" i="69"/>
  <c r="O453" i="69"/>
  <c r="N453" i="69"/>
  <c r="M453" i="69"/>
  <c r="L453" i="69"/>
  <c r="K453" i="69"/>
  <c r="J453" i="69"/>
  <c r="I453" i="69"/>
  <c r="H453" i="69"/>
  <c r="G453" i="69"/>
  <c r="Q452" i="69"/>
  <c r="P452" i="69"/>
  <c r="O452" i="69"/>
  <c r="N452" i="69"/>
  <c r="M452" i="69"/>
  <c r="L452" i="69"/>
  <c r="K452" i="69"/>
  <c r="J452" i="69"/>
  <c r="I452" i="69"/>
  <c r="H452" i="69"/>
  <c r="G452" i="69"/>
  <c r="Q451" i="69"/>
  <c r="P451" i="69"/>
  <c r="O451" i="69"/>
  <c r="N451" i="69"/>
  <c r="M451" i="69"/>
  <c r="L451" i="69"/>
  <c r="K451" i="69"/>
  <c r="J451" i="69"/>
  <c r="I451" i="69"/>
  <c r="H451" i="69"/>
  <c r="G451" i="69"/>
  <c r="Q450" i="69"/>
  <c r="P450" i="69"/>
  <c r="O450" i="69"/>
  <c r="N450" i="69"/>
  <c r="M450" i="69"/>
  <c r="L450" i="69"/>
  <c r="K450" i="69"/>
  <c r="J450" i="69"/>
  <c r="I450" i="69"/>
  <c r="H450" i="69"/>
  <c r="G450" i="69"/>
  <c r="Q449" i="69"/>
  <c r="P449" i="69"/>
  <c r="O449" i="69"/>
  <c r="N449" i="69"/>
  <c r="M449" i="69"/>
  <c r="L449" i="69"/>
  <c r="K449" i="69"/>
  <c r="J449" i="69"/>
  <c r="I449" i="69"/>
  <c r="H449" i="69"/>
  <c r="G449" i="69"/>
  <c r="Q448" i="69"/>
  <c r="P448" i="69"/>
  <c r="O448" i="69"/>
  <c r="N448" i="69"/>
  <c r="M448" i="69"/>
  <c r="L448" i="69"/>
  <c r="K448" i="69"/>
  <c r="J448" i="69"/>
  <c r="I448" i="69"/>
  <c r="H448" i="69"/>
  <c r="G448" i="69"/>
  <c r="Q447" i="69"/>
  <c r="P447" i="69"/>
  <c r="O447" i="69"/>
  <c r="N447" i="69"/>
  <c r="M447" i="69"/>
  <c r="L447" i="69"/>
  <c r="K447" i="69"/>
  <c r="J447" i="69"/>
  <c r="I447" i="69"/>
  <c r="H447" i="69"/>
  <c r="G447" i="69"/>
  <c r="Q446" i="69"/>
  <c r="P446" i="69"/>
  <c r="O446" i="69"/>
  <c r="N446" i="69"/>
  <c r="M446" i="69"/>
  <c r="L446" i="69"/>
  <c r="K446" i="69"/>
  <c r="J446" i="69"/>
  <c r="I446" i="69"/>
  <c r="H446" i="69"/>
  <c r="G446" i="69"/>
  <c r="Q445" i="69"/>
  <c r="P445" i="69"/>
  <c r="O445" i="69"/>
  <c r="N445" i="69"/>
  <c r="M445" i="69"/>
  <c r="L445" i="69"/>
  <c r="K445" i="69"/>
  <c r="J445" i="69"/>
  <c r="I445" i="69"/>
  <c r="H445" i="69"/>
  <c r="G445" i="69"/>
  <c r="Q444" i="69"/>
  <c r="P444" i="69"/>
  <c r="O444" i="69"/>
  <c r="N444" i="69"/>
  <c r="M444" i="69"/>
  <c r="L444" i="69"/>
  <c r="K444" i="69"/>
  <c r="J444" i="69"/>
  <c r="I444" i="69"/>
  <c r="H444" i="69"/>
  <c r="G444" i="69"/>
  <c r="Q443" i="69"/>
  <c r="P443" i="69"/>
  <c r="O443" i="69"/>
  <c r="N443" i="69"/>
  <c r="M443" i="69"/>
  <c r="L443" i="69"/>
  <c r="K443" i="69"/>
  <c r="J443" i="69"/>
  <c r="I443" i="69"/>
  <c r="H443" i="69"/>
  <c r="G443" i="69"/>
  <c r="Q442" i="69"/>
  <c r="P442" i="69"/>
  <c r="O442" i="69"/>
  <c r="N442" i="69"/>
  <c r="M442" i="69"/>
  <c r="L442" i="69"/>
  <c r="K442" i="69"/>
  <c r="J442" i="69"/>
  <c r="I442" i="69"/>
  <c r="H442" i="69"/>
  <c r="G442" i="69"/>
  <c r="Q441" i="69"/>
  <c r="P441" i="69"/>
  <c r="O441" i="69"/>
  <c r="N441" i="69"/>
  <c r="M441" i="69"/>
  <c r="L441" i="69"/>
  <c r="K441" i="69"/>
  <c r="J441" i="69"/>
  <c r="I441" i="69"/>
  <c r="H441" i="69"/>
  <c r="G441" i="69"/>
  <c r="Q440" i="69"/>
  <c r="P440" i="69"/>
  <c r="O440" i="69"/>
  <c r="N440" i="69"/>
  <c r="M440" i="69"/>
  <c r="L440" i="69"/>
  <c r="K440" i="69"/>
  <c r="J440" i="69"/>
  <c r="I440" i="69"/>
  <c r="H440" i="69"/>
  <c r="G440" i="69"/>
  <c r="Q439" i="69"/>
  <c r="P439" i="69"/>
  <c r="O439" i="69"/>
  <c r="N439" i="69"/>
  <c r="M439" i="69"/>
  <c r="L439" i="69"/>
  <c r="K439" i="69"/>
  <c r="J439" i="69"/>
  <c r="I439" i="69"/>
  <c r="H439" i="69"/>
  <c r="G439" i="69"/>
  <c r="Q438" i="69"/>
  <c r="P438" i="69"/>
  <c r="O438" i="69"/>
  <c r="N438" i="69"/>
  <c r="M438" i="69"/>
  <c r="L438" i="69"/>
  <c r="K438" i="69"/>
  <c r="J438" i="69"/>
  <c r="I438" i="69"/>
  <c r="H438" i="69"/>
  <c r="G438" i="69"/>
  <c r="Q437" i="69"/>
  <c r="P437" i="69"/>
  <c r="O437" i="69"/>
  <c r="N437" i="69"/>
  <c r="M437" i="69"/>
  <c r="L437" i="69"/>
  <c r="K437" i="69"/>
  <c r="J437" i="69"/>
  <c r="I437" i="69"/>
  <c r="H437" i="69"/>
  <c r="G437" i="69"/>
  <c r="Q436" i="69"/>
  <c r="P436" i="69"/>
  <c r="O436" i="69"/>
  <c r="N436" i="69"/>
  <c r="M436" i="69"/>
  <c r="L436" i="69"/>
  <c r="K436" i="69"/>
  <c r="J436" i="69"/>
  <c r="I436" i="69"/>
  <c r="H436" i="69"/>
  <c r="G436" i="69"/>
  <c r="Q435" i="69"/>
  <c r="P435" i="69"/>
  <c r="O435" i="69"/>
  <c r="N435" i="69"/>
  <c r="M435" i="69"/>
  <c r="L435" i="69"/>
  <c r="K435" i="69"/>
  <c r="J435" i="69"/>
  <c r="I435" i="69"/>
  <c r="H435" i="69"/>
  <c r="G435" i="69"/>
  <c r="Q434" i="69"/>
  <c r="P434" i="69"/>
  <c r="O434" i="69"/>
  <c r="N434" i="69"/>
  <c r="M434" i="69"/>
  <c r="L434" i="69"/>
  <c r="K434" i="69"/>
  <c r="J434" i="69"/>
  <c r="I434" i="69"/>
  <c r="H434" i="69"/>
  <c r="G434" i="69"/>
  <c r="Q433" i="69"/>
  <c r="P433" i="69"/>
  <c r="O433" i="69"/>
  <c r="N433" i="69"/>
  <c r="M433" i="69"/>
  <c r="L433" i="69"/>
  <c r="K433" i="69"/>
  <c r="J433" i="69"/>
  <c r="I433" i="69"/>
  <c r="H433" i="69"/>
  <c r="G433" i="69"/>
  <c r="Q432" i="69"/>
  <c r="P432" i="69"/>
  <c r="O432" i="69"/>
  <c r="N432" i="69"/>
  <c r="M432" i="69"/>
  <c r="L432" i="69"/>
  <c r="K432" i="69"/>
  <c r="J432" i="69"/>
  <c r="I432" i="69"/>
  <c r="H432" i="69"/>
  <c r="G432" i="69"/>
  <c r="Q431" i="69"/>
  <c r="P431" i="69"/>
  <c r="O431" i="69"/>
  <c r="N431" i="69"/>
  <c r="M431" i="69"/>
  <c r="L431" i="69"/>
  <c r="K431" i="69"/>
  <c r="J431" i="69"/>
  <c r="I431" i="69"/>
  <c r="H431" i="69"/>
  <c r="G431" i="69"/>
  <c r="Q430" i="69"/>
  <c r="P430" i="69"/>
  <c r="O430" i="69"/>
  <c r="N430" i="69"/>
  <c r="M430" i="69"/>
  <c r="L430" i="69"/>
  <c r="K430" i="69"/>
  <c r="J430" i="69"/>
  <c r="I430" i="69"/>
  <c r="H430" i="69"/>
  <c r="G430" i="69"/>
  <c r="Q429" i="69"/>
  <c r="P429" i="69"/>
  <c r="O429" i="69"/>
  <c r="N429" i="69"/>
  <c r="M429" i="69"/>
  <c r="L429" i="69"/>
  <c r="K429" i="69"/>
  <c r="J429" i="69"/>
  <c r="I429" i="69"/>
  <c r="H429" i="69"/>
  <c r="G429" i="69"/>
  <c r="Q428" i="69"/>
  <c r="P428" i="69"/>
  <c r="O428" i="69"/>
  <c r="N428" i="69"/>
  <c r="M428" i="69"/>
  <c r="L428" i="69"/>
  <c r="K428" i="69"/>
  <c r="J428" i="69"/>
  <c r="I428" i="69"/>
  <c r="H428" i="69"/>
  <c r="G428" i="69"/>
  <c r="Q427" i="69"/>
  <c r="P427" i="69"/>
  <c r="O427" i="69"/>
  <c r="N427" i="69"/>
  <c r="M427" i="69"/>
  <c r="L427" i="69"/>
  <c r="K427" i="69"/>
  <c r="J427" i="69"/>
  <c r="I427" i="69"/>
  <c r="H427" i="69"/>
  <c r="G427" i="69"/>
  <c r="Q426" i="69"/>
  <c r="P426" i="69"/>
  <c r="O426" i="69"/>
  <c r="N426" i="69"/>
  <c r="M426" i="69"/>
  <c r="L426" i="69"/>
  <c r="K426" i="69"/>
  <c r="J426" i="69"/>
  <c r="I426" i="69"/>
  <c r="H426" i="69"/>
  <c r="G426" i="69"/>
  <c r="Q425" i="69"/>
  <c r="P425" i="69"/>
  <c r="O425" i="69"/>
  <c r="N425" i="69"/>
  <c r="M425" i="69"/>
  <c r="L425" i="69"/>
  <c r="K425" i="69"/>
  <c r="J425" i="69"/>
  <c r="I425" i="69"/>
  <c r="H425" i="69"/>
  <c r="G425" i="69"/>
  <c r="Q424" i="69"/>
  <c r="P424" i="69"/>
  <c r="O424" i="69"/>
  <c r="N424" i="69"/>
  <c r="M424" i="69"/>
  <c r="L424" i="69"/>
  <c r="K424" i="69"/>
  <c r="J424" i="69"/>
  <c r="I424" i="69"/>
  <c r="H424" i="69"/>
  <c r="G424" i="69"/>
  <c r="Q423" i="69"/>
  <c r="P423" i="69"/>
  <c r="O423" i="69"/>
  <c r="N423" i="69"/>
  <c r="M423" i="69"/>
  <c r="L423" i="69"/>
  <c r="K423" i="69"/>
  <c r="J423" i="69"/>
  <c r="I423" i="69"/>
  <c r="H423" i="69"/>
  <c r="G423" i="69"/>
  <c r="Q422" i="69"/>
  <c r="P422" i="69"/>
  <c r="O422" i="69"/>
  <c r="N422" i="69"/>
  <c r="M422" i="69"/>
  <c r="L422" i="69"/>
  <c r="K422" i="69"/>
  <c r="J422" i="69"/>
  <c r="I422" i="69"/>
  <c r="H422" i="69"/>
  <c r="G422" i="69"/>
  <c r="Q421" i="69"/>
  <c r="P421" i="69"/>
  <c r="O421" i="69"/>
  <c r="N421" i="69"/>
  <c r="M421" i="69"/>
  <c r="L421" i="69"/>
  <c r="K421" i="69"/>
  <c r="J421" i="69"/>
  <c r="I421" i="69"/>
  <c r="H421" i="69"/>
  <c r="G421" i="69"/>
  <c r="Q420" i="69"/>
  <c r="P420" i="69"/>
  <c r="O420" i="69"/>
  <c r="N420" i="69"/>
  <c r="M420" i="69"/>
  <c r="L420" i="69"/>
  <c r="K420" i="69"/>
  <c r="J420" i="69"/>
  <c r="I420" i="69"/>
  <c r="H420" i="69"/>
  <c r="G420" i="69"/>
  <c r="Q419" i="69"/>
  <c r="P419" i="69"/>
  <c r="O419" i="69"/>
  <c r="N419" i="69"/>
  <c r="M419" i="69"/>
  <c r="L419" i="69"/>
  <c r="K419" i="69"/>
  <c r="J419" i="69"/>
  <c r="I419" i="69"/>
  <c r="H419" i="69"/>
  <c r="G419" i="69"/>
  <c r="Q418" i="69"/>
  <c r="P418" i="69"/>
  <c r="O418" i="69"/>
  <c r="N418" i="69"/>
  <c r="M418" i="69"/>
  <c r="L418" i="69"/>
  <c r="K418" i="69"/>
  <c r="J418" i="69"/>
  <c r="I418" i="69"/>
  <c r="H418" i="69"/>
  <c r="G418" i="69"/>
  <c r="Q417" i="69"/>
  <c r="P417" i="69"/>
  <c r="O417" i="69"/>
  <c r="N417" i="69"/>
  <c r="M417" i="69"/>
  <c r="L417" i="69"/>
  <c r="K417" i="69"/>
  <c r="J417" i="69"/>
  <c r="I417" i="69"/>
  <c r="H417" i="69"/>
  <c r="G417" i="69"/>
  <c r="Q416" i="69"/>
  <c r="P416" i="69"/>
  <c r="O416" i="69"/>
  <c r="N416" i="69"/>
  <c r="M416" i="69"/>
  <c r="L416" i="69"/>
  <c r="K416" i="69"/>
  <c r="J416" i="69"/>
  <c r="I416" i="69"/>
  <c r="H416" i="69"/>
  <c r="G416" i="69"/>
  <c r="Q415" i="69"/>
  <c r="P415" i="69"/>
  <c r="O415" i="69"/>
  <c r="N415" i="69"/>
  <c r="M415" i="69"/>
  <c r="L415" i="69"/>
  <c r="K415" i="69"/>
  <c r="J415" i="69"/>
  <c r="I415" i="69"/>
  <c r="H415" i="69"/>
  <c r="G415" i="69"/>
  <c r="Q414" i="69"/>
  <c r="P414" i="69"/>
  <c r="O414" i="69"/>
  <c r="N414" i="69"/>
  <c r="M414" i="69"/>
  <c r="L414" i="69"/>
  <c r="K414" i="69"/>
  <c r="J414" i="69"/>
  <c r="I414" i="69"/>
  <c r="H414" i="69"/>
  <c r="G414" i="69"/>
  <c r="Q413" i="69"/>
  <c r="P413" i="69"/>
  <c r="O413" i="69"/>
  <c r="N413" i="69"/>
  <c r="M413" i="69"/>
  <c r="L413" i="69"/>
  <c r="K413" i="69"/>
  <c r="J413" i="69"/>
  <c r="I413" i="69"/>
  <c r="H413" i="69"/>
  <c r="G413" i="69"/>
  <c r="Q412" i="69"/>
  <c r="P412" i="69"/>
  <c r="O412" i="69"/>
  <c r="N412" i="69"/>
  <c r="M412" i="69"/>
  <c r="L412" i="69"/>
  <c r="K412" i="69"/>
  <c r="J412" i="69"/>
  <c r="I412" i="69"/>
  <c r="H412" i="69"/>
  <c r="G412" i="69"/>
  <c r="Q411" i="69"/>
  <c r="P411" i="69"/>
  <c r="O411" i="69"/>
  <c r="N411" i="69"/>
  <c r="M411" i="69"/>
  <c r="L411" i="69"/>
  <c r="K411" i="69"/>
  <c r="J411" i="69"/>
  <c r="I411" i="69"/>
  <c r="H411" i="69"/>
  <c r="G411" i="69"/>
  <c r="Q410" i="69"/>
  <c r="P410" i="69"/>
  <c r="O410" i="69"/>
  <c r="N410" i="69"/>
  <c r="M410" i="69"/>
  <c r="L410" i="69"/>
  <c r="K410" i="69"/>
  <c r="J410" i="69"/>
  <c r="I410" i="69"/>
  <c r="H410" i="69"/>
  <c r="G410" i="69"/>
  <c r="Q409" i="69"/>
  <c r="P409" i="69"/>
  <c r="O409" i="69"/>
  <c r="N409" i="69"/>
  <c r="M409" i="69"/>
  <c r="L409" i="69"/>
  <c r="K409" i="69"/>
  <c r="J409" i="69"/>
  <c r="I409" i="69"/>
  <c r="H409" i="69"/>
  <c r="G409" i="69"/>
  <c r="Q408" i="69"/>
  <c r="P408" i="69"/>
  <c r="O408" i="69"/>
  <c r="N408" i="69"/>
  <c r="M408" i="69"/>
  <c r="L408" i="69"/>
  <c r="K408" i="69"/>
  <c r="J408" i="69"/>
  <c r="I408" i="69"/>
  <c r="H408" i="69"/>
  <c r="G408" i="69"/>
  <c r="Q407" i="69"/>
  <c r="P407" i="69"/>
  <c r="O407" i="69"/>
  <c r="N407" i="69"/>
  <c r="M407" i="69"/>
  <c r="L407" i="69"/>
  <c r="K407" i="69"/>
  <c r="J407" i="69"/>
  <c r="I407" i="69"/>
  <c r="H407" i="69"/>
  <c r="G407" i="69"/>
  <c r="Q406" i="69"/>
  <c r="P406" i="69"/>
  <c r="O406" i="69"/>
  <c r="N406" i="69"/>
  <c r="M406" i="69"/>
  <c r="L406" i="69"/>
  <c r="K406" i="69"/>
  <c r="J406" i="69"/>
  <c r="I406" i="69"/>
  <c r="H406" i="69"/>
  <c r="G406" i="69"/>
  <c r="Q405" i="69"/>
  <c r="P405" i="69"/>
  <c r="O405" i="69"/>
  <c r="N405" i="69"/>
  <c r="M405" i="69"/>
  <c r="L405" i="69"/>
  <c r="K405" i="69"/>
  <c r="J405" i="69"/>
  <c r="I405" i="69"/>
  <c r="H405" i="69"/>
  <c r="G405" i="69"/>
  <c r="Q404" i="69"/>
  <c r="P404" i="69"/>
  <c r="O404" i="69"/>
  <c r="N404" i="69"/>
  <c r="M404" i="69"/>
  <c r="L404" i="69"/>
  <c r="K404" i="69"/>
  <c r="J404" i="69"/>
  <c r="I404" i="69"/>
  <c r="H404" i="69"/>
  <c r="G404" i="69"/>
  <c r="Q403" i="69"/>
  <c r="P403" i="69"/>
  <c r="O403" i="69"/>
  <c r="N403" i="69"/>
  <c r="M403" i="69"/>
  <c r="L403" i="69"/>
  <c r="K403" i="69"/>
  <c r="J403" i="69"/>
  <c r="I403" i="69"/>
  <c r="H403" i="69"/>
  <c r="G403" i="69"/>
  <c r="Q402" i="69"/>
  <c r="P402" i="69"/>
  <c r="O402" i="69"/>
  <c r="N402" i="69"/>
  <c r="M402" i="69"/>
  <c r="L402" i="69"/>
  <c r="K402" i="69"/>
  <c r="J402" i="69"/>
  <c r="I402" i="69"/>
  <c r="H402" i="69"/>
  <c r="G402" i="69"/>
  <c r="Q401" i="69"/>
  <c r="P401" i="69"/>
  <c r="O401" i="69"/>
  <c r="N401" i="69"/>
  <c r="M401" i="69"/>
  <c r="L401" i="69"/>
  <c r="K401" i="69"/>
  <c r="J401" i="69"/>
  <c r="I401" i="69"/>
  <c r="H401" i="69"/>
  <c r="G401" i="69"/>
  <c r="Q400" i="69"/>
  <c r="P400" i="69"/>
  <c r="O400" i="69"/>
  <c r="N400" i="69"/>
  <c r="M400" i="69"/>
  <c r="L400" i="69"/>
  <c r="K400" i="69"/>
  <c r="J400" i="69"/>
  <c r="I400" i="69"/>
  <c r="H400" i="69"/>
  <c r="G400" i="69"/>
  <c r="Q399" i="69"/>
  <c r="P399" i="69"/>
  <c r="O399" i="69"/>
  <c r="N399" i="69"/>
  <c r="M399" i="69"/>
  <c r="L399" i="69"/>
  <c r="K399" i="69"/>
  <c r="J399" i="69"/>
  <c r="I399" i="69"/>
  <c r="H399" i="69"/>
  <c r="G399" i="69"/>
  <c r="Q398" i="69"/>
  <c r="P398" i="69"/>
  <c r="O398" i="69"/>
  <c r="N398" i="69"/>
  <c r="M398" i="69"/>
  <c r="L398" i="69"/>
  <c r="K398" i="69"/>
  <c r="J398" i="69"/>
  <c r="I398" i="69"/>
  <c r="H398" i="69"/>
  <c r="G398" i="69"/>
  <c r="Q397" i="69"/>
  <c r="P397" i="69"/>
  <c r="O397" i="69"/>
  <c r="N397" i="69"/>
  <c r="M397" i="69"/>
  <c r="L397" i="69"/>
  <c r="K397" i="69"/>
  <c r="J397" i="69"/>
  <c r="I397" i="69"/>
  <c r="H397" i="69"/>
  <c r="G397" i="69"/>
  <c r="Q396" i="69"/>
  <c r="P396" i="69"/>
  <c r="O396" i="69"/>
  <c r="N396" i="69"/>
  <c r="M396" i="69"/>
  <c r="L396" i="69"/>
  <c r="K396" i="69"/>
  <c r="J396" i="69"/>
  <c r="I396" i="69"/>
  <c r="H396" i="69"/>
  <c r="G396" i="69"/>
  <c r="Q395" i="69"/>
  <c r="P395" i="69"/>
  <c r="O395" i="69"/>
  <c r="N395" i="69"/>
  <c r="M395" i="69"/>
  <c r="L395" i="69"/>
  <c r="K395" i="69"/>
  <c r="J395" i="69"/>
  <c r="I395" i="69"/>
  <c r="H395" i="69"/>
  <c r="G395" i="69"/>
  <c r="Q394" i="69"/>
  <c r="P394" i="69"/>
  <c r="O394" i="69"/>
  <c r="N394" i="69"/>
  <c r="M394" i="69"/>
  <c r="L394" i="69"/>
  <c r="K394" i="69"/>
  <c r="J394" i="69"/>
  <c r="I394" i="69"/>
  <c r="H394" i="69"/>
  <c r="G394" i="69"/>
  <c r="Q393" i="69"/>
  <c r="P393" i="69"/>
  <c r="O393" i="69"/>
  <c r="N393" i="69"/>
  <c r="M393" i="69"/>
  <c r="L393" i="69"/>
  <c r="K393" i="69"/>
  <c r="J393" i="69"/>
  <c r="I393" i="69"/>
  <c r="H393" i="69"/>
  <c r="G393" i="69"/>
  <c r="Q392" i="69"/>
  <c r="P392" i="69"/>
  <c r="O392" i="69"/>
  <c r="N392" i="69"/>
  <c r="M392" i="69"/>
  <c r="L392" i="69"/>
  <c r="K392" i="69"/>
  <c r="J392" i="69"/>
  <c r="I392" i="69"/>
  <c r="H392" i="69"/>
  <c r="G392" i="69"/>
  <c r="Q391" i="69"/>
  <c r="P391" i="69"/>
  <c r="O391" i="69"/>
  <c r="N391" i="69"/>
  <c r="M391" i="69"/>
  <c r="L391" i="69"/>
  <c r="K391" i="69"/>
  <c r="J391" i="69"/>
  <c r="I391" i="69"/>
  <c r="H391" i="69"/>
  <c r="G391" i="69"/>
  <c r="Q390" i="69"/>
  <c r="P390" i="69"/>
  <c r="O390" i="69"/>
  <c r="N390" i="69"/>
  <c r="M390" i="69"/>
  <c r="L390" i="69"/>
  <c r="K390" i="69"/>
  <c r="J390" i="69"/>
  <c r="I390" i="69"/>
  <c r="H390" i="69"/>
  <c r="G390" i="69"/>
  <c r="Q389" i="69"/>
  <c r="P389" i="69"/>
  <c r="O389" i="69"/>
  <c r="N389" i="69"/>
  <c r="M389" i="69"/>
  <c r="L389" i="69"/>
  <c r="K389" i="69"/>
  <c r="J389" i="69"/>
  <c r="I389" i="69"/>
  <c r="H389" i="69"/>
  <c r="G389" i="69"/>
  <c r="Q388" i="69"/>
  <c r="P388" i="69"/>
  <c r="O388" i="69"/>
  <c r="N388" i="69"/>
  <c r="M388" i="69"/>
  <c r="L388" i="69"/>
  <c r="K388" i="69"/>
  <c r="J388" i="69"/>
  <c r="I388" i="69"/>
  <c r="H388" i="69"/>
  <c r="G388" i="69"/>
  <c r="Q387" i="69"/>
  <c r="P387" i="69"/>
  <c r="O387" i="69"/>
  <c r="N387" i="69"/>
  <c r="M387" i="69"/>
  <c r="L387" i="69"/>
  <c r="K387" i="69"/>
  <c r="J387" i="69"/>
  <c r="I387" i="69"/>
  <c r="H387" i="69"/>
  <c r="G387" i="69"/>
  <c r="Q386" i="69"/>
  <c r="P386" i="69"/>
  <c r="O386" i="69"/>
  <c r="N386" i="69"/>
  <c r="M386" i="69"/>
  <c r="L386" i="69"/>
  <c r="K386" i="69"/>
  <c r="J386" i="69"/>
  <c r="I386" i="69"/>
  <c r="H386" i="69"/>
  <c r="G386" i="69"/>
  <c r="Q385" i="69"/>
  <c r="P385" i="69"/>
  <c r="O385" i="69"/>
  <c r="N385" i="69"/>
  <c r="M385" i="69"/>
  <c r="L385" i="69"/>
  <c r="K385" i="69"/>
  <c r="J385" i="69"/>
  <c r="I385" i="69"/>
  <c r="H385" i="69"/>
  <c r="G385" i="69"/>
  <c r="Q384" i="69"/>
  <c r="P384" i="69"/>
  <c r="O384" i="69"/>
  <c r="N384" i="69"/>
  <c r="M384" i="69"/>
  <c r="L384" i="69"/>
  <c r="K384" i="69"/>
  <c r="J384" i="69"/>
  <c r="I384" i="69"/>
  <c r="H384" i="69"/>
  <c r="G384" i="69"/>
  <c r="Q383" i="69"/>
  <c r="P383" i="69"/>
  <c r="O383" i="69"/>
  <c r="N383" i="69"/>
  <c r="M383" i="69"/>
  <c r="L383" i="69"/>
  <c r="K383" i="69"/>
  <c r="J383" i="69"/>
  <c r="I383" i="69"/>
  <c r="H383" i="69"/>
  <c r="G383" i="69"/>
  <c r="Q382" i="69"/>
  <c r="P382" i="69"/>
  <c r="O382" i="69"/>
  <c r="N382" i="69"/>
  <c r="M382" i="69"/>
  <c r="L382" i="69"/>
  <c r="K382" i="69"/>
  <c r="J382" i="69"/>
  <c r="I382" i="69"/>
  <c r="H382" i="69"/>
  <c r="G382" i="69"/>
  <c r="Q381" i="69"/>
  <c r="P381" i="69"/>
  <c r="O381" i="69"/>
  <c r="N381" i="69"/>
  <c r="M381" i="69"/>
  <c r="L381" i="69"/>
  <c r="K381" i="69"/>
  <c r="J381" i="69"/>
  <c r="I381" i="69"/>
  <c r="H381" i="69"/>
  <c r="G381" i="69"/>
  <c r="Q380" i="69"/>
  <c r="P380" i="69"/>
  <c r="O380" i="69"/>
  <c r="N380" i="69"/>
  <c r="M380" i="69"/>
  <c r="L380" i="69"/>
  <c r="K380" i="69"/>
  <c r="J380" i="69"/>
  <c r="I380" i="69"/>
  <c r="H380" i="69"/>
  <c r="G380" i="69"/>
  <c r="Q379" i="69"/>
  <c r="P379" i="69"/>
  <c r="O379" i="69"/>
  <c r="N379" i="69"/>
  <c r="M379" i="69"/>
  <c r="L379" i="69"/>
  <c r="K379" i="69"/>
  <c r="J379" i="69"/>
  <c r="I379" i="69"/>
  <c r="H379" i="69"/>
  <c r="G379" i="69"/>
  <c r="Q378" i="69"/>
  <c r="P378" i="69"/>
  <c r="O378" i="69"/>
  <c r="N378" i="69"/>
  <c r="M378" i="69"/>
  <c r="L378" i="69"/>
  <c r="K378" i="69"/>
  <c r="J378" i="69"/>
  <c r="I378" i="69"/>
  <c r="H378" i="69"/>
  <c r="G378" i="69"/>
  <c r="Q377" i="69"/>
  <c r="P377" i="69"/>
  <c r="O377" i="69"/>
  <c r="N377" i="69"/>
  <c r="M377" i="69"/>
  <c r="L377" i="69"/>
  <c r="K377" i="69"/>
  <c r="J377" i="69"/>
  <c r="I377" i="69"/>
  <c r="H377" i="69"/>
  <c r="G377" i="69"/>
  <c r="Q376" i="69"/>
  <c r="P376" i="69"/>
  <c r="O376" i="69"/>
  <c r="N376" i="69"/>
  <c r="M376" i="69"/>
  <c r="L376" i="69"/>
  <c r="K376" i="69"/>
  <c r="J376" i="69"/>
  <c r="I376" i="69"/>
  <c r="H376" i="69"/>
  <c r="G376" i="69"/>
  <c r="Q375" i="69"/>
  <c r="P375" i="69"/>
  <c r="O375" i="69"/>
  <c r="N375" i="69"/>
  <c r="M375" i="69"/>
  <c r="L375" i="69"/>
  <c r="K375" i="69"/>
  <c r="J375" i="69"/>
  <c r="I375" i="69"/>
  <c r="H375" i="69"/>
  <c r="G375" i="69"/>
  <c r="Q374" i="69"/>
  <c r="P374" i="69"/>
  <c r="O374" i="69"/>
  <c r="N374" i="69"/>
  <c r="M374" i="69"/>
  <c r="L374" i="69"/>
  <c r="K374" i="69"/>
  <c r="J374" i="69"/>
  <c r="I374" i="69"/>
  <c r="H374" i="69"/>
  <c r="G374" i="69"/>
  <c r="Q373" i="69"/>
  <c r="P373" i="69"/>
  <c r="O373" i="69"/>
  <c r="N373" i="69"/>
  <c r="M373" i="69"/>
  <c r="L373" i="69"/>
  <c r="K373" i="69"/>
  <c r="J373" i="69"/>
  <c r="I373" i="69"/>
  <c r="H373" i="69"/>
  <c r="G373" i="69"/>
  <c r="Q372" i="69"/>
  <c r="P372" i="69"/>
  <c r="O372" i="69"/>
  <c r="N372" i="69"/>
  <c r="M372" i="69"/>
  <c r="L372" i="69"/>
  <c r="K372" i="69"/>
  <c r="J372" i="69"/>
  <c r="I372" i="69"/>
  <c r="H372" i="69"/>
  <c r="G372" i="69"/>
  <c r="Q371" i="69"/>
  <c r="P371" i="69"/>
  <c r="O371" i="69"/>
  <c r="N371" i="69"/>
  <c r="M371" i="69"/>
  <c r="L371" i="69"/>
  <c r="K371" i="69"/>
  <c r="J371" i="69"/>
  <c r="I371" i="69"/>
  <c r="H371" i="69"/>
  <c r="G371" i="69"/>
  <c r="Q370" i="69"/>
  <c r="P370" i="69"/>
  <c r="O370" i="69"/>
  <c r="N370" i="69"/>
  <c r="M370" i="69"/>
  <c r="L370" i="69"/>
  <c r="K370" i="69"/>
  <c r="J370" i="69"/>
  <c r="I370" i="69"/>
  <c r="H370" i="69"/>
  <c r="G370" i="69"/>
  <c r="Q369" i="69"/>
  <c r="P369" i="69"/>
  <c r="O369" i="69"/>
  <c r="N369" i="69"/>
  <c r="M369" i="69"/>
  <c r="L369" i="69"/>
  <c r="K369" i="69"/>
  <c r="J369" i="69"/>
  <c r="I369" i="69"/>
  <c r="H369" i="69"/>
  <c r="G369" i="69"/>
  <c r="Q368" i="69"/>
  <c r="P368" i="69"/>
  <c r="O368" i="69"/>
  <c r="N368" i="69"/>
  <c r="M368" i="69"/>
  <c r="L368" i="69"/>
  <c r="K368" i="69"/>
  <c r="J368" i="69"/>
  <c r="I368" i="69"/>
  <c r="H368" i="69"/>
  <c r="G368" i="69"/>
  <c r="Q367" i="69"/>
  <c r="P367" i="69"/>
  <c r="O367" i="69"/>
  <c r="N367" i="69"/>
  <c r="M367" i="69"/>
  <c r="L367" i="69"/>
  <c r="K367" i="69"/>
  <c r="J367" i="69"/>
  <c r="I367" i="69"/>
  <c r="H367" i="69"/>
  <c r="G367" i="69"/>
  <c r="Q366" i="69"/>
  <c r="P366" i="69"/>
  <c r="O366" i="69"/>
  <c r="N366" i="69"/>
  <c r="M366" i="69"/>
  <c r="L366" i="69"/>
  <c r="K366" i="69"/>
  <c r="J366" i="69"/>
  <c r="I366" i="69"/>
  <c r="H366" i="69"/>
  <c r="G366" i="69"/>
  <c r="Q365" i="69"/>
  <c r="P365" i="69"/>
  <c r="O365" i="69"/>
  <c r="N365" i="69"/>
  <c r="M365" i="69"/>
  <c r="L365" i="69"/>
  <c r="K365" i="69"/>
  <c r="J365" i="69"/>
  <c r="I365" i="69"/>
  <c r="H365" i="69"/>
  <c r="G365" i="69"/>
  <c r="Q364" i="69"/>
  <c r="P364" i="69"/>
  <c r="O364" i="69"/>
  <c r="N364" i="69"/>
  <c r="M364" i="69"/>
  <c r="L364" i="69"/>
  <c r="K364" i="69"/>
  <c r="J364" i="69"/>
  <c r="I364" i="69"/>
  <c r="H364" i="69"/>
  <c r="G364" i="69"/>
  <c r="Q363" i="69"/>
  <c r="P363" i="69"/>
  <c r="O363" i="69"/>
  <c r="N363" i="69"/>
  <c r="M363" i="69"/>
  <c r="L363" i="69"/>
  <c r="K363" i="69"/>
  <c r="J363" i="69"/>
  <c r="I363" i="69"/>
  <c r="H363" i="69"/>
  <c r="G363" i="69"/>
  <c r="Q362" i="69"/>
  <c r="P362" i="69"/>
  <c r="O362" i="69"/>
  <c r="N362" i="69"/>
  <c r="M362" i="69"/>
  <c r="L362" i="69"/>
  <c r="K362" i="69"/>
  <c r="J362" i="69"/>
  <c r="I362" i="69"/>
  <c r="H362" i="69"/>
  <c r="G362" i="69"/>
  <c r="Q361" i="69"/>
  <c r="P361" i="69"/>
  <c r="O361" i="69"/>
  <c r="N361" i="69"/>
  <c r="M361" i="69"/>
  <c r="L361" i="69"/>
  <c r="K361" i="69"/>
  <c r="J361" i="69"/>
  <c r="I361" i="69"/>
  <c r="H361" i="69"/>
  <c r="G361" i="69"/>
  <c r="Q360" i="69"/>
  <c r="P360" i="69"/>
  <c r="O360" i="69"/>
  <c r="N360" i="69"/>
  <c r="M360" i="69"/>
  <c r="L360" i="69"/>
  <c r="K360" i="69"/>
  <c r="J360" i="69"/>
  <c r="I360" i="69"/>
  <c r="H360" i="69"/>
  <c r="G360" i="69"/>
  <c r="Q359" i="69"/>
  <c r="P359" i="69"/>
  <c r="O359" i="69"/>
  <c r="N359" i="69"/>
  <c r="M359" i="69"/>
  <c r="L359" i="69"/>
  <c r="K359" i="69"/>
  <c r="J359" i="69"/>
  <c r="I359" i="69"/>
  <c r="H359" i="69"/>
  <c r="G359" i="69"/>
  <c r="Q358" i="69"/>
  <c r="P358" i="69"/>
  <c r="O358" i="69"/>
  <c r="N358" i="69"/>
  <c r="M358" i="69"/>
  <c r="L358" i="69"/>
  <c r="K358" i="69"/>
  <c r="J358" i="69"/>
  <c r="I358" i="69"/>
  <c r="H358" i="69"/>
  <c r="G358" i="69"/>
  <c r="Q357" i="69"/>
  <c r="P357" i="69"/>
  <c r="O357" i="69"/>
  <c r="N357" i="69"/>
  <c r="M357" i="69"/>
  <c r="L357" i="69"/>
  <c r="K357" i="69"/>
  <c r="J357" i="69"/>
  <c r="I357" i="69"/>
  <c r="H357" i="69"/>
  <c r="G357" i="69"/>
  <c r="Q356" i="69"/>
  <c r="P356" i="69"/>
  <c r="O356" i="69"/>
  <c r="N356" i="69"/>
  <c r="M356" i="69"/>
  <c r="L356" i="69"/>
  <c r="K356" i="69"/>
  <c r="J356" i="69"/>
  <c r="I356" i="69"/>
  <c r="H356" i="69"/>
  <c r="G356" i="69"/>
  <c r="Q355" i="69"/>
  <c r="P355" i="69"/>
  <c r="O355" i="69"/>
  <c r="N355" i="69"/>
  <c r="M355" i="69"/>
  <c r="L355" i="69"/>
  <c r="K355" i="69"/>
  <c r="J355" i="69"/>
  <c r="I355" i="69"/>
  <c r="H355" i="69"/>
  <c r="G355" i="69"/>
  <c r="Q354" i="69"/>
  <c r="P354" i="69"/>
  <c r="O354" i="69"/>
  <c r="N354" i="69"/>
  <c r="M354" i="69"/>
  <c r="L354" i="69"/>
  <c r="K354" i="69"/>
  <c r="J354" i="69"/>
  <c r="I354" i="69"/>
  <c r="H354" i="69"/>
  <c r="G354" i="69"/>
  <c r="Q353" i="69"/>
  <c r="P353" i="69"/>
  <c r="O353" i="69"/>
  <c r="N353" i="69"/>
  <c r="M353" i="69"/>
  <c r="L353" i="69"/>
  <c r="K353" i="69"/>
  <c r="J353" i="69"/>
  <c r="I353" i="69"/>
  <c r="H353" i="69"/>
  <c r="G353" i="69"/>
  <c r="Q352" i="69"/>
  <c r="P352" i="69"/>
  <c r="O352" i="69"/>
  <c r="N352" i="69"/>
  <c r="M352" i="69"/>
  <c r="L352" i="69"/>
  <c r="K352" i="69"/>
  <c r="J352" i="69"/>
  <c r="I352" i="69"/>
  <c r="H352" i="69"/>
  <c r="G352" i="69"/>
  <c r="Q351" i="69"/>
  <c r="P351" i="69"/>
  <c r="O351" i="69"/>
  <c r="N351" i="69"/>
  <c r="M351" i="69"/>
  <c r="L351" i="69"/>
  <c r="K351" i="69"/>
  <c r="J351" i="69"/>
  <c r="I351" i="69"/>
  <c r="H351" i="69"/>
  <c r="G351" i="69"/>
  <c r="Q350" i="69"/>
  <c r="P350" i="69"/>
  <c r="O350" i="69"/>
  <c r="N350" i="69"/>
  <c r="M350" i="69"/>
  <c r="L350" i="69"/>
  <c r="K350" i="69"/>
  <c r="J350" i="69"/>
  <c r="I350" i="69"/>
  <c r="H350" i="69"/>
  <c r="G350" i="69"/>
  <c r="Q349" i="69"/>
  <c r="P349" i="69"/>
  <c r="O349" i="69"/>
  <c r="N349" i="69"/>
  <c r="M349" i="69"/>
  <c r="L349" i="69"/>
  <c r="K349" i="69"/>
  <c r="J349" i="69"/>
  <c r="I349" i="69"/>
  <c r="H349" i="69"/>
  <c r="G349" i="69"/>
  <c r="Q348" i="69"/>
  <c r="P348" i="69"/>
  <c r="O348" i="69"/>
  <c r="N348" i="69"/>
  <c r="M348" i="69"/>
  <c r="L348" i="69"/>
  <c r="K348" i="69"/>
  <c r="J348" i="69"/>
  <c r="I348" i="69"/>
  <c r="H348" i="69"/>
  <c r="G348" i="69"/>
  <c r="Q347" i="69"/>
  <c r="P347" i="69"/>
  <c r="O347" i="69"/>
  <c r="N347" i="69"/>
  <c r="M347" i="69"/>
  <c r="L347" i="69"/>
  <c r="K347" i="69"/>
  <c r="J347" i="69"/>
  <c r="I347" i="69"/>
  <c r="H347" i="69"/>
  <c r="G347" i="69"/>
  <c r="Q346" i="69"/>
  <c r="P346" i="69"/>
  <c r="O346" i="69"/>
  <c r="N346" i="69"/>
  <c r="M346" i="69"/>
  <c r="L346" i="69"/>
  <c r="K346" i="69"/>
  <c r="J346" i="69"/>
  <c r="I346" i="69"/>
  <c r="H346" i="69"/>
  <c r="G346" i="69"/>
  <c r="Q345" i="69"/>
  <c r="P345" i="69"/>
  <c r="O345" i="69"/>
  <c r="N345" i="69"/>
  <c r="M345" i="69"/>
  <c r="L345" i="69"/>
  <c r="K345" i="69"/>
  <c r="J345" i="69"/>
  <c r="I345" i="69"/>
  <c r="H345" i="69"/>
  <c r="G345" i="69"/>
  <c r="Q344" i="69"/>
  <c r="P344" i="69"/>
  <c r="O344" i="69"/>
  <c r="N344" i="69"/>
  <c r="M344" i="69"/>
  <c r="L344" i="69"/>
  <c r="K344" i="69"/>
  <c r="J344" i="69"/>
  <c r="I344" i="69"/>
  <c r="H344" i="69"/>
  <c r="G344" i="69"/>
  <c r="Q343" i="69"/>
  <c r="P343" i="69"/>
  <c r="O343" i="69"/>
  <c r="N343" i="69"/>
  <c r="M343" i="69"/>
  <c r="L343" i="69"/>
  <c r="K343" i="69"/>
  <c r="J343" i="69"/>
  <c r="I343" i="69"/>
  <c r="H343" i="69"/>
  <c r="G343" i="69"/>
  <c r="Q342" i="69"/>
  <c r="P342" i="69"/>
  <c r="O342" i="69"/>
  <c r="N342" i="69"/>
  <c r="M342" i="69"/>
  <c r="L342" i="69"/>
  <c r="K342" i="69"/>
  <c r="J342" i="69"/>
  <c r="I342" i="69"/>
  <c r="H342" i="69"/>
  <c r="G342" i="69"/>
  <c r="Q341" i="69"/>
  <c r="P341" i="69"/>
  <c r="O341" i="69"/>
  <c r="N341" i="69"/>
  <c r="M341" i="69"/>
  <c r="L341" i="69"/>
  <c r="K341" i="69"/>
  <c r="J341" i="69"/>
  <c r="I341" i="69"/>
  <c r="H341" i="69"/>
  <c r="G341" i="69"/>
  <c r="Q340" i="69"/>
  <c r="P340" i="69"/>
  <c r="O340" i="69"/>
  <c r="N340" i="69"/>
  <c r="M340" i="69"/>
  <c r="L340" i="69"/>
  <c r="K340" i="69"/>
  <c r="J340" i="69"/>
  <c r="I340" i="69"/>
  <c r="H340" i="69"/>
  <c r="G340" i="69"/>
  <c r="Q339" i="69"/>
  <c r="P339" i="69"/>
  <c r="O339" i="69"/>
  <c r="N339" i="69"/>
  <c r="M339" i="69"/>
  <c r="L339" i="69"/>
  <c r="K339" i="69"/>
  <c r="J339" i="69"/>
  <c r="I339" i="69"/>
  <c r="H339" i="69"/>
  <c r="G339" i="69"/>
  <c r="Q338" i="69"/>
  <c r="P338" i="69"/>
  <c r="O338" i="69"/>
  <c r="N338" i="69"/>
  <c r="M338" i="69"/>
  <c r="L338" i="69"/>
  <c r="K338" i="69"/>
  <c r="J338" i="69"/>
  <c r="I338" i="69"/>
  <c r="H338" i="69"/>
  <c r="G338" i="69"/>
  <c r="Q337" i="69"/>
  <c r="P337" i="69"/>
  <c r="O337" i="69"/>
  <c r="N337" i="69"/>
  <c r="M337" i="69"/>
  <c r="L337" i="69"/>
  <c r="K337" i="69"/>
  <c r="J337" i="69"/>
  <c r="I337" i="69"/>
  <c r="H337" i="69"/>
  <c r="G337" i="69"/>
  <c r="Q336" i="69"/>
  <c r="P336" i="69"/>
  <c r="O336" i="69"/>
  <c r="N336" i="69"/>
  <c r="M336" i="69"/>
  <c r="L336" i="69"/>
  <c r="K336" i="69"/>
  <c r="J336" i="69"/>
  <c r="I336" i="69"/>
  <c r="H336" i="69"/>
  <c r="G336" i="69"/>
  <c r="Q335" i="69"/>
  <c r="P335" i="69"/>
  <c r="O335" i="69"/>
  <c r="N335" i="69"/>
  <c r="M335" i="69"/>
  <c r="L335" i="69"/>
  <c r="K335" i="69"/>
  <c r="J335" i="69"/>
  <c r="I335" i="69"/>
  <c r="H335" i="69"/>
  <c r="G335" i="69"/>
  <c r="Q334" i="69"/>
  <c r="P334" i="69"/>
  <c r="O334" i="69"/>
  <c r="N334" i="69"/>
  <c r="M334" i="69"/>
  <c r="L334" i="69"/>
  <c r="K334" i="69"/>
  <c r="J334" i="69"/>
  <c r="I334" i="69"/>
  <c r="H334" i="69"/>
  <c r="G334" i="69"/>
  <c r="Q333" i="69"/>
  <c r="P333" i="69"/>
  <c r="O333" i="69"/>
  <c r="N333" i="69"/>
  <c r="M333" i="69"/>
  <c r="L333" i="69"/>
  <c r="K333" i="69"/>
  <c r="J333" i="69"/>
  <c r="I333" i="69"/>
  <c r="H333" i="69"/>
  <c r="G333" i="69"/>
  <c r="Q332" i="69"/>
  <c r="P332" i="69"/>
  <c r="O332" i="69"/>
  <c r="N332" i="69"/>
  <c r="M332" i="69"/>
  <c r="L332" i="69"/>
  <c r="K332" i="69"/>
  <c r="J332" i="69"/>
  <c r="I332" i="69"/>
  <c r="H332" i="69"/>
  <c r="G332" i="69"/>
  <c r="Q331" i="69"/>
  <c r="P331" i="69"/>
  <c r="O331" i="69"/>
  <c r="N331" i="69"/>
  <c r="M331" i="69"/>
  <c r="L331" i="69"/>
  <c r="K331" i="69"/>
  <c r="J331" i="69"/>
  <c r="I331" i="69"/>
  <c r="H331" i="69"/>
  <c r="G331" i="69"/>
  <c r="Q330" i="69"/>
  <c r="P330" i="69"/>
  <c r="O330" i="69"/>
  <c r="N330" i="69"/>
  <c r="M330" i="69"/>
  <c r="L330" i="69"/>
  <c r="K330" i="69"/>
  <c r="J330" i="69"/>
  <c r="I330" i="69"/>
  <c r="H330" i="69"/>
  <c r="G330" i="69"/>
  <c r="Q329" i="69"/>
  <c r="P329" i="69"/>
  <c r="O329" i="69"/>
  <c r="N329" i="69"/>
  <c r="M329" i="69"/>
  <c r="L329" i="69"/>
  <c r="K329" i="69"/>
  <c r="J329" i="69"/>
  <c r="I329" i="69"/>
  <c r="H329" i="69"/>
  <c r="G329" i="69"/>
  <c r="Q328" i="69"/>
  <c r="P328" i="69"/>
  <c r="O328" i="69"/>
  <c r="N328" i="69"/>
  <c r="M328" i="69"/>
  <c r="L328" i="69"/>
  <c r="K328" i="69"/>
  <c r="J328" i="69"/>
  <c r="I328" i="69"/>
  <c r="H328" i="69"/>
  <c r="G328" i="69"/>
  <c r="Q327" i="69"/>
  <c r="P327" i="69"/>
  <c r="O327" i="69"/>
  <c r="N327" i="69"/>
  <c r="M327" i="69"/>
  <c r="L327" i="69"/>
  <c r="K327" i="69"/>
  <c r="J327" i="69"/>
  <c r="I327" i="69"/>
  <c r="H327" i="69"/>
  <c r="G327" i="69"/>
  <c r="Q326" i="69"/>
  <c r="P326" i="69"/>
  <c r="O326" i="69"/>
  <c r="N326" i="69"/>
  <c r="M326" i="69"/>
  <c r="L326" i="69"/>
  <c r="K326" i="69"/>
  <c r="J326" i="69"/>
  <c r="I326" i="69"/>
  <c r="H326" i="69"/>
  <c r="G326" i="69"/>
  <c r="Q325" i="69"/>
  <c r="P325" i="69"/>
  <c r="O325" i="69"/>
  <c r="N325" i="69"/>
  <c r="M325" i="69"/>
  <c r="L325" i="69"/>
  <c r="K325" i="69"/>
  <c r="J325" i="69"/>
  <c r="I325" i="69"/>
  <c r="H325" i="69"/>
  <c r="G325" i="69"/>
  <c r="Q324" i="69"/>
  <c r="P324" i="69"/>
  <c r="O324" i="69"/>
  <c r="N324" i="69"/>
  <c r="M324" i="69"/>
  <c r="L324" i="69"/>
  <c r="K324" i="69"/>
  <c r="J324" i="69"/>
  <c r="I324" i="69"/>
  <c r="H324" i="69"/>
  <c r="G324" i="69"/>
  <c r="Q323" i="69"/>
  <c r="P323" i="69"/>
  <c r="O323" i="69"/>
  <c r="N323" i="69"/>
  <c r="M323" i="69"/>
  <c r="L323" i="69"/>
  <c r="K323" i="69"/>
  <c r="J323" i="69"/>
  <c r="I323" i="69"/>
  <c r="H323" i="69"/>
  <c r="G323" i="69"/>
  <c r="Q322" i="69"/>
  <c r="P322" i="69"/>
  <c r="O322" i="69"/>
  <c r="N322" i="69"/>
  <c r="M322" i="69"/>
  <c r="L322" i="69"/>
  <c r="K322" i="69"/>
  <c r="J322" i="69"/>
  <c r="I322" i="69"/>
  <c r="H322" i="69"/>
  <c r="G322" i="69"/>
  <c r="Q321" i="69"/>
  <c r="P321" i="69"/>
  <c r="O321" i="69"/>
  <c r="N321" i="69"/>
  <c r="M321" i="69"/>
  <c r="L321" i="69"/>
  <c r="K321" i="69"/>
  <c r="J321" i="69"/>
  <c r="I321" i="69"/>
  <c r="H321" i="69"/>
  <c r="G321" i="69"/>
  <c r="Q320" i="69"/>
  <c r="P320" i="69"/>
  <c r="O320" i="69"/>
  <c r="N320" i="69"/>
  <c r="M320" i="69"/>
  <c r="L320" i="69"/>
  <c r="K320" i="69"/>
  <c r="J320" i="69"/>
  <c r="I320" i="69"/>
  <c r="H320" i="69"/>
  <c r="G320" i="69"/>
  <c r="Q319" i="69"/>
  <c r="P319" i="69"/>
  <c r="O319" i="69"/>
  <c r="N319" i="69"/>
  <c r="M319" i="69"/>
  <c r="L319" i="69"/>
  <c r="K319" i="69"/>
  <c r="J319" i="69"/>
  <c r="I319" i="69"/>
  <c r="H319" i="69"/>
  <c r="G319" i="69"/>
  <c r="Q318" i="69"/>
  <c r="P318" i="69"/>
  <c r="O318" i="69"/>
  <c r="N318" i="69"/>
  <c r="M318" i="69"/>
  <c r="L318" i="69"/>
  <c r="K318" i="69"/>
  <c r="J318" i="69"/>
  <c r="I318" i="69"/>
  <c r="H318" i="69"/>
  <c r="G318" i="69"/>
  <c r="Q317" i="69"/>
  <c r="P317" i="69"/>
  <c r="O317" i="69"/>
  <c r="N317" i="69"/>
  <c r="M317" i="69"/>
  <c r="L317" i="69"/>
  <c r="K317" i="69"/>
  <c r="J317" i="69"/>
  <c r="I317" i="69"/>
  <c r="H317" i="69"/>
  <c r="G317" i="69"/>
  <c r="Q316" i="69"/>
  <c r="P316" i="69"/>
  <c r="O316" i="69"/>
  <c r="N316" i="69"/>
  <c r="M316" i="69"/>
  <c r="L316" i="69"/>
  <c r="K316" i="69"/>
  <c r="J316" i="69"/>
  <c r="I316" i="69"/>
  <c r="H316" i="69"/>
  <c r="G316" i="69"/>
  <c r="Q315" i="69"/>
  <c r="P315" i="69"/>
  <c r="O315" i="69"/>
  <c r="N315" i="69"/>
  <c r="M315" i="69"/>
  <c r="L315" i="69"/>
  <c r="K315" i="69"/>
  <c r="J315" i="69"/>
  <c r="I315" i="69"/>
  <c r="H315" i="69"/>
  <c r="G315" i="69"/>
  <c r="Q314" i="69"/>
  <c r="P314" i="69"/>
  <c r="O314" i="69"/>
  <c r="N314" i="69"/>
  <c r="M314" i="69"/>
  <c r="L314" i="69"/>
  <c r="K314" i="69"/>
  <c r="J314" i="69"/>
  <c r="I314" i="69"/>
  <c r="H314" i="69"/>
  <c r="G314" i="69"/>
  <c r="Q313" i="69"/>
  <c r="P313" i="69"/>
  <c r="O313" i="69"/>
  <c r="N313" i="69"/>
  <c r="M313" i="69"/>
  <c r="L313" i="69"/>
  <c r="K313" i="69"/>
  <c r="J313" i="69"/>
  <c r="I313" i="69"/>
  <c r="H313" i="69"/>
  <c r="G313" i="69"/>
  <c r="Q312" i="69"/>
  <c r="P312" i="69"/>
  <c r="O312" i="69"/>
  <c r="N312" i="69"/>
  <c r="M312" i="69"/>
  <c r="L312" i="69"/>
  <c r="K312" i="69"/>
  <c r="J312" i="69"/>
  <c r="I312" i="69"/>
  <c r="H312" i="69"/>
  <c r="G312" i="69"/>
  <c r="Q311" i="69"/>
  <c r="P311" i="69"/>
  <c r="O311" i="69"/>
  <c r="N311" i="69"/>
  <c r="M311" i="69"/>
  <c r="L311" i="69"/>
  <c r="K311" i="69"/>
  <c r="J311" i="69"/>
  <c r="I311" i="69"/>
  <c r="H311" i="69"/>
  <c r="G311" i="69"/>
  <c r="Q310" i="69"/>
  <c r="P310" i="69"/>
  <c r="O310" i="69"/>
  <c r="N310" i="69"/>
  <c r="M310" i="69"/>
  <c r="L310" i="69"/>
  <c r="K310" i="69"/>
  <c r="J310" i="69"/>
  <c r="I310" i="69"/>
  <c r="H310" i="69"/>
  <c r="G310" i="69"/>
  <c r="Q309" i="69"/>
  <c r="P309" i="69"/>
  <c r="O309" i="69"/>
  <c r="N309" i="69"/>
  <c r="M309" i="69"/>
  <c r="L309" i="69"/>
  <c r="K309" i="69"/>
  <c r="J309" i="69"/>
  <c r="I309" i="69"/>
  <c r="H309" i="69"/>
  <c r="G309" i="69"/>
  <c r="Q308" i="69"/>
  <c r="P308" i="69"/>
  <c r="O308" i="69"/>
  <c r="N308" i="69"/>
  <c r="M308" i="69"/>
  <c r="L308" i="69"/>
  <c r="K308" i="69"/>
  <c r="J308" i="69"/>
  <c r="I308" i="69"/>
  <c r="H308" i="69"/>
  <c r="G308" i="69"/>
  <c r="Q307" i="69"/>
  <c r="P307" i="69"/>
  <c r="O307" i="69"/>
  <c r="N307" i="69"/>
  <c r="M307" i="69"/>
  <c r="L307" i="69"/>
  <c r="K307" i="69"/>
  <c r="J307" i="69"/>
  <c r="I307" i="69"/>
  <c r="H307" i="69"/>
  <c r="G307" i="69"/>
  <c r="Q306" i="69"/>
  <c r="P306" i="69"/>
  <c r="O306" i="69"/>
  <c r="N306" i="69"/>
  <c r="M306" i="69"/>
  <c r="L306" i="69"/>
  <c r="K306" i="69"/>
  <c r="J306" i="69"/>
  <c r="I306" i="69"/>
  <c r="H306" i="69"/>
  <c r="G306" i="69"/>
  <c r="Q305" i="69"/>
  <c r="P305" i="69"/>
  <c r="O305" i="69"/>
  <c r="N305" i="69"/>
  <c r="M305" i="69"/>
  <c r="L305" i="69"/>
  <c r="K305" i="69"/>
  <c r="J305" i="69"/>
  <c r="I305" i="69"/>
  <c r="H305" i="69"/>
  <c r="G305" i="69"/>
  <c r="Q304" i="69"/>
  <c r="P304" i="69"/>
  <c r="O304" i="69"/>
  <c r="N304" i="69"/>
  <c r="M304" i="69"/>
  <c r="L304" i="69"/>
  <c r="K304" i="69"/>
  <c r="J304" i="69"/>
  <c r="I304" i="69"/>
  <c r="H304" i="69"/>
  <c r="G304" i="69"/>
  <c r="Q303" i="69"/>
  <c r="P303" i="69"/>
  <c r="O303" i="69"/>
  <c r="N303" i="69"/>
  <c r="M303" i="69"/>
  <c r="L303" i="69"/>
  <c r="K303" i="69"/>
  <c r="J303" i="69"/>
  <c r="I303" i="69"/>
  <c r="H303" i="69"/>
  <c r="G303" i="69"/>
  <c r="Q302" i="69"/>
  <c r="P302" i="69"/>
  <c r="O302" i="69"/>
  <c r="N302" i="69"/>
  <c r="M302" i="69"/>
  <c r="L302" i="69"/>
  <c r="K302" i="69"/>
  <c r="J302" i="69"/>
  <c r="I302" i="69"/>
  <c r="H302" i="69"/>
  <c r="G302" i="69"/>
  <c r="Q301" i="69"/>
  <c r="P301" i="69"/>
  <c r="O301" i="69"/>
  <c r="N301" i="69"/>
  <c r="M301" i="69"/>
  <c r="L301" i="69"/>
  <c r="K301" i="69"/>
  <c r="J301" i="69"/>
  <c r="I301" i="69"/>
  <c r="H301" i="69"/>
  <c r="G301" i="69"/>
  <c r="Q300" i="69"/>
  <c r="P300" i="69"/>
  <c r="O300" i="69"/>
  <c r="N300" i="69"/>
  <c r="M300" i="69"/>
  <c r="L300" i="69"/>
  <c r="K300" i="69"/>
  <c r="J300" i="69"/>
  <c r="I300" i="69"/>
  <c r="H300" i="69"/>
  <c r="G300" i="69"/>
  <c r="Q299" i="69"/>
  <c r="P299" i="69"/>
  <c r="O299" i="69"/>
  <c r="N299" i="69"/>
  <c r="M299" i="69"/>
  <c r="L299" i="69"/>
  <c r="K299" i="69"/>
  <c r="J299" i="69"/>
  <c r="I299" i="69"/>
  <c r="H299" i="69"/>
  <c r="G299" i="69"/>
  <c r="Q298" i="69"/>
  <c r="P298" i="69"/>
  <c r="O298" i="69"/>
  <c r="N298" i="69"/>
  <c r="M298" i="69"/>
  <c r="L298" i="69"/>
  <c r="K298" i="69"/>
  <c r="J298" i="69"/>
  <c r="I298" i="69"/>
  <c r="H298" i="69"/>
  <c r="G298" i="69"/>
  <c r="Q297" i="69"/>
  <c r="P297" i="69"/>
  <c r="O297" i="69"/>
  <c r="N297" i="69"/>
  <c r="M297" i="69"/>
  <c r="L297" i="69"/>
  <c r="K297" i="69"/>
  <c r="J297" i="69"/>
  <c r="I297" i="69"/>
  <c r="H297" i="69"/>
  <c r="G297" i="69"/>
  <c r="Q296" i="69"/>
  <c r="P296" i="69"/>
  <c r="O296" i="69"/>
  <c r="N296" i="69"/>
  <c r="M296" i="69"/>
  <c r="L296" i="69"/>
  <c r="K296" i="69"/>
  <c r="J296" i="69"/>
  <c r="I296" i="69"/>
  <c r="H296" i="69"/>
  <c r="G296" i="69"/>
  <c r="Q295" i="69"/>
  <c r="P295" i="69"/>
  <c r="O295" i="69"/>
  <c r="N295" i="69"/>
  <c r="M295" i="69"/>
  <c r="L295" i="69"/>
  <c r="K295" i="69"/>
  <c r="J295" i="69"/>
  <c r="I295" i="69"/>
  <c r="H295" i="69"/>
  <c r="G295" i="69"/>
  <c r="Q294" i="69"/>
  <c r="P294" i="69"/>
  <c r="O294" i="69"/>
  <c r="N294" i="69"/>
  <c r="M294" i="69"/>
  <c r="L294" i="69"/>
  <c r="K294" i="69"/>
  <c r="J294" i="69"/>
  <c r="I294" i="69"/>
  <c r="H294" i="69"/>
  <c r="G294" i="69"/>
  <c r="Q293" i="69"/>
  <c r="P293" i="69"/>
  <c r="O293" i="69"/>
  <c r="N293" i="69"/>
  <c r="M293" i="69"/>
  <c r="L293" i="69"/>
  <c r="K293" i="69"/>
  <c r="J293" i="69"/>
  <c r="I293" i="69"/>
  <c r="H293" i="69"/>
  <c r="G293" i="69"/>
  <c r="Q292" i="69"/>
  <c r="P292" i="69"/>
  <c r="O292" i="69"/>
  <c r="N292" i="69"/>
  <c r="M292" i="69"/>
  <c r="L292" i="69"/>
  <c r="K292" i="69"/>
  <c r="J292" i="69"/>
  <c r="I292" i="69"/>
  <c r="H292" i="69"/>
  <c r="G292" i="69"/>
  <c r="Q291" i="69"/>
  <c r="P291" i="69"/>
  <c r="O291" i="69"/>
  <c r="N291" i="69"/>
  <c r="M291" i="69"/>
  <c r="L291" i="69"/>
  <c r="K291" i="69"/>
  <c r="J291" i="69"/>
  <c r="I291" i="69"/>
  <c r="H291" i="69"/>
  <c r="G291" i="69"/>
  <c r="Q290" i="69"/>
  <c r="P290" i="69"/>
  <c r="O290" i="69"/>
  <c r="N290" i="69"/>
  <c r="M290" i="69"/>
  <c r="L290" i="69"/>
  <c r="K290" i="69"/>
  <c r="J290" i="69"/>
  <c r="I290" i="69"/>
  <c r="H290" i="69"/>
  <c r="G290" i="69"/>
  <c r="Q289" i="69"/>
  <c r="P289" i="69"/>
  <c r="O289" i="69"/>
  <c r="N289" i="69"/>
  <c r="M289" i="69"/>
  <c r="L289" i="69"/>
  <c r="K289" i="69"/>
  <c r="J289" i="69"/>
  <c r="I289" i="69"/>
  <c r="H289" i="69"/>
  <c r="G289" i="69"/>
  <c r="Q288" i="69"/>
  <c r="P288" i="69"/>
  <c r="O288" i="69"/>
  <c r="N288" i="69"/>
  <c r="M288" i="69"/>
  <c r="L288" i="69"/>
  <c r="K288" i="69"/>
  <c r="J288" i="69"/>
  <c r="I288" i="69"/>
  <c r="H288" i="69"/>
  <c r="G288" i="69"/>
  <c r="Q287" i="69"/>
  <c r="P287" i="69"/>
  <c r="O287" i="69"/>
  <c r="N287" i="69"/>
  <c r="M287" i="69"/>
  <c r="L287" i="69"/>
  <c r="K287" i="69"/>
  <c r="J287" i="69"/>
  <c r="I287" i="69"/>
  <c r="H287" i="69"/>
  <c r="G287" i="69"/>
  <c r="Q286" i="69"/>
  <c r="P286" i="69"/>
  <c r="O286" i="69"/>
  <c r="N286" i="69"/>
  <c r="M286" i="69"/>
  <c r="L286" i="69"/>
  <c r="K286" i="69"/>
  <c r="J286" i="69"/>
  <c r="I286" i="69"/>
  <c r="H286" i="69"/>
  <c r="G286" i="69"/>
  <c r="Q285" i="69"/>
  <c r="P285" i="69"/>
  <c r="O285" i="69"/>
  <c r="N285" i="69"/>
  <c r="M285" i="69"/>
  <c r="L285" i="69"/>
  <c r="K285" i="69"/>
  <c r="J285" i="69"/>
  <c r="I285" i="69"/>
  <c r="H285" i="69"/>
  <c r="G285" i="69"/>
  <c r="Q284" i="69"/>
  <c r="P284" i="69"/>
  <c r="O284" i="69"/>
  <c r="N284" i="69"/>
  <c r="M284" i="69"/>
  <c r="L284" i="69"/>
  <c r="K284" i="69"/>
  <c r="J284" i="69"/>
  <c r="I284" i="69"/>
  <c r="H284" i="69"/>
  <c r="G284" i="69"/>
  <c r="Q283" i="69"/>
  <c r="P283" i="69"/>
  <c r="O283" i="69"/>
  <c r="N283" i="69"/>
  <c r="M283" i="69"/>
  <c r="L283" i="69"/>
  <c r="K283" i="69"/>
  <c r="J283" i="69"/>
  <c r="I283" i="69"/>
  <c r="H283" i="69"/>
  <c r="G283" i="69"/>
  <c r="Q282" i="69"/>
  <c r="P282" i="69"/>
  <c r="O282" i="69"/>
  <c r="N282" i="69"/>
  <c r="M282" i="69"/>
  <c r="L282" i="69"/>
  <c r="K282" i="69"/>
  <c r="J282" i="69"/>
  <c r="I282" i="69"/>
  <c r="H282" i="69"/>
  <c r="G282" i="69"/>
  <c r="Q281" i="69"/>
  <c r="P281" i="69"/>
  <c r="O281" i="69"/>
  <c r="N281" i="69"/>
  <c r="M281" i="69"/>
  <c r="L281" i="69"/>
  <c r="K281" i="69"/>
  <c r="J281" i="69"/>
  <c r="I281" i="69"/>
  <c r="H281" i="69"/>
  <c r="G281" i="69"/>
  <c r="Q280" i="69"/>
  <c r="P280" i="69"/>
  <c r="O280" i="69"/>
  <c r="N280" i="69"/>
  <c r="M280" i="69"/>
  <c r="L280" i="69"/>
  <c r="K280" i="69"/>
  <c r="J280" i="69"/>
  <c r="I280" i="69"/>
  <c r="H280" i="69"/>
  <c r="G280" i="69"/>
  <c r="Q279" i="69"/>
  <c r="P279" i="69"/>
  <c r="O279" i="69"/>
  <c r="N279" i="69"/>
  <c r="M279" i="69"/>
  <c r="L279" i="69"/>
  <c r="K279" i="69"/>
  <c r="J279" i="69"/>
  <c r="I279" i="69"/>
  <c r="H279" i="69"/>
  <c r="G279" i="69"/>
  <c r="Q278" i="69"/>
  <c r="P278" i="69"/>
  <c r="O278" i="69"/>
  <c r="N278" i="69"/>
  <c r="M278" i="69"/>
  <c r="L278" i="69"/>
  <c r="K278" i="69"/>
  <c r="J278" i="69"/>
  <c r="I278" i="69"/>
  <c r="H278" i="69"/>
  <c r="G278" i="69"/>
  <c r="Q277" i="69"/>
  <c r="P277" i="69"/>
  <c r="O277" i="69"/>
  <c r="N277" i="69"/>
  <c r="M277" i="69"/>
  <c r="L277" i="69"/>
  <c r="K277" i="69"/>
  <c r="J277" i="69"/>
  <c r="I277" i="69"/>
  <c r="H277" i="69"/>
  <c r="G277" i="69"/>
  <c r="Q276" i="69"/>
  <c r="P276" i="69"/>
  <c r="O276" i="69"/>
  <c r="N276" i="69"/>
  <c r="M276" i="69"/>
  <c r="L276" i="69"/>
  <c r="K276" i="69"/>
  <c r="J276" i="69"/>
  <c r="I276" i="69"/>
  <c r="H276" i="69"/>
  <c r="G276" i="69"/>
  <c r="Q275" i="69"/>
  <c r="P275" i="69"/>
  <c r="O275" i="69"/>
  <c r="N275" i="69"/>
  <c r="M275" i="69"/>
  <c r="L275" i="69"/>
  <c r="K275" i="69"/>
  <c r="J275" i="69"/>
  <c r="I275" i="69"/>
  <c r="H275" i="69"/>
  <c r="G275" i="69"/>
  <c r="Q274" i="69"/>
  <c r="P274" i="69"/>
  <c r="O274" i="69"/>
  <c r="N274" i="69"/>
  <c r="M274" i="69"/>
  <c r="L274" i="69"/>
  <c r="K274" i="69"/>
  <c r="J274" i="69"/>
  <c r="I274" i="69"/>
  <c r="H274" i="69"/>
  <c r="G274" i="69"/>
  <c r="Q273" i="69"/>
  <c r="P273" i="69"/>
  <c r="O273" i="69"/>
  <c r="N273" i="69"/>
  <c r="M273" i="69"/>
  <c r="L273" i="69"/>
  <c r="K273" i="69"/>
  <c r="J273" i="69"/>
  <c r="I273" i="69"/>
  <c r="H273" i="69"/>
  <c r="G273" i="69"/>
  <c r="Q272" i="69"/>
  <c r="P272" i="69"/>
  <c r="O272" i="69"/>
  <c r="N272" i="69"/>
  <c r="M272" i="69"/>
  <c r="L272" i="69"/>
  <c r="K272" i="69"/>
  <c r="J272" i="69"/>
  <c r="I272" i="69"/>
  <c r="H272" i="69"/>
  <c r="G272" i="69"/>
  <c r="Q271" i="69"/>
  <c r="P271" i="69"/>
  <c r="O271" i="69"/>
  <c r="N271" i="69"/>
  <c r="M271" i="69"/>
  <c r="L271" i="69"/>
  <c r="K271" i="69"/>
  <c r="J271" i="69"/>
  <c r="I271" i="69"/>
  <c r="H271" i="69"/>
  <c r="G271" i="69"/>
  <c r="Q270" i="69"/>
  <c r="P270" i="69"/>
  <c r="O270" i="69"/>
  <c r="N270" i="69"/>
  <c r="M270" i="69"/>
  <c r="L270" i="69"/>
  <c r="K270" i="69"/>
  <c r="J270" i="69"/>
  <c r="I270" i="69"/>
  <c r="H270" i="69"/>
  <c r="G270" i="69"/>
  <c r="Q269" i="69"/>
  <c r="P269" i="69"/>
  <c r="O269" i="69"/>
  <c r="N269" i="69"/>
  <c r="M269" i="69"/>
  <c r="L269" i="69"/>
  <c r="K269" i="69"/>
  <c r="J269" i="69"/>
  <c r="I269" i="69"/>
  <c r="H269" i="69"/>
  <c r="G269" i="69"/>
  <c r="Q268" i="69"/>
  <c r="P268" i="69"/>
  <c r="O268" i="69"/>
  <c r="N268" i="69"/>
  <c r="M268" i="69"/>
  <c r="L268" i="69"/>
  <c r="K268" i="69"/>
  <c r="J268" i="69"/>
  <c r="I268" i="69"/>
  <c r="H268" i="69"/>
  <c r="G268" i="69"/>
  <c r="Q267" i="69"/>
  <c r="P267" i="69"/>
  <c r="O267" i="69"/>
  <c r="N267" i="69"/>
  <c r="M267" i="69"/>
  <c r="L267" i="69"/>
  <c r="K267" i="69"/>
  <c r="J267" i="69"/>
  <c r="I267" i="69"/>
  <c r="H267" i="69"/>
  <c r="G267" i="69"/>
  <c r="Q266" i="69"/>
  <c r="P266" i="69"/>
  <c r="O266" i="69"/>
  <c r="N266" i="69"/>
  <c r="M266" i="69"/>
  <c r="L266" i="69"/>
  <c r="K266" i="69"/>
  <c r="J266" i="69"/>
  <c r="I266" i="69"/>
  <c r="H266" i="69"/>
  <c r="G266" i="69"/>
  <c r="Q265" i="69"/>
  <c r="P265" i="69"/>
  <c r="O265" i="69"/>
  <c r="N265" i="69"/>
  <c r="M265" i="69"/>
  <c r="L265" i="69"/>
  <c r="K265" i="69"/>
  <c r="J265" i="69"/>
  <c r="I265" i="69"/>
  <c r="H265" i="69"/>
  <c r="G265" i="69"/>
  <c r="Q264" i="69"/>
  <c r="P264" i="69"/>
  <c r="O264" i="69"/>
  <c r="N264" i="69"/>
  <c r="M264" i="69"/>
  <c r="L264" i="69"/>
  <c r="K264" i="69"/>
  <c r="J264" i="69"/>
  <c r="I264" i="69"/>
  <c r="H264" i="69"/>
  <c r="G264" i="69"/>
  <c r="Q263" i="69"/>
  <c r="P263" i="69"/>
  <c r="O263" i="69"/>
  <c r="N263" i="69"/>
  <c r="M263" i="69"/>
  <c r="L263" i="69"/>
  <c r="K263" i="69"/>
  <c r="J263" i="69"/>
  <c r="I263" i="69"/>
  <c r="H263" i="69"/>
  <c r="G263" i="69"/>
  <c r="Q262" i="69"/>
  <c r="P262" i="69"/>
  <c r="O262" i="69"/>
  <c r="N262" i="69"/>
  <c r="M262" i="69"/>
  <c r="L262" i="69"/>
  <c r="K262" i="69"/>
  <c r="J262" i="69"/>
  <c r="I262" i="69"/>
  <c r="H262" i="69"/>
  <c r="G262" i="69"/>
  <c r="Q261" i="69"/>
  <c r="P261" i="69"/>
  <c r="O261" i="69"/>
  <c r="N261" i="69"/>
  <c r="M261" i="69"/>
  <c r="L261" i="69"/>
  <c r="K261" i="69"/>
  <c r="J261" i="69"/>
  <c r="I261" i="69"/>
  <c r="H261" i="69"/>
  <c r="G261" i="69"/>
  <c r="Q260" i="69"/>
  <c r="P260" i="69"/>
  <c r="O260" i="69"/>
  <c r="N260" i="69"/>
  <c r="M260" i="69"/>
  <c r="L260" i="69"/>
  <c r="K260" i="69"/>
  <c r="J260" i="69"/>
  <c r="I260" i="69"/>
  <c r="H260" i="69"/>
  <c r="G260" i="69"/>
  <c r="Q259" i="69"/>
  <c r="P259" i="69"/>
  <c r="O259" i="69"/>
  <c r="N259" i="69"/>
  <c r="M259" i="69"/>
  <c r="L259" i="69"/>
  <c r="K259" i="69"/>
  <c r="J259" i="69"/>
  <c r="I259" i="69"/>
  <c r="H259" i="69"/>
  <c r="G259" i="69"/>
  <c r="Q258" i="69"/>
  <c r="P258" i="69"/>
  <c r="O258" i="69"/>
  <c r="N258" i="69"/>
  <c r="M258" i="69"/>
  <c r="L258" i="69"/>
  <c r="K258" i="69"/>
  <c r="J258" i="69"/>
  <c r="I258" i="69"/>
  <c r="H258" i="69"/>
  <c r="G258" i="69"/>
  <c r="Q257" i="69"/>
  <c r="P257" i="69"/>
  <c r="O257" i="69"/>
  <c r="N257" i="69"/>
  <c r="M257" i="69"/>
  <c r="L257" i="69"/>
  <c r="K257" i="69"/>
  <c r="J257" i="69"/>
  <c r="I257" i="69"/>
  <c r="H257" i="69"/>
  <c r="G257" i="69"/>
  <c r="Q256" i="69"/>
  <c r="P256" i="69"/>
  <c r="O256" i="69"/>
  <c r="N256" i="69"/>
  <c r="M256" i="69"/>
  <c r="L256" i="69"/>
  <c r="K256" i="69"/>
  <c r="J256" i="69"/>
  <c r="I256" i="69"/>
  <c r="H256" i="69"/>
  <c r="G256" i="69"/>
  <c r="Q255" i="69"/>
  <c r="P255" i="69"/>
  <c r="O255" i="69"/>
  <c r="N255" i="69"/>
  <c r="M255" i="69"/>
  <c r="L255" i="69"/>
  <c r="K255" i="69"/>
  <c r="J255" i="69"/>
  <c r="I255" i="69"/>
  <c r="H255" i="69"/>
  <c r="G255" i="69"/>
  <c r="Q254" i="69"/>
  <c r="P254" i="69"/>
  <c r="O254" i="69"/>
  <c r="N254" i="69"/>
  <c r="M254" i="69"/>
  <c r="L254" i="69"/>
  <c r="K254" i="69"/>
  <c r="J254" i="69"/>
  <c r="I254" i="69"/>
  <c r="H254" i="69"/>
  <c r="G254" i="69"/>
  <c r="Q253" i="69"/>
  <c r="P253" i="69"/>
  <c r="O253" i="69"/>
  <c r="N253" i="69"/>
  <c r="M253" i="69"/>
  <c r="L253" i="69"/>
  <c r="K253" i="69"/>
  <c r="J253" i="69"/>
  <c r="I253" i="69"/>
  <c r="H253" i="69"/>
  <c r="G253" i="69"/>
  <c r="Q252" i="69"/>
  <c r="P252" i="69"/>
  <c r="O252" i="69"/>
  <c r="N252" i="69"/>
  <c r="M252" i="69"/>
  <c r="L252" i="69"/>
  <c r="K252" i="69"/>
  <c r="J252" i="69"/>
  <c r="I252" i="69"/>
  <c r="H252" i="69"/>
  <c r="G252" i="69"/>
  <c r="Q251" i="69"/>
  <c r="P251" i="69"/>
  <c r="O251" i="69"/>
  <c r="N251" i="69"/>
  <c r="M251" i="69"/>
  <c r="L251" i="69"/>
  <c r="K251" i="69"/>
  <c r="J251" i="69"/>
  <c r="I251" i="69"/>
  <c r="H251" i="69"/>
  <c r="G251" i="69"/>
  <c r="Q250" i="69"/>
  <c r="P250" i="69"/>
  <c r="O250" i="69"/>
  <c r="N250" i="69"/>
  <c r="M250" i="69"/>
  <c r="L250" i="69"/>
  <c r="K250" i="69"/>
  <c r="J250" i="69"/>
  <c r="I250" i="69"/>
  <c r="H250" i="69"/>
  <c r="G250" i="69"/>
  <c r="Q249" i="69"/>
  <c r="P249" i="69"/>
  <c r="O249" i="69"/>
  <c r="N249" i="69"/>
  <c r="M249" i="69"/>
  <c r="L249" i="69"/>
  <c r="K249" i="69"/>
  <c r="J249" i="69"/>
  <c r="I249" i="69"/>
  <c r="H249" i="69"/>
  <c r="G249" i="69"/>
  <c r="Q248" i="69"/>
  <c r="P248" i="69"/>
  <c r="O248" i="69"/>
  <c r="N248" i="69"/>
  <c r="M248" i="69"/>
  <c r="L248" i="69"/>
  <c r="K248" i="69"/>
  <c r="J248" i="69"/>
  <c r="I248" i="69"/>
  <c r="H248" i="69"/>
  <c r="G248" i="69"/>
  <c r="Q247" i="69"/>
  <c r="P247" i="69"/>
  <c r="O247" i="69"/>
  <c r="N247" i="69"/>
  <c r="M247" i="69"/>
  <c r="L247" i="69"/>
  <c r="K247" i="69"/>
  <c r="J247" i="69"/>
  <c r="I247" i="69"/>
  <c r="H247" i="69"/>
  <c r="G247" i="69"/>
  <c r="Q246" i="69"/>
  <c r="P246" i="69"/>
  <c r="O246" i="69"/>
  <c r="N246" i="69"/>
  <c r="M246" i="69"/>
  <c r="L246" i="69"/>
  <c r="K246" i="69"/>
  <c r="J246" i="69"/>
  <c r="I246" i="69"/>
  <c r="H246" i="69"/>
  <c r="G246" i="69"/>
  <c r="Q245" i="69"/>
  <c r="P245" i="69"/>
  <c r="O245" i="69"/>
  <c r="N245" i="69"/>
  <c r="M245" i="69"/>
  <c r="L245" i="69"/>
  <c r="K245" i="69"/>
  <c r="J245" i="69"/>
  <c r="I245" i="69"/>
  <c r="H245" i="69"/>
  <c r="G245" i="69"/>
  <c r="Q244" i="69"/>
  <c r="P244" i="69"/>
  <c r="O244" i="69"/>
  <c r="N244" i="69"/>
  <c r="M244" i="69"/>
  <c r="L244" i="69"/>
  <c r="K244" i="69"/>
  <c r="J244" i="69"/>
  <c r="I244" i="69"/>
  <c r="H244" i="69"/>
  <c r="G244" i="69"/>
  <c r="Q243" i="69"/>
  <c r="P243" i="69"/>
  <c r="O243" i="69"/>
  <c r="N243" i="69"/>
  <c r="M243" i="69"/>
  <c r="L243" i="69"/>
  <c r="K243" i="69"/>
  <c r="J243" i="69"/>
  <c r="I243" i="69"/>
  <c r="H243" i="69"/>
  <c r="G243" i="69"/>
  <c r="Q242" i="69"/>
  <c r="P242" i="69"/>
  <c r="O242" i="69"/>
  <c r="N242" i="69"/>
  <c r="M242" i="69"/>
  <c r="L242" i="69"/>
  <c r="K242" i="69"/>
  <c r="J242" i="69"/>
  <c r="I242" i="69"/>
  <c r="H242" i="69"/>
  <c r="G242" i="69"/>
  <c r="Q241" i="69"/>
  <c r="P241" i="69"/>
  <c r="O241" i="69"/>
  <c r="N241" i="69"/>
  <c r="M241" i="69"/>
  <c r="L241" i="69"/>
  <c r="K241" i="69"/>
  <c r="J241" i="69"/>
  <c r="I241" i="69"/>
  <c r="H241" i="69"/>
  <c r="G241" i="69"/>
  <c r="Q240" i="69"/>
  <c r="P240" i="69"/>
  <c r="O240" i="69"/>
  <c r="N240" i="69"/>
  <c r="M240" i="69"/>
  <c r="L240" i="69"/>
  <c r="K240" i="69"/>
  <c r="J240" i="69"/>
  <c r="I240" i="69"/>
  <c r="H240" i="69"/>
  <c r="G240" i="69"/>
  <c r="Q239" i="69"/>
  <c r="P239" i="69"/>
  <c r="O239" i="69"/>
  <c r="N239" i="69"/>
  <c r="M239" i="69"/>
  <c r="L239" i="69"/>
  <c r="K239" i="69"/>
  <c r="J239" i="69"/>
  <c r="I239" i="69"/>
  <c r="H239" i="69"/>
  <c r="G239" i="69"/>
  <c r="Q238" i="69"/>
  <c r="P238" i="69"/>
  <c r="O238" i="69"/>
  <c r="N238" i="69"/>
  <c r="M238" i="69"/>
  <c r="L238" i="69"/>
  <c r="K238" i="69"/>
  <c r="J238" i="69"/>
  <c r="I238" i="69"/>
  <c r="H238" i="69"/>
  <c r="G238" i="69"/>
  <c r="Q237" i="69"/>
  <c r="P237" i="69"/>
  <c r="O237" i="69"/>
  <c r="N237" i="69"/>
  <c r="M237" i="69"/>
  <c r="L237" i="69"/>
  <c r="K237" i="69"/>
  <c r="J237" i="69"/>
  <c r="I237" i="69"/>
  <c r="H237" i="69"/>
  <c r="G237" i="69"/>
  <c r="Q236" i="69"/>
  <c r="P236" i="69"/>
  <c r="O236" i="69"/>
  <c r="N236" i="69"/>
  <c r="M236" i="69"/>
  <c r="L236" i="69"/>
  <c r="K236" i="69"/>
  <c r="J236" i="69"/>
  <c r="I236" i="69"/>
  <c r="H236" i="69"/>
  <c r="G236" i="69"/>
  <c r="Q235" i="69"/>
  <c r="P235" i="69"/>
  <c r="O235" i="69"/>
  <c r="N235" i="69"/>
  <c r="M235" i="69"/>
  <c r="L235" i="69"/>
  <c r="K235" i="69"/>
  <c r="J235" i="69"/>
  <c r="I235" i="69"/>
  <c r="H235" i="69"/>
  <c r="G235" i="69"/>
  <c r="Q234" i="69"/>
  <c r="P234" i="69"/>
  <c r="O234" i="69"/>
  <c r="N234" i="69"/>
  <c r="M234" i="69"/>
  <c r="L234" i="69"/>
  <c r="K234" i="69"/>
  <c r="J234" i="69"/>
  <c r="I234" i="69"/>
  <c r="H234" i="69"/>
  <c r="G234" i="69"/>
  <c r="Q233" i="69"/>
  <c r="P233" i="69"/>
  <c r="O233" i="69"/>
  <c r="N233" i="69"/>
  <c r="M233" i="69"/>
  <c r="L233" i="69"/>
  <c r="K233" i="69"/>
  <c r="J233" i="69"/>
  <c r="I233" i="69"/>
  <c r="H233" i="69"/>
  <c r="G233" i="69"/>
  <c r="Q232" i="69"/>
  <c r="P232" i="69"/>
  <c r="O232" i="69"/>
  <c r="N232" i="69"/>
  <c r="M232" i="69"/>
  <c r="L232" i="69"/>
  <c r="K232" i="69"/>
  <c r="J232" i="69"/>
  <c r="I232" i="69"/>
  <c r="H232" i="69"/>
  <c r="G232" i="69"/>
  <c r="Q231" i="69"/>
  <c r="P231" i="69"/>
  <c r="O231" i="69"/>
  <c r="N231" i="69"/>
  <c r="M231" i="69"/>
  <c r="L231" i="69"/>
  <c r="K231" i="69"/>
  <c r="J231" i="69"/>
  <c r="I231" i="69"/>
  <c r="H231" i="69"/>
  <c r="G231" i="69"/>
  <c r="Q230" i="69"/>
  <c r="P230" i="69"/>
  <c r="O230" i="69"/>
  <c r="N230" i="69"/>
  <c r="M230" i="69"/>
  <c r="L230" i="69"/>
  <c r="K230" i="69"/>
  <c r="J230" i="69"/>
  <c r="I230" i="69"/>
  <c r="H230" i="69"/>
  <c r="G230" i="69"/>
  <c r="Q229" i="69"/>
  <c r="P229" i="69"/>
  <c r="O229" i="69"/>
  <c r="N229" i="69"/>
  <c r="M229" i="69"/>
  <c r="L229" i="69"/>
  <c r="K229" i="69"/>
  <c r="J229" i="69"/>
  <c r="I229" i="69"/>
  <c r="H229" i="69"/>
  <c r="G229" i="69"/>
  <c r="Q228" i="69"/>
  <c r="P228" i="69"/>
  <c r="O228" i="69"/>
  <c r="N228" i="69"/>
  <c r="M228" i="69"/>
  <c r="L228" i="69"/>
  <c r="K228" i="69"/>
  <c r="J228" i="69"/>
  <c r="I228" i="69"/>
  <c r="H228" i="69"/>
  <c r="G228" i="69"/>
  <c r="Q227" i="69"/>
  <c r="P227" i="69"/>
  <c r="O227" i="69"/>
  <c r="N227" i="69"/>
  <c r="M227" i="69"/>
  <c r="L227" i="69"/>
  <c r="K227" i="69"/>
  <c r="J227" i="69"/>
  <c r="I227" i="69"/>
  <c r="H227" i="69"/>
  <c r="G227" i="69"/>
  <c r="Q226" i="69"/>
  <c r="P226" i="69"/>
  <c r="O226" i="69"/>
  <c r="N226" i="69"/>
  <c r="M226" i="69"/>
  <c r="L226" i="69"/>
  <c r="K226" i="69"/>
  <c r="J226" i="69"/>
  <c r="I226" i="69"/>
  <c r="H226" i="69"/>
  <c r="G226" i="69"/>
  <c r="Q225" i="69"/>
  <c r="P225" i="69"/>
  <c r="O225" i="69"/>
  <c r="N225" i="69"/>
  <c r="M225" i="69"/>
  <c r="L225" i="69"/>
  <c r="K225" i="69"/>
  <c r="J225" i="69"/>
  <c r="I225" i="69"/>
  <c r="H225" i="69"/>
  <c r="G225" i="69"/>
  <c r="Q224" i="69"/>
  <c r="P224" i="69"/>
  <c r="O224" i="69"/>
  <c r="N224" i="69"/>
  <c r="M224" i="69"/>
  <c r="L224" i="69"/>
  <c r="K224" i="69"/>
  <c r="J224" i="69"/>
  <c r="I224" i="69"/>
  <c r="H224" i="69"/>
  <c r="G224" i="69"/>
  <c r="Q223" i="69"/>
  <c r="P223" i="69"/>
  <c r="O223" i="69"/>
  <c r="N223" i="69"/>
  <c r="M223" i="69"/>
  <c r="L223" i="69"/>
  <c r="K223" i="69"/>
  <c r="J223" i="69"/>
  <c r="I223" i="69"/>
  <c r="H223" i="69"/>
  <c r="G223" i="69"/>
  <c r="Q222" i="69"/>
  <c r="P222" i="69"/>
  <c r="O222" i="69"/>
  <c r="N222" i="69"/>
  <c r="M222" i="69"/>
  <c r="L222" i="69"/>
  <c r="K222" i="69"/>
  <c r="J222" i="69"/>
  <c r="I222" i="69"/>
  <c r="H222" i="69"/>
  <c r="G222" i="69"/>
  <c r="Q221" i="69"/>
  <c r="P221" i="69"/>
  <c r="O221" i="69"/>
  <c r="N221" i="69"/>
  <c r="M221" i="69"/>
  <c r="L221" i="69"/>
  <c r="K221" i="69"/>
  <c r="J221" i="69"/>
  <c r="I221" i="69"/>
  <c r="H221" i="69"/>
  <c r="G221" i="69"/>
  <c r="Q220" i="69"/>
  <c r="P220" i="69"/>
  <c r="O220" i="69"/>
  <c r="N220" i="69"/>
  <c r="M220" i="69"/>
  <c r="L220" i="69"/>
  <c r="K220" i="69"/>
  <c r="J220" i="69"/>
  <c r="I220" i="69"/>
  <c r="H220" i="69"/>
  <c r="G220" i="69"/>
  <c r="Q219" i="69"/>
  <c r="P219" i="69"/>
  <c r="O219" i="69"/>
  <c r="N219" i="69"/>
  <c r="M219" i="69"/>
  <c r="L219" i="69"/>
  <c r="K219" i="69"/>
  <c r="J219" i="69"/>
  <c r="I219" i="69"/>
  <c r="H219" i="69"/>
  <c r="G219" i="69"/>
  <c r="Q218" i="69"/>
  <c r="P218" i="69"/>
  <c r="O218" i="69"/>
  <c r="N218" i="69"/>
  <c r="M218" i="69"/>
  <c r="L218" i="69"/>
  <c r="K218" i="69"/>
  <c r="J218" i="69"/>
  <c r="I218" i="69"/>
  <c r="H218" i="69"/>
  <c r="G218" i="69"/>
  <c r="Q217" i="69"/>
  <c r="P217" i="69"/>
  <c r="O217" i="69"/>
  <c r="N217" i="69"/>
  <c r="M217" i="69"/>
  <c r="L217" i="69"/>
  <c r="K217" i="69"/>
  <c r="J217" i="69"/>
  <c r="I217" i="69"/>
  <c r="H217" i="69"/>
  <c r="G217" i="69"/>
  <c r="Q216" i="69"/>
  <c r="P216" i="69"/>
  <c r="O216" i="69"/>
  <c r="N216" i="69"/>
  <c r="M216" i="69"/>
  <c r="L216" i="69"/>
  <c r="K216" i="69"/>
  <c r="J216" i="69"/>
  <c r="I216" i="69"/>
  <c r="H216" i="69"/>
  <c r="G216" i="69"/>
  <c r="Q215" i="69"/>
  <c r="P215" i="69"/>
  <c r="O215" i="69"/>
  <c r="N215" i="69"/>
  <c r="M215" i="69"/>
  <c r="L215" i="69"/>
  <c r="K215" i="69"/>
  <c r="J215" i="69"/>
  <c r="I215" i="69"/>
  <c r="H215" i="69"/>
  <c r="G215" i="69"/>
  <c r="Q214" i="69"/>
  <c r="P214" i="69"/>
  <c r="O214" i="69"/>
  <c r="N214" i="69"/>
  <c r="M214" i="69"/>
  <c r="L214" i="69"/>
  <c r="K214" i="69"/>
  <c r="J214" i="69"/>
  <c r="I214" i="69"/>
  <c r="H214" i="69"/>
  <c r="G214" i="69"/>
  <c r="Q213" i="69"/>
  <c r="P213" i="69"/>
  <c r="O213" i="69"/>
  <c r="N213" i="69"/>
  <c r="M213" i="69"/>
  <c r="L213" i="69"/>
  <c r="K213" i="69"/>
  <c r="J213" i="69"/>
  <c r="I213" i="69"/>
  <c r="H213" i="69"/>
  <c r="G213" i="69"/>
  <c r="Q212" i="69"/>
  <c r="P212" i="69"/>
  <c r="O212" i="69"/>
  <c r="N212" i="69"/>
  <c r="M212" i="69"/>
  <c r="L212" i="69"/>
  <c r="K212" i="69"/>
  <c r="J212" i="69"/>
  <c r="I212" i="69"/>
  <c r="H212" i="69"/>
  <c r="G212" i="69"/>
  <c r="Q211" i="69"/>
  <c r="P211" i="69"/>
  <c r="O211" i="69"/>
  <c r="N211" i="69"/>
  <c r="M211" i="69"/>
  <c r="L211" i="69"/>
  <c r="K211" i="69"/>
  <c r="J211" i="69"/>
  <c r="I211" i="69"/>
  <c r="H211" i="69"/>
  <c r="G211" i="69"/>
  <c r="Q210" i="69"/>
  <c r="P210" i="69"/>
  <c r="O210" i="69"/>
  <c r="N210" i="69"/>
  <c r="M210" i="69"/>
  <c r="L210" i="69"/>
  <c r="K210" i="69"/>
  <c r="J210" i="69"/>
  <c r="I210" i="69"/>
  <c r="H210" i="69"/>
  <c r="G210" i="69"/>
  <c r="Q209" i="69"/>
  <c r="P209" i="69"/>
  <c r="O209" i="69"/>
  <c r="N209" i="69"/>
  <c r="M209" i="69"/>
  <c r="L209" i="69"/>
  <c r="K209" i="69"/>
  <c r="J209" i="69"/>
  <c r="I209" i="69"/>
  <c r="H209" i="69"/>
  <c r="G209" i="69"/>
  <c r="Q208" i="69"/>
  <c r="P208" i="69"/>
  <c r="O208" i="69"/>
  <c r="N208" i="69"/>
  <c r="M208" i="69"/>
  <c r="L208" i="69"/>
  <c r="K208" i="69"/>
  <c r="J208" i="69"/>
  <c r="I208" i="69"/>
  <c r="H208" i="69"/>
  <c r="G208" i="69"/>
  <c r="Q207" i="69"/>
  <c r="P207" i="69"/>
  <c r="O207" i="69"/>
  <c r="N207" i="69"/>
  <c r="M207" i="69"/>
  <c r="L207" i="69"/>
  <c r="K207" i="69"/>
  <c r="J207" i="69"/>
  <c r="I207" i="69"/>
  <c r="H207" i="69"/>
  <c r="G207" i="69"/>
  <c r="Q206" i="69"/>
  <c r="P206" i="69"/>
  <c r="O206" i="69"/>
  <c r="N206" i="69"/>
  <c r="M206" i="69"/>
  <c r="L206" i="69"/>
  <c r="K206" i="69"/>
  <c r="J206" i="69"/>
  <c r="I206" i="69"/>
  <c r="H206" i="69"/>
  <c r="G206" i="69"/>
  <c r="Q205" i="69"/>
  <c r="P205" i="69"/>
  <c r="O205" i="69"/>
  <c r="N205" i="69"/>
  <c r="M205" i="69"/>
  <c r="L205" i="69"/>
  <c r="K205" i="69"/>
  <c r="J205" i="69"/>
  <c r="I205" i="69"/>
  <c r="H205" i="69"/>
  <c r="G205" i="69"/>
  <c r="Q204" i="69"/>
  <c r="P204" i="69"/>
  <c r="O204" i="69"/>
  <c r="N204" i="69"/>
  <c r="M204" i="69"/>
  <c r="L204" i="69"/>
  <c r="K204" i="69"/>
  <c r="J204" i="69"/>
  <c r="I204" i="69"/>
  <c r="H204" i="69"/>
  <c r="G204" i="69"/>
  <c r="Q203" i="69"/>
  <c r="P203" i="69"/>
  <c r="O203" i="69"/>
  <c r="N203" i="69"/>
  <c r="M203" i="69"/>
  <c r="L203" i="69"/>
  <c r="K203" i="69"/>
  <c r="J203" i="69"/>
  <c r="I203" i="69"/>
  <c r="H203" i="69"/>
  <c r="G203" i="69"/>
  <c r="Q202" i="69"/>
  <c r="P202" i="69"/>
  <c r="O202" i="69"/>
  <c r="N202" i="69"/>
  <c r="M202" i="69"/>
  <c r="L202" i="69"/>
  <c r="K202" i="69"/>
  <c r="J202" i="69"/>
  <c r="I202" i="69"/>
  <c r="H202" i="69"/>
  <c r="G202" i="69"/>
  <c r="Q201" i="69"/>
  <c r="P201" i="69"/>
  <c r="O201" i="69"/>
  <c r="N201" i="69"/>
  <c r="M201" i="69"/>
  <c r="L201" i="69"/>
  <c r="K201" i="69"/>
  <c r="J201" i="69"/>
  <c r="I201" i="69"/>
  <c r="H201" i="69"/>
  <c r="G201" i="69"/>
  <c r="Q200" i="69"/>
  <c r="P200" i="69"/>
  <c r="O200" i="69"/>
  <c r="N200" i="69"/>
  <c r="M200" i="69"/>
  <c r="L200" i="69"/>
  <c r="K200" i="69"/>
  <c r="J200" i="69"/>
  <c r="I200" i="69"/>
  <c r="H200" i="69"/>
  <c r="G200" i="69"/>
  <c r="Q199" i="69"/>
  <c r="P199" i="69"/>
  <c r="O199" i="69"/>
  <c r="N199" i="69"/>
  <c r="M199" i="69"/>
  <c r="L199" i="69"/>
  <c r="K199" i="69"/>
  <c r="J199" i="69"/>
  <c r="I199" i="69"/>
  <c r="H199" i="69"/>
  <c r="G199" i="69"/>
  <c r="Q198" i="69"/>
  <c r="P198" i="69"/>
  <c r="O198" i="69"/>
  <c r="N198" i="69"/>
  <c r="M198" i="69"/>
  <c r="L198" i="69"/>
  <c r="K198" i="69"/>
  <c r="J198" i="69"/>
  <c r="I198" i="69"/>
  <c r="H198" i="69"/>
  <c r="G198" i="69"/>
  <c r="Q197" i="69"/>
  <c r="P197" i="69"/>
  <c r="O197" i="69"/>
  <c r="N197" i="69"/>
  <c r="M197" i="69"/>
  <c r="L197" i="69"/>
  <c r="K197" i="69"/>
  <c r="J197" i="69"/>
  <c r="I197" i="69"/>
  <c r="H197" i="69"/>
  <c r="G197" i="69"/>
  <c r="Q196" i="69"/>
  <c r="P196" i="69"/>
  <c r="O196" i="69"/>
  <c r="N196" i="69"/>
  <c r="M196" i="69"/>
  <c r="L196" i="69"/>
  <c r="K196" i="69"/>
  <c r="J196" i="69"/>
  <c r="I196" i="69"/>
  <c r="H196" i="69"/>
  <c r="G196" i="69"/>
  <c r="Q195" i="69"/>
  <c r="P195" i="69"/>
  <c r="O195" i="69"/>
  <c r="N195" i="69"/>
  <c r="M195" i="69"/>
  <c r="L195" i="69"/>
  <c r="K195" i="69"/>
  <c r="J195" i="69"/>
  <c r="I195" i="69"/>
  <c r="H195" i="69"/>
  <c r="G195" i="69"/>
  <c r="Q194" i="69"/>
  <c r="P194" i="69"/>
  <c r="O194" i="69"/>
  <c r="N194" i="69"/>
  <c r="M194" i="69"/>
  <c r="L194" i="69"/>
  <c r="K194" i="69"/>
  <c r="J194" i="69"/>
  <c r="I194" i="69"/>
  <c r="H194" i="69"/>
  <c r="G194" i="69"/>
  <c r="Q193" i="69"/>
  <c r="P193" i="69"/>
  <c r="O193" i="69"/>
  <c r="N193" i="69"/>
  <c r="M193" i="69"/>
  <c r="L193" i="69"/>
  <c r="K193" i="69"/>
  <c r="J193" i="69"/>
  <c r="I193" i="69"/>
  <c r="H193" i="69"/>
  <c r="G193" i="69"/>
  <c r="Q192" i="69"/>
  <c r="P192" i="69"/>
  <c r="O192" i="69"/>
  <c r="N192" i="69"/>
  <c r="M192" i="69"/>
  <c r="L192" i="69"/>
  <c r="K192" i="69"/>
  <c r="J192" i="69"/>
  <c r="I192" i="69"/>
  <c r="H192" i="69"/>
  <c r="G192" i="69"/>
  <c r="Q191" i="69"/>
  <c r="P191" i="69"/>
  <c r="O191" i="69"/>
  <c r="N191" i="69"/>
  <c r="M191" i="69"/>
  <c r="L191" i="69"/>
  <c r="K191" i="69"/>
  <c r="J191" i="69"/>
  <c r="I191" i="69"/>
  <c r="H191" i="69"/>
  <c r="G191" i="69"/>
  <c r="Q190" i="69"/>
  <c r="P190" i="69"/>
  <c r="O190" i="69"/>
  <c r="N190" i="69"/>
  <c r="M190" i="69"/>
  <c r="L190" i="69"/>
  <c r="K190" i="69"/>
  <c r="J190" i="69"/>
  <c r="I190" i="69"/>
  <c r="H190" i="69"/>
  <c r="G190" i="69"/>
  <c r="Q189" i="69"/>
  <c r="P189" i="69"/>
  <c r="O189" i="69"/>
  <c r="N189" i="69"/>
  <c r="M189" i="69"/>
  <c r="L189" i="69"/>
  <c r="K189" i="69"/>
  <c r="J189" i="69"/>
  <c r="I189" i="69"/>
  <c r="H189" i="69"/>
  <c r="G189" i="69"/>
  <c r="Q188" i="69"/>
  <c r="P188" i="69"/>
  <c r="O188" i="69"/>
  <c r="N188" i="69"/>
  <c r="M188" i="69"/>
  <c r="L188" i="69"/>
  <c r="K188" i="69"/>
  <c r="J188" i="69"/>
  <c r="I188" i="69"/>
  <c r="H188" i="69"/>
  <c r="G188" i="69"/>
  <c r="Q187" i="69"/>
  <c r="P187" i="69"/>
  <c r="O187" i="69"/>
  <c r="N187" i="69"/>
  <c r="M187" i="69"/>
  <c r="L187" i="69"/>
  <c r="K187" i="69"/>
  <c r="J187" i="69"/>
  <c r="I187" i="69"/>
  <c r="H187" i="69"/>
  <c r="G187" i="69"/>
  <c r="Q186" i="69"/>
  <c r="P186" i="69"/>
  <c r="O186" i="69"/>
  <c r="N186" i="69"/>
  <c r="M186" i="69"/>
  <c r="L186" i="69"/>
  <c r="K186" i="69"/>
  <c r="J186" i="69"/>
  <c r="I186" i="69"/>
  <c r="H186" i="69"/>
  <c r="G186" i="69"/>
  <c r="Q185" i="69"/>
  <c r="P185" i="69"/>
  <c r="O185" i="69"/>
  <c r="N185" i="69"/>
  <c r="M185" i="69"/>
  <c r="L185" i="69"/>
  <c r="K185" i="69"/>
  <c r="J185" i="69"/>
  <c r="I185" i="69"/>
  <c r="H185" i="69"/>
  <c r="G185" i="69"/>
  <c r="Q184" i="69"/>
  <c r="P184" i="69"/>
  <c r="O184" i="69"/>
  <c r="N184" i="69"/>
  <c r="M184" i="69"/>
  <c r="L184" i="69"/>
  <c r="K184" i="69"/>
  <c r="J184" i="69"/>
  <c r="I184" i="69"/>
  <c r="H184" i="69"/>
  <c r="G184" i="69"/>
  <c r="Q183" i="69"/>
  <c r="P183" i="69"/>
  <c r="O183" i="69"/>
  <c r="N183" i="69"/>
  <c r="M183" i="69"/>
  <c r="L183" i="69"/>
  <c r="K183" i="69"/>
  <c r="J183" i="69"/>
  <c r="I183" i="69"/>
  <c r="H183" i="69"/>
  <c r="G183" i="69"/>
  <c r="Q182" i="69"/>
  <c r="P182" i="69"/>
  <c r="O182" i="69"/>
  <c r="N182" i="69"/>
  <c r="M182" i="69"/>
  <c r="L182" i="69"/>
  <c r="K182" i="69"/>
  <c r="J182" i="69"/>
  <c r="I182" i="69"/>
  <c r="H182" i="69"/>
  <c r="G182" i="69"/>
  <c r="Q181" i="69"/>
  <c r="P181" i="69"/>
  <c r="O181" i="69"/>
  <c r="N181" i="69"/>
  <c r="M181" i="69"/>
  <c r="L181" i="69"/>
  <c r="K181" i="69"/>
  <c r="J181" i="69"/>
  <c r="I181" i="69"/>
  <c r="H181" i="69"/>
  <c r="G181" i="69"/>
  <c r="Q180" i="69"/>
  <c r="P180" i="69"/>
  <c r="O180" i="69"/>
  <c r="N180" i="69"/>
  <c r="M180" i="69"/>
  <c r="L180" i="69"/>
  <c r="K180" i="69"/>
  <c r="J180" i="69"/>
  <c r="I180" i="69"/>
  <c r="H180" i="69"/>
  <c r="G180" i="69"/>
  <c r="Q179" i="69"/>
  <c r="P179" i="69"/>
  <c r="O179" i="69"/>
  <c r="N179" i="69"/>
  <c r="M179" i="69"/>
  <c r="L179" i="69"/>
  <c r="K179" i="69"/>
  <c r="J179" i="69"/>
  <c r="I179" i="69"/>
  <c r="H179" i="69"/>
  <c r="G179" i="69"/>
  <c r="Q178" i="69"/>
  <c r="P178" i="69"/>
  <c r="O178" i="69"/>
  <c r="N178" i="69"/>
  <c r="M178" i="69"/>
  <c r="L178" i="69"/>
  <c r="K178" i="69"/>
  <c r="J178" i="69"/>
  <c r="I178" i="69"/>
  <c r="H178" i="69"/>
  <c r="G178" i="69"/>
  <c r="Q177" i="69"/>
  <c r="P177" i="69"/>
  <c r="O177" i="69"/>
  <c r="N177" i="69"/>
  <c r="M177" i="69"/>
  <c r="L177" i="69"/>
  <c r="K177" i="69"/>
  <c r="J177" i="69"/>
  <c r="I177" i="69"/>
  <c r="H177" i="69"/>
  <c r="G177" i="69"/>
  <c r="Q176" i="69"/>
  <c r="P176" i="69"/>
  <c r="O176" i="69"/>
  <c r="N176" i="69"/>
  <c r="M176" i="69"/>
  <c r="L176" i="69"/>
  <c r="K176" i="69"/>
  <c r="J176" i="69"/>
  <c r="I176" i="69"/>
  <c r="H176" i="69"/>
  <c r="G176" i="69"/>
  <c r="Q175" i="69"/>
  <c r="P175" i="69"/>
  <c r="O175" i="69"/>
  <c r="N175" i="69"/>
  <c r="M175" i="69"/>
  <c r="L175" i="69"/>
  <c r="K175" i="69"/>
  <c r="J175" i="69"/>
  <c r="I175" i="69"/>
  <c r="H175" i="69"/>
  <c r="G175" i="69"/>
  <c r="Q174" i="69"/>
  <c r="P174" i="69"/>
  <c r="O174" i="69"/>
  <c r="N174" i="69"/>
  <c r="M174" i="69"/>
  <c r="L174" i="69"/>
  <c r="K174" i="69"/>
  <c r="J174" i="69"/>
  <c r="I174" i="69"/>
  <c r="H174" i="69"/>
  <c r="G174" i="69"/>
  <c r="Q173" i="69"/>
  <c r="P173" i="69"/>
  <c r="O173" i="69"/>
  <c r="N173" i="69"/>
  <c r="M173" i="69"/>
  <c r="L173" i="69"/>
  <c r="K173" i="69"/>
  <c r="J173" i="69"/>
  <c r="I173" i="69"/>
  <c r="H173" i="69"/>
  <c r="G173" i="69"/>
  <c r="Q172" i="69"/>
  <c r="P172" i="69"/>
  <c r="O172" i="69"/>
  <c r="N172" i="69"/>
  <c r="M172" i="69"/>
  <c r="L172" i="69"/>
  <c r="K172" i="69"/>
  <c r="J172" i="69"/>
  <c r="I172" i="69"/>
  <c r="H172" i="69"/>
  <c r="G172" i="69"/>
  <c r="Q171" i="69"/>
  <c r="P171" i="69"/>
  <c r="O171" i="69"/>
  <c r="N171" i="69"/>
  <c r="M171" i="69"/>
  <c r="L171" i="69"/>
  <c r="K171" i="69"/>
  <c r="J171" i="69"/>
  <c r="I171" i="69"/>
  <c r="H171" i="69"/>
  <c r="G171" i="69"/>
  <c r="Q170" i="69"/>
  <c r="P170" i="69"/>
  <c r="O170" i="69"/>
  <c r="N170" i="69"/>
  <c r="M170" i="69"/>
  <c r="L170" i="69"/>
  <c r="K170" i="69"/>
  <c r="J170" i="69"/>
  <c r="I170" i="69"/>
  <c r="H170" i="69"/>
  <c r="G170" i="69"/>
  <c r="Q169" i="69"/>
  <c r="P169" i="69"/>
  <c r="O169" i="69"/>
  <c r="N169" i="69"/>
  <c r="M169" i="69"/>
  <c r="L169" i="69"/>
  <c r="K169" i="69"/>
  <c r="J169" i="69"/>
  <c r="I169" i="69"/>
  <c r="H169" i="69"/>
  <c r="G169" i="69"/>
  <c r="Q168" i="69"/>
  <c r="P168" i="69"/>
  <c r="O168" i="69"/>
  <c r="N168" i="69"/>
  <c r="M168" i="69"/>
  <c r="L168" i="69"/>
  <c r="K168" i="69"/>
  <c r="J168" i="69"/>
  <c r="I168" i="69"/>
  <c r="H168" i="69"/>
  <c r="G168" i="69"/>
  <c r="Q167" i="69"/>
  <c r="P167" i="69"/>
  <c r="O167" i="69"/>
  <c r="N167" i="69"/>
  <c r="M167" i="69"/>
  <c r="L167" i="69"/>
  <c r="K167" i="69"/>
  <c r="J167" i="69"/>
  <c r="I167" i="69"/>
  <c r="H167" i="69"/>
  <c r="G167" i="69"/>
  <c r="Q166" i="69"/>
  <c r="P166" i="69"/>
  <c r="O166" i="69"/>
  <c r="N166" i="69"/>
  <c r="M166" i="69"/>
  <c r="L166" i="69"/>
  <c r="K166" i="69"/>
  <c r="J166" i="69"/>
  <c r="I166" i="69"/>
  <c r="H166" i="69"/>
  <c r="G166" i="69"/>
  <c r="Q165" i="69"/>
  <c r="P165" i="69"/>
  <c r="O165" i="69"/>
  <c r="N165" i="69"/>
  <c r="M165" i="69"/>
  <c r="L165" i="69"/>
  <c r="K165" i="69"/>
  <c r="J165" i="69"/>
  <c r="I165" i="69"/>
  <c r="H165" i="69"/>
  <c r="G165" i="69"/>
  <c r="Q164" i="69"/>
  <c r="P164" i="69"/>
  <c r="O164" i="69"/>
  <c r="N164" i="69"/>
  <c r="M164" i="69"/>
  <c r="L164" i="69"/>
  <c r="K164" i="69"/>
  <c r="J164" i="69"/>
  <c r="I164" i="69"/>
  <c r="H164" i="69"/>
  <c r="G164" i="69"/>
  <c r="Q163" i="69"/>
  <c r="P163" i="69"/>
  <c r="O163" i="69"/>
  <c r="N163" i="69"/>
  <c r="M163" i="69"/>
  <c r="L163" i="69"/>
  <c r="K163" i="69"/>
  <c r="J163" i="69"/>
  <c r="I163" i="69"/>
  <c r="H163" i="69"/>
  <c r="G163" i="69"/>
  <c r="Q162" i="69"/>
  <c r="P162" i="69"/>
  <c r="O162" i="69"/>
  <c r="N162" i="69"/>
  <c r="M162" i="69"/>
  <c r="L162" i="69"/>
  <c r="K162" i="69"/>
  <c r="J162" i="69"/>
  <c r="I162" i="69"/>
  <c r="H162" i="69"/>
  <c r="G162" i="69"/>
  <c r="Q161" i="69"/>
  <c r="P161" i="69"/>
  <c r="O161" i="69"/>
  <c r="N161" i="69"/>
  <c r="M161" i="69"/>
  <c r="L161" i="69"/>
  <c r="K161" i="69"/>
  <c r="J161" i="69"/>
  <c r="I161" i="69"/>
  <c r="H161" i="69"/>
  <c r="G161" i="69"/>
  <c r="Q160" i="69"/>
  <c r="P160" i="69"/>
  <c r="O160" i="69"/>
  <c r="N160" i="69"/>
  <c r="M160" i="69"/>
  <c r="L160" i="69"/>
  <c r="K160" i="69"/>
  <c r="J160" i="69"/>
  <c r="I160" i="69"/>
  <c r="H160" i="69"/>
  <c r="G160" i="69"/>
  <c r="Q159" i="69"/>
  <c r="P159" i="69"/>
  <c r="O159" i="69"/>
  <c r="N159" i="69"/>
  <c r="M159" i="69"/>
  <c r="L159" i="69"/>
  <c r="K159" i="69"/>
  <c r="J159" i="69"/>
  <c r="I159" i="69"/>
  <c r="H159" i="69"/>
  <c r="G159" i="69"/>
  <c r="Q158" i="69"/>
  <c r="P158" i="69"/>
  <c r="O158" i="69"/>
  <c r="N158" i="69"/>
  <c r="M158" i="69"/>
  <c r="L158" i="69"/>
  <c r="K158" i="69"/>
  <c r="J158" i="69"/>
  <c r="I158" i="69"/>
  <c r="H158" i="69"/>
  <c r="G158" i="69"/>
  <c r="Q157" i="69"/>
  <c r="P157" i="69"/>
  <c r="O157" i="69"/>
  <c r="N157" i="69"/>
  <c r="M157" i="69"/>
  <c r="L157" i="69"/>
  <c r="K157" i="69"/>
  <c r="J157" i="69"/>
  <c r="I157" i="69"/>
  <c r="H157" i="69"/>
  <c r="G157" i="69"/>
  <c r="Q156" i="69"/>
  <c r="P156" i="69"/>
  <c r="O156" i="69"/>
  <c r="N156" i="69"/>
  <c r="M156" i="69"/>
  <c r="L156" i="69"/>
  <c r="K156" i="69"/>
  <c r="J156" i="69"/>
  <c r="I156" i="69"/>
  <c r="H156" i="69"/>
  <c r="G156" i="69"/>
  <c r="Q155" i="69"/>
  <c r="P155" i="69"/>
  <c r="O155" i="69"/>
  <c r="N155" i="69"/>
  <c r="M155" i="69"/>
  <c r="L155" i="69"/>
  <c r="K155" i="69"/>
  <c r="J155" i="69"/>
  <c r="I155" i="69"/>
  <c r="H155" i="69"/>
  <c r="G155" i="69"/>
  <c r="Q154" i="69"/>
  <c r="P154" i="69"/>
  <c r="O154" i="69"/>
  <c r="N154" i="69"/>
  <c r="M154" i="69"/>
  <c r="L154" i="69"/>
  <c r="K154" i="69"/>
  <c r="J154" i="69"/>
  <c r="I154" i="69"/>
  <c r="H154" i="69"/>
  <c r="G154" i="69"/>
  <c r="Q153" i="69"/>
  <c r="P153" i="69"/>
  <c r="O153" i="69"/>
  <c r="N153" i="69"/>
  <c r="M153" i="69"/>
  <c r="L153" i="69"/>
  <c r="K153" i="69"/>
  <c r="J153" i="69"/>
  <c r="I153" i="69"/>
  <c r="H153" i="69"/>
  <c r="G153" i="69"/>
  <c r="Q152" i="69"/>
  <c r="P152" i="69"/>
  <c r="O152" i="69"/>
  <c r="N152" i="69"/>
  <c r="M152" i="69"/>
  <c r="L152" i="69"/>
  <c r="K152" i="69"/>
  <c r="J152" i="69"/>
  <c r="I152" i="69"/>
  <c r="H152" i="69"/>
  <c r="G152" i="69"/>
  <c r="Q151" i="69"/>
  <c r="P151" i="69"/>
  <c r="O151" i="69"/>
  <c r="N151" i="69"/>
  <c r="M151" i="69"/>
  <c r="L151" i="69"/>
  <c r="K151" i="69"/>
  <c r="J151" i="69"/>
  <c r="I151" i="69"/>
  <c r="H151" i="69"/>
  <c r="G151" i="69"/>
  <c r="Q150" i="69"/>
  <c r="P150" i="69"/>
  <c r="O150" i="69"/>
  <c r="N150" i="69"/>
  <c r="M150" i="69"/>
  <c r="L150" i="69"/>
  <c r="K150" i="69"/>
  <c r="J150" i="69"/>
  <c r="I150" i="69"/>
  <c r="H150" i="69"/>
  <c r="G150" i="69"/>
  <c r="Q149" i="69"/>
  <c r="P149" i="69"/>
  <c r="O149" i="69"/>
  <c r="N149" i="69"/>
  <c r="M149" i="69"/>
  <c r="L149" i="69"/>
  <c r="K149" i="69"/>
  <c r="J149" i="69"/>
  <c r="I149" i="69"/>
  <c r="H149" i="69"/>
  <c r="G149" i="69"/>
  <c r="Q148" i="69"/>
  <c r="P148" i="69"/>
  <c r="O148" i="69"/>
  <c r="N148" i="69"/>
  <c r="M148" i="69"/>
  <c r="L148" i="69"/>
  <c r="K148" i="69"/>
  <c r="J148" i="69"/>
  <c r="I148" i="69"/>
  <c r="H148" i="69"/>
  <c r="G148" i="69"/>
  <c r="Q147" i="69"/>
  <c r="P147" i="69"/>
  <c r="O147" i="69"/>
  <c r="N147" i="69"/>
  <c r="M147" i="69"/>
  <c r="L147" i="69"/>
  <c r="K147" i="69"/>
  <c r="J147" i="69"/>
  <c r="I147" i="69"/>
  <c r="H147" i="69"/>
  <c r="G147" i="69"/>
  <c r="Q146" i="69"/>
  <c r="P146" i="69"/>
  <c r="O146" i="69"/>
  <c r="N146" i="69"/>
  <c r="M146" i="69"/>
  <c r="L146" i="69"/>
  <c r="K146" i="69"/>
  <c r="J146" i="69"/>
  <c r="I146" i="69"/>
  <c r="H146" i="69"/>
  <c r="G146" i="69"/>
  <c r="Q145" i="69"/>
  <c r="P145" i="69"/>
  <c r="O145" i="69"/>
  <c r="N145" i="69"/>
  <c r="M145" i="69"/>
  <c r="L145" i="69"/>
  <c r="K145" i="69"/>
  <c r="J145" i="69"/>
  <c r="I145" i="69"/>
  <c r="H145" i="69"/>
  <c r="G145" i="69"/>
  <c r="Q144" i="69"/>
  <c r="P144" i="69"/>
  <c r="O144" i="69"/>
  <c r="N144" i="69"/>
  <c r="M144" i="69"/>
  <c r="L144" i="69"/>
  <c r="K144" i="69"/>
  <c r="J144" i="69"/>
  <c r="I144" i="69"/>
  <c r="H144" i="69"/>
  <c r="G144" i="69"/>
  <c r="Q143" i="69"/>
  <c r="P143" i="69"/>
  <c r="O143" i="69"/>
  <c r="N143" i="69"/>
  <c r="M143" i="69"/>
  <c r="L143" i="69"/>
  <c r="K143" i="69"/>
  <c r="J143" i="69"/>
  <c r="I143" i="69"/>
  <c r="H143" i="69"/>
  <c r="G143" i="69"/>
  <c r="Q142" i="69"/>
  <c r="P142" i="69"/>
  <c r="O142" i="69"/>
  <c r="N142" i="69"/>
  <c r="M142" i="69"/>
  <c r="L142" i="69"/>
  <c r="K142" i="69"/>
  <c r="J142" i="69"/>
  <c r="I142" i="69"/>
  <c r="H142" i="69"/>
  <c r="G142" i="69"/>
  <c r="Q141" i="69"/>
  <c r="P141" i="69"/>
  <c r="O141" i="69"/>
  <c r="N141" i="69"/>
  <c r="M141" i="69"/>
  <c r="L141" i="69"/>
  <c r="K141" i="69"/>
  <c r="J141" i="69"/>
  <c r="I141" i="69"/>
  <c r="H141" i="69"/>
  <c r="G141" i="69"/>
  <c r="Q140" i="69"/>
  <c r="P140" i="69"/>
  <c r="O140" i="69"/>
  <c r="N140" i="69"/>
  <c r="M140" i="69"/>
  <c r="L140" i="69"/>
  <c r="K140" i="69"/>
  <c r="J140" i="69"/>
  <c r="I140" i="69"/>
  <c r="H140" i="69"/>
  <c r="G140" i="69"/>
  <c r="Q139" i="69"/>
  <c r="P139" i="69"/>
  <c r="O139" i="69"/>
  <c r="N139" i="69"/>
  <c r="M139" i="69"/>
  <c r="L139" i="69"/>
  <c r="K139" i="69"/>
  <c r="J139" i="69"/>
  <c r="I139" i="69"/>
  <c r="H139" i="69"/>
  <c r="G139" i="69"/>
  <c r="Q138" i="69"/>
  <c r="P138" i="69"/>
  <c r="O138" i="69"/>
  <c r="N138" i="69"/>
  <c r="M138" i="69"/>
  <c r="L138" i="69"/>
  <c r="K138" i="69"/>
  <c r="J138" i="69"/>
  <c r="I138" i="69"/>
  <c r="H138" i="69"/>
  <c r="G138" i="69"/>
  <c r="Q137" i="69"/>
  <c r="P137" i="69"/>
  <c r="O137" i="69"/>
  <c r="N137" i="69"/>
  <c r="M137" i="69"/>
  <c r="L137" i="69"/>
  <c r="K137" i="69"/>
  <c r="J137" i="69"/>
  <c r="I137" i="69"/>
  <c r="H137" i="69"/>
  <c r="G137" i="69"/>
  <c r="Q136" i="69"/>
  <c r="P136" i="69"/>
  <c r="O136" i="69"/>
  <c r="N136" i="69"/>
  <c r="M136" i="69"/>
  <c r="L136" i="69"/>
  <c r="K136" i="69"/>
  <c r="J136" i="69"/>
  <c r="I136" i="69"/>
  <c r="H136" i="69"/>
  <c r="G136" i="69"/>
  <c r="Q135" i="69"/>
  <c r="P135" i="69"/>
  <c r="O135" i="69"/>
  <c r="N135" i="69"/>
  <c r="M135" i="69"/>
  <c r="L135" i="69"/>
  <c r="K135" i="69"/>
  <c r="J135" i="69"/>
  <c r="I135" i="69"/>
  <c r="H135" i="69"/>
  <c r="G135" i="69"/>
  <c r="Q134" i="69"/>
  <c r="P134" i="69"/>
  <c r="O134" i="69"/>
  <c r="N134" i="69"/>
  <c r="M134" i="69"/>
  <c r="L134" i="69"/>
  <c r="K134" i="69"/>
  <c r="J134" i="69"/>
  <c r="I134" i="69"/>
  <c r="H134" i="69"/>
  <c r="G134" i="69"/>
  <c r="Q133" i="69"/>
  <c r="P133" i="69"/>
  <c r="O133" i="69"/>
  <c r="N133" i="69"/>
  <c r="M133" i="69"/>
  <c r="L133" i="69"/>
  <c r="K133" i="69"/>
  <c r="J133" i="69"/>
  <c r="I133" i="69"/>
  <c r="H133" i="69"/>
  <c r="G133" i="69"/>
  <c r="Q132" i="69"/>
  <c r="P132" i="69"/>
  <c r="O132" i="69"/>
  <c r="N132" i="69"/>
  <c r="M132" i="69"/>
  <c r="L132" i="69"/>
  <c r="K132" i="69"/>
  <c r="J132" i="69"/>
  <c r="I132" i="69"/>
  <c r="H132" i="69"/>
  <c r="G132" i="69"/>
  <c r="Q131" i="69"/>
  <c r="P131" i="69"/>
  <c r="O131" i="69"/>
  <c r="N131" i="69"/>
  <c r="M131" i="69"/>
  <c r="L131" i="69"/>
  <c r="K131" i="69"/>
  <c r="J131" i="69"/>
  <c r="I131" i="69"/>
  <c r="H131" i="69"/>
  <c r="G131" i="69"/>
  <c r="Q130" i="69"/>
  <c r="P130" i="69"/>
  <c r="O130" i="69"/>
  <c r="N130" i="69"/>
  <c r="M130" i="69"/>
  <c r="L130" i="69"/>
  <c r="K130" i="69"/>
  <c r="J130" i="69"/>
  <c r="I130" i="69"/>
  <c r="H130" i="69"/>
  <c r="G130" i="69"/>
  <c r="Q129" i="69"/>
  <c r="P129" i="69"/>
  <c r="O129" i="69"/>
  <c r="N129" i="69"/>
  <c r="M129" i="69"/>
  <c r="L129" i="69"/>
  <c r="K129" i="69"/>
  <c r="J129" i="69"/>
  <c r="I129" i="69"/>
  <c r="H129" i="69"/>
  <c r="G129" i="69"/>
  <c r="Q128" i="69"/>
  <c r="P128" i="69"/>
  <c r="O128" i="69"/>
  <c r="N128" i="69"/>
  <c r="M128" i="69"/>
  <c r="L128" i="69"/>
  <c r="K128" i="69"/>
  <c r="J128" i="69"/>
  <c r="I128" i="69"/>
  <c r="H128" i="69"/>
  <c r="G128" i="69"/>
  <c r="Q127" i="69"/>
  <c r="P127" i="69"/>
  <c r="O127" i="69"/>
  <c r="N127" i="69"/>
  <c r="M127" i="69"/>
  <c r="L127" i="69"/>
  <c r="K127" i="69"/>
  <c r="J127" i="69"/>
  <c r="I127" i="69"/>
  <c r="H127" i="69"/>
  <c r="G127" i="69"/>
  <c r="Q126" i="69"/>
  <c r="P126" i="69"/>
  <c r="O126" i="69"/>
  <c r="N126" i="69"/>
  <c r="M126" i="69"/>
  <c r="L126" i="69"/>
  <c r="K126" i="69"/>
  <c r="J126" i="69"/>
  <c r="I126" i="69"/>
  <c r="H126" i="69"/>
  <c r="G126" i="69"/>
  <c r="Q125" i="69"/>
  <c r="P125" i="69"/>
  <c r="O125" i="69"/>
  <c r="N125" i="69"/>
  <c r="M125" i="69"/>
  <c r="L125" i="69"/>
  <c r="K125" i="69"/>
  <c r="J125" i="69"/>
  <c r="I125" i="69"/>
  <c r="H125" i="69"/>
  <c r="G125" i="69"/>
  <c r="Q124" i="69"/>
  <c r="P124" i="69"/>
  <c r="O124" i="69"/>
  <c r="N124" i="69"/>
  <c r="M124" i="69"/>
  <c r="L124" i="69"/>
  <c r="K124" i="69"/>
  <c r="J124" i="69"/>
  <c r="I124" i="69"/>
  <c r="H124" i="69"/>
  <c r="G124" i="69"/>
  <c r="Q123" i="69"/>
  <c r="P123" i="69"/>
  <c r="O123" i="69"/>
  <c r="N123" i="69"/>
  <c r="M123" i="69"/>
  <c r="L123" i="69"/>
  <c r="K123" i="69"/>
  <c r="J123" i="69"/>
  <c r="I123" i="69"/>
  <c r="H123" i="69"/>
  <c r="G123" i="69"/>
  <c r="Q122" i="69"/>
  <c r="P122" i="69"/>
  <c r="O122" i="69"/>
  <c r="N122" i="69"/>
  <c r="M122" i="69"/>
  <c r="L122" i="69"/>
  <c r="K122" i="69"/>
  <c r="J122" i="69"/>
  <c r="I122" i="69"/>
  <c r="H122" i="69"/>
  <c r="G122" i="69"/>
  <c r="Q121" i="69"/>
  <c r="P121" i="69"/>
  <c r="O121" i="69"/>
  <c r="N121" i="69"/>
  <c r="M121" i="69"/>
  <c r="L121" i="69"/>
  <c r="K121" i="69"/>
  <c r="J121" i="69"/>
  <c r="I121" i="69"/>
  <c r="H121" i="69"/>
  <c r="G121" i="69"/>
  <c r="Q120" i="69"/>
  <c r="P120" i="69"/>
  <c r="O120" i="69"/>
  <c r="N120" i="69"/>
  <c r="M120" i="69"/>
  <c r="L120" i="69"/>
  <c r="K120" i="69"/>
  <c r="J120" i="69"/>
  <c r="I120" i="69"/>
  <c r="H120" i="69"/>
  <c r="G120" i="69"/>
  <c r="Q119" i="69"/>
  <c r="P119" i="69"/>
  <c r="O119" i="69"/>
  <c r="N119" i="69"/>
  <c r="M119" i="69"/>
  <c r="L119" i="69"/>
  <c r="K119" i="69"/>
  <c r="J119" i="69"/>
  <c r="I119" i="69"/>
  <c r="H119" i="69"/>
  <c r="G119" i="69"/>
  <c r="Q118" i="69"/>
  <c r="P118" i="69"/>
  <c r="O118" i="69"/>
  <c r="N118" i="69"/>
  <c r="M118" i="69"/>
  <c r="L118" i="69"/>
  <c r="K118" i="69"/>
  <c r="J118" i="69"/>
  <c r="I118" i="69"/>
  <c r="H118" i="69"/>
  <c r="G118" i="69"/>
  <c r="Q117" i="69"/>
  <c r="P117" i="69"/>
  <c r="O117" i="69"/>
  <c r="N117" i="69"/>
  <c r="M117" i="69"/>
  <c r="L117" i="69"/>
  <c r="K117" i="69"/>
  <c r="J117" i="69"/>
  <c r="I117" i="69"/>
  <c r="H117" i="69"/>
  <c r="G117" i="69"/>
  <c r="Q116" i="69"/>
  <c r="P116" i="69"/>
  <c r="O116" i="69"/>
  <c r="N116" i="69"/>
  <c r="M116" i="69"/>
  <c r="L116" i="69"/>
  <c r="K116" i="69"/>
  <c r="J116" i="69"/>
  <c r="I116" i="69"/>
  <c r="H116" i="69"/>
  <c r="G116" i="69"/>
  <c r="Q115" i="69"/>
  <c r="P115" i="69"/>
  <c r="O115" i="69"/>
  <c r="N115" i="69"/>
  <c r="M115" i="69"/>
  <c r="L115" i="69"/>
  <c r="K115" i="69"/>
  <c r="J115" i="69"/>
  <c r="I115" i="69"/>
  <c r="H115" i="69"/>
  <c r="G115" i="69"/>
  <c r="Q114" i="69"/>
  <c r="P114" i="69"/>
  <c r="O114" i="69"/>
  <c r="N114" i="69"/>
  <c r="M114" i="69"/>
  <c r="L114" i="69"/>
  <c r="K114" i="69"/>
  <c r="J114" i="69"/>
  <c r="I114" i="69"/>
  <c r="H114" i="69"/>
  <c r="G114" i="69"/>
  <c r="Q113" i="69"/>
  <c r="P113" i="69"/>
  <c r="O113" i="69"/>
  <c r="N113" i="69"/>
  <c r="M113" i="69"/>
  <c r="L113" i="69"/>
  <c r="K113" i="69"/>
  <c r="J113" i="69"/>
  <c r="I113" i="69"/>
  <c r="H113" i="69"/>
  <c r="G113" i="69"/>
  <c r="Q112" i="69"/>
  <c r="P112" i="69"/>
  <c r="O112" i="69"/>
  <c r="N112" i="69"/>
  <c r="M112" i="69"/>
  <c r="L112" i="69"/>
  <c r="K112" i="69"/>
  <c r="J112" i="69"/>
  <c r="I112" i="69"/>
  <c r="H112" i="69"/>
  <c r="G112" i="69"/>
  <c r="Q111" i="69"/>
  <c r="P111" i="69"/>
  <c r="O111" i="69"/>
  <c r="N111" i="69"/>
  <c r="M111" i="69"/>
  <c r="L111" i="69"/>
  <c r="K111" i="69"/>
  <c r="J111" i="69"/>
  <c r="I111" i="69"/>
  <c r="H111" i="69"/>
  <c r="G111" i="69"/>
  <c r="Q110" i="69"/>
  <c r="P110" i="69"/>
  <c r="O110" i="69"/>
  <c r="N110" i="69"/>
  <c r="M110" i="69"/>
  <c r="L110" i="69"/>
  <c r="K110" i="69"/>
  <c r="J110" i="69"/>
  <c r="I110" i="69"/>
  <c r="H110" i="69"/>
  <c r="G110" i="69"/>
  <c r="Q109" i="69"/>
  <c r="P109" i="69"/>
  <c r="O109" i="69"/>
  <c r="N109" i="69"/>
  <c r="M109" i="69"/>
  <c r="L109" i="69"/>
  <c r="K109" i="69"/>
  <c r="J109" i="69"/>
  <c r="I109" i="69"/>
  <c r="H109" i="69"/>
  <c r="G109" i="69"/>
  <c r="Q108" i="69"/>
  <c r="P108" i="69"/>
  <c r="O108" i="69"/>
  <c r="N108" i="69"/>
  <c r="M108" i="69"/>
  <c r="L108" i="69"/>
  <c r="K108" i="69"/>
  <c r="J108" i="69"/>
  <c r="I108" i="69"/>
  <c r="H108" i="69"/>
  <c r="G108" i="69"/>
  <c r="Q107" i="69"/>
  <c r="P107" i="69"/>
  <c r="O107" i="69"/>
  <c r="N107" i="69"/>
  <c r="M107" i="69"/>
  <c r="L107" i="69"/>
  <c r="K107" i="69"/>
  <c r="J107" i="69"/>
  <c r="I107" i="69"/>
  <c r="H107" i="69"/>
  <c r="G107" i="69"/>
  <c r="Q106" i="69"/>
  <c r="P106" i="69"/>
  <c r="O106" i="69"/>
  <c r="N106" i="69"/>
  <c r="M106" i="69"/>
  <c r="L106" i="69"/>
  <c r="K106" i="69"/>
  <c r="J106" i="69"/>
  <c r="I106" i="69"/>
  <c r="H106" i="69"/>
  <c r="G106" i="69"/>
  <c r="Q105" i="69"/>
  <c r="P105" i="69"/>
  <c r="O105" i="69"/>
  <c r="N105" i="69"/>
  <c r="M105" i="69"/>
  <c r="L105" i="69"/>
  <c r="K105" i="69"/>
  <c r="J105" i="69"/>
  <c r="I105" i="69"/>
  <c r="H105" i="69"/>
  <c r="G105" i="69"/>
  <c r="Q104" i="69"/>
  <c r="P104" i="69"/>
  <c r="O104" i="69"/>
  <c r="N104" i="69"/>
  <c r="M104" i="69"/>
  <c r="L104" i="69"/>
  <c r="K104" i="69"/>
  <c r="J104" i="69"/>
  <c r="I104" i="69"/>
  <c r="H104" i="69"/>
  <c r="G104" i="69"/>
  <c r="Q103" i="69"/>
  <c r="P103" i="69"/>
  <c r="O103" i="69"/>
  <c r="N103" i="69"/>
  <c r="M103" i="69"/>
  <c r="L103" i="69"/>
  <c r="K103" i="69"/>
  <c r="J103" i="69"/>
  <c r="I103" i="69"/>
  <c r="H103" i="69"/>
  <c r="G103" i="69"/>
  <c r="Q102" i="69"/>
  <c r="P102" i="69"/>
  <c r="O102" i="69"/>
  <c r="N102" i="69"/>
  <c r="M102" i="69"/>
  <c r="L102" i="69"/>
  <c r="K102" i="69"/>
  <c r="J102" i="69"/>
  <c r="I102" i="69"/>
  <c r="H102" i="69"/>
  <c r="G102" i="69"/>
  <c r="Q101" i="69"/>
  <c r="P101" i="69"/>
  <c r="O101" i="69"/>
  <c r="N101" i="69"/>
  <c r="M101" i="69"/>
  <c r="L101" i="69"/>
  <c r="K101" i="69"/>
  <c r="J101" i="69"/>
  <c r="I101" i="69"/>
  <c r="H101" i="69"/>
  <c r="G101" i="69"/>
  <c r="Q100" i="69"/>
  <c r="P100" i="69"/>
  <c r="O100" i="69"/>
  <c r="N100" i="69"/>
  <c r="M100" i="69"/>
  <c r="L100" i="69"/>
  <c r="K100" i="69"/>
  <c r="J100" i="69"/>
  <c r="I100" i="69"/>
  <c r="H100" i="69"/>
  <c r="G100" i="69"/>
  <c r="Q99" i="69"/>
  <c r="P99" i="69"/>
  <c r="O99" i="69"/>
  <c r="N99" i="69"/>
  <c r="M99" i="69"/>
  <c r="L99" i="69"/>
  <c r="K99" i="69"/>
  <c r="J99" i="69"/>
  <c r="I99" i="69"/>
  <c r="H99" i="69"/>
  <c r="G99" i="69"/>
  <c r="Q98" i="69"/>
  <c r="P98" i="69"/>
  <c r="O98" i="69"/>
  <c r="N98" i="69"/>
  <c r="M98" i="69"/>
  <c r="L98" i="69"/>
  <c r="K98" i="69"/>
  <c r="J98" i="69"/>
  <c r="I98" i="69"/>
  <c r="H98" i="69"/>
  <c r="G98" i="69"/>
  <c r="Q97" i="69"/>
  <c r="P97" i="69"/>
  <c r="O97" i="69"/>
  <c r="N97" i="69"/>
  <c r="M97" i="69"/>
  <c r="L97" i="69"/>
  <c r="K97" i="69"/>
  <c r="J97" i="69"/>
  <c r="I97" i="69"/>
  <c r="H97" i="69"/>
  <c r="G97" i="69"/>
  <c r="Q96" i="69"/>
  <c r="P96" i="69"/>
  <c r="O96" i="69"/>
  <c r="N96" i="69"/>
  <c r="M96" i="69"/>
  <c r="L96" i="69"/>
  <c r="K96" i="69"/>
  <c r="J96" i="69"/>
  <c r="I96" i="69"/>
  <c r="H96" i="69"/>
  <c r="G96" i="69"/>
  <c r="Q95" i="69"/>
  <c r="P95" i="69"/>
  <c r="O95" i="69"/>
  <c r="N95" i="69"/>
  <c r="M95" i="69"/>
  <c r="L95" i="69"/>
  <c r="K95" i="69"/>
  <c r="J95" i="69"/>
  <c r="I95" i="69"/>
  <c r="H95" i="69"/>
  <c r="G95" i="69"/>
  <c r="Q94" i="69"/>
  <c r="P94" i="69"/>
  <c r="O94" i="69"/>
  <c r="N94" i="69"/>
  <c r="M94" i="69"/>
  <c r="L94" i="69"/>
  <c r="K94" i="69"/>
  <c r="J94" i="69"/>
  <c r="I94" i="69"/>
  <c r="H94" i="69"/>
  <c r="G94" i="69"/>
  <c r="Q93" i="69"/>
  <c r="P93" i="69"/>
  <c r="O93" i="69"/>
  <c r="N93" i="69"/>
  <c r="M93" i="69"/>
  <c r="L93" i="69"/>
  <c r="K93" i="69"/>
  <c r="J93" i="69"/>
  <c r="I93" i="69"/>
  <c r="H93" i="69"/>
  <c r="G93" i="69"/>
  <c r="Q92" i="69"/>
  <c r="P92" i="69"/>
  <c r="O92" i="69"/>
  <c r="N92" i="69"/>
  <c r="M92" i="69"/>
  <c r="L92" i="69"/>
  <c r="K92" i="69"/>
  <c r="J92" i="69"/>
  <c r="I92" i="69"/>
  <c r="H92" i="69"/>
  <c r="G92" i="69"/>
  <c r="Q91" i="69"/>
  <c r="P91" i="69"/>
  <c r="O91" i="69"/>
  <c r="N91" i="69"/>
  <c r="M91" i="69"/>
  <c r="L91" i="69"/>
  <c r="K91" i="69"/>
  <c r="J91" i="69"/>
  <c r="I91" i="69"/>
  <c r="H91" i="69"/>
  <c r="G91" i="69"/>
  <c r="Q90" i="69"/>
  <c r="P90" i="69"/>
  <c r="O90" i="69"/>
  <c r="N90" i="69"/>
  <c r="M90" i="69"/>
  <c r="L90" i="69"/>
  <c r="K90" i="69"/>
  <c r="J90" i="69"/>
  <c r="I90" i="69"/>
  <c r="H90" i="69"/>
  <c r="G90" i="69"/>
  <c r="Q89" i="69"/>
  <c r="P89" i="69"/>
  <c r="O89" i="69"/>
  <c r="N89" i="69"/>
  <c r="M89" i="69"/>
  <c r="L89" i="69"/>
  <c r="K89" i="69"/>
  <c r="J89" i="69"/>
  <c r="I89" i="69"/>
  <c r="H89" i="69"/>
  <c r="G89" i="69"/>
  <c r="Q88" i="69"/>
  <c r="P88" i="69"/>
  <c r="O88" i="69"/>
  <c r="N88" i="69"/>
  <c r="M88" i="69"/>
  <c r="L88" i="69"/>
  <c r="K88" i="69"/>
  <c r="J88" i="69"/>
  <c r="I88" i="69"/>
  <c r="H88" i="69"/>
  <c r="G88" i="69"/>
  <c r="Q87" i="69"/>
  <c r="P87" i="69"/>
  <c r="O87" i="69"/>
  <c r="N87" i="69"/>
  <c r="M87" i="69"/>
  <c r="L87" i="69"/>
  <c r="K87" i="69"/>
  <c r="J87" i="69"/>
  <c r="I87" i="69"/>
  <c r="H87" i="69"/>
  <c r="G87" i="69"/>
  <c r="Q86" i="69"/>
  <c r="P86" i="69"/>
  <c r="O86" i="69"/>
  <c r="N86" i="69"/>
  <c r="M86" i="69"/>
  <c r="L86" i="69"/>
  <c r="K86" i="69"/>
  <c r="J86" i="69"/>
  <c r="I86" i="69"/>
  <c r="H86" i="69"/>
  <c r="G86" i="69"/>
  <c r="Q85" i="69"/>
  <c r="P85" i="69"/>
  <c r="O85" i="69"/>
  <c r="N85" i="69"/>
  <c r="M85" i="69"/>
  <c r="L85" i="69"/>
  <c r="K85" i="69"/>
  <c r="J85" i="69"/>
  <c r="I85" i="69"/>
  <c r="H85" i="69"/>
  <c r="G85" i="69"/>
  <c r="Q84" i="69"/>
  <c r="P84" i="69"/>
  <c r="O84" i="69"/>
  <c r="N84" i="69"/>
  <c r="M84" i="69"/>
  <c r="L84" i="69"/>
  <c r="K84" i="69"/>
  <c r="J84" i="69"/>
  <c r="I84" i="69"/>
  <c r="H84" i="69"/>
  <c r="G84" i="69"/>
  <c r="Q83" i="69"/>
  <c r="P83" i="69"/>
  <c r="O83" i="69"/>
  <c r="N83" i="69"/>
  <c r="M83" i="69"/>
  <c r="L83" i="69"/>
  <c r="K83" i="69"/>
  <c r="J83" i="69"/>
  <c r="I83" i="69"/>
  <c r="H83" i="69"/>
  <c r="G83" i="69"/>
  <c r="Q82" i="69"/>
  <c r="P82" i="69"/>
  <c r="O82" i="69"/>
  <c r="N82" i="69"/>
  <c r="M82" i="69"/>
  <c r="L82" i="69"/>
  <c r="K82" i="69"/>
  <c r="J82" i="69"/>
  <c r="I82" i="69"/>
  <c r="H82" i="69"/>
  <c r="G82" i="69"/>
  <c r="Q81" i="69"/>
  <c r="P81" i="69"/>
  <c r="O81" i="69"/>
  <c r="N81" i="69"/>
  <c r="M81" i="69"/>
  <c r="L81" i="69"/>
  <c r="K81" i="69"/>
  <c r="J81" i="69"/>
  <c r="I81" i="69"/>
  <c r="H81" i="69"/>
  <c r="G81" i="69"/>
  <c r="Q80" i="69"/>
  <c r="P80" i="69"/>
  <c r="O80" i="69"/>
  <c r="N80" i="69"/>
  <c r="M80" i="69"/>
  <c r="L80" i="69"/>
  <c r="K80" i="69"/>
  <c r="J80" i="69"/>
  <c r="I80" i="69"/>
  <c r="H80" i="69"/>
  <c r="G80" i="69"/>
  <c r="Q79" i="69"/>
  <c r="P79" i="69"/>
  <c r="O79" i="69"/>
  <c r="N79" i="69"/>
  <c r="M79" i="69"/>
  <c r="L79" i="69"/>
  <c r="K79" i="69"/>
  <c r="J79" i="69"/>
  <c r="I79" i="69"/>
  <c r="H79" i="69"/>
  <c r="G79" i="69"/>
  <c r="Q78" i="69"/>
  <c r="P78" i="69"/>
  <c r="O78" i="69"/>
  <c r="N78" i="69"/>
  <c r="M78" i="69"/>
  <c r="L78" i="69"/>
  <c r="K78" i="69"/>
  <c r="J78" i="69"/>
  <c r="I78" i="69"/>
  <c r="H78" i="69"/>
  <c r="G78" i="69"/>
  <c r="Q77" i="69"/>
  <c r="P77" i="69"/>
  <c r="O77" i="69"/>
  <c r="N77" i="69"/>
  <c r="M77" i="69"/>
  <c r="L77" i="69"/>
  <c r="K77" i="69"/>
  <c r="J77" i="69"/>
  <c r="I77" i="69"/>
  <c r="H77" i="69"/>
  <c r="G77" i="69"/>
  <c r="Q76" i="69"/>
  <c r="P76" i="69"/>
  <c r="O76" i="69"/>
  <c r="N76" i="69"/>
  <c r="M76" i="69"/>
  <c r="L76" i="69"/>
  <c r="K76" i="69"/>
  <c r="J76" i="69"/>
  <c r="I76" i="69"/>
  <c r="H76" i="69"/>
  <c r="G76" i="69"/>
  <c r="Q75" i="69"/>
  <c r="P75" i="69"/>
  <c r="O75" i="69"/>
  <c r="N75" i="69"/>
  <c r="M75" i="69"/>
  <c r="L75" i="69"/>
  <c r="K75" i="69"/>
  <c r="J75" i="69"/>
  <c r="I75" i="69"/>
  <c r="H75" i="69"/>
  <c r="G75" i="69"/>
  <c r="Q74" i="69"/>
  <c r="P74" i="69"/>
  <c r="O74" i="69"/>
  <c r="N74" i="69"/>
  <c r="M74" i="69"/>
  <c r="L74" i="69"/>
  <c r="K74" i="69"/>
  <c r="J74" i="69"/>
  <c r="I74" i="69"/>
  <c r="H74" i="69"/>
  <c r="G74" i="69"/>
  <c r="Q73" i="69"/>
  <c r="P73" i="69"/>
  <c r="O73" i="69"/>
  <c r="N73" i="69"/>
  <c r="M73" i="69"/>
  <c r="L73" i="69"/>
  <c r="K73" i="69"/>
  <c r="J73" i="69"/>
  <c r="I73" i="69"/>
  <c r="H73" i="69"/>
  <c r="G73" i="69"/>
  <c r="Q72" i="69"/>
  <c r="P72" i="69"/>
  <c r="O72" i="69"/>
  <c r="N72" i="69"/>
  <c r="M72" i="69"/>
  <c r="L72" i="69"/>
  <c r="K72" i="69"/>
  <c r="J72" i="69"/>
  <c r="I72" i="69"/>
  <c r="H72" i="69"/>
  <c r="G72" i="69"/>
  <c r="Q71" i="69"/>
  <c r="P71" i="69"/>
  <c r="O71" i="69"/>
  <c r="N71" i="69"/>
  <c r="M71" i="69"/>
  <c r="L71" i="69"/>
  <c r="K71" i="69"/>
  <c r="J71" i="69"/>
  <c r="I71" i="69"/>
  <c r="H71" i="69"/>
  <c r="G71" i="69"/>
  <c r="Q70" i="69"/>
  <c r="P70" i="69"/>
  <c r="O70" i="69"/>
  <c r="N70" i="69"/>
  <c r="M70" i="69"/>
  <c r="L70" i="69"/>
  <c r="K70" i="69"/>
  <c r="J70" i="69"/>
  <c r="I70" i="69"/>
  <c r="H70" i="69"/>
  <c r="G70" i="69"/>
  <c r="Q69" i="69"/>
  <c r="P69" i="69"/>
  <c r="O69" i="69"/>
  <c r="N69" i="69"/>
  <c r="M69" i="69"/>
  <c r="L69" i="69"/>
  <c r="K69" i="69"/>
  <c r="J69" i="69"/>
  <c r="I69" i="69"/>
  <c r="H69" i="69"/>
  <c r="G69" i="69"/>
  <c r="Q68" i="69"/>
  <c r="P68" i="69"/>
  <c r="O68" i="69"/>
  <c r="N68" i="69"/>
  <c r="M68" i="69"/>
  <c r="L68" i="69"/>
  <c r="K68" i="69"/>
  <c r="J68" i="69"/>
  <c r="I68" i="69"/>
  <c r="H68" i="69"/>
  <c r="G68" i="69"/>
  <c r="Q67" i="69"/>
  <c r="P67" i="69"/>
  <c r="O67" i="69"/>
  <c r="N67" i="69"/>
  <c r="M67" i="69"/>
  <c r="L67" i="69"/>
  <c r="K67" i="69"/>
  <c r="J67" i="69"/>
  <c r="I67" i="69"/>
  <c r="H67" i="69"/>
  <c r="G67" i="69"/>
  <c r="Q66" i="69"/>
  <c r="P66" i="69"/>
  <c r="O66" i="69"/>
  <c r="N66" i="69"/>
  <c r="M66" i="69"/>
  <c r="L66" i="69"/>
  <c r="K66" i="69"/>
  <c r="J66" i="69"/>
  <c r="I66" i="69"/>
  <c r="H66" i="69"/>
  <c r="G66" i="69"/>
  <c r="Q65" i="69"/>
  <c r="P65" i="69"/>
  <c r="O65" i="69"/>
  <c r="N65" i="69"/>
  <c r="M65" i="69"/>
  <c r="L65" i="69"/>
  <c r="K65" i="69"/>
  <c r="J65" i="69"/>
  <c r="I65" i="69"/>
  <c r="H65" i="69"/>
  <c r="G65" i="69"/>
  <c r="Q64" i="69"/>
  <c r="P64" i="69"/>
  <c r="O64" i="69"/>
  <c r="N64" i="69"/>
  <c r="M64" i="69"/>
  <c r="L64" i="69"/>
  <c r="K64" i="69"/>
  <c r="J64" i="69"/>
  <c r="I64" i="69"/>
  <c r="H64" i="69"/>
  <c r="G64" i="69"/>
  <c r="Q63" i="69"/>
  <c r="P63" i="69"/>
  <c r="O63" i="69"/>
  <c r="N63" i="69"/>
  <c r="M63" i="69"/>
  <c r="L63" i="69"/>
  <c r="K63" i="69"/>
  <c r="J63" i="69"/>
  <c r="I63" i="69"/>
  <c r="H63" i="69"/>
  <c r="G63" i="69"/>
  <c r="Q62" i="69"/>
  <c r="P62" i="69"/>
  <c r="O62" i="69"/>
  <c r="N62" i="69"/>
  <c r="M62" i="69"/>
  <c r="L62" i="69"/>
  <c r="K62" i="69"/>
  <c r="J62" i="69"/>
  <c r="I62" i="69"/>
  <c r="H62" i="69"/>
  <c r="G62" i="69"/>
  <c r="Q61" i="69"/>
  <c r="P61" i="69"/>
  <c r="O61" i="69"/>
  <c r="N61" i="69"/>
  <c r="M61" i="69"/>
  <c r="L61" i="69"/>
  <c r="K61" i="69"/>
  <c r="J61" i="69"/>
  <c r="I61" i="69"/>
  <c r="H61" i="69"/>
  <c r="G61" i="69"/>
  <c r="Q60" i="69"/>
  <c r="P60" i="69"/>
  <c r="O60" i="69"/>
  <c r="N60" i="69"/>
  <c r="M60" i="69"/>
  <c r="L60" i="69"/>
  <c r="K60" i="69"/>
  <c r="J60" i="69"/>
  <c r="I60" i="69"/>
  <c r="H60" i="69"/>
  <c r="G60" i="69"/>
  <c r="Q59" i="69"/>
  <c r="P59" i="69"/>
  <c r="O59" i="69"/>
  <c r="N59" i="69"/>
  <c r="M59" i="69"/>
  <c r="L59" i="69"/>
  <c r="K59" i="69"/>
  <c r="J59" i="69"/>
  <c r="I59" i="69"/>
  <c r="H59" i="69"/>
  <c r="G59" i="69"/>
  <c r="Q58" i="69"/>
  <c r="P58" i="69"/>
  <c r="O58" i="69"/>
  <c r="N58" i="69"/>
  <c r="M58" i="69"/>
  <c r="L58" i="69"/>
  <c r="K58" i="69"/>
  <c r="J58" i="69"/>
  <c r="I58" i="69"/>
  <c r="H58" i="69"/>
  <c r="G58" i="69"/>
  <c r="Q57" i="69"/>
  <c r="P57" i="69"/>
  <c r="O57" i="69"/>
  <c r="N57" i="69"/>
  <c r="M57" i="69"/>
  <c r="L57" i="69"/>
  <c r="K57" i="69"/>
  <c r="J57" i="69"/>
  <c r="I57" i="69"/>
  <c r="H57" i="69"/>
  <c r="G57" i="69"/>
  <c r="Q56" i="69"/>
  <c r="P56" i="69"/>
  <c r="O56" i="69"/>
  <c r="N56" i="69"/>
  <c r="M56" i="69"/>
  <c r="L56" i="69"/>
  <c r="K56" i="69"/>
  <c r="J56" i="69"/>
  <c r="I56" i="69"/>
  <c r="H56" i="69"/>
  <c r="G56" i="69"/>
  <c r="Q55" i="69"/>
  <c r="P55" i="69"/>
  <c r="O55" i="69"/>
  <c r="N55" i="69"/>
  <c r="M55" i="69"/>
  <c r="L55" i="69"/>
  <c r="K55" i="69"/>
  <c r="J55" i="69"/>
  <c r="I55" i="69"/>
  <c r="H55" i="69"/>
  <c r="G55" i="69"/>
  <c r="Q54" i="69"/>
  <c r="P54" i="69"/>
  <c r="O54" i="69"/>
  <c r="N54" i="69"/>
  <c r="M54" i="69"/>
  <c r="L54" i="69"/>
  <c r="K54" i="69"/>
  <c r="J54" i="69"/>
  <c r="I54" i="69"/>
  <c r="H54" i="69"/>
  <c r="G54" i="69"/>
  <c r="Q53" i="69"/>
  <c r="P53" i="69"/>
  <c r="O53" i="69"/>
  <c r="N53" i="69"/>
  <c r="M53" i="69"/>
  <c r="L53" i="69"/>
  <c r="K53" i="69"/>
  <c r="J53" i="69"/>
  <c r="I53" i="69"/>
  <c r="H53" i="69"/>
  <c r="G53" i="69"/>
  <c r="Q52" i="69"/>
  <c r="P52" i="69"/>
  <c r="O52" i="69"/>
  <c r="N52" i="69"/>
  <c r="M52" i="69"/>
  <c r="L52" i="69"/>
  <c r="K52" i="69"/>
  <c r="J52" i="69"/>
  <c r="I52" i="69"/>
  <c r="H52" i="69"/>
  <c r="G52" i="69"/>
  <c r="Q51" i="69"/>
  <c r="P51" i="69"/>
  <c r="O51" i="69"/>
  <c r="N51" i="69"/>
  <c r="M51" i="69"/>
  <c r="L51" i="69"/>
  <c r="K51" i="69"/>
  <c r="J51" i="69"/>
  <c r="I51" i="69"/>
  <c r="H51" i="69"/>
  <c r="G51" i="69"/>
  <c r="Q50" i="69"/>
  <c r="P50" i="69"/>
  <c r="O50" i="69"/>
  <c r="N50" i="69"/>
  <c r="M50" i="69"/>
  <c r="L50" i="69"/>
  <c r="K50" i="69"/>
  <c r="J50" i="69"/>
  <c r="I50" i="69"/>
  <c r="H50" i="69"/>
  <c r="G50" i="69"/>
  <c r="Q49" i="69"/>
  <c r="P49" i="69"/>
  <c r="O49" i="69"/>
  <c r="N49" i="69"/>
  <c r="M49" i="69"/>
  <c r="L49" i="69"/>
  <c r="K49" i="69"/>
  <c r="J49" i="69"/>
  <c r="I49" i="69"/>
  <c r="H49" i="69"/>
  <c r="G49" i="69"/>
  <c r="Q48" i="69"/>
  <c r="P48" i="69"/>
  <c r="O48" i="69"/>
  <c r="N48" i="69"/>
  <c r="M48" i="69"/>
  <c r="L48" i="69"/>
  <c r="K48" i="69"/>
  <c r="J48" i="69"/>
  <c r="I48" i="69"/>
  <c r="H48" i="69"/>
  <c r="G48" i="69"/>
  <c r="Q47" i="69"/>
  <c r="P47" i="69"/>
  <c r="O47" i="69"/>
  <c r="N47" i="69"/>
  <c r="M47" i="69"/>
  <c r="L47" i="69"/>
  <c r="K47" i="69"/>
  <c r="J47" i="69"/>
  <c r="I47" i="69"/>
  <c r="H47" i="69"/>
  <c r="G47" i="69"/>
  <c r="Q46" i="69"/>
  <c r="P46" i="69"/>
  <c r="O46" i="69"/>
  <c r="N46" i="69"/>
  <c r="M46" i="69"/>
  <c r="L46" i="69"/>
  <c r="K46" i="69"/>
  <c r="J46" i="69"/>
  <c r="I46" i="69"/>
  <c r="H46" i="69"/>
  <c r="G46" i="69"/>
  <c r="Q45" i="69"/>
  <c r="P45" i="69"/>
  <c r="O45" i="69"/>
  <c r="N45" i="69"/>
  <c r="M45" i="69"/>
  <c r="L45" i="69"/>
  <c r="K45" i="69"/>
  <c r="J45" i="69"/>
  <c r="I45" i="69"/>
  <c r="H45" i="69"/>
  <c r="G45" i="69"/>
  <c r="Q44" i="69"/>
  <c r="P44" i="69"/>
  <c r="O44" i="69"/>
  <c r="N44" i="69"/>
  <c r="M44" i="69"/>
  <c r="L44" i="69"/>
  <c r="K44" i="69"/>
  <c r="J44" i="69"/>
  <c r="I44" i="69"/>
  <c r="H44" i="69"/>
  <c r="G44" i="69"/>
  <c r="Q43" i="69"/>
  <c r="P43" i="69"/>
  <c r="O43" i="69"/>
  <c r="N43" i="69"/>
  <c r="M43" i="69"/>
  <c r="L43" i="69"/>
  <c r="K43" i="69"/>
  <c r="J43" i="69"/>
  <c r="I43" i="69"/>
  <c r="H43" i="69"/>
  <c r="G43" i="69"/>
  <c r="Q42" i="69"/>
  <c r="P42" i="69"/>
  <c r="O42" i="69"/>
  <c r="N42" i="69"/>
  <c r="M42" i="69"/>
  <c r="L42" i="69"/>
  <c r="K42" i="69"/>
  <c r="J42" i="69"/>
  <c r="I42" i="69"/>
  <c r="H42" i="69"/>
  <c r="G42" i="69"/>
  <c r="Q41" i="69"/>
  <c r="P41" i="69"/>
  <c r="O41" i="69"/>
  <c r="N41" i="69"/>
  <c r="M41" i="69"/>
  <c r="L41" i="69"/>
  <c r="K41" i="69"/>
  <c r="J41" i="69"/>
  <c r="I41" i="69"/>
  <c r="H41" i="69"/>
  <c r="G41" i="69"/>
  <c r="Q40" i="69"/>
  <c r="P40" i="69"/>
  <c r="O40" i="69"/>
  <c r="N40" i="69"/>
  <c r="M40" i="69"/>
  <c r="L40" i="69"/>
  <c r="K40" i="69"/>
  <c r="J40" i="69"/>
  <c r="I40" i="69"/>
  <c r="H40" i="69"/>
  <c r="G40" i="69"/>
  <c r="Q39" i="69"/>
  <c r="P39" i="69"/>
  <c r="O39" i="69"/>
  <c r="N39" i="69"/>
  <c r="M39" i="69"/>
  <c r="L39" i="69"/>
  <c r="K39" i="69"/>
  <c r="J39" i="69"/>
  <c r="I39" i="69"/>
  <c r="H39" i="69"/>
  <c r="G39" i="69"/>
  <c r="Q38" i="69"/>
  <c r="P38" i="69"/>
  <c r="O38" i="69"/>
  <c r="N38" i="69"/>
  <c r="M38" i="69"/>
  <c r="L38" i="69"/>
  <c r="K38" i="69"/>
  <c r="J38" i="69"/>
  <c r="I38" i="69"/>
  <c r="H38" i="69"/>
  <c r="G38" i="69"/>
  <c r="Q37" i="69"/>
  <c r="P37" i="69"/>
  <c r="O37" i="69"/>
  <c r="N37" i="69"/>
  <c r="M37" i="69"/>
  <c r="L37" i="69"/>
  <c r="K37" i="69"/>
  <c r="J37" i="69"/>
  <c r="I37" i="69"/>
  <c r="H37" i="69"/>
  <c r="G37" i="69"/>
  <c r="Q36" i="69"/>
  <c r="P36" i="69"/>
  <c r="O36" i="69"/>
  <c r="N36" i="69"/>
  <c r="M36" i="69"/>
  <c r="L36" i="69"/>
  <c r="K36" i="69"/>
  <c r="J36" i="69"/>
  <c r="I36" i="69"/>
  <c r="H36" i="69"/>
  <c r="G36" i="69"/>
  <c r="Q35" i="69"/>
  <c r="P35" i="69"/>
  <c r="O35" i="69"/>
  <c r="N35" i="69"/>
  <c r="M35" i="69"/>
  <c r="L35" i="69"/>
  <c r="K35" i="69"/>
  <c r="J35" i="69"/>
  <c r="I35" i="69"/>
  <c r="H35" i="69"/>
  <c r="G35" i="69"/>
  <c r="Q34" i="69"/>
  <c r="P34" i="69"/>
  <c r="O34" i="69"/>
  <c r="N34" i="69"/>
  <c r="M34" i="69"/>
  <c r="L34" i="69"/>
  <c r="K34" i="69"/>
  <c r="J34" i="69"/>
  <c r="I34" i="69"/>
  <c r="H34" i="69"/>
  <c r="G34" i="69"/>
  <c r="Q33" i="69"/>
  <c r="P33" i="69"/>
  <c r="O33" i="69"/>
  <c r="N33" i="69"/>
  <c r="M33" i="69"/>
  <c r="L33" i="69"/>
  <c r="K33" i="69"/>
  <c r="J33" i="69"/>
  <c r="I33" i="69"/>
  <c r="H33" i="69"/>
  <c r="G33" i="69"/>
  <c r="Q32" i="69"/>
  <c r="P32" i="69"/>
  <c r="O32" i="69"/>
  <c r="N32" i="69"/>
  <c r="M32" i="69"/>
  <c r="L32" i="69"/>
  <c r="K32" i="69"/>
  <c r="J32" i="69"/>
  <c r="I32" i="69"/>
  <c r="H32" i="69"/>
  <c r="G32" i="69"/>
  <c r="Q31" i="69"/>
  <c r="P31" i="69"/>
  <c r="O31" i="69"/>
  <c r="N31" i="69"/>
  <c r="M31" i="69"/>
  <c r="L31" i="69"/>
  <c r="K31" i="69"/>
  <c r="J31" i="69"/>
  <c r="I31" i="69"/>
  <c r="H31" i="69"/>
  <c r="G31" i="69"/>
  <c r="Q30" i="69"/>
  <c r="P30" i="69"/>
  <c r="O30" i="69"/>
  <c r="N30" i="69"/>
  <c r="M30" i="69"/>
  <c r="L30" i="69"/>
  <c r="K30" i="69"/>
  <c r="J30" i="69"/>
  <c r="I30" i="69"/>
  <c r="H30" i="69"/>
  <c r="G30" i="69"/>
  <c r="Q29" i="69"/>
  <c r="P29" i="69"/>
  <c r="O29" i="69"/>
  <c r="N29" i="69"/>
  <c r="M29" i="69"/>
  <c r="L29" i="69"/>
  <c r="K29" i="69"/>
  <c r="J29" i="69"/>
  <c r="I29" i="69"/>
  <c r="H29" i="69"/>
  <c r="G29" i="69"/>
  <c r="Q28" i="69"/>
  <c r="P28" i="69"/>
  <c r="O28" i="69"/>
  <c r="N28" i="69"/>
  <c r="M28" i="69"/>
  <c r="L28" i="69"/>
  <c r="K28" i="69"/>
  <c r="J28" i="69"/>
  <c r="I28" i="69"/>
  <c r="H28" i="69"/>
  <c r="G28" i="69"/>
  <c r="Q27" i="69"/>
  <c r="P27" i="69"/>
  <c r="O27" i="69"/>
  <c r="N27" i="69"/>
  <c r="M27" i="69"/>
  <c r="L27" i="69"/>
  <c r="K27" i="69"/>
  <c r="J27" i="69"/>
  <c r="I27" i="69"/>
  <c r="H27" i="69"/>
  <c r="G27" i="69"/>
  <c r="Q26" i="69"/>
  <c r="P26" i="69"/>
  <c r="O26" i="69"/>
  <c r="N26" i="69"/>
  <c r="M26" i="69"/>
  <c r="L26" i="69"/>
  <c r="K26" i="69"/>
  <c r="J26" i="69"/>
  <c r="I26" i="69"/>
  <c r="H26" i="69"/>
  <c r="G26" i="69"/>
  <c r="Q25" i="69"/>
  <c r="P25" i="69"/>
  <c r="O25" i="69"/>
  <c r="N25" i="69"/>
  <c r="M25" i="69"/>
  <c r="L25" i="69"/>
  <c r="K25" i="69"/>
  <c r="J25" i="69"/>
  <c r="I25" i="69"/>
  <c r="H25" i="69"/>
  <c r="G25" i="69"/>
  <c r="Q24" i="69"/>
  <c r="P24" i="69"/>
  <c r="O24" i="69"/>
  <c r="N24" i="69"/>
  <c r="M24" i="69"/>
  <c r="L24" i="69"/>
  <c r="K24" i="69"/>
  <c r="J24" i="69"/>
  <c r="I24" i="69"/>
  <c r="H24" i="69"/>
  <c r="G24" i="69"/>
  <c r="Q23" i="69"/>
  <c r="P23" i="69"/>
  <c r="O23" i="69"/>
  <c r="N23" i="69"/>
  <c r="M23" i="69"/>
  <c r="L23" i="69"/>
  <c r="K23" i="69"/>
  <c r="J23" i="69"/>
  <c r="I23" i="69"/>
  <c r="H23" i="69"/>
  <c r="G23" i="69"/>
  <c r="Q22" i="69"/>
  <c r="P22" i="69"/>
  <c r="O22" i="69"/>
  <c r="N22" i="69"/>
  <c r="M22" i="69"/>
  <c r="L22" i="69"/>
  <c r="K22" i="69"/>
  <c r="J22" i="69"/>
  <c r="I22" i="69"/>
  <c r="H22" i="69"/>
  <c r="G22" i="69"/>
  <c r="Q21" i="69"/>
  <c r="P21" i="69"/>
  <c r="O21" i="69"/>
  <c r="N21" i="69"/>
  <c r="M21" i="69"/>
  <c r="L21" i="69"/>
  <c r="K21" i="69"/>
  <c r="J21" i="69"/>
  <c r="I21" i="69"/>
  <c r="H21" i="69"/>
  <c r="G21" i="69"/>
  <c r="Q20" i="69"/>
  <c r="P20" i="69"/>
  <c r="O20" i="69"/>
  <c r="N20" i="69"/>
  <c r="M20" i="69"/>
  <c r="L20" i="69"/>
  <c r="K20" i="69"/>
  <c r="J20" i="69"/>
  <c r="I20" i="69"/>
  <c r="H20" i="69"/>
  <c r="G20" i="69"/>
  <c r="Q19" i="69"/>
  <c r="P19" i="69"/>
  <c r="O19" i="69"/>
  <c r="N19" i="69"/>
  <c r="M19" i="69"/>
  <c r="L19" i="69"/>
  <c r="K19" i="69"/>
  <c r="J19" i="69"/>
  <c r="I19" i="69"/>
  <c r="H19" i="69"/>
  <c r="G19" i="69"/>
  <c r="Q18" i="69"/>
  <c r="P18" i="69"/>
  <c r="O18" i="69"/>
  <c r="N18" i="69"/>
  <c r="M18" i="69"/>
  <c r="L18" i="69"/>
  <c r="K18" i="69"/>
  <c r="J18" i="69"/>
  <c r="I18" i="69"/>
  <c r="H18" i="69"/>
  <c r="G18" i="69"/>
  <c r="Q17" i="69"/>
  <c r="P17" i="69"/>
  <c r="O17" i="69"/>
  <c r="N17" i="69"/>
  <c r="M17" i="69"/>
  <c r="L17" i="69"/>
  <c r="K17" i="69"/>
  <c r="J17" i="69"/>
  <c r="I17" i="69"/>
  <c r="H17" i="69"/>
  <c r="G17" i="69"/>
  <c r="Q16" i="69"/>
  <c r="P16" i="69"/>
  <c r="O16" i="69"/>
  <c r="N16" i="69"/>
  <c r="M16" i="69"/>
  <c r="L16" i="69"/>
  <c r="K16" i="69"/>
  <c r="J16" i="69"/>
  <c r="I16" i="69"/>
  <c r="H16" i="69"/>
  <c r="G16" i="69"/>
  <c r="Q15" i="69"/>
  <c r="P15" i="69"/>
  <c r="O15" i="69"/>
  <c r="N15" i="69"/>
  <c r="M15" i="69"/>
  <c r="L15" i="69"/>
  <c r="K15" i="69"/>
  <c r="J15" i="69"/>
  <c r="I15" i="69"/>
  <c r="H15" i="69"/>
  <c r="G15" i="69"/>
  <c r="Q14" i="69"/>
  <c r="P14" i="69"/>
  <c r="O14" i="69"/>
  <c r="N14" i="69"/>
  <c r="M14" i="69"/>
  <c r="L14" i="69"/>
  <c r="K14" i="69"/>
  <c r="J14" i="69"/>
  <c r="I14" i="69"/>
  <c r="H14" i="69"/>
  <c r="G14" i="69"/>
  <c r="Q13" i="69"/>
  <c r="P13" i="69"/>
  <c r="O13" i="69"/>
  <c r="N13" i="69"/>
  <c r="M13" i="69"/>
  <c r="L13" i="69"/>
  <c r="K13" i="69"/>
  <c r="J13" i="69"/>
  <c r="I13" i="69"/>
  <c r="H13" i="69"/>
  <c r="G13" i="69"/>
  <c r="Q12" i="69"/>
  <c r="P12" i="69"/>
  <c r="O12" i="69"/>
  <c r="N12" i="69"/>
  <c r="M12" i="69"/>
  <c r="L12" i="69"/>
  <c r="K12" i="69"/>
  <c r="J12" i="69"/>
  <c r="I12" i="69"/>
  <c r="H12" i="69"/>
  <c r="G12" i="69"/>
  <c r="Q11" i="69"/>
  <c r="P11" i="69"/>
  <c r="O11" i="69"/>
  <c r="N11" i="69"/>
  <c r="M11" i="69"/>
  <c r="L11" i="69"/>
  <c r="K11" i="69"/>
  <c r="J11" i="69"/>
  <c r="I11" i="69"/>
  <c r="H11" i="69"/>
  <c r="G11" i="69"/>
  <c r="Q10" i="69"/>
  <c r="P10" i="69"/>
  <c r="O10" i="69"/>
  <c r="N10" i="69"/>
  <c r="M10" i="69"/>
  <c r="L10" i="69"/>
  <c r="K10" i="69"/>
  <c r="J10" i="69"/>
  <c r="I10" i="69"/>
  <c r="H10" i="69"/>
  <c r="G10" i="69"/>
  <c r="Q9" i="69"/>
  <c r="P9" i="69"/>
  <c r="O9" i="69"/>
  <c r="N9" i="69"/>
  <c r="M9" i="69"/>
  <c r="L9" i="69"/>
  <c r="K9" i="69"/>
  <c r="J9" i="69"/>
  <c r="I9" i="69"/>
  <c r="H9" i="69"/>
  <c r="G9" i="69"/>
  <c r="Q8" i="69"/>
  <c r="P8" i="69"/>
  <c r="O8" i="69"/>
  <c r="N8" i="69"/>
  <c r="M8" i="69"/>
  <c r="L8" i="69"/>
  <c r="K8" i="69"/>
  <c r="J8" i="69"/>
  <c r="I8" i="69"/>
  <c r="H8" i="69"/>
  <c r="G8" i="69"/>
  <c r="Q7" i="69"/>
  <c r="P7" i="69"/>
  <c r="O7" i="69"/>
  <c r="N7" i="69"/>
  <c r="M7" i="69"/>
  <c r="L7" i="69"/>
  <c r="K7" i="69"/>
  <c r="J7" i="69"/>
  <c r="I7" i="69"/>
  <c r="H7" i="69"/>
  <c r="G7" i="69"/>
  <c r="Q6" i="69"/>
  <c r="P6" i="69"/>
  <c r="O6" i="69"/>
  <c r="N6" i="69"/>
  <c r="M6" i="69"/>
  <c r="L6" i="69"/>
  <c r="K6" i="69"/>
  <c r="J6" i="69"/>
  <c r="I6" i="69"/>
  <c r="H6" i="69"/>
  <c r="G6" i="69"/>
  <c r="Q5" i="69"/>
  <c r="P5" i="69"/>
  <c r="O5" i="69"/>
  <c r="N5" i="69"/>
  <c r="M5" i="69"/>
  <c r="L5" i="69"/>
  <c r="K5" i="69"/>
  <c r="J5" i="69"/>
  <c r="I5" i="69"/>
  <c r="H5" i="69"/>
  <c r="G5" i="69"/>
  <c r="Q4" i="69"/>
  <c r="P4" i="69"/>
  <c r="O4" i="69"/>
  <c r="N4" i="69"/>
  <c r="M4" i="69"/>
  <c r="L4" i="69"/>
  <c r="K4" i="69"/>
  <c r="J4" i="69"/>
  <c r="I4" i="69"/>
  <c r="H4" i="69"/>
  <c r="G4" i="69"/>
  <c r="Q3" i="69"/>
  <c r="P3" i="69"/>
  <c r="O3" i="69"/>
  <c r="N3" i="69"/>
  <c r="M3" i="69"/>
  <c r="L3" i="69"/>
  <c r="K3" i="69"/>
  <c r="J3" i="69"/>
  <c r="I3" i="69"/>
  <c r="H3" i="69"/>
  <c r="G3" i="69"/>
  <c r="Q2" i="69"/>
  <c r="P2" i="69"/>
  <c r="O2" i="69"/>
  <c r="N2" i="69"/>
  <c r="M2" i="69"/>
  <c r="L2" i="69"/>
  <c r="K2" i="69"/>
  <c r="J2" i="69"/>
  <c r="I2" i="69"/>
  <c r="H2" i="69"/>
  <c r="G2" i="69"/>
  <c r="F56" i="60"/>
  <c r="F55" i="60"/>
  <c r="F54" i="60"/>
  <c r="F53" i="60"/>
  <c r="F52" i="60"/>
  <c r="I47" i="60"/>
  <c r="O1725" i="69" s="1"/>
  <c r="I46" i="60"/>
  <c r="I45" i="60"/>
  <c r="F79" i="60" s="1"/>
  <c r="I40" i="60"/>
  <c r="I39" i="60"/>
  <c r="I38" i="60"/>
  <c r="I33" i="60"/>
  <c r="I32" i="60"/>
  <c r="I31" i="60"/>
  <c r="I26" i="60"/>
  <c r="I25" i="60"/>
  <c r="I24" i="60"/>
  <c r="I19" i="60"/>
  <c r="B81" i="60" s="1"/>
  <c r="I18" i="60"/>
  <c r="O1696" i="69" s="1"/>
  <c r="I17" i="60"/>
  <c r="B4" i="60"/>
  <c r="F55" i="59"/>
  <c r="F54" i="59"/>
  <c r="F53" i="59"/>
  <c r="F52" i="59"/>
  <c r="I47" i="59"/>
  <c r="O1652" i="69" s="1"/>
  <c r="I46" i="59"/>
  <c r="O1651" i="69" s="1"/>
  <c r="I45" i="59"/>
  <c r="O1650" i="69" s="1"/>
  <c r="I40" i="59"/>
  <c r="I39" i="59"/>
  <c r="I38" i="59"/>
  <c r="I33" i="59"/>
  <c r="I32" i="59"/>
  <c r="I31" i="59"/>
  <c r="I26" i="59"/>
  <c r="I25" i="59"/>
  <c r="I24" i="59"/>
  <c r="I19" i="59"/>
  <c r="O1624" i="69" s="1"/>
  <c r="I18" i="59"/>
  <c r="O1623" i="69" s="1"/>
  <c r="I17" i="59"/>
  <c r="G1434" i="36"/>
  <c r="F1434" i="36"/>
  <c r="E1434" i="36"/>
  <c r="D1434" i="36"/>
  <c r="C1434" i="36"/>
  <c r="B1434" i="36"/>
  <c r="A1434" i="36"/>
  <c r="G1433" i="36"/>
  <c r="F1433" i="36"/>
  <c r="E1433" i="36"/>
  <c r="D1433" i="36"/>
  <c r="C1433" i="36"/>
  <c r="B1433" i="36"/>
  <c r="A1433" i="36"/>
  <c r="G1432" i="36"/>
  <c r="F1432" i="36"/>
  <c r="E1432" i="36"/>
  <c r="D1432" i="36"/>
  <c r="C1432" i="36"/>
  <c r="B1432" i="36"/>
  <c r="A1432" i="36"/>
  <c r="G1431" i="36"/>
  <c r="F1431" i="36"/>
  <c r="E1431" i="36"/>
  <c r="D1431" i="36"/>
  <c r="C1431" i="36"/>
  <c r="B1431" i="36"/>
  <c r="A1431" i="36"/>
  <c r="G1430" i="36"/>
  <c r="F1430" i="36"/>
  <c r="E1430" i="36"/>
  <c r="D1430" i="36"/>
  <c r="C1430" i="36"/>
  <c r="B1430" i="36"/>
  <c r="A1430" i="36"/>
  <c r="G1429" i="36"/>
  <c r="F1429" i="36"/>
  <c r="E1429" i="36"/>
  <c r="D1429" i="36"/>
  <c r="C1429" i="36"/>
  <c r="B1429" i="36"/>
  <c r="A1429" i="36"/>
  <c r="G1428" i="36"/>
  <c r="F1428" i="36"/>
  <c r="E1428" i="36"/>
  <c r="D1428" i="36"/>
  <c r="C1428" i="36"/>
  <c r="B1428" i="36"/>
  <c r="A1428" i="36"/>
  <c r="G1427" i="36"/>
  <c r="F1427" i="36"/>
  <c r="E1427" i="36"/>
  <c r="D1427" i="36"/>
  <c r="C1427" i="36"/>
  <c r="B1427" i="36"/>
  <c r="A1427" i="36"/>
  <c r="G1426" i="36"/>
  <c r="F1426" i="36"/>
  <c r="E1426" i="36"/>
  <c r="D1426" i="36"/>
  <c r="C1426" i="36"/>
  <c r="B1426" i="36"/>
  <c r="A1426" i="36"/>
  <c r="G1425" i="36"/>
  <c r="F1425" i="36"/>
  <c r="E1425" i="36"/>
  <c r="D1425" i="36"/>
  <c r="C1425" i="36"/>
  <c r="B1425" i="36"/>
  <c r="A1425" i="36"/>
  <c r="G1424" i="36"/>
  <c r="F1424" i="36"/>
  <c r="E1424" i="36"/>
  <c r="D1424" i="36"/>
  <c r="C1424" i="36"/>
  <c r="B1424" i="36"/>
  <c r="A1424" i="36"/>
  <c r="G1423" i="36"/>
  <c r="F1423" i="36"/>
  <c r="E1423" i="36"/>
  <c r="D1423" i="36"/>
  <c r="C1423" i="36"/>
  <c r="B1423" i="36"/>
  <c r="A1423" i="36"/>
  <c r="G1422" i="36"/>
  <c r="F1422" i="36"/>
  <c r="E1422" i="36"/>
  <c r="D1422" i="36"/>
  <c r="C1422" i="36"/>
  <c r="B1422" i="36"/>
  <c r="A1422" i="36"/>
  <c r="G1421" i="36"/>
  <c r="F1421" i="36"/>
  <c r="E1421" i="36"/>
  <c r="D1421" i="36"/>
  <c r="C1421" i="36"/>
  <c r="B1421" i="36"/>
  <c r="A1421" i="36"/>
  <c r="G1420" i="36"/>
  <c r="F1420" i="36"/>
  <c r="E1420" i="36"/>
  <c r="D1420" i="36"/>
  <c r="C1420" i="36"/>
  <c r="B1420" i="36"/>
  <c r="A1420" i="36"/>
  <c r="G1419" i="36"/>
  <c r="F1419" i="36"/>
  <c r="E1419" i="36"/>
  <c r="D1419" i="36"/>
  <c r="C1419" i="36"/>
  <c r="B1419" i="36"/>
  <c r="A1419" i="36"/>
  <c r="G1418" i="36"/>
  <c r="F1418" i="36"/>
  <c r="E1418" i="36"/>
  <c r="D1418" i="36"/>
  <c r="C1418" i="36"/>
  <c r="B1418" i="36"/>
  <c r="A1418" i="36"/>
  <c r="G1417" i="36"/>
  <c r="F1417" i="36"/>
  <c r="E1417" i="36"/>
  <c r="D1417" i="36"/>
  <c r="C1417" i="36"/>
  <c r="B1417" i="36"/>
  <c r="A1417" i="36"/>
  <c r="G1416" i="36"/>
  <c r="F1416" i="36"/>
  <c r="E1416" i="36"/>
  <c r="D1416" i="36"/>
  <c r="C1416" i="36"/>
  <c r="B1416" i="36"/>
  <c r="A1416" i="36"/>
  <c r="G1415" i="36"/>
  <c r="F1415" i="36"/>
  <c r="E1415" i="36"/>
  <c r="D1415" i="36"/>
  <c r="C1415" i="36"/>
  <c r="B1415" i="36"/>
  <c r="A1415" i="36"/>
  <c r="G1414" i="36"/>
  <c r="F1414" i="36"/>
  <c r="E1414" i="36"/>
  <c r="D1414" i="36"/>
  <c r="C1414" i="36"/>
  <c r="B1414" i="36"/>
  <c r="A1414" i="36"/>
  <c r="G1413" i="36"/>
  <c r="F1413" i="36"/>
  <c r="E1413" i="36"/>
  <c r="D1413" i="36"/>
  <c r="C1413" i="36"/>
  <c r="B1413" i="36"/>
  <c r="A1413" i="36"/>
  <c r="G1412" i="36"/>
  <c r="F1412" i="36"/>
  <c r="E1412" i="36"/>
  <c r="D1412" i="36"/>
  <c r="C1412" i="36"/>
  <c r="B1412" i="36"/>
  <c r="A1412" i="36"/>
  <c r="G1411" i="36"/>
  <c r="F1411" i="36"/>
  <c r="E1411" i="36"/>
  <c r="D1411" i="36"/>
  <c r="C1411" i="36"/>
  <c r="B1411" i="36"/>
  <c r="A1411" i="36"/>
  <c r="G1410" i="36"/>
  <c r="F1410" i="36"/>
  <c r="E1410" i="36"/>
  <c r="D1410" i="36"/>
  <c r="C1410" i="36"/>
  <c r="B1410" i="36"/>
  <c r="A1410" i="36"/>
  <c r="G1409" i="36"/>
  <c r="F1409" i="36"/>
  <c r="E1409" i="36"/>
  <c r="D1409" i="36"/>
  <c r="C1409" i="36"/>
  <c r="B1409" i="36"/>
  <c r="A1409" i="36"/>
  <c r="G1408" i="36"/>
  <c r="F1408" i="36"/>
  <c r="E1408" i="36"/>
  <c r="D1408" i="36"/>
  <c r="C1408" i="36"/>
  <c r="B1408" i="36"/>
  <c r="A1408" i="36"/>
  <c r="G1407" i="36"/>
  <c r="F1407" i="36"/>
  <c r="E1407" i="36"/>
  <c r="D1407" i="36"/>
  <c r="C1407" i="36"/>
  <c r="B1407" i="36"/>
  <c r="A1407" i="36"/>
  <c r="G1406" i="36"/>
  <c r="F1406" i="36"/>
  <c r="E1406" i="36"/>
  <c r="D1406" i="36"/>
  <c r="C1406" i="36"/>
  <c r="B1406" i="36"/>
  <c r="A1406" i="36"/>
  <c r="G1405" i="36"/>
  <c r="F1405" i="36"/>
  <c r="E1405" i="36"/>
  <c r="D1405" i="36"/>
  <c r="C1405" i="36"/>
  <c r="B1405" i="36"/>
  <c r="A1405" i="36"/>
  <c r="G1404" i="36"/>
  <c r="F1404" i="36"/>
  <c r="E1404" i="36"/>
  <c r="D1404" i="36"/>
  <c r="C1404" i="36"/>
  <c r="B1404" i="36"/>
  <c r="A1404" i="36"/>
  <c r="G1403" i="36"/>
  <c r="F1403" i="36"/>
  <c r="E1403" i="36"/>
  <c r="D1403" i="36"/>
  <c r="C1403" i="36"/>
  <c r="B1403" i="36"/>
  <c r="A1403" i="36"/>
  <c r="G1402" i="36"/>
  <c r="F1402" i="36"/>
  <c r="E1402" i="36"/>
  <c r="D1402" i="36"/>
  <c r="C1402" i="36"/>
  <c r="B1402" i="36"/>
  <c r="A1402" i="36"/>
  <c r="G1401" i="36"/>
  <c r="F1401" i="36"/>
  <c r="E1401" i="36"/>
  <c r="D1401" i="36"/>
  <c r="C1401" i="36"/>
  <c r="B1401" i="36"/>
  <c r="A1401" i="36"/>
  <c r="G1400" i="36"/>
  <c r="F1400" i="36"/>
  <c r="E1400" i="36"/>
  <c r="D1400" i="36"/>
  <c r="C1400" i="36"/>
  <c r="B1400" i="36"/>
  <c r="A1400" i="36"/>
  <c r="G1399" i="36"/>
  <c r="F1399" i="36"/>
  <c r="E1399" i="36"/>
  <c r="D1399" i="36"/>
  <c r="C1399" i="36"/>
  <c r="B1399" i="36"/>
  <c r="A1399" i="36"/>
  <c r="G1398" i="36"/>
  <c r="F1398" i="36"/>
  <c r="E1398" i="36"/>
  <c r="D1398" i="36"/>
  <c r="C1398" i="36"/>
  <c r="B1398" i="36"/>
  <c r="A1398" i="36"/>
  <c r="G1397" i="36"/>
  <c r="F1397" i="36"/>
  <c r="E1397" i="36"/>
  <c r="D1397" i="36"/>
  <c r="C1397" i="36"/>
  <c r="B1397" i="36"/>
  <c r="A1397" i="36"/>
  <c r="G1396" i="36"/>
  <c r="F1396" i="36"/>
  <c r="E1396" i="36"/>
  <c r="D1396" i="36"/>
  <c r="C1396" i="36"/>
  <c r="B1396" i="36"/>
  <c r="A1396" i="36"/>
  <c r="G1395" i="36"/>
  <c r="F1395" i="36"/>
  <c r="E1395" i="36"/>
  <c r="D1395" i="36"/>
  <c r="C1395" i="36"/>
  <c r="B1395" i="36"/>
  <c r="A1395" i="36"/>
  <c r="G1394" i="36"/>
  <c r="F1394" i="36"/>
  <c r="E1394" i="36"/>
  <c r="D1394" i="36"/>
  <c r="C1394" i="36"/>
  <c r="B1394" i="36"/>
  <c r="A1394" i="36"/>
  <c r="G1393" i="36"/>
  <c r="F1393" i="36"/>
  <c r="E1393" i="36"/>
  <c r="D1393" i="36"/>
  <c r="C1393" i="36"/>
  <c r="B1393" i="36"/>
  <c r="A1393" i="36"/>
  <c r="G1392" i="36"/>
  <c r="F1392" i="36"/>
  <c r="E1392" i="36"/>
  <c r="D1392" i="36"/>
  <c r="C1392" i="36"/>
  <c r="B1392" i="36"/>
  <c r="A1392" i="36"/>
  <c r="G1391" i="36"/>
  <c r="F1391" i="36"/>
  <c r="E1391" i="36"/>
  <c r="D1391" i="36"/>
  <c r="C1391" i="36"/>
  <c r="B1391" i="36"/>
  <c r="A1391" i="36"/>
  <c r="G1390" i="36"/>
  <c r="F1390" i="36"/>
  <c r="E1390" i="36"/>
  <c r="D1390" i="36"/>
  <c r="C1390" i="36"/>
  <c r="B1390" i="36"/>
  <c r="A1390" i="36"/>
  <c r="G1389" i="36"/>
  <c r="F1389" i="36"/>
  <c r="E1389" i="36"/>
  <c r="D1389" i="36"/>
  <c r="C1389" i="36"/>
  <c r="B1389" i="36"/>
  <c r="A1389" i="36"/>
  <c r="G1388" i="36"/>
  <c r="F1388" i="36"/>
  <c r="E1388" i="36"/>
  <c r="D1388" i="36"/>
  <c r="C1388" i="36"/>
  <c r="B1388" i="36"/>
  <c r="A1388" i="36"/>
  <c r="G1387" i="36"/>
  <c r="F1387" i="36"/>
  <c r="E1387" i="36"/>
  <c r="D1387" i="36"/>
  <c r="C1387" i="36"/>
  <c r="B1387" i="36"/>
  <c r="A1387" i="36"/>
  <c r="G1386" i="36"/>
  <c r="F1386" i="36"/>
  <c r="E1386" i="36"/>
  <c r="D1386" i="36"/>
  <c r="C1386" i="36"/>
  <c r="B1386" i="36"/>
  <c r="A1386" i="36"/>
  <c r="G1385" i="36"/>
  <c r="F1385" i="36"/>
  <c r="E1385" i="36"/>
  <c r="D1385" i="36"/>
  <c r="C1385" i="36"/>
  <c r="B1385" i="36"/>
  <c r="A1385" i="36"/>
  <c r="G1384" i="36"/>
  <c r="F1384" i="36"/>
  <c r="E1384" i="36"/>
  <c r="D1384" i="36"/>
  <c r="C1384" i="36"/>
  <c r="B1384" i="36"/>
  <c r="A1384" i="36"/>
  <c r="G1383" i="36"/>
  <c r="F1383" i="36"/>
  <c r="E1383" i="36"/>
  <c r="D1383" i="36"/>
  <c r="C1383" i="36"/>
  <c r="B1383" i="36"/>
  <c r="A1383" i="36"/>
  <c r="G1382" i="36"/>
  <c r="F1382" i="36"/>
  <c r="E1382" i="36"/>
  <c r="D1382" i="36"/>
  <c r="C1382" i="36"/>
  <c r="B1382" i="36"/>
  <c r="A1382" i="36"/>
  <c r="G1381" i="36"/>
  <c r="F1381" i="36"/>
  <c r="E1381" i="36"/>
  <c r="D1381" i="36"/>
  <c r="C1381" i="36"/>
  <c r="B1381" i="36"/>
  <c r="A1381" i="36"/>
  <c r="G1380" i="36"/>
  <c r="F1380" i="36"/>
  <c r="E1380" i="36"/>
  <c r="D1380" i="36"/>
  <c r="C1380" i="36"/>
  <c r="B1380" i="36"/>
  <c r="A1380" i="36"/>
  <c r="G1379" i="36"/>
  <c r="F1379" i="36"/>
  <c r="E1379" i="36"/>
  <c r="D1379" i="36"/>
  <c r="C1379" i="36"/>
  <c r="B1379" i="36"/>
  <c r="A1379" i="36"/>
  <c r="G1378" i="36"/>
  <c r="F1378" i="36"/>
  <c r="E1378" i="36"/>
  <c r="D1378" i="36"/>
  <c r="C1378" i="36"/>
  <c r="B1378" i="36"/>
  <c r="A1378" i="36"/>
  <c r="G1377" i="36"/>
  <c r="F1377" i="36"/>
  <c r="E1377" i="36"/>
  <c r="D1377" i="36"/>
  <c r="C1377" i="36"/>
  <c r="B1377" i="36"/>
  <c r="A1377" i="36"/>
  <c r="G1376" i="36"/>
  <c r="F1376" i="36"/>
  <c r="E1376" i="36"/>
  <c r="D1376" i="36"/>
  <c r="C1376" i="36"/>
  <c r="B1376" i="36"/>
  <c r="A1376" i="36"/>
  <c r="G1375" i="36"/>
  <c r="F1375" i="36"/>
  <c r="E1375" i="36"/>
  <c r="D1375" i="36"/>
  <c r="C1375" i="36"/>
  <c r="B1375" i="36"/>
  <c r="A1375" i="36"/>
  <c r="G1374" i="36"/>
  <c r="F1374" i="36"/>
  <c r="E1374" i="36"/>
  <c r="D1374" i="36"/>
  <c r="C1374" i="36"/>
  <c r="B1374" i="36"/>
  <c r="A1374" i="36"/>
  <c r="G1373" i="36"/>
  <c r="F1373" i="36"/>
  <c r="E1373" i="36"/>
  <c r="D1373" i="36"/>
  <c r="C1373" i="36"/>
  <c r="B1373" i="36"/>
  <c r="A1373" i="36"/>
  <c r="G1372" i="36"/>
  <c r="F1372" i="36"/>
  <c r="E1372" i="36"/>
  <c r="D1372" i="36"/>
  <c r="C1372" i="36"/>
  <c r="B1372" i="36"/>
  <c r="A1372" i="36"/>
  <c r="G1371" i="36"/>
  <c r="F1371" i="36"/>
  <c r="E1371" i="36"/>
  <c r="D1371" i="36"/>
  <c r="C1371" i="36"/>
  <c r="B1371" i="36"/>
  <c r="A1371" i="36"/>
  <c r="G1370" i="36"/>
  <c r="F1370" i="36"/>
  <c r="E1370" i="36"/>
  <c r="D1370" i="36"/>
  <c r="C1370" i="36"/>
  <c r="B1370" i="36"/>
  <c r="A1370" i="36"/>
  <c r="G1369" i="36"/>
  <c r="F1369" i="36"/>
  <c r="E1369" i="36"/>
  <c r="D1369" i="36"/>
  <c r="C1369" i="36"/>
  <c r="B1369" i="36"/>
  <c r="A1369" i="36"/>
  <c r="G1368" i="36"/>
  <c r="F1368" i="36"/>
  <c r="E1368" i="36"/>
  <c r="D1368" i="36"/>
  <c r="C1368" i="36"/>
  <c r="B1368" i="36"/>
  <c r="A1368" i="36"/>
  <c r="G1367" i="36"/>
  <c r="F1367" i="36"/>
  <c r="E1367" i="36"/>
  <c r="D1367" i="36"/>
  <c r="C1367" i="36"/>
  <c r="B1367" i="36"/>
  <c r="A1367" i="36"/>
  <c r="G1366" i="36"/>
  <c r="F1366" i="36"/>
  <c r="E1366" i="36"/>
  <c r="D1366" i="36"/>
  <c r="C1366" i="36"/>
  <c r="B1366" i="36"/>
  <c r="A1366" i="36"/>
  <c r="G1365" i="36"/>
  <c r="F1365" i="36"/>
  <c r="E1365" i="36"/>
  <c r="D1365" i="36"/>
  <c r="C1365" i="36"/>
  <c r="B1365" i="36"/>
  <c r="A1365" i="36"/>
  <c r="G1364" i="36"/>
  <c r="F1364" i="36"/>
  <c r="E1364" i="36"/>
  <c r="D1364" i="36"/>
  <c r="C1364" i="36"/>
  <c r="B1364" i="36"/>
  <c r="A1364" i="36"/>
  <c r="G1363" i="36"/>
  <c r="F1363" i="36"/>
  <c r="E1363" i="36"/>
  <c r="D1363" i="36"/>
  <c r="C1363" i="36"/>
  <c r="B1363" i="36"/>
  <c r="A1363" i="36"/>
  <c r="G1362" i="36"/>
  <c r="F1362" i="36"/>
  <c r="E1362" i="36"/>
  <c r="D1362" i="36"/>
  <c r="C1362" i="36"/>
  <c r="B1362" i="36"/>
  <c r="A1362" i="36"/>
  <c r="G1361" i="36"/>
  <c r="F1361" i="36"/>
  <c r="E1361" i="36"/>
  <c r="D1361" i="36"/>
  <c r="C1361" i="36"/>
  <c r="B1361" i="36"/>
  <c r="A1361" i="36"/>
  <c r="G1360" i="36"/>
  <c r="F1360" i="36"/>
  <c r="E1360" i="36"/>
  <c r="D1360" i="36"/>
  <c r="C1360" i="36"/>
  <c r="B1360" i="36"/>
  <c r="A1360" i="36"/>
  <c r="G1359" i="36"/>
  <c r="F1359" i="36"/>
  <c r="E1359" i="36"/>
  <c r="D1359" i="36"/>
  <c r="C1359" i="36"/>
  <c r="B1359" i="36"/>
  <c r="A1359" i="36"/>
  <c r="G1358" i="36"/>
  <c r="F1358" i="36"/>
  <c r="E1358" i="36"/>
  <c r="D1358" i="36"/>
  <c r="C1358" i="36"/>
  <c r="B1358" i="36"/>
  <c r="A1358" i="36"/>
  <c r="G1357" i="36"/>
  <c r="F1357" i="36"/>
  <c r="E1357" i="36"/>
  <c r="D1357" i="36"/>
  <c r="C1357" i="36"/>
  <c r="B1357" i="36"/>
  <c r="A1357" i="36"/>
  <c r="G1356" i="36"/>
  <c r="F1356" i="36"/>
  <c r="E1356" i="36"/>
  <c r="D1356" i="36"/>
  <c r="C1356" i="36"/>
  <c r="B1356" i="36"/>
  <c r="A1356" i="36"/>
  <c r="G1355" i="36"/>
  <c r="F1355" i="36"/>
  <c r="E1355" i="36"/>
  <c r="D1355" i="36"/>
  <c r="C1355" i="36"/>
  <c r="B1355" i="36"/>
  <c r="A1355" i="36"/>
  <c r="G1354" i="36"/>
  <c r="F1354" i="36"/>
  <c r="E1354" i="36"/>
  <c r="D1354" i="36"/>
  <c r="C1354" i="36"/>
  <c r="B1354" i="36"/>
  <c r="A1354" i="36"/>
  <c r="G1353" i="36"/>
  <c r="F1353" i="36"/>
  <c r="E1353" i="36"/>
  <c r="D1353" i="36"/>
  <c r="C1353" i="36"/>
  <c r="B1353" i="36"/>
  <c r="A1353" i="36"/>
  <c r="G1352" i="36"/>
  <c r="F1352" i="36"/>
  <c r="E1352" i="36"/>
  <c r="D1352" i="36"/>
  <c r="C1352" i="36"/>
  <c r="B1352" i="36"/>
  <c r="A1352" i="36"/>
  <c r="G1351" i="36"/>
  <c r="F1351" i="36"/>
  <c r="E1351" i="36"/>
  <c r="D1351" i="36"/>
  <c r="C1351" i="36"/>
  <c r="B1351" i="36"/>
  <c r="A1351" i="36"/>
  <c r="G1350" i="36"/>
  <c r="F1350" i="36"/>
  <c r="E1350" i="36"/>
  <c r="D1350" i="36"/>
  <c r="C1350" i="36"/>
  <c r="B1350" i="36"/>
  <c r="A1350" i="36"/>
  <c r="G1349" i="36"/>
  <c r="F1349" i="36"/>
  <c r="E1349" i="36"/>
  <c r="D1349" i="36"/>
  <c r="C1349" i="36"/>
  <c r="B1349" i="36"/>
  <c r="A1349" i="36"/>
  <c r="G1348" i="36"/>
  <c r="F1348" i="36"/>
  <c r="E1348" i="36"/>
  <c r="D1348" i="36"/>
  <c r="C1348" i="36"/>
  <c r="B1348" i="36"/>
  <c r="A1348" i="36"/>
  <c r="G1347" i="36"/>
  <c r="F1347" i="36"/>
  <c r="E1347" i="36"/>
  <c r="D1347" i="36"/>
  <c r="C1347" i="36"/>
  <c r="B1347" i="36"/>
  <c r="A1347" i="36"/>
  <c r="G1346" i="36"/>
  <c r="F1346" i="36"/>
  <c r="E1346" i="36"/>
  <c r="D1346" i="36"/>
  <c r="C1346" i="36"/>
  <c r="B1346" i="36"/>
  <c r="A1346" i="36"/>
  <c r="G1345" i="36"/>
  <c r="F1345" i="36"/>
  <c r="E1345" i="36"/>
  <c r="D1345" i="36"/>
  <c r="C1345" i="36"/>
  <c r="B1345" i="36"/>
  <c r="A1345" i="36"/>
  <c r="G1344" i="36"/>
  <c r="F1344" i="36"/>
  <c r="E1344" i="36"/>
  <c r="D1344" i="36"/>
  <c r="C1344" i="36"/>
  <c r="B1344" i="36"/>
  <c r="A1344" i="36"/>
  <c r="G1343" i="36"/>
  <c r="F1343" i="36"/>
  <c r="E1343" i="36"/>
  <c r="D1343" i="36"/>
  <c r="C1343" i="36"/>
  <c r="B1343" i="36"/>
  <c r="A1343" i="36"/>
  <c r="G1342" i="36"/>
  <c r="F1342" i="36"/>
  <c r="E1342" i="36"/>
  <c r="D1342" i="36"/>
  <c r="C1342" i="36"/>
  <c r="B1342" i="36"/>
  <c r="A1342" i="36"/>
  <c r="G1341" i="36"/>
  <c r="F1341" i="36"/>
  <c r="E1341" i="36"/>
  <c r="D1341" i="36"/>
  <c r="C1341" i="36"/>
  <c r="B1341" i="36"/>
  <c r="A1341" i="36"/>
  <c r="G1340" i="36"/>
  <c r="F1340" i="36"/>
  <c r="E1340" i="36"/>
  <c r="D1340" i="36"/>
  <c r="C1340" i="36"/>
  <c r="B1340" i="36"/>
  <c r="A1340" i="36"/>
  <c r="G1339" i="36"/>
  <c r="F1339" i="36"/>
  <c r="E1339" i="36"/>
  <c r="D1339" i="36"/>
  <c r="C1339" i="36"/>
  <c r="B1339" i="36"/>
  <c r="A1339" i="36"/>
  <c r="G1338" i="36"/>
  <c r="F1338" i="36"/>
  <c r="E1338" i="36"/>
  <c r="D1338" i="36"/>
  <c r="C1338" i="36"/>
  <c r="B1338" i="36"/>
  <c r="A1338" i="36"/>
  <c r="G1337" i="36"/>
  <c r="F1337" i="36"/>
  <c r="E1337" i="36"/>
  <c r="D1337" i="36"/>
  <c r="C1337" i="36"/>
  <c r="B1337" i="36"/>
  <c r="A1337" i="36"/>
  <c r="G1336" i="36"/>
  <c r="F1336" i="36"/>
  <c r="E1336" i="36"/>
  <c r="D1336" i="36"/>
  <c r="C1336" i="36"/>
  <c r="B1336" i="36"/>
  <c r="A1336" i="36"/>
  <c r="G1335" i="36"/>
  <c r="F1335" i="36"/>
  <c r="E1335" i="36"/>
  <c r="D1335" i="36"/>
  <c r="C1335" i="36"/>
  <c r="B1335" i="36"/>
  <c r="A1335" i="36"/>
  <c r="G1334" i="36"/>
  <c r="F1334" i="36"/>
  <c r="E1334" i="36"/>
  <c r="D1334" i="36"/>
  <c r="C1334" i="36"/>
  <c r="B1334" i="36"/>
  <c r="A1334" i="36"/>
  <c r="G1333" i="36"/>
  <c r="F1333" i="36"/>
  <c r="D1333" i="36"/>
  <c r="C1333" i="36"/>
  <c r="B1333" i="36"/>
  <c r="A1333" i="36"/>
  <c r="G1332" i="36"/>
  <c r="F1332" i="36"/>
  <c r="D1332" i="36"/>
  <c r="C1332" i="36"/>
  <c r="B1332" i="36"/>
  <c r="A1332" i="36"/>
  <c r="G1331" i="36"/>
  <c r="F1331" i="36"/>
  <c r="D1331" i="36"/>
  <c r="C1331" i="36"/>
  <c r="B1331" i="36"/>
  <c r="A1331" i="36"/>
  <c r="G1330" i="36"/>
  <c r="F1330" i="36"/>
  <c r="D1330" i="36"/>
  <c r="C1330" i="36"/>
  <c r="B1330" i="36"/>
  <c r="A1330" i="36"/>
  <c r="G1329" i="36"/>
  <c r="F1329" i="36"/>
  <c r="D1329" i="36"/>
  <c r="C1329" i="36"/>
  <c r="B1329" i="36"/>
  <c r="A1329" i="36"/>
  <c r="G1328" i="36"/>
  <c r="F1328" i="36"/>
  <c r="D1328" i="36"/>
  <c r="C1328" i="36"/>
  <c r="B1328" i="36"/>
  <c r="A1328" i="36"/>
  <c r="G1327" i="36"/>
  <c r="F1327" i="36"/>
  <c r="D1327" i="36"/>
  <c r="C1327" i="36"/>
  <c r="B1327" i="36"/>
  <c r="A1327" i="36"/>
  <c r="G1326" i="36"/>
  <c r="F1326" i="36"/>
  <c r="D1326" i="36"/>
  <c r="C1326" i="36"/>
  <c r="B1326" i="36"/>
  <c r="A1326" i="36"/>
  <c r="G1325" i="36"/>
  <c r="F1325" i="36"/>
  <c r="D1325" i="36"/>
  <c r="C1325" i="36"/>
  <c r="B1325" i="36"/>
  <c r="A1325" i="36"/>
  <c r="G1324" i="36"/>
  <c r="F1324" i="36"/>
  <c r="D1324" i="36"/>
  <c r="C1324" i="36"/>
  <c r="B1324" i="36"/>
  <c r="A1324" i="36"/>
  <c r="G1323" i="36"/>
  <c r="F1323" i="36"/>
  <c r="D1323" i="36"/>
  <c r="C1323" i="36"/>
  <c r="B1323" i="36"/>
  <c r="A1323" i="36"/>
  <c r="G1322" i="36"/>
  <c r="F1322" i="36"/>
  <c r="D1322" i="36"/>
  <c r="C1322" i="36"/>
  <c r="B1322" i="36"/>
  <c r="A1322" i="36"/>
  <c r="G1321" i="36"/>
  <c r="F1321" i="36"/>
  <c r="D1321" i="36"/>
  <c r="C1321" i="36"/>
  <c r="B1321" i="36"/>
  <c r="A1321" i="36"/>
  <c r="G1320" i="36"/>
  <c r="F1320" i="36"/>
  <c r="D1320" i="36"/>
  <c r="C1320" i="36"/>
  <c r="B1320" i="36"/>
  <c r="A1320" i="36"/>
  <c r="G1319" i="36"/>
  <c r="F1319" i="36"/>
  <c r="D1319" i="36"/>
  <c r="C1319" i="36"/>
  <c r="B1319" i="36"/>
  <c r="A1319" i="36"/>
  <c r="G1318" i="36"/>
  <c r="F1318" i="36"/>
  <c r="D1318" i="36"/>
  <c r="C1318" i="36"/>
  <c r="B1318" i="36"/>
  <c r="A1318" i="36"/>
  <c r="G1317" i="36"/>
  <c r="F1317" i="36"/>
  <c r="D1317" i="36"/>
  <c r="C1317" i="36"/>
  <c r="B1317" i="36"/>
  <c r="A1317" i="36"/>
  <c r="G1316" i="36"/>
  <c r="F1316" i="36"/>
  <c r="D1316" i="36"/>
  <c r="C1316" i="36"/>
  <c r="B1316" i="36"/>
  <c r="A1316" i="36"/>
  <c r="G1315" i="36"/>
  <c r="F1315" i="36"/>
  <c r="E1315" i="36"/>
  <c r="D1315" i="36"/>
  <c r="C1315" i="36"/>
  <c r="B1315" i="36"/>
  <c r="A1315" i="36"/>
  <c r="G1314" i="36"/>
  <c r="F1314" i="36"/>
  <c r="E1314" i="36"/>
  <c r="D1314" i="36"/>
  <c r="C1314" i="36"/>
  <c r="B1314" i="36"/>
  <c r="A1314" i="36"/>
  <c r="G1313" i="36"/>
  <c r="F1313" i="36"/>
  <c r="E1313" i="36"/>
  <c r="D1313" i="36"/>
  <c r="C1313" i="36"/>
  <c r="B1313" i="36"/>
  <c r="A1313" i="36"/>
  <c r="G1312" i="36"/>
  <c r="F1312" i="36"/>
  <c r="E1312" i="36"/>
  <c r="D1312" i="36"/>
  <c r="C1312" i="36"/>
  <c r="B1312" i="36"/>
  <c r="A1312" i="36"/>
  <c r="G1311" i="36"/>
  <c r="F1311" i="36"/>
  <c r="E1311" i="36"/>
  <c r="D1311" i="36"/>
  <c r="C1311" i="36"/>
  <c r="B1311" i="36"/>
  <c r="A1311" i="36"/>
  <c r="G1310" i="36"/>
  <c r="F1310" i="36"/>
  <c r="E1310" i="36"/>
  <c r="D1310" i="36"/>
  <c r="C1310" i="36"/>
  <c r="B1310" i="36"/>
  <c r="A1310" i="36"/>
  <c r="G1309" i="36"/>
  <c r="F1309" i="36"/>
  <c r="E1309" i="36"/>
  <c r="D1309" i="36"/>
  <c r="C1309" i="36"/>
  <c r="B1309" i="36"/>
  <c r="A1309" i="36"/>
  <c r="G1308" i="36"/>
  <c r="F1308" i="36"/>
  <c r="E1308" i="36"/>
  <c r="D1308" i="36"/>
  <c r="C1308" i="36"/>
  <c r="B1308" i="36"/>
  <c r="A1308" i="36"/>
  <c r="G1307" i="36"/>
  <c r="F1307" i="36"/>
  <c r="E1307" i="36"/>
  <c r="D1307" i="36"/>
  <c r="C1307" i="36"/>
  <c r="B1307" i="36"/>
  <c r="A1307" i="36"/>
  <c r="G1306" i="36"/>
  <c r="F1306" i="36"/>
  <c r="E1306" i="36"/>
  <c r="D1306" i="36"/>
  <c r="C1306" i="36"/>
  <c r="B1306" i="36"/>
  <c r="A1306" i="36"/>
  <c r="G1305" i="36"/>
  <c r="F1305" i="36"/>
  <c r="E1305" i="36"/>
  <c r="D1305" i="36"/>
  <c r="C1305" i="36"/>
  <c r="B1305" i="36"/>
  <c r="A1305" i="36"/>
  <c r="G1304" i="36"/>
  <c r="F1304" i="36"/>
  <c r="E1304" i="36"/>
  <c r="D1304" i="36"/>
  <c r="C1304" i="36"/>
  <c r="B1304" i="36"/>
  <c r="A1304" i="36"/>
  <c r="G1303" i="36"/>
  <c r="F1303" i="36"/>
  <c r="E1303" i="36"/>
  <c r="D1303" i="36"/>
  <c r="C1303" i="36"/>
  <c r="B1303" i="36"/>
  <c r="A1303" i="36"/>
  <c r="G1302" i="36"/>
  <c r="F1302" i="36"/>
  <c r="E1302" i="36"/>
  <c r="D1302" i="36"/>
  <c r="C1302" i="36"/>
  <c r="B1302" i="36"/>
  <c r="A1302" i="36"/>
  <c r="G1301" i="36"/>
  <c r="F1301" i="36"/>
  <c r="E1301" i="36"/>
  <c r="D1301" i="36"/>
  <c r="C1301" i="36"/>
  <c r="B1301" i="36"/>
  <c r="A1301" i="36"/>
  <c r="G1300" i="36"/>
  <c r="F1300" i="36"/>
  <c r="E1300" i="36"/>
  <c r="D1300" i="36"/>
  <c r="C1300" i="36"/>
  <c r="B1300" i="36"/>
  <c r="A1300" i="36"/>
  <c r="G1299" i="36"/>
  <c r="F1299" i="36"/>
  <c r="E1299" i="36"/>
  <c r="D1299" i="36"/>
  <c r="C1299" i="36"/>
  <c r="B1299" i="36"/>
  <c r="A1299" i="36"/>
  <c r="G1298" i="36"/>
  <c r="F1298" i="36"/>
  <c r="E1298" i="36"/>
  <c r="D1298" i="36"/>
  <c r="C1298" i="36"/>
  <c r="B1298" i="36"/>
  <c r="A1298" i="36"/>
  <c r="G1297" i="36"/>
  <c r="F1297" i="36"/>
  <c r="E1297" i="36"/>
  <c r="D1297" i="36"/>
  <c r="C1297" i="36"/>
  <c r="B1297" i="36"/>
  <c r="A1297" i="36"/>
  <c r="G1296" i="36"/>
  <c r="F1296" i="36"/>
  <c r="E1296" i="36"/>
  <c r="D1296" i="36"/>
  <c r="C1296" i="36"/>
  <c r="B1296" i="36"/>
  <c r="A1296" i="36"/>
  <c r="G1295" i="36"/>
  <c r="F1295" i="36"/>
  <c r="E1295" i="36"/>
  <c r="D1295" i="36"/>
  <c r="C1295" i="36"/>
  <c r="B1295" i="36"/>
  <c r="A1295" i="36"/>
  <c r="G1294" i="36"/>
  <c r="F1294" i="36"/>
  <c r="E1294" i="36"/>
  <c r="D1294" i="36"/>
  <c r="C1294" i="36"/>
  <c r="B1294" i="36"/>
  <c r="A1294" i="36"/>
  <c r="G1293" i="36"/>
  <c r="F1293" i="36"/>
  <c r="E1293" i="36"/>
  <c r="D1293" i="36"/>
  <c r="C1293" i="36"/>
  <c r="B1293" i="36"/>
  <c r="A1293" i="36"/>
  <c r="G1292" i="36"/>
  <c r="F1292" i="36"/>
  <c r="E1292" i="36"/>
  <c r="D1292" i="36"/>
  <c r="C1292" i="36"/>
  <c r="B1292" i="36"/>
  <c r="A1292" i="36"/>
  <c r="G1291" i="36"/>
  <c r="F1291" i="36"/>
  <c r="E1291" i="36"/>
  <c r="D1291" i="36"/>
  <c r="C1291" i="36"/>
  <c r="B1291" i="36"/>
  <c r="A1291" i="36"/>
  <c r="G1290" i="36"/>
  <c r="F1290" i="36"/>
  <c r="E1290" i="36"/>
  <c r="D1290" i="36"/>
  <c r="C1290" i="36"/>
  <c r="B1290" i="36"/>
  <c r="A1290" i="36"/>
  <c r="G1289" i="36"/>
  <c r="F1289" i="36"/>
  <c r="E1289" i="36"/>
  <c r="D1289" i="36"/>
  <c r="C1289" i="36"/>
  <c r="B1289" i="36"/>
  <c r="A1289" i="36"/>
  <c r="G1288" i="36"/>
  <c r="F1288" i="36"/>
  <c r="E1288" i="36"/>
  <c r="D1288" i="36"/>
  <c r="C1288" i="36"/>
  <c r="B1288" i="36"/>
  <c r="A1288" i="36"/>
  <c r="G1287" i="36"/>
  <c r="F1287" i="36"/>
  <c r="E1287" i="36"/>
  <c r="D1287" i="36"/>
  <c r="C1287" i="36"/>
  <c r="B1287" i="36"/>
  <c r="A1287" i="36"/>
  <c r="G1286" i="36"/>
  <c r="F1286" i="36"/>
  <c r="E1286" i="36"/>
  <c r="D1286" i="36"/>
  <c r="C1286" i="36"/>
  <c r="B1286" i="36"/>
  <c r="A1286" i="36"/>
  <c r="G1285" i="36"/>
  <c r="F1285" i="36"/>
  <c r="E1285" i="36"/>
  <c r="D1285" i="36"/>
  <c r="C1285" i="36"/>
  <c r="B1285" i="36"/>
  <c r="A1285" i="36"/>
  <c r="G1284" i="36"/>
  <c r="F1284" i="36"/>
  <c r="E1284" i="36"/>
  <c r="D1284" i="36"/>
  <c r="C1284" i="36"/>
  <c r="B1284" i="36"/>
  <c r="A1284" i="36"/>
  <c r="G1283" i="36"/>
  <c r="F1283" i="36"/>
  <c r="E1283" i="36"/>
  <c r="D1283" i="36"/>
  <c r="C1283" i="36"/>
  <c r="B1283" i="36"/>
  <c r="A1283" i="36"/>
  <c r="G1282" i="36"/>
  <c r="F1282" i="36"/>
  <c r="E1282" i="36"/>
  <c r="D1282" i="36"/>
  <c r="C1282" i="36"/>
  <c r="B1282" i="36"/>
  <c r="A1282" i="36"/>
  <c r="G1281" i="36"/>
  <c r="F1281" i="36"/>
  <c r="E1281" i="36"/>
  <c r="D1281" i="36"/>
  <c r="C1281" i="36"/>
  <c r="B1281" i="36"/>
  <c r="A1281" i="36"/>
  <c r="G1280" i="36"/>
  <c r="F1280" i="36"/>
  <c r="E1280" i="36"/>
  <c r="D1280" i="36"/>
  <c r="C1280" i="36"/>
  <c r="B1280" i="36"/>
  <c r="A1280" i="36"/>
  <c r="G1279" i="36"/>
  <c r="F1279" i="36"/>
  <c r="E1279" i="36"/>
  <c r="D1279" i="36"/>
  <c r="C1279" i="36"/>
  <c r="B1279" i="36"/>
  <c r="A1279" i="36"/>
  <c r="G1278" i="36"/>
  <c r="F1278" i="36"/>
  <c r="E1278" i="36"/>
  <c r="D1278" i="36"/>
  <c r="C1278" i="36"/>
  <c r="B1278" i="36"/>
  <c r="A1278" i="36"/>
  <c r="G1277" i="36"/>
  <c r="F1277" i="36"/>
  <c r="E1277" i="36"/>
  <c r="D1277" i="36"/>
  <c r="C1277" i="36"/>
  <c r="B1277" i="36"/>
  <c r="A1277" i="36"/>
  <c r="G1276" i="36"/>
  <c r="F1276" i="36"/>
  <c r="E1276" i="36"/>
  <c r="D1276" i="36"/>
  <c r="C1276" i="36"/>
  <c r="B1276" i="36"/>
  <c r="A1276" i="36"/>
  <c r="G1275" i="36"/>
  <c r="F1275" i="36"/>
  <c r="E1275" i="36"/>
  <c r="D1275" i="36"/>
  <c r="C1275" i="36"/>
  <c r="B1275" i="36"/>
  <c r="A1275" i="36"/>
  <c r="G1274" i="36"/>
  <c r="F1274" i="36"/>
  <c r="E1274" i="36"/>
  <c r="D1274" i="36"/>
  <c r="C1274" i="36"/>
  <c r="B1274" i="36"/>
  <c r="A1274" i="36"/>
  <c r="G1273" i="36"/>
  <c r="F1273" i="36"/>
  <c r="E1273" i="36"/>
  <c r="D1273" i="36"/>
  <c r="C1273" i="36"/>
  <c r="B1273" i="36"/>
  <c r="A1273" i="36"/>
  <c r="G1272" i="36"/>
  <c r="F1272" i="36"/>
  <c r="E1272" i="36"/>
  <c r="D1272" i="36"/>
  <c r="C1272" i="36"/>
  <c r="B1272" i="36"/>
  <c r="A1272" i="36"/>
  <c r="G1271" i="36"/>
  <c r="F1271" i="36"/>
  <c r="E1271" i="36"/>
  <c r="D1271" i="36"/>
  <c r="C1271" i="36"/>
  <c r="B1271" i="36"/>
  <c r="A1271" i="36"/>
  <c r="G1270" i="36"/>
  <c r="F1270" i="36"/>
  <c r="E1270" i="36"/>
  <c r="D1270" i="36"/>
  <c r="C1270" i="36"/>
  <c r="B1270" i="36"/>
  <c r="A1270" i="36"/>
  <c r="G1269" i="36"/>
  <c r="F1269" i="36"/>
  <c r="E1269" i="36"/>
  <c r="D1269" i="36"/>
  <c r="C1269" i="36"/>
  <c r="B1269" i="36"/>
  <c r="A1269" i="36"/>
  <c r="G1268" i="36"/>
  <c r="F1268" i="36"/>
  <c r="E1268" i="36"/>
  <c r="D1268" i="36"/>
  <c r="C1268" i="36"/>
  <c r="B1268" i="36"/>
  <c r="A1268" i="36"/>
  <c r="G1267" i="36"/>
  <c r="F1267" i="36"/>
  <c r="E1267" i="36"/>
  <c r="D1267" i="36"/>
  <c r="C1267" i="36"/>
  <c r="B1267" i="36"/>
  <c r="A1267" i="36"/>
  <c r="G1266" i="36"/>
  <c r="F1266" i="36"/>
  <c r="E1266" i="36"/>
  <c r="D1266" i="36"/>
  <c r="C1266" i="36"/>
  <c r="B1266" i="36"/>
  <c r="A1266" i="36"/>
  <c r="G1265" i="36"/>
  <c r="F1265" i="36"/>
  <c r="E1265" i="36"/>
  <c r="D1265" i="36"/>
  <c r="C1265" i="36"/>
  <c r="B1265" i="36"/>
  <c r="A1265" i="36"/>
  <c r="G1264" i="36"/>
  <c r="F1264" i="36"/>
  <c r="E1264" i="36"/>
  <c r="D1264" i="36"/>
  <c r="C1264" i="36"/>
  <c r="B1264" i="36"/>
  <c r="A1264" i="36"/>
  <c r="G1263" i="36"/>
  <c r="F1263" i="36"/>
  <c r="E1263" i="36"/>
  <c r="D1263" i="36"/>
  <c r="C1263" i="36"/>
  <c r="B1263" i="36"/>
  <c r="A1263" i="36"/>
  <c r="G1262" i="36"/>
  <c r="F1262" i="36"/>
  <c r="E1262" i="36"/>
  <c r="D1262" i="36"/>
  <c r="C1262" i="36"/>
  <c r="B1262" i="36"/>
  <c r="A1262" i="36"/>
  <c r="G1261" i="36"/>
  <c r="F1261" i="36"/>
  <c r="E1261" i="36"/>
  <c r="D1261" i="36"/>
  <c r="C1261" i="36"/>
  <c r="B1261" i="36"/>
  <c r="A1261" i="36"/>
  <c r="G1260" i="36"/>
  <c r="F1260" i="36"/>
  <c r="E1260" i="36"/>
  <c r="D1260" i="36"/>
  <c r="C1260" i="36"/>
  <c r="B1260" i="36"/>
  <c r="A1260" i="36"/>
  <c r="G1259" i="36"/>
  <c r="F1259" i="36"/>
  <c r="E1259" i="36"/>
  <c r="D1259" i="36"/>
  <c r="C1259" i="36"/>
  <c r="B1259" i="36"/>
  <c r="A1259" i="36"/>
  <c r="G1258" i="36"/>
  <c r="F1258" i="36"/>
  <c r="E1258" i="36"/>
  <c r="D1258" i="36"/>
  <c r="C1258" i="36"/>
  <c r="B1258" i="36"/>
  <c r="A1258" i="36"/>
  <c r="G1257" i="36"/>
  <c r="F1257" i="36"/>
  <c r="E1257" i="36"/>
  <c r="D1257" i="36"/>
  <c r="C1257" i="36"/>
  <c r="B1257" i="36"/>
  <c r="A1257" i="36"/>
  <c r="G1256" i="36"/>
  <c r="F1256" i="36"/>
  <c r="E1256" i="36"/>
  <c r="D1256" i="36"/>
  <c r="C1256" i="36"/>
  <c r="B1256" i="36"/>
  <c r="A1256" i="36"/>
  <c r="G1255" i="36"/>
  <c r="F1255" i="36"/>
  <c r="E1255" i="36"/>
  <c r="D1255" i="36"/>
  <c r="C1255" i="36"/>
  <c r="B1255" i="36"/>
  <c r="A1255" i="36"/>
  <c r="G1254" i="36"/>
  <c r="F1254" i="36"/>
  <c r="E1254" i="36"/>
  <c r="D1254" i="36"/>
  <c r="C1254" i="36"/>
  <c r="B1254" i="36"/>
  <c r="A1254" i="36"/>
  <c r="G1253" i="36"/>
  <c r="F1253" i="36"/>
  <c r="E1253" i="36"/>
  <c r="D1253" i="36"/>
  <c r="C1253" i="36"/>
  <c r="B1253" i="36"/>
  <c r="A1253" i="36"/>
  <c r="G1252" i="36"/>
  <c r="F1252" i="36"/>
  <c r="E1252" i="36"/>
  <c r="D1252" i="36"/>
  <c r="C1252" i="36"/>
  <c r="B1252" i="36"/>
  <c r="A1252" i="36"/>
  <c r="G1251" i="36"/>
  <c r="F1251" i="36"/>
  <c r="E1251" i="36"/>
  <c r="D1251" i="36"/>
  <c r="C1251" i="36"/>
  <c r="B1251" i="36"/>
  <c r="A1251" i="36"/>
  <c r="G1250" i="36"/>
  <c r="F1250" i="36"/>
  <c r="E1250" i="36"/>
  <c r="D1250" i="36"/>
  <c r="C1250" i="36"/>
  <c r="B1250" i="36"/>
  <c r="A1250" i="36"/>
  <c r="G1249" i="36"/>
  <c r="F1249" i="36"/>
  <c r="E1249" i="36"/>
  <c r="D1249" i="36"/>
  <c r="C1249" i="36"/>
  <c r="B1249" i="36"/>
  <c r="A1249" i="36"/>
  <c r="G1248" i="36"/>
  <c r="F1248" i="36"/>
  <c r="E1248" i="36"/>
  <c r="D1248" i="36"/>
  <c r="C1248" i="36"/>
  <c r="B1248" i="36"/>
  <c r="A1248" i="36"/>
  <c r="G1247" i="36"/>
  <c r="F1247" i="36"/>
  <c r="E1247" i="36"/>
  <c r="D1247" i="36"/>
  <c r="C1247" i="36"/>
  <c r="B1247" i="36"/>
  <c r="A1247" i="36"/>
  <c r="G1246" i="36"/>
  <c r="F1246" i="36"/>
  <c r="E1246" i="36"/>
  <c r="D1246" i="36"/>
  <c r="C1246" i="36"/>
  <c r="B1246" i="36"/>
  <c r="A1246" i="36"/>
  <c r="G1245" i="36"/>
  <c r="F1245" i="36"/>
  <c r="E1245" i="36"/>
  <c r="D1245" i="36"/>
  <c r="C1245" i="36"/>
  <c r="B1245" i="36"/>
  <c r="A1245" i="36"/>
  <c r="G1244" i="36"/>
  <c r="F1244" i="36"/>
  <c r="E1244" i="36"/>
  <c r="D1244" i="36"/>
  <c r="C1244" i="36"/>
  <c r="B1244" i="36"/>
  <c r="A1244" i="36"/>
  <c r="G1243" i="36"/>
  <c r="F1243" i="36"/>
  <c r="E1243" i="36"/>
  <c r="D1243" i="36"/>
  <c r="C1243" i="36"/>
  <c r="B1243" i="36"/>
  <c r="A1243" i="36"/>
  <c r="G1242" i="36"/>
  <c r="F1242" i="36"/>
  <c r="E1242" i="36"/>
  <c r="D1242" i="36"/>
  <c r="C1242" i="36"/>
  <c r="B1242" i="36"/>
  <c r="A1242" i="36"/>
  <c r="G1241" i="36"/>
  <c r="F1241" i="36"/>
  <c r="E1241" i="36"/>
  <c r="D1241" i="36"/>
  <c r="C1241" i="36"/>
  <c r="B1241" i="36"/>
  <c r="A1241" i="36"/>
  <c r="G1240" i="36"/>
  <c r="F1240" i="36"/>
  <c r="E1240" i="36"/>
  <c r="D1240" i="36"/>
  <c r="C1240" i="36"/>
  <c r="B1240" i="36"/>
  <c r="A1240" i="36"/>
  <c r="G1239" i="36"/>
  <c r="F1239" i="36"/>
  <c r="E1239" i="36"/>
  <c r="D1239" i="36"/>
  <c r="C1239" i="36"/>
  <c r="B1239" i="36"/>
  <c r="A1239" i="36"/>
  <c r="G1238" i="36"/>
  <c r="F1238" i="36"/>
  <c r="E1238" i="36"/>
  <c r="D1238" i="36"/>
  <c r="C1238" i="36"/>
  <c r="B1238" i="36"/>
  <c r="A1238" i="36"/>
  <c r="G1237" i="36"/>
  <c r="F1237" i="36"/>
  <c r="E1237" i="36"/>
  <c r="D1237" i="36"/>
  <c r="C1237" i="36"/>
  <c r="B1237" i="36"/>
  <c r="A1237" i="36"/>
  <c r="G1236" i="36"/>
  <c r="F1236" i="36"/>
  <c r="E1236" i="36"/>
  <c r="D1236" i="36"/>
  <c r="C1236" i="36"/>
  <c r="B1236" i="36"/>
  <c r="A1236" i="36"/>
  <c r="G1235" i="36"/>
  <c r="F1235" i="36"/>
  <c r="E1235" i="36"/>
  <c r="D1235" i="36"/>
  <c r="C1235" i="36"/>
  <c r="B1235" i="36"/>
  <c r="A1235" i="36"/>
  <c r="G1234" i="36"/>
  <c r="F1234" i="36"/>
  <c r="E1234" i="36"/>
  <c r="D1234" i="36"/>
  <c r="C1234" i="36"/>
  <c r="B1234" i="36"/>
  <c r="A1234" i="36"/>
  <c r="G1233" i="36"/>
  <c r="F1233" i="36"/>
  <c r="E1233" i="36"/>
  <c r="D1233" i="36"/>
  <c r="C1233" i="36"/>
  <c r="B1233" i="36"/>
  <c r="A1233" i="36"/>
  <c r="G1232" i="36"/>
  <c r="F1232" i="36"/>
  <c r="E1232" i="36"/>
  <c r="D1232" i="36"/>
  <c r="C1232" i="36"/>
  <c r="B1232" i="36"/>
  <c r="A1232" i="36"/>
  <c r="G1231" i="36"/>
  <c r="F1231" i="36"/>
  <c r="E1231" i="36"/>
  <c r="D1231" i="36"/>
  <c r="C1231" i="36"/>
  <c r="B1231" i="36"/>
  <c r="A1231" i="36"/>
  <c r="G1230" i="36"/>
  <c r="F1230" i="36"/>
  <c r="E1230" i="36"/>
  <c r="D1230" i="36"/>
  <c r="C1230" i="36"/>
  <c r="B1230" i="36"/>
  <c r="A1230" i="36"/>
  <c r="G1229" i="36"/>
  <c r="F1229" i="36"/>
  <c r="E1229" i="36"/>
  <c r="D1229" i="36"/>
  <c r="C1229" i="36"/>
  <c r="B1229" i="36"/>
  <c r="A1229" i="36"/>
  <c r="G1228" i="36"/>
  <c r="F1228" i="36"/>
  <c r="E1228" i="36"/>
  <c r="D1228" i="36"/>
  <c r="C1228" i="36"/>
  <c r="B1228" i="36"/>
  <c r="A1228" i="36"/>
  <c r="G1227" i="36"/>
  <c r="F1227" i="36"/>
  <c r="E1227" i="36"/>
  <c r="D1227" i="36"/>
  <c r="C1227" i="36"/>
  <c r="B1227" i="36"/>
  <c r="A1227" i="36"/>
  <c r="G1226" i="36"/>
  <c r="F1226" i="36"/>
  <c r="E1226" i="36"/>
  <c r="D1226" i="36"/>
  <c r="C1226" i="36"/>
  <c r="B1226" i="36"/>
  <c r="A1226" i="36"/>
  <c r="G1225" i="36"/>
  <c r="F1225" i="36"/>
  <c r="E1225" i="36"/>
  <c r="D1225" i="36"/>
  <c r="C1225" i="36"/>
  <c r="B1225" i="36"/>
  <c r="A1225" i="36"/>
  <c r="G1224" i="36"/>
  <c r="F1224" i="36"/>
  <c r="E1224" i="36"/>
  <c r="D1224" i="36"/>
  <c r="C1224" i="36"/>
  <c r="B1224" i="36"/>
  <c r="A1224" i="36"/>
  <c r="G1223" i="36"/>
  <c r="F1223" i="36"/>
  <c r="E1223" i="36"/>
  <c r="D1223" i="36"/>
  <c r="C1223" i="36"/>
  <c r="B1223" i="36"/>
  <c r="A1223" i="36"/>
  <c r="G1222" i="36"/>
  <c r="F1222" i="36"/>
  <c r="E1222" i="36"/>
  <c r="D1222" i="36"/>
  <c r="C1222" i="36"/>
  <c r="B1222" i="36"/>
  <c r="A1222" i="36"/>
  <c r="G1221" i="36"/>
  <c r="F1221" i="36"/>
  <c r="E1221" i="36"/>
  <c r="D1221" i="36"/>
  <c r="C1221" i="36"/>
  <c r="B1221" i="36"/>
  <c r="A1221" i="36"/>
  <c r="G1220" i="36"/>
  <c r="F1220" i="36"/>
  <c r="E1220" i="36"/>
  <c r="D1220" i="36"/>
  <c r="C1220" i="36"/>
  <c r="B1220" i="36"/>
  <c r="A1220" i="36"/>
  <c r="G1219" i="36"/>
  <c r="F1219" i="36"/>
  <c r="E1219" i="36"/>
  <c r="D1219" i="36"/>
  <c r="C1219" i="36"/>
  <c r="B1219" i="36"/>
  <c r="A1219" i="36"/>
  <c r="G1218" i="36"/>
  <c r="F1218" i="36"/>
  <c r="E1218" i="36"/>
  <c r="D1218" i="36"/>
  <c r="C1218" i="36"/>
  <c r="B1218" i="36"/>
  <c r="A1218" i="36"/>
  <c r="G1217" i="36"/>
  <c r="F1217" i="36"/>
  <c r="E1217" i="36"/>
  <c r="D1217" i="36"/>
  <c r="C1217" i="36"/>
  <c r="B1217" i="36"/>
  <c r="A1217" i="36"/>
  <c r="G1216" i="36"/>
  <c r="F1216" i="36"/>
  <c r="E1216" i="36"/>
  <c r="D1216" i="36"/>
  <c r="C1216" i="36"/>
  <c r="B1216" i="36"/>
  <c r="A1216" i="36"/>
  <c r="G1215" i="36"/>
  <c r="F1215" i="36"/>
  <c r="E1215" i="36"/>
  <c r="D1215" i="36"/>
  <c r="C1215" i="36"/>
  <c r="B1215" i="36"/>
  <c r="A1215" i="36"/>
  <c r="G1214" i="36"/>
  <c r="F1214" i="36"/>
  <c r="E1214" i="36"/>
  <c r="D1214" i="36"/>
  <c r="C1214" i="36"/>
  <c r="B1214" i="36"/>
  <c r="A1214" i="36"/>
  <c r="G1213" i="36"/>
  <c r="F1213" i="36"/>
  <c r="E1213" i="36"/>
  <c r="D1213" i="36"/>
  <c r="C1213" i="36"/>
  <c r="B1213" i="36"/>
  <c r="A1213" i="36"/>
  <c r="G1212" i="36"/>
  <c r="F1212" i="36"/>
  <c r="E1212" i="36"/>
  <c r="D1212" i="36"/>
  <c r="C1212" i="36"/>
  <c r="B1212" i="36"/>
  <c r="A1212" i="36"/>
  <c r="G1211" i="36"/>
  <c r="F1211" i="36"/>
  <c r="E1211" i="36"/>
  <c r="D1211" i="36"/>
  <c r="C1211" i="36"/>
  <c r="B1211" i="36"/>
  <c r="A1211" i="36"/>
  <c r="G1210" i="36"/>
  <c r="F1210" i="36"/>
  <c r="E1210" i="36"/>
  <c r="D1210" i="36"/>
  <c r="C1210" i="36"/>
  <c r="B1210" i="36"/>
  <c r="A1210" i="36"/>
  <c r="G1209" i="36"/>
  <c r="F1209" i="36"/>
  <c r="E1209" i="36"/>
  <c r="D1209" i="36"/>
  <c r="C1209" i="36"/>
  <c r="B1209" i="36"/>
  <c r="A1209" i="36"/>
  <c r="G1208" i="36"/>
  <c r="F1208" i="36"/>
  <c r="E1208" i="36"/>
  <c r="D1208" i="36"/>
  <c r="C1208" i="36"/>
  <c r="B1208" i="36"/>
  <c r="A1208" i="36"/>
  <c r="G1207" i="36"/>
  <c r="F1207" i="36"/>
  <c r="E1207" i="36"/>
  <c r="D1207" i="36"/>
  <c r="C1207" i="36"/>
  <c r="B1207" i="36"/>
  <c r="A1207" i="36"/>
  <c r="G1206" i="36"/>
  <c r="F1206" i="36"/>
  <c r="E1206" i="36"/>
  <c r="D1206" i="36"/>
  <c r="C1206" i="36"/>
  <c r="B1206" i="36"/>
  <c r="A1206" i="36"/>
  <c r="G1205" i="36"/>
  <c r="F1205" i="36"/>
  <c r="E1205" i="36"/>
  <c r="D1205" i="36"/>
  <c r="C1205" i="36"/>
  <c r="B1205" i="36"/>
  <c r="A1205" i="36"/>
  <c r="G1204" i="36"/>
  <c r="F1204" i="36"/>
  <c r="E1204" i="36"/>
  <c r="D1204" i="36"/>
  <c r="C1204" i="36"/>
  <c r="B1204" i="36"/>
  <c r="A1204" i="36"/>
  <c r="G1203" i="36"/>
  <c r="F1203" i="36"/>
  <c r="E1203" i="36"/>
  <c r="D1203" i="36"/>
  <c r="C1203" i="36"/>
  <c r="B1203" i="36"/>
  <c r="A1203" i="36"/>
  <c r="G1202" i="36"/>
  <c r="F1202" i="36"/>
  <c r="E1202" i="36"/>
  <c r="D1202" i="36"/>
  <c r="C1202" i="36"/>
  <c r="B1202" i="36"/>
  <c r="A1202" i="36"/>
  <c r="G1201" i="36"/>
  <c r="F1201" i="36"/>
  <c r="E1201" i="36"/>
  <c r="D1201" i="36"/>
  <c r="C1201" i="36"/>
  <c r="B1201" i="36"/>
  <c r="A1201" i="36"/>
  <c r="G1200" i="36"/>
  <c r="F1200" i="36"/>
  <c r="E1200" i="36"/>
  <c r="D1200" i="36"/>
  <c r="C1200" i="36"/>
  <c r="B1200" i="36"/>
  <c r="A1200" i="36"/>
  <c r="G1199" i="36"/>
  <c r="F1199" i="36"/>
  <c r="E1199" i="36"/>
  <c r="D1199" i="36"/>
  <c r="C1199" i="36"/>
  <c r="B1199" i="36"/>
  <c r="A1199" i="36"/>
  <c r="G1198" i="36"/>
  <c r="F1198" i="36"/>
  <c r="E1198" i="36"/>
  <c r="D1198" i="36"/>
  <c r="C1198" i="36"/>
  <c r="B1198" i="36"/>
  <c r="A1198" i="36"/>
  <c r="G1197" i="36"/>
  <c r="F1197" i="36"/>
  <c r="E1197" i="36"/>
  <c r="D1197" i="36"/>
  <c r="C1197" i="36"/>
  <c r="B1197" i="36"/>
  <c r="A1197" i="36"/>
  <c r="G1196" i="36"/>
  <c r="F1196" i="36"/>
  <c r="E1196" i="36"/>
  <c r="D1196" i="36"/>
  <c r="C1196" i="36"/>
  <c r="B1196" i="36"/>
  <c r="A1196" i="36"/>
  <c r="G1195" i="36"/>
  <c r="F1195" i="36"/>
  <c r="E1195" i="36"/>
  <c r="D1195" i="36"/>
  <c r="C1195" i="36"/>
  <c r="B1195" i="36"/>
  <c r="A1195" i="36"/>
  <c r="G1194" i="36"/>
  <c r="F1194" i="36"/>
  <c r="E1194" i="36"/>
  <c r="D1194" i="36"/>
  <c r="C1194" i="36"/>
  <c r="B1194" i="36"/>
  <c r="A1194" i="36"/>
  <c r="G1193" i="36"/>
  <c r="F1193" i="36"/>
  <c r="E1193" i="36"/>
  <c r="D1193" i="36"/>
  <c r="C1193" i="36"/>
  <c r="B1193" i="36"/>
  <c r="A1193" i="36"/>
  <c r="G1192" i="36"/>
  <c r="F1192" i="36"/>
  <c r="E1192" i="36"/>
  <c r="D1192" i="36"/>
  <c r="C1192" i="36"/>
  <c r="B1192" i="36"/>
  <c r="A1192" i="36"/>
  <c r="G1191" i="36"/>
  <c r="F1191" i="36"/>
  <c r="E1191" i="36"/>
  <c r="D1191" i="36"/>
  <c r="C1191" i="36"/>
  <c r="B1191" i="36"/>
  <c r="A1191" i="36"/>
  <c r="G1190" i="36"/>
  <c r="F1190" i="36"/>
  <c r="E1190" i="36"/>
  <c r="D1190" i="36"/>
  <c r="C1190" i="36"/>
  <c r="B1190" i="36"/>
  <c r="A1190" i="36"/>
  <c r="G1189" i="36"/>
  <c r="F1189" i="36"/>
  <c r="E1189" i="36"/>
  <c r="D1189" i="36"/>
  <c r="C1189" i="36"/>
  <c r="B1189" i="36"/>
  <c r="A1189" i="36"/>
  <c r="G1188" i="36"/>
  <c r="F1188" i="36"/>
  <c r="E1188" i="36"/>
  <c r="D1188" i="36"/>
  <c r="C1188" i="36"/>
  <c r="B1188" i="36"/>
  <c r="A1188" i="36"/>
  <c r="G1187" i="36"/>
  <c r="F1187" i="36"/>
  <c r="E1187" i="36"/>
  <c r="D1187" i="36"/>
  <c r="C1187" i="36"/>
  <c r="B1187" i="36"/>
  <c r="A1187" i="36"/>
  <c r="G1186" i="36"/>
  <c r="F1186" i="36"/>
  <c r="E1186" i="36"/>
  <c r="D1186" i="36"/>
  <c r="C1186" i="36"/>
  <c r="B1186" i="36"/>
  <c r="A1186" i="36"/>
  <c r="G1185" i="36"/>
  <c r="F1185" i="36"/>
  <c r="E1185" i="36"/>
  <c r="D1185" i="36"/>
  <c r="C1185" i="36"/>
  <c r="B1185" i="36"/>
  <c r="A1185" i="36"/>
  <c r="G1184" i="36"/>
  <c r="F1184" i="36"/>
  <c r="E1184" i="36"/>
  <c r="D1184" i="36"/>
  <c r="C1184" i="36"/>
  <c r="B1184" i="36"/>
  <c r="A1184" i="36"/>
  <c r="G1183" i="36"/>
  <c r="F1183" i="36"/>
  <c r="E1183" i="36"/>
  <c r="D1183" i="36"/>
  <c r="C1183" i="36"/>
  <c r="B1183" i="36"/>
  <c r="A1183" i="36"/>
  <c r="G1182" i="36"/>
  <c r="F1182" i="36"/>
  <c r="E1182" i="36"/>
  <c r="D1182" i="36"/>
  <c r="C1182" i="36"/>
  <c r="B1182" i="36"/>
  <c r="A1182" i="36"/>
  <c r="G1181" i="36"/>
  <c r="F1181" i="36"/>
  <c r="E1181" i="36"/>
  <c r="D1181" i="36"/>
  <c r="C1181" i="36"/>
  <c r="B1181" i="36"/>
  <c r="A1181" i="36"/>
  <c r="G1180" i="36"/>
  <c r="F1180" i="36"/>
  <c r="E1180" i="36"/>
  <c r="D1180" i="36"/>
  <c r="C1180" i="36"/>
  <c r="B1180" i="36"/>
  <c r="A1180" i="36"/>
  <c r="G1179" i="36"/>
  <c r="F1179" i="36"/>
  <c r="E1179" i="36"/>
  <c r="D1179" i="36"/>
  <c r="C1179" i="36"/>
  <c r="B1179" i="36"/>
  <c r="A1179" i="36"/>
  <c r="G1178" i="36"/>
  <c r="F1178" i="36"/>
  <c r="E1178" i="36"/>
  <c r="D1178" i="36"/>
  <c r="C1178" i="36"/>
  <c r="B1178" i="36"/>
  <c r="A1178" i="36"/>
  <c r="G1177" i="36"/>
  <c r="F1177" i="36"/>
  <c r="E1177" i="36"/>
  <c r="D1177" i="36"/>
  <c r="C1177" i="36"/>
  <c r="B1177" i="36"/>
  <c r="A1177" i="36"/>
  <c r="G1176" i="36"/>
  <c r="F1176" i="36"/>
  <c r="E1176" i="36"/>
  <c r="D1176" i="36"/>
  <c r="C1176" i="36"/>
  <c r="B1176" i="36"/>
  <c r="A1176" i="36"/>
  <c r="G1175" i="36"/>
  <c r="F1175" i="36"/>
  <c r="E1175" i="36"/>
  <c r="D1175" i="36"/>
  <c r="C1175" i="36"/>
  <c r="B1175" i="36"/>
  <c r="A1175" i="36"/>
  <c r="G1174" i="36"/>
  <c r="F1174" i="36"/>
  <c r="E1174" i="36"/>
  <c r="D1174" i="36"/>
  <c r="C1174" i="36"/>
  <c r="B1174" i="36"/>
  <c r="A1174" i="36"/>
  <c r="G1173" i="36"/>
  <c r="F1173" i="36"/>
  <c r="E1173" i="36"/>
  <c r="D1173" i="36"/>
  <c r="C1173" i="36"/>
  <c r="B1173" i="36"/>
  <c r="A1173" i="36"/>
  <c r="G1172" i="36"/>
  <c r="F1172" i="36"/>
  <c r="E1172" i="36"/>
  <c r="D1172" i="36"/>
  <c r="C1172" i="36"/>
  <c r="B1172" i="36"/>
  <c r="A1172" i="36"/>
  <c r="G1171" i="36"/>
  <c r="F1171" i="36"/>
  <c r="E1171" i="36"/>
  <c r="D1171" i="36"/>
  <c r="C1171" i="36"/>
  <c r="B1171" i="36"/>
  <c r="A1171" i="36"/>
  <c r="G1170" i="36"/>
  <c r="F1170" i="36"/>
  <c r="E1170" i="36"/>
  <c r="D1170" i="36"/>
  <c r="C1170" i="36"/>
  <c r="B1170" i="36"/>
  <c r="A1170" i="36"/>
  <c r="G1169" i="36"/>
  <c r="F1169" i="36"/>
  <c r="E1169" i="36"/>
  <c r="D1169" i="36"/>
  <c r="C1169" i="36"/>
  <c r="B1169" i="36"/>
  <c r="A1169" i="36"/>
  <c r="G1168" i="36"/>
  <c r="F1168" i="36"/>
  <c r="E1168" i="36"/>
  <c r="D1168" i="36"/>
  <c r="C1168" i="36"/>
  <c r="B1168" i="36"/>
  <c r="A1168" i="36"/>
  <c r="G1167" i="36"/>
  <c r="F1167" i="36"/>
  <c r="E1167" i="36"/>
  <c r="D1167" i="36"/>
  <c r="C1167" i="36"/>
  <c r="B1167" i="36"/>
  <c r="A1167" i="36"/>
  <c r="G1166" i="36"/>
  <c r="F1166" i="36"/>
  <c r="E1166" i="36"/>
  <c r="D1166" i="36"/>
  <c r="C1166" i="36"/>
  <c r="B1166" i="36"/>
  <c r="A1166" i="36"/>
  <c r="G1165" i="36"/>
  <c r="F1165" i="36"/>
  <c r="E1165" i="36"/>
  <c r="D1165" i="36"/>
  <c r="C1165" i="36"/>
  <c r="B1165" i="36"/>
  <c r="A1165" i="36"/>
  <c r="G1164" i="36"/>
  <c r="F1164" i="36"/>
  <c r="E1164" i="36"/>
  <c r="D1164" i="36"/>
  <c r="C1164" i="36"/>
  <c r="B1164" i="36"/>
  <c r="A1164" i="36"/>
  <c r="G1163" i="36"/>
  <c r="F1163" i="36"/>
  <c r="E1163" i="36"/>
  <c r="D1163" i="36"/>
  <c r="C1163" i="36"/>
  <c r="B1163" i="36"/>
  <c r="A1163" i="36"/>
  <c r="G1162" i="36"/>
  <c r="F1162" i="36"/>
  <c r="E1162" i="36"/>
  <c r="D1162" i="36"/>
  <c r="C1162" i="36"/>
  <c r="B1162" i="36"/>
  <c r="A1162" i="36"/>
  <c r="G1161" i="36"/>
  <c r="F1161" i="36"/>
  <c r="E1161" i="36"/>
  <c r="D1161" i="36"/>
  <c r="C1161" i="36"/>
  <c r="B1161" i="36"/>
  <c r="A1161" i="36"/>
  <c r="G1160" i="36"/>
  <c r="F1160" i="36"/>
  <c r="E1160" i="36"/>
  <c r="D1160" i="36"/>
  <c r="C1160" i="36"/>
  <c r="B1160" i="36"/>
  <c r="A1160" i="36"/>
  <c r="G1159" i="36"/>
  <c r="F1159" i="36"/>
  <c r="E1159" i="36"/>
  <c r="D1159" i="36"/>
  <c r="C1159" i="36"/>
  <c r="B1159" i="36"/>
  <c r="A1159" i="36"/>
  <c r="G1158" i="36"/>
  <c r="F1158" i="36"/>
  <c r="E1158" i="36"/>
  <c r="D1158" i="36"/>
  <c r="C1158" i="36"/>
  <c r="B1158" i="36"/>
  <c r="A1158" i="36"/>
  <c r="G1157" i="36"/>
  <c r="F1157" i="36"/>
  <c r="E1157" i="36"/>
  <c r="D1157" i="36"/>
  <c r="C1157" i="36"/>
  <c r="B1157" i="36"/>
  <c r="A1157" i="36"/>
  <c r="G1156" i="36"/>
  <c r="F1156" i="36"/>
  <c r="E1156" i="36"/>
  <c r="D1156" i="36"/>
  <c r="C1156" i="36"/>
  <c r="B1156" i="36"/>
  <c r="A1156" i="36"/>
  <c r="G1155" i="36"/>
  <c r="F1155" i="36"/>
  <c r="E1155" i="36"/>
  <c r="D1155" i="36"/>
  <c r="C1155" i="36"/>
  <c r="B1155" i="36"/>
  <c r="A1155" i="36"/>
  <c r="G1154" i="36"/>
  <c r="F1154" i="36"/>
  <c r="E1154" i="36"/>
  <c r="D1154" i="36"/>
  <c r="C1154" i="36"/>
  <c r="B1154" i="36"/>
  <c r="A1154" i="36"/>
  <c r="G1153" i="36"/>
  <c r="F1153" i="36"/>
  <c r="E1153" i="36"/>
  <c r="D1153" i="36"/>
  <c r="C1153" i="36"/>
  <c r="B1153" i="36"/>
  <c r="A1153" i="36"/>
  <c r="G1152" i="36"/>
  <c r="F1152" i="36"/>
  <c r="E1152" i="36"/>
  <c r="D1152" i="36"/>
  <c r="C1152" i="36"/>
  <c r="B1152" i="36"/>
  <c r="A1152" i="36"/>
  <c r="G1151" i="36"/>
  <c r="F1151" i="36"/>
  <c r="E1151" i="36"/>
  <c r="D1151" i="36"/>
  <c r="C1151" i="36"/>
  <c r="B1151" i="36"/>
  <c r="A1151" i="36"/>
  <c r="G1150" i="36"/>
  <c r="F1150" i="36"/>
  <c r="E1150" i="36"/>
  <c r="D1150" i="36"/>
  <c r="C1150" i="36"/>
  <c r="B1150" i="36"/>
  <c r="A1150" i="36"/>
  <c r="G1149" i="36"/>
  <c r="F1149" i="36"/>
  <c r="E1149" i="36"/>
  <c r="D1149" i="36"/>
  <c r="C1149" i="36"/>
  <c r="B1149" i="36"/>
  <c r="A1149" i="36"/>
  <c r="G1148" i="36"/>
  <c r="F1148" i="36"/>
  <c r="E1148" i="36"/>
  <c r="D1148" i="36"/>
  <c r="C1148" i="36"/>
  <c r="B1148" i="36"/>
  <c r="A1148" i="36"/>
  <c r="G1147" i="36"/>
  <c r="F1147" i="36"/>
  <c r="E1147" i="36"/>
  <c r="D1147" i="36"/>
  <c r="C1147" i="36"/>
  <c r="B1147" i="36"/>
  <c r="A1147" i="36"/>
  <c r="G1146" i="36"/>
  <c r="F1146" i="36"/>
  <c r="E1146" i="36"/>
  <c r="D1146" i="36"/>
  <c r="C1146" i="36"/>
  <c r="B1146" i="36"/>
  <c r="A1146" i="36"/>
  <c r="G1145" i="36"/>
  <c r="F1145" i="36"/>
  <c r="E1145" i="36"/>
  <c r="D1145" i="36"/>
  <c r="C1145" i="36"/>
  <c r="B1145" i="36"/>
  <c r="A1145" i="36"/>
  <c r="G1144" i="36"/>
  <c r="F1144" i="36"/>
  <c r="E1144" i="36"/>
  <c r="D1144" i="36"/>
  <c r="C1144" i="36"/>
  <c r="B1144" i="36"/>
  <c r="A1144" i="36"/>
  <c r="G1143" i="36"/>
  <c r="F1143" i="36"/>
  <c r="E1143" i="36"/>
  <c r="D1143" i="36"/>
  <c r="C1143" i="36"/>
  <c r="B1143" i="36"/>
  <c r="A1143" i="36"/>
  <c r="G1142" i="36"/>
  <c r="F1142" i="36"/>
  <c r="E1142" i="36"/>
  <c r="D1142" i="36"/>
  <c r="C1142" i="36"/>
  <c r="B1142" i="36"/>
  <c r="A1142" i="36"/>
  <c r="G1141" i="36"/>
  <c r="F1141" i="36"/>
  <c r="E1141" i="36"/>
  <c r="D1141" i="36"/>
  <c r="C1141" i="36"/>
  <c r="B1141" i="36"/>
  <c r="A1141" i="36"/>
  <c r="G1140" i="36"/>
  <c r="F1140" i="36"/>
  <c r="E1140" i="36"/>
  <c r="D1140" i="36"/>
  <c r="C1140" i="36"/>
  <c r="B1140" i="36"/>
  <c r="A1140" i="36"/>
  <c r="G1139" i="36"/>
  <c r="F1139" i="36"/>
  <c r="E1139" i="36"/>
  <c r="D1139" i="36"/>
  <c r="C1139" i="36"/>
  <c r="B1139" i="36"/>
  <c r="A1139" i="36"/>
  <c r="G1138" i="36"/>
  <c r="F1138" i="36"/>
  <c r="E1138" i="36"/>
  <c r="D1138" i="36"/>
  <c r="C1138" i="36"/>
  <c r="B1138" i="36"/>
  <c r="A1138" i="36"/>
  <c r="G1137" i="36"/>
  <c r="F1137" i="36"/>
  <c r="E1137" i="36"/>
  <c r="D1137" i="36"/>
  <c r="C1137" i="36"/>
  <c r="B1137" i="36"/>
  <c r="A1137" i="36"/>
  <c r="G1136" i="36"/>
  <c r="F1136" i="36"/>
  <c r="E1136" i="36"/>
  <c r="D1136" i="36"/>
  <c r="C1136" i="36"/>
  <c r="B1136" i="36"/>
  <c r="A1136" i="36"/>
  <c r="G1135" i="36"/>
  <c r="F1135" i="36"/>
  <c r="E1135" i="36"/>
  <c r="D1135" i="36"/>
  <c r="C1135" i="36"/>
  <c r="B1135" i="36"/>
  <c r="A1135" i="36"/>
  <c r="G1134" i="36"/>
  <c r="F1134" i="36"/>
  <c r="E1134" i="36"/>
  <c r="D1134" i="36"/>
  <c r="C1134" i="36"/>
  <c r="B1134" i="36"/>
  <c r="A1134" i="36"/>
  <c r="G1133" i="36"/>
  <c r="F1133" i="36"/>
  <c r="E1133" i="36"/>
  <c r="D1133" i="36"/>
  <c r="C1133" i="36"/>
  <c r="B1133" i="36"/>
  <c r="A1133" i="36"/>
  <c r="G1132" i="36"/>
  <c r="F1132" i="36"/>
  <c r="E1132" i="36"/>
  <c r="D1132" i="36"/>
  <c r="C1132" i="36"/>
  <c r="B1132" i="36"/>
  <c r="A1132" i="36"/>
  <c r="G1131" i="36"/>
  <c r="F1131" i="36"/>
  <c r="E1131" i="36"/>
  <c r="D1131" i="36"/>
  <c r="C1131" i="36"/>
  <c r="B1131" i="36"/>
  <c r="A1131" i="36"/>
  <c r="G1130" i="36"/>
  <c r="F1130" i="36"/>
  <c r="E1130" i="36"/>
  <c r="D1130" i="36"/>
  <c r="C1130" i="36"/>
  <c r="B1130" i="36"/>
  <c r="A1130" i="36"/>
  <c r="G1129" i="36"/>
  <c r="F1129" i="36"/>
  <c r="E1129" i="36"/>
  <c r="D1129" i="36"/>
  <c r="C1129" i="36"/>
  <c r="B1129" i="36"/>
  <c r="A1129" i="36"/>
  <c r="G1128" i="36"/>
  <c r="F1128" i="36"/>
  <c r="E1128" i="36"/>
  <c r="D1128" i="36"/>
  <c r="C1128" i="36"/>
  <c r="B1128" i="36"/>
  <c r="A1128" i="36"/>
  <c r="G1127" i="36"/>
  <c r="F1127" i="36"/>
  <c r="E1127" i="36"/>
  <c r="D1127" i="36"/>
  <c r="C1127" i="36"/>
  <c r="B1127" i="36"/>
  <c r="A1127" i="36"/>
  <c r="G1126" i="36"/>
  <c r="F1126" i="36"/>
  <c r="E1126" i="36"/>
  <c r="D1126" i="36"/>
  <c r="C1126" i="36"/>
  <c r="B1126" i="36"/>
  <c r="A1126" i="36"/>
  <c r="G1125" i="36"/>
  <c r="F1125" i="36"/>
  <c r="E1125" i="36"/>
  <c r="D1125" i="36"/>
  <c r="C1125" i="36"/>
  <c r="B1125" i="36"/>
  <c r="A1125" i="36"/>
  <c r="G1124" i="36"/>
  <c r="F1124" i="36"/>
  <c r="E1124" i="36"/>
  <c r="D1124" i="36"/>
  <c r="C1124" i="36"/>
  <c r="B1124" i="36"/>
  <c r="A1124" i="36"/>
  <c r="G1123" i="36"/>
  <c r="F1123" i="36"/>
  <c r="E1123" i="36"/>
  <c r="D1123" i="36"/>
  <c r="C1123" i="36"/>
  <c r="B1123" i="36"/>
  <c r="A1123" i="36"/>
  <c r="G1122" i="36"/>
  <c r="F1122" i="36"/>
  <c r="E1122" i="36"/>
  <c r="D1122" i="36"/>
  <c r="C1122" i="36"/>
  <c r="B1122" i="36"/>
  <c r="A1122" i="36"/>
  <c r="G1121" i="36"/>
  <c r="F1121" i="36"/>
  <c r="E1121" i="36"/>
  <c r="D1121" i="36"/>
  <c r="C1121" i="36"/>
  <c r="B1121" i="36"/>
  <c r="A1121" i="36"/>
  <c r="G1120" i="36"/>
  <c r="F1120" i="36"/>
  <c r="E1120" i="36"/>
  <c r="D1120" i="36"/>
  <c r="C1120" i="36"/>
  <c r="B1120" i="36"/>
  <c r="A1120" i="36"/>
  <c r="G1119" i="36"/>
  <c r="F1119" i="36"/>
  <c r="E1119" i="36"/>
  <c r="D1119" i="36"/>
  <c r="C1119" i="36"/>
  <c r="B1119" i="36"/>
  <c r="A1119" i="36"/>
  <c r="G1118" i="36"/>
  <c r="F1118" i="36"/>
  <c r="E1118" i="36"/>
  <c r="D1118" i="36"/>
  <c r="C1118" i="36"/>
  <c r="B1118" i="36"/>
  <c r="A1118" i="36"/>
  <c r="G1117" i="36"/>
  <c r="F1117" i="36"/>
  <c r="E1117" i="36"/>
  <c r="D1117" i="36"/>
  <c r="C1117" i="36"/>
  <c r="B1117" i="36"/>
  <c r="A1117" i="36"/>
  <c r="G1116" i="36"/>
  <c r="F1116" i="36"/>
  <c r="E1116" i="36"/>
  <c r="D1116" i="36"/>
  <c r="C1116" i="36"/>
  <c r="B1116" i="36"/>
  <c r="A1116" i="36"/>
  <c r="G1115" i="36"/>
  <c r="F1115" i="36"/>
  <c r="E1115" i="36"/>
  <c r="D1115" i="36"/>
  <c r="C1115" i="36"/>
  <c r="B1115" i="36"/>
  <c r="A1115" i="36"/>
  <c r="G1114" i="36"/>
  <c r="F1114" i="36"/>
  <c r="E1114" i="36"/>
  <c r="D1114" i="36"/>
  <c r="C1114" i="36"/>
  <c r="B1114" i="36"/>
  <c r="A1114" i="36"/>
  <c r="G1113" i="36"/>
  <c r="F1113" i="36"/>
  <c r="E1113" i="36"/>
  <c r="D1113" i="36"/>
  <c r="C1113" i="36"/>
  <c r="B1113" i="36"/>
  <c r="A1113" i="36"/>
  <c r="G1112" i="36"/>
  <c r="F1112" i="36"/>
  <c r="E1112" i="36"/>
  <c r="D1112" i="36"/>
  <c r="C1112" i="36"/>
  <c r="B1112" i="36"/>
  <c r="A1112" i="36"/>
  <c r="G1111" i="36"/>
  <c r="F1111" i="36"/>
  <c r="E1111" i="36"/>
  <c r="D1111" i="36"/>
  <c r="C1111" i="36"/>
  <c r="B1111" i="36"/>
  <c r="A1111" i="36"/>
  <c r="G1110" i="36"/>
  <c r="F1110" i="36"/>
  <c r="E1110" i="36"/>
  <c r="D1110" i="36"/>
  <c r="C1110" i="36"/>
  <c r="B1110" i="36"/>
  <c r="A1110" i="36"/>
  <c r="G1109" i="36"/>
  <c r="F1109" i="36"/>
  <c r="E1109" i="36"/>
  <c r="D1109" i="36"/>
  <c r="C1109" i="36"/>
  <c r="B1109" i="36"/>
  <c r="A1109" i="36"/>
  <c r="G1108" i="36"/>
  <c r="F1108" i="36"/>
  <c r="E1108" i="36"/>
  <c r="D1108" i="36"/>
  <c r="C1108" i="36"/>
  <c r="B1108" i="36"/>
  <c r="A1108" i="36"/>
  <c r="G1107" i="36"/>
  <c r="F1107" i="36"/>
  <c r="E1107" i="36"/>
  <c r="D1107" i="36"/>
  <c r="C1107" i="36"/>
  <c r="B1107" i="36"/>
  <c r="A1107" i="36"/>
  <c r="G1106" i="36"/>
  <c r="F1106" i="36"/>
  <c r="E1106" i="36"/>
  <c r="D1106" i="36"/>
  <c r="C1106" i="36"/>
  <c r="B1106" i="36"/>
  <c r="A1106" i="36"/>
  <c r="G1105" i="36"/>
  <c r="F1105" i="36"/>
  <c r="E1105" i="36"/>
  <c r="D1105" i="36"/>
  <c r="C1105" i="36"/>
  <c r="B1105" i="36"/>
  <c r="A1105" i="36"/>
  <c r="G1104" i="36"/>
  <c r="F1104" i="36"/>
  <c r="E1104" i="36"/>
  <c r="D1104" i="36"/>
  <c r="C1104" i="36"/>
  <c r="B1104" i="36"/>
  <c r="A1104" i="36"/>
  <c r="G1103" i="36"/>
  <c r="F1103" i="36"/>
  <c r="E1103" i="36"/>
  <c r="D1103" i="36"/>
  <c r="C1103" i="36"/>
  <c r="B1103" i="36"/>
  <c r="A1103" i="36"/>
  <c r="G1102" i="36"/>
  <c r="F1102" i="36"/>
  <c r="E1102" i="36"/>
  <c r="D1102" i="36"/>
  <c r="C1102" i="36"/>
  <c r="B1102" i="36"/>
  <c r="A1102" i="36"/>
  <c r="G1101" i="36"/>
  <c r="F1101" i="36"/>
  <c r="E1101" i="36"/>
  <c r="D1101" i="36"/>
  <c r="C1101" i="36"/>
  <c r="B1101" i="36"/>
  <c r="A1101" i="36"/>
  <c r="G1100" i="36"/>
  <c r="F1100" i="36"/>
  <c r="E1100" i="36"/>
  <c r="D1100" i="36"/>
  <c r="C1100" i="36"/>
  <c r="B1100" i="36"/>
  <c r="A1100" i="36"/>
  <c r="G1099" i="36"/>
  <c r="F1099" i="36"/>
  <c r="E1099" i="36"/>
  <c r="D1099" i="36"/>
  <c r="C1099" i="36"/>
  <c r="B1099" i="36"/>
  <c r="A1099" i="36"/>
  <c r="G1098" i="36"/>
  <c r="F1098" i="36"/>
  <c r="E1098" i="36"/>
  <c r="D1098" i="36"/>
  <c r="C1098" i="36"/>
  <c r="B1098" i="36"/>
  <c r="A1098" i="36"/>
  <c r="G1097" i="36"/>
  <c r="F1097" i="36"/>
  <c r="E1097" i="36"/>
  <c r="D1097" i="36"/>
  <c r="C1097" i="36"/>
  <c r="B1097" i="36"/>
  <c r="A1097" i="36"/>
  <c r="G1096" i="36"/>
  <c r="F1096" i="36"/>
  <c r="E1096" i="36"/>
  <c r="D1096" i="36"/>
  <c r="C1096" i="36"/>
  <c r="B1096" i="36"/>
  <c r="A1096" i="36"/>
  <c r="G1095" i="36"/>
  <c r="F1095" i="36"/>
  <c r="E1095" i="36"/>
  <c r="D1095" i="36"/>
  <c r="C1095" i="36"/>
  <c r="B1095" i="36"/>
  <c r="A1095" i="36"/>
  <c r="G1094" i="36"/>
  <c r="F1094" i="36"/>
  <c r="E1094" i="36"/>
  <c r="D1094" i="36"/>
  <c r="C1094" i="36"/>
  <c r="B1094" i="36"/>
  <c r="A1094" i="36"/>
  <c r="G1093" i="36"/>
  <c r="F1093" i="36"/>
  <c r="E1093" i="36"/>
  <c r="D1093" i="36"/>
  <c r="C1093" i="36"/>
  <c r="B1093" i="36"/>
  <c r="A1093" i="36"/>
  <c r="G1092" i="36"/>
  <c r="F1092" i="36"/>
  <c r="E1092" i="36"/>
  <c r="D1092" i="36"/>
  <c r="C1092" i="36"/>
  <c r="B1092" i="36"/>
  <c r="A1092" i="36"/>
  <c r="G1091" i="36"/>
  <c r="F1091" i="36"/>
  <c r="E1091" i="36"/>
  <c r="D1091" i="36"/>
  <c r="C1091" i="36"/>
  <c r="B1091" i="36"/>
  <c r="A1091" i="36"/>
  <c r="G1090" i="36"/>
  <c r="F1090" i="36"/>
  <c r="E1090" i="36"/>
  <c r="D1090" i="36"/>
  <c r="C1090" i="36"/>
  <c r="B1090" i="36"/>
  <c r="A1090" i="36"/>
  <c r="G1089" i="36"/>
  <c r="F1089" i="36"/>
  <c r="E1089" i="36"/>
  <c r="D1089" i="36"/>
  <c r="C1089" i="36"/>
  <c r="B1089" i="36"/>
  <c r="A1089" i="36"/>
  <c r="G1088" i="36"/>
  <c r="F1088" i="36"/>
  <c r="E1088" i="36"/>
  <c r="D1088" i="36"/>
  <c r="C1088" i="36"/>
  <c r="B1088" i="36"/>
  <c r="A1088" i="36"/>
  <c r="G1087" i="36"/>
  <c r="F1087" i="36"/>
  <c r="E1087" i="36"/>
  <c r="D1087" i="36"/>
  <c r="C1087" i="36"/>
  <c r="B1087" i="36"/>
  <c r="A1087" i="36"/>
  <c r="G1086" i="36"/>
  <c r="F1086" i="36"/>
  <c r="E1086" i="36"/>
  <c r="D1086" i="36"/>
  <c r="C1086" i="36"/>
  <c r="B1086" i="36"/>
  <c r="A1086" i="36"/>
  <c r="G1085" i="36"/>
  <c r="F1085" i="36"/>
  <c r="E1085" i="36"/>
  <c r="D1085" i="36"/>
  <c r="C1085" i="36"/>
  <c r="B1085" i="36"/>
  <c r="A1085" i="36"/>
  <c r="G1084" i="36"/>
  <c r="F1084" i="36"/>
  <c r="E1084" i="36"/>
  <c r="D1084" i="36"/>
  <c r="C1084" i="36"/>
  <c r="B1084" i="36"/>
  <c r="A1084" i="36"/>
  <c r="G1083" i="36"/>
  <c r="F1083" i="36"/>
  <c r="E1083" i="36"/>
  <c r="D1083" i="36"/>
  <c r="C1083" i="36"/>
  <c r="B1083" i="36"/>
  <c r="A1083" i="36"/>
  <c r="G1082" i="36"/>
  <c r="F1082" i="36"/>
  <c r="E1082" i="36"/>
  <c r="D1082" i="36"/>
  <c r="C1082" i="36"/>
  <c r="B1082" i="36"/>
  <c r="A1082" i="36"/>
  <c r="G1081" i="36"/>
  <c r="F1081" i="36"/>
  <c r="E1081" i="36"/>
  <c r="D1081" i="36"/>
  <c r="C1081" i="36"/>
  <c r="B1081" i="36"/>
  <c r="A1081" i="36"/>
  <c r="G1080" i="36"/>
  <c r="F1080" i="36"/>
  <c r="E1080" i="36"/>
  <c r="D1080" i="36"/>
  <c r="C1080" i="36"/>
  <c r="B1080" i="36"/>
  <c r="A1080" i="36"/>
  <c r="G1079" i="36"/>
  <c r="F1079" i="36"/>
  <c r="E1079" i="36"/>
  <c r="D1079" i="36"/>
  <c r="C1079" i="36"/>
  <c r="B1079" i="36"/>
  <c r="A1079" i="36"/>
  <c r="G1078" i="36"/>
  <c r="F1078" i="36"/>
  <c r="E1078" i="36"/>
  <c r="D1078" i="36"/>
  <c r="C1078" i="36"/>
  <c r="B1078" i="36"/>
  <c r="A1078" i="36"/>
  <c r="G1077" i="36"/>
  <c r="F1077" i="36"/>
  <c r="E1077" i="36"/>
  <c r="D1077" i="36"/>
  <c r="C1077" i="36"/>
  <c r="B1077" i="36"/>
  <c r="A1077" i="36"/>
  <c r="G1076" i="36"/>
  <c r="F1076" i="36"/>
  <c r="E1076" i="36"/>
  <c r="D1076" i="36"/>
  <c r="C1076" i="36"/>
  <c r="B1076" i="36"/>
  <c r="A1076" i="36"/>
  <c r="G1075" i="36"/>
  <c r="F1075" i="36"/>
  <c r="E1075" i="36"/>
  <c r="D1075" i="36"/>
  <c r="C1075" i="36"/>
  <c r="B1075" i="36"/>
  <c r="A1075" i="36"/>
  <c r="G1074" i="36"/>
  <c r="F1074" i="36"/>
  <c r="E1074" i="36"/>
  <c r="D1074" i="36"/>
  <c r="C1074" i="36"/>
  <c r="B1074" i="36"/>
  <c r="A1074" i="36"/>
  <c r="G1073" i="36"/>
  <c r="F1073" i="36"/>
  <c r="E1073" i="36"/>
  <c r="D1073" i="36"/>
  <c r="C1073" i="36"/>
  <c r="B1073" i="36"/>
  <c r="A1073" i="36"/>
  <c r="G1072" i="36"/>
  <c r="F1072" i="36"/>
  <c r="E1072" i="36"/>
  <c r="D1072" i="36"/>
  <c r="C1072" i="36"/>
  <c r="B1072" i="36"/>
  <c r="A1072" i="36"/>
  <c r="G1071" i="36"/>
  <c r="F1071" i="36"/>
  <c r="E1071" i="36"/>
  <c r="D1071" i="36"/>
  <c r="C1071" i="36"/>
  <c r="B1071" i="36"/>
  <c r="A1071" i="36"/>
  <c r="G1070" i="36"/>
  <c r="F1070" i="36"/>
  <c r="E1070" i="36"/>
  <c r="D1070" i="36"/>
  <c r="C1070" i="36"/>
  <c r="B1070" i="36"/>
  <c r="A1070" i="36"/>
  <c r="G1069" i="36"/>
  <c r="F1069" i="36"/>
  <c r="E1069" i="36"/>
  <c r="D1069" i="36"/>
  <c r="C1069" i="36"/>
  <c r="B1069" i="36"/>
  <c r="A1069" i="36"/>
  <c r="G1068" i="36"/>
  <c r="F1068" i="36"/>
  <c r="E1068" i="36"/>
  <c r="D1068" i="36"/>
  <c r="C1068" i="36"/>
  <c r="B1068" i="36"/>
  <c r="A1068" i="36"/>
  <c r="G1067" i="36"/>
  <c r="F1067" i="36"/>
  <c r="E1067" i="36"/>
  <c r="D1067" i="36"/>
  <c r="C1067" i="36"/>
  <c r="B1067" i="36"/>
  <c r="A1067" i="36"/>
  <c r="G1066" i="36"/>
  <c r="F1066" i="36"/>
  <c r="E1066" i="36"/>
  <c r="D1066" i="36"/>
  <c r="C1066" i="36"/>
  <c r="B1066" i="36"/>
  <c r="A1066" i="36"/>
  <c r="G1065" i="36"/>
  <c r="F1065" i="36"/>
  <c r="E1065" i="36"/>
  <c r="D1065" i="36"/>
  <c r="C1065" i="36"/>
  <c r="B1065" i="36"/>
  <c r="A1065" i="36"/>
  <c r="G1064" i="36"/>
  <c r="F1064" i="36"/>
  <c r="E1064" i="36"/>
  <c r="D1064" i="36"/>
  <c r="C1064" i="36"/>
  <c r="B1064" i="36"/>
  <c r="A1064" i="36"/>
  <c r="G1063" i="36"/>
  <c r="F1063" i="36"/>
  <c r="E1063" i="36"/>
  <c r="D1063" i="36"/>
  <c r="C1063" i="36"/>
  <c r="B1063" i="36"/>
  <c r="A1063" i="36"/>
  <c r="G1062" i="36"/>
  <c r="F1062" i="36"/>
  <c r="E1062" i="36"/>
  <c r="D1062" i="36"/>
  <c r="C1062" i="36"/>
  <c r="B1062" i="36"/>
  <c r="A1062" i="36"/>
  <c r="G1061" i="36"/>
  <c r="F1061" i="36"/>
  <c r="E1061" i="36"/>
  <c r="D1061" i="36"/>
  <c r="C1061" i="36"/>
  <c r="B1061" i="36"/>
  <c r="A1061" i="36"/>
  <c r="G1060" i="36"/>
  <c r="F1060" i="36"/>
  <c r="E1060" i="36"/>
  <c r="D1060" i="36"/>
  <c r="C1060" i="36"/>
  <c r="B1060" i="36"/>
  <c r="A1060" i="36"/>
  <c r="G1059" i="36"/>
  <c r="F1059" i="36"/>
  <c r="E1059" i="36"/>
  <c r="D1059" i="36"/>
  <c r="C1059" i="36"/>
  <c r="B1059" i="36"/>
  <c r="A1059" i="36"/>
  <c r="G1058" i="36"/>
  <c r="F1058" i="36"/>
  <c r="E1058" i="36"/>
  <c r="D1058" i="36"/>
  <c r="C1058" i="36"/>
  <c r="B1058" i="36"/>
  <c r="A1058" i="36"/>
  <c r="G1057" i="36"/>
  <c r="F1057" i="36"/>
  <c r="E1057" i="36"/>
  <c r="D1057" i="36"/>
  <c r="C1057" i="36"/>
  <c r="B1057" i="36"/>
  <c r="A1057" i="36"/>
  <c r="G1056" i="36"/>
  <c r="F1056" i="36"/>
  <c r="E1056" i="36"/>
  <c r="D1056" i="36"/>
  <c r="C1056" i="36"/>
  <c r="B1056" i="36"/>
  <c r="A1056" i="36"/>
  <c r="G1055" i="36"/>
  <c r="F1055" i="36"/>
  <c r="E1055" i="36"/>
  <c r="D1055" i="36"/>
  <c r="C1055" i="36"/>
  <c r="B1055" i="36"/>
  <c r="A1055" i="36"/>
  <c r="G1054" i="36"/>
  <c r="F1054" i="36"/>
  <c r="E1054" i="36"/>
  <c r="D1054" i="36"/>
  <c r="C1054" i="36"/>
  <c r="B1054" i="36"/>
  <c r="A1054" i="36"/>
  <c r="G1053" i="36"/>
  <c r="F1053" i="36"/>
  <c r="E1053" i="36"/>
  <c r="D1053" i="36"/>
  <c r="C1053" i="36"/>
  <c r="B1053" i="36"/>
  <c r="A1053" i="36"/>
  <c r="G1052" i="36"/>
  <c r="F1052" i="36"/>
  <c r="E1052" i="36"/>
  <c r="D1052" i="36"/>
  <c r="C1052" i="36"/>
  <c r="B1052" i="36"/>
  <c r="A1052" i="36"/>
  <c r="G1051" i="36"/>
  <c r="F1051" i="36"/>
  <c r="E1051" i="36"/>
  <c r="D1051" i="36"/>
  <c r="C1051" i="36"/>
  <c r="B1051" i="36"/>
  <c r="A1051" i="36"/>
  <c r="G1050" i="36"/>
  <c r="F1050" i="36"/>
  <c r="E1050" i="36"/>
  <c r="D1050" i="36"/>
  <c r="C1050" i="36"/>
  <c r="B1050" i="36"/>
  <c r="A1050" i="36"/>
  <c r="G1049" i="36"/>
  <c r="F1049" i="36"/>
  <c r="E1049" i="36"/>
  <c r="D1049" i="36"/>
  <c r="C1049" i="36"/>
  <c r="B1049" i="36"/>
  <c r="A1049" i="36"/>
  <c r="G1048" i="36"/>
  <c r="F1048" i="36"/>
  <c r="E1048" i="36"/>
  <c r="D1048" i="36"/>
  <c r="C1048" i="36"/>
  <c r="B1048" i="36"/>
  <c r="A1048" i="36"/>
  <c r="G1047" i="36"/>
  <c r="F1047" i="36"/>
  <c r="E1047" i="36"/>
  <c r="D1047" i="36"/>
  <c r="C1047" i="36"/>
  <c r="B1047" i="36"/>
  <c r="A1047" i="36"/>
  <c r="G1046" i="36"/>
  <c r="F1046" i="36"/>
  <c r="E1046" i="36"/>
  <c r="D1046" i="36"/>
  <c r="C1046" i="36"/>
  <c r="B1046" i="36"/>
  <c r="A1046" i="36"/>
  <c r="G1045" i="36"/>
  <c r="F1045" i="36"/>
  <c r="E1045" i="36"/>
  <c r="D1045" i="36"/>
  <c r="C1045" i="36"/>
  <c r="B1045" i="36"/>
  <c r="A1045" i="36"/>
  <c r="G1044" i="36"/>
  <c r="F1044" i="36"/>
  <c r="E1044" i="36"/>
  <c r="D1044" i="36"/>
  <c r="C1044" i="36"/>
  <c r="B1044" i="36"/>
  <c r="A1044" i="36"/>
  <c r="G1043" i="36"/>
  <c r="F1043" i="36"/>
  <c r="E1043" i="36"/>
  <c r="D1043" i="36"/>
  <c r="C1043" i="36"/>
  <c r="B1043" i="36"/>
  <c r="A1043" i="36"/>
  <c r="G1042" i="36"/>
  <c r="F1042" i="36"/>
  <c r="E1042" i="36"/>
  <c r="D1042" i="36"/>
  <c r="C1042" i="36"/>
  <c r="B1042" i="36"/>
  <c r="A1042" i="36"/>
  <c r="G1041" i="36"/>
  <c r="F1041" i="36"/>
  <c r="E1041" i="36"/>
  <c r="D1041" i="36"/>
  <c r="C1041" i="36"/>
  <c r="B1041" i="36"/>
  <c r="A1041" i="36"/>
  <c r="G1040" i="36"/>
  <c r="F1040" i="36"/>
  <c r="E1040" i="36"/>
  <c r="D1040" i="36"/>
  <c r="C1040" i="36"/>
  <c r="B1040" i="36"/>
  <c r="A1040" i="36"/>
  <c r="G1039" i="36"/>
  <c r="F1039" i="36"/>
  <c r="E1039" i="36"/>
  <c r="D1039" i="36"/>
  <c r="C1039" i="36"/>
  <c r="B1039" i="36"/>
  <c r="A1039" i="36"/>
  <c r="G1038" i="36"/>
  <c r="F1038" i="36"/>
  <c r="E1038" i="36"/>
  <c r="D1038" i="36"/>
  <c r="C1038" i="36"/>
  <c r="B1038" i="36"/>
  <c r="A1038" i="36"/>
  <c r="G1037" i="36"/>
  <c r="F1037" i="36"/>
  <c r="E1037" i="36"/>
  <c r="D1037" i="36"/>
  <c r="C1037" i="36"/>
  <c r="B1037" i="36"/>
  <c r="A1037" i="36"/>
  <c r="G1036" i="36"/>
  <c r="F1036" i="36"/>
  <c r="E1036" i="36"/>
  <c r="D1036" i="36"/>
  <c r="C1036" i="36"/>
  <c r="B1036" i="36"/>
  <c r="A1036" i="36"/>
  <c r="G1035" i="36"/>
  <c r="F1035" i="36"/>
  <c r="E1035" i="36"/>
  <c r="D1035" i="36"/>
  <c r="C1035" i="36"/>
  <c r="B1035" i="36"/>
  <c r="A1035" i="36"/>
  <c r="G1034" i="36"/>
  <c r="F1034" i="36"/>
  <c r="E1034" i="36"/>
  <c r="D1034" i="36"/>
  <c r="C1034" i="36"/>
  <c r="B1034" i="36"/>
  <c r="A1034" i="36"/>
  <c r="G1033" i="36"/>
  <c r="F1033" i="36"/>
  <c r="E1033" i="36"/>
  <c r="D1033" i="36"/>
  <c r="C1033" i="36"/>
  <c r="B1033" i="36"/>
  <c r="A1033" i="36"/>
  <c r="G1032" i="36"/>
  <c r="F1032" i="36"/>
  <c r="E1032" i="36"/>
  <c r="D1032" i="36"/>
  <c r="C1032" i="36"/>
  <c r="B1032" i="36"/>
  <c r="A1032" i="36"/>
  <c r="G1031" i="36"/>
  <c r="F1031" i="36"/>
  <c r="E1031" i="36"/>
  <c r="D1031" i="36"/>
  <c r="C1031" i="36"/>
  <c r="B1031" i="36"/>
  <c r="A1031" i="36"/>
  <c r="G1030" i="36"/>
  <c r="F1030" i="36"/>
  <c r="E1030" i="36"/>
  <c r="D1030" i="36"/>
  <c r="C1030" i="36"/>
  <c r="B1030" i="36"/>
  <c r="A1030" i="36"/>
  <c r="G1029" i="36"/>
  <c r="F1029" i="36"/>
  <c r="E1029" i="36"/>
  <c r="D1029" i="36"/>
  <c r="C1029" i="36"/>
  <c r="B1029" i="36"/>
  <c r="A1029" i="36"/>
  <c r="G1028" i="36"/>
  <c r="F1028" i="36"/>
  <c r="E1028" i="36"/>
  <c r="D1028" i="36"/>
  <c r="C1028" i="36"/>
  <c r="B1028" i="36"/>
  <c r="A1028" i="36"/>
  <c r="G1027" i="36"/>
  <c r="F1027" i="36"/>
  <c r="E1027" i="36"/>
  <c r="D1027" i="36"/>
  <c r="C1027" i="36"/>
  <c r="B1027" i="36"/>
  <c r="A1027" i="36"/>
  <c r="G1026" i="36"/>
  <c r="F1026" i="36"/>
  <c r="E1026" i="36"/>
  <c r="D1026" i="36"/>
  <c r="C1026" i="36"/>
  <c r="B1026" i="36"/>
  <c r="A1026" i="36"/>
  <c r="G1025" i="36"/>
  <c r="F1025" i="36"/>
  <c r="E1025" i="36"/>
  <c r="D1025" i="36"/>
  <c r="C1025" i="36"/>
  <c r="B1025" i="36"/>
  <c r="A1025" i="36"/>
  <c r="G1024" i="36"/>
  <c r="F1024" i="36"/>
  <c r="E1024" i="36"/>
  <c r="D1024" i="36"/>
  <c r="C1024" i="36"/>
  <c r="B1024" i="36"/>
  <c r="A1024" i="36"/>
  <c r="G1023" i="36"/>
  <c r="F1023" i="36"/>
  <c r="E1023" i="36"/>
  <c r="D1023" i="36"/>
  <c r="C1023" i="36"/>
  <c r="B1023" i="36"/>
  <c r="A1023" i="36"/>
  <c r="G1022" i="36"/>
  <c r="F1022" i="36"/>
  <c r="E1022" i="36"/>
  <c r="D1022" i="36"/>
  <c r="C1022" i="36"/>
  <c r="B1022" i="36"/>
  <c r="A1022" i="36"/>
  <c r="G1021" i="36"/>
  <c r="F1021" i="36"/>
  <c r="E1021" i="36"/>
  <c r="D1021" i="36"/>
  <c r="C1021" i="36"/>
  <c r="B1021" i="36"/>
  <c r="A1021" i="36"/>
  <c r="G1020" i="36"/>
  <c r="F1020" i="36"/>
  <c r="E1020" i="36"/>
  <c r="D1020" i="36"/>
  <c r="C1020" i="36"/>
  <c r="B1020" i="36"/>
  <c r="A1020" i="36"/>
  <c r="G1019" i="36"/>
  <c r="F1019" i="36"/>
  <c r="E1019" i="36"/>
  <c r="D1019" i="36"/>
  <c r="C1019" i="36"/>
  <c r="B1019" i="36"/>
  <c r="A1019" i="36"/>
  <c r="G1018" i="36"/>
  <c r="F1018" i="36"/>
  <c r="E1018" i="36"/>
  <c r="D1018" i="36"/>
  <c r="C1018" i="36"/>
  <c r="B1018" i="36"/>
  <c r="A1018" i="36"/>
  <c r="G1017" i="36"/>
  <c r="F1017" i="36"/>
  <c r="E1017" i="36"/>
  <c r="D1017" i="36"/>
  <c r="C1017" i="36"/>
  <c r="B1017" i="36"/>
  <c r="A1017" i="36"/>
  <c r="G1016" i="36"/>
  <c r="F1016" i="36"/>
  <c r="E1016" i="36"/>
  <c r="D1016" i="36"/>
  <c r="C1016" i="36"/>
  <c r="B1016" i="36"/>
  <c r="A1016" i="36"/>
  <c r="G1015" i="36"/>
  <c r="F1015" i="36"/>
  <c r="E1015" i="36"/>
  <c r="D1015" i="36"/>
  <c r="C1015" i="36"/>
  <c r="B1015" i="36"/>
  <c r="A1015" i="36"/>
  <c r="G1014" i="36"/>
  <c r="F1014" i="36"/>
  <c r="E1014" i="36"/>
  <c r="D1014" i="36"/>
  <c r="C1014" i="36"/>
  <c r="B1014" i="36"/>
  <c r="A1014" i="36"/>
  <c r="G1013" i="36"/>
  <c r="F1013" i="36"/>
  <c r="E1013" i="36"/>
  <c r="D1013" i="36"/>
  <c r="C1013" i="36"/>
  <c r="B1013" i="36"/>
  <c r="A1013" i="36"/>
  <c r="G1012" i="36"/>
  <c r="F1012" i="36"/>
  <c r="E1012" i="36"/>
  <c r="D1012" i="36"/>
  <c r="C1012" i="36"/>
  <c r="B1012" i="36"/>
  <c r="A1012" i="36"/>
  <c r="G1011" i="36"/>
  <c r="F1011" i="36"/>
  <c r="E1011" i="36"/>
  <c r="D1011" i="36"/>
  <c r="C1011" i="36"/>
  <c r="B1011" i="36"/>
  <c r="A1011" i="36"/>
  <c r="G1010" i="36"/>
  <c r="F1010" i="36"/>
  <c r="E1010" i="36"/>
  <c r="D1010" i="36"/>
  <c r="C1010" i="36"/>
  <c r="B1010" i="36"/>
  <c r="A1010" i="36"/>
  <c r="G1009" i="36"/>
  <c r="F1009" i="36"/>
  <c r="E1009" i="36"/>
  <c r="D1009" i="36"/>
  <c r="C1009" i="36"/>
  <c r="B1009" i="36"/>
  <c r="A1009" i="36"/>
  <c r="G1008" i="36"/>
  <c r="F1008" i="36"/>
  <c r="E1008" i="36"/>
  <c r="D1008" i="36"/>
  <c r="C1008" i="36"/>
  <c r="B1008" i="36"/>
  <c r="A1008" i="36"/>
  <c r="G1007" i="36"/>
  <c r="F1007" i="36"/>
  <c r="E1007" i="36"/>
  <c r="D1007" i="36"/>
  <c r="C1007" i="36"/>
  <c r="B1007" i="36"/>
  <c r="A1007" i="36"/>
  <c r="G1006" i="36"/>
  <c r="F1006" i="36"/>
  <c r="E1006" i="36"/>
  <c r="D1006" i="36"/>
  <c r="C1006" i="36"/>
  <c r="B1006" i="36"/>
  <c r="A1006" i="36"/>
  <c r="B1005" i="36"/>
  <c r="B1004" i="36"/>
  <c r="B1003" i="36"/>
  <c r="L1000" i="36"/>
  <c r="K1000" i="36"/>
  <c r="J1000" i="36"/>
  <c r="I1000" i="36"/>
  <c r="H1000" i="36"/>
  <c r="G1000" i="36"/>
  <c r="F1000" i="36"/>
  <c r="E1000" i="36"/>
  <c r="D1000" i="36"/>
  <c r="C1000" i="36"/>
  <c r="B1000" i="36"/>
  <c r="A1000" i="36"/>
  <c r="L999" i="36"/>
  <c r="K999" i="36"/>
  <c r="J999" i="36"/>
  <c r="I999" i="36"/>
  <c r="H999" i="36"/>
  <c r="G999" i="36"/>
  <c r="F999" i="36"/>
  <c r="E999" i="36"/>
  <c r="D999" i="36"/>
  <c r="C999" i="36"/>
  <c r="B999" i="36"/>
  <c r="A999" i="36"/>
  <c r="L998" i="36"/>
  <c r="K998" i="36"/>
  <c r="J998" i="36"/>
  <c r="I998" i="36"/>
  <c r="H998" i="36"/>
  <c r="G998" i="36"/>
  <c r="F998" i="36"/>
  <c r="E998" i="36"/>
  <c r="D998" i="36"/>
  <c r="C998" i="36"/>
  <c r="B998" i="36"/>
  <c r="A998" i="36"/>
  <c r="L997" i="36"/>
  <c r="K997" i="36"/>
  <c r="J997" i="36"/>
  <c r="I997" i="36"/>
  <c r="H997" i="36"/>
  <c r="G997" i="36"/>
  <c r="F997" i="36"/>
  <c r="E997" i="36"/>
  <c r="D997" i="36"/>
  <c r="C997" i="36"/>
  <c r="B997" i="36"/>
  <c r="A997" i="36"/>
  <c r="L996" i="36"/>
  <c r="K996" i="36"/>
  <c r="J996" i="36"/>
  <c r="I996" i="36"/>
  <c r="H996" i="36"/>
  <c r="G996" i="36"/>
  <c r="F996" i="36"/>
  <c r="E996" i="36"/>
  <c r="D996" i="36"/>
  <c r="C996" i="36"/>
  <c r="B996" i="36"/>
  <c r="A996" i="36"/>
  <c r="L995" i="36"/>
  <c r="K995" i="36"/>
  <c r="J995" i="36"/>
  <c r="I995" i="36"/>
  <c r="H995" i="36"/>
  <c r="G995" i="36"/>
  <c r="F995" i="36"/>
  <c r="E995" i="36"/>
  <c r="D995" i="36"/>
  <c r="C995" i="36"/>
  <c r="B995" i="36"/>
  <c r="A995" i="36"/>
  <c r="L994" i="36"/>
  <c r="K994" i="36"/>
  <c r="J994" i="36"/>
  <c r="I994" i="36"/>
  <c r="H994" i="36"/>
  <c r="G994" i="36"/>
  <c r="F994" i="36"/>
  <c r="E994" i="36"/>
  <c r="D994" i="36"/>
  <c r="C994" i="36"/>
  <c r="B994" i="36"/>
  <c r="A994" i="36"/>
  <c r="L993" i="36"/>
  <c r="K993" i="36"/>
  <c r="J993" i="36"/>
  <c r="I993" i="36"/>
  <c r="H993" i="36"/>
  <c r="G993" i="36"/>
  <c r="F993" i="36"/>
  <c r="E993" i="36"/>
  <c r="D993" i="36"/>
  <c r="C993" i="36"/>
  <c r="B993" i="36"/>
  <c r="A993" i="36"/>
  <c r="L992" i="36"/>
  <c r="K992" i="36"/>
  <c r="J992" i="36"/>
  <c r="I992" i="36"/>
  <c r="H992" i="36"/>
  <c r="G992" i="36"/>
  <c r="F992" i="36"/>
  <c r="E992" i="36"/>
  <c r="D992" i="36"/>
  <c r="C992" i="36"/>
  <c r="B992" i="36"/>
  <c r="A992" i="36"/>
  <c r="L991" i="36"/>
  <c r="K991" i="36"/>
  <c r="J991" i="36"/>
  <c r="I991" i="36"/>
  <c r="H991" i="36"/>
  <c r="G991" i="36"/>
  <c r="F991" i="36"/>
  <c r="E991" i="36"/>
  <c r="D991" i="36"/>
  <c r="C991" i="36"/>
  <c r="B991" i="36"/>
  <c r="A991" i="36"/>
  <c r="L990" i="36"/>
  <c r="K990" i="36"/>
  <c r="J990" i="36"/>
  <c r="I990" i="36"/>
  <c r="H990" i="36"/>
  <c r="G990" i="36"/>
  <c r="F990" i="36"/>
  <c r="E990" i="36"/>
  <c r="D990" i="36"/>
  <c r="C990" i="36"/>
  <c r="B990" i="36"/>
  <c r="A990" i="36"/>
  <c r="L989" i="36"/>
  <c r="K989" i="36"/>
  <c r="J989" i="36"/>
  <c r="I989" i="36"/>
  <c r="H989" i="36"/>
  <c r="G989" i="36"/>
  <c r="F989" i="36"/>
  <c r="E989" i="36"/>
  <c r="D989" i="36"/>
  <c r="C989" i="36"/>
  <c r="B989" i="36"/>
  <c r="A989" i="36"/>
  <c r="L988" i="36"/>
  <c r="K988" i="36"/>
  <c r="J988" i="36"/>
  <c r="I988" i="36"/>
  <c r="H988" i="36"/>
  <c r="G988" i="36"/>
  <c r="F988" i="36"/>
  <c r="E988" i="36"/>
  <c r="D988" i="36"/>
  <c r="C988" i="36"/>
  <c r="B988" i="36"/>
  <c r="A988" i="36"/>
  <c r="L987" i="36"/>
  <c r="K987" i="36"/>
  <c r="J987" i="36"/>
  <c r="I987" i="36"/>
  <c r="H987" i="36"/>
  <c r="G987" i="36"/>
  <c r="F987" i="36"/>
  <c r="E987" i="36"/>
  <c r="D987" i="36"/>
  <c r="C987" i="36"/>
  <c r="B987" i="36"/>
  <c r="A987" i="36"/>
  <c r="L986" i="36"/>
  <c r="K986" i="36"/>
  <c r="J986" i="36"/>
  <c r="I986" i="36"/>
  <c r="H986" i="36"/>
  <c r="G986" i="36"/>
  <c r="F986" i="36"/>
  <c r="E986" i="36"/>
  <c r="D986" i="36"/>
  <c r="C986" i="36"/>
  <c r="B986" i="36"/>
  <c r="A986" i="36"/>
  <c r="L985" i="36"/>
  <c r="K985" i="36"/>
  <c r="J985" i="36"/>
  <c r="I985" i="36"/>
  <c r="H985" i="36"/>
  <c r="G985" i="36"/>
  <c r="F985" i="36"/>
  <c r="E985" i="36"/>
  <c r="D985" i="36"/>
  <c r="C985" i="36"/>
  <c r="B985" i="36"/>
  <c r="A985" i="36"/>
  <c r="L984" i="36"/>
  <c r="K984" i="36"/>
  <c r="J984" i="36"/>
  <c r="I984" i="36"/>
  <c r="H984" i="36"/>
  <c r="G984" i="36"/>
  <c r="F984" i="36"/>
  <c r="E984" i="36"/>
  <c r="D984" i="36"/>
  <c r="C984" i="36"/>
  <c r="B984" i="36"/>
  <c r="A984" i="36"/>
  <c r="L983" i="36"/>
  <c r="K983" i="36"/>
  <c r="J983" i="36"/>
  <c r="I983" i="36"/>
  <c r="H983" i="36"/>
  <c r="G983" i="36"/>
  <c r="F983" i="36"/>
  <c r="E983" i="36"/>
  <c r="D983" i="36"/>
  <c r="C983" i="36"/>
  <c r="B983" i="36"/>
  <c r="A983" i="36"/>
  <c r="L982" i="36"/>
  <c r="K982" i="36"/>
  <c r="J982" i="36"/>
  <c r="I982" i="36"/>
  <c r="H982" i="36"/>
  <c r="G982" i="36"/>
  <c r="F982" i="36"/>
  <c r="E982" i="36"/>
  <c r="D982" i="36"/>
  <c r="C982" i="36"/>
  <c r="B982" i="36"/>
  <c r="A982" i="36"/>
  <c r="L981" i="36"/>
  <c r="K981" i="36"/>
  <c r="J981" i="36"/>
  <c r="I981" i="36"/>
  <c r="H981" i="36"/>
  <c r="G981" i="36"/>
  <c r="F981" i="36"/>
  <c r="E981" i="36"/>
  <c r="D981" i="36"/>
  <c r="C981" i="36"/>
  <c r="B981" i="36"/>
  <c r="A981" i="36"/>
  <c r="L980" i="36"/>
  <c r="K980" i="36"/>
  <c r="J980" i="36"/>
  <c r="I980" i="36"/>
  <c r="H980" i="36"/>
  <c r="G980" i="36"/>
  <c r="F980" i="36"/>
  <c r="E980" i="36"/>
  <c r="D980" i="36"/>
  <c r="C980" i="36"/>
  <c r="B980" i="36"/>
  <c r="A980" i="36"/>
  <c r="L979" i="36"/>
  <c r="K979" i="36"/>
  <c r="J979" i="36"/>
  <c r="I979" i="36"/>
  <c r="H979" i="36"/>
  <c r="G979" i="36"/>
  <c r="F979" i="36"/>
  <c r="E979" i="36"/>
  <c r="D979" i="36"/>
  <c r="C979" i="36"/>
  <c r="B979" i="36"/>
  <c r="A979" i="36"/>
  <c r="L978" i="36"/>
  <c r="K978" i="36"/>
  <c r="J978" i="36"/>
  <c r="I978" i="36"/>
  <c r="H978" i="36"/>
  <c r="G978" i="36"/>
  <c r="F978" i="36"/>
  <c r="E978" i="36"/>
  <c r="D978" i="36"/>
  <c r="C978" i="36"/>
  <c r="B978" i="36"/>
  <c r="A978" i="36"/>
  <c r="L977" i="36"/>
  <c r="K977" i="36"/>
  <c r="J977" i="36"/>
  <c r="I977" i="36"/>
  <c r="H977" i="36"/>
  <c r="G977" i="36"/>
  <c r="F977" i="36"/>
  <c r="E977" i="36"/>
  <c r="D977" i="36"/>
  <c r="C977" i="36"/>
  <c r="B977" i="36"/>
  <c r="A977" i="36"/>
  <c r="L976" i="36"/>
  <c r="K976" i="36"/>
  <c r="J976" i="36"/>
  <c r="I976" i="36"/>
  <c r="H976" i="36"/>
  <c r="G976" i="36"/>
  <c r="F976" i="36"/>
  <c r="E976" i="36"/>
  <c r="D976" i="36"/>
  <c r="C976" i="36"/>
  <c r="B976" i="36"/>
  <c r="A976" i="36"/>
  <c r="L975" i="36"/>
  <c r="K975" i="36"/>
  <c r="J975" i="36"/>
  <c r="I975" i="36"/>
  <c r="H975" i="36"/>
  <c r="G975" i="36"/>
  <c r="F975" i="36"/>
  <c r="E975" i="36"/>
  <c r="D975" i="36"/>
  <c r="C975" i="36"/>
  <c r="B975" i="36"/>
  <c r="A975" i="36"/>
  <c r="L974" i="36"/>
  <c r="K974" i="36"/>
  <c r="J974" i="36"/>
  <c r="I974" i="36"/>
  <c r="H974" i="36"/>
  <c r="G974" i="36"/>
  <c r="F974" i="36"/>
  <c r="E974" i="36"/>
  <c r="D974" i="36"/>
  <c r="C974" i="36"/>
  <c r="B974" i="36"/>
  <c r="A974" i="36"/>
  <c r="L973" i="36"/>
  <c r="K973" i="36"/>
  <c r="J973" i="36"/>
  <c r="I973" i="36"/>
  <c r="H973" i="36"/>
  <c r="G973" i="36"/>
  <c r="F973" i="36"/>
  <c r="E973" i="36"/>
  <c r="D973" i="36"/>
  <c r="C973" i="36"/>
  <c r="B973" i="36"/>
  <c r="A973" i="36"/>
  <c r="L972" i="36"/>
  <c r="K972" i="36"/>
  <c r="J972" i="36"/>
  <c r="I972" i="36"/>
  <c r="H972" i="36"/>
  <c r="G972" i="36"/>
  <c r="F972" i="36"/>
  <c r="E972" i="36"/>
  <c r="D972" i="36"/>
  <c r="C972" i="36"/>
  <c r="B972" i="36"/>
  <c r="A972" i="36"/>
  <c r="L971" i="36"/>
  <c r="K971" i="36"/>
  <c r="J971" i="36"/>
  <c r="I971" i="36"/>
  <c r="H971" i="36"/>
  <c r="G971" i="36"/>
  <c r="F971" i="36"/>
  <c r="E971" i="36"/>
  <c r="D971" i="36"/>
  <c r="C971" i="36"/>
  <c r="B971" i="36"/>
  <c r="A971" i="36"/>
  <c r="L970" i="36"/>
  <c r="K970" i="36"/>
  <c r="J970" i="36"/>
  <c r="I970" i="36"/>
  <c r="H970" i="36"/>
  <c r="G970" i="36"/>
  <c r="F970" i="36"/>
  <c r="E970" i="36"/>
  <c r="D970" i="36"/>
  <c r="C970" i="36"/>
  <c r="B970" i="36"/>
  <c r="A970" i="36"/>
  <c r="L969" i="36"/>
  <c r="K969" i="36"/>
  <c r="J969" i="36"/>
  <c r="I969" i="36"/>
  <c r="H969" i="36"/>
  <c r="G969" i="36"/>
  <c r="F969" i="36"/>
  <c r="E969" i="36"/>
  <c r="D969" i="36"/>
  <c r="C969" i="36"/>
  <c r="B969" i="36"/>
  <c r="A969" i="36"/>
  <c r="L968" i="36"/>
  <c r="K968" i="36"/>
  <c r="J968" i="36"/>
  <c r="I968" i="36"/>
  <c r="H968" i="36"/>
  <c r="G968" i="36"/>
  <c r="F968" i="36"/>
  <c r="E968" i="36"/>
  <c r="D968" i="36"/>
  <c r="C968" i="36"/>
  <c r="B968" i="36"/>
  <c r="A968" i="36"/>
  <c r="L967" i="36"/>
  <c r="K967" i="36"/>
  <c r="J967" i="36"/>
  <c r="I967" i="36"/>
  <c r="H967" i="36"/>
  <c r="G967" i="36"/>
  <c r="F967" i="36"/>
  <c r="E967" i="36"/>
  <c r="D967" i="36"/>
  <c r="C967" i="36"/>
  <c r="B967" i="36"/>
  <c r="A967" i="36"/>
  <c r="L966" i="36"/>
  <c r="K966" i="36"/>
  <c r="J966" i="36"/>
  <c r="I966" i="36"/>
  <c r="H966" i="36"/>
  <c r="G966" i="36"/>
  <c r="F966" i="36"/>
  <c r="E966" i="36"/>
  <c r="D966" i="36"/>
  <c r="C966" i="36"/>
  <c r="B966" i="36"/>
  <c r="A966" i="36"/>
  <c r="L965" i="36"/>
  <c r="K965" i="36"/>
  <c r="J965" i="36"/>
  <c r="I965" i="36"/>
  <c r="H965" i="36"/>
  <c r="G965" i="36"/>
  <c r="F965" i="36"/>
  <c r="E965" i="36"/>
  <c r="D965" i="36"/>
  <c r="C965" i="36"/>
  <c r="B965" i="36"/>
  <c r="A965" i="36"/>
  <c r="L964" i="36"/>
  <c r="K964" i="36"/>
  <c r="J964" i="36"/>
  <c r="I964" i="36"/>
  <c r="H964" i="36"/>
  <c r="G964" i="36"/>
  <c r="F964" i="36"/>
  <c r="E964" i="36"/>
  <c r="D964" i="36"/>
  <c r="C964" i="36"/>
  <c r="B964" i="36"/>
  <c r="A964" i="36"/>
  <c r="L963" i="36"/>
  <c r="K963" i="36"/>
  <c r="J963" i="36"/>
  <c r="I963" i="36"/>
  <c r="H963" i="36"/>
  <c r="G963" i="36"/>
  <c r="F963" i="36"/>
  <c r="E963" i="36"/>
  <c r="D963" i="36"/>
  <c r="C963" i="36"/>
  <c r="B963" i="36"/>
  <c r="A963" i="36"/>
  <c r="L962" i="36"/>
  <c r="K962" i="36"/>
  <c r="J962" i="36"/>
  <c r="I962" i="36"/>
  <c r="H962" i="36"/>
  <c r="G962" i="36"/>
  <c r="F962" i="36"/>
  <c r="E962" i="36"/>
  <c r="D962" i="36"/>
  <c r="C962" i="36"/>
  <c r="B962" i="36"/>
  <c r="A962" i="36"/>
  <c r="L961" i="36"/>
  <c r="K961" i="36"/>
  <c r="J961" i="36"/>
  <c r="I961" i="36"/>
  <c r="H961" i="36"/>
  <c r="G961" i="36"/>
  <c r="F961" i="36"/>
  <c r="E961" i="36"/>
  <c r="D961" i="36"/>
  <c r="C961" i="36"/>
  <c r="B961" i="36"/>
  <c r="A961" i="36"/>
  <c r="L960" i="36"/>
  <c r="K960" i="36"/>
  <c r="J960" i="36"/>
  <c r="I960" i="36"/>
  <c r="H960" i="36"/>
  <c r="G960" i="36"/>
  <c r="F960" i="36"/>
  <c r="E960" i="36"/>
  <c r="D960" i="36"/>
  <c r="C960" i="36"/>
  <c r="B960" i="36"/>
  <c r="A960" i="36"/>
  <c r="L959" i="36"/>
  <c r="K959" i="36"/>
  <c r="J959" i="36"/>
  <c r="I959" i="36"/>
  <c r="H959" i="36"/>
  <c r="G959" i="36"/>
  <c r="F959" i="36"/>
  <c r="E959" i="36"/>
  <c r="D959" i="36"/>
  <c r="C959" i="36"/>
  <c r="B959" i="36"/>
  <c r="A959" i="36"/>
  <c r="L958" i="36"/>
  <c r="K958" i="36"/>
  <c r="J958" i="36"/>
  <c r="I958" i="36"/>
  <c r="H958" i="36"/>
  <c r="G958" i="36"/>
  <c r="F958" i="36"/>
  <c r="E958" i="36"/>
  <c r="D958" i="36"/>
  <c r="C958" i="36"/>
  <c r="B958" i="36"/>
  <c r="A958" i="36"/>
  <c r="L957" i="36"/>
  <c r="K957" i="36"/>
  <c r="J957" i="36"/>
  <c r="I957" i="36"/>
  <c r="H957" i="36"/>
  <c r="G957" i="36"/>
  <c r="F957" i="36"/>
  <c r="E957" i="36"/>
  <c r="D957" i="36"/>
  <c r="C957" i="36"/>
  <c r="B957" i="36"/>
  <c r="A957" i="36"/>
  <c r="L956" i="36"/>
  <c r="K956" i="36"/>
  <c r="J956" i="36"/>
  <c r="I956" i="36"/>
  <c r="H956" i="36"/>
  <c r="G956" i="36"/>
  <c r="F956" i="36"/>
  <c r="E956" i="36"/>
  <c r="D956" i="36"/>
  <c r="C956" i="36"/>
  <c r="B956" i="36"/>
  <c r="A956" i="36"/>
  <c r="L955" i="36"/>
  <c r="K955" i="36"/>
  <c r="J955" i="36"/>
  <c r="I955" i="36"/>
  <c r="H955" i="36"/>
  <c r="G955" i="36"/>
  <c r="F955" i="36"/>
  <c r="E955" i="36"/>
  <c r="D955" i="36"/>
  <c r="C955" i="36"/>
  <c r="B955" i="36"/>
  <c r="A955" i="36"/>
  <c r="L954" i="36"/>
  <c r="K954" i="36"/>
  <c r="J954" i="36"/>
  <c r="I954" i="36"/>
  <c r="H954" i="36"/>
  <c r="G954" i="36"/>
  <c r="F954" i="36"/>
  <c r="E954" i="36"/>
  <c r="D954" i="36"/>
  <c r="C954" i="36"/>
  <c r="B954" i="36"/>
  <c r="A954" i="36"/>
  <c r="L953" i="36"/>
  <c r="K953" i="36"/>
  <c r="J953" i="36"/>
  <c r="I953" i="36"/>
  <c r="H953" i="36"/>
  <c r="G953" i="36"/>
  <c r="F953" i="36"/>
  <c r="E953" i="36"/>
  <c r="D953" i="36"/>
  <c r="C953" i="36"/>
  <c r="B953" i="36"/>
  <c r="A953" i="36"/>
  <c r="L952" i="36"/>
  <c r="K952" i="36"/>
  <c r="J952" i="36"/>
  <c r="I952" i="36"/>
  <c r="H952" i="36"/>
  <c r="G952" i="36"/>
  <c r="F952" i="36"/>
  <c r="E952" i="36"/>
  <c r="D952" i="36"/>
  <c r="C952" i="36"/>
  <c r="B952" i="36"/>
  <c r="A952" i="36"/>
  <c r="L951" i="36"/>
  <c r="K951" i="36"/>
  <c r="J951" i="36"/>
  <c r="I951" i="36"/>
  <c r="H951" i="36"/>
  <c r="G951" i="36"/>
  <c r="F951" i="36"/>
  <c r="E951" i="36"/>
  <c r="D951" i="36"/>
  <c r="C951" i="36"/>
  <c r="B951" i="36"/>
  <c r="A951" i="36"/>
  <c r="L950" i="36"/>
  <c r="K950" i="36"/>
  <c r="J950" i="36"/>
  <c r="I950" i="36"/>
  <c r="H950" i="36"/>
  <c r="G950" i="36"/>
  <c r="F950" i="36"/>
  <c r="E950" i="36"/>
  <c r="D950" i="36"/>
  <c r="C950" i="36"/>
  <c r="B950" i="36"/>
  <c r="A950" i="36"/>
  <c r="L949" i="36"/>
  <c r="K949" i="36"/>
  <c r="J949" i="36"/>
  <c r="I949" i="36"/>
  <c r="H949" i="36"/>
  <c r="G949" i="36"/>
  <c r="F949" i="36"/>
  <c r="E949" i="36"/>
  <c r="D949" i="36"/>
  <c r="C949" i="36"/>
  <c r="B949" i="36"/>
  <c r="A949" i="36"/>
  <c r="L948" i="36"/>
  <c r="K948" i="36"/>
  <c r="J948" i="36"/>
  <c r="I948" i="36"/>
  <c r="H948" i="36"/>
  <c r="G948" i="36"/>
  <c r="F948" i="36"/>
  <c r="E948" i="36"/>
  <c r="D948" i="36"/>
  <c r="C948" i="36"/>
  <c r="B948" i="36"/>
  <c r="A948" i="36"/>
  <c r="L947" i="36"/>
  <c r="K947" i="36"/>
  <c r="J947" i="36"/>
  <c r="I947" i="36"/>
  <c r="H947" i="36"/>
  <c r="G947" i="36"/>
  <c r="F947" i="36"/>
  <c r="E947" i="36"/>
  <c r="D947" i="36"/>
  <c r="C947" i="36"/>
  <c r="B947" i="36"/>
  <c r="A947" i="36"/>
  <c r="L946" i="36"/>
  <c r="K946" i="36"/>
  <c r="J946" i="36"/>
  <c r="I946" i="36"/>
  <c r="H946" i="36"/>
  <c r="G946" i="36"/>
  <c r="F946" i="36"/>
  <c r="E946" i="36"/>
  <c r="D946" i="36"/>
  <c r="C946" i="36"/>
  <c r="B946" i="36"/>
  <c r="A946" i="36"/>
  <c r="L945" i="36"/>
  <c r="K945" i="36"/>
  <c r="J945" i="36"/>
  <c r="I945" i="36"/>
  <c r="H945" i="36"/>
  <c r="G945" i="36"/>
  <c r="F945" i="36"/>
  <c r="E945" i="36"/>
  <c r="D945" i="36"/>
  <c r="C945" i="36"/>
  <c r="B945" i="36"/>
  <c r="A945" i="36"/>
  <c r="L944" i="36"/>
  <c r="K944" i="36"/>
  <c r="J944" i="36"/>
  <c r="I944" i="36"/>
  <c r="H944" i="36"/>
  <c r="G944" i="36"/>
  <c r="F944" i="36"/>
  <c r="E944" i="36"/>
  <c r="D944" i="36"/>
  <c r="C944" i="36"/>
  <c r="B944" i="36"/>
  <c r="A944" i="36"/>
  <c r="L943" i="36"/>
  <c r="K943" i="36"/>
  <c r="J943" i="36"/>
  <c r="I943" i="36"/>
  <c r="H943" i="36"/>
  <c r="G943" i="36"/>
  <c r="F943" i="36"/>
  <c r="E943" i="36"/>
  <c r="D943" i="36"/>
  <c r="C943" i="36"/>
  <c r="B943" i="36"/>
  <c r="A943" i="36"/>
  <c r="L942" i="36"/>
  <c r="K942" i="36"/>
  <c r="J942" i="36"/>
  <c r="I942" i="36"/>
  <c r="H942" i="36"/>
  <c r="G942" i="36"/>
  <c r="F942" i="36"/>
  <c r="E942" i="36"/>
  <c r="D942" i="36"/>
  <c r="C942" i="36"/>
  <c r="B942" i="36"/>
  <c r="A942" i="36"/>
  <c r="L941" i="36"/>
  <c r="K941" i="36"/>
  <c r="J941" i="36"/>
  <c r="I941" i="36"/>
  <c r="H941" i="36"/>
  <c r="G941" i="36"/>
  <c r="F941" i="36"/>
  <c r="E941" i="36"/>
  <c r="D941" i="36"/>
  <c r="C941" i="36"/>
  <c r="B941" i="36"/>
  <c r="A941" i="36"/>
  <c r="L940" i="36"/>
  <c r="K940" i="36"/>
  <c r="J940" i="36"/>
  <c r="I940" i="36"/>
  <c r="H940" i="36"/>
  <c r="G940" i="36"/>
  <c r="F940" i="36"/>
  <c r="E940" i="36"/>
  <c r="D940" i="36"/>
  <c r="C940" i="36"/>
  <c r="B940" i="36"/>
  <c r="A940" i="36"/>
  <c r="L939" i="36"/>
  <c r="K939" i="36"/>
  <c r="J939" i="36"/>
  <c r="I939" i="36"/>
  <c r="H939" i="36"/>
  <c r="G939" i="36"/>
  <c r="F939" i="36"/>
  <c r="E939" i="36"/>
  <c r="D939" i="36"/>
  <c r="C939" i="36"/>
  <c r="B939" i="36"/>
  <c r="A939" i="36"/>
  <c r="L938" i="36"/>
  <c r="K938" i="36"/>
  <c r="J938" i="36"/>
  <c r="I938" i="36"/>
  <c r="H938" i="36"/>
  <c r="G938" i="36"/>
  <c r="F938" i="36"/>
  <c r="E938" i="36"/>
  <c r="D938" i="36"/>
  <c r="C938" i="36"/>
  <c r="B938" i="36"/>
  <c r="A938" i="36"/>
  <c r="L937" i="36"/>
  <c r="K937" i="36"/>
  <c r="J937" i="36"/>
  <c r="I937" i="36"/>
  <c r="H937" i="36"/>
  <c r="G937" i="36"/>
  <c r="F937" i="36"/>
  <c r="E937" i="36"/>
  <c r="D937" i="36"/>
  <c r="C937" i="36"/>
  <c r="B937" i="36"/>
  <c r="A937" i="36"/>
  <c r="L936" i="36"/>
  <c r="K936" i="36"/>
  <c r="J936" i="36"/>
  <c r="I936" i="36"/>
  <c r="H936" i="36"/>
  <c r="G936" i="36"/>
  <c r="F936" i="36"/>
  <c r="E936" i="36"/>
  <c r="D936" i="36"/>
  <c r="C936" i="36"/>
  <c r="B936" i="36"/>
  <c r="A936" i="36"/>
  <c r="L935" i="36"/>
  <c r="K935" i="36"/>
  <c r="J935" i="36"/>
  <c r="I935" i="36"/>
  <c r="H935" i="36"/>
  <c r="G935" i="36"/>
  <c r="F935" i="36"/>
  <c r="E935" i="36"/>
  <c r="D935" i="36"/>
  <c r="C935" i="36"/>
  <c r="B935" i="36"/>
  <c r="A935" i="36"/>
  <c r="L934" i="36"/>
  <c r="K934" i="36"/>
  <c r="J934" i="36"/>
  <c r="I934" i="36"/>
  <c r="H934" i="36"/>
  <c r="G934" i="36"/>
  <c r="F934" i="36"/>
  <c r="E934" i="36"/>
  <c r="D934" i="36"/>
  <c r="C934" i="36"/>
  <c r="B934" i="36"/>
  <c r="A934" i="36"/>
  <c r="L933" i="36"/>
  <c r="K933" i="36"/>
  <c r="J933" i="36"/>
  <c r="I933" i="36"/>
  <c r="H933" i="36"/>
  <c r="G933" i="36"/>
  <c r="F933" i="36"/>
  <c r="E933" i="36"/>
  <c r="D933" i="36"/>
  <c r="C933" i="36"/>
  <c r="B933" i="36"/>
  <c r="A933" i="36"/>
  <c r="L932" i="36"/>
  <c r="K932" i="36"/>
  <c r="J932" i="36"/>
  <c r="I932" i="36"/>
  <c r="H932" i="36"/>
  <c r="G932" i="36"/>
  <c r="F932" i="36"/>
  <c r="E932" i="36"/>
  <c r="D932" i="36"/>
  <c r="C932" i="36"/>
  <c r="B932" i="36"/>
  <c r="A932" i="36"/>
  <c r="L931" i="36"/>
  <c r="K931" i="36"/>
  <c r="J931" i="36"/>
  <c r="I931" i="36"/>
  <c r="H931" i="36"/>
  <c r="G931" i="36"/>
  <c r="F931" i="36"/>
  <c r="E931" i="36"/>
  <c r="D931" i="36"/>
  <c r="C931" i="36"/>
  <c r="B931" i="36"/>
  <c r="A931" i="36"/>
  <c r="L930" i="36"/>
  <c r="K930" i="36"/>
  <c r="J930" i="36"/>
  <c r="I930" i="36"/>
  <c r="H930" i="36"/>
  <c r="G930" i="36"/>
  <c r="F930" i="36"/>
  <c r="E930" i="36"/>
  <c r="D930" i="36"/>
  <c r="C930" i="36"/>
  <c r="B930" i="36"/>
  <c r="A930" i="36"/>
  <c r="L929" i="36"/>
  <c r="K929" i="36"/>
  <c r="J929" i="36"/>
  <c r="I929" i="36"/>
  <c r="H929" i="36"/>
  <c r="G929" i="36"/>
  <c r="F929" i="36"/>
  <c r="E929" i="36"/>
  <c r="D929" i="36"/>
  <c r="C929" i="36"/>
  <c r="B929" i="36"/>
  <c r="A929" i="36"/>
  <c r="L928" i="36"/>
  <c r="K928" i="36"/>
  <c r="J928" i="36"/>
  <c r="I928" i="36"/>
  <c r="H928" i="36"/>
  <c r="G928" i="36"/>
  <c r="F928" i="36"/>
  <c r="E928" i="36"/>
  <c r="D928" i="36"/>
  <c r="C928" i="36"/>
  <c r="B928" i="36"/>
  <c r="A928" i="36"/>
  <c r="L927" i="36"/>
  <c r="K927" i="36"/>
  <c r="J927" i="36"/>
  <c r="I927" i="36"/>
  <c r="H927" i="36"/>
  <c r="G927" i="36"/>
  <c r="F927" i="36"/>
  <c r="E927" i="36"/>
  <c r="D927" i="36"/>
  <c r="C927" i="36"/>
  <c r="B927" i="36"/>
  <c r="A927" i="36"/>
  <c r="L926" i="36"/>
  <c r="K926" i="36"/>
  <c r="J926" i="36"/>
  <c r="I926" i="36"/>
  <c r="H926" i="36"/>
  <c r="G926" i="36"/>
  <c r="F926" i="36"/>
  <c r="E926" i="36"/>
  <c r="D926" i="36"/>
  <c r="C926" i="36"/>
  <c r="B926" i="36"/>
  <c r="A926" i="36"/>
  <c r="L925" i="36"/>
  <c r="K925" i="36"/>
  <c r="J925" i="36"/>
  <c r="I925" i="36"/>
  <c r="H925" i="36"/>
  <c r="G925" i="36"/>
  <c r="F925" i="36"/>
  <c r="E925" i="36"/>
  <c r="D925" i="36"/>
  <c r="C925" i="36"/>
  <c r="B925" i="36"/>
  <c r="A925" i="36"/>
  <c r="L924" i="36"/>
  <c r="K924" i="36"/>
  <c r="J924" i="36"/>
  <c r="I924" i="36"/>
  <c r="H924" i="36"/>
  <c r="G924" i="36"/>
  <c r="F924" i="36"/>
  <c r="E924" i="36"/>
  <c r="D924" i="36"/>
  <c r="C924" i="36"/>
  <c r="B924" i="36"/>
  <c r="A924" i="36"/>
  <c r="L923" i="36"/>
  <c r="K923" i="36"/>
  <c r="J923" i="36"/>
  <c r="I923" i="36"/>
  <c r="H923" i="36"/>
  <c r="G923" i="36"/>
  <c r="F923" i="36"/>
  <c r="E923" i="36"/>
  <c r="D923" i="36"/>
  <c r="C923" i="36"/>
  <c r="B923" i="36"/>
  <c r="A923" i="36"/>
  <c r="L922" i="36"/>
  <c r="K922" i="36"/>
  <c r="J922" i="36"/>
  <c r="I922" i="36"/>
  <c r="H922" i="36"/>
  <c r="G922" i="36"/>
  <c r="F922" i="36"/>
  <c r="E922" i="36"/>
  <c r="D922" i="36"/>
  <c r="C922" i="36"/>
  <c r="B922" i="36"/>
  <c r="A922" i="36"/>
  <c r="L921" i="36"/>
  <c r="K921" i="36"/>
  <c r="J921" i="36"/>
  <c r="I921" i="36"/>
  <c r="H921" i="36"/>
  <c r="G921" i="36"/>
  <c r="F921" i="36"/>
  <c r="E921" i="36"/>
  <c r="D921" i="36"/>
  <c r="C921" i="36"/>
  <c r="B921" i="36"/>
  <c r="A921" i="36"/>
  <c r="L920" i="36"/>
  <c r="K920" i="36"/>
  <c r="J920" i="36"/>
  <c r="I920" i="36"/>
  <c r="H920" i="36"/>
  <c r="G920" i="36"/>
  <c r="F920" i="36"/>
  <c r="E920" i="36"/>
  <c r="D920" i="36"/>
  <c r="C920" i="36"/>
  <c r="B920" i="36"/>
  <c r="A920" i="36"/>
  <c r="L919" i="36"/>
  <c r="K919" i="36"/>
  <c r="J919" i="36"/>
  <c r="I919" i="36"/>
  <c r="H919" i="36"/>
  <c r="G919" i="36"/>
  <c r="F919" i="36"/>
  <c r="E919" i="36"/>
  <c r="D919" i="36"/>
  <c r="C919" i="36"/>
  <c r="B919" i="36"/>
  <c r="A919" i="36"/>
  <c r="L918" i="36"/>
  <c r="K918" i="36"/>
  <c r="J918" i="36"/>
  <c r="I918" i="36"/>
  <c r="H918" i="36"/>
  <c r="G918" i="36"/>
  <c r="F918" i="36"/>
  <c r="E918" i="36"/>
  <c r="D918" i="36"/>
  <c r="C918" i="36"/>
  <c r="B918" i="36"/>
  <c r="A918" i="36"/>
  <c r="L917" i="36"/>
  <c r="K917" i="36"/>
  <c r="J917" i="36"/>
  <c r="I917" i="36"/>
  <c r="H917" i="36"/>
  <c r="G917" i="36"/>
  <c r="F917" i="36"/>
  <c r="E917" i="36"/>
  <c r="D917" i="36"/>
  <c r="C917" i="36"/>
  <c r="B917" i="36"/>
  <c r="A917" i="36"/>
  <c r="L916" i="36"/>
  <c r="K916" i="36"/>
  <c r="J916" i="36"/>
  <c r="I916" i="36"/>
  <c r="H916" i="36"/>
  <c r="G916" i="36"/>
  <c r="F916" i="36"/>
  <c r="E916" i="36"/>
  <c r="D916" i="36"/>
  <c r="C916" i="36"/>
  <c r="B916" i="36"/>
  <c r="A916" i="36"/>
  <c r="L915" i="36"/>
  <c r="K915" i="36"/>
  <c r="J915" i="36"/>
  <c r="I915" i="36"/>
  <c r="H915" i="36"/>
  <c r="G915" i="36"/>
  <c r="F915" i="36"/>
  <c r="E915" i="36"/>
  <c r="D915" i="36"/>
  <c r="C915" i="36"/>
  <c r="B915" i="36"/>
  <c r="A915" i="36"/>
  <c r="L914" i="36"/>
  <c r="K914" i="36"/>
  <c r="J914" i="36"/>
  <c r="I914" i="36"/>
  <c r="H914" i="36"/>
  <c r="G914" i="36"/>
  <c r="F914" i="36"/>
  <c r="E914" i="36"/>
  <c r="D914" i="36"/>
  <c r="C914" i="36"/>
  <c r="B914" i="36"/>
  <c r="A914" i="36"/>
  <c r="L913" i="36"/>
  <c r="K913" i="36"/>
  <c r="J913" i="36"/>
  <c r="I913" i="36"/>
  <c r="H913" i="36"/>
  <c r="G913" i="36"/>
  <c r="F913" i="36"/>
  <c r="E913" i="36"/>
  <c r="D913" i="36"/>
  <c r="C913" i="36"/>
  <c r="B913" i="36"/>
  <c r="A913" i="36"/>
  <c r="L912" i="36"/>
  <c r="K912" i="36"/>
  <c r="J912" i="36"/>
  <c r="I912" i="36"/>
  <c r="H912" i="36"/>
  <c r="G912" i="36"/>
  <c r="F912" i="36"/>
  <c r="E912" i="36"/>
  <c r="D912" i="36"/>
  <c r="C912" i="36"/>
  <c r="B912" i="36"/>
  <c r="A912" i="36"/>
  <c r="L911" i="36"/>
  <c r="K911" i="36"/>
  <c r="J911" i="36"/>
  <c r="I911" i="36"/>
  <c r="H911" i="36"/>
  <c r="G911" i="36"/>
  <c r="F911" i="36"/>
  <c r="E911" i="36"/>
  <c r="D911" i="36"/>
  <c r="C911" i="36"/>
  <c r="B911" i="36"/>
  <c r="A911" i="36"/>
  <c r="L910" i="36"/>
  <c r="K910" i="36"/>
  <c r="J910" i="36"/>
  <c r="I910" i="36"/>
  <c r="H910" i="36"/>
  <c r="G910" i="36"/>
  <c r="F910" i="36"/>
  <c r="E910" i="36"/>
  <c r="D910" i="36"/>
  <c r="C910" i="36"/>
  <c r="B910" i="36"/>
  <c r="A910" i="36"/>
  <c r="L909" i="36"/>
  <c r="K909" i="36"/>
  <c r="J909" i="36"/>
  <c r="I909" i="36"/>
  <c r="H909" i="36"/>
  <c r="G909" i="36"/>
  <c r="F909" i="36"/>
  <c r="E909" i="36"/>
  <c r="D909" i="36"/>
  <c r="C909" i="36"/>
  <c r="B909" i="36"/>
  <c r="A909" i="36"/>
  <c r="L908" i="36"/>
  <c r="K908" i="36"/>
  <c r="J908" i="36"/>
  <c r="I908" i="36"/>
  <c r="H908" i="36"/>
  <c r="G908" i="36"/>
  <c r="F908" i="36"/>
  <c r="E908" i="36"/>
  <c r="D908" i="36"/>
  <c r="C908" i="36"/>
  <c r="B908" i="36"/>
  <c r="A908" i="36"/>
  <c r="L907" i="36"/>
  <c r="K907" i="36"/>
  <c r="J907" i="36"/>
  <c r="I907" i="36"/>
  <c r="H907" i="36"/>
  <c r="G907" i="36"/>
  <c r="F907" i="36"/>
  <c r="E907" i="36"/>
  <c r="D907" i="36"/>
  <c r="C907" i="36"/>
  <c r="B907" i="36"/>
  <c r="A907" i="36"/>
  <c r="L906" i="36"/>
  <c r="K906" i="36"/>
  <c r="J906" i="36"/>
  <c r="I906" i="36"/>
  <c r="H906" i="36"/>
  <c r="G906" i="36"/>
  <c r="F906" i="36"/>
  <c r="E906" i="36"/>
  <c r="D906" i="36"/>
  <c r="C906" i="36"/>
  <c r="B906" i="36"/>
  <c r="A906" i="36"/>
  <c r="L905" i="36"/>
  <c r="K905" i="36"/>
  <c r="J905" i="36"/>
  <c r="I905" i="36"/>
  <c r="H905" i="36"/>
  <c r="G905" i="36"/>
  <c r="F905" i="36"/>
  <c r="E905" i="36"/>
  <c r="D905" i="36"/>
  <c r="C905" i="36"/>
  <c r="B905" i="36"/>
  <c r="A905" i="36"/>
  <c r="L904" i="36"/>
  <c r="K904" i="36"/>
  <c r="J904" i="36"/>
  <c r="I904" i="36"/>
  <c r="H904" i="36"/>
  <c r="G904" i="36"/>
  <c r="F904" i="36"/>
  <c r="E904" i="36"/>
  <c r="D904" i="36"/>
  <c r="C904" i="36"/>
  <c r="B904" i="36"/>
  <c r="A904" i="36"/>
  <c r="L903" i="36"/>
  <c r="K903" i="36"/>
  <c r="J903" i="36"/>
  <c r="I903" i="36"/>
  <c r="H903" i="36"/>
  <c r="G903" i="36"/>
  <c r="F903" i="36"/>
  <c r="E903" i="36"/>
  <c r="D903" i="36"/>
  <c r="C903" i="36"/>
  <c r="B903" i="36"/>
  <c r="A903" i="36"/>
  <c r="L902" i="36"/>
  <c r="K902" i="36"/>
  <c r="J902" i="36"/>
  <c r="I902" i="36"/>
  <c r="H902" i="36"/>
  <c r="G902" i="36"/>
  <c r="F902" i="36"/>
  <c r="E902" i="36"/>
  <c r="D902" i="36"/>
  <c r="C902" i="36"/>
  <c r="B902" i="36"/>
  <c r="A902" i="36"/>
  <c r="L901" i="36"/>
  <c r="K901" i="36"/>
  <c r="J901" i="36"/>
  <c r="I901" i="36"/>
  <c r="H901" i="36"/>
  <c r="G901" i="36"/>
  <c r="F901" i="36"/>
  <c r="E901" i="36"/>
  <c r="D901" i="36"/>
  <c r="C901" i="36"/>
  <c r="B901" i="36"/>
  <c r="A901" i="36"/>
  <c r="L900" i="36"/>
  <c r="K900" i="36"/>
  <c r="J900" i="36"/>
  <c r="I900" i="36"/>
  <c r="H900" i="36"/>
  <c r="G900" i="36"/>
  <c r="F900" i="36"/>
  <c r="E900" i="36"/>
  <c r="D900" i="36"/>
  <c r="C900" i="36"/>
  <c r="B900" i="36"/>
  <c r="A900" i="36"/>
  <c r="L899" i="36"/>
  <c r="K899" i="36"/>
  <c r="J899" i="36"/>
  <c r="I899" i="36"/>
  <c r="H899" i="36"/>
  <c r="G899" i="36"/>
  <c r="F899" i="36"/>
  <c r="E899" i="36"/>
  <c r="D899" i="36"/>
  <c r="C899" i="36"/>
  <c r="B899" i="36"/>
  <c r="A899" i="36"/>
  <c r="L898" i="36"/>
  <c r="K898" i="36"/>
  <c r="J898" i="36"/>
  <c r="I898" i="36"/>
  <c r="H898" i="36"/>
  <c r="G898" i="36"/>
  <c r="F898" i="36"/>
  <c r="E898" i="36"/>
  <c r="D898" i="36"/>
  <c r="C898" i="36"/>
  <c r="B898" i="36"/>
  <c r="A898" i="36"/>
  <c r="L897" i="36"/>
  <c r="K897" i="36"/>
  <c r="J897" i="36"/>
  <c r="I897" i="36"/>
  <c r="H897" i="36"/>
  <c r="G897" i="36"/>
  <c r="F897" i="36"/>
  <c r="E897" i="36"/>
  <c r="D897" i="36"/>
  <c r="C897" i="36"/>
  <c r="B897" i="36"/>
  <c r="A897" i="36"/>
  <c r="L896" i="36"/>
  <c r="K896" i="36"/>
  <c r="J896" i="36"/>
  <c r="I896" i="36"/>
  <c r="H896" i="36"/>
  <c r="G896" i="36"/>
  <c r="F896" i="36"/>
  <c r="E896" i="36"/>
  <c r="D896" i="36"/>
  <c r="C896" i="36"/>
  <c r="B896" i="36"/>
  <c r="A896" i="36"/>
  <c r="L895" i="36"/>
  <c r="I895" i="36"/>
  <c r="C895" i="36"/>
  <c r="B895" i="36"/>
  <c r="A895" i="36"/>
  <c r="L894" i="36"/>
  <c r="I894" i="36"/>
  <c r="C894" i="36"/>
  <c r="B894" i="36"/>
  <c r="A894" i="36"/>
  <c r="L893" i="36"/>
  <c r="I893" i="36"/>
  <c r="C893" i="36"/>
  <c r="B893" i="36"/>
  <c r="A893" i="36"/>
  <c r="L892" i="36"/>
  <c r="I892" i="36"/>
  <c r="C892" i="36"/>
  <c r="B892" i="36"/>
  <c r="A892" i="36"/>
  <c r="L891" i="36"/>
  <c r="I891" i="36"/>
  <c r="C891" i="36"/>
  <c r="B891" i="36"/>
  <c r="A891" i="36"/>
  <c r="L890" i="36"/>
  <c r="I890" i="36"/>
  <c r="C890" i="36"/>
  <c r="B890" i="36"/>
  <c r="A890" i="36"/>
  <c r="L889" i="36"/>
  <c r="K889" i="36"/>
  <c r="J889" i="36"/>
  <c r="I889" i="36"/>
  <c r="H889" i="36"/>
  <c r="G889" i="36"/>
  <c r="F889" i="36"/>
  <c r="E889" i="36"/>
  <c r="D889" i="36"/>
  <c r="C889" i="36"/>
  <c r="B889" i="36"/>
  <c r="A889" i="36"/>
  <c r="L888" i="36"/>
  <c r="K888" i="36"/>
  <c r="J888" i="36"/>
  <c r="I888" i="36"/>
  <c r="H888" i="36"/>
  <c r="G888" i="36"/>
  <c r="F888" i="36"/>
  <c r="E888" i="36"/>
  <c r="D888" i="36"/>
  <c r="C888" i="36"/>
  <c r="B888" i="36"/>
  <c r="A888" i="36"/>
  <c r="L887" i="36"/>
  <c r="K887" i="36"/>
  <c r="J887" i="36"/>
  <c r="I887" i="36"/>
  <c r="H887" i="36"/>
  <c r="G887" i="36"/>
  <c r="F887" i="36"/>
  <c r="E887" i="36"/>
  <c r="D887" i="36"/>
  <c r="C887" i="36"/>
  <c r="B887" i="36"/>
  <c r="A887" i="36"/>
  <c r="L886" i="36"/>
  <c r="K886" i="36"/>
  <c r="J886" i="36"/>
  <c r="I886" i="36"/>
  <c r="H886" i="36"/>
  <c r="G886" i="36"/>
  <c r="F886" i="36"/>
  <c r="E886" i="36"/>
  <c r="D886" i="36"/>
  <c r="C886" i="36"/>
  <c r="B886" i="36"/>
  <c r="A886" i="36"/>
  <c r="L885" i="36"/>
  <c r="K885" i="36"/>
  <c r="J885" i="36"/>
  <c r="I885" i="36"/>
  <c r="H885" i="36"/>
  <c r="G885" i="36"/>
  <c r="F885" i="36"/>
  <c r="E885" i="36"/>
  <c r="D885" i="36"/>
  <c r="C885" i="36"/>
  <c r="B885" i="36"/>
  <c r="A885" i="36"/>
  <c r="L884" i="36"/>
  <c r="K884" i="36"/>
  <c r="J884" i="36"/>
  <c r="I884" i="36"/>
  <c r="H884" i="36"/>
  <c r="G884" i="36"/>
  <c r="F884" i="36"/>
  <c r="E884" i="36"/>
  <c r="D884" i="36"/>
  <c r="C884" i="36"/>
  <c r="B884" i="36"/>
  <c r="A884" i="36"/>
  <c r="L883" i="36"/>
  <c r="K883" i="36"/>
  <c r="J883" i="36"/>
  <c r="I883" i="36"/>
  <c r="H883" i="36"/>
  <c r="G883" i="36"/>
  <c r="F883" i="36"/>
  <c r="E883" i="36"/>
  <c r="D883" i="36"/>
  <c r="C883" i="36"/>
  <c r="B883" i="36"/>
  <c r="A883" i="36"/>
  <c r="L882" i="36"/>
  <c r="K882" i="36"/>
  <c r="J882" i="36"/>
  <c r="I882" i="36"/>
  <c r="H882" i="36"/>
  <c r="G882" i="36"/>
  <c r="F882" i="36"/>
  <c r="E882" i="36"/>
  <c r="D882" i="36"/>
  <c r="C882" i="36"/>
  <c r="B882" i="36"/>
  <c r="A882" i="36"/>
  <c r="L881" i="36"/>
  <c r="K881" i="36"/>
  <c r="J881" i="36"/>
  <c r="I881" i="36"/>
  <c r="H881" i="36"/>
  <c r="G881" i="36"/>
  <c r="F881" i="36"/>
  <c r="E881" i="36"/>
  <c r="D881" i="36"/>
  <c r="C881" i="36"/>
  <c r="B881" i="36"/>
  <c r="A881" i="36"/>
  <c r="L880" i="36"/>
  <c r="K880" i="36"/>
  <c r="J880" i="36"/>
  <c r="I880" i="36"/>
  <c r="H880" i="36"/>
  <c r="G880" i="36"/>
  <c r="F880" i="36"/>
  <c r="E880" i="36"/>
  <c r="D880" i="36"/>
  <c r="C880" i="36"/>
  <c r="B880" i="36"/>
  <c r="A880" i="36"/>
  <c r="L879" i="36"/>
  <c r="K879" i="36"/>
  <c r="J879" i="36"/>
  <c r="I879" i="36"/>
  <c r="H879" i="36"/>
  <c r="G879" i="36"/>
  <c r="F879" i="36"/>
  <c r="E879" i="36"/>
  <c r="D879" i="36"/>
  <c r="C879" i="36"/>
  <c r="B879" i="36"/>
  <c r="A879" i="36"/>
  <c r="L878" i="36"/>
  <c r="K878" i="36"/>
  <c r="J878" i="36"/>
  <c r="I878" i="36"/>
  <c r="H878" i="36"/>
  <c r="G878" i="36"/>
  <c r="F878" i="36"/>
  <c r="E878" i="36"/>
  <c r="D878" i="36"/>
  <c r="C878" i="36"/>
  <c r="B878" i="36"/>
  <c r="A878" i="36"/>
  <c r="L877" i="36"/>
  <c r="K877" i="36"/>
  <c r="J877" i="36"/>
  <c r="I877" i="36"/>
  <c r="H877" i="36"/>
  <c r="G877" i="36"/>
  <c r="F877" i="36"/>
  <c r="E877" i="36"/>
  <c r="D877" i="36"/>
  <c r="C877" i="36"/>
  <c r="B877" i="36"/>
  <c r="A877" i="36"/>
  <c r="L876" i="36"/>
  <c r="K876" i="36"/>
  <c r="J876" i="36"/>
  <c r="I876" i="36"/>
  <c r="H876" i="36"/>
  <c r="G876" i="36"/>
  <c r="F876" i="36"/>
  <c r="E876" i="36"/>
  <c r="D876" i="36"/>
  <c r="C876" i="36"/>
  <c r="B876" i="36"/>
  <c r="A876" i="36"/>
  <c r="L875" i="36"/>
  <c r="K875" i="36"/>
  <c r="J875" i="36"/>
  <c r="I875" i="36"/>
  <c r="H875" i="36"/>
  <c r="G875" i="36"/>
  <c r="F875" i="36"/>
  <c r="E875" i="36"/>
  <c r="D875" i="36"/>
  <c r="C875" i="36"/>
  <c r="B875" i="36"/>
  <c r="A875" i="36"/>
  <c r="L874" i="36"/>
  <c r="K874" i="36"/>
  <c r="J874" i="36"/>
  <c r="I874" i="36"/>
  <c r="H874" i="36"/>
  <c r="G874" i="36"/>
  <c r="F874" i="36"/>
  <c r="E874" i="36"/>
  <c r="D874" i="36"/>
  <c r="C874" i="36"/>
  <c r="B874" i="36"/>
  <c r="A874" i="36"/>
  <c r="L873" i="36"/>
  <c r="K873" i="36"/>
  <c r="J873" i="36"/>
  <c r="I873" i="36"/>
  <c r="H873" i="36"/>
  <c r="G873" i="36"/>
  <c r="F873" i="36"/>
  <c r="E873" i="36"/>
  <c r="D873" i="36"/>
  <c r="C873" i="36"/>
  <c r="B873" i="36"/>
  <c r="A873" i="36"/>
  <c r="L872" i="36"/>
  <c r="K872" i="36"/>
  <c r="J872" i="36"/>
  <c r="I872" i="36"/>
  <c r="H872" i="36"/>
  <c r="G872" i="36"/>
  <c r="F872" i="36"/>
  <c r="E872" i="36"/>
  <c r="D872" i="36"/>
  <c r="C872" i="36"/>
  <c r="B872" i="36"/>
  <c r="A872" i="36"/>
  <c r="L871" i="36"/>
  <c r="K871" i="36"/>
  <c r="J871" i="36"/>
  <c r="I871" i="36"/>
  <c r="H871" i="36"/>
  <c r="G871" i="36"/>
  <c r="F871" i="36"/>
  <c r="E871" i="36"/>
  <c r="D871" i="36"/>
  <c r="C871" i="36"/>
  <c r="B871" i="36"/>
  <c r="A871" i="36"/>
  <c r="L870" i="36"/>
  <c r="K870" i="36"/>
  <c r="J870" i="36"/>
  <c r="I870" i="36"/>
  <c r="H870" i="36"/>
  <c r="G870" i="36"/>
  <c r="F870" i="36"/>
  <c r="E870" i="36"/>
  <c r="D870" i="36"/>
  <c r="C870" i="36"/>
  <c r="B870" i="36"/>
  <c r="A870" i="36"/>
  <c r="L869" i="36"/>
  <c r="K869" i="36"/>
  <c r="J869" i="36"/>
  <c r="I869" i="36"/>
  <c r="H869" i="36"/>
  <c r="G869" i="36"/>
  <c r="F869" i="36"/>
  <c r="E869" i="36"/>
  <c r="D869" i="36"/>
  <c r="C869" i="36"/>
  <c r="B869" i="36"/>
  <c r="A869" i="36"/>
  <c r="L868" i="36"/>
  <c r="K868" i="36"/>
  <c r="J868" i="36"/>
  <c r="I868" i="36"/>
  <c r="H868" i="36"/>
  <c r="G868" i="36"/>
  <c r="F868" i="36"/>
  <c r="E868" i="36"/>
  <c r="D868" i="36"/>
  <c r="C868" i="36"/>
  <c r="B868" i="36"/>
  <c r="A868" i="36"/>
  <c r="L867" i="36"/>
  <c r="K867" i="36"/>
  <c r="J867" i="36"/>
  <c r="I867" i="36"/>
  <c r="H867" i="36"/>
  <c r="G867" i="36"/>
  <c r="F867" i="36"/>
  <c r="E867" i="36"/>
  <c r="D867" i="36"/>
  <c r="C867" i="36"/>
  <c r="B867" i="36"/>
  <c r="A867" i="36"/>
  <c r="L866" i="36"/>
  <c r="K866" i="36"/>
  <c r="J866" i="36"/>
  <c r="I866" i="36"/>
  <c r="H866" i="36"/>
  <c r="G866" i="36"/>
  <c r="F866" i="36"/>
  <c r="E866" i="36"/>
  <c r="D866" i="36"/>
  <c r="C866" i="36"/>
  <c r="B866" i="36"/>
  <c r="A866" i="36"/>
  <c r="L865" i="36"/>
  <c r="K865" i="36"/>
  <c r="J865" i="36"/>
  <c r="I865" i="36"/>
  <c r="H865" i="36"/>
  <c r="G865" i="36"/>
  <c r="F865" i="36"/>
  <c r="E865" i="36"/>
  <c r="D865" i="36"/>
  <c r="C865" i="36"/>
  <c r="B865" i="36"/>
  <c r="A865" i="36"/>
  <c r="L864" i="36"/>
  <c r="K864" i="36"/>
  <c r="J864" i="36"/>
  <c r="I864" i="36"/>
  <c r="H864" i="36"/>
  <c r="G864" i="36"/>
  <c r="F864" i="36"/>
  <c r="E864" i="36"/>
  <c r="D864" i="36"/>
  <c r="C864" i="36"/>
  <c r="B864" i="36"/>
  <c r="A864" i="36"/>
  <c r="L863" i="36"/>
  <c r="K863" i="36"/>
  <c r="J863" i="36"/>
  <c r="I863" i="36"/>
  <c r="H863" i="36"/>
  <c r="G863" i="36"/>
  <c r="F863" i="36"/>
  <c r="E863" i="36"/>
  <c r="D863" i="36"/>
  <c r="C863" i="36"/>
  <c r="B863" i="36"/>
  <c r="A863" i="36"/>
  <c r="L862" i="36"/>
  <c r="K862" i="36"/>
  <c r="J862" i="36"/>
  <c r="I862" i="36"/>
  <c r="H862" i="36"/>
  <c r="G862" i="36"/>
  <c r="F862" i="36"/>
  <c r="E862" i="36"/>
  <c r="D862" i="36"/>
  <c r="C862" i="36"/>
  <c r="B862" i="36"/>
  <c r="A862" i="36"/>
  <c r="L861" i="36"/>
  <c r="K861" i="36"/>
  <c r="J861" i="36"/>
  <c r="I861" i="36"/>
  <c r="H861" i="36"/>
  <c r="G861" i="36"/>
  <c r="F861" i="36"/>
  <c r="E861" i="36"/>
  <c r="D861" i="36"/>
  <c r="C861" i="36"/>
  <c r="B861" i="36"/>
  <c r="A861" i="36"/>
  <c r="L860" i="36"/>
  <c r="K860" i="36"/>
  <c r="J860" i="36"/>
  <c r="I860" i="36"/>
  <c r="H860" i="36"/>
  <c r="G860" i="36"/>
  <c r="F860" i="36"/>
  <c r="E860" i="36"/>
  <c r="D860" i="36"/>
  <c r="C860" i="36"/>
  <c r="B860" i="36"/>
  <c r="A860" i="36"/>
  <c r="L859" i="36"/>
  <c r="K859" i="36"/>
  <c r="J859" i="36"/>
  <c r="I859" i="36"/>
  <c r="H859" i="36"/>
  <c r="G859" i="36"/>
  <c r="F859" i="36"/>
  <c r="E859" i="36"/>
  <c r="D859" i="36"/>
  <c r="C859" i="36"/>
  <c r="B859" i="36"/>
  <c r="A859" i="36"/>
  <c r="L858" i="36"/>
  <c r="K858" i="36"/>
  <c r="J858" i="36"/>
  <c r="I858" i="36"/>
  <c r="H858" i="36"/>
  <c r="G858" i="36"/>
  <c r="F858" i="36"/>
  <c r="E858" i="36"/>
  <c r="D858" i="36"/>
  <c r="C858" i="36"/>
  <c r="B858" i="36"/>
  <c r="A858" i="36"/>
  <c r="L857" i="36"/>
  <c r="K857" i="36"/>
  <c r="J857" i="36"/>
  <c r="I857" i="36"/>
  <c r="H857" i="36"/>
  <c r="G857" i="36"/>
  <c r="F857" i="36"/>
  <c r="E857" i="36"/>
  <c r="D857" i="36"/>
  <c r="C857" i="36"/>
  <c r="B857" i="36"/>
  <c r="A857" i="36"/>
  <c r="L856" i="36"/>
  <c r="K856" i="36"/>
  <c r="J856" i="36"/>
  <c r="I856" i="36"/>
  <c r="H856" i="36"/>
  <c r="G856" i="36"/>
  <c r="F856" i="36"/>
  <c r="E856" i="36"/>
  <c r="D856" i="36"/>
  <c r="C856" i="36"/>
  <c r="B856" i="36"/>
  <c r="A856" i="36"/>
  <c r="L855" i="36"/>
  <c r="K855" i="36"/>
  <c r="J855" i="36"/>
  <c r="I855" i="36"/>
  <c r="H855" i="36"/>
  <c r="G855" i="36"/>
  <c r="F855" i="36"/>
  <c r="E855" i="36"/>
  <c r="D855" i="36"/>
  <c r="C855" i="36"/>
  <c r="B855" i="36"/>
  <c r="A855" i="36"/>
  <c r="L854" i="36"/>
  <c r="K854" i="36"/>
  <c r="J854" i="36"/>
  <c r="I854" i="36"/>
  <c r="H854" i="36"/>
  <c r="G854" i="36"/>
  <c r="F854" i="36"/>
  <c r="E854" i="36"/>
  <c r="D854" i="36"/>
  <c r="C854" i="36"/>
  <c r="B854" i="36"/>
  <c r="A854" i="36"/>
  <c r="L853" i="36"/>
  <c r="K853" i="36"/>
  <c r="J853" i="36"/>
  <c r="I853" i="36"/>
  <c r="H853" i="36"/>
  <c r="G853" i="36"/>
  <c r="F853" i="36"/>
  <c r="E853" i="36"/>
  <c r="D853" i="36"/>
  <c r="C853" i="36"/>
  <c r="B853" i="36"/>
  <c r="A853" i="36"/>
  <c r="L852" i="36"/>
  <c r="K852" i="36"/>
  <c r="J852" i="36"/>
  <c r="I852" i="36"/>
  <c r="H852" i="36"/>
  <c r="G852" i="36"/>
  <c r="F852" i="36"/>
  <c r="E852" i="36"/>
  <c r="D852" i="36"/>
  <c r="C852" i="36"/>
  <c r="B852" i="36"/>
  <c r="A852" i="36"/>
  <c r="L851" i="36"/>
  <c r="K851" i="36"/>
  <c r="J851" i="36"/>
  <c r="I851" i="36"/>
  <c r="H851" i="36"/>
  <c r="G851" i="36"/>
  <c r="F851" i="36"/>
  <c r="E851" i="36"/>
  <c r="D851" i="36"/>
  <c r="C851" i="36"/>
  <c r="B851" i="36"/>
  <c r="A851" i="36"/>
  <c r="L850" i="36"/>
  <c r="K850" i="36"/>
  <c r="J850" i="36"/>
  <c r="I850" i="36"/>
  <c r="H850" i="36"/>
  <c r="G850" i="36"/>
  <c r="F850" i="36"/>
  <c r="E850" i="36"/>
  <c r="D850" i="36"/>
  <c r="C850" i="36"/>
  <c r="B850" i="36"/>
  <c r="A850" i="36"/>
  <c r="L849" i="36"/>
  <c r="K849" i="36"/>
  <c r="J849" i="36"/>
  <c r="I849" i="36"/>
  <c r="H849" i="36"/>
  <c r="G849" i="36"/>
  <c r="F849" i="36"/>
  <c r="E849" i="36"/>
  <c r="D849" i="36"/>
  <c r="C849" i="36"/>
  <c r="B849" i="36"/>
  <c r="A849" i="36"/>
  <c r="L848" i="36"/>
  <c r="K848" i="36"/>
  <c r="J848" i="36"/>
  <c r="I848" i="36"/>
  <c r="H848" i="36"/>
  <c r="G848" i="36"/>
  <c r="F848" i="36"/>
  <c r="E848" i="36"/>
  <c r="D848" i="36"/>
  <c r="C848" i="36"/>
  <c r="B848" i="36"/>
  <c r="A848" i="36"/>
  <c r="L847" i="36"/>
  <c r="K847" i="36"/>
  <c r="J847" i="36"/>
  <c r="I847" i="36"/>
  <c r="H847" i="36"/>
  <c r="G847" i="36"/>
  <c r="F847" i="36"/>
  <c r="E847" i="36"/>
  <c r="D847" i="36"/>
  <c r="C847" i="36"/>
  <c r="B847" i="36"/>
  <c r="A847" i="36"/>
  <c r="L846" i="36"/>
  <c r="K846" i="36"/>
  <c r="J846" i="36"/>
  <c r="I846" i="36"/>
  <c r="H846" i="36"/>
  <c r="G846" i="36"/>
  <c r="F846" i="36"/>
  <c r="E846" i="36"/>
  <c r="D846" i="36"/>
  <c r="C846" i="36"/>
  <c r="B846" i="36"/>
  <c r="A846" i="36"/>
  <c r="L845" i="36"/>
  <c r="K845" i="36"/>
  <c r="J845" i="36"/>
  <c r="I845" i="36"/>
  <c r="H845" i="36"/>
  <c r="G845" i="36"/>
  <c r="F845" i="36"/>
  <c r="E845" i="36"/>
  <c r="D845" i="36"/>
  <c r="C845" i="36"/>
  <c r="B845" i="36"/>
  <c r="A845" i="36"/>
  <c r="L844" i="36"/>
  <c r="K844" i="36"/>
  <c r="J844" i="36"/>
  <c r="I844" i="36"/>
  <c r="H844" i="36"/>
  <c r="G844" i="36"/>
  <c r="F844" i="36"/>
  <c r="E844" i="36"/>
  <c r="D844" i="36"/>
  <c r="C844" i="36"/>
  <c r="B844" i="36"/>
  <c r="A844" i="36"/>
  <c r="L843" i="36"/>
  <c r="K843" i="36"/>
  <c r="J843" i="36"/>
  <c r="I843" i="36"/>
  <c r="H843" i="36"/>
  <c r="G843" i="36"/>
  <c r="F843" i="36"/>
  <c r="E843" i="36"/>
  <c r="D843" i="36"/>
  <c r="C843" i="36"/>
  <c r="B843" i="36"/>
  <c r="A843" i="36"/>
  <c r="L842" i="36"/>
  <c r="K842" i="36"/>
  <c r="J842" i="36"/>
  <c r="I842" i="36"/>
  <c r="H842" i="36"/>
  <c r="G842" i="36"/>
  <c r="F842" i="36"/>
  <c r="E842" i="36"/>
  <c r="D842" i="36"/>
  <c r="C842" i="36"/>
  <c r="B842" i="36"/>
  <c r="A842" i="36"/>
  <c r="L841" i="36"/>
  <c r="K841" i="36"/>
  <c r="J841" i="36"/>
  <c r="I841" i="36"/>
  <c r="H841" i="36"/>
  <c r="G841" i="36"/>
  <c r="F841" i="36"/>
  <c r="E841" i="36"/>
  <c r="D841" i="36"/>
  <c r="C841" i="36"/>
  <c r="B841" i="36"/>
  <c r="A841" i="36"/>
  <c r="L840" i="36"/>
  <c r="K840" i="36"/>
  <c r="J840" i="36"/>
  <c r="I840" i="36"/>
  <c r="H840" i="36"/>
  <c r="G840" i="36"/>
  <c r="F840" i="36"/>
  <c r="E840" i="36"/>
  <c r="D840" i="36"/>
  <c r="C840" i="36"/>
  <c r="B840" i="36"/>
  <c r="A840" i="36"/>
  <c r="L839" i="36"/>
  <c r="K839" i="36"/>
  <c r="J839" i="36"/>
  <c r="I839" i="36"/>
  <c r="H839" i="36"/>
  <c r="G839" i="36"/>
  <c r="F839" i="36"/>
  <c r="E839" i="36"/>
  <c r="D839" i="36"/>
  <c r="C839" i="36"/>
  <c r="B839" i="36"/>
  <c r="A839" i="36"/>
  <c r="L838" i="36"/>
  <c r="K838" i="36"/>
  <c r="J838" i="36"/>
  <c r="I838" i="36"/>
  <c r="H838" i="36"/>
  <c r="G838" i="36"/>
  <c r="F838" i="36"/>
  <c r="E838" i="36"/>
  <c r="D838" i="36"/>
  <c r="C838" i="36"/>
  <c r="B838" i="36"/>
  <c r="A838" i="36"/>
  <c r="L837" i="36"/>
  <c r="K837" i="36"/>
  <c r="J837" i="36"/>
  <c r="I837" i="36"/>
  <c r="H837" i="36"/>
  <c r="G837" i="36"/>
  <c r="F837" i="36"/>
  <c r="E837" i="36"/>
  <c r="D837" i="36"/>
  <c r="C837" i="36"/>
  <c r="B837" i="36"/>
  <c r="A837" i="36"/>
  <c r="L836" i="36"/>
  <c r="K836" i="36"/>
  <c r="J836" i="36"/>
  <c r="I836" i="36"/>
  <c r="H836" i="36"/>
  <c r="G836" i="36"/>
  <c r="F836" i="36"/>
  <c r="E836" i="36"/>
  <c r="D836" i="36"/>
  <c r="C836" i="36"/>
  <c r="B836" i="36"/>
  <c r="A836" i="36"/>
  <c r="L835" i="36"/>
  <c r="K835" i="36"/>
  <c r="J835" i="36"/>
  <c r="I835" i="36"/>
  <c r="H835" i="36"/>
  <c r="G835" i="36"/>
  <c r="F835" i="36"/>
  <c r="E835" i="36"/>
  <c r="D835" i="36"/>
  <c r="C835" i="36"/>
  <c r="B835" i="36"/>
  <c r="A835" i="36"/>
  <c r="L834" i="36"/>
  <c r="K834" i="36"/>
  <c r="J834" i="36"/>
  <c r="I834" i="36"/>
  <c r="H834" i="36"/>
  <c r="G834" i="36"/>
  <c r="F834" i="36"/>
  <c r="E834" i="36"/>
  <c r="D834" i="36"/>
  <c r="C834" i="36"/>
  <c r="B834" i="36"/>
  <c r="A834" i="36"/>
  <c r="L833" i="36"/>
  <c r="K833" i="36"/>
  <c r="J833" i="36"/>
  <c r="I833" i="36"/>
  <c r="H833" i="36"/>
  <c r="G833" i="36"/>
  <c r="F833" i="36"/>
  <c r="E833" i="36"/>
  <c r="D833" i="36"/>
  <c r="C833" i="36"/>
  <c r="B833" i="36"/>
  <c r="A833" i="36"/>
  <c r="L832" i="36"/>
  <c r="K832" i="36"/>
  <c r="J832" i="36"/>
  <c r="I832" i="36"/>
  <c r="H832" i="36"/>
  <c r="G832" i="36"/>
  <c r="F832" i="36"/>
  <c r="E832" i="36"/>
  <c r="D832" i="36"/>
  <c r="C832" i="36"/>
  <c r="B832" i="36"/>
  <c r="A832" i="36"/>
  <c r="L831" i="36"/>
  <c r="K831" i="36"/>
  <c r="J831" i="36"/>
  <c r="I831" i="36"/>
  <c r="H831" i="36"/>
  <c r="G831" i="36"/>
  <c r="F831" i="36"/>
  <c r="E831" i="36"/>
  <c r="D831" i="36"/>
  <c r="C831" i="36"/>
  <c r="B831" i="36"/>
  <c r="A831" i="36"/>
  <c r="L830" i="36"/>
  <c r="K830" i="36"/>
  <c r="J830" i="36"/>
  <c r="I830" i="36"/>
  <c r="H830" i="36"/>
  <c r="G830" i="36"/>
  <c r="F830" i="36"/>
  <c r="E830" i="36"/>
  <c r="D830" i="36"/>
  <c r="C830" i="36"/>
  <c r="B830" i="36"/>
  <c r="A830" i="36"/>
  <c r="L829" i="36"/>
  <c r="K829" i="36"/>
  <c r="J829" i="36"/>
  <c r="I829" i="36"/>
  <c r="H829" i="36"/>
  <c r="G829" i="36"/>
  <c r="F829" i="36"/>
  <c r="E829" i="36"/>
  <c r="D829" i="36"/>
  <c r="C829" i="36"/>
  <c r="B829" i="36"/>
  <c r="A829" i="36"/>
  <c r="L828" i="36"/>
  <c r="K828" i="36"/>
  <c r="J828" i="36"/>
  <c r="I828" i="36"/>
  <c r="H828" i="36"/>
  <c r="G828" i="36"/>
  <c r="F828" i="36"/>
  <c r="E828" i="36"/>
  <c r="D828" i="36"/>
  <c r="C828" i="36"/>
  <c r="B828" i="36"/>
  <c r="A828" i="36"/>
  <c r="L822" i="36"/>
  <c r="K822" i="36"/>
  <c r="J822" i="36"/>
  <c r="I822" i="36"/>
  <c r="H822" i="36"/>
  <c r="G822" i="36"/>
  <c r="F822" i="36"/>
  <c r="E822" i="36"/>
  <c r="D822" i="36"/>
  <c r="C822" i="36"/>
  <c r="B822" i="36"/>
  <c r="A822" i="36"/>
  <c r="L821" i="36"/>
  <c r="K821" i="36"/>
  <c r="J821" i="36"/>
  <c r="I821" i="36"/>
  <c r="H821" i="36"/>
  <c r="G821" i="36"/>
  <c r="F821" i="36"/>
  <c r="E821" i="36"/>
  <c r="D821" i="36"/>
  <c r="C821" i="36"/>
  <c r="B821" i="36"/>
  <c r="A821" i="36"/>
  <c r="L820" i="36"/>
  <c r="K820" i="36"/>
  <c r="J820" i="36"/>
  <c r="I820" i="36"/>
  <c r="H820" i="36"/>
  <c r="G820" i="36"/>
  <c r="F820" i="36"/>
  <c r="E820" i="36"/>
  <c r="D820" i="36"/>
  <c r="C820" i="36"/>
  <c r="B820" i="36"/>
  <c r="A820" i="36"/>
  <c r="L819" i="36"/>
  <c r="K819" i="36"/>
  <c r="J819" i="36"/>
  <c r="I819" i="36"/>
  <c r="H819" i="36"/>
  <c r="G819" i="36"/>
  <c r="F819" i="36"/>
  <c r="E819" i="36"/>
  <c r="D819" i="36"/>
  <c r="C819" i="36"/>
  <c r="B819" i="36"/>
  <c r="A819" i="36"/>
  <c r="L818" i="36"/>
  <c r="K818" i="36"/>
  <c r="J818" i="36"/>
  <c r="I818" i="36"/>
  <c r="H818" i="36"/>
  <c r="G818" i="36"/>
  <c r="F818" i="36"/>
  <c r="E818" i="36"/>
  <c r="D818" i="36"/>
  <c r="C818" i="36"/>
  <c r="B818" i="36"/>
  <c r="A818" i="36"/>
  <c r="L817" i="36"/>
  <c r="K817" i="36"/>
  <c r="J817" i="36"/>
  <c r="I817" i="36"/>
  <c r="H817" i="36"/>
  <c r="G817" i="36"/>
  <c r="F817" i="36"/>
  <c r="E817" i="36"/>
  <c r="D817" i="36"/>
  <c r="C817" i="36"/>
  <c r="B817" i="36"/>
  <c r="A817" i="36"/>
  <c r="L816" i="36"/>
  <c r="K816" i="36"/>
  <c r="J816" i="36"/>
  <c r="I816" i="36"/>
  <c r="H816" i="36"/>
  <c r="G816" i="36"/>
  <c r="F816" i="36"/>
  <c r="E816" i="36"/>
  <c r="D816" i="36"/>
  <c r="C816" i="36"/>
  <c r="B816" i="36"/>
  <c r="A816" i="36"/>
  <c r="L815" i="36"/>
  <c r="K815" i="36"/>
  <c r="J815" i="36"/>
  <c r="I815" i="36"/>
  <c r="H815" i="36"/>
  <c r="G815" i="36"/>
  <c r="F815" i="36"/>
  <c r="E815" i="36"/>
  <c r="D815" i="36"/>
  <c r="C815" i="36"/>
  <c r="B815" i="36"/>
  <c r="A815" i="36"/>
  <c r="L814" i="36"/>
  <c r="K814" i="36"/>
  <c r="J814" i="36"/>
  <c r="I814" i="36"/>
  <c r="H814" i="36"/>
  <c r="G814" i="36"/>
  <c r="F814" i="36"/>
  <c r="E814" i="36"/>
  <c r="D814" i="36"/>
  <c r="C814" i="36"/>
  <c r="B814" i="36"/>
  <c r="A814" i="36"/>
  <c r="L813" i="36"/>
  <c r="K813" i="36"/>
  <c r="J813" i="36"/>
  <c r="I813" i="36"/>
  <c r="H813" i="36"/>
  <c r="G813" i="36"/>
  <c r="F813" i="36"/>
  <c r="E813" i="36"/>
  <c r="D813" i="36"/>
  <c r="C813" i="36"/>
  <c r="B813" i="36"/>
  <c r="A813" i="36"/>
  <c r="L812" i="36"/>
  <c r="K812" i="36"/>
  <c r="J812" i="36"/>
  <c r="I812" i="36"/>
  <c r="H812" i="36"/>
  <c r="G812" i="36"/>
  <c r="F812" i="36"/>
  <c r="E812" i="36"/>
  <c r="D812" i="36"/>
  <c r="C812" i="36"/>
  <c r="B812" i="36"/>
  <c r="A812" i="36"/>
  <c r="L811" i="36"/>
  <c r="K811" i="36"/>
  <c r="J811" i="36"/>
  <c r="I811" i="36"/>
  <c r="H811" i="36"/>
  <c r="G811" i="36"/>
  <c r="F811" i="36"/>
  <c r="E811" i="36"/>
  <c r="D811" i="36"/>
  <c r="C811" i="36"/>
  <c r="B811" i="36"/>
  <c r="A811" i="36"/>
  <c r="L810" i="36"/>
  <c r="K810" i="36"/>
  <c r="J810" i="36"/>
  <c r="I810" i="36"/>
  <c r="H810" i="36"/>
  <c r="G810" i="36"/>
  <c r="F810" i="36"/>
  <c r="E810" i="36"/>
  <c r="D810" i="36"/>
  <c r="C810" i="36"/>
  <c r="B810" i="36"/>
  <c r="A810" i="36"/>
  <c r="L809" i="36"/>
  <c r="K809" i="36"/>
  <c r="J809" i="36"/>
  <c r="I809" i="36"/>
  <c r="H809" i="36"/>
  <c r="G809" i="36"/>
  <c r="F809" i="36"/>
  <c r="E809" i="36"/>
  <c r="D809" i="36"/>
  <c r="C809" i="36"/>
  <c r="B809" i="36"/>
  <c r="A809" i="36"/>
  <c r="L808" i="36"/>
  <c r="K808" i="36"/>
  <c r="J808" i="36"/>
  <c r="I808" i="36"/>
  <c r="H808" i="36"/>
  <c r="G808" i="36"/>
  <c r="F808" i="36"/>
  <c r="E808" i="36"/>
  <c r="D808" i="36"/>
  <c r="C808" i="36"/>
  <c r="B808" i="36"/>
  <c r="A808" i="36"/>
  <c r="L807" i="36"/>
  <c r="K807" i="36"/>
  <c r="J807" i="36"/>
  <c r="I807" i="36"/>
  <c r="H807" i="36"/>
  <c r="G807" i="36"/>
  <c r="F807" i="36"/>
  <c r="E807" i="36"/>
  <c r="D807" i="36"/>
  <c r="C807" i="36"/>
  <c r="B807" i="36"/>
  <c r="A807" i="36"/>
  <c r="L806" i="36"/>
  <c r="K806" i="36"/>
  <c r="J806" i="36"/>
  <c r="I806" i="36"/>
  <c r="H806" i="36"/>
  <c r="G806" i="36"/>
  <c r="F806" i="36"/>
  <c r="E806" i="36"/>
  <c r="D806" i="36"/>
  <c r="C806" i="36"/>
  <c r="B806" i="36"/>
  <c r="A806" i="36"/>
  <c r="L805" i="36"/>
  <c r="K805" i="36"/>
  <c r="J805" i="36"/>
  <c r="I805" i="36"/>
  <c r="H805" i="36"/>
  <c r="G805" i="36"/>
  <c r="F805" i="36"/>
  <c r="E805" i="36"/>
  <c r="D805" i="36"/>
  <c r="C805" i="36"/>
  <c r="B805" i="36"/>
  <c r="A805" i="36"/>
  <c r="L804" i="36"/>
  <c r="K804" i="36"/>
  <c r="J804" i="36"/>
  <c r="I804" i="36"/>
  <c r="H804" i="36"/>
  <c r="G804" i="36"/>
  <c r="F804" i="36"/>
  <c r="E804" i="36"/>
  <c r="D804" i="36"/>
  <c r="C804" i="36"/>
  <c r="B804" i="36"/>
  <c r="A804" i="36"/>
  <c r="L803" i="36"/>
  <c r="K803" i="36"/>
  <c r="J803" i="36"/>
  <c r="I803" i="36"/>
  <c r="H803" i="36"/>
  <c r="G803" i="36"/>
  <c r="F803" i="36"/>
  <c r="E803" i="36"/>
  <c r="D803" i="36"/>
  <c r="C803" i="36"/>
  <c r="B803" i="36"/>
  <c r="A803" i="36"/>
  <c r="L802" i="36"/>
  <c r="K802" i="36"/>
  <c r="J802" i="36"/>
  <c r="I802" i="36"/>
  <c r="H802" i="36"/>
  <c r="G802" i="36"/>
  <c r="F802" i="36"/>
  <c r="E802" i="36"/>
  <c r="D802" i="36"/>
  <c r="C802" i="36"/>
  <c r="B802" i="36"/>
  <c r="A802" i="36"/>
  <c r="L801" i="36"/>
  <c r="K801" i="36"/>
  <c r="J801" i="36"/>
  <c r="I801" i="36"/>
  <c r="H801" i="36"/>
  <c r="G801" i="36"/>
  <c r="F801" i="36"/>
  <c r="E801" i="36"/>
  <c r="D801" i="36"/>
  <c r="C801" i="36"/>
  <c r="B801" i="36"/>
  <c r="A801" i="36"/>
  <c r="L800" i="36"/>
  <c r="K800" i="36"/>
  <c r="J800" i="36"/>
  <c r="I800" i="36"/>
  <c r="H800" i="36"/>
  <c r="G800" i="36"/>
  <c r="F800" i="36"/>
  <c r="E800" i="36"/>
  <c r="D800" i="36"/>
  <c r="C800" i="36"/>
  <c r="B800" i="36"/>
  <c r="A800" i="36"/>
  <c r="L799" i="36"/>
  <c r="K799" i="36"/>
  <c r="J799" i="36"/>
  <c r="I799" i="36"/>
  <c r="H799" i="36"/>
  <c r="G799" i="36"/>
  <c r="F799" i="36"/>
  <c r="E799" i="36"/>
  <c r="D799" i="36"/>
  <c r="C799" i="36"/>
  <c r="B799" i="36"/>
  <c r="A799" i="36"/>
  <c r="L798" i="36"/>
  <c r="K798" i="36"/>
  <c r="J798" i="36"/>
  <c r="I798" i="36"/>
  <c r="H798" i="36"/>
  <c r="G798" i="36"/>
  <c r="F798" i="36"/>
  <c r="E798" i="36"/>
  <c r="D798" i="36"/>
  <c r="C798" i="36"/>
  <c r="B798" i="36"/>
  <c r="A798" i="36"/>
  <c r="L797" i="36"/>
  <c r="K797" i="36"/>
  <c r="J797" i="36"/>
  <c r="I797" i="36"/>
  <c r="H797" i="36"/>
  <c r="G797" i="36"/>
  <c r="F797" i="36"/>
  <c r="E797" i="36"/>
  <c r="D797" i="36"/>
  <c r="C797" i="36"/>
  <c r="B797" i="36"/>
  <c r="A797" i="36"/>
  <c r="L796" i="36"/>
  <c r="K796" i="36"/>
  <c r="J796" i="36"/>
  <c r="I796" i="36"/>
  <c r="H796" i="36"/>
  <c r="G796" i="36"/>
  <c r="F796" i="36"/>
  <c r="E796" i="36"/>
  <c r="D796" i="36"/>
  <c r="C796" i="36"/>
  <c r="B796" i="36"/>
  <c r="A796" i="36"/>
  <c r="L795" i="36"/>
  <c r="K795" i="36"/>
  <c r="J795" i="36"/>
  <c r="I795" i="36"/>
  <c r="H795" i="36"/>
  <c r="G795" i="36"/>
  <c r="F795" i="36"/>
  <c r="E795" i="36"/>
  <c r="D795" i="36"/>
  <c r="C795" i="36"/>
  <c r="B795" i="36"/>
  <c r="A795" i="36"/>
  <c r="L794" i="36"/>
  <c r="K794" i="36"/>
  <c r="J794" i="36"/>
  <c r="I794" i="36"/>
  <c r="H794" i="36"/>
  <c r="G794" i="36"/>
  <c r="F794" i="36"/>
  <c r="E794" i="36"/>
  <c r="D794" i="36"/>
  <c r="C794" i="36"/>
  <c r="B794" i="36"/>
  <c r="A794" i="36"/>
  <c r="L793" i="36"/>
  <c r="K793" i="36"/>
  <c r="J793" i="36"/>
  <c r="I793" i="36"/>
  <c r="H793" i="36"/>
  <c r="G793" i="36"/>
  <c r="F793" i="36"/>
  <c r="E793" i="36"/>
  <c r="D793" i="36"/>
  <c r="C793" i="36"/>
  <c r="B793" i="36"/>
  <c r="A793" i="36"/>
  <c r="L792" i="36"/>
  <c r="K792" i="36"/>
  <c r="J792" i="36"/>
  <c r="I792" i="36"/>
  <c r="H792" i="36"/>
  <c r="G792" i="36"/>
  <c r="F792" i="36"/>
  <c r="E792" i="36"/>
  <c r="D792" i="36"/>
  <c r="C792" i="36"/>
  <c r="B792" i="36"/>
  <c r="A792" i="36"/>
  <c r="L791" i="36"/>
  <c r="K791" i="36"/>
  <c r="J791" i="36"/>
  <c r="I791" i="36"/>
  <c r="H791" i="36"/>
  <c r="G791" i="36"/>
  <c r="F791" i="36"/>
  <c r="E791" i="36"/>
  <c r="D791" i="36"/>
  <c r="C791" i="36"/>
  <c r="B791" i="36"/>
  <c r="A791" i="36"/>
  <c r="L790" i="36"/>
  <c r="K790" i="36"/>
  <c r="J790" i="36"/>
  <c r="I790" i="36"/>
  <c r="H790" i="36"/>
  <c r="G790" i="36"/>
  <c r="F790" i="36"/>
  <c r="E790" i="36"/>
  <c r="D790" i="36"/>
  <c r="C790" i="36"/>
  <c r="B790" i="36"/>
  <c r="A790" i="36"/>
  <c r="L789" i="36"/>
  <c r="K789" i="36"/>
  <c r="J789" i="36"/>
  <c r="I789" i="36"/>
  <c r="H789" i="36"/>
  <c r="G789" i="36"/>
  <c r="F789" i="36"/>
  <c r="E789" i="36"/>
  <c r="D789" i="36"/>
  <c r="C789" i="36"/>
  <c r="B789" i="36"/>
  <c r="A789" i="36"/>
  <c r="L788" i="36"/>
  <c r="K788" i="36"/>
  <c r="J788" i="36"/>
  <c r="I788" i="36"/>
  <c r="H788" i="36"/>
  <c r="G788" i="36"/>
  <c r="F788" i="36"/>
  <c r="E788" i="36"/>
  <c r="D788" i="36"/>
  <c r="C788" i="36"/>
  <c r="B788" i="36"/>
  <c r="A788" i="36"/>
  <c r="L787" i="36"/>
  <c r="K787" i="36"/>
  <c r="J787" i="36"/>
  <c r="I787" i="36"/>
  <c r="H787" i="36"/>
  <c r="G787" i="36"/>
  <c r="F787" i="36"/>
  <c r="E787" i="36"/>
  <c r="D787" i="36"/>
  <c r="C787" i="36"/>
  <c r="B787" i="36"/>
  <c r="A787" i="36"/>
  <c r="L786" i="36"/>
  <c r="K786" i="36"/>
  <c r="J786" i="36"/>
  <c r="I786" i="36"/>
  <c r="H786" i="36"/>
  <c r="G786" i="36"/>
  <c r="F786" i="36"/>
  <c r="E786" i="36"/>
  <c r="D786" i="36"/>
  <c r="C786" i="36"/>
  <c r="B786" i="36"/>
  <c r="A786" i="36"/>
  <c r="L785" i="36"/>
  <c r="K785" i="36"/>
  <c r="J785" i="36"/>
  <c r="I785" i="36"/>
  <c r="H785" i="36"/>
  <c r="G785" i="36"/>
  <c r="F785" i="36"/>
  <c r="E785" i="36"/>
  <c r="D785" i="36"/>
  <c r="C785" i="36"/>
  <c r="B785" i="36"/>
  <c r="A785" i="36"/>
  <c r="L784" i="36"/>
  <c r="K784" i="36"/>
  <c r="J784" i="36"/>
  <c r="I784" i="36"/>
  <c r="H784" i="36"/>
  <c r="G784" i="36"/>
  <c r="F784" i="36"/>
  <c r="E784" i="36"/>
  <c r="D784" i="36"/>
  <c r="C784" i="36"/>
  <c r="B784" i="36"/>
  <c r="A784" i="36"/>
  <c r="L783" i="36"/>
  <c r="K783" i="36"/>
  <c r="J783" i="36"/>
  <c r="I783" i="36"/>
  <c r="H783" i="36"/>
  <c r="G783" i="36"/>
  <c r="F783" i="36"/>
  <c r="E783" i="36"/>
  <c r="D783" i="36"/>
  <c r="C783" i="36"/>
  <c r="B783" i="36"/>
  <c r="A783" i="36"/>
  <c r="L782" i="36"/>
  <c r="K782" i="36"/>
  <c r="J782" i="36"/>
  <c r="I782" i="36"/>
  <c r="H782" i="36"/>
  <c r="G782" i="36"/>
  <c r="F782" i="36"/>
  <c r="E782" i="36"/>
  <c r="D782" i="36"/>
  <c r="C782" i="36"/>
  <c r="B782" i="36"/>
  <c r="A782" i="36"/>
  <c r="L781" i="36"/>
  <c r="K781" i="36"/>
  <c r="J781" i="36"/>
  <c r="I781" i="36"/>
  <c r="H781" i="36"/>
  <c r="G781" i="36"/>
  <c r="F781" i="36"/>
  <c r="E781" i="36"/>
  <c r="D781" i="36"/>
  <c r="C781" i="36"/>
  <c r="B781" i="36"/>
  <c r="A781" i="36"/>
  <c r="L780" i="36"/>
  <c r="K780" i="36"/>
  <c r="J780" i="36"/>
  <c r="I780" i="36"/>
  <c r="H780" i="36"/>
  <c r="G780" i="36"/>
  <c r="F780" i="36"/>
  <c r="E780" i="36"/>
  <c r="D780" i="36"/>
  <c r="C780" i="36"/>
  <c r="B780" i="36"/>
  <c r="A780" i="36"/>
  <c r="L779" i="36"/>
  <c r="K779" i="36"/>
  <c r="J779" i="36"/>
  <c r="I779" i="36"/>
  <c r="H779" i="36"/>
  <c r="G779" i="36"/>
  <c r="F779" i="36"/>
  <c r="E779" i="36"/>
  <c r="D779" i="36"/>
  <c r="C779" i="36"/>
  <c r="B779" i="36"/>
  <c r="A779" i="36"/>
  <c r="L778" i="36"/>
  <c r="K778" i="36"/>
  <c r="J778" i="36"/>
  <c r="I778" i="36"/>
  <c r="H778" i="36"/>
  <c r="G778" i="36"/>
  <c r="F778" i="36"/>
  <c r="E778" i="36"/>
  <c r="D778" i="36"/>
  <c r="C778" i="36"/>
  <c r="B778" i="36"/>
  <c r="A778" i="36"/>
  <c r="L777" i="36"/>
  <c r="K777" i="36"/>
  <c r="J777" i="36"/>
  <c r="I777" i="36"/>
  <c r="H777" i="36"/>
  <c r="G777" i="36"/>
  <c r="F777" i="36"/>
  <c r="E777" i="36"/>
  <c r="D777" i="36"/>
  <c r="C777" i="36"/>
  <c r="B777" i="36"/>
  <c r="A777" i="36"/>
  <c r="L776" i="36"/>
  <c r="K776" i="36"/>
  <c r="J776" i="36"/>
  <c r="I776" i="36"/>
  <c r="H776" i="36"/>
  <c r="G776" i="36"/>
  <c r="F776" i="36"/>
  <c r="E776" i="36"/>
  <c r="D776" i="36"/>
  <c r="C776" i="36"/>
  <c r="B776" i="36"/>
  <c r="A776" i="36"/>
  <c r="L775" i="36"/>
  <c r="K775" i="36"/>
  <c r="J775" i="36"/>
  <c r="I775" i="36"/>
  <c r="H775" i="36"/>
  <c r="G775" i="36"/>
  <c r="F775" i="36"/>
  <c r="E775" i="36"/>
  <c r="D775" i="36"/>
  <c r="C775" i="36"/>
  <c r="B775" i="36"/>
  <c r="A775" i="36"/>
  <c r="L774" i="36"/>
  <c r="K774" i="36"/>
  <c r="J774" i="36"/>
  <c r="I774" i="36"/>
  <c r="H774" i="36"/>
  <c r="G774" i="36"/>
  <c r="F774" i="36"/>
  <c r="E774" i="36"/>
  <c r="D774" i="36"/>
  <c r="C774" i="36"/>
  <c r="B774" i="36"/>
  <c r="A774" i="36"/>
  <c r="L773" i="36"/>
  <c r="K773" i="36"/>
  <c r="J773" i="36"/>
  <c r="I773" i="36"/>
  <c r="H773" i="36"/>
  <c r="G773" i="36"/>
  <c r="F773" i="36"/>
  <c r="E773" i="36"/>
  <c r="D773" i="36"/>
  <c r="C773" i="36"/>
  <c r="B773" i="36"/>
  <c r="A773" i="36"/>
  <c r="L772" i="36"/>
  <c r="K772" i="36"/>
  <c r="J772" i="36"/>
  <c r="I772" i="36"/>
  <c r="H772" i="36"/>
  <c r="G772" i="36"/>
  <c r="F772" i="36"/>
  <c r="E772" i="36"/>
  <c r="D772" i="36"/>
  <c r="C772" i="36"/>
  <c r="B772" i="36"/>
  <c r="A772" i="36"/>
  <c r="L771" i="36"/>
  <c r="K771" i="36"/>
  <c r="J771" i="36"/>
  <c r="I771" i="36"/>
  <c r="H771" i="36"/>
  <c r="G771" i="36"/>
  <c r="F771" i="36"/>
  <c r="E771" i="36"/>
  <c r="D771" i="36"/>
  <c r="C771" i="36"/>
  <c r="B771" i="36"/>
  <c r="A771" i="36"/>
  <c r="L770" i="36"/>
  <c r="K770" i="36"/>
  <c r="J770" i="36"/>
  <c r="I770" i="36"/>
  <c r="H770" i="36"/>
  <c r="G770" i="36"/>
  <c r="F770" i="36"/>
  <c r="E770" i="36"/>
  <c r="D770" i="36"/>
  <c r="C770" i="36"/>
  <c r="B770" i="36"/>
  <c r="A770" i="36"/>
  <c r="L769" i="36"/>
  <c r="K769" i="36"/>
  <c r="J769" i="36"/>
  <c r="I769" i="36"/>
  <c r="H769" i="36"/>
  <c r="G769" i="36"/>
  <c r="F769" i="36"/>
  <c r="E769" i="36"/>
  <c r="D769" i="36"/>
  <c r="C769" i="36"/>
  <c r="B769" i="36"/>
  <c r="A769" i="36"/>
  <c r="L768" i="36"/>
  <c r="K768" i="36"/>
  <c r="J768" i="36"/>
  <c r="I768" i="36"/>
  <c r="H768" i="36"/>
  <c r="G768" i="36"/>
  <c r="F768" i="36"/>
  <c r="E768" i="36"/>
  <c r="D768" i="36"/>
  <c r="C768" i="36"/>
  <c r="B768" i="36"/>
  <c r="A768" i="36"/>
  <c r="L767" i="36"/>
  <c r="K767" i="36"/>
  <c r="J767" i="36"/>
  <c r="I767" i="36"/>
  <c r="H767" i="36"/>
  <c r="G767" i="36"/>
  <c r="F767" i="36"/>
  <c r="E767" i="36"/>
  <c r="D767" i="36"/>
  <c r="C767" i="36"/>
  <c r="B767" i="36"/>
  <c r="A767" i="36"/>
  <c r="L766" i="36"/>
  <c r="K766" i="36"/>
  <c r="J766" i="36"/>
  <c r="I766" i="36"/>
  <c r="H766" i="36"/>
  <c r="G766" i="36"/>
  <c r="F766" i="36"/>
  <c r="E766" i="36"/>
  <c r="D766" i="36"/>
  <c r="C766" i="36"/>
  <c r="B766" i="36"/>
  <c r="A766" i="36"/>
  <c r="L765" i="36"/>
  <c r="K765" i="36"/>
  <c r="J765" i="36"/>
  <c r="I765" i="36"/>
  <c r="H765" i="36"/>
  <c r="G765" i="36"/>
  <c r="F765" i="36"/>
  <c r="E765" i="36"/>
  <c r="D765" i="36"/>
  <c r="C765" i="36"/>
  <c r="B765" i="36"/>
  <c r="A765" i="36"/>
  <c r="L764" i="36"/>
  <c r="K764" i="36"/>
  <c r="J764" i="36"/>
  <c r="I764" i="36"/>
  <c r="H764" i="36"/>
  <c r="G764" i="36"/>
  <c r="F764" i="36"/>
  <c r="E764" i="36"/>
  <c r="D764" i="36"/>
  <c r="C764" i="36"/>
  <c r="B764" i="36"/>
  <c r="A764" i="36"/>
  <c r="L763" i="36"/>
  <c r="K763" i="36"/>
  <c r="J763" i="36"/>
  <c r="I763" i="36"/>
  <c r="H763" i="36"/>
  <c r="G763" i="36"/>
  <c r="F763" i="36"/>
  <c r="E763" i="36"/>
  <c r="D763" i="36"/>
  <c r="C763" i="36"/>
  <c r="B763" i="36"/>
  <c r="A763" i="36"/>
  <c r="L762" i="36"/>
  <c r="K762" i="36"/>
  <c r="J762" i="36"/>
  <c r="I762" i="36"/>
  <c r="H762" i="36"/>
  <c r="G762" i="36"/>
  <c r="F762" i="36"/>
  <c r="E762" i="36"/>
  <c r="D762" i="36"/>
  <c r="C762" i="36"/>
  <c r="B762" i="36"/>
  <c r="A762" i="36"/>
  <c r="L761" i="36"/>
  <c r="K761" i="36"/>
  <c r="J761" i="36"/>
  <c r="I761" i="36"/>
  <c r="H761" i="36"/>
  <c r="G761" i="36"/>
  <c r="F761" i="36"/>
  <c r="E761" i="36"/>
  <c r="D761" i="36"/>
  <c r="C761" i="36"/>
  <c r="B761" i="36"/>
  <c r="A761" i="36"/>
  <c r="L760" i="36"/>
  <c r="K760" i="36"/>
  <c r="J760" i="36"/>
  <c r="I760" i="36"/>
  <c r="H760" i="36"/>
  <c r="G760" i="36"/>
  <c r="F760" i="36"/>
  <c r="E760" i="36"/>
  <c r="D760" i="36"/>
  <c r="C760" i="36"/>
  <c r="B760" i="36"/>
  <c r="A760" i="36"/>
  <c r="L759" i="36"/>
  <c r="K759" i="36"/>
  <c r="J759" i="36"/>
  <c r="I759" i="36"/>
  <c r="H759" i="36"/>
  <c r="G759" i="36"/>
  <c r="F759" i="36"/>
  <c r="E759" i="36"/>
  <c r="D759" i="36"/>
  <c r="C759" i="36"/>
  <c r="B759" i="36"/>
  <c r="A759" i="36"/>
  <c r="L758" i="36"/>
  <c r="K758" i="36"/>
  <c r="J758" i="36"/>
  <c r="I758" i="36"/>
  <c r="H758" i="36"/>
  <c r="G758" i="36"/>
  <c r="F758" i="36"/>
  <c r="E758" i="36"/>
  <c r="D758" i="36"/>
  <c r="C758" i="36"/>
  <c r="B758" i="36"/>
  <c r="A758" i="36"/>
  <c r="L757" i="36"/>
  <c r="K757" i="36"/>
  <c r="J757" i="36"/>
  <c r="I757" i="36"/>
  <c r="H757" i="36"/>
  <c r="G757" i="36"/>
  <c r="F757" i="36"/>
  <c r="E757" i="36"/>
  <c r="D757" i="36"/>
  <c r="C757" i="36"/>
  <c r="B757" i="36"/>
  <c r="A757" i="36"/>
  <c r="L756" i="36"/>
  <c r="K756" i="36"/>
  <c r="J756" i="36"/>
  <c r="I756" i="36"/>
  <c r="H756" i="36"/>
  <c r="G756" i="36"/>
  <c r="F756" i="36"/>
  <c r="E756" i="36"/>
  <c r="D756" i="36"/>
  <c r="C756" i="36"/>
  <c r="B756" i="36"/>
  <c r="A756" i="36"/>
  <c r="L755" i="36"/>
  <c r="K755" i="36"/>
  <c r="J755" i="36"/>
  <c r="I755" i="36"/>
  <c r="H755" i="36"/>
  <c r="G755" i="36"/>
  <c r="F755" i="36"/>
  <c r="E755" i="36"/>
  <c r="D755" i="36"/>
  <c r="C755" i="36"/>
  <c r="B755" i="36"/>
  <c r="A755" i="36"/>
  <c r="L754" i="36"/>
  <c r="K754" i="36"/>
  <c r="J754" i="36"/>
  <c r="I754" i="36"/>
  <c r="H754" i="36"/>
  <c r="G754" i="36"/>
  <c r="F754" i="36"/>
  <c r="E754" i="36"/>
  <c r="D754" i="36"/>
  <c r="C754" i="36"/>
  <c r="B754" i="36"/>
  <c r="A754" i="36"/>
  <c r="L753" i="36"/>
  <c r="K753" i="36"/>
  <c r="J753" i="36"/>
  <c r="I753" i="36"/>
  <c r="H753" i="36"/>
  <c r="G753" i="36"/>
  <c r="F753" i="36"/>
  <c r="E753" i="36"/>
  <c r="D753" i="36"/>
  <c r="C753" i="36"/>
  <c r="B753" i="36"/>
  <c r="A753" i="36"/>
  <c r="L752" i="36"/>
  <c r="K752" i="36"/>
  <c r="J752" i="36"/>
  <c r="I752" i="36"/>
  <c r="H752" i="36"/>
  <c r="G752" i="36"/>
  <c r="F752" i="36"/>
  <c r="E752" i="36"/>
  <c r="D752" i="36"/>
  <c r="C752" i="36"/>
  <c r="B752" i="36"/>
  <c r="A752" i="36"/>
  <c r="L751" i="36"/>
  <c r="K751" i="36"/>
  <c r="J751" i="36"/>
  <c r="I751" i="36"/>
  <c r="H751" i="36"/>
  <c r="G751" i="36"/>
  <c r="F751" i="36"/>
  <c r="E751" i="36"/>
  <c r="D751" i="36"/>
  <c r="C751" i="36"/>
  <c r="B751" i="36"/>
  <c r="A751" i="36"/>
  <c r="L750" i="36"/>
  <c r="K750" i="36"/>
  <c r="J750" i="36"/>
  <c r="I750" i="36"/>
  <c r="H750" i="36"/>
  <c r="G750" i="36"/>
  <c r="F750" i="36"/>
  <c r="E750" i="36"/>
  <c r="D750" i="36"/>
  <c r="C750" i="36"/>
  <c r="B750" i="36"/>
  <c r="A750" i="36"/>
  <c r="L749" i="36"/>
  <c r="K749" i="36"/>
  <c r="J749" i="36"/>
  <c r="I749" i="36"/>
  <c r="H749" i="36"/>
  <c r="G749" i="36"/>
  <c r="F749" i="36"/>
  <c r="E749" i="36"/>
  <c r="D749" i="36"/>
  <c r="C749" i="36"/>
  <c r="B749" i="36"/>
  <c r="A749" i="36"/>
  <c r="L748" i="36"/>
  <c r="K748" i="36"/>
  <c r="J748" i="36"/>
  <c r="I748" i="36"/>
  <c r="H748" i="36"/>
  <c r="G748" i="36"/>
  <c r="F748" i="36"/>
  <c r="E748" i="36"/>
  <c r="D748" i="36"/>
  <c r="C748" i="36"/>
  <c r="B748" i="36"/>
  <c r="A748" i="36"/>
  <c r="L747" i="36"/>
  <c r="K747" i="36"/>
  <c r="J747" i="36"/>
  <c r="I747" i="36"/>
  <c r="H747" i="36"/>
  <c r="G747" i="36"/>
  <c r="F747" i="36"/>
  <c r="E747" i="36"/>
  <c r="D747" i="36"/>
  <c r="C747" i="36"/>
  <c r="B747" i="36"/>
  <c r="A747" i="36"/>
  <c r="L746" i="36"/>
  <c r="K746" i="36"/>
  <c r="J746" i="36"/>
  <c r="I746" i="36"/>
  <c r="H746" i="36"/>
  <c r="G746" i="36"/>
  <c r="F746" i="36"/>
  <c r="E746" i="36"/>
  <c r="D746" i="36"/>
  <c r="C746" i="36"/>
  <c r="B746" i="36"/>
  <c r="A746" i="36"/>
  <c r="L745" i="36"/>
  <c r="K745" i="36"/>
  <c r="J745" i="36"/>
  <c r="I745" i="36"/>
  <c r="H745" i="36"/>
  <c r="G745" i="36"/>
  <c r="F745" i="36"/>
  <c r="E745" i="36"/>
  <c r="D745" i="36"/>
  <c r="C745" i="36"/>
  <c r="B745" i="36"/>
  <c r="A745" i="36"/>
  <c r="L744" i="36"/>
  <c r="K744" i="36"/>
  <c r="J744" i="36"/>
  <c r="I744" i="36"/>
  <c r="H744" i="36"/>
  <c r="G744" i="36"/>
  <c r="F744" i="36"/>
  <c r="E744" i="36"/>
  <c r="D744" i="36"/>
  <c r="C744" i="36"/>
  <c r="B744" i="36"/>
  <c r="A744" i="36"/>
  <c r="L743" i="36"/>
  <c r="K743" i="36"/>
  <c r="J743" i="36"/>
  <c r="I743" i="36"/>
  <c r="H743" i="36"/>
  <c r="G743" i="36"/>
  <c r="F743" i="36"/>
  <c r="E743" i="36"/>
  <c r="D743" i="36"/>
  <c r="C743" i="36"/>
  <c r="B743" i="36"/>
  <c r="A743" i="36"/>
  <c r="L742" i="36"/>
  <c r="K742" i="36"/>
  <c r="J742" i="36"/>
  <c r="I742" i="36"/>
  <c r="H742" i="36"/>
  <c r="G742" i="36"/>
  <c r="F742" i="36"/>
  <c r="E742" i="36"/>
  <c r="D742" i="36"/>
  <c r="C742" i="36"/>
  <c r="B742" i="36"/>
  <c r="A742" i="36"/>
  <c r="L741" i="36"/>
  <c r="K741" i="36"/>
  <c r="J741" i="36"/>
  <c r="I741" i="36"/>
  <c r="H741" i="36"/>
  <c r="G741" i="36"/>
  <c r="F741" i="36"/>
  <c r="E741" i="36"/>
  <c r="D741" i="36"/>
  <c r="C741" i="36"/>
  <c r="B741" i="36"/>
  <c r="A741" i="36"/>
  <c r="L740" i="36"/>
  <c r="K740" i="36"/>
  <c r="J740" i="36"/>
  <c r="I740" i="36"/>
  <c r="H740" i="36"/>
  <c r="G740" i="36"/>
  <c r="F740" i="36"/>
  <c r="E740" i="36"/>
  <c r="D740" i="36"/>
  <c r="C740" i="36"/>
  <c r="B740" i="36"/>
  <c r="A740" i="36"/>
  <c r="L739" i="36"/>
  <c r="K739" i="36"/>
  <c r="J739" i="36"/>
  <c r="I739" i="36"/>
  <c r="H739" i="36"/>
  <c r="G739" i="36"/>
  <c r="F739" i="36"/>
  <c r="E739" i="36"/>
  <c r="D739" i="36"/>
  <c r="C739" i="36"/>
  <c r="B739" i="36"/>
  <c r="A739" i="36"/>
  <c r="L738" i="36"/>
  <c r="K738" i="36"/>
  <c r="J738" i="36"/>
  <c r="I738" i="36"/>
  <c r="H738" i="36"/>
  <c r="G738" i="36"/>
  <c r="F738" i="36"/>
  <c r="E738" i="36"/>
  <c r="D738" i="36"/>
  <c r="C738" i="36"/>
  <c r="B738" i="36"/>
  <c r="A738" i="36"/>
  <c r="L737" i="36"/>
  <c r="K737" i="36"/>
  <c r="J737" i="36"/>
  <c r="I737" i="36"/>
  <c r="H737" i="36"/>
  <c r="G737" i="36"/>
  <c r="F737" i="36"/>
  <c r="E737" i="36"/>
  <c r="D737" i="36"/>
  <c r="C737" i="36"/>
  <c r="B737" i="36"/>
  <c r="A737" i="36"/>
  <c r="L736" i="36"/>
  <c r="K736" i="36"/>
  <c r="J736" i="36"/>
  <c r="I736" i="36"/>
  <c r="H736" i="36"/>
  <c r="G736" i="36"/>
  <c r="F736" i="36"/>
  <c r="E736" i="36"/>
  <c r="D736" i="36"/>
  <c r="C736" i="36"/>
  <c r="B736" i="36"/>
  <c r="A736" i="36"/>
  <c r="L735" i="36"/>
  <c r="K735" i="36"/>
  <c r="J735" i="36"/>
  <c r="I735" i="36"/>
  <c r="H735" i="36"/>
  <c r="G735" i="36"/>
  <c r="F735" i="36"/>
  <c r="E735" i="36"/>
  <c r="D735" i="36"/>
  <c r="C735" i="36"/>
  <c r="B735" i="36"/>
  <c r="A735" i="36"/>
  <c r="L734" i="36"/>
  <c r="K734" i="36"/>
  <c r="J734" i="36"/>
  <c r="I734" i="36"/>
  <c r="H734" i="36"/>
  <c r="G734" i="36"/>
  <c r="F734" i="36"/>
  <c r="E734" i="36"/>
  <c r="D734" i="36"/>
  <c r="C734" i="36"/>
  <c r="B734" i="36"/>
  <c r="A734" i="36"/>
  <c r="L733" i="36"/>
  <c r="K733" i="36"/>
  <c r="J733" i="36"/>
  <c r="I733" i="36"/>
  <c r="H733" i="36"/>
  <c r="G733" i="36"/>
  <c r="F733" i="36"/>
  <c r="E733" i="36"/>
  <c r="D733" i="36"/>
  <c r="C733" i="36"/>
  <c r="B733" i="36"/>
  <c r="A733" i="36"/>
  <c r="L732" i="36"/>
  <c r="K732" i="36"/>
  <c r="J732" i="36"/>
  <c r="I732" i="36"/>
  <c r="H732" i="36"/>
  <c r="G732" i="36"/>
  <c r="F732" i="36"/>
  <c r="E732" i="36"/>
  <c r="D732" i="36"/>
  <c r="C732" i="36"/>
  <c r="B732" i="36"/>
  <c r="A732" i="36"/>
  <c r="L731" i="36"/>
  <c r="K731" i="36"/>
  <c r="J731" i="36"/>
  <c r="I731" i="36"/>
  <c r="H731" i="36"/>
  <c r="G731" i="36"/>
  <c r="F731" i="36"/>
  <c r="E731" i="36"/>
  <c r="D731" i="36"/>
  <c r="C731" i="36"/>
  <c r="B731" i="36"/>
  <c r="A731" i="36"/>
  <c r="L730" i="36"/>
  <c r="K730" i="36"/>
  <c r="J730" i="36"/>
  <c r="I730" i="36"/>
  <c r="H730" i="36"/>
  <c r="G730" i="36"/>
  <c r="F730" i="36"/>
  <c r="E730" i="36"/>
  <c r="D730" i="36"/>
  <c r="C730" i="36"/>
  <c r="B730" i="36"/>
  <c r="A730" i="36"/>
  <c r="L729" i="36"/>
  <c r="K729" i="36"/>
  <c r="J729" i="36"/>
  <c r="I729" i="36"/>
  <c r="H729" i="36"/>
  <c r="G729" i="36"/>
  <c r="F729" i="36"/>
  <c r="E729" i="36"/>
  <c r="D729" i="36"/>
  <c r="C729" i="36"/>
  <c r="B729" i="36"/>
  <c r="A729" i="36"/>
  <c r="L728" i="36"/>
  <c r="K728" i="36"/>
  <c r="J728" i="36"/>
  <c r="I728" i="36"/>
  <c r="H728" i="36"/>
  <c r="G728" i="36"/>
  <c r="F728" i="36"/>
  <c r="E728" i="36"/>
  <c r="D728" i="36"/>
  <c r="C728" i="36"/>
  <c r="B728" i="36"/>
  <c r="A728" i="36"/>
  <c r="L727" i="36"/>
  <c r="K727" i="36"/>
  <c r="J727" i="36"/>
  <c r="I727" i="36"/>
  <c r="H727" i="36"/>
  <c r="G727" i="36"/>
  <c r="F727" i="36"/>
  <c r="E727" i="36"/>
  <c r="D727" i="36"/>
  <c r="C727" i="36"/>
  <c r="B727" i="36"/>
  <c r="A727" i="36"/>
  <c r="L726" i="36"/>
  <c r="K726" i="36"/>
  <c r="J726" i="36"/>
  <c r="I726" i="36"/>
  <c r="H726" i="36"/>
  <c r="G726" i="36"/>
  <c r="F726" i="36"/>
  <c r="E726" i="36"/>
  <c r="D726" i="36"/>
  <c r="C726" i="36"/>
  <c r="B726" i="36"/>
  <c r="A726" i="36"/>
  <c r="L725" i="36"/>
  <c r="K725" i="36"/>
  <c r="J725" i="36"/>
  <c r="I725" i="36"/>
  <c r="H725" i="36"/>
  <c r="G725" i="36"/>
  <c r="F725" i="36"/>
  <c r="E725" i="36"/>
  <c r="D725" i="36"/>
  <c r="C725" i="36"/>
  <c r="B725" i="36"/>
  <c r="A725" i="36"/>
  <c r="L724" i="36"/>
  <c r="K724" i="36"/>
  <c r="J724" i="36"/>
  <c r="I724" i="36"/>
  <c r="H724" i="36"/>
  <c r="G724" i="36"/>
  <c r="F724" i="36"/>
  <c r="E724" i="36"/>
  <c r="D724" i="36"/>
  <c r="C724" i="36"/>
  <c r="B724" i="36"/>
  <c r="A724" i="36"/>
  <c r="L723" i="36"/>
  <c r="K723" i="36"/>
  <c r="J723" i="36"/>
  <c r="I723" i="36"/>
  <c r="H723" i="36"/>
  <c r="G723" i="36"/>
  <c r="F723" i="36"/>
  <c r="E723" i="36"/>
  <c r="D723" i="36"/>
  <c r="C723" i="36"/>
  <c r="B723" i="36"/>
  <c r="A723" i="36"/>
  <c r="L722" i="36"/>
  <c r="K722" i="36"/>
  <c r="J722" i="36"/>
  <c r="I722" i="36"/>
  <c r="H722" i="36"/>
  <c r="G722" i="36"/>
  <c r="F722" i="36"/>
  <c r="E722" i="36"/>
  <c r="D722" i="36"/>
  <c r="C722" i="36"/>
  <c r="B722" i="36"/>
  <c r="A722" i="36"/>
  <c r="L721" i="36"/>
  <c r="K721" i="36"/>
  <c r="J721" i="36"/>
  <c r="I721" i="36"/>
  <c r="H721" i="36"/>
  <c r="G721" i="36"/>
  <c r="F721" i="36"/>
  <c r="E721" i="36"/>
  <c r="D721" i="36"/>
  <c r="C721" i="36"/>
  <c r="B721" i="36"/>
  <c r="A721" i="36"/>
  <c r="L720" i="36"/>
  <c r="K720" i="36"/>
  <c r="J720" i="36"/>
  <c r="I720" i="36"/>
  <c r="H720" i="36"/>
  <c r="G720" i="36"/>
  <c r="F720" i="36"/>
  <c r="E720" i="36"/>
  <c r="D720" i="36"/>
  <c r="C720" i="36"/>
  <c r="B720" i="36"/>
  <c r="A720" i="36"/>
  <c r="L719" i="36"/>
  <c r="K719" i="36"/>
  <c r="J719" i="36"/>
  <c r="I719" i="36"/>
  <c r="H719" i="36"/>
  <c r="G719" i="36"/>
  <c r="F719" i="36"/>
  <c r="E719" i="36"/>
  <c r="D719" i="36"/>
  <c r="C719" i="36"/>
  <c r="B719" i="36"/>
  <c r="A719" i="36"/>
  <c r="L718" i="36"/>
  <c r="K718" i="36"/>
  <c r="J718" i="36"/>
  <c r="I718" i="36"/>
  <c r="H718" i="36"/>
  <c r="G718" i="36"/>
  <c r="F718" i="36"/>
  <c r="E718" i="36"/>
  <c r="D718" i="36"/>
  <c r="C718" i="36"/>
  <c r="B718" i="36"/>
  <c r="A718" i="36"/>
  <c r="L717" i="36"/>
  <c r="K717" i="36"/>
  <c r="J717" i="36"/>
  <c r="I717" i="36"/>
  <c r="H717" i="36"/>
  <c r="G717" i="36"/>
  <c r="F717" i="36"/>
  <c r="E717" i="36"/>
  <c r="D717" i="36"/>
  <c r="C717" i="36"/>
  <c r="B717" i="36"/>
  <c r="A717" i="36"/>
  <c r="L716" i="36"/>
  <c r="K716" i="36"/>
  <c r="J716" i="36"/>
  <c r="I716" i="36"/>
  <c r="H716" i="36"/>
  <c r="G716" i="36"/>
  <c r="F716" i="36"/>
  <c r="E716" i="36"/>
  <c r="D716" i="36"/>
  <c r="C716" i="36"/>
  <c r="B716" i="36"/>
  <c r="A716" i="36"/>
  <c r="L715" i="36"/>
  <c r="K715" i="36"/>
  <c r="J715" i="36"/>
  <c r="I715" i="36"/>
  <c r="H715" i="36"/>
  <c r="G715" i="36"/>
  <c r="F715" i="36"/>
  <c r="E715" i="36"/>
  <c r="D715" i="36"/>
  <c r="C715" i="36"/>
  <c r="B715" i="36"/>
  <c r="A715" i="36"/>
  <c r="L714" i="36"/>
  <c r="K714" i="36"/>
  <c r="J714" i="36"/>
  <c r="I714" i="36"/>
  <c r="H714" i="36"/>
  <c r="G714" i="36"/>
  <c r="F714" i="36"/>
  <c r="E714" i="36"/>
  <c r="D714" i="36"/>
  <c r="C714" i="36"/>
  <c r="B714" i="36"/>
  <c r="A714" i="36"/>
  <c r="L713" i="36"/>
  <c r="K713" i="36"/>
  <c r="J713" i="36"/>
  <c r="I713" i="36"/>
  <c r="H713" i="36"/>
  <c r="G713" i="36"/>
  <c r="F713" i="36"/>
  <c r="E713" i="36"/>
  <c r="D713" i="36"/>
  <c r="C713" i="36"/>
  <c r="B713" i="36"/>
  <c r="A713" i="36"/>
  <c r="L712" i="36"/>
  <c r="K712" i="36"/>
  <c r="J712" i="36"/>
  <c r="I712" i="36"/>
  <c r="H712" i="36"/>
  <c r="G712" i="36"/>
  <c r="F712" i="36"/>
  <c r="E712" i="36"/>
  <c r="D712" i="36"/>
  <c r="C712" i="36"/>
  <c r="B712" i="36"/>
  <c r="A712" i="36"/>
  <c r="L711" i="36"/>
  <c r="K711" i="36"/>
  <c r="J711" i="36"/>
  <c r="I711" i="36"/>
  <c r="H711" i="36"/>
  <c r="G711" i="36"/>
  <c r="F711" i="36"/>
  <c r="E711" i="36"/>
  <c r="D711" i="36"/>
  <c r="C711" i="36"/>
  <c r="B711" i="36"/>
  <c r="A711" i="36"/>
  <c r="L710" i="36"/>
  <c r="K710" i="36"/>
  <c r="J710" i="36"/>
  <c r="I710" i="36"/>
  <c r="H710" i="36"/>
  <c r="G710" i="36"/>
  <c r="F710" i="36"/>
  <c r="E710" i="36"/>
  <c r="D710" i="36"/>
  <c r="C710" i="36"/>
  <c r="B710" i="36"/>
  <c r="A710" i="36"/>
  <c r="L709" i="36"/>
  <c r="K709" i="36"/>
  <c r="J709" i="36"/>
  <c r="I709" i="36"/>
  <c r="H709" i="36"/>
  <c r="G709" i="36"/>
  <c r="F709" i="36"/>
  <c r="E709" i="36"/>
  <c r="D709" i="36"/>
  <c r="C709" i="36"/>
  <c r="B709" i="36"/>
  <c r="A709" i="36"/>
  <c r="L708" i="36"/>
  <c r="K708" i="36"/>
  <c r="J708" i="36"/>
  <c r="I708" i="36"/>
  <c r="H708" i="36"/>
  <c r="G708" i="36"/>
  <c r="F708" i="36"/>
  <c r="E708" i="36"/>
  <c r="D708" i="36"/>
  <c r="C708" i="36"/>
  <c r="B708" i="36"/>
  <c r="A708" i="36"/>
  <c r="L707" i="36"/>
  <c r="K707" i="36"/>
  <c r="J707" i="36"/>
  <c r="I707" i="36"/>
  <c r="H707" i="36"/>
  <c r="G707" i="36"/>
  <c r="F707" i="36"/>
  <c r="E707" i="36"/>
  <c r="D707" i="36"/>
  <c r="C707" i="36"/>
  <c r="B707" i="36"/>
  <c r="A707" i="36"/>
  <c r="L706" i="36"/>
  <c r="K706" i="36"/>
  <c r="J706" i="36"/>
  <c r="I706" i="36"/>
  <c r="H706" i="36"/>
  <c r="G706" i="36"/>
  <c r="F706" i="36"/>
  <c r="E706" i="36"/>
  <c r="D706" i="36"/>
  <c r="C706" i="36"/>
  <c r="B706" i="36"/>
  <c r="A706" i="36"/>
  <c r="L705" i="36"/>
  <c r="K705" i="36"/>
  <c r="J705" i="36"/>
  <c r="I705" i="36"/>
  <c r="H705" i="36"/>
  <c r="G705" i="36"/>
  <c r="F705" i="36"/>
  <c r="E705" i="36"/>
  <c r="D705" i="36"/>
  <c r="C705" i="36"/>
  <c r="B705" i="36"/>
  <c r="A705" i="36"/>
  <c r="L704" i="36"/>
  <c r="K704" i="36"/>
  <c r="J704" i="36"/>
  <c r="I704" i="36"/>
  <c r="H704" i="36"/>
  <c r="G704" i="36"/>
  <c r="F704" i="36"/>
  <c r="E704" i="36"/>
  <c r="D704" i="36"/>
  <c r="C704" i="36"/>
  <c r="B704" i="36"/>
  <c r="A704" i="36"/>
  <c r="L703" i="36"/>
  <c r="K703" i="36"/>
  <c r="J703" i="36"/>
  <c r="I703" i="36"/>
  <c r="H703" i="36"/>
  <c r="G703" i="36"/>
  <c r="F703" i="36"/>
  <c r="E703" i="36"/>
  <c r="D703" i="36"/>
  <c r="C703" i="36"/>
  <c r="B703" i="36"/>
  <c r="A703" i="36"/>
  <c r="L702" i="36"/>
  <c r="K702" i="36"/>
  <c r="J702" i="36"/>
  <c r="I702" i="36"/>
  <c r="H702" i="36"/>
  <c r="G702" i="36"/>
  <c r="F702" i="36"/>
  <c r="E702" i="36"/>
  <c r="D702" i="36"/>
  <c r="C702" i="36"/>
  <c r="B702" i="36"/>
  <c r="A702" i="36"/>
  <c r="L701" i="36"/>
  <c r="K701" i="36"/>
  <c r="J701" i="36"/>
  <c r="I701" i="36"/>
  <c r="H701" i="36"/>
  <c r="G701" i="36"/>
  <c r="F701" i="36"/>
  <c r="E701" i="36"/>
  <c r="D701" i="36"/>
  <c r="C701" i="36"/>
  <c r="B701" i="36"/>
  <c r="A701" i="36"/>
  <c r="L700" i="36"/>
  <c r="K700" i="36"/>
  <c r="J700" i="36"/>
  <c r="I700" i="36"/>
  <c r="H700" i="36"/>
  <c r="G700" i="36"/>
  <c r="F700" i="36"/>
  <c r="E700" i="36"/>
  <c r="D700" i="36"/>
  <c r="C700" i="36"/>
  <c r="B700" i="36"/>
  <c r="A700" i="36"/>
  <c r="L699" i="36"/>
  <c r="K699" i="36"/>
  <c r="J699" i="36"/>
  <c r="I699" i="36"/>
  <c r="H699" i="36"/>
  <c r="G699" i="36"/>
  <c r="F699" i="36"/>
  <c r="E699" i="36"/>
  <c r="D699" i="36"/>
  <c r="C699" i="36"/>
  <c r="B699" i="36"/>
  <c r="A699" i="36"/>
  <c r="L698" i="36"/>
  <c r="K698" i="36"/>
  <c r="J698" i="36"/>
  <c r="I698" i="36"/>
  <c r="H698" i="36"/>
  <c r="G698" i="36"/>
  <c r="F698" i="36"/>
  <c r="E698" i="36"/>
  <c r="D698" i="36"/>
  <c r="C698" i="36"/>
  <c r="B698" i="36"/>
  <c r="A698" i="36"/>
  <c r="L697" i="36"/>
  <c r="K697" i="36"/>
  <c r="J697" i="36"/>
  <c r="I697" i="36"/>
  <c r="H697" i="36"/>
  <c r="G697" i="36"/>
  <c r="F697" i="36"/>
  <c r="E697" i="36"/>
  <c r="D697" i="36"/>
  <c r="C697" i="36"/>
  <c r="B697" i="36"/>
  <c r="A697" i="36"/>
  <c r="L696" i="36"/>
  <c r="K696" i="36"/>
  <c r="J696" i="36"/>
  <c r="I696" i="36"/>
  <c r="H696" i="36"/>
  <c r="G696" i="36"/>
  <c r="F696" i="36"/>
  <c r="E696" i="36"/>
  <c r="D696" i="36"/>
  <c r="C696" i="36"/>
  <c r="B696" i="36"/>
  <c r="A696" i="36"/>
  <c r="L695" i="36"/>
  <c r="K695" i="36"/>
  <c r="J695" i="36"/>
  <c r="I695" i="36"/>
  <c r="H695" i="36"/>
  <c r="G695" i="36"/>
  <c r="F695" i="36"/>
  <c r="E695" i="36"/>
  <c r="D695" i="36"/>
  <c r="C695" i="36"/>
  <c r="B695" i="36"/>
  <c r="A695" i="36"/>
  <c r="L694" i="36"/>
  <c r="K694" i="36"/>
  <c r="J694" i="36"/>
  <c r="I694" i="36"/>
  <c r="H694" i="36"/>
  <c r="G694" i="36"/>
  <c r="F694" i="36"/>
  <c r="E694" i="36"/>
  <c r="D694" i="36"/>
  <c r="C694" i="36"/>
  <c r="B694" i="36"/>
  <c r="A694" i="36"/>
  <c r="L693" i="36"/>
  <c r="K693" i="36"/>
  <c r="J693" i="36"/>
  <c r="I693" i="36"/>
  <c r="H693" i="36"/>
  <c r="G693" i="36"/>
  <c r="F693" i="36"/>
  <c r="E693" i="36"/>
  <c r="D693" i="36"/>
  <c r="C693" i="36"/>
  <c r="B693" i="36"/>
  <c r="A693" i="36"/>
  <c r="L692" i="36"/>
  <c r="K692" i="36"/>
  <c r="J692" i="36"/>
  <c r="I692" i="36"/>
  <c r="H692" i="36"/>
  <c r="G692" i="36"/>
  <c r="F692" i="36"/>
  <c r="E692" i="36"/>
  <c r="D692" i="36"/>
  <c r="C692" i="36"/>
  <c r="B692" i="36"/>
  <c r="A692" i="36"/>
  <c r="L691" i="36"/>
  <c r="K691" i="36"/>
  <c r="J691" i="36"/>
  <c r="I691" i="36"/>
  <c r="H691" i="36"/>
  <c r="G691" i="36"/>
  <c r="F691" i="36"/>
  <c r="E691" i="36"/>
  <c r="D691" i="36"/>
  <c r="C691" i="36"/>
  <c r="B691" i="36"/>
  <c r="A691" i="36"/>
  <c r="L690" i="36"/>
  <c r="K690" i="36"/>
  <c r="J690" i="36"/>
  <c r="I690" i="36"/>
  <c r="H690" i="36"/>
  <c r="G690" i="36"/>
  <c r="F690" i="36"/>
  <c r="E690" i="36"/>
  <c r="D690" i="36"/>
  <c r="C690" i="36"/>
  <c r="B690" i="36"/>
  <c r="A690" i="36"/>
  <c r="L689" i="36"/>
  <c r="K689" i="36"/>
  <c r="J689" i="36"/>
  <c r="I689" i="36"/>
  <c r="H689" i="36"/>
  <c r="G689" i="36"/>
  <c r="F689" i="36"/>
  <c r="E689" i="36"/>
  <c r="D689" i="36"/>
  <c r="C689" i="36"/>
  <c r="B689" i="36"/>
  <c r="A689" i="36"/>
  <c r="L688" i="36"/>
  <c r="K688" i="36"/>
  <c r="J688" i="36"/>
  <c r="I688" i="36"/>
  <c r="H688" i="36"/>
  <c r="G688" i="36"/>
  <c r="F688" i="36"/>
  <c r="E688" i="36"/>
  <c r="D688" i="36"/>
  <c r="C688" i="36"/>
  <c r="B688" i="36"/>
  <c r="A688" i="36"/>
  <c r="L687" i="36"/>
  <c r="K687" i="36"/>
  <c r="J687" i="36"/>
  <c r="I687" i="36"/>
  <c r="H687" i="36"/>
  <c r="G687" i="36"/>
  <c r="F687" i="36"/>
  <c r="E687" i="36"/>
  <c r="D687" i="36"/>
  <c r="C687" i="36"/>
  <c r="B687" i="36"/>
  <c r="A687" i="36"/>
  <c r="L686" i="36"/>
  <c r="K686" i="36"/>
  <c r="J686" i="36"/>
  <c r="I686" i="36"/>
  <c r="H686" i="36"/>
  <c r="G686" i="36"/>
  <c r="F686" i="36"/>
  <c r="E686" i="36"/>
  <c r="D686" i="36"/>
  <c r="C686" i="36"/>
  <c r="B686" i="36"/>
  <c r="A686" i="36"/>
  <c r="L685" i="36"/>
  <c r="K685" i="36"/>
  <c r="J685" i="36"/>
  <c r="I685" i="36"/>
  <c r="H685" i="36"/>
  <c r="G685" i="36"/>
  <c r="F685" i="36"/>
  <c r="E685" i="36"/>
  <c r="D685" i="36"/>
  <c r="C685" i="36"/>
  <c r="B685" i="36"/>
  <c r="A685" i="36"/>
  <c r="L684" i="36"/>
  <c r="K684" i="36"/>
  <c r="J684" i="36"/>
  <c r="I684" i="36"/>
  <c r="H684" i="36"/>
  <c r="G684" i="36"/>
  <c r="F684" i="36"/>
  <c r="E684" i="36"/>
  <c r="D684" i="36"/>
  <c r="C684" i="36"/>
  <c r="B684" i="36"/>
  <c r="A684" i="36"/>
  <c r="L683" i="36"/>
  <c r="K683" i="36"/>
  <c r="J683" i="36"/>
  <c r="I683" i="36"/>
  <c r="H683" i="36"/>
  <c r="G683" i="36"/>
  <c r="F683" i="36"/>
  <c r="E683" i="36"/>
  <c r="D683" i="36"/>
  <c r="C683" i="36"/>
  <c r="B683" i="36"/>
  <c r="A683" i="36"/>
  <c r="L682" i="36"/>
  <c r="K682" i="36"/>
  <c r="J682" i="36"/>
  <c r="I682" i="36"/>
  <c r="H682" i="36"/>
  <c r="G682" i="36"/>
  <c r="F682" i="36"/>
  <c r="E682" i="36"/>
  <c r="D682" i="36"/>
  <c r="C682" i="36"/>
  <c r="B682" i="36"/>
  <c r="A682" i="36"/>
  <c r="L681" i="36"/>
  <c r="K681" i="36"/>
  <c r="J681" i="36"/>
  <c r="I681" i="36"/>
  <c r="H681" i="36"/>
  <c r="G681" i="36"/>
  <c r="F681" i="36"/>
  <c r="E681" i="36"/>
  <c r="D681" i="36"/>
  <c r="C681" i="36"/>
  <c r="B681" i="36"/>
  <c r="A681" i="36"/>
  <c r="L680" i="36"/>
  <c r="K680" i="36"/>
  <c r="J680" i="36"/>
  <c r="I680" i="36"/>
  <c r="H680" i="36"/>
  <c r="G680" i="36"/>
  <c r="F680" i="36"/>
  <c r="E680" i="36"/>
  <c r="D680" i="36"/>
  <c r="C680" i="36"/>
  <c r="B680" i="36"/>
  <c r="A680" i="36"/>
  <c r="L679" i="36"/>
  <c r="K679" i="36"/>
  <c r="J679" i="36"/>
  <c r="I679" i="36"/>
  <c r="H679" i="36"/>
  <c r="G679" i="36"/>
  <c r="F679" i="36"/>
  <c r="E679" i="36"/>
  <c r="D679" i="36"/>
  <c r="C679" i="36"/>
  <c r="B679" i="36"/>
  <c r="A679" i="36"/>
  <c r="L678" i="36"/>
  <c r="K678" i="36"/>
  <c r="J678" i="36"/>
  <c r="I678" i="36"/>
  <c r="H678" i="36"/>
  <c r="G678" i="36"/>
  <c r="F678" i="36"/>
  <c r="E678" i="36"/>
  <c r="D678" i="36"/>
  <c r="C678" i="36"/>
  <c r="B678" i="36"/>
  <c r="A678" i="36"/>
  <c r="L677" i="36"/>
  <c r="K677" i="36"/>
  <c r="J677" i="36"/>
  <c r="I677" i="36"/>
  <c r="H677" i="36"/>
  <c r="G677" i="36"/>
  <c r="F677" i="36"/>
  <c r="E677" i="36"/>
  <c r="D677" i="36"/>
  <c r="C677" i="36"/>
  <c r="B677" i="36"/>
  <c r="A677" i="36"/>
  <c r="L676" i="36"/>
  <c r="K676" i="36"/>
  <c r="J676" i="36"/>
  <c r="I676" i="36"/>
  <c r="H676" i="36"/>
  <c r="G676" i="36"/>
  <c r="F676" i="36"/>
  <c r="E676" i="36"/>
  <c r="D676" i="36"/>
  <c r="C676" i="36"/>
  <c r="B676" i="36"/>
  <c r="A676" i="36"/>
  <c r="L675" i="36"/>
  <c r="K675" i="36"/>
  <c r="J675" i="36"/>
  <c r="I675" i="36"/>
  <c r="H675" i="36"/>
  <c r="G675" i="36"/>
  <c r="F675" i="36"/>
  <c r="E675" i="36"/>
  <c r="D675" i="36"/>
  <c r="C675" i="36"/>
  <c r="B675" i="36"/>
  <c r="A675" i="36"/>
  <c r="L674" i="36"/>
  <c r="K674" i="36"/>
  <c r="J674" i="36"/>
  <c r="I674" i="36"/>
  <c r="H674" i="36"/>
  <c r="G674" i="36"/>
  <c r="F674" i="36"/>
  <c r="E674" i="36"/>
  <c r="D674" i="36"/>
  <c r="C674" i="36"/>
  <c r="B674" i="36"/>
  <c r="A674" i="36"/>
  <c r="L673" i="36"/>
  <c r="K673" i="36"/>
  <c r="J673" i="36"/>
  <c r="I673" i="36"/>
  <c r="H673" i="36"/>
  <c r="G673" i="36"/>
  <c r="F673" i="36"/>
  <c r="E673" i="36"/>
  <c r="D673" i="36"/>
  <c r="C673" i="36"/>
  <c r="B673" i="36"/>
  <c r="A673" i="36"/>
  <c r="L672" i="36"/>
  <c r="K672" i="36"/>
  <c r="J672" i="36"/>
  <c r="I672" i="36"/>
  <c r="H672" i="36"/>
  <c r="G672" i="36"/>
  <c r="F672" i="36"/>
  <c r="E672" i="36"/>
  <c r="D672" i="36"/>
  <c r="C672" i="36"/>
  <c r="B672" i="36"/>
  <c r="A672" i="36"/>
  <c r="L671" i="36"/>
  <c r="K671" i="36"/>
  <c r="J671" i="36"/>
  <c r="I671" i="36"/>
  <c r="H671" i="36"/>
  <c r="G671" i="36"/>
  <c r="F671" i="36"/>
  <c r="E671" i="36"/>
  <c r="D671" i="36"/>
  <c r="C671" i="36"/>
  <c r="B671" i="36"/>
  <c r="A671" i="36"/>
  <c r="L670" i="36"/>
  <c r="K670" i="36"/>
  <c r="J670" i="36"/>
  <c r="I670" i="36"/>
  <c r="H670" i="36"/>
  <c r="G670" i="36"/>
  <c r="F670" i="36"/>
  <c r="E670" i="36"/>
  <c r="D670" i="36"/>
  <c r="C670" i="36"/>
  <c r="B670" i="36"/>
  <c r="A670" i="36"/>
  <c r="L669" i="36"/>
  <c r="K669" i="36"/>
  <c r="J669" i="36"/>
  <c r="I669" i="36"/>
  <c r="H669" i="36"/>
  <c r="G669" i="36"/>
  <c r="F669" i="36"/>
  <c r="E669" i="36"/>
  <c r="D669" i="36"/>
  <c r="C669" i="36"/>
  <c r="B669" i="36"/>
  <c r="A669" i="36"/>
  <c r="L668" i="36"/>
  <c r="K668" i="36"/>
  <c r="J668" i="36"/>
  <c r="I668" i="36"/>
  <c r="H668" i="36"/>
  <c r="G668" i="36"/>
  <c r="F668" i="36"/>
  <c r="E668" i="36"/>
  <c r="D668" i="36"/>
  <c r="C668" i="36"/>
  <c r="B668" i="36"/>
  <c r="A668" i="36"/>
  <c r="L667" i="36"/>
  <c r="K667" i="36"/>
  <c r="J667" i="36"/>
  <c r="I667" i="36"/>
  <c r="H667" i="36"/>
  <c r="G667" i="36"/>
  <c r="F667" i="36"/>
  <c r="E667" i="36"/>
  <c r="D667" i="36"/>
  <c r="C667" i="36"/>
  <c r="B667" i="36"/>
  <c r="A667" i="36"/>
  <c r="L666" i="36"/>
  <c r="K666" i="36"/>
  <c r="J666" i="36"/>
  <c r="I666" i="36"/>
  <c r="H666" i="36"/>
  <c r="G666" i="36"/>
  <c r="F666" i="36"/>
  <c r="E666" i="36"/>
  <c r="D666" i="36"/>
  <c r="C666" i="36"/>
  <c r="B666" i="36"/>
  <c r="A666" i="36"/>
  <c r="L665" i="36"/>
  <c r="K665" i="36"/>
  <c r="J665" i="36"/>
  <c r="I665" i="36"/>
  <c r="H665" i="36"/>
  <c r="G665" i="36"/>
  <c r="F665" i="36"/>
  <c r="E665" i="36"/>
  <c r="D665" i="36"/>
  <c r="C665" i="36"/>
  <c r="B665" i="36"/>
  <c r="A665" i="36"/>
  <c r="L664" i="36"/>
  <c r="K664" i="36"/>
  <c r="J664" i="36"/>
  <c r="I664" i="36"/>
  <c r="H664" i="36"/>
  <c r="G664" i="36"/>
  <c r="F664" i="36"/>
  <c r="E664" i="36"/>
  <c r="D664" i="36"/>
  <c r="C664" i="36"/>
  <c r="B664" i="36"/>
  <c r="A664" i="36"/>
  <c r="L663" i="36"/>
  <c r="K663" i="36"/>
  <c r="J663" i="36"/>
  <c r="I663" i="36"/>
  <c r="H663" i="36"/>
  <c r="G663" i="36"/>
  <c r="F663" i="36"/>
  <c r="E663" i="36"/>
  <c r="D663" i="36"/>
  <c r="C663" i="36"/>
  <c r="B663" i="36"/>
  <c r="A663" i="36"/>
  <c r="L662" i="36"/>
  <c r="K662" i="36"/>
  <c r="J662" i="36"/>
  <c r="I662" i="36"/>
  <c r="H662" i="36"/>
  <c r="G662" i="36"/>
  <c r="F662" i="36"/>
  <c r="E662" i="36"/>
  <c r="D662" i="36"/>
  <c r="C662" i="36"/>
  <c r="B662" i="36"/>
  <c r="A662" i="36"/>
  <c r="L661" i="36"/>
  <c r="K661" i="36"/>
  <c r="J661" i="36"/>
  <c r="I661" i="36"/>
  <c r="H661" i="36"/>
  <c r="G661" i="36"/>
  <c r="F661" i="36"/>
  <c r="E661" i="36"/>
  <c r="D661" i="36"/>
  <c r="C661" i="36"/>
  <c r="B661" i="36"/>
  <c r="A661" i="36"/>
  <c r="L660" i="36"/>
  <c r="K660" i="36"/>
  <c r="J660" i="36"/>
  <c r="I660" i="36"/>
  <c r="H660" i="36"/>
  <c r="G660" i="36"/>
  <c r="F660" i="36"/>
  <c r="E660" i="36"/>
  <c r="D660" i="36"/>
  <c r="C660" i="36"/>
  <c r="B660" i="36"/>
  <c r="A660" i="36"/>
  <c r="L659" i="36"/>
  <c r="K659" i="36"/>
  <c r="J659" i="36"/>
  <c r="I659" i="36"/>
  <c r="H659" i="36"/>
  <c r="G659" i="36"/>
  <c r="F659" i="36"/>
  <c r="E659" i="36"/>
  <c r="D659" i="36"/>
  <c r="C659" i="36"/>
  <c r="B659" i="36"/>
  <c r="A659" i="36"/>
  <c r="L658" i="36"/>
  <c r="K658" i="36"/>
  <c r="J658" i="36"/>
  <c r="I658" i="36"/>
  <c r="H658" i="36"/>
  <c r="G658" i="36"/>
  <c r="F658" i="36"/>
  <c r="E658" i="36"/>
  <c r="D658" i="36"/>
  <c r="C658" i="36"/>
  <c r="B658" i="36"/>
  <c r="A658" i="36"/>
  <c r="L657" i="36"/>
  <c r="K657" i="36"/>
  <c r="J657" i="36"/>
  <c r="I657" i="36"/>
  <c r="H657" i="36"/>
  <c r="G657" i="36"/>
  <c r="F657" i="36"/>
  <c r="E657" i="36"/>
  <c r="D657" i="36"/>
  <c r="C657" i="36"/>
  <c r="B657" i="36"/>
  <c r="A657" i="36"/>
  <c r="L656" i="36"/>
  <c r="K656" i="36"/>
  <c r="J656" i="36"/>
  <c r="I656" i="36"/>
  <c r="H656" i="36"/>
  <c r="G656" i="36"/>
  <c r="F656" i="36"/>
  <c r="E656" i="36"/>
  <c r="D656" i="36"/>
  <c r="C656" i="36"/>
  <c r="B656" i="36"/>
  <c r="A656" i="36"/>
  <c r="L655" i="36"/>
  <c r="K655" i="36"/>
  <c r="J655" i="36"/>
  <c r="I655" i="36"/>
  <c r="H655" i="36"/>
  <c r="G655" i="36"/>
  <c r="F655" i="36"/>
  <c r="E655" i="36"/>
  <c r="D655" i="36"/>
  <c r="C655" i="36"/>
  <c r="B655" i="36"/>
  <c r="A655" i="36"/>
  <c r="L654" i="36"/>
  <c r="K654" i="36"/>
  <c r="J654" i="36"/>
  <c r="I654" i="36"/>
  <c r="H654" i="36"/>
  <c r="G654" i="36"/>
  <c r="F654" i="36"/>
  <c r="E654" i="36"/>
  <c r="D654" i="36"/>
  <c r="C654" i="36"/>
  <c r="B654" i="36"/>
  <c r="A654" i="36"/>
  <c r="L653" i="36"/>
  <c r="K653" i="36"/>
  <c r="J653" i="36"/>
  <c r="I653" i="36"/>
  <c r="H653" i="36"/>
  <c r="G653" i="36"/>
  <c r="F653" i="36"/>
  <c r="E653" i="36"/>
  <c r="D653" i="36"/>
  <c r="C653" i="36"/>
  <c r="B653" i="36"/>
  <c r="A653" i="36"/>
  <c r="L652" i="36"/>
  <c r="K652" i="36"/>
  <c r="J652" i="36"/>
  <c r="I652" i="36"/>
  <c r="H652" i="36"/>
  <c r="G652" i="36"/>
  <c r="F652" i="36"/>
  <c r="E652" i="36"/>
  <c r="D652" i="36"/>
  <c r="C652" i="36"/>
  <c r="B652" i="36"/>
  <c r="A652" i="36"/>
  <c r="L651" i="36"/>
  <c r="K651" i="36"/>
  <c r="J651" i="36"/>
  <c r="I651" i="36"/>
  <c r="H651" i="36"/>
  <c r="G651" i="36"/>
  <c r="F651" i="36"/>
  <c r="E651" i="36"/>
  <c r="D651" i="36"/>
  <c r="C651" i="36"/>
  <c r="B651" i="36"/>
  <c r="A651" i="36"/>
  <c r="L650" i="36"/>
  <c r="K650" i="36"/>
  <c r="J650" i="36"/>
  <c r="I650" i="36"/>
  <c r="H650" i="36"/>
  <c r="G650" i="36"/>
  <c r="F650" i="36"/>
  <c r="E650" i="36"/>
  <c r="D650" i="36"/>
  <c r="C650" i="36"/>
  <c r="B650" i="36"/>
  <c r="A650" i="36"/>
  <c r="L649" i="36"/>
  <c r="K649" i="36"/>
  <c r="J649" i="36"/>
  <c r="I649" i="36"/>
  <c r="H649" i="36"/>
  <c r="G649" i="36"/>
  <c r="F649" i="36"/>
  <c r="E649" i="36"/>
  <c r="D649" i="36"/>
  <c r="C649" i="36"/>
  <c r="B649" i="36"/>
  <c r="A649" i="36"/>
  <c r="L648" i="36"/>
  <c r="K648" i="36"/>
  <c r="J648" i="36"/>
  <c r="I648" i="36"/>
  <c r="H648" i="36"/>
  <c r="G648" i="36"/>
  <c r="F648" i="36"/>
  <c r="E648" i="36"/>
  <c r="D648" i="36"/>
  <c r="C648" i="36"/>
  <c r="B648" i="36"/>
  <c r="A648" i="36"/>
  <c r="L647" i="36"/>
  <c r="K647" i="36"/>
  <c r="J647" i="36"/>
  <c r="I647" i="36"/>
  <c r="H647" i="36"/>
  <c r="G647" i="36"/>
  <c r="F647" i="36"/>
  <c r="E647" i="36"/>
  <c r="D647" i="36"/>
  <c r="C647" i="36"/>
  <c r="B647" i="36"/>
  <c r="A647" i="36"/>
  <c r="L646" i="36"/>
  <c r="K646" i="36"/>
  <c r="J646" i="36"/>
  <c r="I646" i="36"/>
  <c r="H646" i="36"/>
  <c r="G646" i="36"/>
  <c r="F646" i="36"/>
  <c r="E646" i="36"/>
  <c r="D646" i="36"/>
  <c r="C646" i="36"/>
  <c r="B646" i="36"/>
  <c r="A646" i="36"/>
  <c r="L645" i="36"/>
  <c r="K645" i="36"/>
  <c r="J645" i="36"/>
  <c r="I645" i="36"/>
  <c r="H645" i="36"/>
  <c r="G645" i="36"/>
  <c r="F645" i="36"/>
  <c r="E645" i="36"/>
  <c r="D645" i="36"/>
  <c r="C645" i="36"/>
  <c r="B645" i="36"/>
  <c r="A645" i="36"/>
  <c r="L644" i="36"/>
  <c r="K644" i="36"/>
  <c r="J644" i="36"/>
  <c r="I644" i="36"/>
  <c r="H644" i="36"/>
  <c r="G644" i="36"/>
  <c r="F644" i="36"/>
  <c r="E644" i="36"/>
  <c r="D644" i="36"/>
  <c r="C644" i="36"/>
  <c r="B644" i="36"/>
  <c r="A644" i="36"/>
  <c r="L643" i="36"/>
  <c r="K643" i="36"/>
  <c r="J643" i="36"/>
  <c r="I643" i="36"/>
  <c r="H643" i="36"/>
  <c r="G643" i="36"/>
  <c r="F643" i="36"/>
  <c r="E643" i="36"/>
  <c r="D643" i="36"/>
  <c r="C643" i="36"/>
  <c r="B643" i="36"/>
  <c r="A643" i="36"/>
  <c r="L642" i="36"/>
  <c r="K642" i="36"/>
  <c r="J642" i="36"/>
  <c r="I642" i="36"/>
  <c r="H642" i="36"/>
  <c r="G642" i="36"/>
  <c r="F642" i="36"/>
  <c r="E642" i="36"/>
  <c r="D642" i="36"/>
  <c r="C642" i="36"/>
  <c r="B642" i="36"/>
  <c r="A642" i="36"/>
  <c r="L641" i="36"/>
  <c r="K641" i="36"/>
  <c r="J641" i="36"/>
  <c r="I641" i="36"/>
  <c r="H641" i="36"/>
  <c r="G641" i="36"/>
  <c r="F641" i="36"/>
  <c r="E641" i="36"/>
  <c r="D641" i="36"/>
  <c r="C641" i="36"/>
  <c r="B641" i="36"/>
  <c r="A641" i="36"/>
  <c r="L640" i="36"/>
  <c r="K640" i="36"/>
  <c r="J640" i="36"/>
  <c r="I640" i="36"/>
  <c r="H640" i="36"/>
  <c r="G640" i="36"/>
  <c r="F640" i="36"/>
  <c r="E640" i="36"/>
  <c r="D640" i="36"/>
  <c r="C640" i="36"/>
  <c r="B640" i="36"/>
  <c r="A640" i="36"/>
  <c r="L639" i="36"/>
  <c r="K639" i="36"/>
  <c r="J639" i="36"/>
  <c r="I639" i="36"/>
  <c r="H639" i="36"/>
  <c r="G639" i="36"/>
  <c r="F639" i="36"/>
  <c r="E639" i="36"/>
  <c r="D639" i="36"/>
  <c r="C639" i="36"/>
  <c r="B639" i="36"/>
  <c r="A639" i="36"/>
  <c r="L638" i="36"/>
  <c r="K638" i="36"/>
  <c r="J638" i="36"/>
  <c r="I638" i="36"/>
  <c r="H638" i="36"/>
  <c r="G638" i="36"/>
  <c r="F638" i="36"/>
  <c r="E638" i="36"/>
  <c r="D638" i="36"/>
  <c r="C638" i="36"/>
  <c r="B638" i="36"/>
  <c r="A638" i="36"/>
  <c r="L637" i="36"/>
  <c r="K637" i="36"/>
  <c r="J637" i="36"/>
  <c r="I637" i="36"/>
  <c r="H637" i="36"/>
  <c r="G637" i="36"/>
  <c r="F637" i="36"/>
  <c r="E637" i="36"/>
  <c r="D637" i="36"/>
  <c r="C637" i="36"/>
  <c r="B637" i="36"/>
  <c r="A637" i="36"/>
  <c r="L636" i="36"/>
  <c r="K636" i="36"/>
  <c r="J636" i="36"/>
  <c r="I636" i="36"/>
  <c r="H636" i="36"/>
  <c r="G636" i="36"/>
  <c r="F636" i="36"/>
  <c r="E636" i="36"/>
  <c r="D636" i="36"/>
  <c r="C636" i="36"/>
  <c r="B636" i="36"/>
  <c r="A636" i="36"/>
  <c r="L635" i="36"/>
  <c r="K635" i="36"/>
  <c r="J635" i="36"/>
  <c r="I635" i="36"/>
  <c r="H635" i="36"/>
  <c r="G635" i="36"/>
  <c r="F635" i="36"/>
  <c r="E635" i="36"/>
  <c r="D635" i="36"/>
  <c r="C635" i="36"/>
  <c r="B635" i="36"/>
  <c r="A635" i="36"/>
  <c r="L634" i="36"/>
  <c r="K634" i="36"/>
  <c r="J634" i="36"/>
  <c r="I634" i="36"/>
  <c r="H634" i="36"/>
  <c r="G634" i="36"/>
  <c r="F634" i="36"/>
  <c r="E634" i="36"/>
  <c r="D634" i="36"/>
  <c r="C634" i="36"/>
  <c r="B634" i="36"/>
  <c r="A634" i="36"/>
  <c r="L633" i="36"/>
  <c r="K633" i="36"/>
  <c r="J633" i="36"/>
  <c r="I633" i="36"/>
  <c r="H633" i="36"/>
  <c r="G633" i="36"/>
  <c r="F633" i="36"/>
  <c r="E633" i="36"/>
  <c r="D633" i="36"/>
  <c r="C633" i="36"/>
  <c r="B633" i="36"/>
  <c r="A633" i="36"/>
  <c r="L632" i="36"/>
  <c r="K632" i="36"/>
  <c r="J632" i="36"/>
  <c r="I632" i="36"/>
  <c r="H632" i="36"/>
  <c r="G632" i="36"/>
  <c r="F632" i="36"/>
  <c r="E632" i="36"/>
  <c r="D632" i="36"/>
  <c r="C632" i="36"/>
  <c r="B632" i="36"/>
  <c r="A632" i="36"/>
  <c r="L631" i="36"/>
  <c r="K631" i="36"/>
  <c r="J631" i="36"/>
  <c r="I631" i="36"/>
  <c r="H631" i="36"/>
  <c r="G631" i="36"/>
  <c r="F631" i="36"/>
  <c r="E631" i="36"/>
  <c r="D631" i="36"/>
  <c r="C631" i="36"/>
  <c r="B631" i="36"/>
  <c r="A631" i="36"/>
  <c r="L630" i="36"/>
  <c r="K630" i="36"/>
  <c r="J630" i="36"/>
  <c r="I630" i="36"/>
  <c r="H630" i="36"/>
  <c r="G630" i="36"/>
  <c r="F630" i="36"/>
  <c r="E630" i="36"/>
  <c r="D630" i="36"/>
  <c r="C630" i="36"/>
  <c r="B630" i="36"/>
  <c r="A630" i="36"/>
  <c r="L629" i="36"/>
  <c r="K629" i="36"/>
  <c r="J629" i="36"/>
  <c r="I629" i="36"/>
  <c r="H629" i="36"/>
  <c r="G629" i="36"/>
  <c r="F629" i="36"/>
  <c r="E629" i="36"/>
  <c r="D629" i="36"/>
  <c r="C629" i="36"/>
  <c r="B629" i="36"/>
  <c r="A629" i="36"/>
  <c r="L628" i="36"/>
  <c r="K628" i="36"/>
  <c r="J628" i="36"/>
  <c r="I628" i="36"/>
  <c r="H628" i="36"/>
  <c r="G628" i="36"/>
  <c r="F628" i="36"/>
  <c r="E628" i="36"/>
  <c r="D628" i="36"/>
  <c r="C628" i="36"/>
  <c r="B628" i="36"/>
  <c r="A628" i="36"/>
  <c r="L627" i="36"/>
  <c r="K627" i="36"/>
  <c r="J627" i="36"/>
  <c r="I627" i="36"/>
  <c r="H627" i="36"/>
  <c r="G627" i="36"/>
  <c r="F627" i="36"/>
  <c r="E627" i="36"/>
  <c r="D627" i="36"/>
  <c r="C627" i="36"/>
  <c r="B627" i="36"/>
  <c r="A627" i="36"/>
  <c r="L626" i="36"/>
  <c r="K626" i="36"/>
  <c r="J626" i="36"/>
  <c r="I626" i="36"/>
  <c r="H626" i="36"/>
  <c r="G626" i="36"/>
  <c r="F626" i="36"/>
  <c r="E626" i="36"/>
  <c r="D626" i="36"/>
  <c r="C626" i="36"/>
  <c r="B626" i="36"/>
  <c r="A626" i="36"/>
  <c r="L625" i="36"/>
  <c r="K625" i="36"/>
  <c r="J625" i="36"/>
  <c r="I625" i="36"/>
  <c r="H625" i="36"/>
  <c r="G625" i="36"/>
  <c r="F625" i="36"/>
  <c r="E625" i="36"/>
  <c r="D625" i="36"/>
  <c r="C625" i="36"/>
  <c r="B625" i="36"/>
  <c r="A625" i="36"/>
  <c r="L624" i="36"/>
  <c r="K624" i="36"/>
  <c r="J624" i="36"/>
  <c r="I624" i="36"/>
  <c r="H624" i="36"/>
  <c r="G624" i="36"/>
  <c r="F624" i="36"/>
  <c r="E624" i="36"/>
  <c r="D624" i="36"/>
  <c r="C624" i="36"/>
  <c r="B624" i="36"/>
  <c r="A624" i="36"/>
  <c r="L623" i="36"/>
  <c r="K623" i="36"/>
  <c r="J623" i="36"/>
  <c r="I623" i="36"/>
  <c r="H623" i="36"/>
  <c r="G623" i="36"/>
  <c r="F623" i="36"/>
  <c r="E623" i="36"/>
  <c r="D623" i="36"/>
  <c r="C623" i="36"/>
  <c r="B623" i="36"/>
  <c r="A623" i="36"/>
  <c r="L622" i="36"/>
  <c r="K622" i="36"/>
  <c r="J622" i="36"/>
  <c r="I622" i="36"/>
  <c r="H622" i="36"/>
  <c r="G622" i="36"/>
  <c r="F622" i="36"/>
  <c r="E622" i="36"/>
  <c r="D622" i="36"/>
  <c r="C622" i="36"/>
  <c r="B622" i="36"/>
  <c r="A622" i="36"/>
  <c r="L621" i="36"/>
  <c r="K621" i="36"/>
  <c r="J621" i="36"/>
  <c r="I621" i="36"/>
  <c r="H621" i="36"/>
  <c r="G621" i="36"/>
  <c r="F621" i="36"/>
  <c r="E621" i="36"/>
  <c r="D621" i="36"/>
  <c r="C621" i="36"/>
  <c r="B621" i="36"/>
  <c r="A621" i="36"/>
  <c r="L620" i="36"/>
  <c r="K620" i="36"/>
  <c r="J620" i="36"/>
  <c r="I620" i="36"/>
  <c r="H620" i="36"/>
  <c r="G620" i="36"/>
  <c r="F620" i="36"/>
  <c r="E620" i="36"/>
  <c r="D620" i="36"/>
  <c r="C620" i="36"/>
  <c r="B620" i="36"/>
  <c r="A620" i="36"/>
  <c r="L619" i="36"/>
  <c r="K619" i="36"/>
  <c r="J619" i="36"/>
  <c r="I619" i="36"/>
  <c r="H619" i="36"/>
  <c r="G619" i="36"/>
  <c r="F619" i="36"/>
  <c r="E619" i="36"/>
  <c r="D619" i="36"/>
  <c r="C619" i="36"/>
  <c r="B619" i="36"/>
  <c r="A619" i="36"/>
  <c r="L618" i="36"/>
  <c r="K618" i="36"/>
  <c r="J618" i="36"/>
  <c r="I618" i="36"/>
  <c r="H618" i="36"/>
  <c r="G618" i="36"/>
  <c r="F618" i="36"/>
  <c r="E618" i="36"/>
  <c r="D618" i="36"/>
  <c r="C618" i="36"/>
  <c r="B618" i="36"/>
  <c r="A618" i="36"/>
  <c r="L617" i="36"/>
  <c r="K617" i="36"/>
  <c r="J617" i="36"/>
  <c r="I617" i="36"/>
  <c r="H617" i="36"/>
  <c r="G617" i="36"/>
  <c r="F617" i="36"/>
  <c r="E617" i="36"/>
  <c r="D617" i="36"/>
  <c r="C617" i="36"/>
  <c r="B617" i="36"/>
  <c r="A617" i="36"/>
  <c r="L616" i="36"/>
  <c r="K616" i="36"/>
  <c r="J616" i="36"/>
  <c r="I616" i="36"/>
  <c r="H616" i="36"/>
  <c r="G616" i="36"/>
  <c r="F616" i="36"/>
  <c r="E616" i="36"/>
  <c r="D616" i="36"/>
  <c r="C616" i="36"/>
  <c r="B616" i="36"/>
  <c r="A616" i="36"/>
  <c r="L615" i="36"/>
  <c r="K615" i="36"/>
  <c r="J615" i="36"/>
  <c r="I615" i="36"/>
  <c r="H615" i="36"/>
  <c r="G615" i="36"/>
  <c r="F615" i="36"/>
  <c r="E615" i="36"/>
  <c r="D615" i="36"/>
  <c r="C615" i="36"/>
  <c r="B615" i="36"/>
  <c r="A615" i="36"/>
  <c r="L614" i="36"/>
  <c r="K614" i="36"/>
  <c r="J614" i="36"/>
  <c r="I614" i="36"/>
  <c r="H614" i="36"/>
  <c r="G614" i="36"/>
  <c r="F614" i="36"/>
  <c r="E614" i="36"/>
  <c r="D614" i="36"/>
  <c r="C614" i="36"/>
  <c r="B614" i="36"/>
  <c r="A614" i="36"/>
  <c r="L613" i="36"/>
  <c r="K613" i="36"/>
  <c r="J613" i="36"/>
  <c r="I613" i="36"/>
  <c r="H613" i="36"/>
  <c r="G613" i="36"/>
  <c r="F613" i="36"/>
  <c r="E613" i="36"/>
  <c r="D613" i="36"/>
  <c r="C613" i="36"/>
  <c r="B613" i="36"/>
  <c r="A613" i="36"/>
  <c r="L612" i="36"/>
  <c r="K612" i="36"/>
  <c r="J612" i="36"/>
  <c r="I612" i="36"/>
  <c r="H612" i="36"/>
  <c r="G612" i="36"/>
  <c r="F612" i="36"/>
  <c r="E612" i="36"/>
  <c r="D612" i="36"/>
  <c r="C612" i="36"/>
  <c r="B612" i="36"/>
  <c r="A612" i="36"/>
  <c r="L611" i="36"/>
  <c r="K611" i="36"/>
  <c r="J611" i="36"/>
  <c r="I611" i="36"/>
  <c r="H611" i="36"/>
  <c r="G611" i="36"/>
  <c r="F611" i="36"/>
  <c r="E611" i="36"/>
  <c r="D611" i="36"/>
  <c r="C611" i="36"/>
  <c r="B611" i="36"/>
  <c r="A611" i="36"/>
  <c r="L610" i="36"/>
  <c r="K610" i="36"/>
  <c r="J610" i="36"/>
  <c r="I610" i="36"/>
  <c r="H610" i="36"/>
  <c r="G610" i="36"/>
  <c r="F610" i="36"/>
  <c r="E610" i="36"/>
  <c r="D610" i="36"/>
  <c r="C610" i="36"/>
  <c r="B610" i="36"/>
  <c r="A610" i="36"/>
  <c r="L609" i="36"/>
  <c r="K609" i="36"/>
  <c r="J609" i="36"/>
  <c r="I609" i="36"/>
  <c r="H609" i="36"/>
  <c r="G609" i="36"/>
  <c r="F609" i="36"/>
  <c r="E609" i="36"/>
  <c r="D609" i="36"/>
  <c r="C609" i="36"/>
  <c r="B609" i="36"/>
  <c r="A609" i="36"/>
  <c r="L608" i="36"/>
  <c r="K608" i="36"/>
  <c r="J608" i="36"/>
  <c r="I608" i="36"/>
  <c r="H608" i="36"/>
  <c r="G608" i="36"/>
  <c r="F608" i="36"/>
  <c r="E608" i="36"/>
  <c r="D608" i="36"/>
  <c r="C608" i="36"/>
  <c r="B608" i="36"/>
  <c r="A608" i="36"/>
  <c r="L607" i="36"/>
  <c r="K607" i="36"/>
  <c r="J607" i="36"/>
  <c r="I607" i="36"/>
  <c r="H607" i="36"/>
  <c r="G607" i="36"/>
  <c r="F607" i="36"/>
  <c r="E607" i="36"/>
  <c r="D607" i="36"/>
  <c r="C607" i="36"/>
  <c r="B607" i="36"/>
  <c r="A607" i="36"/>
  <c r="L606" i="36"/>
  <c r="K606" i="36"/>
  <c r="J606" i="36"/>
  <c r="I606" i="36"/>
  <c r="H606" i="36"/>
  <c r="G606" i="36"/>
  <c r="F606" i="36"/>
  <c r="E606" i="36"/>
  <c r="D606" i="36"/>
  <c r="C606" i="36"/>
  <c r="B606" i="36"/>
  <c r="A606" i="36"/>
  <c r="L605" i="36"/>
  <c r="K605" i="36"/>
  <c r="J605" i="36"/>
  <c r="I605" i="36"/>
  <c r="H605" i="36"/>
  <c r="G605" i="36"/>
  <c r="F605" i="36"/>
  <c r="E605" i="36"/>
  <c r="D605" i="36"/>
  <c r="C605" i="36"/>
  <c r="B605" i="36"/>
  <c r="A605" i="36"/>
  <c r="L604" i="36"/>
  <c r="K604" i="36"/>
  <c r="J604" i="36"/>
  <c r="I604" i="36"/>
  <c r="H604" i="36"/>
  <c r="G604" i="36"/>
  <c r="F604" i="36"/>
  <c r="E604" i="36"/>
  <c r="D604" i="36"/>
  <c r="C604" i="36"/>
  <c r="B604" i="36"/>
  <c r="A604" i="36"/>
  <c r="L603" i="36"/>
  <c r="K603" i="36"/>
  <c r="J603" i="36"/>
  <c r="I603" i="36"/>
  <c r="H603" i="36"/>
  <c r="G603" i="36"/>
  <c r="F603" i="36"/>
  <c r="E603" i="36"/>
  <c r="D603" i="36"/>
  <c r="C603" i="36"/>
  <c r="B603" i="36"/>
  <c r="A603" i="36"/>
  <c r="L602" i="36"/>
  <c r="K602" i="36"/>
  <c r="J602" i="36"/>
  <c r="I602" i="36"/>
  <c r="H602" i="36"/>
  <c r="G602" i="36"/>
  <c r="F602" i="36"/>
  <c r="E602" i="36"/>
  <c r="D602" i="36"/>
  <c r="C602" i="36"/>
  <c r="B602" i="36"/>
  <c r="A602" i="36"/>
  <c r="L601" i="36"/>
  <c r="K601" i="36"/>
  <c r="J601" i="36"/>
  <c r="I601" i="36"/>
  <c r="H601" i="36"/>
  <c r="G601" i="36"/>
  <c r="F601" i="36"/>
  <c r="E601" i="36"/>
  <c r="D601" i="36"/>
  <c r="C601" i="36"/>
  <c r="B601" i="36"/>
  <c r="A601" i="36"/>
  <c r="L600" i="36"/>
  <c r="K600" i="36"/>
  <c r="J600" i="36"/>
  <c r="I600" i="36"/>
  <c r="H600" i="36"/>
  <c r="G600" i="36"/>
  <c r="F600" i="36"/>
  <c r="E600" i="36"/>
  <c r="D600" i="36"/>
  <c r="C600" i="36"/>
  <c r="B600" i="36"/>
  <c r="A600" i="36"/>
  <c r="L599" i="36"/>
  <c r="K599" i="36"/>
  <c r="J599" i="36"/>
  <c r="I599" i="36"/>
  <c r="H599" i="36"/>
  <c r="G599" i="36"/>
  <c r="F599" i="36"/>
  <c r="E599" i="36"/>
  <c r="D599" i="36"/>
  <c r="C599" i="36"/>
  <c r="B599" i="36"/>
  <c r="A599" i="36"/>
  <c r="L598" i="36"/>
  <c r="K598" i="36"/>
  <c r="J598" i="36"/>
  <c r="I598" i="36"/>
  <c r="H598" i="36"/>
  <c r="G598" i="36"/>
  <c r="F598" i="36"/>
  <c r="E598" i="36"/>
  <c r="D598" i="36"/>
  <c r="C598" i="36"/>
  <c r="B598" i="36"/>
  <c r="A598" i="36"/>
  <c r="L597" i="36"/>
  <c r="K597" i="36"/>
  <c r="J597" i="36"/>
  <c r="I597" i="36"/>
  <c r="H597" i="36"/>
  <c r="G597" i="36"/>
  <c r="F597" i="36"/>
  <c r="E597" i="36"/>
  <c r="D597" i="36"/>
  <c r="C597" i="36"/>
  <c r="B597" i="36"/>
  <c r="A597" i="36"/>
  <c r="L596" i="36"/>
  <c r="K596" i="36"/>
  <c r="J596" i="36"/>
  <c r="I596" i="36"/>
  <c r="H596" i="36"/>
  <c r="G596" i="36"/>
  <c r="F596" i="36"/>
  <c r="E596" i="36"/>
  <c r="D596" i="36"/>
  <c r="C596" i="36"/>
  <c r="B596" i="36"/>
  <c r="A596" i="36"/>
  <c r="B595" i="36"/>
  <c r="B594" i="36"/>
  <c r="B593" i="36"/>
  <c r="L590" i="36"/>
  <c r="K590" i="36"/>
  <c r="J590" i="36"/>
  <c r="I590" i="36"/>
  <c r="H590" i="36"/>
  <c r="G590" i="36"/>
  <c r="F590" i="36"/>
  <c r="E590" i="36"/>
  <c r="D590" i="36"/>
  <c r="C590" i="36"/>
  <c r="B590" i="36"/>
  <c r="A590" i="36"/>
  <c r="L589" i="36"/>
  <c r="K589" i="36"/>
  <c r="J589" i="36"/>
  <c r="I589" i="36"/>
  <c r="H589" i="36"/>
  <c r="G589" i="36"/>
  <c r="F589" i="36"/>
  <c r="E589" i="36"/>
  <c r="D589" i="36"/>
  <c r="C589" i="36"/>
  <c r="B589" i="36"/>
  <c r="A589" i="36"/>
  <c r="L588" i="36"/>
  <c r="K588" i="36"/>
  <c r="J588" i="36"/>
  <c r="I588" i="36"/>
  <c r="H588" i="36"/>
  <c r="G588" i="36"/>
  <c r="F588" i="36"/>
  <c r="E588" i="36"/>
  <c r="D588" i="36"/>
  <c r="C588" i="36"/>
  <c r="B588" i="36"/>
  <c r="A588" i="36"/>
  <c r="L587" i="36"/>
  <c r="K587" i="36"/>
  <c r="J587" i="36"/>
  <c r="I587" i="36"/>
  <c r="H587" i="36"/>
  <c r="G587" i="36"/>
  <c r="F587" i="36"/>
  <c r="E587" i="36"/>
  <c r="D587" i="36"/>
  <c r="C587" i="36"/>
  <c r="B587" i="36"/>
  <c r="A587" i="36"/>
  <c r="L586" i="36"/>
  <c r="K586" i="36"/>
  <c r="J586" i="36"/>
  <c r="I586" i="36"/>
  <c r="H586" i="36"/>
  <c r="G586" i="36"/>
  <c r="F586" i="36"/>
  <c r="E586" i="36"/>
  <c r="D586" i="36"/>
  <c r="C586" i="36"/>
  <c r="B586" i="36"/>
  <c r="A586" i="36"/>
  <c r="L585" i="36"/>
  <c r="K585" i="36"/>
  <c r="J585" i="36"/>
  <c r="I585" i="36"/>
  <c r="H585" i="36"/>
  <c r="G585" i="36"/>
  <c r="F585" i="36"/>
  <c r="E585" i="36"/>
  <c r="D585" i="36"/>
  <c r="C585" i="36"/>
  <c r="B585" i="36"/>
  <c r="A585" i="36"/>
  <c r="L584" i="36"/>
  <c r="K584" i="36"/>
  <c r="J584" i="36"/>
  <c r="I584" i="36"/>
  <c r="H584" i="36"/>
  <c r="G584" i="36"/>
  <c r="F584" i="36"/>
  <c r="E584" i="36"/>
  <c r="D584" i="36"/>
  <c r="C584" i="36"/>
  <c r="B584" i="36"/>
  <c r="A584" i="36"/>
  <c r="L583" i="36"/>
  <c r="K583" i="36"/>
  <c r="J583" i="36"/>
  <c r="I583" i="36"/>
  <c r="H583" i="36"/>
  <c r="G583" i="36"/>
  <c r="F583" i="36"/>
  <c r="E583" i="36"/>
  <c r="D583" i="36"/>
  <c r="C583" i="36"/>
  <c r="B583" i="36"/>
  <c r="A583" i="36"/>
  <c r="L582" i="36"/>
  <c r="K582" i="36"/>
  <c r="J582" i="36"/>
  <c r="I582" i="36"/>
  <c r="H582" i="36"/>
  <c r="G582" i="36"/>
  <c r="F582" i="36"/>
  <c r="E582" i="36"/>
  <c r="D582" i="36"/>
  <c r="C582" i="36"/>
  <c r="B582" i="36"/>
  <c r="A582" i="36"/>
  <c r="L581" i="36"/>
  <c r="K581" i="36"/>
  <c r="J581" i="36"/>
  <c r="I581" i="36"/>
  <c r="H581" i="36"/>
  <c r="G581" i="36"/>
  <c r="F581" i="36"/>
  <c r="E581" i="36"/>
  <c r="D581" i="36"/>
  <c r="C581" i="36"/>
  <c r="B581" i="36"/>
  <c r="A581" i="36"/>
  <c r="L580" i="36"/>
  <c r="K580" i="36"/>
  <c r="J580" i="36"/>
  <c r="I580" i="36"/>
  <c r="H580" i="36"/>
  <c r="G580" i="36"/>
  <c r="F580" i="36"/>
  <c r="E580" i="36"/>
  <c r="D580" i="36"/>
  <c r="C580" i="36"/>
  <c r="B580" i="36"/>
  <c r="A580" i="36"/>
  <c r="L579" i="36"/>
  <c r="K579" i="36"/>
  <c r="J579" i="36"/>
  <c r="I579" i="36"/>
  <c r="H579" i="36"/>
  <c r="G579" i="36"/>
  <c r="F579" i="36"/>
  <c r="E579" i="36"/>
  <c r="D579" i="36"/>
  <c r="C579" i="36"/>
  <c r="B579" i="36"/>
  <c r="A579" i="36"/>
  <c r="L578" i="36"/>
  <c r="K578" i="36"/>
  <c r="J578" i="36"/>
  <c r="I578" i="36"/>
  <c r="H578" i="36"/>
  <c r="G578" i="36"/>
  <c r="F578" i="36"/>
  <c r="E578" i="36"/>
  <c r="D578" i="36"/>
  <c r="C578" i="36"/>
  <c r="B578" i="36"/>
  <c r="A578" i="36"/>
  <c r="L577" i="36"/>
  <c r="K577" i="36"/>
  <c r="J577" i="36"/>
  <c r="I577" i="36"/>
  <c r="H577" i="36"/>
  <c r="G577" i="36"/>
  <c r="F577" i="36"/>
  <c r="E577" i="36"/>
  <c r="D577" i="36"/>
  <c r="C577" i="36"/>
  <c r="B577" i="36"/>
  <c r="A577" i="36"/>
  <c r="L576" i="36"/>
  <c r="K576" i="36"/>
  <c r="J576" i="36"/>
  <c r="I576" i="36"/>
  <c r="H576" i="36"/>
  <c r="G576" i="36"/>
  <c r="F576" i="36"/>
  <c r="E576" i="36"/>
  <c r="D576" i="36"/>
  <c r="C576" i="36"/>
  <c r="B576" i="36"/>
  <c r="A576" i="36"/>
  <c r="L575" i="36"/>
  <c r="K575" i="36"/>
  <c r="J575" i="36"/>
  <c r="I575" i="36"/>
  <c r="H575" i="36"/>
  <c r="G575" i="36"/>
  <c r="F575" i="36"/>
  <c r="E575" i="36"/>
  <c r="D575" i="36"/>
  <c r="C575" i="36"/>
  <c r="B575" i="36"/>
  <c r="A575" i="36"/>
  <c r="L574" i="36"/>
  <c r="K574" i="36"/>
  <c r="J574" i="36"/>
  <c r="I574" i="36"/>
  <c r="H574" i="36"/>
  <c r="G574" i="36"/>
  <c r="F574" i="36"/>
  <c r="E574" i="36"/>
  <c r="D574" i="36"/>
  <c r="C574" i="36"/>
  <c r="B574" i="36"/>
  <c r="A574" i="36"/>
  <c r="L573" i="36"/>
  <c r="K573" i="36"/>
  <c r="J573" i="36"/>
  <c r="I573" i="36"/>
  <c r="H573" i="36"/>
  <c r="G573" i="36"/>
  <c r="F573" i="36"/>
  <c r="E573" i="36"/>
  <c r="D573" i="36"/>
  <c r="C573" i="36"/>
  <c r="B573" i="36"/>
  <c r="A573" i="36"/>
  <c r="L572" i="36"/>
  <c r="K572" i="36"/>
  <c r="J572" i="36"/>
  <c r="I572" i="36"/>
  <c r="H572" i="36"/>
  <c r="G572" i="36"/>
  <c r="F572" i="36"/>
  <c r="E572" i="36"/>
  <c r="D572" i="36"/>
  <c r="C572" i="36"/>
  <c r="B572" i="36"/>
  <c r="A572" i="36"/>
  <c r="L571" i="36"/>
  <c r="K571" i="36"/>
  <c r="J571" i="36"/>
  <c r="I571" i="36"/>
  <c r="H571" i="36"/>
  <c r="G571" i="36"/>
  <c r="F571" i="36"/>
  <c r="E571" i="36"/>
  <c r="D571" i="36"/>
  <c r="C571" i="36"/>
  <c r="B571" i="36"/>
  <c r="A571" i="36"/>
  <c r="L570" i="36"/>
  <c r="K570" i="36"/>
  <c r="J570" i="36"/>
  <c r="I570" i="36"/>
  <c r="H570" i="36"/>
  <c r="G570" i="36"/>
  <c r="F570" i="36"/>
  <c r="E570" i="36"/>
  <c r="D570" i="36"/>
  <c r="C570" i="36"/>
  <c r="B570" i="36"/>
  <c r="A570" i="36"/>
  <c r="L569" i="36"/>
  <c r="K569" i="36"/>
  <c r="J569" i="36"/>
  <c r="I569" i="36"/>
  <c r="H569" i="36"/>
  <c r="G569" i="36"/>
  <c r="F569" i="36"/>
  <c r="E569" i="36"/>
  <c r="D569" i="36"/>
  <c r="C569" i="36"/>
  <c r="B569" i="36"/>
  <c r="A569" i="36"/>
  <c r="L568" i="36"/>
  <c r="K568" i="36"/>
  <c r="J568" i="36"/>
  <c r="I568" i="36"/>
  <c r="H568" i="36"/>
  <c r="G568" i="36"/>
  <c r="F568" i="36"/>
  <c r="E568" i="36"/>
  <c r="D568" i="36"/>
  <c r="C568" i="36"/>
  <c r="B568" i="36"/>
  <c r="A568" i="36"/>
  <c r="L567" i="36"/>
  <c r="K567" i="36"/>
  <c r="J567" i="36"/>
  <c r="I567" i="36"/>
  <c r="H567" i="36"/>
  <c r="G567" i="36"/>
  <c r="F567" i="36"/>
  <c r="E567" i="36"/>
  <c r="D567" i="36"/>
  <c r="C567" i="36"/>
  <c r="B567" i="36"/>
  <c r="A567" i="36"/>
  <c r="L566" i="36"/>
  <c r="K566" i="36"/>
  <c r="J566" i="36"/>
  <c r="I566" i="36"/>
  <c r="H566" i="36"/>
  <c r="G566" i="36"/>
  <c r="F566" i="36"/>
  <c r="E566" i="36"/>
  <c r="D566" i="36"/>
  <c r="C566" i="36"/>
  <c r="B566" i="36"/>
  <c r="A566" i="36"/>
  <c r="L565" i="36"/>
  <c r="K565" i="36"/>
  <c r="J565" i="36"/>
  <c r="I565" i="36"/>
  <c r="H565" i="36"/>
  <c r="G565" i="36"/>
  <c r="F565" i="36"/>
  <c r="E565" i="36"/>
  <c r="D565" i="36"/>
  <c r="C565" i="36"/>
  <c r="B565" i="36"/>
  <c r="A565" i="36"/>
  <c r="L564" i="36"/>
  <c r="K564" i="36"/>
  <c r="J564" i="36"/>
  <c r="I564" i="36"/>
  <c r="H564" i="36"/>
  <c r="G564" i="36"/>
  <c r="F564" i="36"/>
  <c r="E564" i="36"/>
  <c r="D564" i="36"/>
  <c r="C564" i="36"/>
  <c r="B564" i="36"/>
  <c r="A564" i="36"/>
  <c r="L563" i="36"/>
  <c r="K563" i="36"/>
  <c r="J563" i="36"/>
  <c r="I563" i="36"/>
  <c r="H563" i="36"/>
  <c r="G563" i="36"/>
  <c r="F563" i="36"/>
  <c r="E563" i="36"/>
  <c r="D563" i="36"/>
  <c r="C563" i="36"/>
  <c r="B563" i="36"/>
  <c r="A563" i="36"/>
  <c r="L562" i="36"/>
  <c r="K562" i="36"/>
  <c r="J562" i="36"/>
  <c r="I562" i="36"/>
  <c r="H562" i="36"/>
  <c r="G562" i="36"/>
  <c r="F562" i="36"/>
  <c r="E562" i="36"/>
  <c r="D562" i="36"/>
  <c r="C562" i="36"/>
  <c r="B562" i="36"/>
  <c r="A562" i="36"/>
  <c r="L561" i="36"/>
  <c r="K561" i="36"/>
  <c r="J561" i="36"/>
  <c r="I561" i="36"/>
  <c r="H561" i="36"/>
  <c r="G561" i="36"/>
  <c r="F561" i="36"/>
  <c r="E561" i="36"/>
  <c r="D561" i="36"/>
  <c r="C561" i="36"/>
  <c r="B561" i="36"/>
  <c r="A561" i="36"/>
  <c r="L560" i="36"/>
  <c r="K560" i="36"/>
  <c r="J560" i="36"/>
  <c r="I560" i="36"/>
  <c r="H560" i="36"/>
  <c r="G560" i="36"/>
  <c r="F560" i="36"/>
  <c r="E560" i="36"/>
  <c r="D560" i="36"/>
  <c r="C560" i="36"/>
  <c r="B560" i="36"/>
  <c r="A560" i="36"/>
  <c r="L559" i="36"/>
  <c r="K559" i="36"/>
  <c r="J559" i="36"/>
  <c r="I559" i="36"/>
  <c r="H559" i="36"/>
  <c r="G559" i="36"/>
  <c r="F559" i="36"/>
  <c r="E559" i="36"/>
  <c r="D559" i="36"/>
  <c r="C559" i="36"/>
  <c r="B559" i="36"/>
  <c r="A559" i="36"/>
  <c r="L558" i="36"/>
  <c r="K558" i="36"/>
  <c r="J558" i="36"/>
  <c r="I558" i="36"/>
  <c r="H558" i="36"/>
  <c r="G558" i="36"/>
  <c r="F558" i="36"/>
  <c r="E558" i="36"/>
  <c r="D558" i="36"/>
  <c r="C558" i="36"/>
  <c r="B558" i="36"/>
  <c r="A558" i="36"/>
  <c r="L557" i="36"/>
  <c r="K557" i="36"/>
  <c r="J557" i="36"/>
  <c r="I557" i="36"/>
  <c r="H557" i="36"/>
  <c r="G557" i="36"/>
  <c r="F557" i="36"/>
  <c r="E557" i="36"/>
  <c r="D557" i="36"/>
  <c r="C557" i="36"/>
  <c r="B557" i="36"/>
  <c r="A557" i="36"/>
  <c r="L556" i="36"/>
  <c r="K556" i="36"/>
  <c r="J556" i="36"/>
  <c r="I556" i="36"/>
  <c r="H556" i="36"/>
  <c r="G556" i="36"/>
  <c r="F556" i="36"/>
  <c r="E556" i="36"/>
  <c r="D556" i="36"/>
  <c r="C556" i="36"/>
  <c r="B556" i="36"/>
  <c r="A556" i="36"/>
  <c r="L555" i="36"/>
  <c r="K555" i="36"/>
  <c r="J555" i="36"/>
  <c r="I555" i="36"/>
  <c r="H555" i="36"/>
  <c r="G555" i="36"/>
  <c r="F555" i="36"/>
  <c r="E555" i="36"/>
  <c r="D555" i="36"/>
  <c r="C555" i="36"/>
  <c r="B555" i="36"/>
  <c r="A555" i="36"/>
  <c r="L554" i="36"/>
  <c r="K554" i="36"/>
  <c r="J554" i="36"/>
  <c r="I554" i="36"/>
  <c r="H554" i="36"/>
  <c r="G554" i="36"/>
  <c r="F554" i="36"/>
  <c r="E554" i="36"/>
  <c r="D554" i="36"/>
  <c r="C554" i="36"/>
  <c r="B554" i="36"/>
  <c r="A554" i="36"/>
  <c r="L553" i="36"/>
  <c r="K553" i="36"/>
  <c r="J553" i="36"/>
  <c r="I553" i="36"/>
  <c r="H553" i="36"/>
  <c r="G553" i="36"/>
  <c r="F553" i="36"/>
  <c r="E553" i="36"/>
  <c r="D553" i="36"/>
  <c r="C553" i="36"/>
  <c r="B553" i="36"/>
  <c r="A553" i="36"/>
  <c r="L552" i="36"/>
  <c r="K552" i="36"/>
  <c r="J552" i="36"/>
  <c r="I552" i="36"/>
  <c r="H552" i="36"/>
  <c r="G552" i="36"/>
  <c r="F552" i="36"/>
  <c r="E552" i="36"/>
  <c r="D552" i="36"/>
  <c r="C552" i="36"/>
  <c r="B552" i="36"/>
  <c r="A552" i="36"/>
  <c r="L551" i="36"/>
  <c r="K551" i="36"/>
  <c r="J551" i="36"/>
  <c r="I551" i="36"/>
  <c r="H551" i="36"/>
  <c r="G551" i="36"/>
  <c r="F551" i="36"/>
  <c r="E551" i="36"/>
  <c r="D551" i="36"/>
  <c r="C551" i="36"/>
  <c r="B551" i="36"/>
  <c r="A551" i="36"/>
  <c r="L550" i="36"/>
  <c r="K550" i="36"/>
  <c r="J550" i="36"/>
  <c r="I550" i="36"/>
  <c r="H550" i="36"/>
  <c r="G550" i="36"/>
  <c r="F550" i="36"/>
  <c r="E550" i="36"/>
  <c r="D550" i="36"/>
  <c r="C550" i="36"/>
  <c r="B550" i="36"/>
  <c r="A550" i="36"/>
  <c r="L549" i="36"/>
  <c r="K549" i="36"/>
  <c r="J549" i="36"/>
  <c r="I549" i="36"/>
  <c r="H549" i="36"/>
  <c r="G549" i="36"/>
  <c r="F549" i="36"/>
  <c r="E549" i="36"/>
  <c r="D549" i="36"/>
  <c r="C549" i="36"/>
  <c r="B549" i="36"/>
  <c r="A549" i="36"/>
  <c r="L548" i="36"/>
  <c r="K548" i="36"/>
  <c r="J548" i="36"/>
  <c r="I548" i="36"/>
  <c r="H548" i="36"/>
  <c r="G548" i="36"/>
  <c r="F548" i="36"/>
  <c r="E548" i="36"/>
  <c r="D548" i="36"/>
  <c r="C548" i="36"/>
  <c r="B548" i="36"/>
  <c r="A548" i="36"/>
  <c r="L547" i="36"/>
  <c r="K547" i="36"/>
  <c r="J547" i="36"/>
  <c r="I547" i="36"/>
  <c r="H547" i="36"/>
  <c r="G547" i="36"/>
  <c r="F547" i="36"/>
  <c r="E547" i="36"/>
  <c r="D547" i="36"/>
  <c r="C547" i="36"/>
  <c r="B547" i="36"/>
  <c r="A547" i="36"/>
  <c r="L546" i="36"/>
  <c r="K546" i="36"/>
  <c r="J546" i="36"/>
  <c r="I546" i="36"/>
  <c r="H546" i="36"/>
  <c r="G546" i="36"/>
  <c r="F546" i="36"/>
  <c r="E546" i="36"/>
  <c r="D546" i="36"/>
  <c r="C546" i="36"/>
  <c r="B546" i="36"/>
  <c r="A546" i="36"/>
  <c r="L545" i="36"/>
  <c r="K545" i="36"/>
  <c r="J545" i="36"/>
  <c r="I545" i="36"/>
  <c r="H545" i="36"/>
  <c r="G545" i="36"/>
  <c r="F545" i="36"/>
  <c r="E545" i="36"/>
  <c r="D545" i="36"/>
  <c r="C545" i="36"/>
  <c r="B545" i="36"/>
  <c r="A545" i="36"/>
  <c r="L544" i="36"/>
  <c r="K544" i="36"/>
  <c r="J544" i="36"/>
  <c r="I544" i="36"/>
  <c r="H544" i="36"/>
  <c r="G544" i="36"/>
  <c r="F544" i="36"/>
  <c r="E544" i="36"/>
  <c r="D544" i="36"/>
  <c r="C544" i="36"/>
  <c r="B544" i="36"/>
  <c r="A544" i="36"/>
  <c r="L543" i="36"/>
  <c r="K543" i="36"/>
  <c r="J543" i="36"/>
  <c r="I543" i="36"/>
  <c r="H543" i="36"/>
  <c r="G543" i="36"/>
  <c r="F543" i="36"/>
  <c r="E543" i="36"/>
  <c r="D543" i="36"/>
  <c r="C543" i="36"/>
  <c r="B543" i="36"/>
  <c r="A543" i="36"/>
  <c r="L542" i="36"/>
  <c r="K542" i="36"/>
  <c r="J542" i="36"/>
  <c r="I542" i="36"/>
  <c r="H542" i="36"/>
  <c r="G542" i="36"/>
  <c r="F542" i="36"/>
  <c r="E542" i="36"/>
  <c r="D542" i="36"/>
  <c r="C542" i="36"/>
  <c r="B542" i="36"/>
  <c r="A542" i="36"/>
  <c r="L541" i="36"/>
  <c r="K541" i="36"/>
  <c r="J541" i="36"/>
  <c r="I541" i="36"/>
  <c r="H541" i="36"/>
  <c r="G541" i="36"/>
  <c r="F541" i="36"/>
  <c r="E541" i="36"/>
  <c r="D541" i="36"/>
  <c r="C541" i="36"/>
  <c r="B541" i="36"/>
  <c r="A541" i="36"/>
  <c r="L540" i="36"/>
  <c r="K540" i="36"/>
  <c r="J540" i="36"/>
  <c r="I540" i="36"/>
  <c r="H540" i="36"/>
  <c r="G540" i="36"/>
  <c r="F540" i="36"/>
  <c r="E540" i="36"/>
  <c r="D540" i="36"/>
  <c r="C540" i="36"/>
  <c r="B540" i="36"/>
  <c r="A540" i="36"/>
  <c r="L539" i="36"/>
  <c r="K539" i="36"/>
  <c r="J539" i="36"/>
  <c r="I539" i="36"/>
  <c r="H539" i="36"/>
  <c r="G539" i="36"/>
  <c r="F539" i="36"/>
  <c r="E539" i="36"/>
  <c r="D539" i="36"/>
  <c r="C539" i="36"/>
  <c r="B539" i="36"/>
  <c r="A539" i="36"/>
  <c r="L538" i="36"/>
  <c r="K538" i="36"/>
  <c r="J538" i="36"/>
  <c r="I538" i="36"/>
  <c r="H538" i="36"/>
  <c r="G538" i="36"/>
  <c r="F538" i="36"/>
  <c r="E538" i="36"/>
  <c r="D538" i="36"/>
  <c r="C538" i="36"/>
  <c r="B538" i="36"/>
  <c r="A538" i="36"/>
  <c r="L537" i="36"/>
  <c r="K537" i="36"/>
  <c r="J537" i="36"/>
  <c r="I537" i="36"/>
  <c r="H537" i="36"/>
  <c r="G537" i="36"/>
  <c r="F537" i="36"/>
  <c r="E537" i="36"/>
  <c r="D537" i="36"/>
  <c r="C537" i="36"/>
  <c r="B537" i="36"/>
  <c r="A537" i="36"/>
  <c r="L536" i="36"/>
  <c r="K536" i="36"/>
  <c r="J536" i="36"/>
  <c r="I536" i="36"/>
  <c r="H536" i="36"/>
  <c r="G536" i="36"/>
  <c r="F536" i="36"/>
  <c r="E536" i="36"/>
  <c r="D536" i="36"/>
  <c r="C536" i="36"/>
  <c r="B536" i="36"/>
  <c r="A536" i="36"/>
  <c r="L535" i="36"/>
  <c r="K535" i="36"/>
  <c r="J535" i="36"/>
  <c r="I535" i="36"/>
  <c r="H535" i="36"/>
  <c r="G535" i="36"/>
  <c r="F535" i="36"/>
  <c r="E535" i="36"/>
  <c r="D535" i="36"/>
  <c r="C535" i="36"/>
  <c r="B535" i="36"/>
  <c r="A535" i="36"/>
  <c r="L534" i="36"/>
  <c r="K534" i="36"/>
  <c r="J534" i="36"/>
  <c r="I534" i="36"/>
  <c r="H534" i="36"/>
  <c r="G534" i="36"/>
  <c r="F534" i="36"/>
  <c r="E534" i="36"/>
  <c r="D534" i="36"/>
  <c r="C534" i="36"/>
  <c r="B534" i="36"/>
  <c r="A534" i="36"/>
  <c r="L533" i="36"/>
  <c r="K533" i="36"/>
  <c r="J533" i="36"/>
  <c r="I533" i="36"/>
  <c r="H533" i="36"/>
  <c r="G533" i="36"/>
  <c r="F533" i="36"/>
  <c r="E533" i="36"/>
  <c r="D533" i="36"/>
  <c r="C533" i="36"/>
  <c r="B533" i="36"/>
  <c r="A533" i="36"/>
  <c r="L532" i="36"/>
  <c r="K532" i="36"/>
  <c r="J532" i="36"/>
  <c r="I532" i="36"/>
  <c r="H532" i="36"/>
  <c r="G532" i="36"/>
  <c r="F532" i="36"/>
  <c r="E532" i="36"/>
  <c r="D532" i="36"/>
  <c r="C532" i="36"/>
  <c r="B532" i="36"/>
  <c r="A532" i="36"/>
  <c r="L531" i="36"/>
  <c r="K531" i="36"/>
  <c r="J531" i="36"/>
  <c r="I531" i="36"/>
  <c r="H531" i="36"/>
  <c r="G531" i="36"/>
  <c r="F531" i="36"/>
  <c r="E531" i="36"/>
  <c r="D531" i="36"/>
  <c r="C531" i="36"/>
  <c r="B531" i="36"/>
  <c r="A531" i="36"/>
  <c r="L530" i="36"/>
  <c r="K530" i="36"/>
  <c r="J530" i="36"/>
  <c r="I530" i="36"/>
  <c r="H530" i="36"/>
  <c r="G530" i="36"/>
  <c r="F530" i="36"/>
  <c r="E530" i="36"/>
  <c r="D530" i="36"/>
  <c r="C530" i="36"/>
  <c r="B530" i="36"/>
  <c r="A530" i="36"/>
  <c r="L529" i="36"/>
  <c r="K529" i="36"/>
  <c r="J529" i="36"/>
  <c r="I529" i="36"/>
  <c r="H529" i="36"/>
  <c r="G529" i="36"/>
  <c r="F529" i="36"/>
  <c r="E529" i="36"/>
  <c r="D529" i="36"/>
  <c r="C529" i="36"/>
  <c r="B529" i="36"/>
  <c r="A529" i="36"/>
  <c r="L528" i="36"/>
  <c r="K528" i="36"/>
  <c r="J528" i="36"/>
  <c r="I528" i="36"/>
  <c r="H528" i="36"/>
  <c r="G528" i="36"/>
  <c r="F528" i="36"/>
  <c r="E528" i="36"/>
  <c r="D528" i="36"/>
  <c r="C528" i="36"/>
  <c r="B528" i="36"/>
  <c r="A528" i="36"/>
  <c r="L527" i="36"/>
  <c r="K527" i="36"/>
  <c r="J527" i="36"/>
  <c r="I527" i="36"/>
  <c r="H527" i="36"/>
  <c r="G527" i="36"/>
  <c r="F527" i="36"/>
  <c r="E527" i="36"/>
  <c r="D527" i="36"/>
  <c r="C527" i="36"/>
  <c r="B527" i="36"/>
  <c r="A527" i="36"/>
  <c r="L526" i="36"/>
  <c r="K526" i="36"/>
  <c r="J526" i="36"/>
  <c r="I526" i="36"/>
  <c r="H526" i="36"/>
  <c r="G526" i="36"/>
  <c r="F526" i="36"/>
  <c r="E526" i="36"/>
  <c r="D526" i="36"/>
  <c r="C526" i="36"/>
  <c r="B526" i="36"/>
  <c r="A526" i="36"/>
  <c r="L525" i="36"/>
  <c r="K525" i="36"/>
  <c r="J525" i="36"/>
  <c r="I525" i="36"/>
  <c r="H525" i="36"/>
  <c r="G525" i="36"/>
  <c r="F525" i="36"/>
  <c r="E525" i="36"/>
  <c r="D525" i="36"/>
  <c r="C525" i="36"/>
  <c r="B525" i="36"/>
  <c r="A525" i="36"/>
  <c r="L524" i="36"/>
  <c r="K524" i="36"/>
  <c r="J524" i="36"/>
  <c r="I524" i="36"/>
  <c r="H524" i="36"/>
  <c r="G524" i="36"/>
  <c r="F524" i="36"/>
  <c r="E524" i="36"/>
  <c r="D524" i="36"/>
  <c r="C524" i="36"/>
  <c r="B524" i="36"/>
  <c r="A524" i="36"/>
  <c r="L523" i="36"/>
  <c r="K523" i="36"/>
  <c r="J523" i="36"/>
  <c r="I523" i="36"/>
  <c r="H523" i="36"/>
  <c r="G523" i="36"/>
  <c r="F523" i="36"/>
  <c r="E523" i="36"/>
  <c r="D523" i="36"/>
  <c r="C523" i="36"/>
  <c r="B523" i="36"/>
  <c r="A523" i="36"/>
  <c r="L522" i="36"/>
  <c r="K522" i="36"/>
  <c r="J522" i="36"/>
  <c r="I522" i="36"/>
  <c r="H522" i="36"/>
  <c r="G522" i="36"/>
  <c r="F522" i="36"/>
  <c r="E522" i="36"/>
  <c r="D522" i="36"/>
  <c r="C522" i="36"/>
  <c r="B522" i="36"/>
  <c r="A522" i="36"/>
  <c r="L521" i="36"/>
  <c r="K521" i="36"/>
  <c r="J521" i="36"/>
  <c r="I521" i="36"/>
  <c r="H521" i="36"/>
  <c r="G521" i="36"/>
  <c r="F521" i="36"/>
  <c r="E521" i="36"/>
  <c r="D521" i="36"/>
  <c r="C521" i="36"/>
  <c r="B521" i="36"/>
  <c r="A521" i="36"/>
  <c r="L520" i="36"/>
  <c r="K520" i="36"/>
  <c r="J520" i="36"/>
  <c r="I520" i="36"/>
  <c r="H520" i="36"/>
  <c r="G520" i="36"/>
  <c r="F520" i="36"/>
  <c r="E520" i="36"/>
  <c r="D520" i="36"/>
  <c r="C520" i="36"/>
  <c r="B520" i="36"/>
  <c r="A520" i="36"/>
  <c r="L519" i="36"/>
  <c r="K519" i="36"/>
  <c r="J519" i="36"/>
  <c r="I519" i="36"/>
  <c r="H519" i="36"/>
  <c r="G519" i="36"/>
  <c r="F519" i="36"/>
  <c r="E519" i="36"/>
  <c r="D519" i="36"/>
  <c r="C519" i="36"/>
  <c r="B519" i="36"/>
  <c r="A519" i="36"/>
  <c r="L518" i="36"/>
  <c r="K518" i="36"/>
  <c r="J518" i="36"/>
  <c r="I518" i="36"/>
  <c r="H518" i="36"/>
  <c r="G518" i="36"/>
  <c r="F518" i="36"/>
  <c r="E518" i="36"/>
  <c r="D518" i="36"/>
  <c r="C518" i="36"/>
  <c r="B518" i="36"/>
  <c r="A518" i="36"/>
  <c r="L517" i="36"/>
  <c r="K517" i="36"/>
  <c r="J517" i="36"/>
  <c r="I517" i="36"/>
  <c r="H517" i="36"/>
  <c r="G517" i="36"/>
  <c r="F517" i="36"/>
  <c r="E517" i="36"/>
  <c r="D517" i="36"/>
  <c r="C517" i="36"/>
  <c r="B517" i="36"/>
  <c r="A517" i="36"/>
  <c r="L516" i="36"/>
  <c r="K516" i="36"/>
  <c r="J516" i="36"/>
  <c r="I516" i="36"/>
  <c r="H516" i="36"/>
  <c r="G516" i="36"/>
  <c r="F516" i="36"/>
  <c r="E516" i="36"/>
  <c r="D516" i="36"/>
  <c r="C516" i="36"/>
  <c r="B516" i="36"/>
  <c r="A516" i="36"/>
  <c r="L515" i="36"/>
  <c r="K515" i="36"/>
  <c r="J515" i="36"/>
  <c r="I515" i="36"/>
  <c r="H515" i="36"/>
  <c r="G515" i="36"/>
  <c r="F515" i="36"/>
  <c r="E515" i="36"/>
  <c r="D515" i="36"/>
  <c r="C515" i="36"/>
  <c r="B515" i="36"/>
  <c r="A515" i="36"/>
  <c r="L514" i="36"/>
  <c r="K514" i="36"/>
  <c r="J514" i="36"/>
  <c r="I514" i="36"/>
  <c r="H514" i="36"/>
  <c r="G514" i="36"/>
  <c r="F514" i="36"/>
  <c r="E514" i="36"/>
  <c r="D514" i="36"/>
  <c r="C514" i="36"/>
  <c r="B514" i="36"/>
  <c r="A514" i="36"/>
  <c r="L513" i="36"/>
  <c r="K513" i="36"/>
  <c r="J513" i="36"/>
  <c r="I513" i="36"/>
  <c r="H513" i="36"/>
  <c r="G513" i="36"/>
  <c r="F513" i="36"/>
  <c r="E513" i="36"/>
  <c r="D513" i="36"/>
  <c r="C513" i="36"/>
  <c r="B513" i="36"/>
  <c r="A513" i="36"/>
  <c r="L512" i="36"/>
  <c r="K512" i="36"/>
  <c r="J512" i="36"/>
  <c r="I512" i="36"/>
  <c r="H512" i="36"/>
  <c r="G512" i="36"/>
  <c r="F512" i="36"/>
  <c r="E512" i="36"/>
  <c r="D512" i="36"/>
  <c r="C512" i="36"/>
  <c r="B512" i="36"/>
  <c r="A512" i="36"/>
  <c r="L511" i="36"/>
  <c r="K511" i="36"/>
  <c r="J511" i="36"/>
  <c r="I511" i="36"/>
  <c r="H511" i="36"/>
  <c r="G511" i="36"/>
  <c r="F511" i="36"/>
  <c r="E511" i="36"/>
  <c r="D511" i="36"/>
  <c r="C511" i="36"/>
  <c r="B511" i="36"/>
  <c r="A511" i="36"/>
  <c r="L510" i="36"/>
  <c r="K510" i="36"/>
  <c r="J510" i="36"/>
  <c r="I510" i="36"/>
  <c r="H510" i="36"/>
  <c r="G510" i="36"/>
  <c r="F510" i="36"/>
  <c r="E510" i="36"/>
  <c r="D510" i="36"/>
  <c r="C510" i="36"/>
  <c r="B510" i="36"/>
  <c r="A510" i="36"/>
  <c r="L509" i="36"/>
  <c r="K509" i="36"/>
  <c r="J509" i="36"/>
  <c r="I509" i="36"/>
  <c r="H509" i="36"/>
  <c r="G509" i="36"/>
  <c r="F509" i="36"/>
  <c r="E509" i="36"/>
  <c r="D509" i="36"/>
  <c r="C509" i="36"/>
  <c r="B509" i="36"/>
  <c r="A509" i="36"/>
  <c r="L508" i="36"/>
  <c r="K508" i="36"/>
  <c r="J508" i="36"/>
  <c r="I508" i="36"/>
  <c r="H508" i="36"/>
  <c r="G508" i="36"/>
  <c r="F508" i="36"/>
  <c r="E508" i="36"/>
  <c r="D508" i="36"/>
  <c r="C508" i="36"/>
  <c r="B508" i="36"/>
  <c r="A508" i="36"/>
  <c r="L507" i="36"/>
  <c r="K507" i="36"/>
  <c r="J507" i="36"/>
  <c r="I507" i="36"/>
  <c r="H507" i="36"/>
  <c r="G507" i="36"/>
  <c r="F507" i="36"/>
  <c r="E507" i="36"/>
  <c r="D507" i="36"/>
  <c r="C507" i="36"/>
  <c r="B507" i="36"/>
  <c r="A507" i="36"/>
  <c r="L506" i="36"/>
  <c r="K506" i="36"/>
  <c r="J506" i="36"/>
  <c r="I506" i="36"/>
  <c r="H506" i="36"/>
  <c r="G506" i="36"/>
  <c r="F506" i="36"/>
  <c r="E506" i="36"/>
  <c r="D506" i="36"/>
  <c r="C506" i="36"/>
  <c r="B506" i="36"/>
  <c r="A506" i="36"/>
  <c r="L505" i="36"/>
  <c r="K505" i="36"/>
  <c r="J505" i="36"/>
  <c r="I505" i="36"/>
  <c r="H505" i="36"/>
  <c r="G505" i="36"/>
  <c r="F505" i="36"/>
  <c r="E505" i="36"/>
  <c r="D505" i="36"/>
  <c r="C505" i="36"/>
  <c r="B505" i="36"/>
  <c r="A505" i="36"/>
  <c r="L504" i="36"/>
  <c r="K504" i="36"/>
  <c r="J504" i="36"/>
  <c r="I504" i="36"/>
  <c r="H504" i="36"/>
  <c r="G504" i="36"/>
  <c r="F504" i="36"/>
  <c r="E504" i="36"/>
  <c r="D504" i="36"/>
  <c r="C504" i="36"/>
  <c r="B504" i="36"/>
  <c r="A504" i="36"/>
  <c r="L503" i="36"/>
  <c r="K503" i="36"/>
  <c r="J503" i="36"/>
  <c r="I503" i="36"/>
  <c r="H503" i="36"/>
  <c r="G503" i="36"/>
  <c r="F503" i="36"/>
  <c r="E503" i="36"/>
  <c r="D503" i="36"/>
  <c r="C503" i="36"/>
  <c r="B503" i="36"/>
  <c r="A503" i="36"/>
  <c r="L502" i="36"/>
  <c r="K502" i="36"/>
  <c r="J502" i="36"/>
  <c r="I502" i="36"/>
  <c r="H502" i="36"/>
  <c r="G502" i="36"/>
  <c r="F502" i="36"/>
  <c r="E502" i="36"/>
  <c r="D502" i="36"/>
  <c r="C502" i="36"/>
  <c r="B502" i="36"/>
  <c r="A502" i="36"/>
  <c r="L496" i="36"/>
  <c r="K496" i="36"/>
  <c r="J496" i="36"/>
  <c r="I496" i="36"/>
  <c r="H496" i="36"/>
  <c r="G496" i="36"/>
  <c r="F496" i="36"/>
  <c r="E496" i="36"/>
  <c r="D496" i="36"/>
  <c r="C496" i="36"/>
  <c r="B496" i="36"/>
  <c r="A496" i="36"/>
  <c r="L495" i="36"/>
  <c r="K495" i="36"/>
  <c r="J495" i="36"/>
  <c r="I495" i="36"/>
  <c r="H495" i="36"/>
  <c r="G495" i="36"/>
  <c r="F495" i="36"/>
  <c r="E495" i="36"/>
  <c r="D495" i="36"/>
  <c r="C495" i="36"/>
  <c r="B495" i="36"/>
  <c r="A495" i="36"/>
  <c r="L494" i="36"/>
  <c r="K494" i="36"/>
  <c r="J494" i="36"/>
  <c r="I494" i="36"/>
  <c r="H494" i="36"/>
  <c r="G494" i="36"/>
  <c r="F494" i="36"/>
  <c r="E494" i="36"/>
  <c r="D494" i="36"/>
  <c r="C494" i="36"/>
  <c r="B494" i="36"/>
  <c r="A494" i="36"/>
  <c r="L493" i="36"/>
  <c r="K493" i="36"/>
  <c r="J493" i="36"/>
  <c r="I493" i="36"/>
  <c r="H493" i="36"/>
  <c r="G493" i="36"/>
  <c r="F493" i="36"/>
  <c r="E493" i="36"/>
  <c r="D493" i="36"/>
  <c r="C493" i="36"/>
  <c r="B493" i="36"/>
  <c r="A493" i="36"/>
  <c r="L492" i="36"/>
  <c r="K492" i="36"/>
  <c r="J492" i="36"/>
  <c r="I492" i="36"/>
  <c r="H492" i="36"/>
  <c r="G492" i="36"/>
  <c r="F492" i="36"/>
  <c r="E492" i="36"/>
  <c r="D492" i="36"/>
  <c r="C492" i="36"/>
  <c r="B492" i="36"/>
  <c r="A492" i="36"/>
  <c r="L491" i="36"/>
  <c r="K491" i="36"/>
  <c r="J491" i="36"/>
  <c r="I491" i="36"/>
  <c r="H491" i="36"/>
  <c r="G491" i="36"/>
  <c r="F491" i="36"/>
  <c r="E491" i="36"/>
  <c r="D491" i="36"/>
  <c r="C491" i="36"/>
  <c r="B491" i="36"/>
  <c r="A491" i="36"/>
  <c r="L490" i="36"/>
  <c r="K490" i="36"/>
  <c r="J490" i="36"/>
  <c r="I490" i="36"/>
  <c r="H490" i="36"/>
  <c r="G490" i="36"/>
  <c r="F490" i="36"/>
  <c r="E490" i="36"/>
  <c r="D490" i="36"/>
  <c r="C490" i="36"/>
  <c r="B490" i="36"/>
  <c r="A490" i="36"/>
  <c r="L489" i="36"/>
  <c r="K489" i="36"/>
  <c r="J489" i="36"/>
  <c r="I489" i="36"/>
  <c r="H489" i="36"/>
  <c r="G489" i="36"/>
  <c r="F489" i="36"/>
  <c r="E489" i="36"/>
  <c r="D489" i="36"/>
  <c r="C489" i="36"/>
  <c r="B489" i="36"/>
  <c r="A489" i="36"/>
  <c r="L488" i="36"/>
  <c r="K488" i="36"/>
  <c r="J488" i="36"/>
  <c r="I488" i="36"/>
  <c r="H488" i="36"/>
  <c r="G488" i="36"/>
  <c r="F488" i="36"/>
  <c r="E488" i="36"/>
  <c r="D488" i="36"/>
  <c r="C488" i="36"/>
  <c r="B488" i="36"/>
  <c r="A488" i="36"/>
  <c r="L487" i="36"/>
  <c r="K487" i="36"/>
  <c r="J487" i="36"/>
  <c r="I487" i="36"/>
  <c r="H487" i="36"/>
  <c r="G487" i="36"/>
  <c r="F487" i="36"/>
  <c r="E487" i="36"/>
  <c r="D487" i="36"/>
  <c r="C487" i="36"/>
  <c r="B487" i="36"/>
  <c r="A487" i="36"/>
  <c r="L486" i="36"/>
  <c r="K486" i="36"/>
  <c r="J486" i="36"/>
  <c r="I486" i="36"/>
  <c r="H486" i="36"/>
  <c r="G486" i="36"/>
  <c r="F486" i="36"/>
  <c r="E486" i="36"/>
  <c r="D486" i="36"/>
  <c r="C486" i="36"/>
  <c r="B486" i="36"/>
  <c r="A486" i="36"/>
  <c r="L485" i="36"/>
  <c r="K485" i="36"/>
  <c r="J485" i="36"/>
  <c r="I485" i="36"/>
  <c r="H485" i="36"/>
  <c r="G485" i="36"/>
  <c r="F485" i="36"/>
  <c r="E485" i="36"/>
  <c r="D485" i="36"/>
  <c r="C485" i="36"/>
  <c r="B485" i="36"/>
  <c r="A485" i="36"/>
  <c r="L484" i="36"/>
  <c r="K484" i="36"/>
  <c r="J484" i="36"/>
  <c r="I484" i="36"/>
  <c r="H484" i="36"/>
  <c r="G484" i="36"/>
  <c r="F484" i="36"/>
  <c r="E484" i="36"/>
  <c r="D484" i="36"/>
  <c r="C484" i="36"/>
  <c r="B484" i="36"/>
  <c r="A484" i="36"/>
  <c r="L483" i="36"/>
  <c r="K483" i="36"/>
  <c r="J483" i="36"/>
  <c r="I483" i="36"/>
  <c r="H483" i="36"/>
  <c r="G483" i="36"/>
  <c r="F483" i="36"/>
  <c r="E483" i="36"/>
  <c r="D483" i="36"/>
  <c r="C483" i="36"/>
  <c r="B483" i="36"/>
  <c r="A483" i="36"/>
  <c r="L482" i="36"/>
  <c r="K482" i="36"/>
  <c r="J482" i="36"/>
  <c r="I482" i="36"/>
  <c r="H482" i="36"/>
  <c r="G482" i="36"/>
  <c r="F482" i="36"/>
  <c r="E482" i="36"/>
  <c r="D482" i="36"/>
  <c r="C482" i="36"/>
  <c r="B482" i="36"/>
  <c r="A482" i="36"/>
  <c r="L481" i="36"/>
  <c r="K481" i="36"/>
  <c r="J481" i="36"/>
  <c r="I481" i="36"/>
  <c r="H481" i="36"/>
  <c r="G481" i="36"/>
  <c r="F481" i="36"/>
  <c r="E481" i="36"/>
  <c r="D481" i="36"/>
  <c r="C481" i="36"/>
  <c r="B481" i="36"/>
  <c r="A481" i="36"/>
  <c r="L480" i="36"/>
  <c r="K480" i="36"/>
  <c r="J480" i="36"/>
  <c r="I480" i="36"/>
  <c r="H480" i="36"/>
  <c r="G480" i="36"/>
  <c r="F480" i="36"/>
  <c r="E480" i="36"/>
  <c r="D480" i="36"/>
  <c r="C480" i="36"/>
  <c r="B480" i="36"/>
  <c r="A480" i="36"/>
  <c r="L479" i="36"/>
  <c r="K479" i="36"/>
  <c r="J479" i="36"/>
  <c r="I479" i="36"/>
  <c r="H479" i="36"/>
  <c r="G479" i="36"/>
  <c r="F479" i="36"/>
  <c r="E479" i="36"/>
  <c r="D479" i="36"/>
  <c r="C479" i="36"/>
  <c r="B479" i="36"/>
  <c r="A479" i="36"/>
  <c r="L478" i="36"/>
  <c r="K478" i="36"/>
  <c r="J478" i="36"/>
  <c r="I478" i="36"/>
  <c r="H478" i="36"/>
  <c r="G478" i="36"/>
  <c r="F478" i="36"/>
  <c r="E478" i="36"/>
  <c r="D478" i="36"/>
  <c r="C478" i="36"/>
  <c r="B478" i="36"/>
  <c r="A478" i="36"/>
  <c r="L477" i="36"/>
  <c r="K477" i="36"/>
  <c r="J477" i="36"/>
  <c r="I477" i="36"/>
  <c r="H477" i="36"/>
  <c r="G477" i="36"/>
  <c r="F477" i="36"/>
  <c r="E477" i="36"/>
  <c r="D477" i="36"/>
  <c r="C477" i="36"/>
  <c r="B477" i="36"/>
  <c r="A477" i="36"/>
  <c r="L476" i="36"/>
  <c r="K476" i="36"/>
  <c r="J476" i="36"/>
  <c r="I476" i="36"/>
  <c r="H476" i="36"/>
  <c r="G476" i="36"/>
  <c r="F476" i="36"/>
  <c r="E476" i="36"/>
  <c r="D476" i="36"/>
  <c r="C476" i="36"/>
  <c r="B476" i="36"/>
  <c r="A476" i="36"/>
  <c r="L475" i="36"/>
  <c r="K475" i="36"/>
  <c r="J475" i="36"/>
  <c r="I475" i="36"/>
  <c r="H475" i="36"/>
  <c r="G475" i="36"/>
  <c r="F475" i="36"/>
  <c r="E475" i="36"/>
  <c r="D475" i="36"/>
  <c r="C475" i="36"/>
  <c r="B475" i="36"/>
  <c r="A475" i="36"/>
  <c r="L474" i="36"/>
  <c r="K474" i="36"/>
  <c r="J474" i="36"/>
  <c r="I474" i="36"/>
  <c r="H474" i="36"/>
  <c r="G474" i="36"/>
  <c r="F474" i="36"/>
  <c r="E474" i="36"/>
  <c r="D474" i="36"/>
  <c r="C474" i="36"/>
  <c r="B474" i="36"/>
  <c r="A474" i="36"/>
  <c r="L473" i="36"/>
  <c r="K473" i="36"/>
  <c r="J473" i="36"/>
  <c r="I473" i="36"/>
  <c r="H473" i="36"/>
  <c r="G473" i="36"/>
  <c r="F473" i="36"/>
  <c r="E473" i="36"/>
  <c r="D473" i="36"/>
  <c r="C473" i="36"/>
  <c r="B473" i="36"/>
  <c r="A473" i="36"/>
  <c r="L472" i="36"/>
  <c r="K472" i="36"/>
  <c r="J472" i="36"/>
  <c r="I472" i="36"/>
  <c r="H472" i="36"/>
  <c r="G472" i="36"/>
  <c r="F472" i="36"/>
  <c r="E472" i="36"/>
  <c r="D472" i="36"/>
  <c r="C472" i="36"/>
  <c r="B472" i="36"/>
  <c r="A472" i="36"/>
  <c r="L471" i="36"/>
  <c r="K471" i="36"/>
  <c r="J471" i="36"/>
  <c r="I471" i="36"/>
  <c r="H471" i="36"/>
  <c r="G471" i="36"/>
  <c r="F471" i="36"/>
  <c r="E471" i="36"/>
  <c r="D471" i="36"/>
  <c r="C471" i="36"/>
  <c r="B471" i="36"/>
  <c r="A471" i="36"/>
  <c r="L470" i="36"/>
  <c r="K470" i="36"/>
  <c r="J470" i="36"/>
  <c r="I470" i="36"/>
  <c r="H470" i="36"/>
  <c r="G470" i="36"/>
  <c r="F470" i="36"/>
  <c r="E470" i="36"/>
  <c r="D470" i="36"/>
  <c r="C470" i="36"/>
  <c r="B470" i="36"/>
  <c r="A470" i="36"/>
  <c r="L469" i="36"/>
  <c r="K469" i="36"/>
  <c r="J469" i="36"/>
  <c r="I469" i="36"/>
  <c r="H469" i="36"/>
  <c r="G469" i="36"/>
  <c r="F469" i="36"/>
  <c r="E469" i="36"/>
  <c r="D469" i="36"/>
  <c r="C469" i="36"/>
  <c r="B469" i="36"/>
  <c r="A469" i="36"/>
  <c r="L468" i="36"/>
  <c r="K468" i="36"/>
  <c r="J468" i="36"/>
  <c r="I468" i="36"/>
  <c r="H468" i="36"/>
  <c r="G468" i="36"/>
  <c r="F468" i="36"/>
  <c r="E468" i="36"/>
  <c r="D468" i="36"/>
  <c r="C468" i="36"/>
  <c r="B468" i="36"/>
  <c r="A468" i="36"/>
  <c r="L467" i="36"/>
  <c r="K467" i="36"/>
  <c r="J467" i="36"/>
  <c r="I467" i="36"/>
  <c r="H467" i="36"/>
  <c r="G467" i="36"/>
  <c r="F467" i="36"/>
  <c r="E467" i="36"/>
  <c r="D467" i="36"/>
  <c r="C467" i="36"/>
  <c r="B467" i="36"/>
  <c r="A467" i="36"/>
  <c r="L466" i="36"/>
  <c r="K466" i="36"/>
  <c r="J466" i="36"/>
  <c r="I466" i="36"/>
  <c r="H466" i="36"/>
  <c r="G466" i="36"/>
  <c r="F466" i="36"/>
  <c r="E466" i="36"/>
  <c r="D466" i="36"/>
  <c r="C466" i="36"/>
  <c r="B466" i="36"/>
  <c r="A466" i="36"/>
  <c r="L465" i="36"/>
  <c r="K465" i="36"/>
  <c r="J465" i="36"/>
  <c r="I465" i="36"/>
  <c r="H465" i="36"/>
  <c r="G465" i="36"/>
  <c r="F465" i="36"/>
  <c r="E465" i="36"/>
  <c r="D465" i="36"/>
  <c r="C465" i="36"/>
  <c r="B465" i="36"/>
  <c r="A465" i="36"/>
  <c r="L464" i="36"/>
  <c r="K464" i="36"/>
  <c r="J464" i="36"/>
  <c r="I464" i="36"/>
  <c r="H464" i="36"/>
  <c r="G464" i="36"/>
  <c r="F464" i="36"/>
  <c r="E464" i="36"/>
  <c r="D464" i="36"/>
  <c r="C464" i="36"/>
  <c r="B464" i="36"/>
  <c r="A464" i="36"/>
  <c r="L463" i="36"/>
  <c r="K463" i="36"/>
  <c r="J463" i="36"/>
  <c r="I463" i="36"/>
  <c r="H463" i="36"/>
  <c r="G463" i="36"/>
  <c r="F463" i="36"/>
  <c r="E463" i="36"/>
  <c r="D463" i="36"/>
  <c r="C463" i="36"/>
  <c r="B463" i="36"/>
  <c r="A463" i="36"/>
  <c r="L462" i="36"/>
  <c r="K462" i="36"/>
  <c r="J462" i="36"/>
  <c r="I462" i="36"/>
  <c r="H462" i="36"/>
  <c r="G462" i="36"/>
  <c r="F462" i="36"/>
  <c r="E462" i="36"/>
  <c r="D462" i="36"/>
  <c r="C462" i="36"/>
  <c r="B462" i="36"/>
  <c r="A462" i="36"/>
  <c r="L461" i="36"/>
  <c r="K461" i="36"/>
  <c r="J461" i="36"/>
  <c r="I461" i="36"/>
  <c r="H461" i="36"/>
  <c r="G461" i="36"/>
  <c r="F461" i="36"/>
  <c r="E461" i="36"/>
  <c r="D461" i="36"/>
  <c r="C461" i="36"/>
  <c r="B461" i="36"/>
  <c r="A461" i="36"/>
  <c r="L460" i="36"/>
  <c r="K460" i="36"/>
  <c r="J460" i="36"/>
  <c r="I460" i="36"/>
  <c r="H460" i="36"/>
  <c r="G460" i="36"/>
  <c r="F460" i="36"/>
  <c r="E460" i="36"/>
  <c r="D460" i="36"/>
  <c r="C460" i="36"/>
  <c r="B460" i="36"/>
  <c r="A460" i="36"/>
  <c r="L459" i="36"/>
  <c r="K459" i="36"/>
  <c r="J459" i="36"/>
  <c r="I459" i="36"/>
  <c r="H459" i="36"/>
  <c r="G459" i="36"/>
  <c r="F459" i="36"/>
  <c r="E459" i="36"/>
  <c r="D459" i="36"/>
  <c r="C459" i="36"/>
  <c r="B459" i="36"/>
  <c r="A459" i="36"/>
  <c r="L458" i="36"/>
  <c r="K458" i="36"/>
  <c r="J458" i="36"/>
  <c r="I458" i="36"/>
  <c r="H458" i="36"/>
  <c r="G458" i="36"/>
  <c r="F458" i="36"/>
  <c r="E458" i="36"/>
  <c r="D458" i="36"/>
  <c r="C458" i="36"/>
  <c r="B458" i="36"/>
  <c r="A458" i="36"/>
  <c r="L457" i="36"/>
  <c r="K457" i="36"/>
  <c r="J457" i="36"/>
  <c r="I457" i="36"/>
  <c r="H457" i="36"/>
  <c r="G457" i="36"/>
  <c r="F457" i="36"/>
  <c r="E457" i="36"/>
  <c r="D457" i="36"/>
  <c r="C457" i="36"/>
  <c r="B457" i="36"/>
  <c r="A457" i="36"/>
  <c r="L456" i="36"/>
  <c r="K456" i="36"/>
  <c r="J456" i="36"/>
  <c r="I456" i="36"/>
  <c r="H456" i="36"/>
  <c r="G456" i="36"/>
  <c r="F456" i="36"/>
  <c r="E456" i="36"/>
  <c r="D456" i="36"/>
  <c r="C456" i="36"/>
  <c r="B456" i="36"/>
  <c r="A456" i="36"/>
  <c r="L455" i="36"/>
  <c r="K455" i="36"/>
  <c r="J455" i="36"/>
  <c r="I455" i="36"/>
  <c r="H455" i="36"/>
  <c r="G455" i="36"/>
  <c r="F455" i="36"/>
  <c r="E455" i="36"/>
  <c r="D455" i="36"/>
  <c r="C455" i="36"/>
  <c r="B455" i="36"/>
  <c r="A455" i="36"/>
  <c r="L454" i="36"/>
  <c r="K454" i="36"/>
  <c r="J454" i="36"/>
  <c r="I454" i="36"/>
  <c r="H454" i="36"/>
  <c r="G454" i="36"/>
  <c r="F454" i="36"/>
  <c r="E454" i="36"/>
  <c r="D454" i="36"/>
  <c r="C454" i="36"/>
  <c r="B454" i="36"/>
  <c r="A454" i="36"/>
  <c r="L453" i="36"/>
  <c r="K453" i="36"/>
  <c r="J453" i="36"/>
  <c r="I453" i="36"/>
  <c r="H453" i="36"/>
  <c r="G453" i="36"/>
  <c r="F453" i="36"/>
  <c r="E453" i="36"/>
  <c r="D453" i="36"/>
  <c r="C453" i="36"/>
  <c r="B453" i="36"/>
  <c r="A453" i="36"/>
  <c r="L452" i="36"/>
  <c r="K452" i="36"/>
  <c r="J452" i="36"/>
  <c r="I452" i="36"/>
  <c r="H452" i="36"/>
  <c r="G452" i="36"/>
  <c r="F452" i="36"/>
  <c r="E452" i="36"/>
  <c r="D452" i="36"/>
  <c r="C452" i="36"/>
  <c r="B452" i="36"/>
  <c r="A452" i="36"/>
  <c r="L451" i="36"/>
  <c r="K451" i="36"/>
  <c r="J451" i="36"/>
  <c r="I451" i="36"/>
  <c r="H451" i="36"/>
  <c r="G451" i="36"/>
  <c r="F451" i="36"/>
  <c r="E451" i="36"/>
  <c r="D451" i="36"/>
  <c r="C451" i="36"/>
  <c r="B451" i="36"/>
  <c r="A451" i="36"/>
  <c r="L450" i="36"/>
  <c r="K450" i="36"/>
  <c r="J450" i="36"/>
  <c r="I450" i="36"/>
  <c r="H450" i="36"/>
  <c r="G450" i="36"/>
  <c r="F450" i="36"/>
  <c r="E450" i="36"/>
  <c r="D450" i="36"/>
  <c r="C450" i="36"/>
  <c r="B450" i="36"/>
  <c r="A450" i="36"/>
  <c r="L449" i="36"/>
  <c r="K449" i="36"/>
  <c r="J449" i="36"/>
  <c r="I449" i="36"/>
  <c r="H449" i="36"/>
  <c r="G449" i="36"/>
  <c r="F449" i="36"/>
  <c r="E449" i="36"/>
  <c r="D449" i="36"/>
  <c r="C449" i="36"/>
  <c r="B449" i="36"/>
  <c r="A449" i="36"/>
  <c r="L448" i="36"/>
  <c r="K448" i="36"/>
  <c r="J448" i="36"/>
  <c r="I448" i="36"/>
  <c r="H448" i="36"/>
  <c r="G448" i="36"/>
  <c r="F448" i="36"/>
  <c r="E448" i="36"/>
  <c r="D448" i="36"/>
  <c r="C448" i="36"/>
  <c r="B448" i="36"/>
  <c r="A448" i="36"/>
  <c r="L447" i="36"/>
  <c r="K447" i="36"/>
  <c r="J447" i="36"/>
  <c r="I447" i="36"/>
  <c r="H447" i="36"/>
  <c r="G447" i="36"/>
  <c r="F447" i="36"/>
  <c r="E447" i="36"/>
  <c r="D447" i="36"/>
  <c r="C447" i="36"/>
  <c r="B447" i="36"/>
  <c r="A447" i="36"/>
  <c r="L446" i="36"/>
  <c r="K446" i="36"/>
  <c r="J446" i="36"/>
  <c r="I446" i="36"/>
  <c r="H446" i="36"/>
  <c r="G446" i="36"/>
  <c r="F446" i="36"/>
  <c r="E446" i="36"/>
  <c r="D446" i="36"/>
  <c r="C446" i="36"/>
  <c r="B446" i="36"/>
  <c r="A446" i="36"/>
  <c r="L445" i="36"/>
  <c r="K445" i="36"/>
  <c r="J445" i="36"/>
  <c r="I445" i="36"/>
  <c r="H445" i="36"/>
  <c r="G445" i="36"/>
  <c r="F445" i="36"/>
  <c r="E445" i="36"/>
  <c r="D445" i="36"/>
  <c r="C445" i="36"/>
  <c r="B445" i="36"/>
  <c r="A445" i="36"/>
  <c r="L444" i="36"/>
  <c r="K444" i="36"/>
  <c r="J444" i="36"/>
  <c r="I444" i="36"/>
  <c r="H444" i="36"/>
  <c r="G444" i="36"/>
  <c r="F444" i="36"/>
  <c r="E444" i="36"/>
  <c r="D444" i="36"/>
  <c r="C444" i="36"/>
  <c r="B444" i="36"/>
  <c r="A444" i="36"/>
  <c r="L443" i="36"/>
  <c r="K443" i="36"/>
  <c r="J443" i="36"/>
  <c r="I443" i="36"/>
  <c r="H443" i="36"/>
  <c r="G443" i="36"/>
  <c r="F443" i="36"/>
  <c r="E443" i="36"/>
  <c r="D443" i="36"/>
  <c r="C443" i="36"/>
  <c r="B443" i="36"/>
  <c r="A443" i="36"/>
  <c r="L442" i="36"/>
  <c r="K442" i="36"/>
  <c r="J442" i="36"/>
  <c r="I442" i="36"/>
  <c r="H442" i="36"/>
  <c r="G442" i="36"/>
  <c r="F442" i="36"/>
  <c r="E442" i="36"/>
  <c r="D442" i="36"/>
  <c r="C442" i="36"/>
  <c r="B442" i="36"/>
  <c r="A442" i="36"/>
  <c r="L441" i="36"/>
  <c r="K441" i="36"/>
  <c r="J441" i="36"/>
  <c r="I441" i="36"/>
  <c r="H441" i="36"/>
  <c r="G441" i="36"/>
  <c r="F441" i="36"/>
  <c r="E441" i="36"/>
  <c r="D441" i="36"/>
  <c r="C441" i="36"/>
  <c r="B441" i="36"/>
  <c r="A441" i="36"/>
  <c r="L440" i="36"/>
  <c r="K440" i="36"/>
  <c r="J440" i="36"/>
  <c r="I440" i="36"/>
  <c r="H440" i="36"/>
  <c r="G440" i="36"/>
  <c r="F440" i="36"/>
  <c r="E440" i="36"/>
  <c r="D440" i="36"/>
  <c r="C440" i="36"/>
  <c r="B440" i="36"/>
  <c r="A440" i="36"/>
  <c r="L439" i="36"/>
  <c r="K439" i="36"/>
  <c r="J439" i="36"/>
  <c r="I439" i="36"/>
  <c r="H439" i="36"/>
  <c r="G439" i="36"/>
  <c r="F439" i="36"/>
  <c r="E439" i="36"/>
  <c r="D439" i="36"/>
  <c r="C439" i="36"/>
  <c r="B439" i="36"/>
  <c r="A439" i="36"/>
  <c r="L438" i="36"/>
  <c r="K438" i="36"/>
  <c r="J438" i="36"/>
  <c r="I438" i="36"/>
  <c r="H438" i="36"/>
  <c r="G438" i="36"/>
  <c r="F438" i="36"/>
  <c r="E438" i="36"/>
  <c r="D438" i="36"/>
  <c r="C438" i="36"/>
  <c r="B438" i="36"/>
  <c r="A438" i="36"/>
  <c r="L437" i="36"/>
  <c r="K437" i="36"/>
  <c r="J437" i="36"/>
  <c r="I437" i="36"/>
  <c r="H437" i="36"/>
  <c r="G437" i="36"/>
  <c r="F437" i="36"/>
  <c r="E437" i="36"/>
  <c r="D437" i="36"/>
  <c r="C437" i="36"/>
  <c r="B437" i="36"/>
  <c r="A437" i="36"/>
  <c r="L436" i="36"/>
  <c r="K436" i="36"/>
  <c r="J436" i="36"/>
  <c r="I436" i="36"/>
  <c r="H436" i="36"/>
  <c r="G436" i="36"/>
  <c r="F436" i="36"/>
  <c r="E436" i="36"/>
  <c r="D436" i="36"/>
  <c r="C436" i="36"/>
  <c r="B436" i="36"/>
  <c r="A436" i="36"/>
  <c r="L435" i="36"/>
  <c r="K435" i="36"/>
  <c r="J435" i="36"/>
  <c r="I435" i="36"/>
  <c r="H435" i="36"/>
  <c r="G435" i="36"/>
  <c r="F435" i="36"/>
  <c r="E435" i="36"/>
  <c r="D435" i="36"/>
  <c r="C435" i="36"/>
  <c r="B435" i="36"/>
  <c r="A435" i="36"/>
  <c r="L434" i="36"/>
  <c r="K434" i="36"/>
  <c r="J434" i="36"/>
  <c r="I434" i="36"/>
  <c r="H434" i="36"/>
  <c r="G434" i="36"/>
  <c r="F434" i="36"/>
  <c r="E434" i="36"/>
  <c r="D434" i="36"/>
  <c r="C434" i="36"/>
  <c r="B434" i="36"/>
  <c r="A434" i="36"/>
  <c r="L433" i="36"/>
  <c r="K433" i="36"/>
  <c r="J433" i="36"/>
  <c r="I433" i="36"/>
  <c r="H433" i="36"/>
  <c r="G433" i="36"/>
  <c r="F433" i="36"/>
  <c r="E433" i="36"/>
  <c r="D433" i="36"/>
  <c r="C433" i="36"/>
  <c r="B433" i="36"/>
  <c r="A433" i="36"/>
  <c r="L432" i="36"/>
  <c r="K432" i="36"/>
  <c r="J432" i="36"/>
  <c r="I432" i="36"/>
  <c r="H432" i="36"/>
  <c r="G432" i="36"/>
  <c r="F432" i="36"/>
  <c r="E432" i="36"/>
  <c r="D432" i="36"/>
  <c r="C432" i="36"/>
  <c r="B432" i="36"/>
  <c r="A432" i="36"/>
  <c r="L431" i="36"/>
  <c r="K431" i="36"/>
  <c r="J431" i="36"/>
  <c r="I431" i="36"/>
  <c r="H431" i="36"/>
  <c r="G431" i="36"/>
  <c r="F431" i="36"/>
  <c r="E431" i="36"/>
  <c r="D431" i="36"/>
  <c r="C431" i="36"/>
  <c r="B431" i="36"/>
  <c r="A431" i="36"/>
  <c r="L430" i="36"/>
  <c r="K430" i="36"/>
  <c r="J430" i="36"/>
  <c r="I430" i="36"/>
  <c r="H430" i="36"/>
  <c r="G430" i="36"/>
  <c r="F430" i="36"/>
  <c r="E430" i="36"/>
  <c r="D430" i="36"/>
  <c r="C430" i="36"/>
  <c r="B430" i="36"/>
  <c r="A430" i="36"/>
  <c r="L429" i="36"/>
  <c r="K429" i="36"/>
  <c r="J429" i="36"/>
  <c r="I429" i="36"/>
  <c r="H429" i="36"/>
  <c r="G429" i="36"/>
  <c r="F429" i="36"/>
  <c r="E429" i="36"/>
  <c r="D429" i="36"/>
  <c r="C429" i="36"/>
  <c r="B429" i="36"/>
  <c r="A429" i="36"/>
  <c r="L428" i="36"/>
  <c r="K428" i="36"/>
  <c r="J428" i="36"/>
  <c r="I428" i="36"/>
  <c r="H428" i="36"/>
  <c r="G428" i="36"/>
  <c r="F428" i="36"/>
  <c r="E428" i="36"/>
  <c r="D428" i="36"/>
  <c r="C428" i="36"/>
  <c r="B428" i="36"/>
  <c r="A428" i="36"/>
  <c r="L427" i="36"/>
  <c r="K427" i="36"/>
  <c r="J427" i="36"/>
  <c r="I427" i="36"/>
  <c r="H427" i="36"/>
  <c r="G427" i="36"/>
  <c r="F427" i="36"/>
  <c r="E427" i="36"/>
  <c r="D427" i="36"/>
  <c r="C427" i="36"/>
  <c r="B427" i="36"/>
  <c r="A427" i="36"/>
  <c r="L426" i="36"/>
  <c r="K426" i="36"/>
  <c r="J426" i="36"/>
  <c r="I426" i="36"/>
  <c r="H426" i="36"/>
  <c r="G426" i="36"/>
  <c r="F426" i="36"/>
  <c r="E426" i="36"/>
  <c r="D426" i="36"/>
  <c r="C426" i="36"/>
  <c r="B426" i="36"/>
  <c r="A426" i="36"/>
  <c r="L425" i="36"/>
  <c r="K425" i="36"/>
  <c r="J425" i="36"/>
  <c r="I425" i="36"/>
  <c r="H425" i="36"/>
  <c r="G425" i="36"/>
  <c r="F425" i="36"/>
  <c r="E425" i="36"/>
  <c r="D425" i="36"/>
  <c r="C425" i="36"/>
  <c r="B425" i="36"/>
  <c r="A425" i="36"/>
  <c r="L424" i="36"/>
  <c r="K424" i="36"/>
  <c r="J424" i="36"/>
  <c r="I424" i="36"/>
  <c r="H424" i="36"/>
  <c r="G424" i="36"/>
  <c r="F424" i="36"/>
  <c r="E424" i="36"/>
  <c r="D424" i="36"/>
  <c r="C424" i="36"/>
  <c r="B424" i="36"/>
  <c r="A424" i="36"/>
  <c r="L423" i="36"/>
  <c r="K423" i="36"/>
  <c r="J423" i="36"/>
  <c r="I423" i="36"/>
  <c r="H423" i="36"/>
  <c r="G423" i="36"/>
  <c r="F423" i="36"/>
  <c r="E423" i="36"/>
  <c r="D423" i="36"/>
  <c r="C423" i="36"/>
  <c r="B423" i="36"/>
  <c r="A423" i="36"/>
  <c r="L422" i="36"/>
  <c r="K422" i="36"/>
  <c r="J422" i="36"/>
  <c r="I422" i="36"/>
  <c r="H422" i="36"/>
  <c r="G422" i="36"/>
  <c r="F422" i="36"/>
  <c r="E422" i="36"/>
  <c r="D422" i="36"/>
  <c r="C422" i="36"/>
  <c r="B422" i="36"/>
  <c r="A422" i="36"/>
  <c r="L421" i="36"/>
  <c r="K421" i="36"/>
  <c r="J421" i="36"/>
  <c r="I421" i="36"/>
  <c r="H421" i="36"/>
  <c r="G421" i="36"/>
  <c r="F421" i="36"/>
  <c r="E421" i="36"/>
  <c r="D421" i="36"/>
  <c r="C421" i="36"/>
  <c r="B421" i="36"/>
  <c r="A421" i="36"/>
  <c r="L420" i="36"/>
  <c r="K420" i="36"/>
  <c r="J420" i="36"/>
  <c r="I420" i="36"/>
  <c r="H420" i="36"/>
  <c r="G420" i="36"/>
  <c r="F420" i="36"/>
  <c r="E420" i="36"/>
  <c r="D420" i="36"/>
  <c r="C420" i="36"/>
  <c r="B420" i="36"/>
  <c r="A420" i="36"/>
  <c r="L419" i="36"/>
  <c r="K419" i="36"/>
  <c r="J419" i="36"/>
  <c r="I419" i="36"/>
  <c r="H419" i="36"/>
  <c r="G419" i="36"/>
  <c r="F419" i="36"/>
  <c r="E419" i="36"/>
  <c r="D419" i="36"/>
  <c r="C419" i="36"/>
  <c r="B419" i="36"/>
  <c r="A419" i="36"/>
  <c r="L418" i="36"/>
  <c r="K418" i="36"/>
  <c r="J418" i="36"/>
  <c r="I418" i="36"/>
  <c r="H418" i="36"/>
  <c r="G418" i="36"/>
  <c r="F418" i="36"/>
  <c r="E418" i="36"/>
  <c r="D418" i="36"/>
  <c r="C418" i="36"/>
  <c r="B418" i="36"/>
  <c r="A418" i="36"/>
  <c r="L417" i="36"/>
  <c r="K417" i="36"/>
  <c r="J417" i="36"/>
  <c r="I417" i="36"/>
  <c r="H417" i="36"/>
  <c r="G417" i="36"/>
  <c r="F417" i="36"/>
  <c r="E417" i="36"/>
  <c r="D417" i="36"/>
  <c r="C417" i="36"/>
  <c r="B417" i="36"/>
  <c r="A417" i="36"/>
  <c r="L416" i="36"/>
  <c r="K416" i="36"/>
  <c r="J416" i="36"/>
  <c r="I416" i="36"/>
  <c r="H416" i="36"/>
  <c r="G416" i="36"/>
  <c r="F416" i="36"/>
  <c r="E416" i="36"/>
  <c r="D416" i="36"/>
  <c r="C416" i="36"/>
  <c r="B416" i="36"/>
  <c r="A416" i="36"/>
  <c r="L415" i="36"/>
  <c r="K415" i="36"/>
  <c r="J415" i="36"/>
  <c r="I415" i="36"/>
  <c r="H415" i="36"/>
  <c r="G415" i="36"/>
  <c r="F415" i="36"/>
  <c r="E415" i="36"/>
  <c r="D415" i="36"/>
  <c r="C415" i="36"/>
  <c r="B415" i="36"/>
  <c r="A415" i="36"/>
  <c r="L414" i="36"/>
  <c r="K414" i="36"/>
  <c r="J414" i="36"/>
  <c r="I414" i="36"/>
  <c r="H414" i="36"/>
  <c r="G414" i="36"/>
  <c r="F414" i="36"/>
  <c r="E414" i="36"/>
  <c r="D414" i="36"/>
  <c r="C414" i="36"/>
  <c r="B414" i="36"/>
  <c r="A414" i="36"/>
  <c r="L413" i="36"/>
  <c r="K413" i="36"/>
  <c r="J413" i="36"/>
  <c r="I413" i="36"/>
  <c r="H413" i="36"/>
  <c r="G413" i="36"/>
  <c r="F413" i="36"/>
  <c r="E413" i="36"/>
  <c r="D413" i="36"/>
  <c r="C413" i="36"/>
  <c r="B413" i="36"/>
  <c r="A413" i="36"/>
  <c r="L412" i="36"/>
  <c r="K412" i="36"/>
  <c r="J412" i="36"/>
  <c r="I412" i="36"/>
  <c r="H412" i="36"/>
  <c r="G412" i="36"/>
  <c r="F412" i="36"/>
  <c r="E412" i="36"/>
  <c r="D412" i="36"/>
  <c r="C412" i="36"/>
  <c r="B412" i="36"/>
  <c r="A412" i="36"/>
  <c r="L411" i="36"/>
  <c r="K411" i="36"/>
  <c r="J411" i="36"/>
  <c r="I411" i="36"/>
  <c r="H411" i="36"/>
  <c r="G411" i="36"/>
  <c r="F411" i="36"/>
  <c r="E411" i="36"/>
  <c r="D411" i="36"/>
  <c r="C411" i="36"/>
  <c r="B411" i="36"/>
  <c r="A411" i="36"/>
  <c r="L410" i="36"/>
  <c r="K410" i="36"/>
  <c r="J410" i="36"/>
  <c r="I410" i="36"/>
  <c r="H410" i="36"/>
  <c r="G410" i="36"/>
  <c r="F410" i="36"/>
  <c r="E410" i="36"/>
  <c r="D410" i="36"/>
  <c r="C410" i="36"/>
  <c r="B410" i="36"/>
  <c r="A410" i="36"/>
  <c r="L409" i="36"/>
  <c r="K409" i="36"/>
  <c r="J409" i="36"/>
  <c r="I409" i="36"/>
  <c r="H409" i="36"/>
  <c r="G409" i="36"/>
  <c r="F409" i="36"/>
  <c r="E409" i="36"/>
  <c r="D409" i="36"/>
  <c r="C409" i="36"/>
  <c r="B409" i="36"/>
  <c r="A409" i="36"/>
  <c r="L408" i="36"/>
  <c r="K408" i="36"/>
  <c r="J408" i="36"/>
  <c r="I408" i="36"/>
  <c r="H408" i="36"/>
  <c r="G408" i="36"/>
  <c r="F408" i="36"/>
  <c r="E408" i="36"/>
  <c r="D408" i="36"/>
  <c r="C408" i="36"/>
  <c r="B408" i="36"/>
  <c r="A408" i="36"/>
  <c r="L407" i="36"/>
  <c r="K407" i="36"/>
  <c r="J407" i="36"/>
  <c r="I407" i="36"/>
  <c r="H407" i="36"/>
  <c r="G407" i="36"/>
  <c r="F407" i="36"/>
  <c r="E407" i="36"/>
  <c r="D407" i="36"/>
  <c r="C407" i="36"/>
  <c r="B407" i="36"/>
  <c r="A407" i="36"/>
  <c r="L406" i="36"/>
  <c r="K406" i="36"/>
  <c r="J406" i="36"/>
  <c r="I406" i="36"/>
  <c r="H406" i="36"/>
  <c r="G406" i="36"/>
  <c r="F406" i="36"/>
  <c r="E406" i="36"/>
  <c r="D406" i="36"/>
  <c r="C406" i="36"/>
  <c r="B406" i="36"/>
  <c r="A406" i="36"/>
  <c r="L405" i="36"/>
  <c r="K405" i="36"/>
  <c r="J405" i="36"/>
  <c r="I405" i="36"/>
  <c r="H405" i="36"/>
  <c r="G405" i="36"/>
  <c r="F405" i="36"/>
  <c r="E405" i="36"/>
  <c r="D405" i="36"/>
  <c r="C405" i="36"/>
  <c r="B405" i="36"/>
  <c r="A405" i="36"/>
  <c r="L404" i="36"/>
  <c r="K404" i="36"/>
  <c r="J404" i="36"/>
  <c r="I404" i="36"/>
  <c r="H404" i="36"/>
  <c r="G404" i="36"/>
  <c r="F404" i="36"/>
  <c r="E404" i="36"/>
  <c r="D404" i="36"/>
  <c r="C404" i="36"/>
  <c r="B404" i="36"/>
  <c r="A404" i="36"/>
  <c r="L403" i="36"/>
  <c r="K403" i="36"/>
  <c r="J403" i="36"/>
  <c r="I403" i="36"/>
  <c r="H403" i="36"/>
  <c r="G403" i="36"/>
  <c r="F403" i="36"/>
  <c r="E403" i="36"/>
  <c r="D403" i="36"/>
  <c r="C403" i="36"/>
  <c r="B403" i="36"/>
  <c r="A403" i="36"/>
  <c r="L402" i="36"/>
  <c r="K402" i="36"/>
  <c r="J402" i="36"/>
  <c r="I402" i="36"/>
  <c r="H402" i="36"/>
  <c r="G402" i="36"/>
  <c r="F402" i="36"/>
  <c r="E402" i="36"/>
  <c r="D402" i="36"/>
  <c r="C402" i="36"/>
  <c r="B402" i="36"/>
  <c r="A402" i="36"/>
  <c r="L401" i="36"/>
  <c r="K401" i="36"/>
  <c r="J401" i="36"/>
  <c r="I401" i="36"/>
  <c r="H401" i="36"/>
  <c r="G401" i="36"/>
  <c r="F401" i="36"/>
  <c r="E401" i="36"/>
  <c r="D401" i="36"/>
  <c r="C401" i="36"/>
  <c r="B401" i="36"/>
  <c r="A401" i="36"/>
  <c r="L400" i="36"/>
  <c r="K400" i="36"/>
  <c r="J400" i="36"/>
  <c r="I400" i="36"/>
  <c r="H400" i="36"/>
  <c r="G400" i="36"/>
  <c r="F400" i="36"/>
  <c r="E400" i="36"/>
  <c r="D400" i="36"/>
  <c r="C400" i="36"/>
  <c r="B400" i="36"/>
  <c r="A400" i="36"/>
  <c r="L399" i="36"/>
  <c r="K399" i="36"/>
  <c r="J399" i="36"/>
  <c r="I399" i="36"/>
  <c r="H399" i="36"/>
  <c r="G399" i="36"/>
  <c r="F399" i="36"/>
  <c r="E399" i="36"/>
  <c r="D399" i="36"/>
  <c r="C399" i="36"/>
  <c r="B399" i="36"/>
  <c r="A399" i="36"/>
  <c r="L398" i="36"/>
  <c r="K398" i="36"/>
  <c r="J398" i="36"/>
  <c r="I398" i="36"/>
  <c r="H398" i="36"/>
  <c r="G398" i="36"/>
  <c r="F398" i="36"/>
  <c r="E398" i="36"/>
  <c r="D398" i="36"/>
  <c r="C398" i="36"/>
  <c r="B398" i="36"/>
  <c r="A398" i="36"/>
  <c r="L397" i="36"/>
  <c r="K397" i="36"/>
  <c r="J397" i="36"/>
  <c r="I397" i="36"/>
  <c r="H397" i="36"/>
  <c r="G397" i="36"/>
  <c r="F397" i="36"/>
  <c r="E397" i="36"/>
  <c r="D397" i="36"/>
  <c r="C397" i="36"/>
  <c r="B397" i="36"/>
  <c r="A397" i="36"/>
  <c r="L396" i="36"/>
  <c r="K396" i="36"/>
  <c r="J396" i="36"/>
  <c r="I396" i="36"/>
  <c r="H396" i="36"/>
  <c r="G396" i="36"/>
  <c r="F396" i="36"/>
  <c r="E396" i="36"/>
  <c r="D396" i="36"/>
  <c r="C396" i="36"/>
  <c r="B396" i="36"/>
  <c r="A396" i="36"/>
  <c r="L395" i="36"/>
  <c r="K395" i="36"/>
  <c r="J395" i="36"/>
  <c r="I395" i="36"/>
  <c r="H395" i="36"/>
  <c r="G395" i="36"/>
  <c r="F395" i="36"/>
  <c r="E395" i="36"/>
  <c r="D395" i="36"/>
  <c r="C395" i="36"/>
  <c r="B395" i="36"/>
  <c r="A395" i="36"/>
  <c r="L394" i="36"/>
  <c r="K394" i="36"/>
  <c r="J394" i="36"/>
  <c r="I394" i="36"/>
  <c r="H394" i="36"/>
  <c r="G394" i="36"/>
  <c r="F394" i="36"/>
  <c r="E394" i="36"/>
  <c r="D394" i="36"/>
  <c r="C394" i="36"/>
  <c r="B394" i="36"/>
  <c r="A394" i="36"/>
  <c r="L393" i="36"/>
  <c r="K393" i="36"/>
  <c r="J393" i="36"/>
  <c r="I393" i="36"/>
  <c r="H393" i="36"/>
  <c r="G393" i="36"/>
  <c r="F393" i="36"/>
  <c r="E393" i="36"/>
  <c r="D393" i="36"/>
  <c r="C393" i="36"/>
  <c r="B393" i="36"/>
  <c r="A393" i="36"/>
  <c r="L392" i="36"/>
  <c r="K392" i="36"/>
  <c r="J392" i="36"/>
  <c r="I392" i="36"/>
  <c r="H392" i="36"/>
  <c r="G392" i="36"/>
  <c r="F392" i="36"/>
  <c r="E392" i="36"/>
  <c r="D392" i="36"/>
  <c r="C392" i="36"/>
  <c r="B392" i="36"/>
  <c r="A392" i="36"/>
  <c r="L391" i="36"/>
  <c r="K391" i="36"/>
  <c r="J391" i="36"/>
  <c r="I391" i="36"/>
  <c r="H391" i="36"/>
  <c r="G391" i="36"/>
  <c r="F391" i="36"/>
  <c r="E391" i="36"/>
  <c r="D391" i="36"/>
  <c r="C391" i="36"/>
  <c r="B391" i="36"/>
  <c r="A391" i="36"/>
  <c r="L390" i="36"/>
  <c r="K390" i="36"/>
  <c r="J390" i="36"/>
  <c r="I390" i="36"/>
  <c r="H390" i="36"/>
  <c r="G390" i="36"/>
  <c r="F390" i="36"/>
  <c r="E390" i="36"/>
  <c r="D390" i="36"/>
  <c r="C390" i="36"/>
  <c r="B390" i="36"/>
  <c r="A390" i="36"/>
  <c r="L389" i="36"/>
  <c r="K389" i="36"/>
  <c r="J389" i="36"/>
  <c r="I389" i="36"/>
  <c r="H389" i="36"/>
  <c r="G389" i="36"/>
  <c r="F389" i="36"/>
  <c r="E389" i="36"/>
  <c r="D389" i="36"/>
  <c r="C389" i="36"/>
  <c r="B389" i="36"/>
  <c r="A389" i="36"/>
  <c r="L388" i="36"/>
  <c r="K388" i="36"/>
  <c r="J388" i="36"/>
  <c r="I388" i="36"/>
  <c r="H388" i="36"/>
  <c r="G388" i="36"/>
  <c r="F388" i="36"/>
  <c r="E388" i="36"/>
  <c r="D388" i="36"/>
  <c r="C388" i="36"/>
  <c r="B388" i="36"/>
  <c r="A388" i="36"/>
  <c r="L387" i="36"/>
  <c r="K387" i="36"/>
  <c r="J387" i="36"/>
  <c r="I387" i="36"/>
  <c r="H387" i="36"/>
  <c r="G387" i="36"/>
  <c r="F387" i="36"/>
  <c r="E387" i="36"/>
  <c r="D387" i="36"/>
  <c r="C387" i="36"/>
  <c r="B387" i="36"/>
  <c r="A387" i="36"/>
  <c r="L386" i="36"/>
  <c r="K386" i="36"/>
  <c r="J386" i="36"/>
  <c r="I386" i="36"/>
  <c r="H386" i="36"/>
  <c r="G386" i="36"/>
  <c r="F386" i="36"/>
  <c r="E386" i="36"/>
  <c r="D386" i="36"/>
  <c r="C386" i="36"/>
  <c r="B386" i="36"/>
  <c r="A386" i="36"/>
  <c r="L385" i="36"/>
  <c r="K385" i="36"/>
  <c r="J385" i="36"/>
  <c r="I385" i="36"/>
  <c r="H385" i="36"/>
  <c r="G385" i="36"/>
  <c r="F385" i="36"/>
  <c r="E385" i="36"/>
  <c r="D385" i="36"/>
  <c r="C385" i="36"/>
  <c r="B385" i="36"/>
  <c r="A385" i="36"/>
  <c r="L384" i="36"/>
  <c r="K384" i="36"/>
  <c r="J384" i="36"/>
  <c r="I384" i="36"/>
  <c r="H384" i="36"/>
  <c r="G384" i="36"/>
  <c r="F384" i="36"/>
  <c r="E384" i="36"/>
  <c r="D384" i="36"/>
  <c r="C384" i="36"/>
  <c r="B384" i="36"/>
  <c r="A384" i="36"/>
  <c r="L383" i="36"/>
  <c r="K383" i="36"/>
  <c r="J383" i="36"/>
  <c r="I383" i="36"/>
  <c r="H383" i="36"/>
  <c r="G383" i="36"/>
  <c r="F383" i="36"/>
  <c r="E383" i="36"/>
  <c r="D383" i="36"/>
  <c r="C383" i="36"/>
  <c r="B383" i="36"/>
  <c r="A383" i="36"/>
  <c r="L382" i="36"/>
  <c r="K382" i="36"/>
  <c r="J382" i="36"/>
  <c r="I382" i="36"/>
  <c r="H382" i="36"/>
  <c r="G382" i="36"/>
  <c r="F382" i="36"/>
  <c r="E382" i="36"/>
  <c r="D382" i="36"/>
  <c r="C382" i="36"/>
  <c r="B382" i="36"/>
  <c r="A382" i="36"/>
  <c r="L381" i="36"/>
  <c r="K381" i="36"/>
  <c r="J381" i="36"/>
  <c r="I381" i="36"/>
  <c r="H381" i="36"/>
  <c r="G381" i="36"/>
  <c r="F381" i="36"/>
  <c r="E381" i="36"/>
  <c r="D381" i="36"/>
  <c r="C381" i="36"/>
  <c r="B381" i="36"/>
  <c r="A381" i="36"/>
  <c r="L380" i="36"/>
  <c r="K380" i="36"/>
  <c r="J380" i="36"/>
  <c r="I380" i="36"/>
  <c r="H380" i="36"/>
  <c r="G380" i="36"/>
  <c r="F380" i="36"/>
  <c r="E380" i="36"/>
  <c r="D380" i="36"/>
  <c r="C380" i="36"/>
  <c r="B380" i="36"/>
  <c r="A380" i="36"/>
  <c r="L379" i="36"/>
  <c r="K379" i="36"/>
  <c r="J379" i="36"/>
  <c r="I379" i="36"/>
  <c r="H379" i="36"/>
  <c r="G379" i="36"/>
  <c r="F379" i="36"/>
  <c r="E379" i="36"/>
  <c r="D379" i="36"/>
  <c r="C379" i="36"/>
  <c r="B379" i="36"/>
  <c r="A379" i="36"/>
  <c r="L378" i="36"/>
  <c r="K378" i="36"/>
  <c r="J378" i="36"/>
  <c r="I378" i="36"/>
  <c r="H378" i="36"/>
  <c r="G378" i="36"/>
  <c r="F378" i="36"/>
  <c r="E378" i="36"/>
  <c r="D378" i="36"/>
  <c r="C378" i="36"/>
  <c r="B378" i="36"/>
  <c r="A378" i="36"/>
  <c r="L377" i="36"/>
  <c r="K377" i="36"/>
  <c r="J377" i="36"/>
  <c r="I377" i="36"/>
  <c r="H377" i="36"/>
  <c r="G377" i="36"/>
  <c r="F377" i="36"/>
  <c r="E377" i="36"/>
  <c r="D377" i="36"/>
  <c r="C377" i="36"/>
  <c r="B377" i="36"/>
  <c r="A377" i="36"/>
  <c r="L376" i="36"/>
  <c r="K376" i="36"/>
  <c r="J376" i="36"/>
  <c r="I376" i="36"/>
  <c r="H376" i="36"/>
  <c r="G376" i="36"/>
  <c r="F376" i="36"/>
  <c r="E376" i="36"/>
  <c r="D376" i="36"/>
  <c r="C376" i="36"/>
  <c r="B376" i="36"/>
  <c r="A376" i="36"/>
  <c r="L375" i="36"/>
  <c r="K375" i="36"/>
  <c r="J375" i="36"/>
  <c r="I375" i="36"/>
  <c r="H375" i="36"/>
  <c r="G375" i="36"/>
  <c r="F375" i="36"/>
  <c r="E375" i="36"/>
  <c r="D375" i="36"/>
  <c r="C375" i="36"/>
  <c r="B375" i="36"/>
  <c r="A375" i="36"/>
  <c r="L374" i="36"/>
  <c r="K374" i="36"/>
  <c r="J374" i="36"/>
  <c r="I374" i="36"/>
  <c r="H374" i="36"/>
  <c r="G374" i="36"/>
  <c r="F374" i="36"/>
  <c r="E374" i="36"/>
  <c r="D374" i="36"/>
  <c r="C374" i="36"/>
  <c r="B374" i="36"/>
  <c r="A374" i="36"/>
  <c r="L373" i="36"/>
  <c r="K373" i="36"/>
  <c r="J373" i="36"/>
  <c r="I373" i="36"/>
  <c r="H373" i="36"/>
  <c r="G373" i="36"/>
  <c r="F373" i="36"/>
  <c r="E373" i="36"/>
  <c r="D373" i="36"/>
  <c r="C373" i="36"/>
  <c r="B373" i="36"/>
  <c r="A373" i="36"/>
  <c r="L372" i="36"/>
  <c r="K372" i="36"/>
  <c r="J372" i="36"/>
  <c r="I372" i="36"/>
  <c r="H372" i="36"/>
  <c r="G372" i="36"/>
  <c r="F372" i="36"/>
  <c r="E372" i="36"/>
  <c r="D372" i="36"/>
  <c r="C372" i="36"/>
  <c r="B372" i="36"/>
  <c r="A372" i="36"/>
  <c r="L371" i="36"/>
  <c r="K371" i="36"/>
  <c r="J371" i="36"/>
  <c r="I371" i="36"/>
  <c r="H371" i="36"/>
  <c r="G371" i="36"/>
  <c r="F371" i="36"/>
  <c r="E371" i="36"/>
  <c r="D371" i="36"/>
  <c r="C371" i="36"/>
  <c r="B371" i="36"/>
  <c r="A371" i="36"/>
  <c r="L370" i="36"/>
  <c r="K370" i="36"/>
  <c r="J370" i="36"/>
  <c r="I370" i="36"/>
  <c r="H370" i="36"/>
  <c r="G370" i="36"/>
  <c r="F370" i="36"/>
  <c r="E370" i="36"/>
  <c r="D370" i="36"/>
  <c r="C370" i="36"/>
  <c r="B370" i="36"/>
  <c r="A370" i="36"/>
  <c r="L369" i="36"/>
  <c r="K369" i="36"/>
  <c r="J369" i="36"/>
  <c r="I369" i="36"/>
  <c r="H369" i="36"/>
  <c r="G369" i="36"/>
  <c r="F369" i="36"/>
  <c r="E369" i="36"/>
  <c r="D369" i="36"/>
  <c r="C369" i="36"/>
  <c r="B369" i="36"/>
  <c r="A369" i="36"/>
  <c r="L368" i="36"/>
  <c r="K368" i="36"/>
  <c r="J368" i="36"/>
  <c r="I368" i="36"/>
  <c r="H368" i="36"/>
  <c r="G368" i="36"/>
  <c r="F368" i="36"/>
  <c r="E368" i="36"/>
  <c r="D368" i="36"/>
  <c r="C368" i="36"/>
  <c r="B368" i="36"/>
  <c r="A368" i="36"/>
  <c r="L367" i="36"/>
  <c r="K367" i="36"/>
  <c r="J367" i="36"/>
  <c r="I367" i="36"/>
  <c r="H367" i="36"/>
  <c r="G367" i="36"/>
  <c r="F367" i="36"/>
  <c r="E367" i="36"/>
  <c r="D367" i="36"/>
  <c r="C367" i="36"/>
  <c r="B367" i="36"/>
  <c r="A367" i="36"/>
  <c r="L366" i="36"/>
  <c r="K366" i="36"/>
  <c r="J366" i="36"/>
  <c r="I366" i="36"/>
  <c r="H366" i="36"/>
  <c r="G366" i="36"/>
  <c r="F366" i="36"/>
  <c r="E366" i="36"/>
  <c r="D366" i="36"/>
  <c r="C366" i="36"/>
  <c r="B366" i="36"/>
  <c r="A366" i="36"/>
  <c r="L365" i="36"/>
  <c r="K365" i="36"/>
  <c r="J365" i="36"/>
  <c r="I365" i="36"/>
  <c r="H365" i="36"/>
  <c r="G365" i="36"/>
  <c r="F365" i="36"/>
  <c r="E365" i="36"/>
  <c r="D365" i="36"/>
  <c r="C365" i="36"/>
  <c r="B365" i="36"/>
  <c r="A365" i="36"/>
  <c r="L364" i="36"/>
  <c r="K364" i="36"/>
  <c r="J364" i="36"/>
  <c r="I364" i="36"/>
  <c r="H364" i="36"/>
  <c r="G364" i="36"/>
  <c r="F364" i="36"/>
  <c r="E364" i="36"/>
  <c r="D364" i="36"/>
  <c r="C364" i="36"/>
  <c r="B364" i="36"/>
  <c r="A364" i="36"/>
  <c r="L363" i="36"/>
  <c r="K363" i="36"/>
  <c r="J363" i="36"/>
  <c r="I363" i="36"/>
  <c r="H363" i="36"/>
  <c r="G363" i="36"/>
  <c r="F363" i="36"/>
  <c r="E363" i="36"/>
  <c r="D363" i="36"/>
  <c r="C363" i="36"/>
  <c r="B363" i="36"/>
  <c r="A363" i="36"/>
  <c r="L362" i="36"/>
  <c r="K362" i="36"/>
  <c r="J362" i="36"/>
  <c r="I362" i="36"/>
  <c r="H362" i="36"/>
  <c r="G362" i="36"/>
  <c r="F362" i="36"/>
  <c r="E362" i="36"/>
  <c r="D362" i="36"/>
  <c r="C362" i="36"/>
  <c r="B362" i="36"/>
  <c r="A362" i="36"/>
  <c r="L361" i="36"/>
  <c r="K361" i="36"/>
  <c r="J361" i="36"/>
  <c r="I361" i="36"/>
  <c r="H361" i="36"/>
  <c r="G361" i="36"/>
  <c r="F361" i="36"/>
  <c r="E361" i="36"/>
  <c r="D361" i="36"/>
  <c r="C361" i="36"/>
  <c r="B361" i="36"/>
  <c r="A361" i="36"/>
  <c r="L360" i="36"/>
  <c r="K360" i="36"/>
  <c r="J360" i="36"/>
  <c r="I360" i="36"/>
  <c r="H360" i="36"/>
  <c r="G360" i="36"/>
  <c r="F360" i="36"/>
  <c r="E360" i="36"/>
  <c r="D360" i="36"/>
  <c r="C360" i="36"/>
  <c r="B360" i="36"/>
  <c r="A360" i="36"/>
  <c r="L359" i="36"/>
  <c r="K359" i="36"/>
  <c r="J359" i="36"/>
  <c r="I359" i="36"/>
  <c r="H359" i="36"/>
  <c r="G359" i="36"/>
  <c r="F359" i="36"/>
  <c r="E359" i="36"/>
  <c r="D359" i="36"/>
  <c r="C359" i="36"/>
  <c r="B359" i="36"/>
  <c r="A359" i="36"/>
  <c r="L358" i="36"/>
  <c r="K358" i="36"/>
  <c r="J358" i="36"/>
  <c r="I358" i="36"/>
  <c r="H358" i="36"/>
  <c r="G358" i="36"/>
  <c r="F358" i="36"/>
  <c r="E358" i="36"/>
  <c r="D358" i="36"/>
  <c r="C358" i="36"/>
  <c r="B358" i="36"/>
  <c r="A358" i="36"/>
  <c r="L357" i="36"/>
  <c r="K357" i="36"/>
  <c r="J357" i="36"/>
  <c r="I357" i="36"/>
  <c r="H357" i="36"/>
  <c r="G357" i="36"/>
  <c r="F357" i="36"/>
  <c r="E357" i="36"/>
  <c r="D357" i="36"/>
  <c r="C357" i="36"/>
  <c r="B357" i="36"/>
  <c r="A357" i="36"/>
  <c r="L356" i="36"/>
  <c r="K356" i="36"/>
  <c r="J356" i="36"/>
  <c r="I356" i="36"/>
  <c r="H356" i="36"/>
  <c r="G356" i="36"/>
  <c r="F356" i="36"/>
  <c r="E356" i="36"/>
  <c r="D356" i="36"/>
  <c r="C356" i="36"/>
  <c r="B356" i="36"/>
  <c r="A356" i="36"/>
  <c r="L355" i="36"/>
  <c r="K355" i="36"/>
  <c r="J355" i="36"/>
  <c r="I355" i="36"/>
  <c r="H355" i="36"/>
  <c r="G355" i="36"/>
  <c r="F355" i="36"/>
  <c r="E355" i="36"/>
  <c r="D355" i="36"/>
  <c r="C355" i="36"/>
  <c r="B355" i="36"/>
  <c r="A355" i="36"/>
  <c r="L354" i="36"/>
  <c r="K354" i="36"/>
  <c r="J354" i="36"/>
  <c r="I354" i="36"/>
  <c r="H354" i="36"/>
  <c r="G354" i="36"/>
  <c r="F354" i="36"/>
  <c r="E354" i="36"/>
  <c r="D354" i="36"/>
  <c r="C354" i="36"/>
  <c r="B354" i="36"/>
  <c r="A354" i="36"/>
  <c r="L353" i="36"/>
  <c r="K353" i="36"/>
  <c r="J353" i="36"/>
  <c r="I353" i="36"/>
  <c r="H353" i="36"/>
  <c r="G353" i="36"/>
  <c r="F353" i="36"/>
  <c r="E353" i="36"/>
  <c r="D353" i="36"/>
  <c r="C353" i="36"/>
  <c r="B353" i="36"/>
  <c r="A353" i="36"/>
  <c r="L352" i="36"/>
  <c r="K352" i="36"/>
  <c r="J352" i="36"/>
  <c r="I352" i="36"/>
  <c r="H352" i="36"/>
  <c r="G352" i="36"/>
  <c r="F352" i="36"/>
  <c r="E352" i="36"/>
  <c r="D352" i="36"/>
  <c r="C352" i="36"/>
  <c r="B352" i="36"/>
  <c r="A352" i="36"/>
  <c r="L351" i="36"/>
  <c r="K351" i="36"/>
  <c r="J351" i="36"/>
  <c r="I351" i="36"/>
  <c r="H351" i="36"/>
  <c r="G351" i="36"/>
  <c r="F351" i="36"/>
  <c r="E351" i="36"/>
  <c r="D351" i="36"/>
  <c r="C351" i="36"/>
  <c r="B351" i="36"/>
  <c r="A351" i="36"/>
  <c r="L350" i="36"/>
  <c r="K350" i="36"/>
  <c r="J350" i="36"/>
  <c r="I350" i="36"/>
  <c r="H350" i="36"/>
  <c r="G350" i="36"/>
  <c r="F350" i="36"/>
  <c r="E350" i="36"/>
  <c r="D350" i="36"/>
  <c r="C350" i="36"/>
  <c r="B350" i="36"/>
  <c r="A350" i="36"/>
  <c r="L349" i="36"/>
  <c r="K349" i="36"/>
  <c r="J349" i="36"/>
  <c r="I349" i="36"/>
  <c r="H349" i="36"/>
  <c r="G349" i="36"/>
  <c r="F349" i="36"/>
  <c r="E349" i="36"/>
  <c r="D349" i="36"/>
  <c r="C349" i="36"/>
  <c r="B349" i="36"/>
  <c r="A349" i="36"/>
  <c r="L348" i="36"/>
  <c r="K348" i="36"/>
  <c r="J348" i="36"/>
  <c r="I348" i="36"/>
  <c r="H348" i="36"/>
  <c r="G348" i="36"/>
  <c r="F348" i="36"/>
  <c r="E348" i="36"/>
  <c r="D348" i="36"/>
  <c r="C348" i="36"/>
  <c r="B348" i="36"/>
  <c r="A348" i="36"/>
  <c r="L347" i="36"/>
  <c r="K347" i="36"/>
  <c r="J347" i="36"/>
  <c r="I347" i="36"/>
  <c r="H347" i="36"/>
  <c r="G347" i="36"/>
  <c r="F347" i="36"/>
  <c r="E347" i="36"/>
  <c r="D347" i="36"/>
  <c r="C347" i="36"/>
  <c r="B347" i="36"/>
  <c r="A347" i="36"/>
  <c r="L346" i="36"/>
  <c r="K346" i="36"/>
  <c r="J346" i="36"/>
  <c r="I346" i="36"/>
  <c r="H346" i="36"/>
  <c r="G346" i="36"/>
  <c r="F346" i="36"/>
  <c r="E346" i="36"/>
  <c r="D346" i="36"/>
  <c r="C346" i="36"/>
  <c r="B346" i="36"/>
  <c r="A346" i="36"/>
  <c r="L345" i="36"/>
  <c r="K345" i="36"/>
  <c r="J345" i="36"/>
  <c r="I345" i="36"/>
  <c r="H345" i="36"/>
  <c r="G345" i="36"/>
  <c r="F345" i="36"/>
  <c r="E345" i="36"/>
  <c r="D345" i="36"/>
  <c r="C345" i="36"/>
  <c r="B345" i="36"/>
  <c r="A345" i="36"/>
  <c r="L344" i="36"/>
  <c r="K344" i="36"/>
  <c r="J344" i="36"/>
  <c r="I344" i="36"/>
  <c r="H344" i="36"/>
  <c r="G344" i="36"/>
  <c r="F344" i="36"/>
  <c r="E344" i="36"/>
  <c r="D344" i="36"/>
  <c r="C344" i="36"/>
  <c r="B344" i="36"/>
  <c r="A344" i="36"/>
  <c r="L343" i="36"/>
  <c r="K343" i="36"/>
  <c r="J343" i="36"/>
  <c r="I343" i="36"/>
  <c r="H343" i="36"/>
  <c r="G343" i="36"/>
  <c r="F343" i="36"/>
  <c r="E343" i="36"/>
  <c r="D343" i="36"/>
  <c r="C343" i="36"/>
  <c r="B343" i="36"/>
  <c r="A343" i="36"/>
  <c r="L342" i="36"/>
  <c r="K342" i="36"/>
  <c r="J342" i="36"/>
  <c r="I342" i="36"/>
  <c r="H342" i="36"/>
  <c r="G342" i="36"/>
  <c r="F342" i="36"/>
  <c r="E342" i="36"/>
  <c r="D342" i="36"/>
  <c r="C342" i="36"/>
  <c r="B342" i="36"/>
  <c r="A342" i="36"/>
  <c r="L341" i="36"/>
  <c r="K341" i="36"/>
  <c r="J341" i="36"/>
  <c r="I341" i="36"/>
  <c r="H341" i="36"/>
  <c r="G341" i="36"/>
  <c r="F341" i="36"/>
  <c r="E341" i="36"/>
  <c r="D341" i="36"/>
  <c r="C341" i="36"/>
  <c r="B341" i="36"/>
  <c r="A341" i="36"/>
  <c r="L340" i="36"/>
  <c r="K340" i="36"/>
  <c r="J340" i="36"/>
  <c r="I340" i="36"/>
  <c r="H340" i="36"/>
  <c r="G340" i="36"/>
  <c r="F340" i="36"/>
  <c r="E340" i="36"/>
  <c r="D340" i="36"/>
  <c r="C340" i="36"/>
  <c r="B340" i="36"/>
  <c r="A340" i="36"/>
  <c r="L339" i="36"/>
  <c r="K339" i="36"/>
  <c r="J339" i="36"/>
  <c r="I339" i="36"/>
  <c r="H339" i="36"/>
  <c r="G339" i="36"/>
  <c r="F339" i="36"/>
  <c r="E339" i="36"/>
  <c r="D339" i="36"/>
  <c r="C339" i="36"/>
  <c r="B339" i="36"/>
  <c r="A339" i="36"/>
  <c r="L338" i="36"/>
  <c r="K338" i="36"/>
  <c r="J338" i="36"/>
  <c r="I338" i="36"/>
  <c r="H338" i="36"/>
  <c r="G338" i="36"/>
  <c r="F338" i="36"/>
  <c r="E338" i="36"/>
  <c r="D338" i="36"/>
  <c r="C338" i="36"/>
  <c r="B338" i="36"/>
  <c r="A338" i="36"/>
  <c r="L337" i="36"/>
  <c r="K337" i="36"/>
  <c r="J337" i="36"/>
  <c r="I337" i="36"/>
  <c r="H337" i="36"/>
  <c r="G337" i="36"/>
  <c r="F337" i="36"/>
  <c r="E337" i="36"/>
  <c r="D337" i="36"/>
  <c r="C337" i="36"/>
  <c r="B337" i="36"/>
  <c r="A337" i="36"/>
  <c r="L336" i="36"/>
  <c r="K336" i="36"/>
  <c r="J336" i="36"/>
  <c r="I336" i="36"/>
  <c r="H336" i="36"/>
  <c r="G336" i="36"/>
  <c r="F336" i="36"/>
  <c r="E336" i="36"/>
  <c r="D336" i="36"/>
  <c r="C336" i="36"/>
  <c r="B336" i="36"/>
  <c r="A336" i="36"/>
  <c r="L335" i="36"/>
  <c r="K335" i="36"/>
  <c r="J335" i="36"/>
  <c r="I335" i="36"/>
  <c r="H335" i="36"/>
  <c r="G335" i="36"/>
  <c r="F335" i="36"/>
  <c r="E335" i="36"/>
  <c r="D335" i="36"/>
  <c r="C335" i="36"/>
  <c r="B335" i="36"/>
  <c r="A335" i="36"/>
  <c r="L334" i="36"/>
  <c r="K334" i="36"/>
  <c r="J334" i="36"/>
  <c r="I334" i="36"/>
  <c r="H334" i="36"/>
  <c r="G334" i="36"/>
  <c r="F334" i="36"/>
  <c r="E334" i="36"/>
  <c r="D334" i="36"/>
  <c r="C334" i="36"/>
  <c r="B334" i="36"/>
  <c r="A334" i="36"/>
  <c r="L333" i="36"/>
  <c r="K333" i="36"/>
  <c r="J333" i="36"/>
  <c r="I333" i="36"/>
  <c r="H333" i="36"/>
  <c r="G333" i="36"/>
  <c r="F333" i="36"/>
  <c r="E333" i="36"/>
  <c r="D333" i="36"/>
  <c r="C333" i="36"/>
  <c r="B333" i="36"/>
  <c r="A333" i="36"/>
  <c r="L332" i="36"/>
  <c r="K332" i="36"/>
  <c r="J332" i="36"/>
  <c r="I332" i="36"/>
  <c r="H332" i="36"/>
  <c r="G332" i="36"/>
  <c r="F332" i="36"/>
  <c r="E332" i="36"/>
  <c r="D332" i="36"/>
  <c r="C332" i="36"/>
  <c r="B332" i="36"/>
  <c r="A332" i="36"/>
  <c r="L331" i="36"/>
  <c r="K331" i="36"/>
  <c r="J331" i="36"/>
  <c r="I331" i="36"/>
  <c r="H331" i="36"/>
  <c r="G331" i="36"/>
  <c r="F331" i="36"/>
  <c r="E331" i="36"/>
  <c r="D331" i="36"/>
  <c r="C331" i="36"/>
  <c r="B331" i="36"/>
  <c r="A331" i="36"/>
  <c r="L330" i="36"/>
  <c r="K330" i="36"/>
  <c r="J330" i="36"/>
  <c r="I330" i="36"/>
  <c r="H330" i="36"/>
  <c r="G330" i="36"/>
  <c r="F330" i="36"/>
  <c r="E330" i="36"/>
  <c r="D330" i="36"/>
  <c r="C330" i="36"/>
  <c r="B330" i="36"/>
  <c r="A330" i="36"/>
  <c r="L329" i="36"/>
  <c r="K329" i="36"/>
  <c r="J329" i="36"/>
  <c r="I329" i="36"/>
  <c r="H329" i="36"/>
  <c r="G329" i="36"/>
  <c r="F329" i="36"/>
  <c r="E329" i="36"/>
  <c r="D329" i="36"/>
  <c r="C329" i="36"/>
  <c r="B329" i="36"/>
  <c r="A329" i="36"/>
  <c r="L328" i="36"/>
  <c r="K328" i="36"/>
  <c r="J328" i="36"/>
  <c r="I328" i="36"/>
  <c r="H328" i="36"/>
  <c r="G328" i="36"/>
  <c r="F328" i="36"/>
  <c r="E328" i="36"/>
  <c r="D328" i="36"/>
  <c r="C328" i="36"/>
  <c r="B328" i="36"/>
  <c r="A328" i="36"/>
  <c r="L327" i="36"/>
  <c r="K327" i="36"/>
  <c r="J327" i="36"/>
  <c r="I327" i="36"/>
  <c r="H327" i="36"/>
  <c r="G327" i="36"/>
  <c r="F327" i="36"/>
  <c r="E327" i="36"/>
  <c r="D327" i="36"/>
  <c r="C327" i="36"/>
  <c r="B327" i="36"/>
  <c r="A327" i="36"/>
  <c r="L326" i="36"/>
  <c r="K326" i="36"/>
  <c r="J326" i="36"/>
  <c r="I326" i="36"/>
  <c r="H326" i="36"/>
  <c r="G326" i="36"/>
  <c r="F326" i="36"/>
  <c r="E326" i="36"/>
  <c r="D326" i="36"/>
  <c r="C326" i="36"/>
  <c r="B326" i="36"/>
  <c r="A326" i="36"/>
  <c r="L325" i="36"/>
  <c r="K325" i="36"/>
  <c r="J325" i="36"/>
  <c r="I325" i="36"/>
  <c r="H325" i="36"/>
  <c r="G325" i="36"/>
  <c r="F325" i="36"/>
  <c r="E325" i="36"/>
  <c r="D325" i="36"/>
  <c r="C325" i="36"/>
  <c r="B325" i="36"/>
  <c r="A325" i="36"/>
  <c r="L324" i="36"/>
  <c r="K324" i="36"/>
  <c r="J324" i="36"/>
  <c r="I324" i="36"/>
  <c r="H324" i="36"/>
  <c r="G324" i="36"/>
  <c r="F324" i="36"/>
  <c r="E324" i="36"/>
  <c r="D324" i="36"/>
  <c r="C324" i="36"/>
  <c r="B324" i="36"/>
  <c r="A324" i="36"/>
  <c r="L323" i="36"/>
  <c r="K323" i="36"/>
  <c r="J323" i="36"/>
  <c r="I323" i="36"/>
  <c r="H323" i="36"/>
  <c r="G323" i="36"/>
  <c r="F323" i="36"/>
  <c r="E323" i="36"/>
  <c r="D323" i="36"/>
  <c r="C323" i="36"/>
  <c r="B323" i="36"/>
  <c r="A323" i="36"/>
  <c r="L322" i="36"/>
  <c r="K322" i="36"/>
  <c r="J322" i="36"/>
  <c r="I322" i="36"/>
  <c r="H322" i="36"/>
  <c r="G322" i="36"/>
  <c r="F322" i="36"/>
  <c r="E322" i="36"/>
  <c r="D322" i="36"/>
  <c r="C322" i="36"/>
  <c r="B322" i="36"/>
  <c r="A322" i="36"/>
  <c r="L321" i="36"/>
  <c r="K321" i="36"/>
  <c r="J321" i="36"/>
  <c r="I321" i="36"/>
  <c r="H321" i="36"/>
  <c r="G321" i="36"/>
  <c r="F321" i="36"/>
  <c r="E321" i="36"/>
  <c r="D321" i="36"/>
  <c r="C321" i="36"/>
  <c r="B321" i="36"/>
  <c r="A321" i="36"/>
  <c r="L320" i="36"/>
  <c r="K320" i="36"/>
  <c r="J320" i="36"/>
  <c r="I320" i="36"/>
  <c r="H320" i="36"/>
  <c r="G320" i="36"/>
  <c r="F320" i="36"/>
  <c r="E320" i="36"/>
  <c r="D320" i="36"/>
  <c r="C320" i="36"/>
  <c r="B320" i="36"/>
  <c r="A320" i="36"/>
  <c r="L319" i="36"/>
  <c r="K319" i="36"/>
  <c r="J319" i="36"/>
  <c r="I319" i="36"/>
  <c r="H319" i="36"/>
  <c r="G319" i="36"/>
  <c r="F319" i="36"/>
  <c r="E319" i="36"/>
  <c r="D319" i="36"/>
  <c r="C319" i="36"/>
  <c r="B319" i="36"/>
  <c r="A319" i="36"/>
  <c r="L318" i="36"/>
  <c r="K318" i="36"/>
  <c r="J318" i="36"/>
  <c r="I318" i="36"/>
  <c r="H318" i="36"/>
  <c r="G318" i="36"/>
  <c r="F318" i="36"/>
  <c r="E318" i="36"/>
  <c r="D318" i="36"/>
  <c r="C318" i="36"/>
  <c r="B318" i="36"/>
  <c r="A318" i="36"/>
  <c r="L317" i="36"/>
  <c r="K317" i="36"/>
  <c r="J317" i="36"/>
  <c r="I317" i="36"/>
  <c r="H317" i="36"/>
  <c r="G317" i="36"/>
  <c r="F317" i="36"/>
  <c r="E317" i="36"/>
  <c r="D317" i="36"/>
  <c r="C317" i="36"/>
  <c r="B317" i="36"/>
  <c r="A317" i="36"/>
  <c r="L316" i="36"/>
  <c r="K316" i="36"/>
  <c r="J316" i="36"/>
  <c r="I316" i="36"/>
  <c r="H316" i="36"/>
  <c r="G316" i="36"/>
  <c r="F316" i="36"/>
  <c r="E316" i="36"/>
  <c r="D316" i="36"/>
  <c r="C316" i="36"/>
  <c r="B316" i="36"/>
  <c r="A316" i="36"/>
  <c r="L315" i="36"/>
  <c r="K315" i="36"/>
  <c r="J315" i="36"/>
  <c r="I315" i="36"/>
  <c r="H315" i="36"/>
  <c r="G315" i="36"/>
  <c r="F315" i="36"/>
  <c r="E315" i="36"/>
  <c r="D315" i="36"/>
  <c r="C315" i="36"/>
  <c r="B315" i="36"/>
  <c r="A315" i="36"/>
  <c r="L314" i="36"/>
  <c r="K314" i="36"/>
  <c r="J314" i="36"/>
  <c r="I314" i="36"/>
  <c r="H314" i="36"/>
  <c r="G314" i="36"/>
  <c r="F314" i="36"/>
  <c r="E314" i="36"/>
  <c r="D314" i="36"/>
  <c r="C314" i="36"/>
  <c r="B314" i="36"/>
  <c r="A314" i="36"/>
  <c r="L313" i="36"/>
  <c r="K313" i="36"/>
  <c r="J313" i="36"/>
  <c r="I313" i="36"/>
  <c r="H313" i="36"/>
  <c r="G313" i="36"/>
  <c r="F313" i="36"/>
  <c r="E313" i="36"/>
  <c r="D313" i="36"/>
  <c r="C313" i="36"/>
  <c r="B313" i="36"/>
  <c r="A313" i="36"/>
  <c r="L312" i="36"/>
  <c r="K312" i="36"/>
  <c r="J312" i="36"/>
  <c r="I312" i="36"/>
  <c r="H312" i="36"/>
  <c r="G312" i="36"/>
  <c r="F312" i="36"/>
  <c r="E312" i="36"/>
  <c r="D312" i="36"/>
  <c r="C312" i="36"/>
  <c r="B312" i="36"/>
  <c r="A312" i="36"/>
  <c r="L311" i="36"/>
  <c r="K311" i="36"/>
  <c r="J311" i="36"/>
  <c r="I311" i="36"/>
  <c r="H311" i="36"/>
  <c r="G311" i="36"/>
  <c r="F311" i="36"/>
  <c r="E311" i="36"/>
  <c r="D311" i="36"/>
  <c r="C311" i="36"/>
  <c r="B311" i="36"/>
  <c r="A311" i="36"/>
  <c r="L310" i="36"/>
  <c r="K310" i="36"/>
  <c r="J310" i="36"/>
  <c r="I310" i="36"/>
  <c r="H310" i="36"/>
  <c r="G310" i="36"/>
  <c r="F310" i="36"/>
  <c r="E310" i="36"/>
  <c r="D310" i="36"/>
  <c r="C310" i="36"/>
  <c r="B310" i="36"/>
  <c r="A310" i="36"/>
  <c r="L309" i="36"/>
  <c r="K309" i="36"/>
  <c r="J309" i="36"/>
  <c r="I309" i="36"/>
  <c r="H309" i="36"/>
  <c r="G309" i="36"/>
  <c r="F309" i="36"/>
  <c r="E309" i="36"/>
  <c r="D309" i="36"/>
  <c r="C309" i="36"/>
  <c r="B309" i="36"/>
  <c r="A309" i="36"/>
  <c r="L308" i="36"/>
  <c r="K308" i="36"/>
  <c r="J308" i="36"/>
  <c r="I308" i="36"/>
  <c r="H308" i="36"/>
  <c r="G308" i="36"/>
  <c r="F308" i="36"/>
  <c r="E308" i="36"/>
  <c r="D308" i="36"/>
  <c r="C308" i="36"/>
  <c r="B308" i="36"/>
  <c r="A308" i="36"/>
  <c r="L307" i="36"/>
  <c r="K307" i="36"/>
  <c r="J307" i="36"/>
  <c r="I307" i="36"/>
  <c r="H307" i="36"/>
  <c r="G307" i="36"/>
  <c r="F307" i="36"/>
  <c r="E307" i="36"/>
  <c r="D307" i="36"/>
  <c r="C307" i="36"/>
  <c r="B307" i="36"/>
  <c r="A307" i="36"/>
  <c r="L306" i="36"/>
  <c r="K306" i="36"/>
  <c r="J306" i="36"/>
  <c r="I306" i="36"/>
  <c r="H306" i="36"/>
  <c r="G306" i="36"/>
  <c r="F306" i="36"/>
  <c r="E306" i="36"/>
  <c r="D306" i="36"/>
  <c r="C306" i="36"/>
  <c r="B306" i="36"/>
  <c r="A306" i="36"/>
  <c r="L305" i="36"/>
  <c r="K305" i="36"/>
  <c r="J305" i="36"/>
  <c r="I305" i="36"/>
  <c r="H305" i="36"/>
  <c r="G305" i="36"/>
  <c r="F305" i="36"/>
  <c r="E305" i="36"/>
  <c r="D305" i="36"/>
  <c r="C305" i="36"/>
  <c r="B305" i="36"/>
  <c r="A305" i="36"/>
  <c r="L304" i="36"/>
  <c r="K304" i="36"/>
  <c r="J304" i="36"/>
  <c r="I304" i="36"/>
  <c r="H304" i="36"/>
  <c r="G304" i="36"/>
  <c r="F304" i="36"/>
  <c r="E304" i="36"/>
  <c r="D304" i="36"/>
  <c r="C304" i="36"/>
  <c r="B304" i="36"/>
  <c r="A304" i="36"/>
  <c r="L303" i="36"/>
  <c r="K303" i="36"/>
  <c r="J303" i="36"/>
  <c r="I303" i="36"/>
  <c r="H303" i="36"/>
  <c r="G303" i="36"/>
  <c r="F303" i="36"/>
  <c r="E303" i="36"/>
  <c r="D303" i="36"/>
  <c r="C303" i="36"/>
  <c r="B303" i="36"/>
  <c r="A303" i="36"/>
  <c r="L302" i="36"/>
  <c r="K302" i="36"/>
  <c r="J302" i="36"/>
  <c r="I302" i="36"/>
  <c r="H302" i="36"/>
  <c r="G302" i="36"/>
  <c r="F302" i="36"/>
  <c r="E302" i="36"/>
  <c r="D302" i="36"/>
  <c r="C302" i="36"/>
  <c r="B302" i="36"/>
  <c r="A302" i="36"/>
  <c r="L301" i="36"/>
  <c r="K301" i="36"/>
  <c r="J301" i="36"/>
  <c r="I301" i="36"/>
  <c r="H301" i="36"/>
  <c r="G301" i="36"/>
  <c r="F301" i="36"/>
  <c r="E301" i="36"/>
  <c r="D301" i="36"/>
  <c r="C301" i="36"/>
  <c r="B301" i="36"/>
  <c r="A301" i="36"/>
  <c r="L300" i="36"/>
  <c r="K300" i="36"/>
  <c r="J300" i="36"/>
  <c r="I300" i="36"/>
  <c r="H300" i="36"/>
  <c r="G300" i="36"/>
  <c r="F300" i="36"/>
  <c r="E300" i="36"/>
  <c r="D300" i="36"/>
  <c r="C300" i="36"/>
  <c r="B300" i="36"/>
  <c r="A300" i="36"/>
  <c r="L299" i="36"/>
  <c r="K299" i="36"/>
  <c r="J299" i="36"/>
  <c r="I299" i="36"/>
  <c r="H299" i="36"/>
  <c r="G299" i="36"/>
  <c r="F299" i="36"/>
  <c r="E299" i="36"/>
  <c r="D299" i="36"/>
  <c r="C299" i="36"/>
  <c r="B299" i="36"/>
  <c r="A299" i="36"/>
  <c r="L298" i="36"/>
  <c r="K298" i="36"/>
  <c r="J298" i="36"/>
  <c r="I298" i="36"/>
  <c r="H298" i="36"/>
  <c r="G298" i="36"/>
  <c r="F298" i="36"/>
  <c r="E298" i="36"/>
  <c r="D298" i="36"/>
  <c r="C298" i="36"/>
  <c r="B298" i="36"/>
  <c r="A298" i="36"/>
  <c r="L297" i="36"/>
  <c r="K297" i="36"/>
  <c r="J297" i="36"/>
  <c r="I297" i="36"/>
  <c r="H297" i="36"/>
  <c r="G297" i="36"/>
  <c r="F297" i="36"/>
  <c r="E297" i="36"/>
  <c r="D297" i="36"/>
  <c r="C297" i="36"/>
  <c r="B297" i="36"/>
  <c r="A297" i="36"/>
  <c r="L296" i="36"/>
  <c r="K296" i="36"/>
  <c r="J296" i="36"/>
  <c r="I296" i="36"/>
  <c r="H296" i="36"/>
  <c r="G296" i="36"/>
  <c r="F296" i="36"/>
  <c r="E296" i="36"/>
  <c r="D296" i="36"/>
  <c r="C296" i="36"/>
  <c r="B296" i="36"/>
  <c r="A296" i="36"/>
  <c r="L295" i="36"/>
  <c r="K295" i="36"/>
  <c r="J295" i="36"/>
  <c r="I295" i="36"/>
  <c r="H295" i="36"/>
  <c r="G295" i="36"/>
  <c r="F295" i="36"/>
  <c r="E295" i="36"/>
  <c r="D295" i="36"/>
  <c r="C295" i="36"/>
  <c r="B295" i="36"/>
  <c r="A295" i="36"/>
  <c r="L294" i="36"/>
  <c r="K294" i="36"/>
  <c r="J294" i="36"/>
  <c r="I294" i="36"/>
  <c r="H294" i="36"/>
  <c r="G294" i="36"/>
  <c r="F294" i="36"/>
  <c r="E294" i="36"/>
  <c r="D294" i="36"/>
  <c r="C294" i="36"/>
  <c r="B294" i="36"/>
  <c r="A294" i="36"/>
  <c r="L293" i="36"/>
  <c r="K293" i="36"/>
  <c r="J293" i="36"/>
  <c r="I293" i="36"/>
  <c r="H293" i="36"/>
  <c r="G293" i="36"/>
  <c r="F293" i="36"/>
  <c r="E293" i="36"/>
  <c r="D293" i="36"/>
  <c r="C293" i="36"/>
  <c r="B293" i="36"/>
  <c r="A293" i="36"/>
  <c r="L292" i="36"/>
  <c r="K292" i="36"/>
  <c r="J292" i="36"/>
  <c r="I292" i="36"/>
  <c r="H292" i="36"/>
  <c r="G292" i="36"/>
  <c r="F292" i="36"/>
  <c r="E292" i="36"/>
  <c r="D292" i="36"/>
  <c r="C292" i="36"/>
  <c r="B292" i="36"/>
  <c r="A292" i="36"/>
  <c r="L291" i="36"/>
  <c r="K291" i="36"/>
  <c r="J291" i="36"/>
  <c r="I291" i="36"/>
  <c r="H291" i="36"/>
  <c r="G291" i="36"/>
  <c r="F291" i="36"/>
  <c r="E291" i="36"/>
  <c r="D291" i="36"/>
  <c r="C291" i="36"/>
  <c r="B291" i="36"/>
  <c r="A291" i="36"/>
  <c r="L290" i="36"/>
  <c r="K290" i="36"/>
  <c r="J290" i="36"/>
  <c r="I290" i="36"/>
  <c r="H290" i="36"/>
  <c r="G290" i="36"/>
  <c r="F290" i="36"/>
  <c r="E290" i="36"/>
  <c r="D290" i="36"/>
  <c r="C290" i="36"/>
  <c r="B290" i="36"/>
  <c r="A290" i="36"/>
  <c r="L289" i="36"/>
  <c r="K289" i="36"/>
  <c r="J289" i="36"/>
  <c r="I289" i="36"/>
  <c r="H289" i="36"/>
  <c r="G289" i="36"/>
  <c r="F289" i="36"/>
  <c r="E289" i="36"/>
  <c r="D289" i="36"/>
  <c r="C289" i="36"/>
  <c r="B289" i="36"/>
  <c r="A289" i="36"/>
  <c r="L288" i="36"/>
  <c r="K288" i="36"/>
  <c r="J288" i="36"/>
  <c r="I288" i="36"/>
  <c r="H288" i="36"/>
  <c r="G288" i="36"/>
  <c r="F288" i="36"/>
  <c r="E288" i="36"/>
  <c r="D288" i="36"/>
  <c r="C288" i="36"/>
  <c r="B288" i="36"/>
  <c r="A288" i="36"/>
  <c r="L287" i="36"/>
  <c r="K287" i="36"/>
  <c r="J287" i="36"/>
  <c r="I287" i="36"/>
  <c r="H287" i="36"/>
  <c r="G287" i="36"/>
  <c r="F287" i="36"/>
  <c r="E287" i="36"/>
  <c r="D287" i="36"/>
  <c r="C287" i="36"/>
  <c r="B287" i="36"/>
  <c r="A287" i="36"/>
  <c r="L286" i="36"/>
  <c r="K286" i="36"/>
  <c r="J286" i="36"/>
  <c r="I286" i="36"/>
  <c r="H286" i="36"/>
  <c r="G286" i="36"/>
  <c r="F286" i="36"/>
  <c r="E286" i="36"/>
  <c r="D286" i="36"/>
  <c r="C286" i="36"/>
  <c r="B286" i="36"/>
  <c r="A286" i="36"/>
  <c r="L285" i="36"/>
  <c r="K285" i="36"/>
  <c r="J285" i="36"/>
  <c r="I285" i="36"/>
  <c r="H285" i="36"/>
  <c r="G285" i="36"/>
  <c r="F285" i="36"/>
  <c r="E285" i="36"/>
  <c r="D285" i="36"/>
  <c r="C285" i="36"/>
  <c r="B285" i="36"/>
  <c r="A285" i="36"/>
  <c r="L284" i="36"/>
  <c r="K284" i="36"/>
  <c r="J284" i="36"/>
  <c r="I284" i="36"/>
  <c r="H284" i="36"/>
  <c r="G284" i="36"/>
  <c r="F284" i="36"/>
  <c r="E284" i="36"/>
  <c r="D284" i="36"/>
  <c r="C284" i="36"/>
  <c r="B284" i="36"/>
  <c r="A284" i="36"/>
  <c r="L283" i="36"/>
  <c r="K283" i="36"/>
  <c r="J283" i="36"/>
  <c r="I283" i="36"/>
  <c r="H283" i="36"/>
  <c r="G283" i="36"/>
  <c r="F283" i="36"/>
  <c r="E283" i="36"/>
  <c r="D283" i="36"/>
  <c r="C283" i="36"/>
  <c r="B283" i="36"/>
  <c r="A283" i="36"/>
  <c r="L282" i="36"/>
  <c r="K282" i="36"/>
  <c r="J282" i="36"/>
  <c r="I282" i="36"/>
  <c r="H282" i="36"/>
  <c r="G282" i="36"/>
  <c r="F282" i="36"/>
  <c r="E282" i="36"/>
  <c r="D282" i="36"/>
  <c r="C282" i="36"/>
  <c r="B282" i="36"/>
  <c r="A282" i="36"/>
  <c r="L281" i="36"/>
  <c r="K281" i="36"/>
  <c r="J281" i="36"/>
  <c r="I281" i="36"/>
  <c r="H281" i="36"/>
  <c r="G281" i="36"/>
  <c r="F281" i="36"/>
  <c r="E281" i="36"/>
  <c r="D281" i="36"/>
  <c r="C281" i="36"/>
  <c r="B281" i="36"/>
  <c r="A281" i="36"/>
  <c r="L280" i="36"/>
  <c r="K280" i="36"/>
  <c r="J280" i="36"/>
  <c r="I280" i="36"/>
  <c r="H280" i="36"/>
  <c r="G280" i="36"/>
  <c r="F280" i="36"/>
  <c r="E280" i="36"/>
  <c r="D280" i="36"/>
  <c r="C280" i="36"/>
  <c r="B280" i="36"/>
  <c r="A280" i="36"/>
  <c r="L279" i="36"/>
  <c r="K279" i="36"/>
  <c r="J279" i="36"/>
  <c r="I279" i="36"/>
  <c r="H279" i="36"/>
  <c r="G279" i="36"/>
  <c r="F279" i="36"/>
  <c r="E279" i="36"/>
  <c r="D279" i="36"/>
  <c r="C279" i="36"/>
  <c r="B279" i="36"/>
  <c r="A279" i="36"/>
  <c r="L278" i="36"/>
  <c r="K278" i="36"/>
  <c r="J278" i="36"/>
  <c r="I278" i="36"/>
  <c r="H278" i="36"/>
  <c r="G278" i="36"/>
  <c r="F278" i="36"/>
  <c r="E278" i="36"/>
  <c r="D278" i="36"/>
  <c r="C278" i="36"/>
  <c r="B278" i="36"/>
  <c r="A278" i="36"/>
  <c r="L277" i="36"/>
  <c r="K277" i="36"/>
  <c r="J277" i="36"/>
  <c r="I277" i="36"/>
  <c r="H277" i="36"/>
  <c r="G277" i="36"/>
  <c r="F277" i="36"/>
  <c r="E277" i="36"/>
  <c r="D277" i="36"/>
  <c r="C277" i="36"/>
  <c r="B277" i="36"/>
  <c r="A277" i="36"/>
  <c r="L276" i="36"/>
  <c r="K276" i="36"/>
  <c r="J276" i="36"/>
  <c r="I276" i="36"/>
  <c r="H276" i="36"/>
  <c r="G276" i="36"/>
  <c r="F276" i="36"/>
  <c r="E276" i="36"/>
  <c r="D276" i="36"/>
  <c r="C276" i="36"/>
  <c r="B276" i="36"/>
  <c r="A276" i="36"/>
  <c r="L275" i="36"/>
  <c r="K275" i="36"/>
  <c r="J275" i="36"/>
  <c r="I275" i="36"/>
  <c r="H275" i="36"/>
  <c r="G275" i="36"/>
  <c r="F275" i="36"/>
  <c r="E275" i="36"/>
  <c r="D275" i="36"/>
  <c r="C275" i="36"/>
  <c r="B275" i="36"/>
  <c r="A275" i="36"/>
  <c r="L274" i="36"/>
  <c r="K274" i="36"/>
  <c r="J274" i="36"/>
  <c r="I274" i="36"/>
  <c r="H274" i="36"/>
  <c r="G274" i="36"/>
  <c r="F274" i="36"/>
  <c r="E274" i="36"/>
  <c r="D274" i="36"/>
  <c r="C274" i="36"/>
  <c r="B274" i="36"/>
  <c r="A274" i="36"/>
  <c r="L273" i="36"/>
  <c r="K273" i="36"/>
  <c r="J273" i="36"/>
  <c r="I273" i="36"/>
  <c r="H273" i="36"/>
  <c r="G273" i="36"/>
  <c r="F273" i="36"/>
  <c r="E273" i="36"/>
  <c r="D273" i="36"/>
  <c r="C273" i="36"/>
  <c r="B273" i="36"/>
  <c r="A273" i="36"/>
  <c r="L272" i="36"/>
  <c r="K272" i="36"/>
  <c r="J272" i="36"/>
  <c r="I272" i="36"/>
  <c r="H272" i="36"/>
  <c r="G272" i="36"/>
  <c r="F272" i="36"/>
  <c r="E272" i="36"/>
  <c r="D272" i="36"/>
  <c r="C272" i="36"/>
  <c r="B272" i="36"/>
  <c r="A272" i="36"/>
  <c r="L271" i="36"/>
  <c r="K271" i="36"/>
  <c r="J271" i="36"/>
  <c r="I271" i="36"/>
  <c r="H271" i="36"/>
  <c r="G271" i="36"/>
  <c r="F271" i="36"/>
  <c r="E271" i="36"/>
  <c r="D271" i="36"/>
  <c r="C271" i="36"/>
  <c r="B271" i="36"/>
  <c r="A271" i="36"/>
  <c r="L270" i="36"/>
  <c r="K270" i="36"/>
  <c r="J270" i="36"/>
  <c r="I270" i="36"/>
  <c r="H270" i="36"/>
  <c r="G270" i="36"/>
  <c r="F270" i="36"/>
  <c r="E270" i="36"/>
  <c r="D270" i="36"/>
  <c r="C270" i="36"/>
  <c r="B270" i="36"/>
  <c r="A270" i="36"/>
  <c r="L269" i="36"/>
  <c r="K269" i="36"/>
  <c r="J269" i="36"/>
  <c r="I269" i="36"/>
  <c r="H269" i="36"/>
  <c r="G269" i="36"/>
  <c r="F269" i="36"/>
  <c r="E269" i="36"/>
  <c r="D269" i="36"/>
  <c r="C269" i="36"/>
  <c r="B269" i="36"/>
  <c r="A269" i="36"/>
  <c r="L268" i="36"/>
  <c r="K268" i="36"/>
  <c r="J268" i="36"/>
  <c r="I268" i="36"/>
  <c r="H268" i="36"/>
  <c r="G268" i="36"/>
  <c r="F268" i="36"/>
  <c r="E268" i="36"/>
  <c r="D268" i="36"/>
  <c r="C268" i="36"/>
  <c r="B268" i="36"/>
  <c r="A268" i="36"/>
  <c r="L267" i="36"/>
  <c r="K267" i="36"/>
  <c r="J267" i="36"/>
  <c r="I267" i="36"/>
  <c r="H267" i="36"/>
  <c r="G267" i="36"/>
  <c r="F267" i="36"/>
  <c r="E267" i="36"/>
  <c r="D267" i="36"/>
  <c r="C267" i="36"/>
  <c r="B267" i="36"/>
  <c r="A267" i="36"/>
  <c r="L266" i="36"/>
  <c r="K266" i="36"/>
  <c r="J266" i="36"/>
  <c r="I266" i="36"/>
  <c r="H266" i="36"/>
  <c r="G266" i="36"/>
  <c r="F266" i="36"/>
  <c r="E266" i="36"/>
  <c r="D266" i="36"/>
  <c r="C266" i="36"/>
  <c r="B266" i="36"/>
  <c r="A266" i="36"/>
  <c r="B265" i="36"/>
  <c r="B264" i="36"/>
  <c r="B263" i="36"/>
  <c r="L260" i="36"/>
  <c r="K260" i="36"/>
  <c r="J260" i="36"/>
  <c r="I260" i="36"/>
  <c r="H260" i="36"/>
  <c r="G260" i="36"/>
  <c r="F260" i="36"/>
  <c r="E260" i="36"/>
  <c r="D260" i="36"/>
  <c r="C260" i="36"/>
  <c r="B260" i="36"/>
  <c r="A260" i="36"/>
  <c r="L259" i="36"/>
  <c r="K259" i="36"/>
  <c r="J259" i="36"/>
  <c r="I259" i="36"/>
  <c r="H259" i="36"/>
  <c r="G259" i="36"/>
  <c r="F259" i="36"/>
  <c r="E259" i="36"/>
  <c r="D259" i="36"/>
  <c r="C259" i="36"/>
  <c r="B259" i="36"/>
  <c r="A259" i="36"/>
  <c r="L258" i="36"/>
  <c r="K258" i="36"/>
  <c r="J258" i="36"/>
  <c r="I258" i="36"/>
  <c r="H258" i="36"/>
  <c r="G258" i="36"/>
  <c r="F258" i="36"/>
  <c r="E258" i="36"/>
  <c r="D258" i="36"/>
  <c r="C258" i="36"/>
  <c r="B258" i="36"/>
  <c r="A258" i="36"/>
  <c r="L257" i="36"/>
  <c r="K257" i="36"/>
  <c r="J257" i="36"/>
  <c r="I257" i="36"/>
  <c r="H257" i="36"/>
  <c r="G257" i="36"/>
  <c r="F257" i="36"/>
  <c r="E257" i="36"/>
  <c r="D257" i="36"/>
  <c r="C257" i="36"/>
  <c r="B257" i="36"/>
  <c r="A257" i="36"/>
  <c r="L256" i="36"/>
  <c r="K256" i="36"/>
  <c r="J256" i="36"/>
  <c r="I256" i="36"/>
  <c r="H256" i="36"/>
  <c r="G256" i="36"/>
  <c r="F256" i="36"/>
  <c r="E256" i="36"/>
  <c r="D256" i="36"/>
  <c r="C256" i="36"/>
  <c r="B256" i="36"/>
  <c r="A256" i="36"/>
  <c r="L255" i="36"/>
  <c r="K255" i="36"/>
  <c r="J255" i="36"/>
  <c r="I255" i="36"/>
  <c r="H255" i="36"/>
  <c r="G255" i="36"/>
  <c r="F255" i="36"/>
  <c r="E255" i="36"/>
  <c r="D255" i="36"/>
  <c r="C255" i="36"/>
  <c r="B255" i="36"/>
  <c r="A255" i="36"/>
  <c r="L254" i="36"/>
  <c r="K254" i="36"/>
  <c r="J254" i="36"/>
  <c r="I254" i="36"/>
  <c r="H254" i="36"/>
  <c r="G254" i="36"/>
  <c r="F254" i="36"/>
  <c r="E254" i="36"/>
  <c r="D254" i="36"/>
  <c r="C254" i="36"/>
  <c r="B254" i="36"/>
  <c r="A254" i="36"/>
  <c r="L253" i="36"/>
  <c r="K253" i="36"/>
  <c r="J253" i="36"/>
  <c r="I253" i="36"/>
  <c r="H253" i="36"/>
  <c r="G253" i="36"/>
  <c r="F253" i="36"/>
  <c r="E253" i="36"/>
  <c r="D253" i="36"/>
  <c r="C253" i="36"/>
  <c r="B253" i="36"/>
  <c r="A253" i="36"/>
  <c r="L252" i="36"/>
  <c r="K252" i="36"/>
  <c r="J252" i="36"/>
  <c r="I252" i="36"/>
  <c r="H252" i="36"/>
  <c r="G252" i="36"/>
  <c r="F252" i="36"/>
  <c r="E252" i="36"/>
  <c r="D252" i="36"/>
  <c r="C252" i="36"/>
  <c r="B252" i="36"/>
  <c r="A252" i="36"/>
  <c r="L251" i="36"/>
  <c r="K251" i="36"/>
  <c r="J251" i="36"/>
  <c r="I251" i="36"/>
  <c r="H251" i="36"/>
  <c r="G251" i="36"/>
  <c r="F251" i="36"/>
  <c r="E251" i="36"/>
  <c r="D251" i="36"/>
  <c r="C251" i="36"/>
  <c r="B251" i="36"/>
  <c r="A251" i="36"/>
  <c r="L250" i="36"/>
  <c r="K250" i="36"/>
  <c r="J250" i="36"/>
  <c r="I250" i="36"/>
  <c r="H250" i="36"/>
  <c r="G250" i="36"/>
  <c r="F250" i="36"/>
  <c r="E250" i="36"/>
  <c r="D250" i="36"/>
  <c r="C250" i="36"/>
  <c r="B250" i="36"/>
  <c r="A250" i="36"/>
  <c r="L249" i="36"/>
  <c r="K249" i="36"/>
  <c r="J249" i="36"/>
  <c r="I249" i="36"/>
  <c r="H249" i="36"/>
  <c r="G249" i="36"/>
  <c r="F249" i="36"/>
  <c r="E249" i="36"/>
  <c r="D249" i="36"/>
  <c r="C249" i="36"/>
  <c r="B249" i="36"/>
  <c r="A249" i="36"/>
  <c r="L248" i="36"/>
  <c r="K248" i="36"/>
  <c r="J248" i="36"/>
  <c r="I248" i="36"/>
  <c r="H248" i="36"/>
  <c r="G248" i="36"/>
  <c r="F248" i="36"/>
  <c r="E248" i="36"/>
  <c r="D248" i="36"/>
  <c r="C248" i="36"/>
  <c r="B248" i="36"/>
  <c r="A248" i="36"/>
  <c r="L247" i="36"/>
  <c r="K247" i="36"/>
  <c r="J247" i="36"/>
  <c r="I247" i="36"/>
  <c r="H247" i="36"/>
  <c r="G247" i="36"/>
  <c r="F247" i="36"/>
  <c r="E247" i="36"/>
  <c r="D247" i="36"/>
  <c r="C247" i="36"/>
  <c r="B247" i="36"/>
  <c r="A247" i="36"/>
  <c r="L246" i="36"/>
  <c r="K246" i="36"/>
  <c r="J246" i="36"/>
  <c r="I246" i="36"/>
  <c r="H246" i="36"/>
  <c r="G246" i="36"/>
  <c r="F246" i="36"/>
  <c r="E246" i="36"/>
  <c r="D246" i="36"/>
  <c r="C246" i="36"/>
  <c r="B246" i="36"/>
  <c r="A246" i="36"/>
  <c r="L245" i="36"/>
  <c r="K245" i="36"/>
  <c r="J245" i="36"/>
  <c r="I245" i="36"/>
  <c r="H245" i="36"/>
  <c r="G245" i="36"/>
  <c r="F245" i="36"/>
  <c r="E245" i="36"/>
  <c r="D245" i="36"/>
  <c r="C245" i="36"/>
  <c r="B245" i="36"/>
  <c r="A245" i="36"/>
  <c r="L244" i="36"/>
  <c r="K244" i="36"/>
  <c r="J244" i="36"/>
  <c r="I244" i="36"/>
  <c r="H244" i="36"/>
  <c r="G244" i="36"/>
  <c r="F244" i="36"/>
  <c r="E244" i="36"/>
  <c r="D244" i="36"/>
  <c r="C244" i="36"/>
  <c r="B244" i="36"/>
  <c r="A244" i="36"/>
  <c r="L243" i="36"/>
  <c r="K243" i="36"/>
  <c r="J243" i="36"/>
  <c r="I243" i="36"/>
  <c r="H243" i="36"/>
  <c r="G243" i="36"/>
  <c r="F243" i="36"/>
  <c r="E243" i="36"/>
  <c r="D243" i="36"/>
  <c r="C243" i="36"/>
  <c r="B243" i="36"/>
  <c r="A243" i="36"/>
  <c r="L242" i="36"/>
  <c r="K242" i="36"/>
  <c r="J242" i="36"/>
  <c r="I242" i="36"/>
  <c r="H242" i="36"/>
  <c r="G242" i="36"/>
  <c r="F242" i="36"/>
  <c r="E242" i="36"/>
  <c r="D242" i="36"/>
  <c r="C242" i="36"/>
  <c r="B242" i="36"/>
  <c r="A242" i="36"/>
  <c r="L241" i="36"/>
  <c r="K241" i="36"/>
  <c r="J241" i="36"/>
  <c r="I241" i="36"/>
  <c r="H241" i="36"/>
  <c r="G241" i="36"/>
  <c r="F241" i="36"/>
  <c r="E241" i="36"/>
  <c r="D241" i="36"/>
  <c r="C241" i="36"/>
  <c r="B241" i="36"/>
  <c r="A241" i="36"/>
  <c r="L240" i="36"/>
  <c r="K240" i="36"/>
  <c r="J240" i="36"/>
  <c r="I240" i="36"/>
  <c r="H240" i="36"/>
  <c r="G240" i="36"/>
  <c r="F240" i="36"/>
  <c r="E240" i="36"/>
  <c r="D240" i="36"/>
  <c r="C240" i="36"/>
  <c r="B240" i="36"/>
  <c r="A240" i="36"/>
  <c r="L239" i="36"/>
  <c r="K239" i="36"/>
  <c r="J239" i="36"/>
  <c r="I239" i="36"/>
  <c r="H239" i="36"/>
  <c r="G239" i="36"/>
  <c r="F239" i="36"/>
  <c r="E239" i="36"/>
  <c r="D239" i="36"/>
  <c r="C239" i="36"/>
  <c r="B239" i="36"/>
  <c r="A239" i="36"/>
  <c r="L238" i="36"/>
  <c r="K238" i="36"/>
  <c r="J238" i="36"/>
  <c r="I238" i="36"/>
  <c r="H238" i="36"/>
  <c r="G238" i="36"/>
  <c r="F238" i="36"/>
  <c r="E238" i="36"/>
  <c r="D238" i="36"/>
  <c r="C238" i="36"/>
  <c r="B238" i="36"/>
  <c r="A238" i="36"/>
  <c r="L237" i="36"/>
  <c r="K237" i="36"/>
  <c r="J237" i="36"/>
  <c r="I237" i="36"/>
  <c r="H237" i="36"/>
  <c r="G237" i="36"/>
  <c r="F237" i="36"/>
  <c r="E237" i="36"/>
  <c r="D237" i="36"/>
  <c r="C237" i="36"/>
  <c r="B237" i="36"/>
  <c r="A237" i="36"/>
  <c r="L236" i="36"/>
  <c r="K236" i="36"/>
  <c r="J236" i="36"/>
  <c r="I236" i="36"/>
  <c r="H236" i="36"/>
  <c r="G236" i="36"/>
  <c r="F236" i="36"/>
  <c r="E236" i="36"/>
  <c r="D236" i="36"/>
  <c r="C236" i="36"/>
  <c r="B236" i="36"/>
  <c r="A236" i="36"/>
  <c r="L235" i="36"/>
  <c r="K235" i="36"/>
  <c r="J235" i="36"/>
  <c r="I235" i="36"/>
  <c r="H235" i="36"/>
  <c r="G235" i="36"/>
  <c r="F235" i="36"/>
  <c r="E235" i="36"/>
  <c r="D235" i="36"/>
  <c r="C235" i="36"/>
  <c r="B235" i="36"/>
  <c r="A235" i="36"/>
  <c r="L234" i="36"/>
  <c r="K234" i="36"/>
  <c r="J234" i="36"/>
  <c r="I234" i="36"/>
  <c r="H234" i="36"/>
  <c r="G234" i="36"/>
  <c r="F234" i="36"/>
  <c r="E234" i="36"/>
  <c r="D234" i="36"/>
  <c r="C234" i="36"/>
  <c r="B234" i="36"/>
  <c r="A234" i="36"/>
  <c r="L233" i="36"/>
  <c r="K233" i="36"/>
  <c r="J233" i="36"/>
  <c r="I233" i="36"/>
  <c r="H233" i="36"/>
  <c r="G233" i="36"/>
  <c r="F233" i="36"/>
  <c r="E233" i="36"/>
  <c r="D233" i="36"/>
  <c r="C233" i="36"/>
  <c r="B233" i="36"/>
  <c r="A233" i="36"/>
  <c r="L232" i="36"/>
  <c r="K232" i="36"/>
  <c r="J232" i="36"/>
  <c r="I232" i="36"/>
  <c r="H232" i="36"/>
  <c r="G232" i="36"/>
  <c r="F232" i="36"/>
  <c r="E232" i="36"/>
  <c r="D232" i="36"/>
  <c r="C232" i="36"/>
  <c r="B232" i="36"/>
  <c r="A232" i="36"/>
  <c r="L231" i="36"/>
  <c r="K231" i="36"/>
  <c r="J231" i="36"/>
  <c r="I231" i="36"/>
  <c r="H231" i="36"/>
  <c r="G231" i="36"/>
  <c r="F231" i="36"/>
  <c r="E231" i="36"/>
  <c r="D231" i="36"/>
  <c r="C231" i="36"/>
  <c r="B231" i="36"/>
  <c r="A231" i="36"/>
  <c r="L230" i="36"/>
  <c r="K230" i="36"/>
  <c r="J230" i="36"/>
  <c r="I230" i="36"/>
  <c r="H230" i="36"/>
  <c r="G230" i="36"/>
  <c r="F230" i="36"/>
  <c r="E230" i="36"/>
  <c r="D230" i="36"/>
  <c r="C230" i="36"/>
  <c r="B230" i="36"/>
  <c r="A230" i="36"/>
  <c r="L229" i="36"/>
  <c r="K229" i="36"/>
  <c r="J229" i="36"/>
  <c r="I229" i="36"/>
  <c r="H229" i="36"/>
  <c r="G229" i="36"/>
  <c r="F229" i="36"/>
  <c r="E229" i="36"/>
  <c r="D229" i="36"/>
  <c r="C229" i="36"/>
  <c r="B229" i="36"/>
  <c r="A229" i="36"/>
  <c r="L228" i="36"/>
  <c r="K228" i="36"/>
  <c r="J228" i="36"/>
  <c r="I228" i="36"/>
  <c r="H228" i="36"/>
  <c r="G228" i="36"/>
  <c r="F228" i="36"/>
  <c r="E228" i="36"/>
  <c r="D228" i="36"/>
  <c r="C228" i="36"/>
  <c r="B228" i="36"/>
  <c r="A228" i="36"/>
  <c r="L227" i="36"/>
  <c r="K227" i="36"/>
  <c r="J227" i="36"/>
  <c r="I227" i="36"/>
  <c r="H227" i="36"/>
  <c r="G227" i="36"/>
  <c r="F227" i="36"/>
  <c r="E227" i="36"/>
  <c r="D227" i="36"/>
  <c r="C227" i="36"/>
  <c r="B227" i="36"/>
  <c r="A227" i="36"/>
  <c r="L226" i="36"/>
  <c r="K226" i="36"/>
  <c r="J226" i="36"/>
  <c r="I226" i="36"/>
  <c r="H226" i="36"/>
  <c r="G226" i="36"/>
  <c r="F226" i="36"/>
  <c r="E226" i="36"/>
  <c r="D226" i="36"/>
  <c r="C226" i="36"/>
  <c r="B226" i="36"/>
  <c r="A226" i="36"/>
  <c r="L225" i="36"/>
  <c r="K225" i="36"/>
  <c r="J225" i="36"/>
  <c r="I225" i="36"/>
  <c r="H225" i="36"/>
  <c r="G225" i="36"/>
  <c r="F225" i="36"/>
  <c r="E225" i="36"/>
  <c r="D225" i="36"/>
  <c r="C225" i="36"/>
  <c r="B225" i="36"/>
  <c r="A225" i="36"/>
  <c r="L224" i="36"/>
  <c r="K224" i="36"/>
  <c r="J224" i="36"/>
  <c r="I224" i="36"/>
  <c r="H224" i="36"/>
  <c r="G224" i="36"/>
  <c r="F224" i="36"/>
  <c r="E224" i="36"/>
  <c r="D224" i="36"/>
  <c r="C224" i="36"/>
  <c r="B224" i="36"/>
  <c r="A224" i="36"/>
  <c r="L223" i="36"/>
  <c r="K223" i="36"/>
  <c r="J223" i="36"/>
  <c r="I223" i="36"/>
  <c r="H223" i="36"/>
  <c r="G223" i="36"/>
  <c r="F223" i="36"/>
  <c r="E223" i="36"/>
  <c r="D223" i="36"/>
  <c r="C223" i="36"/>
  <c r="B223" i="36"/>
  <c r="A223" i="36"/>
  <c r="L222" i="36"/>
  <c r="K222" i="36"/>
  <c r="J222" i="36"/>
  <c r="I222" i="36"/>
  <c r="H222" i="36"/>
  <c r="G222" i="36"/>
  <c r="F222" i="36"/>
  <c r="E222" i="36"/>
  <c r="D222" i="36"/>
  <c r="C222" i="36"/>
  <c r="B222" i="36"/>
  <c r="A222" i="36"/>
  <c r="L221" i="36"/>
  <c r="K221" i="36"/>
  <c r="J221" i="36"/>
  <c r="I221" i="36"/>
  <c r="H221" i="36"/>
  <c r="G221" i="36"/>
  <c r="F221" i="36"/>
  <c r="E221" i="36"/>
  <c r="D221" i="36"/>
  <c r="C221" i="36"/>
  <c r="B221" i="36"/>
  <c r="A221" i="36"/>
  <c r="L220" i="36"/>
  <c r="K220" i="36"/>
  <c r="J220" i="36"/>
  <c r="I220" i="36"/>
  <c r="H220" i="36"/>
  <c r="G220" i="36"/>
  <c r="F220" i="36"/>
  <c r="E220" i="36"/>
  <c r="D220" i="36"/>
  <c r="C220" i="36"/>
  <c r="B220" i="36"/>
  <c r="A220" i="36"/>
  <c r="L219" i="36"/>
  <c r="K219" i="36"/>
  <c r="J219" i="36"/>
  <c r="I219" i="36"/>
  <c r="H219" i="36"/>
  <c r="G219" i="36"/>
  <c r="F219" i="36"/>
  <c r="E219" i="36"/>
  <c r="D219" i="36"/>
  <c r="C219" i="36"/>
  <c r="B219" i="36"/>
  <c r="A219" i="36"/>
  <c r="L218" i="36"/>
  <c r="K218" i="36"/>
  <c r="J218" i="36"/>
  <c r="I218" i="36"/>
  <c r="H218" i="36"/>
  <c r="G218" i="36"/>
  <c r="F218" i="36"/>
  <c r="E218" i="36"/>
  <c r="D218" i="36"/>
  <c r="C218" i="36"/>
  <c r="B218" i="36"/>
  <c r="A218" i="36"/>
  <c r="L217" i="36"/>
  <c r="K217" i="36"/>
  <c r="J217" i="36"/>
  <c r="I217" i="36"/>
  <c r="H217" i="36"/>
  <c r="G217" i="36"/>
  <c r="F217" i="36"/>
  <c r="E217" i="36"/>
  <c r="D217" i="36"/>
  <c r="C217" i="36"/>
  <c r="B217" i="36"/>
  <c r="A217" i="36"/>
  <c r="L216" i="36"/>
  <c r="K216" i="36"/>
  <c r="J216" i="36"/>
  <c r="I216" i="36"/>
  <c r="H216" i="36"/>
  <c r="G216" i="36"/>
  <c r="F216" i="36"/>
  <c r="E216" i="36"/>
  <c r="D216" i="36"/>
  <c r="C216" i="36"/>
  <c r="B216" i="36"/>
  <c r="A216" i="36"/>
  <c r="L215" i="36"/>
  <c r="K215" i="36"/>
  <c r="J215" i="36"/>
  <c r="I215" i="36"/>
  <c r="H215" i="36"/>
  <c r="G215" i="36"/>
  <c r="F215" i="36"/>
  <c r="E215" i="36"/>
  <c r="D215" i="36"/>
  <c r="C215" i="36"/>
  <c r="B215" i="36"/>
  <c r="A215" i="36"/>
  <c r="L214" i="36"/>
  <c r="K214" i="36"/>
  <c r="J214" i="36"/>
  <c r="I214" i="36"/>
  <c r="H214" i="36"/>
  <c r="G214" i="36"/>
  <c r="F214" i="36"/>
  <c r="E214" i="36"/>
  <c r="D214" i="36"/>
  <c r="C214" i="36"/>
  <c r="B214" i="36"/>
  <c r="A214" i="36"/>
  <c r="L213" i="36"/>
  <c r="K213" i="36"/>
  <c r="J213" i="36"/>
  <c r="I213" i="36"/>
  <c r="H213" i="36"/>
  <c r="G213" i="36"/>
  <c r="F213" i="36"/>
  <c r="E213" i="36"/>
  <c r="D213" i="36"/>
  <c r="C213" i="36"/>
  <c r="B213" i="36"/>
  <c r="A213" i="36"/>
  <c r="L212" i="36"/>
  <c r="K212" i="36"/>
  <c r="J212" i="36"/>
  <c r="I212" i="36"/>
  <c r="G212" i="36"/>
  <c r="F212" i="36"/>
  <c r="E212" i="36"/>
  <c r="D212" i="36"/>
  <c r="C212" i="36"/>
  <c r="B212" i="36"/>
  <c r="A212" i="36"/>
  <c r="L211" i="36"/>
  <c r="K211" i="36"/>
  <c r="J211" i="36"/>
  <c r="I211" i="36"/>
  <c r="G211" i="36"/>
  <c r="F211" i="36"/>
  <c r="E211" i="36"/>
  <c r="D211" i="36"/>
  <c r="C211" i="36"/>
  <c r="B211" i="36"/>
  <c r="A211" i="36"/>
  <c r="L210" i="36"/>
  <c r="K210" i="36"/>
  <c r="J210" i="36"/>
  <c r="I210" i="36"/>
  <c r="G210" i="36"/>
  <c r="F210" i="36"/>
  <c r="E210" i="36"/>
  <c r="D210" i="36"/>
  <c r="C210" i="36"/>
  <c r="B210" i="36"/>
  <c r="A210" i="36"/>
  <c r="L209" i="36"/>
  <c r="K209" i="36"/>
  <c r="J209" i="36"/>
  <c r="I209" i="36"/>
  <c r="G209" i="36"/>
  <c r="F209" i="36"/>
  <c r="E209" i="36"/>
  <c r="D209" i="36"/>
  <c r="C209" i="36"/>
  <c r="B209" i="36"/>
  <c r="A209" i="36"/>
  <c r="L208" i="36"/>
  <c r="K208" i="36"/>
  <c r="J208" i="36"/>
  <c r="I208" i="36"/>
  <c r="G208" i="36"/>
  <c r="F208" i="36"/>
  <c r="E208" i="36"/>
  <c r="D208" i="36"/>
  <c r="C208" i="36"/>
  <c r="B208" i="36"/>
  <c r="A208" i="36"/>
  <c r="L207" i="36"/>
  <c r="K207" i="36"/>
  <c r="J207" i="36"/>
  <c r="I207" i="36"/>
  <c r="G207" i="36"/>
  <c r="F207" i="36"/>
  <c r="E207" i="36"/>
  <c r="D207" i="36"/>
  <c r="C207" i="36"/>
  <c r="B207" i="36"/>
  <c r="A207" i="36"/>
  <c r="L206" i="36"/>
  <c r="K206" i="36"/>
  <c r="J206" i="36"/>
  <c r="I206" i="36"/>
  <c r="G206" i="36"/>
  <c r="F206" i="36"/>
  <c r="E206" i="36"/>
  <c r="D206" i="36"/>
  <c r="C206" i="36"/>
  <c r="B206" i="36"/>
  <c r="A206" i="36"/>
  <c r="L205" i="36"/>
  <c r="K205" i="36"/>
  <c r="J205" i="36"/>
  <c r="I205" i="36"/>
  <c r="G205" i="36"/>
  <c r="F205" i="36"/>
  <c r="E205" i="36"/>
  <c r="D205" i="36"/>
  <c r="C205" i="36"/>
  <c r="B205" i="36"/>
  <c r="A205" i="36"/>
  <c r="L204" i="36"/>
  <c r="K204" i="36"/>
  <c r="J204" i="36"/>
  <c r="I204" i="36"/>
  <c r="G204" i="36"/>
  <c r="F204" i="36"/>
  <c r="E204" i="36"/>
  <c r="D204" i="36"/>
  <c r="C204" i="36"/>
  <c r="B204" i="36"/>
  <c r="A204" i="36"/>
  <c r="L203" i="36"/>
  <c r="K203" i="36"/>
  <c r="J203" i="36"/>
  <c r="I203" i="36"/>
  <c r="H203" i="36"/>
  <c r="G203" i="36"/>
  <c r="F203" i="36"/>
  <c r="E203" i="36"/>
  <c r="D203" i="36"/>
  <c r="C203" i="36"/>
  <c r="B203" i="36"/>
  <c r="A203" i="36"/>
  <c r="L202" i="36"/>
  <c r="K202" i="36"/>
  <c r="J202" i="36"/>
  <c r="I202" i="36"/>
  <c r="H202" i="36"/>
  <c r="G202" i="36"/>
  <c r="F202" i="36"/>
  <c r="E202" i="36"/>
  <c r="D202" i="36"/>
  <c r="C202" i="36"/>
  <c r="B202" i="36"/>
  <c r="A202" i="36"/>
  <c r="L201" i="36"/>
  <c r="K201" i="36"/>
  <c r="J201" i="36"/>
  <c r="I201" i="36"/>
  <c r="H201" i="36"/>
  <c r="G201" i="36"/>
  <c r="F201" i="36"/>
  <c r="E201" i="36"/>
  <c r="D201" i="36"/>
  <c r="C201" i="36"/>
  <c r="B201" i="36"/>
  <c r="A201" i="36"/>
  <c r="L200" i="36"/>
  <c r="K200" i="36"/>
  <c r="J200" i="36"/>
  <c r="I200" i="36"/>
  <c r="H200" i="36"/>
  <c r="G200" i="36"/>
  <c r="F200" i="36"/>
  <c r="E200" i="36"/>
  <c r="D200" i="36"/>
  <c r="C200" i="36"/>
  <c r="B200" i="36"/>
  <c r="A200" i="36"/>
  <c r="L199" i="36"/>
  <c r="K199" i="36"/>
  <c r="J199" i="36"/>
  <c r="I199" i="36"/>
  <c r="H199" i="36"/>
  <c r="G199" i="36"/>
  <c r="F199" i="36"/>
  <c r="E199" i="36"/>
  <c r="D199" i="36"/>
  <c r="C199" i="36"/>
  <c r="B199" i="36"/>
  <c r="A199" i="36"/>
  <c r="L198" i="36"/>
  <c r="K198" i="36"/>
  <c r="J198" i="36"/>
  <c r="I198" i="36"/>
  <c r="H198" i="36"/>
  <c r="G198" i="36"/>
  <c r="F198" i="36"/>
  <c r="E198" i="36"/>
  <c r="D198" i="36"/>
  <c r="C198" i="36"/>
  <c r="B198" i="36"/>
  <c r="A198" i="36"/>
  <c r="L197" i="36"/>
  <c r="K197" i="36"/>
  <c r="J197" i="36"/>
  <c r="I197" i="36"/>
  <c r="H197" i="36"/>
  <c r="G197" i="36"/>
  <c r="F197" i="36"/>
  <c r="E197" i="36"/>
  <c r="D197" i="36"/>
  <c r="C197" i="36"/>
  <c r="B197" i="36"/>
  <c r="A197" i="36"/>
  <c r="L196" i="36"/>
  <c r="K196" i="36"/>
  <c r="J196" i="36"/>
  <c r="I196" i="36"/>
  <c r="H196" i="36"/>
  <c r="G196" i="36"/>
  <c r="F196" i="36"/>
  <c r="E196" i="36"/>
  <c r="D196" i="36"/>
  <c r="C196" i="36"/>
  <c r="B196" i="36"/>
  <c r="A196" i="36"/>
  <c r="L195" i="36"/>
  <c r="K195" i="36"/>
  <c r="J195" i="36"/>
  <c r="I195" i="36"/>
  <c r="H195" i="36"/>
  <c r="G195" i="36"/>
  <c r="F195" i="36"/>
  <c r="E195" i="36"/>
  <c r="D195" i="36"/>
  <c r="C195" i="36"/>
  <c r="B195" i="36"/>
  <c r="A195" i="36"/>
  <c r="X32" i="36"/>
  <c r="R32" i="36"/>
  <c r="G44" i="76" s="1"/>
  <c r="Q32" i="36"/>
  <c r="O54" i="29" s="1"/>
  <c r="P32" i="36"/>
  <c r="N54" i="29" s="1"/>
  <c r="O32" i="36"/>
  <c r="M54" i="29" s="1"/>
  <c r="N32" i="36"/>
  <c r="L54" i="29" s="1"/>
  <c r="M32" i="36"/>
  <c r="K54" i="29" s="1"/>
  <c r="L32" i="36"/>
  <c r="J54" i="29" s="1"/>
  <c r="K32" i="36"/>
  <c r="I54" i="29" s="1"/>
  <c r="J32" i="36"/>
  <c r="N33" i="73" s="1"/>
  <c r="I32" i="36"/>
  <c r="G54" i="29" s="1"/>
  <c r="H32" i="36"/>
  <c r="F54" i="29" s="1"/>
  <c r="G32" i="36"/>
  <c r="E54" i="29" s="1"/>
  <c r="F32" i="36"/>
  <c r="E32" i="36"/>
  <c r="D54" i="29" s="1"/>
  <c r="D32" i="36"/>
  <c r="C32" i="36"/>
  <c r="J33" i="73" s="1"/>
  <c r="B32" i="36"/>
  <c r="B54" i="29" s="1"/>
  <c r="A32" i="36"/>
  <c r="X31" i="36"/>
  <c r="R31" i="36"/>
  <c r="G43" i="76" s="1"/>
  <c r="Q31" i="36"/>
  <c r="O53" i="29" s="1"/>
  <c r="P31" i="36"/>
  <c r="N53" i="29" s="1"/>
  <c r="O31" i="36"/>
  <c r="M53" i="29" s="1"/>
  <c r="N31" i="36"/>
  <c r="L53" i="29" s="1"/>
  <c r="M31" i="36"/>
  <c r="K53" i="29" s="1"/>
  <c r="L31" i="36"/>
  <c r="J53" i="29" s="1"/>
  <c r="K31" i="36"/>
  <c r="I53" i="29" s="1"/>
  <c r="J31" i="36"/>
  <c r="N32" i="73" s="1"/>
  <c r="I31" i="36"/>
  <c r="G53" i="29" s="1"/>
  <c r="H31" i="36"/>
  <c r="G31" i="36"/>
  <c r="E53" i="29" s="1"/>
  <c r="F31" i="36"/>
  <c r="K32" i="73" s="1"/>
  <c r="E31" i="36"/>
  <c r="D53" i="29" s="1"/>
  <c r="D31" i="36"/>
  <c r="C31" i="36"/>
  <c r="B31" i="36"/>
  <c r="K30" i="1" s="1"/>
  <c r="A31" i="36"/>
  <c r="X30" i="36"/>
  <c r="R30" i="36"/>
  <c r="G42" i="76" s="1"/>
  <c r="Q30" i="36"/>
  <c r="O52" i="29" s="1"/>
  <c r="P30" i="36"/>
  <c r="N52" i="29" s="1"/>
  <c r="O30" i="36"/>
  <c r="M52" i="29" s="1"/>
  <c r="N30" i="36"/>
  <c r="L52" i="29" s="1"/>
  <c r="M30" i="36"/>
  <c r="K52" i="29" s="1"/>
  <c r="L30" i="36"/>
  <c r="J52" i="29" s="1"/>
  <c r="K30" i="36"/>
  <c r="I52" i="29" s="1"/>
  <c r="J30" i="36"/>
  <c r="H52" i="29" s="1"/>
  <c r="I30" i="36"/>
  <c r="G52" i="29" s="1"/>
  <c r="H30" i="36"/>
  <c r="G30" i="36"/>
  <c r="E52" i="29" s="1"/>
  <c r="F30" i="36"/>
  <c r="K31" i="73" s="1"/>
  <c r="E30" i="36"/>
  <c r="D52" i="29" s="1"/>
  <c r="D30" i="36"/>
  <c r="C30" i="36"/>
  <c r="J31" i="73" s="1"/>
  <c r="B30" i="36"/>
  <c r="K29" i="1" s="1"/>
  <c r="A30" i="36"/>
  <c r="X29" i="36"/>
  <c r="R29" i="36"/>
  <c r="G41" i="76" s="1"/>
  <c r="Q29" i="36"/>
  <c r="O51" i="29" s="1"/>
  <c r="P29" i="36"/>
  <c r="N51" i="29" s="1"/>
  <c r="O29" i="36"/>
  <c r="M51" i="29" s="1"/>
  <c r="N29" i="36"/>
  <c r="L51" i="29" s="1"/>
  <c r="M29" i="36"/>
  <c r="K51" i="29" s="1"/>
  <c r="L29" i="36"/>
  <c r="J51" i="29" s="1"/>
  <c r="K29" i="36"/>
  <c r="I51" i="29" s="1"/>
  <c r="J29" i="36"/>
  <c r="H51" i="29" s="1"/>
  <c r="I29" i="36"/>
  <c r="G51" i="29" s="1"/>
  <c r="H29" i="36"/>
  <c r="D41" i="76" s="1"/>
  <c r="G29" i="36"/>
  <c r="E51" i="29" s="1"/>
  <c r="F29" i="36"/>
  <c r="K30" i="73" s="1"/>
  <c r="E29" i="36"/>
  <c r="D51" i="29" s="1"/>
  <c r="D29" i="36"/>
  <c r="C29" i="36"/>
  <c r="J30" i="73" s="1"/>
  <c r="B29" i="36"/>
  <c r="B51" i="29" s="1"/>
  <c r="A29" i="36"/>
  <c r="X28" i="36"/>
  <c r="R28" i="36"/>
  <c r="G40" i="76" s="1"/>
  <c r="Q28" i="36"/>
  <c r="O50" i="29" s="1"/>
  <c r="P28" i="36"/>
  <c r="N50" i="29" s="1"/>
  <c r="O28" i="36"/>
  <c r="M50" i="29" s="1"/>
  <c r="N28" i="36"/>
  <c r="L50" i="29" s="1"/>
  <c r="M28" i="36"/>
  <c r="K50" i="29" s="1"/>
  <c r="L28" i="36"/>
  <c r="J50" i="29" s="1"/>
  <c r="K28" i="36"/>
  <c r="I50" i="29" s="1"/>
  <c r="J28" i="36"/>
  <c r="I28" i="36"/>
  <c r="G50" i="29" s="1"/>
  <c r="H28" i="36"/>
  <c r="G28" i="36"/>
  <c r="E50" i="29" s="1"/>
  <c r="F28" i="36"/>
  <c r="E28" i="36"/>
  <c r="D28" i="36"/>
  <c r="C28" i="36"/>
  <c r="J29" i="73" s="1"/>
  <c r="B28" i="36"/>
  <c r="K27" i="1" s="1"/>
  <c r="A28" i="36"/>
  <c r="X27" i="36"/>
  <c r="R27" i="36"/>
  <c r="G39" i="76" s="1"/>
  <c r="Q27" i="36"/>
  <c r="O49" i="29" s="1"/>
  <c r="P27" i="36"/>
  <c r="N49" i="29" s="1"/>
  <c r="O27" i="36"/>
  <c r="M49" i="29" s="1"/>
  <c r="N27" i="36"/>
  <c r="L49" i="29" s="1"/>
  <c r="M27" i="36"/>
  <c r="K49" i="29" s="1"/>
  <c r="L27" i="36"/>
  <c r="J49" i="29" s="1"/>
  <c r="K27" i="36"/>
  <c r="I49" i="29" s="1"/>
  <c r="J27" i="36"/>
  <c r="I27" i="36"/>
  <c r="G49" i="29" s="1"/>
  <c r="H27" i="36"/>
  <c r="G27" i="36"/>
  <c r="E49" i="29" s="1"/>
  <c r="F27" i="36"/>
  <c r="K28" i="73" s="1"/>
  <c r="E27" i="36"/>
  <c r="D49" i="29" s="1"/>
  <c r="D27" i="36"/>
  <c r="C27" i="36"/>
  <c r="J28" i="73" s="1"/>
  <c r="B27" i="36"/>
  <c r="A27" i="36"/>
  <c r="X26" i="36"/>
  <c r="R26" i="36"/>
  <c r="G38" i="76" s="1"/>
  <c r="Q26" i="36"/>
  <c r="O48" i="29" s="1"/>
  <c r="P26" i="36"/>
  <c r="N48" i="29" s="1"/>
  <c r="O26" i="36"/>
  <c r="M48" i="29" s="1"/>
  <c r="N26" i="36"/>
  <c r="L48" i="29" s="1"/>
  <c r="M26" i="36"/>
  <c r="K48" i="29" s="1"/>
  <c r="L26" i="36"/>
  <c r="J48" i="29" s="1"/>
  <c r="K26" i="36"/>
  <c r="I48" i="29" s="1"/>
  <c r="G26" i="36"/>
  <c r="E48" i="29" s="1"/>
  <c r="F26" i="36"/>
  <c r="E26" i="36"/>
  <c r="D26" i="36"/>
  <c r="C26" i="36"/>
  <c r="B26" i="36"/>
  <c r="B38" i="76" s="1"/>
  <c r="J38" i="76" s="1"/>
  <c r="A26" i="36"/>
  <c r="X25" i="36"/>
  <c r="R25" i="36"/>
  <c r="G37" i="76" s="1"/>
  <c r="Q25" i="36"/>
  <c r="O47" i="29" s="1"/>
  <c r="P25" i="36"/>
  <c r="N47" i="29" s="1"/>
  <c r="O25" i="36"/>
  <c r="M47" i="29" s="1"/>
  <c r="N25" i="36"/>
  <c r="L47" i="29" s="1"/>
  <c r="M25" i="36"/>
  <c r="K47" i="29" s="1"/>
  <c r="L25" i="36"/>
  <c r="J47" i="29" s="1"/>
  <c r="K25" i="36"/>
  <c r="I47" i="29" s="1"/>
  <c r="G25" i="36"/>
  <c r="E47" i="29" s="1"/>
  <c r="F25" i="36"/>
  <c r="E25" i="36"/>
  <c r="D47" i="29" s="1"/>
  <c r="D25" i="36"/>
  <c r="C25" i="36"/>
  <c r="J26" i="73" s="1"/>
  <c r="B25" i="36"/>
  <c r="K24" i="1" s="1"/>
  <c r="A25" i="36"/>
  <c r="X24" i="36"/>
  <c r="R24" i="36"/>
  <c r="G36" i="76" s="1"/>
  <c r="Q24" i="36"/>
  <c r="O46" i="29" s="1"/>
  <c r="P24" i="36"/>
  <c r="N46" i="29" s="1"/>
  <c r="O24" i="36"/>
  <c r="M46" i="29" s="1"/>
  <c r="N24" i="36"/>
  <c r="L46" i="29" s="1"/>
  <c r="M24" i="36"/>
  <c r="K46" i="29" s="1"/>
  <c r="L24" i="36"/>
  <c r="J46" i="29" s="1"/>
  <c r="K24" i="36"/>
  <c r="I46" i="29" s="1"/>
  <c r="J24" i="36"/>
  <c r="H24" i="36"/>
  <c r="F46" i="29" s="1"/>
  <c r="G24" i="36"/>
  <c r="E46" i="29" s="1"/>
  <c r="F24" i="36"/>
  <c r="K25" i="73" s="1"/>
  <c r="E24" i="36"/>
  <c r="D46" i="29" s="1"/>
  <c r="D24" i="36"/>
  <c r="C24" i="36"/>
  <c r="J25" i="73" s="1"/>
  <c r="B24" i="36"/>
  <c r="K23" i="1" s="1"/>
  <c r="A24" i="36"/>
  <c r="X23" i="36"/>
  <c r="R23" i="36"/>
  <c r="G35" i="76" s="1"/>
  <c r="Q23" i="36"/>
  <c r="O45" i="29" s="1"/>
  <c r="P23" i="36"/>
  <c r="N45" i="29" s="1"/>
  <c r="O23" i="36"/>
  <c r="M45" i="29" s="1"/>
  <c r="N23" i="36"/>
  <c r="L45" i="29" s="1"/>
  <c r="M23" i="36"/>
  <c r="K45" i="29" s="1"/>
  <c r="L23" i="36"/>
  <c r="J45" i="29" s="1"/>
  <c r="K23" i="36"/>
  <c r="I45" i="29" s="1"/>
  <c r="J23" i="36"/>
  <c r="N24" i="73" s="1"/>
  <c r="I23" i="36"/>
  <c r="G45" i="29" s="1"/>
  <c r="H23" i="36"/>
  <c r="G23" i="36"/>
  <c r="E45" i="29" s="1"/>
  <c r="F23" i="36"/>
  <c r="K24" i="73" s="1"/>
  <c r="E23" i="36"/>
  <c r="D45" i="29" s="1"/>
  <c r="D23" i="36"/>
  <c r="C23" i="36"/>
  <c r="J24" i="73" s="1"/>
  <c r="B23" i="36"/>
  <c r="K22" i="1" s="1"/>
  <c r="A23" i="36"/>
  <c r="X22" i="36"/>
  <c r="R22" i="36"/>
  <c r="G34" i="76" s="1"/>
  <c r="Q22" i="36"/>
  <c r="O44" i="29" s="1"/>
  <c r="P22" i="36"/>
  <c r="N44" i="29" s="1"/>
  <c r="O22" i="36"/>
  <c r="M44" i="29" s="1"/>
  <c r="N22" i="36"/>
  <c r="L44" i="29" s="1"/>
  <c r="M22" i="36"/>
  <c r="K44" i="29" s="1"/>
  <c r="L22" i="36"/>
  <c r="J44" i="29" s="1"/>
  <c r="K22" i="36"/>
  <c r="I44" i="29" s="1"/>
  <c r="J22" i="36"/>
  <c r="H44" i="29" s="1"/>
  <c r="I22" i="36"/>
  <c r="G44" i="29" s="1"/>
  <c r="H22" i="36"/>
  <c r="D34" i="76" s="1"/>
  <c r="G22" i="36"/>
  <c r="E44" i="29" s="1"/>
  <c r="F22" i="36"/>
  <c r="K23" i="73" s="1"/>
  <c r="E22" i="36"/>
  <c r="D44" i="29" s="1"/>
  <c r="D22" i="36"/>
  <c r="C22" i="36"/>
  <c r="J23" i="73" s="1"/>
  <c r="B22" i="36"/>
  <c r="B44" i="29" s="1"/>
  <c r="A22" i="36"/>
  <c r="X21" i="36"/>
  <c r="R21" i="36"/>
  <c r="G33" i="76" s="1"/>
  <c r="Q21" i="36"/>
  <c r="O43" i="29" s="1"/>
  <c r="P21" i="36"/>
  <c r="N43" i="29" s="1"/>
  <c r="O21" i="36"/>
  <c r="M43" i="29" s="1"/>
  <c r="N21" i="36"/>
  <c r="L43" i="29" s="1"/>
  <c r="M21" i="36"/>
  <c r="K43" i="29" s="1"/>
  <c r="L21" i="36"/>
  <c r="J43" i="29" s="1"/>
  <c r="K21" i="36"/>
  <c r="I43" i="29" s="1"/>
  <c r="J21" i="36"/>
  <c r="I21" i="36"/>
  <c r="G43" i="29" s="1"/>
  <c r="H21" i="36"/>
  <c r="D33" i="76" s="1"/>
  <c r="G21" i="36"/>
  <c r="F21" i="36"/>
  <c r="K22" i="73" s="1"/>
  <c r="E21" i="36"/>
  <c r="D43" i="29" s="1"/>
  <c r="D21" i="36"/>
  <c r="C21" i="36"/>
  <c r="B21" i="36"/>
  <c r="A21" i="36"/>
  <c r="X20" i="36"/>
  <c r="R20" i="36"/>
  <c r="G32" i="76" s="1"/>
  <c r="Q20" i="36"/>
  <c r="O42" i="29" s="1"/>
  <c r="P20" i="36"/>
  <c r="N42" i="29" s="1"/>
  <c r="O20" i="36"/>
  <c r="M42" i="29" s="1"/>
  <c r="N20" i="36"/>
  <c r="L42" i="29" s="1"/>
  <c r="M20" i="36"/>
  <c r="K42" i="29" s="1"/>
  <c r="L20" i="36"/>
  <c r="J42" i="29" s="1"/>
  <c r="K20" i="36"/>
  <c r="I42" i="29" s="1"/>
  <c r="J20" i="36"/>
  <c r="I20" i="36"/>
  <c r="E32" i="76" s="1"/>
  <c r="H20" i="36"/>
  <c r="G20" i="36"/>
  <c r="E42" i="29" s="1"/>
  <c r="F20" i="36"/>
  <c r="K21" i="73" s="1"/>
  <c r="E20" i="36"/>
  <c r="D42" i="29" s="1"/>
  <c r="D20" i="36"/>
  <c r="C20" i="36"/>
  <c r="J21" i="73" s="1"/>
  <c r="B20" i="36"/>
  <c r="A20" i="36"/>
  <c r="X19" i="36"/>
  <c r="R19" i="36"/>
  <c r="G31" i="76" s="1"/>
  <c r="Q19" i="36"/>
  <c r="O41" i="29" s="1"/>
  <c r="P19" i="36"/>
  <c r="N41" i="29" s="1"/>
  <c r="O19" i="36"/>
  <c r="M41" i="29" s="1"/>
  <c r="N19" i="36"/>
  <c r="L41" i="29" s="1"/>
  <c r="M19" i="36"/>
  <c r="K41" i="29" s="1"/>
  <c r="L19" i="36"/>
  <c r="J41" i="29" s="1"/>
  <c r="K19" i="36"/>
  <c r="I41" i="29" s="1"/>
  <c r="J19" i="36"/>
  <c r="N20" i="73" s="1"/>
  <c r="I19" i="36"/>
  <c r="G41" i="29" s="1"/>
  <c r="H19" i="36"/>
  <c r="G19" i="36"/>
  <c r="F19" i="36"/>
  <c r="K20" i="73" s="1"/>
  <c r="E19" i="36"/>
  <c r="D41" i="29" s="1"/>
  <c r="D19" i="36"/>
  <c r="C19" i="36"/>
  <c r="J20" i="73" s="1"/>
  <c r="B19" i="36"/>
  <c r="B31" i="76" s="1"/>
  <c r="J31" i="76" s="1"/>
  <c r="A19" i="36"/>
  <c r="X18" i="36"/>
  <c r="R18" i="36"/>
  <c r="G30" i="76" s="1"/>
  <c r="Q18" i="36"/>
  <c r="O40" i="29" s="1"/>
  <c r="P18" i="36"/>
  <c r="N40" i="29" s="1"/>
  <c r="O18" i="36"/>
  <c r="M40" i="29" s="1"/>
  <c r="N18" i="36"/>
  <c r="L40" i="29" s="1"/>
  <c r="M18" i="36"/>
  <c r="K40" i="29" s="1"/>
  <c r="L18" i="36"/>
  <c r="J40" i="29" s="1"/>
  <c r="K18" i="36"/>
  <c r="I40" i="29" s="1"/>
  <c r="J18" i="36"/>
  <c r="N19" i="73" s="1"/>
  <c r="I18" i="36"/>
  <c r="G40" i="29" s="1"/>
  <c r="H18" i="36"/>
  <c r="D30" i="76" s="1"/>
  <c r="G18" i="36"/>
  <c r="E40" i="29" s="1"/>
  <c r="F18" i="36"/>
  <c r="E18" i="36"/>
  <c r="D18" i="36"/>
  <c r="C18" i="36"/>
  <c r="B18" i="36"/>
  <c r="K17" i="1" s="1"/>
  <c r="A18" i="36"/>
  <c r="X17" i="36"/>
  <c r="R17" i="36"/>
  <c r="G29" i="76" s="1"/>
  <c r="Q17" i="36"/>
  <c r="O39" i="29" s="1"/>
  <c r="P17" i="36"/>
  <c r="N39" i="29" s="1"/>
  <c r="O17" i="36"/>
  <c r="M39" i="29" s="1"/>
  <c r="N17" i="36"/>
  <c r="L39" i="29" s="1"/>
  <c r="M17" i="36"/>
  <c r="K39" i="29" s="1"/>
  <c r="L17" i="36"/>
  <c r="J39" i="29" s="1"/>
  <c r="K17" i="36"/>
  <c r="I39" i="29" s="1"/>
  <c r="J17" i="36"/>
  <c r="I17" i="36"/>
  <c r="E29" i="76" s="1"/>
  <c r="H17" i="36"/>
  <c r="F39" i="29" s="1"/>
  <c r="G17" i="36"/>
  <c r="E39" i="29" s="1"/>
  <c r="F17" i="36"/>
  <c r="E17" i="36"/>
  <c r="C29" i="76" s="1"/>
  <c r="D17" i="36"/>
  <c r="C17" i="36"/>
  <c r="J18" i="73" s="1"/>
  <c r="B17" i="36"/>
  <c r="B39" i="29" s="1"/>
  <c r="A17" i="36"/>
  <c r="X16" i="36"/>
  <c r="R16" i="36"/>
  <c r="G28" i="76" s="1"/>
  <c r="Q16" i="36"/>
  <c r="O38" i="29" s="1"/>
  <c r="P16" i="36"/>
  <c r="N38" i="29" s="1"/>
  <c r="O16" i="36"/>
  <c r="M38" i="29" s="1"/>
  <c r="N16" i="36"/>
  <c r="L38" i="29" s="1"/>
  <c r="M16" i="36"/>
  <c r="K38" i="29" s="1"/>
  <c r="L16" i="36"/>
  <c r="J38" i="29" s="1"/>
  <c r="K16" i="36"/>
  <c r="I38" i="29" s="1"/>
  <c r="J16" i="36"/>
  <c r="N17" i="73" s="1"/>
  <c r="I16" i="36"/>
  <c r="G38" i="29" s="1"/>
  <c r="H16" i="36"/>
  <c r="G16" i="36"/>
  <c r="F16" i="36"/>
  <c r="K17" i="73" s="1"/>
  <c r="E16" i="36"/>
  <c r="D38" i="29" s="1"/>
  <c r="D16" i="36"/>
  <c r="C16" i="36"/>
  <c r="J17" i="73" s="1"/>
  <c r="B16" i="36"/>
  <c r="B28" i="76" s="1"/>
  <c r="J28" i="76" s="1"/>
  <c r="A16" i="36"/>
  <c r="X15" i="36"/>
  <c r="R15" i="36"/>
  <c r="G27" i="76" s="1"/>
  <c r="Q15" i="36"/>
  <c r="O37" i="29" s="1"/>
  <c r="P15" i="36"/>
  <c r="N37" i="29" s="1"/>
  <c r="O15" i="36"/>
  <c r="M37" i="29" s="1"/>
  <c r="N15" i="36"/>
  <c r="L37" i="29" s="1"/>
  <c r="M15" i="36"/>
  <c r="K37" i="29" s="1"/>
  <c r="L15" i="36"/>
  <c r="J37" i="29" s="1"/>
  <c r="K15" i="36"/>
  <c r="I37" i="29" s="1"/>
  <c r="J15" i="36"/>
  <c r="N16" i="73" s="1"/>
  <c r="I15" i="36"/>
  <c r="G37" i="29" s="1"/>
  <c r="H15" i="36"/>
  <c r="F37" i="29" s="1"/>
  <c r="G15" i="36"/>
  <c r="F15" i="36"/>
  <c r="K16" i="73" s="1"/>
  <c r="E15" i="36"/>
  <c r="D37" i="29" s="1"/>
  <c r="D15" i="36"/>
  <c r="C15" i="36"/>
  <c r="B15" i="36"/>
  <c r="B27" i="76" s="1"/>
  <c r="J27" i="76" s="1"/>
  <c r="A15" i="36"/>
  <c r="X14" i="36"/>
  <c r="F26" i="76" s="1"/>
  <c r="R14" i="36"/>
  <c r="G26" i="76" s="1"/>
  <c r="Q14" i="36"/>
  <c r="O36" i="29" s="1"/>
  <c r="P14" i="36"/>
  <c r="N36" i="29" s="1"/>
  <c r="O14" i="36"/>
  <c r="M36" i="29" s="1"/>
  <c r="N14" i="36"/>
  <c r="L36" i="29" s="1"/>
  <c r="M14" i="36"/>
  <c r="K36" i="29" s="1"/>
  <c r="L14" i="36"/>
  <c r="J36" i="29" s="1"/>
  <c r="K14" i="36"/>
  <c r="I36" i="29" s="1"/>
  <c r="J14" i="36"/>
  <c r="N15" i="73" s="1"/>
  <c r="I14" i="36"/>
  <c r="H14" i="36"/>
  <c r="G14" i="36"/>
  <c r="E36" i="29" s="1"/>
  <c r="F14" i="36"/>
  <c r="K15" i="73" s="1"/>
  <c r="E14" i="36"/>
  <c r="D14" i="36"/>
  <c r="C14" i="36"/>
  <c r="J15" i="73" s="1"/>
  <c r="B14" i="36"/>
  <c r="B36" i="29" s="1"/>
  <c r="A14" i="36"/>
  <c r="X13" i="36"/>
  <c r="R13" i="36"/>
  <c r="G25" i="76" s="1"/>
  <c r="Q13" i="36"/>
  <c r="O35" i="29" s="1"/>
  <c r="P13" i="36"/>
  <c r="N35" i="29" s="1"/>
  <c r="O13" i="36"/>
  <c r="M35" i="29" s="1"/>
  <c r="N13" i="36"/>
  <c r="L35" i="29" s="1"/>
  <c r="M13" i="36"/>
  <c r="K35" i="29" s="1"/>
  <c r="L13" i="36"/>
  <c r="J35" i="29" s="1"/>
  <c r="K13" i="36"/>
  <c r="I35" i="29" s="1"/>
  <c r="J13" i="36"/>
  <c r="H35" i="29" s="1"/>
  <c r="I13" i="36"/>
  <c r="H13" i="36"/>
  <c r="D25" i="76" s="1"/>
  <c r="G13" i="36"/>
  <c r="E35" i="29" s="1"/>
  <c r="F13" i="36"/>
  <c r="E13" i="36"/>
  <c r="D13" i="36"/>
  <c r="C13" i="36"/>
  <c r="B13" i="36"/>
  <c r="A13" i="36"/>
  <c r="X12" i="36"/>
  <c r="F24" i="76" s="1"/>
  <c r="R12" i="36"/>
  <c r="G24" i="76" s="1"/>
  <c r="Q12" i="36"/>
  <c r="O34" i="29" s="1"/>
  <c r="P12" i="36"/>
  <c r="N34" i="29" s="1"/>
  <c r="O12" i="36"/>
  <c r="M34" i="29" s="1"/>
  <c r="N12" i="36"/>
  <c r="L34" i="29" s="1"/>
  <c r="M12" i="36"/>
  <c r="K34" i="29" s="1"/>
  <c r="L12" i="36"/>
  <c r="J34" i="29" s="1"/>
  <c r="K12" i="36"/>
  <c r="I34" i="29" s="1"/>
  <c r="J12" i="36"/>
  <c r="H34" i="29" s="1"/>
  <c r="I12" i="36"/>
  <c r="H12" i="36"/>
  <c r="F34" i="29" s="1"/>
  <c r="G12" i="36"/>
  <c r="F12" i="36"/>
  <c r="K13" i="73" s="1"/>
  <c r="E12" i="36"/>
  <c r="D12" i="36"/>
  <c r="C12" i="36"/>
  <c r="J13" i="73" s="1"/>
  <c r="B12" i="36"/>
  <c r="K11" i="1" s="1"/>
  <c r="A12" i="36"/>
  <c r="X11" i="36"/>
  <c r="R11" i="36"/>
  <c r="G23" i="76" s="1"/>
  <c r="Q11" i="36"/>
  <c r="O33" i="29" s="1"/>
  <c r="P11" i="36"/>
  <c r="N33" i="29" s="1"/>
  <c r="O11" i="36"/>
  <c r="M33" i="29" s="1"/>
  <c r="N11" i="36"/>
  <c r="L33" i="29" s="1"/>
  <c r="M11" i="36"/>
  <c r="L11" i="36"/>
  <c r="K11" i="36"/>
  <c r="I33" i="29" s="1"/>
  <c r="J11" i="36"/>
  <c r="N12" i="73" s="1"/>
  <c r="I11" i="36"/>
  <c r="E23" i="76" s="1"/>
  <c r="H11" i="36"/>
  <c r="F33" i="29" s="1"/>
  <c r="G11" i="36"/>
  <c r="F11" i="36"/>
  <c r="K12" i="73" s="1"/>
  <c r="E11" i="36"/>
  <c r="D11" i="36"/>
  <c r="C11" i="36"/>
  <c r="J12" i="73" s="1"/>
  <c r="B11" i="36"/>
  <c r="B33" i="29" s="1"/>
  <c r="A11" i="36"/>
  <c r="X10" i="36"/>
  <c r="R10" i="36"/>
  <c r="G22" i="76" s="1"/>
  <c r="Q10" i="36"/>
  <c r="O32" i="29" s="1"/>
  <c r="P10" i="36"/>
  <c r="N32" i="29" s="1"/>
  <c r="O10" i="36"/>
  <c r="M32" i="29" s="1"/>
  <c r="N10" i="36"/>
  <c r="L32" i="29" s="1"/>
  <c r="M10" i="36"/>
  <c r="K32" i="29" s="1"/>
  <c r="L10" i="36"/>
  <c r="J32" i="29" s="1"/>
  <c r="K10" i="36"/>
  <c r="I32" i="29" s="1"/>
  <c r="J10" i="36"/>
  <c r="N11" i="73" s="1"/>
  <c r="I10" i="36"/>
  <c r="G32" i="29" s="1"/>
  <c r="H10" i="36"/>
  <c r="D22" i="76" s="1"/>
  <c r="G10" i="36"/>
  <c r="E32" i="29" s="1"/>
  <c r="F10" i="36"/>
  <c r="E10" i="36"/>
  <c r="D32" i="29" s="1"/>
  <c r="D10" i="36"/>
  <c r="C10" i="36"/>
  <c r="J11" i="73" s="1"/>
  <c r="B10" i="36"/>
  <c r="B22" i="76" s="1"/>
  <c r="J22" i="76" s="1"/>
  <c r="A10" i="36"/>
  <c r="X9" i="36"/>
  <c r="F21" i="76" s="1"/>
  <c r="R9" i="36"/>
  <c r="G21" i="76" s="1"/>
  <c r="Q9" i="36"/>
  <c r="O31" i="29" s="1"/>
  <c r="P9" i="36"/>
  <c r="N31" i="29" s="1"/>
  <c r="O9" i="36"/>
  <c r="M31" i="29" s="1"/>
  <c r="N9" i="36"/>
  <c r="M9" i="36"/>
  <c r="K31" i="29" s="1"/>
  <c r="L9" i="36"/>
  <c r="J31" i="29" s="1"/>
  <c r="K9" i="36"/>
  <c r="I31" i="29" s="1"/>
  <c r="J9" i="36"/>
  <c r="N10" i="73" s="1"/>
  <c r="I9" i="36"/>
  <c r="E21" i="76" s="1"/>
  <c r="H9" i="36"/>
  <c r="F31" i="29" s="1"/>
  <c r="G9" i="36"/>
  <c r="F9" i="36"/>
  <c r="E9" i="36"/>
  <c r="D9" i="36"/>
  <c r="C9" i="36"/>
  <c r="J10" i="73" s="1"/>
  <c r="B9" i="36"/>
  <c r="K8" i="1" s="1"/>
  <c r="A9" i="36"/>
  <c r="X8" i="36"/>
  <c r="R8" i="36"/>
  <c r="G20" i="76" s="1"/>
  <c r="Q8" i="36"/>
  <c r="O30" i="29" s="1"/>
  <c r="P8" i="36"/>
  <c r="N30" i="29" s="1"/>
  <c r="O8" i="36"/>
  <c r="M30" i="29" s="1"/>
  <c r="N8" i="36"/>
  <c r="L30" i="29" s="1"/>
  <c r="M8" i="36"/>
  <c r="K30" i="29" s="1"/>
  <c r="L8" i="36"/>
  <c r="J30" i="29" s="1"/>
  <c r="K8" i="36"/>
  <c r="I30" i="29" s="1"/>
  <c r="J8" i="36"/>
  <c r="N9" i="73" s="1"/>
  <c r="I8" i="36"/>
  <c r="E20" i="76" s="1"/>
  <c r="H8" i="36"/>
  <c r="G8" i="36"/>
  <c r="E30" i="29" s="1"/>
  <c r="F8" i="36"/>
  <c r="K9" i="73" s="1"/>
  <c r="E8" i="36"/>
  <c r="D30" i="29" s="1"/>
  <c r="D8" i="36"/>
  <c r="C8" i="36"/>
  <c r="B8" i="36"/>
  <c r="B20" i="76" s="1"/>
  <c r="J20" i="76" s="1"/>
  <c r="A8" i="36"/>
  <c r="X7" i="36"/>
  <c r="R7" i="36"/>
  <c r="G19" i="76" s="1"/>
  <c r="Q7" i="36"/>
  <c r="P7" i="36"/>
  <c r="N29" i="29" s="1"/>
  <c r="O7" i="36"/>
  <c r="M29" i="29" s="1"/>
  <c r="N7" i="36"/>
  <c r="L29" i="29" s="1"/>
  <c r="M7" i="36"/>
  <c r="K29" i="29" s="1"/>
  <c r="L7" i="36"/>
  <c r="J29" i="29" s="1"/>
  <c r="K7" i="36"/>
  <c r="I29" i="29" s="1"/>
  <c r="J7" i="36"/>
  <c r="N8" i="73" s="1"/>
  <c r="I7" i="36"/>
  <c r="G29" i="29" s="1"/>
  <c r="H7" i="36"/>
  <c r="G7" i="36"/>
  <c r="F7" i="36"/>
  <c r="K8" i="73" s="1"/>
  <c r="E7" i="36"/>
  <c r="C19" i="76" s="1"/>
  <c r="D7" i="36"/>
  <c r="C7" i="36"/>
  <c r="J8" i="73" s="1"/>
  <c r="B7" i="36"/>
  <c r="B19" i="76" s="1"/>
  <c r="J19" i="76" s="1"/>
  <c r="A7" i="36"/>
  <c r="X6" i="36"/>
  <c r="F18" i="76" s="1"/>
  <c r="R6" i="36"/>
  <c r="G18" i="76" s="1"/>
  <c r="Q6" i="36"/>
  <c r="O28" i="29" s="1"/>
  <c r="P6" i="36"/>
  <c r="N28" i="29" s="1"/>
  <c r="O6" i="36"/>
  <c r="M28" i="29" s="1"/>
  <c r="N6" i="36"/>
  <c r="L28" i="29" s="1"/>
  <c r="M6" i="36"/>
  <c r="K28" i="29" s="1"/>
  <c r="L6" i="36"/>
  <c r="J28" i="29" s="1"/>
  <c r="K6" i="36"/>
  <c r="I28" i="29" s="1"/>
  <c r="J6" i="36"/>
  <c r="I6" i="36"/>
  <c r="M7" i="73" s="1"/>
  <c r="H6" i="36"/>
  <c r="G6" i="36"/>
  <c r="E28" i="29" s="1"/>
  <c r="F6" i="36"/>
  <c r="K7" i="73" s="1"/>
  <c r="E6" i="36"/>
  <c r="D6" i="36"/>
  <c r="C6" i="36"/>
  <c r="J7" i="73" s="1"/>
  <c r="B6" i="36"/>
  <c r="A6" i="36"/>
  <c r="X5" i="36"/>
  <c r="R5" i="36"/>
  <c r="G17" i="76" s="1"/>
  <c r="Q5" i="36"/>
  <c r="O27" i="29" s="1"/>
  <c r="P5" i="36"/>
  <c r="N27" i="29" s="1"/>
  <c r="O5" i="36"/>
  <c r="M27" i="29" s="1"/>
  <c r="N5" i="36"/>
  <c r="L27" i="29" s="1"/>
  <c r="M5" i="36"/>
  <c r="K27" i="29" s="1"/>
  <c r="L5" i="36"/>
  <c r="J27" i="29" s="1"/>
  <c r="K5" i="36"/>
  <c r="I27" i="29" s="1"/>
  <c r="J5" i="36"/>
  <c r="H27" i="29" s="1"/>
  <c r="I5" i="36"/>
  <c r="H5" i="36"/>
  <c r="D17" i="76" s="1"/>
  <c r="G5" i="36"/>
  <c r="F5" i="36"/>
  <c r="E5" i="36"/>
  <c r="D27" i="29" s="1"/>
  <c r="D5" i="36"/>
  <c r="C5" i="36"/>
  <c r="J6" i="73" s="1"/>
  <c r="B5" i="36"/>
  <c r="A5" i="36"/>
  <c r="X4" i="36"/>
  <c r="F16" i="76" s="1"/>
  <c r="R4" i="36"/>
  <c r="G16" i="76" s="1"/>
  <c r="Q4" i="36"/>
  <c r="O26" i="29" s="1"/>
  <c r="P4" i="36"/>
  <c r="N26" i="29" s="1"/>
  <c r="O4" i="36"/>
  <c r="N4" i="36"/>
  <c r="L26" i="29" s="1"/>
  <c r="M4" i="36"/>
  <c r="K26" i="29" s="1"/>
  <c r="L4" i="36"/>
  <c r="J26" i="29" s="1"/>
  <c r="K4" i="36"/>
  <c r="I26" i="29" s="1"/>
  <c r="J4" i="36"/>
  <c r="H26" i="29" s="1"/>
  <c r="I4" i="36"/>
  <c r="H4" i="36"/>
  <c r="F26" i="29" s="1"/>
  <c r="G4" i="36"/>
  <c r="F4" i="36"/>
  <c r="K5" i="73" s="1"/>
  <c r="E4" i="36"/>
  <c r="D4" i="36"/>
  <c r="C4" i="36"/>
  <c r="J5" i="73" s="1"/>
  <c r="B4" i="36"/>
  <c r="A4" i="36"/>
  <c r="X3" i="36"/>
  <c r="R3" i="36"/>
  <c r="G15" i="76" s="1"/>
  <c r="Q3" i="36"/>
  <c r="O25" i="29" s="1"/>
  <c r="P3" i="36"/>
  <c r="O3" i="36"/>
  <c r="M25" i="29" s="1"/>
  <c r="N3" i="36"/>
  <c r="L25" i="29" s="1"/>
  <c r="M3" i="36"/>
  <c r="K25" i="29" s="1"/>
  <c r="L3" i="36"/>
  <c r="J25" i="29" s="1"/>
  <c r="K3" i="36"/>
  <c r="I25" i="29" s="1"/>
  <c r="J3" i="36"/>
  <c r="I3" i="36"/>
  <c r="H3" i="36"/>
  <c r="G3" i="36"/>
  <c r="F3" i="36"/>
  <c r="E3" i="36"/>
  <c r="D3" i="36"/>
  <c r="C3" i="36"/>
  <c r="J4" i="73" s="1"/>
  <c r="B3" i="36"/>
  <c r="B15" i="76" s="1"/>
  <c r="J15" i="76" s="1"/>
  <c r="A3" i="36"/>
  <c r="Q1" i="36"/>
  <c r="L300" i="34"/>
  <c r="L299" i="34"/>
  <c r="L298" i="34"/>
  <c r="L297" i="34"/>
  <c r="L296" i="34"/>
  <c r="L295" i="34"/>
  <c r="L294" i="34"/>
  <c r="L293" i="34"/>
  <c r="L292" i="34"/>
  <c r="L291" i="34"/>
  <c r="L290" i="34"/>
  <c r="L289" i="34"/>
  <c r="L288" i="34"/>
  <c r="L287" i="34"/>
  <c r="L286" i="34"/>
  <c r="L285" i="34"/>
  <c r="L284" i="34"/>
  <c r="L283" i="34"/>
  <c r="L282" i="34"/>
  <c r="L281" i="34"/>
  <c r="L280" i="34"/>
  <c r="L279" i="34"/>
  <c r="L278" i="34"/>
  <c r="L277" i="34"/>
  <c r="L276" i="34"/>
  <c r="L275" i="34"/>
  <c r="L274" i="34"/>
  <c r="L273" i="34"/>
  <c r="L272" i="34"/>
  <c r="L271" i="34"/>
  <c r="L270" i="34"/>
  <c r="L269" i="34"/>
  <c r="L268" i="34"/>
  <c r="L267" i="34"/>
  <c r="L266" i="34"/>
  <c r="L265" i="34"/>
  <c r="L264" i="34"/>
  <c r="L263" i="34"/>
  <c r="L262" i="34"/>
  <c r="L261" i="34"/>
  <c r="L260" i="34"/>
  <c r="L259" i="34"/>
  <c r="L258" i="34"/>
  <c r="L257" i="34"/>
  <c r="L256" i="34"/>
  <c r="L255" i="34"/>
  <c r="L254" i="34"/>
  <c r="L253" i="34"/>
  <c r="L252" i="34"/>
  <c r="L251" i="34"/>
  <c r="L250" i="34"/>
  <c r="L249" i="34"/>
  <c r="L248" i="34"/>
  <c r="L247" i="34"/>
  <c r="L246" i="34"/>
  <c r="L245" i="34"/>
  <c r="L244" i="34"/>
  <c r="L243" i="34"/>
  <c r="L242" i="34"/>
  <c r="L241" i="34"/>
  <c r="L240" i="34"/>
  <c r="L239" i="34"/>
  <c r="L238" i="34"/>
  <c r="L237" i="34"/>
  <c r="L236" i="34"/>
  <c r="L235" i="34"/>
  <c r="L234" i="34"/>
  <c r="L233" i="34"/>
  <c r="L232" i="34"/>
  <c r="L231" i="34"/>
  <c r="L230" i="34"/>
  <c r="L229" i="34"/>
  <c r="L228" i="34"/>
  <c r="L227" i="34"/>
  <c r="L226" i="34"/>
  <c r="L225" i="34"/>
  <c r="L224" i="34"/>
  <c r="L223" i="34"/>
  <c r="L222" i="34"/>
  <c r="L221" i="34"/>
  <c r="L220" i="34"/>
  <c r="L219" i="34"/>
  <c r="L218" i="34"/>
  <c r="L217" i="34"/>
  <c r="L216" i="34"/>
  <c r="L215" i="34"/>
  <c r="L214" i="34"/>
  <c r="L213" i="34"/>
  <c r="L212" i="34"/>
  <c r="L211" i="34"/>
  <c r="L210" i="34"/>
  <c r="L209" i="34"/>
  <c r="L208" i="34"/>
  <c r="L207" i="34"/>
  <c r="L206" i="34"/>
  <c r="L205" i="34"/>
  <c r="L204" i="34"/>
  <c r="L203" i="34"/>
  <c r="L202" i="34"/>
  <c r="L201" i="34"/>
  <c r="L200" i="34"/>
  <c r="L199" i="34"/>
  <c r="L198" i="34"/>
  <c r="L197" i="34"/>
  <c r="L196" i="34"/>
  <c r="L195" i="34"/>
  <c r="L194" i="34"/>
  <c r="L193" i="34"/>
  <c r="L192" i="34"/>
  <c r="L191" i="34"/>
  <c r="L190" i="34"/>
  <c r="L189" i="34"/>
  <c r="L188" i="34"/>
  <c r="L187" i="34"/>
  <c r="L186" i="34"/>
  <c r="L185" i="34"/>
  <c r="L184" i="34"/>
  <c r="L183" i="34"/>
  <c r="L182" i="34"/>
  <c r="L181" i="34"/>
  <c r="L180" i="34"/>
  <c r="L179" i="34"/>
  <c r="L178" i="34"/>
  <c r="L177" i="34"/>
  <c r="L176" i="34"/>
  <c r="L175" i="34"/>
  <c r="L174" i="34"/>
  <c r="L173" i="34"/>
  <c r="L172" i="34"/>
  <c r="L171" i="34"/>
  <c r="L170" i="34"/>
  <c r="L169" i="34"/>
  <c r="L168" i="34"/>
  <c r="L167" i="34"/>
  <c r="L166" i="34"/>
  <c r="L165" i="34"/>
  <c r="L164" i="34"/>
  <c r="L163" i="34"/>
  <c r="L162" i="34"/>
  <c r="L161" i="34"/>
  <c r="L160" i="34"/>
  <c r="L159" i="34"/>
  <c r="L158" i="34"/>
  <c r="L157" i="34"/>
  <c r="L156" i="34"/>
  <c r="L155" i="34"/>
  <c r="L154" i="34"/>
  <c r="L153" i="34"/>
  <c r="L152" i="34"/>
  <c r="L151" i="34"/>
  <c r="L150" i="34"/>
  <c r="L149" i="34"/>
  <c r="L148" i="34"/>
  <c r="L147" i="34"/>
  <c r="L146" i="34"/>
  <c r="L145" i="34"/>
  <c r="L144" i="34"/>
  <c r="L143" i="34"/>
  <c r="L142" i="34"/>
  <c r="L141" i="34"/>
  <c r="L140" i="34"/>
  <c r="L139" i="34"/>
  <c r="L138" i="34"/>
  <c r="L137" i="34"/>
  <c r="L136" i="34"/>
  <c r="L135" i="34"/>
  <c r="L134" i="34"/>
  <c r="L133" i="34"/>
  <c r="L132" i="34"/>
  <c r="L131" i="34"/>
  <c r="L130" i="34"/>
  <c r="L129" i="34"/>
  <c r="L128" i="34"/>
  <c r="L127" i="34"/>
  <c r="L126" i="34"/>
  <c r="L125" i="34"/>
  <c r="L124" i="34"/>
  <c r="L123" i="34"/>
  <c r="L122" i="34"/>
  <c r="L121" i="34"/>
  <c r="L120" i="34"/>
  <c r="L119" i="34"/>
  <c r="L118" i="34"/>
  <c r="L117" i="34"/>
  <c r="L116" i="34"/>
  <c r="L115" i="34"/>
  <c r="L114" i="34"/>
  <c r="L113" i="34"/>
  <c r="L112" i="34"/>
  <c r="L111" i="34"/>
  <c r="L110" i="34"/>
  <c r="L109" i="34"/>
  <c r="L108" i="34"/>
  <c r="L107" i="34"/>
  <c r="L106" i="34"/>
  <c r="L105" i="34"/>
  <c r="L104" i="34"/>
  <c r="L103" i="34"/>
  <c r="L102" i="34"/>
  <c r="L101" i="34"/>
  <c r="L100" i="34"/>
  <c r="L99" i="34"/>
  <c r="L98" i="34"/>
  <c r="L97" i="34"/>
  <c r="L96" i="34"/>
  <c r="L95" i="34"/>
  <c r="L94" i="34"/>
  <c r="L93" i="34"/>
  <c r="L92" i="34"/>
  <c r="L91" i="34"/>
  <c r="L90" i="34"/>
  <c r="L89" i="34"/>
  <c r="L88" i="34"/>
  <c r="L87" i="34"/>
  <c r="L86" i="34"/>
  <c r="L85" i="34"/>
  <c r="L84" i="34"/>
  <c r="L83" i="34"/>
  <c r="L82" i="34"/>
  <c r="L81" i="34"/>
  <c r="L80" i="34"/>
  <c r="L79" i="34"/>
  <c r="L78" i="34"/>
  <c r="L77" i="34"/>
  <c r="L76" i="34"/>
  <c r="L75" i="34"/>
  <c r="L74" i="34"/>
  <c r="L73" i="34"/>
  <c r="L72" i="34"/>
  <c r="L71" i="34"/>
  <c r="L70" i="34"/>
  <c r="L69" i="34"/>
  <c r="L68" i="34"/>
  <c r="L67" i="34"/>
  <c r="L66" i="34"/>
  <c r="L65" i="34"/>
  <c r="L64" i="34"/>
  <c r="L63" i="34"/>
  <c r="L62" i="34"/>
  <c r="L61" i="34"/>
  <c r="L60" i="34"/>
  <c r="L59" i="34"/>
  <c r="L58" i="34"/>
  <c r="L57" i="34"/>
  <c r="L56" i="34"/>
  <c r="L55" i="34"/>
  <c r="L54" i="34"/>
  <c r="L53" i="34"/>
  <c r="L52" i="34"/>
  <c r="L51" i="34"/>
  <c r="L50" i="34"/>
  <c r="L49" i="34"/>
  <c r="L48" i="34"/>
  <c r="L47" i="34"/>
  <c r="L46" i="34"/>
  <c r="L45" i="34"/>
  <c r="L5" i="34"/>
  <c r="K49" i="6" s="1"/>
  <c r="I300" i="33"/>
  <c r="I299" i="33"/>
  <c r="I298" i="33"/>
  <c r="I297" i="33"/>
  <c r="I296" i="33"/>
  <c r="I295" i="33"/>
  <c r="I294" i="33"/>
  <c r="I293" i="33"/>
  <c r="I292" i="33"/>
  <c r="I291" i="33"/>
  <c r="I290" i="33"/>
  <c r="I289" i="33"/>
  <c r="I288" i="33"/>
  <c r="I287" i="33"/>
  <c r="I286" i="33"/>
  <c r="I285" i="33"/>
  <c r="I284" i="33"/>
  <c r="I283" i="33"/>
  <c r="I282" i="33"/>
  <c r="I281" i="33"/>
  <c r="I280" i="33"/>
  <c r="I279" i="33"/>
  <c r="I278" i="33"/>
  <c r="I277" i="33"/>
  <c r="I276" i="33"/>
  <c r="I275" i="33"/>
  <c r="I274" i="33"/>
  <c r="I273" i="33"/>
  <c r="I272" i="33"/>
  <c r="I271" i="33"/>
  <c r="I270" i="33"/>
  <c r="I269" i="33"/>
  <c r="I268" i="33"/>
  <c r="I267" i="33"/>
  <c r="I266" i="33"/>
  <c r="I265" i="33"/>
  <c r="I264" i="33"/>
  <c r="I263" i="33"/>
  <c r="I262" i="33"/>
  <c r="I261" i="33"/>
  <c r="I260" i="33"/>
  <c r="I259" i="33"/>
  <c r="I258" i="33"/>
  <c r="I257" i="33"/>
  <c r="I256" i="33"/>
  <c r="I255" i="33"/>
  <c r="I254" i="33"/>
  <c r="I253" i="33"/>
  <c r="I252" i="33"/>
  <c r="I251" i="33"/>
  <c r="I250" i="33"/>
  <c r="I249" i="33"/>
  <c r="I248" i="33"/>
  <c r="I247" i="33"/>
  <c r="I246" i="33"/>
  <c r="I245" i="33"/>
  <c r="I244" i="33"/>
  <c r="I243" i="33"/>
  <c r="I242" i="33"/>
  <c r="I241" i="33"/>
  <c r="I240" i="33"/>
  <c r="I239" i="33"/>
  <c r="I238" i="33"/>
  <c r="I237" i="33"/>
  <c r="I236" i="33"/>
  <c r="I235" i="33"/>
  <c r="I234" i="33"/>
  <c r="I233" i="33"/>
  <c r="I232" i="33"/>
  <c r="I231" i="33"/>
  <c r="I230" i="33"/>
  <c r="I229" i="33"/>
  <c r="I228" i="33"/>
  <c r="I227" i="33"/>
  <c r="I226" i="33"/>
  <c r="I225" i="33"/>
  <c r="I224" i="33"/>
  <c r="I223" i="33"/>
  <c r="I222" i="33"/>
  <c r="I221" i="33"/>
  <c r="I220" i="33"/>
  <c r="I219" i="33"/>
  <c r="I218" i="33"/>
  <c r="I217" i="33"/>
  <c r="I216" i="33"/>
  <c r="I215" i="33"/>
  <c r="I214" i="33"/>
  <c r="I213" i="33"/>
  <c r="I212" i="33"/>
  <c r="I211" i="33"/>
  <c r="I210" i="33"/>
  <c r="I209" i="33"/>
  <c r="I208" i="33"/>
  <c r="I207" i="33"/>
  <c r="I206" i="33"/>
  <c r="I205" i="33"/>
  <c r="I204" i="33"/>
  <c r="I203" i="33"/>
  <c r="I202" i="33"/>
  <c r="I201" i="33"/>
  <c r="I200" i="33"/>
  <c r="I199" i="33"/>
  <c r="I198" i="33"/>
  <c r="I197" i="33"/>
  <c r="I196" i="33"/>
  <c r="I195" i="33"/>
  <c r="I194" i="33"/>
  <c r="I193" i="33"/>
  <c r="I192" i="33"/>
  <c r="I191" i="33"/>
  <c r="I190" i="33"/>
  <c r="I189" i="33"/>
  <c r="I188" i="33"/>
  <c r="I187" i="33"/>
  <c r="I186" i="33"/>
  <c r="I185" i="33"/>
  <c r="I184" i="33"/>
  <c r="I183" i="33"/>
  <c r="I182" i="33"/>
  <c r="I181" i="33"/>
  <c r="I180" i="33"/>
  <c r="I179" i="33"/>
  <c r="I178" i="33"/>
  <c r="I177" i="33"/>
  <c r="I176" i="33"/>
  <c r="I175" i="33"/>
  <c r="I174" i="33"/>
  <c r="I173" i="33"/>
  <c r="I172" i="33"/>
  <c r="I171" i="33"/>
  <c r="I170" i="33"/>
  <c r="I169" i="33"/>
  <c r="I168" i="33"/>
  <c r="I167" i="33"/>
  <c r="I166" i="33"/>
  <c r="I165" i="33"/>
  <c r="I164" i="33"/>
  <c r="I163" i="33"/>
  <c r="I162" i="33"/>
  <c r="I161" i="33"/>
  <c r="I160" i="33"/>
  <c r="I159" i="33"/>
  <c r="I158" i="33"/>
  <c r="I157" i="33"/>
  <c r="I156" i="33"/>
  <c r="I155" i="33"/>
  <c r="I154" i="33"/>
  <c r="I153" i="33"/>
  <c r="I152" i="33"/>
  <c r="I151" i="33"/>
  <c r="I150" i="33"/>
  <c r="I149" i="33"/>
  <c r="I148" i="33"/>
  <c r="I147" i="33"/>
  <c r="I146" i="33"/>
  <c r="I145" i="33"/>
  <c r="I144" i="33"/>
  <c r="I143" i="33"/>
  <c r="I142" i="33"/>
  <c r="I141" i="33"/>
  <c r="I140" i="33"/>
  <c r="I139" i="33"/>
  <c r="I138" i="33"/>
  <c r="I137" i="33"/>
  <c r="I136" i="33"/>
  <c r="I135" i="33"/>
  <c r="I134" i="33"/>
  <c r="I133" i="33"/>
  <c r="I132" i="33"/>
  <c r="I131" i="33"/>
  <c r="I130" i="33"/>
  <c r="I129" i="33"/>
  <c r="I128" i="33"/>
  <c r="I127" i="33"/>
  <c r="I126" i="33"/>
  <c r="I125" i="33"/>
  <c r="I124" i="33"/>
  <c r="I123" i="33"/>
  <c r="I122" i="33"/>
  <c r="I121" i="33"/>
  <c r="I120" i="33"/>
  <c r="I119" i="33"/>
  <c r="I118" i="33"/>
  <c r="I117" i="33"/>
  <c r="I116" i="33"/>
  <c r="I115" i="33"/>
  <c r="I114" i="33"/>
  <c r="I113" i="33"/>
  <c r="I112" i="33"/>
  <c r="I111" i="33"/>
  <c r="I110" i="33"/>
  <c r="I109" i="33"/>
  <c r="I108" i="33"/>
  <c r="I107" i="33"/>
  <c r="I106" i="33"/>
  <c r="I105" i="33"/>
  <c r="I104" i="33"/>
  <c r="I103" i="33"/>
  <c r="I102" i="33"/>
  <c r="I101" i="33"/>
  <c r="I100" i="33"/>
  <c r="I99" i="33"/>
  <c r="I98" i="33"/>
  <c r="I97" i="33"/>
  <c r="I96" i="33"/>
  <c r="I95" i="33"/>
  <c r="I94" i="33"/>
  <c r="I93" i="33"/>
  <c r="I92" i="33"/>
  <c r="I91" i="33"/>
  <c r="I90" i="33"/>
  <c r="I89" i="33"/>
  <c r="I88" i="33"/>
  <c r="I87" i="33"/>
  <c r="I86" i="33"/>
  <c r="I85" i="33"/>
  <c r="I84" i="33"/>
  <c r="I83" i="33"/>
  <c r="I82" i="33"/>
  <c r="I81" i="33"/>
  <c r="I80" i="33"/>
  <c r="I79" i="33"/>
  <c r="I78" i="33"/>
  <c r="I77" i="33"/>
  <c r="I76" i="33"/>
  <c r="I75" i="33"/>
  <c r="I74" i="33"/>
  <c r="I73" i="33"/>
  <c r="I72" i="33"/>
  <c r="I71" i="33"/>
  <c r="I70" i="33"/>
  <c r="I69" i="33"/>
  <c r="I68" i="33"/>
  <c r="I67" i="33"/>
  <c r="I66" i="33"/>
  <c r="I65" i="33"/>
  <c r="I64" i="33"/>
  <c r="I63" i="33"/>
  <c r="I62" i="33"/>
  <c r="I61" i="33"/>
  <c r="I60" i="33"/>
  <c r="I59" i="33"/>
  <c r="I58" i="33"/>
  <c r="I57" i="33"/>
  <c r="I56" i="33"/>
  <c r="I55" i="33"/>
  <c r="I54" i="33"/>
  <c r="I53" i="33"/>
  <c r="I52" i="33"/>
  <c r="I51" i="33"/>
  <c r="I50" i="33"/>
  <c r="I49" i="33"/>
  <c r="I48" i="33"/>
  <c r="I47" i="33"/>
  <c r="I46" i="33"/>
  <c r="I45" i="33"/>
  <c r="I44" i="33"/>
  <c r="I43" i="33"/>
  <c r="I42" i="33"/>
  <c r="I41" i="33"/>
  <c r="I40" i="33"/>
  <c r="I39" i="33"/>
  <c r="I38" i="33"/>
  <c r="I37" i="33"/>
  <c r="I36" i="33"/>
  <c r="I35" i="33"/>
  <c r="I34" i="33"/>
  <c r="I33" i="33"/>
  <c r="I32" i="33"/>
  <c r="I31" i="33"/>
  <c r="I30" i="33"/>
  <c r="I29" i="33"/>
  <c r="I28" i="33"/>
  <c r="I27" i="33"/>
  <c r="I26" i="33"/>
  <c r="I25" i="33"/>
  <c r="I24" i="33"/>
  <c r="I23" i="33"/>
  <c r="I22" i="33"/>
  <c r="I21" i="33"/>
  <c r="I20" i="33"/>
  <c r="I19" i="33"/>
  <c r="I18" i="33"/>
  <c r="I17" i="33"/>
  <c r="I16" i="33"/>
  <c r="I15" i="33"/>
  <c r="I14" i="33"/>
  <c r="I13" i="33"/>
  <c r="I12" i="33"/>
  <c r="I11" i="33"/>
  <c r="I10" i="33"/>
  <c r="I9" i="33"/>
  <c r="I8" i="33"/>
  <c r="I7" i="33"/>
  <c r="I6" i="33"/>
  <c r="I5" i="33"/>
  <c r="I300" i="32"/>
  <c r="I299" i="32"/>
  <c r="I298" i="32"/>
  <c r="I297" i="32"/>
  <c r="I296" i="32"/>
  <c r="I295" i="32"/>
  <c r="I294" i="32"/>
  <c r="I293" i="32"/>
  <c r="I292" i="32"/>
  <c r="I291" i="32"/>
  <c r="I290" i="32"/>
  <c r="I289" i="32"/>
  <c r="I288" i="32"/>
  <c r="I287" i="32"/>
  <c r="I286" i="32"/>
  <c r="I285" i="32"/>
  <c r="I284" i="32"/>
  <c r="I283" i="32"/>
  <c r="I282" i="32"/>
  <c r="I281" i="32"/>
  <c r="I280" i="32"/>
  <c r="I279" i="32"/>
  <c r="I278" i="32"/>
  <c r="I277" i="32"/>
  <c r="I276" i="32"/>
  <c r="I275" i="32"/>
  <c r="I274" i="32"/>
  <c r="I273" i="32"/>
  <c r="I272" i="32"/>
  <c r="I271" i="32"/>
  <c r="I270" i="32"/>
  <c r="I269" i="32"/>
  <c r="I268" i="32"/>
  <c r="I267" i="32"/>
  <c r="I266" i="32"/>
  <c r="I265" i="32"/>
  <c r="I264" i="32"/>
  <c r="I263" i="32"/>
  <c r="I262" i="32"/>
  <c r="I261" i="32"/>
  <c r="I260" i="32"/>
  <c r="I259" i="32"/>
  <c r="I258" i="32"/>
  <c r="I257" i="32"/>
  <c r="I256" i="32"/>
  <c r="I255" i="32"/>
  <c r="I254" i="32"/>
  <c r="I253" i="32"/>
  <c r="I252" i="32"/>
  <c r="I251" i="32"/>
  <c r="I250" i="32"/>
  <c r="I249" i="32"/>
  <c r="I248" i="32"/>
  <c r="I247" i="32"/>
  <c r="I246" i="32"/>
  <c r="I245" i="32"/>
  <c r="I244" i="32"/>
  <c r="I243" i="32"/>
  <c r="I242" i="32"/>
  <c r="I241" i="32"/>
  <c r="I240" i="32"/>
  <c r="I239" i="32"/>
  <c r="I238" i="32"/>
  <c r="I237" i="32"/>
  <c r="I236" i="32"/>
  <c r="I235" i="32"/>
  <c r="I234" i="32"/>
  <c r="I233" i="32"/>
  <c r="I232" i="32"/>
  <c r="I231" i="32"/>
  <c r="I230" i="32"/>
  <c r="I229" i="32"/>
  <c r="I228" i="32"/>
  <c r="I227" i="32"/>
  <c r="I226" i="32"/>
  <c r="I225" i="32"/>
  <c r="I224" i="32"/>
  <c r="I223" i="32"/>
  <c r="I222" i="32"/>
  <c r="I221" i="32"/>
  <c r="I220" i="32"/>
  <c r="I219" i="32"/>
  <c r="I218" i="32"/>
  <c r="I217" i="32"/>
  <c r="I216" i="32"/>
  <c r="I215" i="32"/>
  <c r="I214" i="32"/>
  <c r="I213" i="32"/>
  <c r="I212" i="32"/>
  <c r="I211" i="32"/>
  <c r="I210" i="32"/>
  <c r="I209" i="32"/>
  <c r="I208" i="32"/>
  <c r="I207" i="32"/>
  <c r="I206" i="32"/>
  <c r="I205" i="32"/>
  <c r="I204" i="32"/>
  <c r="I203" i="32"/>
  <c r="I202" i="32"/>
  <c r="I201" i="32"/>
  <c r="I200" i="32"/>
  <c r="I199" i="32"/>
  <c r="I198" i="32"/>
  <c r="I197" i="32"/>
  <c r="I196" i="32"/>
  <c r="I195" i="32"/>
  <c r="I194" i="32"/>
  <c r="I193" i="32"/>
  <c r="I192" i="32"/>
  <c r="I191" i="32"/>
  <c r="I190" i="32"/>
  <c r="I189" i="32"/>
  <c r="I188" i="32"/>
  <c r="I187" i="32"/>
  <c r="I186" i="32"/>
  <c r="I185" i="32"/>
  <c r="I184" i="32"/>
  <c r="I183" i="32"/>
  <c r="I182" i="32"/>
  <c r="I181" i="32"/>
  <c r="I180" i="32"/>
  <c r="I179" i="32"/>
  <c r="I178" i="32"/>
  <c r="I177" i="32"/>
  <c r="I176" i="32"/>
  <c r="I175" i="32"/>
  <c r="I174" i="32"/>
  <c r="I173" i="32"/>
  <c r="I172" i="32"/>
  <c r="I171" i="32"/>
  <c r="I170" i="32"/>
  <c r="I169" i="32"/>
  <c r="I168" i="32"/>
  <c r="I167" i="32"/>
  <c r="I166" i="32"/>
  <c r="I165" i="32"/>
  <c r="I164" i="32"/>
  <c r="I163" i="32"/>
  <c r="I162" i="32"/>
  <c r="I161" i="32"/>
  <c r="I160" i="32"/>
  <c r="I159" i="32"/>
  <c r="I158" i="32"/>
  <c r="I157" i="32"/>
  <c r="I156" i="32"/>
  <c r="I155" i="32"/>
  <c r="I154" i="32"/>
  <c r="I153" i="32"/>
  <c r="I152" i="32"/>
  <c r="I151" i="32"/>
  <c r="I150" i="32"/>
  <c r="I149" i="32"/>
  <c r="I148" i="32"/>
  <c r="I147" i="32"/>
  <c r="I146" i="32"/>
  <c r="I145" i="32"/>
  <c r="I144" i="32"/>
  <c r="I143" i="32"/>
  <c r="I142" i="32"/>
  <c r="I141" i="32"/>
  <c r="I140" i="32"/>
  <c r="I139" i="32"/>
  <c r="I138" i="32"/>
  <c r="I137" i="32"/>
  <c r="I136" i="32"/>
  <c r="I135" i="32"/>
  <c r="I134" i="32"/>
  <c r="I133" i="32"/>
  <c r="I132" i="32"/>
  <c r="I131" i="32"/>
  <c r="I130" i="32"/>
  <c r="I129" i="32"/>
  <c r="I128" i="32"/>
  <c r="I127" i="32"/>
  <c r="I126" i="32"/>
  <c r="I125" i="32"/>
  <c r="I124" i="32"/>
  <c r="I123" i="32"/>
  <c r="I122" i="32"/>
  <c r="I121" i="32"/>
  <c r="I120" i="32"/>
  <c r="I119" i="32"/>
  <c r="I118" i="32"/>
  <c r="I117" i="32"/>
  <c r="I116" i="32"/>
  <c r="I115" i="32"/>
  <c r="I114" i="32"/>
  <c r="I113" i="32"/>
  <c r="I112" i="32"/>
  <c r="I111" i="32"/>
  <c r="I110" i="32"/>
  <c r="I109" i="32"/>
  <c r="I108" i="32"/>
  <c r="I107" i="32"/>
  <c r="I106" i="32"/>
  <c r="I105" i="32"/>
  <c r="I104" i="32"/>
  <c r="I103" i="32"/>
  <c r="I102" i="32"/>
  <c r="I101" i="32"/>
  <c r="I100" i="32"/>
  <c r="I99" i="32"/>
  <c r="I98" i="32"/>
  <c r="I97" i="32"/>
  <c r="I96" i="32"/>
  <c r="I95" i="32"/>
  <c r="I94" i="32"/>
  <c r="I93" i="32"/>
  <c r="I92" i="32"/>
  <c r="I91" i="32"/>
  <c r="I90" i="32"/>
  <c r="I89" i="32"/>
  <c r="I88" i="32"/>
  <c r="I87" i="32"/>
  <c r="I86" i="32"/>
  <c r="I85" i="32"/>
  <c r="I84" i="32"/>
  <c r="I83" i="32"/>
  <c r="I82" i="32"/>
  <c r="I81" i="32"/>
  <c r="I80" i="32"/>
  <c r="I79" i="32"/>
  <c r="I78" i="32"/>
  <c r="I77" i="32"/>
  <c r="I76" i="32"/>
  <c r="I75" i="32"/>
  <c r="I74" i="32"/>
  <c r="I73" i="32"/>
  <c r="I72" i="32"/>
  <c r="I71" i="32"/>
  <c r="I70" i="32"/>
  <c r="I69" i="32"/>
  <c r="I68" i="32"/>
  <c r="I67" i="32"/>
  <c r="I66" i="32"/>
  <c r="I65" i="32"/>
  <c r="I64" i="32"/>
  <c r="I63" i="32"/>
  <c r="I62" i="32"/>
  <c r="I61" i="32"/>
  <c r="I60" i="32"/>
  <c r="I59" i="32"/>
  <c r="I58" i="32"/>
  <c r="I57" i="32"/>
  <c r="I56" i="32"/>
  <c r="I55" i="32"/>
  <c r="I54" i="32"/>
  <c r="I53" i="32"/>
  <c r="I52" i="32"/>
  <c r="I51" i="32"/>
  <c r="I50" i="32"/>
  <c r="I49" i="32"/>
  <c r="I48" i="32"/>
  <c r="I47" i="32"/>
  <c r="I46" i="32"/>
  <c r="I45" i="32"/>
  <c r="I44" i="32"/>
  <c r="I43" i="32"/>
  <c r="I42" i="32"/>
  <c r="I41" i="32"/>
  <c r="I40" i="32"/>
  <c r="I39" i="32"/>
  <c r="I38" i="32"/>
  <c r="I37" i="32"/>
  <c r="I36" i="32"/>
  <c r="I35" i="32"/>
  <c r="I34" i="32"/>
  <c r="I33" i="32"/>
  <c r="I32" i="32"/>
  <c r="I31" i="32"/>
  <c r="I30" i="32"/>
  <c r="I29" i="32"/>
  <c r="I28" i="32"/>
  <c r="I27" i="32"/>
  <c r="I26" i="32"/>
  <c r="I25" i="32"/>
  <c r="I24" i="32"/>
  <c r="I23" i="32"/>
  <c r="I22" i="32"/>
  <c r="I21" i="32"/>
  <c r="I20" i="32"/>
  <c r="I19" i="32"/>
  <c r="I18" i="32"/>
  <c r="I17" i="32"/>
  <c r="I16" i="32"/>
  <c r="I15" i="32"/>
  <c r="I14" i="32"/>
  <c r="I13" i="32"/>
  <c r="I12" i="32"/>
  <c r="I11" i="32"/>
  <c r="I10" i="32"/>
  <c r="I9" i="32"/>
  <c r="I8" i="32"/>
  <c r="I5" i="32"/>
  <c r="B76" i="6" s="1"/>
  <c r="J300" i="31"/>
  <c r="J299" i="31"/>
  <c r="J298" i="31"/>
  <c r="J297" i="31"/>
  <c r="J296" i="31"/>
  <c r="J295" i="31"/>
  <c r="J294" i="31"/>
  <c r="J293" i="31"/>
  <c r="J292" i="31"/>
  <c r="J291" i="31"/>
  <c r="J290" i="31"/>
  <c r="J289" i="31"/>
  <c r="J288" i="31"/>
  <c r="J287" i="31"/>
  <c r="J286" i="31"/>
  <c r="J285" i="31"/>
  <c r="J284" i="31"/>
  <c r="J283" i="31"/>
  <c r="J282" i="31"/>
  <c r="J281" i="31"/>
  <c r="J280" i="31"/>
  <c r="J279" i="31"/>
  <c r="J278" i="31"/>
  <c r="J277" i="31"/>
  <c r="J276" i="31"/>
  <c r="J275" i="31"/>
  <c r="J274" i="31"/>
  <c r="J273" i="31"/>
  <c r="J272" i="31"/>
  <c r="J271" i="31"/>
  <c r="J270" i="31"/>
  <c r="J269" i="31"/>
  <c r="J268" i="31"/>
  <c r="J267" i="31"/>
  <c r="J266" i="31"/>
  <c r="J265" i="31"/>
  <c r="J264" i="31"/>
  <c r="J263" i="31"/>
  <c r="J262" i="31"/>
  <c r="J261" i="31"/>
  <c r="J260" i="31"/>
  <c r="J259" i="31"/>
  <c r="J258" i="31"/>
  <c r="J257" i="31"/>
  <c r="J256" i="31"/>
  <c r="J255" i="31"/>
  <c r="J254" i="31"/>
  <c r="J253" i="31"/>
  <c r="J252" i="31"/>
  <c r="J251" i="31"/>
  <c r="J250" i="31"/>
  <c r="J249" i="31"/>
  <c r="J248" i="31"/>
  <c r="J247" i="31"/>
  <c r="J246" i="31"/>
  <c r="J245" i="31"/>
  <c r="J244" i="31"/>
  <c r="J243" i="31"/>
  <c r="J242" i="31"/>
  <c r="J241" i="31"/>
  <c r="J240" i="31"/>
  <c r="J239" i="31"/>
  <c r="J238" i="31"/>
  <c r="J237" i="31"/>
  <c r="J236" i="31"/>
  <c r="J235" i="31"/>
  <c r="J234" i="31"/>
  <c r="J233" i="31"/>
  <c r="J232" i="31"/>
  <c r="J231" i="31"/>
  <c r="J230" i="31"/>
  <c r="J229" i="31"/>
  <c r="J228" i="31"/>
  <c r="J227" i="31"/>
  <c r="J226" i="31"/>
  <c r="J225" i="31"/>
  <c r="J224" i="31"/>
  <c r="J223" i="31"/>
  <c r="J222" i="31"/>
  <c r="J221" i="31"/>
  <c r="J220" i="31"/>
  <c r="J219" i="31"/>
  <c r="J218" i="31"/>
  <c r="J217" i="31"/>
  <c r="J216" i="31"/>
  <c r="J215" i="31"/>
  <c r="J214" i="31"/>
  <c r="J213" i="31"/>
  <c r="J212" i="31"/>
  <c r="J211" i="31"/>
  <c r="J210" i="31"/>
  <c r="J209" i="31"/>
  <c r="J208" i="31"/>
  <c r="J207" i="31"/>
  <c r="J206" i="31"/>
  <c r="J205" i="31"/>
  <c r="J204" i="31"/>
  <c r="J203" i="31"/>
  <c r="J202" i="31"/>
  <c r="J201" i="31"/>
  <c r="J200" i="31"/>
  <c r="J199" i="31"/>
  <c r="J198" i="31"/>
  <c r="J197" i="31"/>
  <c r="J196" i="31"/>
  <c r="J195" i="31"/>
  <c r="J194" i="31"/>
  <c r="J193" i="31"/>
  <c r="J192" i="31"/>
  <c r="J191" i="31"/>
  <c r="J190" i="31"/>
  <c r="J189" i="31"/>
  <c r="J188" i="31"/>
  <c r="J187" i="31"/>
  <c r="J186" i="31"/>
  <c r="J185" i="31"/>
  <c r="J184" i="31"/>
  <c r="J183" i="31"/>
  <c r="J182" i="31"/>
  <c r="J181" i="31"/>
  <c r="J180" i="31"/>
  <c r="J179" i="31"/>
  <c r="J178" i="31"/>
  <c r="J177" i="31"/>
  <c r="J176" i="31"/>
  <c r="J175" i="31"/>
  <c r="J174" i="31"/>
  <c r="J173" i="31"/>
  <c r="J172" i="31"/>
  <c r="J171" i="31"/>
  <c r="J170" i="31"/>
  <c r="J169" i="31"/>
  <c r="J168" i="31"/>
  <c r="J167" i="31"/>
  <c r="J166" i="31"/>
  <c r="J165" i="31"/>
  <c r="J164" i="31"/>
  <c r="J163" i="31"/>
  <c r="J162" i="31"/>
  <c r="J161" i="31"/>
  <c r="J160" i="31"/>
  <c r="J159" i="31"/>
  <c r="J158" i="31"/>
  <c r="J157" i="31"/>
  <c r="J156" i="31"/>
  <c r="J155" i="31"/>
  <c r="J154" i="31"/>
  <c r="J153" i="31"/>
  <c r="J152" i="31"/>
  <c r="J151" i="31"/>
  <c r="J150" i="31"/>
  <c r="J149" i="31"/>
  <c r="J148" i="31"/>
  <c r="J147" i="31"/>
  <c r="J146" i="31"/>
  <c r="J145" i="31"/>
  <c r="J144" i="31"/>
  <c r="J143" i="31"/>
  <c r="J142" i="31"/>
  <c r="J141" i="31"/>
  <c r="J140" i="31"/>
  <c r="J139" i="31"/>
  <c r="J138" i="31"/>
  <c r="J137" i="31"/>
  <c r="J136" i="31"/>
  <c r="J135" i="31"/>
  <c r="J134" i="31"/>
  <c r="J133" i="31"/>
  <c r="J132" i="31"/>
  <c r="J131" i="31"/>
  <c r="J130" i="31"/>
  <c r="J129" i="31"/>
  <c r="J128" i="31"/>
  <c r="J127" i="31"/>
  <c r="J126" i="31"/>
  <c r="J125" i="31"/>
  <c r="J124" i="31"/>
  <c r="J123" i="31"/>
  <c r="J122" i="31"/>
  <c r="J121" i="31"/>
  <c r="J120" i="31"/>
  <c r="J119" i="31"/>
  <c r="J118" i="31"/>
  <c r="J117" i="31"/>
  <c r="J116" i="31"/>
  <c r="J115" i="31"/>
  <c r="J114" i="31"/>
  <c r="J113" i="31"/>
  <c r="J112" i="31"/>
  <c r="J111" i="31"/>
  <c r="J110" i="31"/>
  <c r="J109" i="31"/>
  <c r="J108" i="31"/>
  <c r="J107" i="31"/>
  <c r="J106" i="31"/>
  <c r="J105" i="31"/>
  <c r="J104" i="31"/>
  <c r="J103" i="31"/>
  <c r="J102" i="31"/>
  <c r="J101" i="31"/>
  <c r="J100" i="31"/>
  <c r="J99" i="31"/>
  <c r="J98" i="31"/>
  <c r="J97" i="31"/>
  <c r="J96" i="31"/>
  <c r="J95" i="31"/>
  <c r="J94" i="31"/>
  <c r="J93" i="31"/>
  <c r="J92" i="31"/>
  <c r="J91" i="31"/>
  <c r="J90" i="31"/>
  <c r="J89" i="31"/>
  <c r="J88" i="31"/>
  <c r="J87" i="31"/>
  <c r="J86" i="31"/>
  <c r="J85" i="31"/>
  <c r="J84" i="31"/>
  <c r="J83" i="31"/>
  <c r="J82" i="31"/>
  <c r="J81" i="31"/>
  <c r="J80" i="31"/>
  <c r="J79" i="31"/>
  <c r="J78" i="31"/>
  <c r="J77" i="31"/>
  <c r="J76" i="31"/>
  <c r="J75" i="31"/>
  <c r="J74" i="31"/>
  <c r="J73" i="31"/>
  <c r="J72" i="31"/>
  <c r="J71" i="31"/>
  <c r="J70" i="31"/>
  <c r="J69" i="31"/>
  <c r="J68" i="31"/>
  <c r="J67" i="31"/>
  <c r="J66" i="31"/>
  <c r="J65" i="31"/>
  <c r="J64" i="31"/>
  <c r="J63" i="31"/>
  <c r="J62" i="31"/>
  <c r="J61" i="31"/>
  <c r="J60" i="31"/>
  <c r="J59" i="31"/>
  <c r="J58" i="31"/>
  <c r="J57" i="31"/>
  <c r="J56" i="31"/>
  <c r="J55" i="31"/>
  <c r="J54" i="31"/>
  <c r="J53" i="31"/>
  <c r="J52" i="31"/>
  <c r="J51" i="31"/>
  <c r="J50" i="31"/>
  <c r="J49" i="31"/>
  <c r="J48" i="31"/>
  <c r="J47" i="31"/>
  <c r="J46" i="31"/>
  <c r="J45" i="31"/>
  <c r="J44" i="31"/>
  <c r="J43" i="31"/>
  <c r="J42" i="31"/>
  <c r="J41" i="31"/>
  <c r="J40" i="31"/>
  <c r="J39" i="31"/>
  <c r="J38" i="31"/>
  <c r="J37" i="31"/>
  <c r="J36" i="31"/>
  <c r="J35" i="31"/>
  <c r="J34" i="31"/>
  <c r="J33" i="31"/>
  <c r="J32" i="31"/>
  <c r="J31" i="31"/>
  <c r="J30" i="31"/>
  <c r="J29" i="31"/>
  <c r="J28" i="31"/>
  <c r="J27" i="31"/>
  <c r="J26" i="31"/>
  <c r="J25" i="31"/>
  <c r="J24" i="31"/>
  <c r="J23" i="31"/>
  <c r="J22" i="31"/>
  <c r="J21" i="31"/>
  <c r="J20" i="31"/>
  <c r="J19" i="31"/>
  <c r="J18" i="31"/>
  <c r="J17" i="31"/>
  <c r="J16" i="31"/>
  <c r="J15" i="31"/>
  <c r="J14" i="31"/>
  <c r="J13" i="31"/>
  <c r="J12" i="31"/>
  <c r="J11" i="31"/>
  <c r="J10" i="31"/>
  <c r="J9" i="31"/>
  <c r="J8" i="31"/>
  <c r="J7" i="31"/>
  <c r="J6" i="31"/>
  <c r="J5" i="31"/>
  <c r="A58" i="29"/>
  <c r="B16" i="29"/>
  <c r="B15" i="29"/>
  <c r="B14" i="29"/>
  <c r="Q1" i="29"/>
  <c r="K300" i="8"/>
  <c r="K299" i="8"/>
  <c r="K298" i="8"/>
  <c r="K297" i="8"/>
  <c r="K296" i="8"/>
  <c r="K295" i="8"/>
  <c r="K294" i="8"/>
  <c r="K293" i="8"/>
  <c r="K292" i="8"/>
  <c r="K291" i="8"/>
  <c r="K290" i="8"/>
  <c r="K289" i="8"/>
  <c r="K288" i="8"/>
  <c r="K287" i="8"/>
  <c r="K286" i="8"/>
  <c r="K285" i="8"/>
  <c r="K284" i="8"/>
  <c r="K283" i="8"/>
  <c r="K282" i="8"/>
  <c r="K281" i="8"/>
  <c r="K280" i="8"/>
  <c r="K279" i="8"/>
  <c r="K278" i="8"/>
  <c r="K277" i="8"/>
  <c r="K276" i="8"/>
  <c r="K275" i="8"/>
  <c r="K274" i="8"/>
  <c r="K273" i="8"/>
  <c r="K272" i="8"/>
  <c r="K271" i="8"/>
  <c r="K270" i="8"/>
  <c r="K269" i="8"/>
  <c r="K268" i="8"/>
  <c r="K267" i="8"/>
  <c r="K266" i="8"/>
  <c r="K265" i="8"/>
  <c r="K264" i="8"/>
  <c r="K263" i="8"/>
  <c r="K262" i="8"/>
  <c r="K261" i="8"/>
  <c r="K260" i="8"/>
  <c r="K259" i="8"/>
  <c r="K258" i="8"/>
  <c r="K257" i="8"/>
  <c r="K256" i="8"/>
  <c r="K255" i="8"/>
  <c r="K254" i="8"/>
  <c r="K253" i="8"/>
  <c r="K252" i="8"/>
  <c r="K251" i="8"/>
  <c r="K250" i="8"/>
  <c r="K249" i="8"/>
  <c r="K248" i="8"/>
  <c r="K247" i="8"/>
  <c r="K246" i="8"/>
  <c r="K245" i="8"/>
  <c r="K244" i="8"/>
  <c r="K243" i="8"/>
  <c r="K242" i="8"/>
  <c r="K241" i="8"/>
  <c r="K240" i="8"/>
  <c r="K239" i="8"/>
  <c r="K238" i="8"/>
  <c r="K237" i="8"/>
  <c r="K236" i="8"/>
  <c r="K235" i="8"/>
  <c r="K234" i="8"/>
  <c r="K233" i="8"/>
  <c r="K232" i="8"/>
  <c r="K231" i="8"/>
  <c r="K230" i="8"/>
  <c r="K229" i="8"/>
  <c r="K228" i="8"/>
  <c r="K227" i="8"/>
  <c r="K226" i="8"/>
  <c r="K225" i="8"/>
  <c r="K224" i="8"/>
  <c r="K223" i="8"/>
  <c r="K222" i="8"/>
  <c r="K221" i="8"/>
  <c r="K220" i="8"/>
  <c r="K219" i="8"/>
  <c r="K218" i="8"/>
  <c r="K217" i="8"/>
  <c r="K216" i="8"/>
  <c r="K215" i="8"/>
  <c r="K214" i="8"/>
  <c r="K213" i="8"/>
  <c r="K212" i="8"/>
  <c r="K211" i="8"/>
  <c r="K210" i="8"/>
  <c r="K209" i="8"/>
  <c r="K208" i="8"/>
  <c r="K207" i="8"/>
  <c r="K206" i="8"/>
  <c r="K205" i="8"/>
  <c r="K204" i="8"/>
  <c r="K203" i="8"/>
  <c r="K202" i="8"/>
  <c r="K201" i="8"/>
  <c r="K200" i="8"/>
  <c r="K199" i="8"/>
  <c r="K198" i="8"/>
  <c r="K197" i="8"/>
  <c r="K196" i="8"/>
  <c r="K195" i="8"/>
  <c r="K194" i="8"/>
  <c r="K193" i="8"/>
  <c r="K192" i="8"/>
  <c r="K191" i="8"/>
  <c r="K190" i="8"/>
  <c r="K189" i="8"/>
  <c r="K188" i="8"/>
  <c r="K187" i="8"/>
  <c r="K186" i="8"/>
  <c r="K185" i="8"/>
  <c r="K184" i="8"/>
  <c r="K183" i="8"/>
  <c r="K182" i="8"/>
  <c r="K181" i="8"/>
  <c r="K180" i="8"/>
  <c r="K179" i="8"/>
  <c r="K178" i="8"/>
  <c r="K177" i="8"/>
  <c r="K176" i="8"/>
  <c r="K175" i="8"/>
  <c r="K174" i="8"/>
  <c r="K173" i="8"/>
  <c r="K172" i="8"/>
  <c r="K171" i="8"/>
  <c r="K170" i="8"/>
  <c r="K169" i="8"/>
  <c r="K168" i="8"/>
  <c r="K167" i="8"/>
  <c r="K166" i="8"/>
  <c r="K165" i="8"/>
  <c r="K164" i="8"/>
  <c r="K163" i="8"/>
  <c r="K162" i="8"/>
  <c r="K161" i="8"/>
  <c r="K160" i="8"/>
  <c r="K159" i="8"/>
  <c r="K158" i="8"/>
  <c r="K157" i="8"/>
  <c r="K156" i="8"/>
  <c r="K155" i="8"/>
  <c r="K154" i="8"/>
  <c r="K153" i="8"/>
  <c r="K152" i="8"/>
  <c r="K151" i="8"/>
  <c r="K150" i="8"/>
  <c r="K149" i="8"/>
  <c r="K148" i="8"/>
  <c r="K147" i="8"/>
  <c r="K146" i="8"/>
  <c r="K145" i="8"/>
  <c r="K144" i="8"/>
  <c r="K143" i="8"/>
  <c r="K142" i="8"/>
  <c r="K141" i="8"/>
  <c r="K140" i="8"/>
  <c r="K139" i="8"/>
  <c r="K138" i="8"/>
  <c r="K137" i="8"/>
  <c r="K136" i="8"/>
  <c r="K135" i="8"/>
  <c r="K134" i="8"/>
  <c r="K133" i="8"/>
  <c r="K132" i="8"/>
  <c r="K131" i="8"/>
  <c r="K130" i="8"/>
  <c r="K129" i="8"/>
  <c r="K128" i="8"/>
  <c r="K127" i="8"/>
  <c r="K126" i="8"/>
  <c r="K125" i="8"/>
  <c r="K124" i="8"/>
  <c r="K123" i="8"/>
  <c r="K122" i="8"/>
  <c r="K121" i="8"/>
  <c r="K120" i="8"/>
  <c r="K119" i="8"/>
  <c r="K118" i="8"/>
  <c r="K117" i="8"/>
  <c r="K116" i="8"/>
  <c r="K115" i="8"/>
  <c r="K114" i="8"/>
  <c r="K113" i="8"/>
  <c r="K112" i="8"/>
  <c r="K111" i="8"/>
  <c r="K110" i="8"/>
  <c r="K109" i="8"/>
  <c r="K108" i="8"/>
  <c r="K107" i="8"/>
  <c r="K106" i="8"/>
  <c r="K105" i="8"/>
  <c r="K104" i="8"/>
  <c r="K103" i="8"/>
  <c r="K102" i="8"/>
  <c r="K101" i="8"/>
  <c r="K100" i="8"/>
  <c r="K99" i="8"/>
  <c r="K98" i="8"/>
  <c r="K97" i="8"/>
  <c r="K96" i="8"/>
  <c r="K95" i="8"/>
  <c r="K94" i="8"/>
  <c r="K93" i="8"/>
  <c r="K92" i="8"/>
  <c r="K91" i="8"/>
  <c r="K90" i="8"/>
  <c r="K89" i="8"/>
  <c r="K88" i="8"/>
  <c r="K87" i="8"/>
  <c r="K86" i="8"/>
  <c r="K85" i="8"/>
  <c r="K84" i="8"/>
  <c r="K83" i="8"/>
  <c r="K82" i="8"/>
  <c r="K81" i="8"/>
  <c r="K80" i="8"/>
  <c r="K79" i="8"/>
  <c r="K78" i="8"/>
  <c r="K77" i="8"/>
  <c r="K76" i="8"/>
  <c r="K75" i="8"/>
  <c r="K74" i="8"/>
  <c r="K73" i="8"/>
  <c r="K72" i="8"/>
  <c r="K71" i="8"/>
  <c r="K70" i="8"/>
  <c r="K69" i="8"/>
  <c r="K68" i="8"/>
  <c r="K67" i="8"/>
  <c r="K66" i="8"/>
  <c r="K65" i="8"/>
  <c r="K64" i="8"/>
  <c r="K63" i="8"/>
  <c r="K62" i="8"/>
  <c r="K61" i="8"/>
  <c r="K60" i="8"/>
  <c r="K59" i="8"/>
  <c r="K58" i="8"/>
  <c r="K57" i="8"/>
  <c r="K56" i="8"/>
  <c r="K55" i="8"/>
  <c r="K54" i="8"/>
  <c r="K53" i="8"/>
  <c r="K52" i="8"/>
  <c r="K51" i="8"/>
  <c r="K50" i="8"/>
  <c r="K49" i="8"/>
  <c r="K48" i="8"/>
  <c r="K47" i="8"/>
  <c r="K46" i="8"/>
  <c r="K45" i="8"/>
  <c r="K44" i="8"/>
  <c r="K43" i="8"/>
  <c r="K42" i="8"/>
  <c r="K41" i="8"/>
  <c r="K40" i="8"/>
  <c r="K39" i="8"/>
  <c r="K38" i="8"/>
  <c r="K37" i="8"/>
  <c r="K36" i="8"/>
  <c r="K35" i="8"/>
  <c r="K34" i="8"/>
  <c r="K33" i="8"/>
  <c r="K32" i="8"/>
  <c r="K31" i="8"/>
  <c r="K30" i="8"/>
  <c r="K29" i="8"/>
  <c r="K28" i="8"/>
  <c r="K27" i="8"/>
  <c r="K26" i="8"/>
  <c r="K25" i="8"/>
  <c r="K24" i="8"/>
  <c r="K23" i="8"/>
  <c r="K22" i="8"/>
  <c r="K21" i="8"/>
  <c r="K20" i="8"/>
  <c r="K19" i="8"/>
  <c r="K18" i="8"/>
  <c r="K17" i="8"/>
  <c r="K16" i="8"/>
  <c r="K15" i="8"/>
  <c r="K14" i="8"/>
  <c r="K13" i="8"/>
  <c r="K12" i="8"/>
  <c r="K11" i="8"/>
  <c r="K10" i="8"/>
  <c r="K9" i="8"/>
  <c r="K8" i="8"/>
  <c r="K7" i="8"/>
  <c r="K6" i="8"/>
  <c r="K5" i="8"/>
  <c r="Q1" i="8"/>
  <c r="P1" i="8"/>
  <c r="O1" i="8"/>
  <c r="N1" i="8"/>
  <c r="M1" i="8"/>
  <c r="F12" i="78"/>
  <c r="D12" i="78"/>
  <c r="F11" i="78"/>
  <c r="D11" i="78"/>
  <c r="F10" i="78"/>
  <c r="D10" i="78"/>
  <c r="F9" i="78"/>
  <c r="D9" i="78"/>
  <c r="F8" i="78"/>
  <c r="D8" i="78"/>
  <c r="F7" i="78"/>
  <c r="D7" i="78"/>
  <c r="F6" i="78"/>
  <c r="D6" i="78"/>
  <c r="F5" i="78"/>
  <c r="D5" i="78"/>
  <c r="F58" i="77"/>
  <c r="D58" i="77"/>
  <c r="F57" i="77"/>
  <c r="D57" i="77"/>
  <c r="F56" i="77"/>
  <c r="D56" i="77"/>
  <c r="F55" i="77"/>
  <c r="D55" i="77"/>
  <c r="F54" i="77"/>
  <c r="D54" i="77"/>
  <c r="F53" i="77"/>
  <c r="D53" i="77"/>
  <c r="F52" i="77"/>
  <c r="D52" i="77"/>
  <c r="F51" i="77"/>
  <c r="D51" i="77"/>
  <c r="V46" i="77"/>
  <c r="AA22" i="77"/>
  <c r="T14" i="77"/>
  <c r="J14" i="77"/>
  <c r="Y2" i="77"/>
  <c r="Y1" i="77"/>
  <c r="G62" i="6"/>
  <c r="F62" i="6"/>
  <c r="E62" i="6"/>
  <c r="D62" i="6"/>
  <c r="C62" i="6"/>
  <c r="B62" i="6"/>
  <c r="A62" i="6"/>
  <c r="G61" i="6"/>
  <c r="F61" i="6"/>
  <c r="E61" i="6"/>
  <c r="D61" i="6"/>
  <c r="C61" i="6"/>
  <c r="B61" i="6"/>
  <c r="A61" i="6"/>
  <c r="G60" i="6"/>
  <c r="F60" i="6"/>
  <c r="E60" i="6"/>
  <c r="D60" i="6"/>
  <c r="C60" i="6"/>
  <c r="B60" i="6"/>
  <c r="A60" i="6"/>
  <c r="G59" i="6"/>
  <c r="F59" i="6"/>
  <c r="E59" i="6"/>
  <c r="D59" i="6"/>
  <c r="C59" i="6"/>
  <c r="B59" i="6"/>
  <c r="A59" i="6"/>
  <c r="G58" i="6"/>
  <c r="F58" i="6"/>
  <c r="E58" i="6"/>
  <c r="D58" i="6"/>
  <c r="C58" i="6"/>
  <c r="B58" i="6"/>
  <c r="A58" i="6"/>
  <c r="J26" i="6"/>
  <c r="I26" i="6"/>
  <c r="H26" i="6"/>
  <c r="G26" i="6"/>
  <c r="F26" i="6"/>
  <c r="E26" i="6"/>
  <c r="D26" i="6"/>
  <c r="C26" i="6"/>
  <c r="B26" i="6"/>
  <c r="A26" i="6"/>
  <c r="J25" i="6"/>
  <c r="I25" i="6"/>
  <c r="H25" i="6"/>
  <c r="G25" i="6"/>
  <c r="F25" i="6"/>
  <c r="E25" i="6"/>
  <c r="D25" i="6"/>
  <c r="C25" i="6"/>
  <c r="B25" i="6"/>
  <c r="A25" i="6"/>
  <c r="J24" i="6"/>
  <c r="I24" i="6"/>
  <c r="H24" i="6"/>
  <c r="G24" i="6"/>
  <c r="F24" i="6"/>
  <c r="E24" i="6"/>
  <c r="D24" i="6"/>
  <c r="C24" i="6"/>
  <c r="B24" i="6"/>
  <c r="A24" i="6"/>
  <c r="J23" i="6"/>
  <c r="I23" i="6"/>
  <c r="H23" i="6"/>
  <c r="G23" i="6"/>
  <c r="F23" i="6"/>
  <c r="E23" i="6"/>
  <c r="D23" i="6"/>
  <c r="C23" i="6"/>
  <c r="B23" i="6"/>
  <c r="A23" i="6"/>
  <c r="J22" i="6"/>
  <c r="I22" i="6"/>
  <c r="H22" i="6"/>
  <c r="G22" i="6"/>
  <c r="F22" i="6"/>
  <c r="E22" i="6"/>
  <c r="D22" i="6"/>
  <c r="C22" i="6"/>
  <c r="B22" i="6"/>
  <c r="A22" i="6"/>
  <c r="L17" i="6"/>
  <c r="K17" i="6"/>
  <c r="J17" i="6"/>
  <c r="I17" i="6"/>
  <c r="H17" i="6"/>
  <c r="G17" i="6"/>
  <c r="F17" i="6"/>
  <c r="E17" i="6"/>
  <c r="D17" i="6"/>
  <c r="C17" i="6"/>
  <c r="B17" i="6"/>
  <c r="A17" i="6"/>
  <c r="L16" i="6"/>
  <c r="K16" i="6"/>
  <c r="J16" i="6"/>
  <c r="I16" i="6"/>
  <c r="H16" i="6"/>
  <c r="G16" i="6"/>
  <c r="F16" i="6"/>
  <c r="E16" i="6"/>
  <c r="D16" i="6"/>
  <c r="C16" i="6"/>
  <c r="B16" i="6"/>
  <c r="A16" i="6"/>
  <c r="L15" i="6"/>
  <c r="K15" i="6"/>
  <c r="J15" i="6"/>
  <c r="I15" i="6"/>
  <c r="H15" i="6"/>
  <c r="G15" i="6"/>
  <c r="F15" i="6"/>
  <c r="E15" i="6"/>
  <c r="D15" i="6"/>
  <c r="C15" i="6"/>
  <c r="B15" i="6"/>
  <c r="A15" i="6"/>
  <c r="L14" i="6"/>
  <c r="K14" i="6"/>
  <c r="J14" i="6"/>
  <c r="I14" i="6"/>
  <c r="H14" i="6"/>
  <c r="G14" i="6"/>
  <c r="F14" i="6"/>
  <c r="E14" i="6"/>
  <c r="D14" i="6"/>
  <c r="C14" i="6"/>
  <c r="B14" i="6"/>
  <c r="A14" i="6"/>
  <c r="L13" i="6"/>
  <c r="K13" i="6"/>
  <c r="J13" i="6"/>
  <c r="I13" i="6"/>
  <c r="H13" i="6"/>
  <c r="G13" i="6"/>
  <c r="F13" i="6"/>
  <c r="E13" i="6"/>
  <c r="D13" i="6"/>
  <c r="C13" i="6"/>
  <c r="B13" i="6"/>
  <c r="A13" i="6"/>
  <c r="B9" i="6"/>
  <c r="F7" i="6"/>
  <c r="E15" i="5" s="1"/>
  <c r="D7" i="6"/>
  <c r="C15" i="5" s="1"/>
  <c r="B4" i="6"/>
  <c r="Q1" i="6"/>
  <c r="P1" i="6"/>
  <c r="O1" i="6"/>
  <c r="N1" i="6"/>
  <c r="M1" i="6"/>
  <c r="F35" i="5"/>
  <c r="E35" i="5"/>
  <c r="D35" i="5"/>
  <c r="C35" i="5"/>
  <c r="B35" i="5"/>
  <c r="A35" i="5"/>
  <c r="F34" i="5"/>
  <c r="E34" i="5"/>
  <c r="D34" i="5"/>
  <c r="C34" i="5"/>
  <c r="B34" i="5"/>
  <c r="A34" i="5"/>
  <c r="F33" i="5"/>
  <c r="E33" i="5"/>
  <c r="D33" i="5"/>
  <c r="C33" i="5"/>
  <c r="B33" i="5"/>
  <c r="A33" i="5"/>
  <c r="F32" i="5"/>
  <c r="E32" i="5"/>
  <c r="D32" i="5"/>
  <c r="C32" i="5"/>
  <c r="B32" i="5"/>
  <c r="A32" i="5"/>
  <c r="F31" i="5"/>
  <c r="E31" i="5"/>
  <c r="D31" i="5"/>
  <c r="C31" i="5"/>
  <c r="B31" i="5"/>
  <c r="A31" i="5"/>
  <c r="F26" i="5"/>
  <c r="E26" i="5"/>
  <c r="D26" i="5"/>
  <c r="C26" i="5"/>
  <c r="B26" i="5"/>
  <c r="A26" i="5"/>
  <c r="F25" i="5"/>
  <c r="E25" i="5"/>
  <c r="D25" i="5"/>
  <c r="C25" i="5"/>
  <c r="B25" i="5"/>
  <c r="A25" i="5"/>
  <c r="F24" i="5"/>
  <c r="E24" i="5"/>
  <c r="D24" i="5"/>
  <c r="C24" i="5"/>
  <c r="B24" i="5"/>
  <c r="A24" i="5"/>
  <c r="F23" i="5"/>
  <c r="E23" i="5"/>
  <c r="D23" i="5"/>
  <c r="C23" i="5"/>
  <c r="B23" i="5"/>
  <c r="A23" i="5"/>
  <c r="F22" i="5"/>
  <c r="E22" i="5"/>
  <c r="D22" i="5"/>
  <c r="C22" i="5"/>
  <c r="B22" i="5"/>
  <c r="A22" i="5"/>
  <c r="K10" i="5"/>
  <c r="I10" i="5"/>
  <c r="G10" i="5"/>
  <c r="E10" i="5"/>
  <c r="C10" i="5"/>
  <c r="A10" i="5"/>
  <c r="R7" i="5"/>
  <c r="R6" i="5"/>
  <c r="K6" i="5"/>
  <c r="Q1" i="5"/>
  <c r="P1" i="5"/>
  <c r="O1" i="5"/>
  <c r="N1" i="5"/>
  <c r="M1" i="5"/>
  <c r="B33" i="4"/>
  <c r="L26" i="4"/>
  <c r="H26" i="4"/>
  <c r="L24" i="4"/>
  <c r="AB2" i="4"/>
  <c r="T1" i="4"/>
  <c r="G14" i="3"/>
  <c r="F14" i="3"/>
  <c r="E14" i="3"/>
  <c r="D14" i="3"/>
  <c r="C14" i="3"/>
  <c r="B8" i="2"/>
  <c r="D8" i="2" s="1"/>
  <c r="C7" i="2"/>
  <c r="C6" i="2"/>
  <c r="C5" i="2"/>
  <c r="B5" i="2"/>
  <c r="D34" i="1"/>
  <c r="D33" i="1"/>
  <c r="D32" i="1"/>
  <c r="D31" i="1"/>
  <c r="D30" i="1"/>
  <c r="D29" i="1"/>
  <c r="D28" i="1"/>
  <c r="D27" i="1"/>
  <c r="D26" i="1"/>
  <c r="D25" i="1"/>
  <c r="D24" i="1"/>
  <c r="D23" i="1"/>
  <c r="D22" i="1"/>
  <c r="D21" i="1"/>
  <c r="D20" i="1"/>
  <c r="D19" i="1"/>
  <c r="D18" i="1"/>
  <c r="D17" i="1"/>
  <c r="D16" i="1"/>
  <c r="D15" i="1"/>
  <c r="D14" i="1"/>
  <c r="D13" i="1"/>
  <c r="D12" i="1"/>
  <c r="D11" i="1"/>
  <c r="D10" i="1"/>
  <c r="D9" i="1"/>
  <c r="D8" i="1"/>
  <c r="D7" i="1"/>
  <c r="D6" i="1"/>
  <c r="D5" i="1"/>
  <c r="G48" i="7"/>
  <c r="A43" i="7"/>
  <c r="L36" i="7"/>
  <c r="H36" i="7"/>
  <c r="L34" i="7"/>
  <c r="C18" i="7"/>
  <c r="S13" i="7"/>
  <c r="B18" i="2" s="1"/>
  <c r="D18" i="2" s="1"/>
  <c r="S12" i="7"/>
  <c r="S11" i="7"/>
  <c r="AB2" i="7"/>
  <c r="T1" i="7"/>
  <c r="AI8" i="80"/>
  <c r="AK9" i="80"/>
  <c r="AL19" i="80"/>
  <c r="AI19" i="80"/>
  <c r="AL27" i="80"/>
  <c r="AK21" i="80"/>
  <c r="Z19" i="80"/>
  <c r="Z30" i="80"/>
  <c r="AP20" i="36"/>
  <c r="AL3" i="80"/>
  <c r="AL7" i="80"/>
  <c r="E21" i="1"/>
  <c r="AI27" i="80"/>
  <c r="Z12" i="80"/>
  <c r="E31" i="1"/>
  <c r="AB16" i="80"/>
  <c r="AI15" i="80"/>
  <c r="AI11" i="80"/>
  <c r="E8" i="1"/>
  <c r="E33" i="1"/>
  <c r="Z8" i="80"/>
  <c r="AE29" i="80"/>
  <c r="AI13" i="80"/>
  <c r="E25" i="1"/>
  <c r="E5" i="1"/>
  <c r="E32" i="1"/>
  <c r="AB28" i="80"/>
  <c r="AE13" i="80"/>
  <c r="AE5" i="80"/>
  <c r="AI5" i="80"/>
  <c r="AB29" i="80"/>
  <c r="AO13" i="80"/>
  <c r="Z5" i="80"/>
  <c r="E30" i="1"/>
  <c r="E34" i="1"/>
  <c r="AE10" i="80"/>
  <c r="AG15" i="80"/>
  <c r="AL23" i="80"/>
  <c r="AB23" i="80"/>
  <c r="AI21" i="80"/>
  <c r="AE21" i="80"/>
  <c r="AQ4" i="36"/>
  <c r="AK23" i="80"/>
  <c r="E27" i="1"/>
  <c r="AG13" i="80"/>
  <c r="E16" i="1"/>
  <c r="AO5" i="80"/>
  <c r="AB21" i="80"/>
  <c r="AK15" i="80"/>
  <c r="E22" i="1"/>
  <c r="AI23" i="80"/>
  <c r="AG31" i="80"/>
  <c r="Z13" i="80"/>
  <c r="AK32" i="80"/>
  <c r="AL32" i="80"/>
  <c r="AO15" i="80"/>
  <c r="E7" i="1"/>
  <c r="AQ20" i="36"/>
  <c r="E13" i="1"/>
  <c r="E23" i="1"/>
  <c r="AO17" i="80"/>
  <c r="Z27" i="80"/>
  <c r="AL21" i="80"/>
  <c r="AB26" i="80"/>
  <c r="E6" i="1"/>
  <c r="AG21" i="80"/>
  <c r="AK27" i="80"/>
  <c r="AO11" i="80"/>
  <c r="AE27" i="80"/>
  <c r="AK25" i="80"/>
  <c r="AO31" i="80"/>
  <c r="AK3" i="80"/>
  <c r="E24" i="1"/>
  <c r="E26" i="1"/>
  <c r="AB13" i="80"/>
  <c r="AO23" i="80"/>
  <c r="E29" i="1"/>
  <c r="E12" i="1"/>
  <c r="AK13" i="80"/>
  <c r="E17" i="1"/>
  <c r="E15" i="1"/>
  <c r="E19" i="1"/>
  <c r="Z21" i="80"/>
  <c r="AT27" i="36"/>
  <c r="E20" i="1"/>
  <c r="AK19" i="80"/>
  <c r="E18" i="1"/>
  <c r="E10" i="1"/>
  <c r="AB15" i="80"/>
  <c r="AG23" i="80"/>
  <c r="E14" i="1"/>
  <c r="E28" i="1"/>
  <c r="AI7" i="80"/>
  <c r="AT6" i="36"/>
  <c r="AL13" i="80"/>
  <c r="AE23" i="80"/>
  <c r="AO21" i="80"/>
  <c r="AE15" i="80"/>
  <c r="E9" i="1"/>
  <c r="E11" i="1"/>
  <c r="AL26" i="80"/>
  <c r="AB20" i="80"/>
  <c r="AB12" i="80"/>
  <c r="AB4" i="80"/>
  <c r="AT21" i="36"/>
  <c r="AT13" i="36"/>
  <c r="AL22" i="80"/>
  <c r="Z14" i="80"/>
  <c r="AI6" i="80"/>
  <c r="M11" i="84" l="1"/>
  <c r="A38" i="29"/>
  <c r="A98" i="84"/>
  <c r="A186" i="84"/>
  <c r="A30" i="84"/>
  <c r="A220" i="84"/>
  <c r="A139" i="84"/>
  <c r="A51" i="84"/>
  <c r="A28" i="84"/>
  <c r="A96" i="84"/>
  <c r="A184" i="84"/>
  <c r="A218" i="84"/>
  <c r="A226" i="84"/>
  <c r="A192" i="84"/>
  <c r="A104" i="84"/>
  <c r="A36" i="84"/>
  <c r="A47" i="29"/>
  <c r="A107" i="84"/>
  <c r="A39" i="84"/>
  <c r="A229" i="84"/>
  <c r="A195" i="84"/>
  <c r="A48" i="29"/>
  <c r="A230" i="84"/>
  <c r="A108" i="84"/>
  <c r="A40" i="84"/>
  <c r="A196" i="84"/>
  <c r="A49" i="29"/>
  <c r="A231" i="84"/>
  <c r="A109" i="84"/>
  <c r="A197" i="84"/>
  <c r="A41" i="84"/>
  <c r="A57" i="84"/>
  <c r="A145" i="84"/>
  <c r="A153" i="84"/>
  <c r="A65" i="84"/>
  <c r="A73" i="84"/>
  <c r="A161" i="84"/>
  <c r="A28" i="29"/>
  <c r="A176" i="84"/>
  <c r="A88" i="84"/>
  <c r="A210" i="84"/>
  <c r="A20" i="84"/>
  <c r="A31" i="29"/>
  <c r="A23" i="84"/>
  <c r="A91" i="84"/>
  <c r="A179" i="84"/>
  <c r="A213" i="84"/>
  <c r="A39" i="29"/>
  <c r="A187" i="84"/>
  <c r="A99" i="84"/>
  <c r="A31" i="84"/>
  <c r="A221" i="84"/>
  <c r="A52" i="29"/>
  <c r="A112" i="84"/>
  <c r="A44" i="84"/>
  <c r="A234" i="84"/>
  <c r="A200" i="84"/>
  <c r="A140" i="84"/>
  <c r="A52" i="84"/>
  <c r="A148" i="84"/>
  <c r="A60" i="84"/>
  <c r="A68" i="84"/>
  <c r="A156" i="84"/>
  <c r="A164" i="84"/>
  <c r="A76" i="84"/>
  <c r="J11" i="1"/>
  <c r="A94" i="84"/>
  <c r="A216" i="84"/>
  <c r="A26" i="84"/>
  <c r="A182" i="84"/>
  <c r="J19" i="1"/>
  <c r="A34" i="84"/>
  <c r="A224" i="84"/>
  <c r="A102" i="84"/>
  <c r="A190" i="84"/>
  <c r="A55" i="84"/>
  <c r="A143" i="84"/>
  <c r="A151" i="84"/>
  <c r="A63" i="84"/>
  <c r="A159" i="84"/>
  <c r="A71" i="84"/>
  <c r="A167" i="84"/>
  <c r="A79" i="84"/>
  <c r="A59" i="84"/>
  <c r="A147" i="84"/>
  <c r="A67" i="84"/>
  <c r="A155" i="84"/>
  <c r="A163" i="84"/>
  <c r="A75" i="84"/>
  <c r="A174" i="84"/>
  <c r="A86" i="84"/>
  <c r="A208" i="84"/>
  <c r="A18" i="84"/>
  <c r="C11" i="84"/>
  <c r="A29" i="29"/>
  <c r="A177" i="84"/>
  <c r="A211" i="84"/>
  <c r="A21" i="84"/>
  <c r="A89" i="84"/>
  <c r="J14" i="1"/>
  <c r="A219" i="84"/>
  <c r="A29" i="84"/>
  <c r="A97" i="84"/>
  <c r="A185" i="84"/>
  <c r="J22" i="1"/>
  <c r="A37" i="84"/>
  <c r="A105" i="84"/>
  <c r="A193" i="84"/>
  <c r="A227" i="84"/>
  <c r="A50" i="29"/>
  <c r="A232" i="84"/>
  <c r="A198" i="84"/>
  <c r="A42" i="84"/>
  <c r="A110" i="84"/>
  <c r="A58" i="84"/>
  <c r="A146" i="84"/>
  <c r="A66" i="84"/>
  <c r="A154" i="84"/>
  <c r="A162" i="84"/>
  <c r="A74" i="84"/>
  <c r="A45" i="84"/>
  <c r="A235" i="84"/>
  <c r="A113" i="84"/>
  <c r="A201" i="84"/>
  <c r="A141" i="84"/>
  <c r="A53" i="84"/>
  <c r="A149" i="84"/>
  <c r="A61" i="84"/>
  <c r="A69" i="84"/>
  <c r="A157" i="84"/>
  <c r="A77" i="84"/>
  <c r="A165" i="84"/>
  <c r="E25" i="29"/>
  <c r="E11" i="84"/>
  <c r="A17" i="76"/>
  <c r="A87" i="84"/>
  <c r="A175" i="84"/>
  <c r="A209" i="84"/>
  <c r="A19" i="84"/>
  <c r="J12" i="1"/>
  <c r="A183" i="84"/>
  <c r="A217" i="84"/>
  <c r="A95" i="84"/>
  <c r="A27" i="84"/>
  <c r="A33" i="76"/>
  <c r="A225" i="84"/>
  <c r="A35" i="84"/>
  <c r="A191" i="84"/>
  <c r="A103" i="84"/>
  <c r="A144" i="84"/>
  <c r="A56" i="84"/>
  <c r="A152" i="84"/>
  <c r="A64" i="84"/>
  <c r="A72" i="84"/>
  <c r="A160" i="84"/>
  <c r="A80" i="84"/>
  <c r="A168" i="84"/>
  <c r="J9" i="1"/>
  <c r="A24" i="84"/>
  <c r="A214" i="84"/>
  <c r="A92" i="84"/>
  <c r="A180" i="84"/>
  <c r="J23" i="1"/>
  <c r="A38" i="84"/>
  <c r="A106" i="84"/>
  <c r="A228" i="84"/>
  <c r="A194" i="84"/>
  <c r="A100" i="84"/>
  <c r="A222" i="84"/>
  <c r="A188" i="84"/>
  <c r="A32" i="84"/>
  <c r="B9" i="73"/>
  <c r="A90" i="84"/>
  <c r="A212" i="84"/>
  <c r="A178" i="84"/>
  <c r="A22" i="84"/>
  <c r="J28" i="1"/>
  <c r="A233" i="84"/>
  <c r="A199" i="84"/>
  <c r="A43" i="84"/>
  <c r="A111" i="84"/>
  <c r="A173" i="84"/>
  <c r="A85" i="84"/>
  <c r="A207" i="84"/>
  <c r="A17" i="84"/>
  <c r="A11" i="84"/>
  <c r="A33" i="29"/>
  <c r="A93" i="84"/>
  <c r="A25" i="84"/>
  <c r="A215" i="84"/>
  <c r="A181" i="84"/>
  <c r="J18" i="1"/>
  <c r="A223" i="84"/>
  <c r="A189" i="84"/>
  <c r="A101" i="84"/>
  <c r="A33" i="84"/>
  <c r="J31" i="1"/>
  <c r="A114" i="84"/>
  <c r="A202" i="84"/>
  <c r="A46" i="84"/>
  <c r="A236" i="84"/>
  <c r="A142" i="84"/>
  <c r="A54" i="84"/>
  <c r="A150" i="84"/>
  <c r="A62" i="84"/>
  <c r="A70" i="84"/>
  <c r="A158" i="84"/>
  <c r="A166" i="84"/>
  <c r="A78" i="84"/>
  <c r="W3" i="80"/>
  <c r="W27" i="80"/>
  <c r="B14" i="82"/>
  <c r="B2" i="82" s="1"/>
  <c r="P36" i="82"/>
  <c r="D14" i="82"/>
  <c r="Z2" i="82"/>
  <c r="B46" i="82"/>
  <c r="I51" i="82"/>
  <c r="A51" i="82"/>
  <c r="M51" i="82"/>
  <c r="B46" i="7"/>
  <c r="L14" i="82"/>
  <c r="P34" i="82"/>
  <c r="N14" i="82"/>
  <c r="I11" i="82"/>
  <c r="I7" i="82"/>
  <c r="I5" i="82"/>
  <c r="E11" i="82"/>
  <c r="E7" i="82"/>
  <c r="E5" i="82"/>
  <c r="A11" i="82"/>
  <c r="A9" i="82"/>
  <c r="A7" i="82"/>
  <c r="A5" i="82"/>
  <c r="M10" i="82"/>
  <c r="M8" i="82"/>
  <c r="M6" i="82"/>
  <c r="M4" i="82"/>
  <c r="I10" i="82"/>
  <c r="I8" i="82"/>
  <c r="I6" i="82"/>
  <c r="I4" i="82"/>
  <c r="M7" i="82"/>
  <c r="E10" i="82"/>
  <c r="E8" i="82"/>
  <c r="E6" i="82"/>
  <c r="E4" i="82"/>
  <c r="A10" i="82"/>
  <c r="A8" i="82"/>
  <c r="A6" i="82"/>
  <c r="A4" i="82"/>
  <c r="M5" i="82"/>
  <c r="E1333" i="80"/>
  <c r="O1636" i="69"/>
  <c r="J2" i="1"/>
  <c r="N4" i="73"/>
  <c r="D25" i="29"/>
  <c r="W3" i="36"/>
  <c r="Q4" i="73" s="1"/>
  <c r="K4" i="1"/>
  <c r="B35" i="29"/>
  <c r="T30" i="80"/>
  <c r="U18" i="80"/>
  <c r="T5" i="80"/>
  <c r="V15" i="80"/>
  <c r="V27" i="80"/>
  <c r="V13" i="80"/>
  <c r="S7" i="80"/>
  <c r="U32" i="80"/>
  <c r="V21" i="80"/>
  <c r="U27" i="80"/>
  <c r="Y11" i="80"/>
  <c r="T14" i="80"/>
  <c r="S16" i="80"/>
  <c r="S24" i="80"/>
  <c r="T24" i="80"/>
  <c r="U11" i="80"/>
  <c r="V11" i="80"/>
  <c r="T13" i="80"/>
  <c r="S27" i="80"/>
  <c r="Y10" i="80"/>
  <c r="T10" i="80"/>
  <c r="S18" i="80"/>
  <c r="O1630" i="69"/>
  <c r="D901" i="80"/>
  <c r="T7" i="80"/>
  <c r="S12" i="80"/>
  <c r="U24" i="80"/>
  <c r="S28" i="80"/>
  <c r="U30" i="80"/>
  <c r="V32" i="80"/>
  <c r="E1326" i="80"/>
  <c r="H210" i="80"/>
  <c r="C79" i="60"/>
  <c r="O1718" i="69"/>
  <c r="V4" i="80"/>
  <c r="U7" i="80"/>
  <c r="S15" i="80"/>
  <c r="S17" i="80"/>
  <c r="T20" i="80"/>
  <c r="T22" i="80"/>
  <c r="T28" i="80"/>
  <c r="S31" i="80"/>
  <c r="W11" i="80"/>
  <c r="U22" i="80"/>
  <c r="V30" i="80"/>
  <c r="U5" i="80"/>
  <c r="T6" i="80"/>
  <c r="V7" i="80"/>
  <c r="S11" i="80"/>
  <c r="Y15" i="80"/>
  <c r="V22" i="80"/>
  <c r="T26" i="80"/>
  <c r="T27" i="80"/>
  <c r="E1334" i="80"/>
  <c r="Y3" i="80"/>
  <c r="T3" i="80"/>
  <c r="W4" i="80"/>
  <c r="V5" i="80"/>
  <c r="Y8" i="80"/>
  <c r="T8" i="80"/>
  <c r="Y23" i="80"/>
  <c r="T4" i="80"/>
  <c r="U13" i="80"/>
  <c r="V20" i="80"/>
  <c r="S6" i="80"/>
  <c r="T16" i="80"/>
  <c r="U19" i="80"/>
  <c r="T21" i="80"/>
  <c r="W22" i="80"/>
  <c r="U28" i="80"/>
  <c r="V10" i="80"/>
  <c r="W23" i="80"/>
  <c r="V28" i="80"/>
  <c r="S29" i="80"/>
  <c r="Y31" i="80"/>
  <c r="S8" i="80"/>
  <c r="U6" i="80"/>
  <c r="S9" i="80"/>
  <c r="Y13" i="80"/>
  <c r="Y19" i="80"/>
  <c r="T19" i="80"/>
  <c r="W20" i="80"/>
  <c r="U4" i="80"/>
  <c r="V8" i="80"/>
  <c r="W15" i="80"/>
  <c r="V16" i="80"/>
  <c r="U29" i="80"/>
  <c r="V31" i="80"/>
  <c r="S5" i="80"/>
  <c r="U15" i="80"/>
  <c r="Y17" i="80"/>
  <c r="W28" i="80"/>
  <c r="V3" i="80"/>
  <c r="T12" i="80"/>
  <c r="T15" i="80"/>
  <c r="U23" i="80"/>
  <c r="U3" i="80"/>
  <c r="W8" i="80"/>
  <c r="Y12" i="80"/>
  <c r="W13" i="80"/>
  <c r="S14" i="80"/>
  <c r="W16" i="80"/>
  <c r="T17" i="80"/>
  <c r="V24" i="80"/>
  <c r="T25" i="80"/>
  <c r="Y29" i="80"/>
  <c r="T29" i="80"/>
  <c r="S3" i="80"/>
  <c r="Y5" i="80"/>
  <c r="Y9" i="80"/>
  <c r="T9" i="80"/>
  <c r="U12" i="80"/>
  <c r="S13" i="80"/>
  <c r="Y14" i="80"/>
  <c r="U17" i="80"/>
  <c r="S22" i="80"/>
  <c r="V23" i="80"/>
  <c r="Y25" i="80"/>
  <c r="U9" i="80"/>
  <c r="W10" i="80"/>
  <c r="V12" i="80"/>
  <c r="U14" i="80"/>
  <c r="Y20" i="80"/>
  <c r="Y28" i="80"/>
  <c r="W32" i="80"/>
  <c r="S4" i="80"/>
  <c r="V6" i="80"/>
  <c r="V17" i="80"/>
  <c r="W21" i="80"/>
  <c r="Y4" i="80"/>
  <c r="U8" i="80"/>
  <c r="V9" i="80"/>
  <c r="V14" i="80"/>
  <c r="U16" i="80"/>
  <c r="Y18" i="80"/>
  <c r="T18" i="80"/>
  <c r="U21" i="80"/>
  <c r="Y27" i="80"/>
  <c r="S30" i="80"/>
  <c r="S32" i="80"/>
  <c r="W6" i="80"/>
  <c r="Y7" i="80"/>
  <c r="W7" i="80"/>
  <c r="W12" i="80"/>
  <c r="Y32" i="80"/>
  <c r="T32" i="80"/>
  <c r="W5" i="80"/>
  <c r="V18" i="80"/>
  <c r="W19" i="80"/>
  <c r="Y21" i="80"/>
  <c r="AD28" i="80"/>
  <c r="AC28" i="80"/>
  <c r="AA8" i="80"/>
  <c r="AC16" i="80"/>
  <c r="AD16" i="80"/>
  <c r="AC4" i="80"/>
  <c r="AD4" i="80"/>
  <c r="AJ7" i="80"/>
  <c r="AD12" i="80"/>
  <c r="AC12" i="80"/>
  <c r="AF13" i="80"/>
  <c r="AH15" i="80"/>
  <c r="AA19" i="80"/>
  <c r="AJ23" i="80"/>
  <c r="AC26" i="80"/>
  <c r="AD26" i="80"/>
  <c r="AH31" i="80"/>
  <c r="AF5" i="80"/>
  <c r="AJ6" i="80"/>
  <c r="AJ8" i="80"/>
  <c r="AH13" i="80"/>
  <c r="AJ15" i="80"/>
  <c r="AA21" i="80"/>
  <c r="AF29" i="80"/>
  <c r="AJ11" i="80"/>
  <c r="AN13" i="80"/>
  <c r="AM13" i="80"/>
  <c r="AJ13" i="80"/>
  <c r="AF10" i="80"/>
  <c r="AJ19" i="80"/>
  <c r="AF21" i="80"/>
  <c r="AJ5" i="80"/>
  <c r="AA13" i="80"/>
  <c r="AH21" i="80"/>
  <c r="AD23" i="80"/>
  <c r="AC23" i="80"/>
  <c r="AJ27" i="80"/>
  <c r="AA5" i="80"/>
  <c r="AD13" i="80"/>
  <c r="AC13" i="80"/>
  <c r="AD15" i="80"/>
  <c r="AC15" i="80"/>
  <c r="AN21" i="80"/>
  <c r="AJ21" i="80"/>
  <c r="AM21" i="80"/>
  <c r="AA27" i="80"/>
  <c r="AF23" i="80"/>
  <c r="AA30" i="80"/>
  <c r="AA12" i="80"/>
  <c r="AA14" i="80"/>
  <c r="AF15" i="80"/>
  <c r="AC20" i="80"/>
  <c r="AD20" i="80"/>
  <c r="AH23" i="80"/>
  <c r="AD21" i="80"/>
  <c r="AC21" i="80"/>
  <c r="AD29" i="80"/>
  <c r="AC29" i="80"/>
  <c r="AF27" i="80"/>
  <c r="O1644" i="69"/>
  <c r="E1329" i="80"/>
  <c r="L1660" i="69"/>
  <c r="H213" i="80"/>
  <c r="S10" i="80"/>
  <c r="E1331" i="80"/>
  <c r="O1629" i="69"/>
  <c r="E1322" i="80"/>
  <c r="O1645" i="69"/>
  <c r="E1330" i="80"/>
  <c r="H26" i="36"/>
  <c r="F48" i="29" s="1"/>
  <c r="H26" i="80"/>
  <c r="W26" i="80" s="1"/>
  <c r="D80" i="60"/>
  <c r="E1335" i="80"/>
  <c r="L1730" i="69"/>
  <c r="H214" i="80"/>
  <c r="S19" i="80"/>
  <c r="U20" i="80"/>
  <c r="O1695" i="69"/>
  <c r="O1711" i="69"/>
  <c r="E1336" i="80"/>
  <c r="L1731" i="69"/>
  <c r="H215" i="80"/>
  <c r="W9" i="80"/>
  <c r="U10" i="80"/>
  <c r="W17" i="80"/>
  <c r="S21" i="80"/>
  <c r="Y22" i="80"/>
  <c r="Y30" i="80"/>
  <c r="T31" i="80"/>
  <c r="E1339" i="80"/>
  <c r="O1631" i="69"/>
  <c r="E1324" i="80"/>
  <c r="O1716" i="69"/>
  <c r="E1337" i="80"/>
  <c r="L1732" i="69"/>
  <c r="H216" i="80"/>
  <c r="Y6" i="80"/>
  <c r="U31" i="80"/>
  <c r="E1325" i="80"/>
  <c r="O1717" i="69"/>
  <c r="E1338" i="80"/>
  <c r="L1733" i="69"/>
  <c r="H217" i="80"/>
  <c r="T11" i="80"/>
  <c r="W18" i="80"/>
  <c r="V19" i="80"/>
  <c r="S23" i="80"/>
  <c r="W29" i="80"/>
  <c r="W31" i="80"/>
  <c r="L1734" i="69"/>
  <c r="H218" i="80"/>
  <c r="W14" i="80"/>
  <c r="T23" i="80"/>
  <c r="Y24" i="80"/>
  <c r="Y26" i="80"/>
  <c r="O1622" i="69"/>
  <c r="O1638" i="69"/>
  <c r="E1327" i="80"/>
  <c r="H205" i="36"/>
  <c r="H211" i="80"/>
  <c r="O1703" i="69"/>
  <c r="E1332" i="80"/>
  <c r="L1757" i="69"/>
  <c r="H899" i="80"/>
  <c r="Y16" i="80"/>
  <c r="E1323" i="80"/>
  <c r="E1322" i="36"/>
  <c r="E1328" i="80"/>
  <c r="L1659" i="69"/>
  <c r="H212" i="80"/>
  <c r="S20" i="80"/>
  <c r="W30" i="80"/>
  <c r="V29" i="80"/>
  <c r="C143" i="58"/>
  <c r="C116" i="58"/>
  <c r="I11" i="7"/>
  <c r="E11" i="7"/>
  <c r="A11" i="7"/>
  <c r="M10" i="7"/>
  <c r="I10" i="7"/>
  <c r="E10" i="7"/>
  <c r="A10" i="7"/>
  <c r="A9" i="7"/>
  <c r="M44" i="77" s="1"/>
  <c r="M8" i="7"/>
  <c r="J44" i="77" s="1"/>
  <c r="I8" i="7"/>
  <c r="G44" i="77" s="1"/>
  <c r="A8" i="7"/>
  <c r="A44" i="77" s="1"/>
  <c r="M7" i="7"/>
  <c r="V42" i="77" s="1"/>
  <c r="I7" i="7"/>
  <c r="S42" i="77" s="1"/>
  <c r="E7" i="7"/>
  <c r="P42" i="77" s="1"/>
  <c r="A7" i="7"/>
  <c r="M42" i="77" s="1"/>
  <c r="M6" i="7"/>
  <c r="J42" i="77" s="1"/>
  <c r="I6" i="7"/>
  <c r="G42" i="77" s="1"/>
  <c r="E6" i="7"/>
  <c r="D42" i="77" s="1"/>
  <c r="A6" i="7"/>
  <c r="A42" i="77" s="1"/>
  <c r="E5" i="7"/>
  <c r="P40" i="77" s="1"/>
  <c r="I5" i="7"/>
  <c r="S40" i="77" s="1"/>
  <c r="M5" i="7"/>
  <c r="V40" i="77" s="1"/>
  <c r="M4" i="7"/>
  <c r="J40" i="77" s="1"/>
  <c r="A5" i="7"/>
  <c r="M40" i="77" s="1"/>
  <c r="E8" i="7"/>
  <c r="D44" i="77" s="1"/>
  <c r="I4" i="7"/>
  <c r="G40" i="77" s="1"/>
  <c r="E4" i="7"/>
  <c r="D40" i="77" s="1"/>
  <c r="A4" i="7"/>
  <c r="A40" i="77" s="1"/>
  <c r="I24" i="36"/>
  <c r="E36" i="76" s="1"/>
  <c r="I25" i="36"/>
  <c r="G47" i="29" s="1"/>
  <c r="H212" i="36"/>
  <c r="H206" i="36"/>
  <c r="C45" i="29"/>
  <c r="K31" i="1"/>
  <c r="J10" i="1"/>
  <c r="J26" i="1"/>
  <c r="B19" i="29"/>
  <c r="A54" i="29"/>
  <c r="H29" i="29"/>
  <c r="B38" i="29"/>
  <c r="J25" i="1"/>
  <c r="B41" i="29"/>
  <c r="C50" i="29"/>
  <c r="G28" i="29"/>
  <c r="B47" i="29"/>
  <c r="C33" i="29"/>
  <c r="K28" i="1"/>
  <c r="S30" i="36"/>
  <c r="R31" i="73" s="1"/>
  <c r="E1316" i="36"/>
  <c r="C28" i="29"/>
  <c r="C36" i="29"/>
  <c r="J16" i="1"/>
  <c r="V14" i="36"/>
  <c r="P15" i="73" s="1"/>
  <c r="J24" i="1"/>
  <c r="C41" i="29"/>
  <c r="A51" i="29"/>
  <c r="Y22" i="36"/>
  <c r="K6" i="1"/>
  <c r="B31" i="29"/>
  <c r="B48" i="29"/>
  <c r="H208" i="36"/>
  <c r="E1332" i="36"/>
  <c r="V10" i="36"/>
  <c r="P11" i="73" s="1"/>
  <c r="C34" i="29"/>
  <c r="M8" i="29"/>
  <c r="O8" i="29"/>
  <c r="A45" i="29"/>
  <c r="B34" i="29"/>
  <c r="C42" i="29"/>
  <c r="K14" i="1"/>
  <c r="A32" i="29"/>
  <c r="F32" i="29"/>
  <c r="F43" i="29"/>
  <c r="K15" i="1"/>
  <c r="K25" i="1"/>
  <c r="C47" i="29"/>
  <c r="B29" i="29"/>
  <c r="F35" i="29"/>
  <c r="J20" i="1"/>
  <c r="B40" i="29"/>
  <c r="H38" i="29"/>
  <c r="B52" i="29"/>
  <c r="V28" i="36"/>
  <c r="P29" i="73" s="1"/>
  <c r="E1323" i="36"/>
  <c r="A27" i="29"/>
  <c r="B30" i="29"/>
  <c r="F36" i="29"/>
  <c r="D39" i="29"/>
  <c r="A41" i="29"/>
  <c r="C49" i="29"/>
  <c r="H207" i="36"/>
  <c r="C29" i="29"/>
  <c r="G33" i="29"/>
  <c r="A43" i="29"/>
  <c r="K9" i="1"/>
  <c r="G76" i="6"/>
  <c r="K21" i="1"/>
  <c r="B32" i="29"/>
  <c r="G39" i="29"/>
  <c r="V21" i="36"/>
  <c r="P22" i="73" s="1"/>
  <c r="G18" i="1"/>
  <c r="F19" i="29"/>
  <c r="H32" i="6"/>
  <c r="J4" i="1"/>
  <c r="J20" i="29"/>
  <c r="B27" i="29"/>
  <c r="G30" i="29"/>
  <c r="H32" i="29"/>
  <c r="B53" i="29"/>
  <c r="V22" i="36"/>
  <c r="P23" i="73" s="1"/>
  <c r="B67" i="6"/>
  <c r="H22" i="5" s="1"/>
  <c r="C32" i="29"/>
  <c r="T27" i="36"/>
  <c r="S28" i="73" s="1"/>
  <c r="V29" i="36"/>
  <c r="P30" i="73" s="1"/>
  <c r="J7" i="1"/>
  <c r="B25" i="29"/>
  <c r="C46" i="29"/>
  <c r="J5" i="1"/>
  <c r="H53" i="29"/>
  <c r="H893" i="36"/>
  <c r="E1326" i="36"/>
  <c r="J27" i="1"/>
  <c r="F51" i="29"/>
  <c r="J8" i="1"/>
  <c r="J6" i="1"/>
  <c r="A34" i="29"/>
  <c r="B45" i="29"/>
  <c r="C41" i="6"/>
  <c r="G31" i="6"/>
  <c r="G20" i="1"/>
  <c r="B7" i="2"/>
  <c r="D7" i="2" s="1"/>
  <c r="G10" i="1"/>
  <c r="K18" i="1"/>
  <c r="C26" i="29"/>
  <c r="F44" i="29"/>
  <c r="S13" i="36"/>
  <c r="J19" i="29"/>
  <c r="C31" i="6"/>
  <c r="S28" i="36"/>
  <c r="R29" i="73" s="1"/>
  <c r="T28" i="36"/>
  <c r="S29" i="73" s="1"/>
  <c r="E1317" i="36"/>
  <c r="H45" i="29"/>
  <c r="H33" i="29"/>
  <c r="C54" i="29"/>
  <c r="H211" i="36"/>
  <c r="E1325" i="36"/>
  <c r="D9" i="6"/>
  <c r="K15" i="5" s="1"/>
  <c r="H25" i="29"/>
  <c r="F27" i="29"/>
  <c r="C31" i="29"/>
  <c r="H41" i="29"/>
  <c r="C52" i="29"/>
  <c r="T11" i="36"/>
  <c r="S12" i="73" s="1"/>
  <c r="S21" i="36"/>
  <c r="G6" i="1"/>
  <c r="G8" i="1"/>
  <c r="G13" i="1"/>
  <c r="G27" i="1"/>
  <c r="G29" i="1"/>
  <c r="B34" i="6"/>
  <c r="A76" i="6"/>
  <c r="E33" i="29"/>
  <c r="A42" i="29"/>
  <c r="A46" i="29"/>
  <c r="W4" i="36"/>
  <c r="Q5" i="73" s="1"/>
  <c r="G16" i="1"/>
  <c r="G23" i="1"/>
  <c r="G32" i="1"/>
  <c r="D35" i="6"/>
  <c r="H210" i="36"/>
  <c r="E1319" i="36"/>
  <c r="G25" i="1"/>
  <c r="F40" i="29"/>
  <c r="T20" i="36"/>
  <c r="S21" i="73" s="1"/>
  <c r="G14" i="1"/>
  <c r="J21" i="1"/>
  <c r="H76" i="6"/>
  <c r="H30" i="29"/>
  <c r="A44" i="29"/>
  <c r="F43" i="6"/>
  <c r="V9" i="36"/>
  <c r="P10" i="73" s="1"/>
  <c r="V13" i="36"/>
  <c r="P14" i="73" s="1"/>
  <c r="U18" i="36"/>
  <c r="T19" i="73" s="1"/>
  <c r="E80" i="60"/>
  <c r="G21" i="1"/>
  <c r="K2" i="1"/>
  <c r="G11" i="1"/>
  <c r="G30" i="1"/>
  <c r="Z2" i="4"/>
  <c r="H22" i="4" s="1"/>
  <c r="H31" i="29"/>
  <c r="B37" i="29"/>
  <c r="H40" i="29"/>
  <c r="G19" i="1"/>
  <c r="G33" i="1"/>
  <c r="C44" i="29"/>
  <c r="V18" i="36"/>
  <c r="P19" i="73" s="1"/>
  <c r="K8" i="29"/>
  <c r="E1333" i="36"/>
  <c r="E81" i="60"/>
  <c r="G17" i="1"/>
  <c r="G42" i="29"/>
  <c r="F50" i="29"/>
  <c r="V17" i="36"/>
  <c r="P18" i="73" s="1"/>
  <c r="F76" i="59"/>
  <c r="F81" i="60"/>
  <c r="G7" i="1"/>
  <c r="G5" i="1"/>
  <c r="G24" i="1"/>
  <c r="G31" i="1"/>
  <c r="H54" i="29"/>
  <c r="E1331" i="36"/>
  <c r="G9" i="1"/>
  <c r="G28" i="1"/>
  <c r="G12" i="1"/>
  <c r="G22" i="1"/>
  <c r="G26" i="1"/>
  <c r="G34" i="1"/>
  <c r="F70" i="6"/>
  <c r="J25" i="5" s="1"/>
  <c r="K7" i="1"/>
  <c r="G15" i="1"/>
  <c r="D29" i="29"/>
  <c r="A30" i="29"/>
  <c r="H37" i="29"/>
  <c r="W8" i="36"/>
  <c r="Q9" i="73" s="1"/>
  <c r="U10" i="36"/>
  <c r="T11" i="73" s="1"/>
  <c r="N21" i="73"/>
  <c r="H42" i="29"/>
  <c r="U6" i="36"/>
  <c r="T7" i="73" s="1"/>
  <c r="H28" i="29"/>
  <c r="N7" i="73"/>
  <c r="G26" i="29"/>
  <c r="B35" i="6"/>
  <c r="C35" i="6"/>
  <c r="G32" i="6"/>
  <c r="E34" i="6"/>
  <c r="B32" i="6"/>
  <c r="A35" i="6"/>
  <c r="E31" i="6"/>
  <c r="A34" i="6"/>
  <c r="A31" i="6"/>
  <c r="E33" i="6"/>
  <c r="B8" i="6"/>
  <c r="C33" i="6"/>
  <c r="D32" i="6"/>
  <c r="F49" i="6"/>
  <c r="C49" i="6"/>
  <c r="H4" i="29"/>
  <c r="U3" i="36"/>
  <c r="T4" i="73" s="1"/>
  <c r="T3" i="36"/>
  <c r="S4" i="73" s="1"/>
  <c r="J19" i="73"/>
  <c r="C40" i="29"/>
  <c r="B32" i="76"/>
  <c r="J32" i="76" s="1"/>
  <c r="B42" i="29"/>
  <c r="K19" i="1"/>
  <c r="H69" i="6"/>
  <c r="C17" i="76"/>
  <c r="I6" i="73"/>
  <c r="Y6" i="36"/>
  <c r="B28" i="29"/>
  <c r="A50" i="7"/>
  <c r="Z46" i="7"/>
  <c r="K111" i="7" s="1"/>
  <c r="A16" i="76"/>
  <c r="A26" i="29"/>
  <c r="B6" i="2"/>
  <c r="D6" i="2" s="1"/>
  <c r="D14" i="7"/>
  <c r="Z2" i="7"/>
  <c r="J3" i="1"/>
  <c r="A40" i="29"/>
  <c r="Y18" i="36"/>
  <c r="J17" i="1"/>
  <c r="C25" i="76"/>
  <c r="I14" i="73"/>
  <c r="A36" i="29"/>
  <c r="J13" i="1"/>
  <c r="M15" i="73"/>
  <c r="G36" i="29"/>
  <c r="S27" i="36"/>
  <c r="F49" i="29"/>
  <c r="A53" i="29"/>
  <c r="J30" i="1"/>
  <c r="K33" i="73"/>
  <c r="W32" i="36"/>
  <c r="Q33" i="73" s="1"/>
  <c r="K5" i="1"/>
  <c r="G68" i="6"/>
  <c r="B71" i="6"/>
  <c r="H26" i="5" s="1"/>
  <c r="G69" i="6"/>
  <c r="E69" i="6"/>
  <c r="C68" i="6"/>
  <c r="I23" i="5" s="1"/>
  <c r="I40" i="6"/>
  <c r="C21" i="76"/>
  <c r="D31" i="29"/>
  <c r="D17" i="29"/>
  <c r="J33" i="29"/>
  <c r="C40" i="76"/>
  <c r="D50" i="29"/>
  <c r="I29" i="73"/>
  <c r="V5" i="36"/>
  <c r="P6" i="73" s="1"/>
  <c r="L4" i="4"/>
  <c r="D18" i="76"/>
  <c r="F28" i="29"/>
  <c r="E37" i="29"/>
  <c r="U15" i="36"/>
  <c r="T16" i="73" s="1"/>
  <c r="T15" i="36"/>
  <c r="S16" i="73" s="1"/>
  <c r="N28" i="73"/>
  <c r="H49" i="29"/>
  <c r="U27" i="36"/>
  <c r="T28" i="73" s="1"/>
  <c r="J27" i="73"/>
  <c r="C48" i="29"/>
  <c r="B49" i="29"/>
  <c r="K26" i="1"/>
  <c r="F13" i="1"/>
  <c r="B60" i="77"/>
  <c r="I71" i="6"/>
  <c r="K26" i="5" s="1"/>
  <c r="D35" i="29"/>
  <c r="G43" i="6"/>
  <c r="B42" i="6"/>
  <c r="D32" i="76"/>
  <c r="L21" i="73"/>
  <c r="S20" i="36"/>
  <c r="F42" i="29"/>
  <c r="N14" i="7"/>
  <c r="A15" i="5"/>
  <c r="B7" i="6"/>
  <c r="C76" i="6"/>
  <c r="A24" i="76"/>
  <c r="B13" i="73"/>
  <c r="M13" i="73"/>
  <c r="E24" i="76"/>
  <c r="G34" i="29"/>
  <c r="W12" i="36"/>
  <c r="Q13" i="73" s="1"/>
  <c r="A28" i="76"/>
  <c r="B17" i="73"/>
  <c r="J15" i="1"/>
  <c r="K18" i="73"/>
  <c r="W17" i="36"/>
  <c r="Q18" i="73" s="1"/>
  <c r="J22" i="73"/>
  <c r="C43" i="29"/>
  <c r="F42" i="76"/>
  <c r="O31" i="73"/>
  <c r="U7" i="36"/>
  <c r="T8" i="73" s="1"/>
  <c r="E29" i="29"/>
  <c r="U19" i="36"/>
  <c r="T20" i="73" s="1"/>
  <c r="E41" i="29"/>
  <c r="J32" i="73"/>
  <c r="C53" i="29"/>
  <c r="F30" i="1"/>
  <c r="A40" i="6"/>
  <c r="D44" i="6"/>
  <c r="H42" i="6"/>
  <c r="B4" i="73"/>
  <c r="D4" i="4"/>
  <c r="M4" i="73"/>
  <c r="G25" i="29"/>
  <c r="E27" i="29"/>
  <c r="S5" i="36"/>
  <c r="A25" i="76"/>
  <c r="A35" i="29"/>
  <c r="E25" i="76"/>
  <c r="G35" i="29"/>
  <c r="A27" i="76"/>
  <c r="Y15" i="36"/>
  <c r="A37" i="29"/>
  <c r="P36" i="7"/>
  <c r="J71" i="6"/>
  <c r="L26" i="5" s="1"/>
  <c r="A25" i="29"/>
  <c r="F52" i="29"/>
  <c r="C24" i="76"/>
  <c r="D34" i="29"/>
  <c r="W20" i="36"/>
  <c r="Q21" i="73" s="1"/>
  <c r="T21" i="36"/>
  <c r="S22" i="73" s="1"/>
  <c r="E43" i="29"/>
  <c r="B36" i="76"/>
  <c r="J36" i="76" s="1"/>
  <c r="B46" i="29"/>
  <c r="N25" i="73"/>
  <c r="H46" i="29"/>
  <c r="V27" i="36"/>
  <c r="P28" i="73" s="1"/>
  <c r="T29" i="36"/>
  <c r="S30" i="73" s="1"/>
  <c r="E44" i="76"/>
  <c r="M33" i="73"/>
  <c r="C16" i="76"/>
  <c r="D26" i="29"/>
  <c r="E17" i="76"/>
  <c r="G27" i="29"/>
  <c r="J14" i="73"/>
  <c r="C35" i="29"/>
  <c r="J16" i="73"/>
  <c r="C37" i="29"/>
  <c r="V20" i="36"/>
  <c r="P21" i="73" s="1"/>
  <c r="B23" i="76"/>
  <c r="J23" i="76" s="1"/>
  <c r="K10" i="1"/>
  <c r="C25" i="29"/>
  <c r="C38" i="29"/>
  <c r="C39" i="29"/>
  <c r="S8" i="36"/>
  <c r="R9" i="73" s="1"/>
  <c r="F30" i="29"/>
  <c r="U11" i="36"/>
  <c r="T12" i="73" s="1"/>
  <c r="D26" i="76"/>
  <c r="L15" i="73"/>
  <c r="T19" i="36"/>
  <c r="S20" i="73" s="1"/>
  <c r="G48" i="29"/>
  <c r="T26" i="36"/>
  <c r="S27" i="73" s="1"/>
  <c r="C29" i="73"/>
  <c r="B50" i="29"/>
  <c r="N29" i="73"/>
  <c r="H50" i="29"/>
  <c r="Y30" i="36"/>
  <c r="J29" i="1"/>
  <c r="D81" i="60"/>
  <c r="O1710" i="69"/>
  <c r="C17" i="73"/>
  <c r="F14" i="29"/>
  <c r="W28" i="36"/>
  <c r="Q29" i="73" s="1"/>
  <c r="H209" i="36"/>
  <c r="L12" i="73"/>
  <c r="C20" i="73"/>
  <c r="D5" i="2"/>
  <c r="A71" i="6"/>
  <c r="G26" i="5" s="1"/>
  <c r="C27" i="29"/>
  <c r="H36" i="29"/>
  <c r="T8" i="36"/>
  <c r="S9" i="73" s="1"/>
  <c r="U14" i="36"/>
  <c r="T15" i="73" s="1"/>
  <c r="U23" i="36"/>
  <c r="T24" i="73" s="1"/>
  <c r="W27" i="36"/>
  <c r="Q28" i="73" s="1"/>
  <c r="M14" i="29"/>
  <c r="C77" i="59"/>
  <c r="O1702" i="69"/>
  <c r="O13" i="73"/>
  <c r="C67" i="6"/>
  <c r="I22" i="5" s="1"/>
  <c r="E71" i="6"/>
  <c r="G31" i="29"/>
  <c r="S17" i="36"/>
  <c r="S22" i="36"/>
  <c r="Y24" i="36"/>
  <c r="S29" i="36"/>
  <c r="R30" i="73" s="1"/>
  <c r="E1324" i="36"/>
  <c r="E1330" i="36"/>
  <c r="F77" i="59"/>
  <c r="B79" i="60"/>
  <c r="O1697" i="69"/>
  <c r="K27" i="73"/>
  <c r="E1318" i="36"/>
  <c r="E1329" i="36"/>
  <c r="B78" i="59"/>
  <c r="C8" i="73"/>
  <c r="D60" i="77"/>
  <c r="F25" i="1"/>
  <c r="W24" i="36"/>
  <c r="Q25" i="73" s="1"/>
  <c r="C78" i="59"/>
  <c r="C16" i="73"/>
  <c r="K29" i="73"/>
  <c r="O10" i="73"/>
  <c r="A36" i="76"/>
  <c r="B15" i="2"/>
  <c r="D15" i="2" s="1"/>
  <c r="F16" i="1"/>
  <c r="F18" i="1"/>
  <c r="H41" i="6"/>
  <c r="F44" i="6"/>
  <c r="I67" i="6"/>
  <c r="K22" i="5" s="1"/>
  <c r="D70" i="6"/>
  <c r="G71" i="6"/>
  <c r="K18" i="29"/>
  <c r="F6" i="1"/>
  <c r="F11" i="1"/>
  <c r="A42" i="6"/>
  <c r="H44" i="6"/>
  <c r="A68" i="6"/>
  <c r="G23" i="5" s="1"/>
  <c r="D71" i="6"/>
  <c r="F17" i="1"/>
  <c r="J9" i="73"/>
  <c r="C30" i="29"/>
  <c r="K10" i="73"/>
  <c r="W9" i="36"/>
  <c r="Q10" i="73" s="1"/>
  <c r="G8" i="29"/>
  <c r="P26" i="4"/>
  <c r="B20" i="29"/>
  <c r="L31" i="29"/>
  <c r="B18" i="29"/>
  <c r="C23" i="76"/>
  <c r="I12" i="73"/>
  <c r="D33" i="29"/>
  <c r="B4" i="4"/>
  <c r="B14" i="7"/>
  <c r="F17" i="29"/>
  <c r="K33" i="29"/>
  <c r="F23" i="76"/>
  <c r="O12" i="73"/>
  <c r="W11" i="36"/>
  <c r="Q12" i="73" s="1"/>
  <c r="V11" i="36"/>
  <c r="P12" i="73" s="1"/>
  <c r="C22" i="73"/>
  <c r="B33" i="76"/>
  <c r="J33" i="76" s="1"/>
  <c r="B43" i="29"/>
  <c r="K20" i="1"/>
  <c r="U21" i="36"/>
  <c r="T22" i="73" s="1"/>
  <c r="N22" i="73"/>
  <c r="H43" i="29"/>
  <c r="L16" i="29"/>
  <c r="L18" i="29"/>
  <c r="J18" i="29"/>
  <c r="J16" i="29"/>
  <c r="F24" i="1"/>
  <c r="N4" i="4"/>
  <c r="C40" i="6"/>
  <c r="A43" i="6"/>
  <c r="J68" i="6"/>
  <c r="L23" i="5" s="1"/>
  <c r="F19" i="1"/>
  <c r="H40" i="6"/>
  <c r="K16" i="29"/>
  <c r="F9" i="1"/>
  <c r="F23" i="1"/>
  <c r="E44" i="6"/>
  <c r="I42" i="6"/>
  <c r="G41" i="6"/>
  <c r="B40" i="6"/>
  <c r="I43" i="6"/>
  <c r="G42" i="6"/>
  <c r="B41" i="6"/>
  <c r="H43" i="6"/>
  <c r="F42" i="6"/>
  <c r="A41" i="6"/>
  <c r="G44" i="6"/>
  <c r="E43" i="6"/>
  <c r="I41" i="6"/>
  <c r="D40" i="6"/>
  <c r="B13" i="2"/>
  <c r="D13" i="2" s="1"/>
  <c r="D15" i="78"/>
  <c r="D15" i="76"/>
  <c r="L4" i="73"/>
  <c r="F25" i="29"/>
  <c r="S3" i="36"/>
  <c r="N25" i="29"/>
  <c r="F18" i="29"/>
  <c r="U4" i="36"/>
  <c r="T5" i="73" s="1"/>
  <c r="N5" i="73"/>
  <c r="B25" i="76"/>
  <c r="J25" i="76" s="1"/>
  <c r="C14" i="73"/>
  <c r="D43" i="76"/>
  <c r="L32" i="73"/>
  <c r="S31" i="36"/>
  <c r="F53" i="29"/>
  <c r="M17" i="29"/>
  <c r="B16" i="76"/>
  <c r="J16" i="76" s="1"/>
  <c r="K3" i="1"/>
  <c r="C5" i="73"/>
  <c r="F10" i="1"/>
  <c r="F20" i="1"/>
  <c r="F27" i="1"/>
  <c r="F33" i="1"/>
  <c r="D31" i="6"/>
  <c r="E32" i="6"/>
  <c r="H33" i="6"/>
  <c r="A67" i="6"/>
  <c r="G22" i="5" s="1"/>
  <c r="B68" i="6"/>
  <c r="H23" i="5" s="1"/>
  <c r="F69" i="6"/>
  <c r="J24" i="5" s="1"/>
  <c r="G70" i="6"/>
  <c r="B26" i="29"/>
  <c r="O29" i="29"/>
  <c r="B17" i="29"/>
  <c r="A22" i="76"/>
  <c r="B11" i="73"/>
  <c r="Y10" i="36"/>
  <c r="E22" i="76"/>
  <c r="M11" i="73"/>
  <c r="T10" i="36"/>
  <c r="S11" i="73" s="1"/>
  <c r="T12" i="36"/>
  <c r="S13" i="73" s="1"/>
  <c r="S12" i="36"/>
  <c r="E34" i="29"/>
  <c r="W16" i="36"/>
  <c r="Q17" i="73" s="1"/>
  <c r="K26" i="73"/>
  <c r="I27" i="73"/>
  <c r="C38" i="76"/>
  <c r="D48" i="29"/>
  <c r="H1759" i="69"/>
  <c r="D895" i="36"/>
  <c r="N18" i="73"/>
  <c r="U17" i="36"/>
  <c r="T18" i="73" s="1"/>
  <c r="C30" i="76"/>
  <c r="I19" i="73"/>
  <c r="D40" i="29"/>
  <c r="D35" i="76"/>
  <c r="L24" i="73"/>
  <c r="S23" i="36"/>
  <c r="F45" i="29"/>
  <c r="F36" i="76"/>
  <c r="O25" i="73"/>
  <c r="G35" i="6"/>
  <c r="G34" i="6"/>
  <c r="G33" i="6"/>
  <c r="F35" i="6"/>
  <c r="F34" i="6"/>
  <c r="F33" i="6"/>
  <c r="F32" i="6"/>
  <c r="F31" i="6"/>
  <c r="F15" i="1"/>
  <c r="F26" i="1"/>
  <c r="H31" i="6"/>
  <c r="A33" i="6"/>
  <c r="C34" i="6"/>
  <c r="E35" i="6"/>
  <c r="D49" i="6"/>
  <c r="D67" i="6"/>
  <c r="H68" i="6"/>
  <c r="I69" i="6"/>
  <c r="K24" i="5" s="1"/>
  <c r="C71" i="6"/>
  <c r="I26" i="5" s="1"/>
  <c r="M18" i="29"/>
  <c r="C44" i="6"/>
  <c r="D43" i="6"/>
  <c r="E42" i="6"/>
  <c r="F41" i="6"/>
  <c r="G40" i="6"/>
  <c r="B44" i="6"/>
  <c r="C43" i="6"/>
  <c r="D42" i="6"/>
  <c r="E41" i="6"/>
  <c r="F40" i="6"/>
  <c r="D8" i="6"/>
  <c r="G15" i="5" s="1"/>
  <c r="I44" i="6"/>
  <c r="A44" i="6"/>
  <c r="B43" i="6"/>
  <c r="C42" i="6"/>
  <c r="D41" i="6"/>
  <c r="E40" i="6"/>
  <c r="F76" i="6"/>
  <c r="E76" i="6"/>
  <c r="D76" i="6"/>
  <c r="L6" i="34"/>
  <c r="G50" i="6" s="1"/>
  <c r="C6" i="73"/>
  <c r="B17" i="76"/>
  <c r="J17" i="76" s="1"/>
  <c r="N6" i="73"/>
  <c r="U5" i="36"/>
  <c r="T6" i="73" s="1"/>
  <c r="C18" i="76"/>
  <c r="I7" i="73"/>
  <c r="E8" i="29"/>
  <c r="D28" i="29"/>
  <c r="L8" i="73"/>
  <c r="D19" i="76"/>
  <c r="S7" i="36"/>
  <c r="F29" i="29"/>
  <c r="O9" i="73"/>
  <c r="F20" i="76"/>
  <c r="V8" i="36"/>
  <c r="P9" i="73" s="1"/>
  <c r="Y14" i="36"/>
  <c r="K19" i="73"/>
  <c r="W18" i="36"/>
  <c r="Q19" i="73" s="1"/>
  <c r="D31" i="76"/>
  <c r="L20" i="73"/>
  <c r="S19" i="36"/>
  <c r="F41" i="29"/>
  <c r="A35" i="76"/>
  <c r="Y23" i="36"/>
  <c r="B24" i="73"/>
  <c r="E35" i="76"/>
  <c r="T23" i="36"/>
  <c r="S24" i="73" s="1"/>
  <c r="M24" i="73"/>
  <c r="O1637" i="69"/>
  <c r="D77" i="59"/>
  <c r="E1320" i="36"/>
  <c r="L1657" i="69"/>
  <c r="H204" i="36"/>
  <c r="J49" i="6"/>
  <c r="B49" i="6"/>
  <c r="I49" i="6"/>
  <c r="A49" i="6"/>
  <c r="H49" i="6"/>
  <c r="S9" i="36"/>
  <c r="E31" i="29"/>
  <c r="B29" i="76"/>
  <c r="J29" i="76" s="1"/>
  <c r="C18" i="73"/>
  <c r="F5" i="1"/>
  <c r="F12" i="1"/>
  <c r="F8" i="1"/>
  <c r="K16" i="1"/>
  <c r="F22" i="1"/>
  <c r="F29" i="1"/>
  <c r="F32" i="1"/>
  <c r="F34" i="1"/>
  <c r="B7" i="5"/>
  <c r="A32" i="6"/>
  <c r="B33" i="6"/>
  <c r="D34" i="6"/>
  <c r="H35" i="6"/>
  <c r="E49" i="6"/>
  <c r="E67" i="6"/>
  <c r="I68" i="6"/>
  <c r="K23" i="5" s="1"/>
  <c r="C70" i="6"/>
  <c r="I25" i="5" s="1"/>
  <c r="I8" i="29"/>
  <c r="I6" i="32"/>
  <c r="D14" i="29"/>
  <c r="T4" i="36"/>
  <c r="S5" i="73" s="1"/>
  <c r="E26" i="29"/>
  <c r="C8" i="29"/>
  <c r="S4" i="36"/>
  <c r="M26" i="29"/>
  <c r="D18" i="29"/>
  <c r="A19" i="76"/>
  <c r="B8" i="73"/>
  <c r="Y7" i="36"/>
  <c r="A8" i="29"/>
  <c r="E19" i="76"/>
  <c r="M8" i="73"/>
  <c r="T7" i="36"/>
  <c r="S8" i="73" s="1"/>
  <c r="B26" i="76"/>
  <c r="J26" i="76" s="1"/>
  <c r="C15" i="73"/>
  <c r="K13" i="1"/>
  <c r="F27" i="76"/>
  <c r="O16" i="73"/>
  <c r="W15" i="36"/>
  <c r="Q16" i="73" s="1"/>
  <c r="V15" i="36"/>
  <c r="P16" i="73" s="1"/>
  <c r="T16" i="36"/>
  <c r="S17" i="73" s="1"/>
  <c r="E38" i="29"/>
  <c r="F15" i="76"/>
  <c r="I7" i="76"/>
  <c r="V3" i="36"/>
  <c r="P4" i="73" s="1"/>
  <c r="O4" i="73"/>
  <c r="P24" i="4"/>
  <c r="P34" i="7"/>
  <c r="L14" i="7"/>
  <c r="D28" i="76"/>
  <c r="L17" i="73"/>
  <c r="F38" i="29"/>
  <c r="S16" i="36"/>
  <c r="D19" i="29"/>
  <c r="M16" i="29"/>
  <c r="F7" i="1"/>
  <c r="K12" i="1"/>
  <c r="F14" i="1"/>
  <c r="F21" i="1"/>
  <c r="F28" i="1"/>
  <c r="F31" i="1"/>
  <c r="B31" i="6"/>
  <c r="C32" i="6"/>
  <c r="D33" i="6"/>
  <c r="H34" i="6"/>
  <c r="G49" i="6"/>
  <c r="J67" i="6"/>
  <c r="L22" i="5" s="1"/>
  <c r="A69" i="6"/>
  <c r="G24" i="5" s="1"/>
  <c r="E70" i="6"/>
  <c r="B15" i="78"/>
  <c r="H71" i="6"/>
  <c r="J70" i="6"/>
  <c r="L25" i="5" s="1"/>
  <c r="B70" i="6"/>
  <c r="H25" i="5" s="1"/>
  <c r="D69" i="6"/>
  <c r="F68" i="6"/>
  <c r="J23" i="5" s="1"/>
  <c r="H67" i="6"/>
  <c r="F71" i="6"/>
  <c r="J26" i="5" s="1"/>
  <c r="H70" i="6"/>
  <c r="J69" i="6"/>
  <c r="L24" i="5" s="1"/>
  <c r="B69" i="6"/>
  <c r="H24" i="5" s="1"/>
  <c r="D68" i="6"/>
  <c r="F67" i="6"/>
  <c r="J22" i="5" s="1"/>
  <c r="M15" i="29"/>
  <c r="H39" i="29"/>
  <c r="C51" i="29"/>
  <c r="C30" i="73"/>
  <c r="B41" i="76"/>
  <c r="J41" i="76" s="1"/>
  <c r="N30" i="73"/>
  <c r="U29" i="36"/>
  <c r="T30" i="73" s="1"/>
  <c r="O33" i="73"/>
  <c r="F44" i="76"/>
  <c r="V32" i="36"/>
  <c r="P33" i="73" s="1"/>
  <c r="N14" i="73"/>
  <c r="U13" i="36"/>
  <c r="T14" i="73" s="1"/>
  <c r="C26" i="76"/>
  <c r="I15" i="73"/>
  <c r="A43" i="76"/>
  <c r="B32" i="73"/>
  <c r="E43" i="76"/>
  <c r="M32" i="73"/>
  <c r="T31" i="36"/>
  <c r="S32" i="73" s="1"/>
  <c r="B76" i="59"/>
  <c r="E1321" i="36"/>
  <c r="D78" i="59"/>
  <c r="L16" i="73"/>
  <c r="D27" i="76"/>
  <c r="S15" i="36"/>
  <c r="A34" i="76"/>
  <c r="B23" i="73"/>
  <c r="E34" i="76"/>
  <c r="T22" i="36"/>
  <c r="S23" i="73" s="1"/>
  <c r="M23" i="73"/>
  <c r="L1658" i="69"/>
  <c r="D36" i="29"/>
  <c r="G67" i="6"/>
  <c r="E68" i="6"/>
  <c r="C69" i="6"/>
  <c r="I24" i="5" s="1"/>
  <c r="A70" i="6"/>
  <c r="G25" i="5" s="1"/>
  <c r="I70" i="6"/>
  <c r="K25" i="5" s="1"/>
  <c r="W5" i="36"/>
  <c r="Q6" i="73" s="1"/>
  <c r="K6" i="73"/>
  <c r="A18" i="76"/>
  <c r="B7" i="73"/>
  <c r="E18" i="76"/>
  <c r="T6" i="36"/>
  <c r="S7" i="73" s="1"/>
  <c r="F19" i="76"/>
  <c r="W7" i="36"/>
  <c r="Q8" i="73" s="1"/>
  <c r="O8" i="73"/>
  <c r="V7" i="36"/>
  <c r="P8" i="73" s="1"/>
  <c r="B21" i="76"/>
  <c r="J21" i="76" s="1"/>
  <c r="C10" i="73"/>
  <c r="U9" i="36"/>
  <c r="T10" i="73" s="1"/>
  <c r="C22" i="76"/>
  <c r="I11" i="73"/>
  <c r="U12" i="36"/>
  <c r="T13" i="73" s="1"/>
  <c r="E27" i="76"/>
  <c r="M16" i="73"/>
  <c r="A30" i="76"/>
  <c r="B19" i="73"/>
  <c r="E30" i="76"/>
  <c r="M19" i="73"/>
  <c r="T18" i="36"/>
  <c r="S19" i="73" s="1"/>
  <c r="B34" i="76"/>
  <c r="J34" i="76" s="1"/>
  <c r="C23" i="73"/>
  <c r="N23" i="73"/>
  <c r="U22" i="36"/>
  <c r="T23" i="73" s="1"/>
  <c r="F35" i="76"/>
  <c r="O24" i="73"/>
  <c r="W23" i="36"/>
  <c r="Q24" i="73" s="1"/>
  <c r="V23" i="36"/>
  <c r="P24" i="73" s="1"/>
  <c r="F43" i="76"/>
  <c r="O32" i="73"/>
  <c r="W31" i="36"/>
  <c r="Q32" i="73" s="1"/>
  <c r="V31" i="36"/>
  <c r="P32" i="73" s="1"/>
  <c r="E1327" i="36"/>
  <c r="O1704" i="69"/>
  <c r="C81" i="60"/>
  <c r="O1724" i="69"/>
  <c r="F80" i="60"/>
  <c r="B16" i="73"/>
  <c r="B18" i="76"/>
  <c r="J18" i="76" s="1"/>
  <c r="C7" i="73"/>
  <c r="D20" i="76"/>
  <c r="L9" i="73"/>
  <c r="K11" i="73"/>
  <c r="W10" i="36"/>
  <c r="Q11" i="73" s="1"/>
  <c r="D23" i="76"/>
  <c r="S11" i="36"/>
  <c r="L25" i="73"/>
  <c r="D36" i="76"/>
  <c r="S24" i="36"/>
  <c r="C39" i="76"/>
  <c r="I28" i="73"/>
  <c r="A42" i="76"/>
  <c r="B31" i="73"/>
  <c r="E42" i="76"/>
  <c r="M31" i="73"/>
  <c r="T30" i="36"/>
  <c r="S31" i="73" s="1"/>
  <c r="Y31" i="36"/>
  <c r="L33" i="73"/>
  <c r="D44" i="76"/>
  <c r="S32" i="36"/>
  <c r="O1709" i="69"/>
  <c r="E1328" i="36"/>
  <c r="D79" i="60"/>
  <c r="C15" i="76"/>
  <c r="I8" i="76"/>
  <c r="I4" i="73"/>
  <c r="W13" i="36"/>
  <c r="Q14" i="73" s="1"/>
  <c r="K14" i="73"/>
  <c r="A26" i="76"/>
  <c r="B15" i="73"/>
  <c r="E26" i="76"/>
  <c r="T14" i="36"/>
  <c r="S15" i="73" s="1"/>
  <c r="O17" i="73"/>
  <c r="F28" i="76"/>
  <c r="V16" i="36"/>
  <c r="P17" i="73" s="1"/>
  <c r="C31" i="76"/>
  <c r="I20" i="73"/>
  <c r="F31" i="76"/>
  <c r="O20" i="73"/>
  <c r="W19" i="36"/>
  <c r="Q20" i="73" s="1"/>
  <c r="V19" i="36"/>
  <c r="P20" i="73" s="1"/>
  <c r="B42" i="76"/>
  <c r="J42" i="76" s="1"/>
  <c r="C31" i="73"/>
  <c r="N31" i="73"/>
  <c r="U30" i="36"/>
  <c r="T31" i="73" s="1"/>
  <c r="E16" i="76"/>
  <c r="M5" i="73"/>
  <c r="Y4" i="36"/>
  <c r="F17" i="76"/>
  <c r="O6" i="73"/>
  <c r="W6" i="36"/>
  <c r="Q7" i="73" s="1"/>
  <c r="C20" i="76"/>
  <c r="I9" i="73"/>
  <c r="U8" i="36"/>
  <c r="T9" i="73" s="1"/>
  <c r="T9" i="36"/>
  <c r="S10" i="73" s="1"/>
  <c r="S10" i="36"/>
  <c r="Y12" i="36"/>
  <c r="F25" i="76"/>
  <c r="O14" i="73"/>
  <c r="W14" i="36"/>
  <c r="Q15" i="73" s="1"/>
  <c r="C28" i="76"/>
  <c r="I17" i="73"/>
  <c r="U16" i="36"/>
  <c r="T17" i="73" s="1"/>
  <c r="T17" i="36"/>
  <c r="S18" i="73" s="1"/>
  <c r="S18" i="36"/>
  <c r="B21" i="73"/>
  <c r="A32" i="76"/>
  <c r="Y20" i="36"/>
  <c r="F33" i="76"/>
  <c r="O22" i="73"/>
  <c r="W22" i="36"/>
  <c r="Q23" i="73" s="1"/>
  <c r="C36" i="76"/>
  <c r="I25" i="73"/>
  <c r="U24" i="36"/>
  <c r="T25" i="73" s="1"/>
  <c r="B39" i="76"/>
  <c r="J39" i="76" s="1"/>
  <c r="C28" i="73"/>
  <c r="B29" i="73"/>
  <c r="A40" i="76"/>
  <c r="M29" i="73"/>
  <c r="E40" i="76"/>
  <c r="Y28" i="36"/>
  <c r="F41" i="76"/>
  <c r="O30" i="73"/>
  <c r="W30" i="36"/>
  <c r="Q31" i="73" s="1"/>
  <c r="C44" i="76"/>
  <c r="I33" i="73"/>
  <c r="U32" i="36"/>
  <c r="T33" i="73" s="1"/>
  <c r="D76" i="59"/>
  <c r="E77" i="59"/>
  <c r="F78" i="59"/>
  <c r="B80" i="60"/>
  <c r="I10" i="73"/>
  <c r="B25" i="73"/>
  <c r="K2" i="75"/>
  <c r="K4" i="75"/>
  <c r="K6" i="75"/>
  <c r="K8" i="75"/>
  <c r="K10" i="75"/>
  <c r="K12" i="75"/>
  <c r="K14" i="75"/>
  <c r="K16" i="75"/>
  <c r="K18" i="75"/>
  <c r="K20" i="75"/>
  <c r="K22" i="75"/>
  <c r="K24" i="75"/>
  <c r="K26" i="75"/>
  <c r="K28" i="75"/>
  <c r="K30" i="75"/>
  <c r="K32" i="75"/>
  <c r="A20" i="76"/>
  <c r="Y5" i="36"/>
  <c r="C13" i="73"/>
  <c r="B24" i="76"/>
  <c r="J24" i="76" s="1"/>
  <c r="Y13" i="36"/>
  <c r="M22" i="73"/>
  <c r="E33" i="76"/>
  <c r="Y21" i="36"/>
  <c r="O23" i="73"/>
  <c r="F34" i="76"/>
  <c r="I26" i="73"/>
  <c r="C37" i="76"/>
  <c r="B30" i="73"/>
  <c r="A41" i="76"/>
  <c r="M30" i="73"/>
  <c r="E41" i="76"/>
  <c r="Y29" i="36"/>
  <c r="L31" i="73"/>
  <c r="D42" i="76"/>
  <c r="E76" i="59"/>
  <c r="C80" i="60"/>
  <c r="O1643" i="69"/>
  <c r="O1723" i="69"/>
  <c r="B5" i="73"/>
  <c r="O5" i="73"/>
  <c r="L7" i="73"/>
  <c r="M10" i="73"/>
  <c r="C11" i="73"/>
  <c r="N13" i="73"/>
  <c r="C21" i="73"/>
  <c r="L22" i="73"/>
  <c r="C25" i="73"/>
  <c r="C27" i="73"/>
  <c r="I9" i="76"/>
  <c r="T5" i="36"/>
  <c r="S6" i="73" s="1"/>
  <c r="S6" i="36"/>
  <c r="Y8" i="36"/>
  <c r="D21" i="76"/>
  <c r="L10" i="73"/>
  <c r="T13" i="36"/>
  <c r="S14" i="73" s="1"/>
  <c r="S14" i="36"/>
  <c r="E28" i="76"/>
  <c r="M17" i="73"/>
  <c r="Y16" i="36"/>
  <c r="D29" i="76"/>
  <c r="L18" i="73"/>
  <c r="F29" i="76"/>
  <c r="O18" i="73"/>
  <c r="C32" i="76"/>
  <c r="I21" i="73"/>
  <c r="U20" i="36"/>
  <c r="T21" i="73" s="1"/>
  <c r="B35" i="76"/>
  <c r="J35" i="76" s="1"/>
  <c r="C24" i="73"/>
  <c r="O26" i="73"/>
  <c r="F37" i="76"/>
  <c r="U28" i="36"/>
  <c r="T29" i="73" s="1"/>
  <c r="B43" i="76"/>
  <c r="J43" i="76" s="1"/>
  <c r="C32" i="73"/>
  <c r="B33" i="73"/>
  <c r="A44" i="76"/>
  <c r="Y32" i="36"/>
  <c r="E79" i="60"/>
  <c r="O7" i="73"/>
  <c r="M12" i="73"/>
  <c r="M21" i="73"/>
  <c r="K3" i="75"/>
  <c r="K5" i="75"/>
  <c r="K7" i="75"/>
  <c r="K9" i="75"/>
  <c r="K11" i="75"/>
  <c r="K13" i="75"/>
  <c r="K15" i="75"/>
  <c r="K17" i="75"/>
  <c r="K19" i="75"/>
  <c r="K21" i="75"/>
  <c r="K23" i="75"/>
  <c r="K25" i="75"/>
  <c r="K27" i="75"/>
  <c r="K29" i="75"/>
  <c r="K31" i="75"/>
  <c r="K33" i="75"/>
  <c r="V4" i="36"/>
  <c r="P5" i="73" s="1"/>
  <c r="A21" i="76"/>
  <c r="B10" i="73"/>
  <c r="Y9" i="36"/>
  <c r="F22" i="76"/>
  <c r="O11" i="73"/>
  <c r="V12" i="36"/>
  <c r="P13" i="73" s="1"/>
  <c r="A29" i="76"/>
  <c r="B18" i="73"/>
  <c r="Y17" i="36"/>
  <c r="F30" i="76"/>
  <c r="O19" i="73"/>
  <c r="C33" i="76"/>
  <c r="I22" i="73"/>
  <c r="A37" i="76"/>
  <c r="B26" i="73"/>
  <c r="Y25" i="36"/>
  <c r="F38" i="76"/>
  <c r="O27" i="73"/>
  <c r="C41" i="76"/>
  <c r="I30" i="73"/>
  <c r="B44" i="76"/>
  <c r="J44" i="76" s="1"/>
  <c r="C33" i="73"/>
  <c r="B77" i="59"/>
  <c r="L6" i="73"/>
  <c r="I8" i="73"/>
  <c r="M9" i="73"/>
  <c r="C12" i="73"/>
  <c r="O15" i="73"/>
  <c r="I18" i="73"/>
  <c r="B40" i="76"/>
  <c r="J40" i="76" s="1"/>
  <c r="C34" i="76"/>
  <c r="I23" i="73"/>
  <c r="B37" i="76"/>
  <c r="J37" i="76" s="1"/>
  <c r="C26" i="73"/>
  <c r="A38" i="76"/>
  <c r="B27" i="73"/>
  <c r="E38" i="76"/>
  <c r="M27" i="73"/>
  <c r="Y26" i="36"/>
  <c r="D39" i="76"/>
  <c r="L28" i="73"/>
  <c r="F39" i="76"/>
  <c r="O28" i="73"/>
  <c r="C42" i="76"/>
  <c r="I31" i="73"/>
  <c r="C4" i="73"/>
  <c r="K4" i="73"/>
  <c r="I5" i="73"/>
  <c r="B6" i="73"/>
  <c r="M6" i="73"/>
  <c r="C9" i="73"/>
  <c r="L14" i="73"/>
  <c r="M18" i="73"/>
  <c r="L19" i="73"/>
  <c r="I10" i="79"/>
  <c r="I6" i="79"/>
  <c r="I4" i="79"/>
  <c r="E10" i="79"/>
  <c r="A10" i="79"/>
  <c r="M9" i="79"/>
  <c r="M7" i="79"/>
  <c r="M5" i="79"/>
  <c r="M3" i="79"/>
  <c r="I9" i="79"/>
  <c r="E9" i="79"/>
  <c r="E7" i="79"/>
  <c r="E5" i="79"/>
  <c r="E3" i="79"/>
  <c r="A9" i="79"/>
  <c r="A7" i="79"/>
  <c r="A5" i="79"/>
  <c r="A3" i="79"/>
  <c r="M6" i="79"/>
  <c r="M4" i="79"/>
  <c r="I3" i="79"/>
  <c r="A15" i="76"/>
  <c r="A8" i="79"/>
  <c r="I7" i="79"/>
  <c r="E6" i="79"/>
  <c r="A6" i="79"/>
  <c r="I5" i="79"/>
  <c r="E4" i="79"/>
  <c r="A4" i="79"/>
  <c r="E15" i="76"/>
  <c r="Y3" i="36"/>
  <c r="D16" i="76"/>
  <c r="L5" i="73"/>
  <c r="V6" i="36"/>
  <c r="P7" i="73" s="1"/>
  <c r="A23" i="76"/>
  <c r="B12" i="73"/>
  <c r="Y11" i="36"/>
  <c r="D24" i="76"/>
  <c r="L13" i="73"/>
  <c r="I16" i="73"/>
  <c r="C27" i="76"/>
  <c r="C19" i="73"/>
  <c r="B30" i="76"/>
  <c r="J30" i="76" s="1"/>
  <c r="A31" i="76"/>
  <c r="B20" i="73"/>
  <c r="M20" i="73"/>
  <c r="E31" i="76"/>
  <c r="Y19" i="36"/>
  <c r="F32" i="76"/>
  <c r="O21" i="73"/>
  <c r="W21" i="36"/>
  <c r="Q22" i="73" s="1"/>
  <c r="I24" i="73"/>
  <c r="C35" i="76"/>
  <c r="A39" i="76"/>
  <c r="B28" i="73"/>
  <c r="M28" i="73"/>
  <c r="E39" i="76"/>
  <c r="Y27" i="36"/>
  <c r="L29" i="73"/>
  <c r="D40" i="76"/>
  <c r="F40" i="76"/>
  <c r="O29" i="73"/>
  <c r="W29" i="36"/>
  <c r="Q30" i="73" s="1"/>
  <c r="V30" i="36"/>
  <c r="P31" i="73" s="1"/>
  <c r="I32" i="73"/>
  <c r="C43" i="76"/>
  <c r="U31" i="36"/>
  <c r="T32" i="73" s="1"/>
  <c r="T32" i="36"/>
  <c r="S33" i="73" s="1"/>
  <c r="C76" i="59"/>
  <c r="E78" i="59"/>
  <c r="L11" i="73"/>
  <c r="I13" i="73"/>
  <c r="B14" i="73"/>
  <c r="M14" i="73"/>
  <c r="B22" i="73"/>
  <c r="L23" i="73"/>
  <c r="L30" i="73"/>
  <c r="AK14" i="80"/>
  <c r="AL12" i="80"/>
  <c r="AQ12" i="36"/>
  <c r="AK12" i="80"/>
  <c r="AK4" i="80"/>
  <c r="C11" i="85" l="1"/>
  <c r="B11" i="85"/>
  <c r="A11" i="85"/>
  <c r="G11" i="85"/>
  <c r="I11" i="84"/>
  <c r="E166" i="84"/>
  <c r="G166" i="84"/>
  <c r="D166" i="84"/>
  <c r="C166" i="84"/>
  <c r="B166" i="84"/>
  <c r="F166" i="84"/>
  <c r="C46" i="84"/>
  <c r="D46" i="84"/>
  <c r="J46" i="84"/>
  <c r="B46" i="84"/>
  <c r="G46" i="84"/>
  <c r="F46" i="84"/>
  <c r="E46" i="84"/>
  <c r="I46" i="84"/>
  <c r="H46" i="84"/>
  <c r="A22" i="85"/>
  <c r="I17" i="84"/>
  <c r="H17" i="84"/>
  <c r="F17" i="84"/>
  <c r="D17" i="84"/>
  <c r="C17" i="84"/>
  <c r="E17" i="84"/>
  <c r="J17" i="84"/>
  <c r="B17" i="84"/>
  <c r="G17" i="84"/>
  <c r="B188" i="84"/>
  <c r="C188" i="84"/>
  <c r="H188" i="84"/>
  <c r="G188" i="84"/>
  <c r="D188" i="84"/>
  <c r="F188" i="84"/>
  <c r="E188" i="84"/>
  <c r="A93" i="85"/>
  <c r="D180" i="84"/>
  <c r="C180" i="84"/>
  <c r="B180" i="84"/>
  <c r="H180" i="84"/>
  <c r="G180" i="84"/>
  <c r="F180" i="84"/>
  <c r="E180" i="84"/>
  <c r="B72" i="84"/>
  <c r="D72" i="84"/>
  <c r="F72" i="84"/>
  <c r="E72" i="84"/>
  <c r="H72" i="84"/>
  <c r="C72" i="84"/>
  <c r="G72" i="84"/>
  <c r="A104" i="85"/>
  <c r="G157" i="84"/>
  <c r="F157" i="84"/>
  <c r="D157" i="84"/>
  <c r="B157" i="84"/>
  <c r="E157" i="84"/>
  <c r="C157" i="84"/>
  <c r="G110" i="84"/>
  <c r="E110" i="84"/>
  <c r="F110" i="84"/>
  <c r="C110" i="84"/>
  <c r="B110" i="84"/>
  <c r="D110" i="84"/>
  <c r="C37" i="84"/>
  <c r="B37" i="84"/>
  <c r="J37" i="84"/>
  <c r="G37" i="84"/>
  <c r="H37" i="84"/>
  <c r="E37" i="84"/>
  <c r="D37" i="84"/>
  <c r="I37" i="84"/>
  <c r="F37" i="84"/>
  <c r="A26" i="85"/>
  <c r="H21" i="84"/>
  <c r="G21" i="84"/>
  <c r="F21" i="84"/>
  <c r="J21" i="84"/>
  <c r="C21" i="84"/>
  <c r="B21" i="84"/>
  <c r="I21" i="84"/>
  <c r="E21" i="84"/>
  <c r="D21" i="84"/>
  <c r="A103" i="85"/>
  <c r="G59" i="84"/>
  <c r="F59" i="84"/>
  <c r="D59" i="84"/>
  <c r="H59" i="84"/>
  <c r="E59" i="84"/>
  <c r="C59" i="84"/>
  <c r="B59" i="84"/>
  <c r="G55" i="84"/>
  <c r="F55" i="84"/>
  <c r="D55" i="84"/>
  <c r="H55" i="84"/>
  <c r="B55" i="84"/>
  <c r="E55" i="84"/>
  <c r="C55" i="84"/>
  <c r="A111" i="85"/>
  <c r="E60" i="84"/>
  <c r="D60" i="84"/>
  <c r="B60" i="84"/>
  <c r="H60" i="84"/>
  <c r="G60" i="84"/>
  <c r="F60" i="84"/>
  <c r="C60" i="84"/>
  <c r="A44" i="85"/>
  <c r="D91" i="84"/>
  <c r="C91" i="84"/>
  <c r="G91" i="84"/>
  <c r="E91" i="84"/>
  <c r="B91" i="84"/>
  <c r="F91" i="84"/>
  <c r="B197" i="84"/>
  <c r="G197" i="84"/>
  <c r="F197" i="84"/>
  <c r="E197" i="84"/>
  <c r="D197" i="84"/>
  <c r="H197" i="84"/>
  <c r="C197" i="84"/>
  <c r="B192" i="84"/>
  <c r="C192" i="84"/>
  <c r="D192" i="84"/>
  <c r="G192" i="84"/>
  <c r="F192" i="84"/>
  <c r="H192" i="84"/>
  <c r="E192" i="84"/>
  <c r="A70" i="85"/>
  <c r="E139" i="84"/>
  <c r="D139" i="84"/>
  <c r="B139" i="84"/>
  <c r="G139" i="84"/>
  <c r="F139" i="84"/>
  <c r="C139" i="84"/>
  <c r="C78" i="84"/>
  <c r="B78" i="84"/>
  <c r="G78" i="84"/>
  <c r="F78" i="84"/>
  <c r="D78" i="84"/>
  <c r="E78" i="84"/>
  <c r="H78" i="84"/>
  <c r="D35" i="84"/>
  <c r="J35" i="84"/>
  <c r="I35" i="84"/>
  <c r="B35" i="84"/>
  <c r="H35" i="84"/>
  <c r="C35" i="84"/>
  <c r="G35" i="84"/>
  <c r="E35" i="84"/>
  <c r="F35" i="84"/>
  <c r="A42" i="85"/>
  <c r="F89" i="84"/>
  <c r="E89" i="84"/>
  <c r="D89" i="84"/>
  <c r="C89" i="84"/>
  <c r="B89" i="84"/>
  <c r="G89" i="84"/>
  <c r="F51" i="84"/>
  <c r="E51" i="84"/>
  <c r="H51" i="84"/>
  <c r="C51" i="84"/>
  <c r="D51" i="84"/>
  <c r="G51" i="84"/>
  <c r="B51" i="84"/>
  <c r="E158" i="84"/>
  <c r="D158" i="84"/>
  <c r="C158" i="84"/>
  <c r="G158" i="84"/>
  <c r="F158" i="84"/>
  <c r="B158" i="84"/>
  <c r="C202" i="84"/>
  <c r="B202" i="84"/>
  <c r="G202" i="84"/>
  <c r="F202" i="84"/>
  <c r="H202" i="84"/>
  <c r="E202" i="84"/>
  <c r="D202" i="84"/>
  <c r="A94" i="85"/>
  <c r="B181" i="84"/>
  <c r="H181" i="84"/>
  <c r="F181" i="84"/>
  <c r="E181" i="84"/>
  <c r="C181" i="84"/>
  <c r="G181" i="84"/>
  <c r="D181" i="84"/>
  <c r="A102" i="85"/>
  <c r="A27" i="85"/>
  <c r="G22" i="84"/>
  <c r="F22" i="84"/>
  <c r="I22" i="84"/>
  <c r="E22" i="84"/>
  <c r="C22" i="84"/>
  <c r="J22" i="84"/>
  <c r="B22" i="84"/>
  <c r="H22" i="84"/>
  <c r="D22" i="84"/>
  <c r="A45" i="85"/>
  <c r="G92" i="84"/>
  <c r="C92" i="84"/>
  <c r="D92" i="84"/>
  <c r="F92" i="84"/>
  <c r="B92" i="84"/>
  <c r="E92" i="84"/>
  <c r="D64" i="84"/>
  <c r="C64" i="84"/>
  <c r="H64" i="84"/>
  <c r="F64" i="84"/>
  <c r="E64" i="84"/>
  <c r="B64" i="84"/>
  <c r="G64" i="84"/>
  <c r="A88" i="85"/>
  <c r="G175" i="84"/>
  <c r="F175" i="84"/>
  <c r="E175" i="84"/>
  <c r="H175" i="84"/>
  <c r="D175" i="84"/>
  <c r="C175" i="84"/>
  <c r="B175" i="84"/>
  <c r="C69" i="84"/>
  <c r="B69" i="84"/>
  <c r="G69" i="84"/>
  <c r="H69" i="84"/>
  <c r="F69" i="84"/>
  <c r="E69" i="84"/>
  <c r="D69" i="84"/>
  <c r="F45" i="84"/>
  <c r="E45" i="84"/>
  <c r="C45" i="84"/>
  <c r="G45" i="84"/>
  <c r="B45" i="84"/>
  <c r="J45" i="84"/>
  <c r="I45" i="84"/>
  <c r="H45" i="84"/>
  <c r="D45" i="84"/>
  <c r="F42" i="84"/>
  <c r="E42" i="84"/>
  <c r="C42" i="84"/>
  <c r="D42" i="84"/>
  <c r="B42" i="84"/>
  <c r="I42" i="84"/>
  <c r="J42" i="84"/>
  <c r="H42" i="84"/>
  <c r="G42" i="84"/>
  <c r="A106" i="85"/>
  <c r="A39" i="85"/>
  <c r="C86" i="84"/>
  <c r="B86" i="84"/>
  <c r="E86" i="84"/>
  <c r="G86" i="84"/>
  <c r="D86" i="84"/>
  <c r="F86" i="84"/>
  <c r="E79" i="84"/>
  <c r="B79" i="84"/>
  <c r="D79" i="84"/>
  <c r="F79" i="84"/>
  <c r="H79" i="84"/>
  <c r="G79" i="84"/>
  <c r="C79" i="84"/>
  <c r="D190" i="84"/>
  <c r="B190" i="84"/>
  <c r="C190" i="84"/>
  <c r="H190" i="84"/>
  <c r="G190" i="84"/>
  <c r="E190" i="84"/>
  <c r="F190" i="84"/>
  <c r="A47" i="85"/>
  <c r="E94" i="84"/>
  <c r="B94" i="84"/>
  <c r="D94" i="84"/>
  <c r="F94" i="84"/>
  <c r="G94" i="84"/>
  <c r="C94" i="84"/>
  <c r="A79" i="85"/>
  <c r="F148" i="84"/>
  <c r="B148" i="84"/>
  <c r="G148" i="84"/>
  <c r="E148" i="84"/>
  <c r="D148" i="84"/>
  <c r="C148" i="84"/>
  <c r="A28" i="85"/>
  <c r="B23" i="84"/>
  <c r="G23" i="84"/>
  <c r="D23" i="84"/>
  <c r="I23" i="84"/>
  <c r="H23" i="84"/>
  <c r="E23" i="84"/>
  <c r="F23" i="84"/>
  <c r="C23" i="84"/>
  <c r="J23" i="84"/>
  <c r="B161" i="84"/>
  <c r="C161" i="84"/>
  <c r="G161" i="84"/>
  <c r="F161" i="84"/>
  <c r="E161" i="84"/>
  <c r="D161" i="84"/>
  <c r="G109" i="84"/>
  <c r="F109" i="84"/>
  <c r="E109" i="84"/>
  <c r="B109" i="84"/>
  <c r="D109" i="84"/>
  <c r="C109" i="84"/>
  <c r="H195" i="84"/>
  <c r="D195" i="84"/>
  <c r="C195" i="84"/>
  <c r="B195" i="84"/>
  <c r="F195" i="84"/>
  <c r="G195" i="84"/>
  <c r="E195" i="84"/>
  <c r="A73" i="85"/>
  <c r="G142" i="84"/>
  <c r="D142" i="84"/>
  <c r="E142" i="84"/>
  <c r="C142" i="84"/>
  <c r="F142" i="84"/>
  <c r="B142" i="84"/>
  <c r="G189" i="84"/>
  <c r="F189" i="84"/>
  <c r="H189" i="84"/>
  <c r="E189" i="84"/>
  <c r="D189" i="84"/>
  <c r="C189" i="84"/>
  <c r="B189" i="84"/>
  <c r="D199" i="84"/>
  <c r="C199" i="84"/>
  <c r="E199" i="84"/>
  <c r="B199" i="84"/>
  <c r="G199" i="84"/>
  <c r="H199" i="84"/>
  <c r="F199" i="84"/>
  <c r="G80" i="84"/>
  <c r="F80" i="84"/>
  <c r="C80" i="84"/>
  <c r="E80" i="84"/>
  <c r="D80" i="84"/>
  <c r="B80" i="84"/>
  <c r="H80" i="84"/>
  <c r="B165" i="84"/>
  <c r="G165" i="84"/>
  <c r="F165" i="84"/>
  <c r="E165" i="84"/>
  <c r="D165" i="84"/>
  <c r="C165" i="84"/>
  <c r="A77" i="85"/>
  <c r="F146" i="84"/>
  <c r="E146" i="84"/>
  <c r="G146" i="84"/>
  <c r="D146" i="84"/>
  <c r="C146" i="84"/>
  <c r="B146" i="84"/>
  <c r="D151" i="84"/>
  <c r="B151" i="84"/>
  <c r="G151" i="84"/>
  <c r="F151" i="84"/>
  <c r="E151" i="84"/>
  <c r="C151" i="84"/>
  <c r="B156" i="84"/>
  <c r="G156" i="84"/>
  <c r="E156" i="84"/>
  <c r="D156" i="84"/>
  <c r="C156" i="84"/>
  <c r="F156" i="84"/>
  <c r="G57" i="84"/>
  <c r="F57" i="84"/>
  <c r="E57" i="84"/>
  <c r="D57" i="84"/>
  <c r="C57" i="84"/>
  <c r="H57" i="84"/>
  <c r="B57" i="84"/>
  <c r="F36" i="84"/>
  <c r="C36" i="84"/>
  <c r="D36" i="84"/>
  <c r="J36" i="84"/>
  <c r="I36" i="84"/>
  <c r="H36" i="84"/>
  <c r="G36" i="84"/>
  <c r="B36" i="84"/>
  <c r="E36" i="84"/>
  <c r="A24" i="85"/>
  <c r="I19" i="84"/>
  <c r="H19" i="84"/>
  <c r="G19" i="84"/>
  <c r="C19" i="84"/>
  <c r="F19" i="84"/>
  <c r="J19" i="84"/>
  <c r="D19" i="84"/>
  <c r="B19" i="84"/>
  <c r="E19" i="84"/>
  <c r="G113" i="84"/>
  <c r="F113" i="84"/>
  <c r="E113" i="84"/>
  <c r="D113" i="84"/>
  <c r="C113" i="84"/>
  <c r="B113" i="84"/>
  <c r="D105" i="84"/>
  <c r="C105" i="84"/>
  <c r="B105" i="84"/>
  <c r="E105" i="84"/>
  <c r="F105" i="84"/>
  <c r="G105" i="84"/>
  <c r="A78" i="85"/>
  <c r="B147" i="84"/>
  <c r="F147" i="84"/>
  <c r="E147" i="84"/>
  <c r="G147" i="84"/>
  <c r="D147" i="84"/>
  <c r="C147" i="84"/>
  <c r="F68" i="84"/>
  <c r="H68" i="84"/>
  <c r="D68" i="84"/>
  <c r="C68" i="84"/>
  <c r="E68" i="84"/>
  <c r="B68" i="84"/>
  <c r="G68" i="84"/>
  <c r="A92" i="85"/>
  <c r="E179" i="84"/>
  <c r="D179" i="84"/>
  <c r="B179" i="84"/>
  <c r="G179" i="84"/>
  <c r="F179" i="84"/>
  <c r="C179" i="84"/>
  <c r="H179" i="84"/>
  <c r="C41" i="84"/>
  <c r="B41" i="84"/>
  <c r="J41" i="84"/>
  <c r="G41" i="84"/>
  <c r="H41" i="84"/>
  <c r="F41" i="84"/>
  <c r="I41" i="84"/>
  <c r="E41" i="84"/>
  <c r="D41" i="84"/>
  <c r="F104" i="84"/>
  <c r="G104" i="84"/>
  <c r="D104" i="84"/>
  <c r="B104" i="84"/>
  <c r="E104" i="84"/>
  <c r="C104" i="84"/>
  <c r="D70" i="84"/>
  <c r="C70" i="84"/>
  <c r="B70" i="84"/>
  <c r="H70" i="84"/>
  <c r="G70" i="84"/>
  <c r="F70" i="84"/>
  <c r="E70" i="84"/>
  <c r="D114" i="84"/>
  <c r="G114" i="84"/>
  <c r="F114" i="84"/>
  <c r="B114" i="84"/>
  <c r="E114" i="84"/>
  <c r="C114" i="84"/>
  <c r="A110" i="85"/>
  <c r="A38" i="85"/>
  <c r="B85" i="84"/>
  <c r="G85" i="84"/>
  <c r="F85" i="84"/>
  <c r="D85" i="84"/>
  <c r="E85" i="84"/>
  <c r="C85" i="84"/>
  <c r="A91" i="85"/>
  <c r="E178" i="84"/>
  <c r="D178" i="84"/>
  <c r="B178" i="84"/>
  <c r="H178" i="84"/>
  <c r="G178" i="84"/>
  <c r="F178" i="84"/>
  <c r="C178" i="84"/>
  <c r="G100" i="84"/>
  <c r="C100" i="84"/>
  <c r="E100" i="84"/>
  <c r="B100" i="84"/>
  <c r="F100" i="84"/>
  <c r="D100" i="84"/>
  <c r="A109" i="85"/>
  <c r="F152" i="84"/>
  <c r="E152" i="84"/>
  <c r="C152" i="84"/>
  <c r="D152" i="84"/>
  <c r="G152" i="84"/>
  <c r="B152" i="84"/>
  <c r="A32" i="85"/>
  <c r="F27" i="84"/>
  <c r="D27" i="84"/>
  <c r="J27" i="84"/>
  <c r="C27" i="84"/>
  <c r="B27" i="84"/>
  <c r="I27" i="84"/>
  <c r="H27" i="84"/>
  <c r="G27" i="84"/>
  <c r="E27" i="84"/>
  <c r="A40" i="85"/>
  <c r="E87" i="84"/>
  <c r="F87" i="84"/>
  <c r="D87" i="84"/>
  <c r="C87" i="84"/>
  <c r="B87" i="84"/>
  <c r="G87" i="84"/>
  <c r="H61" i="84"/>
  <c r="C61" i="84"/>
  <c r="G61" i="84"/>
  <c r="F61" i="84"/>
  <c r="E61" i="84"/>
  <c r="D61" i="84"/>
  <c r="B61" i="84"/>
  <c r="D74" i="84"/>
  <c r="F74" i="84"/>
  <c r="C74" i="84"/>
  <c r="B74" i="84"/>
  <c r="H74" i="84"/>
  <c r="G74" i="84"/>
  <c r="E74" i="84"/>
  <c r="D198" i="84"/>
  <c r="B198" i="84"/>
  <c r="C198" i="84"/>
  <c r="G198" i="84"/>
  <c r="F198" i="84"/>
  <c r="E198" i="84"/>
  <c r="H198" i="84"/>
  <c r="C185" i="84"/>
  <c r="B185" i="84"/>
  <c r="G185" i="84"/>
  <c r="F185" i="84"/>
  <c r="E185" i="84"/>
  <c r="D185" i="84"/>
  <c r="H185" i="84"/>
  <c r="A90" i="85"/>
  <c r="F177" i="84"/>
  <c r="E177" i="84"/>
  <c r="D177" i="84"/>
  <c r="C177" i="84"/>
  <c r="B177" i="84"/>
  <c r="H177" i="84"/>
  <c r="G177" i="84"/>
  <c r="A87" i="85"/>
  <c r="E174" i="84"/>
  <c r="H174" i="84"/>
  <c r="D174" i="84"/>
  <c r="C174" i="84"/>
  <c r="B174" i="84"/>
  <c r="G174" i="84"/>
  <c r="F174" i="84"/>
  <c r="D167" i="84"/>
  <c r="C167" i="84"/>
  <c r="F167" i="84"/>
  <c r="G167" i="84"/>
  <c r="B167" i="84"/>
  <c r="E167" i="84"/>
  <c r="E102" i="84"/>
  <c r="F102" i="84"/>
  <c r="C102" i="84"/>
  <c r="B102" i="84"/>
  <c r="D102" i="84"/>
  <c r="G102" i="84"/>
  <c r="E52" i="84"/>
  <c r="D52" i="84"/>
  <c r="B52" i="84"/>
  <c r="H52" i="84"/>
  <c r="G52" i="84"/>
  <c r="F52" i="84"/>
  <c r="C52" i="84"/>
  <c r="C31" i="84"/>
  <c r="B31" i="84"/>
  <c r="H31" i="84"/>
  <c r="I31" i="84"/>
  <c r="D31" i="84"/>
  <c r="J31" i="84"/>
  <c r="F31" i="84"/>
  <c r="E31" i="84"/>
  <c r="G31" i="84"/>
  <c r="G73" i="84"/>
  <c r="F73" i="84"/>
  <c r="D73" i="84"/>
  <c r="C73" i="84"/>
  <c r="H73" i="84"/>
  <c r="B73" i="84"/>
  <c r="E73" i="84"/>
  <c r="A113" i="85"/>
  <c r="I30" i="84"/>
  <c r="G30" i="84"/>
  <c r="H30" i="84"/>
  <c r="F30" i="84"/>
  <c r="E30" i="84"/>
  <c r="D30" i="84"/>
  <c r="B30" i="84"/>
  <c r="J30" i="84"/>
  <c r="C30" i="84"/>
  <c r="C38" i="84"/>
  <c r="D38" i="84"/>
  <c r="J38" i="84"/>
  <c r="B38" i="84"/>
  <c r="H38" i="84"/>
  <c r="G38" i="84"/>
  <c r="E38" i="84"/>
  <c r="I38" i="84"/>
  <c r="F38" i="84"/>
  <c r="A95" i="85"/>
  <c r="G182" i="84"/>
  <c r="F182" i="84"/>
  <c r="H182" i="84"/>
  <c r="E182" i="84"/>
  <c r="B182" i="84"/>
  <c r="C182" i="84"/>
  <c r="D182" i="84"/>
  <c r="G44" i="84"/>
  <c r="E44" i="84"/>
  <c r="D44" i="84"/>
  <c r="I44" i="84"/>
  <c r="J44" i="84"/>
  <c r="H44" i="84"/>
  <c r="F44" i="84"/>
  <c r="C44" i="84"/>
  <c r="B44" i="84"/>
  <c r="A41" i="85"/>
  <c r="C88" i="84"/>
  <c r="B88" i="84"/>
  <c r="G88" i="84"/>
  <c r="F88" i="84"/>
  <c r="E88" i="84"/>
  <c r="D88" i="84"/>
  <c r="E108" i="84"/>
  <c r="C108" i="84"/>
  <c r="B108" i="84"/>
  <c r="G32" i="84"/>
  <c r="E32" i="84"/>
  <c r="H32" i="84"/>
  <c r="J32" i="84"/>
  <c r="F32" i="84"/>
  <c r="D32" i="84"/>
  <c r="I32" i="84"/>
  <c r="C32" i="84"/>
  <c r="B32" i="84"/>
  <c r="G160" i="84"/>
  <c r="E160" i="84"/>
  <c r="D160" i="84"/>
  <c r="F160" i="84"/>
  <c r="C160" i="84"/>
  <c r="B160" i="84"/>
  <c r="H77" i="84"/>
  <c r="F77" i="84"/>
  <c r="E77" i="84"/>
  <c r="B77" i="84"/>
  <c r="D77" i="84"/>
  <c r="C77" i="84"/>
  <c r="G77" i="84"/>
  <c r="E58" i="84"/>
  <c r="D58" i="84"/>
  <c r="C58" i="84"/>
  <c r="F58" i="84"/>
  <c r="B58" i="84"/>
  <c r="H58" i="84"/>
  <c r="G58" i="84"/>
  <c r="A23" i="85"/>
  <c r="E18" i="84"/>
  <c r="D18" i="84"/>
  <c r="B18" i="84"/>
  <c r="J18" i="84"/>
  <c r="H18" i="84"/>
  <c r="I18" i="84"/>
  <c r="G18" i="84"/>
  <c r="F18" i="84"/>
  <c r="C18" i="84"/>
  <c r="A74" i="85"/>
  <c r="F143" i="84"/>
  <c r="D143" i="84"/>
  <c r="C143" i="84"/>
  <c r="E143" i="84"/>
  <c r="G143" i="84"/>
  <c r="B143" i="84"/>
  <c r="A31" i="85"/>
  <c r="J26" i="84"/>
  <c r="C26" i="84"/>
  <c r="H26" i="84"/>
  <c r="I26" i="84"/>
  <c r="F26" i="84"/>
  <c r="E26" i="84"/>
  <c r="D26" i="84"/>
  <c r="B26" i="84"/>
  <c r="G26" i="84"/>
  <c r="D112" i="84"/>
  <c r="E112" i="84"/>
  <c r="G112" i="84"/>
  <c r="C112" i="84"/>
  <c r="B112" i="84"/>
  <c r="F112" i="84"/>
  <c r="A89" i="85"/>
  <c r="D176" i="84"/>
  <c r="B176" i="84"/>
  <c r="G176" i="84"/>
  <c r="C176" i="84"/>
  <c r="F176" i="84"/>
  <c r="H176" i="84"/>
  <c r="E176" i="84"/>
  <c r="E62" i="84"/>
  <c r="D62" i="84"/>
  <c r="B62" i="84"/>
  <c r="G62" i="84"/>
  <c r="F62" i="84"/>
  <c r="C62" i="84"/>
  <c r="H62" i="84"/>
  <c r="A30" i="85"/>
  <c r="D25" i="84"/>
  <c r="C25" i="84"/>
  <c r="J25" i="84"/>
  <c r="E25" i="84"/>
  <c r="F25" i="84"/>
  <c r="I25" i="84"/>
  <c r="H25" i="84"/>
  <c r="B25" i="84"/>
  <c r="G25" i="84"/>
  <c r="A86" i="85"/>
  <c r="C173" i="84"/>
  <c r="B173" i="84"/>
  <c r="F173" i="84"/>
  <c r="H173" i="84"/>
  <c r="G173" i="84"/>
  <c r="D173" i="84"/>
  <c r="E173" i="84"/>
  <c r="A107" i="85"/>
  <c r="F194" i="84"/>
  <c r="E194" i="84"/>
  <c r="C194" i="84"/>
  <c r="B194" i="84"/>
  <c r="H194" i="84"/>
  <c r="G194" i="84"/>
  <c r="D194" i="84"/>
  <c r="A29" i="85"/>
  <c r="C24" i="84"/>
  <c r="H24" i="84"/>
  <c r="J24" i="84"/>
  <c r="E24" i="84"/>
  <c r="B24" i="84"/>
  <c r="G24" i="84"/>
  <c r="F24" i="84"/>
  <c r="I24" i="84"/>
  <c r="D24" i="84"/>
  <c r="G56" i="84"/>
  <c r="F56" i="84"/>
  <c r="D56" i="84"/>
  <c r="C56" i="84"/>
  <c r="H56" i="84"/>
  <c r="E56" i="84"/>
  <c r="B56" i="84"/>
  <c r="A48" i="85"/>
  <c r="E95" i="84"/>
  <c r="D95" i="84"/>
  <c r="B95" i="84"/>
  <c r="F95" i="84"/>
  <c r="C95" i="84"/>
  <c r="G95" i="84"/>
  <c r="A80" i="85"/>
  <c r="G149" i="84"/>
  <c r="F149" i="84"/>
  <c r="C149" i="84"/>
  <c r="B149" i="84"/>
  <c r="E149" i="84"/>
  <c r="D149" i="84"/>
  <c r="E162" i="84"/>
  <c r="D162" i="84"/>
  <c r="C162" i="84"/>
  <c r="B162" i="84"/>
  <c r="G162" i="84"/>
  <c r="F162" i="84"/>
  <c r="B97" i="84"/>
  <c r="D97" i="84"/>
  <c r="F97" i="84"/>
  <c r="G97" i="84"/>
  <c r="E97" i="84"/>
  <c r="C97" i="84"/>
  <c r="D75" i="84"/>
  <c r="C75" i="84"/>
  <c r="E75" i="84"/>
  <c r="H75" i="84"/>
  <c r="B75" i="84"/>
  <c r="G75" i="84"/>
  <c r="F75" i="84"/>
  <c r="C71" i="84"/>
  <c r="B71" i="84"/>
  <c r="G71" i="84"/>
  <c r="F71" i="84"/>
  <c r="H71" i="84"/>
  <c r="E71" i="84"/>
  <c r="D71" i="84"/>
  <c r="A71" i="85"/>
  <c r="G140" i="84"/>
  <c r="F140" i="84"/>
  <c r="D140" i="84"/>
  <c r="E140" i="84"/>
  <c r="B140" i="84"/>
  <c r="C140" i="84"/>
  <c r="C99" i="84"/>
  <c r="B99" i="84"/>
  <c r="F99" i="84"/>
  <c r="E99" i="84"/>
  <c r="D99" i="84"/>
  <c r="G99" i="84"/>
  <c r="C65" i="84"/>
  <c r="E65" i="84"/>
  <c r="G65" i="84"/>
  <c r="F65" i="84"/>
  <c r="D65" i="84"/>
  <c r="H65" i="84"/>
  <c r="B65" i="84"/>
  <c r="F39" i="84"/>
  <c r="E39" i="84"/>
  <c r="D39" i="84"/>
  <c r="I39" i="84"/>
  <c r="H39" i="84"/>
  <c r="J39" i="84"/>
  <c r="C39" i="84"/>
  <c r="B39" i="84"/>
  <c r="A97" i="85"/>
  <c r="C184" i="84"/>
  <c r="G184" i="84"/>
  <c r="F184" i="84"/>
  <c r="E184" i="84"/>
  <c r="D184" i="84"/>
  <c r="B184" i="84"/>
  <c r="H184" i="84"/>
  <c r="B186" i="84"/>
  <c r="H186" i="84"/>
  <c r="G186" i="84"/>
  <c r="F186" i="84"/>
  <c r="E186" i="84"/>
  <c r="D186" i="84"/>
  <c r="C186" i="84"/>
  <c r="G191" i="84"/>
  <c r="F191" i="84"/>
  <c r="E191" i="84"/>
  <c r="D191" i="84"/>
  <c r="C191" i="84"/>
  <c r="B191" i="84"/>
  <c r="H191" i="84"/>
  <c r="C201" i="84"/>
  <c r="B201" i="84"/>
  <c r="G201" i="84"/>
  <c r="F201" i="84"/>
  <c r="H201" i="84"/>
  <c r="E201" i="84"/>
  <c r="D201" i="84"/>
  <c r="G193" i="84"/>
  <c r="F193" i="84"/>
  <c r="H193" i="84"/>
  <c r="E193" i="84"/>
  <c r="D193" i="84"/>
  <c r="C193" i="84"/>
  <c r="B193" i="84"/>
  <c r="G67" i="84"/>
  <c r="H67" i="84"/>
  <c r="B67" i="84"/>
  <c r="D67" i="84"/>
  <c r="F67" i="84"/>
  <c r="E67" i="84"/>
  <c r="C67" i="84"/>
  <c r="A108" i="85"/>
  <c r="A81" i="85"/>
  <c r="F150" i="84"/>
  <c r="B150" i="84"/>
  <c r="E150" i="84"/>
  <c r="C150" i="84"/>
  <c r="G150" i="84"/>
  <c r="D150" i="84"/>
  <c r="H33" i="84"/>
  <c r="G33" i="84"/>
  <c r="F33" i="84"/>
  <c r="E33" i="84"/>
  <c r="B33" i="84"/>
  <c r="D33" i="84"/>
  <c r="J33" i="84"/>
  <c r="I33" i="84"/>
  <c r="C33" i="84"/>
  <c r="A46" i="85"/>
  <c r="B93" i="84"/>
  <c r="G93" i="84"/>
  <c r="D93" i="84"/>
  <c r="E93" i="84"/>
  <c r="C93" i="84"/>
  <c r="F93" i="84"/>
  <c r="B111" i="84"/>
  <c r="D111" i="84"/>
  <c r="C111" i="84"/>
  <c r="G111" i="84"/>
  <c r="E111" i="84"/>
  <c r="F111" i="84"/>
  <c r="A43" i="85"/>
  <c r="G90" i="84"/>
  <c r="F90" i="84"/>
  <c r="D90" i="84"/>
  <c r="C90" i="84"/>
  <c r="E90" i="84"/>
  <c r="B90" i="84"/>
  <c r="A75" i="85"/>
  <c r="D144" i="84"/>
  <c r="C144" i="84"/>
  <c r="F144" i="84"/>
  <c r="G144" i="84"/>
  <c r="E144" i="84"/>
  <c r="B144" i="84"/>
  <c r="A112" i="85"/>
  <c r="E53" i="84"/>
  <c r="D53" i="84"/>
  <c r="H53" i="84"/>
  <c r="B53" i="84"/>
  <c r="F53" i="84"/>
  <c r="G53" i="84"/>
  <c r="C53" i="84"/>
  <c r="G154" i="84"/>
  <c r="B154" i="84"/>
  <c r="D154" i="84"/>
  <c r="F154" i="84"/>
  <c r="E154" i="84"/>
  <c r="C154" i="84"/>
  <c r="G29" i="84"/>
  <c r="E29" i="84"/>
  <c r="F29" i="84"/>
  <c r="C29" i="84"/>
  <c r="D29" i="84"/>
  <c r="J29" i="84"/>
  <c r="I29" i="84"/>
  <c r="B29" i="84"/>
  <c r="H29" i="84"/>
  <c r="F163" i="84"/>
  <c r="D163" i="84"/>
  <c r="B163" i="84"/>
  <c r="G163" i="84"/>
  <c r="C163" i="84"/>
  <c r="E163" i="84"/>
  <c r="F159" i="84"/>
  <c r="E159" i="84"/>
  <c r="D159" i="84"/>
  <c r="B159" i="84"/>
  <c r="G159" i="84"/>
  <c r="C159" i="84"/>
  <c r="H34" i="84"/>
  <c r="J34" i="84"/>
  <c r="F34" i="84"/>
  <c r="D34" i="84"/>
  <c r="C34" i="84"/>
  <c r="I34" i="84"/>
  <c r="G34" i="84"/>
  <c r="B34" i="84"/>
  <c r="E34" i="84"/>
  <c r="B76" i="84"/>
  <c r="G76" i="84"/>
  <c r="F76" i="84"/>
  <c r="H76" i="84"/>
  <c r="D76" i="84"/>
  <c r="E76" i="84"/>
  <c r="C76" i="84"/>
  <c r="H200" i="84"/>
  <c r="G200" i="84"/>
  <c r="E200" i="84"/>
  <c r="D200" i="84"/>
  <c r="F200" i="84"/>
  <c r="B200" i="84"/>
  <c r="C200" i="84"/>
  <c r="G187" i="84"/>
  <c r="F187" i="84"/>
  <c r="E187" i="84"/>
  <c r="D187" i="84"/>
  <c r="C187" i="84"/>
  <c r="B187" i="84"/>
  <c r="H187" i="84"/>
  <c r="A25" i="85"/>
  <c r="F20" i="84"/>
  <c r="G20" i="84"/>
  <c r="E20" i="84"/>
  <c r="B20" i="84"/>
  <c r="H20" i="84"/>
  <c r="I20" i="84"/>
  <c r="D20" i="84"/>
  <c r="C20" i="84"/>
  <c r="J20" i="84"/>
  <c r="E153" i="84"/>
  <c r="D153" i="84"/>
  <c r="C153" i="84"/>
  <c r="G153" i="84"/>
  <c r="B153" i="84"/>
  <c r="F153" i="84"/>
  <c r="B196" i="84"/>
  <c r="C196" i="84"/>
  <c r="H196" i="84"/>
  <c r="G196" i="84"/>
  <c r="F196" i="84"/>
  <c r="E196" i="84"/>
  <c r="D196" i="84"/>
  <c r="C107" i="84"/>
  <c r="A49" i="85"/>
  <c r="F96" i="84"/>
  <c r="E96" i="84"/>
  <c r="D96" i="84"/>
  <c r="C96" i="84"/>
  <c r="G96" i="84"/>
  <c r="B96" i="84"/>
  <c r="D98" i="84"/>
  <c r="C98" i="84"/>
  <c r="B98" i="84"/>
  <c r="G98" i="84"/>
  <c r="E98" i="84"/>
  <c r="F98" i="84"/>
  <c r="G54" i="84"/>
  <c r="F54" i="84"/>
  <c r="E54" i="84"/>
  <c r="D54" i="84"/>
  <c r="C54" i="84"/>
  <c r="H54" i="84"/>
  <c r="B54" i="84"/>
  <c r="B101" i="84"/>
  <c r="D101" i="84"/>
  <c r="E101" i="84"/>
  <c r="G101" i="84"/>
  <c r="F101" i="84"/>
  <c r="C101" i="84"/>
  <c r="E43" i="84"/>
  <c r="D43" i="84"/>
  <c r="G43" i="84"/>
  <c r="F43" i="84"/>
  <c r="J43" i="84"/>
  <c r="C43" i="84"/>
  <c r="I43" i="84"/>
  <c r="H43" i="84"/>
  <c r="B43" i="84"/>
  <c r="G106" i="84"/>
  <c r="C106" i="84"/>
  <c r="D106" i="84"/>
  <c r="B106" i="84"/>
  <c r="G168" i="84"/>
  <c r="F168" i="84"/>
  <c r="E168" i="84"/>
  <c r="C168" i="84"/>
  <c r="B168" i="84"/>
  <c r="D168" i="84"/>
  <c r="E103" i="84"/>
  <c r="G103" i="84"/>
  <c r="F103" i="84"/>
  <c r="C103" i="84"/>
  <c r="D103" i="84"/>
  <c r="B103" i="84"/>
  <c r="A96" i="85"/>
  <c r="E183" i="84"/>
  <c r="D183" i="84"/>
  <c r="C183" i="84"/>
  <c r="H183" i="84"/>
  <c r="G183" i="84"/>
  <c r="F183" i="84"/>
  <c r="B183" i="84"/>
  <c r="A72" i="85"/>
  <c r="D141" i="84"/>
  <c r="B141" i="84"/>
  <c r="G141" i="84"/>
  <c r="F141" i="84"/>
  <c r="E141" i="84"/>
  <c r="C141" i="84"/>
  <c r="G66" i="84"/>
  <c r="F66" i="84"/>
  <c r="D66" i="84"/>
  <c r="H66" i="84"/>
  <c r="E66" i="84"/>
  <c r="C66" i="84"/>
  <c r="B66" i="84"/>
  <c r="G155" i="84"/>
  <c r="F155" i="84"/>
  <c r="C155" i="84"/>
  <c r="D155" i="84"/>
  <c r="E155" i="84"/>
  <c r="B155" i="84"/>
  <c r="G63" i="84"/>
  <c r="F63" i="84"/>
  <c r="E63" i="84"/>
  <c r="B63" i="84"/>
  <c r="H63" i="84"/>
  <c r="D63" i="84"/>
  <c r="C63" i="84"/>
  <c r="E164" i="84"/>
  <c r="C164" i="84"/>
  <c r="D164" i="84"/>
  <c r="G164" i="84"/>
  <c r="B164" i="84"/>
  <c r="F164" i="84"/>
  <c r="A105" i="85"/>
  <c r="A76" i="85"/>
  <c r="E145" i="84"/>
  <c r="C145" i="84"/>
  <c r="B145" i="84"/>
  <c r="F145" i="84"/>
  <c r="G145" i="84"/>
  <c r="D145" i="84"/>
  <c r="H40" i="84"/>
  <c r="G40" i="84"/>
  <c r="E40" i="84"/>
  <c r="B40" i="84"/>
  <c r="I40" i="84"/>
  <c r="F40" i="84"/>
  <c r="D40" i="84"/>
  <c r="C40" i="84"/>
  <c r="J40" i="84"/>
  <c r="A33" i="85"/>
  <c r="H28" i="84"/>
  <c r="I28" i="84"/>
  <c r="F28" i="84"/>
  <c r="G28" i="84"/>
  <c r="D28" i="84"/>
  <c r="C28" i="84"/>
  <c r="B28" i="84"/>
  <c r="E28" i="84"/>
  <c r="J28" i="84"/>
  <c r="A61" i="82"/>
  <c r="E51" i="82"/>
  <c r="I33" i="76"/>
  <c r="I17" i="76"/>
  <c r="W26" i="36"/>
  <c r="Q27" i="73" s="1"/>
  <c r="H34" i="82"/>
  <c r="F43" i="82"/>
  <c r="J18" i="82"/>
  <c r="B43" i="82"/>
  <c r="E43" i="82"/>
  <c r="C22" i="82"/>
  <c r="L24" i="82"/>
  <c r="L18" i="82"/>
  <c r="J43" i="82"/>
  <c r="I43" i="82"/>
  <c r="J24" i="82"/>
  <c r="L21" i="82"/>
  <c r="H43" i="82"/>
  <c r="P32" i="82"/>
  <c r="D32" i="82"/>
  <c r="H32" i="82"/>
  <c r="C43" i="82"/>
  <c r="F19" i="82"/>
  <c r="J21" i="82"/>
  <c r="D43" i="82"/>
  <c r="G43" i="82"/>
  <c r="AA2" i="82"/>
  <c r="B41" i="82" s="1"/>
  <c r="L32" i="82"/>
  <c r="C24" i="82"/>
  <c r="H14" i="82"/>
  <c r="M9" i="82"/>
  <c r="E9" i="82"/>
  <c r="L18" i="7"/>
  <c r="D38" i="76"/>
  <c r="I38" i="76" s="1"/>
  <c r="L27" i="73"/>
  <c r="E893" i="36"/>
  <c r="M8" i="79"/>
  <c r="I1757" i="69"/>
  <c r="S46" i="77"/>
  <c r="A46" i="77"/>
  <c r="D46" i="77"/>
  <c r="P46" i="77"/>
  <c r="L10" i="77"/>
  <c r="G46" i="77"/>
  <c r="AB7" i="77"/>
  <c r="J46" i="77"/>
  <c r="M46" i="77"/>
  <c r="D897" i="80"/>
  <c r="E898" i="80"/>
  <c r="F901" i="80"/>
  <c r="F897" i="80"/>
  <c r="G898" i="80"/>
  <c r="E901" i="80"/>
  <c r="F899" i="80"/>
  <c r="H901" i="80"/>
  <c r="G899" i="80"/>
  <c r="D900" i="80"/>
  <c r="H897" i="80"/>
  <c r="E900" i="80"/>
  <c r="H898" i="80"/>
  <c r="D896" i="80"/>
  <c r="E897" i="80"/>
  <c r="E896" i="80"/>
  <c r="G896" i="80"/>
  <c r="G897" i="80"/>
  <c r="H900" i="80"/>
  <c r="F898" i="80"/>
  <c r="D898" i="80"/>
  <c r="F896" i="80"/>
  <c r="E899" i="80"/>
  <c r="F900" i="80"/>
  <c r="F894" i="36"/>
  <c r="J1758" i="69"/>
  <c r="S26" i="36"/>
  <c r="R27" i="73" s="1"/>
  <c r="M9" i="7"/>
  <c r="V44" i="77" s="1"/>
  <c r="G894" i="36"/>
  <c r="G900" i="80"/>
  <c r="S26" i="80"/>
  <c r="K1759" i="69"/>
  <c r="G901" i="80"/>
  <c r="D893" i="36"/>
  <c r="D899" i="80"/>
  <c r="L1681" i="69"/>
  <c r="H896" i="80"/>
  <c r="E9" i="7"/>
  <c r="P44" i="77" s="1"/>
  <c r="E37" i="76"/>
  <c r="H24" i="4"/>
  <c r="G46" i="29"/>
  <c r="T24" i="36"/>
  <c r="S25" i="73" s="1"/>
  <c r="M25" i="73"/>
  <c r="F25" i="73" s="1"/>
  <c r="E8" i="79"/>
  <c r="V24" i="36"/>
  <c r="T25" i="36"/>
  <c r="S26" i="73" s="1"/>
  <c r="H4" i="4"/>
  <c r="H34" i="7"/>
  <c r="I6" i="76"/>
  <c r="M26" i="73"/>
  <c r="B11" i="2"/>
  <c r="D11" i="2" s="1"/>
  <c r="H14" i="7"/>
  <c r="N106" i="7"/>
  <c r="N107" i="7"/>
  <c r="P50" i="29"/>
  <c r="B43" i="7"/>
  <c r="H890" i="36"/>
  <c r="I16" i="76"/>
  <c r="E116" i="7"/>
  <c r="E117" i="7"/>
  <c r="C118" i="7"/>
  <c r="K102" i="7"/>
  <c r="A119" i="7"/>
  <c r="A105" i="7"/>
  <c r="A106" i="7"/>
  <c r="C97" i="7"/>
  <c r="H118" i="7"/>
  <c r="H1757" i="69"/>
  <c r="G895" i="36"/>
  <c r="P52" i="29"/>
  <c r="P22" i="4"/>
  <c r="K14" i="4"/>
  <c r="H79" i="60"/>
  <c r="K12" i="4"/>
  <c r="F9" i="4"/>
  <c r="C14" i="4"/>
  <c r="H33" i="4"/>
  <c r="K10" i="4"/>
  <c r="K17" i="29"/>
  <c r="K8" i="4"/>
  <c r="G33" i="4"/>
  <c r="K33" i="4"/>
  <c r="C12" i="4"/>
  <c r="AA2" i="4"/>
  <c r="B16" i="4" s="1"/>
  <c r="L22" i="4"/>
  <c r="D33" i="4"/>
  <c r="K1758" i="69"/>
  <c r="J33" i="4"/>
  <c r="K16" i="4"/>
  <c r="I33" i="4"/>
  <c r="M8" i="4"/>
  <c r="E33" i="4"/>
  <c r="F33" i="4"/>
  <c r="C10" i="4"/>
  <c r="F13" i="4"/>
  <c r="D43" i="7"/>
  <c r="L7" i="34"/>
  <c r="C51" i="6" s="1"/>
  <c r="H50" i="6"/>
  <c r="H36" i="76"/>
  <c r="K36" i="76" s="1"/>
  <c r="N120" i="7"/>
  <c r="C107" i="7"/>
  <c r="E111" i="7"/>
  <c r="C99" i="7"/>
  <c r="N103" i="7"/>
  <c r="H114" i="7"/>
  <c r="N121" i="7"/>
  <c r="K109" i="7"/>
  <c r="H97" i="7"/>
  <c r="K110" i="7"/>
  <c r="E98" i="7"/>
  <c r="L21" i="7"/>
  <c r="L24" i="7"/>
  <c r="C110" i="7"/>
  <c r="E114" i="7"/>
  <c r="C102" i="7"/>
  <c r="C101" i="7"/>
  <c r="N111" i="7"/>
  <c r="K112" i="7"/>
  <c r="K108" i="7"/>
  <c r="C111" i="7"/>
  <c r="A99" i="7"/>
  <c r="P30" i="29"/>
  <c r="L15" i="29"/>
  <c r="I24" i="76"/>
  <c r="H25" i="76"/>
  <c r="K25" i="76" s="1"/>
  <c r="F15" i="78"/>
  <c r="A17" i="78" s="1"/>
  <c r="E119" i="7"/>
  <c r="K105" i="7"/>
  <c r="H4" i="73"/>
  <c r="P15" i="4" s="1"/>
  <c r="N109" i="7"/>
  <c r="K97" i="7"/>
  <c r="C105" i="7"/>
  <c r="N115" i="7"/>
  <c r="E120" i="7"/>
  <c r="C108" i="7"/>
  <c r="E121" i="7"/>
  <c r="A109" i="7"/>
  <c r="J43" i="7"/>
  <c r="C43" i="7"/>
  <c r="A98" i="7"/>
  <c r="H100" i="7"/>
  <c r="N112" i="7"/>
  <c r="K100" i="7"/>
  <c r="H102" i="7"/>
  <c r="C113" i="7"/>
  <c r="C112" i="7"/>
  <c r="A100" i="7"/>
  <c r="AA2" i="7"/>
  <c r="B41" i="7" s="1"/>
  <c r="L7" i="77"/>
  <c r="H17" i="76"/>
  <c r="K17" i="76" s="1"/>
  <c r="N117" i="7"/>
  <c r="C104" i="7"/>
  <c r="H120" i="7"/>
  <c r="E108" i="7"/>
  <c r="H106" i="7"/>
  <c r="C117" i="7"/>
  <c r="N118" i="7"/>
  <c r="K106" i="7"/>
  <c r="K119" i="7"/>
  <c r="H107" i="7"/>
  <c r="B9" i="2"/>
  <c r="D9" i="2" s="1"/>
  <c r="C22" i="7"/>
  <c r="N114" i="7"/>
  <c r="A101" i="7"/>
  <c r="H117" i="7"/>
  <c r="E105" i="7"/>
  <c r="H98" i="7"/>
  <c r="C109" i="7"/>
  <c r="N119" i="7"/>
  <c r="K115" i="7"/>
  <c r="H103" i="7"/>
  <c r="K116" i="7"/>
  <c r="H104" i="7"/>
  <c r="P32" i="7"/>
  <c r="J18" i="7"/>
  <c r="E113" i="7"/>
  <c r="H99" i="7"/>
  <c r="A116" i="7"/>
  <c r="K103" i="7"/>
  <c r="N99" i="7"/>
  <c r="H110" i="7"/>
  <c r="C121" i="7"/>
  <c r="C114" i="7"/>
  <c r="A102" i="7"/>
  <c r="C115" i="7"/>
  <c r="A103" i="7"/>
  <c r="F19" i="7"/>
  <c r="J24" i="7"/>
  <c r="B14" i="2"/>
  <c r="D14" i="2" s="1"/>
  <c r="K113" i="7"/>
  <c r="H101" i="7"/>
  <c r="H32" i="7"/>
  <c r="E43" i="7"/>
  <c r="R22" i="73"/>
  <c r="P43" i="29"/>
  <c r="R14" i="73"/>
  <c r="P35" i="29"/>
  <c r="H13" i="73"/>
  <c r="H17" i="73"/>
  <c r="K15" i="29"/>
  <c r="J15" i="29"/>
  <c r="J50" i="6"/>
  <c r="F50" i="6"/>
  <c r="G7" i="77"/>
  <c r="D50" i="6"/>
  <c r="H28" i="76"/>
  <c r="K28" i="76" s="1"/>
  <c r="H81" i="60"/>
  <c r="P51" i="29"/>
  <c r="L14" i="29"/>
  <c r="L1759" i="69"/>
  <c r="H895" i="36"/>
  <c r="D22" i="4"/>
  <c r="M10" i="4"/>
  <c r="C33" i="4"/>
  <c r="G17" i="73"/>
  <c r="F60" i="77"/>
  <c r="A62" i="77" s="1"/>
  <c r="E892" i="36"/>
  <c r="I1683" i="69"/>
  <c r="R23" i="73"/>
  <c r="P44" i="29"/>
  <c r="I1682" i="69"/>
  <c r="E891" i="36"/>
  <c r="I25" i="76"/>
  <c r="F17" i="73"/>
  <c r="R18" i="73"/>
  <c r="P39" i="29"/>
  <c r="R21" i="73"/>
  <c r="P42" i="29"/>
  <c r="R28" i="73"/>
  <c r="P49" i="29"/>
  <c r="H43" i="7"/>
  <c r="F43" i="7"/>
  <c r="C24" i="7"/>
  <c r="C20" i="7"/>
  <c r="J21" i="7"/>
  <c r="H121" i="7"/>
  <c r="E118" i="7"/>
  <c r="E115" i="7"/>
  <c r="E112" i="7"/>
  <c r="E109" i="7"/>
  <c r="C106" i="7"/>
  <c r="C103" i="7"/>
  <c r="C100" i="7"/>
  <c r="A97" i="7"/>
  <c r="AD43" i="7"/>
  <c r="A78" i="7" s="1"/>
  <c r="K120" i="7"/>
  <c r="K117" i="7"/>
  <c r="K114" i="7"/>
  <c r="H111" i="7"/>
  <c r="H108" i="7"/>
  <c r="H105" i="7"/>
  <c r="E102" i="7"/>
  <c r="E99" i="7"/>
  <c r="AB43" i="7"/>
  <c r="A71" i="7" s="1"/>
  <c r="A118" i="7"/>
  <c r="N113" i="7"/>
  <c r="A110" i="7"/>
  <c r="N105" i="7"/>
  <c r="K101" i="7"/>
  <c r="N97" i="7"/>
  <c r="AA47" i="7"/>
  <c r="A121" i="7"/>
  <c r="N116" i="7"/>
  <c r="A113" i="7"/>
  <c r="N108" i="7"/>
  <c r="K104" i="7"/>
  <c r="N100" i="7"/>
  <c r="C120" i="7"/>
  <c r="H116" i="7"/>
  <c r="H112" i="7"/>
  <c r="A108" i="7"/>
  <c r="E104" i="7"/>
  <c r="E100" i="7"/>
  <c r="AG43" i="7"/>
  <c r="I85" i="7" s="1"/>
  <c r="A37" i="77" s="1"/>
  <c r="A120" i="7"/>
  <c r="C116" i="7"/>
  <c r="A112" i="7"/>
  <c r="K107" i="7"/>
  <c r="A104" i="7"/>
  <c r="K99" i="7"/>
  <c r="M51" i="7"/>
  <c r="AF43" i="7"/>
  <c r="A85" i="7" s="1"/>
  <c r="C119" i="7"/>
  <c r="A115" i="7"/>
  <c r="N110" i="7"/>
  <c r="A107" i="7"/>
  <c r="N102" i="7"/>
  <c r="K98" i="7"/>
  <c r="AC43" i="7"/>
  <c r="I71" i="7" s="1"/>
  <c r="A111" i="7"/>
  <c r="E101" i="7"/>
  <c r="H113" i="7"/>
  <c r="K121" i="7"/>
  <c r="E110" i="7"/>
  <c r="N98" i="7"/>
  <c r="H119" i="7"/>
  <c r="H109" i="7"/>
  <c r="C98" i="7"/>
  <c r="K118" i="7"/>
  <c r="E107" i="7"/>
  <c r="E97" i="7"/>
  <c r="E106" i="7"/>
  <c r="A51" i="7"/>
  <c r="A114" i="7"/>
  <c r="E103" i="7"/>
  <c r="AE43" i="7"/>
  <c r="I78" i="7" s="1"/>
  <c r="A117" i="7"/>
  <c r="H115" i="7"/>
  <c r="N101" i="7"/>
  <c r="N104" i="7"/>
  <c r="E50" i="6"/>
  <c r="A50" i="6"/>
  <c r="L1682" i="69"/>
  <c r="H891" i="36"/>
  <c r="J1759" i="69"/>
  <c r="F895" i="36"/>
  <c r="H27" i="76"/>
  <c r="K27" i="76" s="1"/>
  <c r="G9" i="73"/>
  <c r="F4" i="73"/>
  <c r="P8" i="4" s="1"/>
  <c r="R6" i="73"/>
  <c r="P27" i="29"/>
  <c r="H33" i="76"/>
  <c r="K33" i="76" s="1"/>
  <c r="U9" i="73"/>
  <c r="D9" i="73" s="1"/>
  <c r="H1683" i="69"/>
  <c r="D892" i="36"/>
  <c r="U17" i="73"/>
  <c r="D17" i="73" s="1"/>
  <c r="H78" i="59"/>
  <c r="I36" i="76"/>
  <c r="I28" i="76"/>
  <c r="I44" i="76"/>
  <c r="H44" i="76"/>
  <c r="K44" i="76" s="1"/>
  <c r="R20" i="73"/>
  <c r="P41" i="29"/>
  <c r="I31" i="76"/>
  <c r="H31" i="76"/>
  <c r="K31" i="76" s="1"/>
  <c r="H12" i="73"/>
  <c r="U12" i="73"/>
  <c r="E12" i="73" s="1"/>
  <c r="G12" i="73"/>
  <c r="F12" i="73"/>
  <c r="H1682" i="69"/>
  <c r="D891" i="36"/>
  <c r="H77" i="59"/>
  <c r="I21" i="76"/>
  <c r="H21" i="76"/>
  <c r="K21" i="76" s="1"/>
  <c r="F33" i="73"/>
  <c r="H33" i="73"/>
  <c r="U33" i="73"/>
  <c r="D33" i="73" s="1"/>
  <c r="G33" i="73"/>
  <c r="R7" i="73"/>
  <c r="P28" i="29"/>
  <c r="K1681" i="69"/>
  <c r="G890" i="36"/>
  <c r="J1681" i="69"/>
  <c r="F890" i="36"/>
  <c r="H24" i="76"/>
  <c r="K24" i="76" s="1"/>
  <c r="I27" i="76"/>
  <c r="U13" i="73"/>
  <c r="I34" i="76"/>
  <c r="H34" i="76"/>
  <c r="K34" i="76" s="1"/>
  <c r="H1681" i="69"/>
  <c r="H76" i="59"/>
  <c r="D890" i="36"/>
  <c r="H19" i="76"/>
  <c r="K19" i="76" s="1"/>
  <c r="I19" i="76"/>
  <c r="F77" i="6"/>
  <c r="R24" i="73"/>
  <c r="P45" i="29"/>
  <c r="U11" i="73"/>
  <c r="D11" i="73" s="1"/>
  <c r="G11" i="73"/>
  <c r="F11" i="73"/>
  <c r="H11" i="73"/>
  <c r="R4" i="73"/>
  <c r="P25" i="29"/>
  <c r="H10" i="73"/>
  <c r="U10" i="73"/>
  <c r="E10" i="73" s="1"/>
  <c r="G10" i="73"/>
  <c r="F10" i="73"/>
  <c r="U22" i="73"/>
  <c r="D22" i="73" s="1"/>
  <c r="H22" i="73"/>
  <c r="F22" i="73"/>
  <c r="G22" i="73"/>
  <c r="I23" i="76"/>
  <c r="H23" i="76"/>
  <c r="K23" i="76" s="1"/>
  <c r="H18" i="73"/>
  <c r="G18" i="73"/>
  <c r="F18" i="73"/>
  <c r="U18" i="73"/>
  <c r="D18" i="73" s="1"/>
  <c r="I20" i="76"/>
  <c r="H20" i="76"/>
  <c r="K20" i="76" s="1"/>
  <c r="F9" i="73"/>
  <c r="F893" i="36"/>
  <c r="J1757" i="69"/>
  <c r="R25" i="73"/>
  <c r="P46" i="29"/>
  <c r="I1759" i="69"/>
  <c r="E895" i="36"/>
  <c r="R16" i="73"/>
  <c r="P37" i="29"/>
  <c r="R8" i="73"/>
  <c r="P29" i="29"/>
  <c r="I22" i="76"/>
  <c r="H22" i="76"/>
  <c r="K22" i="76" s="1"/>
  <c r="I1681" i="69"/>
  <c r="E890" i="36"/>
  <c r="I15" i="76"/>
  <c r="H15" i="76"/>
  <c r="K15" i="76" s="1"/>
  <c r="B16" i="2"/>
  <c r="D16" i="2" s="1"/>
  <c r="F8" i="73"/>
  <c r="U8" i="73"/>
  <c r="D8" i="73" s="1"/>
  <c r="H8" i="73"/>
  <c r="G8" i="73"/>
  <c r="I40" i="76"/>
  <c r="H40" i="76"/>
  <c r="K40" i="76" s="1"/>
  <c r="R17" i="73"/>
  <c r="P38" i="29"/>
  <c r="B77" i="6"/>
  <c r="G77" i="6"/>
  <c r="C77" i="6"/>
  <c r="H77" i="6"/>
  <c r="A77" i="6"/>
  <c r="R13" i="73"/>
  <c r="P34" i="29"/>
  <c r="U4" i="73"/>
  <c r="J17" i="29"/>
  <c r="B7" i="77"/>
  <c r="B2" i="7"/>
  <c r="R15" i="73"/>
  <c r="P36" i="29"/>
  <c r="H29" i="73"/>
  <c r="G29" i="73"/>
  <c r="F29" i="73"/>
  <c r="U29" i="73"/>
  <c r="E29" i="73" s="1"/>
  <c r="H9" i="73"/>
  <c r="F13" i="73"/>
  <c r="R5" i="73"/>
  <c r="P26" i="29"/>
  <c r="R10" i="73"/>
  <c r="P31" i="29"/>
  <c r="H24" i="73"/>
  <c r="F24" i="73"/>
  <c r="U24" i="73"/>
  <c r="D24" i="73" s="1"/>
  <c r="G24" i="73"/>
  <c r="E77" i="6"/>
  <c r="L17" i="29"/>
  <c r="U20" i="73"/>
  <c r="E20" i="73" s="1"/>
  <c r="H20" i="73"/>
  <c r="F20" i="73"/>
  <c r="G20" i="73"/>
  <c r="I1758" i="69"/>
  <c r="E894" i="36"/>
  <c r="U30" i="73"/>
  <c r="E30" i="73" s="1"/>
  <c r="H30" i="73"/>
  <c r="G30" i="73"/>
  <c r="F30" i="73"/>
  <c r="G891" i="36"/>
  <c r="K1682" i="69"/>
  <c r="R19" i="73"/>
  <c r="P40" i="29"/>
  <c r="L1758" i="69"/>
  <c r="H894" i="36"/>
  <c r="I18" i="76"/>
  <c r="H18" i="76"/>
  <c r="K18" i="76" s="1"/>
  <c r="H23" i="73"/>
  <c r="F23" i="73"/>
  <c r="U23" i="73"/>
  <c r="E23" i="73" s="1"/>
  <c r="G23" i="73"/>
  <c r="I29" i="76"/>
  <c r="H29" i="76"/>
  <c r="K29" i="76" s="1"/>
  <c r="U19" i="73"/>
  <c r="D19" i="73" s="1"/>
  <c r="G19" i="73"/>
  <c r="F19" i="73"/>
  <c r="H19" i="73"/>
  <c r="G13" i="73"/>
  <c r="J1683" i="69"/>
  <c r="F892" i="36"/>
  <c r="H32" i="73"/>
  <c r="G32" i="73"/>
  <c r="F32" i="73"/>
  <c r="U32" i="73"/>
  <c r="D32" i="73" s="1"/>
  <c r="I50" i="6"/>
  <c r="C50" i="6"/>
  <c r="B50" i="6"/>
  <c r="K50" i="6"/>
  <c r="I7" i="32"/>
  <c r="D78" i="6" s="1"/>
  <c r="G4" i="73"/>
  <c r="P11" i="4" s="1"/>
  <c r="R11" i="73"/>
  <c r="P32" i="29"/>
  <c r="F14" i="73"/>
  <c r="H14" i="73"/>
  <c r="G14" i="73"/>
  <c r="U14" i="73"/>
  <c r="D14" i="73" s="1"/>
  <c r="J14" i="29"/>
  <c r="H35" i="76"/>
  <c r="K35" i="76" s="1"/>
  <c r="I35" i="76"/>
  <c r="K14" i="29"/>
  <c r="U5" i="73"/>
  <c r="D5" i="73" s="1"/>
  <c r="H5" i="73"/>
  <c r="G5" i="73"/>
  <c r="F5" i="73"/>
  <c r="F15" i="73"/>
  <c r="H15" i="73"/>
  <c r="U15" i="73"/>
  <c r="E15" i="73" s="1"/>
  <c r="G15" i="73"/>
  <c r="R12" i="73"/>
  <c r="P33" i="29"/>
  <c r="F16" i="73"/>
  <c r="U16" i="73"/>
  <c r="D16" i="73" s="1"/>
  <c r="H16" i="73"/>
  <c r="G16" i="73"/>
  <c r="G28" i="73"/>
  <c r="U28" i="73"/>
  <c r="E28" i="73" s="1"/>
  <c r="H28" i="73"/>
  <c r="F28" i="73"/>
  <c r="G893" i="36"/>
  <c r="K1757" i="69"/>
  <c r="H80" i="60"/>
  <c r="H1758" i="69"/>
  <c r="D894" i="36"/>
  <c r="I32" i="76"/>
  <c r="H32" i="76"/>
  <c r="K32" i="76" s="1"/>
  <c r="H16" i="76"/>
  <c r="K16" i="76" s="1"/>
  <c r="I26" i="76"/>
  <c r="H26" i="76"/>
  <c r="K26" i="76" s="1"/>
  <c r="H31" i="73"/>
  <c r="F31" i="73"/>
  <c r="U31" i="73"/>
  <c r="D31" i="73" s="1"/>
  <c r="G31" i="73"/>
  <c r="I30" i="76"/>
  <c r="H30" i="76"/>
  <c r="K30" i="76" s="1"/>
  <c r="H43" i="76"/>
  <c r="K43" i="76" s="1"/>
  <c r="I43" i="76"/>
  <c r="K1683" i="69"/>
  <c r="G892" i="36"/>
  <c r="I39" i="76"/>
  <c r="H39" i="76"/>
  <c r="K39" i="76" s="1"/>
  <c r="F6" i="73"/>
  <c r="H6" i="73"/>
  <c r="G6" i="73"/>
  <c r="U6" i="73"/>
  <c r="D6" i="73" s="1"/>
  <c r="H41" i="76"/>
  <c r="K41" i="76" s="1"/>
  <c r="I41" i="76"/>
  <c r="L1683" i="69"/>
  <c r="H892" i="36"/>
  <c r="H21" i="73"/>
  <c r="G21" i="73"/>
  <c r="U21" i="73"/>
  <c r="D21" i="73" s="1"/>
  <c r="F21" i="73"/>
  <c r="R33" i="73"/>
  <c r="P54" i="29"/>
  <c r="H42" i="76"/>
  <c r="K42" i="76" s="1"/>
  <c r="I42" i="76"/>
  <c r="U7" i="73"/>
  <c r="E7" i="73" s="1"/>
  <c r="G7" i="73"/>
  <c r="F7" i="73"/>
  <c r="H7" i="73"/>
  <c r="J1682" i="69"/>
  <c r="F891" i="36"/>
  <c r="D77" i="6"/>
  <c r="R32" i="73"/>
  <c r="P53" i="29"/>
  <c r="Z18" i="80"/>
  <c r="AQ27" i="36"/>
  <c r="AT11" i="36"/>
  <c r="AQ8" i="36"/>
  <c r="AB12" i="36"/>
  <c r="AR15" i="36"/>
  <c r="AL18" i="80"/>
  <c r="AG29" i="80"/>
  <c r="AK5" i="80"/>
  <c r="AR23" i="36"/>
  <c r="AP17" i="36"/>
  <c r="AE30" i="80"/>
  <c r="AQ19" i="36"/>
  <c r="AS29" i="36"/>
  <c r="AR32" i="36"/>
  <c r="AR20" i="36"/>
  <c r="AR27" i="36"/>
  <c r="Z17" i="80"/>
  <c r="AQ30" i="36"/>
  <c r="AR19" i="36"/>
  <c r="AI20" i="80"/>
  <c r="AO6" i="80"/>
  <c r="AE4" i="80"/>
  <c r="AK30" i="80"/>
  <c r="AO29" i="80"/>
  <c r="AO10" i="80"/>
  <c r="AG16" i="80"/>
  <c r="AK18" i="80"/>
  <c r="AR21" i="36"/>
  <c r="AO27" i="80"/>
  <c r="AE6" i="80"/>
  <c r="AT32" i="36"/>
  <c r="AI18" i="80"/>
  <c r="AQ10" i="36"/>
  <c r="AQ32" i="36"/>
  <c r="AE16" i="80"/>
  <c r="AE28" i="80"/>
  <c r="AO3" i="80"/>
  <c r="AS13" i="36"/>
  <c r="AT29" i="36"/>
  <c r="AI9" i="80"/>
  <c r="AP18" i="36"/>
  <c r="AB32" i="80"/>
  <c r="AL9" i="80"/>
  <c r="AT22" i="36"/>
  <c r="Z24" i="80"/>
  <c r="AK7" i="80"/>
  <c r="AG28" i="80"/>
  <c r="AP6" i="36"/>
  <c r="AS24" i="36"/>
  <c r="AL25" i="80"/>
  <c r="AP26" i="36"/>
  <c r="AT14" i="36"/>
  <c r="AB9" i="80"/>
  <c r="AB30" i="80"/>
  <c r="AP3" i="36"/>
  <c r="AR18" i="36"/>
  <c r="AS22" i="36"/>
  <c r="AR4" i="36"/>
  <c r="AS17" i="36"/>
  <c r="AI31" i="80"/>
  <c r="AP13" i="36"/>
  <c r="AR7" i="36"/>
  <c r="AR13" i="36"/>
  <c r="Z32" i="80"/>
  <c r="Z31" i="80"/>
  <c r="AK28" i="80"/>
  <c r="AB3" i="80"/>
  <c r="AS26" i="36"/>
  <c r="AQ6" i="36"/>
  <c r="AT12" i="36"/>
  <c r="AG17" i="80"/>
  <c r="AR6" i="36"/>
  <c r="AS19" i="36"/>
  <c r="AQ23" i="36"/>
  <c r="AB20" i="36"/>
  <c r="AE24" i="80"/>
  <c r="AE32" i="80"/>
  <c r="AG30" i="80"/>
  <c r="AS10" i="36"/>
  <c r="AR26" i="36"/>
  <c r="AO8" i="80"/>
  <c r="AE17" i="80"/>
  <c r="AR10" i="36"/>
  <c r="Z23" i="80"/>
  <c r="AR12" i="36"/>
  <c r="AR22" i="36"/>
  <c r="AG10" i="80"/>
  <c r="AP11" i="36"/>
  <c r="AS32" i="36"/>
  <c r="AR8" i="36"/>
  <c r="AE20" i="80"/>
  <c r="AB25" i="80"/>
  <c r="AS20" i="36"/>
  <c r="Z28" i="80"/>
  <c r="AQ26" i="36"/>
  <c r="AB6" i="80"/>
  <c r="AT23" i="36"/>
  <c r="AO28" i="80"/>
  <c r="AE26" i="80"/>
  <c r="AP31" i="36"/>
  <c r="AQ15" i="36"/>
  <c r="AK22" i="80"/>
  <c r="AQ17" i="36"/>
  <c r="AP8" i="36"/>
  <c r="AI22" i="80"/>
  <c r="AS12" i="36"/>
  <c r="AI28" i="80"/>
  <c r="Z25" i="80"/>
  <c r="AG4" i="80"/>
  <c r="AE22" i="80"/>
  <c r="AG19" i="80"/>
  <c r="Z26" i="80"/>
  <c r="AP16" i="36"/>
  <c r="AL6" i="80"/>
  <c r="AR14" i="36"/>
  <c r="AB27" i="80"/>
  <c r="AS9" i="36"/>
  <c r="AS7" i="36"/>
  <c r="AQ18" i="36"/>
  <c r="AI6" i="36"/>
  <c r="AL31" i="80"/>
  <c r="AR3" i="36"/>
  <c r="AP27" i="36"/>
  <c r="AP4" i="36"/>
  <c r="AI10" i="80"/>
  <c r="Z6" i="80"/>
  <c r="AR25" i="36"/>
  <c r="AB17" i="80"/>
  <c r="AE9" i="80"/>
  <c r="AS4" i="36"/>
  <c r="AQ29" i="36"/>
  <c r="AS14" i="36"/>
  <c r="AG22" i="80"/>
  <c r="AE8" i="80"/>
  <c r="AL28" i="80"/>
  <c r="AK16" i="80"/>
  <c r="AL30" i="80"/>
  <c r="AS16" i="36"/>
  <c r="AK8" i="80"/>
  <c r="AQ16" i="36"/>
  <c r="AR5" i="36"/>
  <c r="AP25" i="36"/>
  <c r="AI29" i="80"/>
  <c r="AT8" i="36"/>
  <c r="AK29" i="80"/>
  <c r="AR24" i="36"/>
  <c r="AB22" i="80"/>
  <c r="AI25" i="80"/>
  <c r="AK11" i="80"/>
  <c r="Z20" i="80"/>
  <c r="AS25" i="36"/>
  <c r="AO4" i="80"/>
  <c r="AR16" i="36"/>
  <c r="AL8" i="80"/>
  <c r="AP15" i="36"/>
  <c r="AL24" i="80"/>
  <c r="AT4" i="36"/>
  <c r="AP19" i="36"/>
  <c r="AI32" i="80"/>
  <c r="AL13" i="36"/>
  <c r="AE18" i="80"/>
  <c r="AO18" i="80"/>
  <c r="AE12" i="80"/>
  <c r="AQ14" i="36"/>
  <c r="AK20" i="80"/>
  <c r="Z15" i="80"/>
  <c r="AI14" i="80"/>
  <c r="AQ24" i="36"/>
  <c r="AI21" i="36"/>
  <c r="AG3" i="80"/>
  <c r="AO12" i="80"/>
  <c r="AT31" i="36"/>
  <c r="AE19" i="80"/>
  <c r="AL20" i="80"/>
  <c r="Z22" i="80"/>
  <c r="AI17" i="80"/>
  <c r="AL10" i="80"/>
  <c r="AI24" i="80"/>
  <c r="AQ28" i="36"/>
  <c r="AL16" i="80"/>
  <c r="AT24" i="36"/>
  <c r="AS18" i="36"/>
  <c r="AL6" i="36"/>
  <c r="AO16" i="80"/>
  <c r="AI26" i="80"/>
  <c r="Z3" i="80"/>
  <c r="AO7" i="80"/>
  <c r="AB8" i="80"/>
  <c r="AK6" i="80"/>
  <c r="AO9" i="80"/>
  <c r="AT30" i="36"/>
  <c r="AP24" i="36"/>
  <c r="AL15" i="80"/>
  <c r="AP23" i="36"/>
  <c r="AB4" i="36"/>
  <c r="AR17" i="36"/>
  <c r="AB11" i="80"/>
  <c r="AL21" i="36"/>
  <c r="AG25" i="80"/>
  <c r="AT15" i="36"/>
  <c r="AG18" i="80"/>
  <c r="AT17" i="36"/>
  <c r="AO22" i="80"/>
  <c r="AD12" i="36"/>
  <c r="AT3" i="36"/>
  <c r="Z20" i="36"/>
  <c r="AG24" i="80"/>
  <c r="AB14" i="80"/>
  <c r="AE31" i="80"/>
  <c r="AQ25" i="36"/>
  <c r="AP10" i="36"/>
  <c r="AT20" i="36"/>
  <c r="AT5" i="36"/>
  <c r="AS30" i="36"/>
  <c r="AS6" i="36"/>
  <c r="AI13" i="36"/>
  <c r="AG27" i="80"/>
  <c r="AE25" i="80"/>
  <c r="AQ11" i="36"/>
  <c r="Z29" i="80"/>
  <c r="AP30" i="36"/>
  <c r="AP7" i="36"/>
  <c r="AK24" i="80"/>
  <c r="Z9" i="80"/>
  <c r="AR9" i="36"/>
  <c r="AR31" i="36"/>
  <c r="AG9" i="80"/>
  <c r="AS11" i="36"/>
  <c r="AI16" i="80"/>
  <c r="AQ31" i="36"/>
  <c r="AL5" i="80"/>
  <c r="AO32" i="80"/>
  <c r="AO19" i="80"/>
  <c r="Z16" i="80"/>
  <c r="AB10" i="80"/>
  <c r="Z7" i="80"/>
  <c r="AP28" i="36"/>
  <c r="AK26" i="80"/>
  <c r="AQ3" i="36"/>
  <c r="AQ22" i="36"/>
  <c r="AT25" i="36"/>
  <c r="Z10" i="80"/>
  <c r="AR28" i="36"/>
  <c r="AS27" i="36"/>
  <c r="AK31" i="80"/>
  <c r="AT16" i="36"/>
  <c r="AG20" i="80"/>
  <c r="AB31" i="80"/>
  <c r="AL4" i="80"/>
  <c r="AE3" i="80"/>
  <c r="AL14" i="80"/>
  <c r="Z4" i="80"/>
  <c r="AO30" i="80"/>
  <c r="AP5" i="36"/>
  <c r="AP32" i="36"/>
  <c r="AB24" i="80"/>
  <c r="AS15" i="36"/>
  <c r="AK10" i="80"/>
  <c r="AE14" i="80"/>
  <c r="AS5" i="36"/>
  <c r="AO24" i="80"/>
  <c r="AG32" i="80"/>
  <c r="AR30" i="36"/>
  <c r="AL17" i="80"/>
  <c r="AP12" i="36"/>
  <c r="AL27" i="36"/>
  <c r="AG8" i="80"/>
  <c r="AG7" i="80"/>
  <c r="AP9" i="36"/>
  <c r="AS8" i="36"/>
  <c r="AQ5" i="36"/>
  <c r="AK17" i="80"/>
  <c r="AS3" i="36"/>
  <c r="AI4" i="80"/>
  <c r="AO26" i="80"/>
  <c r="AG12" i="80"/>
  <c r="AS28" i="36"/>
  <c r="AT10" i="36"/>
  <c r="AP14" i="36"/>
  <c r="AO20" i="80"/>
  <c r="AT7" i="36"/>
  <c r="AB18" i="80"/>
  <c r="AT28" i="36"/>
  <c r="AL11" i="80"/>
  <c r="AT18" i="36"/>
  <c r="AI30" i="80"/>
  <c r="AP21" i="36"/>
  <c r="AD4" i="36"/>
  <c r="AQ9" i="36"/>
  <c r="AO14" i="80"/>
  <c r="AB19" i="80"/>
  <c r="AT9" i="36"/>
  <c r="AG14" i="80"/>
  <c r="AG6" i="80"/>
  <c r="AI12" i="80"/>
  <c r="AR11" i="36"/>
  <c r="AO25" i="80"/>
  <c r="AS23" i="36"/>
  <c r="AI3" i="80"/>
  <c r="AQ21" i="36"/>
  <c r="AQ7" i="36"/>
  <c r="AE11" i="80"/>
  <c r="AS21" i="36"/>
  <c r="AT19" i="36"/>
  <c r="AR29" i="36"/>
  <c r="AB5" i="80"/>
  <c r="AL29" i="80"/>
  <c r="AI27" i="36"/>
  <c r="AP29" i="36"/>
  <c r="Z11" i="80"/>
  <c r="AQ13" i="36"/>
  <c r="AD20" i="36"/>
  <c r="AT26" i="36"/>
  <c r="AB7" i="80"/>
  <c r="AS31" i="36"/>
  <c r="AG5" i="80"/>
  <c r="AE7" i="80"/>
  <c r="AP22" i="36"/>
  <c r="AG26" i="80"/>
  <c r="AG11" i="80"/>
  <c r="G76" i="85" l="1"/>
  <c r="E49" i="85"/>
  <c r="E25" i="85"/>
  <c r="G43" i="85"/>
  <c r="F46" i="85"/>
  <c r="D81" i="85"/>
  <c r="G97" i="85"/>
  <c r="C71" i="85"/>
  <c r="E30" i="85"/>
  <c r="C30" i="85"/>
  <c r="B23" i="85"/>
  <c r="G95" i="85"/>
  <c r="G90" i="85"/>
  <c r="F40" i="85"/>
  <c r="B32" i="85"/>
  <c r="E91" i="85"/>
  <c r="F92" i="85"/>
  <c r="E78" i="85"/>
  <c r="G24" i="85"/>
  <c r="D77" i="85"/>
  <c r="B73" i="85"/>
  <c r="C28" i="85"/>
  <c r="B79" i="85"/>
  <c r="E47" i="85"/>
  <c r="F39" i="85"/>
  <c r="E45" i="85"/>
  <c r="F27" i="85"/>
  <c r="B94" i="85"/>
  <c r="C42" i="85"/>
  <c r="B70" i="85"/>
  <c r="C26" i="85"/>
  <c r="F26" i="85"/>
  <c r="F93" i="85"/>
  <c r="H22" i="85"/>
  <c r="E33" i="85"/>
  <c r="F76" i="85"/>
  <c r="C72" i="85"/>
  <c r="F96" i="85"/>
  <c r="F49" i="85"/>
  <c r="H25" i="85"/>
  <c r="D25" i="85"/>
  <c r="D75" i="85"/>
  <c r="C46" i="85"/>
  <c r="G81" i="85"/>
  <c r="C97" i="85"/>
  <c r="B71" i="85"/>
  <c r="D80" i="85"/>
  <c r="C48" i="85"/>
  <c r="E29" i="85"/>
  <c r="D86" i="85"/>
  <c r="E89" i="85"/>
  <c r="C31" i="85"/>
  <c r="B74" i="85"/>
  <c r="D23" i="85"/>
  <c r="G87" i="85"/>
  <c r="H90" i="85"/>
  <c r="E40" i="85"/>
  <c r="H32" i="85"/>
  <c r="G92" i="85"/>
  <c r="F78" i="85"/>
  <c r="G77" i="85"/>
  <c r="F73" i="85"/>
  <c r="E28" i="85"/>
  <c r="F79" i="85"/>
  <c r="D39" i="85"/>
  <c r="B88" i="85"/>
  <c r="B45" i="85"/>
  <c r="D42" i="85"/>
  <c r="D70" i="85"/>
  <c r="G93" i="85"/>
  <c r="D33" i="85"/>
  <c r="B76" i="85"/>
  <c r="E72" i="85"/>
  <c r="G96" i="85"/>
  <c r="B25" i="85"/>
  <c r="E46" i="85"/>
  <c r="C81" i="85"/>
  <c r="E71" i="85"/>
  <c r="E80" i="85"/>
  <c r="F48" i="85"/>
  <c r="G86" i="85"/>
  <c r="F30" i="85"/>
  <c r="H89" i="85"/>
  <c r="G74" i="85"/>
  <c r="E23" i="85"/>
  <c r="D41" i="85"/>
  <c r="D95" i="85"/>
  <c r="B87" i="85"/>
  <c r="B90" i="85"/>
  <c r="C32" i="85"/>
  <c r="C91" i="85"/>
  <c r="C38" i="85"/>
  <c r="B92" i="85"/>
  <c r="B78" i="85"/>
  <c r="C24" i="85"/>
  <c r="E77" i="85"/>
  <c r="C73" i="85"/>
  <c r="H28" i="85"/>
  <c r="G39" i="85"/>
  <c r="C88" i="85"/>
  <c r="F45" i="85"/>
  <c r="H27" i="85"/>
  <c r="D94" i="85"/>
  <c r="E42" i="85"/>
  <c r="E70" i="85"/>
  <c r="F44" i="85"/>
  <c r="G26" i="85"/>
  <c r="H93" i="85"/>
  <c r="B22" i="85"/>
  <c r="C33" i="85"/>
  <c r="B96" i="85"/>
  <c r="C75" i="85"/>
  <c r="G48" i="85"/>
  <c r="D29" i="85"/>
  <c r="E86" i="85"/>
  <c r="F87" i="85"/>
  <c r="G33" i="85"/>
  <c r="C76" i="85"/>
  <c r="F72" i="85"/>
  <c r="H96" i="85"/>
  <c r="C25" i="85"/>
  <c r="B43" i="85"/>
  <c r="D46" i="85"/>
  <c r="E81" i="85"/>
  <c r="H97" i="85"/>
  <c r="D71" i="85"/>
  <c r="B80" i="85"/>
  <c r="B48" i="85"/>
  <c r="H86" i="85"/>
  <c r="G30" i="85"/>
  <c r="F89" i="85"/>
  <c r="D31" i="85"/>
  <c r="E74" i="85"/>
  <c r="G23" i="85"/>
  <c r="E41" i="85"/>
  <c r="C95" i="85"/>
  <c r="C87" i="85"/>
  <c r="C90" i="85"/>
  <c r="D32" i="85"/>
  <c r="F91" i="85"/>
  <c r="E38" i="85"/>
  <c r="D92" i="85"/>
  <c r="H24" i="85"/>
  <c r="F77" i="85"/>
  <c r="E73" i="85"/>
  <c r="B28" i="85"/>
  <c r="C47" i="85"/>
  <c r="E39" i="85"/>
  <c r="D88" i="85"/>
  <c r="D45" i="85"/>
  <c r="B27" i="85"/>
  <c r="G94" i="85"/>
  <c r="F42" i="85"/>
  <c r="B44" i="85"/>
  <c r="B93" i="85"/>
  <c r="C22" i="85"/>
  <c r="H33" i="85"/>
  <c r="F33" i="85"/>
  <c r="E76" i="85"/>
  <c r="G72" i="85"/>
  <c r="C96" i="85"/>
  <c r="B49" i="85"/>
  <c r="G25" i="85"/>
  <c r="B75" i="85"/>
  <c r="E43" i="85"/>
  <c r="G46" i="85"/>
  <c r="B81" i="85"/>
  <c r="B97" i="85"/>
  <c r="F71" i="85"/>
  <c r="C80" i="85"/>
  <c r="D48" i="85"/>
  <c r="H29" i="85"/>
  <c r="F86" i="85"/>
  <c r="D30" i="85"/>
  <c r="C89" i="85"/>
  <c r="G31" i="85"/>
  <c r="C74" i="85"/>
  <c r="F23" i="85"/>
  <c r="F41" i="85"/>
  <c r="B95" i="85"/>
  <c r="D87" i="85"/>
  <c r="D90" i="85"/>
  <c r="G40" i="85"/>
  <c r="E32" i="85"/>
  <c r="G91" i="85"/>
  <c r="D38" i="85"/>
  <c r="E92" i="85"/>
  <c r="D24" i="85"/>
  <c r="D73" i="85"/>
  <c r="D28" i="85"/>
  <c r="C79" i="85"/>
  <c r="G47" i="85"/>
  <c r="B39" i="85"/>
  <c r="H88" i="85"/>
  <c r="C45" i="85"/>
  <c r="C94" i="85"/>
  <c r="E44" i="85"/>
  <c r="B26" i="85"/>
  <c r="C93" i="85"/>
  <c r="D22" i="85"/>
  <c r="B72" i="85"/>
  <c r="D96" i="85"/>
  <c r="G49" i="85"/>
  <c r="F25" i="85"/>
  <c r="E75" i="85"/>
  <c r="C43" i="85"/>
  <c r="B46" i="85"/>
  <c r="F81" i="85"/>
  <c r="D97" i="85"/>
  <c r="G71" i="85"/>
  <c r="F80" i="85"/>
  <c r="E48" i="85"/>
  <c r="F29" i="85"/>
  <c r="B86" i="85"/>
  <c r="G89" i="85"/>
  <c r="F31" i="85"/>
  <c r="D74" i="85"/>
  <c r="H23" i="85"/>
  <c r="G41" i="85"/>
  <c r="E95" i="85"/>
  <c r="H87" i="85"/>
  <c r="E90" i="85"/>
  <c r="B40" i="85"/>
  <c r="F32" i="85"/>
  <c r="H91" i="85"/>
  <c r="F38" i="85"/>
  <c r="C78" i="85"/>
  <c r="B24" i="85"/>
  <c r="G73" i="85"/>
  <c r="D79" i="85"/>
  <c r="F47" i="85"/>
  <c r="C39" i="85"/>
  <c r="E88" i="85"/>
  <c r="G45" i="85"/>
  <c r="G27" i="85"/>
  <c r="E94" i="85"/>
  <c r="C70" i="85"/>
  <c r="G44" i="85"/>
  <c r="H26" i="85"/>
  <c r="D93" i="85"/>
  <c r="F22" i="85"/>
  <c r="D72" i="85"/>
  <c r="E96" i="85"/>
  <c r="C49" i="85"/>
  <c r="G75" i="85"/>
  <c r="D43" i="85"/>
  <c r="E97" i="85"/>
  <c r="G80" i="85"/>
  <c r="C29" i="85"/>
  <c r="B29" i="85"/>
  <c r="C86" i="85"/>
  <c r="H30" i="85"/>
  <c r="B89" i="85"/>
  <c r="B31" i="85"/>
  <c r="F74" i="85"/>
  <c r="B41" i="85"/>
  <c r="H95" i="85"/>
  <c r="E87" i="85"/>
  <c r="F90" i="85"/>
  <c r="C40" i="85"/>
  <c r="G32" i="85"/>
  <c r="B91" i="85"/>
  <c r="G38" i="85"/>
  <c r="H92" i="85"/>
  <c r="D78" i="85"/>
  <c r="E24" i="85"/>
  <c r="B77" i="85"/>
  <c r="F28" i="85"/>
  <c r="E79" i="85"/>
  <c r="D47" i="85"/>
  <c r="F88" i="85"/>
  <c r="D27" i="85"/>
  <c r="F94" i="85"/>
  <c r="G42" i="85"/>
  <c r="F70" i="85"/>
  <c r="C44" i="85"/>
  <c r="D26" i="85"/>
  <c r="E22" i="85"/>
  <c r="G22" i="85"/>
  <c r="B33" i="85"/>
  <c r="D76" i="85"/>
  <c r="D49" i="85"/>
  <c r="F75" i="85"/>
  <c r="F43" i="85"/>
  <c r="F97" i="85"/>
  <c r="G29" i="85"/>
  <c r="B30" i="85"/>
  <c r="D89" i="85"/>
  <c r="E31" i="85"/>
  <c r="H31" i="85"/>
  <c r="C23" i="85"/>
  <c r="C41" i="85"/>
  <c r="F95" i="85"/>
  <c r="D40" i="85"/>
  <c r="D91" i="85"/>
  <c r="B38" i="85"/>
  <c r="C92" i="85"/>
  <c r="G78" i="85"/>
  <c r="F24" i="85"/>
  <c r="C77" i="85"/>
  <c r="G28" i="85"/>
  <c r="G79" i="85"/>
  <c r="B47" i="85"/>
  <c r="G88" i="85"/>
  <c r="C27" i="85"/>
  <c r="E27" i="85"/>
  <c r="H94" i="85"/>
  <c r="B42" i="85"/>
  <c r="G70" i="85"/>
  <c r="D44" i="85"/>
  <c r="E26" i="85"/>
  <c r="E93" i="85"/>
  <c r="E11" i="85"/>
  <c r="G108" i="84"/>
  <c r="D224" i="84"/>
  <c r="E231" i="84"/>
  <c r="D208" i="84"/>
  <c r="G231" i="84"/>
  <c r="E217" i="84"/>
  <c r="D216" i="84"/>
  <c r="G225" i="84"/>
  <c r="B208" i="84"/>
  <c r="G210" i="84"/>
  <c r="E225" i="84"/>
  <c r="G217" i="84"/>
  <c r="E210" i="84"/>
  <c r="B224" i="84"/>
  <c r="B216" i="84"/>
  <c r="P25" i="73"/>
  <c r="F106" i="84"/>
  <c r="E106" i="84"/>
  <c r="E107" i="84"/>
  <c r="D108" i="84"/>
  <c r="AM14" i="80"/>
  <c r="AJ14" i="80"/>
  <c r="AN14" i="80"/>
  <c r="AF25" i="80"/>
  <c r="AH5" i="80"/>
  <c r="AD19" i="80"/>
  <c r="AC19" i="80"/>
  <c r="AN19" i="80"/>
  <c r="AM19" i="80"/>
  <c r="AC18" i="80"/>
  <c r="AD18" i="80"/>
  <c r="AM15" i="80"/>
  <c r="AA15" i="80"/>
  <c r="AN15" i="80"/>
  <c r="AN26" i="80"/>
  <c r="AM26" i="80"/>
  <c r="AJ26" i="80"/>
  <c r="AH30" i="80"/>
  <c r="AF32" i="80"/>
  <c r="AC27" i="80"/>
  <c r="AM27" i="80"/>
  <c r="AN27" i="80"/>
  <c r="AD27" i="80"/>
  <c r="AH11" i="80"/>
  <c r="AF24" i="80"/>
  <c r="AF28" i="80"/>
  <c r="AH3" i="80"/>
  <c r="AC20" i="36"/>
  <c r="AF16" i="80"/>
  <c r="AF11" i="80"/>
  <c r="AH18" i="80"/>
  <c r="AF12" i="80"/>
  <c r="AA26" i="80"/>
  <c r="AA7" i="80"/>
  <c r="AK21" i="36"/>
  <c r="AJ21" i="36"/>
  <c r="AM18" i="80"/>
  <c r="AN18" i="80"/>
  <c r="AJ18" i="80"/>
  <c r="AH19" i="80"/>
  <c r="AK27" i="36"/>
  <c r="AJ27" i="36"/>
  <c r="AH17" i="80"/>
  <c r="AC10" i="80"/>
  <c r="AD10" i="80"/>
  <c r="AF22" i="80"/>
  <c r="AF18" i="80"/>
  <c r="AF14" i="80"/>
  <c r="AF6" i="80"/>
  <c r="AC7" i="80"/>
  <c r="AN7" i="80"/>
  <c r="AM7" i="80"/>
  <c r="AD7" i="80"/>
  <c r="AH4" i="80"/>
  <c r="AH12" i="80"/>
  <c r="AA16" i="80"/>
  <c r="AA25" i="80"/>
  <c r="AN28" i="80"/>
  <c r="AM28" i="80"/>
  <c r="AJ28" i="80"/>
  <c r="AH25" i="80"/>
  <c r="AJ32" i="80"/>
  <c r="AM32" i="80"/>
  <c r="AN32" i="80"/>
  <c r="AD3" i="80"/>
  <c r="AC3" i="80"/>
  <c r="AH27" i="80"/>
  <c r="AJ12" i="80"/>
  <c r="AN12" i="80"/>
  <c r="AM12" i="80"/>
  <c r="AJ4" i="80"/>
  <c r="AN4" i="80"/>
  <c r="AM4" i="80"/>
  <c r="AH16" i="80"/>
  <c r="AM24" i="80"/>
  <c r="AN24" i="80"/>
  <c r="AJ24" i="80"/>
  <c r="AM22" i="80"/>
  <c r="AJ22" i="80"/>
  <c r="AN22" i="80"/>
  <c r="AH26" i="80"/>
  <c r="AA31" i="80"/>
  <c r="AA4" i="80"/>
  <c r="AA32" i="80"/>
  <c r="AF31" i="80"/>
  <c r="AM29" i="80"/>
  <c r="AJ29" i="80"/>
  <c r="AN29" i="80"/>
  <c r="AM11" i="80"/>
  <c r="AD11" i="80"/>
  <c r="AC11" i="80"/>
  <c r="AN11" i="80"/>
  <c r="AF4" i="80"/>
  <c r="AN5" i="80"/>
  <c r="AM5" i="80"/>
  <c r="AC5" i="80"/>
  <c r="AD5" i="80"/>
  <c r="AM16" i="80"/>
  <c r="AN16" i="80"/>
  <c r="AJ16" i="80"/>
  <c r="AJ31" i="80"/>
  <c r="AN31" i="80"/>
  <c r="AM31" i="80"/>
  <c r="AN20" i="80"/>
  <c r="AM20" i="80"/>
  <c r="AJ20" i="80"/>
  <c r="AD14" i="80"/>
  <c r="AC14" i="80"/>
  <c r="AF26" i="80"/>
  <c r="AC4" i="36"/>
  <c r="AK13" i="36"/>
  <c r="AJ13" i="36"/>
  <c r="AH6" i="80"/>
  <c r="AJ17" i="80"/>
  <c r="AN17" i="80"/>
  <c r="AM17" i="80"/>
  <c r="AA17" i="80"/>
  <c r="AF3" i="80"/>
  <c r="AN6" i="80"/>
  <c r="AD6" i="80"/>
  <c r="AC6" i="80"/>
  <c r="AM6" i="80"/>
  <c r="AA10" i="80"/>
  <c r="AH9" i="80"/>
  <c r="AA22" i="80"/>
  <c r="AF8" i="80"/>
  <c r="AA28" i="80"/>
  <c r="AH7" i="80"/>
  <c r="AD30" i="80"/>
  <c r="AC30" i="80"/>
  <c r="AH24" i="80"/>
  <c r="AH22" i="80"/>
  <c r="AC9" i="80"/>
  <c r="AD9" i="80"/>
  <c r="AD25" i="80"/>
  <c r="AC25" i="80"/>
  <c r="AM30" i="80"/>
  <c r="AJ30" i="80"/>
  <c r="AN30" i="80"/>
  <c r="AH8" i="80"/>
  <c r="AF20" i="80"/>
  <c r="AF30" i="80"/>
  <c r="AD31" i="80"/>
  <c r="AC31" i="80"/>
  <c r="AA9" i="80"/>
  <c r="AA20" i="36"/>
  <c r="AF9" i="80"/>
  <c r="AA20" i="80"/>
  <c r="AJ3" i="80"/>
  <c r="AN3" i="80"/>
  <c r="AM3" i="80"/>
  <c r="AH14" i="80"/>
  <c r="AD17" i="80"/>
  <c r="AC17" i="80"/>
  <c r="AF19" i="80"/>
  <c r="AH10" i="80"/>
  <c r="AH28" i="80"/>
  <c r="AH29" i="80"/>
  <c r="AA6" i="80"/>
  <c r="AJ10" i="80"/>
  <c r="AN10" i="80"/>
  <c r="AM10" i="80"/>
  <c r="AC8" i="80"/>
  <c r="AD8" i="80"/>
  <c r="AM8" i="80"/>
  <c r="AN8" i="80"/>
  <c r="AJ25" i="80"/>
  <c r="AM25" i="80"/>
  <c r="AN25" i="80"/>
  <c r="AC24" i="80"/>
  <c r="AD24" i="80"/>
  <c r="AA24" i="80"/>
  <c r="AA23" i="80"/>
  <c r="AM23" i="80"/>
  <c r="AN23" i="80"/>
  <c r="AC12" i="36"/>
  <c r="AD22" i="80"/>
  <c r="AC22" i="80"/>
  <c r="AF7" i="80"/>
  <c r="AH20" i="80"/>
  <c r="AF17" i="80"/>
  <c r="AH32" i="80"/>
  <c r="AA29" i="80"/>
  <c r="AC32" i="80"/>
  <c r="AD32" i="80"/>
  <c r="AA3" i="80"/>
  <c r="AA11" i="80"/>
  <c r="AK6" i="36"/>
  <c r="AJ6" i="36"/>
  <c r="AJ9" i="80"/>
  <c r="AN9" i="80"/>
  <c r="AM9" i="80"/>
  <c r="AA18" i="80"/>
  <c r="C19" i="82"/>
  <c r="G18" i="82"/>
  <c r="O17" i="77"/>
  <c r="I79" i="60"/>
  <c r="H38" i="76"/>
  <c r="K38" i="76" s="1"/>
  <c r="AM20" i="36"/>
  <c r="AM12" i="36"/>
  <c r="AM4" i="36"/>
  <c r="O23" i="77"/>
  <c r="P48" i="29"/>
  <c r="O25" i="77"/>
  <c r="O19" i="77"/>
  <c r="O21" i="77"/>
  <c r="G18" i="7"/>
  <c r="A28" i="77"/>
  <c r="A29" i="77"/>
  <c r="Q7" i="77"/>
  <c r="AA16" i="77"/>
  <c r="J897" i="80"/>
  <c r="J896" i="80"/>
  <c r="J900" i="80"/>
  <c r="J895" i="36"/>
  <c r="J901" i="80"/>
  <c r="N1757" i="69"/>
  <c r="J899" i="80"/>
  <c r="N1683" i="69"/>
  <c r="J898" i="80"/>
  <c r="I51" i="6"/>
  <c r="H25" i="73"/>
  <c r="U25" i="73"/>
  <c r="D25" i="73" s="1"/>
  <c r="G25" i="73"/>
  <c r="AA24" i="77"/>
  <c r="J893" i="36"/>
  <c r="E31" i="73"/>
  <c r="E21" i="77"/>
  <c r="I81" i="60"/>
  <c r="N1759" i="69"/>
  <c r="E51" i="6"/>
  <c r="H51" i="6"/>
  <c r="E5" i="73"/>
  <c r="F51" i="6"/>
  <c r="B51" i="6"/>
  <c r="A51" i="6"/>
  <c r="D51" i="6"/>
  <c r="J51" i="6"/>
  <c r="G51" i="6"/>
  <c r="L8" i="34"/>
  <c r="C52" i="6" s="1"/>
  <c r="K51" i="6"/>
  <c r="C19" i="7"/>
  <c r="I78" i="59"/>
  <c r="J892" i="36"/>
  <c r="E11" i="73"/>
  <c r="E33" i="73"/>
  <c r="E17" i="73"/>
  <c r="E18" i="73"/>
  <c r="E32" i="73"/>
  <c r="E8" i="73"/>
  <c r="E19" i="73"/>
  <c r="G80" i="6"/>
  <c r="F78" i="6"/>
  <c r="F79" i="6"/>
  <c r="F9" i="6"/>
  <c r="D80" i="6"/>
  <c r="E22" i="73"/>
  <c r="E78" i="6"/>
  <c r="B80" i="6"/>
  <c r="D23" i="73"/>
  <c r="E9" i="73"/>
  <c r="D10" i="73"/>
  <c r="E16" i="73"/>
  <c r="D29" i="73"/>
  <c r="B79" i="6"/>
  <c r="H78" i="6"/>
  <c r="E21" i="73"/>
  <c r="D30" i="73"/>
  <c r="D20" i="73"/>
  <c r="A78" i="6"/>
  <c r="H80" i="6"/>
  <c r="C80" i="6"/>
  <c r="D13" i="73"/>
  <c r="E13" i="73"/>
  <c r="D12" i="73"/>
  <c r="G78" i="6"/>
  <c r="B78" i="6"/>
  <c r="E6" i="73"/>
  <c r="E80" i="6"/>
  <c r="D7" i="73"/>
  <c r="D28" i="73"/>
  <c r="D15" i="73"/>
  <c r="F80" i="6"/>
  <c r="E79" i="6"/>
  <c r="C79" i="6"/>
  <c r="H79" i="6"/>
  <c r="D79" i="6"/>
  <c r="N1682" i="69"/>
  <c r="J891" i="36"/>
  <c r="I77" i="59"/>
  <c r="E24" i="73"/>
  <c r="I80" i="60"/>
  <c r="J26" i="36" s="1"/>
  <c r="V26" i="36" s="1"/>
  <c r="N1758" i="69"/>
  <c r="J894" i="36"/>
  <c r="C78" i="6"/>
  <c r="E14" i="73"/>
  <c r="E4" i="73"/>
  <c r="D4" i="73"/>
  <c r="G79" i="6"/>
  <c r="A79" i="6"/>
  <c r="A80" i="6"/>
  <c r="I76" i="59"/>
  <c r="J890" i="36"/>
  <c r="N1681" i="69"/>
  <c r="AG19" i="36"/>
  <c r="AE27" i="36"/>
  <c r="AL11" i="36"/>
  <c r="AB7" i="36"/>
  <c r="AG25" i="36"/>
  <c r="AG30" i="36"/>
  <c r="AE28" i="36"/>
  <c r="AB19" i="36"/>
  <c r="AG13" i="36"/>
  <c r="AL8" i="36"/>
  <c r="Z24" i="36"/>
  <c r="AE24" i="36"/>
  <c r="AI16" i="36"/>
  <c r="AD31" i="36"/>
  <c r="AD29" i="36"/>
  <c r="AG23" i="36"/>
  <c r="AL15" i="36"/>
  <c r="AB30" i="36"/>
  <c r="AL9" i="36"/>
  <c r="AG5" i="36"/>
  <c r="AE19" i="36"/>
  <c r="AI7" i="36"/>
  <c r="AE18" i="36"/>
  <c r="AE25" i="36"/>
  <c r="AG22" i="36"/>
  <c r="AI10" i="36"/>
  <c r="AE14" i="36"/>
  <c r="AE20" i="36"/>
  <c r="AD32" i="36"/>
  <c r="AE10" i="36"/>
  <c r="AB17" i="36"/>
  <c r="AI17" i="36"/>
  <c r="AG4" i="36"/>
  <c r="AL31" i="36"/>
  <c r="AI14" i="36"/>
  <c r="AG20" i="36"/>
  <c r="AD26" i="36"/>
  <c r="Z22" i="36"/>
  <c r="AD13" i="36"/>
  <c r="AI29" i="36"/>
  <c r="AD7" i="36"/>
  <c r="AG14" i="36"/>
  <c r="AD22" i="36"/>
  <c r="AI32" i="36"/>
  <c r="AL19" i="36"/>
  <c r="AL5" i="36"/>
  <c r="AE17" i="36"/>
  <c r="AG6" i="36"/>
  <c r="AI5" i="36"/>
  <c r="AL4" i="36"/>
  <c r="AD19" i="36"/>
  <c r="AE26" i="36"/>
  <c r="AE6" i="36"/>
  <c r="AD16" i="36"/>
  <c r="Z17" i="36"/>
  <c r="AL28" i="36"/>
  <c r="AD6" i="36"/>
  <c r="AL22" i="36"/>
  <c r="AD30" i="36"/>
  <c r="AE22" i="36"/>
  <c r="AE32" i="36"/>
  <c r="Z30" i="36"/>
  <c r="Z6" i="36"/>
  <c r="AG16" i="36"/>
  <c r="AI11" i="36"/>
  <c r="AG26" i="36"/>
  <c r="Z16" i="36"/>
  <c r="AD23" i="36"/>
  <c r="AL32" i="36"/>
  <c r="AL14" i="36"/>
  <c r="AD3" i="36"/>
  <c r="AL12" i="36"/>
  <c r="Z11" i="36"/>
  <c r="AB9" i="36"/>
  <c r="Z15" i="36"/>
  <c r="AI19" i="36"/>
  <c r="AB14" i="36"/>
  <c r="AB31" i="36"/>
  <c r="Z26" i="36"/>
  <c r="AB18" i="36"/>
  <c r="AD28" i="36"/>
  <c r="AD5" i="36"/>
  <c r="AG24" i="36"/>
  <c r="AD18" i="36"/>
  <c r="Z8" i="36"/>
  <c r="Z9" i="36"/>
  <c r="Z18" i="36"/>
  <c r="AG28" i="36"/>
  <c r="Z3" i="36"/>
  <c r="AI31" i="36"/>
  <c r="Z28" i="36"/>
  <c r="AB16" i="36"/>
  <c r="AI26" i="36"/>
  <c r="AI22" i="36"/>
  <c r="AB22" i="36"/>
  <c r="AD24" i="36"/>
  <c r="AI30" i="36"/>
  <c r="AI24" i="36"/>
  <c r="AB25" i="36"/>
  <c r="AG18" i="36"/>
  <c r="AL20" i="36"/>
  <c r="AG8" i="36"/>
  <c r="AI25" i="36"/>
  <c r="Z14" i="36"/>
  <c r="Z13" i="36"/>
  <c r="AL25" i="36"/>
  <c r="Z29" i="36"/>
  <c r="AE21" i="36"/>
  <c r="AE4" i="36"/>
  <c r="Z12" i="36"/>
  <c r="AG10" i="36"/>
  <c r="AD17" i="36"/>
  <c r="AG15" i="36"/>
  <c r="AI28" i="36"/>
  <c r="AI15" i="36"/>
  <c r="Z4" i="36"/>
  <c r="Z5" i="36"/>
  <c r="AG29" i="36"/>
  <c r="AB8" i="36"/>
  <c r="AB29" i="36"/>
  <c r="AL29" i="36"/>
  <c r="AD8" i="36"/>
  <c r="AE9" i="36"/>
  <c r="AB27" i="36"/>
  <c r="AG31" i="36"/>
  <c r="AE12" i="36"/>
  <c r="AD10" i="36"/>
  <c r="AE3" i="36"/>
  <c r="AE29" i="36"/>
  <c r="AL23" i="36"/>
  <c r="AE31" i="36"/>
  <c r="AE13" i="36"/>
  <c r="AG17" i="36"/>
  <c r="AB3" i="36"/>
  <c r="AD25" i="36"/>
  <c r="AE8" i="36"/>
  <c r="AD9" i="36"/>
  <c r="Z25" i="36"/>
  <c r="AI18" i="36"/>
  <c r="AB10" i="36"/>
  <c r="AI23" i="36"/>
  <c r="Z7" i="36"/>
  <c r="AL16" i="36"/>
  <c r="AB5" i="36"/>
  <c r="AI3" i="36"/>
  <c r="Z32" i="36"/>
  <c r="AG12" i="36"/>
  <c r="Z23" i="36"/>
  <c r="AB13" i="36"/>
  <c r="AG9" i="36"/>
  <c r="AB21" i="36"/>
  <c r="AB6" i="36"/>
  <c r="AB24" i="36"/>
  <c r="AD11" i="36"/>
  <c r="AB15" i="36"/>
  <c r="Z21" i="36"/>
  <c r="AG27" i="36"/>
  <c r="AB28" i="36"/>
  <c r="AI9" i="36"/>
  <c r="AB11" i="36"/>
  <c r="AE5" i="36"/>
  <c r="AL24" i="36"/>
  <c r="AL26" i="36"/>
  <c r="AL18" i="36"/>
  <c r="AI20" i="36"/>
  <c r="AD15" i="36"/>
  <c r="Z27" i="36"/>
  <c r="AI12" i="36"/>
  <c r="AB26" i="36"/>
  <c r="AE30" i="36"/>
  <c r="AE11" i="36"/>
  <c r="AG11" i="36"/>
  <c r="AE15" i="36"/>
  <c r="AD14" i="36"/>
  <c r="AI8" i="36"/>
  <c r="AE16" i="36"/>
  <c r="AL3" i="36"/>
  <c r="AL17" i="36"/>
  <c r="AE7" i="36"/>
  <c r="AE23" i="36"/>
  <c r="AL7" i="36"/>
  <c r="AG3" i="36"/>
  <c r="AD27" i="36"/>
  <c r="Z19" i="36"/>
  <c r="AL30" i="36"/>
  <c r="AB23" i="36"/>
  <c r="AB32" i="36"/>
  <c r="Z10" i="36"/>
  <c r="AI4" i="36"/>
  <c r="AG7" i="36"/>
  <c r="AG21" i="36"/>
  <c r="AD21" i="36"/>
  <c r="AL10" i="36"/>
  <c r="Z31" i="36"/>
  <c r="AG32" i="36"/>
  <c r="G105" i="85" l="1"/>
  <c r="B103" i="85"/>
  <c r="B111" i="85"/>
  <c r="D111" i="85"/>
  <c r="E112" i="85"/>
  <c r="E105" i="85"/>
  <c r="G112" i="85"/>
  <c r="D103" i="85"/>
  <c r="H216" i="84"/>
  <c r="H224" i="84"/>
  <c r="H208" i="84"/>
  <c r="G214" i="84"/>
  <c r="D225" i="84"/>
  <c r="E208" i="84"/>
  <c r="B236" i="84"/>
  <c r="B227" i="84"/>
  <c r="G234" i="84"/>
  <c r="D231" i="84"/>
  <c r="G211" i="84"/>
  <c r="G221" i="84"/>
  <c r="G207" i="84"/>
  <c r="E212" i="84"/>
  <c r="D218" i="84"/>
  <c r="B230" i="84"/>
  <c r="E216" i="84"/>
  <c r="D219" i="84"/>
  <c r="E224" i="84"/>
  <c r="G222" i="84"/>
  <c r="G230" i="84"/>
  <c r="G228" i="84"/>
  <c r="B215" i="84"/>
  <c r="E213" i="84"/>
  <c r="B232" i="84"/>
  <c r="B219" i="84"/>
  <c r="D215" i="84"/>
  <c r="B228" i="84"/>
  <c r="B210" i="84"/>
  <c r="B225" i="84"/>
  <c r="B217" i="84"/>
  <c r="E207" i="84"/>
  <c r="B209" i="84"/>
  <c r="G220" i="84"/>
  <c r="E227" i="84"/>
  <c r="B214" i="84"/>
  <c r="E222" i="84"/>
  <c r="D213" i="84"/>
  <c r="D229" i="84"/>
  <c r="B207" i="84"/>
  <c r="G227" i="84"/>
  <c r="D214" i="84"/>
  <c r="B231" i="84"/>
  <c r="D212" i="84"/>
  <c r="G233" i="84"/>
  <c r="B233" i="84"/>
  <c r="B212" i="84"/>
  <c r="E219" i="84"/>
  <c r="E232" i="84"/>
  <c r="D221" i="84"/>
  <c r="G229" i="84"/>
  <c r="E229" i="84"/>
  <c r="G224" i="84"/>
  <c r="B229" i="84"/>
  <c r="E228" i="84"/>
  <c r="E234" i="84"/>
  <c r="D228" i="84"/>
  <c r="B226" i="84"/>
  <c r="E226" i="84"/>
  <c r="E230" i="84"/>
  <c r="B220" i="84"/>
  <c r="E235" i="84"/>
  <c r="D222" i="84"/>
  <c r="D209" i="84"/>
  <c r="D232" i="84"/>
  <c r="B222" i="84"/>
  <c r="B235" i="84"/>
  <c r="B218" i="84"/>
  <c r="E223" i="84"/>
  <c r="B213" i="84"/>
  <c r="G216" i="84"/>
  <c r="D207" i="84"/>
  <c r="G218" i="84"/>
  <c r="G236" i="84"/>
  <c r="D227" i="84"/>
  <c r="E215" i="84"/>
  <c r="D234" i="84"/>
  <c r="G226" i="84"/>
  <c r="D210" i="84"/>
  <c r="G232" i="84"/>
  <c r="D220" i="84"/>
  <c r="D223" i="84"/>
  <c r="G208" i="84"/>
  <c r="E209" i="84"/>
  <c r="G209" i="84"/>
  <c r="G223" i="84"/>
  <c r="E236" i="84"/>
  <c r="D226" i="84"/>
  <c r="D211" i="84"/>
  <c r="E233" i="84"/>
  <c r="D217" i="84"/>
  <c r="D230" i="84"/>
  <c r="E218" i="84"/>
  <c r="G235" i="84"/>
  <c r="E221" i="84"/>
  <c r="B221" i="84"/>
  <c r="D236" i="84"/>
  <c r="E214" i="84"/>
  <c r="E211" i="84"/>
  <c r="G213" i="84"/>
  <c r="B234" i="84"/>
  <c r="G219" i="84"/>
  <c r="D233" i="84"/>
  <c r="D235" i="84"/>
  <c r="E220" i="84"/>
  <c r="G212" i="84"/>
  <c r="B223" i="84"/>
  <c r="B211" i="84"/>
  <c r="G215" i="84"/>
  <c r="P27" i="73"/>
  <c r="F108" i="84"/>
  <c r="L35" i="84"/>
  <c r="F225" i="84"/>
  <c r="C224" i="84"/>
  <c r="K34" i="84"/>
  <c r="F231" i="84"/>
  <c r="L41" i="84"/>
  <c r="F210" i="84"/>
  <c r="L20" i="84"/>
  <c r="C216" i="84"/>
  <c r="K26" i="84"/>
  <c r="L27" i="84"/>
  <c r="F217" i="84"/>
  <c r="C208" i="84"/>
  <c r="K18" i="84"/>
  <c r="AM27" i="36"/>
  <c r="AN27" i="36"/>
  <c r="AC27" i="36"/>
  <c r="AC8" i="36"/>
  <c r="AN8" i="36"/>
  <c r="AM8" i="36"/>
  <c r="AJ31" i="36"/>
  <c r="AK31" i="36"/>
  <c r="AF22" i="36"/>
  <c r="AF25" i="36"/>
  <c r="AH32" i="36"/>
  <c r="AH4" i="36"/>
  <c r="AF9" i="36"/>
  <c r="AH29" i="36"/>
  <c r="AF32" i="36"/>
  <c r="AO20" i="36"/>
  <c r="AF20" i="36"/>
  <c r="AF18" i="36"/>
  <c r="AF5" i="36"/>
  <c r="AJ26" i="36"/>
  <c r="AK26" i="36"/>
  <c r="AA19" i="36"/>
  <c r="AO19" i="36"/>
  <c r="AM24" i="36"/>
  <c r="E46" i="7"/>
  <c r="AC24" i="36"/>
  <c r="E46" i="82"/>
  <c r="K33" i="77" s="1"/>
  <c r="AN24" i="36"/>
  <c r="AA5" i="36"/>
  <c r="AO5" i="36"/>
  <c r="AF14" i="36"/>
  <c r="AK7" i="36"/>
  <c r="AJ7" i="36"/>
  <c r="AK29" i="36"/>
  <c r="AJ29" i="36"/>
  <c r="AC11" i="36"/>
  <c r="AM11" i="36"/>
  <c r="AN11" i="36"/>
  <c r="AO4" i="36"/>
  <c r="AA4" i="36"/>
  <c r="AO3" i="36"/>
  <c r="AA3" i="36"/>
  <c r="AF19" i="36"/>
  <c r="AA31" i="36"/>
  <c r="AO31" i="36"/>
  <c r="AF13" i="36"/>
  <c r="AH3" i="36"/>
  <c r="AN6" i="36"/>
  <c r="AM6" i="36"/>
  <c r="AC6" i="36"/>
  <c r="AK15" i="36"/>
  <c r="AJ15" i="36"/>
  <c r="AH28" i="36"/>
  <c r="AK10" i="36"/>
  <c r="AJ10" i="36"/>
  <c r="AH5" i="36"/>
  <c r="AK17" i="36"/>
  <c r="AJ17" i="36"/>
  <c r="AK28" i="36"/>
  <c r="AJ28" i="36"/>
  <c r="AA18" i="36"/>
  <c r="AO18" i="36"/>
  <c r="AA6" i="36"/>
  <c r="AO6" i="36"/>
  <c r="AF23" i="36"/>
  <c r="AC29" i="36"/>
  <c r="AN29" i="36"/>
  <c r="AM29" i="36"/>
  <c r="AH15" i="36"/>
  <c r="AA9" i="36"/>
  <c r="AO9" i="36"/>
  <c r="AH22" i="36"/>
  <c r="AM30" i="36"/>
  <c r="AC30" i="36"/>
  <c r="AN30" i="36"/>
  <c r="AH17" i="36"/>
  <c r="AC16" i="36"/>
  <c r="AN16" i="36"/>
  <c r="AM16" i="36"/>
  <c r="AF7" i="36"/>
  <c r="AC21" i="36"/>
  <c r="AN21" i="36"/>
  <c r="AM21" i="36"/>
  <c r="AA8" i="36"/>
  <c r="AO8" i="36"/>
  <c r="AN23" i="36"/>
  <c r="AM23" i="36"/>
  <c r="AC23" i="36"/>
  <c r="AH9" i="36"/>
  <c r="AH10" i="36"/>
  <c r="AH23" i="36"/>
  <c r="AJ22" i="36"/>
  <c r="AK22" i="36"/>
  <c r="AJ9" i="36"/>
  <c r="AK9" i="36"/>
  <c r="AM13" i="36"/>
  <c r="AC13" i="36"/>
  <c r="AN13" i="36"/>
  <c r="AO12" i="36"/>
  <c r="AA12" i="36"/>
  <c r="AH24" i="36"/>
  <c r="I46" i="82"/>
  <c r="P33" i="77" s="1"/>
  <c r="I46" i="7"/>
  <c r="AA17" i="36"/>
  <c r="AO17" i="36"/>
  <c r="AO22" i="36"/>
  <c r="AA22" i="36"/>
  <c r="AF31" i="36"/>
  <c r="AF16" i="36"/>
  <c r="AA23" i="36"/>
  <c r="AO23" i="36"/>
  <c r="AF4" i="36"/>
  <c r="AN17" i="36"/>
  <c r="AM17" i="36"/>
  <c r="AC17" i="36"/>
  <c r="AK8" i="36"/>
  <c r="AJ8" i="36"/>
  <c r="AH12" i="36"/>
  <c r="AF21" i="36"/>
  <c r="AF6" i="36"/>
  <c r="AK16" i="36"/>
  <c r="AJ16" i="36"/>
  <c r="AA16" i="36"/>
  <c r="AO16" i="36"/>
  <c r="AO28" i="36"/>
  <c r="AA28" i="36"/>
  <c r="AA32" i="36"/>
  <c r="AO32" i="36"/>
  <c r="AO29" i="36"/>
  <c r="AA29" i="36"/>
  <c r="AN18" i="36"/>
  <c r="AM18" i="36"/>
  <c r="AC18" i="36"/>
  <c r="AF26" i="36"/>
  <c r="H46" i="82"/>
  <c r="O33" i="77" s="1"/>
  <c r="H46" i="7"/>
  <c r="AF24" i="36"/>
  <c r="AH21" i="36"/>
  <c r="AO30" i="36"/>
  <c r="AA30" i="36"/>
  <c r="AF15" i="36"/>
  <c r="AK3" i="36"/>
  <c r="AJ3" i="36"/>
  <c r="AA26" i="36"/>
  <c r="AO26" i="36"/>
  <c r="C46" i="82"/>
  <c r="F33" i="77" s="1"/>
  <c r="C46" i="7"/>
  <c r="AA24" i="36"/>
  <c r="D46" i="7" s="1"/>
  <c r="AO24" i="36"/>
  <c r="AH11" i="36"/>
  <c r="AN5" i="36"/>
  <c r="AC5" i="36"/>
  <c r="AM5" i="36"/>
  <c r="AA13" i="36"/>
  <c r="AO13" i="36"/>
  <c r="AN31" i="36"/>
  <c r="AM31" i="36"/>
  <c r="AC31" i="36"/>
  <c r="AH26" i="36"/>
  <c r="AC28" i="36"/>
  <c r="AM28" i="36"/>
  <c r="AN28" i="36"/>
  <c r="AF11" i="36"/>
  <c r="AA14" i="36"/>
  <c r="AO14" i="36"/>
  <c r="AC14" i="36"/>
  <c r="AN14" i="36"/>
  <c r="AM14" i="36"/>
  <c r="AK5" i="36"/>
  <c r="AJ5" i="36"/>
  <c r="AH13" i="36"/>
  <c r="AH7" i="36"/>
  <c r="AF10" i="36"/>
  <c r="AF30" i="36"/>
  <c r="AA7" i="36"/>
  <c r="AO7" i="36"/>
  <c r="AK25" i="36"/>
  <c r="AJ25" i="36"/>
  <c r="AK19" i="36"/>
  <c r="AJ19" i="36"/>
  <c r="AH6" i="36"/>
  <c r="AC19" i="36"/>
  <c r="AM19" i="36"/>
  <c r="AN19" i="36"/>
  <c r="AH20" i="36"/>
  <c r="AF29" i="36"/>
  <c r="AN26" i="36"/>
  <c r="AM26" i="36"/>
  <c r="AC26" i="36"/>
  <c r="AK23" i="36"/>
  <c r="AJ23" i="36"/>
  <c r="AH8" i="36"/>
  <c r="AO15" i="36"/>
  <c r="AA15" i="36"/>
  <c r="AF17" i="36"/>
  <c r="AF28" i="36"/>
  <c r="AJ4" i="36"/>
  <c r="AN4" i="36"/>
  <c r="AK4" i="36"/>
  <c r="AH27" i="36"/>
  <c r="AK12" i="36"/>
  <c r="AJ12" i="36"/>
  <c r="AN12" i="36"/>
  <c r="AN10" i="36"/>
  <c r="AC10" i="36"/>
  <c r="AM10" i="36"/>
  <c r="AN9" i="36"/>
  <c r="AM9" i="36"/>
  <c r="AC9" i="36"/>
  <c r="AH30" i="36"/>
  <c r="AJ11" i="36"/>
  <c r="AK11" i="36"/>
  <c r="AF3" i="36"/>
  <c r="AA27" i="36"/>
  <c r="AO27" i="36"/>
  <c r="AJ18" i="36"/>
  <c r="AK18" i="36"/>
  <c r="AH18" i="36"/>
  <c r="AA11" i="36"/>
  <c r="AO11" i="36"/>
  <c r="AH25" i="36"/>
  <c r="AJ14" i="36"/>
  <c r="AK14" i="36"/>
  <c r="AA21" i="36"/>
  <c r="AO21" i="36"/>
  <c r="AO25" i="36"/>
  <c r="AA25" i="36"/>
  <c r="AN25" i="36"/>
  <c r="AC25" i="36"/>
  <c r="AM25" i="36"/>
  <c r="AK32" i="36"/>
  <c r="AJ32" i="36"/>
  <c r="AC7" i="36"/>
  <c r="AN7" i="36"/>
  <c r="AM7" i="36"/>
  <c r="AA10" i="36"/>
  <c r="AO10" i="36"/>
  <c r="AJ20" i="36"/>
  <c r="AN20" i="36"/>
  <c r="AK20" i="36"/>
  <c r="J46" i="7"/>
  <c r="J46" i="82"/>
  <c r="Q33" i="77" s="1"/>
  <c r="AK24" i="36"/>
  <c r="K43" i="7" s="1"/>
  <c r="AJ24" i="36"/>
  <c r="AF12" i="36"/>
  <c r="AF8" i="36"/>
  <c r="AK30" i="36"/>
  <c r="AJ30" i="36"/>
  <c r="AH14" i="36"/>
  <c r="AF27" i="36"/>
  <c r="AH16" i="36"/>
  <c r="AN15" i="36"/>
  <c r="AM15" i="36"/>
  <c r="AC15" i="36"/>
  <c r="G46" i="7"/>
  <c r="G46" i="82"/>
  <c r="M33" i="77" s="1"/>
  <c r="AH19" i="36"/>
  <c r="AM32" i="36"/>
  <c r="AC32" i="36"/>
  <c r="AN32" i="36"/>
  <c r="AH31" i="36"/>
  <c r="L43" i="7"/>
  <c r="AC3" i="36"/>
  <c r="AN3" i="36"/>
  <c r="AM3" i="36"/>
  <c r="AC22" i="36"/>
  <c r="AN22" i="36"/>
  <c r="AM22" i="36"/>
  <c r="J26" i="80"/>
  <c r="K899" i="80"/>
  <c r="O1757" i="69"/>
  <c r="K893" i="36"/>
  <c r="K897" i="80"/>
  <c r="K900" i="80"/>
  <c r="O1683" i="69"/>
  <c r="K898" i="80"/>
  <c r="K896" i="80"/>
  <c r="J25" i="80"/>
  <c r="U25" i="80" s="1"/>
  <c r="K895" i="36"/>
  <c r="K901" i="80"/>
  <c r="E25" i="73"/>
  <c r="O1759" i="69"/>
  <c r="B52" i="6"/>
  <c r="K52" i="6"/>
  <c r="L9" i="34"/>
  <c r="I53" i="6" s="1"/>
  <c r="F52" i="6"/>
  <c r="G52" i="6"/>
  <c r="H52" i="6"/>
  <c r="J52" i="6"/>
  <c r="E52" i="6"/>
  <c r="D52" i="6"/>
  <c r="I52" i="6"/>
  <c r="A52" i="6"/>
  <c r="K892" i="36"/>
  <c r="N27" i="73"/>
  <c r="U26" i="36"/>
  <c r="T27" i="73" s="1"/>
  <c r="H48" i="29"/>
  <c r="O1682" i="69"/>
  <c r="K891" i="36"/>
  <c r="K894" i="36"/>
  <c r="O1758" i="69"/>
  <c r="K890" i="36"/>
  <c r="O1681" i="69"/>
  <c r="B4" i="59"/>
  <c r="J25" i="36"/>
  <c r="E113" i="85" l="1"/>
  <c r="G104" i="85"/>
  <c r="C103" i="85"/>
  <c r="B106" i="85"/>
  <c r="G108" i="85"/>
  <c r="E104" i="85"/>
  <c r="E110" i="85"/>
  <c r="B113" i="85"/>
  <c r="D107" i="85"/>
  <c r="B109" i="85"/>
  <c r="G109" i="85"/>
  <c r="G110" i="85"/>
  <c r="G102" i="85"/>
  <c r="F112" i="85"/>
  <c r="E106" i="85"/>
  <c r="D112" i="85"/>
  <c r="G103" i="85"/>
  <c r="D110" i="85"/>
  <c r="G106" i="85"/>
  <c r="G107" i="85"/>
  <c r="E109" i="85"/>
  <c r="D109" i="85"/>
  <c r="H103" i="85"/>
  <c r="D106" i="85"/>
  <c r="G113" i="85"/>
  <c r="B104" i="85"/>
  <c r="E111" i="85"/>
  <c r="C111" i="85"/>
  <c r="D102" i="85"/>
  <c r="D104" i="85"/>
  <c r="B102" i="85"/>
  <c r="E102" i="85"/>
  <c r="E108" i="85"/>
  <c r="H111" i="85"/>
  <c r="B105" i="85"/>
  <c r="D105" i="85"/>
  <c r="G111" i="85"/>
  <c r="B107" i="85"/>
  <c r="B112" i="85"/>
  <c r="B110" i="85"/>
  <c r="D113" i="85"/>
  <c r="F105" i="85"/>
  <c r="B108" i="85"/>
  <c r="D108" i="85"/>
  <c r="E107" i="85"/>
  <c r="E103" i="85"/>
  <c r="H217" i="84"/>
  <c r="H102" i="84"/>
  <c r="H91" i="84"/>
  <c r="H223" i="84"/>
  <c r="H96" i="84"/>
  <c r="H87" i="84"/>
  <c r="H227" i="84"/>
  <c r="H220" i="84"/>
  <c r="H229" i="84"/>
  <c r="H214" i="84"/>
  <c r="H86" i="84"/>
  <c r="H105" i="84"/>
  <c r="H98" i="84"/>
  <c r="H93" i="84"/>
  <c r="H212" i="84"/>
  <c r="H219" i="84"/>
  <c r="H235" i="84"/>
  <c r="H215" i="84"/>
  <c r="H90" i="84"/>
  <c r="H88" i="84"/>
  <c r="H226" i="84"/>
  <c r="H114" i="84"/>
  <c r="H97" i="84"/>
  <c r="H107" i="84"/>
  <c r="H92" i="84"/>
  <c r="H230" i="84"/>
  <c r="H113" i="84"/>
  <c r="H222" i="84"/>
  <c r="H233" i="84"/>
  <c r="L46" i="82"/>
  <c r="H101" i="84"/>
  <c r="H218" i="84"/>
  <c r="H104" i="84"/>
  <c r="H211" i="84"/>
  <c r="H94" i="84"/>
  <c r="H108" i="84"/>
  <c r="H100" i="84"/>
  <c r="H225" i="84"/>
  <c r="H112" i="84"/>
  <c r="H111" i="84"/>
  <c r="H85" i="84"/>
  <c r="H213" i="84"/>
  <c r="H236" i="84"/>
  <c r="H89" i="84"/>
  <c r="H110" i="84"/>
  <c r="H221" i="84"/>
  <c r="H95" i="84"/>
  <c r="H103" i="84"/>
  <c r="H109" i="84"/>
  <c r="H207" i="84"/>
  <c r="H232" i="84"/>
  <c r="H209" i="84"/>
  <c r="H99" i="84"/>
  <c r="H234" i="84"/>
  <c r="H210" i="84"/>
  <c r="H231" i="84"/>
  <c r="C207" i="84"/>
  <c r="K17" i="84"/>
  <c r="F214" i="84"/>
  <c r="L24" i="84"/>
  <c r="C219" i="84"/>
  <c r="K29" i="84"/>
  <c r="F224" i="84"/>
  <c r="L34" i="84"/>
  <c r="L28" i="84"/>
  <c r="F218" i="84"/>
  <c r="C223" i="84"/>
  <c r="K33" i="84"/>
  <c r="K28" i="84"/>
  <c r="C218" i="84"/>
  <c r="C235" i="84"/>
  <c r="K45" i="84"/>
  <c r="L23" i="84"/>
  <c r="F213" i="84"/>
  <c r="K39" i="84"/>
  <c r="C229" i="84"/>
  <c r="C214" i="84"/>
  <c r="K24" i="84"/>
  <c r="F208" i="84"/>
  <c r="L18" i="84"/>
  <c r="K40" i="84"/>
  <c r="C230" i="84"/>
  <c r="C222" i="84"/>
  <c r="K32" i="84"/>
  <c r="L22" i="84"/>
  <c r="F212" i="84"/>
  <c r="C220" i="84"/>
  <c r="K30" i="84"/>
  <c r="K36" i="84"/>
  <c r="C226" i="84"/>
  <c r="L26" i="84"/>
  <c r="F216" i="84"/>
  <c r="L39" i="84"/>
  <c r="F229" i="84"/>
  <c r="F209" i="84"/>
  <c r="L19" i="84"/>
  <c r="F220" i="84"/>
  <c r="L30" i="84"/>
  <c r="C234" i="84"/>
  <c r="K44" i="84"/>
  <c r="K43" i="84"/>
  <c r="C233" i="84"/>
  <c r="F221" i="84"/>
  <c r="L31" i="84"/>
  <c r="C210" i="84"/>
  <c r="K20" i="84"/>
  <c r="F46" i="7"/>
  <c r="K38" i="84"/>
  <c r="C228" i="84"/>
  <c r="F223" i="84"/>
  <c r="L33" i="84"/>
  <c r="L29" i="84"/>
  <c r="F219" i="84"/>
  <c r="K25" i="84"/>
  <c r="C215" i="84"/>
  <c r="L40" i="84"/>
  <c r="F230" i="84"/>
  <c r="C212" i="84"/>
  <c r="K22" i="84"/>
  <c r="L38" i="84"/>
  <c r="F228" i="84"/>
  <c r="L36" i="84"/>
  <c r="F226" i="84"/>
  <c r="L42" i="84"/>
  <c r="F232" i="84"/>
  <c r="L46" i="7"/>
  <c r="H106" i="84"/>
  <c r="C236" i="84"/>
  <c r="K46" i="84"/>
  <c r="L25" i="84"/>
  <c r="F215" i="84"/>
  <c r="C221" i="84"/>
  <c r="K31" i="84"/>
  <c r="L43" i="84"/>
  <c r="F233" i="84"/>
  <c r="C231" i="84"/>
  <c r="K41" i="84"/>
  <c r="K27" i="84"/>
  <c r="C217" i="84"/>
  <c r="C225" i="84"/>
  <c r="K35" i="84"/>
  <c r="F211" i="84"/>
  <c r="L21" i="84"/>
  <c r="F234" i="84"/>
  <c r="L44" i="84"/>
  <c r="L46" i="84"/>
  <c r="F236" i="84"/>
  <c r="L32" i="84"/>
  <c r="F222" i="84"/>
  <c r="K42" i="84"/>
  <c r="C232" i="84"/>
  <c r="K19" i="84"/>
  <c r="C209" i="84"/>
  <c r="C227" i="84"/>
  <c r="K37" i="84"/>
  <c r="K46" i="7"/>
  <c r="H228" i="84"/>
  <c r="C211" i="84"/>
  <c r="K21" i="84"/>
  <c r="K23" i="84"/>
  <c r="C213" i="84"/>
  <c r="L37" i="84"/>
  <c r="F227" i="84"/>
  <c r="F207" i="84"/>
  <c r="L17" i="84"/>
  <c r="L45" i="84"/>
  <c r="F235" i="84"/>
  <c r="F46" i="82"/>
  <c r="L33" i="77" s="1"/>
  <c r="K46" i="82"/>
  <c r="S33" i="77" s="1"/>
  <c r="D46" i="82"/>
  <c r="H33" i="77" s="1"/>
  <c r="U26" i="80"/>
  <c r="V26" i="80"/>
  <c r="U27" i="73"/>
  <c r="E27" i="73" s="1"/>
  <c r="H27" i="73"/>
  <c r="G27" i="73"/>
  <c r="F27" i="73"/>
  <c r="I51" i="7"/>
  <c r="J14" i="82"/>
  <c r="I43" i="7"/>
  <c r="L32" i="7"/>
  <c r="H25" i="36"/>
  <c r="H25" i="80"/>
  <c r="C53" i="6"/>
  <c r="E53" i="6"/>
  <c r="H53" i="6"/>
  <c r="B53" i="6"/>
  <c r="G53" i="6"/>
  <c r="A53" i="6"/>
  <c r="K53" i="6"/>
  <c r="F53" i="6"/>
  <c r="D53" i="6"/>
  <c r="L10" i="34"/>
  <c r="L11" i="34" s="1"/>
  <c r="L12" i="34" s="1"/>
  <c r="J53" i="6"/>
  <c r="N26" i="73"/>
  <c r="U25" i="36"/>
  <c r="T26" i="73" s="1"/>
  <c r="H47" i="29"/>
  <c r="J14" i="7"/>
  <c r="B12" i="2"/>
  <c r="D12" i="2" s="1"/>
  <c r="J4" i="4"/>
  <c r="C108" i="85" l="1"/>
  <c r="C104" i="85"/>
  <c r="C105" i="85"/>
  <c r="C102" i="85"/>
  <c r="H104" i="85"/>
  <c r="H102" i="85"/>
  <c r="H48" i="85"/>
  <c r="H108" i="85"/>
  <c r="H106" i="85"/>
  <c r="H41" i="85"/>
  <c r="H107" i="85"/>
  <c r="H39" i="85"/>
  <c r="H49" i="85"/>
  <c r="F104" i="85"/>
  <c r="F103" i="85"/>
  <c r="H38" i="85"/>
  <c r="H43" i="85"/>
  <c r="H46" i="85"/>
  <c r="H109" i="85"/>
  <c r="C106" i="85"/>
  <c r="F106" i="85"/>
  <c r="C107" i="85"/>
  <c r="F107" i="85"/>
  <c r="C113" i="85"/>
  <c r="F113" i="85"/>
  <c r="C109" i="85"/>
  <c r="H47" i="85"/>
  <c r="H45" i="85"/>
  <c r="H110" i="85"/>
  <c r="H112" i="85"/>
  <c r="F111" i="85"/>
  <c r="F108" i="85"/>
  <c r="F102" i="85"/>
  <c r="C112" i="85"/>
  <c r="F110" i="85"/>
  <c r="C110" i="85"/>
  <c r="F109" i="85"/>
  <c r="H105" i="85"/>
  <c r="H42" i="85"/>
  <c r="H113" i="85"/>
  <c r="H40" i="85"/>
  <c r="H44" i="85"/>
  <c r="G11" i="84"/>
  <c r="G39" i="84"/>
  <c r="B107" i="84"/>
  <c r="D27" i="73"/>
  <c r="I9" i="82"/>
  <c r="D34" i="82"/>
  <c r="F14" i="82"/>
  <c r="AA20" i="77"/>
  <c r="E51" i="7"/>
  <c r="G43" i="7"/>
  <c r="D32" i="7"/>
  <c r="A61" i="7"/>
  <c r="I8" i="79"/>
  <c r="F47" i="29"/>
  <c r="F4" i="4"/>
  <c r="F14" i="7"/>
  <c r="A36" i="77" s="1"/>
  <c r="B10" i="2"/>
  <c r="D10" i="2" s="1"/>
  <c r="S25" i="36"/>
  <c r="L26" i="73"/>
  <c r="U26" i="73" s="1"/>
  <c r="I9" i="7"/>
  <c r="S44" i="77" s="1"/>
  <c r="D34" i="7"/>
  <c r="D37" i="76"/>
  <c r="I37" i="76" s="1"/>
  <c r="W25" i="36"/>
  <c r="D24" i="4"/>
  <c r="I5" i="76"/>
  <c r="V25" i="36"/>
  <c r="W25" i="80"/>
  <c r="S25" i="80"/>
  <c r="V25" i="80"/>
  <c r="L13" i="34"/>
  <c r="D11" i="85" l="1"/>
  <c r="A15" i="85" s="1"/>
  <c r="Q26" i="73"/>
  <c r="G107" i="84"/>
  <c r="P26" i="73"/>
  <c r="F107" i="84"/>
  <c r="P47" i="29"/>
  <c r="D107" i="84"/>
  <c r="AA18" i="77"/>
  <c r="V7" i="77"/>
  <c r="AA26" i="77"/>
  <c r="R26" i="73"/>
  <c r="H26" i="73"/>
  <c r="F26" i="73"/>
  <c r="G26" i="73"/>
  <c r="H37" i="76"/>
  <c r="K37" i="76" s="1"/>
  <c r="A9" i="76" s="1"/>
  <c r="E26" i="73"/>
  <c r="D26" i="73"/>
  <c r="L14" i="34"/>
  <c r="L15" i="34" s="1"/>
  <c r="A7" i="76" l="1"/>
  <c r="D7" i="76" s="1"/>
  <c r="A6" i="76"/>
  <c r="E6" i="76" s="1"/>
  <c r="A5" i="76"/>
  <c r="D5" i="76" s="1"/>
  <c r="A8" i="76"/>
  <c r="D8" i="76" s="1"/>
  <c r="L16" i="34"/>
  <c r="L17" i="34" s="1"/>
  <c r="L18" i="34" s="1"/>
  <c r="L19" i="34" s="1"/>
  <c r="L20" i="34" s="1"/>
  <c r="L21" i="34" s="1"/>
  <c r="L22" i="34" s="1"/>
  <c r="L23" i="34" s="1"/>
  <c r="L24" i="34" s="1"/>
  <c r="L25" i="34" s="1"/>
  <c r="L26" i="34" s="1"/>
  <c r="L27" i="34" s="1"/>
  <c r="L28" i="34" s="1"/>
  <c r="L29" i="34" s="1"/>
  <c r="L30" i="34" s="1"/>
  <c r="L31" i="34" s="1"/>
  <c r="L32" i="34" s="1"/>
  <c r="L33" i="34" s="1"/>
  <c r="L34" i="34" s="1"/>
  <c r="L35" i="34" s="1"/>
  <c r="L36" i="34" s="1"/>
  <c r="L37" i="34" s="1"/>
  <c r="L38" i="34" s="1"/>
  <c r="L39" i="34" s="1"/>
  <c r="L40" i="34" s="1"/>
  <c r="L41" i="34" s="1"/>
  <c r="L42" i="34" s="1"/>
  <c r="L43" i="34" s="1"/>
  <c r="L44" i="34" s="1"/>
  <c r="F8" i="6" s="1"/>
  <c r="I15" i="5" s="1"/>
  <c r="A26" i="73"/>
  <c r="A8" i="73"/>
  <c r="A22" i="73"/>
  <c r="A11" i="73"/>
  <c r="A10" i="73"/>
  <c r="A29" i="73"/>
  <c r="A12" i="73"/>
  <c r="A16" i="73"/>
  <c r="A4" i="73"/>
  <c r="A31" i="73"/>
  <c r="A24" i="73"/>
  <c r="A9" i="73"/>
  <c r="A28" i="73"/>
  <c r="A5" i="73"/>
  <c r="A18" i="73"/>
  <c r="A33" i="73"/>
  <c r="A23" i="73"/>
  <c r="A30" i="73"/>
  <c r="A15" i="73"/>
  <c r="A21" i="73"/>
  <c r="A17" i="73"/>
  <c r="A20" i="73"/>
  <c r="A19" i="73"/>
  <c r="A25" i="73"/>
  <c r="A7" i="73"/>
  <c r="A13" i="73"/>
  <c r="A32" i="73"/>
  <c r="A6" i="73"/>
  <c r="A14" i="73"/>
  <c r="A27" i="73"/>
  <c r="E9" i="76"/>
  <c r="C9" i="76"/>
  <c r="B9" i="76"/>
  <c r="D9" i="76"/>
  <c r="B5" i="76" l="1"/>
  <c r="B17" i="2" s="1"/>
  <c r="D17" i="2" s="1"/>
  <c r="C5" i="76"/>
  <c r="E5" i="76"/>
  <c r="C6" i="76"/>
  <c r="D6" i="76"/>
  <c r="C7" i="76"/>
  <c r="E7" i="76"/>
  <c r="B6" i="76"/>
  <c r="B7" i="76"/>
  <c r="C8" i="76"/>
  <c r="E8" i="76"/>
  <c r="B8" i="76"/>
  <c r="D36" i="7"/>
  <c r="P4" i="4"/>
  <c r="D26"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99" authorId="0" shapeId="0" xr:uid="{D71E1E00-512F-4C42-A3A0-6D6ABFC90F76}">
      <text>
        <r>
          <rPr>
            <sz val="11"/>
            <color theme="1"/>
            <rFont val="Calibri"/>
            <family val="2"/>
            <scheme val="minor"/>
          </rPr>
          <t>Capture OIT dependencies, especially national coordination and equipment availability.</t>
        </r>
      </text>
    </comment>
    <comment ref="B108" authorId="0" shapeId="0" xr:uid="{B5206D8D-C5BA-43AA-B5D7-09D0168A2813}">
      <text>
        <r>
          <rPr>
            <sz val="11"/>
            <color theme="1"/>
            <rFont val="Calibri"/>
            <family val="2"/>
            <scheme val="minor"/>
          </rPr>
          <t>Capture OIT dependencies, especially national coordination and equipment availability.</t>
        </r>
      </text>
    </comment>
    <comment ref="B120" authorId="0" shapeId="0" xr:uid="{730CB63B-3B17-4B14-8D46-A636DD78D1DC}">
      <text>
        <r>
          <rPr>
            <sz val="11"/>
            <color theme="1"/>
            <rFont val="Calibri"/>
            <family val="2"/>
            <scheme val="minor"/>
          </rPr>
          <t>Compare installed materials against approved submittals/spec sections.</t>
        </r>
      </text>
    </comment>
    <comment ref="B129" authorId="0" shapeId="0" xr:uid="{BF79C9F9-472A-499C-9945-9524D07629C7}">
      <text>
        <r>
          <rPr>
            <sz val="11"/>
            <color theme="1"/>
            <rFont val="Calibri"/>
            <family val="2"/>
            <scheme val="minor"/>
          </rPr>
          <t>Planned vs actual production supports delay/time-extension rebuttal.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98" authorId="0" shapeId="0" xr:uid="{E6BBFDA7-2D94-405E-9B16-DFAF24488919}">
      <text>
        <r>
          <rPr>
            <sz val="11"/>
            <color theme="1"/>
            <rFont val="Calibri"/>
            <family val="2"/>
            <scheme val="minor"/>
          </rPr>
          <t>Dropdown status drives visual cue. Percent fields and evidence support payment defense.</t>
        </r>
      </text>
    </comment>
    <comment ref="B107" authorId="0" shapeId="0" xr:uid="{04A22E68-4C81-4BCE-9061-6F142CA150A1}">
      <text>
        <r>
          <rPr>
            <sz val="11"/>
            <color theme="1"/>
            <rFont val="Calibri"/>
            <family val="2"/>
            <scheme val="minor"/>
          </rPr>
          <t>Dropdown status drives visual cue. Percent fields and evidence support payment defense.</t>
        </r>
      </text>
    </comment>
    <comment ref="B119" authorId="0" shapeId="0" xr:uid="{316F3222-C732-4775-8C66-F4B5ABB32D53}">
      <text>
        <r>
          <rPr>
            <sz val="11"/>
            <color theme="1"/>
            <rFont val="Calibri"/>
            <family val="2"/>
            <scheme val="minor"/>
          </rPr>
          <t>Compare installed materials against approved submittals/spec sections.</t>
        </r>
      </text>
    </comment>
    <comment ref="B128" authorId="0" shapeId="0" xr:uid="{0CDB05C0-FB9A-4622-870C-24AC69A6AD5D}">
      <text>
        <r>
          <rPr>
            <sz val="11"/>
            <color theme="1"/>
            <rFont val="Calibri"/>
            <family val="2"/>
            <scheme val="minor"/>
          </rPr>
          <t>Planned vs actual production supports delay/time-extension rebuttal.</t>
        </r>
      </text>
    </comment>
    <comment ref="B136" authorId="0" shapeId="0" xr:uid="{834F3F04-1E10-4232-8472-C05D8A2C54DE}">
      <text>
        <r>
          <rPr>
            <sz val="11"/>
            <color theme="1"/>
            <rFont val="Calibri"/>
            <family val="2"/>
            <scheme val="minor"/>
          </rPr>
          <t>Final owner acceptance gate. These fields can feed PMIS_Data later.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110" authorId="0" shapeId="0" xr:uid="{66ED4AFC-FF4C-4F2B-B7F1-455C58E6FF0A}">
      <text>
        <r>
          <rPr>
            <sz val="11"/>
            <color theme="1"/>
            <rFont val="Calibri"/>
            <family val="2"/>
            <scheme val="minor"/>
          </rPr>
          <t>Dropdown status drives visual cue. Percent fields and evidence support payment defense.</t>
        </r>
      </text>
    </comment>
    <comment ref="B119" authorId="0" shapeId="0" xr:uid="{7C784AE1-944B-4E80-8F8A-A01525897105}">
      <text>
        <r>
          <rPr>
            <sz val="11"/>
            <color theme="1"/>
            <rFont val="Calibri"/>
            <family val="2"/>
            <scheme val="minor"/>
          </rPr>
          <t>Dropdown status drives visual cue. Percent fields and evidence support payment defense.</t>
        </r>
      </text>
    </comment>
    <comment ref="B131" authorId="0" shapeId="0" xr:uid="{E6382B5D-D459-4152-A435-1990445BB9E0}">
      <text>
        <r>
          <rPr>
            <sz val="11"/>
            <color theme="1"/>
            <rFont val="Calibri"/>
            <family val="2"/>
            <scheme val="minor"/>
          </rPr>
          <t>Compare installed materials against approved submittals/spec sections.</t>
        </r>
      </text>
    </comment>
    <comment ref="B140" authorId="0" shapeId="0" xr:uid="{A9D754AA-E9DA-4BA8-BAB3-458DA61E4784}">
      <text>
        <r>
          <rPr>
            <sz val="11"/>
            <color theme="1"/>
            <rFont val="Calibri"/>
            <family val="2"/>
            <scheme val="minor"/>
          </rPr>
          <t>Planned vs actual production supports delay/time-extension rebuttal.</t>
        </r>
      </text>
    </comment>
    <comment ref="B148" authorId="0" shapeId="0" xr:uid="{0F56E623-5907-4E5E-B226-8D1144215604}">
      <text>
        <r>
          <rPr>
            <sz val="11"/>
            <color theme="1"/>
            <rFont val="Calibri"/>
            <family val="2"/>
            <scheme val="minor"/>
          </rPr>
          <t>Final owner acceptance gate. These fields can feed PMIS_Data later.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109" authorId="0" shapeId="0" xr:uid="{4214F1F9-0D7F-494B-8F6B-34700F09D703}">
      <text>
        <r>
          <rPr>
            <sz val="11"/>
            <color theme="1"/>
            <rFont val="Calibri"/>
            <family val="2"/>
            <scheme val="minor"/>
          </rPr>
          <t>Dropdown status drives visual cue. Percent fields and evidence support payment defense.</t>
        </r>
      </text>
    </comment>
    <comment ref="B118" authorId="0" shapeId="0" xr:uid="{12477AD8-5A20-43AE-AD7B-FE14EB8E6426}">
      <text>
        <r>
          <rPr>
            <sz val="11"/>
            <color theme="1"/>
            <rFont val="Calibri"/>
            <family val="2"/>
            <scheme val="minor"/>
          </rPr>
          <t>Dropdown status drives visual cue. Percent fields and evidence support payment defense.</t>
        </r>
      </text>
    </comment>
    <comment ref="B130" authorId="0" shapeId="0" xr:uid="{352BE54B-B4BF-4FC5-BB03-D4B8460437A0}">
      <text>
        <r>
          <rPr>
            <sz val="11"/>
            <color theme="1"/>
            <rFont val="Calibri"/>
            <family val="2"/>
            <scheme val="minor"/>
          </rPr>
          <t>Compare installed materials against approved submittals/spec sections.</t>
        </r>
      </text>
    </comment>
    <comment ref="B139" authorId="0" shapeId="0" xr:uid="{83687C05-DFE0-48CE-8692-E0E47677A606}">
      <text>
        <r>
          <rPr>
            <sz val="11"/>
            <color theme="1"/>
            <rFont val="Calibri"/>
            <family val="2"/>
            <scheme val="minor"/>
          </rPr>
          <t>Planned vs actual production supports delay/time-extension rebuttal.</t>
        </r>
      </text>
    </comment>
    <comment ref="B147" authorId="0" shapeId="0" xr:uid="{6873ED1A-3B4A-4C40-AF91-A79EC0BF0BF3}">
      <text>
        <r>
          <rPr>
            <sz val="11"/>
            <color theme="1"/>
            <rFont val="Calibri"/>
            <family val="2"/>
            <scheme val="minor"/>
          </rPr>
          <t>Final owner acceptance gate. These fields can feed PMIS_Data later.</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100" authorId="0" shapeId="0" xr:uid="{A8997C50-01D4-477F-B7E8-41E7B11C740B}">
      <text>
        <r>
          <rPr>
            <sz val="11"/>
            <color theme="1"/>
            <rFont val="Calibri"/>
            <family val="2"/>
            <scheme val="minor"/>
          </rPr>
          <t>Dropdown status drives visual cue. Percent fields and evidence support payment defense.</t>
        </r>
      </text>
    </comment>
    <comment ref="B109" authorId="0" shapeId="0" xr:uid="{E7A1137A-EDC6-4C62-B249-33B1E49F1144}">
      <text>
        <r>
          <rPr>
            <sz val="11"/>
            <color theme="1"/>
            <rFont val="Calibri"/>
            <family val="2"/>
            <scheme val="minor"/>
          </rPr>
          <t>Dropdown status drives visual cue. Percent fields and evidence support payment defense.</t>
        </r>
      </text>
    </comment>
    <comment ref="B121" authorId="0" shapeId="0" xr:uid="{1C9748E7-EABE-4198-A014-45BCC36BB1F1}">
      <text>
        <r>
          <rPr>
            <sz val="11"/>
            <color theme="1"/>
            <rFont val="Calibri"/>
            <family val="2"/>
            <scheme val="minor"/>
          </rPr>
          <t>Compare installed materials against approved submittals/spec sections.</t>
        </r>
      </text>
    </comment>
    <comment ref="B130" authorId="0" shapeId="0" xr:uid="{AD177DB6-A661-4B4F-8B7D-033F66164779}">
      <text>
        <r>
          <rPr>
            <sz val="11"/>
            <color theme="1"/>
            <rFont val="Calibri"/>
            <family val="2"/>
            <scheme val="minor"/>
          </rPr>
          <t>Planned vs actual production supports delay/time-extension rebuttal.</t>
        </r>
      </text>
    </comment>
    <comment ref="B138" authorId="0" shapeId="0" xr:uid="{8D07A54F-4631-4B24-B857-E1FE9EFCBB80}">
      <text>
        <r>
          <rPr>
            <sz val="11"/>
            <color theme="1"/>
            <rFont val="Calibri"/>
            <family val="2"/>
            <scheme val="minor"/>
          </rPr>
          <t>Final owner acceptance gate. These fields can feed PMIS_Data later.</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86" authorId="0" shapeId="0" xr:uid="{DCF1F64E-ACA0-47D2-9110-C74BB50601DE}">
      <text>
        <r>
          <rPr>
            <sz val="11"/>
            <color theme="1"/>
            <rFont val="Calibri"/>
            <family val="2"/>
            <scheme val="minor"/>
          </rPr>
          <t>Dropdown status drives visual cue. Percent fields and evidence support payment defense.</t>
        </r>
      </text>
    </comment>
    <comment ref="B95" authorId="0" shapeId="0" xr:uid="{B599CAA2-6B07-4257-9F78-6758C3048175}">
      <text>
        <r>
          <rPr>
            <sz val="11"/>
            <color theme="1"/>
            <rFont val="Calibri"/>
            <family val="2"/>
            <scheme val="minor"/>
          </rPr>
          <t>Dropdown status drives visual cue. Percent fields and evidence support payment defense.</t>
        </r>
      </text>
    </comment>
    <comment ref="B107" authorId="0" shapeId="0" xr:uid="{BD751D29-AD20-43B0-B4C1-F4FE96CFCAB5}">
      <text>
        <r>
          <rPr>
            <sz val="11"/>
            <color theme="1"/>
            <rFont val="Calibri"/>
            <family val="2"/>
            <scheme val="minor"/>
          </rPr>
          <t>Compare installed materials against approved submittals/spec sections.</t>
        </r>
      </text>
    </comment>
    <comment ref="B116" authorId="0" shapeId="0" xr:uid="{9B584FC7-055E-41D0-B071-7D8EF5AE4FDE}">
      <text>
        <r>
          <rPr>
            <sz val="11"/>
            <color theme="1"/>
            <rFont val="Calibri"/>
            <family val="2"/>
            <scheme val="minor"/>
          </rPr>
          <t>Planned vs actual production supports delay/time-extension rebuttal.</t>
        </r>
      </text>
    </comment>
    <comment ref="B124" authorId="0" shapeId="0" xr:uid="{BBCD148A-6E58-4CE9-BC78-CE7716EE0860}">
      <text>
        <r>
          <rPr>
            <sz val="11"/>
            <color theme="1"/>
            <rFont val="Calibri"/>
            <family val="2"/>
            <scheme val="minor"/>
          </rPr>
          <t>Final owner acceptance gate. These fields can feed PMIS_Data later.</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100" authorId="0" shapeId="0" xr:uid="{D929D6EC-1857-406B-B173-CD42CE3D577B}">
      <text>
        <r>
          <rPr>
            <sz val="11"/>
            <color theme="1"/>
            <rFont val="Calibri"/>
            <family val="2"/>
            <scheme val="minor"/>
          </rPr>
          <t>Dropdown status drives visual cue. Percent fields and evidence support payment defense.</t>
        </r>
      </text>
    </comment>
    <comment ref="B109" authorId="0" shapeId="0" xr:uid="{300C20C4-D2DE-472B-8A18-123E194FCF3F}">
      <text>
        <r>
          <rPr>
            <sz val="11"/>
            <color theme="1"/>
            <rFont val="Calibri"/>
            <family val="2"/>
            <scheme val="minor"/>
          </rPr>
          <t>Dropdown status drives visual cue. Percent fields and evidence support payment defense.</t>
        </r>
      </text>
    </comment>
    <comment ref="B121" authorId="0" shapeId="0" xr:uid="{9771A61C-C134-414E-B5BA-441BB8DFC575}">
      <text>
        <r>
          <rPr>
            <sz val="11"/>
            <color theme="1"/>
            <rFont val="Calibri"/>
            <family val="2"/>
            <scheme val="minor"/>
          </rPr>
          <t>Compare installed materials against approved submittals/spec sections.</t>
        </r>
      </text>
    </comment>
    <comment ref="B130" authorId="0" shapeId="0" xr:uid="{6958F227-46E6-4CF0-BB43-E4309B34593B}">
      <text>
        <r>
          <rPr>
            <sz val="11"/>
            <color theme="1"/>
            <rFont val="Calibri"/>
            <family val="2"/>
            <scheme val="minor"/>
          </rPr>
          <t>Planned vs actual production supports delay/time-extension rebuttal.</t>
        </r>
      </text>
    </comment>
    <comment ref="B138" authorId="0" shapeId="0" xr:uid="{07134625-7143-48F5-9324-768D6BD80DE0}">
      <text>
        <r>
          <rPr>
            <sz val="11"/>
            <color theme="1"/>
            <rFont val="Calibri"/>
            <family val="2"/>
            <scheme val="minor"/>
          </rPr>
          <t>Final owner acceptance gate. These fields can feed PMIS_Data later.</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91" authorId="0" shapeId="0" xr:uid="{F385AD38-ADCE-4253-82DA-33DEC5EC2A91}">
      <text>
        <r>
          <rPr>
            <sz val="11"/>
            <color theme="1"/>
            <rFont val="Calibri"/>
            <family val="2"/>
            <scheme val="minor"/>
          </rPr>
          <t>Dropdown status drives visual cue. Percent fields and evidence support payment defense.</t>
        </r>
      </text>
    </comment>
    <comment ref="B100" authorId="0" shapeId="0" xr:uid="{F03788FC-B417-4739-9741-798A6EB9C3BB}">
      <text>
        <r>
          <rPr>
            <sz val="11"/>
            <color theme="1"/>
            <rFont val="Calibri"/>
            <family val="2"/>
            <scheme val="minor"/>
          </rPr>
          <t>Dropdown status drives visual cue. Percent fields and evidence support payment defense.</t>
        </r>
      </text>
    </comment>
    <comment ref="B112" authorId="0" shapeId="0" xr:uid="{B2D2769C-70B7-4D0B-9124-F40B06F4E28A}">
      <text>
        <r>
          <rPr>
            <sz val="11"/>
            <color theme="1"/>
            <rFont val="Calibri"/>
            <family val="2"/>
            <scheme val="minor"/>
          </rPr>
          <t>Compare installed materials against approved submittals/spec sections.</t>
        </r>
      </text>
    </comment>
    <comment ref="B121" authorId="0" shapeId="0" xr:uid="{678A62B8-63D5-410E-B8FF-F99E1D91FAEE}">
      <text>
        <r>
          <rPr>
            <sz val="11"/>
            <color theme="1"/>
            <rFont val="Calibri"/>
            <family val="2"/>
            <scheme val="minor"/>
          </rPr>
          <t>Planned vs actual production supports delay/time-extension rebuttal.</t>
        </r>
      </text>
    </comment>
    <comment ref="B129" authorId="0" shapeId="0" xr:uid="{0469D3D7-F83B-4654-9704-9AF8FDA1FDD7}">
      <text>
        <r>
          <rPr>
            <sz val="11"/>
            <color theme="1"/>
            <rFont val="Calibri"/>
            <family val="2"/>
            <scheme val="minor"/>
          </rPr>
          <t>Final owner acceptance gate. These fields can feed PMIS_Data later.</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100" authorId="0" shapeId="0" xr:uid="{BB92A534-8C56-4342-AA5B-72CCF9F0D915}">
      <text>
        <r>
          <rPr>
            <sz val="11"/>
            <color theme="1"/>
            <rFont val="Calibri"/>
            <family val="2"/>
            <scheme val="minor"/>
          </rPr>
          <t>Dropdown status drives visual cue. Percent fields and evidence support payment defense.</t>
        </r>
      </text>
    </comment>
    <comment ref="B109" authorId="0" shapeId="0" xr:uid="{6D8CD37D-A6E7-4F1C-8468-6A95062E8748}">
      <text>
        <r>
          <rPr>
            <sz val="11"/>
            <color theme="1"/>
            <rFont val="Calibri"/>
            <family val="2"/>
            <scheme val="minor"/>
          </rPr>
          <t>Dropdown status drives visual cue. Percent fields and evidence support payment defense.</t>
        </r>
      </text>
    </comment>
    <comment ref="B121" authorId="0" shapeId="0" xr:uid="{299F7631-CF90-47B7-A394-355F72817D8A}">
      <text>
        <r>
          <rPr>
            <sz val="11"/>
            <color theme="1"/>
            <rFont val="Calibri"/>
            <family val="2"/>
            <scheme val="minor"/>
          </rPr>
          <t>Compare installed materials against approved submittals/spec sections.</t>
        </r>
      </text>
    </comment>
    <comment ref="B130" authorId="0" shapeId="0" xr:uid="{DD7C8B4C-79DC-49DE-ABB4-3D5D9B966749}">
      <text>
        <r>
          <rPr>
            <sz val="11"/>
            <color theme="1"/>
            <rFont val="Calibri"/>
            <family val="2"/>
            <scheme val="minor"/>
          </rPr>
          <t>Planned vs actual production supports delay/time-extension rebuttal.</t>
        </r>
      </text>
    </comment>
    <comment ref="B138" authorId="0" shapeId="0" xr:uid="{2CAD5B91-6216-424E-9D3C-5A7420034FEE}">
      <text>
        <r>
          <rPr>
            <sz val="11"/>
            <color theme="1"/>
            <rFont val="Calibri"/>
            <family val="2"/>
            <scheme val="minor"/>
          </rPr>
          <t>Final owner acceptance gate. These fields can feed PMIS_Data later.</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100" authorId="0" shapeId="0" xr:uid="{80B6E7AD-2117-4533-9517-7804320C9C9A}">
      <text>
        <r>
          <rPr>
            <sz val="11"/>
            <color theme="1"/>
            <rFont val="Calibri"/>
            <family val="2"/>
            <scheme val="minor"/>
          </rPr>
          <t>Dropdown status drives visual cue. Percent fields and evidence support payment defense.</t>
        </r>
      </text>
    </comment>
    <comment ref="B109" authorId="0" shapeId="0" xr:uid="{4525A199-29B6-471D-ABE4-055C1230D580}">
      <text>
        <r>
          <rPr>
            <sz val="11"/>
            <color theme="1"/>
            <rFont val="Calibri"/>
            <family val="2"/>
            <scheme val="minor"/>
          </rPr>
          <t>Dropdown status drives visual cue. Percent fields and evidence support payment defense.</t>
        </r>
      </text>
    </comment>
    <comment ref="B121" authorId="0" shapeId="0" xr:uid="{FC187907-090D-4B46-8C84-FDC46A7AF5BB}">
      <text>
        <r>
          <rPr>
            <sz val="11"/>
            <color theme="1"/>
            <rFont val="Calibri"/>
            <family val="2"/>
            <scheme val="minor"/>
          </rPr>
          <t>Compare installed materials against approved submittals/spec sections.</t>
        </r>
      </text>
    </comment>
    <comment ref="B130" authorId="0" shapeId="0" xr:uid="{9C9EE832-4984-4836-BF63-AA324243AFD5}">
      <text>
        <r>
          <rPr>
            <sz val="11"/>
            <color theme="1"/>
            <rFont val="Calibri"/>
            <family val="2"/>
            <scheme val="minor"/>
          </rPr>
          <t>Planned vs actual production supports delay/time-extension rebuttal.</t>
        </r>
      </text>
    </comment>
    <comment ref="B138" authorId="0" shapeId="0" xr:uid="{3E900B24-6225-4CD2-969F-68DB29FBA827}">
      <text>
        <r>
          <rPr>
            <sz val="11"/>
            <color theme="1"/>
            <rFont val="Calibri"/>
            <family val="2"/>
            <scheme val="minor"/>
          </rPr>
          <t>Final owner acceptance gate. These fields can feed PMIS_Data later.</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100" authorId="0" shapeId="0" xr:uid="{AB47A1A4-ADF8-432B-8393-705BC4622DF4}">
      <text>
        <r>
          <rPr>
            <sz val="11"/>
            <color theme="1"/>
            <rFont val="Calibri"/>
            <family val="2"/>
            <scheme val="minor"/>
          </rPr>
          <t>Dropdown status drives visual cue. Percent fields and evidence support payment defense.</t>
        </r>
      </text>
    </comment>
    <comment ref="B109" authorId="0" shapeId="0" xr:uid="{4A2465C4-4E1E-45F6-977F-E4EF94E3BC2C}">
      <text>
        <r>
          <rPr>
            <sz val="11"/>
            <color theme="1"/>
            <rFont val="Calibri"/>
            <family val="2"/>
            <scheme val="minor"/>
          </rPr>
          <t>Dropdown status drives visual cue. Percent fields and evidence support payment defense.</t>
        </r>
      </text>
    </comment>
    <comment ref="B121" authorId="0" shapeId="0" xr:uid="{5009BE8C-C999-4831-ADAB-4BE0E6A12733}">
      <text>
        <r>
          <rPr>
            <sz val="11"/>
            <color theme="1"/>
            <rFont val="Calibri"/>
            <family val="2"/>
            <scheme val="minor"/>
          </rPr>
          <t>Compare installed materials against approved submittals/spec sections.</t>
        </r>
      </text>
    </comment>
    <comment ref="B130" authorId="0" shapeId="0" xr:uid="{7F4F732F-9B83-41CD-9FE9-3340E365C023}">
      <text>
        <r>
          <rPr>
            <sz val="11"/>
            <color theme="1"/>
            <rFont val="Calibri"/>
            <family val="2"/>
            <scheme val="minor"/>
          </rPr>
          <t>Planned vs actual production supports delay/time-extension rebuttal.</t>
        </r>
      </text>
    </comment>
    <comment ref="B138" authorId="0" shapeId="0" xr:uid="{6CB3DD5D-6565-41EF-AB5D-3A284FCC1541}">
      <text>
        <r>
          <rPr>
            <sz val="11"/>
            <color theme="1"/>
            <rFont val="Calibri"/>
            <family val="2"/>
            <scheme val="minor"/>
          </rPr>
          <t>Final owner acceptance gate. These fields can feed PMIS_Data later.</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86" authorId="0" shapeId="0" xr:uid="{436C11B7-7688-4B60-A715-54DA14FDFB11}">
      <text>
        <r>
          <rPr>
            <sz val="11"/>
            <color theme="1"/>
            <rFont val="Calibri"/>
            <family val="2"/>
            <scheme val="minor"/>
          </rPr>
          <t>Dropdown status drives visual cue. Percent fields and evidence support payment defense.</t>
        </r>
      </text>
    </comment>
    <comment ref="B95" authorId="0" shapeId="0" xr:uid="{61D27175-967E-4374-8C51-E039B2D5E0E7}">
      <text>
        <r>
          <rPr>
            <sz val="11"/>
            <color theme="1"/>
            <rFont val="Calibri"/>
            <family val="2"/>
            <scheme val="minor"/>
          </rPr>
          <t>Dropdown status drives visual cue. Percent fields and evidence support payment defense.</t>
        </r>
      </text>
    </comment>
    <comment ref="B107" authorId="0" shapeId="0" xr:uid="{1140F7EB-8FD8-4F5F-A510-30947697C2BE}">
      <text>
        <r>
          <rPr>
            <sz val="11"/>
            <color theme="1"/>
            <rFont val="Calibri"/>
            <family val="2"/>
            <scheme val="minor"/>
          </rPr>
          <t>Compare installed materials against approved submittals/spec sections.</t>
        </r>
      </text>
    </comment>
    <comment ref="B116" authorId="0" shapeId="0" xr:uid="{35234F8A-4090-4ED1-A3B7-BEABBF35CA30}">
      <text>
        <r>
          <rPr>
            <sz val="11"/>
            <color theme="1"/>
            <rFont val="Calibri"/>
            <family val="2"/>
            <scheme val="minor"/>
          </rPr>
          <t>Planned vs actual production supports delay/time-extension rebuttal.</t>
        </r>
      </text>
    </comment>
    <comment ref="B124" authorId="0" shapeId="0" xr:uid="{0B05E584-E579-49C1-8B43-CA75DBE4FD5D}">
      <text>
        <r>
          <rPr>
            <sz val="11"/>
            <color theme="1"/>
            <rFont val="Calibri"/>
            <family val="2"/>
            <scheme val="minor"/>
          </rPr>
          <t>Final owner acceptance gate. These fields can feed PMIS_Data later.</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93" authorId="0" shapeId="0" xr:uid="{4374F642-63C3-49B6-988F-0CC4FEED13EC}">
      <text>
        <r>
          <rPr>
            <sz val="11"/>
            <color theme="1"/>
            <rFont val="Calibri"/>
            <family val="2"/>
            <scheme val="minor"/>
          </rPr>
          <t>Dropdown status drives visual cue. Percent fields and evidence support payment defense.</t>
        </r>
      </text>
    </comment>
    <comment ref="B102" authorId="0" shapeId="0" xr:uid="{AF7B5EB7-AB4B-4F7D-9DE8-B9434CE7DB97}">
      <text>
        <r>
          <rPr>
            <sz val="11"/>
            <color theme="1"/>
            <rFont val="Calibri"/>
            <family val="2"/>
            <scheme val="minor"/>
          </rPr>
          <t>Dropdown status drives visual cue. Percent fields and evidence support payment defense.</t>
        </r>
      </text>
    </comment>
    <comment ref="B114" authorId="0" shapeId="0" xr:uid="{5D2D2008-4F68-4B9C-A7CD-489732FE0621}">
      <text>
        <r>
          <rPr>
            <sz val="11"/>
            <color theme="1"/>
            <rFont val="Calibri"/>
            <family val="2"/>
            <scheme val="minor"/>
          </rPr>
          <t>Compare installed materials against approved submittals/spec sections.</t>
        </r>
      </text>
    </comment>
    <comment ref="B123" authorId="0" shapeId="0" xr:uid="{6107BA62-149C-4DC9-9290-BA208421D486}">
      <text>
        <r>
          <rPr>
            <sz val="11"/>
            <color theme="1"/>
            <rFont val="Calibri"/>
            <family val="2"/>
            <scheme val="minor"/>
          </rPr>
          <t>Planned vs actual production supports delay/time-extension rebuttal.</t>
        </r>
      </text>
    </comment>
    <comment ref="B131" authorId="0" shapeId="0" xr:uid="{37CDC8AC-FA14-421A-A08A-B237E6F725E7}">
      <text>
        <r>
          <rPr>
            <sz val="11"/>
            <color theme="1"/>
            <rFont val="Calibri"/>
            <family val="2"/>
            <scheme val="minor"/>
          </rPr>
          <t>Final owner acceptance gate. These fields can feed PMIS_Data later.</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101" authorId="0" shapeId="0" xr:uid="{0C0F6F29-D390-43D8-9CA2-365D5D77ED98}">
      <text>
        <r>
          <rPr>
            <sz val="11"/>
            <color theme="1"/>
            <rFont val="Calibri"/>
            <family val="2"/>
            <scheme val="minor"/>
          </rPr>
          <t>Dropdown status drives visual cue. Percent fields and evidence support payment defense.</t>
        </r>
      </text>
    </comment>
    <comment ref="B110" authorId="0" shapeId="0" xr:uid="{C308A942-4788-45C6-ABB4-A702CDE9649B}">
      <text>
        <r>
          <rPr>
            <sz val="11"/>
            <color theme="1"/>
            <rFont val="Calibri"/>
            <family val="2"/>
            <scheme val="minor"/>
          </rPr>
          <t>Dropdown status drives visual cue. Percent fields and evidence support payment defense.</t>
        </r>
      </text>
    </comment>
    <comment ref="B122" authorId="0" shapeId="0" xr:uid="{05B530FD-58D6-47B0-BF86-523E825CDBD8}">
      <text>
        <r>
          <rPr>
            <sz val="11"/>
            <color theme="1"/>
            <rFont val="Calibri"/>
            <family val="2"/>
            <scheme val="minor"/>
          </rPr>
          <t>Compare installed materials against approved submittals/spec sections.</t>
        </r>
      </text>
    </comment>
    <comment ref="B131" authorId="0" shapeId="0" xr:uid="{9167237E-A876-4A35-9B10-2F42672DAE20}">
      <text>
        <r>
          <rPr>
            <sz val="11"/>
            <color theme="1"/>
            <rFont val="Calibri"/>
            <family val="2"/>
            <scheme val="minor"/>
          </rPr>
          <t>Planned vs actual production supports delay/time-extension rebuttal.</t>
        </r>
      </text>
    </comment>
    <comment ref="B139" authorId="0" shapeId="0" xr:uid="{A70550F4-9659-4539-B63A-0DAC9146488F}">
      <text>
        <r>
          <rPr>
            <sz val="11"/>
            <color theme="1"/>
            <rFont val="Calibri"/>
            <family val="2"/>
            <scheme val="minor"/>
          </rPr>
          <t>Final owner acceptance gate. These fields can feed PMIS_Data later.</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101" authorId="0" shapeId="0" xr:uid="{BDE39E7C-29F8-4FDB-9D61-43B897ED55C3}">
      <text>
        <r>
          <rPr>
            <sz val="11"/>
            <color theme="1"/>
            <rFont val="Calibri"/>
            <family val="2"/>
            <scheme val="minor"/>
          </rPr>
          <t>Dropdown status drives visual cue. Percent fields and evidence support payment defense.</t>
        </r>
      </text>
    </comment>
    <comment ref="B110" authorId="0" shapeId="0" xr:uid="{3B30C0E4-DA40-4EA5-95D4-29F685879899}">
      <text>
        <r>
          <rPr>
            <sz val="11"/>
            <color theme="1"/>
            <rFont val="Calibri"/>
            <family val="2"/>
            <scheme val="minor"/>
          </rPr>
          <t>Dropdown status drives visual cue. Percent fields and evidence support payment defense.</t>
        </r>
      </text>
    </comment>
    <comment ref="B122" authorId="0" shapeId="0" xr:uid="{2FB9D4CE-0F89-4F66-BE90-3C71048F4D87}">
      <text>
        <r>
          <rPr>
            <sz val="11"/>
            <color theme="1"/>
            <rFont val="Calibri"/>
            <family val="2"/>
            <scheme val="minor"/>
          </rPr>
          <t>Compare installed materials against approved submittals/spec sections.</t>
        </r>
      </text>
    </comment>
    <comment ref="B131" authorId="0" shapeId="0" xr:uid="{08D51757-CD55-4E9B-94F7-D8BEA93C9D4C}">
      <text>
        <r>
          <rPr>
            <sz val="11"/>
            <color theme="1"/>
            <rFont val="Calibri"/>
            <family val="2"/>
            <scheme val="minor"/>
          </rPr>
          <t>Planned vs actual production supports delay/time-extension rebuttal.</t>
        </r>
      </text>
    </comment>
    <comment ref="B139" authorId="0" shapeId="0" xr:uid="{52DA8E9F-FAB8-4CE8-8B56-3F55E6477C29}">
      <text>
        <r>
          <rPr>
            <sz val="11"/>
            <color theme="1"/>
            <rFont val="Calibri"/>
            <family val="2"/>
            <scheme val="minor"/>
          </rPr>
          <t>Final owner acceptance gate. These fields can feed PMIS_Data later.</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93" authorId="0" shapeId="0" xr:uid="{54D7954F-487F-48BD-BCE4-A1F999D22EA4}">
      <text>
        <r>
          <rPr>
            <sz val="11"/>
            <color theme="1"/>
            <rFont val="Calibri"/>
            <family val="2"/>
            <scheme val="minor"/>
          </rPr>
          <t>Dropdown status drives visual cue. Percent fields and evidence support payment defense.</t>
        </r>
      </text>
    </comment>
    <comment ref="B102" authorId="0" shapeId="0" xr:uid="{D2771B06-5BC1-4905-88A9-E138DFE2A5DE}">
      <text>
        <r>
          <rPr>
            <sz val="11"/>
            <color theme="1"/>
            <rFont val="Calibri"/>
            <family val="2"/>
            <scheme val="minor"/>
          </rPr>
          <t>Dropdown status drives visual cue. Percent fields and evidence support payment defense.</t>
        </r>
      </text>
    </comment>
    <comment ref="B114" authorId="0" shapeId="0" xr:uid="{9F018FAB-DBAD-4C05-B7E8-7BB09B388659}">
      <text>
        <r>
          <rPr>
            <sz val="11"/>
            <color theme="1"/>
            <rFont val="Calibri"/>
            <family val="2"/>
            <scheme val="minor"/>
          </rPr>
          <t>Compare installed materials against approved submittals/spec sections.</t>
        </r>
      </text>
    </comment>
    <comment ref="B123" authorId="0" shapeId="0" xr:uid="{DB50DE65-F272-4142-8D28-735BFF0B5C1B}">
      <text>
        <r>
          <rPr>
            <sz val="11"/>
            <color theme="1"/>
            <rFont val="Calibri"/>
            <family val="2"/>
            <scheme val="minor"/>
          </rPr>
          <t>Planned vs actual production supports delay/time-extension rebuttal.</t>
        </r>
      </text>
    </comment>
    <comment ref="B131" authorId="0" shapeId="0" xr:uid="{DAEC1D17-6EE5-4F7C-9A91-00F787360D8F}">
      <text>
        <r>
          <rPr>
            <sz val="11"/>
            <color theme="1"/>
            <rFont val="Calibri"/>
            <family val="2"/>
            <scheme val="minor"/>
          </rPr>
          <t>Final owner acceptance gate. These fields can feed PMIS_Data later.</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101" authorId="0" shapeId="0" xr:uid="{BBFADB6E-5358-4714-93C3-0AB80AB2BD55}">
      <text>
        <r>
          <rPr>
            <sz val="11"/>
            <color theme="1"/>
            <rFont val="Calibri"/>
            <family val="2"/>
            <scheme val="minor"/>
          </rPr>
          <t>Dropdown status drives visual cue. Percent fields and evidence support payment defense.</t>
        </r>
      </text>
    </comment>
    <comment ref="B110" authorId="0" shapeId="0" xr:uid="{803CBEC7-9566-4B0F-8F94-8694EAC49743}">
      <text>
        <r>
          <rPr>
            <sz val="11"/>
            <color theme="1"/>
            <rFont val="Calibri"/>
            <family val="2"/>
            <scheme val="minor"/>
          </rPr>
          <t>Dropdown status drives visual cue. Percent fields and evidence support payment defense.</t>
        </r>
      </text>
    </comment>
    <comment ref="B122" authorId="0" shapeId="0" xr:uid="{A1B1A8A7-8021-4691-838D-B5A9671E3CE2}">
      <text>
        <r>
          <rPr>
            <sz val="11"/>
            <color theme="1"/>
            <rFont val="Calibri"/>
            <family val="2"/>
            <scheme val="minor"/>
          </rPr>
          <t>Compare installed materials against approved submittals/spec sections.</t>
        </r>
      </text>
    </comment>
    <comment ref="B131" authorId="0" shapeId="0" xr:uid="{4E45ED4B-00FD-4A5F-8E7A-E5B90727C632}">
      <text>
        <r>
          <rPr>
            <sz val="11"/>
            <color theme="1"/>
            <rFont val="Calibri"/>
            <family val="2"/>
            <scheme val="minor"/>
          </rPr>
          <t>Planned vs actual production supports delay/time-extension rebuttal.</t>
        </r>
      </text>
    </comment>
    <comment ref="B139" authorId="0" shapeId="0" xr:uid="{EB165E67-D7CF-48CA-98E3-9D4EB4F0F96E}">
      <text>
        <r>
          <rPr>
            <sz val="11"/>
            <color theme="1"/>
            <rFont val="Calibri"/>
            <family val="2"/>
            <scheme val="minor"/>
          </rPr>
          <t>Final owner acceptance gate. These fields can feed PMIS_Data later.</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100" authorId="0" shapeId="0" xr:uid="{533A4028-7ABB-4E37-BD49-3738076C1066}">
      <text>
        <r>
          <rPr>
            <sz val="11"/>
            <color theme="1"/>
            <rFont val="Calibri"/>
            <family val="2"/>
            <scheme val="minor"/>
          </rPr>
          <t>Dropdown status drives visual cue. Percent fields and evidence support payment defense.</t>
        </r>
      </text>
    </comment>
    <comment ref="B109" authorId="0" shapeId="0" xr:uid="{B6E3791A-3E2F-4A03-9363-87B4EF8F33A1}">
      <text>
        <r>
          <rPr>
            <sz val="11"/>
            <color theme="1"/>
            <rFont val="Calibri"/>
            <family val="2"/>
            <scheme val="minor"/>
          </rPr>
          <t>Dropdown status drives visual cue. Percent fields and evidence support payment defense.</t>
        </r>
      </text>
    </comment>
    <comment ref="B121" authorId="0" shapeId="0" xr:uid="{8DFA7B5B-6105-4A48-AFAB-8378A11D4785}">
      <text>
        <r>
          <rPr>
            <sz val="11"/>
            <color theme="1"/>
            <rFont val="Calibri"/>
            <family val="2"/>
            <scheme val="minor"/>
          </rPr>
          <t>Compare installed materials against approved submittals/spec sections.</t>
        </r>
      </text>
    </comment>
    <comment ref="B130" authorId="0" shapeId="0" xr:uid="{91384C1F-6490-4E91-B24C-C267ABC79A75}">
      <text>
        <r>
          <rPr>
            <sz val="11"/>
            <color theme="1"/>
            <rFont val="Calibri"/>
            <family val="2"/>
            <scheme val="minor"/>
          </rPr>
          <t>Planned vs actual production supports delay/time-extension rebuttal.</t>
        </r>
      </text>
    </comment>
    <comment ref="B138" authorId="0" shapeId="0" xr:uid="{C5164CBE-8F7A-4136-B391-9975B2CF5BCF}">
      <text>
        <r>
          <rPr>
            <sz val="11"/>
            <color theme="1"/>
            <rFont val="Calibri"/>
            <family val="2"/>
            <scheme val="minor"/>
          </rPr>
          <t>Final owner acceptance gate. These fields can feed PMIS_Data later.</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92" authorId="0" shapeId="0" xr:uid="{BA82C295-1A2A-49C6-88D6-112FD6BACF61}">
      <text>
        <r>
          <rPr>
            <sz val="11"/>
            <color theme="1"/>
            <rFont val="Calibri"/>
            <family val="2"/>
            <scheme val="minor"/>
          </rPr>
          <t>Dropdown status drives visual cue. Percent fields and evidence support payment defense.</t>
        </r>
      </text>
    </comment>
    <comment ref="B101" authorId="0" shapeId="0" xr:uid="{458296AA-6F4D-47C0-BE12-0EA85E501426}">
      <text>
        <r>
          <rPr>
            <sz val="11"/>
            <color theme="1"/>
            <rFont val="Calibri"/>
            <family val="2"/>
            <scheme val="minor"/>
          </rPr>
          <t>Dropdown status drives visual cue. Percent fields and evidence support payment defense.</t>
        </r>
      </text>
    </comment>
    <comment ref="B113" authorId="0" shapeId="0" xr:uid="{E17F564F-19A4-4CBE-BB56-2C192FF0A682}">
      <text>
        <r>
          <rPr>
            <sz val="11"/>
            <color theme="1"/>
            <rFont val="Calibri"/>
            <family val="2"/>
            <scheme val="minor"/>
          </rPr>
          <t>Compare installed materials against approved submittals/spec sections.</t>
        </r>
      </text>
    </comment>
    <comment ref="B122" authorId="0" shapeId="0" xr:uid="{E0E7ABF9-D07B-49C4-B039-9AB6B4D0E374}">
      <text>
        <r>
          <rPr>
            <sz val="11"/>
            <color theme="1"/>
            <rFont val="Calibri"/>
            <family val="2"/>
            <scheme val="minor"/>
          </rPr>
          <t>Planned vs actual production supports delay/time-extension rebuttal.</t>
        </r>
      </text>
    </comment>
    <comment ref="B130" authorId="0" shapeId="0" xr:uid="{12A35658-F89C-4CF8-AB56-7A3A82EE7CE0}">
      <text>
        <r>
          <rPr>
            <sz val="11"/>
            <color theme="1"/>
            <rFont val="Calibri"/>
            <family val="2"/>
            <scheme val="minor"/>
          </rPr>
          <t>Final owner acceptance gate. These fields can feed PMIS_Data later.</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100" authorId="0" shapeId="0" xr:uid="{FC094030-E138-42A5-B690-1E30E384B853}">
      <text>
        <r>
          <rPr>
            <sz val="11"/>
            <color theme="1"/>
            <rFont val="Calibri"/>
            <family val="2"/>
            <scheme val="minor"/>
          </rPr>
          <t>Dropdown status drives visual cue. Percent fields and evidence support payment defense.</t>
        </r>
      </text>
    </comment>
    <comment ref="B109" authorId="0" shapeId="0" xr:uid="{3C5511E3-9C30-469A-9386-3347EBF8982D}">
      <text>
        <r>
          <rPr>
            <sz val="11"/>
            <color theme="1"/>
            <rFont val="Calibri"/>
            <family val="2"/>
            <scheme val="minor"/>
          </rPr>
          <t>Dropdown status drives visual cue. Percent fields and evidence support payment defense.</t>
        </r>
      </text>
    </comment>
    <comment ref="B121" authorId="0" shapeId="0" xr:uid="{AD256ECD-26B5-4096-B549-CCD93A9863B5}">
      <text>
        <r>
          <rPr>
            <sz val="11"/>
            <color theme="1"/>
            <rFont val="Calibri"/>
            <family val="2"/>
            <scheme val="minor"/>
          </rPr>
          <t>Compare installed materials against approved submittals/spec sections.</t>
        </r>
      </text>
    </comment>
    <comment ref="B130" authorId="0" shapeId="0" xr:uid="{1C4C47CB-E6B7-4E62-A670-6E87CFA1DA2C}">
      <text>
        <r>
          <rPr>
            <sz val="11"/>
            <color theme="1"/>
            <rFont val="Calibri"/>
            <family val="2"/>
            <scheme val="minor"/>
          </rPr>
          <t>Planned vs actual production supports delay/time-extension rebuttal.</t>
        </r>
      </text>
    </comment>
    <comment ref="B138" authorId="0" shapeId="0" xr:uid="{8F110538-92F5-4A03-871E-AA1325955F54}">
      <text>
        <r>
          <rPr>
            <sz val="11"/>
            <color theme="1"/>
            <rFont val="Calibri"/>
            <family val="2"/>
            <scheme val="minor"/>
          </rPr>
          <t>Final owner acceptance gate. These fields can feed PMIS_Data later.</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94" authorId="0" shapeId="0" xr:uid="{52DB681C-01D9-4F5D-BFF7-1BC9E26C9C28}">
      <text>
        <r>
          <rPr>
            <sz val="11"/>
            <color theme="1"/>
            <rFont val="Calibri"/>
            <family val="2"/>
            <scheme val="minor"/>
          </rPr>
          <t>Dropdown status drives visual cue. Percent fields and evidence support payment defense.</t>
        </r>
      </text>
    </comment>
    <comment ref="B103" authorId="0" shapeId="0" xr:uid="{3691BA98-1368-4DB9-B4C9-F186EC293896}">
      <text>
        <r>
          <rPr>
            <sz val="11"/>
            <color theme="1"/>
            <rFont val="Calibri"/>
            <family val="2"/>
            <scheme val="minor"/>
          </rPr>
          <t>Dropdown status drives visual cue. Percent fields and evidence support payment defense.</t>
        </r>
      </text>
    </comment>
    <comment ref="B115" authorId="0" shapeId="0" xr:uid="{09CF705D-0CDA-4E6F-86FE-568A777290BC}">
      <text>
        <r>
          <rPr>
            <sz val="11"/>
            <color theme="1"/>
            <rFont val="Calibri"/>
            <family val="2"/>
            <scheme val="minor"/>
          </rPr>
          <t>Compare installed materials against approved submittals/spec sections.</t>
        </r>
      </text>
    </comment>
    <comment ref="B124" authorId="0" shapeId="0" xr:uid="{83938082-3E37-4EA6-B081-BAB060747457}">
      <text>
        <r>
          <rPr>
            <sz val="11"/>
            <color theme="1"/>
            <rFont val="Calibri"/>
            <family val="2"/>
            <scheme val="minor"/>
          </rPr>
          <t>Planned vs actual production supports delay/time-extension rebuttal.</t>
        </r>
      </text>
    </comment>
    <comment ref="B132" authorId="0" shapeId="0" xr:uid="{01A3B9B9-2285-4662-9E5D-2A27E97C3074}">
      <text>
        <r>
          <rPr>
            <sz val="11"/>
            <color theme="1"/>
            <rFont val="Calibri"/>
            <family val="2"/>
            <scheme val="minor"/>
          </rPr>
          <t>Final owner acceptance gate. These fields can feed PMIS_Data later.</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93" authorId="0" shapeId="0" xr:uid="{2810CA1C-1F03-4E00-B5DC-125A511DC7C4}">
      <text>
        <r>
          <rPr>
            <sz val="11"/>
            <color theme="1"/>
            <rFont val="Calibri"/>
            <family val="2"/>
            <scheme val="minor"/>
          </rPr>
          <t>Dropdown status drives visual cue. Percent fields and evidence support payment defense.</t>
        </r>
      </text>
    </comment>
    <comment ref="B102" authorId="0" shapeId="0" xr:uid="{AB4B0CE7-176B-40FE-A7C9-ADF66D165F22}">
      <text>
        <r>
          <rPr>
            <sz val="11"/>
            <color theme="1"/>
            <rFont val="Calibri"/>
            <family val="2"/>
            <scheme val="minor"/>
          </rPr>
          <t>Dropdown status drives visual cue. Percent fields and evidence support payment defense.</t>
        </r>
      </text>
    </comment>
    <comment ref="B114" authorId="0" shapeId="0" xr:uid="{561862B2-E9AE-4D62-B739-83DA2D455BF5}">
      <text>
        <r>
          <rPr>
            <sz val="11"/>
            <color theme="1"/>
            <rFont val="Calibri"/>
            <family val="2"/>
            <scheme val="minor"/>
          </rPr>
          <t>Compare installed materials against approved submittals/spec sections.</t>
        </r>
      </text>
    </comment>
    <comment ref="B123" authorId="0" shapeId="0" xr:uid="{C125695A-7949-4463-835A-2E50A044E0B8}">
      <text>
        <r>
          <rPr>
            <sz val="11"/>
            <color theme="1"/>
            <rFont val="Calibri"/>
            <family val="2"/>
            <scheme val="minor"/>
          </rPr>
          <t>Planned vs actual production supports delay/time-extension rebuttal.</t>
        </r>
      </text>
    </comment>
    <comment ref="B131" authorId="0" shapeId="0" xr:uid="{58F1F0F8-6BD3-46E2-8BD3-01E709850B3C}">
      <text>
        <r>
          <rPr>
            <sz val="11"/>
            <color theme="1"/>
            <rFont val="Calibri"/>
            <family val="2"/>
            <scheme val="minor"/>
          </rPr>
          <t>Final owner acceptance gate. These fields can feed PMIS_Data later.</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82" authorId="0" shapeId="0" xr:uid="{743B5A7F-30D4-41E2-A878-8259770266A9}">
      <text>
        <r>
          <rPr>
            <sz val="11"/>
            <color theme="1"/>
            <rFont val="Calibri"/>
            <family val="2"/>
            <scheme val="minor"/>
          </rPr>
          <t>Dropdown status drives visual cue. Percent fields and evidence support payment defense.</t>
        </r>
      </text>
    </comment>
    <comment ref="B91" authorId="0" shapeId="0" xr:uid="{42704BC5-653A-4A31-8466-921A43004FB2}">
      <text>
        <r>
          <rPr>
            <sz val="11"/>
            <color theme="1"/>
            <rFont val="Calibri"/>
            <family val="2"/>
            <scheme val="minor"/>
          </rPr>
          <t>Dropdown status drives visual cue. Percent fields and evidence support payment defense.</t>
        </r>
      </text>
    </comment>
    <comment ref="B103" authorId="0" shapeId="0" xr:uid="{3FF4D7FA-125D-4922-BA18-081B681E37DD}">
      <text>
        <r>
          <rPr>
            <sz val="11"/>
            <color theme="1"/>
            <rFont val="Calibri"/>
            <family val="2"/>
            <scheme val="minor"/>
          </rPr>
          <t>Compare installed materials against approved submittals/spec sections.</t>
        </r>
      </text>
    </comment>
    <comment ref="B112" authorId="0" shapeId="0" xr:uid="{67590605-47FE-4092-8F27-736C299F6A63}">
      <text>
        <r>
          <rPr>
            <sz val="11"/>
            <color theme="1"/>
            <rFont val="Calibri"/>
            <family val="2"/>
            <scheme val="minor"/>
          </rPr>
          <t>Planned vs actual production supports delay/time-extension rebuttal.</t>
        </r>
      </text>
    </comment>
    <comment ref="B120" authorId="0" shapeId="0" xr:uid="{4FD87106-321C-42A9-88DA-03EBD5779D39}">
      <text>
        <r>
          <rPr>
            <sz val="11"/>
            <color theme="1"/>
            <rFont val="Calibri"/>
            <family val="2"/>
            <scheme val="minor"/>
          </rPr>
          <t>Final owner acceptance gate. These fields can feed PMIS_Data later.</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86" authorId="0" shapeId="0" xr:uid="{D61B7A4D-D3DB-4535-938F-161F1F0F5CE6}">
      <text>
        <r>
          <rPr>
            <sz val="11"/>
            <color theme="1"/>
            <rFont val="Calibri"/>
            <family val="2"/>
            <scheme val="minor"/>
          </rPr>
          <t>Dropdown status drives visual cue. Percent fields and evidence support payment defense.</t>
        </r>
      </text>
    </comment>
    <comment ref="B95" authorId="0" shapeId="0" xr:uid="{7AE2BA3C-2B76-484B-8526-291F912DC878}">
      <text>
        <r>
          <rPr>
            <sz val="11"/>
            <color theme="1"/>
            <rFont val="Calibri"/>
            <family val="2"/>
            <scheme val="minor"/>
          </rPr>
          <t>Dropdown status drives visual cue. Percent fields and evidence support payment defense.</t>
        </r>
      </text>
    </comment>
    <comment ref="B107" authorId="0" shapeId="0" xr:uid="{A6922980-B1EF-48E2-A5FA-F336611189FF}">
      <text>
        <r>
          <rPr>
            <sz val="11"/>
            <color theme="1"/>
            <rFont val="Calibri"/>
            <family val="2"/>
            <scheme val="minor"/>
          </rPr>
          <t>Compare installed materials against approved submittals/spec sections.</t>
        </r>
      </text>
    </comment>
    <comment ref="B116" authorId="0" shapeId="0" xr:uid="{4843AB65-E110-4851-B926-EF096652F652}">
      <text>
        <r>
          <rPr>
            <sz val="11"/>
            <color theme="1"/>
            <rFont val="Calibri"/>
            <family val="2"/>
            <scheme val="minor"/>
          </rPr>
          <t>Planned vs actual production supports delay/time-extension rebuttal.</t>
        </r>
      </text>
    </comment>
    <comment ref="B124" authorId="0" shapeId="0" xr:uid="{7B17265A-402E-47BB-8138-9616B7C200CA}">
      <text>
        <r>
          <rPr>
            <sz val="11"/>
            <color theme="1"/>
            <rFont val="Calibri"/>
            <family val="2"/>
            <scheme val="minor"/>
          </rPr>
          <t>Final owner acceptance gate. These fields can feed PMIS_Data later.</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134" authorId="0" shapeId="0" xr:uid="{116DB112-C26B-478D-8037-89C5BA810664}">
      <text>
        <r>
          <rPr>
            <sz val="11"/>
            <color theme="1"/>
            <rFont val="Calibri"/>
            <family val="2"/>
            <scheme val="minor"/>
          </rPr>
          <t>Dropdown status drives visual cue. Percent fields and evidence support payment defense.</t>
        </r>
      </text>
    </comment>
    <comment ref="B143" authorId="0" shapeId="0" xr:uid="{30FF4EAD-FD43-4F33-9D45-7051E91BE882}">
      <text>
        <r>
          <rPr>
            <sz val="11"/>
            <color theme="1"/>
            <rFont val="Calibri"/>
            <family val="2"/>
            <scheme val="minor"/>
          </rPr>
          <t>Dropdown status drives visual cue. Percent fields and evidence support payment defense.</t>
        </r>
      </text>
    </comment>
    <comment ref="B155" authorId="0" shapeId="0" xr:uid="{65BD7B14-DD2A-4192-AE9A-5D62AAC671AF}">
      <text>
        <r>
          <rPr>
            <sz val="11"/>
            <color theme="1"/>
            <rFont val="Calibri"/>
            <family val="2"/>
            <scheme val="minor"/>
          </rPr>
          <t>Compare installed materials against approved submittals/spec sections.</t>
        </r>
      </text>
    </comment>
    <comment ref="B164" authorId="0" shapeId="0" xr:uid="{0109F294-4B07-4574-B8E4-118A70A20476}">
      <text>
        <r>
          <rPr>
            <sz val="11"/>
            <color theme="1"/>
            <rFont val="Calibri"/>
            <family val="2"/>
            <scheme val="minor"/>
          </rPr>
          <t>Planned vs actual production supports delay/time-extension rebuttal.</t>
        </r>
      </text>
    </comment>
    <comment ref="B172" authorId="0" shapeId="0" xr:uid="{C4C1280F-F5EA-4A6C-8701-1EB12007008A}">
      <text>
        <r>
          <rPr>
            <sz val="11"/>
            <color theme="1"/>
            <rFont val="Calibri"/>
            <family val="2"/>
            <scheme val="minor"/>
          </rPr>
          <t>Final owner acceptance gate. These fields can feed PMIS_Data later.</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93" authorId="0" shapeId="0" xr:uid="{3B459DEC-C48A-4716-BD64-837A17AB4783}">
      <text>
        <r>
          <rPr>
            <sz val="11"/>
            <color theme="1"/>
            <rFont val="Calibri"/>
            <family val="2"/>
            <scheme val="minor"/>
          </rPr>
          <t>Dropdown status drives visual cue. Percent fields and evidence support payment defense.</t>
        </r>
      </text>
    </comment>
    <comment ref="B102" authorId="0" shapeId="0" xr:uid="{012033BE-112E-42BD-AF7A-DAA93FC1B07C}">
      <text>
        <r>
          <rPr>
            <sz val="11"/>
            <color theme="1"/>
            <rFont val="Calibri"/>
            <family val="2"/>
            <scheme val="minor"/>
          </rPr>
          <t>Dropdown status drives visual cue. Percent fields and evidence support payment defense.</t>
        </r>
      </text>
    </comment>
    <comment ref="B114" authorId="0" shapeId="0" xr:uid="{16314E4A-CCFC-479F-8653-2F4B03D25610}">
      <text>
        <r>
          <rPr>
            <sz val="11"/>
            <color theme="1"/>
            <rFont val="Calibri"/>
            <family val="2"/>
            <scheme val="minor"/>
          </rPr>
          <t>Compare installed materials against approved submittals/spec sections.</t>
        </r>
      </text>
    </comment>
    <comment ref="B123" authorId="0" shapeId="0" xr:uid="{A14F9E8F-E904-4DAC-A78C-5AC07002614E}">
      <text>
        <r>
          <rPr>
            <sz val="11"/>
            <color theme="1"/>
            <rFont val="Calibri"/>
            <family val="2"/>
            <scheme val="minor"/>
          </rPr>
          <t>Planned vs actual production supports delay/time-extension rebuttal.</t>
        </r>
      </text>
    </comment>
    <comment ref="B131" authorId="0" shapeId="0" xr:uid="{22ABBB06-4821-49C7-BBFD-E73CD7E21962}">
      <text>
        <r>
          <rPr>
            <sz val="11"/>
            <color theme="1"/>
            <rFont val="Calibri"/>
            <family val="2"/>
            <scheme val="minor"/>
          </rPr>
          <t>Final owner acceptance gate. These fields can feed PMIS_Data later.</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93" authorId="0" shapeId="0" xr:uid="{2F724011-4A2E-4175-865D-87D61BBC07F6}">
      <text>
        <r>
          <rPr>
            <sz val="11"/>
            <color theme="1"/>
            <rFont val="Calibri"/>
            <family val="2"/>
            <scheme val="minor"/>
          </rPr>
          <t>Dropdown status drives visual cue. Percent fields and evidence support payment defense.</t>
        </r>
      </text>
    </comment>
    <comment ref="B102" authorId="0" shapeId="0" xr:uid="{B43BDC59-F3C1-4F68-9EA3-903BD54E93B1}">
      <text>
        <r>
          <rPr>
            <sz val="11"/>
            <color theme="1"/>
            <rFont val="Calibri"/>
            <family val="2"/>
            <scheme val="minor"/>
          </rPr>
          <t>Dropdown status drives visual cue. Percent fields and evidence support payment defense.</t>
        </r>
      </text>
    </comment>
    <comment ref="B114" authorId="0" shapeId="0" xr:uid="{07D0B19F-CF21-40F6-9175-BEB4AB2F2FA2}">
      <text>
        <r>
          <rPr>
            <sz val="11"/>
            <color theme="1"/>
            <rFont val="Calibri"/>
            <family val="2"/>
            <scheme val="minor"/>
          </rPr>
          <t>Compare installed materials against approved submittals/spec sections.</t>
        </r>
      </text>
    </comment>
    <comment ref="B123" authorId="0" shapeId="0" xr:uid="{1B73CBF0-A6B1-47B8-88F9-D9A237F17DE3}">
      <text>
        <r>
          <rPr>
            <sz val="11"/>
            <color theme="1"/>
            <rFont val="Calibri"/>
            <family val="2"/>
            <scheme val="minor"/>
          </rPr>
          <t>Planned vs actual production supports delay/time-extension rebuttal.</t>
        </r>
      </text>
    </comment>
    <comment ref="B131" authorId="0" shapeId="0" xr:uid="{3EA67DE5-3B06-48EB-AE07-3AFEC51FDB62}">
      <text>
        <r>
          <rPr>
            <sz val="11"/>
            <color theme="1"/>
            <rFont val="Calibri"/>
            <family val="2"/>
            <scheme val="minor"/>
          </rPr>
          <t>Final owner acceptance gate. These fields can feed PMIS_Data later.</t>
        </r>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94" authorId="0" shapeId="0" xr:uid="{888A8F9D-53E0-4C24-8021-A608E4637496}">
      <text>
        <r>
          <rPr>
            <sz val="11"/>
            <color theme="1"/>
            <rFont val="Calibri"/>
            <family val="2"/>
            <scheme val="minor"/>
          </rPr>
          <t>Dropdown status drives visual cue. Percent fields and evidence support payment defense.</t>
        </r>
      </text>
    </comment>
    <comment ref="B103" authorId="0" shapeId="0" xr:uid="{6BC8510E-0525-40BB-B2EF-F6765E0C604C}">
      <text>
        <r>
          <rPr>
            <sz val="11"/>
            <color theme="1"/>
            <rFont val="Calibri"/>
            <family val="2"/>
            <scheme val="minor"/>
          </rPr>
          <t>Dropdown status drives visual cue. Percent fields and evidence support payment defense.</t>
        </r>
      </text>
    </comment>
    <comment ref="B115" authorId="0" shapeId="0" xr:uid="{B05172E7-CD9E-4780-A317-56F49A1AE485}">
      <text>
        <r>
          <rPr>
            <sz val="11"/>
            <color theme="1"/>
            <rFont val="Calibri"/>
            <family val="2"/>
            <scheme val="minor"/>
          </rPr>
          <t>Compare installed materials against approved submittals/spec sections.</t>
        </r>
      </text>
    </comment>
    <comment ref="B124" authorId="0" shapeId="0" xr:uid="{5FFA912D-6ADC-4325-B6D5-3EC790FEB15D}">
      <text>
        <r>
          <rPr>
            <sz val="11"/>
            <color theme="1"/>
            <rFont val="Calibri"/>
            <family val="2"/>
            <scheme val="minor"/>
          </rPr>
          <t>Planned vs actual production supports delay/time-extension rebuttal.</t>
        </r>
      </text>
    </comment>
    <comment ref="B132" authorId="0" shapeId="0" xr:uid="{CEF722B5-5923-41DC-8A29-446745178BD9}">
      <text>
        <r>
          <rPr>
            <sz val="11"/>
            <color theme="1"/>
            <rFont val="Calibri"/>
            <family val="2"/>
            <scheme val="minor"/>
          </rPr>
          <t>Final owner acceptance gate. These fields can feed PMIS_Data later.</t>
        </r>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120" authorId="0" shapeId="0" xr:uid="{54E3C840-206E-48D3-B4AC-8DD5A3AC5D86}">
      <text>
        <r>
          <rPr>
            <sz val="11"/>
            <color theme="1"/>
            <rFont val="Calibri"/>
            <family val="2"/>
            <scheme val="minor"/>
          </rPr>
          <t>Dropdown status drives visual cue. Percent fields and evidence support payment defense.</t>
        </r>
      </text>
    </comment>
    <comment ref="B129" authorId="0" shapeId="0" xr:uid="{845A27AE-E84D-42CE-835D-5E31A99AC3D7}">
      <text>
        <r>
          <rPr>
            <sz val="11"/>
            <color theme="1"/>
            <rFont val="Calibri"/>
            <family val="2"/>
            <scheme val="minor"/>
          </rPr>
          <t>Dropdown status drives visual cue. Percent fields and evidence support payment defense.</t>
        </r>
      </text>
    </comment>
    <comment ref="B141" authorId="0" shapeId="0" xr:uid="{76CD8A08-D921-451F-8E1B-D285CCA2F26E}">
      <text>
        <r>
          <rPr>
            <sz val="11"/>
            <color theme="1"/>
            <rFont val="Calibri"/>
            <family val="2"/>
            <scheme val="minor"/>
          </rPr>
          <t>Compare installed materials against approved submittals/spec sections.</t>
        </r>
      </text>
    </comment>
    <comment ref="B150" authorId="0" shapeId="0" xr:uid="{D16EFCB5-06AF-45F9-BF2E-1BEF9B8CD2F6}">
      <text>
        <r>
          <rPr>
            <sz val="11"/>
            <color theme="1"/>
            <rFont val="Calibri"/>
            <family val="2"/>
            <scheme val="minor"/>
          </rPr>
          <t>Planned vs actual production supports delay/time-extension rebuttal.</t>
        </r>
      </text>
    </comment>
    <comment ref="B158" authorId="0" shapeId="0" xr:uid="{593CB5E7-823E-4458-A562-0F6DFE879DE6}">
      <text>
        <r>
          <rPr>
            <sz val="11"/>
            <color theme="1"/>
            <rFont val="Calibri"/>
            <family val="2"/>
            <scheme val="minor"/>
          </rPr>
          <t>Final owner acceptance gate. These fields can feed PMIS_Data later.</t>
        </r>
      </text>
    </comment>
  </commentList>
</comments>
</file>

<file path=xl/comments30.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118" authorId="0" shapeId="0" xr:uid="{CC4A7DA6-AFC5-4CFC-9D3B-AE6940006709}">
      <text>
        <r>
          <rPr>
            <sz val="11"/>
            <color theme="1"/>
            <rFont val="Calibri"/>
            <family val="2"/>
            <scheme val="minor"/>
          </rPr>
          <t>Dropdown status drives visual cue. Percent fields and evidence support payment defense.</t>
        </r>
      </text>
    </comment>
    <comment ref="B127" authorId="0" shapeId="0" xr:uid="{7A6ABFB8-5A8E-4D7A-8A9D-BE262620FDC8}">
      <text>
        <r>
          <rPr>
            <sz val="11"/>
            <color theme="1"/>
            <rFont val="Calibri"/>
            <family val="2"/>
            <scheme val="minor"/>
          </rPr>
          <t>Dropdown status drives visual cue. Percent fields and evidence support payment defense.</t>
        </r>
      </text>
    </comment>
    <comment ref="B139" authorId="0" shapeId="0" xr:uid="{13FF02F6-984A-49E3-9047-4C7E8470662C}">
      <text>
        <r>
          <rPr>
            <sz val="11"/>
            <color theme="1"/>
            <rFont val="Calibri"/>
            <family val="2"/>
            <scheme val="minor"/>
          </rPr>
          <t>Compare installed materials against approved submittals/spec sections.</t>
        </r>
      </text>
    </comment>
    <comment ref="B148" authorId="0" shapeId="0" xr:uid="{424A6E0E-A7E9-4DB3-80A7-6E52BE92970D}">
      <text>
        <r>
          <rPr>
            <sz val="11"/>
            <color theme="1"/>
            <rFont val="Calibri"/>
            <family val="2"/>
            <scheme val="minor"/>
          </rPr>
          <t>Planned vs actual production supports delay/time-extension rebuttal.</t>
        </r>
      </text>
    </comment>
    <comment ref="B156" authorId="0" shapeId="0" xr:uid="{71FCEAED-ECC2-400F-85D1-FC0901246840}">
      <text>
        <r>
          <rPr>
            <sz val="11"/>
            <color theme="1"/>
            <rFont val="Calibri"/>
            <family val="2"/>
            <scheme val="minor"/>
          </rPr>
          <t>Final owner acceptance gate. These fields can feed PMIS_Data later.</t>
        </r>
      </text>
    </comment>
  </commentList>
</comments>
</file>

<file path=xl/sharedStrings.xml><?xml version="1.0" encoding="utf-8"?>
<sst xmlns="http://schemas.openxmlformats.org/spreadsheetml/2006/main" count="39715" uniqueCount="6160">
  <si>
    <t>BEDFORD VA EHRM PMIS — CONFIG / BUILDING MAP</t>
  </si>
  <si>
    <t>Selector IDs</t>
  </si>
  <si>
    <t>Purpose</t>
  </si>
  <si>
    <t>Central building list used for selectors, validation, QA, and future dashboard mapping. Edit only if buildings/sheet names change.</t>
  </si>
  <si>
    <t>Display Building</t>
  </si>
  <si>
    <t>Assessment Sheet</t>
  </si>
  <si>
    <t>PMIS_Data Row</t>
  </si>
  <si>
    <t>Open Assessment Link</t>
  </si>
  <si>
    <t>Has Sheet?</t>
  </si>
  <si>
    <t>Has PMIS Row?</t>
  </si>
  <si>
    <t>Has Trade Notes?</t>
  </si>
  <si>
    <t>Notes</t>
  </si>
  <si>
    <t>B01</t>
  </si>
  <si>
    <t>B01_Assessment</t>
  </si>
  <si>
    <t>B02</t>
  </si>
  <si>
    <t>B02_Assessment</t>
  </si>
  <si>
    <t>B03</t>
  </si>
  <si>
    <t>B03_Assessment</t>
  </si>
  <si>
    <t>B04</t>
  </si>
  <si>
    <t>B04_Assessment</t>
  </si>
  <si>
    <t>B05</t>
  </si>
  <si>
    <t>B05_Assessment</t>
  </si>
  <si>
    <t>B06</t>
  </si>
  <si>
    <t>B06_Assessment</t>
  </si>
  <si>
    <t>B07</t>
  </si>
  <si>
    <t>B07_Assessment</t>
  </si>
  <si>
    <t>B08</t>
  </si>
  <si>
    <t>B08_Assessment</t>
  </si>
  <si>
    <t>B09</t>
  </si>
  <si>
    <t>B09_Assessment</t>
  </si>
  <si>
    <t>B10</t>
  </si>
  <si>
    <t>B10_Assessment</t>
  </si>
  <si>
    <t>B12</t>
  </si>
  <si>
    <t>B12_Assessment</t>
  </si>
  <si>
    <t>B13</t>
  </si>
  <si>
    <t>B13_Assessment</t>
  </si>
  <si>
    <t>B14</t>
  </si>
  <si>
    <t>B14_Assessment</t>
  </si>
  <si>
    <t>B15</t>
  </si>
  <si>
    <t>B15_Assessment</t>
  </si>
  <si>
    <t>B16</t>
  </si>
  <si>
    <t>B16_Assessment</t>
  </si>
  <si>
    <t>B17</t>
  </si>
  <si>
    <t>B17_Assessment</t>
  </si>
  <si>
    <t>B18</t>
  </si>
  <si>
    <t>B18_Assessment</t>
  </si>
  <si>
    <t>B20</t>
  </si>
  <si>
    <t>B20_Assessment</t>
  </si>
  <si>
    <t>B21</t>
  </si>
  <si>
    <t>B21_Assessment</t>
  </si>
  <si>
    <t>B22</t>
  </si>
  <si>
    <t>B22_Assessment</t>
  </si>
  <si>
    <t>B33</t>
  </si>
  <si>
    <t>B33_Assessment</t>
  </si>
  <si>
    <t>B61</t>
  </si>
  <si>
    <t>B61_Assessment</t>
  </si>
  <si>
    <t>B62</t>
  </si>
  <si>
    <t>B62_TR_Assessment</t>
  </si>
  <si>
    <t>B70</t>
  </si>
  <si>
    <t>B70_TR_Assessment</t>
  </si>
  <si>
    <t xml:space="preserve">B78 </t>
  </si>
  <si>
    <t>B78_Assessment</t>
  </si>
  <si>
    <t>B80</t>
  </si>
  <si>
    <t>B80_Assessment</t>
  </si>
  <si>
    <t>82B</t>
  </si>
  <si>
    <t>B82_Assessment</t>
  </si>
  <si>
    <t>CH</t>
  </si>
  <si>
    <t>BCH_Assessment</t>
  </si>
  <si>
    <t>MCR</t>
  </si>
  <si>
    <t>MCR_Assessment</t>
  </si>
  <si>
    <t>SITE</t>
  </si>
  <si>
    <t>SITE_Assesment</t>
  </si>
  <si>
    <t>BEDFORD VA EHRM PMIS — DATA HEALTH / RELEASE QA</t>
  </si>
  <si>
    <t>Quick confidence panel for workbook architecture, missing mappings, and dashboard data flow. Formulas recalculate when opened in Excel.</t>
  </si>
  <si>
    <t>Check</t>
  </si>
  <si>
    <t>Current Value</t>
  </si>
  <si>
    <t>Expected</t>
  </si>
  <si>
    <t>Status</t>
  </si>
  <si>
    <t>Assessment sheets mapped</t>
  </si>
  <si>
    <t>Mapped source assessment sheets from PMIS_Config.</t>
  </si>
  <si>
    <t>PMIS_Data building rows</t>
  </si>
  <si>
    <t>One row per building / area in PMIS_Data.</t>
  </si>
  <si>
    <t>PMIS_Trade_Notes rows</t>
  </si>
  <si>
    <t>One row per building / area in PMIS_Trade_Notes.</t>
  </si>
  <si>
    <t>Command Center selected building</t>
  </si>
  <si>
    <t>Not blank</t>
  </si>
  <si>
    <t>Building selector drives Command Center cards.</t>
  </si>
  <si>
    <t>Command Center PMIS match row</t>
  </si>
  <si>
    <t>&gt;=1</t>
  </si>
  <si>
    <t>Helper row used to retrieve PMIS_Data values.</t>
  </si>
  <si>
    <t>Open risks total</t>
  </si>
  <si>
    <t>&gt;=0</t>
  </si>
  <si>
    <t>Campus-wide open risks.</t>
  </si>
  <si>
    <t>Open questions total</t>
  </si>
  <si>
    <t>Campus-wide open questions.</t>
  </si>
  <si>
    <t>Open photos total</t>
  </si>
  <si>
    <t>Campus-wide open photos.</t>
  </si>
  <si>
    <t>Active shutdown total</t>
  </si>
  <si>
    <t>Campus-wide shutdown indicators.</t>
  </si>
  <si>
    <t>Missing trade notes</t>
  </si>
  <si>
    <t>0</t>
  </si>
  <si>
    <t>PMIS_Trade_Notes mapping check.</t>
  </si>
  <si>
    <t>Missing assessment sheets</t>
  </si>
  <si>
    <t>Assessment sheet existence check.</t>
  </si>
  <si>
    <t>Today's Focus rows</t>
  </si>
  <si>
    <t>Formula-fed worklist built from PMIS_Data.</t>
  </si>
  <si>
    <t>Top focus item</t>
  </si>
  <si>
    <t>Highest priority work item calculated from shutdowns, risks, questions, and readiness.</t>
  </si>
  <si>
    <t>Command Center quick link</t>
  </si>
  <si>
    <t>Visible</t>
  </si>
  <si>
    <t>Command Center includes shortcut to Today's Focus.</t>
  </si>
  <si>
    <t>BEDFORD VA EHRM PMIS — ARCHITECTURE / USER GUIDE</t>
  </si>
  <si>
    <t>What this is</t>
  </si>
  <si>
    <t>A lightweight Project Management Information System for multidisciplinary facility assessments. The workbook is designed so building assessment sheets remain the source of truth while dashboards display the current operational picture.</t>
  </si>
  <si>
    <t>Core workflow</t>
  </si>
  <si>
    <t>1. Update the building assessment sheet.
2. PMIS_Data rolls up metrics.
3. PMIS_Trade_Notes rolls up narrative/trade notes.
4. Command_Center displays the selected building.
5. V4_Mission_Control summarizes campus-wide health.</t>
  </si>
  <si>
    <t>Non-negotiable rules</t>
  </si>
  <si>
    <t>• Edit project data on Building Assessment sheets only.
• Do not manually overwrite formulas in PMIS_Data.
• Do not manually overwrite formulas in PMIS_Trade_Notes.
• Use PMIS_Config when building names or sheet names change.
• Use Data_Health to verify workbook readiness before reports or meetings.</t>
  </si>
  <si>
    <t>Primary user paths</t>
  </si>
  <si>
    <t>• COR / PM: start at V4_Mission_Control.
• Field / QC / Engineer: start at Command_Center.
• Data audit: start at Data_Health.
• Mapping maintenance: start at PMIS_Config.</t>
  </si>
  <si>
    <t>Current architecture</t>
  </si>
  <si>
    <t>Building Assessment Sheets → PMIS_Data + PMIS_Trade_Notes → Command_Center / V4_Mission_Control / Reports.</t>
  </si>
  <si>
    <t>Today's Focus</t>
  </si>
  <si>
    <t>Formula-fed priority worklist ranking buildings by shutdowns, open risks, open questions, and readiness gaps. Use it as the morning planning screen.</t>
  </si>
  <si>
    <t>BEDFORD VA EHRM PMIS MISSION CONTROL  V5</t>
  </si>
  <si>
    <t>Last refresh</t>
  </si>
  <si>
    <t>SelectedIndex</t>
  </si>
  <si>
    <t>SelectedSheet</t>
  </si>
  <si>
    <t>SelectedBuilding</t>
  </si>
  <si>
    <t>Mission Control rebuilt from live PMIS_Data + Building Assessment rollups. Select a building below; all cards update automatically.</t>
  </si>
  <si>
    <t>OVERALL PROGRESS</t>
  </si>
  <si>
    <t>BUILDINGS ASSESSED</t>
  </si>
  <si>
    <t>OPEN RISKS</t>
  </si>
  <si>
    <t>OPEN QUESTIONS</t>
  </si>
  <si>
    <t>OPEN PHOTOS</t>
  </si>
  <si>
    <t>ACTIVE SHUTDOWNS</t>
  </si>
  <si>
    <t>NOT READY</t>
  </si>
  <si>
    <t>NEXT ACTION</t>
  </si>
  <si>
    <t>SELECT BUILDING</t>
  </si>
  <si>
    <t>MISSION STATUS</t>
  </si>
  <si>
    <t>PROGRESS OVERVIEW</t>
  </si>
  <si>
    <t>NEXT REQUIRED ACTION</t>
  </si>
  <si>
    <t>Building</t>
  </si>
  <si>
    <t>01</t>
  </si>
  <si>
    <t>Selected Building Readiness</t>
  </si>
  <si>
    <t>Rooms</t>
  </si>
  <si>
    <t>Fire Protection</t>
  </si>
  <si>
    <t>Action</t>
  </si>
  <si>
    <t>HVAC</t>
  </si>
  <si>
    <t>IT/Telecom</t>
  </si>
  <si>
    <t>Why</t>
  </si>
  <si>
    <t>Overall Status</t>
  </si>
  <si>
    <t>Decision</t>
  </si>
  <si>
    <t>Electrical</t>
  </si>
  <si>
    <t>Construction Ready</t>
  </si>
  <si>
    <t>Telecom</t>
  </si>
  <si>
    <t>Next Step</t>
  </si>
  <si>
    <t>Fire Alarm</t>
  </si>
  <si>
    <t>RISK SUMMARY</t>
  </si>
  <si>
    <t>DOCUMENTS / PHOTOS</t>
  </si>
  <si>
    <t>SHUTDOWNS</t>
  </si>
  <si>
    <t>Open Risks</t>
  </si>
  <si>
    <t>Selected Open</t>
  </si>
  <si>
    <t>Open Photos</t>
  </si>
  <si>
    <t>Selected Active</t>
  </si>
  <si>
    <t>Campus Open</t>
  </si>
  <si>
    <t>Campus Docs</t>
  </si>
  <si>
    <t>Campus Active</t>
  </si>
  <si>
    <t>Selected Rank</t>
  </si>
  <si>
    <t>High Priority</t>
  </si>
  <si>
    <t>Campus Photos</t>
  </si>
  <si>
    <t>Not Ready</t>
  </si>
  <si>
    <t>SELECTED BUILDING DETAIL — LIVE FROM PMIS_Data</t>
  </si>
  <si>
    <t>Sheet</t>
  </si>
  <si>
    <t>Readiness</t>
  </si>
  <si>
    <t>Ready</t>
  </si>
  <si>
    <t>Risks</t>
  </si>
  <si>
    <t>Questions</t>
  </si>
  <si>
    <t>Photos</t>
  </si>
  <si>
    <t>Shutdowns</t>
  </si>
  <si>
    <t>BEDFORD VA EHRM PROGRAM DASHBOARD</t>
  </si>
  <si>
    <t>GCC PMIS / Executive Status View</t>
  </si>
  <si>
    <t>EXECUTIVE COMMAND CENTER</t>
  </si>
  <si>
    <t>PROJECT SNAPSHOT</t>
  </si>
  <si>
    <t>Project</t>
  </si>
  <si>
    <t>518-22-700 Bedford VA EHRM Infrastructure Upgrades</t>
  </si>
  <si>
    <t>Current Phase</t>
  </si>
  <si>
    <t>Procurement / Preconstruction</t>
  </si>
  <si>
    <t>VA POC</t>
  </si>
  <si>
    <t>Cameron Labbree</t>
  </si>
  <si>
    <t>GCC POC</t>
  </si>
  <si>
    <t>Brian Koches</t>
  </si>
  <si>
    <t>Open Actions</t>
  </si>
  <si>
    <t>Contract Status</t>
  </si>
  <si>
    <t>Pending Award</t>
  </si>
  <si>
    <t>Prime Contractor</t>
  </si>
  <si>
    <t>TBD</t>
  </si>
  <si>
    <t>NTP Date</t>
  </si>
  <si>
    <t>Dashboard Updated</t>
  </si>
  <si>
    <t>Open Questions</t>
  </si>
  <si>
    <t>Current Building</t>
  </si>
  <si>
    <t>Primary Tool</t>
  </si>
  <si>
    <t>Building_View / Mini Digital Twin</t>
  </si>
  <si>
    <t>Input Cell</t>
  </si>
  <si>
    <t>Building_View!B4</t>
  </si>
  <si>
    <t>Mode</t>
  </si>
  <si>
    <t>Owner Support</t>
  </si>
  <si>
    <t>Open Assumptions</t>
  </si>
  <si>
    <t>AT-A-GLANCE METRICS</t>
  </si>
  <si>
    <t>TOP RISKS</t>
  </si>
  <si>
    <t>SELECTED BUILDING SUMMARY</t>
  </si>
  <si>
    <t>KEY OPEN QUESTIONS</t>
  </si>
  <si>
    <t>BUILDING SHUTDOWNS</t>
  </si>
  <si>
    <t>Risk ID</t>
  </si>
  <si>
    <t>Description</t>
  </si>
  <si>
    <t>Impact</t>
  </si>
  <si>
    <t>Owner</t>
  </si>
  <si>
    <t>ID</t>
  </si>
  <si>
    <t>System</t>
  </si>
  <si>
    <t>Scheduled</t>
  </si>
  <si>
    <t>THIS WEEK / NEXT WEEK</t>
  </si>
  <si>
    <t>Question ID</t>
  </si>
  <si>
    <t>Question</t>
  </si>
  <si>
    <t>Why It Matters</t>
  </si>
  <si>
    <t>Priority</t>
  </si>
  <si>
    <t>Period</t>
  </si>
  <si>
    <t>Objective</t>
  </si>
  <si>
    <t>This Week</t>
  </si>
  <si>
    <t>Use Building_View to validate building records</t>
  </si>
  <si>
    <t>Paul</t>
  </si>
  <si>
    <t>In Progress</t>
  </si>
  <si>
    <t>B4 controls selected building</t>
  </si>
  <si>
    <t>Track active Building 62 shutdown</t>
  </si>
  <si>
    <t>Confirm stakeholders and scheduled date</t>
  </si>
  <si>
    <t>Keep source tabs normalized</t>
  </si>
  <si>
    <t>Open</t>
  </si>
  <si>
    <t>Building values must match B4 values</t>
  </si>
  <si>
    <t>Next Week</t>
  </si>
  <si>
    <t>Add verified existing conditions</t>
  </si>
  <si>
    <t>Only add useful field observations</t>
  </si>
  <si>
    <t>Align reporting expectations</t>
  </si>
  <si>
    <t>GCC</t>
  </si>
  <si>
    <t>Avoid duplicate reporting systems</t>
  </si>
  <si>
    <t>DASHBOARD NOTES</t>
  </si>
  <si>
    <t>Dashboard is formula-driven and reads from existing PMIS source tabs. It does not replace Building_View; it summarizes the overall project and selected building. To change the selected building, update Building_View!B4.</t>
  </si>
  <si>
    <t>If a dashboard section appears blank, the matching source register likely has no records for the selected building yet.</t>
  </si>
  <si>
    <t>NOTE: PMIS_Home is now the combined Dashboard + Building View + Command Center sheet. This tab is retained for legacy reference.</t>
  </si>
  <si>
    <t>BUILDING VIEW / MINI DIGITAL TWIN</t>
  </si>
  <si>
    <t>Enter a building number or area and return risks, actions, existing conditions, telecom rooms, documents, photos, shutdowns, and stakeholders.</t>
  </si>
  <si>
    <t>Enter Building / Area</t>
  </si>
  <si>
    <t>B4 controls the lookup. Pick Campus to see project-wide items. Pick a building number for building-specific rooms/records. Blank sections mean source tabs have no matching rows yet.</t>
  </si>
  <si>
    <t>BUILDING SNAPSHOT</t>
  </si>
  <si>
    <t>Existing Conditions</t>
  </si>
  <si>
    <t>Telecom Rooms</t>
  </si>
  <si>
    <t>Documents</t>
  </si>
  <si>
    <t>Stakeholders</t>
  </si>
  <si>
    <t>RISKS</t>
  </si>
  <si>
    <t>Probability</t>
  </si>
  <si>
    <t>Risk Score</t>
  </si>
  <si>
    <t>Mitigation</t>
  </si>
  <si>
    <t>Related Doc</t>
  </si>
  <si>
    <t>OPEN ACTIONS</t>
  </si>
  <si>
    <t>Action ID</t>
  </si>
  <si>
    <t>Date</t>
  </si>
  <si>
    <t>Action Item</t>
  </si>
  <si>
    <t>Assigned To</t>
  </si>
  <si>
    <t>Due Date</t>
  </si>
  <si>
    <t>EXISTING CONDITIONS</t>
  </si>
  <si>
    <t>Room / Area</t>
  </si>
  <si>
    <t>Existing Condition</t>
  </si>
  <si>
    <t>Deficiency</t>
  </si>
  <si>
    <t>Photo Ref</t>
  </si>
  <si>
    <t>Potential Impact</t>
  </si>
  <si>
    <t>Verified By</t>
  </si>
  <si>
    <t>TELECOM ROOMS</t>
  </si>
  <si>
    <t>Room</t>
  </si>
  <si>
    <t>TR/IDF/MDF</t>
  </si>
  <si>
    <t>Rack Capacity</t>
  </si>
  <si>
    <t>Power</t>
  </si>
  <si>
    <t>Cooling</t>
  </si>
  <si>
    <t>Access</t>
  </si>
  <si>
    <t>DOCUMENTS</t>
  </si>
  <si>
    <t>Doc ID</t>
  </si>
  <si>
    <t>File / Document</t>
  </si>
  <si>
    <t>Discipline</t>
  </si>
  <si>
    <t>Sheet No</t>
  </si>
  <si>
    <t>Title</t>
  </si>
  <si>
    <t>Revision</t>
  </si>
  <si>
    <t>Keywords</t>
  </si>
  <si>
    <t>Link / Path</t>
  </si>
  <si>
    <t>PHOTOS</t>
  </si>
  <si>
    <t>Photo ID</t>
  </si>
  <si>
    <t>Location</t>
  </si>
  <si>
    <t>File Name</t>
  </si>
  <si>
    <t>Linked Ref</t>
  </si>
  <si>
    <t>Shutdown ID</t>
  </si>
  <si>
    <t>Requested Date</t>
  </si>
  <si>
    <t>Approved Date</t>
  </si>
  <si>
    <t>Scheduled Date</t>
  </si>
  <si>
    <t>Duration</t>
  </si>
  <si>
    <t>Stakeholders Notified</t>
  </si>
  <si>
    <t>STAKEHOLDERS</t>
  </si>
  <si>
    <t>Name</t>
  </si>
  <si>
    <t>Organization</t>
  </si>
  <si>
    <t>Role</t>
  </si>
  <si>
    <t>Phone</t>
  </si>
  <si>
    <t>Email</t>
  </si>
  <si>
    <t>Authority / Influence</t>
  </si>
  <si>
    <t>HOW TO USE</t>
  </si>
  <si>
    <t>1. Enter a building value in B4.</t>
  </si>
  <si>
    <t>2. Use the same value in the Building column of each source register.</t>
  </si>
  <si>
    <t>3. This view returns up to five matching rows per section using Excel-compatible formulas.</t>
  </si>
  <si>
    <t>4. For campus-wide items, use Campus as the Building value.</t>
  </si>
  <si>
    <t>5. This is a project intelligence view, not an official contract deliverable.</t>
  </si>
  <si>
    <t>SOURCE DATA NOTE</t>
  </si>
  <si>
    <t>If a section is blank, that source tab has no matching Building value yet.</t>
  </si>
  <si>
    <t>Campus-wide records use Building = Campus.</t>
  </si>
  <si>
    <t>Building-specific records use the exact building value, such as 1, 2, 80, or MCR/DC.</t>
  </si>
  <si>
    <t>CAMPUS HEALTH</t>
  </si>
  <si>
    <t>QA</t>
  </si>
  <si>
    <t>Guide</t>
  </si>
  <si>
    <t>Focus</t>
  </si>
  <si>
    <t>ACTIVE MISSION</t>
  </si>
  <si>
    <t>MISSION TARGET</t>
  </si>
  <si>
    <t>READINESS SIGNAL</t>
  </si>
  <si>
    <t>SELECTED ASSET</t>
  </si>
  <si>
    <t>BAR</t>
  </si>
  <si>
    <t>ASSESSMENT SHEET</t>
  </si>
  <si>
    <t>OVERALL STATUS</t>
  </si>
  <si>
    <t>CONSTRUCTION READY</t>
  </si>
  <si>
    <t>Selected_Assessment_Sheet</t>
  </si>
  <si>
    <t>Selected_Display_Label</t>
  </si>
  <si>
    <t>BUILDING MISSION MODULES — CLICK TILE TO OPEN ASSESSMENT</t>
  </si>
  <si>
    <t>Use the selector to refresh the Command Center. Tiles are hyperlinks to source assessment sheets.</t>
  </si>
  <si>
    <t>MISSION FEED — NEXT ACTIONS / RELEASE POSTURE</t>
  </si>
  <si>
    <t>TRADE SECTION CARDS — SELECTED BUILDING NOTES</t>
  </si>
  <si>
    <t>SOURCE OF TRUTH: Building assessment sheets remain authoritative. The Command Center reads from PMIS_Data, _Command_Card_Index, and _Assessment_Full_View.</t>
  </si>
  <si>
    <t>SELECTED BUILDING SOURCE DETAIL — FIRST 25 ASSESSMENT ROWS (HIDDEN)</t>
  </si>
  <si>
    <t>Section</t>
  </si>
  <si>
    <t>Item / System</t>
  </si>
  <si>
    <t>Impact / Detail</t>
  </si>
  <si>
    <t>Status / Owner</t>
  </si>
  <si>
    <t>SHUTDOWN TRACKER</t>
  </si>
  <si>
    <t>Enter shutdowns here. Building_View pulls rows matching Building in column C.</t>
  </si>
  <si>
    <t>Lookup #</t>
  </si>
  <si>
    <t>EQ</t>
  </si>
  <si>
    <t>2 Hours</t>
  </si>
  <si>
    <t xml:space="preserve">
Paul Thibodeau
Carroll, Kevin A.
Tammelleo, Chadd D.
Downes, Jennifer L.
Filip, Joseph F.
Lashomb, Kimberly R.
Labbree, Cameron
Oneil, Ellen M.
Bradvica, Christina
Cunneen, Edward M.
Reagan, Stephen V.
Boyden, John M.
Range, Amy
Honnellio, Anthony L.
Mousseau, Kimberly A.
Odiana, Edith U.</t>
  </si>
  <si>
    <t>Pending</t>
  </si>
  <si>
    <t>06/22 Meeting with all Stake Holders</t>
  </si>
  <si>
    <t>CAMPUS BUILDING REGISTER</t>
  </si>
  <si>
    <t>Building-level scope, function, risk, and notes</t>
  </si>
  <si>
    <t>Building ID</t>
  </si>
  <si>
    <t>Function</t>
  </si>
  <si>
    <t>Criticality</t>
  </si>
  <si>
    <t>Generator</t>
  </si>
  <si>
    <t>Telecom Room</t>
  </si>
  <si>
    <t>Primary System</t>
  </si>
  <si>
    <t>Buildings</t>
  </si>
  <si>
    <t>Level</t>
  </si>
  <si>
    <t>SOLUTION</t>
  </si>
  <si>
    <t>ROOM NUMBER</t>
  </si>
  <si>
    <t>NUMBER OF RACKS</t>
  </si>
  <si>
    <t>DISPLACES</t>
  </si>
  <si>
    <t>1</t>
  </si>
  <si>
    <t>Telecom / EHRM</t>
  </si>
  <si>
    <t xml:space="preserve">B </t>
  </si>
  <si>
    <t>SERVED FROM L1</t>
  </si>
  <si>
    <t>2</t>
  </si>
  <si>
    <t>TR</t>
  </si>
  <si>
    <t>1 NEW, 1 FUTURE</t>
  </si>
  <si>
    <t>HR OFFICE</t>
  </si>
  <si>
    <t>33</t>
  </si>
  <si>
    <t xml:space="preserve">SERVED FROM L1 </t>
  </si>
  <si>
    <t>61</t>
  </si>
  <si>
    <t>B</t>
  </si>
  <si>
    <t>62</t>
  </si>
  <si>
    <t>2 RACKS</t>
  </si>
  <si>
    <t>PIV OFFICE</t>
  </si>
  <si>
    <t>70</t>
  </si>
  <si>
    <t>IRM CLOSET</t>
  </si>
  <si>
    <t>78</t>
  </si>
  <si>
    <t>STORAGE</t>
  </si>
  <si>
    <t>SERVED FROM L3</t>
  </si>
  <si>
    <t>80</t>
  </si>
  <si>
    <t>81</t>
  </si>
  <si>
    <t>101C</t>
  </si>
  <si>
    <t>TELECOM ROOM</t>
  </si>
  <si>
    <t>82</t>
  </si>
  <si>
    <t>B18/19</t>
  </si>
  <si>
    <t>MOP STORAGE/BREAK ROOM</t>
  </si>
  <si>
    <t>High</t>
  </si>
  <si>
    <t>Yes</t>
  </si>
  <si>
    <t>SOCIAL WORKER</t>
  </si>
  <si>
    <t>Campus</t>
  </si>
  <si>
    <t>CLINICAL PSYCHOLOGIST</t>
  </si>
  <si>
    <t>TE</t>
  </si>
  <si>
    <t>FILE CABINETS TO BE RELOCATED</t>
  </si>
  <si>
    <t>LEASED SPACE - N/A</t>
  </si>
  <si>
    <t>ATTIC</t>
  </si>
  <si>
    <t>PATIENT TOILET</t>
  </si>
  <si>
    <t>B18/ 20G</t>
  </si>
  <si>
    <t>OFFICE/ NEW ENTRY TO ADJACENT TOILET</t>
  </si>
  <si>
    <t>SERVED FROM L2</t>
  </si>
  <si>
    <t>228A</t>
  </si>
  <si>
    <t>SHARED SOCIAL WORKER OFFICE</t>
  </si>
  <si>
    <t>2065A</t>
  </si>
  <si>
    <t>STORAGE ROOM</t>
  </si>
  <si>
    <t>104B</t>
  </si>
  <si>
    <t>INTERVIEW ROOM</t>
  </si>
  <si>
    <t>HALF OF OFFICE/UNOCCUPIED</t>
  </si>
  <si>
    <t>200A</t>
  </si>
  <si>
    <t>UNOCCUPIED</t>
  </si>
  <si>
    <t>FIBER ONLY</t>
  </si>
  <si>
    <t>HALF OF TELEHEALTH</t>
  </si>
  <si>
    <t>OFFICE</t>
  </si>
  <si>
    <t>HALF OF OFFICE</t>
  </si>
  <si>
    <t>SERVED FROM LB</t>
  </si>
  <si>
    <t>17_29</t>
  </si>
  <si>
    <t>SERVE FROM B21</t>
  </si>
  <si>
    <t>20_32</t>
  </si>
  <si>
    <t>1B</t>
  </si>
  <si>
    <t>BOOKCASE TO BE RELOCATED</t>
  </si>
  <si>
    <t>21_19</t>
  </si>
  <si>
    <t>SERVE FROM L1</t>
  </si>
  <si>
    <t>100A</t>
  </si>
  <si>
    <t>REFRIGERATOR/FILE CABINET RELOCATED</t>
  </si>
  <si>
    <t>MEZZ</t>
  </si>
  <si>
    <t>B23</t>
  </si>
  <si>
    <t>CABINET REMOVED/ FILE CABINETS RELOCATED</t>
  </si>
  <si>
    <t>SERVE FROM LB</t>
  </si>
  <si>
    <t>RESTROOM, CORRIDOR, ALCOVE</t>
  </si>
  <si>
    <t>COPY ROOM, 2 STORAGE ROOMS</t>
  </si>
  <si>
    <t>COPY/MAILROOM, FILE CABINET ALCOVE, WAITING ALCOVE</t>
  </si>
  <si>
    <t>B24A</t>
  </si>
  <si>
    <t>RESTROOM BEING USED AS STORAGE</t>
  </si>
  <si>
    <t>MEDICATION ROOM</t>
  </si>
  <si>
    <t>PH</t>
  </si>
  <si>
    <t>B27</t>
  </si>
  <si>
    <t>OFFICE CUBICLES</t>
  </si>
  <si>
    <t>262A</t>
  </si>
  <si>
    <t>78_78A</t>
  </si>
  <si>
    <t>B78-TR B78A-TR</t>
  </si>
  <si>
    <t>B30</t>
  </si>
  <si>
    <t>1 RACK</t>
  </si>
  <si>
    <t>VOLUNTARY</t>
  </si>
  <si>
    <t>227A</t>
  </si>
  <si>
    <t>COUNSEL OFFICE</t>
  </si>
  <si>
    <t>PSYCH OFFICE</t>
  </si>
  <si>
    <t>PEER SUPPORT OFFICE</t>
  </si>
  <si>
    <t>100F, 104</t>
  </si>
  <si>
    <t>(2) TE</t>
  </si>
  <si>
    <t>BCHCRESCEN T HOUSE</t>
  </si>
  <si>
    <t>PRINTER/CABINETS TO BE RELOCATED</t>
  </si>
  <si>
    <t>STAKEHOLDER DIRECTORY</t>
  </si>
  <si>
    <t>People, roles, authority, and contact map</t>
  </si>
  <si>
    <t>Authority / Decision Role</t>
  </si>
  <si>
    <t>VA Bedford</t>
  </si>
  <si>
    <t>Healthcare Engineer &amp; Lease Manager / Primary VA POC</t>
  </si>
  <si>
    <t>339-215-6829</t>
  </si>
  <si>
    <t>Cameron.Labbree@va.gov</t>
  </si>
  <si>
    <t>VA POC / Owner-side coordination</t>
  </si>
  <si>
    <t>Primary site contact; Building 80 Room 110</t>
  </si>
  <si>
    <t>Josiah D. Curley</t>
  </si>
  <si>
    <t>Chief, Engineering Service</t>
  </si>
  <si>
    <t>781-687-3331</t>
  </si>
  <si>
    <t>josiah.curley@va.gov</t>
  </si>
  <si>
    <t>Sr. Vice President</t>
  </si>
  <si>
    <t>571-213-2287</t>
  </si>
  <si>
    <t>brian@gcc-llc.com</t>
  </si>
  <si>
    <t>Primary GCC POC</t>
  </si>
  <si>
    <t>Safety culture, communications, photos</t>
  </si>
  <si>
    <t>Ali Khalaf</t>
  </si>
  <si>
    <t>Director, Planning and Program Management</t>
  </si>
  <si>
    <t>949-293-2264</t>
  </si>
  <si>
    <t>ali@gcc-llc.com</t>
  </si>
  <si>
    <t>GCC leadership / program management</t>
  </si>
  <si>
    <t xml:space="preserve">Paul Thibodeau </t>
  </si>
  <si>
    <t>Construction Quality Inspector</t>
  </si>
  <si>
    <t>724-320-4459</t>
  </si>
  <si>
    <t>paul.thibodeau@gcc-llc.com</t>
  </si>
  <si>
    <t>Onsite GCC Inspector</t>
  </si>
  <si>
    <t>Complete</t>
  </si>
  <si>
    <t>Mobilization</t>
  </si>
  <si>
    <t>Not Started</t>
  </si>
  <si>
    <t>Commissioning</t>
  </si>
  <si>
    <t>Closeout</t>
  </si>
  <si>
    <t>Procurement</t>
  </si>
  <si>
    <t>Medium</t>
  </si>
  <si>
    <t>Doc_Register</t>
  </si>
  <si>
    <t>Shutdown_Matrix</t>
  </si>
  <si>
    <t>Documentation</t>
  </si>
  <si>
    <t>Critical</t>
  </si>
  <si>
    <t>Category</t>
  </si>
  <si>
    <t>Follow-up</t>
  </si>
  <si>
    <t>LOOKUP LISTS</t>
  </si>
  <si>
    <t>Controlled values for dropdowns and status tracking</t>
  </si>
  <si>
    <t>Phase</t>
  </si>
  <si>
    <t>Low</t>
  </si>
  <si>
    <t>Preconstruction</t>
  </si>
  <si>
    <t>Award</t>
  </si>
  <si>
    <t>Delayed</t>
  </si>
  <si>
    <t>Closed</t>
  </si>
  <si>
    <t>Construction</t>
  </si>
  <si>
    <t>PROJECT OPERATING SYSTEM MAP</t>
  </si>
  <si>
    <t>How the workbook tabs relate to one another</t>
  </si>
  <si>
    <t>Primary Relationship Model</t>
  </si>
  <si>
    <t>The workbook is organized around a simple relational structure. Building_Register is the center of the project intelligence model. Risks, documents, telecom rooms, shutdowns, existing conditions, photos, open questions, and decisions should reference Building ID / Building Number whenever possible. This allows the Dashboard and Building_View tabs to summarize project intelligence by building, system, and status.</t>
  </si>
  <si>
    <t>Core Tab</t>
  </si>
  <si>
    <t>Feeds / Supports</t>
  </si>
  <si>
    <t>Building_Register</t>
  </si>
  <si>
    <t>Master list of campus buildings and high-level scope</t>
  </si>
  <si>
    <t>Building_View, Risk_Register, Documentation, Existing_Conditions, Telecom_Assessments</t>
  </si>
  <si>
    <t>Searchable index of drawings, narratives, specs, reports, and appendices</t>
  </si>
  <si>
    <t>Building_View, Documentation, Weekly_Summary</t>
  </si>
  <si>
    <t>Risk_Register</t>
  </si>
  <si>
    <t>Project risk tracking by building/system/status</t>
  </si>
  <si>
    <t>Dashboard, Risk_Heatmap, Weekly_Summary</t>
  </si>
  <si>
    <t>Action_Log</t>
  </si>
  <si>
    <t>Task/action tracking</t>
  </si>
  <si>
    <t>Dashboard, Weekly_Summary</t>
  </si>
  <si>
    <t>Discovery questions that need owner/GCC clarification</t>
  </si>
  <si>
    <t>Assumptions</t>
  </si>
  <si>
    <t>Assumptions needing verification before becoming risks/issues</t>
  </si>
  <si>
    <t>Dashboard, Risk_Register</t>
  </si>
  <si>
    <t>Defines approval/notification/recovery process by system</t>
  </si>
  <si>
    <t>Shutdown_Tracker, Owner_Impact_Matrix</t>
  </si>
  <si>
    <t>Project Intelligence</t>
  </si>
  <si>
    <t>Informal observations and project learning</t>
  </si>
  <si>
    <t>Lessons_Learned, Proposal_Language</t>
  </si>
  <si>
    <t>BEDFORD VA EHRM PMIS │ EXECUTIVE HOME</t>
  </si>
  <si>
    <t>Live management dashboard driven by standardized building assessment sheets. Edit building assessments → PMIS_Data maps the records → PMIS_Home rolls them up.</t>
  </si>
  <si>
    <t>Selected Building / Area</t>
  </si>
  <si>
    <t>Source Tables</t>
  </si>
  <si>
    <t>Owner PMIS / QA Controls</t>
  </si>
  <si>
    <t>CAMPUS / SELECTED BUILDING KPIs</t>
  </si>
  <si>
    <t>Assessments</t>
  </si>
  <si>
    <t>Rooms / Areas</t>
  </si>
  <si>
    <t>Avg Readiness</t>
  </si>
  <si>
    <t>Critical Risks</t>
  </si>
  <si>
    <t>Open Photo Items</t>
  </si>
  <si>
    <t>SELECTED BUILDING / AREA SNAPSHOT</t>
  </si>
  <si>
    <t>DISCIPLINE STATUS SUMMARY</t>
  </si>
  <si>
    <t>Metric</t>
  </si>
  <si>
    <t>Value</t>
  </si>
  <si>
    <t>Verify Items</t>
  </si>
  <si>
    <t>Pass</t>
  </si>
  <si>
    <t>Fail</t>
  </si>
  <si>
    <t>Open Risk Hits</t>
  </si>
  <si>
    <t>Sheet Readiness</t>
  </si>
  <si>
    <t>Cooling / alarms / condensate / emergency power</t>
  </si>
  <si>
    <t>Rooms / Scope</t>
  </si>
  <si>
    <t>Panels / UPS / PDU / SPD / load measurements</t>
  </si>
  <si>
    <t>Major Blocker / Summary</t>
  </si>
  <si>
    <t>Racks / fiber / copper / labels / OIT acceptance</t>
  </si>
  <si>
    <t>Sprinklers / FEC / clean agent / firestop</t>
  </si>
  <si>
    <t>Security</t>
  </si>
  <si>
    <t>PACS / cameras / VMS / door hardware</t>
  </si>
  <si>
    <t>Site / Civil</t>
  </si>
  <si>
    <t>Ductbank / utility locate / restoration</t>
  </si>
  <si>
    <t>Current Assessment Sheet</t>
  </si>
  <si>
    <t>PMIS1_Data</t>
  </si>
  <si>
    <t>Photos / tests / reports / closeout</t>
  </si>
  <si>
    <t>DATA HEALTH: B70 open-risk formula fixed; PMIS1_Data formulas are direct local sheet references; dashboard ranges patched to include all mapped risks/questions/photos.</t>
  </si>
  <si>
    <t>LIVE DATA PATH: Building Assessment Sheets → PMIS1_Data formula staging layer → PMIS_Home dashboard. PMIS1_Data is not an input tab. Change the building sheets; the dashboard rolls up from them after Excel recalculation.</t>
  </si>
  <si>
    <t>BUILDING / AREA HEATMAP — mapped from all standardized assessment sheets</t>
  </si>
  <si>
    <t>FP</t>
  </si>
  <si>
    <t>FA</t>
  </si>
  <si>
    <t>Major Blocker / Focus</t>
  </si>
  <si>
    <t>TOP OPEN RISKS — static snapshot from PMIS_Data</t>
  </si>
  <si>
    <t>OPEN QUESTIONS — static snapshot from PMIS_Data</t>
  </si>
  <si>
    <t>Prob.</t>
  </si>
  <si>
    <t>Score</t>
  </si>
  <si>
    <t>Risk</t>
  </si>
  <si>
    <t>SITE-R1</t>
  </si>
  <si>
    <t>All</t>
  </si>
  <si>
    <t>GC / Civil / VA</t>
  </si>
  <si>
    <t>Existing utility locations are approximate and field conditions may vary from survey</t>
  </si>
  <si>
    <t>B01-Q1</t>
  </si>
  <si>
    <t>VA / OIT / Designer</t>
  </si>
  <si>
    <t>Room inventory could miss scope</t>
  </si>
  <si>
    <t>Confirm final telecom scope: new Room 107 with existing B02, 138 and 282 transition/transfer points?</t>
  </si>
  <si>
    <t>B01-R2</t>
  </si>
  <si>
    <t>B02/138/282</t>
  </si>
  <si>
    <t>Telecom / OIT</t>
  </si>
  <si>
    <t>Existing equipment may remain active during transfer to Room 107</t>
  </si>
  <si>
    <t>B01-Q2</t>
  </si>
  <si>
    <t>OIT / Contractor</t>
  </si>
  <si>
    <t>Potential communications/security outage</t>
  </si>
  <si>
    <t>What active services are currently fed from existing Rooms B02, 138 and 282?</t>
  </si>
  <si>
    <t>B01-R3</t>
  </si>
  <si>
    <t>107</t>
  </si>
  <si>
    <t>Mechanical / Electrical</t>
  </si>
  <si>
    <t>Dedicated cooling emergency power, condensate, BACnet and alarms not verified</t>
  </si>
  <si>
    <t>B01-Q3</t>
  </si>
  <si>
    <t>OIT / Telecom</t>
  </si>
  <si>
    <t>Cutover and rack elevation risk</t>
  </si>
  <si>
    <t>What equipment from existing racks transfers to new Room 107 versus remains/decommissions?</t>
  </si>
  <si>
    <t>B01-R6</t>
  </si>
  <si>
    <t>Telecom/fiber cutover could affect active hospital communications across basement/first/second levels</t>
  </si>
  <si>
    <t>B01-Q4</t>
  </si>
  <si>
    <t>Mechanical / Electrical / VA</t>
  </si>
  <si>
    <t>Cooling continuity unclear</t>
  </si>
  <si>
    <t>Is IU-1-01/CU-1-01 on emergency/backup power and dedicated to Room 107?</t>
  </si>
  <si>
    <t>02</t>
  </si>
  <si>
    <t>B02-R2</t>
  </si>
  <si>
    <t>Existing rooms</t>
  </si>
  <si>
    <t>Existing equipment may remain active during transfer to new TRs</t>
  </si>
  <si>
    <t>B01-Q5</t>
  </si>
  <si>
    <t>GC / COR</t>
  </si>
  <si>
    <t>Life-safety acceptance risk</t>
  </si>
  <si>
    <t>Where is the clean-agent/CO2 extinguisher cabinet located within 75 ft of Room 107?</t>
  </si>
  <si>
    <t>B02-R3</t>
  </si>
  <si>
    <t>141/236/342</t>
  </si>
  <si>
    <t>Dedicated cooling assignment, emergency power, condensate, BACnet and alarms not verified</t>
  </si>
  <si>
    <t>B01-Q6</t>
  </si>
  <si>
    <t>Electrical / Designer</t>
  </si>
  <si>
    <t>Electrical readiness unknown</t>
  </si>
  <si>
    <t>Are B01-TR107A/B sources, rack receptacles, SPDs, labels and 30-day load measurements approved?</t>
  </si>
  <si>
    <t>B02-R6</t>
  </si>
  <si>
    <t>Telecom/fiber cutover could affect active hospital communications across several floors</t>
  </si>
  <si>
    <t>B01-Q7</t>
  </si>
  <si>
    <t>GC / Firestop</t>
  </si>
  <si>
    <t>Fire/smoke spread risk</t>
  </si>
  <si>
    <t>Are all rated wall/floor penetrations, sleeves, cable tray entries and firestopping details identified?</t>
  </si>
  <si>
    <t>03</t>
  </si>
  <si>
    <t>B03-R2</t>
  </si>
  <si>
    <t>107 / 101C</t>
  </si>
  <si>
    <t>Existing DMARC/fiber/telecom equipment may remain active during transfer to Room 101E</t>
  </si>
  <si>
    <t>B01-Q8</t>
  </si>
  <si>
    <t>GC / Cx Manager / OIT</t>
  </si>
  <si>
    <t>Turnover package gap</t>
  </si>
  <si>
    <t>Which third-party inspections and commissioning forms are required before VA/OIT acceptance?</t>
  </si>
  <si>
    <t>B03-R3</t>
  </si>
  <si>
    <t>101E</t>
  </si>
  <si>
    <t>B02-Q1</t>
  </si>
  <si>
    <t>Confirm final telecom scope: new Rooms 141, 236 and 342 with existing B-06/141/236 transition points?</t>
  </si>
  <si>
    <t>B03-R6</t>
  </si>
  <si>
    <t>Telecom/fiber cutover could affect active hospital communications and provider/DMARC services</t>
  </si>
  <si>
    <t>B02-Q2</t>
  </si>
  <si>
    <t>What active services are currently fed from existing Rooms B-06, 141 and 236?</t>
  </si>
  <si>
    <t>04</t>
  </si>
  <si>
    <t>B04-R4</t>
  </si>
  <si>
    <t>GCC / VA / Electrical</t>
  </si>
  <si>
    <t>Cooling emergency power / 24/7 continuity not verified</t>
  </si>
  <si>
    <t>B02-Q3</t>
  </si>
  <si>
    <t>What existing equipment is transferred, relocated, removed or protected in Rooms 141 and 236?</t>
  </si>
  <si>
    <t>B04-R6</t>
  </si>
  <si>
    <t>Telecom / OIT / GC</t>
  </si>
  <si>
    <t>Telecom/fiber cutover could affect active hospital communications</t>
  </si>
  <si>
    <t>B02-Q4</t>
  </si>
  <si>
    <t>Which IU/CU pair serves each TR and are they on emergency/backup power?</t>
  </si>
  <si>
    <t>DATA ARCHITECTURE / HOW THIS HOME SHEET WORKS</t>
  </si>
  <si>
    <t>Assessment sheets keep the same section headings and columns.</t>
  </si>
  <si>
    <t>→</t>
  </si>
  <si>
    <t>PMIS_Data maps those sections into normalized tables.</t>
  </si>
  <si>
    <t>PMIS_Home formulas roll up counts, readiness and status.</t>
  </si>
  <si>
    <t>Change building details in the building assessment sheet first.</t>
  </si>
  <si>
    <t>Re-run mapping refresh when new buildings/changes are added.</t>
  </si>
  <si>
    <t>Dashboard updates from PMIS_Data.</t>
  </si>
  <si>
    <t>Core mapped tables</t>
  </si>
  <si>
    <t>Building Rollup, Rooms, Risks, Questions, Photos, Readiness, Discipline Status</t>
  </si>
  <si>
    <t>Critical control point</t>
  </si>
  <si>
    <t>Do not manually overwrite PMIS_Home formulas; change source sheets or PMIS_Data refresh.</t>
  </si>
  <si>
    <t>Recommended pilot</t>
  </si>
  <si>
    <t>Representative complexity without MCR-level campus criticality.</t>
  </si>
  <si>
    <t>Final exam</t>
  </si>
  <si>
    <t>MCR and SITE should not be used as first-work quality gate.</t>
  </si>
  <si>
    <t>Program controls</t>
  </si>
  <si>
    <t>Shutdown planning, active-service protection, ICRA/PCRA, firestop logs, photo evidence, OIT acceptance, commissioning, turnover documentation.</t>
  </si>
  <si>
    <t>Owner value</t>
  </si>
  <si>
    <t>This is now an owner QA / PMIS control surface, not just a tracker.</t>
  </si>
  <si>
    <t>Refresh note</t>
  </si>
  <si>
    <t>If assessment sheets are edited later, PMIS_Data should be refreshed from the standardized sections.</t>
  </si>
  <si>
    <t>File generated</t>
  </si>
  <si>
    <t>Risk Priority</t>
  </si>
  <si>
    <t>Question Status</t>
  </si>
  <si>
    <t>Verify</t>
  </si>
  <si>
    <t>Answered</t>
  </si>
  <si>
    <t>N/A</t>
  </si>
  <si>
    <t>TELECOM ROOMS / ASSESSMENTS</t>
  </si>
  <si>
    <t>Source register for Building_View lookup. Auto-seeded from Building_Register raw room data.</t>
  </si>
  <si>
    <t>141</t>
  </si>
  <si>
    <t>236</t>
  </si>
  <si>
    <t>342</t>
  </si>
  <si>
    <t>3</t>
  </si>
  <si>
    <t>4</t>
  </si>
  <si>
    <t>244</t>
  </si>
  <si>
    <t>5</t>
  </si>
  <si>
    <t>150</t>
  </si>
  <si>
    <t>6</t>
  </si>
  <si>
    <t>178</t>
  </si>
  <si>
    <t>233</t>
  </si>
  <si>
    <t>7</t>
  </si>
  <si>
    <t>8</t>
  </si>
  <si>
    <t>9</t>
  </si>
  <si>
    <t>206</t>
  </si>
  <si>
    <t>10</t>
  </si>
  <si>
    <t>13</t>
  </si>
  <si>
    <t>124</t>
  </si>
  <si>
    <t>14</t>
  </si>
  <si>
    <t>119</t>
  </si>
  <si>
    <t>15</t>
  </si>
  <si>
    <t>16</t>
  </si>
  <si>
    <t>118</t>
  </si>
  <si>
    <t>18</t>
  </si>
  <si>
    <t>110</t>
  </si>
  <si>
    <t>22</t>
  </si>
  <si>
    <t>106</t>
  </si>
  <si>
    <t>226</t>
  </si>
  <si>
    <t>125</t>
  </si>
  <si>
    <t>225</t>
  </si>
  <si>
    <t>1232</t>
  </si>
  <si>
    <t>401</t>
  </si>
  <si>
    <t>102</t>
  </si>
  <si>
    <t>BUILDING STAKEHOLDERS</t>
  </si>
  <si>
    <t>Campus-wide and building-specific stakeholders. Building_View pulls selected building plus Campus.</t>
  </si>
  <si>
    <t>Healthcare Engineer / Primary VA POC</t>
  </si>
  <si>
    <t>Primary daily VA contact</t>
  </si>
  <si>
    <t>Sr. Vice President / Primary GCC POC</t>
  </si>
  <si>
    <t>GCC primary contact</t>
  </si>
  <si>
    <t>Paul Thibodeau</t>
  </si>
  <si>
    <t>Field support / project intelligence</t>
  </si>
  <si>
    <t>Enter field observations here. Building_View pulls rows matching Building in column A.</t>
  </si>
  <si>
    <t>DOCUMENT / DRAWING REGISTER</t>
  </si>
  <si>
    <t>Searchable index for PDFs, drawings, narratives, specs, and appendices</t>
  </si>
  <si>
    <t>DOC-001</t>
  </si>
  <si>
    <t>00 41 13.10 - Construction Estimate Breakdown Template.pdf</t>
  </si>
  <si>
    <t>Plans\00 41 13.10 - Construction Estimate Breakdown Template.pdf</t>
  </si>
  <si>
    <t>DOC-002</t>
  </si>
  <si>
    <t>01 00 00.B - Appendix B - Submittal Log.pdf</t>
  </si>
  <si>
    <t>Submittals</t>
  </si>
  <si>
    <t>Project Controls</t>
  </si>
  <si>
    <t>submittal, log</t>
  </si>
  <si>
    <t>Plans\01 00 00.B - Appendix B - Submittal Log.pdf</t>
  </si>
  <si>
    <t>DOC-003</t>
  </si>
  <si>
    <t>01 00 00.C - Appendix C - VHA ICRA-1.3 (Dec 9 2024).pdf</t>
  </si>
  <si>
    <t>Safety / Infection Control</t>
  </si>
  <si>
    <t>ICRA</t>
  </si>
  <si>
    <t>ICRA, infection control, safety</t>
  </si>
  <si>
    <t>Plans\01 00 00.C - Appendix C - VHA ICRA-1.3 (Dec 9 2024).pdf</t>
  </si>
  <si>
    <t>DOC-004</t>
  </si>
  <si>
    <t>01 00 00.D - Appendix D - VHA PCRA 2024 1.1 Final.Template Fillable.pdf</t>
  </si>
  <si>
    <t>Safety / Risk</t>
  </si>
  <si>
    <t>PCRA</t>
  </si>
  <si>
    <t>PCRA, safety, risk</t>
  </si>
  <si>
    <t>Plans\01 00 00.D - Appendix D - VHA PCRA 2024 1.1 Final.Template Fillable.pdf</t>
  </si>
  <si>
    <t>DOC-005</t>
  </si>
  <si>
    <t>01 00 00.E - Appendix E - J2247012 Bedford MA VAMC ACM Inspection LCP Testing Report Final 11-20-2024 - signed-unlocked.pdf</t>
  </si>
  <si>
    <t>Hazardous Materials</t>
  </si>
  <si>
    <t>ACM / LCP</t>
  </si>
  <si>
    <t>asbestos, lead, hazardous material</t>
  </si>
  <si>
    <t>Plans\01 00 00.E - Appendix E - J2247012 Bedford MA VAMC ACM Inspection LCP Testing Report Final 11-20-2024 - signed-unlocked.pdf</t>
  </si>
  <si>
    <t>DOC-006</t>
  </si>
  <si>
    <t>01 00 00.F - Appendix F - GPRS REPORT - 689391 EX01.pdf</t>
  </si>
  <si>
    <t>Utility / Scanning</t>
  </si>
  <si>
    <t>GPRS, utility, locating</t>
  </si>
  <si>
    <t>Plans\01 00 00.F - Appendix F - GPRS REPORT - 689391 EX01.pdf</t>
  </si>
  <si>
    <t>DOC-007</t>
  </si>
  <si>
    <t>01 00 00.G - Appendix G - Geotechnical and Boring Reports.pdf</t>
  </si>
  <si>
    <t>Geotechnical</t>
  </si>
  <si>
    <t>Site / Soils</t>
  </si>
  <si>
    <t>geotechnical, boring, soils</t>
  </si>
  <si>
    <t>Plans\01 00 00.G - Appendix G - Geotechnical and Boring Reports.pdf</t>
  </si>
  <si>
    <t>DOC-008</t>
  </si>
  <si>
    <t>518-22-700.Bedford.EHRM.IFC.B01.20260316.pdf</t>
  </si>
  <si>
    <t>EHRM / Telecom</t>
  </si>
  <si>
    <t>EHRM, telecom, fiber, drawings</t>
  </si>
  <si>
    <t>Plans\518-22-700.Bedford.EHRM.IFC.B01.20260316.pdf</t>
  </si>
  <si>
    <t>DOC-009</t>
  </si>
  <si>
    <t>518-22-700.Bedford.EHRM.IFC.B02.20260316.pdf</t>
  </si>
  <si>
    <t>Plans\518-22-700.Bedford.EHRM.IFC.B02.20260316.pdf</t>
  </si>
  <si>
    <t>DOC-010</t>
  </si>
  <si>
    <t>518-22-700.Bedford.EHRM.IFC.B03.20260316.pdf</t>
  </si>
  <si>
    <t>Plans\518-22-700.Bedford.EHRM.IFC.B03.20260316.pdf</t>
  </si>
  <si>
    <t>DOC-011</t>
  </si>
  <si>
    <t>518-22-700.Bedford.EHRM.IFC.B04.20260316.pdf</t>
  </si>
  <si>
    <t>Plans\518-22-700.Bedford.EHRM.IFC.B04.20260316.pdf</t>
  </si>
  <si>
    <t>DOC-012</t>
  </si>
  <si>
    <t>518-22-700.Bedford.EHRM.IFC.B05.20260316.pdf</t>
  </si>
  <si>
    <t>Plans\518-22-700.Bedford.EHRM.IFC.B05.20260316.pdf</t>
  </si>
  <si>
    <t>DOC-013</t>
  </si>
  <si>
    <t>518-22-700.Bedford.EHRM.IFC.B06.20260316.pdf</t>
  </si>
  <si>
    <t>Plans\518-22-700.Bedford.EHRM.IFC.B06.20260316.pdf</t>
  </si>
  <si>
    <t>DOC-014</t>
  </si>
  <si>
    <t>518-22-700.Bedford.EHRM.IFC.B07.20260316.pdf</t>
  </si>
  <si>
    <t>Plans\518-22-700.Bedford.EHRM.IFC.B07.20260316.pdf</t>
  </si>
  <si>
    <t>DOC-015</t>
  </si>
  <si>
    <t>518-22-700.Bedford.EHRM.IFC.B08.20260316.pdf</t>
  </si>
  <si>
    <t>Plans\518-22-700.Bedford.EHRM.IFC.B08.20260316.pdf</t>
  </si>
  <si>
    <t>DOC-016</t>
  </si>
  <si>
    <t>518-22-700.Bedford.EHRM.IFC.B09.20260316.pdf</t>
  </si>
  <si>
    <t>Plans\518-22-700.Bedford.EHRM.IFC.B09.20260316.pdf</t>
  </si>
  <si>
    <t>DOC-017</t>
  </si>
  <si>
    <t>518-22-700.Bedford.EHRM.IFC.B10.20260316.pdf</t>
  </si>
  <si>
    <t>Plans\518-22-700.Bedford.EHRM.IFC.B10.20260316.pdf</t>
  </si>
  <si>
    <t>DOC-018</t>
  </si>
  <si>
    <t>518-22-700.Bedford.EHRM.IFC.B12.20260316.pdf</t>
  </si>
  <si>
    <t>Plans\518-22-700.Bedford.EHRM.IFC.B12.20260316.pdf</t>
  </si>
  <si>
    <t>DOC-019</t>
  </si>
  <si>
    <t>518-22-700.Bedford.EHRM.IFC.B13.20260316.pdf</t>
  </si>
  <si>
    <t>Plans\518-22-700.Bedford.EHRM.IFC.B13.20260316.pdf</t>
  </si>
  <si>
    <t>DOC-020</t>
  </si>
  <si>
    <t>518-22-700.Bedford.EHRM.IFC.B14.20260316.pdf</t>
  </si>
  <si>
    <t>Plans\518-22-700.Bedford.EHRM.IFC.B14.20260316.pdf</t>
  </si>
  <si>
    <t>DOC-021</t>
  </si>
  <si>
    <t>518-22-700.Bedford.EHRM.IFC.B15.20260316.pdf</t>
  </si>
  <si>
    <t>Plans\518-22-700.Bedford.EHRM.IFC.B15.20260316.pdf</t>
  </si>
  <si>
    <t>DOC-022</t>
  </si>
  <si>
    <t>518-22-700.Bedford.EHRM.IFC.B16.20260316.pdf</t>
  </si>
  <si>
    <t>Plans\518-22-700.Bedford.EHRM.IFC.B16.20260316.pdf</t>
  </si>
  <si>
    <t>DOC-023</t>
  </si>
  <si>
    <t>518-22-700.Bedford.EHRM.IFC.B17_29.20260316.pdf</t>
  </si>
  <si>
    <t>Plans\518-22-700.Bedford.EHRM.IFC.B17_29.20260316.pdf</t>
  </si>
  <si>
    <t>DOC-024</t>
  </si>
  <si>
    <t>518-22-700.Bedford.EHRM.IFC.B18.20260316.pdf</t>
  </si>
  <si>
    <t>Plans\518-22-700.Bedford.EHRM.IFC.B18.20260316.pdf</t>
  </si>
  <si>
    <t>DOC-025</t>
  </si>
  <si>
    <t>518-22-700.Bedford.EHRM.IFC.B20.20260316.pdf</t>
  </si>
  <si>
    <t>Plans\518-22-700.Bedford.EHRM.IFC.B20.20260316.pdf</t>
  </si>
  <si>
    <t>DOC-026</t>
  </si>
  <si>
    <t>518-22-700.Bedford.EHRM.IFC.B21_19.20260316.pdf</t>
  </si>
  <si>
    <t>Plans\518-22-700.Bedford.EHRM.IFC.B21_19.20260316.pdf</t>
  </si>
  <si>
    <t>DOC-027</t>
  </si>
  <si>
    <t>518-22-700.Bedford.EHRM.IFC.B22.20260316.pdf</t>
  </si>
  <si>
    <t>Plans\518-22-700.Bedford.EHRM.IFC.B22.20260316.pdf</t>
  </si>
  <si>
    <t>DOC-028</t>
  </si>
  <si>
    <t>518-22-700.Bedford.EHRM.IFC.B33.20260316.pdf</t>
  </si>
  <si>
    <t>Plans\518-22-700.Bedford.EHRM.IFC.B33.20260316.pdf</t>
  </si>
  <si>
    <t>DOC-029</t>
  </si>
  <si>
    <t>518-22-700.Bedford.EHRM.IFC.B61.20260316.pdf</t>
  </si>
  <si>
    <t>Plans\518-22-700.Bedford.EHRM.IFC.B61.20260316.pdf</t>
  </si>
  <si>
    <t>DOC-030</t>
  </si>
  <si>
    <t>518-22-700.Bedford.EHRM.IFC.B62.20260316.pdf</t>
  </si>
  <si>
    <t>Plans\518-22-700.Bedford.EHRM.IFC.B62.20260316.pdf</t>
  </si>
  <si>
    <t>DOC-031</t>
  </si>
  <si>
    <t>518-22-700.Bedford.EHRM.IFC.B70.20260316.pdf</t>
  </si>
  <si>
    <t>Plans\518-22-700.Bedford.EHRM.IFC.B70.20260316.pdf</t>
  </si>
  <si>
    <t>DOC-032</t>
  </si>
  <si>
    <t>518-22-700.Bedford.EHRM.IFC.B78_78A.20260316.pdf</t>
  </si>
  <si>
    <t>Plans\518-22-700.Bedford.EHRM.IFC.B78_78A.20260316.pdf</t>
  </si>
  <si>
    <t>DOC-033</t>
  </si>
  <si>
    <t>518-22-700.Bedford.EHRM.IFC.B80.20260316.pdf</t>
  </si>
  <si>
    <t>Plans\518-22-700.Bedford.EHRM.IFC.B80.20260316.pdf</t>
  </si>
  <si>
    <t>DOC-034</t>
  </si>
  <si>
    <t>518-22-700.Bedford.EHRM.IFC.B81.20260316.pdf</t>
  </si>
  <si>
    <t>Plans\518-22-700.Bedford.EHRM.IFC.B81.20260316.pdf</t>
  </si>
  <si>
    <t>DOC-035</t>
  </si>
  <si>
    <t>518-22-700.Bedford.EHRM.IFC.B82.20260316.pdf</t>
  </si>
  <si>
    <t>Plans\518-22-700.Bedford.EHRM.IFC.B82.20260316.pdf</t>
  </si>
  <si>
    <t>DOC-036</t>
  </si>
  <si>
    <t>518-22-700.Bedford.EHRM.IFC.BCH.20260316.pdf</t>
  </si>
  <si>
    <t>Plans\518-22-700.Bedford.EHRM.IFC.BCH.20260316.pdf</t>
  </si>
  <si>
    <t>DOC-037</t>
  </si>
  <si>
    <t>518-22-700.Bedford.EHRM.IFC.MCR.20260316.pdf</t>
  </si>
  <si>
    <t>Plans\518-22-700.Bedford.EHRM.IFC.MCR.20260316.pdf</t>
  </si>
  <si>
    <t>DOC-038</t>
  </si>
  <si>
    <t>518-22-700.Bedford.EHRM.IFC.SITE.20260316.pdf</t>
  </si>
  <si>
    <t>Plans\518-22-700.Bedford.EHRM.IFC.SITE.20260316.pdf</t>
  </si>
  <si>
    <t>DOC-039</t>
  </si>
  <si>
    <t>518-22-700.Bedford.MA.EHRM.Specifications.IFC.20260413.pdf</t>
  </si>
  <si>
    <t>Plans\518-22-700.Bedford.MA.EHRM.Specifications.IFC.20260413.pdf</t>
  </si>
  <si>
    <t>DOC-040</t>
  </si>
  <si>
    <t>518-22-700.Summary Log_ADD1.20260225.pdf</t>
  </si>
  <si>
    <t>Plans\518-22-700.Summary Log_ADD1.20260225.pdf</t>
  </si>
  <si>
    <t>518-22-700 Bedford MA EHRM Narrative IFC.pdf</t>
  </si>
  <si>
    <t>PMIS_DATA — FORMULA-FED BUILDING / AREA ROLLUP</t>
  </si>
  <si>
    <t>Building Selector</t>
  </si>
  <si>
    <t>Room Count</t>
  </si>
  <si>
    <t>Next Action</t>
  </si>
  <si>
    <t>Major Blocker</t>
  </si>
  <si>
    <t>Risk Density</t>
  </si>
  <si>
    <t>Question Density</t>
  </si>
  <si>
    <t>Photo Density</t>
  </si>
  <si>
    <t>Owner Focus</t>
  </si>
  <si>
    <t>Execution Gate</t>
  </si>
  <si>
    <t>Source Health</t>
  </si>
  <si>
    <t>MAPPED OPEN QUESTIONS — FORMULA-FED FROM BUILDING SHEETS</t>
  </si>
  <si>
    <t>Needed By</t>
  </si>
  <si>
    <t>Answer / Resolution</t>
  </si>
  <si>
    <t>Impact if Unanswered</t>
  </si>
  <si>
    <t>Date Closed</t>
  </si>
  <si>
    <t>MAPPED ROOMS / TELECOM SPACES — FORMULA-FED FROM BUILDING SHEETS</t>
  </si>
  <si>
    <t>Source Building</t>
  </si>
  <si>
    <t>Floor</t>
  </si>
  <si>
    <t>Existing Use</t>
  </si>
  <si>
    <t>New Use</t>
  </si>
  <si>
    <t>Rack Count</t>
  </si>
  <si>
    <t>Future Rack</t>
  </si>
  <si>
    <t>Drawing Ref</t>
  </si>
  <si>
    <t>MAPPED PHOTO / DOCUMENTATION NEEDS — FORMULA-FED FROM BUILDING SHEETS</t>
  </si>
  <si>
    <t>Taken By</t>
  </si>
  <si>
    <t>File / Link</t>
  </si>
  <si>
    <t>Related Risk</t>
  </si>
  <si>
    <t>MAPPED READINESS SCORES — FORMULA-FED FROM BUILDING SHEETS</t>
  </si>
  <si>
    <t>Room Readiness</t>
  </si>
  <si>
    <t>Fire</t>
  </si>
  <si>
    <t>Total Score</t>
  </si>
  <si>
    <t>MAPPED DISCIPLINE STATUS ITEMS — FORMULA-FED FROM BUILDING SHEETS</t>
  </si>
  <si>
    <t>Overall</t>
  </si>
  <si>
    <t>Source Row</t>
  </si>
  <si>
    <t>BUILDING 01 │ EHRM ASSESSMENT │ PMIS DASHBOARD FEED</t>
  </si>
  <si>
    <t>Building Phase</t>
  </si>
  <si>
    <t>Review Date</t>
  </si>
  <si>
    <t>Reviewer</t>
  </si>
  <si>
    <t>Source Package</t>
  </si>
  <si>
    <t>518-22-700 IFC Building 01</t>
  </si>
  <si>
    <t>Responsible Party</t>
  </si>
  <si>
    <t>GCC / VA / Contractor</t>
  </si>
  <si>
    <t>107 / existing B02 / 138 / 282</t>
  </si>
  <si>
    <t>Building 01 is a full-scope telecom room building with new First-Level Telecom Room 107 and existing telecom transition rooms B02, 138, and 282. Scope includes architectural, hazardous, fire protection, mechanical, electrical, telecom, security, rack elevations, schedules, and photo references. Major open items include active service transfer from existing rooms, IU-1-01/CU-1-01 cooling, B01-TR107A/B normal/emergency power, UPS/PDU rack power, PACS/CCTV, 394 ft cable tray, firestopping, fiber Path A/B, and room/equipment cutover planning.</t>
  </si>
  <si>
    <t>HVAC Status</t>
  </si>
  <si>
    <t>Electrical Status</t>
  </si>
  <si>
    <t>Telecom Status</t>
  </si>
  <si>
    <t>Fire Protection Status</t>
  </si>
  <si>
    <t>Fire Alarm Status</t>
  </si>
  <si>
    <t>Security Status</t>
  </si>
  <si>
    <t>Field verify Room 107, existing B02, 138, and 282; confirm active services, existing rack/equipment transfer, B01-TR107A/B panel sources, IU-1-01/CU-1-01 cooling, fire alarm/sprinkler impacts, FEC location, PACS/CCTV scope, 394 ft cable tray routes, and telecom cutover sequence.</t>
  </si>
  <si>
    <t>1. ROOM INVENTORY</t>
  </si>
  <si>
    <t>First</t>
  </si>
  <si>
    <t>New Telecom Room build area</t>
  </si>
  <si>
    <t>01A-401 / 01E-101 / 01E-601 / 01E-701 / 01T-101 / 01T-604 / 01T-605 / 01T-701</t>
  </si>
  <si>
    <t>Primary Building 01 TR. Plans identify Room 107 as new TR with Rack ID TR01-107-1, one new 4-post rack plus future rack, 5kW UPS, future/zone PDU, network switches, 48-port Cat6A patch panels, 24-port Cat5e patch panel, Fiber LIU, panels B01-TR107A/B, IU-1-01/CU-1-01 cooling, camera 107-CAM-1, and 161 total ports with 10% allowance.</t>
  </si>
  <si>
    <t>Basement</t>
  </si>
  <si>
    <t>Existing telecom room / racks</t>
  </si>
  <si>
    <t>Existing telecom transition point</t>
  </si>
  <si>
    <t>01T-100 / 01T-604 / 01R-900</t>
  </si>
  <si>
    <t>Existing Basement Telecom Room B02 with two 2-post floor racks and one wall TE. Existing equipment includes open rack, UPS on floor, Tripp Lite Smart Pro UPS, Tera Max/Nokia/Baseband/IRU equipment, Corning LANscape, Cisco, and Ortronics 24-port patch panels. Protect active services and transfer devices as required.</t>
  </si>
  <si>
    <t>138</t>
  </si>
  <si>
    <t>Existing telecom room / patch panels</t>
  </si>
  <si>
    <t>01T-101 / 01T-604 / 01R-900</t>
  </si>
  <si>
    <t>Existing First-Level Telecom Room 138 with existing patch panels, APC UPS floor, Cisco, Corning LANscape and Ortronics 24/48-port patch panels. Protect active services and verify migration to Room 107.</t>
  </si>
  <si>
    <t>282</t>
  </si>
  <si>
    <t>Second</t>
  </si>
  <si>
    <t>01T-101 / 01T-605 / 01R-900</t>
  </si>
  <si>
    <t>Existing Second-Level Telecom Room 282 with two 2-post floor racks, Cisco switches, cable managers, legacy Ortronics 24/48-port patch panels, Corning LANscape and APC 12-port equipment. Protect active services during Room 107 cutover.</t>
  </si>
  <si>
    <t>2. ROOM READINESS</t>
  </si>
  <si>
    <t>Walls / 1-hr Rating</t>
  </si>
  <si>
    <t>Ceiling</t>
  </si>
  <si>
    <t>Floor / SDC</t>
  </si>
  <si>
    <t>Penetrations</t>
  </si>
  <si>
    <t>Access Control</t>
  </si>
  <si>
    <t>Clearances</t>
  </si>
  <si>
    <t>Housekeeping</t>
  </si>
  <si>
    <t>Comments</t>
  </si>
  <si>
    <t>New TR. Verify rated wall/smoke barrier conditions, door/access-control hardware, ceiling/deck, floor sealer, rack/future rack clearances, wall backing, cable tray, fiber path A/B, and working clearances around rack, panels and IU.</t>
  </si>
  <si>
    <t>Existing / Verify</t>
  </si>
  <si>
    <t>Verify Existing</t>
  </si>
  <si>
    <t>Existing basement telecom room. Verify active equipment, rack access, existing UPS power, wall TE, pathway and transfer/abandonment scope.</t>
  </si>
  <si>
    <t>Existing first-level telecom transition point. Verify rack/panel condition, active services, UPS, patching and cable transfer scope.</t>
  </si>
  <si>
    <t>Existing second-level telecom transition point. Verify rack access, active services, pathway/riser and final condition after cutover.</t>
  </si>
  <si>
    <t>3. FIRE PROTECTION</t>
  </si>
  <si>
    <t>Sprinkler</t>
  </si>
  <si>
    <t>Cage</t>
  </si>
  <si>
    <t>Detector</t>
  </si>
  <si>
    <t>Horn/Strobe</t>
  </si>
  <si>
    <t>Extinguisher &lt;75 ft</t>
  </si>
  <si>
    <t>Firestop</t>
  </si>
  <si>
    <t>Temp Firestop</t>
  </si>
  <si>
    <t>Risk / Notes</t>
  </si>
  <si>
    <t>Full fire protection scope included. Verify sprinkler head modifications, fire alarm devices, clean-agent/CO2 2A:10B:C FEC within 75 ft, rated wall/floor penetrations, temporary firestopping and final UL firestop systems.</t>
  </si>
  <si>
    <t>Existing telecom room; verify FP/FA protection-in-place and seal penetrations after cable removal/reuse.</t>
  </si>
  <si>
    <t>Existing telecom room; verify fire alarm/sprinkler impacts, protection-in-place and final firestop at cable changes.</t>
  </si>
  <si>
    <t>Existing second-level telecom room; verify riser penetrations, firestopping and protection-in-place.</t>
  </si>
  <si>
    <t>4. HVAC / COOLING</t>
  </si>
  <si>
    <t>Dedicated Unit</t>
  </si>
  <si>
    <t>Capacity Verified</t>
  </si>
  <si>
    <t>Emergency Power</t>
  </si>
  <si>
    <t>Controls / BACnet</t>
  </si>
  <si>
    <t>Condensate Routed</t>
  </si>
  <si>
    <t>High Temp Alarm</t>
  </si>
  <si>
    <t>24/7 Operation</t>
  </si>
  <si>
    <t>IU-1-01 / CU-1-01</t>
  </si>
  <si>
    <t>Mechanical drawings show IU-1-01 split-system indoor unit and CU-1-01 outdoor unit for Room 107. Notes call for condensate pump, pumped condensate line, BACnet adapter adjacent to unit, FMS integration, room temperature/humidity points and alarms. Confirm capacity, emergency source, condensate path, controls and startup.</t>
  </si>
  <si>
    <t>Existing basement telecom equipment may remain active during cutover. Verify environmental conditions and whether active equipment remains after migration.</t>
  </si>
  <si>
    <t>Existing first-level equipment may remain active during transfer; verify temperature, ventilation and protection of active gear.</t>
  </si>
  <si>
    <t>Existing second-level equipment may remain active until cutover; verify existing cooling/ambient conditions and no overheating.</t>
  </si>
  <si>
    <t>5. ELECTRICAL / UPS</t>
  </si>
  <si>
    <t>UPS Installed</t>
  </si>
  <si>
    <t>UPS Size</t>
  </si>
  <si>
    <t>PDU Installed</t>
  </si>
  <si>
    <t>Rack Receptacles</t>
  </si>
  <si>
    <t>Panel Assigned</t>
  </si>
  <si>
    <t>Emergency Source</t>
  </si>
  <si>
    <t>SPD / Labeling</t>
  </si>
  <si>
    <t>5 kW / 208V rack UPS</t>
  </si>
  <si>
    <t>B01-TR107A / B01-TR107B</t>
  </si>
  <si>
    <t>Electrical plans/schedules identify B01-TR107A and B01-TR107B, rack receptacles, normal/emergency receptacles, redundant vertical PDUs, CU-1-01, access controller, lighting/receptacle circuits, SPDs integral to new telecom panels, and 30-day load measurement requirements before panel renovation.</t>
  </si>
  <si>
    <t>Existing</t>
  </si>
  <si>
    <t>Existing UPS on floor / Tripp Lite Smart Pro UPS</t>
  </si>
  <si>
    <t>Existing B02 rack elevations show UPS on floor and Tripp Lite Smart Pro UPS; verify active source circuits and transfer requirements.</t>
  </si>
  <si>
    <t>Existing APC UPS floor</t>
  </si>
  <si>
    <t>Existing 138 rack elevation shows APC UPS floor and patch panels; verify active source circuits and transition.</t>
  </si>
  <si>
    <t>Existing Room 282 equipment includes active rack gear and patch panels; verify source circuits, UPS/PDU condition and final decommission/retain scope.</t>
  </si>
  <si>
    <t>6. TELECOMMUNICATIONS</t>
  </si>
  <si>
    <t>Rack Installed</t>
  </si>
  <si>
    <t>Ladder Tray</t>
  </si>
  <si>
    <t>Fiber Installed</t>
  </si>
  <si>
    <t>Grounding</t>
  </si>
  <si>
    <t>Labeling</t>
  </si>
  <si>
    <t>Testing</t>
  </si>
  <si>
    <t>VA Acceptance</t>
  </si>
  <si>
    <t>01T-701 identifies RM107 with 96 WAO total, 88 active ports per survey, 146 total ports per schedule, and 161 total ports with 10% allowance. Cable tray schedule totals 394 ft: 58 ft basement, 212 ft first level and 124 ft second level. Rack ID TR01-107-1.</t>
  </si>
  <si>
    <t>Existing / Transfer</t>
  </si>
  <si>
    <t>Existing B02 racks/TE support active services and legacy equipment. Contractor must field verify equipment to be demolished or transferred and provide phasing plan.</t>
  </si>
  <si>
    <t>Existing Room 138 racks and patch panels act as transition/legacy equipment point. Verify active service labels and transfer sequence.</t>
  </si>
  <si>
    <t>Existing Room 282 racks and patch panels act as second-level transition point. Verify all active services, WAP/camera cabling, and riser pathway.</t>
  </si>
  <si>
    <t>7. SECURITY / PACS / CCTV</t>
  </si>
  <si>
    <t>PACS</t>
  </si>
  <si>
    <t>Card Reader</t>
  </si>
  <si>
    <t>Door Position</t>
  </si>
  <si>
    <t>Electric Strike</t>
  </si>
  <si>
    <t>CCTV</t>
  </si>
  <si>
    <t>Motion Sensor</t>
  </si>
  <si>
    <t>Integration</t>
  </si>
  <si>
    <t>Electrical/telecom plans show new access control, power supply/battery backup for PACS, HDP12/FIPS-compliant PIV-ready card reader with PIN pad, and camera 107-CAM-1. Verify CR/RX/DC/ES/MD devices, controller, camera/VMS integration and door hardware coordination.</t>
  </si>
  <si>
    <t>Verify existing security/CCTV equipment and any retained cameras. Maintain camera angles where existing security cameras are recabled.</t>
  </si>
  <si>
    <t>Verify existing security/access conditions and protection-in-place during rack transfer.</t>
  </si>
  <si>
    <t>Verify second-level existing security/CCTV impacts during cabling and equipment transfer.</t>
  </si>
  <si>
    <t>8. OWNER RISKS</t>
  </si>
  <si>
    <t>B01-R1</t>
  </si>
  <si>
    <t>Existing conditions for Room 107 and transition rooms B02/138/282 not field verified</t>
  </si>
  <si>
    <t>Perform existing conditions survey with photos and active-service inventory before mobilization</t>
  </si>
  <si>
    <t>GCC / Contractor</t>
  </si>
  <si>
    <t>B01 has multiple existing telecom rooms and a new TR buildout.</t>
  </si>
  <si>
    <t>Document active services, protect in place, identify OIT cutover windows, phasing, rollback path and temporary utilities</t>
  </si>
  <si>
    <t>Existing rack elevations show multiple active switches, LIUs, patch panels and UPS equipment.</t>
  </si>
  <si>
    <t>Confirm IU-1-01/CU-1-01 power source, condensate route, controls, BACnet adapter, thermostat, humidity and high-temp alarms</t>
  </si>
  <si>
    <t>Cooling is central to TR readiness.</t>
  </si>
  <si>
    <t>B01-R4</t>
  </si>
  <si>
    <t>B01-TR107A/B UPS/PDU and panel source coordination could delay energization</t>
  </si>
  <si>
    <t>Verify panels, breakers, receptacles, SPD, labels, 30-day load measurement and LOTO needs</t>
  </si>
  <si>
    <t>Electrical / GCC</t>
  </si>
  <si>
    <t>Electrical schedules call for new panels and 30-day load measurement prior to panel work.</t>
  </si>
  <si>
    <t>B01-R5</t>
  </si>
  <si>
    <t>394 feet of cable tray/pathway requires coordination and firestop tracking</t>
  </si>
  <si>
    <t>Verify route, supports, seismic bracing, 40% fill, penetrations, lighting/HVAC conflicts and firestop assemblies</t>
  </si>
  <si>
    <t>Telecom / GC</t>
  </si>
  <si>
    <t>Cable tray schedule: basement 58 ft, first 212 ft, second 124 ft.</t>
  </si>
  <si>
    <t>Require cutover plan, test records, labels, as-builts, OIT coordination and VA acceptance before active connection</t>
  </si>
  <si>
    <t>RM107 supports 161 total ports including allowance and transfer from multiple existing rooms.</t>
  </si>
  <si>
    <t>B01-R7</t>
  </si>
  <si>
    <t>PACS/CCTV/door hardware coordination may not be ready at room acceptance</t>
  </si>
  <si>
    <t>Verify access-control rough-in, power supply/battery backup, reader, electric strike, door position, camera and VMS/PACS test records</t>
  </si>
  <si>
    <t>Security / Electrical</t>
  </si>
  <si>
    <t>Plans include new PACS and 107-CAM-1.</t>
  </si>
  <si>
    <t>B01-R8</t>
  </si>
  <si>
    <t>Commissioning/third-party inspection reports may not be complete at turnover</t>
  </si>
  <si>
    <t>Track commissioning, inspections, FA/FP acceptance, power verification, cabling tests, labels and as-builts</t>
  </si>
  <si>
    <t>GC / Cx Manager</t>
  </si>
  <si>
    <t>50-sheet IFC package includes full discipline scope and third-party inspections requirement.</t>
  </si>
  <si>
    <t>9. OPEN QUESTIONS</t>
  </si>
  <si>
    <t>10. PHOTO LOG</t>
  </si>
  <si>
    <t>B01-P001</t>
  </si>
  <si>
    <t>Existing / New Condition</t>
  </si>
  <si>
    <t>Room 107 walls, ceiling/deck, floor, door, rack/future rack, power, HVAC, fiber path A/B, cable tray and penetrations</t>
  </si>
  <si>
    <t>B01-R1/B01-R3</t>
  </si>
  <si>
    <t>B01-P002</t>
  </si>
  <si>
    <t>Existing Equipment</t>
  </si>
  <si>
    <t>Basement existing telecom room B02 racks, wall TE, Cisco/Nokia/Baseband/IRU/Corning/Ortronics equipment, UPS and cable entries</t>
  </si>
  <si>
    <t>B01-R1/B01-R2</t>
  </si>
  <si>
    <t>B01-P003</t>
  </si>
  <si>
    <t>First-level existing telecom room 138 racks, patch panels, Cisco, Corning, APC UPS and active service labels</t>
  </si>
  <si>
    <t>B01-R2/B01-R6</t>
  </si>
  <si>
    <t>B01-P004</t>
  </si>
  <si>
    <t>Second-level existing telecom room 282 racks, Cisco switches, Ortronics patch panels, cable managers and active service labels</t>
  </si>
  <si>
    <t>B01-P005</t>
  </si>
  <si>
    <t>IU-1-01/CU-1-01, condensate pump/line, thermostat, BACnet adapter, disconnects, FMS alarm points and power source</t>
  </si>
  <si>
    <t>B01-P006</t>
  </si>
  <si>
    <t>B01-TR107A/B panels, rack receptacles, breakers, SPD, PACS power supply, access controller, lighting, CU-1-01 and labels</t>
  </si>
  <si>
    <t>B01-R4/B01-R7</t>
  </si>
  <si>
    <t>B01-P007</t>
  </si>
  <si>
    <t>Cable Tray / Firestop</t>
  </si>
  <si>
    <t>Basement/first/second cable tray route, supports, seismic bracing, 40% fill, penetrations and before/after firestopping</t>
  </si>
  <si>
    <t>B01-P008</t>
  </si>
  <si>
    <t>107 / Existing Rooms</t>
  </si>
  <si>
    <t>Telecom / Security</t>
  </si>
  <si>
    <t>New rack/future rack, Fiber LIU, Cat6A, patch panels, labels/test records, 107-CAM-1, PACS and existing rack transfer work</t>
  </si>
  <si>
    <t>B01-R6/B01-R8</t>
  </si>
  <si>
    <t>11. OWNER READINESS SCORE</t>
  </si>
  <si>
    <t>Partial / Green</t>
  </si>
  <si>
    <t>New first-level TR with 161 total ports including allowance, dedicated cooling, UPS/PDU, B01-TR107A/B panels, cable tray, PACS/CCTV and fire/life-safety scope.</t>
  </si>
  <si>
    <t>Existing basement telecom transition point; protect active services until transfer/cutover complete.</t>
  </si>
  <si>
    <t>Existing first-level telecom transition point; protect active services and verify final condition.</t>
  </si>
  <si>
    <t>Existing second-level telecom transition point; protect active services and verify final condition.</t>
  </si>
  <si>
    <t>12. SOURCE / DRAWING REVIEW NOTES</t>
  </si>
  <si>
    <t>Drawing Index</t>
  </si>
  <si>
    <t>General Scope Basis</t>
  </si>
  <si>
    <t>Telecom Basis</t>
  </si>
  <si>
    <t>Mechanical Basis</t>
  </si>
  <si>
    <t>Electrical Basis</t>
  </si>
  <si>
    <t>Fire / Security Basis</t>
  </si>
  <si>
    <t>Photo Basis</t>
  </si>
  <si>
    <t>BUILDING 02 │ EHRM ASSESSMENT │ PMIS DASHBOARD FEED</t>
  </si>
  <si>
    <t>Drawing Review</t>
  </si>
  <si>
    <t>Yellow</t>
  </si>
  <si>
    <t>No</t>
  </si>
  <si>
    <t>518-22-700 IFC Building 02</t>
  </si>
  <si>
    <t>141 / 236 / 342 / existing B-06 / existing 141 / existing 236</t>
  </si>
  <si>
    <t>Building 02 is a large full-scope telecom room building with new Telecom Rooms 141, 236, and 342, plus existing telecom transition rooms B-06, 141, and 236. Scope includes architectural, infection control, fire protection, mechanical, electrical, telecommunications, rack elevations, schedules, PACS/CCTV, and photo references. Major open items include active service transfer, multiple panel sets B02-TR141/236/342 A/B, dedicated cooling CU-1/2/3-01, firestopping, PACS/CCTV integration, 2,560 ft cable tray, and high WAO/cable quantity acceptance.</t>
  </si>
  <si>
    <t>Field verify new Rooms 141, 236, 342 and existing B-06/141/236; confirm active services, rack/equipment transfer, B02-TR141A/B, B02-TR236A/B, B02-TR342A/B panel sources, CU-1-01/CU-2-01/CU-3-01 cooling assignments, fire alarm/sprinkler impacts, FEC locations, PACS/CCTV scope, 2,560 ft cable tray routes, and telecom cutover sequence.</t>
  </si>
  <si>
    <t>Existing first-level telecom room / expanded TR work area</t>
  </si>
  <si>
    <t>02A-401 / 02E-101 / 02E-401 / 02E-601 / 02E-701 / 02T-101 / 02T-401 / 02T-604 / 02T-701</t>
  </si>
  <si>
    <t>Primary first-level TR. Schedules identify RM141 with 211 WAO total, 215 active ports, 322 scheduled ports and 354 total ports with 10% allowance. Rack IDs TR01-141-01/02. Enlarged plan shows Room 141 new and demo scope, 174-CAM-01, existing patch panels/fire alarm cabinet relocated to RM141 and future rack space.</t>
  </si>
  <si>
    <t>Existing second-level telecom room / expanded TR work area</t>
  </si>
  <si>
    <t>02A-401 / 02E-102 / 02E-402 / 02E-701 / 02T-102 / 02T-401 / 02T-604 / 02T-702</t>
  </si>
  <si>
    <t>Second-level TR. Schedules identify RM236 with 179 WAO total, 178 active ports, 314 scheduled ports and approximately 345 ports with 10% allowance. Rack IDs TR01-236-01/02. Enlarged plans show 236-CAM-01 and new/demolition work at Room 236 / existing Room 282.</t>
  </si>
  <si>
    <t>Third</t>
  </si>
  <si>
    <t>Third-level telecom room / expanded TR work area</t>
  </si>
  <si>
    <t>02A-402 / 02E-103 / 02E-402 / 02E-701 / 02T-103 / 02T-401 / 02T-604 / 02T-703</t>
  </si>
  <si>
    <t>Third-level TR. Schedules identify RM342 with 274 WAO total, 96 active ports, 353 scheduled ports and 388 total ports with 10% allowance. Rack IDs TR01-342-01/02. Enlarged plans show 342-CAM-01, 342A-CK-A and new rack scope.</t>
  </si>
  <si>
    <t>B-06</t>
  </si>
  <si>
    <t>Existing telecom room / legacy rack equipment</t>
  </si>
  <si>
    <t>02T-100 / 02T-604 / 02R-900</t>
  </si>
  <si>
    <t>Existing Basement Telecom Room B-06 with legacy Ortronics 48-port patch panels. Photo reference identifies B-06 existing telecom room. Protect active services and verify transfer/abandonment scope.</t>
  </si>
  <si>
    <t>Existing 141 / 236</t>
  </si>
  <si>
    <t>First / Second</t>
  </si>
  <si>
    <t>Existing telecom room equipment / transition points</t>
  </si>
  <si>
    <t>Existing telecom transition points</t>
  </si>
  <si>
    <t>02T-604 / 02R-900</t>
  </si>
  <si>
    <t>Existing First-Level Telecom Room 141 and Second-Level Existing Telecom Room 236 shown in photo references/rack elevations. Existing devices and racks are to be protected or transferred per notes.</t>
  </si>
  <si>
    <t>First-level TR; verify rated walls/smoke barriers, door/access-control hardware, ceiling/deck, floor finish, rack/future rack clearance, wall backing, cable tray, fiber path A/B, and working clearances around racks/panels/IU.</t>
  </si>
  <si>
    <t>Second-level TR; verify rated construction, door/PACS, rack clearances, riser penetrations, cable tray conflicts and final room layout around existing/demo conditions.</t>
  </si>
  <si>
    <t>Third-level TR; verify rated construction, door/PACS, rack clearances, cable tray, firestop, ceiling coordination and future rack space.</t>
  </si>
  <si>
    <t>B-06 / existing rooms</t>
  </si>
  <si>
    <t>Existing telecom transition rooms must remain operational until cutover. Verify active equipment inventory, labels, access and final transfer/decommission scope.</t>
  </si>
  <si>
    <t>Full fire protection scope included. Verify sprinkler modifications, fire alarm devices, clean-agent/CO2 2A:10B:C FEC within 75 ft, rated wall/floor penetrations, temporary firestopping and final UL systems.</t>
  </si>
  <si>
    <t>Verify second-level TR sprinkler/fire alarm modifications, FEC location, cable tray penetrations, and temporary/final firestopping.</t>
  </si>
  <si>
    <t>Verify third-level TR sprinkler/fire alarm modifications, FEC location, riser penetrations and firestopping.</t>
  </si>
  <si>
    <t>Existing telecom rooms; verify FP/FA protection-in-place and seal penetrations after cable removal/reuse.</t>
  </si>
  <si>
    <t>CU-1-01 / TR cooling assignment verify</t>
  </si>
  <si>
    <t>Electrical schedule references CU-1-01, CU-2-01 and CU-3-01 on B02-TR141B; mechanical sheets include dedicated TR cooling. Confirm which indoor/outdoor unit serves Room 141, capacity, emergency power, condensate, controls/BACnet and alarms.</t>
  </si>
  <si>
    <t>CU-2-01 / TR cooling assignment verify</t>
  </si>
  <si>
    <t>Confirm dedicated cooling equipment serving Room 236, condensate route, 24/7 operation, emergency source and FMS/BACnet high-temperature alarm.</t>
  </si>
  <si>
    <t>CU-3-01 / TR cooling assignment verify</t>
  </si>
  <si>
    <t>Confirm dedicated cooling equipment serving Room 342, condensate route, controls, emergency source and alarm integration.</t>
  </si>
  <si>
    <t>Existing telecom equipment may remain active during cutover. Verify ambient temperature/cooling protection until migration complete.</t>
  </si>
  <si>
    <t>B02-TR141A / B02-TR141B</t>
  </si>
  <si>
    <t>Electrical one-line/schedules identify B02-TR141A/B with rack receptacles, lighting/receptacles, SPDs integral to new telecom panelboards and cooling equipment references. Verify source, 30-day load measurement, LOTO and labels.</t>
  </si>
  <si>
    <t>B02-TR236A / B02-TR236B</t>
  </si>
  <si>
    <t>Electrical one-line/schedules identify B02-TR236A/B with rack receptacles, lighting/receptacles, SPDs and normal/emergency power requirements. Verify source and rack PDU mapping.</t>
  </si>
  <si>
    <t>B02-TR342A / B02-TR342B</t>
  </si>
  <si>
    <t>Electrical one-line/schedules identify B02-TR342A/B with rack receptacles, lighting/receptacles and SPDs. Verify source panels and UPS/PDU circuits.</t>
  </si>
  <si>
    <t>Existing racks/panels remain active during transfer; verify power source, UPS status and temporary power needs.</t>
  </si>
  <si>
    <t>02T-701 identifies RM141 with 211 WAO total, 215 active ports, 322 scheduled ports, 354 ports with allowance. Rack IDs TR01-141-01/02. Cable tray schedule total includes 1,069 ft first-level cable tray.</t>
  </si>
  <si>
    <t>02T-702 identifies RM236 with 179 WAO total, 178 active ports, 314 scheduled ports and approx. 345 with allowance. Rack IDs TR01-236-01/02. Verify second-level cable tray, riser and cutover from existing 282/236 scope.</t>
  </si>
  <si>
    <t>02T-703 identifies RM342 with 274 WAO total, 96 active ports, 353 scheduled ports, 388 with allowance. Rack IDs TR01-342-01/02. Verify third-level cable tray and high outlet count.</t>
  </si>
  <si>
    <t>Existing B-06/141/236 racks support legacy services. Field verify all active circuits, existing patch panels, labels, and transfer plan before cutover.</t>
  </si>
  <si>
    <t>Plans show 174-CAM-01 associated with the first-level TR area and PACS/security requirements. Verify camera/VMS integration, access controller/power supply, CR/RX/DC/ES/MD and door hardware.</t>
  </si>
  <si>
    <t>Plans show 236-CAM-01. Verify camera/VMS integration, access control, door hardware, motion/detection devices and power.</t>
  </si>
  <si>
    <t>Plans show 342-CAM-01 and 342A-CK-A. Verify camera/VMS integration and access control/security rough-in.</t>
  </si>
  <si>
    <t>Maintain existing camera angles when re-cabling and protect existing PACS/equipment racks during transfer.</t>
  </si>
  <si>
    <t>B02-R1</t>
  </si>
  <si>
    <t>Existing conditions for Rooms 141/236/342 and existing B-06/141/236 not field verified</t>
  </si>
  <si>
    <t>B02 has multiple new TRs and existing transition rooms.</t>
  </si>
  <si>
    <t>Existing rack elevations/photos show active legacy rack/patch equipment.</t>
  </si>
  <si>
    <t>Confirm each IU/CU serving each TR, power source, condensate route, controls, BACnet, thermostat and high-temp alarms</t>
  </si>
  <si>
    <t>Electrical schedule references CU-1/2/3-01; assignments must be field verified.</t>
  </si>
  <si>
    <t>B02-R4</t>
  </si>
  <si>
    <t>All TRs</t>
  </si>
  <si>
    <t>B02-TR141/236/342 A/B UPS/PDU and panel source coordination could delay energization</t>
  </si>
  <si>
    <t>Verify panels, breakers, receptacles, SPDs, labels, 30-day load measurement and LOTO needs</t>
  </si>
  <si>
    <t>Multiple new telecom panels and rack circuits.</t>
  </si>
  <si>
    <t>B02-R5</t>
  </si>
  <si>
    <t>2,560 feet of cable tray/pathway requires coordination and firestop tracking</t>
  </si>
  <si>
    <t>Cable tray schedule: basement 303 ft, first 1,069 ft, second 544 ft, third 583 ft, fourth 59 ft.</t>
  </si>
  <si>
    <t>High WAO counts: 211/179/274 WAO across Rooms 141/236/342.</t>
  </si>
  <si>
    <t>B02-R7</t>
  </si>
  <si>
    <t>Verify access-control rough-in, power supply/battery backup, reader, strike, door position, cameras and VMS/PACS test records</t>
  </si>
  <si>
    <t>Plans include 174-CAM-01, 236-CAM-01, 342-CAM-01.</t>
  </si>
  <si>
    <t>B02-R8</t>
  </si>
  <si>
    <t>66-sheet IFC package with full discipline scope and third-party inspection requirements.</t>
  </si>
  <si>
    <t>B02-Q5</t>
  </si>
  <si>
    <t>Where are clean-agent/CO2 extinguisher cabinets located within 75 ft of Rooms 141, 236 and 342?</t>
  </si>
  <si>
    <t>B02-Q6</t>
  </si>
  <si>
    <t>Are B02-TR141/236/342 A/B sources, rack receptacles, SPDs, labels and 30-day load measurements approved?</t>
  </si>
  <si>
    <t>B02-Q7</t>
  </si>
  <si>
    <t>B02-Q8</t>
  </si>
  <si>
    <t>B02-P001</t>
  </si>
  <si>
    <t>Room 141 walls, ceiling/deck, floor, door, racks/future rack, panels, HVAC, cable tray, 174-CAM-01, penetrations and demo/relocation conditions</t>
  </si>
  <si>
    <t>B02-R1/B02-R3</t>
  </si>
  <si>
    <t>B02-P002</t>
  </si>
  <si>
    <t>Room 236 walls, ceiling/deck, floor, door, racks/future rack, panels, HVAC, cable tray, 236-CAM-01, penetrations and existing transfer conditions</t>
  </si>
  <si>
    <t>B02-R1/B02-R6</t>
  </si>
  <si>
    <t>B02-P003</t>
  </si>
  <si>
    <t>Room 342 walls, ceiling/deck, floor, door, racks/future rack, panels, HVAC, cable tray, 342-CAM-01, penetrations and 342A-CK-A</t>
  </si>
  <si>
    <t>B02-R1/B02-R7</t>
  </si>
  <si>
    <t>B02-P004</t>
  </si>
  <si>
    <t>Basement existing telecom room B-06 legacy rack/patch panels, active service labels and cable entries</t>
  </si>
  <si>
    <t>B02-P005</t>
  </si>
  <si>
    <t>Existing first/second-level telecom rooms 141 and 236, existing patch panels, relocated/removed equipment and fire alarm cabinet conditions</t>
  </si>
  <si>
    <t>B02-R2/B02-R6</t>
  </si>
  <si>
    <t>B02-P006</t>
  </si>
  <si>
    <t>Electrical / HVAC</t>
  </si>
  <si>
    <t>B02-TR141/236/342 A/B panels, rack receptacles, breakers, SPD, UPS/PDU, CU/IU equipment, condensate, disconnects and labels</t>
  </si>
  <si>
    <t>B02-R3/B02-R4</t>
  </si>
  <si>
    <t>B02-P007</t>
  </si>
  <si>
    <t>Basement/first/second/third/fourth cable tray route, supports, seismic bracing, 40% fill, penetrations and before/after firestopping</t>
  </si>
  <si>
    <t>B02-P008</t>
  </si>
  <si>
    <t>Racks, Fiber LIU, Cat6A, patch panels, labels/test records, cameras, PACS and existing rack transfer work</t>
  </si>
  <si>
    <t>B02-R6/B02-R8</t>
  </si>
  <si>
    <t>Partial / Yellow</t>
  </si>
  <si>
    <t>First-level TR with 354 total ports including allowance, 2 rack IDs, B02-TR141A/B panels, high cable tray volume and existing room transfer scope.</t>
  </si>
  <si>
    <t>Second-level TR with approx. 345 total ports including allowance, B02-TR236A/B panels, camera/PACS and existing transition scope.</t>
  </si>
  <si>
    <t>Third-level TR with 388 total ports including allowance, B02-TR342A/B panels, camera/security and high WAO count.</t>
  </si>
  <si>
    <t>Existing telecom transition points; protect active services until transfer/cutover complete.</t>
  </si>
  <si>
    <t>518-22-700.Bedford.EHRM.IFC.B02.20260316(1).pdf</t>
  </si>
  <si>
    <t>66-sheet Building 02 IFC package includes general, architectural, interiors, fire protection, mechanical, electrical, telecommunications, rack elevations, schedules, cutsheets and photo references.</t>
  </si>
  <si>
    <t>02G-000 states the project includes new TRs, Cat6A/fiber, racks, UPS, power supplies/electrical distribution, dedicated HVAC, CCTV, fire protection/fire alarm, PACS, commissioning and third-party inspections. No active connection until VA testing/approval/acceptance.</t>
  </si>
  <si>
    <t>02T-101/102/103 identify Rooms 141, 236 and 342 with cameras 174-CAM-01, 236-CAM-01 and 342-CAM-01. 02T-604 identifies existing and new rack elevations. 02T-701/702/703 identify WAO/cable schedules and cable tray total of 2,560 ft.</t>
  </si>
  <si>
    <t>Schedule Basis</t>
  </si>
  <si>
    <t>02T-701: RM141 211 WAO, 215 active, 322 scheduled, 354 with 10% allowance. 02T-702: RM236 179 WAO, 178 active, 314 scheduled, approx. 345 with 10% allowance. 02T-703: RM342 274 WAO, 96 active, 353 scheduled, 388 with 10% allowance.</t>
  </si>
  <si>
    <t>02E-601/701/702/703 identify B02-TR141A/B, B02-TR236A/B and B02-TR342A/B, rack UPS/PDU circuits, lighting/receptacles, cooling equipment, SPDs and 30-day load measurement requirements.</t>
  </si>
  <si>
    <t>02FX sheets include fire protection scope. General notes require clean-agent/CO2 extinguisher cabinets within 75 ft of each TR and sprinkler/fire alarm modifications. 02T/02E identify cameras and PACS/security requirements.</t>
  </si>
  <si>
    <t>02R-900 provides photo references for Basement Existing Telecom Room B-06, First-Level Existing Telecom Room 141, and Second-Level Existing Telecom Room 236.</t>
  </si>
  <si>
    <t>BUILDING 03 │ EHRM ASSESSMENT │ PMIS DASHBOARD FEED</t>
  </si>
  <si>
    <t>518-22-700 IFC Building 03</t>
  </si>
  <si>
    <t>101E / existing 107 / existing 101C / basement + first-level WAO</t>
  </si>
  <si>
    <t>Building 03 is a full-scope telecom room building centered on new/renovated Telecom Room 101E, with existing Basement Telecom Room 107 and existing first-floor DMARC/telecom Room 101C as transition points. Scope includes architectural, infection control, fire protection, mechanical, electrical, telecommunications, rack elevations, Room 107 inventory, PACS/CCTV, 961 ft cable tray, and 206 total ports with allowance. Major open items include transfer from existing 107/101C, active DMARC/fiber protection, B03-TR101CA/B panel sources, CU-01 cooling, firestopping, camera 101C-CAM-01, and OIT acceptance.</t>
  </si>
  <si>
    <t>Field verify Room 101E, existing Room 107, and existing DMARC Room 101C; confirm active services, existing rack/equipment transfer, B03-TR101CA/B panel sources, CU-01 cooling assignment, fire alarm/sprinkler impacts, FEC location, PACS/CCTV scope, 961 ft cable tray routes, Room 107 inventory, and telecom cutover/fiber transfer sequence.</t>
  </si>
  <si>
    <t>New telecom room buildout / relocated TR function</t>
  </si>
  <si>
    <t>03A-401 / 03E-101 / 03E-401 / 03E-601 / 03E-701 / 03T-101 / 03T-401 / 03T-604 / 03T-701</t>
  </si>
  <si>
    <t>Primary Building 03 TR. Schedules identify RM101E with 143 WAO total, 213 active ports, 187 scheduled ports, 206 total ports with 10% allowance, Rack IDs TR01-101E-1 and TR01-101E-2, 5kW UPS, Zone PDU, fiber LIU, Cat6A patch panels, and future rack/switch capacity.</t>
  </si>
  <si>
    <t>03T-100 / 03T-403 / 03T-604 / 03R-900</t>
  </si>
  <si>
    <t>Existing Basement Telecom Room 107. Rack elevation identifies Building 3 existing B3-LB-B13-TC-FIBER rack with UPS on floor, Cisco switch, legacy 48-port patch panels, and fiber LIU wall-mounted. 03T-403 provides Room 107 inventory list for reference.</t>
  </si>
  <si>
    <t>Existing DMARC / telecom room</t>
  </si>
  <si>
    <t>Existing DMARC transition point</t>
  </si>
  <si>
    <t>03T-101 / 03T-401 / 03T-604 / 03R-900</t>
  </si>
  <si>
    <t>First-floor existing DMARC Room 101C / telecom room. Enlarged plan shows existing/removal patch panels, existing branch panel, telecom cabinet, 101C-CAM-01, 101C-CK-A, 101C-A/B/C/D and AP locations. Protect active DMARC/fiber until new service is operational.</t>
  </si>
  <si>
    <t>108 / 107A / 101C related WAO areas</t>
  </si>
  <si>
    <t>Work area outlets and WAP/camera locations</t>
  </si>
  <si>
    <t>WAO recabling / device support</t>
  </si>
  <si>
    <t>03T-101 / 03T-701</t>
  </si>
  <si>
    <t>WAO schedule includes first-level outlets such as 108-A/B/C, 108-CK-A, 108-AP-A, 107A-AP-A, 101C-CAM-01, 101C-A/B/C/D and AP locations served from TR01-101E-1/2.</t>
  </si>
  <si>
    <t>New/renovated TR. Verify rated walls/smoke barriers, door/access-control hardware, ceiling/deck, floor finish, rack/future rack clearances, wall backing, cable tray, fiber path A/B, and working clearances around rack, panels and cooling equipment.</t>
  </si>
  <si>
    <t>Existing basement telecom room must remain operational until cutover. Verify active equipment, rack access, existing UPS on floor, wall/floor rack conditions, and transfer/abandonment scope.</t>
  </si>
  <si>
    <t>Existing DMARC/telecom transition point; verify active provider/fiber/DMARC services, branch panel, patch panels, cabinet and protection-in-place.</t>
  </si>
  <si>
    <t>WAO Areas</t>
  </si>
  <si>
    <t>N/A / Verify</t>
  </si>
  <si>
    <t>Verify existing conduit reuse, surface raceway where needed, 40% fill, WAP protection-in-place, access above ceilings, and infection-control controls.</t>
  </si>
  <si>
    <t>Existing telecom room; verify fire alarm/sprinkler protection-in-place and seal penetrations after fiber/cable transfer or reuse.</t>
  </si>
  <si>
    <t>Existing DMARC/telecom room; fire alarm/sprinkler and firestopping must remain in service during transfer.</t>
  </si>
  <si>
    <t>Coordinate ceiling removal, temporary barriers/upright sprinklers if ceiling tiles remain open, and firestopping at all rated penetrations.</t>
  </si>
  <si>
    <t>CU-01 / TR cooling assignment verify</t>
  </si>
  <si>
    <t>Electrical schedule references CU-01 on B03-TR101CB and mechanical package includes dedicated TR cooling. Confirm indoor/outdoor unit serving Room 101E, capacity, emergency source, condensate route, controls/BACnet and high-temperature alarm.</t>
  </si>
  <si>
    <t>Existing basement telecom equipment may remain active during transfer. Verify ambient temperature/cooling protection until migration is complete.</t>
  </si>
  <si>
    <t>Existing DMARC/fiber services may remain active during cutover; verify existing environmental conditions and heat load if equipment remains.</t>
  </si>
  <si>
    <t>No dedicated HVAC for WAO areas; maintain infection control/IAQ and ceiling restoration requirements.</t>
  </si>
  <si>
    <t>B03-TR101CA / B03-TR101CB</t>
  </si>
  <si>
    <t>Electrical one-line/schedules identify B03-TR101CA/B with rack receptacles, TR receptacles, access controller, CU-01 on B03-TR101CB, SPDs integral to telecom panels, PXR20 trip units, and 30-day load measurement requirements.</t>
  </si>
  <si>
    <t>UPS on floor</t>
  </si>
  <si>
    <t>Existing Room 107 rack elevation shows UPS on floor and legacy telecom equipment. Verify active source circuits and transfer requirements.</t>
  </si>
  <si>
    <t>Existing branch panel / B03-TR101CA/B transition</t>
  </si>
  <si>
    <t>Existing DMARC plan shows existing branch panel and patch panel removal/relocation scope. Verify source circuits before demolition or transfer.</t>
  </si>
  <si>
    <t>Existing / new outlet circuits as needed</t>
  </si>
  <si>
    <t>Verify labels</t>
  </si>
  <si>
    <t>Verify power/data coordination at outlets, cameras, WAPs, Centrak/clock devices and hard-lid ceiling locations.</t>
  </si>
  <si>
    <t>03T-701 identifies RM101E with 143 WAO total, 213 active ports, 187 scheduled ports and 206 total ports with 10% allowance. Cable tray schedule totals 961 ft: 615 ft basement level and 346 ft first level. Rack IDs TR01-101E-1 and TR01-101E-2.</t>
  </si>
  <si>
    <t>Existing Room 107 rack supports legacy active services; verify B3-LB-B13-TC-FIBER equipment inventory, fiber LIU, patch panels, Cisco switch and UPS before cutover.</t>
  </si>
  <si>
    <t>Existing DMARC/telecom room 101C includes patch panels/cabinet/branch panel and 101C-CAM-01; protect active provider/fiber/DMARC services until new fiber/rack work is accepted.</t>
  </si>
  <si>
    <t>Verify route</t>
  </si>
  <si>
    <t>Existing ports replaced; 3- and 4-port outlets reduced to two Cat6A ports where coordinated. WAPs remain protected in place while cabling/faceplate/jack are replaced.</t>
  </si>
  <si>
    <t>Plans require PACS for TR doors and electrical details include access-controlled door rough-in. Verify access controller, power supply/battery backup, CR/RX/DC/ES/MD devices, reader, strike and door hardware coordination.</t>
  </si>
  <si>
    <t>101C-CAM-01 Verify</t>
  </si>
  <si>
    <t>Enlarged plan and schedule identify 101C-CAM-01 and 101C-CK-A. Verify camera/VMS integration, existing camera angles and protection-in-place.</t>
  </si>
  <si>
    <t>Verify existing security/CCTV/PACS impacts during basement telecom room transfer.</t>
  </si>
  <si>
    <t>Maintain existing camera angles when re-cabling; verify WAP/security/clock/Centrak devices are relabeled and tested.</t>
  </si>
  <si>
    <t>B03-R1</t>
  </si>
  <si>
    <t>Existing conditions for Room 101E and transition rooms 107/101C not field verified</t>
  </si>
  <si>
    <t>B03 has new TR work tied to existing basement telecom and first-floor DMARC.</t>
  </si>
  <si>
    <t>Document active services, protect in place, identify OIT/provider cutover windows, phasing, rollback path and temporary utilities</t>
  </si>
  <si>
    <t>Existing 107 rack and 101C DMARC/patch panels must not be disrupted before new services are operational.</t>
  </si>
  <si>
    <t>Confirm CU-01/IU serving Room 101E, power source, condensate, controls, BACnet, thermostat and high-temp alarms</t>
  </si>
  <si>
    <t>CU-01 is referenced in electrical schedules; mechanical assignment must be verified.</t>
  </si>
  <si>
    <t>B03-R4</t>
  </si>
  <si>
    <t>B03-TR101CA/B UPS/PDU and panel source coordination could delay energization</t>
  </si>
  <si>
    <t>Verify panels, breakers, receptacles, SPDs, PXR20 trip units, labels, 30-day load measurement and LOTO needs</t>
  </si>
  <si>
    <t>New telecom panels and rack circuits must be proven before acceptance.</t>
  </si>
  <si>
    <t>B03-R5</t>
  </si>
  <si>
    <t>961 feet of cable tray/pathway requires coordination and firestop tracking</t>
  </si>
  <si>
    <t>Cable tray schedule: basement 615 ft and first level 346 ft.</t>
  </si>
  <si>
    <t>Require cutover plan, test records, labels, as-builts, OIT/provider coordination and VA acceptance before active connection</t>
  </si>
  <si>
    <t>Room 101E supports 206 total ports with allowance and replacement of basement/first-level WAOs.</t>
  </si>
  <si>
    <t>B03-R7</t>
  </si>
  <si>
    <t>101E / 101C</t>
  </si>
  <si>
    <t>Verify access-control rough-in, power supply/battery backup, reader, strike, door position, 101C-CAM-01 and VMS/PACS test records</t>
  </si>
  <si>
    <t>Plans identify 101C-CAM-01 and PACS/access control requirements.</t>
  </si>
  <si>
    <t>B03-R8</t>
  </si>
  <si>
    <t>50-sheet IFC package with full discipline scope and third-party inspection requirements.</t>
  </si>
  <si>
    <t>B03-Q1</t>
  </si>
  <si>
    <t>Confirm final telecom scope: new Room 101E with existing Basement Room 107 and existing DMARC Room 101C transition points?</t>
  </si>
  <si>
    <t>B03-Q2</t>
  </si>
  <si>
    <t>What active services are currently fed from existing Room 107 and DMARC Room 101C?</t>
  </si>
  <si>
    <t>OIT / Contractor / Provider</t>
  </si>
  <si>
    <t>Potential communications/provider outage</t>
  </si>
  <si>
    <t>B03-Q3</t>
  </si>
  <si>
    <t>What existing equipment transfers to new Room 101E versus remains/decommissions?</t>
  </si>
  <si>
    <t>B03-Q4</t>
  </si>
  <si>
    <t>Which IU/CU pair serves Room 101E and is it on emergency/backup power?</t>
  </si>
  <si>
    <t>B03-Q5</t>
  </si>
  <si>
    <t>Where is the clean-agent/CO2 extinguisher cabinet located within 75 ft of Room 101E?</t>
  </si>
  <si>
    <t>B03-Q6</t>
  </si>
  <si>
    <t>Are B03-TR101CA/B sources, rack receptacles, SPDs, labels and 30-day load measurements approved?</t>
  </si>
  <si>
    <t>B03-Q7</t>
  </si>
  <si>
    <t>B03-Q8</t>
  </si>
  <si>
    <t>B03-P001</t>
  </si>
  <si>
    <t>Room 101E walls, ceiling/deck, floor, door, racks/future rack, panels, HVAC, cable tray, penetrations, PACS and final TR layout</t>
  </si>
  <si>
    <t>B03-R1/B03-R3</t>
  </si>
  <si>
    <t>B03-P002</t>
  </si>
  <si>
    <t>Basement existing telecom room 107 rack, UPS on floor, Cisco switch, legacy patch panels, fiber LIU, active service labels and cable entries</t>
  </si>
  <si>
    <t>B03-R1/B03-R2</t>
  </si>
  <si>
    <t>B03-P003</t>
  </si>
  <si>
    <t>Existing DMARC</t>
  </si>
  <si>
    <t>First-floor existing DMARC Room 101C, patch panels, telecom cabinet, branch panel, provider/fiber equipment, 101C-CAM-01 and active service labels</t>
  </si>
  <si>
    <t>B03-R2/B03-R6</t>
  </si>
  <si>
    <t>B03-P004</t>
  </si>
  <si>
    <t>Electrical / Security</t>
  </si>
  <si>
    <t>B03-TR101CA/B panels, rack receptacles, breakers, SPD, UPS/PDU, access controller, CU-01, 101C-CAM-01 and labels</t>
  </si>
  <si>
    <t>B03-R4/B03-R7</t>
  </si>
  <si>
    <t>B03-P005</t>
  </si>
  <si>
    <t>IU/CU-01, condensate route, thermostat, BACnet adapter, disconnects, alarm points and emergency power source</t>
  </si>
  <si>
    <t>B03-P006</t>
  </si>
  <si>
    <t>Basement and first-level cable tray route, supports, seismic bracing, 40% fill, penetrations and before/after firestopping</t>
  </si>
  <si>
    <t>B03-P007</t>
  </si>
  <si>
    <t>Telecom Devices</t>
  </si>
  <si>
    <t>Representative outlets/WAPs/Centrak/clock/camera locations including 108-A/B/C, 108-CK-A, 107A-AP-A, 101C-CAM-01 and related labels</t>
  </si>
  <si>
    <t>B03-P008</t>
  </si>
  <si>
    <t>101E / Existing Rooms</t>
  </si>
  <si>
    <t>Telecom Acceptance</t>
  </si>
  <si>
    <t>New racks TR01-101E-1/2, Fiber LIU, Cat6A, patch panels, labels/test records and existing rack transfer work</t>
  </si>
  <si>
    <t>B03-R6/B03-R8</t>
  </si>
  <si>
    <t>Primary first-level TR with 206 total ports including allowance, two rack IDs, B03-TR101CA/B panels, CU-01, 961 ft cable tray and existing 107/101C transfer scope.</t>
  </si>
  <si>
    <t>Existing first-floor DMARC/telecom transition point; protect provider/fiber/active services and verify final condition.</t>
  </si>
  <si>
    <t>Basement and first-level WAO/WAP/camera recabling served from Room 101E.</t>
  </si>
  <si>
    <t>518-22-700.Bedford.EHRM.IFC.B03.20260316(1).pdf</t>
  </si>
  <si>
    <t>50-sheet Building 03 IFC package includes general, architectural, interiors, fire protection, mechanical, electrical, telecommunications, Room 107 inventory, rack elevations, telecom schedules, cutsheets and photo references.</t>
  </si>
  <si>
    <t>03G-000 states the project includes new TRs, Cat6A/fiber, racks, UPS, power supplies/electrical distribution, dedicated HVAC, CCTV, fire protection/fire alarm, PACS, commissioning and third-party inspections. No active connection until VA testing/approval/acceptance.</t>
  </si>
  <si>
    <t>03T-101/401/402 identify first-level Room 101E new scope, Room 101C existing DMARC/demo scope, Room 107 existing scope, 101C-CAM-01 and WAO locations. 03T-403 provides Room 107 inventory reference. 03T-604 identifies existing and new rack elevations. 03T-701 identifies WAO/cable schedule and 961 ft cable tray.</t>
  </si>
  <si>
    <t>03T-701: RM101E 143 WAO total, 213 active ports per survey, 187 scheduled ports, 206 total ports with 10% allowance, cable tray 615 ft basement + 346 ft first level = 961 ft total, Rack IDs TR01-101E-1 and TR01-101E-2.</t>
  </si>
  <si>
    <t>03E-601/701/702 identify B03-TR101CA/B, rack UPS/PDU circuits, TR receptacles, access controller, CU-01, SPDs, PXR20 trip units and 30-day load measurement requirements.</t>
  </si>
  <si>
    <t>03FX sheets include fire protection scope. General notes require clean-agent/CO2 extinguisher cabinets within 75 ft of each TR and sprinkler/fire alarm modifications. 03T/03E identify camera and PACS/security requirements.</t>
  </si>
  <si>
    <t>03R-900 provides photo references for Basement Level Existing Telecom Room 107 and First Floor Level Existing DMARC Room 101C.</t>
  </si>
  <si>
    <t>BUILDING 04 │ EHRM ASSESSMENT │ PMIS DASHBOARD FEED</t>
  </si>
  <si>
    <t>518-22-700 IFC Building 04</t>
  </si>
  <si>
    <t>B05, 141, 244A / Multidisciplinary TR Assessment</t>
  </si>
  <si>
    <t>B04 has multiple TRs across basement/first/second levels; field verification, abatement coordination, cooling power, firestopping, and cutover phasing remain open.</t>
  </si>
  <si>
    <t>Field verify TR rooms B05, 141, and 244A; confirm cooling, panel/circuiting, fire alarm/sprinkler impacts, FEC locations, and cutover/phasing plan.</t>
  </si>
  <si>
    <t>Existing telecom / service area</t>
  </si>
  <si>
    <t>04A-400 / 04T-604 / 04E-701</t>
  </si>
  <si>
    <t>Rack elevations show B05 with Rack 1 of 2 and Rack 2 of 2; new B04-TRB05A/B panels and NPA-TR feed shown.</t>
  </si>
  <si>
    <t>Existing room to be converted / upgraded</t>
  </si>
  <si>
    <t>04A-401 / 04T-604 / 04E-701</t>
  </si>
  <si>
    <t>Architectural enlarged views identify Room 141; new 45-minute rated door/frame, 1-hour/smoke-rated envelope, open-to-deck TR, and future rack.</t>
  </si>
  <si>
    <t>244A</t>
  </si>
  <si>
    <t>Existing or renovated telecom area</t>
  </si>
  <si>
    <t>04T / 04E-701</t>
  </si>
  <si>
    <t>Panel schedule identifies B04-TR244A; room requires field verification of rack count, cooling, pathways, fire protection, and PACS/CCTV requirements.</t>
  </si>
  <si>
    <t>Basement TR; verify existing utilities, abatement, wall/firestop conditions, and two-rack layout.</t>
  </si>
  <si>
    <t>Existing wall to become 1-hour fire/smoke rated; open to deck; new 45-minute rated door and access-control hardware coordination.</t>
  </si>
  <si>
    <t>Second-floor TR referenced by electrical panel schedule; field verify room conditions and plan locations.</t>
  </si>
  <si>
    <t>Fully sprinklered building; basement TR requires verification of sprinkler coverage and impairment planning.</t>
  </si>
  <si>
    <t>FEC with clean-agent 2A:10B:C extinguisher within 75 ft; TR open to deck; maintain rated assemblies.</t>
  </si>
  <si>
    <t>Verify sprinkler/fire alarm device locations and firestop for riser/pathway penetrations.</t>
  </si>
  <si>
    <t>Verify dedicated cooling for two-rack basement TR and whether unit/controls/condensate are backed up.</t>
  </si>
  <si>
    <t>Verify dedicated cooling and coordination with open-to-deck room, racks, cable tray, and access control.</t>
  </si>
  <si>
    <t>Verify cooling unit, routing, condensate, controls, and emergency/backup power path.</t>
  </si>
  <si>
    <t>5 kW</t>
  </si>
  <si>
    <t>B04-NPA-TR / B04-TRB05A / B04-TRB05B</t>
  </si>
  <si>
    <t>Panel schedule shows B04-NPA-TR in Telecom Room B05, feeding B04-TRB05A/B; TRB05A includes rack receptacle and branch circuits.</t>
  </si>
  <si>
    <t>B04-TR141A</t>
  </si>
  <si>
    <t>Panel schedule identifies B04-TR141A 60A 3-pole load; verify rack/UPS/PDU circuiting.</t>
  </si>
  <si>
    <t>B04-TR244A</t>
  </si>
  <si>
    <t>Panel schedule identifies B04-TR244A 60A 3-pole load; confirm panel/circuit locations and source.</t>
  </si>
  <si>
    <t>New rack elevations show two 4-post floor racks with UPS, Zone PDU, cable managers, network switches, Cat6A patch panels, Cat5E patch panel, and Fiber LIU.</t>
  </si>
  <si>
    <t>New rack elevation shows one 4-post rack plus future rack; includes UPS, future Zone PDU, switches, cable managers, Cat6A patch panels, Cat5E patch panel, and Fiber LIU.</t>
  </si>
  <si>
    <t>TR/panel identified; verify rack elevation and pathway details against 04T sheets.</t>
  </si>
  <si>
    <t>Verify access-controlled TR door, camera, and VMS/PACS integration.</t>
  </si>
  <si>
    <t>Architectural notes require door/access control coordination; verify card reader/electric strike rough-in.</t>
  </si>
  <si>
    <t>Verify room security details and device integration with VA systems.</t>
  </si>
  <si>
    <t>B04-R1</t>
  </si>
  <si>
    <t>Existing conditions across basement/first/second TR areas not verified</t>
  </si>
  <si>
    <t>Perform existing conditions survey with photos before mobilization</t>
  </si>
  <si>
    <t>GCC / GC</t>
  </si>
  <si>
    <t>B04 has multiple TR work areas.</t>
  </si>
  <si>
    <t>B04-R2</t>
  </si>
  <si>
    <t>Basement TR routing may conflict with existing utilities / abatement areas</t>
  </si>
  <si>
    <t>Coordinate hazardous material survey, utility locations, penetrations, and pathway routing</t>
  </si>
  <si>
    <t>Hazardous drawings included for basement and first levels.</t>
  </si>
  <si>
    <t>B04-R3</t>
  </si>
  <si>
    <t>1-hour fire/smoke-rated envelope and 45-minute door not field verified</t>
  </si>
  <si>
    <t>Inspect rated walls, door/frame, ceiling/open-to-deck conditions, and penetrations</t>
  </si>
  <si>
    <t>Architectural notes identify new 45-minute door/frame and rated wall work.</t>
  </si>
  <si>
    <t>Confirm source power for indoor/outdoor units, controls, condensate pumps, and alarms</t>
  </si>
  <si>
    <t>Owner continuity item.</t>
  </si>
  <si>
    <t>B04-R5</t>
  </si>
  <si>
    <t>UPS/PDU/rack electrical source and load coordination unresolved</t>
  </si>
  <si>
    <t>Verify panel schedules, source, SPD, breaker sizes, labeling, and load measurements</t>
  </si>
  <si>
    <t>Panel schedule shows B04-NPA-TR, TRB05A/B, TR141A, TR244A.</t>
  </si>
  <si>
    <t>Require phasing plan, test results, and VA/OIT acceptance before cutover</t>
  </si>
  <si>
    <t>All telecom equipment/cabling must be tested and accepted before connecting active operations.</t>
  </si>
  <si>
    <t>B04-R7</t>
  </si>
  <si>
    <t>Fire alarm/sprinkler impairments during construction could affect occupied operations</t>
  </si>
  <si>
    <t>Track impairments, fire watch, temporary firestopping, and third-party reports</t>
  </si>
  <si>
    <t>GC / FP / FA</t>
  </si>
  <si>
    <t>Shutdowns limited to one at a time campus-wide.</t>
  </si>
  <si>
    <t>B04-R8</t>
  </si>
  <si>
    <t>Commissioning and third-party inspection reports incomplete before turnover</t>
  </si>
  <si>
    <t>Track Cx and 3rd-party inspection deliverables by trade</t>
  </si>
  <si>
    <t>Required by cover sheet and commissioning scope.</t>
  </si>
  <si>
    <t>B04-Q1</t>
  </si>
  <si>
    <t>Confirm final TR room list: B05, 141, and 244A; are there additional served-from rooms?</t>
  </si>
  <si>
    <t>Incomplete room inventory / missed scope</t>
  </si>
  <si>
    <t>B04-Q2</t>
  </si>
  <si>
    <t>Are B05, 141, and 244A cooling systems on emergency/backup power?</t>
  </si>
  <si>
    <t>VA / Electrical / Mechanical</t>
  </si>
  <si>
    <t>Cooling continuity not confirmed</t>
  </si>
  <si>
    <t>B04-Q3</t>
  </si>
  <si>
    <t>Where are clean-agent/CO2 extinguisher cabinets located within 75 ft of each TR?</t>
  </si>
  <si>
    <t>Life safety acceptance risk</t>
  </si>
  <si>
    <t>B04-Q4</t>
  </si>
  <si>
    <t>What is the approved migration and cutover sequence for active Building 04 services?</t>
  </si>
  <si>
    <t>Potential communications outage</t>
  </si>
  <si>
    <t>B04-Q5</t>
  </si>
  <si>
    <t>Are hazardous/abatement impacts cleared for basement and first-level penetrations/floor work?</t>
  </si>
  <si>
    <t>Work stoppage or exposure risk</t>
  </si>
  <si>
    <t>B04-Q6</t>
  </si>
  <si>
    <t>Are all B04 panelboards/feeders/breakers/SPDs/load measurements approved before renovation?</t>
  </si>
  <si>
    <t>Electrical delay or overload risk</t>
  </si>
  <si>
    <t>B04-Q7</t>
  </si>
  <si>
    <t>Are all rated wall/floor penetrations and speed sleeves identified and firestopped?</t>
  </si>
  <si>
    <t>GC / Designer</t>
  </si>
  <si>
    <t>B04-Q8</t>
  </si>
  <si>
    <t>Which third-party tests, commissioning forms, and acceptance documents are required before VA turnover?</t>
  </si>
  <si>
    <t>Incomplete turnover package</t>
  </si>
  <si>
    <t>B04-P001</t>
  </si>
  <si>
    <t>Basement TR B05 existing conditions, racks, utilities, penetrations, panels</t>
  </si>
  <si>
    <t>B04-R1/B04-R2</t>
  </si>
  <si>
    <t>B04-P002</t>
  </si>
  <si>
    <t>Room 141 existing conditions, door/walls/ceiling/window/floor conditions</t>
  </si>
  <si>
    <t>B04-P003</t>
  </si>
  <si>
    <t>Room 244A TR existing condition and panel/rack area</t>
  </si>
  <si>
    <t>B04-P004</t>
  </si>
  <si>
    <t>All floor/wall/sleeve/tray penetrations before and after firestop</t>
  </si>
  <si>
    <t>B04-P005</t>
  </si>
  <si>
    <t>Cooling units, condensate routing, controls, high-temp alarms</t>
  </si>
  <si>
    <t>B04-P006</t>
  </si>
  <si>
    <t>Panels, breakers, UPS/PDU receptacles, SPD, grounding/bonding</t>
  </si>
  <si>
    <t>B04-P007</t>
  </si>
  <si>
    <t>Racks, ladder tray, fiber, Cat6A, labels, LIU, cable managers</t>
  </si>
  <si>
    <t>B04-P008</t>
  </si>
  <si>
    <t>PACS, card reader, electric strike, camera, motion sensor rough-in</t>
  </si>
  <si>
    <t>Two-rack basement TR; full field verification required.</t>
  </si>
  <si>
    <t>First-floor TR with rated wall/door and future rack.</t>
  </si>
  <si>
    <t>Second-floor TR/panel scope; verify rack/equipment locations.</t>
  </si>
  <si>
    <t>74-sheet Building 04 IFC package includes general, hazardous, architectural, interiors, fire protection, mechanical, electrical, telecommunications, and reference sheets.</t>
  </si>
  <si>
    <t>Architectural Basis</t>
  </si>
  <si>
    <t>Room 141 notes identify new 45-minute fire-rated door/frame, FEC within 75 ft, open-to-deck telecom room, temporary dust barrier, existing wall to become 1-hour fire/smoke-rated, flooring removal, and potential abatement.</t>
  </si>
  <si>
    <t>04T-604/605 rack elevations identify B05 as two racks and 141 as one rack plus future rack; 04T-501 provides 4-post rack, grounding busbar, 5kW UPS, Zone PDU, patch panel, cable tray, and labeling standards.</t>
  </si>
  <si>
    <t>04E schedules identify B04-NPA-TR in Telecom Room B05 and branch panel/circuit references for B04-TRB05A, B04-TRB05B, B04-TR141A, and B04-TR244A.</t>
  </si>
  <si>
    <t>General / Operations Basis</t>
  </si>
  <si>
    <t>Cover/general notes require third-party inspections, coordination drawings before work, all impacted systems commissioned/recommissioned, VA acceptance before active connections, shutdowns limited one at a time, and contractor responsibility for system modifications.</t>
  </si>
  <si>
    <t>BUILDING 05 │ EHRM ASSESSMENT │ PMIS DASHBOARD FEED</t>
  </si>
  <si>
    <t>05</t>
  </si>
  <si>
    <t>518-22-700 IFC Building 05</t>
  </si>
  <si>
    <t>Room 150 / Telecom Enclosure (TE)</t>
  </si>
  <si>
    <t>Building 05 receives a Telecom Enclosure only; mechanical and fire protection scope is excluded, so TE power, telecom cutover, existing room conditions, and fire/life-safety interfaces must be verified.</t>
  </si>
  <si>
    <t>Field verify Room 150 TE location, existing 153-A equipment to remain/transition, electrical source, UPS/PDU receptacles, PACS/CCTV requirements, firestopping, and cutover sequence.</t>
  </si>
  <si>
    <t>Telecom / equipment location</t>
  </si>
  <si>
    <t>Telecom Enclosure (TE)</t>
  </si>
  <si>
    <t>05T-604 / 05T-401 / 05E-401</t>
  </si>
  <si>
    <t>New elevation identifies Room 150 with one 12RU Telecom Enclosure; includes APC UPS, PDUs, cable managers, 48-port patch panels, Cat6A patch panel, and Fiber LIU.</t>
  </si>
  <si>
    <t>153-A</t>
  </si>
  <si>
    <t>Existing wall-mounted TE / existing rack area</t>
  </si>
  <si>
    <t>Existing equipment / transition point</t>
  </si>
  <si>
    <t>05T-604</t>
  </si>
  <si>
    <t>Existing elevation shows wall or wall-mount TE at Room 153-A with Cisco switches and multiple legacy 24-port patch panels; existing floor UPS shown.</t>
  </si>
  <si>
    <t>Existing active telecommunications equipment remains in Room 153-A. Environmental conditioning supporting this equipment was not identified. Contractor shall verify that operating conditions comply with equipment manufacturer requirements for all active equipment remaining in service.</t>
  </si>
  <si>
    <t>TE installation; verify mounting wall/backing, access clearance, power location, pathway/firestop, and room readiness.</t>
  </si>
  <si>
    <t>Existing equipment area; verify what remains operational and how legacy equipment transitions to new TE.</t>
  </si>
  <si>
    <t>Cover sheet note states mechanical and fire protection scope excluded; still verify firestopping and existing fire alarm/life safety impacts.</t>
  </si>
  <si>
    <t>Existing conditions only; verify protection-in-place and no unsealed penetrations after cabling.</t>
  </si>
  <si>
    <t>Mechanical scope is excluded for Building 05; verify TE heat load is acceptable in existing space and does not require added cooling.</t>
  </si>
  <si>
    <t>Existing wall/wall-mount TE area; verify existing environmental conditions during field survey.</t>
  </si>
  <si>
    <t>APC UPS / TE scale</t>
  </si>
  <si>
    <t>05T-604 shows APC UPS, two PDU L-530 input / NEMA 5-20 output units, 1200V outlet UPS, and 1200V outlet PDU; verify actual electrical schedule/panel/circuit source.</t>
  </si>
  <si>
    <t>Existing floor UPS</t>
  </si>
  <si>
    <t>Existing elevation shows floor UPS and legacy wall-mounted TE equipment; protect active equipment until cutover.</t>
  </si>
  <si>
    <t>N/A / TE</t>
  </si>
  <si>
    <t>New Room 150 Telecom Enclosure: 12RU TE with APC UPS, PDUs, cable managers, 48-port angled patch panels, 48-port Cat6A patch panel, and Fiber LIU.</t>
  </si>
  <si>
    <t>N/A / Wall TE</t>
  </si>
  <si>
    <t>Existing Room 153-A wall/wall-mount TE contains Cisco switches and legacy 24-port patch panels; confirm cutover, reuse, demo, and records.</t>
  </si>
  <si>
    <t>Project general scope includes CCTV and PACS for telecom spaces; verify whether TE location receives camera/access control or is served by existing room controls.</t>
  </si>
  <si>
    <t>Verify existing security protection and whether access-control work is needed for existing TE area.</t>
  </si>
  <si>
    <t>B05-R1</t>
  </si>
  <si>
    <t>Telecom Enclosure installation details not field verified</t>
  </si>
  <si>
    <t>Survey wall/backing, clearances, power, conduit/wireway, and access path before installation</t>
  </si>
  <si>
    <t>TE rather than full TR.</t>
  </si>
  <si>
    <t>B05-R2</t>
  </si>
  <si>
    <t>Existing legacy equipment/cabling may remain active during cutover</t>
  </si>
  <si>
    <t>Document active services, create cutover plan, protect-in-place until new TE is operational</t>
  </si>
  <si>
    <t>Telecom / OIT / Contractor</t>
  </si>
  <si>
    <t>Existing Cisco switches and patch panels shown.</t>
  </si>
  <si>
    <t>B05-R3</t>
  </si>
  <si>
    <t>Mechanical/fire protection scope excluded may hide interface risks</t>
  </si>
  <si>
    <t>Confirm no added cooling/sprinkler work is required and document basis for N/A</t>
  </si>
  <si>
    <t>GCC / VA / Designer</t>
  </si>
  <si>
    <t>Cover sheet specifically excludes mechanical and fire protection scope.</t>
  </si>
  <si>
    <t>B05-R4</t>
  </si>
  <si>
    <t>Electrical panel/circuit source for TE equipment not confirmed</t>
  </si>
  <si>
    <t>Verify 05E-401/501/601/701 schedules, UPS/PDU receptacles, labels, and emergency power source</t>
  </si>
  <si>
    <t>UPS/PDU devices shown in rack elevation.</t>
  </si>
  <si>
    <t>B05-R5</t>
  </si>
  <si>
    <t>Firestopping/penetration sealing still required despite fire protection scope exclusion</t>
  </si>
  <si>
    <t>Inspect all new and reused conduits, sleeves, wall/floor penetrations, and temporary firestop</t>
  </si>
  <si>
    <t>GC / Firestop Contractor</t>
  </si>
  <si>
    <t>Cabling work can create rated assembly risk.</t>
  </si>
  <si>
    <t>B05-R6</t>
  </si>
  <si>
    <t>Commissioning / acceptance documentation may be treated as minor due to TE scope</t>
  </si>
  <si>
    <t>Track testing, labeling, OIT acceptance, third-party inspections, and as-builts</t>
  </si>
  <si>
    <t>GCC / GC / OIT</t>
  </si>
  <si>
    <t>All telecom cabling must be tested and accepted.</t>
  </si>
  <si>
    <t>B05-Q1</t>
  </si>
  <si>
    <t>Confirm final TE room/location: Room 150 new TE and Room 153-A existing TE transition point?</t>
  </si>
  <si>
    <t>Room inventory could be wrong</t>
  </si>
  <si>
    <t>B05-Q2</t>
  </si>
  <si>
    <t>What active services are currently fed from the existing 153-A TE/legacy patch panels?</t>
  </si>
  <si>
    <t>B05-Q3</t>
  </si>
  <si>
    <t>What is the approved cutover sequence from existing 153-A equipment to new Room 150 TE?</t>
  </si>
  <si>
    <t>Cutover risk</t>
  </si>
  <si>
    <t>B05-Q4</t>
  </si>
  <si>
    <t>Which electrical panel/circuit serves the Room 150 UPS/PDU outlets?</t>
  </si>
  <si>
    <t>Power source cannot be verified</t>
  </si>
  <si>
    <t>B05-Q5</t>
  </si>
  <si>
    <t>Is emergency/backup power required or provided for the TE UPS/PDU source?</t>
  </si>
  <si>
    <t>VA / Electrical</t>
  </si>
  <si>
    <t>Continuity requirement unclear</t>
  </si>
  <si>
    <t>B05-Q6</t>
  </si>
  <si>
    <t>Are firestopping locations and surface raceway/conduit routes shown and coordinated?</t>
  </si>
  <si>
    <t>Rated assembly/firestop risk</t>
  </si>
  <si>
    <t>B05-Q7</t>
  </si>
  <si>
    <t>Does Room 150 or existing Room 153-A require PACS/CCTV modifications, or is existing security adequate?</t>
  </si>
  <si>
    <t>Security / VA</t>
  </si>
  <si>
    <t>Security acceptance risk</t>
  </si>
  <si>
    <t>B05-P001</t>
  </si>
  <si>
    <t>Room 150 wall/TE location, mounting surface, clearances, power, pathway</t>
  </si>
  <si>
    <t>B05-R1/B05-R4</t>
  </si>
  <si>
    <t>B05-P002</t>
  </si>
  <si>
    <t>Existing wall/wall-mount TE, Cisco switches, legacy patch panels, floor UPS</t>
  </si>
  <si>
    <t>B05-P003</t>
  </si>
  <si>
    <t>All new/reused penetrations and surface raceway/conduit routes</t>
  </si>
  <si>
    <t>B05-P004</t>
  </si>
  <si>
    <t>UPS/PDU outlet, circuit label, panel source, grounding/bonding</t>
  </si>
  <si>
    <t>B05-P005</t>
  </si>
  <si>
    <t>TE, patch panels, Fiber LIU, labels, testing records, as-built conditions</t>
  </si>
  <si>
    <t>B05-P006</t>
  </si>
  <si>
    <t>Door/security/CCTV/PACS conditions at TE location</t>
  </si>
  <si>
    <t>New 12RU TE; field verification required.</t>
  </si>
  <si>
    <t>Existing TE/legacy equipment transition point.</t>
  </si>
  <si>
    <t>31-sheet Building 05 IFC package includes general, architectural, electrical, telecommunications, rack elevations, schedules, details, and references.</t>
  </si>
  <si>
    <t>Special Scope Note</t>
  </si>
  <si>
    <t>Cover sheet states: this building receives a Telecom Enclosure (TE); mechanical and fire protection scope has been excluded.</t>
  </si>
  <si>
    <t>05T-604 identifies new Room 150 Telecom Enclosure 12RU and existing Room 153-A wall/wall-mount TE with Cisco switches and legacy patch panels.</t>
  </si>
  <si>
    <t>05T-604 identifies UPS/PDU equipment in the TE elevation; verify 05E schedules and field panel/circuit source before work.</t>
  </si>
  <si>
    <t>Operational Basis</t>
  </si>
  <si>
    <t>General notes require existing ports replaced, existing conduits reused where possible, 10% allowance for data ports, coordination with COR/A/E, testing/labeling, and acceptance before tying to active operations.</t>
  </si>
  <si>
    <t>BUILDING 06 │ EHRM ASSESSMENT │ PMIS DASHBOARD FEED</t>
  </si>
  <si>
    <t>06</t>
  </si>
  <si>
    <t>518-22-700 IFC Building 06</t>
  </si>
  <si>
    <t>B-01, 178, 233 / Multidisciplinary TR Assessment</t>
  </si>
  <si>
    <t>Building 06 has active existing telecom equipment plus new TR work in Rooms 178 and 233; field verification, cutover phasing, cooling, firestopping, and emergency power remain open.</t>
  </si>
  <si>
    <t>Field verify existing B-01 equipment, Rooms 178 and 233, panel sources, IU/CU cooling, fire alarm/sprinkler impacts, FEC locations, and telecom cutover sequence.</t>
  </si>
  <si>
    <t>B-01</t>
  </si>
  <si>
    <t>Existing wall/wall-mount TE and floor UPS</t>
  </si>
  <si>
    <t>06T-604</t>
  </si>
  <si>
    <t>Existing basement wall/wall-mount TE with Cisco switches, legacy Ortronics 48-port patch panels, and floor UPS.</t>
  </si>
  <si>
    <t>Existing telecom room / group therapy area adjacent</t>
  </si>
  <si>
    <t>06A-401 / 06E-401 / 06T-604 / 06E-701</t>
  </si>
  <si>
    <t>Room 178 shown as 114 SF Telecom Room; existing 2-post racks and new B06-TR178A/B panel work with IU-1-01 cooling.</t>
  </si>
  <si>
    <t>Data closet / patient toilet area conversion</t>
  </si>
  <si>
    <t>06A-402 / 06E-401 / 06T-604 / 06E-701</t>
  </si>
  <si>
    <t>Room 233 shown as 119 SF Telecom Room/Data Closet; future rack elevation, B06-TR233A/B panels, and IU-2-01 cooling.</t>
  </si>
  <si>
    <t>Existing basement TE/UPS; protect active services and verify transitions.</t>
  </si>
  <si>
    <t>First-level TR; verify rated construction, door/security, equipment clearance, cooling unit, and electrical panels.</t>
  </si>
  <si>
    <t>Second-level TR/Data Closet; architectural notes identify rated wall/door work and fire extinguisher requirements.</t>
  </si>
  <si>
    <t>Existing equipment area; verify no cabling penetrations are left unsealed.</t>
  </si>
  <si>
    <t>Fully sprinklered building; verify sprinkler modifications, fire alarm devices, FEC location, and impairment/fire watch needs.</t>
  </si>
  <si>
    <t>Architectural enlarged views call for 1-hour fire/smoke-rated walls, 45-minute door/frame, and FEC within 75 ft.</t>
  </si>
  <si>
    <t>Verify basement equipment environmental condition and any heat/load issues during cutover.</t>
  </si>
  <si>
    <t>Mechanical enlarged plan shows new indoor unit IU-1-01 and outdoor CU-1-01; confirm 208V emergency power, BACnet adapter, thermostat, condensate route.</t>
  </si>
  <si>
    <t>IU-2-01 / CU-2-01</t>
  </si>
  <si>
    <t>Mechanical enlarged plan shows new indoor unit IU-2-01 and outdoor CU-2-01; confirm 208V emergency power, condensate and controls.</t>
  </si>
  <si>
    <t>Existing UPS on floor shown at B-01; protect active service and confirm any transition/demo requirements.</t>
  </si>
  <si>
    <t>5 kW / rack equipment</t>
  </si>
  <si>
    <t>B06-NP-TR / B06-EP-TR / B06-TR178A / B06-TR178B</t>
  </si>
  <si>
    <t>Panel schedule shows B06-EP-TR in Telecom Room 178; B06-TR178A/B panels and SPD requirements; load measurement required prior to panel renovation.</t>
  </si>
  <si>
    <t>B06-TR233A / B06-TR233B</t>
  </si>
  <si>
    <t>Panel schedule identifies B06-TR233A/B in Telecom Room 233; verify source, circuits, rack receptacles and emergency power.</t>
  </si>
  <si>
    <t>Existing Cisco switches, legacy 48-port patch panels, wall/wall-mount TE and floor UPS.</t>
  </si>
  <si>
    <t>Existing Room 178 rack elevations show multiple existing 2-post racks; new electrical, cable path, grounding and cutover require verification.</t>
  </si>
  <si>
    <t>Room 233 future new rack elevation shows UPS, network switches, cable managers, Cat6A patch panels, Cat5E patch panel and Fiber LIU.</t>
  </si>
  <si>
    <t>Verify existing basement access/security while protecting active equipment.</t>
  </si>
  <si>
    <t>Electrical enlarged plan references existing card reader to remain/protect in place and new tri-tech motion sensor; verify PACS/CCTV integration.</t>
  </si>
  <si>
    <t>Verify door hardware/access control, motion sensor, camera, and VA security integration.</t>
  </si>
  <si>
    <t>B06-R1</t>
  </si>
  <si>
    <t>Existing conditions across B-01, 178 and 233 not field verified</t>
  </si>
  <si>
    <t>Building 06 includes basement, first and second level work.</t>
  </si>
  <si>
    <t>B06-R2</t>
  </si>
  <si>
    <t>Existing basement equipment may remain active during cutover</t>
  </si>
  <si>
    <t>Document active services and protect in place until new system is tested and accepted</t>
  </si>
  <si>
    <t>Existing Cisco/legacy patch panels and UPS shown.</t>
  </si>
  <si>
    <t>B06-R3</t>
  </si>
  <si>
    <t>Electrical panel replacement/new telecom power could interrupt active systems</t>
  </si>
  <si>
    <t>Coordinate load measurement, panel renovation, shutdowns and temporary power plan</t>
  </si>
  <si>
    <t>B06-EP-TR and B06-TR178A/B panel work.</t>
  </si>
  <si>
    <t>B06-R4</t>
  </si>
  <si>
    <t>Room 233 conversion/rated wall and door work may impact adjacent patient toilet/private bath areas</t>
  </si>
  <si>
    <t>Verify phasing, barriers, infection control and temporary life-safety provisions</t>
  </si>
  <si>
    <t>GC / VA</t>
  </si>
  <si>
    <t>Architectural enlarged views show TR 233 adjacent to patient toilet/private bath.</t>
  </si>
  <si>
    <t>B06-R5</t>
  </si>
  <si>
    <t>178/233</t>
  </si>
  <si>
    <t>Dedicated cooling emergency power, controls, condensate and BACnet interface not verified</t>
  </si>
  <si>
    <t>Confirm emergency power source, disconnects, condensate routes, BACnet adapter and high-temp alarms</t>
  </si>
  <si>
    <t>IU-1-01/CU-1-01 and IU-2-01/CU-2-01.</t>
  </si>
  <si>
    <t>B06-R6</t>
  </si>
  <si>
    <t>Fire alarm/sprinkler impairments and penetrations may affect occupied operations</t>
  </si>
  <si>
    <t>Track impairments, fire watch, temporary firestop and third-party reports</t>
  </si>
  <si>
    <t>Shutdowns limited one at a time campus-wide.</t>
  </si>
  <si>
    <t>B06-R7</t>
  </si>
  <si>
    <t>Require cutover plan, test results and VA/OIT acceptance before energizing active operations</t>
  </si>
  <si>
    <t>All cabling must be tested, approved and accepted.</t>
  </si>
  <si>
    <t>B06-R8</t>
  </si>
  <si>
    <t>Commissioning/third-party inspection reports may not be ready at turnover</t>
  </si>
  <si>
    <t>Track commissioning and third-party inspection deliverables by trade</t>
  </si>
  <si>
    <t>Required by cover sheet and commissioning sections.</t>
  </si>
  <si>
    <t>B06-Q1</t>
  </si>
  <si>
    <t>Confirm final TR/TE scope: B-01 existing equipment, Room 178, and Room 233?</t>
  </si>
  <si>
    <t>B06-Q2</t>
  </si>
  <si>
    <t>What active services are fed from existing B-01 and Room 178 legacy equipment?</t>
  </si>
  <si>
    <t>B06-Q3</t>
  </si>
  <si>
    <t>What is the approved cutover sequence for B-01, 178 and 233?</t>
  </si>
  <si>
    <t>B06-Q4</t>
  </si>
  <si>
    <t>Are IU-1-01/CU-1-01 and IU-2-01/CU-2-01 on emergency/backup power?</t>
  </si>
  <si>
    <t>B06-Q5</t>
  </si>
  <si>
    <t>B06-Q6</t>
  </si>
  <si>
    <t>Are all panel load measurements, replacement panels, breakers, SPDs and labels approved?</t>
  </si>
  <si>
    <t>B06-Q7</t>
  </si>
  <si>
    <t>Are all rated wall/floor penetrations, sleeves and firestopping identified?</t>
  </si>
  <si>
    <t>B06-Q8</t>
  </si>
  <si>
    <t>Which commissioning/third-party tests must be complete before VA acceptance?</t>
  </si>
  <si>
    <t>B06-P001</t>
  </si>
  <si>
    <t>Existing basement wall/wall-mount TE, Cisco switches, legacy patch panels, floor UPS</t>
  </si>
  <si>
    <t>B06-R1/B06-R2</t>
  </si>
  <si>
    <t>B06-P002</t>
  </si>
  <si>
    <t>Room 178 TR, existing 2-post racks, panels, card reader/security, HVAC location</t>
  </si>
  <si>
    <t>B06-R1/B06-R3</t>
  </si>
  <si>
    <t>B06-P003</t>
  </si>
  <si>
    <t>Room 233/Data Closet, adjacent toilet/bath areas, walls/door/ceiling/penetrations</t>
  </si>
  <si>
    <t>B06-P004</t>
  </si>
  <si>
    <t>All wall/floor/sleeve/tray penetrations before and after firestop</t>
  </si>
  <si>
    <t>B06-P005</t>
  </si>
  <si>
    <t>IU/CU equipment, condensate, thermostat, BACnet adapter, disconnects, high-temp alarm</t>
  </si>
  <si>
    <t>B06-P006</t>
  </si>
  <si>
    <t>B06-NP-TR, B06-EP-TR, B06-TR178A/B, B06-TR233A/B, breakers, SPD, labels</t>
  </si>
  <si>
    <t>B06-R3/B06-R6</t>
  </si>
  <si>
    <t>B06-P007</t>
  </si>
  <si>
    <t>Racks, ladder tray, fiber, Cat6A, LIU, patch panels, labels, test records</t>
  </si>
  <si>
    <t>B06-P008</t>
  </si>
  <si>
    <t>Card readers, electric strikes, door position, motion sensors, CCTV/PACS integration</t>
  </si>
  <si>
    <t>Existing equipment transition point; protect active services.</t>
  </si>
  <si>
    <t>First-floor TR with new cooling and electrical scope.</t>
  </si>
  <si>
    <t>Second-floor TR/Data Closet with rated construction and future rack scope.</t>
  </si>
  <si>
    <t>63-sheet Building 06 IFC package includes architectural, interiors, fire protection, plumbing, mechanical, electrical, telecommunications, schedules, risers, rack elevations, and references.</t>
  </si>
  <si>
    <t>06T-604 identifies existing basement B-01 wall/wall-mount TE and UPS, existing Room 178 racks, and a future new rack elevation for Room 233.</t>
  </si>
  <si>
    <t>06E-401/701 identify Room 178 and Room 233 panels/circuits including B06-NP-TR, B06-EP-TR, B06-TR178A/B and B06-TR233A/B, with panel load measurement and SPD requirements.</t>
  </si>
  <si>
    <t>06M enlarged plans show new IU-1-01/CU-1-01 for Room 178 and IU-2-01/CU-2-01 for Room 233, with condensate pumps, thermostats, BACnet adapters and emergency power provisions.</t>
  </si>
  <si>
    <t>Architectural / Life Safety Basis</t>
  </si>
  <si>
    <t>06A-402 identifies Room 233/data closet enlarged views with 1-hour fire/smoke-rated wall work, FEC within 75 ft, and new 45-minute fire-rated door/frame.</t>
  </si>
  <si>
    <t>Cover/general notes require existing ports replaced, conduit reuse where possible, 10% data port allowance, third-party inspections, commissioning/recommissioning, coordination drawings, VA acceptance before active connections, and shutdowns limited one at a time.</t>
  </si>
  <si>
    <t>BUILDING 07 │ EHRM ASSESSMENT │ PMIS DASHBOARD FEED</t>
  </si>
  <si>
    <t>07</t>
  </si>
  <si>
    <t>518-22-700 IFC Building 07</t>
  </si>
  <si>
    <t>B-18, 228A / Multidisciplinary TR Assessment</t>
  </si>
  <si>
    <t>Building 07 includes basement TR B-18 and second-level TR 228A; field verification, active-service cutover, cooling, firestopping, rated construction, and power source confirmation remain open.</t>
  </si>
  <si>
    <t>Field verify TR B-18 and 228A; confirm rack/equipment layout, panel sources, IU/CU cooling, fire alarm/sprinkler impacts, FEC locations, PACS/CCTV scope, and telecom cutover sequence.</t>
  </si>
  <si>
    <t>B-18</t>
  </si>
  <si>
    <t>Existing office / telecom-service area</t>
  </si>
  <si>
    <t>07A-400 / 07E-401 / 07T-604 / 07M-701</t>
  </si>
  <si>
    <t>Rack elevation shows B-18 as 1 of 1 + future, 4-post floor rack, UPS, future Zone PDU, network switches, Cat6A patch panels, Cat5E patch panel and Fiber LIU.</t>
  </si>
  <si>
    <t>Social worker shared / adjacent OPM storage and DOM MSA area</t>
  </si>
  <si>
    <t>07A-401 / 07E-401 / 07T-604 / 07M-701</t>
  </si>
  <si>
    <t>Architectural enlarged view identifies Telecom Room 228A at 236 SF; includes fire-rated door/wall work, FEC requirement, exterior furring wall/window enclosure and temporary dust barrier.</t>
  </si>
  <si>
    <t>Basement TR; verify office-to-TR conversion conditions, existing utilities, wall/ceiling/firestop conditions and future rack clearance.</t>
  </si>
  <si>
    <t>Second-floor TR; verify 1-hour fire/smoke-rated wall, 45-minute door/frame, open-to-deck/furring wall details, access control and equipment clearances.</t>
  </si>
  <si>
    <t>Fully sprinklered building; basement TR requires sprinkler coverage verification, firestop at cabling/sleeves and impairment coordination.</t>
  </si>
  <si>
    <t>Architectural notes require clean-agent 2A:10B:C extinguisher within 75 ft, 45-minute rated door/frame and rated wall construction; verify FA/FP modifications.</t>
  </si>
  <si>
    <t>IU-0-01 / CU-0-01</t>
  </si>
  <si>
    <t>Mechanical schedule lists 18,000 BTUH wall-mounted IU-0-01 and CU-0-01; verify exact room assignment, emergency power, condensate, controls and high-temp alarm.</t>
  </si>
  <si>
    <t>Mechanical schedule lists 36,000 BTUH wall-mounted IU-2-01 and CU-2-01; electrical enlarged plan shows IU-2-01 at TR 228A; verify emergency power and condensate route.</t>
  </si>
  <si>
    <t>B07-TRB18A / B07-TRB18B</t>
  </si>
  <si>
    <t>Electrical enlarged plans identify B07-TRB18A/B circuits serving basement TR equipment; verify panel source, receptacles, SPD, emergency source and load measurement.</t>
  </si>
  <si>
    <t>B07-TR228A / B07-TR228B</t>
  </si>
  <si>
    <t>Electrical enlarged plans identify B07-TR228A/B circuits serving TR 228A equipment and IU-2-01; verify rack receptacles, cooling power, SPD and labels.</t>
  </si>
  <si>
    <t>07T-604 rack elevation: 1 rack plus future; includes UPS, future Zone PDU, cable managers, network switches, three 48-port Cat6A angled patch panels, 24-port Cat5E patch panel and Fiber LIU.</t>
  </si>
  <si>
    <t>TR 228A is shown on second-level telecom/electrical enlarged plans; verify rack elevation, fiber paths, Cat6A replacement, labeling/testing and VA acceptance before cutover.</t>
  </si>
  <si>
    <t>Verify access control, door hardware and CCTV/PACS integration for basement TR.</t>
  </si>
  <si>
    <t>Architectural notes require access control hardware modifications at new rated door; verify card reader, electric strike, door position switch, motion sensor and camera.</t>
  </si>
  <si>
    <t>B07-R1</t>
  </si>
  <si>
    <t>Existing conditions for B-18 and 228A not field verified</t>
  </si>
  <si>
    <t>B07 includes basement and second-floor TR scope.</t>
  </si>
  <si>
    <t>B07-R2</t>
  </si>
  <si>
    <t>Basement TR conversion may conflict with existing utilities, office finishes or active pathways</t>
  </si>
  <si>
    <t>Verify routing, clearances, penetrations, existing conduit and access before work</t>
  </si>
  <si>
    <t>GC / Telecom</t>
  </si>
  <si>
    <t>Basement B-18 shown on rack elevation and electrical enlarged plans.</t>
  </si>
  <si>
    <t>B07-R3</t>
  </si>
  <si>
    <t>Second-floor rated wall/door work and exterior furring wall/window enclosure could affect schedule</t>
  </si>
  <si>
    <t>Coordinate architectural work, door/frame, wall rating, furring wall, finishes and infection control barriers</t>
  </si>
  <si>
    <t>07A-401 notes include 45-minute rated door and new furring wall at exterior wall.</t>
  </si>
  <si>
    <t>B07-R4</t>
  </si>
  <si>
    <t>B-18/228A</t>
  </si>
  <si>
    <t>Dedicated cooling emergency power, controls, condensate and high-temp alarms not verified</t>
  </si>
  <si>
    <t>Confirm IU/CU assignments, emergency source, BACnet/interface, condensate pump routing and alarm points</t>
  </si>
  <si>
    <t>IU-0-01/CU-0-01 and IU-2-01/CU-2-01 schedules.</t>
  </si>
  <si>
    <t>B07-R5</t>
  </si>
  <si>
    <t>Electrical panel/circuit source and rack load coordination unresolved</t>
  </si>
  <si>
    <t>Verify B07-TRB18A/B and B07-TR228A/B panel schedules, circuit labels, SPDs and load measurements</t>
  </si>
  <si>
    <t>Electrical enlarged plans identify panel/circuit references.</t>
  </si>
  <si>
    <t>B07-R6</t>
  </si>
  <si>
    <t>Telecom/fiber cutover may affect active hospital communications</t>
  </si>
  <si>
    <t>Require cutover plan, test results, OIT coordination and VA acceptance before active connection</t>
  </si>
  <si>
    <t>All cabling must be tested, approved and accepted before connecting to active operations.</t>
  </si>
  <si>
    <t>B07-R7</t>
  </si>
  <si>
    <t>Fire alarm/sprinkler impairments and firestopping could affect occupied operations</t>
  </si>
  <si>
    <t>Track impairments, temporary firestopping, fire watch, sprinkler/head changes and FA acceptance testing</t>
  </si>
  <si>
    <t>B07-R8</t>
  </si>
  <si>
    <t>Track commissioning, inspection, testing, labels and as-built deliverables by trade</t>
  </si>
  <si>
    <t>Required by cover/general notes.</t>
  </si>
  <si>
    <t>B07-Q1</t>
  </si>
  <si>
    <t>Confirm final TR scope: B-18 basement and 228A second floor only?</t>
  </si>
  <si>
    <t>B07-Q2</t>
  </si>
  <si>
    <t>Are IU-0-01/CU-0-01 assigned to B-18 and IU-2-01/CU-2-01 assigned to 228A?</t>
  </si>
  <si>
    <t>Mechanical / Designer</t>
  </si>
  <si>
    <t>Cooling scope unclear</t>
  </si>
  <si>
    <t>B07-Q3</t>
  </si>
  <si>
    <t>Are cooling units and controls on emergency/backup power?</t>
  </si>
  <si>
    <t>B07-Q4</t>
  </si>
  <si>
    <t>B07-Q5</t>
  </si>
  <si>
    <t>What active services are currently fed from B-18 and/or existing pathways serving 228A?</t>
  </si>
  <si>
    <t>B07-Q6</t>
  </si>
  <si>
    <t>Are all B07 panelboard sources, circuits, SPDs, labels and load measurements approved?</t>
  </si>
  <si>
    <t>B07-Q7</t>
  </si>
  <si>
    <t>B07-Q8</t>
  </si>
  <si>
    <t>Which third-party inspections and commissioning forms are required before VA acceptance?</t>
  </si>
  <si>
    <t>B07-P001</t>
  </si>
  <si>
    <t>Basement TR B-18 existing room, walls, ceiling, floor, utilities, penetrations and pathway</t>
  </si>
  <si>
    <t>B07-R1/B07-R2</t>
  </si>
  <si>
    <t>B07-P002</t>
  </si>
  <si>
    <t>Second-floor TR 228A, door/wall/furring/window conditions, adjacent spaces and pathway</t>
  </si>
  <si>
    <t>B07-R1/B07-R3</t>
  </si>
  <si>
    <t>B07-P003</t>
  </si>
  <si>
    <t>B07-P004</t>
  </si>
  <si>
    <t>IU/CU units, condensate, thermostat, BACnet adapter, disconnects, high-temp alarm and power source</t>
  </si>
  <si>
    <t>B07-P005</t>
  </si>
  <si>
    <t>B07-TRB18A/B and B07-TR228A/B panels, breakers, SPD, rack receptacles and labels</t>
  </si>
  <si>
    <t>B07-P006</t>
  </si>
  <si>
    <t>Racks, ladder tray, fiber, Cat6A, patch panels, LIU, labels and test records</t>
  </si>
  <si>
    <t>B07-P007</t>
  </si>
  <si>
    <t>Card reader, electric strike, door position, CCTV/PACS and motion sensors</t>
  </si>
  <si>
    <t>Basement TR; field verification required.</t>
  </si>
  <si>
    <t>Second-floor TR; rated wall/door and cooling coordination required.</t>
  </si>
  <si>
    <t>60-sheet Building 07 IFC package includes general, architectural, interiors, fire protection, plumbing, mechanical, electrical, telecommunications, schedules, risers, rack elevations and reference photos.</t>
  </si>
  <si>
    <t>07T-604 identifies B-18 as 1 rack plus future with UPS, future Zone PDU, switches, Cat6A patch panels, Cat5E patch panel and Fiber LIU; 228A is shown on second-level telecom/electrical enlarged plans.</t>
  </si>
  <si>
    <t>07A-401 identifies Telecom Room 228A at 236 SF and includes new 45-minute rated door/frame, FEC within 75 ft, temporary dust barrier, new furring wall at exterior wall, and finish/transition requirements.</t>
  </si>
  <si>
    <t>07M-701 split-system schedules list IU-0-01/CU-0-01 at 18,000 BTUH and IU-2-01/CU-2-01 at 36,000 BTUH; field verify room assignment, power and controls.</t>
  </si>
  <si>
    <t>07E-401 identifies B07-TRB18A/B and B07-TR228A/B circuit references for basement and second-floor TRs; verify panel schedules, rack receptacles, SPDs, source and emergency power.</t>
  </si>
  <si>
    <t>Cover/general notes require existing ports replaced, conduit reuse where possible, 10% data-port allowance, coordination drawings, third-party inspections, commissioning/recommissioning, VA acceptance before active connections, and shutdowns limited one at a time.</t>
  </si>
  <si>
    <t>BUILDING 08 │ EHRM ASSESSMENT │ PMIS DASHBOARD FEED</t>
  </si>
  <si>
    <t>08</t>
  </si>
  <si>
    <t>518-22-700 IFC Building 08</t>
  </si>
  <si>
    <t>B-15, B12B, 2065A / TR-TE Assessment</t>
  </si>
  <si>
    <t>Building 08 includes existing basement telecom equipment at B-15, basement TE/cabling scope at B12B, and new second-level TR 2065A; field verification, abatement, rated construction, cooling/power, firestopping, and cutover phasing remain open.</t>
  </si>
  <si>
    <t>Field verify B-15, B12B, and 2065A; confirm active services, 2065A rack layout, panel/power source, IU/CU cooling, hazardous material/abatement impacts, FEC locations, PACS/CCTV, and telecom cutover sequence.</t>
  </si>
  <si>
    <t>B-15</t>
  </si>
  <si>
    <t>Existing wall/wall-mounted TE and floor UPS</t>
  </si>
  <si>
    <t>08T-604</t>
  </si>
  <si>
    <t>Existing rack elevation identifies Building 08 basement Room B-15 with wall/wall-mounted TE, legacy patch panels, legacy Fiber LIU, and floor UPS.</t>
  </si>
  <si>
    <t>B12B</t>
  </si>
  <si>
    <t>Office / basement cabling area</t>
  </si>
  <si>
    <t>Telecom enclosure / TE cabling service area</t>
  </si>
  <si>
    <t>08A-401 / 08E-701 / 08T-701</t>
  </si>
  <si>
    <t>Door schedule identifies B12B as Office with 45-minute door; telecom schedule and electrical schedule reference TE01-B12B-1 and TE receptacle Room B12B. Field verify actual TE/equipment scope.</t>
  </si>
  <si>
    <t>Existing copy/office/storage area converted</t>
  </si>
  <si>
    <t>08A-401 / 08E-701 / 08T-604 / 08M-701</t>
  </si>
  <si>
    <t>Telecom Room 2065A, 127 SF; new rack elevation shows two 4-post floor racks, UPS, Zone PDU, network switches, Cat6A patch panels, Cat5E patch panel and Fiber LIU.</t>
  </si>
  <si>
    <t>Existing basement telecom equipment; protect active services and verify legacy equipment status.</t>
  </si>
  <si>
    <t>Basement Office/TE area; verify wall/door rating, pathways, outlet/panel scope, firestopping and actual TE location.</t>
  </si>
  <si>
    <t>New Telecom Room; verify 1-hour fire/smoke-rated room, 45-minute door/frame, open-to-deck construction, static-dissipative floor sealer, clearances and equipment layout.</t>
  </si>
  <si>
    <t>Existing equipment area; verify no new penetrations are left unsealed and active systems remain protected.</t>
  </si>
  <si>
    <t>Door schedule shows 45-minute door; verify fire/smoke requirements, FEC requirement applicability, firestopping and temporary barriers.</t>
  </si>
  <si>
    <t>Architectural notes require new 45-minute door, clean-agent 2A:10B:C extinguisher within 75 ft, open-to-deck telecom room and 1-hour fire/smoke-rated existing wall upgrades.</t>
  </si>
  <si>
    <t>Verify existing environmental conditions and whether active legacy equipment remains during cutover.</t>
  </si>
  <si>
    <t>Field verify whether TE equipment load requires cooling or if served by existing building HVAC.</t>
  </si>
  <si>
    <t>Mechanical schedule lists IU-2-01/CU-2-01 at 36,000 BTUH; verify room assignment, emergency power, condensate pump/route, BACnet controller and controls.</t>
  </si>
  <si>
    <t>Existing rack elevation shows floor UPS and legacy equipment; protect active service and verify transition/demo requirements.</t>
  </si>
  <si>
    <t>TE scale</t>
  </si>
  <si>
    <t>TE receptacle Room B12B / B08-TR2065AB reference</t>
  </si>
  <si>
    <t>Electrical schedule includes TE receptacle Room B12B; confirm panel/circuit source and if B12B is served from telecom panel.</t>
  </si>
  <si>
    <t>B08-TR2065AA / B08-TR2065AB</t>
  </si>
  <si>
    <t>Electrical schedule identifies B08-TR2065AB in Telecom Room 2065A with TR receptacles, rack receptacles, lighting, access controller, CU-2-01 and SPD notes; verify B08-TR2065AA source/scope.</t>
  </si>
  <si>
    <t>Existing Room B-15 rack elevations show wall/wall-mounted TE, legacy 24/48-port patch panels, legacy Fiber LIU and UPS.</t>
  </si>
  <si>
    <t>Telecom schedule uses Rack ID TE01-B12B-1; 80 WAO total, 159 active ports per survey, 116 total ports per schedule, and 128 total ports with 10% allowance.</t>
  </si>
  <si>
    <t>New Room 2065A rack elevations show two 4-post floor racks; Rack 1 includes Fiber LIU, 24-port Cat5E patch panel, four 48-port Cat6A patch panels, network switches, Zone PDU and UPS; Rack 2 includes future switches and UPS.</t>
  </si>
  <si>
    <t>45-minute door shown; verify access-control hardware applicability and whether TE is secured.</t>
  </si>
  <si>
    <t>Door schedule/hardware note requires coordination with electrical/access control; verify card reader, electric strike, door position, motion sensor, camera and VA integration.</t>
  </si>
  <si>
    <t>B08-R1</t>
  </si>
  <si>
    <t>Existing conditions for B-15, B12B and 2065A not field verified</t>
  </si>
  <si>
    <t>B08 includes existing equipment, TE/cabling area and new TR scope.</t>
  </si>
  <si>
    <t>B08-R2</t>
  </si>
  <si>
    <t>Existing basement legacy equipment may remain active during cutover</t>
  </si>
  <si>
    <t>Document active services, protect in place and define cutover/demo sequence</t>
  </si>
  <si>
    <t>Existing TE, patch panels, Fiber LIU and UPS shown.</t>
  </si>
  <si>
    <t>B08-R3</t>
  </si>
  <si>
    <t>Basement B12B appears as Office in architectural schedule but TE in telecom/electrical schedules</t>
  </si>
  <si>
    <t>Field verify actual TE location, room name, door/wall rating and panel/cable routing</t>
  </si>
  <si>
    <t>Potential room/scope mismatch.</t>
  </si>
  <si>
    <t>B08-R4</t>
  </si>
  <si>
    <t>Second-floor Telecom Room conversion includes rated wall/door/open-to-deck work and possible hazardous material impacts</t>
  </si>
  <si>
    <t>Coordinate architectural work, dust barriers, floor abatement, FEC and rated assemblies before construction</t>
  </si>
  <si>
    <t>Hazardous material abatement plan included for Level 2.</t>
  </si>
  <si>
    <t>B08-R5</t>
  </si>
  <si>
    <t>Confirm IU/CU assignment, emergency source, BACnet/interface, condensate routing and alarm points</t>
  </si>
  <si>
    <t>IU-2-01/CU-2-01 scheduled at 36,000 BTUH.</t>
  </si>
  <si>
    <t>B08-R6</t>
  </si>
  <si>
    <t>Verify B08-TR2065AA/AB panel schedules, rack receptacles, SPD, labels and load measurement requirements</t>
  </si>
  <si>
    <t>Panel schedule includes telecom panelboard notes and 30-day load measurement requirements.</t>
  </si>
  <si>
    <t>B08-R7</t>
  </si>
  <si>
    <t>Track impairments, temporary firestopping, fire watch, sprinkler/device changes and FA acceptance testing</t>
  </si>
  <si>
    <t>B08-R8</t>
  </si>
  <si>
    <t>Track commissioning, inspections, test records, labels, OIT acceptance and as-builts</t>
  </si>
  <si>
    <t>B08-Q1</t>
  </si>
  <si>
    <t>Confirm final scope: existing B-15 equipment, B12B TE/cabling area, and new TR 2065A?</t>
  </si>
  <si>
    <t>Room inventory may miss scope</t>
  </si>
  <si>
    <t>B08-Q2</t>
  </si>
  <si>
    <t>What active services are currently fed from existing B-15 equipment?</t>
  </si>
  <si>
    <t>B08-Q3</t>
  </si>
  <si>
    <t>Is B12B truly a TE/equipment location or only a cabling pathway/service area?</t>
  </si>
  <si>
    <t>VA / Designer / Contractor</t>
  </si>
  <si>
    <t>Scope ambiguity</t>
  </si>
  <si>
    <t>B08-Q4</t>
  </si>
  <si>
    <t>Is IU-2-01/CU-2-01 dedicated to TR 2065A and on emergency/backup power?</t>
  </si>
  <si>
    <t>B08-Q5</t>
  </si>
  <si>
    <t>Where are clean-agent/CO2 extinguisher cabinets located within 75 ft of each TR/TE?</t>
  </si>
  <si>
    <t>B08-Q6</t>
  </si>
  <si>
    <t>Are all B08 panelboard sources, circuits, SPDs, rack receptacles and load measurements approved?</t>
  </si>
  <si>
    <t>B08-Q7</t>
  </si>
  <si>
    <t>B08-Q8</t>
  </si>
  <si>
    <t>Which hazardous material/abatement steps apply to Level 2 floor penetrations and flooring removal?</t>
  </si>
  <si>
    <t>GC / IH / COR</t>
  </si>
  <si>
    <t>Work delay or exposure risk</t>
  </si>
  <si>
    <t>B08-P001</t>
  </si>
  <si>
    <t>Existing basement TE, legacy patch panels, Fiber LIU, floor UPS and pathways</t>
  </si>
  <si>
    <t>B08-R1/B08-R2</t>
  </si>
  <si>
    <t>B08-P002</t>
  </si>
  <si>
    <t>Basement B12B office/TE location, door, pathways, receptacles, panel source and penetrations</t>
  </si>
  <si>
    <t>B08-P003</t>
  </si>
  <si>
    <t>Second-floor TR 2065A room, door/walls/ceiling/floor, exterior furring/window, penetrations</t>
  </si>
  <si>
    <t>B08-P004</t>
  </si>
  <si>
    <t>B08-P005</t>
  </si>
  <si>
    <t>IU-2-01/CU-2-01, condensate, thermostat, BACnet adapter, disconnects, high-temp alarm and power</t>
  </si>
  <si>
    <t>B08-P006</t>
  </si>
  <si>
    <t>B08-TR2065AA/AB panels, breakers, SPD, rack receptacles, TE receptacle B12B and labels</t>
  </si>
  <si>
    <t>B08-P007</t>
  </si>
  <si>
    <t>B-15 legacy equipment, B12B TE schedule, 2065A racks, fiber, Cat6A, patch panels, LIU, labels and test records</t>
  </si>
  <si>
    <t>B08-R2/B08-R8</t>
  </si>
  <si>
    <t>B08-P008</t>
  </si>
  <si>
    <t>Basement office/TE ambiguity requires field verification.</t>
  </si>
  <si>
    <t>New second-floor TR with two racks, cooling, rated work and possible abatement.</t>
  </si>
  <si>
    <t>56-sheet Building 08 IFC package includes general, hazardous material abatement, architectural, interiors, fire protection, mechanical, electrical, telecommunications, schedules, rack elevations and reference photos.</t>
  </si>
  <si>
    <t>08A-401 identifies B12B and Telecom Room 2065A enlarged views; 2065A is 127 SF, open to deck, with new 45-minute fire-rated door/frame, fire extinguisher cabinet requirement, 1-hour fire/smoke-rated existing wall upgrade, flooring removal and potential abatement at penetrations.</t>
  </si>
  <si>
    <t>08T-604 identifies existing basement Room B-15 equipment and new second-level Room 2065A two-rack layout; 08T-701 identifies B12B basement data device schedule and TE01-B12B-1 rack ID with 80 WAO total and 128 total ports with 10% allowance.</t>
  </si>
  <si>
    <t>08M-701 lists IU-2-01/CU-2-01 36,000 BTUH split system with emergency power connection, condensate pump and BACnet controller requirements; verify service to TR 2065A.</t>
  </si>
  <si>
    <t>08E-701 identifies B08-TR2065AB in Telecom Room 2065A with TR receptacles, rack receptacles, lighting, access controller, CU-2-01 and TE receptacle Room B12B; panel notes include SPD and load measurement requirements.</t>
  </si>
  <si>
    <t>BUILDING 09 │ EHRM ASSESSMENT │ PMIS DASHBOARD FEED</t>
  </si>
  <si>
    <t>09</t>
  </si>
  <si>
    <t>518-22-700 IFC Building 09</t>
  </si>
  <si>
    <t>B01, 104B, 206A / Multidisciplinary TR Assessment</t>
  </si>
  <si>
    <t>Building 09 includes three telecom spaces across basement, first, and second levels; field verification, hazardous material coordination, active service cutover, cooling, power/panel source, firestopping, and rated wall/door work remain open.</t>
  </si>
  <si>
    <t>Field verify B01, 104B, and 206A; confirm existing equipment and active services, panel sources, IU/CU cooling, fire alarm/sprinkler impacts, FEC locations, PACS/CCTV scope, hazardous/abatement impacts, and telecom cutover sequence.</t>
  </si>
  <si>
    <t>Storage / existing telecom equipment area</t>
  </si>
  <si>
    <t>09A-400 / 09E-402 / 09T-604 / 09E-701</t>
  </si>
  <si>
    <t>Telecom Room B01, 200 SF; existing/new telecom equipment shown with panels B09-TRB01A/B and cooling circuits CU-0-1, CU-1-1, CU-2-1 in electrical schedule/enlarged plans.</t>
  </si>
  <si>
    <t>Interview room / existing area converted</t>
  </si>
  <si>
    <t>09A-401 / 09E-401 / 09T-604 / 09E-701</t>
  </si>
  <si>
    <t>Telecom Room 104B, 85 SF; panels B09-TR104BA/B shown; first-level enlarged plans identify access control/security devices, IU-1-01, and TR receptacle/rack circuiting.</t>
  </si>
  <si>
    <t>206A</t>
  </si>
  <si>
    <t>Nursing service / adjacent office area</t>
  </si>
  <si>
    <t>Telecom Room 206A, 120 SF; panels B09-TR206AA/B shown; second-level enlarged plans identify IU-2-01, TR circuits, security devices, and room layout adjacent to Nursing Service 206.</t>
  </si>
  <si>
    <t>Basement TR; verify existing storage-to-TR conversion, wall/ceiling/floor condition, active equipment, pathways, and clearances.</t>
  </si>
  <si>
    <t>First-level TR; verify 1-hour fire/smoke-rated wall requirements, 45-minute door/frame, access control, security devices, and equipment clearance.</t>
  </si>
  <si>
    <t>Second-level TR; verify rated wall/door, open-to-deck conditions, penetrations, cooling unit, and rack/service clearance.</t>
  </si>
  <si>
    <t>Fully sprinklered building; verify sprinkler head coverage, rated penetrations, temporary firestopping, and FEC location for basement TR.</t>
  </si>
  <si>
    <t>Fire protection enlarged plan shows Telecom Room 104B and rated wall legend; verify sprinkler/fire alarm modifications and clean-agent extinguisher within 75 ft.</t>
  </si>
  <si>
    <t>Fire protection enlarged plan shows Telecom Room 206A; verify sprinkler cage/coverage, fire alarm device relocation/additions, and rated penetrations.</t>
  </si>
  <si>
    <t>IU-0-01 / CU-0-1</t>
  </si>
  <si>
    <t>Electrical enlarged/panel data identifies CU-0-1 serving basement work; verify mechanical schedule, emergency source, condensate, controls and alarms.</t>
  </si>
  <si>
    <t>IU-1-01 / CU-1-1</t>
  </si>
  <si>
    <t>Electrical enlarged plan identifies IU-1-01 in Telecom Room 104B and CU-1-1; verify dedicated 24/7 cooling and emergency power.</t>
  </si>
  <si>
    <t>IU-2-01 / CU-2-1</t>
  </si>
  <si>
    <t>Electrical enlarged plan identifies IU-2-01 in Telecom Room 206A and CU-2-1; verify dedicated 24/7 cooling and emergency power.</t>
  </si>
  <si>
    <t>B09-TRB01A / B09-TRB01B / B09-EP-TR</t>
  </si>
  <si>
    <t>Panel schedule lists B09-TRB01A/B in Telecom Room B01 with 208Y/120V panels, rack receptacles, access controller, mechanical equipment, lighting and SPD notes.</t>
  </si>
  <si>
    <t>B09-TR104BA / B09-TR104BB</t>
  </si>
  <si>
    <t>Electrical enlarged plan shows panel references B09-TR104BA/B, IU-1-01, security devices, lighting and receptacle/rack circuits.</t>
  </si>
  <si>
    <t>B09-TR206AA / B09-TR206AB</t>
  </si>
  <si>
    <t>Electrical enlarged plan shows panel references B09-TR206AA/B, IU-2-01, security devices, lighting and receptacle/rack circuits.</t>
  </si>
  <si>
    <t>Fiber riser identifies Building 09 basement B01 with two-rack TR; verify rack elevations, fiber Path A/B, Cat6A replacement, LIU, bonding and cutover.</t>
  </si>
  <si>
    <t>Fiber riser identifies first-level Room 104B with two-rack TR; verify rack elevation details, patch panels, UPS/PDU, fiber LIU, grounding and test records.</t>
  </si>
  <si>
    <t>Fiber riser identifies second-level Room 206A with two-rack TR; verify rack elevation details, patch panels, UPS/PDU, fiber LIU, grounding and test records.</t>
  </si>
  <si>
    <t>Enlarged plans show existing/new security boxes, network door controller, camera/security scope; verify PACS/CCTV integration and protection of active security systems.</t>
  </si>
  <si>
    <t>First-level enlarged plan shows CR/RX/DC/ES/MD-type device symbols and 104B camera designation; verify card reader, electric strike, door contact, motion and camera.</t>
  </si>
  <si>
    <t>Second-level enlarged plan shows CR/RX/DC/ES/MD-type device symbols and 206A camera designation; verify PACS/VMS integration and commissioning.</t>
  </si>
  <si>
    <t>B09-R1</t>
  </si>
  <si>
    <t>Existing conditions for B01, 104B and 206A not field verified</t>
  </si>
  <si>
    <t>B09 includes basement, first and second level TR work.</t>
  </si>
  <si>
    <t>B09-R2</t>
  </si>
  <si>
    <t>Basement TR includes existing equipment and could remain active during cutover</t>
  </si>
  <si>
    <t>Document active services, protect-in-place and define cutover/demo sequence</t>
  </si>
  <si>
    <t>B01 shows existing security/network/telecom equipment and panel work.</t>
  </si>
  <si>
    <t>B09-R3</t>
  </si>
  <si>
    <t>Hazardous material abatement plans exist for basement, first and second levels</t>
  </si>
  <si>
    <t>Coordinate ACM/lead/abatement review before penetrations, flooring removal or ceiling/wall work</t>
  </si>
  <si>
    <t>B09 drawing index includes 09H-100, 09H-101 and 09H-102.</t>
  </si>
  <si>
    <t>B09-R4</t>
  </si>
  <si>
    <t>104B/206A</t>
  </si>
  <si>
    <t>Rated wall/door work and fire/smoke assemblies could affect schedule and acceptance</t>
  </si>
  <si>
    <t>Verify wall ratings, door/frame rating, penetrations, smoke/fire barriers and access control hardware</t>
  </si>
  <si>
    <t>Fire protection/architectural enlarged plans show rated wall legends and TR layouts.</t>
  </si>
  <si>
    <t>B09-R5</t>
  </si>
  <si>
    <t>Confirm IU/CU assignments, emergency source, BACnet/interface, condensate routing and alarms</t>
  </si>
  <si>
    <t>IU-0/1/2 and CU-0/1/2 appear in electrical/enlarged data.</t>
  </si>
  <si>
    <t>B09-R6</t>
  </si>
  <si>
    <t>Verify B09-TRB01A/B, B09-TR104BA/B, B09-TR206AA/B schedules, SPDs, labels and load measurements</t>
  </si>
  <si>
    <t>B09 has multiple TR panels across all three levels.</t>
  </si>
  <si>
    <t>B09-R7</t>
  </si>
  <si>
    <t>B09-R8</t>
  </si>
  <si>
    <t>B09-Q1</t>
  </si>
  <si>
    <t>Confirm final TR scope: B01 basement, 104B first level, and 206A second level?</t>
  </si>
  <si>
    <t>B09-Q2</t>
  </si>
  <si>
    <t>What active services are currently fed from B01 existing equipment/security/network devices?</t>
  </si>
  <si>
    <t>B09-Q3</t>
  </si>
  <si>
    <t>What hazardous/abatement steps apply to B01, 104B and 206A work areas?</t>
  </si>
  <si>
    <t>B09-Q4</t>
  </si>
  <si>
    <t>Are IU-0-01/CU-0-1, IU-1-01/CU-1-1 and IU-2-01/CU-2-1 on emergency/backup power?</t>
  </si>
  <si>
    <t>B09-Q5</t>
  </si>
  <si>
    <t>B09-Q6</t>
  </si>
  <si>
    <t>Are all B09 panelboard sources, circuits, SPDs, rack receptacles and load measurements approved?</t>
  </si>
  <si>
    <t>B09-Q7</t>
  </si>
  <si>
    <t>B09-Q8</t>
  </si>
  <si>
    <t>B09-P001</t>
  </si>
  <si>
    <t>Basement TR B01 existing telecom/security/network equipment, storage conditions, panels, ceiling, walls and pathways</t>
  </si>
  <si>
    <t>B09-R1/B09-R2</t>
  </si>
  <si>
    <t>B09-P002</t>
  </si>
  <si>
    <t>First-level TR 104B, walls/door/ceiling/floor, security devices, IU-1-01 location and pathways</t>
  </si>
  <si>
    <t>B09-R1/B09-R4</t>
  </si>
  <si>
    <t>B09-P003</t>
  </si>
  <si>
    <t>Second-level TR 206A, walls/door/ceiling/floor, adjacent Nursing Service 206, IU-2-01 location and pathways</t>
  </si>
  <si>
    <t>B09-P004</t>
  </si>
  <si>
    <t>Flooring, ceilings, pipe insulation, penetrations and abatement-related locations before disturbance</t>
  </si>
  <si>
    <t>B09-P005</t>
  </si>
  <si>
    <t>B09-P006</t>
  </si>
  <si>
    <t>IU/CU equipment, condensate, thermostat, BACnet adapter, disconnects, high-temp alarm and power source</t>
  </si>
  <si>
    <t>B09-P007</t>
  </si>
  <si>
    <t>B09 TR panels, breakers, SPD, rack receptacles, access controllers, lighting and labels</t>
  </si>
  <si>
    <t>B09-P008</t>
  </si>
  <si>
    <t>Telecom/Security</t>
  </si>
  <si>
    <t>Racks, fiber, Cat6A, LIU, patch panels, labeling/testing, cameras, access control and VMS/PACS integration</t>
  </si>
  <si>
    <t>Basement TR with existing equipment and multiple panel/cooling dependencies.</t>
  </si>
  <si>
    <t>First-level TR with security/access control, cooling and rated wall/door coordination.</t>
  </si>
  <si>
    <t>Second-level TR adjacent to Nursing Service with cooling, electrical and fire/life-safety coordination.</t>
  </si>
  <si>
    <t>65-sheet Building 09 IFC package includes general, hazardous material abatement for basement/first/second levels, architectural, interiors, fire protection, mechanical, electrical, telecommunications, schedules, risers, rack elevations and reference photos.</t>
  </si>
  <si>
    <t>Fiber riser and telecom enlarged content identify Building 09 served by TRs B01, 104B and 206A; each requires redundant fiber paths, Cat6A replacement, rack/patch panel/LIU work, labeling, testing and VA acceptance.</t>
  </si>
  <si>
    <t>Electrical enlarged plans and schedules identify B09-TRB01A/B, B09-TR104BA/B and B09-TR206AA/B, including TR receptacles, rack receptacles, access controllers, lighting, CU circuits and SPD notes.</t>
  </si>
  <si>
    <t>Electrical/mechanical coordination references IU-0-01/CU-0-1, IU-1-01/CU-1-1 and IU-2-01/CU-2-1 serving the basement, first and second-level telecom spaces; verify exact capacity and controls against mechanical schedules.</t>
  </si>
  <si>
    <t>Fire / Architectural Basis</t>
  </si>
  <si>
    <t>Fire protection enlarged plan identifies Telecom Rooms B01, 104B and 206A with rated wall legend; general notes require fire alarm modifications, sprinkler modifications, FEC within 75 ft, rated penetration firestopping and temporary firestopping where needed.</t>
  </si>
  <si>
    <t>BUILDING 10 │ EHRM ASSESSMENT │ PMIS DASHBOARD FEED</t>
  </si>
  <si>
    <t>518-22-700 IFC Building 10</t>
  </si>
  <si>
    <t>200A / Attic Telecom Room Assessment</t>
  </si>
  <si>
    <t>Building 10 scope centers on attic Telecom Room 200A with related basement electrical source rooms B24/B25, attic hazardous material abatement, dedicated cooling, new telecom panels, rack/UPS/PDU equipment, firestopping, and cutover coordination.</t>
  </si>
  <si>
    <t>Field verify attic Telecom Room 200A, basement normal/emergency electrical source rooms B24/B25, existing wall-mounted rack/equipment, panel sources B10-TR200AA/AB, IU/CU-1-01 cooling, FEC/fire alarm/sprinkler impacts, hazardous/abatement scope, and telecom cutover plan.</t>
  </si>
  <si>
    <t>Attic</t>
  </si>
  <si>
    <t>Existing attic telecom/equipment area</t>
  </si>
  <si>
    <t>10A-401 / 10E-401 / 10T-604 / 10M-701</t>
  </si>
  <si>
    <t>Primary Building 10 TR. Drawings identify attic-level Room 200A with existing wall-mounted rack/equipment, new telecom rack equipment, panels B10-TR200AA/AB, IU-1-01, CU-1-01, rack receptacles and future rack space.</t>
  </si>
  <si>
    <t>B24</t>
  </si>
  <si>
    <t>Existing electrical room - normal power</t>
  </si>
  <si>
    <t>Electrical source / coordination room</t>
  </si>
  <si>
    <t>10E-401 / 10E-701</t>
  </si>
  <si>
    <t>Basement existing electrical room normal power referenced on electrical enlarged plan; coordinate B10-MDP/B10-L10-E feeders and load measurement.</t>
  </si>
  <si>
    <t>B25</t>
  </si>
  <si>
    <t>Existing electrical room - emergency power</t>
  </si>
  <si>
    <t>Emergency electrical source / coordination room</t>
  </si>
  <si>
    <t>10E-401 / 10E-601 / 10E-701</t>
  </si>
  <si>
    <t>Basement existing electrical room emergency power referenced on electrical enlarged plan; coordinate ATS-B10-LSD, emergency source and TR equipment continuity.</t>
  </si>
  <si>
    <t>Attic TR; verify room enclosure, open-to-deck/rated wall requirements, existing rack/equipment, attic access, structural/pathway clearance, future rack clearance and housekeeping.</t>
  </si>
  <si>
    <t>Electrical source room; verify panel access, breaker/feeder routes, lockout/tagout needs and working clearances.</t>
  </si>
  <si>
    <t>Emergency electrical source room; verify ATS/emergency panel access, shutdown constraints and power continuity.</t>
  </si>
  <si>
    <t>Attic-level TR requires verification of sprinkler/fire alarm modifications, clean-agent 2A:10B:C FEC within 75 ft, rated penetrations and temporary firestopping.</t>
  </si>
  <si>
    <t>Electrical work may require penetrations or shutdowns; verify firestopping and protection-in-place.</t>
  </si>
  <si>
    <t>Emergency electrical room coordination; verify no unsealed penetrations or life-safety impairment.</t>
  </si>
  <si>
    <t>Mechanical/electrical drawings identify IU-1-01 in Telecom Room 200A and CU-1-01 outdoor unit; verify capacity, emergency power, condensate route, BACnet adapter and high-temp alarm.</t>
  </si>
  <si>
    <t>No dedicated TR cooling scope; verify electrical room ventilation is not impacted by new work.</t>
  </si>
  <si>
    <t>No dedicated TR cooling scope; verify emergency electrical room ventilation is not impacted.</t>
  </si>
  <si>
    <t>B10-TR200AA / B10-TR200AB</t>
  </si>
  <si>
    <t>Electrical schedule identifies B10-TR200AA/AB in Telecom Room 200A with rack receptacles, TR receptacles, lighting, access controller, CU-1-01 and SPD requirements; verify source and labels.</t>
  </si>
  <si>
    <t>B10-MDP / B10-L10-E</t>
  </si>
  <si>
    <t>Basement normal electrical source; verify load measurement, new breakers/feeders, panel access, LOTO and shutdown sequencing.</t>
  </si>
  <si>
    <t>ATS-B10-LSD / emergency distribution</t>
  </si>
  <si>
    <t>Emergency source coordination; verify generator/ATS feed to TR critical loads and cooling where required.</t>
  </si>
  <si>
    <t>10T sheets show attic telecom plan/rack elevations; provide 4-post racks, UPS, redundant PDUs, switches, Cat6A patch panels, Fiber LIU, bonding/grounding, labeling, testing and VA acceptance before cutover.</t>
  </si>
  <si>
    <t>Coordinate telecom power pathways through/source from basement electrical room if applicable.</t>
  </si>
  <si>
    <t>Coordinate emergency source/backup power pathways for telecom equipment and cooling.</t>
  </si>
  <si>
    <t>General scope requires PACS/CCTV for TR doors; verify door hardware, access controller, camera/VMS integration and any existing attic access/security constraints.</t>
  </si>
  <si>
    <t>Verify security impact only if electrical source room access or devices are modified.</t>
  </si>
  <si>
    <t>Verify emergency electrical room security impact if work requires access control changes.</t>
  </si>
  <si>
    <t>B10-R1</t>
  </si>
  <si>
    <t>Attic Telecom Room existing conditions and access not field verified</t>
  </si>
  <si>
    <t>Survey Room 200A, attic access route, existing rack/equipment, floor/deck conditions, clearances and utilities</t>
  </si>
  <si>
    <t>Attic work may have access and staging constraints.</t>
  </si>
  <si>
    <t>B10-R2</t>
  </si>
  <si>
    <t>Hazardous material abatement plan exists for attic level</t>
  </si>
  <si>
    <t>Coordinate attic abatement/IH review before penetrations, ceiling/floor work, cabling or HVAC/electrical installation</t>
  </si>
  <si>
    <t>Drawing index includes 10H-102 hazardous material abatement plan - attic.</t>
  </si>
  <si>
    <t>B10-R3</t>
  </si>
  <si>
    <t>Existing wall-mounted rack/equipment may remain active during cutover</t>
  </si>
  <si>
    <t>Document active services, protect in place and develop night-shift cutover/temporary rack plan</t>
  </si>
  <si>
    <t>Telecom drawings reference existing wall-mounted rack/equipment to be replaced/transferred.</t>
  </si>
  <si>
    <t>B10-R4</t>
  </si>
  <si>
    <t>Confirm IU-1-01/CU-1-01 capacity, power source, condensate routing, BACnet adapter, thermostat and high-temp alarm</t>
  </si>
  <si>
    <t>B10-R5</t>
  </si>
  <si>
    <t>B24/B25</t>
  </si>
  <si>
    <t>Panel source, generator/ATS path and shutdown sequencing unclear</t>
  </si>
  <si>
    <t>Verify B10-MDP, B10-L10-E, ATS-B10-LSD, panel feeders, load measurement and LOTO before electrical work</t>
  </si>
  <si>
    <t>Basement normal/emergency electrical rooms are source coordination points.</t>
  </si>
  <si>
    <t>B10-R6</t>
  </si>
  <si>
    <t>Fire alarm/sprinkler/firestopping work in attic TR could affect occupied operations</t>
  </si>
  <si>
    <t>Track impairments, fire watch, sprinkler/head changes, FA device work, rated penetrations and temporary firestopping</t>
  </si>
  <si>
    <t>B10-R7</t>
  </si>
  <si>
    <t>Require cutover plan, testing, labels, as-builts, OIT coordination and VA acceptance before active connection</t>
  </si>
  <si>
    <t>All telecom cabling must be tested, approved and accepted before connecting to active operations.</t>
  </si>
  <si>
    <t>B10-R8</t>
  </si>
  <si>
    <t>Track commissioning, inspections, test reports, power verification, labels and as-builts</t>
  </si>
  <si>
    <t>B10-Q1</t>
  </si>
  <si>
    <t>Confirm final scope: attic Telecom Room 200A only, with basement electrical source coordination in B24/B25?</t>
  </si>
  <si>
    <t>B10-Q2</t>
  </si>
  <si>
    <t>What active services are currently fed from the existing wall-mounted rack/equipment in Room 200A?</t>
  </si>
  <si>
    <t>B10-Q3</t>
  </si>
  <si>
    <t>What attic hazardous material/abatement steps apply before cabling, penetrations, HVAC or electrical work?</t>
  </si>
  <si>
    <t>Work delay/exposure risk</t>
  </si>
  <si>
    <t>B10-Q4</t>
  </si>
  <si>
    <t>Is IU-1-01/CU-1-01 on emergency/backup power and does it serve Room 200A only?</t>
  </si>
  <si>
    <t>B10-Q5</t>
  </si>
  <si>
    <t>Where is the clean-agent/CO2 extinguisher cabinet located within 75 ft of Room 200A?</t>
  </si>
  <si>
    <t>B10-Q6</t>
  </si>
  <si>
    <t>Are B10-TR200AA/AB, B10-MDP, B10-L10-E and ATS-B10-LSD source circuits/load measurements approved?</t>
  </si>
  <si>
    <t>B10-Q7</t>
  </si>
  <si>
    <t>Are all attic wall/floor/ceiling penetrations, sleeves and firestopping details identified?</t>
  </si>
  <si>
    <t>B10-Q8</t>
  </si>
  <si>
    <t>B10-P001</t>
  </si>
  <si>
    <t>Attic TR 200A existing rack/equipment, floor/deck, walls, access route, pathways and clearances</t>
  </si>
  <si>
    <t>B10-R1/B10-R3</t>
  </si>
  <si>
    <t>B10-P002</t>
  </si>
  <si>
    <t>Attic abatement-related materials, flooring/penetrations, ceiling/deck and disturbance areas</t>
  </si>
  <si>
    <t>B10-P003</t>
  </si>
  <si>
    <t>Existing normal electrical room panels, B10-MDP/B10-L10-E, feeder route and working clearances</t>
  </si>
  <si>
    <t>B10-P004</t>
  </si>
  <si>
    <t>Existing emergency electrical room, ATS-B10-LSD/emergency distribution and access constraints</t>
  </si>
  <si>
    <t>B10-P005</t>
  </si>
  <si>
    <t>All attic wall/floor/sleeve/tray penetrations before and after firestop</t>
  </si>
  <si>
    <t>B10-P006</t>
  </si>
  <si>
    <t>IU-1-01/CU-1-01, condensate, thermostat, BACnet adapter, disconnects, high-temp alarm and power source</t>
  </si>
  <si>
    <t>B10-P007</t>
  </si>
  <si>
    <t>Racks, UPS/PDU, fiber, Cat6A, patch panels, LIU, bonding, labels and test records</t>
  </si>
  <si>
    <t>B10-P008</t>
  </si>
  <si>
    <t>Card reader, electric strike, door position, CCTV/PACS, motion sensor and VMS/PACS integration</t>
  </si>
  <si>
    <t>Attic TR with rack/equipment, cooling, electrical, fire/life-safety and abatement coordination.</t>
  </si>
  <si>
    <t>Normal electrical source coordination only.</t>
  </si>
  <si>
    <t>Emergency electrical source coordination only.</t>
  </si>
  <si>
    <t>51-sheet Building 10 IFC package includes general, attic hazardous material abatement, architectural, interiors, fire protection, mechanical, electrical, telecommunications, schedules, rack elevations and reference photos.</t>
  </si>
  <si>
    <t>Architectural / Hazardous Basis</t>
  </si>
  <si>
    <t>Drawing index identifies 10H-102 hazardous material abatement plan - attic and 10A-401 architectural enlarged views - second level/attic TR scope; field verify abatement and architectural/rated assembly work before construction.</t>
  </si>
  <si>
    <t>10T-101/10T-604 identify attic-level telecom work and rack elevations for Room 200A, including existing wall-mounted rack/equipment, new racks, future rack space, UPS, PDUs, switches, Cat6A patch panels, Fiber LIU, grounding/bonding and labeling/testing requirements.</t>
  </si>
  <si>
    <t>10M sheets identify dedicated split-system cooling for Telecom Room 200A with IU-1-01 and CU-1-01, BACnet adapter and controls; verify emergency power, condensate and alarms in field.</t>
  </si>
  <si>
    <t>10E-401/701 identify B10-TR200AA and B10-TR200AB panels in Telecom Room 200A, rack/TR receptacles, CU-1-01, B10-MDP/B10-L10-E and ATS-B10-LSD source coordination with load measurement and SPD requirements.</t>
  </si>
  <si>
    <t>BUILDING 12 │ EHRM ASSESSMENT │ PMIS DASHBOARD FEED</t>
  </si>
  <si>
    <t>12</t>
  </si>
  <si>
    <t>518-22-700 IFC Building 12</t>
  </si>
  <si>
    <t>Fiber-only / Pull-through fiber assessment</t>
  </si>
  <si>
    <t>Building 12 is explicitly identified as fiber-only with no new TR buildout, no new rack, and no electrical/HVAC/fire protection drawing packages; key owner risk is confirming pull-through fiber path, existing service continuity, pathway/firestopping, and VA/OIT acceptance before cutover.</t>
  </si>
  <si>
    <t>Field verify existing fiber pathway through Building 12, existing rack/demarc/serving closet condition, floor/wall penetrations, routing from basement/first/second level telecom plans, phasing/cutover approach, and test/label/as-built deliverables.</t>
  </si>
  <si>
    <t>00 / existing fiber path</t>
  </si>
  <si>
    <t>B/1/2</t>
  </si>
  <si>
    <t>Existing building fiber pathway / pull-through route</t>
  </si>
  <si>
    <t>Fiber-only pull-through scope</t>
  </si>
  <si>
    <t>12G-000 / 12T-100 / 12T-101 / 12T-604</t>
  </si>
  <si>
    <t>Cover sheet states Building 12 receives fiber only. Rack elevation sheet identifies Building 12 as existing rack elevation/fiber only with no rack mounting and no new TR buildout.</t>
  </si>
  <si>
    <t>Existing rack/demarc - field verify</t>
  </si>
  <si>
    <t>Field verify</t>
  </si>
  <si>
    <t>Existing service point / serving closet</t>
  </si>
  <si>
    <t>Protect-in-place / fiber transition point</t>
  </si>
  <si>
    <t>12T-604 / 12T-601 / 12T-602 / 12T-603A/B</t>
  </si>
  <si>
    <t>12T-604 identifies building level B/1/2 and mounting type NONE/FIBER ONLY. Field verification required to document where fiber enters, passes through, and terminates.</t>
  </si>
  <si>
    <t>Fiber path B/1/2</t>
  </si>
  <si>
    <t>No new TR room indicated; focus is route readiness, penetrations, cable tray/conduit capacity, and access to existing pathway.</t>
  </si>
  <si>
    <t>Confirm existing equipment, demarc, or closet location; protect active services and confirm no new rack required.</t>
  </si>
  <si>
    <t>No fire protection drawing package beyond general notes; verify penetrations/firestopping for fiber pull-through route.</t>
  </si>
  <si>
    <t>No new TR/FEC shown; verify no rated assemblies are compromised by fiber pathway work.</t>
  </si>
  <si>
    <t>No HVAC drawing package for Building 12; fiber-only scope does not indicate new cooling equipment.</t>
  </si>
  <si>
    <t>Existing / N/A</t>
  </si>
  <si>
    <t>Field verify existing environmental conditions only if existing service point/equipment is accessed.</t>
  </si>
  <si>
    <t>Labeling Verify</t>
  </si>
  <si>
    <t>No electrical drawing package for Building 12; no new panel/UPS/PDU/rack receptacle scope shown.</t>
  </si>
  <si>
    <t>Confirm whether any existing equipment is touched. Scope appears limited to fiber pull-through and testing/labeling.</t>
  </si>
  <si>
    <t>Building 12 receives fiber only. Verify pull-through path on basement/first/second telecom plans, redundant Path A/B fiber, pathway capacity, grounding/bonding where applicable, labeling and testing.</t>
  </si>
  <si>
    <t>Existing / none new</t>
  </si>
  <si>
    <t>12T-604 shows rack number 00/room 00 and notes fiber-only with no mounting type; verify existing service/termination point and whether fiber passes through only.</t>
  </si>
  <si>
    <t>No new TR door or PACS/CCTV package shown for Building 12; verify security access only for work areas and existing equipment rooms.</t>
  </si>
  <si>
    <t>Confirm access requirements to existing closet/demarc while protecting active operations.</t>
  </si>
  <si>
    <t>B12-R1</t>
  </si>
  <si>
    <t>Fiber-only scope could be mistaken for full TR scope or skipped as minor work</t>
  </si>
  <si>
    <t>Clearly tag Building 12 as fiber-only and verify required fiber path, testing, labels and acceptance deliverables</t>
  </si>
  <si>
    <t>GCC / OIT / GC</t>
  </si>
  <si>
    <t>Cover sheet note says this building is to receive fiber only.</t>
  </si>
  <si>
    <t>B12-R2</t>
  </si>
  <si>
    <t>Existing pull-through pathway not field verified</t>
  </si>
  <si>
    <t>Trace basement/first/second level pathway, conduit/cable tray capacity, pull points and access before scheduled pull</t>
  </si>
  <si>
    <t>Telecom Contractor</t>
  </si>
  <si>
    <t>12T-100/101 plan sheets and 12T-604 identify fiber-only B/1/2 scope.</t>
  </si>
  <si>
    <t>B12-R3</t>
  </si>
  <si>
    <t>Existing service continuity during fiber pull/cutover may not be defined</t>
  </si>
  <si>
    <t>Coordinate with VA OIT, submit phasing/cutover plan, and maintain legacy service until new fiber is tested and accepted</t>
  </si>
  <si>
    <t>All telecom cabling must be tested, approved and accepted before active connection.</t>
  </si>
  <si>
    <t>B12-R4</t>
  </si>
  <si>
    <t>Pathway penetrations/firestopping may be overlooked because there is no architectural/FP package</t>
  </si>
  <si>
    <t>Inspect all new/reused penetrations and require permanent or temporary firestopping at end of shift</t>
  </si>
  <si>
    <t>General notes still require firestopping for floor/rated wall penetrations.</t>
  </si>
  <si>
    <t>B12-R5</t>
  </si>
  <si>
    <t>Existing termination/demarc location and ownership unclear</t>
  </si>
  <si>
    <t>Field document existing rack/demarc/serving closet and confirm where new fiber terminates or passes through</t>
  </si>
  <si>
    <t>GCC / OIT</t>
  </si>
  <si>
    <t>12T-604 shows room/rack as 00; actual field condition must be documented.</t>
  </si>
  <si>
    <t>B12-R6</t>
  </si>
  <si>
    <t>Test reports, labels and as-builts may be incomplete for fiber-only work</t>
  </si>
  <si>
    <t>Track fiber OTDR/certification, labeling, route documentation and VA/OIT acceptance before closeout</t>
  </si>
  <si>
    <t>Telecom / GCC</t>
  </si>
  <si>
    <t>Fiber-only work still requires record drawings and acceptance.</t>
  </si>
  <si>
    <t>B12-Q1</t>
  </si>
  <si>
    <t>Confirm Building 12 scope is fiber-only with no new TR, no new rack, no new electrical, HVAC, fire protection, PACS or CCTV work?</t>
  </si>
  <si>
    <t>Scope misunderstanding</t>
  </si>
  <si>
    <t>B12-Q2</t>
  </si>
  <si>
    <t>What exact pathway does the Building 12 fiber take through basement, first and second levels?</t>
  </si>
  <si>
    <t>Telecom Contractor / OIT</t>
  </si>
  <si>
    <t>Fiber pull and access risk</t>
  </si>
  <si>
    <t>B12-Q3</t>
  </si>
  <si>
    <t>Where does the Building 12 fiber terminate, and is the existing rack/demarc/closet to be touched?</t>
  </si>
  <si>
    <t>Termination and ownership unclear</t>
  </si>
  <si>
    <t>B12-Q4</t>
  </si>
  <si>
    <t>Are existing conduits/cable trays available and below fill limits for the new fiber?</t>
  </si>
  <si>
    <t>Pathway capacity risk</t>
  </si>
  <si>
    <t>B12-Q5</t>
  </si>
  <si>
    <t>Are there any floor/rated wall penetrations requiring firestop or temporary firestop during cable pull?</t>
  </si>
  <si>
    <t>Life safety/firestop risk</t>
  </si>
  <si>
    <t>B12-Q6</t>
  </si>
  <si>
    <t>What is the approved cutover/testing/acceptance sequence for Building 12 fiber?</t>
  </si>
  <si>
    <t>OIT / COR / Contractor</t>
  </si>
  <si>
    <t>Possible outage or acceptance delay</t>
  </si>
  <si>
    <t>B12-Q7</t>
  </si>
  <si>
    <t>Which fiber test reports, labels, route documentation and as-builts are required for closeout?</t>
  </si>
  <si>
    <t>Closeout documentation gap</t>
  </si>
  <si>
    <t>B12-P001</t>
  </si>
  <si>
    <t>Existing conduit/cable tray/pathway from entry through basement/first/second levels</t>
  </si>
  <si>
    <t>B12-P002</t>
  </si>
  <si>
    <t>Existing rack, demarc, serving closet or fiber termination/pass-through point</t>
  </si>
  <si>
    <t>B12-P003</t>
  </si>
  <si>
    <t>All floor/wall/sleeve penetrations before pull, during work, and after permanent firestop</t>
  </si>
  <si>
    <t>B12-P004</t>
  </si>
  <si>
    <t>Fiber reels, pull route, pull boxes, labels, slack loops, termination points and test records</t>
  </si>
  <si>
    <t>B12-R3/B12-R6</t>
  </si>
  <si>
    <t>B12-P005</t>
  </si>
  <si>
    <t>Fiber certification/OTDR screenshots, labeling, as-built route and VA/OIT acceptance evidence</t>
  </si>
  <si>
    <t>Fiber-only pathway and cutover must be field verified.</t>
  </si>
  <si>
    <t>Existing service point/termination requires field confirmation.</t>
  </si>
  <si>
    <t>20-sheet Building 12 IFC package includes general notes and telecommunications only: plans for basement/first and second levels, details, riser diagrams, existing/new fiber riser diagrams, rack elevations and telecom cutsheets.</t>
  </si>
  <si>
    <t>Scope Basis</t>
  </si>
  <si>
    <t>Cover sheet general note 4 states: This building is to receive fiber only. There are no architectural enlarged views, mechanical, electrical, fire protection or hazardous packages listed for B12 beyond general notes and telecom sheets.</t>
  </si>
  <si>
    <t>Rack / Room Basis</t>
  </si>
  <si>
    <t>12T-604 indicates Building 12, rack 00, room 00, building level B/1/2, existing rack elevation/fiber only, and mounting type NONE/FIBER ONLY. It also states this building is pull-through fiber only.</t>
  </si>
  <si>
    <t>12T-100 and 12T-101 cover telecom plans for basement/first and second levels; 12T-601/602/603A/603B cover riser and fiber riser diagrams. Verify route and termination in field.</t>
  </si>
  <si>
    <t>General notes still require conduit reuse where possible, 10% allowance where applicable, coordination with VA COR/A/E for deviations, testing/labeling, owner acceptance, commissioning/closeout as applicable, and shutdowns limited one at a time.</t>
  </si>
  <si>
    <t>BUILDING 13 │ EHRM ASSESSMENT │ PMIS DASHBOARD FEED</t>
  </si>
  <si>
    <t>518-22-700 IFC Building 13</t>
  </si>
  <si>
    <t>124, existing 222 / Telecom Room Assessment</t>
  </si>
  <si>
    <t>Building 13 includes new first-level Telecom Room 124 and existing second-level Tel Room 222; field verification, active service cutover, 240V UPS/PDU power, dedicated cooling, first-level hazardous material coordination, firestopping, and PACS/CCTV integration remain open.</t>
  </si>
  <si>
    <t>Field verify Room 124 and existing Tel Room 222; confirm active services, rack/equipment transfer, B13-TR124AA/AB panel sources, IU/CU-1-01 cooling, fire alarm/sprinkler impacts, FEC location, PACS/CCTV scope, first-level hazardous/abatement impacts, and telecom cutover sequence.</t>
  </si>
  <si>
    <t>Telecom Room / new TR build area</t>
  </si>
  <si>
    <t>13A-401 / 13E-401 / 13T-100 / 13T-701</t>
  </si>
  <si>
    <t>Primary Building 13 TR. Plans identify Telecom Room 124 at 119 SF, served by Rack ID TR01-124-1, panels B13-TR124AA/AB, 240V UPS/PDU rack power, IU-1-01/CU-1-01 cooling, and a future rack allowance.</t>
  </si>
  <si>
    <t>222</t>
  </si>
  <si>
    <t>Existing Tel Room / existing rack and patching area</t>
  </si>
  <si>
    <t>13T-100 / 13R-900</t>
  </si>
  <si>
    <t>Existing second-level Tel Room 222 shown with existing telco patch, plywood backboard, indoor AC unit, wall-mounted rack, patch panel, and security cabinet. Protect active services and verify what is transferred to Room 124.</t>
  </si>
  <si>
    <t>First-level TR; verify 1-hour fire/smoke-rated enclosure, open-to-deck conditions, door hardware/access control, static-control floor sealer, rack clearances, wall backing, and pathway entry points.</t>
  </si>
  <si>
    <t>Existing second-floor tel room; verify existing equipment status, pathway, AC unit, backboard, and transition/abandonment scope.</t>
  </si>
  <si>
    <t>Fully sprinklered building; confirm sprinkler/fire alarm modifications, clean-agent 2A:10B:C extinguisher within 75 ft, rated wall/ceiling penetrations, and temporary firestopping during cable pulls.</t>
  </si>
  <si>
    <t>Existing tel room; verify fire alarm/sprinkler protection-in-place and seal any removed/reused penetration after cutover.</t>
  </si>
  <si>
    <t>Mechanical/electrical drawings show IU-1-01 in Telecom Room 124 and CU-1-01 outdoor unit. Confirm capacity, emergency/standby source, BACnet adapter, thermostat/control point, condensate path, disconnects, and high-temperature alarm.</t>
  </si>
  <si>
    <t>Existing indoor AC unit</t>
  </si>
  <si>
    <t>Existing Tel Room 222 photo/reference notes show existing indoor AC unit; verify whether it remains active, is abandoned, or needs protection during cutover.</t>
  </si>
  <si>
    <t>5 kW / 240V rack UPS</t>
  </si>
  <si>
    <t>B13-TR124AA / B13-TR124AB</t>
  </si>
  <si>
    <t>Electrical enlarged plans and schedules identify B13-TR124AA/AB, 240V 1-phase UPS circuits, normal/emergency rack power, rack receptacles, TR receptacles, access/security devices, lighting, CU-1-01, and SPD requirements.</t>
  </si>
  <si>
    <t>Existing rack/equipment area; verify power source, active equipment, UPS status, and transition requirements before disconnect or removal.</t>
  </si>
  <si>
    <t>13T-701 identifies Room 124 schedule: 58 WAO total, 65 active ports per survey, 91 total ports per schedule, and 100 total ports with 10% allowance. New Rack ID TR01-124-1 serves first and second level outlets with Fiber Path A/B.</t>
  </si>
  <si>
    <t>Existing Room 222 equipment includes wall-mounted rack, telco patch, plywood backboard, patch panel, security cabinet, and existing AC; verify active services and transfer plan to Room 124.</t>
  </si>
  <si>
    <t>Electrical enlarged plan shows security/access-control device callouts at Room 124 and 124-CAM-01 camera designation; verify CR/RX/DC/ES/MD devices, controller, camera/VMS integration, and door hardware coordination.</t>
  </si>
  <si>
    <t>Existing security cabinet shown in Tel Room 222; verify whether security equipment remains, is relocated, or requires temporary protection during cutover.</t>
  </si>
  <si>
    <t>B13-R1</t>
  </si>
  <si>
    <t>Existing conditions for Room 124 and existing Tel Room 222 not field verified</t>
  </si>
  <si>
    <t>B13 includes new TR plus existing second-level tel transition point.</t>
  </si>
  <si>
    <t>B13-R2</t>
  </si>
  <si>
    <t>First-level hazardous material abatement plan exists</t>
  </si>
  <si>
    <t>Coordinate IH/abatement review before wall, floor, ceiling, conduit, or penetration work</t>
  </si>
  <si>
    <t>Drawing index includes 13H-101 hazardous material abatement plan - first level.</t>
  </si>
  <si>
    <t>B13-R3</t>
  </si>
  <si>
    <t>Existing Tel Room 222 equipment may remain active during cutover</t>
  </si>
  <si>
    <t>Document active services, protect in place, identify owner/OIT cutover windows, and preserve rollback path</t>
  </si>
  <si>
    <t>Existing rack/backboard/security/patch equipment shown.</t>
  </si>
  <si>
    <t>B13-R4</t>
  </si>
  <si>
    <t>Confirm IU-1-01/CU-1-01 power source, condensate route, controls, BACnet adapter, thermostat and high-temp alarm</t>
  </si>
  <si>
    <t>B13-R5</t>
  </si>
  <si>
    <t>240V UPS/PDU and panel source coordination could delay energization</t>
  </si>
  <si>
    <t>Verify B13-TR124AA/AB schedules, breakers, receptacles, SPD, labels, load measurement, normal/emergency source and LOTO needs</t>
  </si>
  <si>
    <t>Panel and circuit references are concentrated at Room 124.</t>
  </si>
  <si>
    <t>B13-R6</t>
  </si>
  <si>
    <t>Rated wall/door/firestop scope may affect life-safety acceptance</t>
  </si>
  <si>
    <t>Inspect 1-hour wall/smoke barrier conditions, rated door/frame, penetrations, FEC location, temporary firestopping and final UL systems</t>
  </si>
  <si>
    <t>New TRs must be 1-hour fire/smoke rated.</t>
  </si>
  <si>
    <t>B13-R7</t>
  </si>
  <si>
    <t>Telecom/fiber cutover could affect active hospital communications across first and second levels</t>
  </si>
  <si>
    <t>13T-701 shows Room 124 serving large port count and Level 2 outlets.</t>
  </si>
  <si>
    <t>B13-R8</t>
  </si>
  <si>
    <t>Track commissioning, inspections, fire alarm/sprinkler acceptance, power verification, cabling test records, labels and as-builts</t>
  </si>
  <si>
    <t>B13-Q1</t>
  </si>
  <si>
    <t>Confirm final telecom scope: new Room 124 and existing Tel Room 222 transition only?</t>
  </si>
  <si>
    <t>B13-Q2</t>
  </si>
  <si>
    <t>What active services are currently fed from existing Tel Room 222 equipment?</t>
  </si>
  <si>
    <t>B13-Q3</t>
  </si>
  <si>
    <t>What hazardous/abatement steps apply to first-level Room 124 work?</t>
  </si>
  <si>
    <t>B13-Q4</t>
  </si>
  <si>
    <t>Is IU-1-01/CU-1-01 on emergency/backup power and dedicated to Room 124?</t>
  </si>
  <si>
    <t>B13-Q5</t>
  </si>
  <si>
    <t>Where is the clean-agent/CO2 extinguisher cabinet located within 75 ft of Room 124?</t>
  </si>
  <si>
    <t>B13-Q6</t>
  </si>
  <si>
    <t>Are B13-TR124AA/AB sources, rack receptacles, SPDs, circuit labels and load measurements approved?</t>
  </si>
  <si>
    <t>B13-Q7</t>
  </si>
  <si>
    <t>B13-Q8</t>
  </si>
  <si>
    <t>B13-P001</t>
  </si>
  <si>
    <t>Room 124 walls, ceiling/deck, floor, door, adjacent Telehealth 124A/109, rack location, pathways and penetrations</t>
  </si>
  <si>
    <t>B13-R1/B13-R6</t>
  </si>
  <si>
    <t>B13-P002</t>
  </si>
  <si>
    <t>Existing Tel Room 222 wall rack, telco patch, plywood backboard, AC unit, patch panel and security cabinet</t>
  </si>
  <si>
    <t>B13-R1/B13-R3</t>
  </si>
  <si>
    <t>B13-P003</t>
  </si>
  <si>
    <t>First-level abatement-related materials, flooring, walls, ceiling/penetrations, and disturbance areas</t>
  </si>
  <si>
    <t>B13-P004</t>
  </si>
  <si>
    <t>B13-P005</t>
  </si>
  <si>
    <t>B13-P006</t>
  </si>
  <si>
    <t>B13-TR124AA/AB panels, rack receptacles, breakers, SPD, access controller, lighting and labels</t>
  </si>
  <si>
    <t>B13-P007</t>
  </si>
  <si>
    <t>124/222</t>
  </si>
  <si>
    <t>New racks, fiber path A/B, Cat6A, patch panels, LIU, labels/test records and existing Room 222 transfer work</t>
  </si>
  <si>
    <t>B13-P008</t>
  </si>
  <si>
    <t>124-CAM-01, card reader, electric strike, door position, motion sensor, existing security cabinet and VMS/PACS integration</t>
  </si>
  <si>
    <t>New first-level TR with two racks, future rack, 240V UPS, cooling, access control and fire/life-safety coordination.</t>
  </si>
  <si>
    <t>Existing second-level tel room and transition point; protect active services until cutover complete.</t>
  </si>
  <si>
    <t>46-sheet Building 13 IFC package includes general, first-level hazardous material abatement, architectural, interiors, fire protection, mechanical, electrical, telecommunications, schedules/rack elevations, and photo references.</t>
  </si>
  <si>
    <t>13H-101 identifies first-level hazardous material abatement plan. 13A-401 identifies first-level architectural enlarged views for Telecom Room 124 and associated room/rated construction coordination.</t>
  </si>
  <si>
    <t>13T-100 identifies Telecom Room 124 at 119 SF and existing second-level Tel Room 222; 13T-701 identifies Rack ID TR01-124-1, 58 WAO total, 65 active ports per survey, 91 ports per schedule, and 100 total ports with 10% allowance.</t>
  </si>
  <si>
    <t>13M-101/701 identify dedicated split-system cooling for Telecom Room 124 using IU-1-01 and CU-1-01 with BACnet adapter/control coordination; verify emergency power, condensate and alarms in field.</t>
  </si>
  <si>
    <t>13E-401/701 identify B13-TR124AA and B13-TR124AB panel/circuit references, 240V rack UPS requirements, normal/emergency rack power, CU-1-01, access/security devices, lighting, SPD and load measurement requirements.</t>
  </si>
  <si>
    <t>BUILDING 14 │ EHRM ASSESSMENT │ PMIS DASHBOARD FEED</t>
  </si>
  <si>
    <t>518-22-700 IFC Building 14</t>
  </si>
  <si>
    <t>119, existing B.01/B2 / Telecom Room Assessment</t>
  </si>
  <si>
    <t>Building 14 includes new first-level Telecom Room 119 and existing basement telecom rooms B.01/B2; field verification, active service cutover, 240V UPS/PDU power, dedicated cooling, first-level hazardous material coordination, firestopping, and PACS/CCTV integration remain open.</t>
  </si>
  <si>
    <t>Field verify Room 119 and existing basement Tel/F Panel B.01/B2; confirm active services, rack/equipment transfer, B14-TR119A/B panel sources, IU/CU-1-01 cooling, fire alarm/sprinkler impacts, FEC location, PACS/CCTV scope, first-level hazardous/abatement impacts, and telecom cutover sequence.</t>
  </si>
  <si>
    <t>14A-401 / 14E-100 / 14T-100 / 14T-604 / 14T-701</t>
  </si>
  <si>
    <t>Primary Building 14 TR. Plans identify Telecom Room 119 at 124 SF, served by Rack ID TR01-119-1, panels B14-TR119A/B, 240V UPS/PDU rack power, IU-1-01/CU-1-01 cooling, 56 feet of first-level cable tray, and a future rack allowance.</t>
  </si>
  <si>
    <t>B.01</t>
  </si>
  <si>
    <t>Existing Tel/F Panel room / telecom equipment area</t>
  </si>
  <si>
    <t>14T-100 / 14T-604 / 14R-900</t>
  </si>
  <si>
    <t>Existing basement Tel/F Panel B.01 shown at 165 SF with existing wall-mounted TE, patch panels, telco patch, plywood backboards, and legacy fiber/equipment. Protect active services and verify what transfers to Room 119.</t>
  </si>
  <si>
    <t>B2</t>
  </si>
  <si>
    <t>Existing telecom room reference</t>
  </si>
  <si>
    <t>14R-900</t>
  </si>
  <si>
    <t>Photo reference sheet identifies basement existing telecom room B2. Field verify whether B2 is same/related to B.01 or separate legacy telecom space.</t>
  </si>
  <si>
    <t>First-level TR; verify 1-hour fire/smoke-rated enclosure, open-to-deck conditions, door hardware/access control, static-control floor sealer, rack/future rack clearances, wall backing, and pathway entry points.</t>
  </si>
  <si>
    <t>Existing basement telecom room; verify active equipment status, pathway, backboards, wall-mounted TE, and transition/abandonment scope.</t>
  </si>
  <si>
    <t>Existing basement telecom room photo reference; verify whether active services/equipment remain and confirm relationship to B.01.</t>
  </si>
  <si>
    <t>Existing basement tel room; verify fire alarm/sprinkler protection-in-place and seal any removed/reused penetration after cutover.</t>
  </si>
  <si>
    <t>Existing basement telecom room; verify no unsealed penetrations remain after cable transfer or reuse.</t>
  </si>
  <si>
    <t>Mechanical/electrical drawings show IU-1-01 in Telecom Room 119 and CU-1-01 outdoor unit. Confirm capacity, emergency/standby source, BACnet adapter, thermostat/control point, condensate path, disconnects, and high-temperature alarm.</t>
  </si>
  <si>
    <t>Existing Tel/F Panel room; verify existing environmental conditions during cutover and whether legacy equipment remains active.</t>
  </si>
  <si>
    <t>Existing telecom room reference; field verify cooling/ventilation and active equipment condition.</t>
  </si>
  <si>
    <t>B14-TR119A / B14-TR119B</t>
  </si>
  <si>
    <t>Electrical plan/schedules identify B14-TR119A/B, 240V rack UPS requirements, normal/emergency rack power, rack receptacles, TR receptacles, lighting, CU-1-01, SPD requirements, and panel load measurement requirements.</t>
  </si>
  <si>
    <t>Existing basement wall-mounted TE/equipment area; verify power source, active equipment, UPS/PDU status, and transition requirements before disconnect or removal.</t>
  </si>
  <si>
    <t>Existing telecom room photo reference; confirm power sources and any cutover requirements.</t>
  </si>
  <si>
    <t>14T-701 identifies Room 119 schedule: 44 WAO total, 29 active ports per survey, 76 total ports per schedule, and 84 total ports with 10% allowance. New Rack ID TR01-119-1 serves first and second level outlets with Fiber Path A/B.</t>
  </si>
  <si>
    <t>Existing Room B.01 equipment includes wall-mounted TE, Cisco switch/legacy patch panel, telco patch, plywood backboards, and legacy Fiber LIU; verify active services and transfer plan to Room 119.</t>
  </si>
  <si>
    <t>Existing basement telecom room B2 is identified by photo reference; verify active devices, routing, and relation to B.01.</t>
  </si>
  <si>
    <t>Telecom/electrical plans show 119-CAM-01 and security/access-control scope for Room 119; verify CR/RX/DC/ES/MD devices, controller, camera/VMS integration, and door hardware coordination.</t>
  </si>
  <si>
    <t>Verify whether existing security equipment remains, is relocated, or requires temporary protection during cutover.</t>
  </si>
  <si>
    <t>Verify security/access conditions and whether any legacy security equipment is present.</t>
  </si>
  <si>
    <t>B14-R1</t>
  </si>
  <si>
    <t>Existing conditions for Room 119 and existing basement telecom rooms B.01/B2 not field verified</t>
  </si>
  <si>
    <t>B14 includes new TR plus existing basement telecom transition points.</t>
  </si>
  <si>
    <t>B14-R2</t>
  </si>
  <si>
    <t>Drawing index includes 14H-101 hazardous material abatement plan - first level; page 6 notes lead-based paint abatement in room/restroom context.</t>
  </si>
  <si>
    <t>B14-R3</t>
  </si>
  <si>
    <t>B.01/B2</t>
  </si>
  <si>
    <t>Existing basement telecom equipment may remain active during cutover</t>
  </si>
  <si>
    <t>Existing wall-mounted TE, patch panels, telco patch and legacy Fiber LIU shown.</t>
  </si>
  <si>
    <t>B14-R4</t>
  </si>
  <si>
    <t>B14-R5</t>
  </si>
  <si>
    <t>Verify B14-TR119A/B schedules, breakers, receptacles, SPD, labels, load measurement, normal/emergency source and LOTO needs</t>
  </si>
  <si>
    <t>Panel and circuit references are concentrated at Room 119.</t>
  </si>
  <si>
    <t>B14-R6</t>
  </si>
  <si>
    <t>B14-R7</t>
  </si>
  <si>
    <t>Telecom/fiber cutover could affect active hospital communications across basement, first and second levels</t>
  </si>
  <si>
    <t>14T-701 shows Room 119 serving Level 1 and Level 2 outlets with 84 total ports including allowance.</t>
  </si>
  <si>
    <t>B14-R8</t>
  </si>
  <si>
    <t>B14-Q1</t>
  </si>
  <si>
    <t>Confirm final telecom scope: new Room 119 and existing basement B.01/B2 transition only?</t>
  </si>
  <si>
    <t>B14-Q2</t>
  </si>
  <si>
    <t>What active services are currently fed from existing B.01/B2 equipment?</t>
  </si>
  <si>
    <t>B14-Q3</t>
  </si>
  <si>
    <t>What hazardous/abatement steps apply to first-level Room 119 work?</t>
  </si>
  <si>
    <t>B14-Q4</t>
  </si>
  <si>
    <t>Is IU-1-01/CU-1-01 on emergency/backup power and dedicated to Room 119?</t>
  </si>
  <si>
    <t>B14-Q5</t>
  </si>
  <si>
    <t>Where is the clean-agent/CO2 extinguisher cabinet located within 75 ft of Room 119?</t>
  </si>
  <si>
    <t>B14-Q6</t>
  </si>
  <si>
    <t>Are B14-TR119A/B sources, rack receptacles, SPDs, circuit labels and load measurements approved?</t>
  </si>
  <si>
    <t>B14-Q7</t>
  </si>
  <si>
    <t>B14-Q8</t>
  </si>
  <si>
    <t>B14-P001</t>
  </si>
  <si>
    <t>Room 119 walls, ceiling/deck, floor, door, adjacent conference/restroom/office spaces, rack location, pathways and penetrations</t>
  </si>
  <si>
    <t>B14-R1/B14-R6</t>
  </si>
  <si>
    <t>B14-P002</t>
  </si>
  <si>
    <t>Existing basement Tel/F Panel B.01, wall-mounted TE, patch panels, telco patch, plywood backboards, legacy Fiber LIU and pathways</t>
  </si>
  <si>
    <t>B14-R1/B14-R3</t>
  </si>
  <si>
    <t>B14-P003</t>
  </si>
  <si>
    <t>Existing basement telecom room B2 photo reference, equipment, pathways, power and protection-in-place needs</t>
  </si>
  <si>
    <t>B14-P004</t>
  </si>
  <si>
    <t>B14-P005</t>
  </si>
  <si>
    <t>B14-P006</t>
  </si>
  <si>
    <t>B14-P007</t>
  </si>
  <si>
    <t>B14-TR119A/B panels, rack receptacles, breakers, SPD, access controller, lighting, CU-1-01 and labels</t>
  </si>
  <si>
    <t>B14-P008</t>
  </si>
  <si>
    <t>119/B.01</t>
  </si>
  <si>
    <t>New rack/future rack, fiber path A/B, Cat6A, patch panels, LIU, labels/test records, 119-CAM-01 and existing B.01/B2 transfer work</t>
  </si>
  <si>
    <t>B14-R7/B14-R8</t>
  </si>
  <si>
    <t>New first-level TR with one rack plus future rack, 240V UPS, cooling, access control, cable tray and fire/life-safety coordination.</t>
  </si>
  <si>
    <t>Existing basement tel/fiber panel room and transition point; protect active services until cutover complete.</t>
  </si>
  <si>
    <t>Existing basement telecom room reference; field verify scope and active status.</t>
  </si>
  <si>
    <t>46-sheet Building 14 IFC package includes general, first-level hazardous material abatement, architectural, interiors, fire protection, mechanical, electrical, telecommunications, rack elevations, telecom schedules, and photo references.</t>
  </si>
  <si>
    <t>14H-101 identifies first-level hazardous material abatement plan. 14A-401 identifies first-level architectural enlarged views for Telecom Room 119 and associated rated construction coordination.</t>
  </si>
  <si>
    <t>14T-100 identifies Telecom Room 119 at 124 SF and existing basement Tel/F Panel B.01 at 165 SF; 14T-604 identifies B.01 existing wall/wall-mount TE and Room 119 new rack plus future rack; 14T-701 identifies 44 WAO total, 29 active ports, 76 ports per schedule and 84 ports with 10% allowance.</t>
  </si>
  <si>
    <t>14M-101/701 identify dedicated split-system cooling for Telecom Room 119 using IU-1-01 and CU-1-01 with BACnet adapter/control coordination; verify emergency power, condensate and alarms in field.</t>
  </si>
  <si>
    <t>14E-100/601/701 identify B14-TR119A and B14-TR119B panel/circuit references, 240V rack UPS requirements, normal/emergency rack power, CU-1-01, lighting, SPD and load measurement requirements.</t>
  </si>
  <si>
    <t>BUILDING 15 │ EHRM ASSESSMENT │ PMIS DASHBOARD FEED</t>
  </si>
  <si>
    <t>518-22-700 IFC Building 15</t>
  </si>
  <si>
    <t>124A / existing 222 and B01 / Telecom Room Assessment</t>
  </si>
  <si>
    <t>Building 15 includes new first-level Telecom Room 124A and existing telecom transition points at second-level Tel Room 222 and basement B01; field verification, active service cutover, 240V UPS/PDU power, dedicated heat-pump cooling, first-level hazardous material coordination, firestopping, and PACS/CCTV integration remain open.</t>
  </si>
  <si>
    <t>Field verify Room 124A, existing Tel Room 222 and basement B01; confirm active services, rack/equipment transfer, B15-TR124AA/AB panel sources, IU/CU-1-01 cooling, fire alarm/sprinkler impacts, FEC location, PACS/CCTV scope, first-level hazardous/abatement impacts, and telecom cutover sequence.</t>
  </si>
  <si>
    <t>124A</t>
  </si>
  <si>
    <t>Office/room converted to Telecom Room</t>
  </si>
  <si>
    <t>15A-401 / 15E-401 / 15T-100 / 15T-604 / 15T-701</t>
  </si>
  <si>
    <t>Primary Building 15 TR. Plans identify Telecom Room 124A at 121 SF, served by Rack ID TR15-109A-01, panels B15-TR124AA/AB, 240V UPS/PDU rack power, IU-1-01/CU-1-01 cooling, and a future rack allowance.</t>
  </si>
  <si>
    <t>Existing Tel Room / wall-mounted rack and support equipment</t>
  </si>
  <si>
    <t>15T-100 / 15T-604 / 15R-900</t>
  </si>
  <si>
    <t>Existing second-level Tel Room 222 shown at 65 SF with existing/remain indoor AC unit, security cabinet, ground bar, plywood backboard, wall-mounted rack, existing Cisco switches, legacy patch panels, and floor UPS; protect active services and verify transfer to Room 124A.</t>
  </si>
  <si>
    <t>Existing telecom/crossover area</t>
  </si>
  <si>
    <t>15T-604 / 15R-900</t>
  </si>
  <si>
    <t>Rack elevations identify existing B-01 crossover wall/wall-mount TE with legacy 24-port patch panel. Photo reference identifies basement existing telecom room B01.</t>
  </si>
  <si>
    <t>Existing second-level tel room; verify active equipment status, pathway, indoor AC unit, ground bar, backboard, wall rack, UPS, and transition/abandonment scope.</t>
  </si>
  <si>
    <t>Existing basement telecom/crossover room; verify active equipment status, pathway, legacy 24-port patch panel, power, and relationship to Room 222/124A transfer.</t>
  </si>
  <si>
    <t>Existing basement telecom/crossover room; verify no unsealed penetrations remain after cable transfer or reuse.</t>
  </si>
  <si>
    <t>Mechanical/electrical drawings show IU-1-01 in Telecom Room 124A and CU-1-01 outdoor heat-pump/A/C unit. Confirm capacity, emergency/standby source, BACnet adapter, thermostat/control point, condensate path, disconnects, and high-temperature alarm.</t>
  </si>
  <si>
    <t>Existing/remain indoor AC unit</t>
  </si>
  <si>
    <t>Existing Tel Room 222 is shown with existing/remain indoor AC unit; verify whether it remains active, is abandoned, or needs protection during cutover.</t>
  </si>
  <si>
    <t>Existing basement telecom/crossover space; verify environmental conditions and whether active equipment remains during cutover.</t>
  </si>
  <si>
    <t>B15-TR124AA / B15-TR124AB</t>
  </si>
  <si>
    <t>Electrical enlarged plans and schedules identify B15-TR124AA/AB, 240V rack UPS requirements, normal/emergency rack power, rack receptacles, TR receptacles, lighting, CU-1-01, SPD requirements, and 30-day load measurement requirements.</t>
  </si>
  <si>
    <t>Existing rack/equipment area; verify power source, active equipment, APC floor UPS status, and transition requirements before disconnect or removal.</t>
  </si>
  <si>
    <t>Existing B-01 crossover; verify power sources and cutover needs for legacy patch panel/crossover.</t>
  </si>
  <si>
    <t>15T-701 identifies Room 109A schedule but field plan/electrical room callouts identify Telecom Room 124A; schedule has 62 WAO total, 76 active ports per survey, 101 total ports per schedule, and 111 total ports with 10% allowance. New Rack ID TR15-109A-01 serves basement, first and second level outlets.</t>
  </si>
  <si>
    <t>Existing Room 222 equipment includes wall/wall-mounted TE, Cisco switches, legacy 48-port patch panels, ground bar, plywood backboard, security cabinet, and floor UPS; verify active services and transfer plan to Room 124A.</t>
  </si>
  <si>
    <t>Existing B-01 crossover includes legacy 24-port patch panel; verify active devices, routing, and relation to Room 222 and Room 124A.</t>
  </si>
  <si>
    <t>Telecom/electrical plans show 124A-CAM-1 and security/access-control scope for Room 124A; verify CR/RX/DC/ES/MD devices, controller, camera/VMS integration, and door hardware coordination.</t>
  </si>
  <si>
    <t>B15-R1</t>
  </si>
  <si>
    <t>Existing conditions for Room 124A and existing telecom rooms 222/B01 not field verified</t>
  </si>
  <si>
    <t>B15 includes new TR plus existing second-level and basement telecom transition points.</t>
  </si>
  <si>
    <t>B15-R2</t>
  </si>
  <si>
    <t>Drawing index includes 15H-101 hazardous material abatement plan - first level; page 6 notes lead-based paint abatement through entire room/door frames.</t>
  </si>
  <si>
    <t>B15-R3</t>
  </si>
  <si>
    <t>222/B01</t>
  </si>
  <si>
    <t>Existing telecom equipment may remain active during cutover</t>
  </si>
  <si>
    <t>Existing wall-mounted rack, Cisco switches, patch panels, security cabinet, ground bar and UPS shown.</t>
  </si>
  <si>
    <t>B15-R4</t>
  </si>
  <si>
    <t>B15-R5</t>
  </si>
  <si>
    <t>Verify B15-TR124AA/AB schedules, breakers, receptacles, SPD, labels, load measurement, normal/emergency source and LOTO needs</t>
  </si>
  <si>
    <t>Panel and circuit references are concentrated at Room 124A.</t>
  </si>
  <si>
    <t>B15-R6</t>
  </si>
  <si>
    <t>B15-R7</t>
  </si>
  <si>
    <t>15T-701 shows Room 124A/109A serving 111 total ports including allowance.</t>
  </si>
  <si>
    <t>B15-R8</t>
  </si>
  <si>
    <t>B15-Q1</t>
  </si>
  <si>
    <t>Confirm final telecom scope: new Room 124A and existing Rooms 222/B01 transition only?</t>
  </si>
  <si>
    <t>B15-Q2</t>
  </si>
  <si>
    <t>Why does 15T-701 reference RM 109A while plans and electrical schedules identify Telecom Room 124A?</t>
  </si>
  <si>
    <t>VA / Designer / OIT</t>
  </si>
  <si>
    <t>Room naming mismatch could affect PMIS tracking</t>
  </si>
  <si>
    <t>B15-Q3</t>
  </si>
  <si>
    <t>What active services are currently fed from existing Room 222 and B01 equipment?</t>
  </si>
  <si>
    <t>B15-Q4</t>
  </si>
  <si>
    <t>What hazardous/abatement steps apply to first-level Room 124A work?</t>
  </si>
  <si>
    <t>B15-Q5</t>
  </si>
  <si>
    <t>Is IU-1-01/CU-1-01 on emergency/backup power and dedicated to Room 124A?</t>
  </si>
  <si>
    <t>B15-Q6</t>
  </si>
  <si>
    <t>Where is the clean-agent/CO2 extinguisher cabinet located within 75 ft of Room 124A?</t>
  </si>
  <si>
    <t>B15-Q7</t>
  </si>
  <si>
    <t>Are B15-TR124AA/AB sources, rack receptacles, SPDs, circuit labels and load measurements approved?</t>
  </si>
  <si>
    <t>B15-Q8</t>
  </si>
  <si>
    <t>B15-P001</t>
  </si>
  <si>
    <t>Room 124A walls, ceiling/deck, floor, door, adjacent Office 124/Office 109/HAC 123, rack location, pathways and penetrations</t>
  </si>
  <si>
    <t>B15-R1/B15-R6</t>
  </si>
  <si>
    <t>B15-P002</t>
  </si>
  <si>
    <t>Existing Tel Room 222 wall rack, Cisco switches, legacy patch panels, indoor AC unit, security cabinet, ground bar, plywood backboard and floor UPS</t>
  </si>
  <si>
    <t>B15-R1/B15-R3</t>
  </si>
  <si>
    <t>B15-P003</t>
  </si>
  <si>
    <t>Existing basement telecom/crossover B01, legacy 24-port patch panel, pathway, power and protection-in-place needs</t>
  </si>
  <si>
    <t>B15-P004</t>
  </si>
  <si>
    <t>First-level abatement-related materials, lead-based paint/door frames, flooring, walls, ceiling/penetrations, and disturbance areas</t>
  </si>
  <si>
    <t>B15-P005</t>
  </si>
  <si>
    <t>B15-P006</t>
  </si>
  <si>
    <t>B15-P007</t>
  </si>
  <si>
    <t>B15-TR124AA/AB panels, rack receptacles, breakers, SPD, access controller, lighting, CU-1-01 and labels</t>
  </si>
  <si>
    <t>B15-P008</t>
  </si>
  <si>
    <t>124A/222/B01</t>
  </si>
  <si>
    <t>New rack/future rack, fiber path A/B, Cat6A, patch panels, LIU, labels/test records, 124A-CAM-1 and existing 222/B01 transfer work</t>
  </si>
  <si>
    <t>B15-R7/B15-R8</t>
  </si>
  <si>
    <t>New first-level TR with one rack plus future rack, 240V UPS, heat-pump cooling, access control, cable tray and fire/life-safety coordination.</t>
  </si>
  <si>
    <t>Existing basement telecom/crossover room; field verify scope and active status.</t>
  </si>
  <si>
    <t>518-22-700.Bedford.EHRM.IFC.B15.20260316(1).pdf</t>
  </si>
  <si>
    <t>47-sheet Building 15 IFC package includes general, first-level hazardous material abatement, architectural, interiors, fire protection, mechanical, electrical, telecommunications, rack elevations, telecom schedules, and photo references.</t>
  </si>
  <si>
    <t>15H-101 identifies first-level hazardous material abatement plan. 15A-401 identifies first-level architectural enlarged views for Telecom Room 124A and associated rated construction coordination.</t>
  </si>
  <si>
    <t>15T-100 identifies Telecom Room 124A at 121 SF and existing second-level Tel Room 222 at 65 SF; 15T-604 identifies Room 222 existing rack/equipment, B-01 crossover, and Room 109-A/124A new rack plus future rack; 15T-701 identifies 62 WAO total, 76 active ports, 101 ports per schedule and 111 ports with 10% allowance.</t>
  </si>
  <si>
    <t>15M-101/701 identify dedicated split-system heat-pump/A/C cooling for Telecom Room 124A using IU-1-01 and CU-1-01 with BACnet adapter/control coordination; verify emergency power, condensate and alarms in field.</t>
  </si>
  <si>
    <t>15E-401/701 identify B15-TR124AA and B15-TR124AB panel/circuit references, 240V rack UPS requirements, normal/emergency rack power, CU-1-01, lighting, SPD and load measurement requirements.</t>
  </si>
  <si>
    <t>BUILDING 16 │ EHRM ASSESSMENT │ PMIS DASHBOARD FEED</t>
  </si>
  <si>
    <t>518-22-700 IFC Building 16</t>
  </si>
  <si>
    <t>015 / existing 014 / Basement TR Assessment</t>
  </si>
  <si>
    <t>Building 16 includes new basement Telecom Room 015 and existing basement Telecom Room 014; field verification, active service transfer, 240V UPS/PDU power, dedicated cooling, panel replacement/source coordination, firestopping, PACS/CCTV integration, and cable tray coordination remain open.</t>
  </si>
  <si>
    <t>Field verify Room 015 and existing Room 014; confirm active services, rack/equipment transfer, B16-TR015A/B panel sources, IU/CU-1-01 cooling, fire alarm/sprinkler impacts, FEC location, PACS/CCTV scope, panel replacement/load measurement, and telecom cutover sequence.</t>
  </si>
  <si>
    <t>015</t>
  </si>
  <si>
    <t>Vacant / new telecom room build area</t>
  </si>
  <si>
    <t>16A-400 / 16E-100 / 16T-100 / 16T-604 / 16T-701</t>
  </si>
  <si>
    <t>Primary Building 16 TR. Plans identify Telecom Room 015 at 79 SF, served by Rack ID TR01-015-A-1, panels B16-TR015A/B, 240V UPS/PDU rack power, IU-1-01/CU-1-01 cooling, 96 feet total cable tray, and future rack allowance.</t>
  </si>
  <si>
    <t>014</t>
  </si>
  <si>
    <t>Existing telecom room / stair-adjacent legacy equipment area</t>
  </si>
  <si>
    <t>16T-100 / 16T-604 / 16R-900</t>
  </si>
  <si>
    <t>Existing basement Telecom Room 014 shown with wall-mounted rack, plywood backboard, patch panel, security cabinet, telco patch, existing floor-mounted UPS, Cisco switch, legacy 12-port modular patch panel and Fiber LIU/wall; protect active services and verify transfer to Room 015.</t>
  </si>
  <si>
    <t>Basement TR; verify 1-hour fire/smoke-rated enclosure, open-to-deck conditions, door hardware/access control, static-control floor sealer, rack/future rack clearances, wall backing, and pathway entry points.</t>
  </si>
  <si>
    <t>Existing basement telecom room; verify active equipment status, pathway, rack/UPS/backboard, security cabinet, and transition/abandonment scope.</t>
  </si>
  <si>
    <t>Fully sprinklered building; confirm sprinkler/fire alarm modifications, clean-agent 2A:10B:C extinguisher within 75 ft, rated wall/ceiling/floor penetrations, and temporary firestopping during cable pulls.</t>
  </si>
  <si>
    <t>Existing telecom room; verify fire alarm/sprinkler protection-in-place and seal any removed/reused penetration after cutover.</t>
  </si>
  <si>
    <t>Mechanical/electrical drawings show IU-1-01 in Telecom Room 015 and CU-1-01 outdoor unit. Confirm capacity, emergency/standby source, BACnet adapter, thermostat/control point, condensate path, disconnects, and high-temperature alarm.</t>
  </si>
  <si>
    <t>Existing Telecom Room 014; verify existing environmental conditions during cutover and whether legacy equipment remains active.</t>
  </si>
  <si>
    <t>B16-TR015A / B16-TR015B</t>
  </si>
  <si>
    <t>Electrical plans/schedules identify B16-TR015A/B, 240V rack UPS requirements, rack receptacles, TR receptacles, lighting, access controller, CU-1-01, SPD requirements, existing panel demolition/replacement, and 30-day load measurement requirements.</t>
  </si>
  <si>
    <t>16T-701 identifies Room 015-A schedule: 25 WAO total, 25 active ports per survey, 36 total ports per schedule, and 40 total ports with 10% allowance. New Rack ID TR01-015-A-1 serves basement, first, second and attic level outlets.</t>
  </si>
  <si>
    <t>Existing Room 014 equipment includes wall/TE rack, floor-mounted UPS, Cisco switch, legacy 12-port modular patch panel and Fiber LIU; verify active services and transfer plan to Room 015.</t>
  </si>
  <si>
    <t>Telecom/electrical plans show 015-CAM-1 and security/access-control scope for Room 015; verify CR/RX/DC/ES/MD devices, controller, camera/VMS integration, and door hardware coordination.</t>
  </si>
  <si>
    <t>Existing security cabinet shown in Room 014; verify whether security equipment remains, is relocated, or requires temporary protection during cutover.</t>
  </si>
  <si>
    <t>B16-R1</t>
  </si>
  <si>
    <t>Existing conditions for Room 015 and existing Telecom Room 014 not field verified</t>
  </si>
  <si>
    <t>B16 includes new basement TR plus existing basement telecom transition point.</t>
  </si>
  <si>
    <t>B16-R2</t>
  </si>
  <si>
    <t>Existing wall-mounted rack, Cisco switch, legacy patch panel, security cabinet and UPS shown.</t>
  </si>
  <si>
    <t>B16-R3</t>
  </si>
  <si>
    <t>Basement TR buildout may conflict with existing utilities, water heater/stair/storage conditions and pathway routing</t>
  </si>
  <si>
    <t>Survey adjacent Water Heater 010, Vacant 011/012/013, Stair 014, pathway/ductbank routing, and constructability constraints</t>
  </si>
  <si>
    <t>GC / GCC</t>
  </si>
  <si>
    <t>Room 015 is basement level and adjacent to existing utilities/rooms.</t>
  </si>
  <si>
    <t>B16-R4</t>
  </si>
  <si>
    <t>B16-R5</t>
  </si>
  <si>
    <t>Verify B16-TR015A/B schedules, breakers, receptacles, SPD, labels, load measurement, normal/emergency source and LOTO needs</t>
  </si>
  <si>
    <t>Panel schedule includes existing panel replacement/demolition and 30-day load measurement requirements.</t>
  </si>
  <si>
    <t>B16-R6</t>
  </si>
  <si>
    <t>B16-R7</t>
  </si>
  <si>
    <t>Telecom/fiber cutover could affect active hospital communications across basement, first, second and attic levels</t>
  </si>
  <si>
    <t>16T-701 shows Room 015 serving 40 total ports including allowance.</t>
  </si>
  <si>
    <t>B16-R8</t>
  </si>
  <si>
    <t>B16-Q1</t>
  </si>
  <si>
    <t>Confirm final telecom scope: new Room 015 and existing Room 014 transition only?</t>
  </si>
  <si>
    <t>B16-Q2</t>
  </si>
  <si>
    <t>What active services are currently fed from existing Room 014 equipment?</t>
  </si>
  <si>
    <t>B16-Q3</t>
  </si>
  <si>
    <t>Is IU-1-01/CU-1-01 on emergency/backup power and dedicated to Room 015?</t>
  </si>
  <si>
    <t>B16-Q4</t>
  </si>
  <si>
    <t>Where is the clean-agent/CO2 extinguisher cabinet located within 75 ft of Room 015?</t>
  </si>
  <si>
    <t>B16-Q5</t>
  </si>
  <si>
    <t>Are B16-TR015A/B sources, rack receptacles, SPDs, circuit labels and load measurements approved?</t>
  </si>
  <si>
    <t>B16-Q6</t>
  </si>
  <si>
    <t>Which existing panel/circuit breaker/feeder demolition and replacement affects Room 015 telecom power?</t>
  </si>
  <si>
    <t>Panel outage/cutover risk</t>
  </si>
  <si>
    <t>B16-Q7</t>
  </si>
  <si>
    <t>B16-Q8</t>
  </si>
  <si>
    <t>B16-P001</t>
  </si>
  <si>
    <t>Room 015 walls, ceiling/deck, floor, door, adjacent Vacant 011/012/013, Stair 014, Water Heater 010, rack location, pathways and penetrations</t>
  </si>
  <si>
    <t>B16-R1/B16-R3</t>
  </si>
  <si>
    <t>B16-P002</t>
  </si>
  <si>
    <t>Existing Telecom Room 014 wall rack/TE, Cisco switch, legacy 12-port patch panel, Fiber LIU, floor UPS, plywood backboard and security cabinet</t>
  </si>
  <si>
    <t>B16-R1/B16-R2</t>
  </si>
  <si>
    <t>B16-P003</t>
  </si>
  <si>
    <t>B16-P004</t>
  </si>
  <si>
    <t>B16-P005</t>
  </si>
  <si>
    <t>B16-TR015A/B panels, rack receptacles, breakers, SPD, access controller, lighting, CU-1-01 and labels</t>
  </si>
  <si>
    <t>B16-P006</t>
  </si>
  <si>
    <t>015/014</t>
  </si>
  <si>
    <t>New rack/future rack, fiber path A/B, Cat6A, patch panels, LIU, labels/test records and existing Room 014 transfer work</t>
  </si>
  <si>
    <t>B16-P007</t>
  </si>
  <si>
    <t>015-CAM-1, card reader, electric strike, door position, motion sensor, existing security cabinet and VMS/PACS integration</t>
  </si>
  <si>
    <t>B16-P008</t>
  </si>
  <si>
    <t>Cable Tray / Pathway</t>
  </si>
  <si>
    <t>Basement and first-level cable tray/pathway route, supports, fill, firestopping and seismic bracing</t>
  </si>
  <si>
    <t>B16-R3/B16-R7</t>
  </si>
  <si>
    <t>New basement TR with one rack plus future rack, 240V UPS, cooling, access control, cable tray and fire/life-safety coordination.</t>
  </si>
  <si>
    <t>Existing basement telecom room and transition point; protect active services until cutover complete.</t>
  </si>
  <si>
    <t>45-sheet Building 16 IFC package includes general, architectural, interiors, fire protection, mechanical, electrical, telecommunications, rack elevations, telecom schedules, and photo references.</t>
  </si>
  <si>
    <t>16A-400 identifies basement architectural enlarged views for Telecom Room 015, existing telecom room 014, and telecom room open-to-deck/rated construction requirements.</t>
  </si>
  <si>
    <t>16T-100 identifies Telecom Room 015 at 79 SF and existing basement Room 014; 16T-604 identifies Room 015 new rack plus future rack and Room 014 existing wall/TE rack with UPS, Cisco switch, legacy patch panel and Fiber LIU; 16T-701 identifies 25 WAO total, 25 active ports, 36 ports per schedule and 40 ports with 10% allowance.</t>
  </si>
  <si>
    <t>16M-100/701 identify dedicated split-system cooling for Telecom Room 015 using IU-1-01 and CU-1-01 with BACnet adapter/control coordination; verify emergency power, condensate and alarms in field.</t>
  </si>
  <si>
    <t>16E-100/601/701 identify B16-TR015A and B16-TR015B panel/circuit references, 240V rack UPS requirements, normal/emergency rack power, CU-1-01, lighting, SPD, existing panel replacement/demolition and 30-day load measurement requirements.</t>
  </si>
  <si>
    <t>BUILDING 17 │ EHRM ASSESSMENT │ PMIS DASHBOARD FEED</t>
  </si>
  <si>
    <t>17</t>
  </si>
  <si>
    <t>518-22-700 IFC Building 17_29</t>
  </si>
  <si>
    <t>118 / existing B35A / B29 served from B17</t>
  </si>
  <si>
    <t>Building 17_29 includes new first-level Telecom Room 118 serving Building 17 and Building 29, plus existing basement Telecom Closet B35A; field verification, active-service transfer, 208V UPS/PDU power, dedicated cooling, first-level hazardous material coordination, cable tray, firestopping, and PACS/CCTV integration remain open.</t>
  </si>
  <si>
    <t>Field verify Telecom Room 118, existing B35A, and Building 29 service path; confirm active services, B17-TR118A/B panel sources, BUS-B17-EQDP / BUS-B17-NPB1-R sources, IU/CU-1-01 cooling, FEC, fire alarm/sprinkler impacts, cable tray route, PACS/CCTV scope, hazardous material impacts, and cutover plan.</t>
  </si>
  <si>
    <t>New telecom room build area</t>
  </si>
  <si>
    <t>17_29A-401 / 17_29E-401 / 17_29T-100 / 17_29T-604 / 17_29T-701</t>
  </si>
  <si>
    <t>Primary Building 17 TR. Plans identify Telecom Room 118 at 157 SF, Rack ID TR17-118-1, panels B17-TR118A/B, 208V rack UPS/PDU equipment, IU-1-01/CU-1-01 cooling, 517 feet total cable tray, and future rack allowance. Rack elevation notes Room 118 serves Building 29.</t>
  </si>
  <si>
    <t>B35A</t>
  </si>
  <si>
    <t>Existing telecom closet / legacy equipment area</t>
  </si>
  <si>
    <t>17_29T-100 / 17_29T-604 / 17_29R-900</t>
  </si>
  <si>
    <t>Existing basement Telecom Closet B35A shown at 12 SF with wall-mounted TE, patch panel, security cabinet, plywood backboard, indoor AC unit, floor UPS, Cisco switches, legacy Ortronics 24/48-port patch panels and SERTEX utility service ports. Protect active services and verify transfer to Room 118.</t>
  </si>
  <si>
    <t>29</t>
  </si>
  <si>
    <t>Building 29 path</t>
  </si>
  <si>
    <t>First / served from B17</t>
  </si>
  <si>
    <t>Building 29 service extension</t>
  </si>
  <si>
    <t>Served from B17 TR 118</t>
  </si>
  <si>
    <t>17_29T-100 / 17_29T-604 / 17_29T-701</t>
  </si>
  <si>
    <t>Building 29 is shown served from B17, with path to B29 via 4-inch PVC and fiber extending from Building 17 to Building 29. Field verify pathway, service boundary, and active outlets included in TR17-118-1 schedule.</t>
  </si>
  <si>
    <t>First-level TR; verify 1-hour fire/smoke-rated enclosure, open-to-deck conditions, door hardware/access control, static-control floor sealer, rack/future rack clearances, wall backing, and cable tray/pathway entry points.</t>
  </si>
  <si>
    <t>Existing basement telecom closet; verify active equipment status, pathway, rack/UPS/backboard, indoor AC, security cabinet, and transition/abandonment scope.</t>
  </si>
  <si>
    <t>B29 Path</t>
  </si>
  <si>
    <t>Verify route from Building 17 to Building 29, 4-inch PVC path, fiber handoff, ownership limits, labeling and final test documentation.</t>
  </si>
  <si>
    <t>Existing telecom closet; verify fire alarm/sprinkler protection-in-place and seal any removed/reused penetration after cutover.</t>
  </si>
  <si>
    <t>Verify firestopping at pathway penetrations between Building 17 and Building 29 and any rated floor/wall assemblies.</t>
  </si>
  <si>
    <t>Mechanical/electrical drawings show IU-1-01 in Telecom Room 118 and CU-1-01 outdoor unit. Confirm capacity, emergency/standby source, BACnet adapter, thermostat/control point, condensate path, disconnects, and high-temperature alarm.</t>
  </si>
  <si>
    <t>Existing B35A is shown with existing indoor AC unit; verify whether it remains active, is abandoned, or needs temporary protection during cutover.</t>
  </si>
  <si>
    <t>No dedicated cooling expected for pathway; verify any equipment cabinets or active service locations in Building 29 if applicable.</t>
  </si>
  <si>
    <t>B17-TR118A / B17-TR118B</t>
  </si>
  <si>
    <t>Electrical plans/schedules identify B17-TR118A fed from BUS-B17-NPB1-R and B17-TR118B fed from BUS-B17-EQDP, with TR RM118 rack receptacles, 208V UPS/PDU equipment, CU-1-01, SPD requirements, and 30-day load measurement requirements.</t>
  </si>
  <si>
    <t>Existing rack/equipment area; verify active equipment, floor UPS status, source circuits, and transfer requirements before disconnect/removal.</t>
  </si>
  <si>
    <t>B17 source / verify</t>
  </si>
  <si>
    <t>Verify whether any Building 29 equipment or extension path requires power, grounding, bonding, or labeling tied back to B17 TR 118.</t>
  </si>
  <si>
    <t>17_29T-701 identifies Room 118 schedule: 113 WAO total, 67 active ports per survey, 154 total ports per schedule, and 169 total ports with 10% allowance. Rack ID TR17-118-1 serves basement, first, second-level outlets and Building 29 path.</t>
  </si>
  <si>
    <t>Existing Room B35A equipment includes SERTEX utility service ports, legacy Ortronics patch panels, Cisco switches, wall-mounted TE, Fiber/legacy equipment, security cabinet, and floor UPS; verify active services and transfer plan to Room 118.</t>
  </si>
  <si>
    <t>Building 29 is shown served from B17; verify fiber from Building 17 to Building 29, path to B29 4-inch PVC, outlet labels, test records and as-builts.</t>
  </si>
  <si>
    <t>Telecom/electrical plans show 118-CAM-01 and security/access-control scope for Room 118; verify CR/RX/DC/ES/MD devices, controller, camera/VMS integration, and door hardware coordination.</t>
  </si>
  <si>
    <t>Existing security cabinet shown in B35A; verify whether security equipment remains, is relocated, or requires temporary protection during cutover.</t>
  </si>
  <si>
    <t>Verify Building 29 pathway and any security scope tied into B17 TR 118/VMS/PACS.</t>
  </si>
  <si>
    <t>B17-R1</t>
  </si>
  <si>
    <t>Existing conditions for Room 118, B35A and Building 29 service path not field verified</t>
  </si>
  <si>
    <t>B17_29 includes new TR plus existing basement telecom transition point and B29 service path.</t>
  </si>
  <si>
    <t>B17-R2</t>
  </si>
  <si>
    <t>Drawing index includes 17_29H-101 hazardous material abatement plan - first level.</t>
  </si>
  <si>
    <t>B17-R3</t>
  </si>
  <si>
    <t>Existing SERTEX utility service, Cisco switches, legacy patch panels, security cabinet and UPS shown.</t>
  </si>
  <si>
    <t>B17-R4</t>
  </si>
  <si>
    <t>B17-R5</t>
  </si>
  <si>
    <t>208V UPS/PDU and panel source coordination could delay energization</t>
  </si>
  <si>
    <t>Verify B17-TR118A/B schedules, BUS-B17-EQDP, BUS-B17-NPB1-R, rack receptacles, SPD, labels, load measurement and LOTO needs</t>
  </si>
  <si>
    <t>Panel sources include normal and equipment/emergency-side distribution references.</t>
  </si>
  <si>
    <t>B17-R6</t>
  </si>
  <si>
    <t>118/B29 Path</t>
  </si>
  <si>
    <t>Cable tray and pathway scope is large and crosses multiple levels/building service boundary</t>
  </si>
  <si>
    <t>Verify 517 ft cable tray, supports, seismic bracing, 40% fill, path to B29 4-inch PVC, penetrations and labeling before install</t>
  </si>
  <si>
    <t>Cable tray schedule: basement 200 ft, first level 202 ft, second level 115 ft.</t>
  </si>
  <si>
    <t>B17-R7</t>
  </si>
  <si>
    <t>Telecom/fiber cutover could affect active hospital communications across B17 and B29</t>
  </si>
  <si>
    <t>Room 118 serves 169 total ports including allowance and B29 path.</t>
  </si>
  <si>
    <t>B17-R8</t>
  </si>
  <si>
    <t>B17-Q1</t>
  </si>
  <si>
    <t>Confirm final telecom scope: new Room 118, existing B35A, and Building 29 served from B17?</t>
  </si>
  <si>
    <t>Room inventory or PMIS mapping could miss scope</t>
  </si>
  <si>
    <t>B17-Q2</t>
  </si>
  <si>
    <t>What active services are currently fed from existing B35A equipment?</t>
  </si>
  <si>
    <t>B17-Q3</t>
  </si>
  <si>
    <t>What exact Building 29 outlets/devices are served through TR17-118-1?</t>
  </si>
  <si>
    <t>Building 29 scope boundary unclear</t>
  </si>
  <si>
    <t>B17-Q4</t>
  </si>
  <si>
    <t>Is IU-1-01/CU-1-01 on emergency/backup power and dedicated to Room 118?</t>
  </si>
  <si>
    <t>B17-Q5</t>
  </si>
  <si>
    <t>Where is the clean-agent/CO2 extinguisher cabinet located within 75 ft of Room 118?</t>
  </si>
  <si>
    <t>B17-Q6</t>
  </si>
  <si>
    <t>Are B17-TR118A/B sources, rack receptacles, SPDs, circuit labels and load measurements approved?</t>
  </si>
  <si>
    <t>B17-Q7</t>
  </si>
  <si>
    <t>B17-Q8</t>
  </si>
  <si>
    <t>B17-P001</t>
  </si>
  <si>
    <t>Room 118 walls, ceiling/deck, floor, door, adjacent Lab/Freezer/Research/Corridor areas, rack location, pathways and penetrations</t>
  </si>
  <si>
    <t>B17-R1/B17-R2</t>
  </si>
  <si>
    <t>B17-P002</t>
  </si>
  <si>
    <t>Existing Telecom Closet B35A wall TE, SERTEX service ports, legacy patch panels, Cisco switches, security cabinet, plywood backboard, indoor AC and floor UPS</t>
  </si>
  <si>
    <t>B17-R1/B17-R3</t>
  </si>
  <si>
    <t>B17-P003</t>
  </si>
  <si>
    <t>Pathway</t>
  </si>
  <si>
    <t>Path to B29 4-inch PVC, fiber route, penetrations, handoff points and labeling</t>
  </si>
  <si>
    <t>B17-R6/B17-R7</t>
  </si>
  <si>
    <t>B17-P004</t>
  </si>
  <si>
    <t>B17-P005</t>
  </si>
  <si>
    <t>118/B29</t>
  </si>
  <si>
    <t>All wall/floor/sleeve/tray penetrations before and after firestop, including B29 pathway</t>
  </si>
  <si>
    <t>B17-P006</t>
  </si>
  <si>
    <t>B17-P007</t>
  </si>
  <si>
    <t>B17-TR118A/B panels, BUS-B17-EQDP, BUS-B17-NPB1-R, rack receptacles, breakers, SPD, access controller, lighting, CU-1-01 and labels</t>
  </si>
  <si>
    <t>B17-P008</t>
  </si>
  <si>
    <t>118/B35A/B29</t>
  </si>
  <si>
    <t>New rack/future rack, fiber path A/B, Cat6A, patch panels, LIU, labels/test records, 118-CAM-01 and existing B35A transfer work</t>
  </si>
  <si>
    <t>B17-R7/B17-R8</t>
  </si>
  <si>
    <t>New first-level TR with one rack plus future rack, 208V UPS, cooling, access control, 517 ft cable tray and B29 service coordination.</t>
  </si>
  <si>
    <t>Existing basement telecom closet and transition point; protect active services until cutover complete.</t>
  </si>
  <si>
    <t>Building 29 served from B17; verify pathway, fiber, labeling, test records and PMIS mapping.</t>
  </si>
  <si>
    <t>518-22-700.Bedford.EHRM.IFC.B17_29.20260316(1).pdf</t>
  </si>
  <si>
    <t>47-sheet Building 17_29 IFC package includes general, first-level hazardous material abatement, architectural, interiors, fire protection, mechanical, electrical, telecommunications, rack elevations, telecom schedules, and photo references.</t>
  </si>
  <si>
    <t>17_29H-101 identifies first-level hazardous material abatement plan. 17_29A-401 identifies first-level architectural enlarged views for Telecom Room 118 and associated rated/open-to-deck construction coordination.</t>
  </si>
  <si>
    <t>17_29T-100 identifies Telecom Room 118 at 157 SF, existing basement Telecom Closet B35A at 12 SF, Building 29 served from B17, and path to B29 4-inch PVC. 17_29T-604 identifies Room 118 new rack plus future rack and B35A existing equipment. 17_29T-701 identifies 113 WAO total, 67 active ports, 154 ports per schedule and 169 ports with 10% allowance.</t>
  </si>
  <si>
    <t>17_29M-101/701 identify dedicated split-system cooling for Telecom Room 118 using IU-1-01 and CU-1-01 with BACnet adapter/control coordination; verify emergency power, condensate and alarms in field.</t>
  </si>
  <si>
    <t>17_29E-401/701/702 identify B17-TR118A and B17-TR118B panel/circuit references, 208V rack UPS requirements, normal/equipment power sources including BUS-B17-NPB1-R and BUS-B17-EQDP, CU-1-01, lighting, SPD and load measurement requirements.</t>
  </si>
  <si>
    <t>BUILDING 18 │ EHRM ASSESSMENT │ PMIS DASHBOARD FEED</t>
  </si>
  <si>
    <t>518-22-700 IFC Building 18</t>
  </si>
  <si>
    <t>110 / existing 111B and 213 / Telecom Room Assessment</t>
  </si>
  <si>
    <t>Building 18 includes new first-level Telecom Room 110 and existing telecom transition rooms 111B and 213; field verification, active-service transfer, 208V UPS/PDU power, dedicated cooling, lead-paint/first-level hazardous material coordination, firestopping, cable tray, and PACS/CCTV integration remain open.</t>
  </si>
  <si>
    <t>Field verify Telecom Room 110, existing TE 111B, existing Closet 213, and all active services; confirm B18-TR110A/B panel sources, IU/CU-1-01 cooling, FEC, fire alarm/sprinkler impacts, cable tray route, PACS/CCTV scope, lead-paint/hazardous impacts, and cutover plan.</t>
  </si>
  <si>
    <t>18A-401 / 18E-101 / 18T-100 / 18T-401 / 18T-604 / 18T-701</t>
  </si>
  <si>
    <t>Primary Building 18 TR. Plans identify Telecom Room 110 at 168 SF, Rack ID TR01-111A-1, panels B18-TR110A/B, 208V rack UPS/PDU equipment, IU-1-01/CU-1-01 cooling, 315 feet total cable tray, and future rack allowance. Room 110 is the new rack room even though the schedule labels RM 111A.</t>
  </si>
  <si>
    <t>111B</t>
  </si>
  <si>
    <t>Existing TE / stair-adjacent legacy equipment area</t>
  </si>
  <si>
    <t>18T-401 / 18T-604 / 18R-900</t>
  </si>
  <si>
    <t>Existing first-level TE 111B shown at 13 SF with wall-mounted rack, plywood backboard, patch panel, security cabinet, existing floor UPS, and 5RU fiber optic housing. Protect active services and verify transfer to Room 110.</t>
  </si>
  <si>
    <t>213</t>
  </si>
  <si>
    <t>Existing second-level Closet 213 shown at 8 SF with wall-mounted rack, plywood backboard, patch panel, security cabinet, APC floor UPS, SERTEX utility service ports, Cisco switch and legacy Ortronics patch panels. Protect active services and verify transfer to Room 110.</t>
  </si>
  <si>
    <t>First-level TR; verify 1-hour fire/smoke-rated enclosure, open-to-deck conditions, 45-minute door/frame, access control, static-control floor sealer, rack/future rack clearances, wall backing, and cable tray/pathway entry points.</t>
  </si>
  <si>
    <t>Existing first-level TE; verify active equipment status, pathway, rack/UPS/backboard, security cabinet, fiber housing and transition/abandonment scope.</t>
  </si>
  <si>
    <t>Existing second-level closet; verify active equipment status, pathway, rack/UPS/backboard, security cabinet and transition/abandonment scope.</t>
  </si>
  <si>
    <t>Existing TE room; verify fire alarm/sprinkler protection-in-place and seal removed/reused penetrations after cutover.</t>
  </si>
  <si>
    <t>Existing second-level closet; verify protection-in-place and firestopping after transfer or abandonment.</t>
  </si>
  <si>
    <t>Mechanical/electrical drawings show IU-1-01 in Telecom Room 110 and CU-1-01 outdoor unit. Confirm capacity, emergency/standby source, BACnet adapter, thermostat/control point, condensate path, disconnects, and high-temperature alarm.</t>
  </si>
  <si>
    <t>Existing TE 111B; verify existing environmental conditions during cutover and whether legacy equipment remains active.</t>
  </si>
  <si>
    <t>Existing Closet 213; verify existing environmental conditions during cutover and whether legacy equipment remains active.</t>
  </si>
  <si>
    <t>B18-TR110A / B18-TR110B</t>
  </si>
  <si>
    <t>Electrical plans/schedules identify B18-TR110A/B, 208V rack UPS requirements, rack receptacles, TR receptacles, lighting, CU-1-01, SPD requirements, and telecom panelboard schedule requirements.</t>
  </si>
  <si>
    <t>Existing APC floor UPS</t>
  </si>
  <si>
    <t>Existing rack/equipment area; verify active equipment, APC UPS status, source circuits, SERTEX utility service and transfer requirements before disconnect/removal.</t>
  </si>
  <si>
    <t>18T-701 identifies RM 111A schedule: 86 WAO total, 61 active ports per survey, 122 ports per schedule, and 134 total ports with 10% allowance. New rack elevation is Room 110, 1 rack plus future, with UPS, Future Zone PDU, switches, Cat6A patch panels, Cat5E patch panel and Fiber LIU.</t>
  </si>
  <si>
    <t>Existing Room 111B equipment includes wall-mounted rack, plywood backboard, patch panel, security cabinet, floor UPS and 5RU fiber optic housing; verify active services and transfer plan to Room 110.</t>
  </si>
  <si>
    <t>Existing Room 213 equipment includes SERTEX utility service ports, Cisco switch, multiple legacy Ortronics patch panels, wall/wall-mount TE and APC floor UPS; verify active services and transfer plan to Room 110.</t>
  </si>
  <si>
    <t>Telecom/electrical plans show 111A-CAM-01 and security/access-control scope for the new TR area; verify room naming, CR/RX/DC/ES/MD devices, controller, camera/VMS integration, and door hardware coordination.</t>
  </si>
  <si>
    <t>Existing security cabinet shown in 111B; verify whether security equipment remains, is relocated, or requires temporary protection during cutover.</t>
  </si>
  <si>
    <t>Existing security cabinet shown in 213; verify whether security equipment remains, is relocated, or requires temporary protection during cutover.</t>
  </si>
  <si>
    <t>B18-R1</t>
  </si>
  <si>
    <t>Existing conditions for Room 110, Room 111B and Room 213 not field verified</t>
  </si>
  <si>
    <t>B18 includes new first-level TR plus existing first and second-level telecom transition points.</t>
  </si>
  <si>
    <t>B18-R2</t>
  </si>
  <si>
    <t>First-level hazardous material / lead-based paint abatement plan exists</t>
  </si>
  <si>
    <t>18H-101 notes lead-based paint abatement through entire telecom room/door frames.</t>
  </si>
  <si>
    <t>B18-R3</t>
  </si>
  <si>
    <t>111B/213</t>
  </si>
  <si>
    <t>Existing racks, SERTEX ports, Cisco switch, patch panels, security cabinets and UPS units shown.</t>
  </si>
  <si>
    <t>B18-R4</t>
  </si>
  <si>
    <t>B18-R5</t>
  </si>
  <si>
    <t>Verify B18-TR110A/B schedules, rack receptacles, SPD, labels, source circuits and LOTO needs</t>
  </si>
  <si>
    <t>Panel references are concentrated at Room 110 with CU-1-01 and rack receptacles.</t>
  </si>
  <si>
    <t>B18-R6</t>
  </si>
  <si>
    <t>Cable tray and pathway scope crosses first and second levels</t>
  </si>
  <si>
    <t>Verify 315 ft cable tray, supports, seismic bracing, 40% fill, penetrations, coordination with lighting/HVAC and labeling before install</t>
  </si>
  <si>
    <t>Cable tray schedule: first level 174 ft, second level 141 ft.</t>
  </si>
  <si>
    <t>B18-R7</t>
  </si>
  <si>
    <t>Telecom/fiber cutover could affect active hospital communications and legacy cross-building service ports</t>
  </si>
  <si>
    <t>Room 213 existing rack elevation references SERTEX utility service ports to B17, B19 and B3.</t>
  </si>
  <si>
    <t>B18-R8</t>
  </si>
  <si>
    <t>B18-Q1</t>
  </si>
  <si>
    <t>Confirm final telecom scope: new Room 110 with existing 111B and 213 transition only?</t>
  </si>
  <si>
    <t>B18-Q2</t>
  </si>
  <si>
    <t>Why does 18T-701 reference RM 111A while new rack/electrical plans identify Telecom Room 110?</t>
  </si>
  <si>
    <t>B18-Q3</t>
  </si>
  <si>
    <t>What active services are currently fed from existing 111B and 213 equipment?</t>
  </si>
  <si>
    <t>B18-Q4</t>
  </si>
  <si>
    <t>Is IU-1-01/CU-1-01 on emergency/backup power and dedicated to Room 110?</t>
  </si>
  <si>
    <t>B18-Q5</t>
  </si>
  <si>
    <t>Where is the clean-agent/CO2 extinguisher cabinet located within 75 ft of Room 110?</t>
  </si>
  <si>
    <t>B18-Q6</t>
  </si>
  <si>
    <t>Are B18-TR110A/B sources, rack receptacles, SPDs, circuit labels and load measurements approved?</t>
  </si>
  <si>
    <t>B18-Q7</t>
  </si>
  <si>
    <t>B18-Q8</t>
  </si>
  <si>
    <t>B18-P001</t>
  </si>
  <si>
    <t>Room 110 walls, ceiling/deck, floor, door, adjacent Corridor 121/Stair 122/Office 112, rack location, pathways and penetrations</t>
  </si>
  <si>
    <t>B18-R1/B18-R2</t>
  </si>
  <si>
    <t>B18-P002</t>
  </si>
  <si>
    <t>Existing TE 111B wall rack, plywood backboard, patch panel, security cabinet, floor UPS and 5RU fiber housing</t>
  </si>
  <si>
    <t>B18-R1/B18-R3</t>
  </si>
  <si>
    <t>B18-P003</t>
  </si>
  <si>
    <t>Existing Closet 213 wall rack/TE, SERTEX service ports, Cisco switch, legacy Ortronics patch panels, security cabinet, plywood backboard and APC floor UPS</t>
  </si>
  <si>
    <t>B18-P004</t>
  </si>
  <si>
    <t>First-level abatement/lead-paint areas, flooring, walls, ceiling/penetrations, and disturbance areas</t>
  </si>
  <si>
    <t>B18-P005</t>
  </si>
  <si>
    <t>B18-P006</t>
  </si>
  <si>
    <t>B18-P007</t>
  </si>
  <si>
    <t>B18-TR110A/B panels, rack receptacles, breakers, SPD, access controller, lighting, CU-1-01 and labels</t>
  </si>
  <si>
    <t>B18-P008</t>
  </si>
  <si>
    <t>110/111B/213</t>
  </si>
  <si>
    <t>New rack/future rack, fiber path A/B, Cat6A, patch panels, LIU, labels/test records, 111A-CAM-01 and existing 111B/213 transfer work</t>
  </si>
  <si>
    <t>B18-R7/B18-R8</t>
  </si>
  <si>
    <t>New first-level TR with one rack plus future rack, 208V UPS, cooling, access control, 315 ft cable tray and fire/life-safety coordination.</t>
  </si>
  <si>
    <t>Existing first-level TE and transition point; protect active services until cutover complete.</t>
  </si>
  <si>
    <t>Existing second-level telecom closet and transition point; protect active services until cutover complete.</t>
  </si>
  <si>
    <t>48-sheet Building 18 IFC package includes general, first-level hazardous material abatement, architectural, interiors, fire protection, mechanical, electrical, telecommunications, enlarged telecom plans, rack elevations, telecom schedules, and photo references.</t>
  </si>
  <si>
    <t>18H-101 identifies first-level hazardous material abatement plan and lead-based paint abatement in the telecom room area. 18A-401 identifies first-level architectural enlarged views and rated/open-to-deck construction coordination for the new telecom room.</t>
  </si>
  <si>
    <t>18T-100/401 identify Telecom Room 110 at 168 SF, existing first-level TE 111B at 13 SF and existing second-level Closet 213 at 8 SF. 18T-604 identifies Room 110 new rack plus future rack, existing 111B fiber housing, and existing 213 SERTEX/Cisco/legacy patch equipment. 18T-701 identifies 86 WAO total, 61 active ports, 122 ports per schedule and 134 total ports with 10% allowance.</t>
  </si>
  <si>
    <t>18M-100/701 identify dedicated split-system cooling for Telecom Room 110 using IU-1-01 and CU-1-01 with BACnet adapter/control coordination; verify emergency power, condensate and alarms in field.</t>
  </si>
  <si>
    <t>18E-101/601/701/702 identify B18-TR110A and B18-TR110B panel/circuit references, 208V rack UPS requirements, rack/TR receptacles, CU-1-01, lighting, SPD and telecom panelboard requirements.</t>
  </si>
  <si>
    <t>BUILDING 20 │ EHRM ASSESSMENT │ PMIS DASHBOARD FEED</t>
  </si>
  <si>
    <t>20</t>
  </si>
  <si>
    <t>518-22-700 IFC Building 20</t>
  </si>
  <si>
    <t>1B / existing 8A / Telecom Enclosure Assessment</t>
  </si>
  <si>
    <t>Building 20 is a telecom-enclosure building, not a full TR buildout. Scope centers on new first-level Office 1B wall-mount TE enclosure and existing Tel/Data Closet 8A; mechanical and fire protection scope are excluded by the cover sheet, but field verification, active equipment transfer, fiber/copper cutover, cable tray, firestopping, power/UPS/PDU, and existing equipment protection remain open.</t>
  </si>
  <si>
    <t>Excluded / Verify Existing</t>
  </si>
  <si>
    <t>Excluded / Firestop Only</t>
  </si>
  <si>
    <t>Field verify Office 1B new TE location, existing Tel/Data Closet 8A, active services, TE01-1B-1 schedule, existing open TE cabinet, existing ground bar/patch panel/equipment box/indoor AC/backboard, 459 ft cable tray route, 10 Cat6A cross-connect cables, power/UPS/PDU source, and fiber Path A/B cutover.</t>
  </si>
  <si>
    <t>Office / new TE location</t>
  </si>
  <si>
    <t>Telecom Enclosure</t>
  </si>
  <si>
    <t>20T-101 / 20T-701 / 20E-101 / 20E-601</t>
  </si>
  <si>
    <t>Primary Building 20 TE. Plans identify Office 1B at 110 SF with new wall-mount telecom enclosure Rack ID TE01-1B-1, 12RU enclosure, APC UPS, two PDUs, network switch, 48-port Cat6A patch panel, Fiber LIU, and 33 total ports with 10% allowance.</t>
  </si>
  <si>
    <t>8A</t>
  </si>
  <si>
    <t>Existing Tel/Data Closet / open TE cabinet</t>
  </si>
  <si>
    <t>20T-101 / 20T-701 / 20R-900</t>
  </si>
  <si>
    <t>Existing Tel/Data Closet 8A at 17 SF with existing open TE cabinet, ground bar, patch panel, equipment box, indoor AC unit, plywood backboard, BIX blocks, Cisco switch, legacy Ortronics 48-port patch panel, floor UPS and Fiber LIU. Protect active services and transfer to Office 1B TE.</t>
  </si>
  <si>
    <t>N/A / Office</t>
  </si>
  <si>
    <t>New TE enclosure location in Office 1B; verify wall backing, mounting height, access clearance, power, fiber/copper path, 4-inch speed sleeve, fire/smoke wall rating, and that office use can remain operational.</t>
  </si>
  <si>
    <t>Existing Tel/Data Closet; verify active equipment status, existing open cabinet, indoor AC, ground bar/backboard, floor UPS, pathway and transition/abandonment scope.</t>
  </si>
  <si>
    <t>Excluded / Verify</t>
  </si>
  <si>
    <t>Cover sheet states Building 20 receives a Telecom Enclosure and mechanical/fire protection scope is excluded. Still verify firestopping of rated penetrations, 4-inch sleeve, wall/floor openings, and any life-safety device impacts.</t>
  </si>
  <si>
    <t>Existing closet; verify protection-in-place and firestopping after cable transfer or reuse.</t>
  </si>
  <si>
    <t>Excluded</t>
  </si>
  <si>
    <t>Cover sheet states mechanical scope is excluded. Verify whether Office 1B ambient conditions are acceptable for wall-mount TE/UPS/PDU/network equipment.</t>
  </si>
  <si>
    <t>Existing Tel/Data Closet 8A includes indoor AC unit to remain/protect in place; verify operation during cutover and whether equipment remains after transition.</t>
  </si>
  <si>
    <t>APC UPS / TE enclosure</t>
  </si>
  <si>
    <t>20E-101 / 20E-601 source to verify</t>
  </si>
  <si>
    <t>20T-701 new enclosure elevation shows APC UPS, two PDU L5-30 input / NEMA 5-20 output units, 120V outlet UPS, 120V outlet PDU, network switch, 48-port Cat6A patch panel and Fiber LIU. Verify circuit source, receptacle type, grounding/bonding and labels.</t>
  </si>
  <si>
    <t>Existing 8A elevation shows UPS on ground, legacy patch equipment and Fiber LIU on wall; verify source circuits, UPS status, and transition requirements before disconnect/removal.</t>
  </si>
  <si>
    <t>20T-701 identifies TE01-1B-1: 21 WAO total, 24 active ports per survey, 30 ports per schedule, 33 total ports with 10% allowance. Provide new wall-mount TE cabinet and 10 new Cat6A cross-connect cables from existing TE to new TE location.</t>
  </si>
  <si>
    <t>Existing Tel/Data Closet 8A contains open TE cabinet, ground bar, patch panel, equipment box, indoor AC unit, plywood backboard, BIX blocks, Cisco switch, legacy 48-port patch panel and Fiber LIU. Field verify all active services.</t>
  </si>
  <si>
    <t>Building 20 does not appear to create a new TR door/PACS package. Verify any existing cameras/security devices in Office 1B and ensure no camera angle or VMS integration is disrupted.</t>
  </si>
  <si>
    <t>Keynotes indicate existing cameras are to be retained and re-used/protected in place; verify existing security equipment and cabinet impacts during cutover.</t>
  </si>
  <si>
    <t>B20-R1</t>
  </si>
  <si>
    <t>Existing conditions for new Office 1B TE and existing Tel/Data Closet 8A not field verified</t>
  </si>
  <si>
    <t>B20 has a compact TE scope but still depends on field conditions and existing equipment transfer.</t>
  </si>
  <si>
    <t>B20-R2</t>
  </si>
  <si>
    <t>1B/8A</t>
  </si>
  <si>
    <t>Existing equipment in 8A may remain active during transfer to new TE in 1B</t>
  </si>
  <si>
    <t>20T-101 keynotes require transfer of existing devices and phasing plan.</t>
  </si>
  <si>
    <t>B20-R3</t>
  </si>
  <si>
    <t>Room naming and TE designation could cause PMIS mapping confusion</t>
  </si>
  <si>
    <t>Track as Building 20 / Office 1B / TE01-1B-1 and link existing Room 8A as transition point</t>
  </si>
  <si>
    <t>GCC / VA</t>
  </si>
  <si>
    <t>Schedule is Office 1B and rack ID TE01-1B-1; existing telecom room is 8A.</t>
  </si>
  <si>
    <t>B20-R4</t>
  </si>
  <si>
    <t>No mechanical scope, but TE/UPS/network equipment may add heat load to Office 1B</t>
  </si>
  <si>
    <t>Verify heat load, office ventilation, equipment clearances and owner acceptance before energizing enclosure</t>
  </si>
  <si>
    <t>VA / Electrical / Telecom</t>
  </si>
  <si>
    <t>Cover excludes mechanical/fire protection; existing HVAC may be relied on.</t>
  </si>
  <si>
    <t>B20-R5</t>
  </si>
  <si>
    <t>UPS/PDU/receptacle source and grounding/bonding not verified</t>
  </si>
  <si>
    <t>Verify circuit source, receptacle type, UPS/PDU load, grounding bar, bonding and labels</t>
  </si>
  <si>
    <t>Electrical / Telecom</t>
  </si>
  <si>
    <t>New TE enclosure includes APC UPS and two PDUs.</t>
  </si>
  <si>
    <t>B20-R6</t>
  </si>
  <si>
    <t>459 feet of cable tray/pathway requires coordination despite small port count</t>
  </si>
  <si>
    <t>Verify route, supports, seismic bracing, 40% fill, penetrations, light fixtures and coordination drawings before install</t>
  </si>
  <si>
    <t>20T-701 cable tray schedule lists Level 1 estimated length of 459 ft.</t>
  </si>
  <si>
    <t>B20-R7</t>
  </si>
  <si>
    <t>Firestopping/rated sleeve work could be missed because FP scope is excluded</t>
  </si>
  <si>
    <t>Track 4-inch speed sleeve, rated penetrations, fire caulk, temporary firestopping and patching even without FP sheet scope</t>
  </si>
  <si>
    <t>20T-101 requires fire caulk at sleeves and rated penetration protection.</t>
  </si>
  <si>
    <t>B20-R8</t>
  </si>
  <si>
    <t>Commissioning/test documentation may be overlooked due to TE-only scope</t>
  </si>
  <si>
    <t>Track cable test records, labels, as-builts, laminated schedules, OIT acceptance, UPS/PDU verification and owner signoff</t>
  </si>
  <si>
    <t>Cover/general notes still require testing, acceptance and documentation.</t>
  </si>
  <si>
    <t>B20-Q1</t>
  </si>
  <si>
    <t>Confirm final scope: new wall-mount TE enclosure in Office 1B and existing Tel/Data Closet 8A transition only?</t>
  </si>
  <si>
    <t>B20-Q2</t>
  </si>
  <si>
    <t>What active services are currently fed from existing 8A open TE cabinet and related equipment?</t>
  </si>
  <si>
    <t>B20-Q3</t>
  </si>
  <si>
    <t>What is the approved power source, receptacle type and circuit capacity for the new APC UPS/PDU in Office 1B?</t>
  </si>
  <si>
    <t>B20-Q4</t>
  </si>
  <si>
    <t>Is Office 1B HVAC/ambient condition acceptable for a wall-mount TE with UPS/PDU/network switch?</t>
  </si>
  <si>
    <t>VA / OIT / Facilities</t>
  </si>
  <si>
    <t>Heat/load risk after mechanical scope excluded</t>
  </si>
  <si>
    <t>B20-Q5</t>
  </si>
  <si>
    <t>Are existing cameras/security devices in Building 20 protected and retained with no VMS/PACS changes?</t>
  </si>
  <si>
    <t>Security / OIT</t>
  </si>
  <si>
    <t>Security continuity unclear</t>
  </si>
  <si>
    <t>B20-Q6</t>
  </si>
  <si>
    <t>Are all 459 feet of cable tray route, sleeves, supports and firestopping details field verified?</t>
  </si>
  <si>
    <t>Telecom / GC / Firestop</t>
  </si>
  <si>
    <t>Install delay or firestop gap</t>
  </si>
  <si>
    <t>B20-Q7</t>
  </si>
  <si>
    <t>Are the 10 new Cat6A cross-connect cables from existing TE to new TE location coordinated and labeled?</t>
  </si>
  <si>
    <t>Cutover and labeling risk</t>
  </si>
  <si>
    <t>B20-Q8</t>
  </si>
  <si>
    <t>Which test records and turnover documents are required for TE-only acceptance?</t>
  </si>
  <si>
    <t>B20-P001</t>
  </si>
  <si>
    <t>Office 1B wall location, wall backing, clearances, ceiling, power source, cable path, fiber path A/B and new TE enclosure location</t>
  </si>
  <si>
    <t>B20-R1/B20-R3</t>
  </si>
  <si>
    <t>B20-P002</t>
  </si>
  <si>
    <t>Existing Tel/Data Closet 8A open TE cabinet, ground bar, patch panel, equipment box, indoor AC unit, plywood backboard and cable entries</t>
  </si>
  <si>
    <t>B20-R1/B20-R2</t>
  </si>
  <si>
    <t>B20-P003</t>
  </si>
  <si>
    <t>BIX blocks, Cisco switch, legacy Ortronics 48-port patch panel, UPS on ground and Fiber LIU on wall</t>
  </si>
  <si>
    <t>B20-R2/B20-R5</t>
  </si>
  <si>
    <t>B20-P004</t>
  </si>
  <si>
    <t>459 ft Level 1 cable tray route, sleeves, wall penetrations, support points, light/HVAC conflicts and 40% fill concerns</t>
  </si>
  <si>
    <t>B20-R6/B20-R7</t>
  </si>
  <si>
    <t>B20-P005</t>
  </si>
  <si>
    <t>New TE enclosure UPS/PDU receptacles, circuit source, grounding/bonding, labels and disconnect/access</t>
  </si>
  <si>
    <t>B20-P006</t>
  </si>
  <si>
    <t>TE01-1B-1 enclosure, cross-connect cables, Fiber LIU, patch panels, labels, test results and existing equipment transfer</t>
  </si>
  <si>
    <t>B20-R2/B20-R8</t>
  </si>
  <si>
    <t>B20-P007</t>
  </si>
  <si>
    <t>4-inch speed sleeve, wall penetrations and fire caulk before/after photos</t>
  </si>
  <si>
    <t>B20-P008</t>
  </si>
  <si>
    <t>Security / Existing Devices</t>
  </si>
  <si>
    <t>Existing cameras/security devices to remain, protection-in-place and final operating condition</t>
  </si>
  <si>
    <t>New first-level Office TE with 12RU wall enclosure, UPS/PDU, 459 ft cable tray, fiber/copper cutover and no dedicated mechanical/FP scope.</t>
  </si>
  <si>
    <t>Existing Tel/Data Closet and transition point; protect active services until cutover complete.</t>
  </si>
  <si>
    <t>518-22-700.Bedford.EHRM.IFC.B20.20260316(1).pdf</t>
  </si>
  <si>
    <t>24-sheet Building 20 IFC package includes general, architectural, electrical, telecommunications, telecom schedules/rack elevations, and photo references. There is no mechanical/fire protection drawing package for this building.</t>
  </si>
  <si>
    <t>Cover sheet note 4 states Building 20 is to receive a Telecom Enclosure and mechanical/fire protection scope has been excluded.</t>
  </si>
  <si>
    <t>20T-101 identifies Office 1B new TE location at 110 SF and existing Tel/Data Closet 8A at 17 SF with existing open TE cabinet/equipment. 20T-701 identifies Rack ID TE01-1B-1, 21 WAO total, 24 active ports, 30 ports per schedule, 33 total with 10% allowance, 459 ft Level 1 cable tray, and new 12RU telecom enclosure equipment.</t>
  </si>
  <si>
    <t>20E-101/601 provide the electrical plan and one-line/schedule references; verify power source, UPS/PDU receptacles, bonding/grounding, SPD/labels if applicable, and circuit capacity in field.</t>
  </si>
  <si>
    <t>General notes require existing ports replaced, conduit reuse where possible, 10% data-port allowance, coordination drawings, testing/labeling/documentation, VA/OIT acceptance before active connections, and shutdowns limited one at a time.</t>
  </si>
  <si>
    <t>20R-900 provides the first-level existing telecom room 8A photo reference for existing cabinet/equipment verification.</t>
  </si>
  <si>
    <t>BUILDING 21 │ EHRM ASSESSMENT │ PMIS DASHBOARD FEED</t>
  </si>
  <si>
    <t>21</t>
  </si>
  <si>
    <t>518-22-700 IFC Building 21_19</t>
  </si>
  <si>
    <t>100A / existing B1.TR and B19 B05TR / Telecom Enclosure Assessment</t>
  </si>
  <si>
    <t>Building 21 is combined with Building 19 and is primarily a telecom-enclosure scope. New first-level M&amp;O Foreman Office 100A / RM 104 schedule is served by a new 12RU TE enclosure, while existing Building 21 B1.TR and Building 19 B05TR equipment remain transition points. Fire protection scope is excluded, but mechanical/electrical sheets exist for equipment support. Field verification, active-service transfer, 659 ft cable tray, firestopping, UPS/PDU power, fiber/copper cutover, and B19/B21 scope boundary remain open.</t>
  </si>
  <si>
    <t>Field verify new TE location at M&amp;O Foreman Office 100A, existing B21 B1.TR, existing B19 B05TR, B19-serving-B21 relationship, active services, TR01-104-1 / 100-A schedule, 659 ft cable tray route, 10 Cat6A cross-connect cables, UPS/PDU source, fiber paths A/B, and all firestopping/penetrations.</t>
  </si>
  <si>
    <t>M&amp;O Foreman Office / new TE location</t>
  </si>
  <si>
    <t>21_19T-101 / 21_19T-604 / 21_19T-701 / 21_19E-101</t>
  </si>
  <si>
    <t>Primary Building 21/B19 TE. Plans identify M&amp;O Foreman Office 100A at 202 SF with new 12RU telecom enclosure, shown as 19 serving 21, Room 100-A, and schedule Rack ID TR01-104-1 / RM 104. Includes APC UPS, two PDUs, network switches B20 and B19, 48-port Cat6A patch panel, Fiber LIU, and 131 total ports with 10% allowance.</t>
  </si>
  <si>
    <t>B1.TR</t>
  </si>
  <si>
    <t>Existing telecom room / wall-mount TE</t>
  </si>
  <si>
    <t>21_19T-100 / 21_19T-604</t>
  </si>
  <si>
    <t>Existing Building 21 basement B1.TR shown with legacy Ortronics 24/48-port patch panels, UPS on ground, Cisco switch, multiple legacy 24-port patch panels, Fiber LIU, and APC floor UPS. Protect active services and verify transfer/cutover to new TE.</t>
  </si>
  <si>
    <t>19</t>
  </si>
  <si>
    <t>B05TR</t>
  </si>
  <si>
    <t>Basement / First</t>
  </si>
  <si>
    <t>Existing telecom transition point serving B19/B21</t>
  </si>
  <si>
    <t>21_19T-100 / 21_19T-604 / 21_19R-900</t>
  </si>
  <si>
    <t>Existing Building 19 B05TR shown with basement and first-level existing elevations, legacy Ortronics patch panels, Cisco switch, Fiber LIU, APC floor UPS, and photo reference for basement B05. New enclosure is marked '19 serving 21'.</t>
  </si>
  <si>
    <t>New TE enclosure location in M&amp;O Foreman Office 100A; verify wall backing, mounting height, access clearance, power, fiber/copper path, 4-inch speed sleeve, fire/smoke wall rating, and that office use can remain operational.</t>
  </si>
  <si>
    <t>Existing B21 basement telecom room; verify active equipment status, pathway, UPS/backboard, Fiber LIU, and transition/abandonment scope.</t>
  </si>
  <si>
    <t>Existing B19 telecom room/equipment; verify active services, B19/B21 service boundary, path to new TE, and transition scope.</t>
  </si>
  <si>
    <t>Cover sheet states Building 21_19 receives a Telecom Enclosure and fire protection scope is excluded. Still verify firestopping of rated penetrations, 4-inch sleeve, wall/floor openings, and any life-safety device impacts.</t>
  </si>
  <si>
    <t>Existing B21 basement TR; verify protection-in-place and firestopping after cable transfer or reuse.</t>
  </si>
  <si>
    <t>Existing B19 B05TR; verify protection-in-place and firestopping after cable transfer or reuse.</t>
  </si>
  <si>
    <t>Verify / Existing HVAC</t>
  </si>
  <si>
    <t>Mechanical sheets exist in index. Verify whether new TE heat load in Office 100A is supported by existing/new HVAC and whether any mechanical scope applies despite TE designation.</t>
  </si>
  <si>
    <t>Existing B21 B1.TR; verify environmental conditions during cutover and whether legacy equipment remains active.</t>
  </si>
  <si>
    <t>Existing B19 B05TR; verify environmental conditions and whether equipment remains active during/after Building 21 transfer.</t>
  </si>
  <si>
    <t>21_19E-101 / 21_19E-701 source to verify</t>
  </si>
  <si>
    <t>21_19T-604 new enclosure elevation shows APC UPS, two PDU L5-30 input / NEMA 5-20 output units, 120V outlet UPS, 120V outlet PDU, network switches, 48-port Cat6A patch panel and Fiber LIU. Verify circuit source, receptacle type, grounding/bonding and labels.</t>
  </si>
  <si>
    <t>Existing B21 B1.TR elevation shows UPS on ground, Cisco switch, legacy patch panels and Fiber LIU; verify source circuits, UPS status, and transition requirements.</t>
  </si>
  <si>
    <t>Existing B19 B05TR elevations show APC floor UPS, legacy patch panels, Cisco switch and Fiber LIU; verify power source, active equipment and transfer/retention requirements.</t>
  </si>
  <si>
    <t>21_19T-701 identifies RM 104 schedule: 90 WAO total, 67 active ports per survey, 119 ports per schedule, and 131 total ports with 10% allowance. 659 ft cable tray total: 63 ft basement and 596 ft first level.</t>
  </si>
  <si>
    <t>Existing B21 B1.TR equipment includes multiple legacy patch panels, Cisco switch, UPS on ground, Fiber LIU and APC floor UPS; verify active services and transfer plan to new TE.</t>
  </si>
  <si>
    <t>Existing B19 B05TR equipment includes legacy Ortronics patch panels, Cisco switch, Fiber LIU and APC floor UPS; verify active services and whether B19/B21 devices are served from new enclosure.</t>
  </si>
  <si>
    <t>Building 21_19 appears to create a TE enclosure rather than a full TR door/PACS package. Verify any existing cameras/security devices in Room 100A and ensure no camera angle or VMS integration is disrupted.</t>
  </si>
  <si>
    <t>Verify any existing security device/cabinet impacts during cutover.</t>
  </si>
  <si>
    <t>Verify existing security/camera protection-in-place and any impact from B19/B21 shared telecom equipment.</t>
  </si>
  <si>
    <t>B21-R1</t>
  </si>
  <si>
    <t>Existing conditions for new 100A TE, B21 B1.TR and B19 B05TR not field verified</t>
  </si>
  <si>
    <t>B21 is combined with B19 and has multiple transition points.</t>
  </si>
  <si>
    <t>B21-R2</t>
  </si>
  <si>
    <t>100A/B1.TR/B05TR</t>
  </si>
  <si>
    <t>Existing equipment may remain active during transfer to new TE enclosure</t>
  </si>
  <si>
    <t>Rack elevations show existing B21 and B19 equipment and new 19-serving-21 enclosure.</t>
  </si>
  <si>
    <t>B21-R3</t>
  </si>
  <si>
    <t>Room naming mismatch: schedule says RM 104 / TR01-104-1 while plan/enlarged view identifies Room 100A</t>
  </si>
  <si>
    <t>Track PMIS as Building 21 / Room 100A / Schedule RM 104 / Rack ID TR01-104-1 and confirm with designer</t>
  </si>
  <si>
    <t>Important for PMIS mapping and field punch list.</t>
  </si>
  <si>
    <t>B21-R4</t>
  </si>
  <si>
    <t>B19/B21 combined package may blur scope boundary and ownership of ports</t>
  </si>
  <si>
    <t>Separate Building 21 work, Building 19 transition work, and shared service/cross-connect items in PMIS notes</t>
  </si>
  <si>
    <t>Sheet package is 21_19 and new enclosure is labeled 19 serving 21.</t>
  </si>
  <si>
    <t>B21-R5</t>
  </si>
  <si>
    <t>New TE enclosure includes APC UPS and PDUs.</t>
  </si>
  <si>
    <t>B21-R6</t>
  </si>
  <si>
    <t>659 feet of cable tray/pathway requires coordination and firestop tracking</t>
  </si>
  <si>
    <t>21_19T-701 cable tray schedule lists 63 ft basement and 596 ft first level.</t>
  </si>
  <si>
    <t>B21-R7</t>
  </si>
  <si>
    <t>Fire protection scope excluded, but rated penetrations and temporary firestopping still apply</t>
  </si>
  <si>
    <t>Track 4-inch sleeves, rated penetrations, fire caulk, temporary firestopping and patching even without FP scope</t>
  </si>
  <si>
    <t>Cover excludes fire protection; telecom notes require fire caulk and rated penetrations.</t>
  </si>
  <si>
    <t>B21-R8</t>
  </si>
  <si>
    <t>General notes still require testing, acceptance and documentation.</t>
  </si>
  <si>
    <t>B21-Q1</t>
  </si>
  <si>
    <t>Confirm final scope: new TE enclosure at Room 100A/RM 104 and existing B21 B1.TR plus B19 B05TR transition?</t>
  </si>
  <si>
    <t>B21-Q2</t>
  </si>
  <si>
    <t>Why does 21_19T-701 list RM 104 / TR01-104-1 while enlarged plan identifies Room 100A?</t>
  </si>
  <si>
    <t>B21-Q3</t>
  </si>
  <si>
    <t>What active services are currently fed from existing B21 B1.TR and B19 B05TR equipment?</t>
  </si>
  <si>
    <t>B21-Q4</t>
  </si>
  <si>
    <t>What exactly is meant by '19 serving 21' on the new TE enclosure elevation?</t>
  </si>
  <si>
    <t>Building 19/21 boundary unclear</t>
  </si>
  <si>
    <t>B21-Q5</t>
  </si>
  <si>
    <t>What is the approved power source, receptacle type and circuit capacity for the new APC UPS/PDU in 100A?</t>
  </si>
  <si>
    <t>B21-Q6</t>
  </si>
  <si>
    <t>Are all 659 ft of cable tray route, sleeves, supports and firestopping details field verified?</t>
  </si>
  <si>
    <t>B21-Q7</t>
  </si>
  <si>
    <t>B21-Q8</t>
  </si>
  <si>
    <t>B21-P001</t>
  </si>
  <si>
    <t>M&amp;O Foreman Office 100A wall location, wall backing, clearances, ceiling, power source, cable path, fiber path A/B and new TE enclosure location</t>
  </si>
  <si>
    <t>B21-R1/B21-R3</t>
  </si>
  <si>
    <t>B21-P002</t>
  </si>
  <si>
    <t>Existing B21 basement B1.TR wall TE, legacy patch panels, Cisco switch, Fiber LIU, UPS on ground and cable entries</t>
  </si>
  <si>
    <t>B21-R1/B21-R2</t>
  </si>
  <si>
    <t>B21-P003</t>
  </si>
  <si>
    <t>Existing B19 B05TR basement and first-level TE/equipment, APC floor UPS, Cisco switch, patch panels, Fiber LIU and pathways</t>
  </si>
  <si>
    <t>B21-R1/B21-R4</t>
  </si>
  <si>
    <t>B21-P004</t>
  </si>
  <si>
    <t>100A/B05TR/B1.TR</t>
  </si>
  <si>
    <t>659 ft cable tray route, sleeves, wall/floor penetrations, support points, light/HVAC conflicts and 40% fill concerns</t>
  </si>
  <si>
    <t>B21-R6/B21-R7</t>
  </si>
  <si>
    <t>B21-P005</t>
  </si>
  <si>
    <t>New TE enclosure UPS/PDU receptacles, circuit source, grounding/bonding, labels and access</t>
  </si>
  <si>
    <t>B21-P006</t>
  </si>
  <si>
    <t>TR01-104-1 enclosure, cross-connect cables, Fiber LIU, patch panels, labels, test results and existing equipment transfer</t>
  </si>
  <si>
    <t>B21-R2/B21-R8</t>
  </si>
  <si>
    <t>B21-P007</t>
  </si>
  <si>
    <t>4-inch speed sleeve, wall/floor penetrations and fire caulk before/after photos</t>
  </si>
  <si>
    <t>B21-P008</t>
  </si>
  <si>
    <t>New first-level TE with 12RU wall enclosure, UPS/PDU, 659 ft cable tray, fiber/copper cutover and B19/B21 room naming coordination.</t>
  </si>
  <si>
    <t>Existing Building 21 basement telecom transition point; protect active services until cutover complete.</t>
  </si>
  <si>
    <t>Existing Building 19 telecom transition point tied into Building 21 scope; confirm shared service boundary.</t>
  </si>
  <si>
    <t>37-sheet Building 21_19 IFC package includes general, architectural, mechanical, electrical, telecommunications, telecom rack elevations, schedules, fiber risers, and photo references.</t>
  </si>
  <si>
    <t>Cover sheet note 4 states this building is to receive a Telecom Enclosure and fire protection scope has been excluded. Mechanical/electrical sheets are still included in the drawing index.</t>
  </si>
  <si>
    <t>21_19T-101 identifies B21/B19 first-level telecom plan and new enlarged plan at Room 100A, with 55 data ports served for B21 area. 21_19T-604 identifies existing B19 B05TR, existing B21 B1.TR, and new 19-serving-21 12RU TE enclosure at 100-A. 21_19T-701 identifies RM 104 / TR01-104-1 with 90 WAO total, 67 active ports, 119 ports per schedule, 131 total with 10% allowance, and 659 ft cable tray.</t>
  </si>
  <si>
    <t>Electrical / Mechanical Basis</t>
  </si>
  <si>
    <t>21_19E and 21_19M sheets exist for basement/first level and schedules; verify power source, UPS/PDU receptacles, bonding/grounding, and any cooling/environmental support in field.</t>
  </si>
  <si>
    <t>21_19R-900 provides photo reference for basement-level existing telecom room B05.</t>
  </si>
  <si>
    <t>BUILDING 22 │ EHRM ASSESSMENT │ PMIS DASHBOARD FEED</t>
  </si>
  <si>
    <t>518-22-700 IFC Building 22</t>
  </si>
  <si>
    <t>102 / existing 103 / Telecom Enclosure Assessment</t>
  </si>
  <si>
    <t>Building 22 is a telecom-enclosure building with mechanical and fire protection scope excluded. Scope centers on new first-level Break Room 102 TE enclosure and existing first-level wall/wall-mount TE Room 103. Field verification, active service transfer, 139 ft cable tray, 10 Cat6A cross-connect cables, UPS/PDU power, firestopping, and B19 utility service relationship remain open.</t>
  </si>
  <si>
    <t>Field verify Break Room 102 new TE location, existing Room 103 wall/wall-mount TE, active services, TR01-102-1 schedule, 139 ft cable tray route, 10 Cat6A cross-connect cables, UPS/PDU source, fiber paths A/B, firestopping/sleeves, and existing B19 port relationship.</t>
  </si>
  <si>
    <t>Break Room / new TE location</t>
  </si>
  <si>
    <t>22T-101 / 22T-701 / 22E-101 / 22E-701</t>
  </si>
  <si>
    <t>Primary Building 22 TE. Plans identify Break Room 102 at 358 SF with new 12RU telecom enclosure Rack ID TR01-102-1, APC UPS, two PDUs, network switch, 48-port Cat6A patch panel, Fiber LIU, and 8 total ports with 10% allowance.</t>
  </si>
  <si>
    <t>103</t>
  </si>
  <si>
    <t>Existing wall/wall-mount TE / legacy equipment area</t>
  </si>
  <si>
    <t>22T-101 / 22T-701 / 22R-900</t>
  </si>
  <si>
    <t>Existing Room 103 first-level wall/wall-mount TE shown with APC UPS, Cisco switch, SERTEX utility service, legacy Ortronics 24-port patch panel, Fiber LIU on wall, and ports 1-24 to Building 19 ports 73-96. Protect active services and transfer to Room 102 TE.</t>
  </si>
  <si>
    <t>N/A / Break Room</t>
  </si>
  <si>
    <t>New TE enclosure location in Break Room 102; verify wall backing, mounting height, access clearance, power, fiber/copper path, 4-inch speed sleeve, fire/smoke wall rating, and that break-room use can remain operational.</t>
  </si>
  <si>
    <t>Existing first-level wall/wall-mount TE; verify active equipment status, UPS, Cisco switch, SERTEX utility service, Fiber LIU, pathway, and transition/abandonment scope.</t>
  </si>
  <si>
    <t>Cover sheet states Building 22 receives a Telecom Enclosure and mechanical/fire protection scope is excluded. Still verify firestopping of rated penetrations, 4-inch sleeve, wall/floor openings, and life-safety device impacts.</t>
  </si>
  <si>
    <t>Existing TE room; verify protection-in-place and firestopping after cable transfer or reuse.</t>
  </si>
  <si>
    <t>Cover sheet states mechanical scope is excluded. Verify whether Break Room 102 ambient conditions are acceptable for wall-mount TE/UPS/PDU/network equipment.</t>
  </si>
  <si>
    <t>Existing Room 103 equipment area; verify existing environmental conditions during cutover and whether legacy equipment remains active.</t>
  </si>
  <si>
    <t>22E-101 / 22E-701 source to verify</t>
  </si>
  <si>
    <t>22T-701 new enclosure elevation shows APC UPS, two PDU L5-30 input / NEMA 5-20 output units, 120V outlet UPS, 120V outlet PDU, network switch, 48-port Cat6A patch panel and Fiber LIU. Verify circuit source, receptacle type, grounding/bonding and labels.</t>
  </si>
  <si>
    <t>Existing APC UPS</t>
  </si>
  <si>
    <t>Existing 103 elevation shows APC UPS, Cisco switch, SERTEX utility service, legacy patch equipment and Fiber LIU on wall; verify source circuits, UPS status, and transition requirements before disconnect/removal.</t>
  </si>
  <si>
    <t>22T-701 identifies TR01-102-1: 6 WAO total, 96 WAO available, 93% expansion capacity, 7 total port quantities, and 8 total ports with 10% allowance. Provide new wall-mount 12RU TE cabinet and 10 new Cat6A cross-connect cables from existing TE to new TE location.</t>
  </si>
  <si>
    <t>Existing Room 103 contains APC UPS, Cisco switch, SERTEX utility service, legacy Ortronics 24-port patch panel, Fiber LIU on wall and ports 1-24 to Bldg 19 ports 73-96. Field verify all active services and B19 handoff.</t>
  </si>
  <si>
    <t>Building 22 does not appear to create a new full TR door/PACS package. Verify any existing cameras/security devices in Break Room 102 and ensure no camera angle or VMS integration is disrupted.</t>
  </si>
  <si>
    <t>Verify security/access conditions and whether any legacy security equipment is present at existing TE location.</t>
  </si>
  <si>
    <t>B22-R1</t>
  </si>
  <si>
    <t>Existing conditions for new Break Room 102 TE and existing Room 103 TE not field verified</t>
  </si>
  <si>
    <t>B22 has a compact TE scope but still depends on field conditions and existing equipment transfer.</t>
  </si>
  <si>
    <t>B22-R2</t>
  </si>
  <si>
    <t>102/103</t>
  </si>
  <si>
    <t>Existing equipment in 103 may remain active during transfer to new TE in 102</t>
  </si>
  <si>
    <t>22T-101 keynotes require transfer of existing devices and phasing plan.</t>
  </si>
  <si>
    <t>B22-R3</t>
  </si>
  <si>
    <t>Break Room 102 use may conflict with wall-mount TE access and clearances</t>
  </si>
  <si>
    <t>Verify wall backing, enclosure clearances, working space, furniture/occupant impacts and owner acceptance</t>
  </si>
  <si>
    <t>New TE is in Break Room 102 rather than a dedicated TR.</t>
  </si>
  <si>
    <t>B22-R4</t>
  </si>
  <si>
    <t>No mechanical scope, but TE/UPS/network equipment may add heat load to Break Room 102</t>
  </si>
  <si>
    <t>Verify heat load, room ventilation, equipment clearances and owner acceptance before energizing enclosure</t>
  </si>
  <si>
    <t>B22-R5</t>
  </si>
  <si>
    <t>B22-R6</t>
  </si>
  <si>
    <t>139 feet of cable tray/pathway requires coordination despite small port count</t>
  </si>
  <si>
    <t>22T-701 cable tray schedule lists first floor estimated length of 139 ft.</t>
  </si>
  <si>
    <t>B22-R7</t>
  </si>
  <si>
    <t>22T-101 requires fire caulk at sleeves and rated penetration protection.</t>
  </si>
  <si>
    <t>B22-R8</t>
  </si>
  <si>
    <t>103 / B19</t>
  </si>
  <si>
    <t>Existing SERTEX utility service and B19 port relationship may create cutover dependency</t>
  </si>
  <si>
    <t>Verify ports 1-24 to Bldg 19 ports 73-96, service provider dependency, labels, test records and OIT approval</t>
  </si>
  <si>
    <t>Existing Room 103 elevation identifies ports to Building 19.</t>
  </si>
  <si>
    <t>B22-Q1</t>
  </si>
  <si>
    <t>Confirm final scope: new wall-mount TE enclosure in Break Room 102 and existing Room 103 transition only?</t>
  </si>
  <si>
    <t>B22-Q2</t>
  </si>
  <si>
    <t>What active services are currently fed from existing Room 103 equipment?</t>
  </si>
  <si>
    <t>B22-Q3</t>
  </si>
  <si>
    <t>What is the approved power source, receptacle type and circuit capacity for the new APC UPS/PDU in Room 102?</t>
  </si>
  <si>
    <t>B22-Q4</t>
  </si>
  <si>
    <t>Is Break Room 102 HVAC/ambient condition acceptable for a wall-mount TE with UPS/PDU/network switch?</t>
  </si>
  <si>
    <t>B22-Q5</t>
  </si>
  <si>
    <t>Are existing cameras/security devices in Building 22 protected and retained with no VMS/PACS changes?</t>
  </si>
  <si>
    <t>B22-Q6</t>
  </si>
  <si>
    <t>Are all 139 feet of cable tray route, sleeves, supports and firestopping details field verified?</t>
  </si>
  <si>
    <t>B22-Q7</t>
  </si>
  <si>
    <t>B22-Q8</t>
  </si>
  <si>
    <t>What is the operational impact of Room 103 ports 1-24 to Building 19 ports 73-96?</t>
  </si>
  <si>
    <t>B19 dependency/cutover risk</t>
  </si>
  <si>
    <t>B22-P001</t>
  </si>
  <si>
    <t>Break Room 102 wall location, wall backing, clearances, ceiling, power source, cable path, fiber path A/B and new TE enclosure location</t>
  </si>
  <si>
    <t>B22-R1/B22-R3</t>
  </si>
  <si>
    <t>B22-P002</t>
  </si>
  <si>
    <t>Existing Room 103 wall/wall-mount TE, APC UPS, Cisco switch, SERTEX utility service, legacy patch panel, Fiber LIU and cable entries</t>
  </si>
  <si>
    <t>B22-R1/B22-R2</t>
  </si>
  <si>
    <t>B22-P003</t>
  </si>
  <si>
    <t>Ports 1-24 to Building 19 ports 73-96, active service labeling, utility service and handoff condition</t>
  </si>
  <si>
    <t>B22-P004</t>
  </si>
  <si>
    <t>139 ft first-floor cable tray route, sleeves, wall penetrations, support points, light/HVAC conflicts and 40% fill concerns</t>
  </si>
  <si>
    <t>B22-R6/B22-R7</t>
  </si>
  <si>
    <t>B22-P005</t>
  </si>
  <si>
    <t>B22-P006</t>
  </si>
  <si>
    <t>TR01-102-1 enclosure, cross-connect cables, Fiber LIU, patch panels, labels, test results and existing equipment transfer</t>
  </si>
  <si>
    <t>B22-R2/B22-R8</t>
  </si>
  <si>
    <t>B22-P007</t>
  </si>
  <si>
    <t>B22-P008</t>
  </si>
  <si>
    <t>New first-level Break Room TE with 12RU wall enclosure, UPS/PDU, 139 ft cable tray, fiber/copper cutover and no dedicated mechanical/FP scope.</t>
  </si>
  <si>
    <t>Existing wall/wall-mount TE and transition point; protect active services until cutover complete.</t>
  </si>
  <si>
    <t>25-sheet Building 22 IFC package includes general, architectural, electrical, telecommunications, telecom schedules/rack elevations, fiber risers, and photo references. Mechanical and fire protection drawing packages are excluded for this building.</t>
  </si>
  <si>
    <t>Cover sheet note 4 states Building 22 is to receive a Telecom Enclosure and mechanical/fire protection scope has been excluded.</t>
  </si>
  <si>
    <t>22T-101 identifies Break Room 102 at 358 SF and the new TE location served from Level 01, with existing/relocated Trane BMS, patch panel, keypad and equipment box noted in the demo/enlarged view. 22T-701 identifies Rack ID TR01-102-1, 6 WAO total, 96 WAO available, 93% expansion capacity, 7 total ports, 8 total ports with 10% allowance, 139 ft first-floor cable tray, and new 12RU telecom enclosure equipment.</t>
  </si>
  <si>
    <t>Existing Equipment Basis</t>
  </si>
  <si>
    <t>22T-701 existing elevation identifies Room 103 first-level wall/wall-mount TE with APC UPS, Cisco switch, SERTEX utility service, legacy Ortronics 24-port patch panel, Fiber LIU on wall, and ports 1-24 to Building 19 ports 73-96.</t>
  </si>
  <si>
    <t>22E-101/601/701 provide electrical plan, one-line and schedule references; verify power source, UPS/PDU receptacles, bonding/grounding, circuit capacity and labels in field.</t>
  </si>
  <si>
    <t>22R-900 provides the first-level existing telecom room photo reference labeled Room 124; verify if this is a photo-label mismatch or related existing room reference.</t>
  </si>
  <si>
    <t>BUILDING 33 │ EHRM ASSESSMENT │ PMIS DASHBOARD FEED</t>
  </si>
  <si>
    <t>518-22-700 IFC Building 33</t>
  </si>
  <si>
    <t>B23 / existing B17 / Telecom Enclosure Assessment</t>
  </si>
  <si>
    <t>Building 33 is a telecom-enclosure building with mechanical and fire protection scope excluded. Scope centers on new basement EEO Manager Office B23 TE enclosure and existing Tel Closet B17. Field verification, active service transfer, 102 ft basement cable tray, 10 Cat6A cross-connect cables, UPS/PDU power, firestopping, fiber/copper cutover, and legacy service relationships to Buildings 3, 80 and 82 remain open.</t>
  </si>
  <si>
    <t>Field verify EEO Manager Office B23 new TE location, existing Tel Closet B17, active services, TE01-B23-1 schedule, 102 ft basement cable tray route, 10 Cat6A cross-connect cables, UPS/PDU source, fiber paths A/B, firestopping/sleeves, existing camera/security devices, and B17 legacy port/service relationships.</t>
  </si>
  <si>
    <t>EEO Manager Office / new TE location</t>
  </si>
  <si>
    <t>33T-100 / 33T-604 / 33T-701 / 33E-100 / 33E-701</t>
  </si>
  <si>
    <t>Primary Building 33 TE. Plans identify EEO Manager Office B23 at 175 SF with new 12RU telecom enclosure Rack ID TE01-B23-1, APC UPS, two PDUs, network switch, 48-port Cat6A patch panel, Fiber LIU, 55 WAO total, and 97 total ports with 10% allowance.</t>
  </si>
  <si>
    <t>Basement / First photo reference</t>
  </si>
  <si>
    <t>Existing Tel Closet / open TE cabinet and legacy equipment</t>
  </si>
  <si>
    <t>33T-100 / 33T-604 / 33R-900</t>
  </si>
  <si>
    <t>Existing Tel Closet B17 shown at 13 SF with existing open TE cabinet, network door controller, indoor AC unit, plywood backboard, keypad, patch panel, ground bar, equipment box, Cisco switches, legacy patch panels, Fiber LIU, SERTEX utility service, and UPS on floor. Protect active services and verify transfer to Room B23 TE.</t>
  </si>
  <si>
    <t>New TE enclosure location in EEO Manager Office B23; verify wall backing, mounting height, access clearance, power, fiber/copper path, 4-inch speed sleeve, fire/smoke wall rating, and office-use impacts.</t>
  </si>
  <si>
    <t>Existing Tel Closet; verify active equipment status, open TE cabinet, indoor AC, network door controller, keypad/security devices, UPS, backboard, Fiber LIU, and transition/abandonment scope.</t>
  </si>
  <si>
    <t>Cover sheet states Building 33 receives a Telecom Enclosure and mechanical/fire protection scope is excluded. Still verify firestopping of rated penetrations, 4-inch sleeve, wall/floor openings, and life-safety device impacts.</t>
  </si>
  <si>
    <t>Existing Tel Closet; verify protection-in-place and firestopping after cable transfer or reuse.</t>
  </si>
  <si>
    <t>Cover sheet states mechanical scope is excluded. Verify whether Office B23 ambient conditions are acceptable for wall-mount TE/UPS/PDU/network equipment.</t>
  </si>
  <si>
    <t>Existing B17 enlarged plan identifies an existing indoor AC unit. Verify operation during cutover and determine whether active legacy equipment remains after transfer to B23.</t>
  </si>
  <si>
    <t>33E-100 / 33E-701 source to verify</t>
  </si>
  <si>
    <t>33T-604 new enclosure elevation shows APC UPS, two PDU L5-30 input / NEMA 5-20 output units, 120V outlet UPS, 120V outlet PDU, network switch, 48-port Cat6A patch panel and Fiber LIU. Verify circuit source, receptacle type, grounding/bonding and labels.</t>
  </si>
  <si>
    <t>Existing UPS on floor</t>
  </si>
  <si>
    <t>Existing B17 elevations show UPS on floor, Cisco switches, SERTEX utility service, legacy patch panels and Fiber LIU; verify source circuits, UPS status, and transition requirements before disconnect/removal.</t>
  </si>
  <si>
    <t>33T-701 identifies TE01-B23-1: 55 WAO total, 34 active ports per survey, 88 total ports per schedule, and 97 total ports with 10% allowance. Basement cable tray schedule totals 102 ft. Provide 10 new Cat6A cross-connect cables from existing TE to new TE location.</t>
  </si>
  <si>
    <t>Existing B17 rack elevations include Cisco switches, legacy 24/48-port patch panels, SERTEX utility service, legacy Fiber LIU, passive Fiber LIU/wall mount, UPS on floor and cross-building port references to Bldgs 3, 80 and 82.</t>
  </si>
  <si>
    <t>Building 33 does not appear to create a new full TR door/PACS package. Verify existing cameras/security devices in B23 and ensure no camera angle or VMS integration is disrupted.</t>
  </si>
  <si>
    <t>Existing B17 enlarged plan identifies network door controller, keypad and equipment box; verify protection-in-place and whether any security equipment is relocated or recabled.</t>
  </si>
  <si>
    <t>B33-R1</t>
  </si>
  <si>
    <t>Existing conditions for new B23 TE and existing B17 Tel Closet not field verified</t>
  </si>
  <si>
    <t>B33 has a compact TE scope but depends on existing equipment transfer and field conditions.</t>
  </si>
  <si>
    <t>B33-R2</t>
  </si>
  <si>
    <t>B23/B17</t>
  </si>
  <si>
    <t>Existing equipment in B17 may remain active during transfer to new TE in B23</t>
  </si>
  <si>
    <t>33T-100 keynotes require transfer of existing devices and phasing plan.</t>
  </si>
  <si>
    <t>B33-R3</t>
  </si>
  <si>
    <t>Office B23 use may conflict with wall-mount TE access and clearances</t>
  </si>
  <si>
    <t>New TE is in EEO Manager Office B23 rather than a dedicated TR.</t>
  </si>
  <si>
    <t>B33-R4</t>
  </si>
  <si>
    <t>No mechanical scope, but TE/UPS/network equipment may add heat load to Office B23</t>
  </si>
  <si>
    <t>B33-R5</t>
  </si>
  <si>
    <t>B33-R6</t>
  </si>
  <si>
    <t>102 feet of basement cable tray/pathway requires coordination and firestop tracking</t>
  </si>
  <si>
    <t>33T-701 cable tray schedule lists basement level estimated length of 102 ft.</t>
  </si>
  <si>
    <t>B33-R7</t>
  </si>
  <si>
    <t>33T-100 requires fire caulk at sleeves and rated penetration protection.</t>
  </si>
  <si>
    <t>B33-R8</t>
  </si>
  <si>
    <t>B17 / Other Bldgs</t>
  </si>
  <si>
    <t>Existing B17 cross-building service relationships may create cutover dependency</t>
  </si>
  <si>
    <t>Verify ports to Bldgs 3, 80 and 82, SERTEX utility service, labels, test records, service provider dependency and OIT approval</t>
  </si>
  <si>
    <t>Existing B17 elevation identifies ports 1-72 to Bldg 3, 73-96 to Bldg 80, 97-120 to Bldg 82, and 121-144 to Bldg 3.</t>
  </si>
  <si>
    <t>B33-Q1</t>
  </si>
  <si>
    <t>Confirm final scope: new wall-mount TE enclosure in B23 and existing B17 transition only?</t>
  </si>
  <si>
    <t>B33-Q2</t>
  </si>
  <si>
    <t>What active services are currently fed from existing B17 equipment?</t>
  </si>
  <si>
    <t>B33-Q3</t>
  </si>
  <si>
    <t>What is the approved power source, receptacle type and circuit capacity for the new APC UPS/PDU in B23?</t>
  </si>
  <si>
    <t>B33-Q4</t>
  </si>
  <si>
    <t>Is Office B23 HVAC/ambient condition acceptable for a wall-mount TE with UPS/PDU/network switch?</t>
  </si>
  <si>
    <t>B33-Q5</t>
  </si>
  <si>
    <t>Are existing cameras/security devices in Building 33 protected and retained with no VMS/PACS disruption?</t>
  </si>
  <si>
    <t>B33-Q6</t>
  </si>
  <si>
    <t>Are all 102 feet of cable tray route, sleeves, supports and firestopping details field verified?</t>
  </si>
  <si>
    <t>B33-Q7</t>
  </si>
  <si>
    <t>B33-Q8</t>
  </si>
  <si>
    <t>What is the operational impact of B17 ports serving Buildings 3, 80 and 82?</t>
  </si>
  <si>
    <t>Cross-building dependency/cutover risk</t>
  </si>
  <si>
    <t>B33-P001</t>
  </si>
  <si>
    <t>EEO Manager Office B23 wall location, wall backing, clearances, ceiling, power source, cable path, fiber path A/B and new TE enclosure location</t>
  </si>
  <si>
    <t>B33-R1/B33-R3</t>
  </si>
  <si>
    <t>B33-P002</t>
  </si>
  <si>
    <t>Existing Tel Closet B17 open TE cabinet, network door controller, indoor AC unit, plywood backboard, keypad, patch panel, ground bar and equipment box</t>
  </si>
  <si>
    <t>B33-R1/B33-R2</t>
  </si>
  <si>
    <t>B33-P003</t>
  </si>
  <si>
    <t>Cisco switches, legacy 24/48-port patch panels, SERTEX utility service, Fiber LIU, UPS on floor and cross-building port labels</t>
  </si>
  <si>
    <t>B33-R2/B33-R8</t>
  </si>
  <si>
    <t>B33-P004</t>
  </si>
  <si>
    <t>102 ft basement cable tray route, 4-inch sleeve, wall/floor penetrations, support points, light/HVAC conflicts and 40% fill concerns</t>
  </si>
  <si>
    <t>B33-R6/B33-R7</t>
  </si>
  <si>
    <t>B33-P005</t>
  </si>
  <si>
    <t>B33-P006</t>
  </si>
  <si>
    <t>TE01-B23-1 enclosure, cross-connect cables, Fiber LIU, patch panels, labels, test results and existing B17 equipment transfer</t>
  </si>
  <si>
    <t>B33-P007</t>
  </si>
  <si>
    <t>B33-P008</t>
  </si>
  <si>
    <t>B17/B23</t>
  </si>
  <si>
    <t>Existing cameras, network door controller, keypad and equipment box to remain/protect or be recabled</t>
  </si>
  <si>
    <t>New basement office TE with 12RU wall enclosure, UPS/PDU, 102 ft cable tray, fiber/copper cutover and no dedicated mechanical/FP scope.</t>
  </si>
  <si>
    <t>Existing Tel Closet and transition point; protect active services until cutover complete.</t>
  </si>
  <si>
    <t>26-sheet Building 33 IFC package includes general, architectural, electrical, telecommunications, telecom schedules/rack elevations, fiber risers, and photo references. Mechanical and fire protection drawing packages are excluded for this building.</t>
  </si>
  <si>
    <t>Cover sheet note 4 states Building 33 is to receive a Telecom Enclosure and mechanical/fire protection scope has been excluded.</t>
  </si>
  <si>
    <t>33T-100 identifies EEO Manager Office B23 at 175 SF as the new TE location and existing Tel Closet B17 at 13 SF with existing open TE cabinet/equipment. 33T-604 identifies existing B17 rack/equipment and new B23 12RU TE enclosure. 33T-701 identifies Rack ID TE01-B23-1, 55 WAO total, 34 active ports, 88 ports per schedule, 97 total ports with 10% allowance and 102 ft basement cable tray.</t>
  </si>
  <si>
    <t>33T-604 existing B17 elevations identify Cisco switches, legacy 24/48-port patch panels, SERTEX utility service, legacy Fiber LIU, Fiber LIU wall mount, UPS on floor and ports serving Buildings 3, 80 and 82.</t>
  </si>
  <si>
    <t>33E-100/601/701 provide electrical plan, one-line and schedule references; verify power source, UPS/PDU receptacles, bonding/grounding, circuit capacity and labels in field.</t>
  </si>
  <si>
    <t>33R-900 provides the existing telecom room photo reference labeled First Level Existing Telecom Room B17; coordinate with plan/rack elevation references that show B17 equipment and basement/first-level labeling.</t>
  </si>
  <si>
    <t>BUILDING 61 │ EHRM ASSESSMENT │ PMIS DASHBOARD FEED</t>
  </si>
  <si>
    <t>518-22-700 IFC Building 61</t>
  </si>
  <si>
    <t>B13H-A / 124 / 226 / existing 137-137A Demarc</t>
  </si>
  <si>
    <t>Building 61 is a large full-scope TR building with hazardous abatement, architectural, fire protection, plumbing, mechanical, electrical, security, telecom, server/demarc and rack elevation scope. Primary new telecom rooms include basement B13H-A, first-level 124, second-level 226, and existing Room 137/137A demarc/server equipment. Major open issues include active-service cutover, dedicated cooling IU/CU-0-01/1-01/2-01, panel source coordination, rack UPS/PDU power, cable tray coordination, firestopping, PACS/CCTV, and turnover testing.</t>
  </si>
  <si>
    <t>Field verify B13H-A, 124, 226, and existing 137/137A; confirm active services, rack/equipment transfer, B61-TRB13A/B, B61-TR124A/B, B61-TR226A/B, B61-TR137AA/AB panel sources, IU/CU equipment, fire alarm/sprinkler impacts, FEC locations, PACS/CCTV scope, hazardous/abatement impacts, 1,966 ft cable tray routes, and cutover sequence.</t>
  </si>
  <si>
    <t>B13H-A</t>
  </si>
  <si>
    <t>Basement telecom / support area</t>
  </si>
  <si>
    <t>61A-400 / 61E-401 / 61T-100 / 61T-401 / 61T-604 / 61T-701</t>
  </si>
  <si>
    <t>Basement TR identified as RM B13H-A with Rack ID TR01-B13H-A-1. Schedules identify 88 WAO total, 74 active ports, 129 scheduled ports, 142 ports with 10% allowance. Electrical panels include B61-TRB13A/B. Mechanical cooling includes IU-0-01/CU-0-01.</t>
  </si>
  <si>
    <t>First-level telecom area</t>
  </si>
  <si>
    <t>61A-400 / 61E-402 / 61T-101 / 61T-401 / 61T-604 / 61T-701</t>
  </si>
  <si>
    <t>First-level TR identified as Room 124 / Rack ID TR01-124-1. Electrical panels include B61-TR124A/B. Mechanical cooling includes IU-1-01/CU-1-01. Verify room naming against electrical schedule references that also call out RM137B rack receptacles.</t>
  </si>
  <si>
    <t>Second-level telecom area</t>
  </si>
  <si>
    <t>61A-401 / 61E-402 / 61T-102 / 61T-401 / 61T-605 / 61T-702</t>
  </si>
  <si>
    <t>Second-level TR identified as Room 226 / Rack ID TR01-226-1. Schedules identify 109 WAO total, 126 active ports, 156 scheduled ports, 172 ports with 10% allowance. Electrical panels include B61-TR226A/B. Mechanical cooling includes IU-2-01/CU-2-01.</t>
  </si>
  <si>
    <t>137 / 137A</t>
  </si>
  <si>
    <t>Existing server/demarc/telecom equipment rooms</t>
  </si>
  <si>
    <t>Existing demarc / server transition point</t>
  </si>
  <si>
    <t>61T-402 / 61T-606 / 61T-607 / 61R-900</t>
  </si>
  <si>
    <t>Existing Room 137/137A rack inventory and demarc/server equipment include existing 4-post racks, PACS/equipment racks, APC UPS/PDU equipment, Fujitsu FLM equipment, wall-mounted patch panels, and local elevations. Protect active services and verify what remains, transfers, or is modified.</t>
  </si>
  <si>
    <t>Basement TR; verify rated walls/open-to-deck conditions, door/security, floor finish, ladder rack/cable tray, future rack clearance, wall backing, and pathway entries.</t>
  </si>
  <si>
    <t>First-level TR; verify rated construction, door hardware, ceiling/deck, rack/future rack clearances, wall backing, and riser/pathway entries.</t>
  </si>
  <si>
    <t>Second-level TR; verify rated construction, door hardware, ceiling/deck, rack/future rack clearances, wall backing, and riser/pathway entries.</t>
  </si>
  <si>
    <t>Existing demarc/server rooms; verify existing rack inventory, operational continuity, active circuits, access control, airflow and protection-in-place.</t>
  </si>
  <si>
    <t>Dedicated TR scope includes fire protection drawings. Verify sprinkler modifications, fire alarm devices, clean-agent 2A:10B:C FEC within 75 ft, rated penetrations, and temporary firestopping.</t>
  </si>
  <si>
    <t>Verify sprinkler/fire alarm modifications, clean-agent FEC location, penetrations, cable tray/riser openings, and final UL firestop systems.</t>
  </si>
  <si>
    <t>Verify second-level TR sprinkler/fire alarm modifications, clean-agent FEC location, vertical riser penetrations, and firestopping.</t>
  </si>
  <si>
    <t>Existing demarc/server rooms may remain active; verify protection-in-place, FA/FP continuity, and no unsealed penetrations after cabling work.</t>
  </si>
  <si>
    <t>Mechanical sheets identify dedicated split-system cooling with BACnet adapter mounted adjacent to unit in telecom room. Confirm capacity, emergency source, condensate, disconnect, controls, and alarms.</t>
  </si>
  <si>
    <t>Mechanical/electrical plans identify IU-1-01/CU-1-01 for first-level TR. Confirm 24/7 operation, emergency/standby source and high-temp alarm.</t>
  </si>
  <si>
    <t>Mechanical/electrical plans identify IU-2-01/CU-2-01 for second-level TR. Confirm refrigerant route, condensate route, controls and alarm tie-in.</t>
  </si>
  <si>
    <t>Existing demarc/server equipment likely has existing cooling dependencies. Verify active equipment heat load, airflow, operational temperatures and whether any existing cooling is modified or protected.</t>
  </si>
  <si>
    <t>B61-TRB13A / B61-TRB13B</t>
  </si>
  <si>
    <t>Electrical enlarged plans and schedules identify rack receptacles, UPS circuits, PDUs, panelboards, SPD devices and dedicated cooling power for B13H-A. Verify B61-TRB13A/B source, LOTO and labels.</t>
  </si>
  <si>
    <t>B61-TR124A / B61-TR124B</t>
  </si>
  <si>
    <t>Electrical schedules identify B61-TR124A/B and rack receptacles. Verify apparent room-name mismatch with RM137B rack receptacles in schedules.</t>
  </si>
  <si>
    <t>B61-TR226A / B61-TR226B</t>
  </si>
  <si>
    <t>Electrical schedules identify B61-TR226A/B, rack receptacles, CU-2-01 and SPD requirements. Verify source circuits and labels.</t>
  </si>
  <si>
    <t>Existing APC UPS/PDU</t>
  </si>
  <si>
    <t>B61-TR137AA / B61-TR137AB / existing</t>
  </si>
  <si>
    <t>Existing rack inventory includes APC UPS/PDU and server/demarc equipment. Electrical one-line/schedules list B61-TR137AA/AB and PD-B61-TR137 panels; verify active sources and transition impact.</t>
  </si>
  <si>
    <t>61T-701: 88 WAO total, 74 active ports, 129 scheduled ports, 142 with 10% allowance. Rack ID TR01-B13H-A-1. Basement cable tray included in 890 ft basement total.</t>
  </si>
  <si>
    <t>61T-701: first-level Room 124 / Rack ID TR01-124-1. Schedule data runs across first-level outlets. Include labels, Fiber LIU, Cat6A patch panels, UPS/PDU and VA/OIT acceptance.</t>
  </si>
  <si>
    <t>61T-702: 109 WAO total, 126 active ports, 156 scheduled ports, 172 with 10% allowance. Rack ID TR01-226-1. Verify second-level cable tray and riser penetrations.</t>
  </si>
  <si>
    <t>61T-402/606/607 inventory existing demarc/server racks and equipment. Protect active systems, coordinate cutover, preserve labels, document equipment remaining in service.</t>
  </si>
  <si>
    <t>Telecom plans call for wall-mounted CCTV at TRs and PACS for TR doors. Verify camera, controller, CR/RX/DC/ES/MD, and VMS/PACS integration.</t>
  </si>
  <si>
    <t>Verify TR door hardware and access control, CCTV camera, network door controller and integration.</t>
  </si>
  <si>
    <t>Verify second-level TR access control, CCTV camera, door hardware, and VMS/PACS integration.</t>
  </si>
  <si>
    <t>Existing PACS/equipment racks are referenced. Verify existing security devices protected-in-place and any new recabling or integration scope.</t>
  </si>
  <si>
    <t>B61-R1</t>
  </si>
  <si>
    <t>Existing conditions and active equipment across B13H-A, 124, 226 and 137/137A not field verified</t>
  </si>
  <si>
    <t>Large multi-room scope with active demarc/server equipment.</t>
  </si>
  <si>
    <t>B61-R2</t>
  </si>
  <si>
    <t>B13H-A / 124 / 226</t>
  </si>
  <si>
    <t>Hazardous material abatement plans exist for first and second levels</t>
  </si>
  <si>
    <t>Coordinate IH/abatement review before penetrations, wall/ceiling work, cabling or mechanical/electrical installation</t>
  </si>
  <si>
    <t>Drawing index includes 61H-101 and 61H-102 hazardous material abatement plans.</t>
  </si>
  <si>
    <t>B61-R3</t>
  </si>
  <si>
    <t>Existing server/demarc equipment may remain active during cutover</t>
  </si>
  <si>
    <t>Document active services, service provider circuits, rack inventory, OIT windows, temporary utilities and rollback path</t>
  </si>
  <si>
    <t>Existing APC/Fujitsu/rack/patch equipment shown in Room 137 inventory/rack elevations.</t>
  </si>
  <si>
    <t>B61-R4</t>
  </si>
  <si>
    <t>Dedicated cooling sequence, emergency power, condensate, BACnet and alarms not verified</t>
  </si>
  <si>
    <t>Confirm IU/CU-0/1/2 power source, condensate, controls, BACnet adapter, thermostat and high-temp alarm</t>
  </si>
  <si>
    <t>Cooling is central to TR/server readiness.</t>
  </si>
  <si>
    <t>B61-R5</t>
  </si>
  <si>
    <t>Panel source, UPS/PDU and rack receptacle coordination could delay energization</t>
  </si>
  <si>
    <t>Verify B61-TRB13A/B, B61-TR124A/B, B61-TR226A/B, B61-TR137AA/AB, PD panels, SPDs and load measurements</t>
  </si>
  <si>
    <t>Multiple telecom panelboards and PD panels shown.</t>
  </si>
  <si>
    <t>B61-R6</t>
  </si>
  <si>
    <t>Large cable tray scope creates coordination and firestop risk</t>
  </si>
  <si>
    <t>Verify 1,966 ft cable tray route, supports, seismic bracing, 40% fill, MEP conflicts, sleeves and final firestop assemblies</t>
  </si>
  <si>
    <t>Cable tray schedule: basement 890 ft, first 499 ft, second 578 ft.</t>
  </si>
  <si>
    <t>B61-R7</t>
  </si>
  <si>
    <t>Telecom/fiber cutover could affect active hospital communications and server/demarc services</t>
  </si>
  <si>
    <t>WAO counts and active ports are substantial across B13H-A, 124 and 226.</t>
  </si>
  <si>
    <t>B61-R8</t>
  </si>
  <si>
    <t>Full-scope building with multiple divisions.</t>
  </si>
  <si>
    <t>B61-Q1</t>
  </si>
  <si>
    <t>Confirm final telecom room list and PMIS mapping: B13H-A, 124, 226 and existing 137/137A demarc/server rooms?</t>
  </si>
  <si>
    <t>B61-Q2</t>
  </si>
  <si>
    <t>What active services and circuits are currently housed in Room 137/137A?</t>
  </si>
  <si>
    <t>Potential outage/cutover risk</t>
  </si>
  <si>
    <t>B61-Q3</t>
  </si>
  <si>
    <t>Are B61-TR137AA/AB panel references tied to Room 137 or a schedule naming mismatch for Room 124?</t>
  </si>
  <si>
    <t>Electrical PMIS mapping risk</t>
  </si>
  <si>
    <t>B61-Q4</t>
  </si>
  <si>
    <t>Are IU/CU-0-01, 1-01 and 2-01 on emergency/backup power and dedicated to the TRs they serve?</t>
  </si>
  <si>
    <t>B61-Q5</t>
  </si>
  <si>
    <t>Where are clean-agent/CO2 FEC cabinets located within 75 ft of each new TR?</t>
  </si>
  <si>
    <t>B61-Q6</t>
  </si>
  <si>
    <t>Are rack UPS/PDU circuits, SPDs, labels, load measurements and LOTO requirements approved for all TR panelboards?</t>
  </si>
  <si>
    <t>B61-Q7</t>
  </si>
  <si>
    <t>Are all rated wall/floor penetrations, sleeves, cable tray entries and temporary firestopping details identified?</t>
  </si>
  <si>
    <t>B61-Q8</t>
  </si>
  <si>
    <t>Which third-party inspections, commissioning forms and OIT acceptance records are required before turnover?</t>
  </si>
  <si>
    <t>B61-P001</t>
  </si>
  <si>
    <t>Basement TR B13H-A walls, ceiling/deck, floor, door, rack/future rack, power, HVAC, cable tray and penetrations</t>
  </si>
  <si>
    <t>B61-R1/B61-R2</t>
  </si>
  <si>
    <t>B61-P002</t>
  </si>
  <si>
    <t>First-level TR 124 walls, ceiling/deck, floor, door, rack/future rack, power, HVAC, cable tray and penetrations</t>
  </si>
  <si>
    <t>B61-R1/B61-R4</t>
  </si>
  <si>
    <t>B61-P003</t>
  </si>
  <si>
    <t>Second-level TR 226 walls, ceiling/deck, floor, door, rack/future rack, power, HVAC, cable tray and riser penetrations</t>
  </si>
  <si>
    <t>B61-P004</t>
  </si>
  <si>
    <t>Existing server/demarc racks, APC UPS/PDU, Fujitsu equipment, patch panels, PACS/equipment racks and cable entries</t>
  </si>
  <si>
    <t>B61-R3/B61-R7</t>
  </si>
  <si>
    <t>B61-P005</t>
  </si>
  <si>
    <t>IU/CU-0-01, IU/CU-1-01, IU/CU-2-01, condensate, thermostat, BACnet adapter, disconnects, high-temp alarm and power source</t>
  </si>
  <si>
    <t>B61-P006</t>
  </si>
  <si>
    <t>B61 telecom panels, PD panels, rack receptacles, UPS/PDU, breakers, SPDs, labels and grounding/bonding</t>
  </si>
  <si>
    <t>B61-P007</t>
  </si>
  <si>
    <t>Basement/first/second cable tray route, supports, seismic bracing, penetrations and before/after firestopping</t>
  </si>
  <si>
    <t>B61-P008</t>
  </si>
  <si>
    <t>Racks, Fiber LIU, Cat6A, patch panels, labels/test records, CCTV, PACS and existing equipment transfer work</t>
  </si>
  <si>
    <t>B61-R7/B61-R8</t>
  </si>
  <si>
    <t>Basement TR with 142 total ports including allowance, dedicated cooling, UPS/PDU, cable tray and fire/life-safety scope.</t>
  </si>
  <si>
    <t>First-level TR with dedicated cooling, UPS/PDU, cable tray and potential electrical room-name mapping issue.</t>
  </si>
  <si>
    <t>Second-level TR with 172 total ports including allowance, dedicated cooling, UPS/PDU and riser/firestop coordination.</t>
  </si>
  <si>
    <t>Existing demarc/server room inventory; protect active services until cutover and acceptance complete.</t>
  </si>
  <si>
    <t>70-sheet Building 61 IFC package includes general, hazardous abatement, architectural, interiors, fire protection, plumbing, mechanical, electrical, telecommunications, schedules/rack elevations, server/demarc rack elevations and photo references.</t>
  </si>
  <si>
    <t>Drawing index includes 61H-101 first-level and 61H-102 second-level hazardous material abatement plans plus architectural enlarged views 61A-400/401 for basement, first and second levels.</t>
  </si>
  <si>
    <t>61M sheets identify dedicated split-system cooling for telecom rooms using IU-0-01/IU-1-01/IU-2-01 and CU-0-01/CU-1-01/CU-2-01, with BACnet adapter mounted adjacent to unit in telecom room; verify emergency power, condensate and alarms.</t>
  </si>
  <si>
    <t>61E-401/402/601/701/702/703 identify B61 telecom panelboards and PD panels including B61-TRB13A/B, B61-TR124A/B, B61-TR226A/B, B61-TR137AA/AB, rack receptacles, SPDs, UPS/PDU and cooling equipment circuits.</t>
  </si>
  <si>
    <t>61T-701/702 identify B13H-A: 88 WAO, 74 active, 129 scheduled, 142 with allowance; 226: 109 WAO, 126 active, 156 scheduled, 172 with allowance. Cable tray schedule totals 1,966 ft: basement 890 ft, first 499 ft, second 578 ft.</t>
  </si>
  <si>
    <t>Server / Demarc Basis</t>
  </si>
  <si>
    <t>61T-402/606/607 and 61R-900 reference Room 137/137A existing telecom/server/demarc racks, APC UPS/PDU, Fujitsu equipment, wall-mounted patch panels and active systems requiring protection-in-place and cutover coordination.</t>
  </si>
  <si>
    <t>BUILDING 62 │ EHRM ASSESSMENT │ PMIS DASHBOARD FEED</t>
  </si>
  <si>
    <t>IFC B62 Drawings</t>
  </si>
  <si>
    <t>B24A, 125, 225 / TR Assessment</t>
  </si>
  <si>
    <t>Cooling / emergency power not verified</t>
  </si>
  <si>
    <t>Verify cooling power path, firestopping, extinguisher location, and existing conditions</t>
  </si>
  <si>
    <t>Restroom / Storage</t>
  </si>
  <si>
    <t>B62 IFC</t>
  </si>
  <si>
    <t>Medication Room</t>
  </si>
  <si>
    <t>Office</t>
  </si>
  <si>
    <t>Walls</t>
  </si>
  <si>
    <t>Controls Tested</t>
  </si>
  <si>
    <t>6. TELECOM</t>
  </si>
  <si>
    <t>7. OWNER RISKS</t>
  </si>
  <si>
    <t>B62-R1</t>
  </si>
  <si>
    <t>Cooling redundancy / emergency power not verified</t>
  </si>
  <si>
    <t>Confirm power path for cooling, controls, condensate pump</t>
  </si>
  <si>
    <t>B62-R2</t>
  </si>
  <si>
    <t>Firestopping condition unknown</t>
  </si>
  <si>
    <t>Survey penetrations and temporary/permanent firestop plan</t>
  </si>
  <si>
    <t>B62-R3</t>
  </si>
  <si>
    <t>Existing room conditions undocumented</t>
  </si>
  <si>
    <t>Create photo record before construction begins</t>
  </si>
  <si>
    <t>B62-R4</t>
  </si>
  <si>
    <t>Condensate leak risk near IT equipment</t>
  </si>
  <si>
    <t>Verify condensate routing and alarms</t>
  </si>
  <si>
    <t>8. OPEN QUESTIONS</t>
  </si>
  <si>
    <t>B62-Q1</t>
  </si>
  <si>
    <t>Are cooling units emergency powered?</t>
  </si>
  <si>
    <t>VA / Designer</t>
  </si>
  <si>
    <t>Cannot confirm continuity of operations</t>
  </si>
  <si>
    <t>B62-Q2</t>
  </si>
  <si>
    <t>Are future rack loads included in HVAC sizing?</t>
  </si>
  <si>
    <t>Designer</t>
  </si>
  <si>
    <t>Cooling may be undersized after expansion</t>
  </si>
  <si>
    <t>B62-Q3</t>
  </si>
  <si>
    <t>Is extinguisher location identified within 75 feet?</t>
  </si>
  <si>
    <t>Contractor / COR</t>
  </si>
  <si>
    <t>Life safety / acceptance risk</t>
  </si>
  <si>
    <t>B62-Q4</t>
  </si>
  <si>
    <t>Are all penetrations fully documented and firestopped?</t>
  </si>
  <si>
    <t>Contractor / Designer</t>
  </si>
  <si>
    <t>9. PHOTO LOG</t>
  </si>
  <si>
    <t>B62-P001</t>
  </si>
  <si>
    <t>Existing room condition</t>
  </si>
  <si>
    <t>B62-P002</t>
  </si>
  <si>
    <t>B62-P003</t>
  </si>
  <si>
    <t>B62-P004</t>
  </si>
  <si>
    <t>Penetration/firestopping photo</t>
  </si>
  <si>
    <t>10. OWNER READINESS SCORE</t>
  </si>
  <si>
    <t>HVAC / Cooling</t>
  </si>
  <si>
    <t>Electrical / UPS</t>
  </si>
  <si>
    <t>Rack installed and secured.</t>
  </si>
  <si>
    <t>Ladder tray installed.</t>
  </si>
  <si>
    <t>Cable management installed.</t>
  </si>
  <si>
    <t>Ground busbar installed.</t>
  </si>
  <si>
    <t>Bonding complete.</t>
  </si>
  <si>
    <t>Exposed piping bonded.</t>
  </si>
  <si>
    <t>Patch panels installed.</t>
  </si>
  <si>
    <t>Fiber LIU installed.</t>
  </si>
  <si>
    <t>Labeling complete.</t>
  </si>
  <si>
    <t>Testing complete.</t>
  </si>
  <si>
    <t>VA acceptance before connection to active operations.</t>
  </si>
  <si>
    <t>8. PMIS Survey Form for Cameron / EHRM Team</t>
  </si>
  <si>
    <t>Recommended PMIS columns:</t>
  </si>
  <si>
    <t>Field</t>
  </si>
  <si>
    <t>Entry</t>
  </si>
  <si>
    <t>B24A / 125 / 225</t>
  </si>
  <si>
    <t>Basement / First / Second</t>
  </si>
  <si>
    <t>Restroom-storage / medication room / office</t>
  </si>
  <si>
    <t>TR Type</t>
  </si>
  <si>
    <t>1 new + 1 future</t>
  </si>
  <si>
    <t>Cooling Provided</t>
  </si>
  <si>
    <t>Yes / No / Verify</t>
  </si>
  <si>
    <t>Cooling Capacity</t>
  </si>
  <si>
    <t>kW / BTU</t>
  </si>
  <si>
    <t>Cooling on Emergency Power</t>
  </si>
  <si>
    <t>Condensate Risk</t>
  </si>
  <si>
    <t>Low / Medium / High</t>
  </si>
  <si>
    <t>Sprinkler Modified</t>
  </si>
  <si>
    <t>Detector/Strobe Installed</t>
  </si>
  <si>
    <t>Extinguisher within 75 ft</t>
  </si>
  <si>
    <t>Firestopping Complete</t>
  </si>
  <si>
    <t>Owner Question</t>
  </si>
  <si>
    <t>Photo Reference</t>
  </si>
  <si>
    <t>Link/file</t>
  </si>
  <si>
    <t>Not Started / In Progress / Complete / Concern</t>
  </si>
  <si>
    <t>9. Best Immediate Questions to Ask</t>
  </si>
  <si>
    <t>For Building 62, I would ask:</t>
  </si>
  <si>
    <t>1. Are B24A, 125, and 225 confirmed final TR locations?</t>
  </si>
  <si>
    <t>2. Are the dedicated cooling units on emergency/backup power?</t>
  </si>
  <si>
    <t>3. What is the designed cooling capacity for each TR?</t>
  </si>
  <si>
    <t>4. Are condensate pumps required, and where do they discharge?</t>
  </si>
  <si>
    <t>5. Are fire alarm devices coordinated with HVAC discharge?</t>
  </si>
  <si>
    <t>6. Are sprinkler heads protected with cages in all TRs?</t>
  </si>
  <si>
    <t>7. Is the extinguisher location identified within 75 feet of each TR?</t>
  </si>
  <si>
    <t>8. Are all TR penetrations through rated assemblies shown and firestopped?</t>
  </si>
  <si>
    <t>9. Is the future rack cooling/power load included or only current load?</t>
  </si>
  <si>
    <t>10. What shutdowns are required for fire alarm, sprinkler, electrical, and telecom cutover?</t>
  </si>
  <si>
    <t>BUILDING 70 │ EHRM ASSESSMENT │ PMIS DASHBOARD FEED</t>
  </si>
  <si>
    <t>IFC B70 Drawings</t>
  </si>
  <si>
    <t>B27, 125A, 262A / TR Assessment</t>
  </si>
  <si>
    <t>Cooling / emergency power and existing TR phasing not verified</t>
  </si>
  <si>
    <t>Verify cooling power path, firestopping, extinguisher locations, and migration phasing</t>
  </si>
  <si>
    <t>Telecom Room / existing service area</t>
  </si>
  <si>
    <t>70A/70T/70M/70FX</t>
  </si>
  <si>
    <t>Shown as Telecom Room B27; rack elevation references B-27 with 1 rack + future.</t>
  </si>
  <si>
    <t>125A</t>
  </si>
  <si>
    <t>Telecom Room / existing or renovated space</t>
  </si>
  <si>
    <t>Shown as Telecom Room 125A; rack elevation references 125-A with 1 rack + future.</t>
  </si>
  <si>
    <t>Shown as Telecom Room 262A; rack elevation references 262-A with 1 rack + future.</t>
  </si>
  <si>
    <t>B70-R1</t>
  </si>
  <si>
    <t>Cooling emergency power / continuity not verified</t>
  </si>
  <si>
    <t>Confirm power path for cooling, controls, BACnet adapter, and condensate pump</t>
  </si>
  <si>
    <t>B70-R2</t>
  </si>
  <si>
    <t>1-hour rated/smoke-rated TR envelope and penetrations not field verified</t>
  </si>
  <si>
    <t>Survey walls, doors, sleeves, trays, firestop, and head-of-wall conditions</t>
  </si>
  <si>
    <t>B70-R3</t>
  </si>
  <si>
    <t>Existing basement service conditions may constrain routing and access</t>
  </si>
  <si>
    <t>Document existing utilities, clearances, and phasing around active systems</t>
  </si>
  <si>
    <t>B70-R4</t>
  </si>
  <si>
    <t>Existing TR/service equipment transfer could affect active operations</t>
  </si>
  <si>
    <t>Require phasing plan and maintain analog/low-voltage systems operational</t>
  </si>
  <si>
    <t>B70-R5</t>
  </si>
  <si>
    <t>Verify condensate routing, insulation, pump power, and alarms</t>
  </si>
  <si>
    <t>B70-Q1</t>
  </si>
  <si>
    <t>B70-Q2</t>
  </si>
  <si>
    <t>Are future rack loads included in HVAC sizing for B27, 125A, and 262A?</t>
  </si>
  <si>
    <t>B70-Q3</t>
  </si>
  <si>
    <t>Are extinguisher cabinet locations identified within 75 feet of each TR?</t>
  </si>
  <si>
    <t>Acceptance / life safety risk</t>
  </si>
  <si>
    <t>B70-Q4</t>
  </si>
  <si>
    <t>Are all wall/floor penetrations and speed sleeves shown and firestopped?</t>
  </si>
  <si>
    <t>B70-Q5</t>
  </si>
  <si>
    <t>What phasing is required to keep existing low-voltage/analog systems operational?</t>
  </si>
  <si>
    <t>Contractor / OIT</t>
  </si>
  <si>
    <t>Potential communications interruption</t>
  </si>
  <si>
    <t>B70-P001</t>
  </si>
  <si>
    <t>Existing basement TR / utility condition</t>
  </si>
  <si>
    <t>B70-P002</t>
  </si>
  <si>
    <t>Existing first-floor TR condition</t>
  </si>
  <si>
    <t>B70-P003</t>
  </si>
  <si>
    <t>Existing second-floor TR condition</t>
  </si>
  <si>
    <t>B70-P004</t>
  </si>
  <si>
    <t>B70-P005</t>
  </si>
  <si>
    <t>Cooling unit/condensate photo</t>
  </si>
  <si>
    <t>B70-R1/B70-R5</t>
  </si>
  <si>
    <t>SOURCE / DRAWING REVIEW NOTES</t>
  </si>
  <si>
    <t>Source package</t>
  </si>
  <si>
    <t>TR locations identified</t>
  </si>
  <si>
    <t>B27 basement, 125A first floor, 262A second floor based on architectural, fire protection, mechanical, and telecom drawing references.</t>
  </si>
  <si>
    <t>Fire protection basis</t>
  </si>
  <si>
    <t>Building 70 is fully sprinklered. TRs require sprinkler modifications, fire alarm devices, extinguisher coverage within 75 feet, and firestopping at penetrations.</t>
  </si>
  <si>
    <t>HVAC basis</t>
  </si>
  <si>
    <t>New indoor units, condensate routing, thermostat, and BACnet adapter are noted for TR spaces; emergency power and operational continuity should be field verified.</t>
  </si>
  <si>
    <t>Telecom basis</t>
  </si>
  <si>
    <t>TR rack elevations show 1 rack plus future rack at B-27, 125-A, and 262-A with UPS/PDU/cable management/grounding requirements.</t>
  </si>
  <si>
    <t xml:space="preserve">Based on the Building 70 IFC review, the telecom scope is very similar to Building 62, but Building 70 appears to have three TRs (B27, 125A, and 262A) instead of a single room. The project introduces new racks, UPS equipment, dedicated cooling, fire alarm modifications, sprinkler modifications, grounding, cable management, and access control while maintaining hospital operations. </t>
  </si>
  <si>
    <t>Building 70 – Telecom Room Infrastructure Scope</t>
  </si>
  <si>
    <t>Existing Conditions Survey</t>
  </si>
  <si>
    <t>Verify existing conditions of TR-B27, TR-125A, and TR-262A.</t>
  </si>
  <si>
    <t>Document existing racks, power, HVAC, fire protection, grounding, and pathway systems.</t>
  </si>
  <si>
    <t>Photograph all existing conditions.</t>
  </si>
  <si>
    <t>Verify existing active services and identify systems requiring uninterrupted operation.</t>
  </si>
  <si>
    <t>Verify room dimensions and equipment clearances.</t>
  </si>
  <si>
    <t>Architectural</t>
  </si>
  <si>
    <t>Prepare rooms for new telecom infrastructure.</t>
  </si>
  <si>
    <t>Patch and repair walls, ceilings, and penetrations as required.</t>
  </si>
  <si>
    <t>Maintain or restore all fire-rated assemblies.</t>
  </si>
  <si>
    <t>Verify door hardware, access control, and room security.</t>
  </si>
  <si>
    <t>Label rooms and equipment per VA standards.</t>
  </si>
  <si>
    <t>Verify sprinkler coverage within each TR.</t>
  </si>
  <si>
    <t>Reconfigure sprinkler piping and heads where required.</t>
  </si>
  <si>
    <t>Verify no obstructions to sprinkler discharge.</t>
  </si>
  <si>
    <t>Provide fire extinguisher cabinet and clean-agent or CO₂ extinguisher within 75 feet of each TR.</t>
  </si>
  <si>
    <t>Firestop all penetrations through rated assemblies.</t>
  </si>
  <si>
    <t>Verify compliance with NFPA 13 and VA Fire Protection Design Manual requirements.</t>
  </si>
  <si>
    <t>Verify smoke detection coverage.</t>
  </si>
  <si>
    <t>Verify horn/strobe coverage.</t>
  </si>
  <si>
    <t>Coordinate relocation or addition of devices as required.</t>
  </si>
  <si>
    <t>Verify monitoring and reporting through existing fire alarm systems.</t>
  </si>
  <si>
    <t>Test and document final operation.</t>
  </si>
  <si>
    <t>Mechanical / HVAC</t>
  </si>
  <si>
    <t>Verify dedicated cooling units serving each telecom room.</t>
  </si>
  <si>
    <t>Verify thermostat installation.</t>
  </si>
  <si>
    <t>Verify BACnet integration and controls.</t>
  </si>
  <si>
    <t>Verify condensate routing and drainage.</t>
  </si>
  <si>
    <t>Verify emergency power requirements for cooling equipment.</t>
  </si>
  <si>
    <t>Verify continuous cooling capability during hospital operations.</t>
  </si>
  <si>
    <t>Perform startup and commissioning.</t>
  </si>
  <si>
    <t>Verify new electrical distribution serving telecom equipment.</t>
  </si>
  <si>
    <t>Verify dedicated panel assignments.</t>
  </si>
  <si>
    <t>Verify UPS installation and ratings.</t>
  </si>
  <si>
    <t>Verify rack power distribution units.</t>
  </si>
  <si>
    <t>Verify emergency power source.</t>
  </si>
  <si>
    <t>Verify grounding and bonding requirements.</t>
  </si>
  <si>
    <t>Verify circuit identification and labeling.</t>
  </si>
  <si>
    <t>Telecommunications</t>
  </si>
  <si>
    <t>Install and/or verify new equipment racks.</t>
  </si>
  <si>
    <t>Install vertical and horizontal cable management.</t>
  </si>
  <si>
    <t>Install grounding busbars.</t>
  </si>
  <si>
    <t>Install fiber termination shelves.</t>
  </si>
  <si>
    <t>Install patch panels.</t>
  </si>
  <si>
    <t>Verify Cat6A and fiber terminations.</t>
  </si>
  <si>
    <t>Verify cable labeling.</t>
  </si>
  <si>
    <t>Test and certify all copper and fiber cabling.</t>
  </si>
  <si>
    <t>Verify compliance with OIT standards.</t>
  </si>
  <si>
    <t>Verify PACS access control for all TR doors.</t>
  </si>
  <si>
    <t>Verify card reader operation.</t>
  </si>
  <si>
    <t>Verify door position monitoring.</t>
  </si>
  <si>
    <t>Verify camera coverage where required.</t>
  </si>
  <si>
    <t>Verify integration with existing VA security systems.</t>
  </si>
  <si>
    <t>Operational Risk Review</t>
  </si>
  <si>
    <t>Identify systems requiring uninterrupted operation.</t>
  </si>
  <si>
    <t>Develop cutover strategy.</t>
  </si>
  <si>
    <t>Review outage requirements with VA OIT.</t>
  </si>
  <si>
    <t>Review shutdown requirements with facilities staff.</t>
  </si>
  <si>
    <t>Verify no active services are removed before migration.</t>
  </si>
  <si>
    <t>Commissioning &amp; Acceptance</t>
  </si>
  <si>
    <t>HVAC commissioning.</t>
  </si>
  <si>
    <t>Electrical commissioning.</t>
  </si>
  <si>
    <t>Telecom testing and certification.</t>
  </si>
  <si>
    <t>Fire alarm testing.</t>
  </si>
  <si>
    <t>Fire protection testing.</t>
  </si>
  <si>
    <t>Security testing.</t>
  </si>
  <si>
    <t>Final owner acceptance walkthrough.</t>
  </si>
  <si>
    <t>Turnover documentation.</t>
  </si>
  <si>
    <t>Owner Risks Identified</t>
  </si>
  <si>
    <t>High Risk</t>
  </si>
  <si>
    <t>1. Cooling system failure after cutover.</t>
  </si>
  <si>
    <t>2. Emergency power path not verified for cooling equipment.</t>
  </si>
  <si>
    <t>3. Active communications disruption during migration.</t>
  </si>
  <si>
    <t>4. Fire-rated penetrations left incomplete.</t>
  </si>
  <si>
    <t>5. Condensate leaks above telecom equipment.</t>
  </si>
  <si>
    <t>Medium Risk</t>
  </si>
  <si>
    <t>1. Insufficient rack growth capacity.</t>
  </si>
  <si>
    <t>2. Incomplete labeling.</t>
  </si>
  <si>
    <t>3. Incomplete grounding and bonding.</t>
  </si>
  <si>
    <t>4. Access control integration issues.</t>
  </si>
  <si>
    <t>5. Existing undocumented field conditions.</t>
  </si>
  <si>
    <t>Low Risk</t>
  </si>
  <si>
    <t>1. Cosmetic room deficiencies.</t>
  </si>
  <si>
    <t>2. Minor equipment relocation conflicts.</t>
  </si>
  <si>
    <t>3. Documentation turnover delays.</t>
  </si>
  <si>
    <t>BUILDING 78 / 78A │ EHRM ASSESSMENT │ PMIS DASHBOARD FEED</t>
  </si>
  <si>
    <t>518-22-700 IFC Building 78_78A</t>
  </si>
  <si>
    <t>B30 / B35 / 1232 / 227A / 342 / 401 / existing 15E, 1234, 353, 308A, 408A</t>
  </si>
  <si>
    <t>Building 78/78A is a very large full-scope TR building with basement through fourth-level telecom rooms, existing telecom rooms, hazardous abatement, architectural, fire protection, mechanical, electrical, security, telecom, rack elevations and photo references. Major open issues include active service cutover, dedicated HVAC validation, panel/UPS/PDU coordination, 4,849 ft cable tray routes, firestopping, PACS/CCTV, existing rack transfers, and turnover testing.</t>
  </si>
  <si>
    <t>Field verify rooms B30, B35, 1232, 227A, 342, 401 and existing telecom rooms 15E, 1234, 353, 308A, 408A; confirm active equipment, rack transfers, HVAC units, panel sources, UPS/PDU power, FEC locations, FA/FP modifications, PACS/CCTV, hazardous material impacts, cable tray routes, firestopping, and cutover sequence.</t>
  </si>
  <si>
    <t>78/78A</t>
  </si>
  <si>
    <t>Basement telecom area / existing rack transfer</t>
  </si>
  <si>
    <t>78_78AA-400 / 78_78AE-401 / 78_78AT-100 / 78_78AT-604 / 78_78AT-701</t>
  </si>
  <si>
    <t>Basement primary TR. Schedule identifies RM B30 with 210 WAO total, 23 active ports, 311 scheduled ports, 342 total ports with 10% allowance. Rack IDs include TR01-B30-1 and TR01-B30-2.</t>
  </si>
  <si>
    <t>B35</t>
  </si>
  <si>
    <t>78_78AT-100 / 78_78AT-605 / 78_78AT-702</t>
  </si>
  <si>
    <t>Basement TR/closet. Schedule identifies RM B35 with 53 WAO total, 23 active ports, 64 scheduled ports, 70 total ports with 10% allowance. Verify relationship to existing basement telecom room 15E photo reference.</t>
  </si>
  <si>
    <t>First-level telecom room / existing rack transfer</t>
  </si>
  <si>
    <t>78_78AA-401 / 78_78AE-402 / 78_78AT-101 / 78_78AT-606 / 78_78AT-702/703</t>
  </si>
  <si>
    <t>First-level TR. Schedule identifies RM 1232 with 301 WAO total, 388 active ports, 404 scheduled ports, 444 total ports with 10% allowance. Existing photo references show first-level existing telecom room 1234; verify room-name mapping.</t>
  </si>
  <si>
    <t>Second-level telecom room / existing rack transfer</t>
  </si>
  <si>
    <t>78_78AA-401 / 78_78AE-402 / 78_78AT-102 / 78_78AT-606 / 78_78AT-703/704</t>
  </si>
  <si>
    <t>Second-level TR. Schedule identifies RM 227A with 256 WAO total, 153 active ports, 348 scheduled ports, 383 total ports with 10% allowance. Existing photo references show second-level existing telecom room 1234; verify field room ID.</t>
  </si>
  <si>
    <t>Third-level telecom room / existing rack transfer</t>
  </si>
  <si>
    <t>78_78AA-402 / 78_78AE-403 / 78_78AT-103 / 78_78AT-607 / 78_78AT-704</t>
  </si>
  <si>
    <t>Third-level TR. Schedule identifies RM 342 with 158 WAO total, 163 active ports, 289 scheduled ports, 318 total ports with 10% allowance. Rack IDs include TR01-342-1 and TR01-342-2.</t>
  </si>
  <si>
    <t>Fourth</t>
  </si>
  <si>
    <t>Fourth-level telecom room / existing rack transfer</t>
  </si>
  <si>
    <t>78_78AA-402 / 78_78AE-404 / 78_78AT-104 / 78_78AT-607 / 78_78AT-705</t>
  </si>
  <si>
    <t>Fourth-level TR. Schedule identifies RM 401 with 89 WAO total, 65 active ports, 123 scheduled ports, 135 total ports with 10% allowance.</t>
  </si>
  <si>
    <t>15E / 1234 / 353 / 308A / 408A</t>
  </si>
  <si>
    <t>Existing levels</t>
  </si>
  <si>
    <t>Existing telecom rooms / photo references</t>
  </si>
  <si>
    <t>78_78AR-900 / 901 / 902 / 903</t>
  </si>
  <si>
    <t>Photo references identify existing telecom rooms: basement 15E, first-level 1234, second-level 1234, third-level 353, fourth-level 308A and 408A. Protect active equipment and verify transfer/abandonment scope.</t>
  </si>
  <si>
    <t>Basement TR; verify rated enclosure/open-to-deck conditions, door/PACS, future rack space, wall backing, ladder rack, and basement pathway entry points.</t>
  </si>
  <si>
    <t>Basement TR/closet; verify existing conditions, rack transfer, floor/wall conditions, clearance, pathway and firestop scope.</t>
  </si>
  <si>
    <t>First-level TR; verify rated construction, door hardware/access, ceiling/deck, rack/future rack clearance, wall backing and pathway entries.</t>
  </si>
  <si>
    <t>Second-level TR; verify rated construction, door hardware/access, rack/future rack clearance and vertical riser/firestop conditions.</t>
  </si>
  <si>
    <t>Third-level TR; verify rack/future rack clearances, access control, firestopping and pathway routes.</t>
  </si>
  <si>
    <t>Fourth-level TR; verify rack/future rack clearances, access control, firestopping and pathway routes.</t>
  </si>
  <si>
    <t>Existing telecom rooms must be field verified for active equipment, protection-in-place and final abandonment/transfer condition.</t>
  </si>
  <si>
    <t>Full fire protection scope included. Verify sprinkler modifications, fire alarm devices, clean-agent 2A:10B:C FEC within 75 ft, and rated penetrations.</t>
  </si>
  <si>
    <t>Verify FP/FA modifications, FEC location, temporary firestopping and final UL systems.</t>
  </si>
  <si>
    <t>Verify first-level TR sprinkler/FA work, FEC location and cable tray penetrations.</t>
  </si>
  <si>
    <t>Verify second-level TR sprinkler/FA work, FEC location, vertical riser penetrations and firestopping.</t>
  </si>
  <si>
    <t>Verify third-level TR fire protection/fire alarm coordination and firestop work.</t>
  </si>
  <si>
    <t>Verify fourth-level TR fire protection/fire alarm coordination and firestop work.</t>
  </si>
  <si>
    <t>Verify existing rooms remain protected during cutover and no unsealed penetrations remain.</t>
  </si>
  <si>
    <t>Dedicated TR cooling shown / verify</t>
  </si>
  <si>
    <t>Mechanical sheets included for basement. Verify dedicated cooling equipment, capacity, condensate, emergency source, controls/BACnet and high-temperature alarm.</t>
  </si>
  <si>
    <t>Verify dedicated cooling and relationship to B30/B35 telecom buildout.</t>
  </si>
  <si>
    <t>Verify first-level TR cooling, controls, emergency power and alarm tie-in.</t>
  </si>
  <si>
    <t>Verify second-level TR cooling, condensate route and 24/7 operation.</t>
  </si>
  <si>
    <t>Verify third-level TR cooling and control/alarm integration.</t>
  </si>
  <si>
    <t>Verify fourth-level TR cooling and control/alarm integration.</t>
  </si>
  <si>
    <t>Existing telecom rooms likely have legacy cooling dependencies. Verify active equipment temperature and any protect-in-place cooling requirements.</t>
  </si>
  <si>
    <t>B78-TRB30 panels / verify</t>
  </si>
  <si>
    <t>Rack elevations identify new rack UPS/PDU and future rack. Verify panelboard/source, SPD, rack receptacles, PDU feeds, labels, load measurement and LOTO.</t>
  </si>
  <si>
    <t>B78-TRB35 panels / verify</t>
  </si>
  <si>
    <t>Verify rack UPS/PDU source, spare/future rack provisions and grounding/bonding.</t>
  </si>
  <si>
    <t>B78-TR1232 panels / verify</t>
  </si>
  <si>
    <t>Verify first-level rack receptacles, UPS/PDU, panel sources, SPDs and labeling.</t>
  </si>
  <si>
    <t>B78-TR227A panels / verify</t>
  </si>
  <si>
    <t>Verify second-level rack receptacles, UPS/PDU, panel sources, SPDs and labeling.</t>
  </si>
  <si>
    <t>B78-TR342 panels / verify</t>
  </si>
  <si>
    <t>Verify third-level rack receptacles for two racks, UPS/PDU, panel sources and labels.</t>
  </si>
  <si>
    <t>B78-TR401 panels / verify</t>
  </si>
  <si>
    <t>Verify fourth-level rack receptacles, UPS/PDU, panel sources and labels.</t>
  </si>
  <si>
    <t>Existing UPS / PDU</t>
  </si>
  <si>
    <t>Existing / verify</t>
  </si>
  <si>
    <t>Existing rack elevations show wall-mounted racks/2-post racks, existing UPS/PDU and demarc/fiber equipment. Confirm active power and transfer needs.</t>
  </si>
  <si>
    <t>78_78AT-701: 210 WAO total, 23 active ports, 311 scheduled ports, 342 with allowance; rack IDs TR01-B30-1/-2. Basement cable tray total 1,702 ft.</t>
  </si>
  <si>
    <t>78_78AT-702: 53 WAO total, 23 active ports, 64 scheduled ports, 70 with allowance. Confirm rack ID/room relation and active services.</t>
  </si>
  <si>
    <t>78_78AT-702/703: 301 WAO total, 388 active ports, 404 scheduled ports, 444 with allowance. Large active port count; high cutover risk.</t>
  </si>
  <si>
    <t>78_78AT-703/704: 256 WAO total, 153 active ports, 348 scheduled ports, 383 with allowance. Verify second-level test records and riser labels.</t>
  </si>
  <si>
    <t>78_78AT-704: 158 WAO total, 163 active ports, 289 scheduled ports, 318 with allowance. Rack IDs TR01-342-1/-2.</t>
  </si>
  <si>
    <t>78_78AT-705: 89 WAO total, 65 active ports, 123 scheduled ports, 135 with allowance.</t>
  </si>
  <si>
    <t>Photo references identify existing telecom rooms 15E, 1234, 353, 308A and 408A; verify all active services and transfer plan.</t>
  </si>
  <si>
    <t>TR scope includes wall-mounted CCTV cameras and PACS for TR doors. Verify CR/RX/DC/ES/MD, controller and VMS integration.</t>
  </si>
  <si>
    <t>Verify PACS/CCTV integration and door hardware coordination.</t>
  </si>
  <si>
    <t>Verify first-level TR PACS/CCTV and VMS integration.</t>
  </si>
  <si>
    <t>Verify second-level TR PACS/CCTV and VMS integration.</t>
  </si>
  <si>
    <t>Verify third-level TR PACS/CCTV and VMS integration.</t>
  </si>
  <si>
    <t>Verify fourth-level TR PACS/CCTV and VMS integration.</t>
  </si>
  <si>
    <t>Verify existing PACS/security devices are protected-in-place or recabled without VMS/PACS disruption.</t>
  </si>
  <si>
    <t>B78-R1</t>
  </si>
  <si>
    <t>Existing conditions and active equipment across six TRs and existing telecom rooms not field verified</t>
  </si>
  <si>
    <t>Perform detailed room-by-room existing condition survey with photos and active-service inventory</t>
  </si>
  <si>
    <t>B78/78A has six major TR areas and several existing transition rooms.</t>
  </si>
  <si>
    <t>B78-R2</t>
  </si>
  <si>
    <t>Basement / Third</t>
  </si>
  <si>
    <t>Hazardous material abatement plans exist for basement and third level</t>
  </si>
  <si>
    <t>Coordinate IH/abatement review before penetrations, wall/ceiling work, cabling or MEP installation</t>
  </si>
  <si>
    <t>Drawing index includes 78_78AH-100 and 78_78AH-103.</t>
  </si>
  <si>
    <t>B78-R3</t>
  </si>
  <si>
    <t>Document active services, OIT windows, rack inventory, temporary utilities and rollback plan</t>
  </si>
  <si>
    <t>Photo references include 15E, 1234, 353, 308A, 408A.</t>
  </si>
  <si>
    <t>B78-R4</t>
  </si>
  <si>
    <t>Dedicated cooling sequence, emergency power, condensate and alarms not verified</t>
  </si>
  <si>
    <t>Confirm HVAC equipment serving each TR, emergency source, condensate, controls/BACnet and high-temp alarms</t>
  </si>
  <si>
    <t>Mechanical sheets are included for basement through fourth level.</t>
  </si>
  <si>
    <t>B78-R5</t>
  </si>
  <si>
    <t>Verify telecom panelboards, breakers, rack receptacles, UPS/PDU sources, SPDs, labels and LOTO requirements</t>
  </si>
  <si>
    <t>Electrical plans/schedules are extensive; confirm all panel IDs in field.</t>
  </si>
  <si>
    <t>B78-R6</t>
  </si>
  <si>
    <t>Verify 4,849 ft cable tray route, supports, seismic bracing, 40% fill, MEP conflicts, sleeves and final firestop assemblies</t>
  </si>
  <si>
    <t>Cable tray schedule: basement 1,702 ft, first 959 ft, second 804 ft, third 695 ft, fourth 689 ft.</t>
  </si>
  <si>
    <t>B78-R7</t>
  </si>
  <si>
    <t>Telecom/fiber cutover could affect active hospital communications across B78 and B78A</t>
  </si>
  <si>
    <t>Total scheduled ports exceed 1,300 across the primary schedules.</t>
  </si>
  <si>
    <t>B78-R8</t>
  </si>
  <si>
    <t>Full-scope 102-sheet IFC package with multiple divisions.</t>
  </si>
  <si>
    <t>B78-Q1</t>
  </si>
  <si>
    <t>Confirm final telecom room list and PMIS mapping: B30, B35, 1232, 227A, 342, 401 plus existing rooms 15E/1234/353/308A/408A?</t>
  </si>
  <si>
    <t>B78-Q2</t>
  </si>
  <si>
    <t>What active services currently remain in each existing telecom room/photo reference location?</t>
  </si>
  <si>
    <t>B78-Q3</t>
  </si>
  <si>
    <t>Are Room 1232 and existing Room 1234 separate rooms or naming/mapping references for the same telecom space?</t>
  </si>
  <si>
    <t>PMIS mapping risk</t>
  </si>
  <si>
    <t>B78-Q4</t>
  </si>
  <si>
    <t>Which dedicated cooling units serve each TR and are they on emergency/backup power?</t>
  </si>
  <si>
    <t>B78-Q5</t>
  </si>
  <si>
    <t>B78-Q6</t>
  </si>
  <si>
    <t>B78-Q7</t>
  </si>
  <si>
    <t>B78-Q8</t>
  </si>
  <si>
    <t>B78-P001</t>
  </si>
  <si>
    <t>Basement RM B30 walls, ceiling/deck, floor, door, racks/future rack, power, HVAC, cable tray and penetrations</t>
  </si>
  <si>
    <t>B78-R1/B78-R6</t>
  </si>
  <si>
    <t>B78-P002</t>
  </si>
  <si>
    <t>Basement RM B35 and relationship to existing telecom room 15E; rack/equipment, pathway, power, HVAC and penetrations</t>
  </si>
  <si>
    <t>B78-R1/B78-R3</t>
  </si>
  <si>
    <t>B78-P003</t>
  </si>
  <si>
    <t>1232 / 1234</t>
  </si>
  <si>
    <t>First-level RM 1232/new TR and existing telecom room 1234 photo reference, active equipment, cable paths and rack transfer scope</t>
  </si>
  <si>
    <t>B78-P004</t>
  </si>
  <si>
    <t>227A / 1234</t>
  </si>
  <si>
    <t>Second-level RM 227A/new TR and existing telecom room 1234 photo reference, active equipment, cable paths and rack transfer scope</t>
  </si>
  <si>
    <t>B78-P005</t>
  </si>
  <si>
    <t>342 / 353</t>
  </si>
  <si>
    <t>Third-level RM 342/new TR and existing telecom room 353 photo reference, active equipment, cable paths and rack transfer scope</t>
  </si>
  <si>
    <t>B78-P006</t>
  </si>
  <si>
    <t>401 / 308A / 408A</t>
  </si>
  <si>
    <t>Fourth-level RM 401 and existing telecom rooms 308A/408A photo references, active equipment, cable paths and transfer scope</t>
  </si>
  <si>
    <t>B78-P007</t>
  </si>
  <si>
    <t>Basement through fourth-level cable tray routes, supports, seismic bracing, penetrations and before/after firestopping</t>
  </si>
  <si>
    <t>B78-P008</t>
  </si>
  <si>
    <t>Telecom / Security / HVAC</t>
  </si>
  <si>
    <t>Racks, Fiber LIU, Cat6A, patch panels, UPS/PDU, labels/test records, CCTV, PACS, HVAC units and existing transfer work</t>
  </si>
  <si>
    <t>B78-R4/B78-R7/B78-R8</t>
  </si>
  <si>
    <t>Basement TR with 342 total ports including allowance, dedicated cooling, UPS/PDU and 1,702 ft basement cable tray scope.</t>
  </si>
  <si>
    <t>Basement TR/closet with 70 total ports including allowance and active transition scope.</t>
  </si>
  <si>
    <t>First-level TR with 444 total ports including allowance and high active port count.</t>
  </si>
  <si>
    <t>Second-level TR with 383 total ports including allowance and riser/firestop coordination.</t>
  </si>
  <si>
    <t>Third-level TR with 318 total ports including allowance and two-rack configuration.</t>
  </si>
  <si>
    <t>Fourth-level TR with 135 total ports including allowance and existing 308A/408A transition points.</t>
  </si>
  <si>
    <t>Existing telecom room inventory; protect active services until cutover and acceptance complete.</t>
  </si>
  <si>
    <t>102-sheet Building 78_78A IFC package includes general, hazardous abatement, architectural, interiors, fire protection, mechanical, electrical, telecommunications, rack elevations, schedules, fiber risers and photo references.</t>
  </si>
  <si>
    <t>Drawing index includes 78_78AH-100 basement hazardous material abatement plan and 78_78AH-103 third-level hazardous material abatement plan, with architectural enlarged views 78_78AA-400/401/402 for basement through fourth levels.</t>
  </si>
  <si>
    <t>Mechanical / FP Basis</t>
  </si>
  <si>
    <t>Mechanical and fire protection packages are included for basement through fourth level. Verify dedicated cooling, condensate, controls, fire sprinkler modifications, FA devices and clean-agent FECs for each TR.</t>
  </si>
  <si>
    <t>78_78AE-401 through 404 and 78_78AE-701 through 704 provide enlarged electrical plans and schedules; verify telecom panelboard IDs, UPS/PDU rack circuits, SPDs, cooling equipment circuits, labels and load measurements.</t>
  </si>
  <si>
    <t>78_78AT-701 through 705 provide schedules: B30 210/23/311/342; B35 53/23/64/70; 1232 301/388/404/444; 227A 256/153/348/383; 342 158/163/289/318; 401 89/65/123/135. Cable tray totals 4,849 ft.</t>
  </si>
  <si>
    <t>Existing Room / Photo Basis</t>
  </si>
  <si>
    <t>78_78AR-900 through 903 identify existing telecom rooms 15E, 1234 first/second level, 353, 308A and 408A. Field verify active services and relation to new TR room numbers.</t>
  </si>
  <si>
    <t>BUILDING 80 │ EHRM ASSESSMENT │ PMIS DASHBOARD FEED</t>
  </si>
  <si>
    <t>518-22-700 IFC Building 80</t>
  </si>
  <si>
    <t>102 / existing 127A / existing 126 photo ref</t>
  </si>
  <si>
    <t>Building 80 includes a new first-level Telecom Room 102 and existing Tel Closet 127A / photo-reference Room 126 transition point. Field verification, active equipment transfer, dedicated cooling IU-1-01/CU-1-01, B80-TR102A/B power, 811 ft cable tray, firestopping, PACS/CCTV, existing two-post rack migration, and room-number mapping remain open.</t>
  </si>
  <si>
    <t>Field verify Telecom Room 102 and existing 127A/126; confirm active services, existing rack/equipment transfer, B80-TR102A/B panel sources, IU-1-01/CU-1-01 cooling, fire alarm/sprinkler impacts, FEC location, PACS/CCTV scope, cable tray route, and telecom cutover sequence.</t>
  </si>
  <si>
    <t>80A-401 / 80E-101 / 80E-401 / 80T-101 / 80T-604 / 80T-701</t>
  </si>
  <si>
    <t>Primary Building 80 TR. Plans identify Telecom Room 102 at 140 SF, new Rack ID TR01-102-1 plus future rack, panels B80-TR102A/B, 5kW 208V UPS/PDU rack power, IU-1-01/CU-1-01 dedicated cooling, camera 102-CAM-1, and 215 total ports with 10% allowance.</t>
  </si>
  <si>
    <t>127A / 126</t>
  </si>
  <si>
    <t>Existing Tel Closet / existing telecom room photo reference</t>
  </si>
  <si>
    <t>80T-101 / 80T-604 / 80R-900</t>
  </si>
  <si>
    <t>Existing Tel Closet 127A shown at 9 SF with existing plywood backboard, ground bar, patch panel, equipment box and two-post TR. Rack elevation/photo reference identify existing room 126/127-A with existing wall/wall-mount TE, Cisco switches, legacy optical Fiber LIU, multiple legacy Ortronics patch panels, Cat5e patch panel and APC floor UPS. Verify room-number mapping and active services.</t>
  </si>
  <si>
    <t>First-level TR; verify 1-hour/smoke-rated enclosure, open-to-deck conditions, door hardware/access control, floor sealer, rack/future rack clearances, wall backing, cable tray and fiber path A/B entry points.</t>
  </si>
  <si>
    <t>Existing telecom closet/room; verify active equipment status, two-post rack/wall rack, backboard, UPS, patch panels, Fiber LIU, and transition/abandonment scope.</t>
  </si>
  <si>
    <t>Full fire protection scope included. Verify sprinkler modifications, fire alarm devices, clean-agent 2A:10B:C FEC within 75 ft, rated wall/floor penetrations, and temporary firestopping during cable pulls.</t>
  </si>
  <si>
    <t>Existing telecom closet/room; verify fire alarm/sprinkler protection-in-place and seal removed/reused penetrations after cutover.</t>
  </si>
  <si>
    <t>Mechanical/electrical drawings show IU-1-01 in Telecom Room 102 and CU-1-01 outdoor unit. Confirm capacity, emergency/standby source, BACnet interface, thermostat/control point, condensate pump/path, disconnects, and high-temperature alarm.</t>
  </si>
  <si>
    <t>Existing telecom room/closet may remain active during cutover. Verify existing environmental condition and whether any active equipment remains after migration to Room 102.</t>
  </si>
  <si>
    <t>B80-TR102A / B80-TR102B</t>
  </si>
  <si>
    <t>Electrical plans/schedules identify B80-TR102A fed from BUS-B80-MDP and B80-TR102B fed from BUS-B80-E1, with rack receptacles, normal/emergency circuits, CU-1-01, SPD requirements and 30-day load measurement requirements.</t>
  </si>
  <si>
    <t>Existing rack/equipment area includes APC floor UPS and legacy telecom power. Verify source circuits, active equipment, UPS status, and transfer requirements before disconnect/removal.</t>
  </si>
  <si>
    <t>80T-701 identifies RM102 with 117 WAO total, 98 active ports per survey, 195 total ports per schedule, and 215 total ports with 10% allowance. Rack IDs include TR01-102-1 and TR01-102-2; rack elevation shows 1 new rack plus future rack with switches, Cat6A patch panels, Cat5e patch panel, Fiber LIU, UPS and PDU.</t>
  </si>
  <si>
    <t>Existing rack elevation shows Cisco switches, legacy optical Fiber LIU on wall, multiple legacy Ortronics 24/48-port patch panels, legacy Cat5e 24-port patch panel, and APC floor UPS. Contractor must transfer existing devices to new rack and protect active services.</t>
  </si>
  <si>
    <t>Electrical/telecom plans show access-control scope and camera 102-CAM-1. Verify CR/RX/DC/ES/MD devices, controller, electric strike, camera/VMS integration, and door hardware coordination.</t>
  </si>
  <si>
    <t>Verify existing security/PACS equipment conditions and whether any existing camera/security device is protected, recabled, or removed during cutover.</t>
  </si>
  <si>
    <t>B80-R1</t>
  </si>
  <si>
    <t>Existing conditions for Room 102 and existing 127A/126 not field verified</t>
  </si>
  <si>
    <t>B80 includes new TR plus existing telecom transition point.</t>
  </si>
  <si>
    <t>B80-R2</t>
  </si>
  <si>
    <t>Existing telecom equipment may remain active during transfer to Room 102</t>
  </si>
  <si>
    <t>Document active services, protect in place, identify OIT cutover windows, phasing and rollback plan</t>
  </si>
  <si>
    <t>Existing rack elevation shows Cisco switches, legacy patch panels, Fiber LIU and APC floor UPS.</t>
  </si>
  <si>
    <t>B80-R3</t>
  </si>
  <si>
    <t>102 / 127A</t>
  </si>
  <si>
    <t>Room-number mismatch between Tel Closet 127A and photo/rack reference Room 126/127-A</t>
  </si>
  <si>
    <t>Track both IDs in PMIS and confirm field room signage/owner mapping before punch list and turnover</t>
  </si>
  <si>
    <t>80T-101 calls Tel Closet 127A; 80R-900 photo reference calls existing telecom room 126; 80T-604 lists room 126/127-A.</t>
  </si>
  <si>
    <t>B80-R4</t>
  </si>
  <si>
    <t>B80-R5</t>
  </si>
  <si>
    <t>B80-TR102A/B UPS/PDU and panel source coordination could delay energization</t>
  </si>
  <si>
    <t>Verify panel sources BUS-B80-MDP and BUS-B80-E1, breakers, receptacles, SPD, labels, load measurement and LOTO needs</t>
  </si>
  <si>
    <t>B80-TR102A/B panel schedules and one-line show normal/emergency source split.</t>
  </si>
  <si>
    <t>B80-R6</t>
  </si>
  <si>
    <t>811 feet of cable tray/pathway requires coordination and firestop tracking</t>
  </si>
  <si>
    <t>80T-701 cable tray schedule: basement 122 ft, first level 688 ft, grand total 811 ft.</t>
  </si>
  <si>
    <t>B80-R7</t>
  </si>
  <si>
    <t>Telecom/fiber cutover could affect active hospital communications on first-level operations</t>
  </si>
  <si>
    <t>RM102 supports 215 total ports including allowance and existing rack transfer.</t>
  </si>
  <si>
    <t>B80-R8</t>
  </si>
  <si>
    <t>Full-scope 52-sheet IFC package with mechanical, electrical, FP and telecom work.</t>
  </si>
  <si>
    <t>B80-Q1</t>
  </si>
  <si>
    <t>Confirm final telecom scope: new Room 102 with existing 127A/126 transition only?</t>
  </si>
  <si>
    <t>B80-Q2</t>
  </si>
  <si>
    <t>What active services are currently fed from existing Room 127A/126 equipment?</t>
  </si>
  <si>
    <t>B80-Q3</t>
  </si>
  <si>
    <t>Are Room 127A and Room 126 the same telecom room, or separate locations?</t>
  </si>
  <si>
    <t>PMIS mapping and turnover risk</t>
  </si>
  <si>
    <t>B80-Q4</t>
  </si>
  <si>
    <t>Is IU-1-01/CU-1-01 on emergency/backup power and dedicated to Room 102?</t>
  </si>
  <si>
    <t>B80-Q5</t>
  </si>
  <si>
    <t>Where is the clean-agent/CO2 extinguisher cabinet located within 75 ft of Room 102?</t>
  </si>
  <si>
    <t>B80-Q6</t>
  </si>
  <si>
    <t>Are B80-TR102A/B sources, rack receptacles, SPDs, circuit labels and load measurements approved?</t>
  </si>
  <si>
    <t>B80-Q7</t>
  </si>
  <si>
    <t>B80-Q8</t>
  </si>
  <si>
    <t>B80-P001</t>
  </si>
  <si>
    <t>Room 102 walls, ceiling/deck, floor, door, rack/future rack, power, HVAC, fiber path A/B, cable tray and penetrations</t>
  </si>
  <si>
    <t>B80-R1/B80-R4</t>
  </si>
  <si>
    <t>B80-P002</t>
  </si>
  <si>
    <t>Existing Tel Closet/telecom room with plywood backboard, ground bar, patch panel, equipment box, two-post rack/wall TE and cable entries</t>
  </si>
  <si>
    <t>B80-R1/B80-R2</t>
  </si>
  <si>
    <t>B80-P003</t>
  </si>
  <si>
    <t>Cisco switches, legacy Fiber LIU, Ortronics patch panels, Cat5e patch panel, APC floor UPS and active service labels</t>
  </si>
  <si>
    <t>B80-R2/B80-R3</t>
  </si>
  <si>
    <t>B80-P004</t>
  </si>
  <si>
    <t>B80-P005</t>
  </si>
  <si>
    <t>B80-TR102A/B panels, rack receptacles, breakers, SPD, access controller, lighting, CU-1-01 and labels</t>
  </si>
  <si>
    <t>B80-P006</t>
  </si>
  <si>
    <t>B80-P007</t>
  </si>
  <si>
    <t>New rack/future rack, Fiber LIU, Cat6A, patch panels, labels/test records and existing rack transfer work</t>
  </si>
  <si>
    <t>B80-P008</t>
  </si>
  <si>
    <t>102-CAM-1, card reader, electric strike, door position, motion sensor, existing security devices and VMS/PACS integration</t>
  </si>
  <si>
    <t>New first-level TR with 215 total ports including allowance, dedicated cooling, UPS/PDU, cable tray, PACS/CCTV and fire/life-safety scope.</t>
  </si>
  <si>
    <t>Existing telecom transition point; protect active services until cutover complete and confirm room-number mapping.</t>
  </si>
  <si>
    <t>52-sheet Building 80 IFC package includes general, architectural, interiors, fire protection, mechanical, electrical, telecommunications, rack elevations, schedules, risers, cutsheets and photo reference.</t>
  </si>
  <si>
    <t>80A-400/401 identify enlarged views for Building 80 basement/first level and Telecom Room 102. 80G notes confirm no lead or asbestos material designed into project and general requirements for field verification and fire/life safety.</t>
  </si>
  <si>
    <t>80M sheets include dedicated split-system cooling for Telecom Room 102 using IU-1-01 and CU-1-01 with BACnet control integration, condensate pump and FMS alarm/control requirements; verify emergency power and high-temp alarm in field.</t>
  </si>
  <si>
    <t>80E-101/401/601/701/702 identify B80-TR102A and B80-TR102B, rack receptacles, CU-1-01, SPD requirements, load measurement requirements, normal/emergency source paths from BUS-B80-MDP and BUS-B80-E1.</t>
  </si>
  <si>
    <t>80T-101 identifies Telecom Room 102 at 140 SF, existing Tel Closet 127A at 9 SF, fiber paths A/B, 10 new Cat6A cable legend and room 102 camera. 80T-604 identifies existing Room 126/127-A rack equipment and new Room 102 rack plus future rack. 80T-701 identifies 117 WAO, 98 active ports, 195 scheduled ports, 215 with 10% allowance and 811 ft total cable tray.</t>
  </si>
  <si>
    <t>80R-900 identifies First Level Existing Telecom Room 126. Coordinate this photo reference with plan/rack labels for Tel Closet 127A / 126-127A.</t>
  </si>
  <si>
    <t>BUILDING 82 │ EHRM ASSESSMENT │ PMIS DASHBOARD FEED</t>
  </si>
  <si>
    <t>518-22-700 IFC Building 82</t>
  </si>
  <si>
    <t>102 / existing B01-A / Telecom Enclosure</t>
  </si>
  <si>
    <t>Building 82 is identified as a Telecom Enclosure (TE) building on the cover sheet, with fire protection scope excluded, but mechanical sheets show IU-1-01/CU-1-01 dedicated cooling for Room 102 and electrical drawings show B82-MDP/B82-P-EMER power. Scope centers on new first-level Telecom Room 102 / 12RU enclosure and existing first-level Telecom Room B01-A transition point. Field verification, active-equipment transfer, 278 ft cable tray, firestopping, UPS/PDU power, HVAC controls, fiber/copper cutover, and room/equipment mapping remain open.</t>
  </si>
  <si>
    <t>Field verify Room 102 new TE location, existing B01-A, active services, TR01-102-01 schedule, 278 ft cable tray route, 10 Cat6A cable legend, UPS/PDU source, B82-MDP/B82-P-EMER connections, IU-1-01/CU-1-01 cooling, fiber paths A/B, firestopping/sleeves, existing cameras and TE cutover plan.</t>
  </si>
  <si>
    <t>Telecom Room / new TE location</t>
  </si>
  <si>
    <t>82A-401 / 82M-101 / 82E-101 / 82T-101 / 82T-604 / 82T-701</t>
  </si>
  <si>
    <t>Primary Building 82 TE. Plans identify Telecom Room 102 at 86 SF with new 12RU telecom enclosure, Rack ID TR01-102-01, APC UPS, two PDUs, network switch, 48-port Cat6A patch panel, Fiber LIU, IU-1-01/CU-1-01 cooling, and 40 total ports with 10% allowance.</t>
  </si>
  <si>
    <t>B01-A</t>
  </si>
  <si>
    <t>Existing telecom room / wall rack and patch panels</t>
  </si>
  <si>
    <t>82T-101 / 82T-604 / 82R-900</t>
  </si>
  <si>
    <t>Existing first-level telecom room B01-A shown with existing wall rack, Cisco switches, cable management, Ortronics 24-port patch panels, APC floor UPS, and photo reference. Protect active services and verify transfer to Room 102 TE.</t>
  </si>
  <si>
    <t>N/A / TE Room</t>
  </si>
  <si>
    <t>New TE enclosure location in Telecom Room 102; verify wall backing, mounting height, access clearance, power, fiber/copper path, 4-inch speed sleeve, fire/smoke wall rating, ceiling/deck conditions and that 86 SF is adequate for equipment maintenance.</t>
  </si>
  <si>
    <t>Existing telecom room; verify active equipment status, wall rack, UPS, patch panels, cable management, pathway, and transition/abandonment scope.</t>
  </si>
  <si>
    <t>Cover sheet states Building 82 receives a Telecom Enclosure and fire protection scope is excluded. Still verify rated penetrations, 4-inch sleeve, wall/floor openings, temporary firestopping, and life-safety device impacts.</t>
  </si>
  <si>
    <t>Existing telecom room; verify protection-in-place and firestopping after cable transfer or reuse.</t>
  </si>
  <si>
    <t>Mechanical and electrical drawings show IU-1-01 in/near Telecom Room 102 and CU-1-01 outdoor unit. Mechanical notes call for BACnet adapter mounted adjacent to unit in telecom room. Confirm capacity, emergency/standby source, condensate pump/path, disconnects, controls, and high-temp alarm.</t>
  </si>
  <si>
    <t>Existing telecom room may remain active during cutover. Verify existing environmental conditions and whether active equipment remains after transfer to Room 102.</t>
  </si>
  <si>
    <t>APC UPS / 12RU enclosure</t>
  </si>
  <si>
    <t>B82-MDP / B82-P-EMER source to verify</t>
  </si>
  <si>
    <t>Electrical plans/schedules identify TE receptacle, CU-1-01, B82-MDP and B82-P-EMER sources, with SPD devices integral to new telecom panelboards. Verify receptacle type, grounding/bonding, emergency source, labels, and circuit loading.</t>
  </si>
  <si>
    <t>82T-701 identifies RM102 with 26 WAO total, 31 active ports per survey, 36 total ports per schedule, and 40 total ports with 10% allowance. Rack ID TR01-102-01. Cable tray schedule totals 278 ft on first level. New enclosure includes APC UPS, two PDUs, network switch, Cat6A patch panel and Fiber LIU.</t>
  </si>
  <si>
    <t>Existing B01-A elevations identify Cisco switches, cable management, two Ortronics 24-port patch panels with 11 and 6 used, existing patch panels and APC floor UPS. Field verify active services and transfer plan to new TE.</t>
  </si>
  <si>
    <t>Building 82 appears to create a TE enclosure rather than a full TR door/PACS package. Verify existing cameras/security devices in Room 102 and ensure no camera angle or VMS integration is disrupted.</t>
  </si>
  <si>
    <t>Keynotes indicate existing cameras are to be retained and re-used. Verify security/access conditions and whether any legacy security equipment is present at existing telecom room.</t>
  </si>
  <si>
    <t>B82-R1</t>
  </si>
  <si>
    <t>Existing conditions for new Room 102 TE and existing B01-A not field verified</t>
  </si>
  <si>
    <t>B82 has a compact TE scope but still depends on field conditions and existing equipment transfer.</t>
  </si>
  <si>
    <t>B82-R2</t>
  </si>
  <si>
    <t>102 / B01-A</t>
  </si>
  <si>
    <t>Existing equipment in B01-A may remain active during transfer to new TE in 102</t>
  </si>
  <si>
    <t>82T-101 keynotes require phasing plan and transfer of existing devices to new rack/enclosure.</t>
  </si>
  <si>
    <t>B82-R3</t>
  </si>
  <si>
    <t>Cover sheet says TE, but mechanical cooling is included for Room 102</t>
  </si>
  <si>
    <t>Confirm scope interpretation with VA/AE and ensure cooling is commissioned if it serves active TE equipment</t>
  </si>
  <si>
    <t>Unlike some TE buildings, B82 includes IU-1-01/CU-1-01 mechanical/electrical scope.</t>
  </si>
  <si>
    <t>B82-R4</t>
  </si>
  <si>
    <t>Confirm IU-1-01/CU-1-01 power source, condensate, controls, BACnet adapter, thermostat and high-temp alarm</t>
  </si>
  <si>
    <t>Cooling appears included and must be verified before acceptance.</t>
  </si>
  <si>
    <t>B82-R5</t>
  </si>
  <si>
    <t>Verify circuit source, receptacle type, UPS/PDU load, grounding bar, bonding, SPD and labels</t>
  </si>
  <si>
    <t>B82-R6</t>
  </si>
  <si>
    <t>278 feet of first-level cable tray/pathway requires coordination and firestop tracking</t>
  </si>
  <si>
    <t>Verify route, supports, seismic bracing, 40% fill, penetrations, light/HVAC conflicts and firestop assemblies</t>
  </si>
  <si>
    <t>82T-701 cable tray schedule lists first level estimated length of 278 ft.</t>
  </si>
  <si>
    <t>B82-R7</t>
  </si>
  <si>
    <t>B82-R8</t>
  </si>
  <si>
    <t>Track cable test records, labels, as-builts, laminated schedules, OIT acceptance, UPS/PDU verification, HVAC startup/controls and owner signoff</t>
  </si>
  <si>
    <t>B82-Q1</t>
  </si>
  <si>
    <t>Confirm final scope: new 12RU wall-mount TE enclosure in Room 102 and existing B01-A transition only?</t>
  </si>
  <si>
    <t>B82-Q2</t>
  </si>
  <si>
    <t>What active services are currently fed from existing B01-A equipment?</t>
  </si>
  <si>
    <t>B82-Q3</t>
  </si>
  <si>
    <t>Is Room 102 officially a TE-only scope or a conditioned telecom room with mechanical support?</t>
  </si>
  <si>
    <t>VA / AE / COR</t>
  </si>
  <si>
    <t>Scope and commissioning responsibility unclear</t>
  </si>
  <si>
    <t>B82-Q4</t>
  </si>
  <si>
    <t>B82-Q5</t>
  </si>
  <si>
    <t>B82-Q6</t>
  </si>
  <si>
    <t>Are all 278 feet of cable tray route, sleeves, supports and firestopping details field verified?</t>
  </si>
  <si>
    <t>B82-Q7</t>
  </si>
  <si>
    <t>Are existing cameras/security devices protected and retained with no VMS/PACS disruption?</t>
  </si>
  <si>
    <t>B82-Q8</t>
  </si>
  <si>
    <t>Which test records, HVAC startup records and turnover documents are required for TE acceptance?</t>
  </si>
  <si>
    <t>B82-P001</t>
  </si>
  <si>
    <t>Room 102 wall location, wall backing, clearances, ceiling, power source, cable path, fiber path A/B and new TE enclosure location</t>
  </si>
  <si>
    <t>B82-R1/B82-R3</t>
  </si>
  <si>
    <t>B82-P002</t>
  </si>
  <si>
    <t>Existing first-level telecom room B01-A wall rack, Cisco switches, cable management, Ortronics patch panels, APC floor UPS and cable entries</t>
  </si>
  <si>
    <t>B82-R1/B82-R2</t>
  </si>
  <si>
    <t>B82-P003</t>
  </si>
  <si>
    <t>278 ft first-level cable tray route, 4-inch sleeve, wall/floor penetrations, support points, light/HVAC conflicts and 40% fill concerns</t>
  </si>
  <si>
    <t>B82-R6/B82-R7</t>
  </si>
  <si>
    <t>B82-P004</t>
  </si>
  <si>
    <t>IU-1-01/CU-1-01, condensate pump/path, thermostat, BACnet adapter, disconnects, high-temp alarm and power source</t>
  </si>
  <si>
    <t>B82-P005</t>
  </si>
  <si>
    <t>New TE enclosure UPS/PDU receptacles, circuit source, B82-MDP/B82-P-EMER connections, grounding/bonding, SPD, labels and access</t>
  </si>
  <si>
    <t>B82-P006</t>
  </si>
  <si>
    <t>TR01-102-01 enclosure, cross-connect/cutover cabling, Fiber LIU, patch panels, labels, test results and existing equipment transfer</t>
  </si>
  <si>
    <t>B82-R2/B82-R8</t>
  </si>
  <si>
    <t>B82-P007</t>
  </si>
  <si>
    <t>B82-P008</t>
  </si>
  <si>
    <t>New first-level TE/telecom room with 12RU wall enclosure, UPS/PDU, dedicated cooling shown, 278 ft cable tray and 40 total ports including allowance.</t>
  </si>
  <si>
    <t>Existing first-level telecom room and transition point; protect active services until cutover complete.</t>
  </si>
  <si>
    <t>518-22-700.Bedford.EHRM.IFC.B82.20260316(1).pdf</t>
  </si>
  <si>
    <t>36-sheet Building 82 IFC package includes general, architectural, mechanical, electrical, telecommunications, rack elevations, schedules, fiber risers, cutsheets and photo references.</t>
  </si>
  <si>
    <t>Cover sheet note 4 states Building 82 is to receive a Telecom Enclosure (TE) and fire protection scope has been excluded. Mechanical drawings are included and show IU-1-01/CU-1-01 support.</t>
  </si>
  <si>
    <t>82T-101 identifies Telecom Room 102 at 86 SF, fiber paths A/B and new wall-mounted telecom enclosure. 82T-604 identifies existing B01-A rack/equipment and new Room 102 12RU TE enclosure. 82T-701 identifies Rack ID TR01-102-01, 26 WAO total, 31 active ports, 36 ports per schedule, 40 ports with 10% allowance and 278 ft first-level cable tray.</t>
  </si>
  <si>
    <t>82T-604 existing B01-A elevations identify Cisco switches, cable management, Ortronics 24-port patch panels with 11 and 6 used, existing patch panels, and APC UPS floor. 82R-900 provides first-level existing telecom room B01A photo reference.</t>
  </si>
  <si>
    <t>82M-101/701/801/802 identify IU-1-01 and CU-1-01 split-system cooling with BACnet adapter/control integration; verify power source, condensate, start-up and alarm points.</t>
  </si>
  <si>
    <t>82E-101/601/701 provide electrical plan, one-line and schedule references including B82-MDP, B82-P-EMER, TE receptacle, CU-1-01 and SPD requirements; verify power source, receptacle, grounding/bonding, circuit capacity and labels in field.</t>
  </si>
  <si>
    <t>CRESCENT HOUSE (BCH) │ EHRM ASSESSMENT │ PMIS DASHBOARD FEED</t>
  </si>
  <si>
    <t>BCH</t>
  </si>
  <si>
    <t>518-22-700 IFC BCH / Crescent House</t>
  </si>
  <si>
    <t>107 / Room 00-107 / Telecom Enclosure / New Telecom Room</t>
  </si>
  <si>
    <t>Crescent House/BCH is a Telecom Enclosure (TE) scope with mechanical and fire protection excluded by the cover sheet. Scope centers on first-level Room 107 and rack/equipment location shown as Room 00-107 / BCH Crescent House. Field verification, room naming, wall-mounted TE versus 45RU room/rack elevation conflict, active-service cutover, power/UPS/PDU source, firestopping, fiber A/B routing, and cable tray/WAO quantities remain open.</t>
  </si>
  <si>
    <t>Field verify Room 107, Room 00-107 rack/elevation reference, new TE/enclosure location, active services, cable tray route, power/UPS/PDU source, grounding/bonding, fiber Path A/B, 4-inch sleeve/firestop scope, camera/VMS scope, and confirm whether the BCH rack elevation is TE-only or new telecom room buildout.</t>
  </si>
  <si>
    <t>Existing Crescent House room area / telecom work area</t>
  </si>
  <si>
    <t>Telecom Enclosure / Telecom Room</t>
  </si>
  <si>
    <t>BCHGA-401 / BCHE-101 / BCHT-101 / BCHT-604</t>
  </si>
  <si>
    <t>Primary BCH telecom location. Architectural/electrical/telecom plans reference first-level Room 107. BCHT-101 enlarged plan identifies RM 107 new telecom work. BCHT-604 shows BCH Crescent House Room 107 as new telecom room / no existing elevations.</t>
  </si>
  <si>
    <t>00 / 107</t>
  </si>
  <si>
    <t>Rack/elevation reference location</t>
  </si>
  <si>
    <t>BCHT-604</t>
  </si>
  <si>
    <t>Rack elevation shows 12RU telecom enclosure with APC UPS, two PDUs, network switch, 48-port Cat6A patch panel, Fiber LIU, and first-level mounting. Also includes separate BCH Crescent House Room 107 / new telecom room elevation; field confirm correct configuration.</t>
  </si>
  <si>
    <t>N/A / TE Scope</t>
  </si>
  <si>
    <t>Verify wall backing, mounting height, access clearance, cable tray/sleeve entry, rated wall/firestop requirements, floor/ceiling conditions, ICRA barriers, and whether Room 107 functions as a TE-only space or a telecom room.</t>
  </si>
  <si>
    <t>Rack elevation conflict requires field/AE confirmation before PMIS closeout. Confirm whether the 12RU wall enclosure or 45RU telecom room rack configuration is the governing installation.</t>
  </si>
  <si>
    <t>Cover sheet states BCH receives a Telecom Enclosure and mechanical/fire protection scope has been excluded. Still verify existing life-safety protection, rated penetrations, 4-inch sleeve fire caulk, temporary firestopping and abandoned penetration patching.</t>
  </si>
  <si>
    <t>TE-only scope does not appear to require new FEC/fire sprinkler work, but all wall/floor/ceiling penetrations must be sealed and rated assemblies maintained.</t>
  </si>
  <si>
    <t>Cover sheet explicitly excludes mechanical scope. Verify existing room ambient conditions are acceptable for TE equipment and that no active network equipment will overheat.</t>
  </si>
  <si>
    <t>If the final scope is a 45RU new telecom room rather than a small TE, HVAC exclusion should be confirmed with VA/AE because telecom-room heat load may differ from TE assumptions.</t>
  </si>
  <si>
    <t>BCHE-101 / BCHE-601 source to verify</t>
  </si>
  <si>
    <t>Electrical plan includes first-level electrical work and notes for new wall-mount telecom enclosure, grounding/bonding and camera. Verify circuit source, receptacle type, UPS/PDU load, emergency source if required, grounding/bonding and labels.</t>
  </si>
  <si>
    <t>APC UPS / 12RU enclosure or 5kW rack UPS if room rack governs</t>
  </si>
  <si>
    <t>BCHT-604 shows 12RU TE equipment with APC UPS and PDUs and also a BCH 45RU new telecom room elevation. Confirm exact UPS/PDU/rack power requirement before acceptance.</t>
  </si>
  <si>
    <t>BCHT-101 identifies telecom plan first level and enlarged Room 107. BCHT-604 identifies new telecom room/no existing elevations. There is no BCHT-701 schedule in the drawing index, so WAO/cable-tray totals must be field verified from plans and contractor coordination drawings.</t>
  </si>
  <si>
    <t>BCHT-604 identifies a 12RU TE elevation: APC UPS, two PDUs, network switch, 48-port Cat6A patch panel and Fiber LIU. Also shows BCH Crescent House Room 107 new telecom room elevation. Confirm governing rack/enclosure and labeling.</t>
  </si>
  <si>
    <t>Telecom/electrical notes reference new IP-addressable camera with wall mount at 8'-6" A.F.F. and VMS integration. Verify whether PACS applies; TE buildings typically do not create full TR door/PACS scope.</t>
  </si>
  <si>
    <t>Verify existing camera/security conditions, protection-in-place, and any recabling or VMS integration required.</t>
  </si>
  <si>
    <t>BCH-R1</t>
  </si>
  <si>
    <t>Existing conditions for Crescent House Room 107 not field verified</t>
  </si>
  <si>
    <t>BCH is off-site at 15 Veterans Way, Lowell and requires careful field verification.</t>
  </si>
  <si>
    <t>BCH-R2</t>
  </si>
  <si>
    <t>Mechanical and fire protection are excluded despite telecom/electronics installation</t>
  </si>
  <si>
    <t>Verify existing environmental and life-safety conditions support TE equipment; confirm no dedicated HVAC/FP requirement applies</t>
  </si>
  <si>
    <t>GCC / VA / AE</t>
  </si>
  <si>
    <t>Cover sheet explicitly excludes mechanical and fire protection.</t>
  </si>
  <si>
    <t>BCH-R3</t>
  </si>
  <si>
    <t>107 / 00</t>
  </si>
  <si>
    <t>Rack/elevation conflict: TE 12RU enclosure versus BCH Room 107 new telecom room elevation</t>
  </si>
  <si>
    <t>Submit RFI/confirm with AE which elevation governs and map room/equipment in PMIS</t>
  </si>
  <si>
    <t>Telecom / Designer</t>
  </si>
  <si>
    <t>BCHT-604 includes both TE enclosure and BCH 45RU new telecom room/no existing elevations.</t>
  </si>
  <si>
    <t>BCH-R4</t>
  </si>
  <si>
    <t>Active services and existing devices may require phasing/temporary service</t>
  </si>
  <si>
    <t>Document active services, maintain existing service, use phasing plan, temporary utilities and OIT cutover windows</t>
  </si>
  <si>
    <t>General telecom notes require transfer/phasing and avoiding shutdowns.</t>
  </si>
  <si>
    <t>BCH-R5</t>
  </si>
  <si>
    <t>Electrical sheets included but no full mechanical/FP package.</t>
  </si>
  <si>
    <t>BCH-R6</t>
  </si>
  <si>
    <t>Cable tray, sleeve and pathway quantities not scheduled in a BCHT-701 sheet</t>
  </si>
  <si>
    <t>Require coordination drawings showing route, supports, fill, penetrations, sleeves and cable counts</t>
  </si>
  <si>
    <t>Drawing index does not list BCHT-701 telecom schedules.</t>
  </si>
  <si>
    <t>BCH-R7</t>
  </si>
  <si>
    <t>Telecom plan notes still require fire caulk and rated penetration protection.</t>
  </si>
  <si>
    <t>BCH-R8</t>
  </si>
  <si>
    <t>Turnover documentation may be incomplete due to TE-only/off-site scope</t>
  </si>
  <si>
    <t>Commissioning/testing requirements still apply to impacted systems.</t>
  </si>
  <si>
    <t>BCH-Q1</t>
  </si>
  <si>
    <t>Confirm final BCH scope: Room 107 TE enclosure only, or a new telecom room/rack buildout?</t>
  </si>
  <si>
    <t>VA / AE / OIT</t>
  </si>
  <si>
    <t>PMIS scope and acceptance criteria unclear</t>
  </si>
  <si>
    <t>BCH-Q2</t>
  </si>
  <si>
    <t>Why does BCHT-604 show a T78 12RU TE enclosure and a separate BCH Crescent House Room 107 new telecom room elevation?</t>
  </si>
  <si>
    <t>Rack/equipment mapping conflict</t>
  </si>
  <si>
    <t>BCH-Q3</t>
  </si>
  <si>
    <t>What active services currently serve Crescent House and where are existing terminations located?</t>
  </si>
  <si>
    <t>Cutover/outage risk</t>
  </si>
  <si>
    <t>BCH-Q4</t>
  </si>
  <si>
    <t>What is the approved power source, receptacle type and circuit capacity for the new UPS/PDU?</t>
  </si>
  <si>
    <t>BCH-Q5</t>
  </si>
  <si>
    <t>Is existing HVAC/ambient condition acceptable for TE/network equipment since mechanical scope is excluded?</t>
  </si>
  <si>
    <t>Heat/load risk</t>
  </si>
  <si>
    <t>BCH-Q6</t>
  </si>
  <si>
    <t>Are cable tray route, sleeve locations, supports and firestopping details shown/field verified without a BCHT-701 schedule?</t>
  </si>
  <si>
    <t>BCH-Q7</t>
  </si>
  <si>
    <t>Are camera/security devices required, protected and integrated into VMS for Room 107?</t>
  </si>
  <si>
    <t>BCH-Q8</t>
  </si>
  <si>
    <t>Which test records and turnover documents are required for BCH TE/off-site acceptance?</t>
  </si>
  <si>
    <t>BCH-P001</t>
  </si>
  <si>
    <t>Room 107 walls, ceiling, floor, wall backing, clearances, existing devices, power source, cable path, and proposed TE/rack location</t>
  </si>
  <si>
    <t>BCH-R1/BCH-R3</t>
  </si>
  <si>
    <t>BCH-P002</t>
  </si>
  <si>
    <t>Panel/source, receptacles, UPS/PDU location, grounding/bonding bar, labels and access clearance</t>
  </si>
  <si>
    <t>BCH-P003</t>
  </si>
  <si>
    <t>12RU enclosure or rack location, Fiber LIU, patch panel, network switch, Cat6A terminations, labels and test records</t>
  </si>
  <si>
    <t>BCH-R3/BCH-R8</t>
  </si>
  <si>
    <t>BCH-P004</t>
  </si>
  <si>
    <t>Cable tray route, 4-inch sleeves, wall/floor penetrations, support points and 40% fill concerns</t>
  </si>
  <si>
    <t>BCH-R6/BCH-R7</t>
  </si>
  <si>
    <t>BCH-P005</t>
  </si>
  <si>
    <t>Rated penetrations, fire caulk and temporary/final firestopping before/after photos</t>
  </si>
  <si>
    <t>BCH-P006</t>
  </si>
  <si>
    <t>HVAC / Existing Environment</t>
  </si>
  <si>
    <t>Existing room cooling/ventilation and ambient condition for TE equipment</t>
  </si>
  <si>
    <t>BCH-R2/BCH-R5</t>
  </si>
  <si>
    <t>BCH-P007</t>
  </si>
  <si>
    <t>Security / CCTV</t>
  </si>
  <si>
    <t>Camera location, existing/security devices, VMS integration, access conditions and protection-in-place</t>
  </si>
  <si>
    <t>BCH-P008</t>
  </si>
  <si>
    <t>Off-site Coordination</t>
  </si>
  <si>
    <t>Site access, staging, ICRA/dust control, work area barriers and temporary service conditions</t>
  </si>
  <si>
    <t>BCH-R1/BCH-R4</t>
  </si>
  <si>
    <t>BCH first-level Room 107 telecom scope; verify final TE versus telecom room configuration, power, pathway, firestopping and active service transition.</t>
  </si>
  <si>
    <t>Rack/elevation reference requiring confirmation before turnover and PMIS import.</t>
  </si>
  <si>
    <t>518-22-700.Bedford.EHRM.IFC.BCH.20260316(1).pdf</t>
  </si>
  <si>
    <t>26-sheet BCH/Crescent House IFC package includes general, architectural, electrical, telecommunications, fiber risers, rack elevations and telecom cutsheets. Mechanical and fire protection drawing packages are excluded for this building.</t>
  </si>
  <si>
    <t>BCHG-000 note 4 states this building is to receive a Telecom Enclosure (TE), and mechanical and fire protection scope has been excluded.</t>
  </si>
  <si>
    <t>Architectural / Electrical Basis</t>
  </si>
  <si>
    <t>BCHGA-401 and BCHE-101 identify first-level Room 107 work area and new condition. Electrical notes identify new wall-mount telecom enclosure, grounding/bonding, camera and coordination requirements.</t>
  </si>
  <si>
    <t>BCHT-101 identifies first-level telecommunications plan and enlarged Room 107 new plan. BCHT-102 identifies second-level telecommunications plan. BCHT-604 identifies new TE enclosure/equipment plus BCH Crescent House Room 107 new telecom room/no existing elevations. No BCHT-701 schedule is listed in the index.</t>
  </si>
  <si>
    <t>Riser Basis</t>
  </si>
  <si>
    <t>BCHT-602/603A/603B show existing and new fiber riser diagrams. BCH appears as Crescent House / Room 107 in the new fiber riser relationship, with redundant fiber Path A/B requirements tied to the MCR strategy.</t>
  </si>
  <si>
    <t>Off-site Basis</t>
  </si>
  <si>
    <t>Cover sheet identifies BCH/Crescent House project location at 15 Veterans Way, Lowell, MA 01852; include access/staging and off-site coordination in field review.</t>
  </si>
  <si>
    <t>MAIN COMPUTER ROOM (MCR) │ EHRM ASSESSMENT │ PMIS DASHBOARD FEED</t>
  </si>
  <si>
    <t>518-22-700 IFC MCR</t>
  </si>
  <si>
    <t>New MCR Building / Room 107 / Room 031 / MDA / HDA A / HDA B / UPS A-B / Existing 137</t>
  </si>
  <si>
    <t>MCR is the most critical EHRM infrastructure building. Scope includes new Main Computer Room, new MDA A/B rows, HDA A/B rows, existing server/MCR equipment transfer from 107/137, redundant fiber Path A/B, new CRAC cooling, UPS A/B, electrical service/ATS/generator integration, clean-agent fire suppression, wet sprinkler/fire alarm interfaces, PACS/CCTV, 359 ft cable tray, and MCR activation window. Major risk is service continuity during backbone/core migration and VA activation.</t>
  </si>
  <si>
    <t>Field verify new MCR Room 107 / Room 031 naming, MDA-A/B and HDA-A/B rack rows, existing MCR/server equipment in 107/137, UPS-A/B, CRAC units, clean-agent/preaction/fire alarm systems, MCR panel/ATS/generator sources, camera/access control devices, fiber Path A/B, service provider entrance, cable tray/firestop scope, third-party inspections, and phased activation/cutover sequence.</t>
  </si>
  <si>
    <t>107 / MCR</t>
  </si>
  <si>
    <t>Ground</t>
  </si>
  <si>
    <t>New Main Computer Room / MCR building</t>
  </si>
  <si>
    <t>Main Computer Room</t>
  </si>
  <si>
    <t>MCRA-101 / MCRT-100 / MCRT-101 / MCRT-401 / MCRT-607-609 / MCRT-701</t>
  </si>
  <si>
    <t>Primary new MCR space. Telecom plans show MDA-A1/A2/A3, MDA-B1/B2/B3, HDA-A, HDA-B, UPS-A and UPS-B. Rack elevations identify MDA A/B racks, HDA A/B server cabinets, existing server cabinet transfer references, 10 WAO total and 359 ft cable tray.</t>
  </si>
  <si>
    <t>031 / Fiber Entrance Room 1</t>
  </si>
  <si>
    <t>Fiber entrance / telecom pathway space</t>
  </si>
  <si>
    <t>Fiber Entrance / support room</t>
  </si>
  <si>
    <t>MCRT-401 / MCRT-701</t>
  </si>
  <si>
    <t>MCRT-701 schedule is titled Data Device and Circuit Schedule - Fiber Entrance Room 1 and identifies Rack ID TR01-031-1, four data outlets 31-A/B/C/D and security camera/data devices 07-CAM-03/04/07/08/11.</t>
  </si>
  <si>
    <t>MDA-A1/A2/A3</t>
  </si>
  <si>
    <t>New MDA row A</t>
  </si>
  <si>
    <t>Main Distribution Area A</t>
  </si>
  <si>
    <t>MCRT-607</t>
  </si>
  <si>
    <t>New MDA A racks: MDA-A-1, MDA-A-2, MDA-A-3. MDA A-2 includes 1RU LIU for hybrid FOC to HDA and 48x Cat6A to HDA. MDA A-1/A-3 reserved for LAN elements/leaf/access or spine/aggregation.</t>
  </si>
  <si>
    <t>MDA-B1/B2/B3</t>
  </si>
  <si>
    <t>New MDA row B</t>
  </si>
  <si>
    <t>Main Distribution Area B</t>
  </si>
  <si>
    <t>New MDA B racks: MDA-B-1, MDA-B-2, MDA-B-3. MDA B-2 includes 1RU LIU for hybrid FOC to HDA and 48x Cat6A to HDA. Supports redundant B-side backbone/distribution.</t>
  </si>
  <si>
    <t>HDA-A</t>
  </si>
  <si>
    <t>New HDA A row</t>
  </si>
  <si>
    <t>Horizontal Distribution Area A</t>
  </si>
  <si>
    <t>MCRT-608</t>
  </si>
  <si>
    <t>HDA A-1 new server cabinet front/rear elevation, 48-port Cat6A patch panels, HD fiber LIUs, HD Cat6A patch panel to MDA-A2, and backbone side A/B LIU. Also includes existing B61 server cabinet transfer references.</t>
  </si>
  <si>
    <t>HDA-B</t>
  </si>
  <si>
    <t>New HDA B row</t>
  </si>
  <si>
    <t>Horizontal Distribution Area B</t>
  </si>
  <si>
    <t>MCRT-609</t>
  </si>
  <si>
    <t>HDA B-1 new server cabinet front/rear elevation, 48-port Cat6A patch panels, HD fiber LIUs, HD Cat6A patch panel to MDA-B2, and duplicate existing B61 server cabinet transfer references.</t>
  </si>
  <si>
    <t>Existing 107 / 137 Server MCR</t>
  </si>
  <si>
    <t>Existing / transition</t>
  </si>
  <si>
    <t>Existing MCR/server/core equipment</t>
  </si>
  <si>
    <t>Existing equipment transition point</t>
  </si>
  <si>
    <t>MCRT-604 / MCRT-605 / MCRT-606 / MCRT-608 / MCRT-609</t>
  </si>
  <si>
    <t>Existing MCR elevations include Rows 1-3 and existing server cabinet B61 equipment, Cisco core, WAN aggregation, NetScout, Canoga Perkins, Cisco switches, legacy Ortronics patch panels, LIUs, APC/Chatsworth/HP PDUs and UPS equipment. Protect and phase transfer.</t>
  </si>
  <si>
    <t>New MCR building requires final architectural envelope, rated walls/doors, roof/ceiling, floor finish, equipment clearances, row spacing, lighting coordination, grounding/bonding, and path separation.</t>
  </si>
  <si>
    <t>031</t>
  </si>
  <si>
    <t>Fiber Entrance Room 1 schedule requires confirmation of room naming, wall/backbox locations, penetration/firestop detail, rack/cabinet location and service provider interface.</t>
  </si>
  <si>
    <t>MDA-A/B</t>
  </si>
  <si>
    <t>MDA racks must be installed with mandatory blank panels, bonding, overhead tray, fiber/copper routing and A/B side path separation.</t>
  </si>
  <si>
    <t>HDA-A/B</t>
  </si>
  <si>
    <t>HDA server cabinets require front/rear access, blanking panels, cooling airflow coordination, patch panel/LIU arrangement and clearance for future expansion.</t>
  </si>
  <si>
    <t>Existing 107/137</t>
  </si>
  <si>
    <t>Existing equipment rooms/racks must remain operational until cutover. Verify active equipment inventory, PDUs, UPS sources, cable labels, and safe transfer pathway.</t>
  </si>
  <si>
    <t>MCR has full fire protection scope including wet pipe and clean-agent fire suppression system. Verify preaction/clean-agent design, agent release interface, fire alarm matrix, detection, abort/release stations, room integrity and acceptance testing.</t>
  </si>
  <si>
    <t>Verify fiber entrance room protection, rated penetrations, firestopping, detector/strobe coverage and no gaps after cable tray installation.</t>
  </si>
  <si>
    <t>Verify sprinkler/clean-agent coverage around MDA equipment, fire alarm devices, rack clearance and final firestop assemblies.</t>
  </si>
  <si>
    <t>Verify clean-agent coverage, detector placement, alarm interfaces, and open cabinet airflow protection.</t>
  </si>
  <si>
    <t>Existing systems must remain protected during temporary fiber, umbilical cord and core relocation work. Verify no impairment without approved fire watch/impairment plan.</t>
  </si>
  <si>
    <t>CRAC units / verify</t>
  </si>
  <si>
    <t>Telecom notes call for indoor computer room air conditioner (CRAC) units tied to building management system. Mechanical sheets included; verify redundant capacity, setpoints, humidity, condensate, controls, alarms and emergency power.</t>
  </si>
  <si>
    <t>UPS-A / UPS-B</t>
  </si>
  <si>
    <t>Dedicated cooling / verify</t>
  </si>
  <si>
    <t>UPS rooms/equipment require thermal load validation, ventilation, emergency power and alarm integration. Verify battery/UPS environmental requirements.</t>
  </si>
  <si>
    <t>CRAC-served MCR</t>
  </si>
  <si>
    <t>Verify airflow/cold aisle/hot aisle assumptions, blanking panels, floor/ceiling distribution and temperature monitoring.</t>
  </si>
  <si>
    <t>Server cabinets and patch fields require stable 24/7 cooling and monitoring. Confirm no local hot spots at dense LIU/patch panel zones.</t>
  </si>
  <si>
    <t>During split-core temporary phase, existing MCR/server equipment remains active. Verify existing cooling remains in service until cutover and decommissioning are complete.</t>
  </si>
  <si>
    <t>MCRE-401/402/403/601/701/702</t>
  </si>
  <si>
    <t>Electrical set includes site plan, enlarged MCR plans, one-lines and schedules. Verify switchboard/service, ATS/generator integration, normal/emergency/UPS distribution, grounding, lightning protection, SPD, load measurements and commissioning.</t>
  </si>
  <si>
    <t>Rack/PDU dependent</t>
  </si>
  <si>
    <t>MCR telecom panels / verify</t>
  </si>
  <si>
    <t>MDA rack elevations include new 4-post floor cabinets, LIUs and network elements. Verify redundant A/B power feeds and PDU arrangements.</t>
  </si>
  <si>
    <t>Cabinet/PDU dependent</t>
  </si>
  <si>
    <t>MCR telecom/UPS panels / verify</t>
  </si>
  <si>
    <t>HDA cabinets include server cabinet front/rear elevations with patch panels and active equipment. Confirm A/B feed separation, PDU mounting, load capacity and labels.</t>
  </si>
  <si>
    <t>Existing rack UPS/PDU</t>
  </si>
  <si>
    <t>Existing rack elevations identify multiple APC/Chatsworth/HP PDUs, APC Smart UPS and Eaton 9PX units. Verify what transfers, what stays, and temporary power during migration.</t>
  </si>
  <si>
    <t>Site / Utility</t>
  </si>
  <si>
    <t>MCRES / MCRE site one-line</t>
  </si>
  <si>
    <t>New MCR is standalone critical infrastructure. Verify utility service, generator/ATS paths, emergency distribution, grounding electrode and ductbank/site electrical coordination.</t>
  </si>
  <si>
    <t>MCRT-101 shows new MCR with MDA-A/B, HDA-A/B, UPS-A/B, cameras and fiber path legend. MCRT-701 shows 10 WAO total, 720 WAO available, 98.1% expansion capacity, 10 total ports with 20% allowance and 359 ft cable tray.</t>
  </si>
  <si>
    <t>MCRT-701 Data Device and Circuit Schedule - Fiber Entrance Room 1: outlets 31-A/B/C/D plus security devices 07-CAM-03/04/07/08/11; Rack ID TR01-031-1.</t>
  </si>
  <si>
    <t>MCRT-607: MDA A/B racks contain horizontal distribution LIUs, hybrid FOC, 48x Cat6A to HDA, and reserved LAN/spine/aggregation elements. Maintain A/B path separation.</t>
  </si>
  <si>
    <t>MCRT-608/609: HDA A/B include 48-port Cat6A patch panels, HD fiber LIUs, backbone side A/B LIU and server cabinet arrangements.</t>
  </si>
  <si>
    <t>Existing MCR rows 1-3 and B61 server cabinet transfer references are extensive. Maintain service using temporary fiber/umbilical cords and phased core relocation.</t>
  </si>
  <si>
    <t>MCRT-101 identifies cameras 07-CAM-01 through 07-CAM-12 around the MCR. Telecom notes call for IP-addressable network cameras integrated into existing VMS and PACS/access-control systems including iSTAR Edge/Avigilon ACM controller.</t>
  </si>
  <si>
    <t>MCRT-701 includes security camera/data devices assigned to TR01-031-1. Confirm camera IDs, mounting, cabling, and VMS commissioning.</t>
  </si>
  <si>
    <t>Verify camera coverage, door/access points, VMS monitoring and access control zones for critical equipment.</t>
  </si>
  <si>
    <t>Verify coverage of HDA cabinets, doors, motion detection and any lockable cabinet/security requirements.</t>
  </si>
  <si>
    <t>Existing security systems must remain functional during transition; protect existing camera angles and access controls until final turnover.</t>
  </si>
  <si>
    <t>MCR-R1</t>
  </si>
  <si>
    <t>MCR is a new standalone critical facility with 120-sheet multi-discipline scope</t>
  </si>
  <si>
    <t>Use discipline-by-discipline pre-install checklist, coordination drawings, third-party inspections and commissioning tracker</t>
  </si>
  <si>
    <t>GCC / VA / Cx</t>
  </si>
  <si>
    <t>New MCR cannot depend on another project or funding source to be usable.</t>
  </si>
  <si>
    <t>MCR-R2</t>
  </si>
  <si>
    <t>Existing MCR/server/core equipment transfer may interrupt hospital network operations</t>
  </si>
  <si>
    <t>Require detailed OIT cutover plan, temporary fiber/umbilicals, rollback plan, VA activation windows and after-hours phasing</t>
  </si>
  <si>
    <t>Notes state MCR activation may need 3-6 months and WAO activation depends on fiber/core connections.</t>
  </si>
  <si>
    <t>MCR-R3</t>
  </si>
  <si>
    <t>MDA/HDA</t>
  </si>
  <si>
    <t>A/B fiber path diversity and backbone commissioning not verified</t>
  </si>
  <si>
    <t>Verify OSP/ISP Path A/B routing, no intermediate splices, test results, labeling and geographic diversity</t>
  </si>
  <si>
    <t>New fiber risers require A-side and B-side redundant paths to every TR.</t>
  </si>
  <si>
    <t>MCR-R4</t>
  </si>
  <si>
    <t>MCR / UPS</t>
  </si>
  <si>
    <t>UPS-A/B, ATS/generator, panel source and PDU coordination could delay activation</t>
  </si>
  <si>
    <t>Verify one-line, load banks, breaker settings, panel labels, generator/ATS tests, UPS start-up and A/B power mapping</t>
  </si>
  <si>
    <t>Electrical / Cx</t>
  </si>
  <si>
    <t>Electrical scope includes site electrical, enlarged MCR plans, one-lines and schedules.</t>
  </si>
  <si>
    <t>MCR-R5</t>
  </si>
  <si>
    <t>CRAC capacity, redundancy, condensate, BMS/FMS alarms and emergency power not verified</t>
  </si>
  <si>
    <t>Confirm mechanical schedules, CRAC start-up, controls, alarm points, emergency source, environmental monitoring and hot/cold aisle performance</t>
  </si>
  <si>
    <t>Mechanical / Cx</t>
  </si>
  <si>
    <t>Telecom notes explicitly call for indoor computer room air conditioner CRAC units and BMS coordination.</t>
  </si>
  <si>
    <t>MCR-R6</t>
  </si>
  <si>
    <t>Clean-agent/preaction/fire alarm interface and room integrity acceptance risk</t>
  </si>
  <si>
    <t>Track clean-agent calculations, room integrity test, release/abort stations, FA matrix, sprinkler/preaction tests and AHJ/third-party acceptance</t>
  </si>
  <si>
    <t>FP / FA / Cx</t>
  </si>
  <si>
    <t>MCR receives new fire alarm and clean-agent fire suppression system.</t>
  </si>
  <si>
    <t>MCR-R7</t>
  </si>
  <si>
    <t>MCR / Site</t>
  </si>
  <si>
    <t>Civil/site/utility ductbank, drainage, grading and security envelope could affect substantial completion</t>
  </si>
  <si>
    <t>Track civil utility plan, stormwater, grading, ductbank, site fiber conduit encasement, access and landscape/hardscape restoration</t>
  </si>
  <si>
    <t>Civil / Site / GC</t>
  </si>
  <si>
    <t>MCR package includes civil, structural and architectural site work.</t>
  </si>
  <si>
    <t>MCR-R8</t>
  </si>
  <si>
    <t>Commissioning/turnover package may be incomplete across all divisions</t>
  </si>
  <si>
    <t>Maintain MCR-specific turnover matrix for electrical, mechanical, FP, FA, telecom, security, civil, structural and architectural systems</t>
  </si>
  <si>
    <t>General notes require commissioning/recommissioning, third-party inspections and written reports.</t>
  </si>
  <si>
    <t>MCR-Q1</t>
  </si>
  <si>
    <t>Confirm final room naming and PMIS mapping: MCR Room 107, Fiber Entrance Room 031, Existing 107/137 server/MCR references.</t>
  </si>
  <si>
    <t>Room inventory and turnover mapping could be wrong</t>
  </si>
  <si>
    <t>MCR-Q2</t>
  </si>
  <si>
    <t>What existing core/server/rack equipment is being relocated from the existing MCR/server rooms, and what remains?</t>
  </si>
  <si>
    <t>Cutover and outage risk</t>
  </si>
  <si>
    <t>MCR-Q3</t>
  </si>
  <si>
    <t>What is the approved MCR activation sequence and required VA/OIT hold points?</t>
  </si>
  <si>
    <t>VA / OIT / COR</t>
  </si>
  <si>
    <t>Schedule/cutover impact</t>
  </si>
  <si>
    <t>General phasing notes mention 3-6 month MCR activation and split core operation.</t>
  </si>
  <si>
    <t>MCR-Q4</t>
  </si>
  <si>
    <t>Are UPS-A/B, generator/ATS and emergency power paths commissioned and mapped to each rack/PDU?</t>
  </si>
  <si>
    <t>MCR-Q5</t>
  </si>
  <si>
    <t>Are CRAC units fully commissioned with BMS/FMS alarms, redundancy and emergency power?</t>
  </si>
  <si>
    <t>Cooling continuity risk</t>
  </si>
  <si>
    <t>MCR-Q6</t>
  </si>
  <si>
    <t>Are clean-agent/preaction/fire alarm systems fully designed, tested and accepted?</t>
  </si>
  <si>
    <t>FP / FA / AHJ</t>
  </si>
  <si>
    <t>MCR-Q7</t>
  </si>
  <si>
    <t>Are redundant Path A/B fiber routes geographically diverse, tested, labeled and accepted?</t>
  </si>
  <si>
    <t>Backbone redundancy risk</t>
  </si>
  <si>
    <t>MCR-Q8</t>
  </si>
  <si>
    <t>Which third-party inspections, commissioning reports and OIT validation records are required before turnover/activation?</t>
  </si>
  <si>
    <t>MCR-P001</t>
  </si>
  <si>
    <t>MCR 107</t>
  </si>
  <si>
    <t>Full room envelope, doors, rated walls, ceiling/roof, floors, row layout, UPS-A/B, MDA/HDA, access points and cameras</t>
  </si>
  <si>
    <t>MCR-R1/MCR-R6</t>
  </si>
  <si>
    <t>MCR-P002</t>
  </si>
  <si>
    <t>Fiber Entrance</t>
  </si>
  <si>
    <t>Fiber Entrance Room 1, outlet locations 31-A/B/C/D, rack/cabinet location, sleeve/firestop and service entrance pathways</t>
  </si>
  <si>
    <t>MCR-P003</t>
  </si>
  <si>
    <t>Rack / Fiber</t>
  </si>
  <si>
    <t>MDA-A1/A2/A3 and MDA-B1/B2/B3 rack fronts/rears, LIUs, hybrid FOC, Cat6A to HDA, grounding and cable management</t>
  </si>
  <si>
    <t>MCR-R3/MCR-R4</t>
  </si>
  <si>
    <t>MCR-P004</t>
  </si>
  <si>
    <t>Rack / Server Cabinets</t>
  </si>
  <si>
    <t>HDA-A1/HDA-B1 front/rear, patch panels, HD LIUs, cabinet blanking panels, server cabinet airflow and labels</t>
  </si>
  <si>
    <t>MCR-R3/MCR-R5</t>
  </si>
  <si>
    <t>MCR-P005</t>
  </si>
  <si>
    <t>Existing rows 1-3 and B61 server cabinet transfer equipment, Cisco core, WAN aggregation, NetScout, Canoga, Ortronics, LIUs, UPS/PDU labels</t>
  </si>
  <si>
    <t>MCR-P006</t>
  </si>
  <si>
    <t>MCR / Electrical</t>
  </si>
  <si>
    <t>UPS-A/B, switchboards, panels, ATS, generator tie, PDUs, rack receptacles, grounding, SPDs and load measurement labels</t>
  </si>
  <si>
    <t>MCR-P007</t>
  </si>
  <si>
    <t>MCR / Mechanical</t>
  </si>
  <si>
    <t>HVAC / Controls</t>
  </si>
  <si>
    <t>CRAC units, condensate, controls/BACnet/BMS/FMS points, alarms, environmental monitoring and emergency power source</t>
  </si>
  <si>
    <t>MCR-P008</t>
  </si>
  <si>
    <t>MCR / Life Safety</t>
  </si>
  <si>
    <t>Fire / Security</t>
  </si>
  <si>
    <t>Clean-agent cylinders/piping/nozzles, preaction/sprinkler, fire alarm, release/abort devices, cameras 07-CAM series, PACS/controller and door hardware</t>
  </si>
  <si>
    <t>MCR-R6/MCR-R8</t>
  </si>
  <si>
    <t>New critical MCR facility with full architectural/civil/structural/MEP/FP/telecom/security scope; not construction-ready until coordination and commissioning plan are verified.</t>
  </si>
  <si>
    <t>Fiber Entrance Room 1 schedule and camera/data points require field verification and firestop/pathway coordination.</t>
  </si>
  <si>
    <t>New main distribution rows; A/B fiber diversity and rack/PDU mapping are critical.</t>
  </si>
  <si>
    <t>New horizontal distribution/server cabinet rows; airflow, patching, labeling and redundancy must be validated.</t>
  </si>
  <si>
    <t>Existing MCR/server equipment transition point; protect active service until final activation.</t>
  </si>
  <si>
    <t>120-sheet MCR IFC package includes general, life safety, civil, structural, architectural, interiors, equipment, fire protection, plumbing, mechanical, electrical, telecommunications, rack elevations, telecom schedules and cutsheets.</t>
  </si>
  <si>
    <t>Cover sheet identifies the New Main Computer Room Building as a project scope item with new MCR, temporary and new fiber, new HVAC, CCTV, fire protection/fire alarm, PACS, UPS, electrical distribution and commissioning.</t>
  </si>
  <si>
    <t>MCRT-101/401 show new MCR layout with UPS-A, UPS-B, HDA-A, HDA-B and MDA-A1/A2/A3/B1/B2/B3. MCRT-607 through 609 identify MDA/HDA rack elevations. MCRT-701 identifies Fiber Entrance Room 1, 10 WAO total, 720 WAO available, 98.1% expansion capacity and 359 ft cable tray.</t>
  </si>
  <si>
    <t>MCRT-604 through MCRT-606 identify existing MCR Rows 1-3 with existing rack/PDU/UPS/server/core equipment. MCRT-608/609 include existing B61 server cabinet transfer/duplicate references tied to 137/107 Server MCR.</t>
  </si>
  <si>
    <t>Fiber / Phasing Basis</t>
  </si>
  <si>
    <t>MCRT-601/603A/603B describe temporary fiber, MCR activation, A/B redundant fiber routes, no intermediate fiber splices, new MCR umbilical cords, and VA activation windows. WAO activation depends on new fiber and core connection.</t>
  </si>
  <si>
    <t>MCRM sheets include MCR mechanical/CRAC and controls scope; MCRFX sheets include clean-agent and fire protection plans/details. Fire alarm notes require clean-agent system interface with building fire alarm.</t>
  </si>
  <si>
    <t>Electrical / Security Basis</t>
  </si>
  <si>
    <t>MCRE sheets include site electrical, MCR electrical plans, one-line diagrams and schedules. MCRT notes call for IP cameras integrated to VMS and PACS/access-control devices/controllers for secured spaces.</t>
  </si>
  <si>
    <t>General notes require third-party inspections, testing, written reports, commissioning/recommissioning, coordination drawings, VA/OIT acceptance before active connection, and shutdowns limited one at a time.</t>
  </si>
  <si>
    <t>SITE │ EHRM ASSESSMENT │ PMIS DASHBOARD FEED</t>
  </si>
  <si>
    <t>518-22-700 IFC SITE</t>
  </si>
  <si>
    <t>Campus fiber Path A/B / ductbank / handholes / manholes / MCR connectivity</t>
  </si>
  <si>
    <t>Site package controls the redundant telecommunications backbone for the full EHRM campus. Scope includes site survey, electrical site plans, telecom site plans, enlarged views, plan/profile sheets for Path A/B, concrete ductbank, direct-bury conduit, handholes THH #1-#19, communication manholes with locking covers, concrete pullboxes, trench restoration, and the site one-line fiber diagram. Major risks are existing utility conflicts, A/B path separation, ductbank inspection before backfill, MCR activation sequencing, and coordination of multiple building tie-ins.</t>
  </si>
  <si>
    <t>N/A / Maintain Access</t>
  </si>
  <si>
    <t>Verify Site Access</t>
  </si>
  <si>
    <t>Field verify all THH/manhole locations, utility depths, trench routes, concrete ductbank sizes, Path A/B conduit counts, building tie-in points, site electrical conflicts, MCR/provider entrance points, restoration limits, traffic/pedestrian controls, inspection hold points, and fiber testing/acceptance sequence.</t>
  </si>
  <si>
    <t>1. SITE ROUTE INVENTORY</t>
  </si>
  <si>
    <t>Area / Segment</t>
  </si>
  <si>
    <t>Buildings / Nodes</t>
  </si>
  <si>
    <t>Path</t>
  </si>
  <si>
    <t>Primary Scope</t>
  </si>
  <si>
    <t>Handholes / Structures</t>
  </si>
  <si>
    <t>Conduit / Ductbank</t>
  </si>
  <si>
    <t>Station / Length</t>
  </si>
  <si>
    <t>Overall Site</t>
  </si>
  <si>
    <t>Campus-wide / MCR / all EHRM buildings</t>
  </si>
  <si>
    <t>Path A &amp; B</t>
  </si>
  <si>
    <t>Redundant site fiber backbone</t>
  </si>
  <si>
    <t>THH #1-#19, communication manholes, concrete pullboxes</t>
  </si>
  <si>
    <t>4-inch PVC conduit in concrete ductbank; direct-bury communication conduit where noted</t>
  </si>
  <si>
    <t>TS100 / T-601 / G-000</t>
  </si>
  <si>
    <t>Campus wide</t>
  </si>
  <si>
    <t>New site fiber conduit must be concrete encased. Base bid is trenching with concrete ductbank and hand digging at existing utility crossings; directional boring requires Government approval.</t>
  </si>
  <si>
    <t>B12 to B16</t>
  </si>
  <si>
    <t>B12 / B16</t>
  </si>
  <si>
    <t>Telecom plan and profile</t>
  </si>
  <si>
    <t>THH #15-#19</t>
  </si>
  <si>
    <t>2x4-inch PVC concrete ductbank</t>
  </si>
  <si>
    <t>TS201</t>
  </si>
  <si>
    <t>00+00 to 7+91.21</t>
  </si>
  <si>
    <t>Plan/profile shows B12 to B16 route with vertical ductbank angle transitions and concrete ductbank notes.</t>
  </si>
  <si>
    <t>B1 to B70</t>
  </si>
  <si>
    <t>B1 / B70 backbone segment</t>
  </si>
  <si>
    <t>THH #1-#7 plus pullbox</t>
  </si>
  <si>
    <t>2x4-inch and 4x4-inch PVC concrete ductbank</t>
  </si>
  <si>
    <t>TS202 / TS203 / TS207</t>
  </si>
  <si>
    <t>00+00 to 15+92.04</t>
  </si>
  <si>
    <t>Long backbone route with multiple THHs, concrete pullbox, and B70/B81 branches. Confirm all utility crossings and trench restoration limits.</t>
  </si>
  <si>
    <t>B20 / B22</t>
  </si>
  <si>
    <t>THH #2, #8-#12</t>
  </si>
  <si>
    <t>TS204</t>
  </si>
  <si>
    <t>B20 00+00 to 7+34.47; B22 00+00 to 1+98.18</t>
  </si>
  <si>
    <t>Route feeds Building 20 and 22. Confirm common ductbank has separate conduits for A/B path where shown.</t>
  </si>
  <si>
    <t>B15 / B9</t>
  </si>
  <si>
    <t>THH #14-#18</t>
  </si>
  <si>
    <t>TS205</t>
  </si>
  <si>
    <t>B15 00+00 to 1+70.82; B9 00+00 to 2+01.32</t>
  </si>
  <si>
    <t>Route includes ductbank transitions and utility verification requirements.</t>
  </si>
  <si>
    <t>B13 / B14</t>
  </si>
  <si>
    <t>THH #15-#17</t>
  </si>
  <si>
    <t>TS206</t>
  </si>
  <si>
    <t>B13 00+00 to 1+67.85; B14 00+00 to 1+79.01</t>
  </si>
  <si>
    <t>Coordinate with nearby B12/B16/B15 infrastructure and handhole locations.</t>
  </si>
  <si>
    <t>B70 / B81</t>
  </si>
  <si>
    <t>THH #7 / #14</t>
  </si>
  <si>
    <t>TS207</t>
  </si>
  <si>
    <t>B70 15+52.38 to 15+92.04; B81 00+00 to 1+49.54</t>
  </si>
  <si>
    <t>B70/B81 extension from B1-B70 backbone; verify west-campus access and restoration.</t>
  </si>
  <si>
    <t>B33 / B17</t>
  </si>
  <si>
    <t>B33 Path A &amp; B / B17 Path A</t>
  </si>
  <si>
    <t>THH #8, #10, #13</t>
  </si>
  <si>
    <t>TS208</t>
  </si>
  <si>
    <t>B33 00+00 to 0+78.16; B17 00+00 to 1+16.82</t>
  </si>
  <si>
    <t>B17 Path A only on this sheet; Path B appears on TS210. Ensure PMIS tracks both A and B legs.</t>
  </si>
  <si>
    <t>B18 / B19</t>
  </si>
  <si>
    <t>B18 Path A / B19 Path A &amp; B</t>
  </si>
  <si>
    <t>THH #9 / #10</t>
  </si>
  <si>
    <t>TS209</t>
  </si>
  <si>
    <t>B18 00+00 to 0+36.94; B19 00+00 to 0+42.25</t>
  </si>
  <si>
    <t>B18 Path A only on this sheet; Path B appears on TS210. Verify B19 A/B separation and building penetration.</t>
  </si>
  <si>
    <t>B81 / B17 to B01 / B18</t>
  </si>
  <si>
    <t>B81 / B17 / B01 / B18</t>
  </si>
  <si>
    <t>Path B</t>
  </si>
  <si>
    <t>THH #7 / #13</t>
  </si>
  <si>
    <t>TS210</t>
  </si>
  <si>
    <t>B17 to B01 00+00 to 1+63.50; B18 00+00 to 0+87.25</t>
  </si>
  <si>
    <t>Completes B-path routing for B17 and B18 and B81/B17-to-B01 interconnection. Critical for redundancy verification.</t>
  </si>
  <si>
    <t>2. SITE READINESS</t>
  </si>
  <si>
    <t>Scope Area</t>
  </si>
  <si>
    <t>Survey / Layout</t>
  </si>
  <si>
    <t>Utility Locate</t>
  </si>
  <si>
    <t>Access / Traffic</t>
  </si>
  <si>
    <t>Excavation Permit</t>
  </si>
  <si>
    <t>Ductbank Forms</t>
  </si>
  <si>
    <t>Inspection Hold</t>
  </si>
  <si>
    <t>Restoration</t>
  </si>
  <si>
    <t>Campus Backbone</t>
  </si>
  <si>
    <t>Survey notes state utility locations are approximate and conditions may vary; contractor must provide utility location service before excavation and verify location/depth of all utilities.</t>
  </si>
  <si>
    <t>THH / Manholes</t>
  </si>
  <si>
    <t>Field verify THH #1-#19, communication manholes, existing manholes, locking covers, drainage, elevations and pull radius before ductbank install.</t>
  </si>
  <si>
    <t>Concrete Ductbank</t>
  </si>
  <si>
    <t>Trench must remain open until inspection of concrete duct. Confirm conduit quantity per T-601 and ductbank size/detail per T-501.</t>
  </si>
  <si>
    <t>Building Tie-ins</t>
  </si>
  <si>
    <t>Each building sheet T-101 and T-601 riser diagram are continuation references. Confirm sleeve/penetration, firestop, patching and building downtime coordination.</t>
  </si>
  <si>
    <t>Restoration / Site</t>
  </si>
  <si>
    <t>Restore trench/sidewalk/asphalt/landscape to match existing. Maintain fire lanes, hydrants, access and pedestrian controls.</t>
  </si>
  <si>
    <t>3. FIRE / LIFE SAFETY / SITE ACCESS</t>
  </si>
  <si>
    <t>Area</t>
  </si>
  <si>
    <t>Fire Lane</t>
  </si>
  <si>
    <t>Hydrants / FDC</t>
  </si>
  <si>
    <t>Egress</t>
  </si>
  <si>
    <t>Temp Barriers</t>
  </si>
  <si>
    <t>Hot Work</t>
  </si>
  <si>
    <t>Impairment</t>
  </si>
  <si>
    <t>Fire Watch</t>
  </si>
  <si>
    <t>Campus Work Areas</t>
  </si>
  <si>
    <t>General notes require fire lanes, hydrants and fire department access roads operational at all times; maintain egress and provide fire watch/temporary protection when required.</t>
  </si>
  <si>
    <t>Trenching / Excavation</t>
  </si>
  <si>
    <t>Trench barricades, accessible parking/public access and right-of-way impacts must be coordinated with owner prior to construction.</t>
  </si>
  <si>
    <t>Building Penetrations</t>
  </si>
  <si>
    <t>Rated wall/floor penetrations must be firestopped; temporary firestopping required if penetrations remain open between shifts.</t>
  </si>
  <si>
    <t>MCR / Critical Backbone</t>
  </si>
  <si>
    <t>Backbone work affects facility operations. Any required shutdowns must be limited to one at a time and coordinated with approved phasing plan.</t>
  </si>
  <si>
    <t>4. CIVIL / DUCTBANK / RESTORATION</t>
  </si>
  <si>
    <t>Segment</t>
  </si>
  <si>
    <t>Excavation Method</t>
  </si>
  <si>
    <t>Ductbank Type</t>
  </si>
  <si>
    <t>Concrete / Backfill</t>
  </si>
  <si>
    <t>Structures</t>
  </si>
  <si>
    <t>Profile Verified</t>
  </si>
  <si>
    <t>Testing / Inspection</t>
  </si>
  <si>
    <t>All New Site Fiber</t>
  </si>
  <si>
    <t>Trenching base bid</t>
  </si>
  <si>
    <t>Concrete encased conduit</t>
  </si>
  <si>
    <t>THH / manholes / pullboxes</t>
  </si>
  <si>
    <t>General notes require all utilities installed with this project to be in concrete ductbank; directional boring must be approved by Government.</t>
  </si>
  <si>
    <t>B1-B70 Backbone</t>
  </si>
  <si>
    <t>Trench / hand dig at crossings</t>
  </si>
  <si>
    <t>2x4 and 4x4 PVC ductbank</t>
  </si>
  <si>
    <t>THH #1-#7 / pullbox</t>
  </si>
  <si>
    <t>Longest route and highest exposure to existing utilities and surface restoration.</t>
  </si>
  <si>
    <t>B12-B16 / South/East Branches</t>
  </si>
  <si>
    <t>2x4 PVC ductbank</t>
  </si>
  <si>
    <t>Verify vertical ductbank angles and utility crossing depths before concrete placement.</t>
  </si>
  <si>
    <t>B20/B22/B33/B17/B18/B19</t>
  </si>
  <si>
    <t>THH #8-#13</t>
  </si>
  <si>
    <t>Dense campus area with multiple building tie-ins; coordinate outages and building access.</t>
  </si>
  <si>
    <t>Match existing</t>
  </si>
  <si>
    <t>Concrete/asphalt/landscape</t>
  </si>
  <si>
    <t>T-501 details include trenching, concrete edge, pullbox, locking cover and concrete mix details. Confirm patch widths, tie bars and replacement limits.</t>
  </si>
  <si>
    <t>5. ELECTRICAL / SITE UTILITIES</t>
  </si>
  <si>
    <t>Electrical Conflict</t>
  </si>
  <si>
    <t>Telecom Conflict</t>
  </si>
  <si>
    <t>Storm/Sanitary Conflict</t>
  </si>
  <si>
    <t>Grounding/Bonding</t>
  </si>
  <si>
    <t>Site Lighting</t>
  </si>
  <si>
    <t>Power Source</t>
  </si>
  <si>
    <t>Electrical site plans ES101/ES401 are included. Existing utility locations are approximate; coordinate electrical vaults, underground electrical, storm drain manholes and sanitary manholes.</t>
  </si>
  <si>
    <t>Locking covers and handhole/manhole locations must be field verified. Confirm bonding/grounding requirements where metallic components are present.</t>
  </si>
  <si>
    <t>MCR / Provider Entrance</t>
  </si>
  <si>
    <t>T-601 shows WAN/provider fiber entrances and new fiber Path A/B to the MCR. Coordinate with Century Link/service provider and MCR activation.</t>
  </si>
  <si>
    <t>Coordinate conduit penetrations with building electrical/telecom/firestop scope and avoid conflicts with existing services.</t>
  </si>
  <si>
    <t>6. TELECOMMUNICATIONS / FIBER</t>
  </si>
  <si>
    <t>Scope</t>
  </si>
  <si>
    <t>Path A</t>
  </si>
  <si>
    <t>Fiber Type</t>
  </si>
  <si>
    <t>Conduit Separation</t>
  </si>
  <si>
    <t>Riser / Continuation</t>
  </si>
  <si>
    <t>24F OS2 10GB to each TR/building</t>
  </si>
  <si>
    <t>Separate conduit where common ductbank shown</t>
  </si>
  <si>
    <t>T-601 / building T-101 sheets</t>
  </si>
  <si>
    <t>Legend identifies new fiber in A route, B route, and A+B routes in separate conduits. Confirm no cross-connect gaps at THHs/manholes.</t>
  </si>
  <si>
    <t>MCR Provider / WAN</t>
  </si>
  <si>
    <t>48F OS2 temporary and provider extension noted</t>
  </si>
  <si>
    <t>T-601 / MCR sheets</t>
  </si>
  <si>
    <t>Site one-line shows WAN fiber from service provider and temporary/provider extension pathways. Coordinate with MCR activation and OIT.</t>
  </si>
  <si>
    <t>Building Drops</t>
  </si>
  <si>
    <t>24F OS2 to each TR in each building</t>
  </si>
  <si>
    <t>Building T-101 and T-601</t>
  </si>
  <si>
    <t>Each building tie-in must be tested, labeled, and accepted before connection to active operations.</t>
  </si>
  <si>
    <t>THH Network</t>
  </si>
  <si>
    <t>Varies by segment</t>
  </si>
  <si>
    <t>T-601</t>
  </si>
  <si>
    <t>T-601 one-line lists THH #1-#19 and path counts such as 6 Path A + 4 Path B, 6 Path A + 6 Path B, 7 Path A + 7 Path B, 5 Path A + 4 Path B, and 9 Path A + 7 Path B.</t>
  </si>
  <si>
    <t>7. SECURITY / SITE CONTROL</t>
  </si>
  <si>
    <t>Barricades</t>
  </si>
  <si>
    <t>Traffic Control</t>
  </si>
  <si>
    <t>Pedestrian Control</t>
  </si>
  <si>
    <t>After-hours Work</t>
  </si>
  <si>
    <t>VA Escort</t>
  </si>
  <si>
    <t>Public Impact</t>
  </si>
  <si>
    <t>Campus Site Work</t>
  </si>
  <si>
    <t>Coordinate staging, access, material storage, noisy work, utility interruption, trench barricades and public access with owner.</t>
  </si>
  <si>
    <t>Road / Parking Impacts</t>
  </si>
  <si>
    <t>General notes specifically identify accessible parking and public right-of-way impacts; temporary barricades must prevent injury and protect parking signage.</t>
  </si>
  <si>
    <t>Critical Utility Crossings</t>
  </si>
  <si>
    <t>Hand digging at existing utility crossings is in base bid. Confirm permits, Dig Safe, VA utility locate and escort requirements before excavation.</t>
  </si>
  <si>
    <t>Complete utility locate, GPR review, potholing/hand-digging at crossings and VA utility coordination before excavation</t>
  </si>
  <si>
    <t>Multiple sheets repeat that survey conditions may vary and utility location service is required prior to excavation.</t>
  </si>
  <si>
    <t>SITE-R2</t>
  </si>
  <si>
    <t>A/B fiber path separation may not be maintained through common ductbank or congested areas</t>
  </si>
  <si>
    <t>Verify separate conduits, route diversity, THH labels, T-601 path counts and as-built documentation</t>
  </si>
  <si>
    <t>Legend allows A+B in common ductbank but separate conduits; redundancy must be validated.</t>
  </si>
  <si>
    <t>SITE-R3</t>
  </si>
  <si>
    <t>Concrete ductbank could be backfilled before inspection</t>
  </si>
  <si>
    <t>Establish inspection hold point; trench remains open until concrete duct inspection and photos are accepted</t>
  </si>
  <si>
    <t>GC / QA / COR</t>
  </si>
  <si>
    <t>Site notes state trench to remain open until inspection of concrete duct.</t>
  </si>
  <si>
    <t>SITE-R4</t>
  </si>
  <si>
    <t>MCR / Provider</t>
  </si>
  <si>
    <t>WAN/provider fiber and MCR activation sequence could delay campus cutover</t>
  </si>
  <si>
    <t>Coordinate Century Link/service provider, temporary fiber, provider extension, MCR readiness and OIT activation plan</t>
  </si>
  <si>
    <t>T-601 references WAN fiber, temporary fiber and provider extension.</t>
  </si>
  <si>
    <t>SITE-R5</t>
  </si>
  <si>
    <t>Roads / Parking / Pedestrian Areas</t>
  </si>
  <si>
    <t>Trenching/restoration may disrupt accessible parking, fire lanes, public access and campus traffic</t>
  </si>
  <si>
    <t>Submit traffic/pedestrian/staging plan, maintain fire lanes/hydrants and restore surfaces to match existing</t>
  </si>
  <si>
    <t>GC / Site</t>
  </si>
  <si>
    <t>General notes require coordination with owner and protection of accessible parking/public access.</t>
  </si>
  <si>
    <t>SITE-R6</t>
  </si>
  <si>
    <t>All Building Tie-ins</t>
  </si>
  <si>
    <t>Building entry penetrations/firestopping may not align with building PMIS packages</t>
  </si>
  <si>
    <t>Cross-check every site tie-in against building assessment, T-101 continuation sheets and firestop photos</t>
  </si>
  <si>
    <t>Telecom / Firestop / QA</t>
  </si>
  <si>
    <t>Every building continuation references building T-101 and T-601.</t>
  </si>
  <si>
    <t>SITE-R7</t>
  </si>
  <si>
    <t>Civil Restoration</t>
  </si>
  <si>
    <t>Asphalt/concrete/landscape restoration quantities and limits may be underestimated</t>
  </si>
  <si>
    <t>Verify trench patch details, tie bars, concrete/asphalt specs, landscape protection and final surface restoration photo log</t>
  </si>
  <si>
    <t>GC / Civil</t>
  </si>
  <si>
    <t>T-501 includes trenching/restoration details and concrete requirements.</t>
  </si>
  <si>
    <t>SITE-R8</t>
  </si>
  <si>
    <t>Commissioning / Turnover</t>
  </si>
  <si>
    <t>Fiber testing, labels, as-builts and site utility commissioning may be incomplete</t>
  </si>
  <si>
    <t>Track OTDR/power meter tests, conduit as-builts, THH labels, route photos, redlines, third-party inspections and VA/OIT acceptance</t>
  </si>
  <si>
    <t>GC / Cx / OIT</t>
  </si>
  <si>
    <t>Commissioning and third-party inspection requirements apply to site utilities and communications.</t>
  </si>
  <si>
    <t>SITE-Q1</t>
  </si>
  <si>
    <t>Confirm final list of all site fiber buildings and whether Buildings 1-22, 33, 61, 62, 70, 78/78A, 80, 81, 82, Crescent House and MCR are included in one site backbone turnover package.</t>
  </si>
  <si>
    <t>Scope and turnover package mapping unclear</t>
  </si>
  <si>
    <t>SITE-Q2</t>
  </si>
  <si>
    <t>Which THH/manhole numbers are new versus existing, and which require locking cover replacement only?</t>
  </si>
  <si>
    <t>Telecom / Civil</t>
  </si>
  <si>
    <t>Structure inventory and inspection scope unclear</t>
  </si>
  <si>
    <t>SITE-Q3</t>
  </si>
  <si>
    <t>Are all A and B routes physically diverse enough and in separate conduit wherever common ductbank is used?</t>
  </si>
  <si>
    <t>OIT / Designer</t>
  </si>
  <si>
    <t>Redundancy risk</t>
  </si>
  <si>
    <t>SITE-Q4</t>
  </si>
  <si>
    <t>What are the approved utility-locate/potholing requirements before excavation at each crossing?</t>
  </si>
  <si>
    <t>GC / VA / Civil</t>
  </si>
  <si>
    <t>Utility strike risk</t>
  </si>
  <si>
    <t>SITE-Q5</t>
  </si>
  <si>
    <t>What inspection hold points are required for ductbank forms, conduit placement, concrete pour, pull string, mandrel and backfill?</t>
  </si>
  <si>
    <t>QA / COR / Civil</t>
  </si>
  <si>
    <t>QA acceptance risk</t>
  </si>
  <si>
    <t>SITE-Q6</t>
  </si>
  <si>
    <t>Are directional boring alternatives allowed anywhere, or is all base-bid work trenching unless separately approved by Government?</t>
  </si>
  <si>
    <t>VA / COR</t>
  </si>
  <si>
    <t>Means/methods and cost/schedule risk</t>
  </si>
  <si>
    <t>SITE-Q7</t>
  </si>
  <si>
    <t>What exact fiber test package is required for each path and building tie-in before connection to active operations?</t>
  </si>
  <si>
    <t>OIT / Telecom / Cx</t>
  </si>
  <si>
    <t>Acceptance/activation risk</t>
  </si>
  <si>
    <t>SITE-Q8</t>
  </si>
  <si>
    <t>How will MCR/provider temporary fiber, new fiber and campus building activation be sequenced to limit shutdowns to one at a time?</t>
  </si>
  <si>
    <t>OIT / GC / COR</t>
  </si>
  <si>
    <t>Operational outage risk</t>
  </si>
  <si>
    <t>SITE-P001</t>
  </si>
  <si>
    <t>Campus-wide route photos before excavation, including pavement, sidewalks, landscaping, parking, fire lanes and building entry areas</t>
  </si>
  <si>
    <t>SITE-R1/SITE-R5</t>
  </si>
  <si>
    <t>SITE-P002</t>
  </si>
  <si>
    <t>THH #1-#19</t>
  </si>
  <si>
    <t>Each handhole/manhole/pullbox location, cover, label, depth, drainage, conduit entry, and final installed condition</t>
  </si>
  <si>
    <t>SITE-R2/SITE-R8</t>
  </si>
  <si>
    <t>SITE-P003</t>
  </si>
  <si>
    <t>Ductbank</t>
  </si>
  <si>
    <t>Pre-pour Inspection</t>
  </si>
  <si>
    <t>Conduit count, separation, supports/spacers, depth, utility crossings, warning tape, pull strings and concrete encasement before pour</t>
  </si>
  <si>
    <t>SITE-R1/SITE-R3</t>
  </si>
  <si>
    <t>SITE-P004</t>
  </si>
  <si>
    <t>Utility Crossings</t>
  </si>
  <si>
    <t>Existing Utilities</t>
  </si>
  <si>
    <t>Potholing/hand-dig photos showing electric, storm, sanitary, water, gas/unknown utilities and clearance to new ductbank</t>
  </si>
  <si>
    <t>SITE-P005</t>
  </si>
  <si>
    <t>Penetrations / Firestop</t>
  </si>
  <si>
    <t>Exterior entry points, wall/floor penetrations, sleeves, firestop, weatherproofing and interior continuation to building TR/TE</t>
  </si>
  <si>
    <t>SITE-P006</t>
  </si>
  <si>
    <t>Fiber Pull / Testing</t>
  </si>
  <si>
    <t>Fiber reels, pull setup, mandrel/rope, splice/termination points, labels, OTDR/power meter screenshots and OIT acceptance</t>
  </si>
  <si>
    <t>SITE-P007</t>
  </si>
  <si>
    <t>Civil</t>
  </si>
  <si>
    <t>Asphalt/concrete trench patches, sidewalk panels, landscaping, turf, drainage, curb/edge details and final cleanup</t>
  </si>
  <si>
    <t>SITE-R5/SITE-R7</t>
  </si>
  <si>
    <t>SITE-P008</t>
  </si>
  <si>
    <t>Critical Cutover</t>
  </si>
  <si>
    <t>Provider handoff, WAN fiber route, temporary fiber, Path A/B into MCR and activation/cutover coordination photos</t>
  </si>
  <si>
    <t>SITE-R4/SITE-R8</t>
  </si>
  <si>
    <t>Site Readiness</t>
  </si>
  <si>
    <t>Campus-wide fiber backbone is not construction-ready until utility locates, path routing, inspection holds and phasing plan are confirmed.</t>
  </si>
  <si>
    <t>Path A/B Backbone</t>
  </si>
  <si>
    <t>Redundant A/B path separation, conduit counts and T-601 one-line coordination require field verification.</t>
  </si>
  <si>
    <t>THH #1-#19 and locking manholes/pullboxes need inventory, labels, photos and acceptance.</t>
  </si>
  <si>
    <t>Building T-101 continuation, penetration/firestop and fiber acceptance must match each building assessment.</t>
  </si>
  <si>
    <t>Provider fiber, temporary fiber and new MCR activation sequence are critical path items.</t>
  </si>
  <si>
    <t>29-sheet SITE IFC package includes general notes, infection control, indoor air quality, survey plans, electrical site plans, telecom site plans, enlarged views, plan/profile sheets TS201-TS210, telecom utility details T-501 and site one-line T-601.</t>
  </si>
  <si>
    <t>Cover sheet identifies site infrastructure upgrades, new redundant site infrastructure, temporary fiber between existing entrance room/data center and new MCR, new site fiber conduit encased in concrete, base-bid trenching/concrete ductbank/hand digging at crossings, and Government approval required for directional boring.</t>
  </si>
  <si>
    <t>TS100-TS104 show site telecom plans and enlarged views. TS201-TS210 show Path A/B plan-profile segments for B12-B16, B1-B70, B20/B22, B15/B9, B13/B14, B70/B81, B33/B17, B18/B19, and B81/B17-to-B01/B18. T-601 shows Path A/B one-line and THH counts.</t>
  </si>
  <si>
    <t>Ductbank Basis</t>
  </si>
  <si>
    <t>T-501 details show primary ductbank/trenching, 2x4-inch and 4x4-inch PVC conduit arrangements, concrete ductbank, concrete pullbox, locking cover on existing manhole, concrete edge detail and 5000 PSI concrete mix references.</t>
  </si>
  <si>
    <t>Survey / Utility Basis</t>
  </si>
  <si>
    <t>Survey notes state site data was based on VA as-builts, photographic/visual/LIDAR survey, GPR/GNSS/GPS where noted, and conditions may vary. Contractor must verify utility location and depth before excavation.</t>
  </si>
  <si>
    <t>General notes require all systems commissioned/recommissioned, third-party inspections/testing/written reports, coordination drawings before work, shutdowns limited to one at a time, and all telecom cabling tested/approved/accepted by VA before connecting to active operations.</t>
  </si>
  <si>
    <t>Safety / Access Basis</t>
  </si>
  <si>
    <t>General notes require fire lanes, hydrants and FDCs to remain clear, public access and accessible parking impacts to be coordinated, infection control/dust measures used, and temporary barriers/fire watch/temporary firestopping as required.</t>
  </si>
  <si>
    <t>SPECIFICATIONS ASSESSMENT │ COMBINED SINGLE-SHEET PMIS WORKBOOK</t>
  </si>
  <si>
    <t>Source Workbook</t>
  </si>
  <si>
    <t>Specifications_Assessment.xlsx</t>
  </si>
  <si>
    <t>Combined On</t>
  </si>
  <si>
    <t>Original Sheet Count</t>
  </si>
  <si>
    <t>Output</t>
  </si>
  <si>
    <t>Single worksheet</t>
  </si>
  <si>
    <t>Source PDF</t>
  </si>
  <si>
    <t>518-22-700</t>
  </si>
  <si>
    <t>Spec Date</t>
  </si>
  <si>
    <t>04/13/2026</t>
  </si>
  <si>
    <t>Pages</t>
  </si>
  <si>
    <t>Stacked all original workbook tabs into one sheet for PMIS import/use.</t>
  </si>
  <si>
    <t>INDEX</t>
  </si>
  <si>
    <t>Original Sheet</t>
  </si>
  <si>
    <t>Start Row</t>
  </si>
  <si>
    <t>End Row</t>
  </si>
  <si>
    <t>Rows</t>
  </si>
  <si>
    <t>Dashboard</t>
  </si>
  <si>
    <t>Spec Matrix</t>
  </si>
  <si>
    <t>General Reqs</t>
  </si>
  <si>
    <t>Submittal Matrix</t>
  </si>
  <si>
    <t>QA QC</t>
  </si>
  <si>
    <t>Safety ICRA</t>
  </si>
  <si>
    <t>MEP Electrical</t>
  </si>
  <si>
    <t>Div27 Comms</t>
  </si>
  <si>
    <t>Civil Site</t>
  </si>
  <si>
    <t>Owner Risks</t>
  </si>
  <si>
    <t>Deliverables</t>
  </si>
  <si>
    <t>Source Notes</t>
  </si>
  <si>
    <t>01 91 00 Commissioning</t>
  </si>
  <si>
    <t>Cx tracker and turnover readiness</t>
  </si>
  <si>
    <t>CxA / GCC</t>
  </si>
  <si>
    <t>Systems not commissioned</t>
  </si>
  <si>
    <t>Cx plan, tests, checklists</t>
  </si>
  <si>
    <t>Commissioning plan included as 01 91 00.A.</t>
  </si>
  <si>
    <t>TOC p.3</t>
  </si>
  <si>
    <t>21 22 00 Clean Agent Fire Suppression</t>
  </si>
  <si>
    <t>MCR/special fire suppression acceptance</t>
  </si>
  <si>
    <t>Clean agent acceptance failure</t>
  </si>
  <si>
    <t>Room integrity, test reports</t>
  </si>
  <si>
    <t>Fire Life Safety</t>
  </si>
  <si>
    <t>Critical for MCR.</t>
  </si>
  <si>
    <t>TOC p.5</t>
  </si>
  <si>
    <t>23 81 23 Computer-Room Air-Conditioners</t>
  </si>
  <si>
    <t>MCR/TR cooling readiness</t>
  </si>
  <si>
    <t>Cooling failure</t>
  </si>
  <si>
    <t>Startup, TAB, alarms</t>
  </si>
  <si>
    <t>HVAC Matrix</t>
  </si>
  <si>
    <t>Critical cooling section.</t>
  </si>
  <si>
    <t>26 33 53.10 Static UPS for Telecom</t>
  </si>
  <si>
    <t>UPS/PDU acceptance</t>
  </si>
  <si>
    <t>Power failure/cutover risk</t>
  </si>
  <si>
    <t>Startup, load test, labels</t>
  </si>
  <si>
    <t>Electrical Matrix</t>
  </si>
  <si>
    <t>Telecom UPS spec dated 08-2025.</t>
  </si>
  <si>
    <t>TOC p.6</t>
  </si>
  <si>
    <t>27 10 00 Structured Cabling</t>
  </si>
  <si>
    <t>Telecom test and labeling baseline</t>
  </si>
  <si>
    <t>Cable acceptance failure</t>
  </si>
  <si>
    <t>Test records, labels, as-builts</t>
  </si>
  <si>
    <t>Core PMIS section for all buildings.</t>
  </si>
  <si>
    <t>28 13 00 / 28 23 00 Security</t>
  </si>
  <si>
    <t>PACS/CCTV acceptance</t>
  </si>
  <si>
    <t>Security system gaps</t>
  </si>
  <si>
    <t>VMS/PACS tests</t>
  </si>
  <si>
    <t>Security Matrix</t>
  </si>
  <si>
    <t>Includes physical access control and video surveillance.</t>
  </si>
  <si>
    <t>33 08 00 Site Utilities Cx</t>
  </si>
  <si>
    <t>Site utility commissioning</t>
  </si>
  <si>
    <t>Site / Cx</t>
  </si>
  <si>
    <t>Fiber/site turnover gaps</t>
  </si>
  <si>
    <t>Inspection/test/as-built records</t>
  </si>
  <si>
    <t>Covers commissioning of site utilities.</t>
  </si>
  <si>
    <t>TOC p.7</t>
  </si>
  <si>
    <t>Bid Form / Estimate Breakdown</t>
  </si>
  <si>
    <t>Cost breakdown and contracting reference</t>
  </si>
  <si>
    <t>Info</t>
  </si>
  <si>
    <t>Contractor / VA</t>
  </si>
  <si>
    <t>Cost coding mismatch</t>
  </si>
  <si>
    <t>CLIN cost breakdown</t>
  </si>
  <si>
    <t>Cost Matrix</t>
  </si>
  <si>
    <t>Bid form and construction estimate breakdown pages included.</t>
  </si>
  <si>
    <t>PDF p.9-18+</t>
  </si>
  <si>
    <t>SECTION: Spec Matrix</t>
  </si>
  <si>
    <t>SPECIFICATION MATRIX │ DIVISION / SECTION CROSS REFERENCE</t>
  </si>
  <si>
    <t>Division</t>
  </si>
  <si>
    <t>Spec Page</t>
  </si>
  <si>
    <t>PMIS Priority</t>
  </si>
  <si>
    <t>Owner / Reviewer</t>
  </si>
  <si>
    <t>Required PMIS Action</t>
  </si>
  <si>
    <t>Source</t>
  </si>
  <si>
    <t>00 01 10</t>
  </si>
  <si>
    <t>-  1</t>
  </si>
  <si>
    <t>GCC / QA / Discipline Lead</t>
  </si>
  <si>
    <t>Track requirements in PMIS; confirm submittals/testing/inspection evidence.</t>
  </si>
  <si>
    <t>Spec Book TOC</t>
  </si>
  <si>
    <t>-  2</t>
  </si>
  <si>
    <t>DIVISION 04 — MASONRY</t>
  </si>
  <si>
    <t>-  3</t>
  </si>
  <si>
    <t>DIVISION 12 — FURNISHINGS</t>
  </si>
  <si>
    <t>-  4</t>
  </si>
  <si>
    <t>DIVISION 26 — ELECTRICAL</t>
  </si>
  <si>
    <t>-  5</t>
  </si>
  <si>
    <t>DIVISION 28 — ELECTRONIC SAFETY AND SECURITY</t>
  </si>
  <si>
    <t>01 00 00</t>
  </si>
  <si>
    <t>General Requirements</t>
  </si>
  <si>
    <t>DIVISION 01 — GENERAL REQUIREMENTS</t>
  </si>
  <si>
    <t>05-2021</t>
  </si>
  <si>
    <t>01 00 00.A</t>
  </si>
  <si>
    <t>Appendix A - OIT-InfrastrucStdTelecomSpaces</t>
  </si>
  <si>
    <t>01 00 00.B</t>
  </si>
  <si>
    <t>Appendix B – Submittal Log</t>
  </si>
  <si>
    <t>01 00 00.C</t>
  </si>
  <si>
    <t>Appendix C - VHA ICRA-1.3</t>
  </si>
  <si>
    <t>12-2024</t>
  </si>
  <si>
    <t>01 00 00.D</t>
  </si>
  <si>
    <t>Appendix D - VHA PCRA 2024</t>
  </si>
  <si>
    <t>2024</t>
  </si>
  <si>
    <t>01 00 00.E</t>
  </si>
  <si>
    <t>Appendix E - ACM Inspection / LCP Testing Report</t>
  </si>
  <si>
    <t>11-2024</t>
  </si>
  <si>
    <t>01 00 00.F</t>
  </si>
  <si>
    <t>Appendix F - GPRS Report</t>
  </si>
  <si>
    <t>01 00 00.G</t>
  </si>
  <si>
    <t>Appendix G - Geotechnical and Boring Reports</t>
  </si>
  <si>
    <t>01 32 16.15</t>
  </si>
  <si>
    <t>Project Schedules</t>
  </si>
  <si>
    <t>12-2025</t>
  </si>
  <si>
    <t>01 33 23</t>
  </si>
  <si>
    <t>Shop Drawings, Product Data, and Samples</t>
  </si>
  <si>
    <t>06-2025</t>
  </si>
  <si>
    <t>01 33 24</t>
  </si>
  <si>
    <t>Electronic Submittal Procedures</t>
  </si>
  <si>
    <t>01 35 26</t>
  </si>
  <si>
    <t>Safety Requirements</t>
  </si>
  <si>
    <t>05-2024</t>
  </si>
  <si>
    <t>01 45 00</t>
  </si>
  <si>
    <t>Quality Control</t>
  </si>
  <si>
    <t>01 45 29</t>
  </si>
  <si>
    <t>Testing Laboratory Services</t>
  </si>
  <si>
    <t>01 45 35</t>
  </si>
  <si>
    <t>Special Inspections</t>
  </si>
  <si>
    <t>06-2021</t>
  </si>
  <si>
    <t>01 91 00</t>
  </si>
  <si>
    <t>General Commissioning Requirements</t>
  </si>
  <si>
    <t>04-2022</t>
  </si>
  <si>
    <t>21 22 00</t>
  </si>
  <si>
    <t>Clean Agent Fire Suppression Systems</t>
  </si>
  <si>
    <t>DIVISION 21 — FIRE SUPPRESSION</t>
  </si>
  <si>
    <t>05-2015</t>
  </si>
  <si>
    <t>23 81 23</t>
  </si>
  <si>
    <t>Computer-Room Air-Conditioners</t>
  </si>
  <si>
    <t>DIVISION 23 — HVAC</t>
  </si>
  <si>
    <t>03-2023</t>
  </si>
  <si>
    <t>26 33 53.10</t>
  </si>
  <si>
    <t>Static UPS for Telecom</t>
  </si>
  <si>
    <t>08-2025</t>
  </si>
  <si>
    <t>27 05 00</t>
  </si>
  <si>
    <t>Common Work Results for Communications</t>
  </si>
  <si>
    <t>DIVISION 27 — COMMUNICATIONS</t>
  </si>
  <si>
    <t>04-2026</t>
  </si>
  <si>
    <t>27 05 36</t>
  </si>
  <si>
    <t>Cable Trays for Communications Systems</t>
  </si>
  <si>
    <t>27 10 00</t>
  </si>
  <si>
    <t>Structured Cabling</t>
  </si>
  <si>
    <t>27 11 16</t>
  </si>
  <si>
    <t>Communications Cabinets, Racks, Frames, and Enclosures</t>
  </si>
  <si>
    <t>27 13 23</t>
  </si>
  <si>
    <t>Communications Optical Fiber Backbone Cabling</t>
  </si>
  <si>
    <t>27 15 13</t>
  </si>
  <si>
    <t>Communications Copper Horizontal Cabling</t>
  </si>
  <si>
    <t>28 13 00</t>
  </si>
  <si>
    <t>Physical Access Control Systems</t>
  </si>
  <si>
    <t>28 23 00</t>
  </si>
  <si>
    <t>Video Surveillance</t>
  </si>
  <si>
    <t>09-2011</t>
  </si>
  <si>
    <t>28 31 00</t>
  </si>
  <si>
    <t>Fire Detection and Alarm</t>
  </si>
  <si>
    <t>31 20 00</t>
  </si>
  <si>
    <t>Earthwork</t>
  </si>
  <si>
    <t>DIVISION 31 — EARTHWORK</t>
  </si>
  <si>
    <t>32 12 16</t>
  </si>
  <si>
    <t>Asphalt Paving</t>
  </si>
  <si>
    <t>DIVISION 32 — EXTERIOR IMPROVEMENTS</t>
  </si>
  <si>
    <t>33 08 00</t>
  </si>
  <si>
    <t>Commissioning of Site Utilities</t>
  </si>
  <si>
    <t>DIVISION 33 — UTILITIES</t>
  </si>
  <si>
    <t>SECTION: General Reqs</t>
  </si>
  <si>
    <t>DIVISION 01 / GENERAL REQUIREMENTS │ PMIS CONTROLS</t>
  </si>
  <si>
    <t>Spec Section</t>
  </si>
  <si>
    <t>Requirement Area</t>
  </si>
  <si>
    <t>PMIS Deliverable</t>
  </si>
  <si>
    <t>Frequency / Timing</t>
  </si>
  <si>
    <t>Required Evidence</t>
  </si>
  <si>
    <t>Risk if Missed</t>
  </si>
  <si>
    <t>Related Building/Site</t>
  </si>
  <si>
    <t>Master compliance checklist</t>
  </si>
  <si>
    <t>Project duration</t>
  </si>
  <si>
    <t>GCC / PM / QA</t>
  </si>
  <si>
    <t>Approved project controls, coordination records</t>
  </si>
  <si>
    <t>Baseline requirements missed</t>
  </si>
  <si>
    <t>OIT Infrastructure Standards Telecom Spaces</t>
  </si>
  <si>
    <t>Telecom room acceptance checklist</t>
  </si>
  <si>
    <t>Before TR/TE acceptance</t>
  </si>
  <si>
    <t>OIT standard checklist, TR/TE inspection</t>
  </si>
  <si>
    <t>TR/TE acceptance failure</t>
  </si>
  <si>
    <t>All TR/TE/MCR</t>
  </si>
  <si>
    <t>Submittal Log</t>
  </si>
  <si>
    <t>Submittal tracker</t>
  </si>
  <si>
    <t>Before procurement/install</t>
  </si>
  <si>
    <t>GCC / Submittal Manager</t>
  </si>
  <si>
    <t>Current approved submittal log</t>
  </si>
  <si>
    <t>Unapproved products installed</t>
  </si>
  <si>
    <t>VHA ICRA</t>
  </si>
  <si>
    <t>ICRA permit/containment tracker</t>
  </si>
  <si>
    <t>Before intrusive work</t>
  </si>
  <si>
    <t>GCC Safety / VA ICRA</t>
  </si>
  <si>
    <t>ICRA forms, barrier inspections</t>
  </si>
  <si>
    <t>Infection control incident</t>
  </si>
  <si>
    <t>Interior work</t>
  </si>
  <si>
    <t>VHA PCRA</t>
  </si>
  <si>
    <t>PCRA permit/utility risk tracker</t>
  </si>
  <si>
    <t>Before utility/fire/life safety work</t>
  </si>
  <si>
    <t>GCC Safety / VA</t>
  </si>
  <si>
    <t>PCRA form, shutdown plan</t>
  </si>
  <si>
    <t>Patient/campus safety disruption</t>
  </si>
  <si>
    <t>MEP/Site</t>
  </si>
  <si>
    <t>ACM/LCP Report</t>
  </si>
  <si>
    <t>Hazardous materials tracker</t>
  </si>
  <si>
    <t>Before disturbance</t>
  </si>
  <si>
    <t>GCC / IH</t>
  </si>
  <si>
    <t>Abatement plan, clearance reports</t>
  </si>
  <si>
    <t>Hazmat exposure / delay</t>
  </si>
  <si>
    <t>Bldg 05/61/78 etc.</t>
  </si>
  <si>
    <t>GPRS Report</t>
  </si>
  <si>
    <t>Utility/existing conditions tracker</t>
  </si>
  <si>
    <t>Before excavation/coring</t>
  </si>
  <si>
    <t>GC / Civil / QA</t>
  </si>
  <si>
    <t>GPR records, potholing photos</t>
  </si>
  <si>
    <t>Utility strike</t>
  </si>
  <si>
    <t>SITE / interior coring</t>
  </si>
  <si>
    <t>Geotechnical / Boring Reports</t>
  </si>
  <si>
    <t>Civil/site risk reference</t>
  </si>
  <si>
    <t>Before site/civil work</t>
  </si>
  <si>
    <t>Boring/geotech review</t>
  </si>
  <si>
    <t>Unexpected soil conditions</t>
  </si>
  <si>
    <t>MCR/SITE</t>
  </si>
  <si>
    <t>Project Schedule</t>
  </si>
  <si>
    <t>Baseline and look-ahead schedule</t>
  </si>
  <si>
    <t>Weekly/monthly</t>
  </si>
  <si>
    <t>GCC / Scheduler</t>
  </si>
  <si>
    <t>Baseline schedule, updates, fragnet for cutovers</t>
  </si>
  <si>
    <t>Critical path not visible</t>
  </si>
  <si>
    <t>Shop Drawings, Product Data, Samples</t>
  </si>
  <si>
    <t>Submittals by discipline</t>
  </si>
  <si>
    <t>GCC / Designer</t>
  </si>
  <si>
    <t>Approved submittals</t>
  </si>
  <si>
    <t>Rework/unapproved materials</t>
  </si>
  <si>
    <t>Safety/AHA/JHA/ICRA/PCRA controls</t>
  </si>
  <si>
    <t>Daily/Activity-specific</t>
  </si>
  <si>
    <t>GCC Safety</t>
  </si>
  <si>
    <t>AHA/JHA, permits, toolbox records</t>
  </si>
  <si>
    <t>Safety event</t>
  </si>
  <si>
    <t>QC plan and inspection log</t>
  </si>
  <si>
    <t>Daily/weekly</t>
  </si>
  <si>
    <t>GCC QA</t>
  </si>
  <si>
    <t>QC reports, inspections, NCRs</t>
  </si>
  <si>
    <t>Defects not tracked</t>
  </si>
  <si>
    <t>Third-party testing tracker</t>
  </si>
  <si>
    <t>As required</t>
  </si>
  <si>
    <t>Testing Lab / GCC</t>
  </si>
  <si>
    <t>Lab reports</t>
  </si>
  <si>
    <t>Unverified work</t>
  </si>
  <si>
    <t>Concrete/site/special inspections</t>
  </si>
  <si>
    <t>Special inspection register</t>
  </si>
  <si>
    <t>At hold points</t>
  </si>
  <si>
    <t>SI / GCC / COR</t>
  </si>
  <si>
    <t>SI reports, template</t>
  </si>
  <si>
    <t>Failed code/QA acceptance</t>
  </si>
  <si>
    <t>MCR/Site/Structural</t>
  </si>
  <si>
    <t>Commissioning tracker</t>
  </si>
  <si>
    <t>Pre-functional through turnover</t>
  </si>
  <si>
    <t>Cx plan, checklists, issues log</t>
  </si>
  <si>
    <t>Systems not ready</t>
  </si>
  <si>
    <t>MEP/FP/Electrical/Comms</t>
  </si>
  <si>
    <t>SECTION: Submittal Matrix</t>
  </si>
  <si>
    <t>SUBMITTAL MATRIX │ SPEC-DRIVEN REQUIRED SUBMITTALS</t>
  </si>
  <si>
    <t>Spec</t>
  </si>
  <si>
    <t>Submittal</t>
  </si>
  <si>
    <t>Timing</t>
  </si>
  <si>
    <t>Evidence</t>
  </si>
  <si>
    <t>Master Submittal Register</t>
  </si>
  <si>
    <t>All disciplines</t>
  </si>
  <si>
    <t>Before procurement</t>
  </si>
  <si>
    <t>Approved log from Appendix B and project updates</t>
  </si>
  <si>
    <t>Unapproved work installed</t>
  </si>
  <si>
    <t>Safety / ICRA / PCRA Submittals</t>
  </si>
  <si>
    <t>Safety</t>
  </si>
  <si>
    <t>Before work</t>
  </si>
  <si>
    <t>AHA/JHA, ICRA, PCRA, permits</t>
  </si>
  <si>
    <t>Unsafe / unauthorized work</t>
  </si>
  <si>
    <t>02 82 / 02 83</t>
  </si>
  <si>
    <t>Hazmat Abatement Plans</t>
  </si>
  <si>
    <t>Existing conditions</t>
  </si>
  <si>
    <t>IH / Abatement Contractor</t>
  </si>
  <si>
    <t>Asbestos/LBP submittals, clearance reports</t>
  </si>
  <si>
    <t>Exposure / shutdown</t>
  </si>
  <si>
    <t>07 84 00</t>
  </si>
  <si>
    <t>Firestopping Systems</t>
  </si>
  <si>
    <t>Architectural / FP</t>
  </si>
  <si>
    <t>Before penetrations closed</t>
  </si>
  <si>
    <t>UL systems, product data, installer certs</t>
  </si>
  <si>
    <t>Unrated penetrations</t>
  </si>
  <si>
    <t>TOC p.4</t>
  </si>
  <si>
    <t>Clean Agent Fire Suppression</t>
  </si>
  <si>
    <t>Fire suppression</t>
  </si>
  <si>
    <t>Before MCR work</t>
  </si>
  <si>
    <t>FP Contractor</t>
  </si>
  <si>
    <t>Calculations, agent, cylinders, sequence</t>
  </si>
  <si>
    <t>MCR acceptance failure</t>
  </si>
  <si>
    <t>Before procurement/startup</t>
  </si>
  <si>
    <t>Mechanical</t>
  </si>
  <si>
    <t>CRAC/IU/CU product data, controls, startup</t>
  </si>
  <si>
    <t>UPS for Telecom</t>
  </si>
  <si>
    <t>UPS/PDU data, batteries, startup</t>
  </si>
  <si>
    <t>Power failure</t>
  </si>
  <si>
    <t>Communications</t>
  </si>
  <si>
    <t>Before cable install</t>
  </si>
  <si>
    <t>Cable, patch panels, test procedures</t>
  </si>
  <si>
    <t>Telecom rejection</t>
  </si>
  <si>
    <t>Optical Fiber Backbone</t>
  </si>
  <si>
    <t>Before fiber pull/splice</t>
  </si>
  <si>
    <t>Fiber, LIU, test plan, OTDR</t>
  </si>
  <si>
    <t>Backbone failure</t>
  </si>
  <si>
    <t>Physical Access Control</t>
  </si>
  <si>
    <t>Before security install</t>
  </si>
  <si>
    <t>Controllers, readers, door hardware interfaces</t>
  </si>
  <si>
    <t>Access failure</t>
  </si>
  <si>
    <t>Before camera install</t>
  </si>
  <si>
    <t>Camera, VMS, mounts, PoE</t>
  </si>
  <si>
    <t>CCTV failure</t>
  </si>
  <si>
    <t>Site Utility Commissioning</t>
  </si>
  <si>
    <t>Site Utilities</t>
  </si>
  <si>
    <t>Before turnover</t>
  </si>
  <si>
    <t>Civil / Cx</t>
  </si>
  <si>
    <t>Utility test reports, as-builts</t>
  </si>
  <si>
    <t>Site turnover failure</t>
  </si>
  <si>
    <t>SECTION: QA QC</t>
  </si>
  <si>
    <t>QA/QC AND INSPECTION MATRIX</t>
  </si>
  <si>
    <t>QA/QC Activity</t>
  </si>
  <si>
    <t>Applies To</t>
  </si>
  <si>
    <t>Daily QC report, deficiency log, corrective action tracking</t>
  </si>
  <si>
    <t>Daily / weekly</t>
  </si>
  <si>
    <t>QC reports, issue/NCR log</t>
  </si>
  <si>
    <t>Defects not corrected</t>
  </si>
  <si>
    <t>Lab tests and reports</t>
  </si>
  <si>
    <t>At test events</t>
  </si>
  <si>
    <t>Testing Lab</t>
  </si>
  <si>
    <t>Concrete/material/site reports</t>
  </si>
  <si>
    <t>Civil/Structural/Site</t>
  </si>
  <si>
    <t>Special inspection checklist and reports</t>
  </si>
  <si>
    <t>Hold points</t>
  </si>
  <si>
    <t>SI / COR</t>
  </si>
  <si>
    <t>SI reports and template</t>
  </si>
  <si>
    <t>Code/contract acceptance risk</t>
  </si>
  <si>
    <t>Firestopping Inspection</t>
  </si>
  <si>
    <t>Firestop photos and product verification</t>
  </si>
  <si>
    <t>Before cover/close-in</t>
  </si>
  <si>
    <t>Firestop / QA</t>
  </si>
  <si>
    <t>UL system, before/after photos</t>
  </si>
  <si>
    <t>Rated assembly failure</t>
  </si>
  <si>
    <t>All penetrations</t>
  </si>
  <si>
    <t>26 05 73</t>
  </si>
  <si>
    <t>OCP Coordination Study</t>
  </si>
  <si>
    <t>Coordination/arc/short-circuit study status</t>
  </si>
  <si>
    <t>Before energization</t>
  </si>
  <si>
    <t>Approved study and settings</t>
  </si>
  <si>
    <t>Electrical protection issue</t>
  </si>
  <si>
    <t>MCR/TRs</t>
  </si>
  <si>
    <t>27 08 00</t>
  </si>
  <si>
    <t>Communications Commissioning</t>
  </si>
  <si>
    <t>Cable test results, labels and acceptance</t>
  </si>
  <si>
    <t>Before active connection</t>
  </si>
  <si>
    <t>Copper/fiber tests, OIT signoff</t>
  </si>
  <si>
    <t>Network acceptance failure</t>
  </si>
  <si>
    <t>All buildings</t>
  </si>
  <si>
    <t>28 08 00</t>
  </si>
  <si>
    <t>Security Commissioning</t>
  </si>
  <si>
    <t>PACS/CCTV functional tests</t>
  </si>
  <si>
    <t>Functional test forms</t>
  </si>
  <si>
    <t>Security acceptance failure</t>
  </si>
  <si>
    <t>TR/MCR</t>
  </si>
  <si>
    <t>Site Utilities Commissioning</t>
  </si>
  <si>
    <t>Site utility testing and acceptance</t>
  </si>
  <si>
    <t>As-builts, inspection reports, test records</t>
  </si>
  <si>
    <t>Utility turnover risk</t>
  </si>
  <si>
    <t>SECTION: Commissioning</t>
  </si>
  <si>
    <t>COMMISSIONING MATRIX</t>
  </si>
  <si>
    <t>Commissioning Requirement</t>
  </si>
  <si>
    <t>General Commissioning</t>
  </si>
  <si>
    <t>Master commissioning plan, issues log, pre-functional and functional testing</t>
  </si>
  <si>
    <t>Start-up through turnover</t>
  </si>
  <si>
    <t>Cx plan, checklists, issue log, final report</t>
  </si>
  <si>
    <t>Uncommissioned systems</t>
  </si>
  <si>
    <t>All commissioned systems</t>
  </si>
  <si>
    <t>21 08 00</t>
  </si>
  <si>
    <t>Fire Suppression Commissioning</t>
  </si>
  <si>
    <t>Sprinkler and clean-agent testing</t>
  </si>
  <si>
    <t>Acceptance</t>
  </si>
  <si>
    <t>FP / Cx</t>
  </si>
  <si>
    <t>Hydro/flow tests, clean-agent acceptance</t>
  </si>
  <si>
    <t>FP system not accepted</t>
  </si>
  <si>
    <t>22 08 00</t>
  </si>
  <si>
    <t>Plumbing Commissioning</t>
  </si>
  <si>
    <t>Plumbing system tests where applicable</t>
  </si>
  <si>
    <t>Plumbing / Cx</t>
  </si>
  <si>
    <t>Test reports</t>
  </si>
  <si>
    <t>Plumbing turnover gaps</t>
  </si>
  <si>
    <t>MCR/Site if applicable</t>
  </si>
  <si>
    <t>23 08 00</t>
  </si>
  <si>
    <t>HVAC Commissioning</t>
  </si>
  <si>
    <t>Startup, TAB, controls, alarm integration</t>
  </si>
  <si>
    <t>Startup/functional test</t>
  </si>
  <si>
    <t>Startup, TAB, DDC point-to-point, trend logs</t>
  </si>
  <si>
    <t>Cooling failures</t>
  </si>
  <si>
    <t>MCR/TR cooling</t>
  </si>
  <si>
    <t>26 08 00</t>
  </si>
  <si>
    <t>Electrical Commissioning</t>
  </si>
  <si>
    <t>UPS, ATS, generator, panel, SPD, load testing</t>
  </si>
  <si>
    <t>Energization/startup</t>
  </si>
  <si>
    <t>Startup, load tests, OCP settings</t>
  </si>
  <si>
    <t>Power failures</t>
  </si>
  <si>
    <t>Copper/fiber tests, labels, record docs, OIT acceptance</t>
  </si>
  <si>
    <t>Pre-activation</t>
  </si>
  <si>
    <t>OTDR, copper tests, labels, signoff</t>
  </si>
  <si>
    <t>Network failure</t>
  </si>
  <si>
    <t>All TR/TE/MCR/SITE</t>
  </si>
  <si>
    <t>PACS/CCTV/fire alarm/security tests</t>
  </si>
  <si>
    <t>Security / FA / Cx</t>
  </si>
  <si>
    <t>VMS/PACS tests, reports</t>
  </si>
  <si>
    <t>Security failure</t>
  </si>
  <si>
    <t>Site utilities inspections/tests/as-builts</t>
  </si>
  <si>
    <t>Ductbank/fiber/site utility records</t>
  </si>
  <si>
    <t>Site utility failure</t>
  </si>
  <si>
    <t>SECTION: Safety ICRA</t>
  </si>
  <si>
    <t>SAFETY / ICRA / PCRA MATRIX</t>
  </si>
  <si>
    <t>Requirement</t>
  </si>
  <si>
    <t>Control</t>
  </si>
  <si>
    <t>Project safety plan, AHA/JHA, daily hazard analysis</t>
  </si>
  <si>
    <t>Daily / task-specific</t>
  </si>
  <si>
    <t>Safety plan, AHA/JHA, toolbox talks</t>
  </si>
  <si>
    <t>Infection control risk assessment and barriers</t>
  </si>
  <si>
    <t>Before intrusive interior work</t>
  </si>
  <si>
    <t>GCC / VA ICRA</t>
  </si>
  <si>
    <t>ICRA permits, barrier inspections</t>
  </si>
  <si>
    <t>Infection control issue</t>
  </si>
  <si>
    <t>All occupied work</t>
  </si>
  <si>
    <t>Pre-construction risk assessment for utilities/life safety</t>
  </si>
  <si>
    <t>Before disruptive work</t>
  </si>
  <si>
    <t>PCRA permit, shutdown plan</t>
  </si>
  <si>
    <t>Operational disruption</t>
  </si>
  <si>
    <t>01 57 19</t>
  </si>
  <si>
    <t>Temporary Environmental Controls</t>
  </si>
  <si>
    <t>Dust/noise/IAQ/water controls</t>
  </si>
  <si>
    <t>During construction</t>
  </si>
  <si>
    <t>Logs, IAQ/dust controls, barriers</t>
  </si>
  <si>
    <t>Occupant impact</t>
  </si>
  <si>
    <t>Interior/Site</t>
  </si>
  <si>
    <t>ACM/LBP</t>
  </si>
  <si>
    <t>Abatement controls and clearance</t>
  </si>
  <si>
    <t>IH / Abatement</t>
  </si>
  <si>
    <t>Abatement plan, monitoring, clearance</t>
  </si>
  <si>
    <t>Hazmat exposure</t>
  </si>
  <si>
    <t>Hazmat buildings</t>
  </si>
  <si>
    <t>Earthwork Safety</t>
  </si>
  <si>
    <t>Excavation, trench, utility locate, traffic control</t>
  </si>
  <si>
    <t>Before excavation</t>
  </si>
  <si>
    <t>Dig Safe, trench plan, permits</t>
  </si>
  <si>
    <t>Utility strike / injury</t>
  </si>
  <si>
    <t>SECTION: MEP Electrical</t>
  </si>
  <si>
    <t>MEP / ELECTRICAL / FIRE MATRIX</t>
  </si>
  <si>
    <t>21 13 13</t>
  </si>
  <si>
    <t>Wet-Pipe Sprinkler System</t>
  </si>
  <si>
    <t>FP modifications for TR/MCR spaces</t>
  </si>
  <si>
    <t>Shop drawings, tests, acceptance</t>
  </si>
  <si>
    <t>Life-safety failure</t>
  </si>
  <si>
    <t>Clean-agent system, release/abort, room integrity</t>
  </si>
  <si>
    <t>Calc, acceptance tests, room integrity</t>
  </si>
  <si>
    <t>23 05 93</t>
  </si>
  <si>
    <t>Testing, Adjusting, and Balancing</t>
  </si>
  <si>
    <t>TAB for HVAC systems</t>
  </si>
  <si>
    <t>TAB / Mechanical</t>
  </si>
  <si>
    <t>TAB report</t>
  </si>
  <si>
    <t>Cooling/airflow issue</t>
  </si>
  <si>
    <t>23 09 23</t>
  </si>
  <si>
    <t>Direct-Digital Control System</t>
  </si>
  <si>
    <t>DDC/BACnet control integration</t>
  </si>
  <si>
    <t>HVAC Controls</t>
  </si>
  <si>
    <t>Controls / Mechanical</t>
  </si>
  <si>
    <t>Point-to-point, trends, alarms</t>
  </si>
  <si>
    <t>No alarms/controls</t>
  </si>
  <si>
    <t>CRAC units for computer room applications</t>
  </si>
  <si>
    <t>Startup, alarms, capacity</t>
  </si>
  <si>
    <t>MCR cooling failure</t>
  </si>
  <si>
    <t>26 05 26</t>
  </si>
  <si>
    <t>Grounding and Bonding</t>
  </si>
  <si>
    <t>Electrical grounding/bonding</t>
  </si>
  <si>
    <t>Test/inspection records</t>
  </si>
  <si>
    <t>Grounding defects</t>
  </si>
  <si>
    <t>Telecom UPS requirements</t>
  </si>
  <si>
    <t>Startup, batteries, load test</t>
  </si>
  <si>
    <t>UPS failure</t>
  </si>
  <si>
    <t>TR/TE/MCR</t>
  </si>
  <si>
    <t>26 43 13</t>
  </si>
  <si>
    <t>Surge Protective Devices</t>
  </si>
  <si>
    <t>SPD requirements</t>
  </si>
  <si>
    <t>SPD submittals, install verification</t>
  </si>
  <si>
    <t>Surge risk</t>
  </si>
  <si>
    <t>Fire alarm modifications and clean-agent interface</t>
  </si>
  <si>
    <t>FA / FP</t>
  </si>
  <si>
    <t>FA tests, matrix, interface tests</t>
  </si>
  <si>
    <t>Life-safety acceptance issue</t>
  </si>
  <si>
    <t>SECTION: Div27 Comms</t>
  </si>
  <si>
    <t>DIVISION 27 COMMUNICATIONS MATRIX</t>
  </si>
  <si>
    <t>General comms requirements, coordination, workmanship</t>
  </si>
  <si>
    <t>All telecom</t>
  </si>
  <si>
    <t>Submittals, install inspections</t>
  </si>
  <si>
    <t>Base telecom noncompliance</t>
  </si>
  <si>
    <t>27 05 26</t>
  </si>
  <si>
    <t>Grounding and Bonding for Communications</t>
  </si>
  <si>
    <t>TGB/TMGB bonding, rack bonding</t>
  </si>
  <si>
    <t>Telecom / Electrical</t>
  </si>
  <si>
    <t>Bonding inspection, test records</t>
  </si>
  <si>
    <t>Grounding defect</t>
  </si>
  <si>
    <t>All telecom rooms</t>
  </si>
  <si>
    <t>27 05 33</t>
  </si>
  <si>
    <t>Raceways and Boxes for Communications</t>
  </si>
  <si>
    <t>Conduit, sleeves, boxes, pathways</t>
  </si>
  <si>
    <t>Sleeve/pathway inspection</t>
  </si>
  <si>
    <t>Cable pathway failure</t>
  </si>
  <si>
    <t>Cable Trays for Communications</t>
  </si>
  <si>
    <t>Cable tray install and supports</t>
  </si>
  <si>
    <t>Tray inspection/photos</t>
  </si>
  <si>
    <t>Coordination/firestop gaps</t>
  </si>
  <si>
    <t>TR/SITE/MCR</t>
  </si>
  <si>
    <t>27 05 53</t>
  </si>
  <si>
    <t>Identification for Communications Systems</t>
  </si>
  <si>
    <t>Labels and identifiers</t>
  </si>
  <si>
    <t>Label schedule, field photos</t>
  </si>
  <si>
    <t>Acceptance failure</t>
  </si>
  <si>
    <t>Copper/fiber structured cabling system</t>
  </si>
  <si>
    <t>Test reports/as-builts</t>
  </si>
  <si>
    <t>Cabinets, Racks, Frames, Enclosures</t>
  </si>
  <si>
    <t>Rack/TE/TR cabinet requirements</t>
  </si>
  <si>
    <t>Rack/cabinet submittals, install inspection</t>
  </si>
  <si>
    <t>Equipment fit/failure</t>
  </si>
  <si>
    <t>27 11 26</t>
  </si>
  <si>
    <t>Rack Mounted Power Protection / Power Strips</t>
  </si>
  <si>
    <t>Rack PDU/power strip requirements</t>
  </si>
  <si>
    <t>Rack power</t>
  </si>
  <si>
    <t>PDU install, labels</t>
  </si>
  <si>
    <t>Power acceptance failure</t>
  </si>
  <si>
    <t>Optical Fiber Backbone Cabling</t>
  </si>
  <si>
    <t>OS2 backbone fiber</t>
  </si>
  <si>
    <t>Backbone</t>
  </si>
  <si>
    <t>OTDR/power meter, labels</t>
  </si>
  <si>
    <t>SITE/MCR/Buildings</t>
  </si>
  <si>
    <t>Copper Horizontal Cabling</t>
  </si>
  <si>
    <t>Cat6A horizontal copper</t>
  </si>
  <si>
    <t>Horizontal</t>
  </si>
  <si>
    <t>Copper certification tests</t>
  </si>
  <si>
    <t>Port acceptance failure</t>
  </si>
  <si>
    <t>SECTION: Security</t>
  </si>
  <si>
    <t>DIVISION 28 SECURITY / FIRE ALARM MATRIX</t>
  </si>
  <si>
    <t>28 05 00</t>
  </si>
  <si>
    <t>Common Work Results for Electronic Safety and Security</t>
  </si>
  <si>
    <t>General security requirements</t>
  </si>
  <si>
    <t>Submittals, testing records</t>
  </si>
  <si>
    <t>Security baseline missed</t>
  </si>
  <si>
    <t>All security scope</t>
  </si>
  <si>
    <t>Commissioning of ESS Systems</t>
  </si>
  <si>
    <t>Security commissioning and testing</t>
  </si>
  <si>
    <t>Security Cx</t>
  </si>
  <si>
    <t>Security / Cx</t>
  </si>
  <si>
    <t>Functional tests, reports</t>
  </si>
  <si>
    <t>Security system not accepted</t>
  </si>
  <si>
    <t>PACS/CCTV</t>
  </si>
  <si>
    <t>Card readers, controllers, door devices</t>
  </si>
  <si>
    <t>Security / Door HW</t>
  </si>
  <si>
    <t>Device tests, door coordination</t>
  </si>
  <si>
    <t>TR/MCR doors</t>
  </si>
  <si>
    <t>Cameras and VMS integration</t>
  </si>
  <si>
    <t>Camera tests, VMS screenshots</t>
  </si>
  <si>
    <t>Surveillance failure</t>
  </si>
  <si>
    <t>TR/MCR/SITE</t>
  </si>
  <si>
    <t>Fire alarm changes and interfaces</t>
  </si>
  <si>
    <t>FA reports, interface tests</t>
  </si>
  <si>
    <t>Life-safety issue</t>
  </si>
  <si>
    <t>SECTION: Civil Site</t>
  </si>
  <si>
    <t>CIVIL / SITE / UTILITIES MATRIX</t>
  </si>
  <si>
    <t>Excavation, trenching, backfill</t>
  </si>
  <si>
    <t>Site</t>
  </si>
  <si>
    <t>Civil / GC</t>
  </si>
  <si>
    <t>Utility locates, trench inspections</t>
  </si>
  <si>
    <t>SITE/MCR</t>
  </si>
  <si>
    <t>31 23 19</t>
  </si>
  <si>
    <t>Dewatering</t>
  </si>
  <si>
    <t>Dewatering controls</t>
  </si>
  <si>
    <t>Plan/logs if needed</t>
  </si>
  <si>
    <t>Water in excavation</t>
  </si>
  <si>
    <t>31 23 23.33</t>
  </si>
  <si>
    <t>Flowable Fill</t>
  </si>
  <si>
    <t>Controlled fill</t>
  </si>
  <si>
    <t>Tickets/reports</t>
  </si>
  <si>
    <t>Backfill failure</t>
  </si>
  <si>
    <t>32 05 23</t>
  </si>
  <si>
    <t>Cement and Concrete for Exterior Improvements</t>
  </si>
  <si>
    <t>Concrete restoration/ductbank areas</t>
  </si>
  <si>
    <t>Concrete tickets/tests</t>
  </si>
  <si>
    <t>Restoration failure</t>
  </si>
  <si>
    <t>Asphalt restoration</t>
  </si>
  <si>
    <t>Paving reports/photos</t>
  </si>
  <si>
    <t>Poor restoration</t>
  </si>
  <si>
    <t>Utility turnover commissioning</t>
  </si>
  <si>
    <t>Site utilities</t>
  </si>
  <si>
    <t>Commissioning records</t>
  </si>
  <si>
    <t>Utility turnover gap</t>
  </si>
  <si>
    <t>33 40 00</t>
  </si>
  <si>
    <t>Storm Sewer Utilities</t>
  </si>
  <si>
    <t>Storm utility protection/coordination</t>
  </si>
  <si>
    <t>Utility locate/as-builts</t>
  </si>
  <si>
    <t>Storm conflict</t>
  </si>
  <si>
    <t>SECTION: Owner Risks</t>
  </si>
  <si>
    <t>OWNER RISK REGISTER │ SPECIFICATIONS</t>
  </si>
  <si>
    <t>SPEC-R1</t>
  </si>
  <si>
    <t>Spec package is 2,363 pages and can drive missed submittals/inspections if not indexed</t>
  </si>
  <si>
    <t>Use Spec Matrix as PMIS master checklist; tie every building deficiency to spec section</t>
  </si>
  <si>
    <t>GCC / QA</t>
  </si>
  <si>
    <t>Master risk</t>
  </si>
  <si>
    <t>SPEC-R2</t>
  </si>
  <si>
    <t>Appendix B submittal log may not be reconciled with current shop drawings</t>
  </si>
  <si>
    <t>Request current submittal register and compare to spec matrix</t>
  </si>
  <si>
    <t>01 00 00.B / 01 33 23</t>
  </si>
  <si>
    <t>SPEC-R3</t>
  </si>
  <si>
    <t>Safety/ICRA</t>
  </si>
  <si>
    <t>ICRA/PCRA not linked to each building/site work package</t>
  </si>
  <si>
    <t>Track ICRA/PCRA by building, room and work activity</t>
  </si>
  <si>
    <t>01 00 00.C/D</t>
  </si>
  <si>
    <t>SPEC-R4</t>
  </si>
  <si>
    <t>Hazmat</t>
  </si>
  <si>
    <t>ACM/LCP report not cross-referenced to drawing/building packages</t>
  </si>
  <si>
    <t>Build hazmat matrix by building and disturbance type</t>
  </si>
  <si>
    <t>IH / GCC</t>
  </si>
  <si>
    <t>01 00 00.E / 02 82 / 02 83</t>
  </si>
  <si>
    <t>SPEC-R5</t>
  </si>
  <si>
    <t>Commissioning scope spans MEP, FP, electrical, communications, security and site utilities</t>
  </si>
  <si>
    <t>Create Cx tracker by system and hold point</t>
  </si>
  <si>
    <t>01 91 00; 21/23/26/27/28/33 Cx</t>
  </si>
  <si>
    <t>SPEC-R6</t>
  </si>
  <si>
    <t>Division 27 testing/labeling/as-builts may not be collected uniformly across buildings</t>
  </si>
  <si>
    <t>Create standard telecom acceptance packet per building</t>
  </si>
  <si>
    <t>27 05 00 / 27 10 00</t>
  </si>
  <si>
    <t>SPEC-R7</t>
  </si>
  <si>
    <t>UPS/PDU/SPD/grounding requirements may vary across TR/TE/MCR</t>
  </si>
  <si>
    <t>Track electrical acceptance by room/panel/rack</t>
  </si>
  <si>
    <t>Electrical / QA</t>
  </si>
  <si>
    <t>26 05 / 26 33 / 26 43</t>
  </si>
  <si>
    <t>SPEC-R8</t>
  </si>
  <si>
    <t>Firestopping</t>
  </si>
  <si>
    <t>Rated penetrations could be missed across site and building tie-ins</t>
  </si>
  <si>
    <t>Require firestop photos and UL system log by room/penetration</t>
  </si>
  <si>
    <t>SPEC-R9</t>
  </si>
  <si>
    <t>MCR critical systems require integrated commissioning beyond typical building assessments</t>
  </si>
  <si>
    <t>Create dedicated MCR commissioning/activation checklist</t>
  </si>
  <si>
    <t>CxA / OIT</t>
  </si>
  <si>
    <t>MCR + 01 91 00</t>
  </si>
  <si>
    <t>SPEC-R10</t>
  </si>
  <si>
    <t>Turnover</t>
  </si>
  <si>
    <t>O&amp;M, warranties, training and record docs may not be complete before turnover</t>
  </si>
  <si>
    <t>Create closeout deliverables tracker</t>
  </si>
  <si>
    <t>GCC / PM</t>
  </si>
  <si>
    <t>Div 01 closeout requirements</t>
  </si>
  <si>
    <t>SECTION: Open Questions</t>
  </si>
  <si>
    <t>OPEN QUESTIONS │ SPECIFICATIONS</t>
  </si>
  <si>
    <t>SPEC-Q1</t>
  </si>
  <si>
    <t>Is the Appendix B submittal log current with IFC 04/13/2026 specifications?</t>
  </si>
  <si>
    <t>Submittal tracking gap</t>
  </si>
  <si>
    <t>SPEC-Q2</t>
  </si>
  <si>
    <t>Which spec sections are assigned to each building assessment package versus site/MCR packages?</t>
  </si>
  <si>
    <t>PMIS mapping gap</t>
  </si>
  <si>
    <t>SPEC-Q3</t>
  </si>
  <si>
    <t>What is the formal commissioning authority workflow for communications and OIT acceptance?</t>
  </si>
  <si>
    <t>Turnover acceptance gap</t>
  </si>
  <si>
    <t>01 91 / 27 08</t>
  </si>
  <si>
    <t>SPEC-Q4</t>
  </si>
  <si>
    <t>Are ICRA/PCRA permits required for each TR/TE room even for minor telecom enclosure work?</t>
  </si>
  <si>
    <t>VA ICRA / GCC Safety</t>
  </si>
  <si>
    <t>Safety/compliance gap</t>
  </si>
  <si>
    <t>SPEC-Q5</t>
  </si>
  <si>
    <t>How are special inspections and testing lab services being tracked against each spec requirement?</t>
  </si>
  <si>
    <t>GCC QA / SI</t>
  </si>
  <si>
    <t>Inspection gap</t>
  </si>
  <si>
    <t>01 45 29/35</t>
  </si>
  <si>
    <t>SPEC-Q6</t>
  </si>
  <si>
    <t>What is the standardized acceptance package for each telecom room/enclosure?</t>
  </si>
  <si>
    <t>Inconsistent telecom acceptance</t>
  </si>
  <si>
    <t>Div 27</t>
  </si>
  <si>
    <t>SPEC-Q7</t>
  </si>
  <si>
    <t>Which systems require third-party commissioning reports before VA acceptance?</t>
  </si>
  <si>
    <t>CxA / COR</t>
  </si>
  <si>
    <t>Turnover risk</t>
  </si>
  <si>
    <t>01 91 / MEP</t>
  </si>
  <si>
    <t>SPEC-Q8</t>
  </si>
  <si>
    <t>What are the minimum required electrical tests for telecom UPS/PDU and room power?</t>
  </si>
  <si>
    <t>Power readiness gap</t>
  </si>
  <si>
    <t>SPEC-Q9</t>
  </si>
  <si>
    <t>What are the required firestop documentation formats for site and building penetrations?</t>
  </si>
  <si>
    <t>Firestop acceptance gap</t>
  </si>
  <si>
    <t>SPEC-Q10</t>
  </si>
  <si>
    <t>How will record drawings/as-builts be collected for site fiber and each building tie-in?</t>
  </si>
  <si>
    <t>GCC / Telecom</t>
  </si>
  <si>
    <t>As-built gap</t>
  </si>
  <si>
    <t>27 / SITE</t>
  </si>
  <si>
    <t>SECTION: Deliverables</t>
  </si>
  <si>
    <t>DELIVERABLES / DOCUMENTATION LOG</t>
  </si>
  <si>
    <t>Deliverable</t>
  </si>
  <si>
    <t>Spec Reference</t>
  </si>
  <si>
    <t>PMIS Use</t>
  </si>
  <si>
    <t>Approved submittal register</t>
  </si>
  <si>
    <t>Before install</t>
  </si>
  <si>
    <t>Appendix B / 01 33 23</t>
  </si>
  <si>
    <t>Required to track approved products</t>
  </si>
  <si>
    <t>Daily QC reports and deficiency/NCR logs</t>
  </si>
  <si>
    <t>Needed for PMIS evidence</t>
  </si>
  <si>
    <t>ICRA/PCRA permits and inspections</t>
  </si>
  <si>
    <t>Before/during work</t>
  </si>
  <si>
    <t>Safety compliance evidence</t>
  </si>
  <si>
    <t>Commissioning plan/checklists/issues log</t>
  </si>
  <si>
    <t>CxA</t>
  </si>
  <si>
    <t>Startup/turnover</t>
  </si>
  <si>
    <t>System acceptance evidence</t>
  </si>
  <si>
    <t>MEP/FP/Comm/Security/Site</t>
  </si>
  <si>
    <t>Copper and fiber certification tests</t>
  </si>
  <si>
    <t>27 08 / 27 10 / 27 13 / 27 15</t>
  </si>
  <si>
    <t>OIT acceptance evidence</t>
  </si>
  <si>
    <t>UPS/PDU/SPD/startup/load test records</t>
  </si>
  <si>
    <t>Before energization/turnover</t>
  </si>
  <si>
    <t>26 33 / 26 43</t>
  </si>
  <si>
    <t>Power acceptance evidence</t>
  </si>
  <si>
    <t>TAB/startup/DDC/BACnet/high-temp alarm evidence</t>
  </si>
  <si>
    <t>Before room acceptance</t>
  </si>
  <si>
    <t>23 05 / 23 08 / 23 09 / 23 81</t>
  </si>
  <si>
    <t>Cooling readiness evidence</t>
  </si>
  <si>
    <t>Fire/Life Safety</t>
  </si>
  <si>
    <t>Fire alarm, sprinkler, clean-agent and firestop acceptance</t>
  </si>
  <si>
    <t>FP/FA/Firestop</t>
  </si>
  <si>
    <t>07 84 / 21 / 28 31</t>
  </si>
  <si>
    <t>Life safety acceptance</t>
  </si>
  <si>
    <t>Ductbank, utility locate, fiber route and restoration photos/as-builts</t>
  </si>
  <si>
    <t>Civil/Telecom</t>
  </si>
  <si>
    <t>Before backfill/turnover</t>
  </si>
  <si>
    <t>31-33 / 27</t>
  </si>
  <si>
    <t>Site acceptance evidence</t>
  </si>
  <si>
    <t>O&amp;M manuals, warranties, training, record drawings</t>
  </si>
  <si>
    <t>Div 01 closeout</t>
  </si>
  <si>
    <t>Final closeout package</t>
  </si>
  <si>
    <t>SECTION: Source Notes</t>
  </si>
  <si>
    <t>SOURCE NOTES │ SPECIFICATIONS PDF REFERENCE</t>
  </si>
  <si>
    <t>Filename / Section</t>
  </si>
  <si>
    <t>Page(s)</t>
  </si>
  <si>
    <t>Relevant Content</t>
  </si>
  <si>
    <t>Use in Workbook</t>
  </si>
  <si>
    <t>PDF</t>
  </si>
  <si>
    <t>Project Specifications cover</t>
  </si>
  <si>
    <t>Department of Veterans Affairs, Project 518-22-700, EHRM Infrastructure Upgrades - Bedford VAMC, IFC project specifications dated 04/13/2026</t>
  </si>
  <si>
    <t>Project identity</t>
  </si>
  <si>
    <t>Uploaded PDF</t>
  </si>
  <si>
    <t>Table of Contents</t>
  </si>
  <si>
    <t>Division 01 General Requirements and appendices including OIT standards, submittal log, ICRA, PCRA, ACM/LCP, GPRS and geotechnical/boring reports</t>
  </si>
  <si>
    <t>General Reqs / Spec Matrix</t>
  </si>
  <si>
    <t>TOC page 1</t>
  </si>
  <si>
    <t>Architectural divisions including thermal/moisture protection, firestopping, openings and finishes</t>
  </si>
  <si>
    <t>TOC page 2</t>
  </si>
  <si>
    <t>Fire suppression, plumbing, HVAC and integrated automation sections including clean agent, commissioning, DDC and computer-room air conditioners</t>
  </si>
  <si>
    <t>MEP / Commissioning</t>
  </si>
  <si>
    <t>TOC page 3</t>
  </si>
  <si>
    <t>Electrical, Communications and Electronic Safety/Security sections including telecom UPS, Division 27, PACS and video surveillance</t>
  </si>
  <si>
    <t>Electrical / Div27 / Security</t>
  </si>
  <si>
    <t>TOC page 4</t>
  </si>
  <si>
    <t>Fire detection/alarm, earthwork, exterior improvements and utilities sections</t>
  </si>
  <si>
    <t>Civil / Site / Fire Alarm</t>
  </si>
  <si>
    <t>TOC page 5</t>
  </si>
  <si>
    <t>Bid Form</t>
  </si>
  <si>
    <t>Bid form and base bid/alternate/unit price structure</t>
  </si>
  <si>
    <t>Cost/contract awareness</t>
  </si>
  <si>
    <t>Not used for detailed cost</t>
  </si>
  <si>
    <t>Construction Estimate Breakdown</t>
  </si>
  <si>
    <t>CLIN 00 base bid estimate breakdown template by division and line item</t>
  </si>
  <si>
    <t>Cost breakdown reference</t>
  </si>
  <si>
    <t>Visible table page</t>
  </si>
  <si>
    <t>Building_ID</t>
  </si>
  <si>
    <t>Assessment_Sheet</t>
  </si>
  <si>
    <t>Display_Label</t>
  </si>
  <si>
    <t>B78</t>
  </si>
  <si>
    <t>B82</t>
  </si>
  <si>
    <t>SPEC</t>
  </si>
  <si>
    <t>SPEC_Assessment</t>
  </si>
  <si>
    <t>Seq</t>
  </si>
  <si>
    <t>Source_Sheet</t>
  </si>
  <si>
    <t>Source_Row</t>
  </si>
  <si>
    <t>Row_Type</t>
  </si>
  <si>
    <t>Col_A</t>
  </si>
  <si>
    <t>Col_B</t>
  </si>
  <si>
    <t>Col_C</t>
  </si>
  <si>
    <t>Col_D</t>
  </si>
  <si>
    <t>Col_E</t>
  </si>
  <si>
    <t>Col_F</t>
  </si>
  <si>
    <t>Col_G</t>
  </si>
  <si>
    <t>Col_H</t>
  </si>
  <si>
    <t>Col_I</t>
  </si>
  <si>
    <t>Col_J</t>
  </si>
  <si>
    <t>Key</t>
  </si>
  <si>
    <t>SECTION</t>
  </si>
  <si>
    <t>HEADER</t>
  </si>
  <si>
    <t>DATA</t>
  </si>
  <si>
    <t>BLANK</t>
  </si>
  <si>
    <t>Normalized</t>
  </si>
  <si>
    <t>BEDFORD VA EHRM PMIS — CONFIGURATION / THEME SYSTEM</t>
  </si>
  <si>
    <t>Central source for PMIS colors, icons, thresholds, navigation, validation lists, and status definitions.</t>
  </si>
  <si>
    <t>Theme Token</t>
  </si>
  <si>
    <t>Hex</t>
  </si>
  <si>
    <t>Use</t>
  </si>
  <si>
    <t>Spacer</t>
  </si>
  <si>
    <t>Icon</t>
  </si>
  <si>
    <t>Sort</t>
  </si>
  <si>
    <t>CommandBlue</t>
  </si>
  <si>
    <t>#0F4C81</t>
  </si>
  <si>
    <t>Primary headers / mission bars</t>
  </si>
  <si>
    <t>Executive command color</t>
  </si>
  <si>
    <t>🟩</t>
  </si>
  <si>
    <t>ReadyTeal</t>
  </si>
  <si>
    <t>#0F766E</t>
  </si>
  <si>
    <t>Ready / complete state</t>
  </si>
  <si>
    <t>Confirmed mission-ready modules</t>
  </si>
  <si>
    <t>Active</t>
  </si>
  <si>
    <t>🟦</t>
  </si>
  <si>
    <t>Amber</t>
  </si>
  <si>
    <t>#D97706</t>
  </si>
  <si>
    <t>Watch / shutdown / pending</t>
  </si>
  <si>
    <t>Action required / risk watch</t>
  </si>
  <si>
    <t>Watch</t>
  </si>
  <si>
    <t>🟨</t>
  </si>
  <si>
    <t>CriticalRed</t>
  </si>
  <si>
    <t>#B91C1C</t>
  </si>
  <si>
    <t>Critical exceptions</t>
  </si>
  <si>
    <t>Immediate attention</t>
  </si>
  <si>
    <t>🟥</t>
  </si>
  <si>
    <t>Slate</t>
  </si>
  <si>
    <t>#4B5563</t>
  </si>
  <si>
    <t>Neutral inactive elements</t>
  </si>
  <si>
    <t>Secondary labels</t>
  </si>
  <si>
    <t>⬜</t>
  </si>
  <si>
    <t>Canvas</t>
  </si>
  <si>
    <t>#F3F6F9</t>
  </si>
  <si>
    <t>Dashboard background</t>
  </si>
  <si>
    <t>Application canvas</t>
  </si>
  <si>
    <t>✅</t>
  </si>
  <si>
    <t>Threshold</t>
  </si>
  <si>
    <t>Meaning</t>
  </si>
  <si>
    <t>Applied To</t>
  </si>
  <si>
    <t>Rule</t>
  </si>
  <si>
    <t>ReadyPct</t>
  </si>
  <si>
    <t>Ready / green</t>
  </si>
  <si>
    <t>Readiness and mission modules</t>
  </si>
  <si>
    <t>⚠</t>
  </si>
  <si>
    <t>Open risk</t>
  </si>
  <si>
    <t>Risk count &gt; 0</t>
  </si>
  <si>
    <t>WatchPct</t>
  </si>
  <si>
    <t>Watch / amber</t>
  </si>
  <si>
    <t>❓</t>
  </si>
  <si>
    <t>Open question</t>
  </si>
  <si>
    <t>Question count &gt; 0</t>
  </si>
  <si>
    <t>CriticalRisks</t>
  </si>
  <si>
    <t>Critical / red</t>
  </si>
  <si>
    <t>Open risks</t>
  </si>
  <si>
    <t>📷</t>
  </si>
  <si>
    <t>Photo/evidence action</t>
  </si>
  <si>
    <t>Open photo count</t>
  </si>
  <si>
    <t>ShutdownPresent</t>
  </si>
  <si>
    <t>Shutdown / orange</t>
  </si>
  <si>
    <t>Shutdown dependencies</t>
  </si>
  <si>
    <t>⚡</t>
  </si>
  <si>
    <t>Shutdown dependency</t>
  </si>
  <si>
    <t>Shutdown count &gt; 0</t>
  </si>
  <si>
    <t>Navigation Label</t>
  </si>
  <si>
    <t>Target Sheet</t>
  </si>
  <si>
    <t>Formula Stub</t>
  </si>
  <si>
    <t>Validation List</t>
  </si>
  <si>
    <t>Values</t>
  </si>
  <si>
    <t>Mission Control</t>
  </si>
  <si>
    <t>Mission_Control_v3.4</t>
  </si>
  <si>
    <t>#'Mission_Control_v3.4'!A1</t>
  </si>
  <si>
    <t>Ready,Active,Watch,Critical,Not Started,Closed</t>
  </si>
  <si>
    <t>Command Center</t>
  </si>
  <si>
    <t>Command_Center</t>
  </si>
  <si>
    <t>#'Command_Center'!A1</t>
  </si>
  <si>
    <t>Critical,High,Medium,Low</t>
  </si>
  <si>
    <t>Building View</t>
  </si>
  <si>
    <t>Building_View</t>
  </si>
  <si>
    <t>#'Building_View'!A1</t>
  </si>
  <si>
    <t>VA,GCC,Oracle,OIT,Facilities,Utilities,Contractor,Paul</t>
  </si>
  <si>
    <t>PMIS Data</t>
  </si>
  <si>
    <t>PMIS_Data</t>
  </si>
  <si>
    <t>#'PMIS_Data'!A1</t>
  </si>
  <si>
    <t>YesNo</t>
  </si>
  <si>
    <t>Yes,No,TBD</t>
  </si>
  <si>
    <t>Risk Register</t>
  </si>
  <si>
    <t>#'Risk_Register'!A1</t>
  </si>
  <si>
    <t>Shutdown_Tracker</t>
  </si>
  <si>
    <t>#'Shutdown_Tracker'!A1</t>
  </si>
  <si>
    <t>Maintenance Notes</t>
  </si>
  <si>
    <t>1. Keep building assessment sheets as the source of truth.</t>
  </si>
  <si>
    <t>2. Point dashboards at _PMIS_Helper / PMIS_Data instead of repeating long formulas.</t>
  </si>
  <si>
    <t>3. Update colors, thresholds, and status definitions here first.</t>
  </si>
  <si>
    <t>4. This sheet is hidden in the delivered workbook.</t>
  </si>
  <si>
    <t>BEDFORD PMIS V4.1 ARCHITECTURE MAP</t>
  </si>
  <si>
    <t>Layer</t>
  </si>
  <si>
    <t>Source of Truth</t>
  </si>
  <si>
    <t>Bxx_Assessment</t>
  </si>
  <si>
    <t>Building-level assessment data</t>
  </si>
  <si>
    <t>Do not replace; all scope remains here.</t>
  </si>
  <si>
    <t>Rollup</t>
  </si>
  <si>
    <t>Formula-fed building / area rollup</t>
  </si>
  <si>
    <t>Existing workbook engine.</t>
  </si>
  <si>
    <t>Helper</t>
  </si>
  <si>
    <t>_V4_Helper</t>
  </si>
  <si>
    <t>Normalized building snapshot</t>
  </si>
  <si>
    <t>Hidden; source for action scoring.</t>
  </si>
  <si>
    <t>Action Queue</t>
  </si>
  <si>
    <t>_V4_ActionQueue</t>
  </si>
  <si>
    <t>Sorted priority view</t>
  </si>
  <si>
    <t>Hidden; no table objects to prevent Excel repair issues.</t>
  </si>
  <si>
    <t>Front End</t>
  </si>
  <si>
    <t>V4_Mission_Control</t>
  </si>
  <si>
    <t>Final mission-control dashboard</t>
  </si>
  <si>
    <t>Executive-facing, concise, card-based.</t>
  </si>
  <si>
    <t>V4 ACTION QUEUE — FORMULA DRIVEN FROM PMIS_Data</t>
  </si>
  <si>
    <t>Priority is calculated from open risks, questions, photos, shutdowns, readiness, status, and ready gate. Dashboard reads this sheet.</t>
  </si>
  <si>
    <t>Rank</t>
  </si>
  <si>
    <t>Source Sheet</t>
  </si>
  <si>
    <t>Priority Score</t>
  </si>
  <si>
    <t>Severity</t>
  </si>
  <si>
    <t>Action Required</t>
  </si>
  <si>
    <t>Why Summary</t>
  </si>
  <si>
    <t>Priority Key</t>
  </si>
  <si>
    <t>Fire / Life Safety</t>
  </si>
  <si>
    <t>Telecom / Fiber</t>
  </si>
  <si>
    <t>Security / PACS / CCTV</t>
  </si>
  <si>
    <t>• Full fire protection scope included. Verify sprinkler head modifications, fire alarm devices, clean-agent/CO2 2A:10B:C FEC within 75 ft, rated wall/floor penetrations, temporary firestopping and final UL firestop systems.
• Existing telecom room; verify FP/FA protection-in-place and seal penetrations after cable removal/reuse.
• Existing telecom room; verify fire alarm/sprinkler impacts, protection-in-place and final firestop at cable changes.
• Existing second-level telecom room; verify riser penetrations, firestopping and protection-in-place.</t>
  </si>
  <si>
    <t>• Mechanical drawings show IU-1-01 split-system indoor unit and CU-1-01 outdoor unit for Room 107. Notes call for condensate pump, pumped condensate line, BACnet adapter adjacent to unit, FMS integration, room temperature/humidity points and alarms. Confirm capacity, emergency source, condensate path, controls and startup.
• Existing basement telecom equipment may remain active during cutover. Verify environmental conditions and whether active equipment remains after migration.
• Existing first-level equipment may remain active during transfer; verify temperature, ventilation and protection of active gear.
• Existing second-level equipment may remain active until cutover; verify existing cooling/ambient conditions and no overheating.</t>
  </si>
  <si>
    <t>• Electrical plans/schedules identify B01-TR107A and B01-TR107B, rack receptacles, normal/emergency receptacles, redundant vertical PDUs, CU-1-01, access controller, lighting/receptacle circuits, SPDs integral to new telecom panels, and 30-day load measurement requirements before panel renovation.
• Existing B02 rack elevations show UPS on floor and Tripp Lite Smart Pro UPS; verify active source circuits and transfer requirements.
• Existing 138 rack elevation shows APC UPS floor and patch panels; verify active source circuits and transition.
• Existing Room 282 equipment includes active rack gear and patch panels; verify source circuits, UPS/PDU condition and final decommission/retain scope.</t>
  </si>
  <si>
    <t>• 01T-701 identifies RM107 with 96 WAO total, 88 active ports per survey, 146 total ports per schedule, and 161 total ports with 10% allowance. Cable tray schedule totals 394 ft: 58 ft basement, 212 ft first level and 124 ft second level. Rack ID TR01-107-1.
• Existing B02 racks/TE support active services and legacy equipment. Contractor must field verify equipment to be demolished or transferred and provide phasing plan.
• Existing Room 138 racks and patch panels act as transition/legacy equipment point. Verify active service labels and transfer sequence.
• Existing Room 282 racks and patch panels act as second-level transition point. Verify all active services, WAP/camera cabling, and riser pathway.</t>
  </si>
  <si>
    <t>• Electrical/telecom plans show new access control, power supply/battery backup for PACS, HDP12/FIPS-compliant PIV-ready card reader with PIN pad, and camera 107-CAM-1. Verify CR/RX/DC/ES/MD devices, controller, camera/VMS integration and door hardware coordination.
• Verify existing security/CCTV equipment and any retained cameras. Maintain camera angles where existing security cameras are recabled.
• Verify existing security/access conditions and protection-in-place during rack transfer.
• Verify second-level existing security/CCTV impacts during cabling and equipment transfer.</t>
  </si>
  <si>
    <t>• High: Existing conditions for Room 107 and transition rooms B02/138/282 not field verified — Perform existing conditions survey with photos and active-service inventory before mobilization
• Critical: Existing equipment may remain active during transfer to Room 107 — Document active services, protect in place, identify OIT cutover windows, phasing, rollback path and temporary utilities
• Critical: Dedicated cooling emergency power, condensate, BACnet and alarms not verified — Confirm IU-1-01/CU-1-01 power source, condensate route, controls, BACnet adapter, thermostat, humidity and high-temp alarms
• High: B01-TR107A/B UPS/PDU and panel source coordination could delay energization — Verify panels, breakers, receptacles, SPD, labels, 30-day load measurement and LOTO needs
• High: 394 feet of cable tray/pathway requires coordination and firestop tracking — Verify route, supports, seismic bracing, 40% fill, penetrations, lighting/HVAC conflicts and firestop assemblies
• Critical: Telecom/fiber cutover could affect active hospital communications across basement/first/second levels — Require cutover plan, test records, labels, as-builts, OIT coordination and VA acceptance before active connection</t>
  </si>
  <si>
    <t>• B01-Q1 — Confirm final telecom scope: new Room 107 with existing B02, 138 and 282 transition/transfer points? [Closed] Impact: Room inventory could miss scope
• B01-Q2 — What active services are currently fed from existing Rooms B02, 138 and 282? [Closed] Impact: Potential communications/security outage
• B01-Q3 — What equipment from existing racks transfers to new Room 107 versus remains/decommissions? [Closed] Impact: Cutover and rack elevation risk
• B01-Q4 — Is IU-1-01/CU-1-01 on emergency/backup power and dedicated to Room 107? [Closed] Impact: Cooling continuity unclear
• B01-Q5 — Where is the clean-agent/CO2 extinguisher cabinet located within 75 ft of Room 107? [Closed] Impact: Life-safety acceptance risk
• B01-Q6 — Are B01-TR107A/B sources, rack receptacles, SPDs, labels and 30-day load measurements approved? [Closed] Impact: Electrical readiness unknown</t>
  </si>
  <si>
    <t>• Full fire protection scope included. Verify sprinkler modifications, fire alarm devices, clean-agent/CO2 2A:10B:C FEC within 75 ft, rated wall/floor penetrations, temporary firestopping and final UL systems.
• Verify second-level TR sprinkler/fire alarm modifications, FEC location, cable tray penetrations, and temporary/final firestopping.
• Verify third-level TR sprinkler/fire alarm modifications, FEC location, riser penetrations and firestopping.
• Existing telecom rooms; verify FP/FA protection-in-place and seal penetrations after cable removal/reuse.</t>
  </si>
  <si>
    <t>• Electrical schedule references CU-1-01, CU-2-01 and CU-3-01 on B02-TR141B; mechanical sheets include dedicated TR cooling. Confirm which indoor/outdoor unit serves Room 141, capacity, emergency power, condensate, controls/BACnet and alarms.
• Confirm dedicated cooling equipment serving Room 236, condensate route, 24/7 operation, emergency source and FMS/BACnet high-temperature alarm.
• Confirm dedicated cooling equipment serving Room 342, condensate route, controls, emergency source and alarm integration.
• Existing telecom equipment may remain active during cutover. Verify ambient temperature/cooling protection until migration complete.</t>
  </si>
  <si>
    <t>• Electrical one-line/schedules identify B02-TR141A/B with rack receptacles, lighting/receptacles, SPDs integral to new telecom panelboards and cooling equipment references. Verify source, 30-day load measurement, LOTO and labels.
• Electrical one-line/schedules identify B02-TR236A/B with rack receptacles, lighting/receptacles, SPDs and normal/emergency power requirements. Verify source and rack PDU mapping.
• Electrical one-line/schedules identify B02-TR342A/B with rack receptacles, lighting/receptacles and SPDs. Verify source panels and UPS/PDU circuits.
• Existing racks/panels remain active during transfer; verify power source, UPS status and temporary power needs.</t>
  </si>
  <si>
    <t>• 02T-701 identifies RM141 with 211 WAO total, 215 active ports, 322 scheduled ports, 354 ports with allowance. Rack IDs TR01-141-01/02. Cable tray schedule total includes 1,069 ft first-level cable tray.
• 02T-702 identifies RM236 with 179 WAO total, 178 active ports, 314 scheduled ports and approx. 345 with allowance. Rack IDs TR01-236-01/02. Verify second-level cable tray, riser and cutover from existing 282/236 scope.
• 02T-703 identifies RM342 with 274 WAO total, 96 active ports, 353 scheduled ports, 388 with allowance. Rack IDs TR01-342-01/02. Verify third-level cable tray and high outlet count.
• Existing B-06/141/236 racks support legacy services. Field verify all active circuits, existing patch panels, labels, and transfer plan before cutover.</t>
  </si>
  <si>
    <t>• Plans show 174-CAM-01 associated with the first-level TR area and PACS/security requirements. Verify camera/VMS integration, access controller/power supply, CR/RX/DC/ES/MD and door hardware.
• Plans show 236-CAM-01. Verify camera/VMS integration, access control, door hardware, motion/detection devices and power.
• Plans show 342-CAM-01 and 342A-CK-A. Verify camera/VMS integration and access control/security rough-in.
• Maintain existing camera angles when re-cabling and protect existing PACS/equipment racks during transfer.</t>
  </si>
  <si>
    <t>• High: Existing conditions for Rooms 141/236/342 and existing B-06/141/236 not field verified — Perform existing conditions survey with photos and active-service inventory before mobilization
• Critical: Existing equipment may remain active during transfer to new TRs — Document active services, protect in place, identify OIT cutover windows, phasing, rollback path and temporary utilities
• Critical: Dedicated cooling assignment, emergency power, condensate, BACnet and alarms not verified — Confirm each IU/CU serving each TR, power source, condensate route, controls, BACnet, thermostat and high-temp alarms
• High: B02-TR141/236/342 A/B UPS/PDU and panel source coordination could delay energization — Verify panels, breakers, receptacles, SPDs, labels, 30-day load measurement and LOTO needs
• High: 2,560 feet of cable tray/pathway requires coordination and firestop tracking — Verify route, supports, seismic bracing, 40% fill, penetrations, lighting/HVAC conflicts and firestop assemblies
• Critical: Telecom/fiber cutover could affect active hospital communications across several floors — Require cutover plan, test records, labels, as-builts, OIT coordination and VA acceptance before active connection</t>
  </si>
  <si>
    <t>• B02-Q1 — Confirm final telecom scope: new Rooms 141, 236 and 342 with existing B-06/141/236 transition points? [Open] Impact: Room inventory could miss scope
• B02-Q2 — What active services are currently fed from existing Rooms B-06, 141 and 236? [Open] Impact: Potential communications/security outage
• B02-Q3 — What existing equipment is transferred, relocated, removed or protected in Rooms 141 and 236? [Open] Impact: Cutover and rack elevation risk
• B02-Q4 — Which IU/CU pair serves each TR and are they on emergency/backup power? [Open] Impact: Cooling continuity unclear
• B02-Q5 — Where are clean-agent/CO2 extinguisher cabinets located within 75 ft of Rooms 141, 236 and 342? [Open] Impact: Life-safety acceptance risk
• B02-Q6 — Are B02-TR141/236/342 A/B sources, rack receptacles, SPDs, labels and 30-day load measurements approved? [Open] Impact: Electrical readiness unknown</t>
  </si>
  <si>
    <t>• Full fire protection scope included. Verify sprinkler modifications, fire alarm devices, clean-agent/CO2 2A:10B:C FEC within 75 ft, rated wall/floor penetrations, temporary firestopping and final UL systems.
• Existing telecom room; verify fire alarm/sprinkler protection-in-place and seal penetrations after fiber/cable transfer or reuse.
• Existing DMARC/telecom room; fire alarm/sprinkler and firestopping must remain in service during transfer.
• Coordinate ceiling removal, temporary barriers/upright sprinklers if ceiling tiles remain open, and firestopping at all rated penetrations.</t>
  </si>
  <si>
    <t>• Electrical schedule references CU-01 on B03-TR101CB and mechanical package includes dedicated TR cooling. Confirm indoor/outdoor unit serving Room 101E, capacity, emergency source, condensate route, controls/BACnet and high-temperature alarm.
• Existing basement telecom equipment may remain active during transfer. Verify ambient temperature/cooling protection until migration is complete.
• Existing DMARC/fiber services may remain active during cutover; verify existing environmental conditions and heat load if equipment remains.
• No dedicated HVAC for WAO areas; maintain infection control/IAQ and ceiling restoration requirements.</t>
  </si>
  <si>
    <t>• Electrical one-line/schedules identify B03-TR101CA/B with rack receptacles, TR receptacles, access controller, CU-01 on B03-TR101CB, SPDs integral to telecom panels, PXR20 trip units, and 30-day load measurement requirements.
• Existing Room 107 rack elevation shows UPS on floor and legacy telecom equipment. Verify active source circuits and transfer requirements.
• Existing DMARC plan shows existing branch panel and patch panel removal/relocation scope. Verify source circuits before demolition or transfer.
• Verify power/data coordination at outlets, cameras, WAPs, Centrak/clock devices and hard-lid ceiling locations.</t>
  </si>
  <si>
    <t>• 03T-701 identifies RM101E with 143 WAO total, 213 active ports, 187 scheduled ports and 206 total ports with 10% allowance. Cable tray schedule totals 961 ft: 615 ft basement level and 346 ft first level. Rack IDs TR01-101E-1 and TR01-101E-2.
• Existing Room 107 rack supports legacy active services; verify B3-LB-B13-TC-FIBER equipment inventory, fiber LIU, patch panels, Cisco switch and UPS before cutover.
• Existing DMARC/telecom room 101C includes patch panels/cabinet/branch panel and 101C-CAM-01; protect active provider/fiber/DMARC services until new fiber/rack work is accepted.
• Existing ports replaced; 3- and 4-port outlets reduced to two Cat6A ports where coordinated. WAPs remain protected in place while cabling/faceplate/jack are replaced.</t>
  </si>
  <si>
    <t>• Plans require PACS for TR doors and electrical details include access-controlled door rough-in. Verify access controller, power supply/battery backup, CR/RX/DC/ES/MD devices, reader, strike and door hardware coordination.
• Enlarged plan and schedule identify 101C-CAM-01 and 101C-CK-A. Verify camera/VMS integration, existing camera angles and protection-in-place.
• Verify existing security/CCTV/PACS impacts during basement telecom room transfer.
• Maintain existing camera angles when re-cabling; verify WAP/security/clock/Centrak devices are relabeled and tested.</t>
  </si>
  <si>
    <t>• High: Existing conditions for Room 101E and transition rooms 107/101C not field verified — Perform existing conditions survey with photos and active-service inventory before mobilization
• Critical: Existing DMARC/fiber/telecom equipment may remain active during transfer to Room 101E — Document active services, protect in place, identify OIT/provider cutover windows, phasing, rollback path and temporary utilities
• Critical: Dedicated cooling assignment, emergency power, condensate, BACnet and alarms not verified — Confirm CU-01/IU serving Room 101E, power source, condensate, controls, BACnet, thermostat and high-temp alarms
• High: B03-TR101CA/B UPS/PDU and panel source coordination could delay energization — Verify panels, breakers, receptacles, SPDs, PXR20 trip units, labels, 30-day load measurement and LOTO needs
• High: 961 feet of cable tray/pathway requires coordination and firestop tracking — Verify route, supports, seismic bracing, 40% fill, penetrations, lighting/HVAC conflicts and firestop assemblies
• Critical: Telecom/fiber cutover could affect active hospital communications and provider/DMARC services — Require cutover plan, test records, labels, as-builts, OIT/provider coordination and VA acceptance before active connection</t>
  </si>
  <si>
    <t>• B03-Q1 — Confirm final telecom scope: new Room 101E with existing Basement Room 107 and existing DMARC Room 101C transition points? [Open] Impact: Room inventory could miss scope
• B03-Q2 — What active services are currently fed from existing Room 107 and DMARC Room 101C? [Open] Impact: Potential communications/provider outage
• B03-Q3 — What existing equipment transfers to new Room 101E versus remains/decommissions? [Open] Impact: Cutover and rack elevation risk
• B03-Q4 — Which IU/CU pair serves Room 101E and is it on emergency/backup power? [Open] Impact: Cooling continuity unclear
• B03-Q5 — Where is the clean-agent/CO2 extinguisher cabinet located within 75 ft of Room 101E? [Open] Impact: Life-safety acceptance risk
• B03-Q6 — Are B03-TR101CA/B sources, rack receptacles, SPDs, labels and 30-day load measurements approved? [Open] Impact: Electrical readiness unknown</t>
  </si>
  <si>
    <t>• Fully sprinklered building; basement TR requires verification of sprinkler coverage and impairment planning.
• FEC with clean-agent 2A:10B:C extinguisher within 75 ft; TR open to deck; maintain rated assemblies.
• Verify sprinkler/fire alarm device locations and firestop for riser/pathway penetrations.</t>
  </si>
  <si>
    <t>• Verify dedicated cooling for two-rack basement TR and whether unit/controls/condensate are backed up.
• Verify dedicated cooling and coordination with open-to-deck room, racks, cable tray, and access control.
• Verify cooling unit, routing, condensate, controls, and emergency/backup power path.</t>
  </si>
  <si>
    <t>• Panel schedule shows B04-NPA-TR in Telecom Room B05, feeding B04-TRB05A/B; TRB05A includes rack receptacle and branch circuits.
• Panel schedule identifies B04-TR141A 60A 3-pole load; verify rack/UPS/PDU circuiting.
• Panel schedule identifies B04-TR244A 60A 3-pole load; confirm panel/circuit locations and source.</t>
  </si>
  <si>
    <t>• New rack elevations show two 4-post floor racks with UPS, Zone PDU, cable managers, network switches, Cat6A patch panels, Cat5E patch panel, and Fiber LIU.
• New rack elevation shows one 4-post rack plus future rack; includes UPS, future Zone PDU, switches, cable managers, Cat6A patch panels, Cat5E patch panel, and Fiber LIU.
• TR/panel identified; verify rack elevation and pathway details against 04T sheets.</t>
  </si>
  <si>
    <t>• Verify access-controlled TR door, camera, and VMS/PACS integration.
• Architectural notes require door/access control coordination; verify card reader/electric strike rough-in.
• Verify room security details and device integration with VA systems.</t>
  </si>
  <si>
    <t>• High: Existing conditions across basement/first/second TR areas not verified — Perform existing conditions survey with photos before mobilization
• High: Basement TR routing may conflict with existing utilities / abatement areas — Coordinate hazardous material survey, utility locations, penetrations, and pathway routing
• High: 1-hour fire/smoke-rated envelope and 45-minute door not field verified — Inspect rated walls, door/frame, ceiling/open-to-deck conditions, and penetrations
• Critical: Cooling emergency power / 24/7 continuity not verified — Confirm source power for indoor/outdoor units, controls, condensate pumps, and alarms
• High: UPS/PDU/rack electrical source and load coordination unresolved — Verify panel schedules, source, SPD, breaker sizes, labeling, and load measurements
• Critical: Telecom/fiber cutover could affect active hospital communications — Require phasing plan, test results, and VA/OIT acceptance before cutover</t>
  </si>
  <si>
    <t>• B04-Q1 — Confirm final TR room list: B05, 141, and 244A; are there additional served-from rooms? [Open] Impact: Incomplete room inventory / missed scope
• B04-Q2 — Are B05, 141, and 244A cooling systems on emergency/backup power? [Open] Impact: Cooling continuity not confirmed
• B04-Q3 — Where are clean-agent/CO2 extinguisher cabinets located within 75 ft of each TR? [Open] Impact: Life safety acceptance risk
• B04-Q4 — What is the approved migration and cutover sequence for active Building 04 services? [Open] Impact: Potential communications outage
• B04-Q5 — Are hazardous/abatement impacts cleared for basement and first-level penetrations/floor work? [Open] Impact: Work stoppage or exposure risk
• B04-Q6 — Are all B04 panelboards/feeders/breakers/SPDs/load measurements approved before renovation? [Open] Impact: Electrical delay or overload risk</t>
  </si>
  <si>
    <t>• Cover sheet note states mechanical and fire protection scope excluded; still verify firestopping and existing fire alarm/life safety impacts.
• Existing conditions only; verify protection-in-place and no unsealed penetrations after cabling.</t>
  </si>
  <si>
    <t>• Mechanical scope is excluded for Building 05; verify TE heat load is acceptable in existing space and does not require added cooling.
• Existing wall/wall-mount TE area; verify existing environmental conditions during field survey.</t>
  </si>
  <si>
    <t>• 05T-604 shows APC UPS, two PDU L-530 input / NEMA 5-20 output units, 1200V outlet UPS, and 1200V outlet PDU; verify actual electrical schedule/panel/circuit source.
• Existing elevation shows floor UPS and legacy wall-mounted TE equipment; protect active equipment until cutover.</t>
  </si>
  <si>
    <t>• New Room 150 Telecom Enclosure: 12RU TE with APC UPS, PDUs, cable managers, 48-port angled patch panels, 48-port Cat6A patch panel, and Fiber LIU.
• Existing Room 153-A wall/wall-mount TE contains Cisco switches and legacy 24-port patch panels; confirm cutover, reuse, demo, and records.</t>
  </si>
  <si>
    <t>• Project general scope includes CCTV and PACS for telecom spaces; verify whether TE location receives camera/access control or is served by existing room controls.
• Verify existing security protection and whether access-control work is needed for existing TE area.</t>
  </si>
  <si>
    <t>• High: Telecom Enclosure installation details not field verified — Survey wall/backing, clearances, power, conduit/wireway, and access path before installation
• Critical: Existing legacy equipment/cabling may remain active during cutover — Document active services, create cutover plan, protect-in-place until new TE is operational
• Medium: Mechanical/fire protection scope excluded may hide interface risks — Confirm no added cooling/sprinkler work is required and document basis for N/A
• High: Electrical panel/circuit source for TE equipment not confirmed — Verify 05E-401/501/601/701 schedules, UPS/PDU receptacles, labels, and emergency power source
• High: Firestopping/penetration sealing still required despite fire protection scope exclusion — Inspect all new and reused conduits, sleeves, wall/floor penetrations, and temporary firestop
• Medium: Commissioning / acceptance documentation may be treated as minor due to TE scope — Track testing, labeling, OIT acceptance, third-party inspections, and as-builts</t>
  </si>
  <si>
    <t>• B05-Q1 — Confirm final TE room/location: Room 150 new TE and Room 153-A existing TE transition point? [Open] Impact: Room inventory could be wrong
• B05-Q2 — What active services are currently fed from the existing 153-A TE/legacy patch panels? [Open] Impact: Potential communications outage
• B05-Q3 — What is the approved cutover sequence from existing 153-A equipment to new Room 150 TE? [Open] Impact: Cutover risk
• B05-Q4 — Which electrical panel/circuit serves the Room 150 UPS/PDU outlets? [Open] Impact: Power source cannot be verified
• B05-Q5 — Is emergency/backup power required or provided for the TE UPS/PDU source? [Open] Impact: Continuity requirement unclear
• B05-Q6 — Are firestopping locations and surface raceway/conduit routes shown and coordinated? [Open] Impact: Rated assembly/firestop risk</t>
  </si>
  <si>
    <t>• Existing equipment area; verify no cabling penetrations are left unsealed.
• Fully sprinklered building; verify sprinkler modifications, fire alarm devices, FEC location, and impairment/fire watch needs.
• Architectural enlarged views call for 1-hour fire/smoke-rated walls, 45-minute door/frame, and FEC within 75 ft.</t>
  </si>
  <si>
    <t>• Verify basement equipment environmental condition and any heat/load issues during cutover.
• Mechanical enlarged plan shows new indoor unit IU-1-01 and outdoor CU-1-01; confirm 208V emergency power, BACnet adapter, thermostat, condensate route.
• Mechanical enlarged plan shows new indoor unit IU-2-01 and outdoor CU-2-01; confirm 208V emergency power, condensate and controls.</t>
  </si>
  <si>
    <t>• Existing UPS on floor shown at B-01; protect active service and confirm any transition/demo requirements.
• Panel schedule shows B06-EP-TR in Telecom Room 178; B06-TR178A/B panels and SPD requirements; load measurement required prior to panel renovation.
• Panel schedule identifies B06-TR233A/B in Telecom Room 233; verify source, circuits, rack receptacles and emergency power.</t>
  </si>
  <si>
    <t>• Existing Cisco switches, legacy 48-port patch panels, wall/wall-mount TE and floor UPS.
• Existing Room 178 rack elevations show multiple existing 2-post racks; new electrical, cable path, grounding and cutover require verification.
• Room 233 future new rack elevation shows UPS, network switches, cable managers, Cat6A patch panels, Cat5E patch panel and Fiber LIU.</t>
  </si>
  <si>
    <t>• Verify existing basement access/security while protecting active equipment.
• Electrical enlarged plan references existing card reader to remain/protect in place and new tri-tech motion sensor; verify PACS/CCTV integration.
• Verify door hardware/access control, motion sensor, camera, and VA security integration.</t>
  </si>
  <si>
    <t>• High: Existing conditions across B-01, 178 and 233 not field verified — Perform existing conditions survey with photos before mobilization
• Critical: Existing basement equipment may remain active during cutover — Document active services and protect in place until new system is tested and accepted
• Critical: Electrical panel replacement/new telecom power could interrupt active systems — Coordinate load measurement, panel renovation, shutdowns and temporary power plan
• High: Room 233 conversion/rated wall and door work may impact adjacent patient toilet/private bath areas — Verify phasing, barriers, infection control and temporary life-safety provisions
• Critical: Dedicated cooling emergency power, controls, condensate and BACnet interface not verified — Confirm emergency power source, disconnects, condensate routes, BACnet adapter and high-temp alarms
• Critical: Fire alarm/sprinkler impairments and penetrations may affect occupied operations — Track impairments, fire watch, temporary firestop and third-party reports</t>
  </si>
  <si>
    <t>• B06-Q1 — Confirm final TR/TE scope: B-01 existing equipment, Room 178, and Room 233? [Open] Impact: Room inventory could miss scope
• B06-Q2 — What active services are fed from existing B-01 and Room 178 legacy equipment? [Open] Impact: Potential communications outage
• B06-Q3 — What is the approved cutover sequence for B-01, 178 and 233? [Open] Impact: Cutover risk
• B06-Q4 — Are IU-1-01/CU-1-01 and IU-2-01/CU-2-01 on emergency/backup power? [Open] Impact: Cooling continuity unclear
• B06-Q5 — Where are clean-agent/CO2 extinguisher cabinets located within 75 ft of each TR? [Open] Impact: Life safety acceptance risk
• B06-Q6 — Are all panel load measurements, replacement panels, breakers, SPDs and labels approved? [Open] Impact: Electrical readiness unknown</t>
  </si>
  <si>
    <t>• Fully sprinklered building; basement TR requires sprinkler coverage verification, firestop at cabling/sleeves and impairment coordination.
• Architectural notes require clean-agent 2A:10B:C extinguisher within 75 ft, 45-minute rated door/frame and rated wall construction; verify FA/FP modifications.</t>
  </si>
  <si>
    <t>• Mechanical schedule lists 18,000 BTUH wall-mounted IU-0-01 and CU-0-01; verify exact room assignment, emergency power, condensate, controls and high-temp alarm.
• Mechanical schedule lists 36,000 BTUH wall-mounted IU-2-01 and CU-2-01; electrical enlarged plan shows IU-2-01 at TR 228A; verify emergency power and condensate route.</t>
  </si>
  <si>
    <t>• Electrical enlarged plans identify B07-TRB18A/B circuits serving basement TR equipment; verify panel source, receptacles, SPD, emergency source and load measurement.
• Electrical enlarged plans identify B07-TR228A/B circuits serving TR 228A equipment and IU-2-01; verify rack receptacles, cooling power, SPD and labels.</t>
  </si>
  <si>
    <t>• 07T-604 rack elevation: 1 rack plus future; includes UPS, future Zone PDU, cable managers, network switches, three 48-port Cat6A angled patch panels, 24-port Cat5E patch panel and Fiber LIU.
• TR 228A is shown on second-level telecom/electrical enlarged plans; verify rack elevation, fiber paths, Cat6A replacement, labeling/testing and VA acceptance before cutover.</t>
  </si>
  <si>
    <t>• Verify access control, door hardware and CCTV/PACS integration for basement TR.
• Architectural notes require access control hardware modifications at new rated door; verify card reader, electric strike, door position switch, motion sensor and camera.</t>
  </si>
  <si>
    <t>• High: Existing conditions for B-18 and 228A not field verified — Perform existing conditions survey with photos before mobilization
• High: Basement TR conversion may conflict with existing utilities, office finishes or active pathways — Verify routing, clearances, penetrations, existing conduit and access before work
• High: Second-floor rated wall/door work and exterior furring wall/window enclosure could affect schedule — Coordinate architectural work, door/frame, wall rating, furring wall, finishes and infection control barriers
• Critical: Dedicated cooling emergency power, controls, condensate and high-temp alarms not verified — Confirm IU/CU assignments, emergency source, BACnet/interface, condensate pump routing and alarm points
• High: Electrical panel/circuit source and rack load coordination unresolved — Verify B07-TRB18A/B and B07-TR228A/B panel schedules, circuit labels, SPDs and load measurements
• Critical: Telecom/fiber cutover may affect active hospital communications — Require cutover plan, test results, OIT coordination and VA acceptance before active connection</t>
  </si>
  <si>
    <t>• B07-Q1 — Confirm final TR scope: B-18 basement and 228A second floor only? [Open] Impact: Room inventory could miss scope
• B07-Q2 — Are IU-0-01/CU-0-01 assigned to B-18 and IU-2-01/CU-2-01 assigned to 228A? [Open] Impact: Cooling scope unclear
• B07-Q3 — Are cooling units and controls on emergency/backup power? [Open] Impact: Cooling continuity not confirmed
• B07-Q4 — Where are clean-agent/CO2 extinguisher cabinets located within 75 ft of each TR? [Open] Impact: Life safety acceptance risk
• B07-Q5 — What active services are currently fed from B-18 and/or existing pathways serving 228A? [Open] Impact: Potential communications outage
• B07-Q6 — Are all B07 panelboard sources, circuits, SPDs, labels and load measurements approved? [Open] Impact: Electrical readiness unknown</t>
  </si>
  <si>
    <t>• Existing equipment area; verify no new penetrations are left unsealed and active systems remain protected.
• Door schedule shows 45-minute door; verify fire/smoke requirements, FEC requirement applicability, firestopping and temporary barriers.
• Architectural notes require new 45-minute door, clean-agent 2A:10B:C extinguisher within 75 ft, open-to-deck telecom room and 1-hour fire/smoke-rated existing wall upgrades.</t>
  </si>
  <si>
    <t>• Verify existing environmental conditions and whether active legacy equipment remains during cutover.
• Field verify whether TE equipment load requires cooling or if served by existing building HVAC.
• Mechanical schedule lists IU-2-01/CU-2-01 at 36,000 BTUH; verify room assignment, emergency power, condensate pump/route, BACnet controller and controls.</t>
  </si>
  <si>
    <t>• Existing rack elevation shows floor UPS and legacy equipment; protect active service and verify transition/demo requirements.
• Electrical schedule includes TE receptacle Room B12B; confirm panel/circuit source and if B12B is served from telecom panel.
• Electrical schedule identifies B08-TR2065AB in Telecom Room 2065A with TR receptacles, rack receptacles, lighting, access controller, CU-2-01 and SPD notes; verify B08-TR2065AA source/scope.</t>
  </si>
  <si>
    <t>• Existing Room B-15 rack elevations show wall/wall-mounted TE, legacy 24/48-port patch panels, legacy Fiber LIU and UPS.
• Telecom schedule uses Rack ID TE01-B12B-1; 80 WAO total, 159 active ports per survey, 116 total ports per schedule, and 128 total ports with 10% allowance.
• New Room 2065A rack elevations show two 4-post floor racks; Rack 1 includes Fiber LIU, 24-port Cat5E patch panel, four 48-port Cat6A patch panels, network switches, Zone PDU and UPS; Rack 2 includes future switches and UPS.</t>
  </si>
  <si>
    <t>• Verify existing basement access/security while protecting active equipment.
• 45-minute door shown; verify access-control hardware applicability and whether TE is secured.
• Door schedule/hardware note requires coordination with electrical/access control; verify card reader, electric strike, door position, motion sensor, camera and VA integration.</t>
  </si>
  <si>
    <t>• High: Existing conditions for B-15, B12B and 2065A not field verified — Perform existing conditions survey with photos before mobilization
• Critical: Existing basement legacy equipment may remain active during cutover — Document active services, protect in place and define cutover/demo sequence
• High: Basement B12B appears as Office in architectural schedule but TE in telecom/electrical schedules — Field verify actual TE location, room name, door/wall rating and panel/cable routing
• High: Second-floor Telecom Room conversion includes rated wall/door/open-to-deck work and possible hazardous material impacts — Coordinate architectural work, dust barriers, floor abatement, FEC and rated assemblies before construction
• Critical: Dedicated cooling emergency power, controls, condensate and high-temp alarms not verified — Confirm IU/CU assignment, emergency source, BACnet/interface, condensate routing and alarm points
• High: Electrical panel/circuit source and rack load coordination unresolved — Verify B08-TR2065AA/AB panel schedules, rack receptacles, SPD, labels and load measurement requirements</t>
  </si>
  <si>
    <t>• B08-Q1 — Confirm final scope: existing B-15 equipment, B12B TE/cabling area, and new TR 2065A? [Open] Impact: Room inventory may miss scope
• B08-Q2 — What active services are currently fed from existing B-15 equipment? [Open] Impact: Potential communications outage
• B08-Q3 — Is B12B truly a TE/equipment location or only a cabling pathway/service area? [Open] Impact: Scope ambiguity
• B08-Q4 — Is IU-2-01/CU-2-01 dedicated to TR 2065A and on emergency/backup power? [Open] Impact: Cooling continuity unclear
• B08-Q5 — Where are clean-agent/CO2 extinguisher cabinets located within 75 ft of each TR/TE? [Open] Impact: Life safety acceptance risk
• B08-Q6 — Are all B08 panelboard sources, circuits, SPDs, rack receptacles and load measurements approved? [Open] Impact: Electrical readiness unknown</t>
  </si>
  <si>
    <t>• Fully sprinklered building; verify sprinkler head coverage, rated penetrations, temporary firestopping, and FEC location for basement TR.
• Fire protection enlarged plan shows Telecom Room 104B and rated wall legend; verify sprinkler/fire alarm modifications and clean-agent extinguisher within 75 ft.
• Fire protection enlarged plan shows Telecom Room 206A; verify sprinkler cage/coverage, fire alarm device relocation/additions, and rated penetrations.</t>
  </si>
  <si>
    <t>• Electrical enlarged/panel data identifies CU-0-1 serving basement work; verify mechanical schedule, emergency source, condensate, controls and alarms.
• Electrical enlarged plan identifies IU-1-01 in Telecom Room 104B and CU-1-1; verify dedicated 24/7 cooling and emergency power.
• Electrical enlarged plan identifies IU-2-01 in Telecom Room 206A and CU-2-1; verify dedicated 24/7 cooling and emergency power.</t>
  </si>
  <si>
    <t>• Panel schedule lists B09-TRB01A/B in Telecom Room B01 with 208Y/120V panels, rack receptacles, access controller, mechanical equipment, lighting and SPD notes.
• Electrical enlarged plan shows panel references B09-TR104BA/B, IU-1-01, security devices, lighting and receptacle/rack circuits.
• Electrical enlarged plan shows panel references B09-TR206AA/B, IU-2-01, security devices, lighting and receptacle/rack circuits.</t>
  </si>
  <si>
    <t>• Fiber riser identifies Building 09 basement B01 with two-rack TR; verify rack elevations, fiber Path A/B, Cat6A replacement, LIU, bonding and cutover.
• Fiber riser identifies first-level Room 104B with two-rack TR; verify rack elevation details, patch panels, UPS/PDU, fiber LIU, grounding and test records.
• Fiber riser identifies second-level Room 206A with two-rack TR; verify rack elevation details, patch panels, UPS/PDU, fiber LIU, grounding and test records.</t>
  </si>
  <si>
    <t>• Enlarged plans show existing/new security boxes, network door controller, camera/security scope; verify PACS/CCTV integration and protection of active security systems.
• First-level enlarged plan shows CR/RX/DC/ES/MD-type device symbols and 104B camera designation; verify card reader, electric strike, door contact, motion and camera.
• Second-level enlarged plan shows CR/RX/DC/ES/MD-type device symbols and 206A camera designation; verify PACS/VMS integration and commissioning.</t>
  </si>
  <si>
    <t>• High: Existing conditions for B01, 104B and 206A not field verified — Perform existing conditions survey with photos before mobilization
• Critical: Basement TR includes existing equipment and could remain active during cutover — Document active services, protect-in-place and define cutover/demo sequence
• High: Hazardous material abatement plans exist for basement, first and second levels — Coordinate ACM/lead/abatement review before penetrations, flooring removal or ceiling/wall work
• High: Rated wall/door work and fire/smoke assemblies could affect schedule and acceptance — Verify wall ratings, door/frame rating, penetrations, smoke/fire barriers and access control hardware
• Critical: Dedicated cooling emergency power, controls, condensate and high-temp alarms not verified — Confirm IU/CU assignments, emergency source, BACnet/interface, condensate routing and alarms
• High: Electrical panel/circuit source and rack load coordination unresolved — Verify B09-TRB01A/B, B09-TR104BA/B, B09-TR206AA/B schedules, SPDs, labels and load measurements</t>
  </si>
  <si>
    <t>• B09-Q1 — Confirm final TR scope: B01 basement, 104B first level, and 206A second level? [Open] Impact: Room inventory may miss scope
• B09-Q2 — What active services are currently fed from B01 existing equipment/security/network devices? [Open] Impact: Potential communications/security outage
• B09-Q3 — What hazardous/abatement steps apply to B01, 104B and 206A work areas? [Open] Impact: Work delay or exposure risk
• B09-Q4 — Are IU-0-01/CU-0-1, IU-1-01/CU-1-1 and IU-2-01/CU-2-1 on emergency/backup power? [Open] Impact: Cooling continuity unclear
• B09-Q5 — Where are clean-agent/CO2 extinguisher cabinets located within 75 ft of each TR? [Open] Impact: Life safety acceptance risk
• B09-Q6 — Are all B09 panelboard sources, circuits, SPDs, rack receptacles and load measurements approved? [Open] Impact: Electrical readiness unknown</t>
  </si>
  <si>
    <t>• Attic-level TR requires verification of sprinkler/fire alarm modifications, clean-agent 2A:10B:C FEC within 75 ft, rated penetrations and temporary firestopping.
• Electrical work may require penetrations or shutdowns; verify firestopping and protection-in-place.
• Emergency electrical room coordination; verify no unsealed penetrations or life-safety impairment.</t>
  </si>
  <si>
    <t>• Mechanical/electrical drawings identify IU-1-01 in Telecom Room 200A and CU-1-01 outdoor unit; verify capacity, emergency power, condensate route, BACnet adapter and high-temp alarm.
• No dedicated TR cooling scope; verify electrical room ventilation is not impacted by new work.
• No dedicated TR cooling scope; verify emergency electrical room ventilation is not impacted.</t>
  </si>
  <si>
    <t>• Electrical schedule identifies B10-TR200AA/AB in Telecom Room 200A with rack receptacles, TR receptacles, lighting, access controller, CU-1-01 and SPD requirements; verify source and labels.
• Basement normal electrical source; verify load measurement, new breakers/feeders, panel access, LOTO and shutdown sequencing.
• Emergency source coordination; verify generator/ATS feed to TR critical loads and cooling where required.</t>
  </si>
  <si>
    <t>• 10T sheets show attic telecom plan/rack elevations; provide 4-post racks, UPS, redundant PDUs, switches, Cat6A patch panels, Fiber LIU, bonding/grounding, labeling, testing and VA acceptance before cutover.
• Coordinate telecom power pathways through/source from basement electrical room if applicable.
• Coordinate emergency source/backup power pathways for telecom equipment and cooling.</t>
  </si>
  <si>
    <t>• General scope requires PACS/CCTV for TR doors; verify door hardware, access controller, camera/VMS integration and any existing attic access/security constraints.
• Verify security impact only if electrical source room access or devices are modified.
• Verify emergency electrical room security impact if work requires access control changes.</t>
  </si>
  <si>
    <t>• High: Attic Telecom Room existing conditions and access not field verified — Survey Room 200A, attic access route, existing rack/equipment, floor/deck conditions, clearances and utilities
• High: Hazardous material abatement plan exists for attic level — Coordinate attic abatement/IH review before penetrations, ceiling/floor work, cabling or HVAC/electrical installation
• Critical: Existing wall-mounted rack/equipment may remain active during cutover — Document active services, protect in place and develop night-shift cutover/temporary rack plan
• Critical: Dedicated cooling emergency power, condensate, BACnet and alarms not verified — Confirm IU-1-01/CU-1-01 capacity, power source, condensate routing, BACnet adapter, thermostat and high-temp alarm
• Critical: Panel source, generator/ATS path and shutdown sequencing unclear — Verify B10-MDP, B10-L10-E, ATS-B10-LSD, panel feeders, load measurement and LOTO before electrical work
• Critical: Fire alarm/sprinkler/firestopping work in attic TR could affect occupied operations — Track impairments, fire watch, sprinkler/head changes, FA device work, rated penetrations and temporary firestopping</t>
  </si>
  <si>
    <t>• B10-Q1 — Confirm final scope: attic Telecom Room 200A only, with basement electrical source coordination in B24/B25? [Open] Impact: Room inventory could miss scope
• B10-Q2 — What active services are currently fed from the existing wall-mounted rack/equipment in Room 200A? [Open] Impact: Potential communications outage
• B10-Q3 — What attic hazardous material/abatement steps apply before cabling, penetrations, HVAC or electrical work? [Open] Impact: Work delay/exposure risk
• B10-Q4 — Is IU-1-01/CU-1-01 on emergency/backup power and does it serve Room 200A only? [Open] Impact: Cooling continuity unclear
• B10-Q5 — Where is the clean-agent/CO2 extinguisher cabinet located within 75 ft of Room 200A? [Open] Impact: Life-safety acceptance risk
• B10-Q6 — Are B10-TR200AA/AB, B10-MDP, B10-L10-E and ATS-B10-LSD source circuits/load measurements approved? [Open] Impact: Electrical readiness unknown</t>
  </si>
  <si>
    <t>• No fire protection drawing package beyond general notes; verify penetrations/firestopping for fiber pull-through route.
• No new TR/FEC shown; verify no rated assemblies are compromised by fiber pathway work.</t>
  </si>
  <si>
    <t>• No HVAC drawing package for Building 12; fiber-only scope does not indicate new cooling equipment.
• Field verify existing environmental conditions only if existing service point/equipment is accessed.</t>
  </si>
  <si>
    <t>• No electrical drawing package for Building 12; no new panel/UPS/PDU/rack receptacle scope shown.
• Confirm whether any existing equipment is touched. Scope appears limited to fiber pull-through and testing/labeling.</t>
  </si>
  <si>
    <t>• Building 12 receives fiber only. Verify pull-through path on basement/first/second telecom plans, redundant Path A/B fiber, pathway capacity, grounding/bonding where applicable, labeling and testing.
• 12T-604 shows rack number 00/room 00 and notes fiber-only with no mounting type; verify existing service/termination point and whether fiber passes through only.</t>
  </si>
  <si>
    <t>• No new TR door or PACS/CCTV package shown for Building 12; verify security access only for work areas and existing equipment rooms.
• Confirm access requirements to existing closet/demarc while protecting active operations.</t>
  </si>
  <si>
    <t>• High: Fiber-only scope could be mistaken for full TR scope or skipped as minor work — Clearly tag Building 12 as fiber-only and verify required fiber path, testing, labels and acceptance deliverables
• High: Existing pull-through pathway not field verified — Trace basement/first/second level pathway, conduit/cable tray capacity, pull points and access before scheduled pull
• Critical: Existing service continuity during fiber pull/cutover may not be defined — Coordinate with VA OIT, submit phasing/cutover plan, and maintain legacy service until new fiber is tested and accepted
• High: Pathway penetrations/firestopping may be overlooked because there is no architectural/FP package — Inspect all new/reused penetrations and require permanent or temporary firestopping at end of shift
• Medium: Existing termination/demarc location and ownership unclear — Field document existing rack/demarc/serving closet and confirm where new fiber terminates or passes through
• High: Test reports, labels and as-builts may be incomplete for fiber-only work — Track fiber OTDR/certification, labeling, route documentation and VA/OIT acceptance before closeout</t>
  </si>
  <si>
    <t>• B12-Q1 — Confirm Building 12 scope is fiber-only with no new TR, no new rack, no new electrical, HVAC, fire protection, PACS or CCTV work? [Open] Impact: Scope misunderstanding
• B12-Q2 — What exact pathway does the Building 12 fiber take through basement, first and second levels? [Open] Impact: Fiber pull and access risk
• B12-Q3 — Where does the Building 12 fiber terminate, and is the existing rack/demarc/closet to be touched? [Open] Impact: Termination and ownership unclear
• B12-Q4 — Are existing conduits/cable trays available and below fill limits for the new fiber? [Open] Impact: Pathway capacity risk
• B12-Q5 — Are there any floor/rated wall penetrations requiring firestop or temporary firestop during cable pull? [Open] Impact: Life safety/firestop risk
• B12-Q6 — What is the approved cutover/testing/acceptance sequence for Building 12 fiber? [Open] Impact: Possible outage or acceptance delay</t>
  </si>
  <si>
    <t>• Fully sprinklered building; confirm sprinkler/fire alarm modifications, clean-agent 2A:10B:C extinguisher within 75 ft, rated wall/ceiling penetrations, and temporary firestopping during cable pulls.
• Existing tel room; verify fire alarm/sprinkler protection-in-place and seal any removed/reused penetration after cutover.</t>
  </si>
  <si>
    <t>• Mechanical/electrical drawings show IU-1-01 in Telecom Room 124 and CU-1-01 outdoor unit. Confirm capacity, emergency/standby source, BACnet adapter, thermostat/control point, condensate path, disconnects, and high-temperature alarm.
• Existing Tel Room 222 photo/reference notes show existing indoor AC unit; verify whether it remains active, is abandoned, or needs protection during cutover.</t>
  </si>
  <si>
    <t>• Electrical enlarged plans and schedules identify B13-TR124AA/AB, 240V 1-phase UPS circuits, normal/emergency rack power, rack receptacles, TR receptacles, access/security devices, lighting, CU-1-01, and SPD requirements.
• Existing rack/equipment area; verify power source, active equipment, UPS status, and transition requirements before disconnect or removal.</t>
  </si>
  <si>
    <t>• 13T-701 identifies Room 124 schedule: 58 WAO total, 65 active ports per survey, 91 total ports per schedule, and 100 total ports with 10% allowance. New Rack ID TR01-124-1 serves first and second level outlets with Fiber Path A/B.
• Existing Room 222 equipment includes wall-mounted rack, telco patch, plywood backboard, patch panel, security cabinet, and existing AC; verify active services and transfer plan to Room 124.</t>
  </si>
  <si>
    <t>• Electrical enlarged plan shows security/access-control device callouts at Room 124 and 124-CAM-01 camera designation; verify CR/RX/DC/ES/MD devices, controller, camera/VMS integration, and door hardware coordination.
• Existing security cabinet shown in Tel Room 222; verify whether security equipment remains, is relocated, or requires temporary protection during cutover.</t>
  </si>
  <si>
    <t>• High: Existing conditions for Room 124 and existing Tel Room 222 not field verified — Perform existing conditions survey with photos before mobilization
• High: First-level hazardous material abatement plan exists — Coordinate IH/abatement review before wall, floor, ceiling, conduit, or penetration work
• Critical: Existing Tel Room 222 equipment may remain active during cutover — Document active services, protect in place, identify owner/OIT cutover windows, and preserve rollback path
• Critical: Dedicated cooling emergency power, condensate, BACnet and alarms not verified — Confirm IU-1-01/CU-1-01 power source, condensate route, controls, BACnet adapter, thermostat and high-temp alarm
• High: 240V UPS/PDU and panel source coordination could delay energization — Verify B13-TR124AA/AB schedules, breakers, receptacles, SPD, labels, load measurement, normal/emergency source and LOTO needs
• High: Rated wall/door/firestop scope may affect life-safety acceptance — Inspect 1-hour wall/smoke barrier conditions, rated door/frame, penetrations, FEC location, temporary firestopping and final UL systems</t>
  </si>
  <si>
    <t>• B13-Q1 — Confirm final telecom scope: new Room 124 and existing Tel Room 222 transition only? [Open] Impact: Room inventory could miss scope
• B13-Q2 — What active services are currently fed from existing Tel Room 222 equipment? [Open] Impact: Potential communications/security outage
• B13-Q3 — What hazardous/abatement steps apply to first-level Room 124 work? [Open] Impact: Work delay or exposure risk
• B13-Q4 — Is IU-1-01/CU-1-01 on emergency/backup power and dedicated to Room 124? [Open] Impact: Cooling continuity unclear
• B13-Q5 — Where is the clean-agent/CO2 extinguisher cabinet located within 75 ft of Room 124? [Open] Impact: Life-safety acceptance risk
• B13-Q6 — Are B13-TR124AA/AB sources, rack receptacles, SPDs, circuit labels and load measurements approved? [Open] Impact: Electrical readiness unknown</t>
  </si>
  <si>
    <t>• Fully sprinklered building; confirm sprinkler/fire alarm modifications, clean-agent 2A:10B:C extinguisher within 75 ft, rated wall/ceiling penetrations, and temporary firestopping during cable pulls.
• Existing basement tel room; verify fire alarm/sprinkler protection-in-place and seal any removed/reused penetration after cutover.
• Existing basement telecom room; verify no unsealed penetrations remain after cable transfer or reuse.</t>
  </si>
  <si>
    <t>• Mechanical/electrical drawings show IU-1-01 in Telecom Room 119 and CU-1-01 outdoor unit. Confirm capacity, emergency/standby source, BACnet adapter, thermostat/control point, condensate path, disconnects, and high-temperature alarm.
• Existing Tel/F Panel room; verify existing environmental conditions during cutover and whether legacy equipment remains active.
• Existing telecom room reference; field verify cooling/ventilation and active equipment condition.</t>
  </si>
  <si>
    <t>• Electrical plan/schedules identify B14-TR119A/B, 240V rack UPS requirements, normal/emergency rack power, rack receptacles, TR receptacles, lighting, CU-1-01, SPD requirements, and panel load measurement requirements.
• Existing basement wall-mounted TE/equipment area; verify power source, active equipment, UPS/PDU status, and transition requirements before disconnect or removal.
• Existing telecom room photo reference; confirm power sources and any cutover requirements.</t>
  </si>
  <si>
    <t>• 14T-701 identifies Room 119 schedule: 44 WAO total, 29 active ports per survey, 76 total ports per schedule, and 84 total ports with 10% allowance. New Rack ID TR01-119-1 serves first and second level outlets with Fiber Path A/B.
• Existing Room B.01 equipment includes wall-mounted TE, Cisco switch/legacy patch panel, telco patch, plywood backboards, and legacy Fiber LIU; verify active services and transfer plan to Room 119.
• Existing basement telecom room B2 is identified by photo reference; verify active devices, routing, and relation to B.01.</t>
  </si>
  <si>
    <t>• Telecom/electrical plans show 119-CAM-01 and security/access-control scope for Room 119; verify CR/RX/DC/ES/MD devices, controller, camera/VMS integration, and door hardware coordination.
• Verify whether existing security equipment remains, is relocated, or requires temporary protection during cutover.
• Verify security/access conditions and whether any legacy security equipment is present.</t>
  </si>
  <si>
    <t>• High: Existing conditions for Room 119 and existing basement telecom rooms B.01/B2 not field verified — Perform existing conditions survey with photos before mobilization
• High: First-level hazardous material abatement plan exists — Coordinate IH/abatement review before wall, floor, ceiling, conduit, or penetration work
• Critical: Existing basement telecom equipment may remain active during cutover — Document active services, protect in place, identify owner/OIT cutover windows, and preserve rollback path
• Critical: Dedicated cooling emergency power, condensate, BACnet and alarms not verified — Confirm IU-1-01/CU-1-01 power source, condensate route, controls, BACnet adapter, thermostat and high-temp alarm
• High: 240V UPS/PDU and panel source coordination could delay energization — Verify B14-TR119A/B schedules, breakers, receptacles, SPD, labels, load measurement, normal/emergency source and LOTO needs
• High: Rated wall/door/firestop scope may affect life-safety acceptance — Inspect 1-hour wall/smoke barrier conditions, rated door/frame, penetrations, FEC location, temporary firestopping and final UL systems</t>
  </si>
  <si>
    <t>• B14-Q1 — Confirm final telecom scope: new Room 119 and existing basement B.01/B2 transition only? [Open] Impact: Room inventory could miss scope
• B14-Q2 — What active services are currently fed from existing B.01/B2 equipment? [Open] Impact: Potential communications/security outage
• B14-Q3 — What hazardous/abatement steps apply to first-level Room 119 work? [Open] Impact: Work delay or exposure risk
• B14-Q4 — Is IU-1-01/CU-1-01 on emergency/backup power and dedicated to Room 119? [Open] Impact: Cooling continuity unclear
• B14-Q5 — Where is the clean-agent/CO2 extinguisher cabinet located within 75 ft of Room 119? [Open] Impact: Life-safety acceptance risk
• B14-Q6 — Are B14-TR119A/B sources, rack receptacles, SPDs, circuit labels and load measurements approved? [Open] Impact: Electrical readiness unknown</t>
  </si>
  <si>
    <t>• Fully sprinklered building; confirm sprinkler/fire alarm modifications, clean-agent 2A:10B:C extinguisher within 75 ft, rated wall/ceiling penetrations, and temporary firestopping during cable pulls.
• Existing tel room; verify fire alarm/sprinkler protection-in-place and seal any removed/reused penetration after cutover.
• Existing basement telecom/crossover room; verify no unsealed penetrations remain after cable transfer or reuse.</t>
  </si>
  <si>
    <t>• Mechanical/electrical drawings show IU-1-01 in Telecom Room 124A and CU-1-01 outdoor heat-pump/A/C unit. Confirm capacity, emergency/standby source, BACnet adapter, thermostat/control point, condensate path, disconnects, and high-temperature alarm.
• Existing Tel Room 222 is shown with existing/remain indoor AC unit; verify whether it remains active, is abandoned, or needs protection during cutover.
• Existing basement telecom/crossover space; verify environmental conditions and whether active equipment remains during cutover.</t>
  </si>
  <si>
    <t>• Electrical enlarged plans and schedules identify B15-TR124AA/AB, 240V rack UPS requirements, normal/emergency rack power, rack receptacles, TR receptacles, lighting, CU-1-01, SPD requirements, and 30-day load measurement requirements.
• Existing rack/equipment area; verify power source, active equipment, APC floor UPS status, and transition requirements before disconnect or removal.
• Existing B-01 crossover; verify power sources and cutover needs for legacy patch panel/crossover.</t>
  </si>
  <si>
    <t>• 15T-701 identifies Room 109A schedule but field plan/electrical room callouts identify Telecom Room 124A; schedule has 62 WAO total, 76 active ports per survey, 101 total ports per schedule, and 111 total ports with 10% allowance. New Rack ID TR15-109A-01 serves basement, first and second level outlets.
• Existing Room 222 equipment includes wall/wall-mounted TE, Cisco switches, legacy 48-port patch panels, ground bar, plywood backboard, security cabinet, and floor UPS; verify active services and transfer plan to Room 124A.
• Existing B-01 crossover includes legacy 24-port patch panel; verify active devices, routing, and relation to Room 222 and Room 124A.</t>
  </si>
  <si>
    <t>• Telecom/electrical plans show 124A-CAM-1 and security/access-control scope for Room 124A; verify CR/RX/DC/ES/MD devices, controller, camera/VMS integration, and door hardware coordination.
• Existing security cabinet shown in Tel Room 222; verify whether security equipment remains, is relocated, or requires temporary protection during cutover.
• Verify security/access conditions and whether any legacy security equipment is present.</t>
  </si>
  <si>
    <t>• High: Existing conditions for Room 124A and existing telecom rooms 222/B01 not field verified — Perform existing conditions survey with photos before mobilization
• High: First-level hazardous material abatement plan exists — Coordinate IH/abatement review before wall, floor, ceiling, conduit, or penetration work
• Critical: Existing telecom equipment may remain active during cutover — Document active services, protect in place, identify owner/OIT cutover windows, and preserve rollback path
• Critical: Dedicated cooling emergency power, condensate, BACnet and alarms not verified — Confirm IU-1-01/CU-1-01 power source, condensate route, controls, BACnet adapter, thermostat and high-temp alarm
• High: 240V UPS/PDU and panel source coordination could delay energization — Verify B15-TR124AA/AB schedules, breakers, receptacles, SPD, labels, load measurement, normal/emergency source and LOTO needs
• High: Rated wall/door/firestop scope may affect life-safety acceptance — Inspect 1-hour wall/smoke barrier conditions, rated door/frame, penetrations, FEC location, temporary firestopping and final UL systems</t>
  </si>
  <si>
    <t>• B15-Q1 — Confirm final telecom scope: new Room 124A and existing Rooms 222/B01 transition only? [Open] Impact: Room inventory could miss scope
• B15-Q2 — Why does 15T-701 reference RM 109A while plans and electrical schedules identify Telecom Room 124A? [Open] Impact: Room naming mismatch could affect PMIS tracking
• B15-Q3 — What active services are currently fed from existing Room 222 and B01 equipment? [Open] Impact: Potential communications/security outage
• B15-Q4 — What hazardous/abatement steps apply to first-level Room 124A work? [Open] Impact: Work delay or exposure risk
• B15-Q5 — Is IU-1-01/CU-1-01 on emergency/backup power and dedicated to Room 124A? [Open] Impact: Cooling continuity unclear
• B15-Q6 — Where is the clean-agent/CO2 extinguisher cabinet located within 75 ft of Room 124A? [Open] Impact: Life-safety acceptance risk</t>
  </si>
  <si>
    <t>• Fully sprinklered building; confirm sprinkler/fire alarm modifications, clean-agent 2A:10B:C extinguisher within 75 ft, rated wall/ceiling/floor penetrations, and temporary firestopping during cable pulls.
• Existing telecom room; verify fire alarm/sprinkler protection-in-place and seal any removed/reused penetration after cutover.</t>
  </si>
  <si>
    <t>• Mechanical/electrical drawings show IU-1-01 in Telecom Room 015 and CU-1-01 outdoor unit. Confirm capacity, emergency/standby source, BACnet adapter, thermostat/control point, condensate path, disconnects, and high-temperature alarm.
• Existing Telecom Room 014; verify existing environmental conditions during cutover and whether legacy equipment remains active.</t>
  </si>
  <si>
    <t>• Electrical plans/schedules identify B16-TR015A/B, 240V rack UPS requirements, rack receptacles, TR receptacles, lighting, access controller, CU-1-01, SPD requirements, existing panel demolition/replacement, and 30-day load measurement requirements.
• Existing rack/equipment area; verify power source, active equipment, UPS status, and transition requirements before disconnect or removal.</t>
  </si>
  <si>
    <t>• 16T-701 identifies Room 015-A schedule: 25 WAO total, 25 active ports per survey, 36 total ports per schedule, and 40 total ports with 10% allowance. New Rack ID TR01-015-A-1 serves basement, first, second and attic level outlets.
• Existing Room 014 equipment includes wall/TE rack, floor-mounted UPS, Cisco switch, legacy 12-port modular patch panel and Fiber LIU; verify active services and transfer plan to Room 015.</t>
  </si>
  <si>
    <t>• Telecom/electrical plans show 015-CAM-1 and security/access-control scope for Room 015; verify CR/RX/DC/ES/MD devices, controller, camera/VMS integration, and door hardware coordination.
• Existing security cabinet shown in Room 014; verify whether security equipment remains, is relocated, or requires temporary protection during cutover.</t>
  </si>
  <si>
    <t>• High: Existing conditions for Room 015 and existing Telecom Room 014 not field verified — Perform existing conditions survey with photos before mobilization
• Critical: Existing telecom equipment may remain active during cutover — Document active services, protect in place, identify owner/OIT cutover windows, and preserve rollback path
• High: Basement TR buildout may conflict with existing utilities, water heater/stair/storage conditions and pathway routing — Survey adjacent Water Heater 010, Vacant 011/012/013, Stair 014, pathway/ductbank routing, and constructability constraints
• Critical: Dedicated cooling emergency power, condensate, BACnet and alarms not verified — Confirm IU-1-01/CU-1-01 power source, condensate route, controls, BACnet adapter, thermostat and high-temp alarm
• High: 240V UPS/PDU and panel source coordination could delay energization — Verify B16-TR015A/B schedules, breakers, receptacles, SPD, labels, load measurement, normal/emergency source and LOTO needs
• High: Rated wall/door/firestop scope may affect life-safety acceptance — Inspect 1-hour wall/smoke barrier conditions, rated door/frame, penetrations, FEC location, temporary firestopping and final UL systems</t>
  </si>
  <si>
    <t>• B16-Q1 — Confirm final telecom scope: new Room 015 and existing Room 014 transition only? [Open] Impact: Room inventory could miss scope
• B16-Q2 — What active services are currently fed from existing Room 014 equipment? [Open] Impact: Potential communications/security outage
• B16-Q3 — Is IU-1-01/CU-1-01 on emergency/backup power and dedicated to Room 015? [Open] Impact: Cooling continuity unclear
• B16-Q4 — Where is the clean-agent/CO2 extinguisher cabinet located within 75 ft of Room 015? [Open] Impact: Life-safety acceptance risk
• B16-Q5 — Are B16-TR015A/B sources, rack receptacles, SPDs, circuit labels and load measurements approved? [Open] Impact: Electrical readiness unknown
• B16-Q6 — Which existing panel/circuit breaker/feeder demolition and replacement affects Room 015 telecom power? [Open] Impact: Panel outage/cutover risk</t>
  </si>
  <si>
    <t>• Fully sprinklered building; confirm sprinkler/fire alarm modifications, clean-agent 2A:10B:C extinguisher within 75 ft, rated wall/ceiling/floor penetrations, and temporary firestopping during cable pulls.
• Existing telecom closet; verify fire alarm/sprinkler protection-in-place and seal any removed/reused penetration after cutover.
• Verify firestopping at pathway penetrations between Building 17 and Building 29 and any rated floor/wall assemblies.</t>
  </si>
  <si>
    <t>• Mechanical/electrical drawings show IU-1-01 in Telecom Room 118 and CU-1-01 outdoor unit. Confirm capacity, emergency/standby source, BACnet adapter, thermostat/control point, condensate path, disconnects, and high-temperature alarm.
• Existing B35A is shown with existing indoor AC unit; verify whether it remains active, is abandoned, or needs temporary protection during cutover.
• No dedicated cooling expected for pathway; verify any equipment cabinets or active service locations in Building 29 if applicable.</t>
  </si>
  <si>
    <t>• Electrical plans/schedules identify B17-TR118A fed from BUS-B17-NPB1-R and B17-TR118B fed from BUS-B17-EQDP, with TR RM118 rack receptacles, 208V UPS/PDU equipment, CU-1-01, SPD requirements, and 30-day load measurement requirements.
• Existing rack/equipment area; verify active equipment, floor UPS status, source circuits, and transfer requirements before disconnect/removal.
• Verify whether any Building 29 equipment or extension path requires power, grounding, bonding, or labeling tied back to B17 TR 118.</t>
  </si>
  <si>
    <t>• 17_29T-701 identifies Room 118 schedule: 113 WAO total, 67 active ports per survey, 154 total ports per schedule, and 169 total ports with 10% allowance. Rack ID TR17-118-1 serves basement, first, second-level outlets and Building 29 path.
• Existing Room B35A equipment includes SERTEX utility service ports, legacy Ortronics patch panels, Cisco switches, wall-mounted TE, Fiber/legacy equipment, security cabinet, and floor UPS; verify active services and transfer plan to Room 118.
• Building 29 is shown served from B17; verify fiber from Building 17 to Building 29, path to B29 4-inch PVC, outlet labels, test records and as-builts.</t>
  </si>
  <si>
    <t>• Telecom/electrical plans show 118-CAM-01 and security/access-control scope for Room 118; verify CR/RX/DC/ES/MD devices, controller, camera/VMS integration, and door hardware coordination.
• Existing security cabinet shown in B35A; verify whether security equipment remains, is relocated, or requires temporary protection during cutover.
• Verify Building 29 pathway and any security scope tied into B17 TR 118/VMS/PACS.</t>
  </si>
  <si>
    <t>• High: Existing conditions for Room 118, B35A and Building 29 service path not field verified — Perform existing conditions survey with photos before mobilization
• High: First-level hazardous material abatement plan exists — Coordinate IH/abatement review before wall, floor, ceiling, conduit, or penetration work
• Critical: Existing telecom equipment may remain active during cutover — Document active services, protect in place, identify owner/OIT cutover windows, and preserve rollback path
• Critical: Dedicated cooling emergency power, condensate, BACnet and alarms not verified — Confirm IU-1-01/CU-1-01 power source, condensate route, controls, BACnet adapter, thermostat and high-temp alarm
• High: 208V UPS/PDU and panel source coordination could delay energization — Verify B17-TR118A/B schedules, BUS-B17-EQDP, BUS-B17-NPB1-R, rack receptacles, SPD, labels, load measurement and LOTO needs
• High: Cable tray and pathway scope is large and crosses multiple levels/building service boundary — Verify 517 ft cable tray, supports, seismic bracing, 40% fill, path to B29 4-inch PVC, penetrations and labeling before install</t>
  </si>
  <si>
    <t>• B17-Q1 — Confirm final telecom scope: new Room 118, existing B35A, and Building 29 served from B17? [Open] Impact: Room inventory or PMIS mapping could miss scope
• B17-Q2 — What active services are currently fed from existing B35A equipment? [Open] Impact: Potential communications/security outage
• B17-Q3 — What exact Building 29 outlets/devices are served through TR17-118-1? [Open] Impact: Building 29 scope boundary unclear
• B17-Q4 — Is IU-1-01/CU-1-01 on emergency/backup power and dedicated to Room 118? [Open] Impact: Cooling continuity unclear
• B17-Q5 — Where is the clean-agent/CO2 extinguisher cabinet located within 75 ft of Room 118? [Open] Impact: Life-safety acceptance risk
• B17-Q6 — Are B17-TR118A/B sources, rack receptacles, SPDs, circuit labels and load measurements approved? [Open] Impact: Electrical readiness unknown</t>
  </si>
  <si>
    <t>• Fully sprinklered building; confirm sprinkler/fire alarm modifications, clean-agent 2A:10B:C extinguisher within 75 ft, rated wall/ceiling/floor penetrations, and temporary firestopping during cable pulls.
• Existing TE room; verify fire alarm/sprinkler protection-in-place and seal removed/reused penetrations after cutover.
• Existing second-level closet; verify protection-in-place and firestopping after transfer or abandonment.</t>
  </si>
  <si>
    <t>• Mechanical/electrical drawings show IU-1-01 in Telecom Room 110 and CU-1-01 outdoor unit. Confirm capacity, emergency/standby source, BACnet adapter, thermostat/control point, condensate path, disconnects, and high-temperature alarm.
• Existing TE 111B; verify existing environmental conditions during cutover and whether legacy equipment remains active.
• Existing Closet 213; verify existing environmental conditions during cutover and whether legacy equipment remains active.</t>
  </si>
  <si>
    <t>• Electrical plans/schedules identify B18-TR110A/B, 208V rack UPS requirements, rack receptacles, TR receptacles, lighting, CU-1-01, SPD requirements, and telecom panelboard schedule requirements.
• Existing rack/equipment area; verify active equipment, floor UPS status, source circuits, and transfer requirements before disconnect/removal.
• Existing rack/equipment area; verify active equipment, APC UPS status, source circuits, SERTEX utility service and transfer requirements before disconnect/removal.</t>
  </si>
  <si>
    <t>• 18T-701 identifies RM 111A schedule: 86 WAO total, 61 active ports per survey, 122 ports per schedule, and 134 total ports with 10% allowance. New rack elevation is Room 110, 1 rack plus future, with UPS, Future Zone PDU, switches, Cat6A patch panels, Cat5E patch panel and Fiber LIU.
• Existing Room 111B equipment includes wall-mounted rack, plywood backboard, patch panel, security cabinet, floor UPS and 5RU fiber optic housing; verify active services and transfer plan to Room 110.
• Existing Room 213 equipment includes SERTEX utility service ports, Cisco switch, multiple legacy Ortronics patch panels, wall/wall-mount TE and APC floor UPS; verify active services and transfer plan to Room 110.</t>
  </si>
  <si>
    <t>• Telecom/electrical plans show 111A-CAM-01 and security/access-control scope for the new TR area; verify room naming, CR/RX/DC/ES/MD devices, controller, camera/VMS integration, and door hardware coordination.
• Existing security cabinet shown in 111B; verify whether security equipment remains, is relocated, or requires temporary protection during cutover.
• Existing security cabinet shown in 213; verify whether security equipment remains, is relocated, or requires temporary protection during cutover.</t>
  </si>
  <si>
    <t>• High: Existing conditions for Room 110, Room 111B and Room 213 not field verified — Perform existing conditions survey with photos before mobilization
• High: First-level hazardous material / lead-based paint abatement plan exists — Coordinate IH/abatement review before wall, floor, ceiling, conduit, or penetration work
• Critical: Existing telecom equipment may remain active during cutover — Document active services, protect in place, identify owner/OIT cutover windows, and preserve rollback path
• Critical: Dedicated cooling emergency power, condensate, BACnet and alarms not verified — Confirm IU-1-01/CU-1-01 power source, condensate route, controls, BACnet adapter, thermostat and high-temp alarm
• High: 208V UPS/PDU and panel source coordination could delay energization — Verify B18-TR110A/B schedules, rack receptacles, SPD, labels, source circuits and LOTO needs
• High: Cable tray and pathway scope crosses first and second levels — Verify 315 ft cable tray, supports, seismic bracing, 40% fill, penetrations, coordination with lighting/HVAC and labeling before install</t>
  </si>
  <si>
    <t>• B18-Q1 — Confirm final telecom scope: new Room 110 with existing 111B and 213 transition only? [Open] Impact: Room inventory or PMIS mapping could miss scope
• B18-Q2 — Why does 18T-701 reference RM 111A while new rack/electrical plans identify Telecom Room 110? [Open] Impact: Room naming mismatch could affect PMIS tracking
• B18-Q3 — What active services are currently fed from existing 111B and 213 equipment? [Open] Impact: Potential communications/security outage
• B18-Q4 — Is IU-1-01/CU-1-01 on emergency/backup power and dedicated to Room 110? [Open] Impact: Cooling continuity unclear
• B18-Q5 — Where is the clean-agent/CO2 extinguisher cabinet located within 75 ft of Room 110? [Open] Impact: Life-safety acceptance risk
• B18-Q6 — Are B18-TR110A/B sources, rack receptacles, SPDs, circuit labels and load measurements approved? [Open] Impact: Electrical readiness unknown</t>
  </si>
  <si>
    <t>• Cover sheet states Building 20 receives a Telecom Enclosure and mechanical/fire protection scope is excluded. Still verify firestopping of rated penetrations, 4-inch sleeve, wall/floor openings, and any life-safety device impacts.
• Existing closet; verify protection-in-place and firestopping after cable transfer or reuse.</t>
  </si>
  <si>
    <t>• Cover sheet states mechanical scope is excluded. Verify whether Office 1B ambient conditions are acceptable for wall-mount TE/UPS/PDU/network equipment.
• Existing Tel/Data Closet 8A includes indoor AC unit to remain/protect in place; verify operation during cutover and whether equipment remains after transition.</t>
  </si>
  <si>
    <t>• 20T-701 new enclosure elevation shows APC UPS, two PDU L5-30 input / NEMA 5-20 output units, 120V outlet UPS, 120V outlet PDU, network switch, 48-port Cat6A patch panel and Fiber LIU. Verify circuit source, receptacle type, grounding/bonding and labels.
• Existing 8A elevation shows UPS on ground, legacy patch equipment and Fiber LIU on wall; verify source circuits, UPS status, and transition requirements before disconnect/removal.</t>
  </si>
  <si>
    <t>• 20T-701 identifies TE01-1B-1: 21 WAO total, 24 active ports per survey, 30 ports per schedule, 33 total ports with 10% allowance. Provide new wall-mount TE cabinet and 10 new Cat6A cross-connect cables from existing TE to new TE location.
• Existing Tel/Data Closet 8A contains open TE cabinet, ground bar, patch panel, equipment box, indoor AC unit, plywood backboard, BIX blocks, Cisco switch, legacy 48-port patch panel and Fiber LIU. Field verify all active services.</t>
  </si>
  <si>
    <t>• Building 20 does not appear to create a new TR door/PACS package. Verify any existing cameras/security devices in Office 1B and ensure no camera angle or VMS integration is disrupted.
• Keynotes indicate existing cameras are to be retained and re-used/protected in place; verify existing security equipment and cabinet impacts during cutover.</t>
  </si>
  <si>
    <t>• High: Existing conditions for new Office 1B TE and existing Tel/Data Closet 8A not field verified — Perform existing conditions survey with photos before mobilization
• Critical: Existing equipment in 8A may remain active during transfer to new TE in 1B — Document active services, protect in place, identify OIT cutover windows, phasing, rollback path and temporary utilities
• Medium: Room naming and TE designation could cause PMIS mapping confusion — Track as Building 20 / Office 1B / TE01-1B-1 and link existing Room 8A as transition point
• High: No mechanical scope, but TE/UPS/network equipment may add heat load to Office 1B — Verify heat load, office ventilation, equipment clearances and owner acceptance before energizing enclosure
• High: UPS/PDU/receptacle source and grounding/bonding not verified — Verify circuit source, receptacle type, UPS/PDU load, grounding bar, bonding and labels
• High: 459 feet of cable tray/pathway requires coordination despite small port count — Verify route, supports, seismic bracing, 40% fill, penetrations, light fixtures and coordination drawings before install</t>
  </si>
  <si>
    <t>• B20-Q1 — Confirm final scope: new wall-mount TE enclosure in Office 1B and existing Tel/Data Closet 8A transition only? [Open] Impact: Room inventory or PMIS mapping could miss scope
• B20-Q2 — What active services are currently fed from existing 8A open TE cabinet and related equipment? [Open] Impact: Potential communications/security outage
• B20-Q3 — What is the approved power source, receptacle type and circuit capacity for the new APC UPS/PDU in Office 1B? [Open] Impact: Electrical readiness unknown
• B20-Q4 — Is Office 1B HVAC/ambient condition acceptable for a wall-mount TE with UPS/PDU/network switch? [Open] Impact: Heat/load risk after mechanical scope excluded
• B20-Q5 — Are existing cameras/security devices in Building 20 protected and retained with no VMS/PACS changes? [Open] Impact: Security continuity unclear
• B20-Q6 — Are all 459 feet of cable tray route, sleeves, supports and firestopping details field verified? [Open] Impact: Install delay or firestop gap</t>
  </si>
  <si>
    <t>• Cover sheet states Building 21_19 receives a Telecom Enclosure and fire protection scope is excluded. Still verify firestopping of rated penetrations, 4-inch sleeve, wall/floor openings, and any life-safety device impacts.
• Existing B21 basement TR; verify protection-in-place and firestopping after cable transfer or reuse.
• Existing B19 B05TR; verify protection-in-place and firestopping after cable transfer or reuse.</t>
  </si>
  <si>
    <t>• Mechanical sheets exist in index. Verify whether new TE heat load in Office 100A is supported by existing/new HVAC and whether any mechanical scope applies despite TE designation.
• Existing B21 B1.TR; verify environmental conditions during cutover and whether legacy equipment remains active.
• Existing B19 B05TR; verify environmental conditions and whether equipment remains active during/after Building 21 transfer.</t>
  </si>
  <si>
    <t>• 21_19T-604 new enclosure elevation shows APC UPS, two PDU L5-30 input / NEMA 5-20 output units, 120V outlet UPS, 120V outlet PDU, network switches, 48-port Cat6A patch panel and Fiber LIU. Verify circuit source, receptacle type, grounding/bonding and labels.
• Existing B21 B1.TR elevation shows UPS on ground, Cisco switch, legacy patch panels and Fiber LIU; verify source circuits, UPS status, and transition requirements.
• Existing B19 B05TR elevations show APC floor UPS, legacy patch panels, Cisco switch and Fiber LIU; verify power source, active equipment and transfer/retention requirements.</t>
  </si>
  <si>
    <t>• 21_19T-701 identifies RM 104 schedule: 90 WAO total, 67 active ports per survey, 119 ports per schedule, and 131 total ports with 10% allowance. 659 ft cable tray total: 63 ft basement and 596 ft first level.
• Existing B21 B1.TR equipment includes multiple legacy patch panels, Cisco switch, UPS on ground, Fiber LIU and APC floor UPS; verify active services and transfer plan to new TE.
• Existing B19 B05TR equipment includes legacy Ortronics patch panels, Cisco switch, Fiber LIU and APC floor UPS; verify active services and whether B19/B21 devices are served from new enclosure.</t>
  </si>
  <si>
    <t>• Building 21_19 appears to create a TE enclosure rather than a full TR door/PACS package. Verify any existing cameras/security devices in Room 100A and ensure no camera angle or VMS integration is disrupted.
• Verify any existing security device/cabinet impacts during cutover.
• Verify existing security/camera protection-in-place and any impact from B19/B21 shared telecom equipment.</t>
  </si>
  <si>
    <t>• High: Existing conditions for new 100A TE, B21 B1.TR and B19 B05TR not field verified — Perform existing conditions survey with photos before mobilization
• Critical: Existing equipment may remain active during transfer to new TE enclosure — Document active services, protect in place, identify OIT cutover windows, phasing, rollback path and temporary utilities
• High: Room naming mismatch: schedule says RM 104 / TR01-104-1 while plan/enlarged view identifies Room 100A — Track PMIS as Building 21 / Room 100A / Schedule RM 104 / Rack ID TR01-104-1 and confirm with designer
• High: B19/B21 combined package may blur scope boundary and ownership of ports — Separate Building 21 work, Building 19 transition work, and shared service/cross-connect items in PMIS notes
• High: UPS/PDU/receptacle source and grounding/bonding not verified — Verify circuit source, receptacle type, UPS/PDU load, grounding bar, bonding and labels
• High: 659 feet of cable tray/pathway requires coordination and firestop tracking — Verify route, supports, seismic bracing, 40% fill, penetrations, light fixtures and coordination drawings before install</t>
  </si>
  <si>
    <t>• B21-Q1 — Confirm final scope: new TE enclosure at Room 100A/RM 104 and existing B21 B1.TR plus B19 B05TR transition? [Open] Impact: Room inventory or PMIS mapping could miss scope
• B21-Q2 — Why does 21_19T-701 list RM 104 / TR01-104-1 while enlarged plan identifies Room 100A? [Open] Impact: Room naming mismatch could affect PMIS tracking
• B21-Q3 — What active services are currently fed from existing B21 B1.TR and B19 B05TR equipment? [Open] Impact: Potential communications/security outage
• B21-Q4 — What exactly is meant by '19 serving 21' on the new TE enclosure elevation? [Open] Impact: Building 19/21 boundary unclear
• B21-Q5 — What is the approved power source, receptacle type and circuit capacity for the new APC UPS/PDU in 100A? [Open] Impact: Electrical readiness unknown
• B21-Q6 — Are all 659 ft of cable tray route, sleeves, supports and firestopping details field verified? [Open] Impact: Install delay or firestop gap</t>
  </si>
  <si>
    <t>• Cover sheet states Building 22 receives a Telecom Enclosure and mechanical/fire protection scope is excluded. Still verify firestopping of rated penetrations, 4-inch sleeve, wall/floor openings, and life-safety device impacts.
• Existing TE room; verify protection-in-place and firestopping after cable transfer or reuse.</t>
  </si>
  <si>
    <t>• Cover sheet states mechanical scope is excluded. Verify whether Break Room 102 ambient conditions are acceptable for wall-mount TE/UPS/PDU/network equipment.
• Existing Room 103 equipment area; verify existing environmental conditions during cutover and whether legacy equipment remains active.</t>
  </si>
  <si>
    <t>• 22T-701 new enclosure elevation shows APC UPS, two PDU L5-30 input / NEMA 5-20 output units, 120V outlet UPS, 120V outlet PDU, network switch, 48-port Cat6A patch panel and Fiber LIU. Verify circuit source, receptacle type, grounding/bonding and labels.
• Existing 103 elevation shows APC UPS, Cisco switch, SERTEX utility service, legacy patch equipment and Fiber LIU on wall; verify source circuits, UPS status, and transition requirements before disconnect/removal.</t>
  </si>
  <si>
    <t>• 22T-701 identifies TR01-102-1: 6 WAO total, 96 WAO available, 93% expansion capacity, 7 total port quantities, and 8 total ports with 10% allowance. Provide new wall-mount 12RU TE cabinet and 10 new Cat6A cross-connect cables from existing TE to new TE location.
• Existing Room 103 contains APC UPS, Cisco switch, SERTEX utility service, legacy Ortronics 24-port patch panel, Fiber LIU on wall and ports 1-24 to Bldg 19 ports 73-96. Field verify all active services and B19 handoff.</t>
  </si>
  <si>
    <t>• Building 22 does not appear to create a new full TR door/PACS package. Verify any existing cameras/security devices in Break Room 102 and ensure no camera angle or VMS integration is disrupted.
• Verify security/access conditions and whether any legacy security equipment is present at existing TE location.</t>
  </si>
  <si>
    <t>• High: Existing conditions for new Break Room 102 TE and existing Room 103 TE not field verified — Perform existing conditions survey with photos before mobilization
• Critical: Existing equipment in 103 may remain active during transfer to new TE in 102 — Document active services, protect in place, identify OIT cutover windows, phasing, rollback path and temporary utilities
• Medium: Break Room 102 use may conflict with wall-mount TE access and clearances — Verify wall backing, enclosure clearances, working space, furniture/occupant impacts and owner acceptance
• High: No mechanical scope, but TE/UPS/network equipment may add heat load to Break Room 102 — Verify heat load, room ventilation, equipment clearances and owner acceptance before energizing enclosure
• High: UPS/PDU/receptacle source and grounding/bonding not verified — Verify circuit source, receptacle type, UPS/PDU load, grounding bar, bonding and labels
• High: 139 feet of cable tray/pathway requires coordination despite small port count — Verify route, supports, seismic bracing, 40% fill, penetrations, light fixtures and coordination drawings before install</t>
  </si>
  <si>
    <t>• B22-Q1 — Confirm final scope: new wall-mount TE enclosure in Break Room 102 and existing Room 103 transition only? [Open] Impact: Room inventory or PMIS mapping could miss scope
• B22-Q2 — What active services are currently fed from existing Room 103 equipment? [Open] Impact: Potential communications/security outage
• B22-Q3 — What is the approved power source, receptacle type and circuit capacity for the new APC UPS/PDU in Room 102? [Open] Impact: Electrical readiness unknown
• B22-Q4 — Is Break Room 102 HVAC/ambient condition acceptable for a wall-mount TE with UPS/PDU/network switch? [Open] Impact: Heat/load risk after mechanical scope excluded
• B22-Q5 — Are existing cameras/security devices in Building 22 protected and retained with no VMS/PACS changes? [Open] Impact: Security continuity unclear
• B22-Q6 — Are all 139 feet of cable tray route, sleeves, supports and firestopping details field verified? [Open] Impact: Install delay or firestop gap</t>
  </si>
  <si>
    <t>• Cover sheet states Building 33 receives a Telecom Enclosure and mechanical/fire protection scope is excluded. Still verify firestopping of rated penetrations, 4-inch sleeve, wall/floor openings, and life-safety device impacts.
• Existing Tel Closet; verify protection-in-place and firestopping after cable transfer or reuse.</t>
  </si>
  <si>
    <t>• Cover sheet states mechanical scope is excluded. Verify whether Office B23 ambient conditions are acceptable for wall-mount TE/UPS/PDU/network equipment.
• Existing B17 enlarged plan identifies an existing indoor AC unit. Verify operation during cutover and determine whether active legacy equipment remains after transfer to B23.</t>
  </si>
  <si>
    <t>• 33T-604 new enclosure elevation shows APC UPS, two PDU L5-30 input / NEMA 5-20 output units, 120V outlet UPS, 120V outlet PDU, network switch, 48-port Cat6A patch panel and Fiber LIU. Verify circuit source, receptacle type, grounding/bonding and labels.
• Existing B17 elevations show UPS on floor, Cisco switches, SERTEX utility service, legacy patch panels and Fiber LIU; verify source circuits, UPS status, and transition requirements before disconnect/removal.</t>
  </si>
  <si>
    <t>• 33T-701 identifies TE01-B23-1: 55 WAO total, 34 active ports per survey, 88 total ports per schedule, and 97 total ports with 10% allowance. Basement cable tray schedule totals 102 ft. Provide 10 new Cat6A cross-connect cables from existing TE to new TE location.
• Existing B17 rack elevations include Cisco switches, legacy 24/48-port patch panels, SERTEX utility service, legacy Fiber LIU, passive Fiber LIU/wall mount, UPS on floor and cross-building port references to Bldgs 3, 80 and 82.</t>
  </si>
  <si>
    <t>• Building 33 does not appear to create a new full TR door/PACS package. Verify existing cameras/security devices in B23 and ensure no camera angle or VMS integration is disrupted.
• Existing B17 enlarged plan identifies network door controller, keypad and equipment box; verify protection-in-place and whether any security equipment is relocated or recabled.</t>
  </si>
  <si>
    <t>• High: Existing conditions for new B23 TE and existing B17 Tel Closet not field verified — Perform existing conditions survey with photos before mobilization
• Critical: Existing equipment in B17 may remain active during transfer to new TE in B23 — Document active services, protect in place, identify OIT cutover windows, phasing, rollback path and temporary utilities
• Medium: Office B23 use may conflict with wall-mount TE access and clearances — Verify wall backing, enclosure clearances, working space, furniture/occupant impacts and owner acceptance
• High: No mechanical scope, but TE/UPS/network equipment may add heat load to Office B23 — Verify heat load, room ventilation, equipment clearances and owner acceptance before energizing enclosure
• High: UPS/PDU/receptacle source and grounding/bonding not verified — Verify circuit source, receptacle type, UPS/PDU load, grounding bar, bonding and labels
• High: 102 feet of basement cable tray/pathway requires coordination and firestop tracking — Verify route, supports, seismic bracing, 40% fill, penetrations, light fixtures and coordination drawings before install</t>
  </si>
  <si>
    <t>• B33-Q1 — Confirm final scope: new wall-mount TE enclosure in B23 and existing B17 transition only? [Open] Impact: Room inventory or PMIS mapping could miss scope
• B33-Q2 — What active services are currently fed from existing B17 equipment? [Open] Impact: Potential communications/security outage
• B33-Q3 — What is the approved power source, receptacle type and circuit capacity for the new APC UPS/PDU in B23? [Open] Impact: Electrical readiness unknown
• B33-Q4 — Is Office B23 HVAC/ambient condition acceptable for a wall-mount TE with UPS/PDU/network switch? [Open] Impact: Heat/load risk after mechanical scope excluded
• B33-Q5 — Are existing cameras/security devices in Building 33 protected and retained with no VMS/PACS disruption? [Open] Impact: Security continuity unclear
• B33-Q6 — Are all 102 feet of cable tray route, sleeves, supports and firestopping details field verified? [Open] Impact: Install delay or firestop gap</t>
  </si>
  <si>
    <t>• Dedicated TR scope includes fire protection drawings. Verify sprinkler modifications, fire alarm devices, clean-agent 2A:10B:C FEC within 75 ft, rated penetrations, and temporary firestopping.
• Verify sprinkler/fire alarm modifications, clean-agent FEC location, penetrations, cable tray/riser openings, and final UL firestop systems.
• Verify second-level TR sprinkler/fire alarm modifications, clean-agent FEC location, vertical riser penetrations, and firestopping.
• Existing demarc/server rooms may remain active; verify protection-in-place, FA/FP continuity, and no unsealed penetrations after cabling work.</t>
  </si>
  <si>
    <t>• Mechanical sheets identify dedicated split-system cooling with BACnet adapter mounted adjacent to unit in telecom room. Confirm capacity, emergency source, condensate, disconnect, controls, and alarms.
• Mechanical/electrical plans identify IU-1-01/CU-1-01 for first-level TR. Confirm 24/7 operation, emergency/standby source and high-temp alarm.
• Mechanical/electrical plans identify IU-2-01/CU-2-01 for second-level TR. Confirm refrigerant route, condensate route, controls and alarm tie-in.
• Existing demarc/server equipment likely has existing cooling dependencies. Verify active equipment heat load, airflow, operational temperatures and whether any existing cooling is modified or protected.</t>
  </si>
  <si>
    <t>• Electrical enlarged plans and schedules identify rack receptacles, UPS circuits, PDUs, panelboards, SPD devices and dedicated cooling power for B13H-A. Verify B61-TRB13A/B source, LOTO and labels.
• Electrical schedules identify B61-TR124A/B and rack receptacles. Verify apparent room-name mismatch with RM137B rack receptacles in schedules.
• Electrical schedules identify B61-TR226A/B, rack receptacles, CU-2-01 and SPD requirements. Verify source circuits and labels.
• Existing rack inventory includes APC UPS/PDU and server/demarc equipment. Electrical one-line/schedules list B61-TR137AA/AB and PD-B61-TR137 panels; verify active sources and transition impact.</t>
  </si>
  <si>
    <t>• 61T-701: 88 WAO total, 74 active ports, 129 scheduled ports, 142 with 10% allowance. Rack ID TR01-B13H-A-1. Basement cable tray included in 890 ft basement total.
• 61T-701: first-level Room 124 / Rack ID TR01-124-1. Schedule data runs across first-level outlets. Include labels, Fiber LIU, Cat6A patch panels, UPS/PDU and VA/OIT acceptance.
• 61T-702: 109 WAO total, 126 active ports, 156 scheduled ports, 172 with 10% allowance. Rack ID TR01-226-1. Verify second-level cable tray and riser penetrations.
• 61T-402/606/607 inventory existing demarc/server racks and equipment. Protect active systems, coordinate cutover, preserve labels, document equipment remaining in service.</t>
  </si>
  <si>
    <t>• Telecom plans call for wall-mounted CCTV at TRs and PACS for TR doors. Verify camera, controller, CR/RX/DC/ES/MD, and VMS/PACS integration.
• Verify TR door hardware and access control, CCTV camera, network door controller and integration.
• Verify second-level TR access control, CCTV camera, door hardware, and VMS/PACS integration.
• Existing PACS/equipment racks are referenced. Verify existing security devices protected-in-place and any new recabling or integration scope.</t>
  </si>
  <si>
    <t>• High: Existing conditions and active equipment across B13H-A, 124, 226 and 137/137A not field verified — Perform existing conditions survey with photos and active-service inventory before mobilization
• High: Hazardous material abatement plans exist for first and second levels — Coordinate IH/abatement review before penetrations, wall/ceiling work, cabling or mechanical/electrical installation
• Critical: Existing server/demarc equipment may remain active during cutover — Document active services, service provider circuits, rack inventory, OIT windows, temporary utilities and rollback path
• Critical: Dedicated cooling sequence, emergency power, condensate, BACnet and alarms not verified — Confirm IU/CU-0/1/2 power source, condensate, controls, BACnet adapter, thermostat and high-temp alarm
• Critical: Panel source, UPS/PDU and rack receptacle coordination could delay energization — Verify B61-TRB13A/B, B61-TR124A/B, B61-TR226A/B, B61-TR137AA/AB, PD panels, SPDs and load measurements
• High: Large cable tray scope creates coordination and firestop risk — Verify 1,966 ft cable tray route, supports, seismic bracing, 40% fill, MEP conflicts, sleeves and final firestop assemblies</t>
  </si>
  <si>
    <t>• B61-Q1 — Confirm final telecom room list and PMIS mapping: B13H-A, 124, 226 and existing 137/137A demarc/server rooms? [Open] Impact: Room inventory could miss scope
• B61-Q2 — What active services and circuits are currently housed in Room 137/137A? [Open] Impact: Potential outage/cutover risk
• B61-Q3 — Are B61-TR137AA/AB panel references tied to Room 137 or a schedule naming mismatch for Room 124? [Open] Impact: Electrical PMIS mapping risk
• B61-Q4 — Are IU/CU-0-01, 1-01 and 2-01 on emergency/backup power and dedicated to the TRs they serve? [Open] Impact: Cooling continuity unclear
• B61-Q5 — Where are clean-agent/CO2 FEC cabinets located within 75 ft of each new TR? [Open] Impact: Life-safety acceptance risk
• B61-Q6 — Are rack UPS/PDU circuits, SPDs, labels, load measurements and LOTO requirements approved for all TR panelboards? [Open] Impact: Electrical readiness unknown</t>
  </si>
  <si>
    <t>• Verify</t>
  </si>
  <si>
    <t>• No security / pacs / cctv items captured for this building.</t>
  </si>
  <si>
    <t>• High: Cooling redundancy / emergency power not verified — Confirm power path for cooling, controls, condensate pump
• High: Firestopping condition unknown — Survey penetrations and temporary/permanent firestop plan
• Medium: Existing room conditions undocumented — Create photo record before construction begins
• High: Condensate leak risk near IT equipment — Verify condensate routing and alarms</t>
  </si>
  <si>
    <t>• B62-Q1 — Are cooling units emergency powered? [Open] Impact: Cannot confirm continuity of operations
• B62-Q2 — Are future rack loads included in HVAC sizing? [Open] Impact: Cooling may be undersized after expansion
• B62-Q3 — Is extinguisher location identified within 75 feet? [Open] Impact: Life safety / acceptance risk
• B62-Q4 — Are all penetrations fully documented and firestopped? [Open] Impact: Fire/smoke spread risk</t>
  </si>
  <si>
    <t>• High: Cooling emergency power / continuity not verified — Confirm power path for cooling, controls, BACnet adapter, and condensate pump
• High: 1-hour rated/smoke-rated TR envelope and penetrations not field verified — Survey walls, doors, sleeves, trays, firestop, and head-of-wall conditions
• Medium: Existing basement service conditions may constrain routing and access — Document existing utilities, clearances, and phasing around active systems
• High: Existing TR/service equipment transfer could affect active operations — Require phasing plan and maintain analog/low-voltage systems operational
• High: Condensate leak risk near IT equipment — Verify condensate routing, insulation, pump power, and alarms</t>
  </si>
  <si>
    <t>• B70-Q1 — Are cooling units and controls on emergency/backup power? [Open] Impact: Cannot confirm continuity of operations
• B70-Q2 — Are future rack loads included in HVAC sizing for B27, 125A, and 262A? [Open] Impact: Cooling may be undersized after expansion
• B70-Q3 — Are extinguisher cabinet locations identified within 75 feet of each TR? [Open] Impact: Acceptance / life safety risk
• B70-Q4 — Are all wall/floor penetrations and speed sleeves shown and firestopped? [Open] Impact: Fire/smoke spread risk
• B70-Q5 — What phasing is required to keep existing low-voltage/analog systems operational? [Open] Impact: Potential communications interruption</t>
  </si>
  <si>
    <t>• Full fire protection scope included. Verify sprinkler modifications, fire alarm devices, clean-agent 2A:10B:C FEC within 75 ft, and rated penetrations.
• Verify FP/FA modifications, FEC location, temporary firestopping and final UL systems.
• Verify first-level TR sprinkler/FA work, FEC location and cable tray penetrations.
• Verify second-level TR sprinkler/FA work, FEC location, vertical riser penetrations and firestopping.
• Verify third-level TR fire protection/fire alarm coordination and firestop work.</t>
  </si>
  <si>
    <t>• Mechanical sheets included for basement. Verify dedicated cooling equipment, capacity, condensate, emergency source, controls/BACnet and high-temperature alarm.
• Verify dedicated cooling and relationship to B30/B35 telecom buildout.
• Verify first-level TR cooling, controls, emergency power and alarm tie-in.
• Verify second-level TR cooling, condensate route and 24/7 operation.
• Verify third-level TR cooling and control/alarm integration.</t>
  </si>
  <si>
    <t>• Rack elevations identify new rack UPS/PDU and future rack. Verify panelboard/source, SPD, rack receptacles, PDU feeds, labels, load measurement and LOTO.
• Verify rack UPS/PDU source, spare/future rack provisions and grounding/bonding.
• Verify first-level rack receptacles, UPS/PDU, panel sources, SPDs and labeling.
• Verify second-level rack receptacles, UPS/PDU, panel sources, SPDs and labeling.
• Verify third-level rack receptacles for two racks, UPS/PDU, panel sources and labels.</t>
  </si>
  <si>
    <t>• 78_78AT-701: 210 WAO total, 23 active ports, 311 scheduled ports, 342 with allowance; rack IDs TR01-B30-1/-2. Basement cable tray total 1,702 ft.
• 78_78AT-702: 53 WAO total, 23 active ports, 64 scheduled ports, 70 with allowance. Confirm rack ID/room relation and active services.
• 78_78AT-702/703: 301 WAO total, 388 active ports, 404 scheduled ports, 444 with allowance. Large active port count; high cutover risk.
• 78_78AT-703/704: 256 WAO total, 153 active ports, 348 scheduled ports, 383 with allowance. Verify second-level test records and riser labels.
• 78_78AT-704: 158 WAO total, 163 active ports, 289 scheduled ports, 318 with allowance. Rack IDs TR01-342-1/-2.</t>
  </si>
  <si>
    <t>• TR scope includes wall-mounted CCTV cameras and PACS for TR doors. Verify CR/RX/DC/ES/MD, controller and VMS integration.
• Verify PACS/CCTV integration and door hardware coordination.
• Verify first-level TR PACS/CCTV and VMS integration.
• Verify second-level TR PACS/CCTV and VMS integration.
• Verify third-level TR PACS/CCTV and VMS integration.</t>
  </si>
  <si>
    <t>• High: Existing conditions and active equipment across six TRs and existing telecom rooms not field verified — Perform detailed room-by-room existing condition survey with photos and active-service inventory
• High: Hazardous material abatement plans exist for basement and third level — Coordinate IH/abatement review before penetrations, wall/ceiling work, cabling or MEP installation
• Critical: Existing telecom equipment may remain active during cutover — Document active services, OIT windows, rack inventory, temporary utilities and rollback plan
• Critical: Dedicated cooling sequence, emergency power, condensate and alarms not verified — Confirm HVAC equipment serving each TR, emergency source, condensate, controls/BACnet and high-temp alarms
• Critical: Panel source, UPS/PDU and rack receptacle coordination could delay energization — Verify telecom panelboards, breakers, rack receptacles, UPS/PDU sources, SPDs, labels and LOTO requirements
• High: Large cable tray scope creates coordination and firestop risk — Verify 4,849 ft cable tray route, supports, seismic bracing, 40% fill, MEP conflicts, sleeves and final firestop assemblies</t>
  </si>
  <si>
    <t>• B78-Q1 — Confirm final telecom room list and PMIS mapping: B30, B35, 1232, 227A, 342, 401 plus existing rooms 15E/1234/353/308A/408A? [Open] Impact: Room inventory could miss scope
• B78-Q2 — What active services currently remain in each existing telecom room/photo reference location? [Open] Impact: Potential outage/cutover risk
• B78-Q3 — Are Room 1232 and existing Room 1234 separate rooms or naming/mapping references for the same telecom space? [Open] Impact: PMIS mapping risk
• B78-Q4 — Which dedicated cooling units serve each TR and are they on emergency/backup power? [Open] Impact: Cooling continuity unclear
• B78-Q5 — Where are clean-agent/CO2 FEC cabinets located within 75 ft of each new TR? [Open] Impact: Life-safety acceptance risk
• B78-Q6 — Are rack UPS/PDU circuits, SPDs, labels, load measurements and LOTO requirements approved for all TR panelboards? [Open] Impact: Electrical readiness unknown</t>
  </si>
  <si>
    <t>• Full fire protection scope included. Verify sprinkler modifications, fire alarm devices, clean-agent 2A:10B:C FEC within 75 ft, rated wall/floor penetrations, and temporary firestopping during cable pulls.
• Existing telecom closet/room; verify fire alarm/sprinkler protection-in-place and seal removed/reused penetrations after cutover.</t>
  </si>
  <si>
    <t>• Mechanical/electrical drawings show IU-1-01 in Telecom Room 102 and CU-1-01 outdoor unit. Confirm capacity, emergency/standby source, BACnet interface, thermostat/control point, condensate pump/path, disconnects, and high-temperature alarm.
• Existing telecom room/closet may remain active during cutover. Verify existing environmental condition and whether any active equipment remains after migration to Room 102.</t>
  </si>
  <si>
    <t>• Electrical plans/schedules identify B80-TR102A fed from BUS-B80-MDP and B80-TR102B fed from BUS-B80-E1, with rack receptacles, normal/emergency circuits, CU-1-01, SPD requirements and 30-day load measurement requirements.
• Existing rack/equipment area includes APC floor UPS and legacy telecom power. Verify source circuits, active equipment, UPS status, and transfer requirements before disconnect/removal.</t>
  </si>
  <si>
    <t>• 80T-701 identifies RM102 with 117 WAO total, 98 active ports per survey, 195 total ports per schedule, and 215 total ports with 10% allowance. Rack IDs include TR01-102-1 and TR01-102-2; rack elevation shows 1 new rack plus future rack with switches, Cat6A patch panels, Cat5e patch panel, Fiber LIU, UPS and PDU.
• Existing rack elevation shows Cisco switches, legacy optical Fiber LIU on wall, multiple legacy Ortronics 24/48-port patch panels, legacy Cat5e 24-port patch panel, and APC floor UPS. Contractor must transfer existing devices to new rack and protect active services.</t>
  </si>
  <si>
    <t>• Electrical/telecom plans show access-control scope and camera 102-CAM-1. Verify CR/RX/DC/ES/MD devices, controller, electric strike, camera/VMS integration, and door hardware coordination.
• Verify existing security/PACS equipment conditions and whether any existing camera/security device is protected, recabled, or removed during cutover.</t>
  </si>
  <si>
    <t>• High: Existing conditions for Room 102 and existing 127A/126 not field verified — Perform existing conditions survey with photos before mobilization
• Critical: Existing telecom equipment may remain active during transfer to Room 102 — Document active services, protect in place, identify OIT cutover windows, phasing and rollback plan
• High: Room-number mismatch between Tel Closet 127A and photo/rack reference Room 126/127-A — Track both IDs in PMIS and confirm field room signage/owner mapping before punch list and turnover
• Critical: Dedicated cooling emergency power, condensate, BACnet and alarms not verified — Confirm IU-1-01/CU-1-01 power source, condensate route, controls, BACnet adapter, thermostat and high-temp alarm
• High: B80-TR102A/B UPS/PDU and panel source coordination could delay energization — Verify panel sources BUS-B80-MDP and BUS-B80-E1, breakers, receptacles, SPD, labels, load measurement and LOTO needs
• High: 811 feet of cable tray/pathway requires coordination and firestop tracking — Verify route, supports, seismic bracing, 40% fill, penetrations, lighting/HVAC conflicts and firestop assemblies</t>
  </si>
  <si>
    <t>• B80-Q1 — Confirm final telecom scope: new Room 102 with existing 127A/126 transition only? [Open] Impact: Room inventory could miss scope
• B80-Q2 — What active services are currently fed from existing Room 127A/126 equipment? [Open] Impact: Potential communications/security outage
• B80-Q3 — Are Room 127A and Room 126 the same telecom room, or separate locations? [Open] Impact: PMIS mapping and turnover risk
• B80-Q4 — Is IU-1-01/CU-1-01 on emergency/backup power and dedicated to Room 102? [Open] Impact: Cooling continuity unclear
• B80-Q5 — Where is the clean-agent/CO2 extinguisher cabinet located within 75 ft of Room 102? [Open] Impact: Life-safety acceptance risk
• B80-Q6 — Are B80-TR102A/B sources, rack receptacles, SPDs, circuit labels and load measurements approved? [Open] Impact: Electrical readiness unknown</t>
  </si>
  <si>
    <t>• Cover sheet states Building 82 receives a Telecom Enclosure and fire protection scope is excluded. Still verify rated penetrations, 4-inch sleeve, wall/floor openings, temporary firestopping, and life-safety device impacts.
• Existing telecom room; verify protection-in-place and firestopping after cable transfer or reuse.</t>
  </si>
  <si>
    <t>• Mechanical and electrical drawings show IU-1-01 in/near Telecom Room 102 and CU-1-01 outdoor unit. Mechanical notes call for BACnet adapter mounted adjacent to unit in telecom room. Confirm capacity, emergency/standby source, condensate pump/path, disconnects, controls, and high-temp alarm.
• Existing telecom room may remain active during cutover. Verify existing environmental conditions and whether active equipment remains after transfer to Room 102.</t>
  </si>
  <si>
    <t>• Electrical plans/schedules identify TE receptacle, CU-1-01, B82-MDP and B82-P-EMER sources, with SPD devices integral to new telecom panelboards. Verify receptacle type, grounding/bonding, emergency source, labels, and circuit loading.
• Existing rack/equipment area includes APC floor UPS and legacy telecom power. Verify source circuits, active equipment, UPS status, and transfer requirements before disconnect/removal.</t>
  </si>
  <si>
    <t>• 82T-701 identifies RM102 with 26 WAO total, 31 active ports per survey, 36 total ports per schedule, and 40 total ports with 10% allowance. Rack ID TR01-102-01. Cable tray schedule totals 278 ft on first level. New enclosure includes APC UPS, two PDUs, network switch, Cat6A patch panel and Fiber LIU.
• Existing B01-A elevations identify Cisco switches, cable management, two Ortronics 24-port patch panels with 11 and 6 used, existing patch panels and APC floor UPS. Field verify active services and transfer plan to new TE.</t>
  </si>
  <si>
    <t>• Building 82 appears to create a TE enclosure rather than a full TR door/PACS package. Verify existing cameras/security devices in Room 102 and ensure no camera angle or VMS integration is disrupted.
• Keynotes indicate existing cameras are to be retained and re-used. Verify security/access conditions and whether any legacy security equipment is present at existing telecom room.</t>
  </si>
  <si>
    <t>• High: Existing conditions for new Room 102 TE and existing B01-A not field verified — Perform existing conditions survey with photos before mobilization
• Critical: Existing equipment in B01-A may remain active during transfer to new TE in 102 — Document active services, protect in place, identify OIT cutover windows, phasing, rollback path and temporary utilities
• High: Cover sheet says TE, but mechanical cooling is included for Room 102 — Confirm scope interpretation with VA/AE and ensure cooling is commissioned if it serves active TE equipment
• Critical: Dedicated cooling emergency power, condensate, BACnet and alarms not verified — Confirm IU-1-01/CU-1-01 power source, condensate, controls, BACnet adapter, thermostat and high-temp alarm
• High: UPS/PDU/receptacle source and grounding/bonding not verified — Verify circuit source, receptacle type, UPS/PDU load, grounding bar, bonding, SPD and labels
• High: 278 feet of first-level cable tray/pathway requires coordination and firestop tracking — Verify route, supports, seismic bracing, 40% fill, penetrations, light/HVAC conflicts and firestop assemblies</t>
  </si>
  <si>
    <t>• B82-Q1 — Confirm final scope: new 12RU wall-mount TE enclosure in Room 102 and existing B01-A transition only? [Open] Impact: Room inventory or PMIS mapping could miss scope
• B82-Q2 — What active services are currently fed from existing B01-A equipment? [Open] Impact: Potential communications/security outage
• B82-Q3 — Is Room 102 officially a TE-only scope or a conditioned telecom room with mechanical support? [Open] Impact: Scope and commissioning responsibility unclear
• B82-Q4 — Is IU-1-01/CU-1-01 on emergency/backup power and dedicated to Room 102? [Open] Impact: Cooling continuity unclear
• B82-Q5 — What is the approved power source, receptacle type and circuit capacity for the new APC UPS/PDU in Room 102? [Open] Impact: Electrical readiness unknown
• B82-Q6 — Are all 278 feet of cable tray route, sleeves, supports and firestopping details field verified? [Open] Impact: Install delay or firestop gap</t>
  </si>
  <si>
    <t>• Cover sheet states BCH receives a Telecom Enclosure and mechanical/fire protection scope has been excluded. Still verify existing life-safety protection, rated penetrations, 4-inch sleeve fire caulk, temporary firestopping and abandoned penetration patching.
• TE-only scope does not appear to require new FEC/fire sprinkler work, but all wall/floor/ceiling penetrations must be sealed and rated assemblies maintained.</t>
  </si>
  <si>
    <t>• Cover sheet explicitly excludes mechanical scope. Verify existing room ambient conditions are acceptable for TE equipment and that no active network equipment will overheat.
• If the final scope is a 45RU new telecom room rather than a small TE, HVAC exclusion should be confirmed with VA/AE because telecom-room heat load may differ from TE assumptions.</t>
  </si>
  <si>
    <t>• Electrical plan includes first-level electrical work and notes for new wall-mount telecom enclosure, grounding/bonding and camera. Verify circuit source, receptacle type, UPS/PDU load, emergency source if required, grounding/bonding and labels.
• BCHT-604 shows 12RU TE equipment with APC UPS and PDUs and also a BCH 45RU new telecom room elevation. Confirm exact UPS/PDU/rack power requirement before acceptance.</t>
  </si>
  <si>
    <t>• BCHT-101 identifies telecom plan first level and enlarged Room 107. BCHT-604 identifies new telecom room/no existing elevations. There is no BCHT-701 schedule in the drawing index, so WAO/cable-tray totals must be field verified from plans and contractor coordination drawings.
• BCHT-604 identifies a 12RU TE elevation: APC UPS, two PDUs, network switch, 48-port Cat6A patch panel and Fiber LIU. Also shows BCH Crescent House Room 107 new telecom room elevation. Confirm governing rack/enclosure and labeling.</t>
  </si>
  <si>
    <t>• Telecom/electrical notes reference new IP-addressable camera with wall mount at 8'-6" A.F.F. and VMS integration. Verify whether PACS applies; TE buildings typically do not create full TR door/PACS scope.
• Verify existing camera/security conditions, protection-in-place, and any recabling or VMS integration required.</t>
  </si>
  <si>
    <t>• High: Existing conditions for Crescent House Room 107 not field verified — Perform existing conditions survey with photos before mobilization
• High: Mechanical and fire protection are excluded despite telecom/electronics installation — Verify existing environmental and life-safety conditions support TE equipment; confirm no dedicated HVAC/FP requirement applies
• High: Rack/elevation conflict: TE 12RU enclosure versus BCH Room 107 new telecom room elevation — Submit RFI/confirm with AE which elevation governs and map room/equipment in PMIS
• Critical: Active services and existing devices may require phasing/temporary service — Document active services, maintain existing service, use phasing plan, temporary utilities and OIT cutover windows
• High: UPS/PDU/receptacle source and grounding/bonding not verified — Verify circuit source, receptacle type, UPS/PDU load, grounding bar, bonding and labels
• High: Cable tray, sleeve and pathway quantities not scheduled in a BCHT-701 sheet — Require coordination drawings showing route, supports, fill, penetrations, sleeves and cable counts</t>
  </si>
  <si>
    <t>• BCH-Q1 — Confirm final BCH scope: Room 107 TE enclosure only, or a new telecom room/rack buildout? [Open] Impact: PMIS scope and acceptance criteria unclear
• BCH-Q2 — Why does BCHT-604 show a T78 12RU TE enclosure and a separate BCH Crescent House Room 107 new telecom room elevation? [Open] Impact: Rack/equipment mapping conflict
• BCH-Q3 — What active services currently serve Crescent House and where are existing terminations located? [Open] Impact: Cutover/outage risk
• BCH-Q4 — What is the approved power source, receptacle type and circuit capacity for the new UPS/PDU? [Open] Impact: Electrical readiness unknown
• BCH-Q5 — Is existing HVAC/ambient condition acceptable for TE/network equipment since mechanical scope is excluded? [Open] Impact: Heat/load risk
• BCH-Q6 — Are cable tray route, sleeve locations, supports and firestopping details shown/field verified without a BCHT-701 schedule? [Open] Impact: Install delay or firestop gap</t>
  </si>
  <si>
    <t>• MCR has full fire protection scope including wet pipe and clean-agent fire suppression system. Verify preaction/clean-agent design, agent release interface, fire alarm matrix, detection, abort/release stations, room integrity and acceptance testing.
• Verify fiber entrance room protection, rated penetrations, firestopping, detector/strobe coverage and no gaps after cable tray installation.
• Verify sprinkler/clean-agent coverage around MDA equipment, fire alarm devices, rack clearance and final firestop assemblies.
• Verify clean-agent coverage, detector placement, alarm interfaces, and open cabinet airflow protection.
• Existing systems must remain protected during temporary fiber, umbilical cord and core relocation work. Verify no impairment without approved fire watch/impairment plan.</t>
  </si>
  <si>
    <t>• Telecom notes call for indoor computer room air conditioner (CRAC) units tied to building management system. Mechanical sheets included; verify redundant capacity, setpoints, humidity, condensate, controls, alarms and emergency power.
• UPS rooms/equipment require thermal load validation, ventilation, emergency power and alarm integration. Verify battery/UPS environmental requirements.
• Verify airflow/cold aisle/hot aisle assumptions, blanking panels, floor/ceiling distribution and temperature monitoring.
• Server cabinets and patch fields require stable 24/7 cooling and monitoring. Confirm no local hot spots at dense LIU/patch panel zones.
• During split-core temporary phase, existing MCR/server equipment remains active. Verify existing cooling remains in service until cutover and decommissioning are complete.</t>
  </si>
  <si>
    <t>• Electrical set includes site plan, enlarged MCR plans, one-lines and schedules. Verify switchboard/service, ATS/generator integration, normal/emergency/UPS distribution, grounding, lightning protection, SPD, load measurements and commissioning.
• MDA rack elevations include new 4-post floor cabinets, LIUs and network elements. Verify redundant A/B power feeds and PDU arrangements.
• HDA cabinets include server cabinet front/rear elevations with patch panels and active equipment. Confirm A/B feed separation, PDU mounting, load capacity and labels.
• Existing rack elevations identify multiple APC/Chatsworth/HP PDUs, APC Smart UPS and Eaton 9PX units. Verify what transfers, what stays, and temporary power during migration.
• New MCR is standalone critical infrastructure. Verify utility service, generator/ATS paths, emergency distribution, grounding electrode and ductbank/site electrical coordination.</t>
  </si>
  <si>
    <t>• MCRT-101 shows new MCR with MDA-A/B, HDA-A/B, UPS-A/B, cameras and fiber path legend. MCRT-701 shows 10 WAO total, 720 WAO available, 98.1% expansion capacity, 10 total ports with 20% allowance and 359 ft cable tray.
• MCRT-701 Data Device and Circuit Schedule - Fiber Entrance Room 1: outlets 31-A/B/C/D plus security devices 07-CAM-03/04/07/08/11; Rack ID TR01-031-1.
• MCRT-607: MDA A/B racks contain horizontal distribution LIUs, hybrid FOC, 48x Cat6A to HDA, and reserved LAN/spine/aggregation elements. Maintain A/B path separation.
• MCRT-608/609: HDA A/B include 48-port Cat6A patch panels, HD fiber LIUs, backbone side A/B LIU and server cabinet arrangements.
• Existing MCR rows 1-3 and B61 server cabinet transfer references are extensive. Maintain service using temporary fiber/umbilical cords and phased core relocation.</t>
  </si>
  <si>
    <t>• MCRT-101 identifies cameras 07-CAM-01 through 07-CAM-12 around the MCR. Telecom notes call for IP-addressable network cameras integrated into existing VMS and PACS/access-control systems including iSTAR Edge/Avigilon ACM controller.
• MCRT-701 includes security camera/data devices assigned to TR01-031-1. Confirm camera IDs, mounting, cabling, and VMS commissioning.
• Verify camera coverage, door/access points, VMS monitoring and access control zones for critical equipment.
• Verify coverage of HDA cabinets, doors, motion detection and any lockable cabinet/security requirements.
• Existing security systems must remain functional during transition; protect existing camera angles and access controls until final turnover.</t>
  </si>
  <si>
    <t>• Critical: MCR is a new standalone critical facility with 120-sheet multi-discipline scope — Use discipline-by-discipline pre-install checklist, coordination drawings, third-party inspections and commissioning tracker
• Critical: Existing MCR/server/core equipment transfer may interrupt hospital network operations — Require detailed OIT cutover plan, temporary fiber/umbilicals, rollback plan, VA activation windows and after-hours phasing
• Critical: A/B fiber path diversity and backbone commissioning not verified — Verify OSP/ISP Path A/B routing, no intermediate splices, test results, labeling and geographic diversity
• Critical: UPS-A/B, ATS/generator, panel source and PDU coordination could delay activation — Verify one-line, load banks, breaker settings, panel labels, generator/ATS tests, UPS start-up and A/B power mapping
• Critical: CRAC capacity, redundancy, condensate, BMS/FMS alarms and emergency power not verified — Confirm mechanical schedules, CRAC start-up, controls, alarm points, emergency source, environmental monitoring and hot/cold aisle performance
• Critical: Clean-agent/preaction/fire alarm interface and room integrity acceptance risk — Track clean-agent calculations, room integrity test, release/abort stations, FA matrix, sprinkler/preaction tests and AHJ/third-party acceptance</t>
  </si>
  <si>
    <t>• MCR-Q1 — Confirm final room naming and PMIS mapping: MCR Room 107, Fiber Entrance Room 031, Existing 107/137 server/MCR references. [Open] Impact: Room inventory and turnover mapping could be wrong
• MCR-Q2 — What existing core/server/rack equipment is being relocated from the existing MCR/server rooms, and what remains? [Open] Impact: Cutover and outage risk
• MCR-Q3 — What is the approved MCR activation sequence and required VA/OIT hold points? [Open] Impact: Schedule/cutover impact
• MCR-Q4 — Are UPS-A/B, generator/ATS and emergency power paths commissioned and mapped to each rack/PDU? [Open] Impact: Electrical readiness unknown
• MCR-Q5 — Are CRAC units fully commissioned with BMS/FMS alarms, redundancy and emergency power? [Open] Impact: Cooling continuity risk
• MCR-Q6 — Are clean-agent/preaction/fire alarm systems fully designed, tested and accepted? [Open] Impact: Life-safety acceptance risk</t>
  </si>
  <si>
    <t>• No fire / life safety items captured for this building.</t>
  </si>
  <si>
    <t>• No hvac / cooling items captured for this building.</t>
  </si>
  <si>
    <t>• No electrical / ups items captured for this building.</t>
  </si>
  <si>
    <t>• No telecom / fiber items captured for this building.</t>
  </si>
  <si>
    <t>• No owner risks items captured for this building.</t>
  </si>
  <si>
    <t>• No open questions items captured for this building.</t>
  </si>
  <si>
    <t>• General notes require fire lanes, hydrants and fire department access roads operational at all times; maintain egress and provide fire watch/temporary protection when required.
• Trench barricades, accessible parking/public access and right-of-way impacts must be coordinated with owner prior to construction.
• Rated wall/floor penetrations must be firestopped; temporary firestopping required if penetrations remain open between shifts.
• Backbone work affects facility operations. Any required shutdowns must be limited to one at a time and coordinated with approved phasing plan.</t>
  </si>
  <si>
    <t>• Electrical site plans ES101/ES401 are included. Existing utility locations are approximate; coordinate electrical vaults, underground electrical, storm drain manholes and sanitary manholes.
• Locking covers and handhole/manhole locations must be field verified. Confirm bonding/grounding requirements where metallic components are present.
• T-601 shows WAN/provider fiber entrances and new fiber Path A/B to the MCR. Coordinate with Century Link/service provider and MCR activation.
• Coordinate conduit penetrations with building electrical/telecom/firestop scope and avoid conflicts with existing services.</t>
  </si>
  <si>
    <t>• Legend identifies new fiber in A route, B route, and A+B routes in separate conduits. Confirm no cross-connect gaps at THHs/manholes.
• Site one-line shows WAN fiber from service provider and temporary/provider extension pathways. Coordinate with MCR activation and OIT.
• Each building tie-in must be tested, labeled, and accepted before connection to active operations.
• T-601 one-line lists THH #1-#19 and path counts such as 6 Path A + 4 Path B, 6 Path A + 6 Path B, 7 Path A + 7 Path B, 5 Path A + 4 Path B, and 9 Path A + 7 Path B.</t>
  </si>
  <si>
    <t>• Coordinate staging, access, material storage, noisy work, utility interruption, trench barricades and public access with owner.
• General notes specifically identify accessible parking and public right-of-way impacts; temporary barricades must prevent injury and protect parking signage.
• Hand digging at existing utility crossings is in base bid. Confirm permits, Dig Safe, VA utility locate and escort requirements before excavation.</t>
  </si>
  <si>
    <t>• Critical: Existing utility locations are approximate and field conditions may vary from survey — Complete utility locate, GPR review, potholing/hand-digging at crossings and VA utility coordination before excavation
• Critical: A/B fiber path separation may not be maintained through common ductbank or congested areas — Verify separate conduits, route diversity, THH labels, T-601 path counts and as-built documentation
• High: Concrete ductbank could be backfilled before inspection — Establish inspection hold point; trench remains open until concrete duct inspection and photos are accepted
• Critical: WAN/provider fiber and MCR activation sequence could delay campus cutover — Coordinate Century Link/service provider, temporary fiber, provider extension, MCR readiness and OIT activation plan
• High: Trenching/restoration may disrupt accessible parking, fire lanes, public access and campus traffic — Submit traffic/pedestrian/staging plan, maintain fire lanes/hydrants and restore surfaces to match existing
• High: Building entry penetrations/firestopping may not align with building PMIS packages — Cross-check every site tie-in against building assessment, T-101 continuation sheets and firestop photos</t>
  </si>
  <si>
    <t>• SITE-Q1 — Confirm final list of all site fiber buildings and whether Buildings 1-22, 33, 61, 62, 70, 78/78A, 80, 81, 82, Crescent House and MCR are included in one site backbone turnover package. [Open] Impact: Scope and turnover package mapping unclear
• SITE-Q2 — Which THH/manhole numbers are new versus existing, and which require locking cover replacement only? [Open] Impact: Structure inventory and inspection scope unclear
• SITE-Q3 — Are all A and B routes physically diverse enough and in separate conduit wherever common ductbank is used? [Open] Impact: Redundancy risk
• SITE-Q4 — What are the approved utility-locate/potholing requirements before excavation at each crossing? [Open] Impact: Utility strike risk
• SITE-Q5 — What inspection hold points are required for ductbank forms, conduit placement, concrete pour, pull string, mandrel and backfill? [Open] Impact: QA acceptance risk
• SITE-Q6 — Are directional boring alternatives allowed anywhere, or is all base-bid work trenching unless separately approved by Government? [Open] Impact: Means/methods and cost/schedule risk</t>
  </si>
  <si>
    <t>Source flow: Building Assessment Sheets → _Assessment_Full_View → PMIS_Trade_Notes → _Command_Trade_Notes compatibility layer → Command_Center. Do not manually edit notes here.</t>
  </si>
  <si>
    <t>BEDFORD VA EHRM PMIS — TODAY'S FOCUS / PRIORITY WORKLIST</t>
  </si>
  <si>
    <t>Purpose: Shows which buildings need attention first. Priority is calculated from shutdowns, open risks, open questions, and readiness gaps. Data remains driven by Building Assessments → PMIS_Data.</t>
  </si>
  <si>
    <t>Driver / Major Blocker</t>
  </si>
  <si>
    <t>Recommended Action</t>
  </si>
  <si>
    <t>Open Assessment</t>
  </si>
  <si>
    <t>Focus Metrics</t>
  </si>
  <si>
    <t>Active Shutdowns</t>
  </si>
  <si>
    <t>Unique Sort Score</t>
  </si>
  <si>
    <t xml:space="preserve">SELECTED BUILDING SOURCE DETAIL — ASSESSMENT SHEETS </t>
  </si>
  <si>
    <t>BEDFORD
VA
EHRM</t>
  </si>
  <si>
    <t>BEDFORD VA EHRM PROGRAM</t>
  </si>
  <si>
    <t>COMMAND CENTER – EXECUTIVE BRIEF</t>
  </si>
  <si>
    <t>One Campus. One Plan. One Standard.</t>
  </si>
  <si>
    <t>CAMPUS READINESS</t>
  </si>
  <si>
    <t>Overall Average</t>
  </si>
  <si>
    <t>Assessment Sheets</t>
  </si>
  <si>
    <t>Campus Total</t>
  </si>
  <si>
    <t>ACTIVE BUILDING</t>
  </si>
  <si>
    <t>BUILDING
PHOTO
PLACEHOLDER</t>
  </si>
  <si>
    <t>TRADE</t>
  </si>
  <si>
    <t>STATUS</t>
  </si>
  <si>
    <t>TREND</t>
  </si>
  <si>
    <t>↗</t>
  </si>
  <si>
    <t>Telecom / IT</t>
  </si>
  <si>
    <t>Campus Questions</t>
  </si>
  <si>
    <t>Campus Risks</t>
  </si>
  <si>
    <t>CAMPUS BUILDING STATUS MAP</t>
  </si>
  <si>
    <t>READINESS LEGEND</t>
  </si>
  <si>
    <t>80% or Greater</t>
  </si>
  <si>
    <t>60%–79%</t>
  </si>
  <si>
    <t>40%–59%</t>
  </si>
  <si>
    <t>Less than 40%</t>
  </si>
  <si>
    <t>YES</t>
  </si>
  <si>
    <t>PILOT</t>
  </si>
  <si>
    <t>PILOT PHASE</t>
  </si>
  <si>
    <t>PILOT BUILDING DECISION MATRIX │ B61 vs B08</t>
  </si>
  <si>
    <t>Purpose: select the first building used to prove contractor competency before authorizing wider campus rollout.</t>
  </si>
  <si>
    <t>Criteria</t>
  </si>
  <si>
    <t>Weight</t>
  </si>
  <si>
    <t>B61 Score</t>
  </si>
  <si>
    <t>B61 Weighted</t>
  </si>
  <si>
    <t>B08 Score</t>
  </si>
  <si>
    <t>B08 Weighted</t>
  </si>
  <si>
    <t>Preferred</t>
  </si>
  <si>
    <t>Why it Matters</t>
  </si>
  <si>
    <t>Representative Complexity</t>
  </si>
  <si>
    <t>Tests more of the actual campus work</t>
  </si>
  <si>
    <t>Recoverability if Contractor Struggles</t>
  </si>
  <si>
    <t>Pilot should not create MCR-level risk</t>
  </si>
  <si>
    <t>Risk review</t>
  </si>
  <si>
    <t>Discipline Coverage</t>
  </si>
  <si>
    <t>Must test fire/HVAC/electrical/telecom/security</t>
  </si>
  <si>
    <t>Operational Risk</t>
  </si>
  <si>
    <t>Lower operational risk is better for first work</t>
  </si>
  <si>
    <t>Owner risk review</t>
  </si>
  <si>
    <t>Documentation Burden</t>
  </si>
  <si>
    <t>Tests whether documentation process works</t>
  </si>
  <si>
    <t>PMIS</t>
  </si>
  <si>
    <t>Cutover / OIT Learning Value</t>
  </si>
  <si>
    <t>Pilot should prove the cutover process</t>
  </si>
  <si>
    <t>OIT coordination</t>
  </si>
  <si>
    <t>Constructability / Access</t>
  </si>
  <si>
    <t>Tie</t>
  </si>
  <si>
    <t>Both likely workable</t>
  </si>
  <si>
    <t>Field input</t>
  </si>
  <si>
    <t>Owner Confidence Value</t>
  </si>
  <si>
    <t>Bigger confidence return if successful</t>
  </si>
  <si>
    <t>PMO judgment</t>
  </si>
  <si>
    <t>RESULT</t>
  </si>
  <si>
    <t>B61 Total</t>
  </si>
  <si>
    <t>B08 Total</t>
  </si>
  <si>
    <t>Recommendation</t>
  </si>
  <si>
    <t>Recommendation Language</t>
  </si>
  <si>
    <t>Controls Required</t>
  </si>
  <si>
    <t>Pilot completion criteria must include approved submittals, ICRA/PCRA, QA/QC reports, firestopping, cable tests, OIT acceptance, photos, and zero critical punch items.</t>
  </si>
  <si>
    <t>PILOT EXIT CRITERIA</t>
  </si>
  <si>
    <t>Gate</t>
  </si>
  <si>
    <t>Acceptance Criteria</t>
  </si>
  <si>
    <t>Evidence Required</t>
  </si>
  <si>
    <t>Existing conditions fully documented</t>
  </si>
  <si>
    <t>Photos / room inventory</t>
  </si>
  <si>
    <t>ICRA/PCRA and shutdown controls approved</t>
  </si>
  <si>
    <t>VA / GCC</t>
  </si>
  <si>
    <t>Permits / process documents</t>
  </si>
  <si>
    <t>Install methods accepted</t>
  </si>
  <si>
    <t>GCC / COR</t>
  </si>
  <si>
    <t>Inspection reports / punch list</t>
  </si>
  <si>
    <t>Cable testing accepted</t>
  </si>
  <si>
    <t>Copper/fiber test results</t>
  </si>
  <si>
    <t>Firestop documentation accepted</t>
  </si>
  <si>
    <t>GCC QA / COR</t>
  </si>
  <si>
    <t>Before/during/after photos</t>
  </si>
  <si>
    <t>Commissioning and turnover package complete</t>
  </si>
  <si>
    <t>Cx / GCC</t>
  </si>
  <si>
    <t>Cx reports / O&amp;M / as-builts</t>
  </si>
  <si>
    <t>Owner walkthrough complete</t>
  </si>
  <si>
    <t>COR / VA</t>
  </si>
  <si>
    <t>Acceptance signoff</t>
  </si>
  <si>
    <t>COPY-READY COMMAND CENTER BUILDING TILE BLOCK</t>
  </si>
  <si>
    <t>Copy A3:P10 from this sheet and paste over Command_Center!A3:P10. Formulas use ⚠ for risks and ❓ for questions; tile fill is conditional on PMIS_Data readiness.</t>
  </si>
  <si>
    <t>BEDFORD VA EHRM  — CAMPUS COMMAND STATUS</t>
  </si>
  <si>
    <t>B61-Q9</t>
  </si>
  <si>
    <t xml:space="preserve">How did this sheetget made? </t>
  </si>
  <si>
    <t>PILOT ACCEPTANCE GATE — COPY / PASTE BLOCK</t>
  </si>
  <si>
    <t>Use this as the objective completion gate for pilot turnover. A building/pilot stays YELLOW until all eight gates are complete.</t>
  </si>
  <si>
    <t>How to use</t>
  </si>
  <si>
    <t>Copy A5:H18 into the applicable Building Assessment sheet. Status cells are intended to be Yes / No / N/A, with evidence links in the Evidence column.</t>
  </si>
  <si>
    <t>Evidence / Link</t>
  </si>
  <si>
    <t>QC Notes</t>
  </si>
  <si>
    <t>Gate Met?</t>
  </si>
  <si>
    <t>Dashboard Signal</t>
  </si>
  <si>
    <t>Approved Submittals</t>
  </si>
  <si>
    <t>ICRA / PCRA</t>
  </si>
  <si>
    <t>QA/QC Reports</t>
  </si>
  <si>
    <t>Cable Tests</t>
  </si>
  <si>
    <t>OIT Acceptance</t>
  </si>
  <si>
    <t>Zero Critical Punch Items</t>
  </si>
  <si>
    <t>Acceptance Gate Result</t>
  </si>
  <si>
    <t>Open Gate Count</t>
  </si>
  <si>
    <t>Gate Completion</t>
  </si>
  <si>
    <t>Command Center Rule</t>
  </si>
  <si>
    <t>Tile remains YELLOW until B15 returns "🟢 PILOT COMPLETE / ACCEPTANCE READY"; then tile may turn GREEN.</t>
  </si>
  <si>
    <t>Suggested Building Tile Logic</t>
  </si>
  <si>
    <t>Example only: =IF(COUNTIF(&lt;building_gate_status_range&gt;,"No")=0,"GREEN","YELLOW")</t>
  </si>
  <si>
    <t>What it Means</t>
  </si>
  <si>
    <t>Verification</t>
  </si>
  <si>
    <t>Every material and piece of equipment installed in the pilot area has been reviewed and approved through the submittal process. Nothing unapproved was installed.</t>
  </si>
  <si>
    <t>Verify approved submittals exist for all installed systems and that field installations match the approved documents.</t>
  </si>
  <si>
    <t>The required Infection Control Risk Assessment and Pre-Construction Risk Assessment were approved, implemented, and maintained throughout construction.</t>
  </si>
  <si>
    <t>Confirm approved plans, barrier inspections, negative air documentation (if applicable), housekeeping, and final removal procedures.</t>
  </si>
  <si>
    <t>Contractor quality inspections have been completed and documented.</t>
  </si>
  <si>
    <t>Review QC reports, inspection checklists, deficiency logs, corrective actions, and daily QC documentation.</t>
  </si>
  <si>
    <t>Every penetration through rated walls, floors, and ceilings has been properly firestopped with approved systems.</t>
  </si>
  <si>
    <t>Inspect penetrations, verify UL systems, labels, installation quality, and documentation/photos.</t>
  </si>
  <si>
    <t>All network, fiber, and communication cabling has passed required testing.</t>
  </si>
  <si>
    <t>Verify copper certification reports, fiber OTDR/power meter results, labeling, and test documentation.</t>
  </si>
  <si>
    <t>VA Office of Information &amp; Technology has inspected and accepted the installed IT infrastructure.</t>
  </si>
  <si>
    <t>Obtain written acceptance or signoff from OIT confirming systems are operational and acceptable.</t>
  </si>
  <si>
    <t>Construction has been photographically documented.</t>
  </si>
  <si>
    <t>Ensure pre-construction, rough-in, above-ceiling, concealed work, and final condition photographs are complete and organized.</t>
  </si>
  <si>
    <t>No life safety, code, operational, or mission-critical deficiencies remain. Minor cosmetic items may remain only if allowed by contract.</t>
  </si>
  <si>
    <t>Walk the space and confirm all critical deficiencies have been corrected prior to turnover.</t>
  </si>
  <si>
    <t>Variance</t>
  </si>
  <si>
    <t>Telecom Room Complete</t>
  </si>
  <si>
    <t>Fiber Tested</t>
  </si>
  <si>
    <t>Local OIT Ready</t>
  </si>
  <si>
    <t>Activation Scheduled</t>
  </si>
  <si>
    <t>Trade</t>
  </si>
  <si>
    <t>Construction Complete</t>
  </si>
  <si>
    <t>QA/QC Complete</t>
  </si>
  <si>
    <t>Deficiencies Closed</t>
  </si>
  <si>
    <t>SOV Item</t>
  </si>
  <si>
    <t>Contractor %</t>
  </si>
  <si>
    <t>Inspector %</t>
  </si>
  <si>
    <t>Telecom Room Build</t>
  </si>
  <si>
    <t>Cooling Installation</t>
  </si>
  <si>
    <t>UPS Installation</t>
  </si>
  <si>
    <t>Fiber Installation</t>
  </si>
  <si>
    <t>UPS Operational</t>
  </si>
  <si>
    <t>Network Equipment Received</t>
  </si>
  <si>
    <t>National OIT Approval</t>
  </si>
  <si>
    <t>Approved</t>
  </si>
  <si>
    <t>Installed</t>
  </si>
  <si>
    <t>Match</t>
  </si>
  <si>
    <t>Telecom Equipment</t>
  </si>
  <si>
    <t>Cable Tray</t>
  </si>
  <si>
    <t>HVAC Equipment</t>
  </si>
  <si>
    <t>Electrical Equipment</t>
  </si>
  <si>
    <t>Planned</t>
  </si>
  <si>
    <t>Actual</t>
  </si>
  <si>
    <t>Crew</t>
  </si>
  <si>
    <t>Productivity</t>
  </si>
  <si>
    <t>OIT Ready</t>
  </si>
  <si>
    <t>Documentation Complete</t>
  </si>
  <si>
    <t>Recommended for Acceptance</t>
  </si>
  <si>
    <t>Recommended %</t>
  </si>
  <si>
    <t>Evidence / Comments</t>
  </si>
  <si>
    <t>Payment Confidence</t>
  </si>
  <si>
    <t>Success: Recommended payment aligns with observed progress and evidence is documented.</t>
  </si>
  <si>
    <t>Required</t>
  </si>
  <si>
    <t>Risk / Comments</t>
  </si>
  <si>
    <t>Evidence Ref.</t>
  </si>
  <si>
    <t>OIT Readiness</t>
  </si>
  <si>
    <t>Success: Required OIT activation prerequisites are complete or formally coordinated.</t>
  </si>
  <si>
    <t>Spec / Item</t>
  </si>
  <si>
    <t>QA Result</t>
  </si>
  <si>
    <t>Comments / Evidence</t>
  </si>
  <si>
    <t>Firestop System</t>
  </si>
  <si>
    <t>QA Compliance</t>
  </si>
  <si>
    <t>Success: Installed materials match approved submittals and deficiencies are documented.</t>
  </si>
  <si>
    <t>Contractor Performance</t>
  </si>
  <si>
    <t>Success: Actual production is on or above baseline, or delay cause is documented.</t>
  </si>
  <si>
    <t>Acceptance Readiness</t>
  </si>
  <si>
    <t>Success: Building is ready for turnover when all required gates are complete.</t>
  </si>
  <si>
    <t>DATA VALIDATION LISTS</t>
  </si>
  <si>
    <t>Yes/No/NA</t>
  </si>
  <si>
    <t>At Risk</t>
  </si>
  <si>
    <t>Blocked</t>
  </si>
  <si>
    <t>MEASURES OF SUCCESS</t>
  </si>
  <si>
    <t>Green ≥ 95%</t>
  </si>
  <si>
    <t>Yellow 85–94%; Red &lt;85%</t>
  </si>
  <si>
    <t>Green ≥ 90%</t>
  </si>
  <si>
    <t>Yellow 70–89%; Red &lt;70%</t>
  </si>
  <si>
    <t>Green = 100%</t>
  </si>
  <si>
    <t>Yellow 80–99%; Red &lt;80%</t>
  </si>
  <si>
    <t>Green ≥ 100%</t>
  </si>
  <si>
    <t>Blocked Status</t>
  </si>
  <si>
    <t>Always Red</t>
  </si>
  <si>
    <t>Requires management attention</t>
  </si>
  <si>
    <t>12. PAYMENT VERIFICATION</t>
  </si>
  <si>
    <t>13. OIT ACTIVATION READINESS</t>
  </si>
  <si>
    <t>14. SUBMITTAL / MATERIAL VERIFICATION</t>
  </si>
  <si>
    <t>15. PRODUCTIVITY OBSERVATIONS</t>
  </si>
  <si>
    <t>16. OWNER ACCEPTANCE READINESS</t>
  </si>
  <si>
    <t>16. SOURCE / DRAWING REVIEW NOTES</t>
  </si>
  <si>
    <t>🟡</t>
  </si>
  <si>
    <t>🟢</t>
  </si>
  <si>
    <t>Verified</t>
  </si>
  <si>
    <t>Inspection Compliance</t>
  </si>
  <si>
    <t>Work Observed / Delay Cause</t>
  </si>
  <si>
    <t>Recommended Payment</t>
  </si>
  <si>
    <t>☐ Full</t>
  </si>
  <si>
    <t>☐ Partial</t>
  </si>
  <si>
    <t>☐ Withhold</t>
  </si>
  <si>
    <t>☐ On Schedule</t>
  </si>
  <si>
    <t>☐ Behind Schedule</t>
  </si>
  <si>
    <t>☐ Critical Delay</t>
  </si>
  <si>
    <t>☐ Ready</t>
  </si>
  <si>
    <t>☐ Waiting on Contractor</t>
  </si>
  <si>
    <t>☐ Waiting on Local OIT</t>
  </si>
  <si>
    <t>☐ Waiting on National OIT</t>
  </si>
  <si>
    <t>☐ Ready for Turnover</t>
  </si>
  <si>
    <t>☐ Ready with Punch List</t>
  </si>
  <si>
    <t>☐ Not Ready</t>
  </si>
  <si>
    <t>Inspector Comments</t>
  </si>
  <si>
    <t>17. OWNER DECISION SUMMARY</t>
  </si>
  <si>
    <t>18. Construction Status</t>
  </si>
  <si>
    <t>19. OIT</t>
  </si>
  <si>
    <t>20. Acceptance</t>
  </si>
  <si>
    <t>Payment Recommendation</t>
  </si>
  <si>
    <t>OIT Status</t>
  </si>
  <si>
    <t>OIT Blocker / Constraint</t>
  </si>
  <si>
    <t>Material Compliance</t>
  </si>
  <si>
    <t>QA / Material Status</t>
  </si>
  <si>
    <t>Productivity Score</t>
  </si>
  <si>
    <t>Productivity Status</t>
  </si>
  <si>
    <t>Acceptance Status</t>
  </si>
  <si>
    <t>Pilot Gate Completion</t>
  </si>
  <si>
    <t>Owner Decision Queue</t>
  </si>
  <si>
    <t>Owner Controls Health</t>
  </si>
  <si>
    <t>Payment Row</t>
  </si>
  <si>
    <t>OIT Row</t>
  </si>
  <si>
    <t>Material Row</t>
  </si>
  <si>
    <t>Productivity Row</t>
  </si>
  <si>
    <t>Acceptance Row</t>
  </si>
  <si>
    <t>Completion</t>
  </si>
  <si>
    <t>Selected Building</t>
  </si>
  <si>
    <t>Selected Sheet</t>
  </si>
  <si>
    <t>Payment Decision</t>
  </si>
  <si>
    <t>OIT Blocker</t>
  </si>
  <si>
    <t>Pilot Gate</t>
  </si>
  <si>
    <t>Open Gates</t>
  </si>
  <si>
    <t>Owner Decision</t>
  </si>
  <si>
    <t>Signal</t>
  </si>
  <si>
    <t>PAYMENT CONFIDENCE</t>
  </si>
  <si>
    <t>PAYMENT DECISION</t>
  </si>
  <si>
    <t>OIT READINESS</t>
  </si>
  <si>
    <t>OIT STATUS</t>
  </si>
  <si>
    <t>OIT BLOCKERS</t>
  </si>
  <si>
    <t>MATERIAL COMPLIANCE</t>
  </si>
  <si>
    <t>PRODUCTIVITY</t>
  </si>
  <si>
    <t>ACCEPTANCE READINESS</t>
  </si>
  <si>
    <t>OWNER DECISION</t>
  </si>
  <si>
    <t>🔐 SECURITY / PACS / CCTV
• Telecom plans call for wall-mounted CCTV at TRs and PACS for TR doors. Verify camera, controller, CR/RX/DC/ES/MD, and VMS/PACS integration.
• Verify TR door hardware and access control, CCTV camera, network door controller and integration.
• Verify second-level TR access control, CCTV camera, door hardware, and VMS/PACS integration.
• Existing PACS/equipment racks are referenced. Verify existing security devices protected-in-place and any new recabling or integration scope.</t>
  </si>
  <si>
    <t>7.4.26</t>
  </si>
  <si>
    <t>OCCUPIED</t>
  </si>
  <si>
    <t>RM #223A NOT 2065</t>
  </si>
  <si>
    <t>NEEDS AC</t>
  </si>
  <si>
    <t>DRAWINGS SHOW SF DEFICENCY</t>
  </si>
  <si>
    <t>ALLOCATE WALLS MOVE INTO 104A FOR CLEARANCE</t>
  </si>
  <si>
    <t>WHY IS THERE ONLY 82  SF? DEVIATING FROM PLANS?</t>
  </si>
  <si>
    <t>NEEDS TO BE BROUGHT UP TO CODE/GUTTED</t>
  </si>
  <si>
    <t>EMPTY BUILDING - SEWER ISSUE?</t>
  </si>
  <si>
    <t>NO AC</t>
  </si>
  <si>
    <t xml:space="preserve">HAS AC - 12KBTA - NOT UP TO CODE </t>
  </si>
  <si>
    <t>TRENCHING FROM 29-17</t>
  </si>
  <si>
    <t>ACTUALLY ROOM 111A - 36KBTU - WW363E</t>
  </si>
  <si>
    <t>N/A - BREAKROOM?</t>
  </si>
  <si>
    <t>WALLS ALLOCATE FOR CLEARANCE NEEDED</t>
  </si>
  <si>
    <t>CHECK PLANS TO SEE IF WALLS ARE KNOCKED DOWN</t>
  </si>
  <si>
    <t xml:space="preserve">DEMO - NO AC </t>
  </si>
  <si>
    <t>RN OFFICE</t>
  </si>
  <si>
    <t>RN OFFICE - NO AC</t>
  </si>
  <si>
    <t xml:space="preserve">NEEDS NEW AC </t>
  </si>
  <si>
    <t xml:space="preserve">NEEDS AC - NEW WALL BEING BUILT </t>
  </si>
  <si>
    <t>NEEDS TO BE EMPTIED</t>
  </si>
  <si>
    <t xml:space="preserve">CENTRALIZED AC - NEEDS MINI SPLIT </t>
  </si>
  <si>
    <t xml:space="preserve">NO AC </t>
  </si>
  <si>
    <t>104 - OCCUPIED - NO AC</t>
  </si>
  <si>
    <t>PILOT ACCEPTANCE GATE</t>
  </si>
  <si>
    <t xml:space="preserve">What </t>
  </si>
  <si>
    <t>COR Decisions</t>
  </si>
  <si>
    <t>Waiting</t>
  </si>
  <si>
    <t>Record ID</t>
  </si>
  <si>
    <t>Record Type</t>
  </si>
  <si>
    <t>Date Opened</t>
  </si>
  <si>
    <t>GCC Recommendation</t>
  </si>
  <si>
    <t>COR Decision Required</t>
  </si>
  <si>
    <t>Report Cycle</t>
  </si>
  <si>
    <t>Include in COR Report</t>
  </si>
  <si>
    <t>DEL-001</t>
  </si>
  <si>
    <t>ALL</t>
  </si>
  <si>
    <t>Shared</t>
  </si>
  <si>
    <t>DEL-002</t>
  </si>
  <si>
    <t>Weekly Inspection Report</t>
  </si>
  <si>
    <t>Aisha</t>
  </si>
  <si>
    <t>Weekly</t>
  </si>
  <si>
    <t>DEL-003</t>
  </si>
  <si>
    <t>PTR Update</t>
  </si>
  <si>
    <t>Biweekly PTR Update</t>
  </si>
  <si>
    <t>Confirm PTR ownership and access.</t>
  </si>
  <si>
    <t>Biweekly</t>
  </si>
  <si>
    <t>DEL-004</t>
  </si>
  <si>
    <t>Schedule Item</t>
  </si>
  <si>
    <t>Contractor Baseline Schedule</t>
  </si>
  <si>
    <t>ACT-001</t>
  </si>
  <si>
    <t>Confirm COR Reporting Expectations</t>
  </si>
  <si>
    <t>DQ-001</t>
  </si>
  <si>
    <t>Design Question</t>
  </si>
  <si>
    <t>Consolidate Building 61 A/E Questions</t>
  </si>
  <si>
    <t>Issue coordinated question package through COR.</t>
  </si>
  <si>
    <t>ACT-002</t>
  </si>
  <si>
    <t>Occupied Room Relocation Planning</t>
  </si>
  <si>
    <t>Hospital direction needed for relocation approach.</t>
  </si>
  <si>
    <t>Pay Application</t>
  </si>
  <si>
    <t>Monthly</t>
  </si>
  <si>
    <t>Report Type</t>
  </si>
  <si>
    <t>Reporting Period Start</t>
  </si>
  <si>
    <t>Reporting Period End</t>
  </si>
  <si>
    <t>Prepared By</t>
  </si>
  <si>
    <t>Reviewed With</t>
  </si>
  <si>
    <t>1. EXECUTIVE SUMMARY</t>
  </si>
  <si>
    <t>Current Status</t>
  </si>
  <si>
    <t>Decision / Action Needed</t>
  </si>
  <si>
    <t>Two-Week Look Ahead</t>
  </si>
  <si>
    <t>Type</t>
  </si>
  <si>
    <t>COR PROJECT STATUS REPORT — PROJECT 518-22-700</t>
  </si>
  <si>
    <t>Project Phase</t>
  </si>
  <si>
    <t>Contractor Schedule</t>
  </si>
  <si>
    <t>Not Received</t>
  </si>
  <si>
    <t>Report Source</t>
  </si>
  <si>
    <t>PMIS assessments + CM/PM Operations</t>
  </si>
  <si>
    <t>2. ASSESSMENT AND FIELD ACTIVITY</t>
  </si>
  <si>
    <t>3. RISKS, DEFICIENCIES, AND OPEN QUESTIONS</t>
  </si>
  <si>
    <t>4. SCHEDULE, SHUTDOWNS, AND OPERATIONAL IMPACTS</t>
  </si>
  <si>
    <t>Requested</t>
  </si>
  <si>
    <t>Operational priorities include obtaining the contractor baseline schedule, coordinating occupied-room relocations, confirming the post-award workflow, validating shutdown requirements, and establishing a reliable two-week look-ahead.</t>
  </si>
  <si>
    <t>5. DESIGN AND TECHNICAL COORDINATION</t>
  </si>
  <si>
    <t>6. QUALITY AND CONSTRUCTION READINESS</t>
  </si>
  <si>
    <t>7. OIT, COMMISSIONING, TURNOVER, AND ACCEPTANCE</t>
  </si>
  <si>
    <t>8. CM/PM DELIVERABLES AND ACTIONS</t>
  </si>
  <si>
    <t>Opened</t>
  </si>
  <si>
    <t>Due</t>
  </si>
  <si>
    <t>Cycle</t>
  </si>
  <si>
    <t>Decision Required</t>
  </si>
  <si>
    <t>9. COR DECISIONS AND TWO-WEEK LOOK AHEAD</t>
  </si>
  <si>
    <t>CM/PM OPERATIONS — CONSOLIDATED REPORTING LAYER</t>
  </si>
  <si>
    <t>Assessment sheets remain the source of truth. This sheet summarizes existing PMIS data by reporting section and provides one manual register only for CM/PM-specific actions, deliverables, and COR decisions.</t>
  </si>
  <si>
    <t>REPORT CONTROLS</t>
  </si>
  <si>
    <t>Period Start</t>
  </si>
  <si>
    <t>Period End</t>
  </si>
  <si>
    <t>1. PROJECT AND ASSESSMENT STATUS</t>
  </si>
  <si>
    <t>2. FIELD AND INSPECTION ACTIVITY</t>
  </si>
  <si>
    <t>4. SCHEDULE, SHUTDOWNS, RELOCATIONS, AND OPERATIONAL IMPACTS</t>
  </si>
  <si>
    <t>Operational Item</t>
  </si>
  <si>
    <t>Required Next Step</t>
  </si>
  <si>
    <t>Inspection planning and sequencing cannot be fully aligned.</t>
  </si>
  <si>
    <t>CM/PM manual register</t>
  </si>
  <si>
    <t>Obtain schedule and perform logic/dependency review.</t>
  </si>
  <si>
    <t>Occupied-Room Relocation</t>
  </si>
  <si>
    <t>In Development</t>
  </si>
  <si>
    <t>Construction sequencing may displace active hospital functions.</t>
  </si>
  <si>
    <t>Building_Register / assessments</t>
  </si>
  <si>
    <t>Coordinate hospital stakeholders before schedule acceptance.</t>
  </si>
  <si>
    <t>Post-Award Coordination</t>
  </si>
  <si>
    <t>Roles, reporting, RFIs, submittals, and commissioning workflows remain unconfirmed.</t>
  </si>
  <si>
    <t>Hold kickoff and document responsibilities.</t>
  </si>
  <si>
    <t>Shutdown Integration</t>
  </si>
  <si>
    <t>Initial Data Available</t>
  </si>
  <si>
    <t>Hospital operational activities must be integrated into contractor planning.</t>
  </si>
  <si>
    <t>Validate dates, approvals, and stakeholder notification.</t>
  </si>
  <si>
    <t>Continue assessments, document review, and A/E coordination.</t>
  </si>
  <si>
    <t>PMIS / CM/PM</t>
  </si>
  <si>
    <t>Update when contractor schedule is received.</t>
  </si>
  <si>
    <t>Submit every Friday.</t>
  </si>
  <si>
    <t>Compile assessment, inspection, risk, question, shutdown, and look-ahead data; Paul final review.</t>
  </si>
  <si>
    <t>Prepare current comments, dates, issues, and milestone status at least 24 hours before meeting.</t>
  </si>
  <si>
    <t>SCH-001</t>
  </si>
  <si>
    <t>Contractor schedule has not been received.</t>
  </si>
  <si>
    <t>Obtain and review logic, shutdowns, relocations, submittals, procurement, testing, and commissioning dependencies.</t>
  </si>
  <si>
    <t>Confirm templates, routing, due dates, minutes, PTR, and storage.</t>
  </si>
  <si>
    <t>Document agreed reporting workflow before first recurring submission.</t>
  </si>
  <si>
    <t>A/E clarification required.</t>
  </si>
  <si>
    <t>Coordinate stakeholders before contractor sequencing is accepted.</t>
  </si>
  <si>
    <t>GC Pay Application Review</t>
  </si>
  <si>
    <t>Review within five business days of receipt.</t>
  </si>
  <si>
    <t>Verify work complete versus work billed using schedule, assessments, field records, and deficiencies.</t>
  </si>
  <si>
    <t>Commissioning Responsibility Matrix</t>
  </si>
  <si>
    <t>Confirm roles after kickoff.</t>
  </si>
  <si>
    <t>Establish prerequisites, testing, documentation, training, and acceptance responsibilities.</t>
  </si>
  <si>
    <t>Pilot / Specs</t>
  </si>
  <si>
    <t>9. COR DECISIONS REQUIRED AND TWO-WEEK LOOK AHEAD</t>
  </si>
  <si>
    <t>Two-week look ahead: continue assessment completion; consolidate A/E questions; obtain and review the contractor baseline schedule; confirm COR reporting procedures; coordinate occupied-room relocation impacts; validate shutdown requirements; and establish commissioning responsibilities after the post-award meeting.</t>
  </si>
  <si>
    <t>8. CM/PM DELIVERABLES, ACTIONS, AND CONTRACT ADMINISTRATION — MAPPED FROM PROJECT_REGISTER</t>
  </si>
  <si>
    <t>Floor / Room</t>
  </si>
  <si>
    <t>Detailed Description</t>
  </si>
  <si>
    <t>Source / Origin</t>
  </si>
  <si>
    <t>Originator</t>
  </si>
  <si>
    <t>Support</t>
  </si>
  <si>
    <t>Days Open</t>
  </si>
  <si>
    <t>Days to Due</t>
  </si>
  <si>
    <t>Schedule Impact</t>
  </si>
  <si>
    <t>Cost Impact</t>
  </si>
  <si>
    <t>Operational Impact</t>
  </si>
  <si>
    <t>Report Section</t>
  </si>
  <si>
    <t>Executive Summary Item</t>
  </si>
  <si>
    <t>Look-Ahead Item</t>
  </si>
  <si>
    <t>Linked Assessment</t>
  </si>
  <si>
    <t>Linked Shutdown</t>
  </si>
  <si>
    <t>Linked Document</t>
  </si>
  <si>
    <t>Drawing Reference</t>
  </si>
  <si>
    <t>Meeting / Reference</t>
  </si>
  <si>
    <t>Last Updated</t>
  </si>
  <si>
    <t>Report Sequence</t>
  </si>
  <si>
    <t>Decision Sequence</t>
  </si>
  <si>
    <t>Look-Ahead Sequence</t>
  </si>
  <si>
    <t>Contract Requirement</t>
  </si>
  <si>
    <t>None</t>
  </si>
  <si>
    <t>CM/PM Deliverables and Actions</t>
  </si>
  <si>
    <t>Potential</t>
  </si>
  <si>
    <t>Schedule</t>
  </si>
  <si>
    <t>Current Project Status</t>
  </si>
  <si>
    <t>Contractor</t>
  </si>
  <si>
    <t>Confirmed</t>
  </si>
  <si>
    <t>Schedule and Operational Impacts</t>
  </si>
  <si>
    <t>Contract Admin</t>
  </si>
  <si>
    <t>Startup Coordination</t>
  </si>
  <si>
    <t>Design</t>
  </si>
  <si>
    <t>Multi-Discipline</t>
  </si>
  <si>
    <t>Field Assessment</t>
  </si>
  <si>
    <t>Design and Technical Coordination</t>
  </si>
  <si>
    <t>Operations</t>
  </si>
  <si>
    <t>Building Assessments</t>
  </si>
  <si>
    <t>Cost</t>
  </si>
  <si>
    <t>Cost Control</t>
  </si>
  <si>
    <t>Cost and Contract Administration</t>
  </si>
  <si>
    <t>OIT, Commissioning and Acceptance</t>
  </si>
  <si>
    <t>Yes / No</t>
  </si>
  <si>
    <t>Daily</t>
  </si>
  <si>
    <t>Executive Summary</t>
  </si>
  <si>
    <t>Assessment and Field Activity</t>
  </si>
  <si>
    <t>Quality</t>
  </si>
  <si>
    <t>Risks / Deficiencies / Questions</t>
  </si>
  <si>
    <t>Meeting</t>
  </si>
  <si>
    <t>COR</t>
  </si>
  <si>
    <t>RFI</t>
  </si>
  <si>
    <t>CO / CS</t>
  </si>
  <si>
    <t>Quarterly</t>
  </si>
  <si>
    <t>A/E</t>
  </si>
  <si>
    <t>As Required</t>
  </si>
  <si>
    <t>Quality and Construction Readiness</t>
  </si>
  <si>
    <t>GC</t>
  </si>
  <si>
    <t>Continuous</t>
  </si>
  <si>
    <t>Shutdown Coordination</t>
  </si>
  <si>
    <t>One-Time</t>
  </si>
  <si>
    <t>OIT</t>
  </si>
  <si>
    <t>VA OIT</t>
  </si>
  <si>
    <t>Hospital Stakeholder</t>
  </si>
  <si>
    <t>COR Decisions and Look-Ahead</t>
  </si>
  <si>
    <t>Stakeholder Coordination</t>
  </si>
  <si>
    <t>Other</t>
  </si>
  <si>
    <t>Deferred</t>
  </si>
  <si>
    <t>Issue</t>
  </si>
  <si>
    <t>Change</t>
  </si>
  <si>
    <t>Project Review</t>
  </si>
  <si>
    <t>Claim Support</t>
  </si>
  <si>
    <t>Observation</t>
  </si>
  <si>
    <t>Recurring weekly report covering assessment, inspection, risk, question, shutdown, and look-ahead data.</t>
  </si>
  <si>
    <t>Consolidate questions identified from field walks, plans, specifications, and existing conditions.</t>
  </si>
  <si>
    <t>Identify occupied rooms and coordinate relocation or operational sequencing requirements.</t>
  </si>
  <si>
    <t>Review payment applications against field progress, schedule, approved changes, stored materials, and deficiencies.</t>
  </si>
  <si>
    <t>PROJECT REGISTER — SINGLE MANAGEMENT INPUT</t>
  </si>
  <si>
    <t>Enter each CM/PM management item once. Dropdowns and reporting flags control how records appear in CM_PM Operations and COR_Report. All formulas are local to this workbook.</t>
  </si>
  <si>
    <t>Project Register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</si>
</sst>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m/d/yyyy\ h:mm\ AM/PM"/>
    <numFmt numFmtId="165" formatCode="0.0"/>
    <numFmt numFmtId="166" formatCode="0.0000"/>
    <numFmt numFmtId="167" formatCode="mmm\ d\,\ yyyy"/>
    <numFmt numFmtId="168" formatCode="mm/dd/yyyy"/>
  </numFmts>
  <fonts count="171">
    <font>
      <sz val="10"/>
      <name val="Arial"/>
    </font>
    <font>
      <sz val="11"/>
      <color theme="10"/>
      <name val="Calibri"/>
      <family val="2"/>
    </font>
    <font>
      <sz val="11"/>
      <name val="Calibri"/>
      <family val="2"/>
    </font>
    <font>
      <sz val="10"/>
      <color rgb="FFCBD5E1"/>
      <name val="Aptos"/>
      <family val="2"/>
    </font>
    <font>
      <b/>
      <sz val="14"/>
      <color rgb="FFF8FAFC"/>
      <name val="Aptos"/>
      <family val="2"/>
    </font>
    <font>
      <b/>
      <sz val="10"/>
      <color rgb="FFF8FAFC"/>
      <name val="Aptos"/>
      <family val="2"/>
    </font>
    <font>
      <b/>
      <sz val="12"/>
      <color rgb="FFF8FAFC"/>
      <name val="Aptos"/>
      <family val="2"/>
    </font>
    <font>
      <sz val="10"/>
      <color rgb="FFF8FAFC"/>
      <name val="Aptos"/>
      <family val="2"/>
    </font>
    <font>
      <b/>
      <sz val="16"/>
      <color rgb="FFFFFFFF"/>
      <name val="Calibri"/>
      <family val="2"/>
    </font>
    <font>
      <b/>
      <sz val="11"/>
      <color rgb="FF0B1F3A"/>
      <name val="Calibri"/>
      <family val="2"/>
    </font>
    <font>
      <b/>
      <sz val="11"/>
      <color rgb="FFFFFFFF"/>
      <name val="Calibri"/>
      <family val="2"/>
    </font>
    <font>
      <sz val="11"/>
      <color rgb="FF0B1F3A"/>
      <name val="Calibri"/>
      <family val="2"/>
    </font>
    <font>
      <sz val="10"/>
      <color rgb="FF0B1F3A"/>
      <name val="Calibri"/>
      <family val="2"/>
    </font>
    <font>
      <b/>
      <sz val="11"/>
      <color rgb="FFF8FAFC"/>
      <name val="Aptos"/>
      <family val="2"/>
    </font>
    <font>
      <b/>
      <sz val="10"/>
      <color rgb="FF0B1F3A"/>
      <name val="Calibri"/>
      <family val="2"/>
    </font>
    <font>
      <b/>
      <sz val="14"/>
      <color rgb="FFFFFFFF"/>
      <name val="Calibri"/>
      <family val="2"/>
    </font>
    <font>
      <b/>
      <sz val="11"/>
      <name val="Calibri"/>
      <family val="2"/>
    </font>
    <font>
      <b/>
      <sz val="13"/>
      <color rgb="FFFFFFFF"/>
      <name val="Calibri"/>
      <family val="2"/>
    </font>
    <font>
      <b/>
      <sz val="11"/>
      <color rgb="FF163A5F"/>
      <name val="Calibri"/>
      <family val="2"/>
    </font>
    <font>
      <b/>
      <sz val="15"/>
      <color rgb="FFFFFFFF"/>
      <name val="Calibri"/>
      <family val="2"/>
    </font>
    <font>
      <b/>
      <sz val="12"/>
      <color rgb="FF163A5F"/>
      <name val="Calibri"/>
      <family val="2"/>
    </font>
    <font>
      <b/>
      <sz val="10"/>
      <color rgb="FFFFFFFF"/>
      <name val="Calibri"/>
      <family val="2"/>
    </font>
    <font>
      <sz val="9"/>
      <color rgb="FF0B1F3A"/>
      <name val="Calibri"/>
      <family val="2"/>
    </font>
    <font>
      <b/>
      <sz val="10"/>
      <color rgb="FFF5F7FA"/>
      <name val="Arial"/>
      <family val="2"/>
    </font>
    <font>
      <i/>
      <sz val="9"/>
      <color rgb="FFB7C9DA"/>
      <name val="Arial"/>
      <family val="2"/>
    </font>
    <font>
      <sz val="9"/>
      <color rgb="FFF5F7FA"/>
      <name val="Arial"/>
      <family val="2"/>
    </font>
    <font>
      <b/>
      <sz val="9"/>
      <color rgb="FFF5F7FA"/>
      <name val="Arial"/>
      <family val="2"/>
    </font>
    <font>
      <b/>
      <sz val="13"/>
      <color rgb="FFF5F7FA"/>
      <name val="Arial"/>
      <family val="2"/>
    </font>
    <font>
      <sz val="10"/>
      <color rgb="FFF5F7FA"/>
      <name val="Arial"/>
      <family val="2"/>
    </font>
    <font>
      <b/>
      <sz val="11"/>
      <color rgb="FFF5F7FA"/>
      <name val="Arial"/>
      <family val="2"/>
    </font>
    <font>
      <b/>
      <sz val="12"/>
      <color rgb="FFF5F7FA"/>
      <name val="Arial"/>
      <family val="2"/>
    </font>
    <font>
      <sz val="8"/>
      <color rgb="FFF5F7FA"/>
      <name val="Arial"/>
      <family val="2"/>
    </font>
    <font>
      <b/>
      <sz val="11"/>
      <color rgb="FFFFFFFF"/>
      <name val="Cambria"/>
      <family val="1"/>
    </font>
    <font>
      <sz val="9"/>
      <color rgb="FF666666"/>
      <name val="Calibri"/>
      <family val="2"/>
    </font>
    <font>
      <b/>
      <sz val="11"/>
      <color rgb="FF333333"/>
      <name val="Calibri"/>
      <family val="2"/>
    </font>
    <font>
      <sz val="10"/>
      <color rgb="FF000000"/>
      <name val="Calibri"/>
      <family val="2"/>
    </font>
    <font>
      <sz val="11"/>
      <color rgb="FF000000"/>
      <name val="Calibri"/>
      <family val="2"/>
    </font>
    <font>
      <b/>
      <sz val="12"/>
      <color rgb="FFFFFFFF"/>
      <name val="Calibri"/>
      <family val="2"/>
    </font>
    <font>
      <b/>
      <sz val="18"/>
      <color rgb="FFFFFFFF"/>
      <name val="Calibri"/>
      <family val="2"/>
    </font>
    <font>
      <b/>
      <sz val="9"/>
      <color rgb="FFFFFFFF"/>
      <name val="Cambria"/>
      <family val="1"/>
    </font>
    <font>
      <b/>
      <i/>
      <sz val="10"/>
      <color rgb="FFFFFFFF"/>
      <name val="Calibri"/>
      <family val="2"/>
    </font>
    <font>
      <b/>
      <sz val="13"/>
      <color rgb="FF0B1F3A"/>
      <name val="Calibri"/>
      <family val="2"/>
    </font>
    <font>
      <b/>
      <sz val="9"/>
      <color rgb="FFFFFFFF"/>
      <name val="Calibri"/>
      <family val="2"/>
    </font>
    <font>
      <b/>
      <sz val="16"/>
      <color rgb="FF0B1F3A"/>
      <name val="Calibri"/>
      <family val="2"/>
    </font>
    <font>
      <b/>
      <sz val="12"/>
      <color rgb="FF0B1F3A"/>
      <name val="Calibri"/>
      <family val="2"/>
    </font>
    <font>
      <b/>
      <sz val="9"/>
      <color rgb="FF0B1F3A"/>
      <name val="Calibri"/>
      <family val="2"/>
    </font>
    <font>
      <b/>
      <i/>
      <sz val="10"/>
      <color rgb="FF0B1F3A"/>
      <name val="Calibri"/>
      <family val="2"/>
    </font>
    <font>
      <b/>
      <sz val="18"/>
      <name val="Calibri"/>
      <family val="2"/>
    </font>
    <font>
      <b/>
      <sz val="24"/>
      <name val="Calibri"/>
      <family val="2"/>
    </font>
    <font>
      <b/>
      <sz val="13"/>
      <name val="Calibri"/>
      <family val="2"/>
    </font>
    <font>
      <sz val="9"/>
      <name val="Calibri"/>
      <family val="2"/>
    </font>
    <font>
      <b/>
      <sz val="10"/>
      <color rgb="FFFFFFFF"/>
      <name val="Arial"/>
      <family val="2"/>
    </font>
    <font>
      <b/>
      <sz val="14"/>
      <color rgb="FFFFFFFF"/>
      <name val="Cambria"/>
      <family val="1"/>
    </font>
    <font>
      <b/>
      <sz val="10"/>
      <color rgb="FFFFFFFF"/>
      <name val="Aptos"/>
      <family val="2"/>
    </font>
    <font>
      <b/>
      <sz val="10"/>
      <color rgb="FFD9EAF7"/>
      <name val="Cambria"/>
      <family val="1"/>
    </font>
    <font>
      <sz val="10"/>
      <color theme="10"/>
      <name val="Arial"/>
      <family val="2"/>
    </font>
    <font>
      <sz val="8"/>
      <color rgb="FFCBD5E1"/>
      <name val="Aptos"/>
      <family val="2"/>
    </font>
    <font>
      <sz val="8"/>
      <color rgb="FFF8FAFC"/>
      <name val="Aptos"/>
      <family val="2"/>
    </font>
    <font>
      <sz val="8"/>
      <name val="Arial"/>
      <family val="2"/>
    </font>
    <font>
      <b/>
      <sz val="8"/>
      <color rgb="FFF8FAFC"/>
      <name val="Aptos"/>
      <family val="2"/>
    </font>
    <font>
      <sz val="9"/>
      <name val="Arial"/>
      <family val="2"/>
    </font>
    <font>
      <b/>
      <sz val="10"/>
      <name val="Aptos"/>
      <family val="2"/>
    </font>
    <font>
      <sz val="10"/>
      <color rgb="FFF8FAFC"/>
      <name val="Arial"/>
      <family val="2"/>
    </font>
    <font>
      <b/>
      <sz val="10"/>
      <color theme="0"/>
      <name val="Aptos"/>
      <family val="2"/>
    </font>
    <font>
      <b/>
      <sz val="10"/>
      <color theme="0"/>
      <name val="Arial"/>
      <family val="2"/>
    </font>
    <font>
      <b/>
      <sz val="8"/>
      <color theme="0"/>
      <name val="Aptos"/>
      <family val="2"/>
    </font>
    <font>
      <b/>
      <sz val="8"/>
      <color theme="0"/>
      <name val="Arial"/>
      <family val="2"/>
    </font>
    <font>
      <b/>
      <sz val="10"/>
      <color rgb="FF7F6000"/>
      <name val="Arial"/>
      <family val="2"/>
    </font>
    <font>
      <b/>
      <sz val="14"/>
      <color rgb="FFFFFFFF"/>
      <name val="Arial"/>
      <family val="2"/>
    </font>
    <font>
      <sz val="10"/>
      <color rgb="FF111827"/>
      <name val="Arial"/>
      <family val="2"/>
    </font>
    <font>
      <b/>
      <sz val="10"/>
      <color rgb="FFFFFFFF"/>
      <name val="Arial"/>
      <family val="2"/>
    </font>
    <font>
      <b/>
      <sz val="10"/>
      <color rgb="FF2F80ED"/>
      <name val="Arial"/>
      <family val="2"/>
    </font>
    <font>
      <b/>
      <sz val="14"/>
      <color rgb="FFFFFFFF"/>
      <name val="Arial"/>
      <family val="2"/>
    </font>
    <font>
      <i/>
      <sz val="10"/>
      <color rgb="FF111827"/>
      <name val="Arial"/>
      <family val="2"/>
    </font>
    <font>
      <b/>
      <sz val="10"/>
      <color rgb="FF111827"/>
      <name val="Arial"/>
      <family val="2"/>
    </font>
    <font>
      <b/>
      <sz val="10"/>
      <color rgb="FF2F80ED"/>
      <name val="Aptos"/>
      <family val="2"/>
    </font>
    <font>
      <sz val="10"/>
      <name val="Arial"/>
      <family val="2"/>
    </font>
    <font>
      <b/>
      <sz val="9"/>
      <color theme="1" tint="4.9989318521683403E-2"/>
      <name val="Arial"/>
      <family val="2"/>
    </font>
    <font>
      <b/>
      <sz val="18"/>
      <color theme="1" tint="4.9989318521683403E-2"/>
      <name val="Arial"/>
      <family val="2"/>
    </font>
    <font>
      <b/>
      <sz val="11"/>
      <color rgb="FF7DD3FC"/>
      <name val="Aptos"/>
      <family val="2"/>
    </font>
    <font>
      <b/>
      <sz val="11"/>
      <color rgb="FFFCA5A5"/>
      <name val="Aptos"/>
      <family val="2"/>
    </font>
    <font>
      <b/>
      <sz val="11"/>
      <color rgb="FFC4B5FD"/>
      <name val="Aptos"/>
      <family val="2"/>
    </font>
    <font>
      <b/>
      <sz val="11"/>
      <color rgb="FFFCD34D"/>
      <name val="Aptos"/>
      <family val="2"/>
    </font>
    <font>
      <b/>
      <sz val="11"/>
      <color rgb="FFFDE68A"/>
      <name val="Aptos"/>
      <family val="2"/>
    </font>
    <font>
      <b/>
      <sz val="11"/>
      <color rgb="FF86EFAC"/>
      <name val="Aptos"/>
      <family val="2"/>
    </font>
    <font>
      <b/>
      <sz val="15"/>
      <color rgb="FFE5F2FF"/>
      <name val="Aptos"/>
      <family val="2"/>
    </font>
    <font>
      <b/>
      <sz val="11"/>
      <color rgb="FFA7F3D0"/>
      <name val="Aptos"/>
      <family val="2"/>
    </font>
    <font>
      <b/>
      <sz val="9"/>
      <color rgb="FF93C5FD"/>
      <name val="Aptos"/>
      <family val="2"/>
    </font>
    <font>
      <b/>
      <sz val="13"/>
      <color rgb="FFFFFFFF"/>
      <name val="Aptos"/>
      <family val="2"/>
    </font>
    <font>
      <sz val="10"/>
      <color rgb="FFE5E7EB"/>
      <name val="Aptos"/>
      <family val="2"/>
    </font>
    <font>
      <b/>
      <sz val="10"/>
      <color rgb="FFA7F3D0"/>
      <name val="Aptos"/>
      <family val="2"/>
    </font>
    <font>
      <b/>
      <sz val="11"/>
      <color rgb="FFFFFFFF"/>
      <name val="Aptos"/>
      <family val="2"/>
    </font>
    <font>
      <b/>
      <sz val="11"/>
      <name val="Arial"/>
      <family val="2"/>
    </font>
    <font>
      <b/>
      <sz val="12"/>
      <color rgb="FFF4F7FA"/>
      <name val="Aptos"/>
      <family val="2"/>
    </font>
    <font>
      <sz val="12"/>
      <name val="Arial"/>
      <family val="2"/>
    </font>
    <font>
      <b/>
      <sz val="8"/>
      <color rgb="FFFFFFFF"/>
      <name val="Aptos"/>
      <family val="2"/>
    </font>
    <font>
      <b/>
      <sz val="10"/>
      <color theme="1"/>
      <name val="Aptos"/>
      <family val="2"/>
    </font>
    <font>
      <b/>
      <sz val="18"/>
      <color rgb="FF082F67"/>
      <name val="Arial"/>
      <family val="2"/>
    </font>
    <font>
      <b/>
      <sz val="30"/>
      <color rgb="FF082F67"/>
      <name val="Arial"/>
      <family val="2"/>
    </font>
    <font>
      <b/>
      <sz val="16"/>
      <color rgb="FF102033"/>
      <name val="Arial"/>
      <family val="2"/>
    </font>
    <font>
      <b/>
      <sz val="18"/>
      <color rgb="FF2F66A3"/>
      <name val="Arial"/>
      <family val="2"/>
    </font>
    <font>
      <sz val="12"/>
      <color rgb="FF102033"/>
      <name val="Arial"/>
      <family val="2"/>
    </font>
    <font>
      <i/>
      <sz val="12"/>
      <color rgb="FF6C7480"/>
      <name val="Arial"/>
      <family val="2"/>
    </font>
    <font>
      <b/>
      <sz val="11"/>
      <color rgb="FFFFFFFF"/>
      <name val="Arial"/>
      <family val="2"/>
    </font>
    <font>
      <b/>
      <sz val="28"/>
      <color rgb="FF2E8B3C"/>
      <name val="Arial"/>
      <family val="2"/>
    </font>
    <font>
      <b/>
      <sz val="28"/>
      <color rgb="FF2F66A3"/>
      <name val="Arial"/>
      <family val="2"/>
    </font>
    <font>
      <b/>
      <sz val="28"/>
      <color rgb="FF5C2A91"/>
      <name val="Arial"/>
      <family val="2"/>
    </font>
    <font>
      <b/>
      <sz val="28"/>
      <color rgb="FFF28C00"/>
      <name val="Arial"/>
      <family val="2"/>
    </font>
    <font>
      <b/>
      <sz val="28"/>
      <color rgb="FFC1272D"/>
      <name val="Arial"/>
      <family val="2"/>
    </font>
    <font>
      <sz val="10"/>
      <color rgb="FF102033"/>
      <name val="Arial"/>
      <family val="2"/>
    </font>
    <font>
      <b/>
      <sz val="12"/>
      <color rgb="FFFFFFFF"/>
      <name val="Arial"/>
      <family val="2"/>
    </font>
    <font>
      <b/>
      <sz val="14"/>
      <color rgb="FF082F67"/>
      <name val="Arial"/>
      <family val="2"/>
    </font>
    <font>
      <b/>
      <sz val="10"/>
      <color rgb="FF102033"/>
      <name val="Arial"/>
      <family val="2"/>
    </font>
    <font>
      <b/>
      <sz val="11"/>
      <color rgb="FF102033"/>
      <name val="Arial"/>
      <family val="2"/>
    </font>
    <font>
      <b/>
      <sz val="16"/>
      <color rgb="FF5C2A91"/>
      <name val="Arial"/>
      <family val="2"/>
    </font>
    <font>
      <sz val="11"/>
      <color rgb="FF102033"/>
      <name val="Arial"/>
      <family val="2"/>
    </font>
    <font>
      <b/>
      <sz val="11"/>
      <color rgb="FF2E8B3C"/>
      <name val="Arial"/>
      <family val="2"/>
    </font>
    <font>
      <b/>
      <sz val="14"/>
      <color rgb="FF2E8B3C"/>
      <name val="Arial"/>
      <family val="2"/>
    </font>
    <font>
      <b/>
      <sz val="16"/>
      <color rgb="FFF28C00"/>
      <name val="Arial"/>
      <family val="2"/>
    </font>
    <font>
      <b/>
      <sz val="16"/>
      <color rgb="FF2F66A3"/>
      <name val="Arial"/>
      <family val="2"/>
    </font>
    <font>
      <b/>
      <sz val="22"/>
      <color rgb="FF2E8B3C"/>
      <name val="Arial"/>
      <family val="2"/>
    </font>
    <font>
      <b/>
      <sz val="16"/>
      <color rgb="FFC1272D"/>
      <name val="Arial"/>
      <family val="2"/>
    </font>
    <font>
      <b/>
      <sz val="9"/>
      <color rgb="FF145A20"/>
      <name val="Arial"/>
      <family val="2"/>
    </font>
    <font>
      <b/>
      <sz val="9"/>
      <name val="Arial"/>
      <family val="2"/>
    </font>
    <font>
      <b/>
      <sz val="12"/>
      <name val="Arial"/>
      <family val="2"/>
    </font>
    <font>
      <b/>
      <sz val="16"/>
      <color rgb="FFFFFFFF"/>
      <name val="Carlito"/>
    </font>
    <font>
      <i/>
      <sz val="11"/>
      <color rgb="FFFFFFFF"/>
      <name val="Carlito"/>
    </font>
    <font>
      <b/>
      <sz val="11"/>
      <color rgb="FFFFFFFF"/>
      <name val="Carlito"/>
    </font>
    <font>
      <sz val="9"/>
      <color rgb="FF0B1F3A"/>
      <name val="Carlito"/>
    </font>
    <font>
      <b/>
      <sz val="11"/>
      <color rgb="FF0B1F3A"/>
      <name val="Carlito"/>
    </font>
    <font>
      <b/>
      <sz val="11"/>
      <color rgb="FF102033"/>
      <name val="Arial"/>
      <family val="2"/>
    </font>
    <font>
      <sz val="10"/>
      <color theme="0"/>
      <name val="Arial"/>
      <family val="2"/>
    </font>
    <font>
      <b/>
      <sz val="18"/>
      <color rgb="FFA7F3D0"/>
      <name val="Aptos"/>
      <family val="2"/>
    </font>
    <font>
      <sz val="10"/>
      <color rgb="FF1F2937"/>
      <name val="Arial"/>
      <family val="2"/>
    </font>
    <font>
      <b/>
      <sz val="10"/>
      <color rgb="FF7A5200"/>
      <name val="Arial"/>
      <family val="2"/>
    </font>
    <font>
      <b/>
      <sz val="10"/>
      <name val="Arial"/>
      <family val="2"/>
    </font>
    <font>
      <b/>
      <sz val="26"/>
      <color rgb="FFE5F2FF"/>
      <name val="Aptos"/>
      <family val="2"/>
    </font>
    <font>
      <sz val="26"/>
      <color rgb="FFCBD5E1"/>
      <name val="Aptos"/>
      <family val="2"/>
    </font>
    <font>
      <sz val="26"/>
      <name val="Arial"/>
      <family val="2"/>
    </font>
    <font>
      <b/>
      <sz val="10"/>
      <color rgb="FF0B1F3A"/>
      <name val="Carlito"/>
    </font>
    <font>
      <b/>
      <sz val="9"/>
      <color rgb="FFFFFFFF"/>
      <name val="Carlito"/>
    </font>
    <font>
      <b/>
      <sz val="11"/>
      <name val="Carlito"/>
    </font>
    <font>
      <b/>
      <sz val="11"/>
      <color theme="1"/>
      <name val="Calibri"/>
      <family val="2"/>
      <scheme val="minor"/>
    </font>
    <font>
      <b/>
      <sz val="11"/>
      <color rgb="FFFFFFFF"/>
      <name val="Calibri"/>
      <family val="2"/>
    </font>
    <font>
      <b/>
      <sz val="11"/>
      <name val="Calibri"/>
      <family val="2"/>
    </font>
    <font>
      <b/>
      <sz val="12"/>
      <name val="Calibri"/>
      <family val="2"/>
    </font>
    <font>
      <sz val="11"/>
      <name val="Carlito"/>
    </font>
    <font>
      <b/>
      <sz val="11"/>
      <color theme="1"/>
      <name val="Calibri"/>
      <family val="2"/>
    </font>
    <font>
      <b/>
      <sz val="11"/>
      <color rgb="FFFFFFFF"/>
      <name val="Aptos Narrow"/>
      <family val="2"/>
    </font>
    <font>
      <b/>
      <sz val="11"/>
      <color rgb="FFFFFFFF"/>
      <name val="Aptos Narrow"/>
      <family val="2"/>
    </font>
    <font>
      <b/>
      <sz val="12"/>
      <color theme="0"/>
      <name val="Arial"/>
      <family val="2"/>
    </font>
    <font>
      <b/>
      <sz val="18"/>
      <name val="Arial"/>
      <family val="2"/>
    </font>
    <font>
      <b/>
      <sz val="26"/>
      <color rgb="FF2E8B3C"/>
      <name val="Arial"/>
      <family val="2"/>
    </font>
    <font>
      <b/>
      <sz val="14"/>
      <name val="Arial"/>
      <family val="2"/>
    </font>
    <font>
      <b/>
      <sz val="26"/>
      <color rgb="FF082F67"/>
      <name val="Arial"/>
      <family val="2"/>
    </font>
    <font>
      <b/>
      <sz val="11"/>
      <color rgb="FFFFFFFF"/>
      <name val="Arial"/>
      <family val="2"/>
    </font>
    <font>
      <b/>
      <sz val="18"/>
      <color rgb="FF2E8B3C"/>
      <name val="Arial"/>
      <family val="2"/>
    </font>
    <font>
      <b/>
      <sz val="12"/>
      <color rgb="FF2E8B3C"/>
      <name val="Arial"/>
      <family val="2"/>
    </font>
    <font>
      <b/>
      <sz val="9"/>
      <color rgb="FF17365D"/>
      <name val="Carlito"/>
    </font>
    <font>
      <b/>
      <sz val="16"/>
      <color rgb="FF17365D"/>
      <name val="Carlito"/>
    </font>
    <font>
      <i/>
      <sz val="9"/>
      <color rgb="FF404040"/>
      <name val="Carlito"/>
    </font>
    <font>
      <b/>
      <sz val="18"/>
      <color rgb="FF17365D"/>
      <name val="Carlito"/>
    </font>
    <font>
      <b/>
      <sz val="9"/>
      <color rgb="FFFFFFFF"/>
      <name val="Arial"/>
    </font>
    <font>
      <b/>
      <sz val="16"/>
      <color rgb="FFFFFFFF"/>
      <name val="Arial"/>
    </font>
    <font>
      <i/>
      <sz val="9"/>
      <color rgb="FF404040"/>
      <name val="Arial"/>
    </font>
    <font>
      <b/>
      <sz val="16"/>
      <color rgb="FFFFFFFF"/>
      <name val="Calibri"/>
    </font>
    <font>
      <sz val="11"/>
      <name val="Calibri"/>
    </font>
    <font>
      <b/>
      <sz val="11"/>
      <color rgb="FF0B1F3A"/>
      <name val="Calibri"/>
    </font>
    <font>
      <b/>
      <sz val="11"/>
      <color rgb="FFFFFFFF"/>
      <name val="Calibri"/>
    </font>
    <font>
      <sz val="11"/>
      <color rgb="FF0B1F3A"/>
      <name val="Calibri"/>
    </font>
    <font>
      <b/>
      <sz val="11"/>
      <name val="Calibri"/>
    </font>
  </fonts>
  <fills count="109">
    <fill>
      <patternFill patternType="none"/>
    </fill>
    <fill>
      <patternFill patternType="gray125"/>
    </fill>
    <fill>
      <patternFill patternType="solid">
        <fgColor rgb="FF0B1220"/>
      </patternFill>
    </fill>
    <fill>
      <patternFill patternType="mediumGray">
        <fgColor rgb="FF000000"/>
        <bgColor rgb="FF0B1220"/>
      </patternFill>
    </fill>
    <fill>
      <patternFill patternType="solid">
        <fgColor rgb="FF0F2742"/>
      </patternFill>
    </fill>
    <fill>
      <patternFill patternType="solid">
        <fgColor rgb="FF172033"/>
      </patternFill>
    </fill>
    <fill>
      <patternFill patternType="solid">
        <fgColor rgb="FF111827"/>
      </patternFill>
    </fill>
    <fill>
      <patternFill patternType="solid">
        <fgColor rgb="FF163A60"/>
      </patternFill>
    </fill>
    <fill>
      <patternFill patternType="solid">
        <fgColor rgb="FFDDE8F3"/>
      </patternFill>
    </fill>
    <fill>
      <patternFill patternType="solid">
        <fgColor rgb="FFFFFFFF"/>
      </patternFill>
    </fill>
    <fill>
      <patternFill patternType="solid">
        <fgColor rgb="FF58A3D2"/>
      </patternFill>
    </fill>
    <fill>
      <patternFill patternType="solid">
        <fgColor rgb="FFF2F2F2"/>
      </patternFill>
    </fill>
    <fill>
      <patternFill patternType="solid">
        <fgColor rgb="FFEEF4FB"/>
      </patternFill>
    </fill>
    <fill>
      <patternFill patternType="solid">
        <fgColor rgb="FF1F4E79"/>
      </patternFill>
    </fill>
    <fill>
      <patternFill patternType="solid">
        <fgColor rgb="FFFFF2CC"/>
      </patternFill>
    </fill>
    <fill>
      <patternFill patternType="solid">
        <fgColor rgb="FF13263A"/>
      </patternFill>
    </fill>
    <fill>
      <patternFill patternType="solid">
        <fgColor rgb="FF1F4E79"/>
      </patternFill>
    </fill>
    <fill>
      <patternFill patternType="solid">
        <fgColor rgb="FF0F1C2A"/>
      </patternFill>
    </fill>
    <fill>
      <patternFill patternType="solid">
        <fgColor rgb="FF244A72"/>
      </patternFill>
    </fill>
    <fill>
      <patternFill patternType="solid">
        <fgColor rgb="FF0F1C2A"/>
      </patternFill>
    </fill>
    <fill>
      <patternFill patternType="solid">
        <fgColor rgb="FF105389"/>
      </patternFill>
    </fill>
    <fill>
      <patternFill patternType="solid">
        <fgColor rgb="FFD9F0D0"/>
      </patternFill>
    </fill>
    <fill>
      <patternFill patternType="solid">
        <fgColor rgb="FFF3F6F8"/>
      </patternFill>
    </fill>
    <fill>
      <patternFill patternType="solid">
        <fgColor rgb="FFD9EAF7"/>
      </patternFill>
    </fill>
    <fill>
      <patternFill patternType="solid">
        <fgColor rgb="FFD9D9D9"/>
      </patternFill>
    </fill>
    <fill>
      <patternFill patternType="solid">
        <fgColor rgb="FF0B1F33"/>
      </patternFill>
    </fill>
    <fill>
      <patternFill patternType="solid">
        <fgColor rgb="FFDCEAF7"/>
      </patternFill>
    </fill>
    <fill>
      <patternFill patternType="solid">
        <fgColor rgb="FFFFFF00"/>
      </patternFill>
    </fill>
    <fill>
      <patternFill patternType="solid">
        <fgColor rgb="FF3475A9"/>
      </patternFill>
    </fill>
    <fill>
      <patternFill patternType="solid">
        <fgColor rgb="FFEAF4FB"/>
      </patternFill>
    </fill>
    <fill>
      <patternFill patternType="solid">
        <fgColor rgb="FFFF0000"/>
      </patternFill>
    </fill>
    <fill>
      <patternFill patternType="darkGray">
        <fgColor theme="3"/>
        <bgColor rgb="FF0F2742"/>
      </patternFill>
    </fill>
    <fill>
      <patternFill patternType="solid">
        <fgColor rgb="FF0E756F"/>
      </patternFill>
    </fill>
    <fill>
      <patternFill patternType="darkGray">
        <fgColor rgb="FF4D5C6B"/>
        <bgColor rgb="FF35546F"/>
      </patternFill>
    </fill>
    <fill>
      <patternFill patternType="solid">
        <fgColor rgb="FF1E4E78"/>
      </patternFill>
    </fill>
    <fill>
      <patternFill patternType="solid">
        <fgColor rgb="FF0B1F33"/>
      </patternFill>
    </fill>
    <fill>
      <patternFill patternType="solid">
        <fgColor rgb="FF0F2132"/>
      </patternFill>
    </fill>
    <fill>
      <patternFill patternType="solid">
        <fgColor theme="1"/>
      </patternFill>
    </fill>
    <fill>
      <patternFill patternType="solid">
        <fgColor theme="1"/>
      </patternFill>
    </fill>
    <fill>
      <patternFill patternType="solid">
        <fgColor rgb="FF1F4E78"/>
      </patternFill>
    </fill>
    <fill>
      <patternFill patternType="solid">
        <fgColor rgb="FFFFF2CC"/>
      </patternFill>
    </fill>
    <fill>
      <patternFill patternType="solid">
        <fgColor rgb="FF1F2937"/>
      </patternFill>
    </fill>
    <fill>
      <patternFill patternType="solid">
        <fgColor rgb="FFF3F6FA"/>
      </patternFill>
    </fill>
    <fill>
      <patternFill patternType="solid">
        <fgColor rgb="FF1F4E78"/>
      </patternFill>
    </fill>
    <fill>
      <patternFill patternType="solid">
        <fgColor rgb="FF111827"/>
      </patternFill>
    </fill>
    <fill>
      <patternFill patternType="solid">
        <fgColor rgb="FFF3F6FA"/>
      </patternFill>
    </fill>
    <fill>
      <patternFill patternType="solid">
        <fgColor rgb="FF1F4E78"/>
      </patternFill>
    </fill>
    <fill>
      <patternFill patternType="solid">
        <fgColor theme="9"/>
      </patternFill>
    </fill>
    <fill>
      <patternFill patternType="solid">
        <fgColor rgb="FFFFC000"/>
      </patternFill>
    </fill>
    <fill>
      <patternFill patternType="solid">
        <fgColor theme="6" tint="-0.49992370372631001"/>
        <bgColor indexed="65"/>
      </patternFill>
    </fill>
    <fill>
      <patternFill patternType="solid">
        <fgColor rgb="FFE3F30D"/>
      </patternFill>
    </fill>
    <fill>
      <patternFill patternType="solid">
        <fgColor rgb="FF0B2A3A"/>
      </patternFill>
    </fill>
    <fill>
      <patternFill patternType="solid">
        <fgColor rgb="FF3B0D0D"/>
      </patternFill>
    </fill>
    <fill>
      <patternFill patternType="solid">
        <fgColor rgb="FF23113D"/>
      </patternFill>
    </fill>
    <fill>
      <patternFill patternType="solid">
        <fgColor rgb="FF3A2A0B"/>
      </patternFill>
    </fill>
    <fill>
      <patternFill patternType="solid">
        <fgColor rgb="FF312E0B"/>
      </patternFill>
    </fill>
    <fill>
      <patternFill patternType="solid">
        <fgColor rgb="FF0B2F1A"/>
      </patternFill>
    </fill>
    <fill>
      <patternFill patternType="solid">
        <fgColor rgb="FF07111F"/>
      </patternFill>
    </fill>
    <fill>
      <patternFill patternType="solid">
        <fgColor rgb="FF0B1726"/>
      </patternFill>
    </fill>
    <fill>
      <patternFill patternType="solid">
        <fgColor rgb="FF0F172A"/>
      </patternFill>
    </fill>
    <fill>
      <patternFill patternType="solid">
        <fgColor rgb="FF0F2A44"/>
      </patternFill>
    </fill>
    <fill>
      <patternFill patternType="solid">
        <fgColor rgb="FF08111E"/>
      </patternFill>
    </fill>
    <fill>
      <patternFill patternType="solid">
        <fgColor rgb="FF14213A"/>
      </patternFill>
    </fill>
    <fill>
      <patternFill patternType="solid">
        <fgColor rgb="FF123A2D"/>
      </patternFill>
    </fill>
    <fill>
      <patternFill patternType="solid">
        <fgColor rgb="FFFFFF00"/>
      </patternFill>
    </fill>
    <fill>
      <patternFill patternType="solid">
        <fgColor theme="3" tint="0.499984740745262"/>
        <bgColor indexed="64"/>
      </patternFill>
    </fill>
    <fill>
      <patternFill patternType="solid">
        <fgColor rgb="FFFFFF00"/>
        <bgColor indexed="64"/>
      </patternFill>
    </fill>
    <fill>
      <patternFill patternType="solid">
        <fgColor theme="8" tint="0.39997558519241921"/>
        <bgColor indexed="64"/>
      </patternFill>
    </fill>
    <fill>
      <patternFill patternType="solid">
        <fgColor rgb="FFFF0000"/>
        <bgColor indexed="64"/>
      </patternFill>
    </fill>
    <fill>
      <patternFill patternType="solid">
        <fgColor theme="6" tint="0.39997558519241921"/>
        <bgColor indexed="64"/>
      </patternFill>
    </fill>
    <fill>
      <patternFill patternType="solid">
        <fgColor theme="0"/>
        <bgColor indexed="64"/>
      </patternFill>
    </fill>
    <fill>
      <patternFill patternType="solid">
        <fgColor theme="1" tint="4.9989318521683403E-2"/>
        <bgColor indexed="64"/>
      </patternFill>
    </fill>
    <fill>
      <patternFill patternType="solid">
        <fgColor rgb="FF0E2238"/>
      </patternFill>
    </fill>
    <fill>
      <patternFill patternType="solid">
        <fgColor theme="4" tint="-0.249977111117893"/>
        <bgColor indexed="64"/>
      </patternFill>
    </fill>
    <fill>
      <patternFill patternType="solid">
        <fgColor rgb="FFF6F8FB"/>
      </patternFill>
    </fill>
    <fill>
      <patternFill patternType="solid">
        <fgColor rgb="FF082F67"/>
      </patternFill>
    </fill>
    <fill>
      <patternFill patternType="solid">
        <fgColor rgb="FFDDE7F2"/>
      </patternFill>
    </fill>
    <fill>
      <patternFill patternType="solid">
        <fgColor rgb="FFEEF2F7"/>
      </patternFill>
    </fill>
    <fill>
      <patternFill patternType="solid">
        <fgColor rgb="FFE8F4E6"/>
      </patternFill>
    </fill>
    <fill>
      <patternFill patternType="solid">
        <fgColor rgb="FF2E8B3C"/>
      </patternFill>
    </fill>
    <fill>
      <patternFill patternType="solid">
        <fgColor rgb="FFA9D18E"/>
      </patternFill>
    </fill>
    <fill>
      <patternFill patternType="solid">
        <fgColor rgb="FFFFD966"/>
      </patternFill>
    </fill>
    <fill>
      <patternFill patternType="solid">
        <fgColor rgb="FFC1272D"/>
      </patternFill>
    </fill>
    <fill>
      <patternFill patternType="solid">
        <fgColor theme="9" tint="0.59999389629810485"/>
        <bgColor indexed="64"/>
      </patternFill>
    </fill>
    <fill>
      <patternFill patternType="solid">
        <fgColor rgb="FF0B1F3A"/>
      </patternFill>
    </fill>
    <fill>
      <patternFill patternType="solid">
        <fgColor rgb="FF163A5F"/>
      </patternFill>
    </fill>
    <fill>
      <patternFill patternType="solid">
        <fgColor rgb="FF2F75B5"/>
      </patternFill>
    </fill>
    <fill>
      <patternFill patternType="solid">
        <fgColor rgb="FF132238"/>
      </patternFill>
    </fill>
    <fill>
      <patternFill patternType="solid">
        <fgColor rgb="FFEAF2F8"/>
      </patternFill>
    </fill>
    <fill>
      <patternFill patternType="solid">
        <fgColor rgb="FFE5E7EB"/>
      </patternFill>
    </fill>
    <fill>
      <patternFill patternType="solid">
        <fgColor theme="1"/>
        <bgColor indexed="64"/>
      </patternFill>
    </fill>
    <fill>
      <patternFill patternType="solid">
        <fgColor rgb="FF203864"/>
      </patternFill>
    </fill>
    <fill>
      <patternFill patternType="solid">
        <fgColor rgb="FFF7FBFD"/>
      </patternFill>
    </fill>
    <fill>
      <patternFill patternType="solid">
        <fgColor rgb="FFE7E6E6"/>
      </patternFill>
    </fill>
    <fill>
      <patternFill patternType="solid">
        <fgColor rgb="FF7030A0"/>
      </patternFill>
    </fill>
    <fill>
      <patternFill patternType="solid">
        <fgColor rgb="FF666666"/>
      </patternFill>
    </fill>
    <fill>
      <patternFill patternType="solid">
        <fgColor rgb="FFD9E2F3"/>
      </patternFill>
    </fill>
    <fill>
      <patternFill patternType="solid">
        <fgColor theme="3" tint="9.9978637043366805E-2"/>
        <bgColor indexed="64"/>
      </patternFill>
    </fill>
    <fill>
      <patternFill patternType="solid">
        <fgColor theme="0" tint="-0.14999847407452621"/>
        <bgColor indexed="64"/>
      </patternFill>
    </fill>
    <fill>
      <patternFill patternType="solid">
        <fgColor theme="0" tint="-0.14999847407452621"/>
        <bgColor indexed="65"/>
      </patternFill>
    </fill>
    <fill>
      <patternFill patternType="darkGray">
        <fgColor rgb="FFFED4AA"/>
        <bgColor theme="0" tint="-0.14999847407452621"/>
      </patternFill>
    </fill>
    <fill>
      <patternFill patternType="solid">
        <fgColor theme="3" tint="0.89999084444715716"/>
        <bgColor indexed="64"/>
      </patternFill>
    </fill>
    <fill>
      <patternFill patternType="solid">
        <fgColor theme="0"/>
      </patternFill>
    </fill>
    <fill>
      <patternFill patternType="darkGray">
        <fgColor rgb="FFFED4AA"/>
        <bgColor theme="0"/>
      </patternFill>
    </fill>
    <fill>
      <patternFill patternType="solid">
        <fgColor theme="6" tint="0.79998168889431442"/>
        <bgColor indexed="64"/>
      </patternFill>
    </fill>
    <fill>
      <patternFill patternType="solid">
        <fgColor theme="5" tint="0.79998168889431442"/>
        <bgColor indexed="64"/>
      </patternFill>
    </fill>
    <fill>
      <patternFill patternType="solid">
        <fgColor theme="9"/>
        <bgColor indexed="64"/>
      </patternFill>
    </fill>
    <fill>
      <patternFill patternType="solid">
        <fgColor rgb="FF17365D"/>
      </patternFill>
    </fill>
    <fill>
      <patternFill patternType="solid">
        <fgColor rgb="FFF3F6F9"/>
      </patternFill>
    </fill>
  </fills>
  <borders count="166">
    <border>
      <left/>
      <right/>
      <top/>
      <bottom/>
      <diagonal/>
    </border>
    <border>
      <left style="thin">
        <color rgb="FF334155"/>
      </left>
      <right style="thin">
        <color rgb="FF334155"/>
      </right>
      <top style="thin">
        <color rgb="FF334155"/>
      </top>
      <bottom style="thin">
        <color rgb="FF334155"/>
      </bottom>
      <diagonal/>
    </border>
    <border>
      <left style="thin">
        <color rgb="FF35546F"/>
      </left>
      <right style="thin">
        <color rgb="FF35546F"/>
      </right>
      <top style="thin">
        <color rgb="FF35546F"/>
      </top>
      <bottom style="thin">
        <color rgb="FF35546F"/>
      </bottom>
      <diagonal/>
    </border>
    <border>
      <left style="thin">
        <color rgb="FFCFDAD8"/>
      </left>
      <right style="thin">
        <color rgb="FFCFDAD8"/>
      </right>
      <top style="thin">
        <color rgb="FFCFDAD8"/>
      </top>
      <bottom style="thin">
        <color rgb="FFCFDAD8"/>
      </bottom>
      <diagonal/>
    </border>
    <border>
      <left/>
      <right style="medium">
        <color auto="1"/>
      </right>
      <top/>
      <bottom style="medium">
        <color auto="1"/>
      </bottom>
      <diagonal/>
    </border>
    <border>
      <left style="thick">
        <color auto="1"/>
      </left>
      <right style="medium">
        <color auto="1"/>
      </right>
      <top/>
      <bottom style="thick">
        <color auto="1"/>
      </bottom>
      <diagonal/>
    </border>
    <border>
      <left style="medium">
        <color auto="1"/>
      </left>
      <right style="medium">
        <color auto="1"/>
      </right>
      <top/>
      <bottom style="medium">
        <color auto="1"/>
      </bottom>
      <diagonal/>
    </border>
    <border>
      <left style="thin">
        <color rgb="FFC7D4EB"/>
      </left>
      <right style="thin">
        <color rgb="FFC7D4EB"/>
      </right>
      <top style="thin">
        <color rgb="FFC7D4EB"/>
      </top>
      <bottom style="thin">
        <color rgb="FFC7D4EB"/>
      </bottom>
      <diagonal/>
    </border>
    <border>
      <left/>
      <right/>
      <top/>
      <bottom style="thin">
        <color rgb="FF3475A9"/>
      </bottom>
      <diagonal/>
    </border>
    <border>
      <left/>
      <right/>
      <top/>
      <bottom style="thin">
        <color rgb="FFDDE8F3"/>
      </bottom>
      <diagonal/>
    </border>
    <border>
      <left style="thin">
        <color rgb="FF33546B"/>
      </left>
      <right style="thin">
        <color rgb="FF33546B"/>
      </right>
      <top style="thin">
        <color rgb="FF33546B"/>
      </top>
      <bottom style="thin">
        <color rgb="FF33546B"/>
      </bottom>
      <diagonal/>
    </border>
    <border>
      <left/>
      <right/>
      <top/>
      <bottom/>
      <diagonal/>
    </border>
    <border>
      <left style="thin">
        <color rgb="FF334155"/>
      </left>
      <right style="thin">
        <color rgb="FF334155"/>
      </right>
      <top style="thin">
        <color rgb="FF334155"/>
      </top>
      <bottom style="thin">
        <color rgb="FF334155"/>
      </bottom>
      <diagonal/>
    </border>
    <border>
      <left style="thin">
        <color rgb="FF35546F"/>
      </left>
      <right style="thin">
        <color rgb="FF35546F"/>
      </right>
      <top style="thin">
        <color rgb="FF35546F"/>
      </top>
      <bottom style="thin">
        <color rgb="FF35546F"/>
      </bottom>
      <diagonal/>
    </border>
    <border>
      <left style="thin">
        <color rgb="FFCFDAD8"/>
      </left>
      <right style="thin">
        <color rgb="FFCFDAD8"/>
      </right>
      <top style="thin">
        <color rgb="FFCFDAD8"/>
      </top>
      <bottom style="thin">
        <color rgb="FFCFDAD8"/>
      </bottom>
      <diagonal/>
    </border>
    <border>
      <left style="thin">
        <color rgb="FFC7D4EB"/>
      </left>
      <right style="thin">
        <color rgb="FFC7D4EB"/>
      </right>
      <top style="thin">
        <color rgb="FFC7D4EB"/>
      </top>
      <bottom style="thin">
        <color rgb="FFC7D4EB"/>
      </bottom>
      <diagonal/>
    </border>
    <border>
      <left/>
      <right/>
      <top style="medium">
        <color rgb="FF2C7BE5"/>
      </top>
      <bottom/>
      <diagonal/>
    </border>
    <border>
      <left/>
      <right style="thin">
        <color rgb="FF35546F"/>
      </right>
      <top style="medium">
        <color rgb="FF2C7BE5"/>
      </top>
      <bottom/>
      <diagonal/>
    </border>
    <border>
      <left style="medium">
        <color rgb="FF2C7BE5"/>
      </left>
      <right/>
      <top/>
      <bottom/>
      <diagonal/>
    </border>
    <border>
      <left/>
      <right style="thin">
        <color rgb="FF35546F"/>
      </right>
      <top/>
      <bottom/>
      <diagonal/>
    </border>
    <border>
      <left style="medium">
        <color rgb="FF2C7BE5"/>
      </left>
      <right/>
      <top/>
      <bottom style="thin">
        <color rgb="FF35546F"/>
      </bottom>
      <diagonal/>
    </border>
    <border>
      <left/>
      <right/>
      <top/>
      <bottom style="thin">
        <color rgb="FF35546F"/>
      </bottom>
      <diagonal/>
    </border>
    <border>
      <left/>
      <right style="thin">
        <color rgb="FF35546F"/>
      </right>
      <top/>
      <bottom style="thin">
        <color rgb="FF35546F"/>
      </bottom>
      <diagonal/>
    </border>
    <border>
      <left/>
      <right/>
      <top style="thin">
        <color rgb="FF35546F"/>
      </top>
      <bottom style="thin">
        <color rgb="FF35546F"/>
      </bottom>
      <diagonal/>
    </border>
    <border>
      <left/>
      <right style="thin">
        <color rgb="FF35546F"/>
      </right>
      <top style="thin">
        <color rgb="FF35546F"/>
      </top>
      <bottom style="thin">
        <color rgb="FF35546F"/>
      </bottom>
      <diagonal/>
    </border>
    <border>
      <left/>
      <right/>
      <top/>
      <bottom style="medium">
        <color rgb="FF58A3D2"/>
      </bottom>
      <diagonal/>
    </border>
    <border>
      <left style="thin">
        <color rgb="FF334155"/>
      </left>
      <right/>
      <top/>
      <bottom/>
      <diagonal/>
    </border>
    <border>
      <left style="medium">
        <color rgb="FFEA5656"/>
      </left>
      <right style="thin">
        <color rgb="FF35546F"/>
      </right>
      <top style="medium">
        <color rgb="FFEA5656"/>
      </top>
      <bottom style="thin">
        <color rgb="FF35546F"/>
      </bottom>
      <diagonal/>
    </border>
    <border>
      <left style="medium">
        <color rgb="FFF2C83F"/>
      </left>
      <right style="thin">
        <color rgb="FF35546F"/>
      </right>
      <top style="medium">
        <color rgb="FFF2C83F"/>
      </top>
      <bottom style="thin">
        <color rgb="FF35546F"/>
      </bottom>
      <diagonal/>
    </border>
    <border>
      <left style="medium">
        <color rgb="FF2C7BE5"/>
      </left>
      <right style="thin">
        <color rgb="FF35546F"/>
      </right>
      <top style="medium">
        <color rgb="FF2C7BE5"/>
      </top>
      <bottom style="thin">
        <color rgb="FF35546F"/>
      </bottom>
      <diagonal/>
    </border>
    <border>
      <left style="medium">
        <color rgb="FF5ACA52"/>
      </left>
      <right style="thin">
        <color rgb="FF35546F"/>
      </right>
      <top style="medium">
        <color rgb="FF5ACA52"/>
      </top>
      <bottom style="thin">
        <color rgb="FF35546F"/>
      </bottom>
      <diagonal/>
    </border>
    <border>
      <left/>
      <right/>
      <top style="thin">
        <color rgb="FF35546F"/>
      </top>
      <bottom/>
      <diagonal/>
    </border>
    <border>
      <left/>
      <right style="thin">
        <color rgb="FF35546F"/>
      </right>
      <top style="thin">
        <color rgb="FF35546F"/>
      </top>
      <bottom/>
      <diagonal/>
    </border>
    <border>
      <left style="thin">
        <color rgb="FF35546F"/>
      </left>
      <right/>
      <top/>
      <bottom style="thin">
        <color rgb="FF35546F"/>
      </bottom>
      <diagonal/>
    </border>
    <border>
      <left/>
      <right/>
      <top style="thin">
        <color rgb="FF334155"/>
      </top>
      <bottom style="thin">
        <color rgb="FF334155"/>
      </bottom>
      <diagonal/>
    </border>
    <border>
      <left/>
      <right style="thin">
        <color rgb="FF334155"/>
      </right>
      <top style="thin">
        <color rgb="FF334155"/>
      </top>
      <bottom style="thin">
        <color rgb="FF334155"/>
      </bottom>
      <diagonal/>
    </border>
    <border>
      <left/>
      <right/>
      <top style="medium">
        <color rgb="FFEA5656"/>
      </top>
      <bottom/>
      <diagonal/>
    </border>
    <border>
      <left style="medium">
        <color rgb="FFEA5656"/>
      </left>
      <right/>
      <top/>
      <bottom/>
      <diagonal/>
    </border>
    <border>
      <left/>
      <right style="thin">
        <color rgb="FF35546F"/>
      </right>
      <top style="medium">
        <color rgb="FFEA5656"/>
      </top>
      <bottom/>
      <diagonal/>
    </border>
    <border>
      <left style="medium">
        <color rgb="FFEA5656"/>
      </left>
      <right/>
      <top/>
      <bottom style="thin">
        <color rgb="FF35546F"/>
      </bottom>
      <diagonal/>
    </border>
    <border>
      <left/>
      <right/>
      <top style="medium">
        <color rgb="FFF2C83F"/>
      </top>
      <bottom/>
      <diagonal/>
    </border>
    <border>
      <left style="medium">
        <color rgb="FFF2C83F"/>
      </left>
      <right/>
      <top/>
      <bottom/>
      <diagonal/>
    </border>
    <border>
      <left/>
      <right style="thin">
        <color rgb="FF35546F"/>
      </right>
      <top style="medium">
        <color rgb="FFF2C83F"/>
      </top>
      <bottom/>
      <diagonal/>
    </border>
    <border>
      <left style="medium">
        <color rgb="FFF2C83F"/>
      </left>
      <right/>
      <top/>
      <bottom style="thin">
        <color rgb="FF35546F"/>
      </bottom>
      <diagonal/>
    </border>
    <border>
      <left/>
      <right/>
      <top style="medium">
        <color rgb="FF5ACA52"/>
      </top>
      <bottom/>
      <diagonal/>
    </border>
    <border>
      <left style="medium">
        <color rgb="FF5ACA52"/>
      </left>
      <right/>
      <top/>
      <bottom/>
      <diagonal/>
    </border>
    <border>
      <left/>
      <right style="thin">
        <color rgb="FF35546F"/>
      </right>
      <top style="medium">
        <color rgb="FF5ACA52"/>
      </top>
      <bottom/>
      <diagonal/>
    </border>
    <border>
      <left style="medium">
        <color rgb="FF5ACA52"/>
      </left>
      <right/>
      <top/>
      <bottom style="thin">
        <color rgb="FF35546F"/>
      </bottom>
      <diagonal/>
    </border>
    <border>
      <left/>
      <right/>
      <top style="thin">
        <color rgb="FFCFDAD8"/>
      </top>
      <bottom style="thin">
        <color rgb="FFCFDAD8"/>
      </bottom>
      <diagonal/>
    </border>
    <border>
      <left/>
      <right style="thin">
        <color rgb="FFCFDAD8"/>
      </right>
      <top style="thin">
        <color rgb="FFCFDAD8"/>
      </top>
      <bottom style="thin">
        <color rgb="FFCFDAD8"/>
      </bottom>
      <diagonal/>
    </border>
    <border>
      <left/>
      <right/>
      <top style="thin">
        <color rgb="FFC7D4EB"/>
      </top>
      <bottom style="thin">
        <color rgb="FFC7D4EB"/>
      </bottom>
      <diagonal/>
    </border>
    <border>
      <left/>
      <right style="thin">
        <color rgb="FFC7D4EB"/>
      </right>
      <top style="thin">
        <color rgb="FFC7D4EB"/>
      </top>
      <bottom style="thin">
        <color rgb="FFC7D4EB"/>
      </bottom>
      <diagonal/>
    </border>
    <border>
      <left style="thin">
        <color rgb="FFD0D7DE"/>
      </left>
      <right style="thin">
        <color rgb="FFD0D7DE"/>
      </right>
      <top style="thin">
        <color rgb="FFD0D7DE"/>
      </top>
      <bottom style="thin">
        <color rgb="FFD0D7DE"/>
      </bottom>
      <diagonal/>
    </border>
    <border>
      <left/>
      <right/>
      <top/>
      <bottom style="medium">
        <color rgb="FFEA5656"/>
      </bottom>
      <diagonal/>
    </border>
    <border>
      <left/>
      <right style="thin">
        <color rgb="FF35546F"/>
      </right>
      <top/>
      <bottom style="medium">
        <color rgb="FFEA5656"/>
      </bottom>
      <diagonal/>
    </border>
    <border>
      <left/>
      <right/>
      <top/>
      <bottom style="medium">
        <color rgb="FF2C7BE5"/>
      </bottom>
      <diagonal/>
    </border>
    <border>
      <left/>
      <right style="thin">
        <color rgb="FF35546F"/>
      </right>
      <top/>
      <bottom style="medium">
        <color rgb="FF2C7BE5"/>
      </bottom>
      <diagonal/>
    </border>
    <border>
      <left/>
      <right/>
      <top/>
      <bottom style="medium">
        <color rgb="FFF2C83F"/>
      </bottom>
      <diagonal/>
    </border>
    <border>
      <left/>
      <right style="thin">
        <color rgb="FF33546B"/>
      </right>
      <top style="thin">
        <color rgb="FF33546B"/>
      </top>
      <bottom style="thin">
        <color rgb="FF33546B"/>
      </bottom>
      <diagonal/>
    </border>
    <border>
      <left/>
      <right/>
      <top style="thin">
        <color rgb="FFD0D7DE"/>
      </top>
      <bottom style="thin">
        <color rgb="FFD0D7DE"/>
      </bottom>
      <diagonal/>
    </border>
    <border>
      <left/>
      <right style="thin">
        <color rgb="FFD0D7DE"/>
      </right>
      <top style="thin">
        <color rgb="FFD0D7DE"/>
      </top>
      <bottom style="thin">
        <color rgb="FFD0D7DE"/>
      </bottom>
      <diagonal/>
    </border>
    <border>
      <left/>
      <right/>
      <top style="medium">
        <color rgb="FF2C7BE5"/>
      </top>
      <bottom style="thin">
        <color rgb="FF35546F"/>
      </bottom>
      <diagonal/>
    </border>
    <border>
      <left/>
      <right style="thin">
        <color rgb="FF35546F"/>
      </right>
      <top style="medium">
        <color rgb="FF2C7BE5"/>
      </top>
      <bottom style="medium">
        <color rgb="FFEA5656"/>
      </bottom>
      <diagonal/>
    </border>
    <border>
      <left/>
      <right/>
      <top style="medium">
        <color rgb="FFF2C83F"/>
      </top>
      <bottom style="medium">
        <color rgb="FF2C7BE5"/>
      </bottom>
      <diagonal/>
    </border>
    <border>
      <left/>
      <right style="thin">
        <color rgb="FF35546F"/>
      </right>
      <top style="medium">
        <color rgb="FFF2C83F"/>
      </top>
      <bottom style="medium">
        <color rgb="FF2C7BE5"/>
      </bottom>
      <diagonal/>
    </border>
    <border>
      <left/>
      <right/>
      <top style="medium">
        <color rgb="FFEA5656"/>
      </top>
      <bottom style="medium">
        <color rgb="FFF2C83F"/>
      </bottom>
      <diagonal/>
    </border>
    <border>
      <left style="thin">
        <color rgb="FF334155"/>
      </left>
      <right style="thin">
        <color rgb="FF334155"/>
      </right>
      <top/>
      <bottom style="thin">
        <color rgb="FF334155"/>
      </bottom>
      <diagonal/>
    </border>
    <border>
      <left/>
      <right/>
      <top style="thin">
        <color rgb="FF334155"/>
      </top>
      <bottom/>
      <diagonal/>
    </border>
    <border>
      <left/>
      <right style="thin">
        <color rgb="FF334155"/>
      </right>
      <top style="thin">
        <color rgb="FF334155"/>
      </top>
      <bottom/>
      <diagonal/>
    </border>
    <border>
      <left/>
      <right style="thin">
        <color rgb="FF334155"/>
      </right>
      <top/>
      <bottom/>
      <diagonal/>
    </border>
    <border>
      <left style="thin">
        <color rgb="FF334155"/>
      </left>
      <right/>
      <top/>
      <bottom style="thin">
        <color rgb="FF334155"/>
      </bottom>
      <diagonal/>
    </border>
    <border>
      <left/>
      <right/>
      <top/>
      <bottom style="thin">
        <color rgb="FF334155"/>
      </bottom>
      <diagonal/>
    </border>
    <border>
      <left/>
      <right style="thin">
        <color rgb="FF334155"/>
      </right>
      <top/>
      <bottom style="thin">
        <color rgb="FF334155"/>
      </bottom>
      <diagonal/>
    </border>
    <border>
      <left style="thin">
        <color rgb="FF334155"/>
      </left>
      <right/>
      <top style="thin">
        <color rgb="FF334155"/>
      </top>
      <bottom/>
      <diagonal/>
    </border>
    <border>
      <left style="thin">
        <color rgb="FF334155"/>
      </left>
      <right/>
      <top style="thin">
        <color rgb="FF334155"/>
      </top>
      <bottom style="thin">
        <color rgb="FF334155"/>
      </bottom>
      <diagonal/>
    </border>
    <border>
      <left style="thin">
        <color rgb="FF35546F"/>
      </left>
      <right/>
      <top style="thin">
        <color rgb="FF35546F"/>
      </top>
      <bottom style="thin">
        <color rgb="FF35546F"/>
      </bottom>
      <diagonal/>
    </border>
    <border>
      <left/>
      <right/>
      <top/>
      <bottom style="thin">
        <color theme="3" tint="9.9978637043366805E-2"/>
      </bottom>
      <diagonal/>
    </border>
    <border>
      <left style="thin">
        <color theme="4" tint="-0.499984740745262"/>
      </left>
      <right/>
      <top style="thin">
        <color theme="4" tint="-0.499984740745262"/>
      </top>
      <bottom/>
      <diagonal/>
    </border>
    <border>
      <left/>
      <right/>
      <top style="thin">
        <color theme="4" tint="-0.499984740745262"/>
      </top>
      <bottom/>
      <diagonal/>
    </border>
    <border>
      <left/>
      <right style="thin">
        <color theme="4" tint="-0.499984740745262"/>
      </right>
      <top style="thin">
        <color theme="4" tint="-0.499984740745262"/>
      </top>
      <bottom/>
      <diagonal/>
    </border>
    <border>
      <left/>
      <right style="thin">
        <color theme="4" tint="-0.499984740745262"/>
      </right>
      <top/>
      <bottom/>
      <diagonal/>
    </border>
    <border>
      <left style="thin">
        <color theme="4" tint="-0.499984740745262"/>
      </left>
      <right/>
      <top/>
      <bottom/>
      <diagonal/>
    </border>
    <border>
      <left/>
      <right/>
      <top/>
      <bottom style="thin">
        <color theme="4" tint="-0.499984740745262"/>
      </bottom>
      <diagonal/>
    </border>
    <border>
      <left style="thin">
        <color theme="4" tint="-0.499984740745262"/>
      </left>
      <right style="thin">
        <color theme="4" tint="-0.499984740745262"/>
      </right>
      <top style="thin">
        <color theme="4" tint="-0.499984740745262"/>
      </top>
      <bottom/>
      <diagonal/>
    </border>
    <border>
      <left style="thin">
        <color theme="4" tint="-0.499984740745262"/>
      </left>
      <right style="thin">
        <color theme="4" tint="-0.499984740745262"/>
      </right>
      <top/>
      <bottom style="thin">
        <color theme="4" tint="-0.499984740745262"/>
      </bottom>
      <diagonal/>
    </border>
    <border>
      <left style="thin">
        <color theme="4" tint="-0.499984740745262"/>
      </left>
      <right style="thin">
        <color theme="4" tint="-0.499984740745262"/>
      </right>
      <top style="thin">
        <color theme="4" tint="-0.499984740745262"/>
      </top>
      <bottom style="medium">
        <color rgb="FFF2C83F"/>
      </bottom>
      <diagonal/>
    </border>
    <border>
      <left style="thin">
        <color theme="4" tint="-0.499984740745262"/>
      </left>
      <right style="thin">
        <color theme="4" tint="-0.499984740745262"/>
      </right>
      <top style="thin">
        <color theme="4" tint="-0.499984740745262"/>
      </top>
      <bottom style="medium">
        <color rgb="FF2C7BE5"/>
      </bottom>
      <diagonal/>
    </border>
    <border>
      <left style="thin">
        <color theme="4" tint="-0.499984740745262"/>
      </left>
      <right style="thin">
        <color theme="4" tint="-0.499984740745262"/>
      </right>
      <top style="thin">
        <color theme="4" tint="-0.499984740745262"/>
      </top>
      <bottom style="medium">
        <color rgb="FFEA5656"/>
      </bottom>
      <diagonal/>
    </border>
    <border>
      <left style="thin">
        <color theme="4" tint="-0.499984740745262"/>
      </left>
      <right style="thin">
        <color theme="4" tint="-0.499984740745262"/>
      </right>
      <top style="thin">
        <color theme="4" tint="-0.499984740745262"/>
      </top>
      <bottom style="thin">
        <color rgb="FF35546F"/>
      </bottom>
      <diagonal/>
    </border>
    <border>
      <left style="thin">
        <color rgb="FF35546F"/>
      </left>
      <right/>
      <top style="thin">
        <color rgb="FF35546F"/>
      </top>
      <bottom/>
      <diagonal/>
    </border>
    <border>
      <left style="thin">
        <color rgb="FF35546F"/>
      </left>
      <right/>
      <top style="thin">
        <color rgb="FF35546F"/>
      </top>
      <bottom style="medium">
        <color rgb="FF58A3D2"/>
      </bottom>
      <diagonal/>
    </border>
    <border>
      <left/>
      <right/>
      <top style="thin">
        <color rgb="FF35546F"/>
      </top>
      <bottom style="medium">
        <color rgb="FF58A3D2"/>
      </bottom>
      <diagonal/>
    </border>
    <border>
      <left/>
      <right style="thin">
        <color rgb="FF35546F"/>
      </right>
      <top style="thin">
        <color rgb="FF35546F"/>
      </top>
      <bottom style="medium">
        <color rgb="FF58A3D2"/>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right/>
      <top style="thin">
        <color theme="9" tint="0.39997558519241921"/>
      </top>
      <bottom/>
      <diagonal/>
    </border>
    <border>
      <left style="thin">
        <color rgb="FF334155"/>
      </left>
      <right/>
      <top style="thin">
        <color theme="9" tint="0.39997558519241921"/>
      </top>
      <bottom style="thin">
        <color rgb="FF334155"/>
      </bottom>
      <diagonal/>
    </border>
    <border>
      <left/>
      <right style="thin">
        <color rgb="FF334155"/>
      </right>
      <top style="thin">
        <color theme="9" tint="0.39997558519241921"/>
      </top>
      <bottom style="thin">
        <color rgb="FF334155"/>
      </bottom>
      <diagonal/>
    </border>
    <border>
      <left style="thin">
        <color rgb="FF334155"/>
      </left>
      <right style="thin">
        <color rgb="FF334155"/>
      </right>
      <top style="thin">
        <color theme="9" tint="0.39997558519241921"/>
      </top>
      <bottom style="thin">
        <color rgb="FF334155"/>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rgb="FF58A3D2"/>
      </top>
      <bottom/>
      <diagonal/>
    </border>
    <border>
      <left style="thin">
        <color rgb="FFBFBFBF"/>
      </left>
      <right style="thin">
        <color rgb="FFBFBFBF"/>
      </right>
      <top style="thin">
        <color rgb="FFBFBFBF"/>
      </top>
      <bottom style="thin">
        <color rgb="FFBFBFBF"/>
      </bottom>
      <diagonal/>
    </border>
    <border>
      <left/>
      <right/>
      <top style="thin">
        <color indexed="64"/>
      </top>
      <bottom style="thin">
        <color indexed="64"/>
      </bottom>
      <diagonal/>
    </border>
    <border>
      <left/>
      <right style="thin">
        <color rgb="FFCFDAD8"/>
      </right>
      <top/>
      <bottom/>
      <diagonal/>
    </border>
    <border>
      <left style="thin">
        <color rgb="FFCFDAD8"/>
      </left>
      <right/>
      <top/>
      <bottom/>
      <diagonal/>
    </border>
    <border>
      <left style="thin">
        <color theme="0"/>
      </left>
      <right/>
      <top style="thin">
        <color theme="0"/>
      </top>
      <bottom style="thin">
        <color theme="9" tint="0.39997558519241921"/>
      </bottom>
      <diagonal/>
    </border>
    <border>
      <left/>
      <right style="thin">
        <color theme="0"/>
      </right>
      <top style="thin">
        <color theme="0"/>
      </top>
      <bottom style="thin">
        <color theme="9" tint="0.39997558519241921"/>
      </bottom>
      <diagonal/>
    </border>
    <border>
      <left style="thin">
        <color theme="4" tint="-0.49995422223578601"/>
      </left>
      <right/>
      <top style="thin">
        <color theme="4" tint="-0.49995422223578601"/>
      </top>
      <bottom/>
      <diagonal/>
    </border>
    <border>
      <left/>
      <right/>
      <top style="thin">
        <color theme="4" tint="-0.49995422223578601"/>
      </top>
      <bottom/>
      <diagonal/>
    </border>
    <border>
      <left/>
      <right style="thin">
        <color theme="4" tint="-0.49995422223578601"/>
      </right>
      <top style="thin">
        <color theme="4" tint="-0.49995422223578601"/>
      </top>
      <bottom/>
      <diagonal/>
    </border>
    <border>
      <left style="thin">
        <color theme="4" tint="-0.49995422223578601"/>
      </left>
      <right/>
      <top/>
      <bottom/>
      <diagonal/>
    </border>
    <border>
      <left/>
      <right style="thin">
        <color theme="4" tint="-0.49995422223578601"/>
      </right>
      <top/>
      <bottom/>
      <diagonal/>
    </border>
    <border>
      <left style="thin">
        <color theme="4" tint="-0.49995422223578601"/>
      </left>
      <right style="thin">
        <color theme="4" tint="-0.49995422223578601"/>
      </right>
      <top style="thin">
        <color theme="4" tint="-0.49995422223578601"/>
      </top>
      <bottom/>
      <diagonal/>
    </border>
    <border>
      <left style="thin">
        <color theme="4" tint="-0.49995422223578601"/>
      </left>
      <right style="thin">
        <color theme="4" tint="-0.49995422223578601"/>
      </right>
      <top style="thin">
        <color theme="4" tint="-0.49995422223578601"/>
      </top>
      <bottom style="medium">
        <color rgb="FFF2C83F"/>
      </bottom>
      <diagonal/>
    </border>
    <border>
      <left style="thin">
        <color theme="4" tint="-0.49995422223578601"/>
      </left>
      <right style="thin">
        <color theme="4" tint="-0.49995422223578601"/>
      </right>
      <top/>
      <bottom style="thin">
        <color theme="4" tint="-0.49995422223578601"/>
      </bottom>
      <diagonal/>
    </border>
    <border>
      <left style="thin">
        <color theme="4" tint="-0.49995422223578601"/>
      </left>
      <right style="thin">
        <color theme="4" tint="-0.49995422223578601"/>
      </right>
      <top style="thin">
        <color theme="4" tint="-0.49995422223578601"/>
      </top>
      <bottom style="medium">
        <color rgb="FF2C7BE5"/>
      </bottom>
      <diagonal/>
    </border>
    <border>
      <left style="thin">
        <color theme="4" tint="-0.49995422223578601"/>
      </left>
      <right style="thin">
        <color theme="4" tint="-0.49995422223578601"/>
      </right>
      <top style="thin">
        <color theme="4" tint="-0.49995422223578601"/>
      </top>
      <bottom style="medium">
        <color rgb="FFEA5656"/>
      </bottom>
      <diagonal/>
    </border>
    <border>
      <left style="thin">
        <color theme="4" tint="-0.49995422223578601"/>
      </left>
      <right style="thin">
        <color theme="4" tint="-0.49995422223578601"/>
      </right>
      <top style="thin">
        <color theme="4" tint="-0.49995422223578601"/>
      </top>
      <bottom style="thin">
        <color rgb="FF35546F"/>
      </bottom>
      <diagonal/>
    </border>
    <border>
      <left/>
      <right/>
      <top/>
      <bottom style="thin">
        <color theme="4" tint="-0.49995422223578601"/>
      </bottom>
      <diagonal/>
    </border>
    <border>
      <left style="thin">
        <color rgb="FF334155"/>
      </left>
      <right style="thin">
        <color rgb="FF334155"/>
      </right>
      <top style="thin">
        <color rgb="FF334155"/>
      </top>
      <bottom/>
      <diagonal/>
    </border>
    <border>
      <left style="thin">
        <color indexed="64"/>
      </left>
      <right style="thin">
        <color indexed="64"/>
      </right>
      <top style="thin">
        <color indexed="64"/>
      </top>
      <bottom/>
      <diagonal/>
    </border>
    <border>
      <left/>
      <right/>
      <top/>
      <bottom style="thin">
        <color theme="2"/>
      </bottom>
      <diagonal/>
    </border>
    <border>
      <left style="thin">
        <color theme="2"/>
      </left>
      <right/>
      <top style="thin">
        <color theme="2"/>
      </top>
      <bottom/>
      <diagonal/>
    </border>
    <border>
      <left/>
      <right/>
      <top style="thin">
        <color theme="2"/>
      </top>
      <bottom/>
      <diagonal/>
    </border>
    <border>
      <left/>
      <right style="thin">
        <color theme="2"/>
      </right>
      <top style="thin">
        <color theme="2"/>
      </top>
      <bottom/>
      <diagonal/>
    </border>
    <border>
      <left style="thin">
        <color theme="2"/>
      </left>
      <right/>
      <top/>
      <bottom/>
      <diagonal/>
    </border>
    <border>
      <left/>
      <right style="thin">
        <color theme="2"/>
      </right>
      <top/>
      <bottom/>
      <diagonal/>
    </border>
    <border>
      <left style="thin">
        <color theme="2"/>
      </left>
      <right/>
      <top/>
      <bottom style="thin">
        <color theme="2"/>
      </bottom>
      <diagonal/>
    </border>
    <border>
      <left/>
      <right style="thin">
        <color theme="2"/>
      </right>
      <top/>
      <bottom style="thin">
        <color theme="2"/>
      </bottom>
      <diagonal/>
    </border>
    <border>
      <left style="thin">
        <color indexed="64"/>
      </left>
      <right style="thin">
        <color indexed="64"/>
      </right>
      <top style="thin">
        <color indexed="64"/>
      </top>
      <bottom style="thin">
        <color indexed="64"/>
      </bottom>
      <diagonal/>
    </border>
    <border>
      <left style="thick">
        <color auto="1"/>
      </left>
      <right/>
      <top style="medium">
        <color auto="1"/>
      </top>
      <bottom style="thick">
        <color auto="1"/>
      </bottom>
      <diagonal/>
    </border>
    <border>
      <left style="medium">
        <color indexed="64"/>
      </left>
      <right style="thin">
        <color rgb="FF334155"/>
      </right>
      <top style="medium">
        <color indexed="64"/>
      </top>
      <bottom style="thin">
        <color rgb="FF334155"/>
      </bottom>
      <diagonal/>
    </border>
    <border>
      <left style="thin">
        <color rgb="FF334155"/>
      </left>
      <right style="thin">
        <color rgb="FF334155"/>
      </right>
      <top style="medium">
        <color indexed="64"/>
      </top>
      <bottom style="thin">
        <color rgb="FF334155"/>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ck">
        <color auto="1"/>
      </left>
      <right/>
      <top/>
      <bottom/>
      <diagonal/>
    </border>
    <border>
      <left style="medium">
        <color indexed="64"/>
      </left>
      <right style="medium">
        <color auto="1"/>
      </right>
      <top/>
      <bottom/>
      <diagonal/>
    </border>
    <border>
      <left style="thin">
        <color indexed="64"/>
      </left>
      <right style="medium">
        <color indexed="64"/>
      </right>
      <top style="thin">
        <color indexed="64"/>
      </top>
      <bottom style="thin">
        <color indexed="64"/>
      </bottom>
      <diagonal/>
    </border>
    <border>
      <left style="thick">
        <color auto="1"/>
      </left>
      <right/>
      <top/>
      <bottom style="thick">
        <color auto="1"/>
      </bottom>
      <diagonal/>
    </border>
    <border>
      <left style="thin">
        <color rgb="FF334155"/>
      </left>
      <right style="thin">
        <color rgb="FF334155"/>
      </right>
      <top style="thin">
        <color rgb="FF334155"/>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ck">
        <color auto="1"/>
      </left>
      <right/>
      <top style="thick">
        <color auto="1"/>
      </top>
      <bottom style="thick">
        <color auto="1"/>
      </bottom>
      <diagonal/>
    </border>
    <border>
      <left/>
      <right style="medium">
        <color indexed="64"/>
      </right>
      <top style="medium">
        <color indexed="64"/>
      </top>
      <bottom style="thin">
        <color indexed="64"/>
      </bottom>
      <diagonal/>
    </border>
    <border>
      <left style="thin">
        <color rgb="FF334155"/>
      </left>
      <right/>
      <top style="thin">
        <color rgb="FF334155"/>
      </top>
      <bottom style="medium">
        <color indexed="64"/>
      </bottom>
      <diagonal/>
    </border>
    <border>
      <left/>
      <right style="medium">
        <color indexed="64"/>
      </right>
      <top style="thin">
        <color indexed="64"/>
      </top>
      <bottom style="medium">
        <color indexed="64"/>
      </bottom>
      <diagonal/>
    </border>
    <border>
      <left style="thin">
        <color rgb="FF334155"/>
      </left>
      <right/>
      <top style="medium">
        <color indexed="64"/>
      </top>
      <bottom style="thin">
        <color rgb="FF334155"/>
      </bottom>
      <diagonal/>
    </border>
    <border>
      <left/>
      <right style="medium">
        <color indexed="64"/>
      </right>
      <top style="thin">
        <color indexed="64"/>
      </top>
      <bottom style="thin">
        <color indexed="64"/>
      </bottom>
      <diagonal/>
    </border>
    <border>
      <left style="thin">
        <color indexed="64"/>
      </left>
      <right style="thin">
        <color indexed="64"/>
      </right>
      <top/>
      <bottom/>
      <diagonal/>
    </border>
    <border>
      <left style="medium">
        <color indexed="64"/>
      </left>
      <right style="thin">
        <color rgb="FF334155"/>
      </right>
      <top style="medium">
        <color indexed="64"/>
      </top>
      <bottom style="medium">
        <color indexed="64"/>
      </bottom>
      <diagonal/>
    </border>
    <border>
      <left style="thin">
        <color rgb="FF334155"/>
      </left>
      <right style="thin">
        <color rgb="FF334155"/>
      </right>
      <top style="medium">
        <color indexed="64"/>
      </top>
      <bottom style="medium">
        <color indexed="64"/>
      </bottom>
      <diagonal/>
    </border>
    <border>
      <left style="thin">
        <color rgb="FF334155"/>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s>
  <cellStyleXfs count="6">
    <xf numFmtId="0" fontId="0" fillId="0" borderId="11"/>
    <xf numFmtId="0" fontId="55" fillId="0" borderId="11"/>
    <xf numFmtId="0" fontId="1" fillId="0" borderId="11"/>
    <xf numFmtId="0" fontId="2" fillId="0" borderId="11"/>
    <xf numFmtId="9" fontId="76" fillId="0" borderId="11"/>
    <xf numFmtId="0" fontId="146" fillId="0" borderId="11"/>
  </cellStyleXfs>
  <cellXfs count="915">
    <xf numFmtId="0" fontId="0" fillId="0" borderId="0" xfId="0" applyBorder="1"/>
    <xf numFmtId="0" fontId="3" fillId="2" borderId="0" xfId="0" applyFont="1" applyFill="1" applyBorder="1" applyAlignment="1">
      <alignment horizontal="left" vertical="center" wrapText="1"/>
    </xf>
    <xf numFmtId="164" fontId="3" fillId="2" borderId="0" xfId="0" applyNumberFormat="1" applyFont="1" applyFill="1" applyBorder="1" applyAlignment="1">
      <alignment horizontal="left" vertical="center" wrapText="1"/>
    </xf>
    <xf numFmtId="1" fontId="6" fillId="5" borderId="1" xfId="0" applyNumberFormat="1" applyFont="1" applyFill="1" applyBorder="1" applyAlignment="1">
      <alignment horizontal="center" vertical="center" wrapText="1"/>
    </xf>
    <xf numFmtId="0" fontId="3" fillId="6" borderId="1" xfId="0" applyFont="1" applyFill="1" applyBorder="1" applyAlignment="1">
      <alignment horizontal="left" vertical="center" wrapText="1"/>
    </xf>
    <xf numFmtId="0" fontId="7" fillId="6" borderId="1" xfId="0" applyFont="1" applyFill="1" applyBorder="1" applyAlignment="1">
      <alignment horizontal="left" vertical="center" wrapText="1"/>
    </xf>
    <xf numFmtId="49" fontId="7" fillId="6" borderId="1" xfId="0" applyNumberFormat="1" applyFont="1" applyFill="1" applyBorder="1" applyAlignment="1">
      <alignment horizontal="left" vertical="center" wrapText="1"/>
    </xf>
    <xf numFmtId="1" fontId="7" fillId="6" borderId="1" xfId="0" applyNumberFormat="1" applyFont="1" applyFill="1" applyBorder="1" applyAlignment="1">
      <alignment horizontal="left" vertical="center" wrapText="1"/>
    </xf>
    <xf numFmtId="0" fontId="2" fillId="0" borderId="0" xfId="0" applyFont="1" applyBorder="1"/>
    <xf numFmtId="0" fontId="8" fillId="7" borderId="0" xfId="0" applyFont="1" applyFill="1" applyBorder="1" applyAlignment="1">
      <alignment horizontal="center" vertical="center" wrapText="1"/>
    </xf>
    <xf numFmtId="0" fontId="9" fillId="8" borderId="0" xfId="0" applyFont="1" applyFill="1" applyBorder="1" applyAlignment="1">
      <alignment horizontal="center" vertical="center"/>
    </xf>
    <xf numFmtId="0" fontId="10" fillId="7" borderId="0" xfId="0" applyFont="1" applyFill="1" applyBorder="1" applyAlignment="1">
      <alignment horizontal="center" vertical="center"/>
    </xf>
    <xf numFmtId="0" fontId="2" fillId="0" borderId="0" xfId="0" applyFont="1" applyBorder="1" applyAlignment="1">
      <alignment vertical="top" wrapText="1"/>
    </xf>
    <xf numFmtId="0" fontId="12" fillId="9" borderId="0" xfId="0" applyFont="1" applyFill="1" applyBorder="1" applyAlignment="1">
      <alignment vertical="top" wrapText="1"/>
    </xf>
    <xf numFmtId="0" fontId="13" fillId="4" borderId="1" xfId="0" applyFont="1" applyFill="1" applyBorder="1" applyAlignment="1">
      <alignment horizontal="center" vertical="center" wrapText="1"/>
    </xf>
    <xf numFmtId="0" fontId="14" fillId="8" borderId="1" xfId="0" applyFont="1" applyFill="1" applyBorder="1" applyAlignment="1">
      <alignment horizontal="left" vertical="top" wrapText="1"/>
    </xf>
    <xf numFmtId="0" fontId="14" fillId="8" borderId="0" xfId="0" applyFont="1" applyFill="1" applyBorder="1" applyAlignment="1">
      <alignment horizontal="left" vertical="center" wrapText="1"/>
    </xf>
    <xf numFmtId="0" fontId="15" fillId="7" borderId="1" xfId="0" applyFont="1" applyFill="1" applyBorder="1" applyAlignment="1">
      <alignment horizontal="left" vertical="top" wrapText="1"/>
    </xf>
    <xf numFmtId="0" fontId="10" fillId="7" borderId="1" xfId="0" applyFont="1" applyFill="1" applyBorder="1" applyAlignment="1">
      <alignment horizontal="left" vertical="top" wrapText="1"/>
    </xf>
    <xf numFmtId="0" fontId="10" fillId="7" borderId="0" xfId="0" applyFont="1" applyFill="1" applyBorder="1" applyAlignment="1">
      <alignment horizontal="center" vertical="center" wrapText="1"/>
    </xf>
    <xf numFmtId="0" fontId="10" fillId="10" borderId="1" xfId="0" applyFont="1" applyFill="1" applyBorder="1" applyAlignment="1">
      <alignment horizontal="left" vertical="top" wrapText="1"/>
    </xf>
    <xf numFmtId="0" fontId="9" fillId="8" borderId="1" xfId="0" applyFont="1" applyFill="1" applyBorder="1" applyAlignment="1">
      <alignment horizontal="left" vertical="top" wrapText="1"/>
    </xf>
    <xf numFmtId="0" fontId="11" fillId="9" borderId="1" xfId="0" applyFont="1" applyFill="1" applyBorder="1" applyAlignment="1">
      <alignment horizontal="left" vertical="top" wrapText="1"/>
    </xf>
    <xf numFmtId="0" fontId="2" fillId="11" borderId="0" xfId="0" applyFont="1" applyFill="1" applyBorder="1" applyAlignment="1">
      <alignment vertical="center" wrapText="1"/>
    </xf>
    <xf numFmtId="0" fontId="16" fillId="11" borderId="1" xfId="0" applyFont="1" applyFill="1" applyBorder="1" applyAlignment="1">
      <alignment horizontal="left" vertical="top" wrapText="1"/>
    </xf>
    <xf numFmtId="0" fontId="2" fillId="11" borderId="1" xfId="0" applyFont="1" applyFill="1" applyBorder="1" applyAlignment="1">
      <alignment horizontal="left" vertical="top" wrapText="1"/>
    </xf>
    <xf numFmtId="14" fontId="2" fillId="11" borderId="1" xfId="0" applyNumberFormat="1" applyFont="1" applyFill="1" applyBorder="1" applyAlignment="1">
      <alignment horizontal="left" vertical="top" wrapText="1"/>
    </xf>
    <xf numFmtId="0" fontId="0" fillId="0" borderId="1" xfId="0" applyBorder="1" applyAlignment="1">
      <alignment horizontal="left" vertical="top" wrapText="1"/>
    </xf>
    <xf numFmtId="0" fontId="2" fillId="0" borderId="1" xfId="0" applyFont="1" applyBorder="1" applyAlignment="1">
      <alignment horizontal="left" vertical="top" wrapText="1"/>
    </xf>
    <xf numFmtId="0" fontId="17" fillId="10" borderId="0" xfId="0" applyFont="1" applyFill="1" applyBorder="1"/>
    <xf numFmtId="0" fontId="18" fillId="12" borderId="1" xfId="0" applyFont="1" applyFill="1" applyBorder="1" applyAlignment="1">
      <alignment horizontal="left" vertical="top" wrapText="1"/>
    </xf>
    <xf numFmtId="0" fontId="18" fillId="12" borderId="0" xfId="0" applyFont="1" applyFill="1" applyBorder="1" applyAlignment="1">
      <alignment horizontal="center" vertical="center" wrapText="1"/>
    </xf>
    <xf numFmtId="0" fontId="10" fillId="13" borderId="0" xfId="0" applyFont="1" applyFill="1" applyBorder="1"/>
    <xf numFmtId="0" fontId="10" fillId="10" borderId="0" xfId="0" applyFont="1" applyFill="1" applyBorder="1" applyAlignment="1">
      <alignment horizontal="center"/>
    </xf>
    <xf numFmtId="0" fontId="14" fillId="9" borderId="1" xfId="0" applyFont="1" applyFill="1" applyBorder="1" applyAlignment="1">
      <alignment horizontal="left" vertical="top" wrapText="1"/>
    </xf>
    <xf numFmtId="0" fontId="12" fillId="9" borderId="1" xfId="0" applyFont="1" applyFill="1" applyBorder="1" applyAlignment="1">
      <alignment horizontal="left" vertical="top" wrapText="1"/>
    </xf>
    <xf numFmtId="14" fontId="12" fillId="9" borderId="1" xfId="0" applyNumberFormat="1" applyFont="1" applyFill="1" applyBorder="1" applyAlignment="1">
      <alignment horizontal="left" vertical="top" wrapText="1"/>
    </xf>
    <xf numFmtId="14" fontId="14" fillId="9" borderId="1" xfId="0" applyNumberFormat="1" applyFont="1" applyFill="1" applyBorder="1" applyAlignment="1">
      <alignment horizontal="left" vertical="top" wrapText="1"/>
    </xf>
    <xf numFmtId="0" fontId="9" fillId="8" borderId="0" xfId="0" applyFont="1" applyFill="1" applyBorder="1" applyAlignment="1">
      <alignment horizontal="center"/>
    </xf>
    <xf numFmtId="0" fontId="12" fillId="12" borderId="0" xfId="0" applyFont="1" applyFill="1" applyBorder="1" applyAlignment="1">
      <alignment vertical="top" wrapText="1"/>
    </xf>
    <xf numFmtId="0" fontId="9" fillId="14" borderId="1" xfId="0" applyFont="1" applyFill="1" applyBorder="1" applyAlignment="1">
      <alignment horizontal="left" vertical="top" wrapText="1"/>
    </xf>
    <xf numFmtId="0" fontId="9" fillId="14" borderId="0" xfId="0" applyFont="1" applyFill="1" applyBorder="1" applyAlignment="1">
      <alignment wrapText="1"/>
    </xf>
    <xf numFmtId="0" fontId="19" fillId="7" borderId="0" xfId="0" applyFont="1" applyFill="1" applyBorder="1" applyAlignment="1">
      <alignment horizontal="center" vertical="center"/>
    </xf>
    <xf numFmtId="0" fontId="9" fillId="12" borderId="1" xfId="0" applyFont="1" applyFill="1" applyBorder="1" applyAlignment="1">
      <alignment horizontal="left" vertical="top" wrapText="1"/>
    </xf>
    <xf numFmtId="0" fontId="11" fillId="12" borderId="0" xfId="0" applyFont="1" applyFill="1" applyBorder="1" applyAlignment="1">
      <alignment wrapText="1"/>
    </xf>
    <xf numFmtId="0" fontId="20" fillId="9" borderId="1" xfId="0" applyFont="1" applyFill="1" applyBorder="1" applyAlignment="1">
      <alignment horizontal="left" vertical="top" wrapText="1"/>
    </xf>
    <xf numFmtId="0" fontId="9" fillId="8" borderId="0" xfId="0" applyFont="1" applyFill="1" applyBorder="1"/>
    <xf numFmtId="0" fontId="9" fillId="9" borderId="0" xfId="0" applyFont="1" applyFill="1" applyBorder="1"/>
    <xf numFmtId="0" fontId="21" fillId="10" borderId="1" xfId="0" applyFont="1" applyFill="1" applyBorder="1" applyAlignment="1">
      <alignment horizontal="left" vertical="top" wrapText="1"/>
    </xf>
    <xf numFmtId="0" fontId="22" fillId="9" borderId="1" xfId="0" applyFont="1" applyFill="1" applyBorder="1" applyAlignment="1">
      <alignment horizontal="left" vertical="top" wrapText="1"/>
    </xf>
    <xf numFmtId="0" fontId="21" fillId="10" borderId="0" xfId="0" applyFont="1" applyFill="1" applyBorder="1" applyAlignment="1">
      <alignment horizontal="center" vertical="center" wrapText="1"/>
    </xf>
    <xf numFmtId="0" fontId="11" fillId="12" borderId="1" xfId="0" applyFont="1" applyFill="1" applyBorder="1" applyAlignment="1">
      <alignment horizontal="left" vertical="top" wrapText="1"/>
    </xf>
    <xf numFmtId="0" fontId="10" fillId="7" borderId="0" xfId="0" applyFont="1" applyFill="1" applyBorder="1"/>
    <xf numFmtId="0" fontId="12" fillId="12" borderId="0" xfId="0" applyFont="1" applyFill="1" applyBorder="1" applyAlignment="1">
      <alignment wrapText="1"/>
    </xf>
    <xf numFmtId="0" fontId="25" fillId="17" borderId="2" xfId="0" applyFont="1" applyFill="1" applyBorder="1" applyAlignment="1">
      <alignment horizontal="left" vertical="top" wrapText="1"/>
    </xf>
    <xf numFmtId="0" fontId="0" fillId="17" borderId="0" xfId="0" applyFill="1" applyBorder="1"/>
    <xf numFmtId="0" fontId="2" fillId="0" borderId="0" xfId="0" applyFont="1" applyBorder="1" applyAlignment="1">
      <alignment horizontal="center"/>
    </xf>
    <xf numFmtId="0" fontId="32" fillId="20" borderId="0" xfId="0" applyFont="1" applyFill="1" applyBorder="1" applyAlignment="1">
      <alignment horizontal="center" vertical="center" wrapText="1"/>
    </xf>
    <xf numFmtId="0" fontId="19" fillId="7" borderId="0" xfId="0" applyFont="1" applyFill="1" applyBorder="1" applyAlignment="1">
      <alignment horizontal="center" vertical="center" wrapText="1"/>
    </xf>
    <xf numFmtId="0" fontId="32" fillId="20" borderId="3" xfId="0" applyFont="1" applyFill="1" applyBorder="1" applyAlignment="1">
      <alignment horizontal="center" vertical="center" wrapText="1"/>
    </xf>
    <xf numFmtId="0" fontId="14" fillId="8" borderId="0" xfId="0" applyFont="1" applyFill="1" applyBorder="1" applyAlignment="1">
      <alignment horizontal="center" vertical="center" wrapText="1"/>
    </xf>
    <xf numFmtId="0" fontId="14" fillId="21" borderId="0" xfId="0" applyFont="1" applyFill="1" applyBorder="1" applyAlignment="1">
      <alignment horizontal="center" vertical="center" wrapText="1"/>
    </xf>
    <xf numFmtId="0" fontId="12" fillId="9" borderId="0" xfId="0" applyFont="1" applyFill="1" applyBorder="1" applyAlignment="1">
      <alignment horizontal="center" vertical="top" wrapText="1"/>
    </xf>
    <xf numFmtId="14" fontId="12" fillId="9" borderId="0" xfId="0" applyNumberFormat="1" applyFont="1" applyFill="1" applyBorder="1" applyAlignment="1">
      <alignment vertical="top" wrapText="1"/>
    </xf>
    <xf numFmtId="0" fontId="33" fillId="22" borderId="0" xfId="0" applyFont="1" applyFill="1" applyBorder="1" applyAlignment="1">
      <alignment horizontal="center" vertical="center" wrapText="1"/>
    </xf>
    <xf numFmtId="0" fontId="33" fillId="22" borderId="0" xfId="0" applyFont="1" applyFill="1" applyBorder="1" applyAlignment="1">
      <alignment horizontal="center" vertical="center"/>
    </xf>
    <xf numFmtId="0" fontId="10" fillId="13" borderId="0" xfId="0" applyFont="1" applyFill="1" applyBorder="1" applyAlignment="1">
      <alignment horizontal="center" vertical="center" wrapText="1"/>
    </xf>
    <xf numFmtId="0" fontId="35" fillId="0" borderId="5" xfId="0" applyFont="1" applyBorder="1" applyAlignment="1">
      <alignment vertical="center" wrapText="1"/>
    </xf>
    <xf numFmtId="0" fontId="2" fillId="0" borderId="6" xfId="0" applyFont="1" applyBorder="1"/>
    <xf numFmtId="0" fontId="8" fillId="13" borderId="0" xfId="0" applyFont="1" applyFill="1" applyBorder="1" applyAlignment="1">
      <alignment horizontal="left" vertical="center"/>
    </xf>
    <xf numFmtId="0" fontId="34" fillId="23" borderId="0" xfId="0" applyFont="1" applyFill="1" applyBorder="1" applyAlignment="1">
      <alignment horizontal="left" vertical="center"/>
    </xf>
    <xf numFmtId="0" fontId="1" fillId="0" borderId="0" xfId="0" applyFont="1" applyBorder="1" applyAlignment="1">
      <alignment vertical="top" wrapText="1"/>
    </xf>
    <xf numFmtId="0" fontId="9" fillId="21" borderId="1" xfId="0" applyFont="1" applyFill="1" applyBorder="1" applyAlignment="1">
      <alignment horizontal="left" vertical="top" wrapText="1"/>
    </xf>
    <xf numFmtId="0" fontId="33" fillId="22" borderId="1" xfId="0" applyFont="1" applyFill="1" applyBorder="1" applyAlignment="1">
      <alignment horizontal="left" vertical="top" wrapText="1"/>
    </xf>
    <xf numFmtId="0" fontId="33" fillId="22" borderId="0" xfId="0" applyFont="1" applyFill="1" applyBorder="1" applyAlignment="1">
      <alignment horizontal="center"/>
    </xf>
    <xf numFmtId="0" fontId="14" fillId="21" borderId="1" xfId="0" applyFont="1" applyFill="1" applyBorder="1" applyAlignment="1">
      <alignment horizontal="left" vertical="top" wrapText="1"/>
    </xf>
    <xf numFmtId="0" fontId="10" fillId="10" borderId="0" xfId="0" applyFont="1" applyFill="1" applyBorder="1"/>
    <xf numFmtId="0" fontId="11" fillId="9" borderId="0" xfId="0" applyFont="1" applyFill="1" applyBorder="1"/>
    <xf numFmtId="0" fontId="37" fillId="7" borderId="0" xfId="0" applyFont="1" applyFill="1" applyBorder="1" applyAlignment="1">
      <alignment horizontal="center" vertical="center"/>
    </xf>
    <xf numFmtId="0" fontId="11" fillId="9" borderId="0" xfId="0" applyFont="1" applyFill="1" applyBorder="1" applyAlignment="1">
      <alignment vertical="top" wrapText="1"/>
    </xf>
    <xf numFmtId="0" fontId="39" fillId="2" borderId="3" xfId="0" applyFont="1" applyFill="1" applyBorder="1" applyAlignment="1">
      <alignment horizontal="center" vertical="center"/>
    </xf>
    <xf numFmtId="0" fontId="9" fillId="26" borderId="0" xfId="0" applyFont="1" applyFill="1" applyBorder="1" applyAlignment="1">
      <alignment horizontal="center" vertical="center" wrapText="1"/>
    </xf>
    <xf numFmtId="0" fontId="41" fillId="27" borderId="0" xfId="0" applyFont="1" applyFill="1" applyBorder="1" applyAlignment="1">
      <alignment horizontal="center" vertical="center" wrapText="1"/>
    </xf>
    <xf numFmtId="0" fontId="9" fillId="26" borderId="0" xfId="0" applyFont="1" applyFill="1" applyBorder="1" applyAlignment="1">
      <alignment vertical="center" wrapText="1"/>
    </xf>
    <xf numFmtId="14" fontId="9" fillId="26" borderId="0" xfId="0" applyNumberFormat="1" applyFont="1" applyFill="1" applyBorder="1" applyAlignment="1">
      <alignment vertical="center" wrapText="1"/>
    </xf>
    <xf numFmtId="0" fontId="10" fillId="7" borderId="0" xfId="0" applyFont="1" applyFill="1" applyBorder="1" applyAlignment="1">
      <alignment horizontal="left" vertical="center" wrapText="1"/>
    </xf>
    <xf numFmtId="0" fontId="10" fillId="7" borderId="0" xfId="0" applyFont="1" applyFill="1" applyBorder="1" applyAlignment="1">
      <alignment horizontal="left"/>
    </xf>
    <xf numFmtId="0" fontId="2" fillId="0" borderId="0" xfId="0" applyFont="1" applyBorder="1" applyAlignment="1">
      <alignment vertical="center"/>
    </xf>
    <xf numFmtId="0" fontId="37" fillId="7" borderId="0" xfId="0" applyFont="1" applyFill="1" applyBorder="1" applyAlignment="1">
      <alignment horizontal="center" vertical="center" wrapText="1"/>
    </xf>
    <xf numFmtId="0" fontId="10" fillId="28" borderId="0" xfId="0" applyFont="1" applyFill="1" applyBorder="1" applyAlignment="1">
      <alignment horizontal="center" vertical="center" wrapText="1"/>
    </xf>
    <xf numFmtId="0" fontId="10" fillId="28" borderId="0" xfId="0" applyFont="1" applyFill="1" applyBorder="1" applyAlignment="1">
      <alignment horizontal="center" wrapText="1"/>
    </xf>
    <xf numFmtId="0" fontId="9" fillId="29" borderId="0" xfId="0" applyFont="1" applyFill="1" applyBorder="1" applyAlignment="1">
      <alignment horizontal="center" vertical="center" wrapText="1"/>
    </xf>
    <xf numFmtId="9" fontId="9" fillId="29" borderId="0" xfId="0" applyNumberFormat="1" applyFont="1" applyFill="1" applyBorder="1" applyAlignment="1">
      <alignment horizontal="center" vertical="center" wrapText="1"/>
    </xf>
    <xf numFmtId="0" fontId="9" fillId="29" borderId="0" xfId="0" applyFont="1" applyFill="1" applyBorder="1" applyAlignment="1">
      <alignment vertical="center" wrapText="1"/>
    </xf>
    <xf numFmtId="0" fontId="11" fillId="29" borderId="0" xfId="0" applyFont="1" applyFill="1" applyBorder="1" applyAlignment="1">
      <alignment wrapText="1"/>
    </xf>
    <xf numFmtId="0" fontId="44" fillId="29" borderId="0" xfId="0" applyFont="1" applyFill="1" applyBorder="1" applyAlignment="1">
      <alignment horizontal="center" vertical="center" wrapText="1"/>
    </xf>
    <xf numFmtId="0" fontId="44" fillId="29" borderId="0" xfId="0" applyFont="1" applyFill="1" applyBorder="1" applyAlignment="1">
      <alignment vertical="center" wrapText="1"/>
    </xf>
    <xf numFmtId="0" fontId="9" fillId="30" borderId="0" xfId="0" applyFont="1" applyFill="1" applyBorder="1" applyAlignment="1">
      <alignment horizontal="center" vertical="center" wrapText="1"/>
    </xf>
    <xf numFmtId="0" fontId="45" fillId="21" borderId="0" xfId="0" applyFont="1" applyFill="1" applyBorder="1" applyAlignment="1">
      <alignment horizontal="center" vertical="center" wrapText="1"/>
    </xf>
    <xf numFmtId="0" fontId="45" fillId="14" borderId="0" xfId="0" applyFont="1" applyFill="1" applyBorder="1" applyAlignment="1">
      <alignment vertical="center" wrapText="1"/>
    </xf>
    <xf numFmtId="0" fontId="10" fillId="7" borderId="0" xfId="0" applyFont="1" applyFill="1" applyBorder="1" applyAlignment="1">
      <alignment horizontal="center" wrapText="1"/>
    </xf>
    <xf numFmtId="0" fontId="45" fillId="9" borderId="0" xfId="0" applyFont="1" applyFill="1" applyBorder="1" applyAlignment="1">
      <alignment horizontal="center" vertical="top" wrapText="1"/>
    </xf>
    <xf numFmtId="0" fontId="22" fillId="9" borderId="0" xfId="0" applyFont="1" applyFill="1" applyBorder="1" applyAlignment="1">
      <alignment vertical="top" wrapText="1"/>
    </xf>
    <xf numFmtId="0" fontId="22" fillId="9" borderId="0" xfId="0" applyFont="1" applyFill="1" applyBorder="1" applyAlignment="1">
      <alignment horizontal="center" vertical="center" wrapText="1"/>
    </xf>
    <xf numFmtId="9" fontId="22" fillId="9" borderId="0" xfId="0" applyNumberFormat="1" applyFont="1" applyFill="1" applyBorder="1" applyAlignment="1">
      <alignment horizontal="center" vertical="center" wrapText="1"/>
    </xf>
    <xf numFmtId="0" fontId="22" fillId="31" borderId="0" xfId="0" applyFont="1" applyFill="1" applyBorder="1" applyAlignment="1">
      <alignment horizontal="center" vertical="center" wrapText="1"/>
    </xf>
    <xf numFmtId="0" fontId="22" fillId="0" borderId="0" xfId="0" applyFont="1" applyBorder="1" applyAlignment="1">
      <alignment horizontal="center" vertical="center" wrapText="1"/>
    </xf>
    <xf numFmtId="0" fontId="22" fillId="0" borderId="0" xfId="0" applyFont="1" applyBorder="1" applyAlignment="1">
      <alignment vertical="top" wrapText="1"/>
    </xf>
    <xf numFmtId="0" fontId="10" fillId="7" borderId="0" xfId="0" applyFont="1" applyFill="1" applyBorder="1" applyAlignment="1">
      <alignment wrapText="1"/>
    </xf>
    <xf numFmtId="14" fontId="22" fillId="9" borderId="0" xfId="0" applyNumberFormat="1" applyFont="1" applyFill="1" applyBorder="1" applyAlignment="1">
      <alignment vertical="top" wrapText="1"/>
    </xf>
    <xf numFmtId="0" fontId="45" fillId="29" borderId="0" xfId="0" applyFont="1" applyFill="1" applyBorder="1" applyAlignment="1">
      <alignment horizontal="center" vertical="top" wrapText="1"/>
    </xf>
    <xf numFmtId="0" fontId="16" fillId="0" borderId="0" xfId="0" applyFont="1" applyBorder="1" applyAlignment="1">
      <alignment horizontal="center"/>
    </xf>
    <xf numFmtId="0" fontId="45" fillId="26" borderId="0" xfId="0" applyFont="1" applyFill="1" applyBorder="1" applyAlignment="1">
      <alignment horizontal="center" vertical="top" wrapText="1"/>
    </xf>
    <xf numFmtId="22" fontId="45" fillId="29" borderId="0" xfId="0" applyNumberFormat="1" applyFont="1" applyFill="1" applyBorder="1" applyAlignment="1">
      <alignment horizontal="center" vertical="top" wrapText="1"/>
    </xf>
    <xf numFmtId="0" fontId="33" fillId="22" borderId="0" xfId="0" applyFont="1" applyFill="1" applyBorder="1" applyAlignment="1">
      <alignment horizontal="center" vertical="top" wrapText="1"/>
    </xf>
    <xf numFmtId="0" fontId="1" fillId="0" borderId="0" xfId="0" applyFont="1" applyBorder="1"/>
    <xf numFmtId="0" fontId="15" fillId="7" borderId="0" xfId="0" applyFont="1" applyFill="1" applyBorder="1" applyAlignment="1">
      <alignment horizontal="center" vertical="center" wrapText="1"/>
    </xf>
    <xf numFmtId="0" fontId="2" fillId="27" borderId="0" xfId="0" applyFont="1" applyFill="1" applyBorder="1"/>
    <xf numFmtId="9" fontId="2" fillId="27" borderId="0" xfId="0" applyNumberFormat="1" applyFont="1" applyFill="1" applyBorder="1"/>
    <xf numFmtId="0" fontId="14" fillId="30" borderId="0" xfId="0" applyFont="1" applyFill="1" applyBorder="1" applyAlignment="1">
      <alignment horizontal="center" vertical="center" wrapText="1"/>
    </xf>
    <xf numFmtId="14" fontId="14" fillId="9" borderId="0" xfId="0" applyNumberFormat="1" applyFont="1" applyFill="1" applyBorder="1" applyAlignment="1">
      <alignment horizontal="center" vertical="center" wrapText="1"/>
    </xf>
    <xf numFmtId="14" fontId="14" fillId="8" borderId="0" xfId="0" applyNumberFormat="1" applyFont="1" applyFill="1" applyBorder="1" applyAlignment="1">
      <alignment horizontal="center" vertical="center" wrapText="1"/>
    </xf>
    <xf numFmtId="0" fontId="14" fillId="9" borderId="0" xfId="0" applyFont="1" applyFill="1" applyBorder="1" applyAlignment="1">
      <alignment horizontal="center" vertical="center" wrapText="1"/>
    </xf>
    <xf numFmtId="14" fontId="14" fillId="9" borderId="0" xfId="0" applyNumberFormat="1" applyFont="1" applyFill="1" applyBorder="1" applyAlignment="1">
      <alignment horizontal="left" vertical="center" wrapText="1"/>
    </xf>
    <xf numFmtId="0" fontId="14" fillId="9" borderId="0" xfId="0" applyFont="1" applyFill="1" applyBorder="1" applyAlignment="1">
      <alignment horizontal="left" vertical="center" wrapText="1"/>
    </xf>
    <xf numFmtId="9" fontId="14" fillId="9" borderId="0" xfId="0" applyNumberFormat="1" applyFont="1" applyFill="1" applyBorder="1" applyAlignment="1">
      <alignment horizontal="center" vertical="center" wrapText="1"/>
    </xf>
    <xf numFmtId="9" fontId="12" fillId="9" borderId="0" xfId="0" applyNumberFormat="1" applyFont="1" applyFill="1" applyBorder="1" applyAlignment="1">
      <alignment vertical="top" wrapText="1"/>
    </xf>
    <xf numFmtId="0" fontId="2" fillId="9" borderId="0" xfId="0" applyFont="1" applyFill="1" applyBorder="1"/>
    <xf numFmtId="9" fontId="12" fillId="9" borderId="0" xfId="0" applyNumberFormat="1" applyFont="1" applyFill="1" applyBorder="1" applyAlignment="1">
      <alignment horizontal="center" vertical="top" wrapText="1"/>
    </xf>
    <xf numFmtId="0" fontId="12" fillId="0" borderId="0" xfId="0" applyFont="1" applyBorder="1" applyAlignment="1">
      <alignment vertical="top" wrapText="1"/>
    </xf>
    <xf numFmtId="0" fontId="14" fillId="10" borderId="0" xfId="0" applyFont="1" applyFill="1" applyBorder="1" applyAlignment="1">
      <alignment horizontal="center" vertical="top" wrapText="1"/>
    </xf>
    <xf numFmtId="0" fontId="47" fillId="0" borderId="0" xfId="0" applyFont="1" applyBorder="1" applyAlignment="1">
      <alignment vertical="center"/>
    </xf>
    <xf numFmtId="0" fontId="16" fillId="0" borderId="0" xfId="0" applyFont="1" applyBorder="1" applyAlignment="1">
      <alignment horizontal="center" vertical="center" wrapText="1"/>
    </xf>
    <xf numFmtId="0" fontId="2" fillId="0" borderId="0" xfId="0" applyFont="1" applyBorder="1" applyAlignment="1">
      <alignment vertical="center" wrapText="1"/>
    </xf>
    <xf numFmtId="0" fontId="2" fillId="0" borderId="0" xfId="0" applyFont="1" applyBorder="1" applyAlignment="1">
      <alignment horizontal="left" vertical="center"/>
    </xf>
    <xf numFmtId="0" fontId="48" fillId="0" borderId="0" xfId="0" applyFont="1" applyBorder="1" applyAlignment="1">
      <alignment vertical="center"/>
    </xf>
    <xf numFmtId="0" fontId="49" fillId="0" borderId="0" xfId="0" applyFont="1" applyBorder="1" applyAlignment="1">
      <alignment vertical="center"/>
    </xf>
    <xf numFmtId="0" fontId="37" fillId="7" borderId="0" xfId="0" applyFont="1" applyFill="1" applyBorder="1" applyAlignment="1">
      <alignment horizontal="left" vertical="center" wrapText="1"/>
    </xf>
    <xf numFmtId="14" fontId="2" fillId="27" borderId="0" xfId="0" applyNumberFormat="1" applyFont="1" applyFill="1" applyBorder="1"/>
    <xf numFmtId="0" fontId="2" fillId="0" borderId="0" xfId="0" applyFont="1" applyBorder="1" applyAlignment="1">
      <alignment horizontal="center" vertical="center"/>
    </xf>
    <xf numFmtId="0" fontId="32" fillId="13" borderId="0" xfId="0" applyFont="1" applyFill="1" applyBorder="1" applyAlignment="1">
      <alignment horizontal="center"/>
    </xf>
    <xf numFmtId="9" fontId="32" fillId="13" borderId="0" xfId="0" applyNumberFormat="1" applyFont="1" applyFill="1" applyBorder="1" applyAlignment="1">
      <alignment horizontal="center"/>
    </xf>
    <xf numFmtId="9" fontId="22" fillId="0" borderId="0" xfId="0" applyNumberFormat="1" applyFont="1" applyBorder="1" applyAlignment="1">
      <alignment horizontal="center" vertical="center" wrapText="1"/>
    </xf>
    <xf numFmtId="0" fontId="50" fillId="0" borderId="0" xfId="0" applyFont="1" applyBorder="1" applyAlignment="1">
      <alignment horizontal="center" vertical="center" wrapText="1"/>
    </xf>
    <xf numFmtId="9" fontId="10" fillId="7" borderId="0" xfId="0" applyNumberFormat="1" applyFont="1" applyFill="1" applyBorder="1" applyAlignment="1">
      <alignment horizontal="center" vertical="center" wrapText="1"/>
    </xf>
    <xf numFmtId="0" fontId="14" fillId="14" borderId="0" xfId="0" applyFont="1" applyFill="1" applyBorder="1" applyAlignment="1">
      <alignment horizontal="center" vertical="center" wrapText="1"/>
    </xf>
    <xf numFmtId="0" fontId="21" fillId="28" borderId="0" xfId="0" applyFont="1" applyFill="1" applyBorder="1" applyAlignment="1">
      <alignment horizontal="center" vertical="center" wrapText="1"/>
    </xf>
    <xf numFmtId="9" fontId="21" fillId="28" borderId="0" xfId="0" applyNumberFormat="1" applyFont="1" applyFill="1" applyBorder="1" applyAlignment="1">
      <alignment horizontal="center" vertical="center" wrapText="1"/>
    </xf>
    <xf numFmtId="0" fontId="2" fillId="9" borderId="0" xfId="0" applyFont="1" applyFill="1" applyBorder="1" applyAlignment="1">
      <alignment horizontal="center" vertical="center"/>
    </xf>
    <xf numFmtId="14" fontId="22" fillId="0" borderId="0" xfId="0" applyNumberFormat="1" applyFont="1" applyBorder="1" applyAlignment="1">
      <alignment horizontal="center" vertical="center" wrapText="1"/>
    </xf>
    <xf numFmtId="0" fontId="0" fillId="0" borderId="0" xfId="0" applyBorder="1" applyAlignment="1">
      <alignment wrapText="1"/>
    </xf>
    <xf numFmtId="0" fontId="51" fillId="32" borderId="0" xfId="0" applyFont="1" applyFill="1" applyBorder="1"/>
    <xf numFmtId="14" fontId="0" fillId="0" borderId="0" xfId="0" applyNumberFormat="1" applyBorder="1"/>
    <xf numFmtId="9" fontId="0" fillId="0" borderId="0" xfId="0" applyNumberFormat="1" applyBorder="1"/>
    <xf numFmtId="0" fontId="0" fillId="0" borderId="3" xfId="0" applyBorder="1" applyAlignment="1">
      <alignment vertical="top" wrapText="1"/>
    </xf>
    <xf numFmtId="0" fontId="32" fillId="32" borderId="3" xfId="0" applyFont="1" applyFill="1" applyBorder="1" applyAlignment="1">
      <alignment vertical="top" wrapText="1"/>
    </xf>
    <xf numFmtId="0" fontId="32" fillId="20" borderId="3" xfId="0" applyFont="1" applyFill="1" applyBorder="1" applyAlignment="1">
      <alignment vertical="top" wrapText="1"/>
    </xf>
    <xf numFmtId="0" fontId="32" fillId="33" borderId="3" xfId="0" applyFont="1" applyFill="1" applyBorder="1" applyAlignment="1">
      <alignment vertical="top" wrapText="1"/>
    </xf>
    <xf numFmtId="0" fontId="0" fillId="0" borderId="7" xfId="0" applyBorder="1" applyAlignment="1">
      <alignment vertical="center" wrapText="1"/>
    </xf>
    <xf numFmtId="0" fontId="52" fillId="35" borderId="0" xfId="0" applyFont="1" applyFill="1" applyBorder="1" applyAlignment="1">
      <alignment vertical="top"/>
    </xf>
    <xf numFmtId="0" fontId="0" fillId="0" borderId="0" xfId="0" applyBorder="1" applyAlignment="1">
      <alignment vertical="top"/>
    </xf>
    <xf numFmtId="0" fontId="54" fillId="35" borderId="0" xfId="0" applyFont="1" applyFill="1" applyBorder="1" applyAlignment="1">
      <alignment vertical="top"/>
    </xf>
    <xf numFmtId="0" fontId="32" fillId="7" borderId="8" xfId="0" applyFont="1" applyFill="1" applyBorder="1" applyAlignment="1">
      <alignment horizontal="center"/>
    </xf>
    <xf numFmtId="0" fontId="0" fillId="0" borderId="9" xfId="0" applyBorder="1" applyAlignment="1">
      <alignment vertical="top" wrapText="1"/>
    </xf>
    <xf numFmtId="0" fontId="56" fillId="2" borderId="0" xfId="0" applyFont="1" applyFill="1" applyBorder="1" applyAlignment="1">
      <alignment horizontal="left" vertical="center" wrapText="1"/>
    </xf>
    <xf numFmtId="0" fontId="57" fillId="6" borderId="1" xfId="0" applyFont="1" applyFill="1" applyBorder="1" applyAlignment="1">
      <alignment horizontal="left" vertical="center" wrapText="1"/>
    </xf>
    <xf numFmtId="9" fontId="57" fillId="6" borderId="1" xfId="0" applyNumberFormat="1" applyFont="1" applyFill="1" applyBorder="1" applyAlignment="1">
      <alignment horizontal="left" vertical="center" wrapText="1"/>
    </xf>
    <xf numFmtId="0" fontId="58" fillId="0" borderId="0" xfId="0" applyFont="1" applyBorder="1"/>
    <xf numFmtId="0" fontId="59" fillId="5" borderId="1" xfId="0" applyFont="1" applyFill="1" applyBorder="1" applyAlignment="1">
      <alignment horizontal="center" vertical="center" wrapText="1"/>
    </xf>
    <xf numFmtId="0" fontId="56" fillId="6" borderId="1" xfId="0" applyFont="1" applyFill="1" applyBorder="1" applyAlignment="1">
      <alignment horizontal="left" vertical="center" wrapText="1"/>
    </xf>
    <xf numFmtId="49" fontId="57" fillId="6" borderId="1" xfId="0" applyNumberFormat="1" applyFont="1" applyFill="1" applyBorder="1" applyAlignment="1">
      <alignment horizontal="left" vertical="center" wrapText="1"/>
    </xf>
    <xf numFmtId="9" fontId="61" fillId="6" borderId="1" xfId="0" applyNumberFormat="1" applyFont="1" applyFill="1" applyBorder="1" applyAlignment="1">
      <alignment horizontal="left" vertical="center" wrapText="1"/>
    </xf>
    <xf numFmtId="49" fontId="62" fillId="36" borderId="10" xfId="0" applyNumberFormat="1" applyFont="1" applyFill="1" applyBorder="1" applyAlignment="1">
      <alignment vertical="center" wrapText="1"/>
    </xf>
    <xf numFmtId="0" fontId="63" fillId="2" borderId="0" xfId="0" applyFont="1" applyFill="1" applyBorder="1" applyAlignment="1">
      <alignment horizontal="left" vertical="center" wrapText="1"/>
    </xf>
    <xf numFmtId="0" fontId="63" fillId="6" borderId="1" xfId="0" applyFont="1" applyFill="1" applyBorder="1" applyAlignment="1">
      <alignment horizontal="left" vertical="center" wrapText="1"/>
    </xf>
    <xf numFmtId="0" fontId="64" fillId="0" borderId="0" xfId="0" applyFont="1" applyBorder="1"/>
    <xf numFmtId="0" fontId="51" fillId="39" borderId="0" xfId="0" applyFont="1" applyFill="1" applyBorder="1" applyAlignment="1">
      <alignment horizontal="center" vertical="top" wrapText="1"/>
    </xf>
    <xf numFmtId="0" fontId="0" fillId="0" borderId="0" xfId="0" applyBorder="1" applyAlignment="1">
      <alignment vertical="top" wrapText="1"/>
    </xf>
    <xf numFmtId="0" fontId="0" fillId="0" borderId="0" xfId="0" applyBorder="1" applyAlignment="1">
      <alignment horizontal="center" vertical="top" wrapText="1"/>
    </xf>
    <xf numFmtId="0" fontId="32" fillId="39" borderId="0" xfId="0" applyFont="1" applyFill="1" applyBorder="1" applyAlignment="1">
      <alignment horizontal="center" vertical="center" wrapText="1"/>
    </xf>
    <xf numFmtId="0" fontId="67" fillId="40" borderId="0" xfId="0" applyFont="1" applyFill="1" applyBorder="1" applyAlignment="1">
      <alignment vertical="top" wrapText="1"/>
    </xf>
    <xf numFmtId="0" fontId="69" fillId="42" borderId="52" xfId="0" applyFont="1" applyFill="1" applyBorder="1" applyAlignment="1">
      <alignment vertical="center" wrapText="1"/>
    </xf>
    <xf numFmtId="0" fontId="70" fillId="43" borderId="52" xfId="0" applyFont="1" applyFill="1" applyBorder="1" applyAlignment="1">
      <alignment horizontal="center" vertical="center" wrapText="1"/>
    </xf>
    <xf numFmtId="0" fontId="0" fillId="0" borderId="52" xfId="0" applyBorder="1" applyAlignment="1">
      <alignment vertical="top" wrapText="1"/>
    </xf>
    <xf numFmtId="0" fontId="70" fillId="43" borderId="52" xfId="0" applyFont="1" applyFill="1" applyBorder="1" applyAlignment="1">
      <alignment vertical="top" wrapText="1"/>
    </xf>
    <xf numFmtId="0" fontId="71" fillId="0" borderId="52" xfId="0" applyFont="1" applyBorder="1" applyAlignment="1">
      <alignment horizontal="center"/>
    </xf>
    <xf numFmtId="0" fontId="71" fillId="2" borderId="52" xfId="0" applyFont="1" applyFill="1" applyBorder="1" applyAlignment="1">
      <alignment horizontal="center"/>
    </xf>
    <xf numFmtId="0" fontId="51" fillId="46" borderId="0" xfId="0" applyFont="1" applyFill="1" applyBorder="1" applyAlignment="1">
      <alignment horizontal="center" wrapText="1"/>
    </xf>
    <xf numFmtId="0" fontId="74" fillId="45" borderId="0" xfId="0" applyFont="1" applyFill="1" applyBorder="1"/>
    <xf numFmtId="9" fontId="74" fillId="45" borderId="0" xfId="0" applyNumberFormat="1" applyFont="1" applyFill="1" applyBorder="1"/>
    <xf numFmtId="0" fontId="51" fillId="44" borderId="0" xfId="0" applyFont="1" applyFill="1" applyBorder="1" applyAlignment="1">
      <alignment horizontal="center" wrapText="1"/>
    </xf>
    <xf numFmtId="9" fontId="0" fillId="0" borderId="0" xfId="0" applyNumberFormat="1" applyBorder="1" applyAlignment="1">
      <alignment vertical="top" wrapText="1"/>
    </xf>
    <xf numFmtId="165" fontId="0" fillId="0" borderId="0" xfId="0" applyNumberFormat="1" applyBorder="1" applyAlignment="1">
      <alignment vertical="top" wrapText="1"/>
    </xf>
    <xf numFmtId="166" fontId="0" fillId="0" borderId="0" xfId="0" applyNumberFormat="1" applyBorder="1" applyAlignment="1">
      <alignment vertical="top" wrapText="1"/>
    </xf>
    <xf numFmtId="0" fontId="70" fillId="46" borderId="0" xfId="0" applyFont="1" applyFill="1" applyBorder="1"/>
    <xf numFmtId="0" fontId="71" fillId="0" borderId="52" xfId="0" applyFont="1" applyBorder="1" applyAlignment="1">
      <alignment horizontal="center" wrapText="1"/>
    </xf>
    <xf numFmtId="0" fontId="0" fillId="0" borderId="11" xfId="0"/>
    <xf numFmtId="0" fontId="76" fillId="0" borderId="52" xfId="0" applyFont="1" applyBorder="1" applyAlignment="1">
      <alignment vertical="top" wrapText="1"/>
    </xf>
    <xf numFmtId="0" fontId="3" fillId="2" borderId="11" xfId="0" applyFont="1" applyFill="1" applyAlignment="1">
      <alignment horizontal="left" vertical="center" wrapText="1"/>
    </xf>
    <xf numFmtId="0" fontId="86" fillId="58" borderId="11" xfId="0" applyFont="1" applyFill="1" applyAlignment="1">
      <alignment horizontal="left" vertical="center" wrapText="1"/>
    </xf>
    <xf numFmtId="0" fontId="56" fillId="2" borderId="11" xfId="0" applyFont="1" applyFill="1" applyAlignment="1">
      <alignment horizontal="left" vertical="center" wrapText="1"/>
    </xf>
    <xf numFmtId="0" fontId="51" fillId="41" borderId="11" xfId="0" applyFont="1" applyFill="1" applyAlignment="1">
      <alignment horizontal="center"/>
    </xf>
    <xf numFmtId="0" fontId="58" fillId="0" borderId="11" xfId="0" applyFont="1"/>
    <xf numFmtId="1" fontId="88" fillId="59" borderId="12" xfId="0" applyNumberFormat="1" applyFont="1" applyFill="1" applyBorder="1" applyAlignment="1">
      <alignment horizontal="center" vertical="center" wrapText="1"/>
    </xf>
    <xf numFmtId="0" fontId="53" fillId="44" borderId="11" xfId="0" applyFont="1" applyFill="1" applyAlignment="1">
      <alignment horizontal="center" vertical="center" wrapText="1"/>
    </xf>
    <xf numFmtId="0" fontId="75" fillId="2" borderId="11" xfId="0" applyFont="1" applyFill="1" applyAlignment="1">
      <alignment horizontal="center" vertical="center" wrapText="1"/>
    </xf>
    <xf numFmtId="0" fontId="65" fillId="2" borderId="11" xfId="0" applyFont="1" applyFill="1" applyAlignment="1">
      <alignment horizontal="left" vertical="center" wrapText="1"/>
    </xf>
    <xf numFmtId="0" fontId="66" fillId="0" borderId="11" xfId="0" applyFont="1"/>
    <xf numFmtId="0" fontId="87" fillId="58" borderId="12" xfId="0" applyFont="1" applyFill="1" applyBorder="1" applyAlignment="1">
      <alignment horizontal="left" vertical="center" wrapText="1"/>
    </xf>
    <xf numFmtId="0" fontId="87" fillId="58" borderId="26" xfId="0" applyFont="1" applyFill="1" applyBorder="1" applyAlignment="1">
      <alignment horizontal="left" vertical="center" wrapText="1"/>
    </xf>
    <xf numFmtId="0" fontId="89" fillId="61" borderId="12" xfId="0" applyFont="1" applyFill="1" applyBorder="1" applyAlignment="1">
      <alignment horizontal="center" vertical="center" wrapText="1"/>
    </xf>
    <xf numFmtId="0" fontId="3" fillId="44" borderId="12" xfId="0" applyFont="1" applyFill="1" applyBorder="1" applyAlignment="1">
      <alignment horizontal="left" vertical="center" wrapText="1"/>
    </xf>
    <xf numFmtId="9" fontId="61" fillId="61" borderId="12" xfId="0" applyNumberFormat="1" applyFont="1" applyFill="1" applyBorder="1" applyAlignment="1">
      <alignment horizontal="left" vertical="center" wrapText="1"/>
    </xf>
    <xf numFmtId="0" fontId="89" fillId="61" borderId="69" xfId="0" applyFont="1" applyFill="1" applyBorder="1" applyAlignment="1">
      <alignment horizontal="left" vertical="center" wrapText="1"/>
    </xf>
    <xf numFmtId="49" fontId="89" fillId="58" borderId="12" xfId="0" applyNumberFormat="1" applyFont="1" applyFill="1" applyBorder="1" applyAlignment="1">
      <alignment horizontal="left" vertical="center" wrapText="1"/>
    </xf>
    <xf numFmtId="0" fontId="89" fillId="58" borderId="26" xfId="0" applyFont="1" applyFill="1" applyBorder="1" applyAlignment="1">
      <alignment horizontal="left" vertical="center" wrapText="1"/>
    </xf>
    <xf numFmtId="0" fontId="89" fillId="58" borderId="70" xfId="0" applyFont="1" applyFill="1" applyBorder="1" applyAlignment="1">
      <alignment horizontal="left" vertical="center" wrapText="1"/>
    </xf>
    <xf numFmtId="0" fontId="89" fillId="58" borderId="71" xfId="0" applyFont="1" applyFill="1" applyBorder="1" applyAlignment="1">
      <alignment horizontal="left" vertical="center" wrapText="1"/>
    </xf>
    <xf numFmtId="0" fontId="89" fillId="61" borderId="71" xfId="0" applyFont="1" applyFill="1" applyBorder="1" applyAlignment="1">
      <alignment horizontal="left" vertical="center" wrapText="1"/>
    </xf>
    <xf numFmtId="0" fontId="89" fillId="61" borderId="72" xfId="0" applyFont="1" applyFill="1" applyBorder="1" applyAlignment="1">
      <alignment horizontal="left" vertical="center" wrapText="1"/>
    </xf>
    <xf numFmtId="1" fontId="7" fillId="44" borderId="12" xfId="0" applyNumberFormat="1" applyFont="1" applyFill="1" applyBorder="1" applyAlignment="1">
      <alignment horizontal="left" vertical="center" wrapText="1"/>
    </xf>
    <xf numFmtId="0" fontId="56" fillId="38" borderId="11" xfId="0" applyFont="1" applyFill="1" applyAlignment="1">
      <alignment horizontal="left" vertical="center" wrapText="1"/>
    </xf>
    <xf numFmtId="0" fontId="92" fillId="64" borderId="10" xfId="0" applyFont="1" applyFill="1" applyBorder="1" applyAlignment="1">
      <alignment horizontal="center" vertical="center" wrapText="1"/>
    </xf>
    <xf numFmtId="0" fontId="14" fillId="8" borderId="11" xfId="0" applyFont="1" applyFill="1" applyAlignment="1">
      <alignment horizontal="center" vertical="center" wrapText="1"/>
    </xf>
    <xf numFmtId="0" fontId="16" fillId="47" borderId="11" xfId="0" applyFont="1" applyFill="1"/>
    <xf numFmtId="9" fontId="16" fillId="47" borderId="11" xfId="0" applyNumberFormat="1" applyFont="1" applyFill="1"/>
    <xf numFmtId="0" fontId="14" fillId="47" borderId="11" xfId="0" applyFont="1" applyFill="1" applyAlignment="1">
      <alignment horizontal="center" vertical="center" wrapText="1"/>
    </xf>
    <xf numFmtId="0" fontId="16" fillId="0" borderId="11" xfId="0" applyFont="1"/>
    <xf numFmtId="14" fontId="14" fillId="9" borderId="11" xfId="0" applyNumberFormat="1" applyFont="1" applyFill="1" applyAlignment="1">
      <alignment horizontal="center" vertical="center" wrapText="1"/>
    </xf>
    <xf numFmtId="14" fontId="14" fillId="8" borderId="11" xfId="0" applyNumberFormat="1" applyFont="1" applyFill="1" applyAlignment="1">
      <alignment horizontal="center" vertical="center" wrapText="1"/>
    </xf>
    <xf numFmtId="0" fontId="14" fillId="9" borderId="11" xfId="0" applyFont="1" applyFill="1" applyAlignment="1">
      <alignment horizontal="center" vertical="center" wrapText="1"/>
    </xf>
    <xf numFmtId="0" fontId="2" fillId="0" borderId="11" xfId="0" applyFont="1"/>
    <xf numFmtId="14" fontId="14" fillId="9" borderId="11" xfId="0" applyNumberFormat="1" applyFont="1" applyFill="1" applyAlignment="1">
      <alignment horizontal="left" vertical="center" wrapText="1"/>
    </xf>
    <xf numFmtId="0" fontId="14" fillId="9" borderId="11" xfId="0" applyFont="1" applyFill="1" applyAlignment="1">
      <alignment horizontal="left" vertical="center" wrapText="1"/>
    </xf>
    <xf numFmtId="0" fontId="14" fillId="65" borderId="11" xfId="0" applyFont="1" applyFill="1" applyAlignment="1">
      <alignment horizontal="center" vertical="center" wrapText="1"/>
    </xf>
    <xf numFmtId="0" fontId="14" fillId="66" borderId="11" xfId="0" applyFont="1" applyFill="1" applyAlignment="1">
      <alignment horizontal="center" vertical="center" wrapText="1"/>
    </xf>
    <xf numFmtId="0" fontId="14" fillId="67" borderId="11" xfId="0" applyFont="1" applyFill="1" applyAlignment="1">
      <alignment horizontal="center" vertical="center" wrapText="1"/>
    </xf>
    <xf numFmtId="0" fontId="14" fillId="68" borderId="11" xfId="0" applyFont="1" applyFill="1" applyAlignment="1">
      <alignment horizontal="center" vertical="center" wrapText="1"/>
    </xf>
    <xf numFmtId="0" fontId="46" fillId="69" borderId="11" xfId="0" applyFont="1" applyFill="1" applyAlignment="1">
      <alignment horizontal="center" vertical="center" wrapText="1"/>
    </xf>
    <xf numFmtId="0" fontId="46" fillId="8" borderId="11" xfId="0" applyFont="1" applyFill="1" applyAlignment="1">
      <alignment horizontal="center" vertical="center" wrapText="1"/>
    </xf>
    <xf numFmtId="0" fontId="3" fillId="2" borderId="81" xfId="0" applyFont="1" applyFill="1" applyBorder="1" applyAlignment="1">
      <alignment horizontal="center" vertical="center" wrapText="1"/>
    </xf>
    <xf numFmtId="0" fontId="3" fillId="2" borderId="80" xfId="0" applyFont="1" applyFill="1" applyBorder="1" applyAlignment="1">
      <alignment horizontal="center" vertical="center" wrapText="1"/>
    </xf>
    <xf numFmtId="0" fontId="3" fillId="2" borderId="82" xfId="0" applyFont="1" applyFill="1" applyBorder="1" applyAlignment="1">
      <alignment horizontal="center" vertical="center" wrapText="1"/>
    </xf>
    <xf numFmtId="49" fontId="95" fillId="44" borderId="12" xfId="0" applyNumberFormat="1" applyFont="1" applyFill="1" applyBorder="1" applyAlignment="1">
      <alignment horizontal="left" vertical="center" wrapText="1"/>
    </xf>
    <xf numFmtId="0" fontId="0" fillId="9" borderId="11" xfId="0" applyFill="1"/>
    <xf numFmtId="0" fontId="0" fillId="74" borderId="11" xfId="0" applyFill="1"/>
    <xf numFmtId="0" fontId="112" fillId="77" borderId="11" xfId="0" applyFont="1" applyFill="1" applyAlignment="1">
      <alignment horizontal="center"/>
    </xf>
    <xf numFmtId="0" fontId="117" fillId="9" borderId="11" xfId="0" applyFont="1" applyFill="1" applyAlignment="1">
      <alignment horizontal="center" vertical="center"/>
    </xf>
    <xf numFmtId="0" fontId="0" fillId="79" borderId="11" xfId="0" applyFill="1"/>
    <xf numFmtId="0" fontId="0" fillId="80" borderId="11" xfId="0" applyFill="1"/>
    <xf numFmtId="0" fontId="0" fillId="81" borderId="11" xfId="0" applyFill="1"/>
    <xf numFmtId="0" fontId="0" fillId="82" borderId="11" xfId="0" applyFill="1"/>
    <xf numFmtId="0" fontId="110" fillId="75" borderId="11" xfId="0" applyFont="1" applyFill="1" applyAlignment="1">
      <alignment horizontal="center" vertical="center"/>
    </xf>
    <xf numFmtId="0" fontId="0" fillId="0" borderId="11" xfId="0" applyAlignment="1">
      <alignment wrapText="1"/>
    </xf>
    <xf numFmtId="0" fontId="26" fillId="71" borderId="90" xfId="0" applyFont="1" applyFill="1" applyBorder="1" applyAlignment="1">
      <alignment horizontal="center" vertical="top" wrapText="1"/>
    </xf>
    <xf numFmtId="0" fontId="26" fillId="71" borderId="91" xfId="0" applyFont="1" applyFill="1" applyBorder="1" applyAlignment="1">
      <alignment horizontal="center" vertical="top" wrapText="1"/>
    </xf>
    <xf numFmtId="0" fontId="26" fillId="71" borderId="92" xfId="0" applyFont="1" applyFill="1" applyBorder="1" applyAlignment="1">
      <alignment horizontal="center" vertical="top" wrapText="1"/>
    </xf>
    <xf numFmtId="9" fontId="16" fillId="47" borderId="11" xfId="0" applyNumberFormat="1" applyFont="1" applyFill="1" applyAlignment="1">
      <alignment horizontal="left"/>
    </xf>
    <xf numFmtId="0" fontId="127" fillId="86" borderId="11" xfId="0" applyFont="1" applyFill="1" applyAlignment="1">
      <alignment horizontal="center" wrapText="1"/>
    </xf>
    <xf numFmtId="0" fontId="128" fillId="29" borderId="11" xfId="0" applyFont="1" applyFill="1" applyAlignment="1">
      <alignment vertical="top" wrapText="1"/>
    </xf>
    <xf numFmtId="0" fontId="127" fillId="85" borderId="11" xfId="0" applyFont="1" applyFill="1" applyAlignment="1">
      <alignment wrapText="1"/>
    </xf>
    <xf numFmtId="0" fontId="129" fillId="40" borderId="11" xfId="0" applyFont="1" applyFill="1" applyAlignment="1">
      <alignment vertical="top" wrapText="1"/>
    </xf>
    <xf numFmtId="0" fontId="127" fillId="86" borderId="11" xfId="0" applyFont="1" applyFill="1" applyAlignment="1">
      <alignment wrapText="1"/>
    </xf>
    <xf numFmtId="0" fontId="129" fillId="26" borderId="11" xfId="0" applyFont="1" applyFill="1" applyAlignment="1">
      <alignment horizontal="center" wrapText="1"/>
    </xf>
    <xf numFmtId="0" fontId="45" fillId="8" borderId="11" xfId="0" applyFont="1" applyFill="1" applyAlignment="1">
      <alignment horizontal="center" vertical="center" wrapText="1"/>
    </xf>
    <xf numFmtId="0" fontId="0" fillId="70" borderId="11" xfId="0" applyFill="1"/>
    <xf numFmtId="0" fontId="76" fillId="70" borderId="11" xfId="0" applyFont="1" applyFill="1"/>
    <xf numFmtId="0" fontId="122" fillId="70" borderId="11" xfId="0" applyFont="1" applyFill="1" applyAlignment="1">
      <alignment horizontal="center" vertical="center" wrapText="1"/>
    </xf>
    <xf numFmtId="0" fontId="3" fillId="2" borderId="11" xfId="0" applyFont="1" applyFill="1" applyAlignment="1">
      <alignment horizontal="center" vertical="center" wrapText="1"/>
    </xf>
    <xf numFmtId="0" fontId="56" fillId="2" borderId="96" xfId="0" applyFont="1" applyFill="1" applyBorder="1" applyAlignment="1">
      <alignment horizontal="left" vertical="center" wrapText="1"/>
    </xf>
    <xf numFmtId="0" fontId="87" fillId="44" borderId="99" xfId="0" applyFont="1" applyFill="1" applyBorder="1" applyAlignment="1">
      <alignment horizontal="center" vertical="center" wrapText="1"/>
    </xf>
    <xf numFmtId="0" fontId="3" fillId="2" borderId="96" xfId="0" applyFont="1" applyFill="1" applyBorder="1" applyAlignment="1">
      <alignment horizontal="left" vertical="center" wrapText="1"/>
    </xf>
    <xf numFmtId="0" fontId="89" fillId="58" borderId="11" xfId="0" applyFont="1" applyFill="1" applyAlignment="1">
      <alignment horizontal="left" vertical="center" wrapText="1"/>
    </xf>
    <xf numFmtId="49" fontId="91" fillId="44" borderId="11" xfId="0" applyNumberFormat="1" applyFont="1" applyFill="1" applyAlignment="1">
      <alignment horizontal="left" vertical="center" wrapText="1"/>
    </xf>
    <xf numFmtId="0" fontId="91" fillId="44" borderId="11" xfId="0" applyFont="1" applyFill="1" applyAlignment="1">
      <alignment horizontal="left" vertical="center" wrapText="1"/>
    </xf>
    <xf numFmtId="0" fontId="89" fillId="61" borderId="11" xfId="0" applyFont="1" applyFill="1" applyAlignment="1">
      <alignment horizontal="left" vertical="center" wrapText="1"/>
    </xf>
    <xf numFmtId="0" fontId="51" fillId="46" borderId="11" xfId="0" applyFont="1" applyFill="1"/>
    <xf numFmtId="0" fontId="69" fillId="45" borderId="11" xfId="0" applyFont="1" applyFill="1" applyAlignment="1">
      <alignment vertical="center" wrapText="1"/>
    </xf>
    <xf numFmtId="0" fontId="134" fillId="40" borderId="11" xfId="0" applyFont="1" applyFill="1" applyAlignment="1">
      <alignment horizontal="center" vertical="center" wrapText="1"/>
    </xf>
    <xf numFmtId="0" fontId="74" fillId="45" borderId="11" xfId="0" applyFont="1" applyFill="1" applyAlignment="1">
      <alignment horizontal="center" vertical="center" wrapText="1"/>
    </xf>
    <xf numFmtId="0" fontId="74" fillId="88" borderId="11" xfId="0" applyFont="1" applyFill="1"/>
    <xf numFmtId="0" fontId="51" fillId="87" borderId="11" xfId="0" applyFont="1" applyFill="1"/>
    <xf numFmtId="0" fontId="69" fillId="89" borderId="11" xfId="0" applyFont="1" applyFill="1" applyAlignment="1">
      <alignment wrapText="1"/>
    </xf>
    <xf numFmtId="0" fontId="135" fillId="0" borderId="101" xfId="0" applyFont="1" applyBorder="1" applyAlignment="1">
      <alignment horizontal="center" vertical="center" wrapText="1"/>
    </xf>
    <xf numFmtId="0" fontId="0" fillId="0" borderId="101" xfId="0" applyBorder="1"/>
    <xf numFmtId="0" fontId="0" fillId="0" borderId="102" xfId="0" applyBorder="1"/>
    <xf numFmtId="0" fontId="109" fillId="9" borderId="11" xfId="0" applyFont="1" applyFill="1" applyAlignment="1">
      <alignment horizontal="left"/>
    </xf>
    <xf numFmtId="0" fontId="136" fillId="57" borderId="25" xfId="0" applyFont="1" applyFill="1" applyBorder="1" applyAlignment="1">
      <alignment vertical="center" wrapText="1"/>
    </xf>
    <xf numFmtId="0" fontId="137" fillId="2" borderId="11" xfId="0" applyFont="1" applyFill="1" applyAlignment="1">
      <alignment horizontal="left" vertical="center" wrapText="1"/>
    </xf>
    <xf numFmtId="164" fontId="137" fillId="2" borderId="11" xfId="0" applyNumberFormat="1" applyFont="1" applyFill="1" applyAlignment="1">
      <alignment horizontal="left" vertical="center" wrapText="1"/>
    </xf>
    <xf numFmtId="0" fontId="138" fillId="0" borderId="11" xfId="0" applyFont="1"/>
    <xf numFmtId="0" fontId="135" fillId="0" borderId="11" xfId="0" applyFont="1" applyAlignment="1">
      <alignment vertical="center" wrapText="1"/>
    </xf>
    <xf numFmtId="0" fontId="135" fillId="0" borderId="106" xfId="0" applyFont="1" applyBorder="1" applyAlignment="1">
      <alignment vertical="center" wrapText="1"/>
    </xf>
    <xf numFmtId="0" fontId="69" fillId="45" borderId="103" xfId="0" applyFont="1" applyFill="1" applyBorder="1" applyAlignment="1">
      <alignment vertical="center" wrapText="1"/>
    </xf>
    <xf numFmtId="0" fontId="69" fillId="45" borderId="104" xfId="0" applyFont="1" applyFill="1" applyBorder="1" applyAlignment="1">
      <alignment vertical="center" wrapText="1"/>
    </xf>
    <xf numFmtId="0" fontId="69" fillId="45" borderId="105" xfId="0" applyFont="1" applyFill="1" applyBorder="1" applyAlignment="1">
      <alignment vertical="center" wrapText="1"/>
    </xf>
    <xf numFmtId="0" fontId="134" fillId="40" borderId="106" xfId="0" applyFont="1" applyFill="1" applyBorder="1" applyAlignment="1">
      <alignment horizontal="center" vertical="center" wrapText="1"/>
    </xf>
    <xf numFmtId="0" fontId="69" fillId="45" borderId="106" xfId="0" applyFont="1" applyFill="1" applyBorder="1" applyAlignment="1">
      <alignment vertical="center" wrapText="1"/>
    </xf>
    <xf numFmtId="0" fontId="74" fillId="45" borderId="106" xfId="0" applyFont="1" applyFill="1" applyBorder="1" applyAlignment="1">
      <alignment horizontal="center" vertical="center" wrapText="1"/>
    </xf>
    <xf numFmtId="0" fontId="69" fillId="45" borderId="4" xfId="0" applyFont="1" applyFill="1" applyBorder="1" applyAlignment="1">
      <alignment vertical="center" wrapText="1"/>
    </xf>
    <xf numFmtId="0" fontId="128" fillId="29" borderId="103" xfId="0" applyFont="1" applyFill="1" applyBorder="1" applyAlignment="1">
      <alignment vertical="top" wrapText="1"/>
    </xf>
    <xf numFmtId="0" fontId="128" fillId="29" borderId="104" xfId="0" applyFont="1" applyFill="1" applyBorder="1" applyAlignment="1">
      <alignment vertical="top" wrapText="1"/>
    </xf>
    <xf numFmtId="0" fontId="140" fillId="86" borderId="107" xfId="0" applyFont="1" applyFill="1" applyBorder="1" applyAlignment="1">
      <alignment horizontal="left" vertical="center" wrapText="1"/>
    </xf>
    <xf numFmtId="0" fontId="140" fillId="86" borderId="108" xfId="0" applyFont="1" applyFill="1" applyBorder="1" applyAlignment="1">
      <alignment horizontal="left" vertical="center" wrapText="1"/>
    </xf>
    <xf numFmtId="0" fontId="140" fillId="86" borderId="109" xfId="0" applyFont="1" applyFill="1" applyBorder="1" applyAlignment="1">
      <alignment horizontal="left" vertical="center" wrapText="1"/>
    </xf>
    <xf numFmtId="0" fontId="139" fillId="40" borderId="100" xfId="0" applyFont="1" applyFill="1" applyBorder="1" applyAlignment="1">
      <alignment horizontal="right" vertical="top" wrapText="1"/>
    </xf>
    <xf numFmtId="0" fontId="139" fillId="40" borderId="101" xfId="0" applyFont="1" applyFill="1" applyBorder="1" applyAlignment="1">
      <alignment horizontal="left" vertical="top" wrapText="1"/>
    </xf>
    <xf numFmtId="0" fontId="139" fillId="40" borderId="101" xfId="0" applyFont="1" applyFill="1" applyBorder="1" applyAlignment="1">
      <alignment horizontal="right" vertical="top" wrapText="1"/>
    </xf>
    <xf numFmtId="0" fontId="139" fillId="40" borderId="101" xfId="0" applyFont="1" applyFill="1" applyBorder="1" applyAlignment="1">
      <alignment vertical="top" wrapText="1"/>
    </xf>
    <xf numFmtId="0" fontId="129" fillId="40" borderId="101" xfId="0" applyFont="1" applyFill="1" applyBorder="1" applyAlignment="1">
      <alignment vertical="top" wrapText="1"/>
    </xf>
    <xf numFmtId="0" fontId="129" fillId="40" borderId="102" xfId="0" applyFont="1" applyFill="1" applyBorder="1" applyAlignment="1">
      <alignment vertical="top" wrapText="1"/>
    </xf>
    <xf numFmtId="0" fontId="129" fillId="40" borderId="104" xfId="0" applyFont="1" applyFill="1" applyBorder="1" applyAlignment="1">
      <alignment vertical="top" wrapText="1"/>
    </xf>
    <xf numFmtId="0" fontId="129" fillId="40" borderId="105" xfId="0" applyFont="1" applyFill="1" applyBorder="1" applyAlignment="1">
      <alignment vertical="top" wrapText="1"/>
    </xf>
    <xf numFmtId="0" fontId="109" fillId="9" borderId="11" xfId="0" applyFont="1" applyFill="1"/>
    <xf numFmtId="0" fontId="76" fillId="0" borderId="11" xfId="0" applyFont="1"/>
    <xf numFmtId="0" fontId="141" fillId="90" borderId="11" xfId="0" applyFont="1" applyFill="1" applyAlignment="1">
      <alignment horizontal="center" wrapText="1"/>
    </xf>
    <xf numFmtId="0" fontId="144" fillId="23" borderId="111" xfId="0" applyFont="1" applyFill="1" applyBorder="1" applyAlignment="1">
      <alignment wrapText="1"/>
    </xf>
    <xf numFmtId="0" fontId="0" fillId="11" borderId="111" xfId="0" applyFill="1" applyBorder="1" applyAlignment="1">
      <alignment wrapText="1"/>
    </xf>
    <xf numFmtId="0" fontId="144" fillId="11" borderId="111" xfId="0" applyFont="1" applyFill="1" applyBorder="1" applyAlignment="1">
      <alignment wrapText="1"/>
    </xf>
    <xf numFmtId="0" fontId="12" fillId="9" borderId="11" xfId="0" applyFont="1" applyFill="1" applyAlignment="1">
      <alignment vertical="top" wrapText="1"/>
    </xf>
    <xf numFmtId="0" fontId="0" fillId="90" borderId="11" xfId="0" applyFill="1"/>
    <xf numFmtId="0" fontId="10" fillId="7" borderId="11" xfId="0" applyFont="1" applyFill="1" applyAlignment="1">
      <alignment horizontal="left" vertical="center" wrapText="1"/>
    </xf>
    <xf numFmtId="0" fontId="21" fillId="10" borderId="11" xfId="0" applyFont="1" applyFill="1" applyAlignment="1">
      <alignment horizontal="center" vertical="center" wrapText="1"/>
    </xf>
    <xf numFmtId="0" fontId="51" fillId="46" borderId="11" xfId="0" applyFont="1" applyFill="1" applyAlignment="1">
      <alignment horizontal="center" vertical="center"/>
    </xf>
    <xf numFmtId="0" fontId="135" fillId="0" borderId="11" xfId="0" applyFont="1" applyAlignment="1">
      <alignment horizontal="center" vertical="center" wrapText="1"/>
    </xf>
    <xf numFmtId="0" fontId="16" fillId="23" borderId="103" xfId="0" applyFont="1" applyFill="1" applyBorder="1" applyAlignment="1">
      <alignment horizontal="center" vertical="center" wrapText="1"/>
    </xf>
    <xf numFmtId="0" fontId="16" fillId="23" borderId="11" xfId="0" applyFont="1" applyFill="1" applyAlignment="1">
      <alignment horizontal="center" vertical="center" wrapText="1"/>
    </xf>
    <xf numFmtId="0" fontId="0" fillId="92" borderId="103" xfId="0" applyFill="1" applyBorder="1" applyAlignment="1">
      <alignment vertical="top" wrapText="1"/>
    </xf>
    <xf numFmtId="0" fontId="0" fillId="92" borderId="11" xfId="0" applyFill="1" applyAlignment="1">
      <alignment horizontal="center" vertical="center" wrapText="1"/>
    </xf>
    <xf numFmtId="9" fontId="0" fillId="92" borderId="11" xfId="0" applyNumberFormat="1" applyFill="1" applyAlignment="1">
      <alignment horizontal="center" vertical="center" wrapText="1"/>
    </xf>
    <xf numFmtId="0" fontId="0" fillId="0" borderId="103" xfId="0" applyBorder="1" applyAlignment="1">
      <alignment vertical="top" wrapText="1"/>
    </xf>
    <xf numFmtId="9" fontId="0" fillId="0" borderId="11" xfId="0" applyNumberFormat="1" applyAlignment="1">
      <alignment horizontal="center" vertical="center" wrapText="1"/>
    </xf>
    <xf numFmtId="0" fontId="0" fillId="92" borderId="11" xfId="0" applyFill="1" applyAlignment="1">
      <alignment vertical="top" wrapText="1"/>
    </xf>
    <xf numFmtId="0" fontId="2" fillId="0" borderId="104" xfId="0" applyFont="1" applyBorder="1"/>
    <xf numFmtId="9" fontId="145" fillId="93" borderId="11" xfId="0" applyNumberFormat="1" applyFont="1" applyFill="1" applyAlignment="1">
      <alignment horizontal="center" vertical="center"/>
    </xf>
    <xf numFmtId="0" fontId="0" fillId="90" borderId="103" xfId="0" applyFill="1" applyBorder="1"/>
    <xf numFmtId="0" fontId="0" fillId="0" borderId="11" xfId="0" applyAlignment="1">
      <alignment horizontal="center" vertical="center" wrapText="1"/>
    </xf>
    <xf numFmtId="0" fontId="76" fillId="92" borderId="11" xfId="0" applyFont="1" applyFill="1" applyAlignment="1">
      <alignment horizontal="center" vertical="center" wrapText="1"/>
    </xf>
    <xf numFmtId="9" fontId="0" fillId="0" borderId="11" xfId="0" applyNumberFormat="1"/>
    <xf numFmtId="0" fontId="0" fillId="0" borderId="11" xfId="0" applyAlignment="1">
      <alignment vertical="top" wrapText="1"/>
    </xf>
    <xf numFmtId="0" fontId="142" fillId="0" borderId="11" xfId="0" applyFont="1"/>
    <xf numFmtId="0" fontId="0" fillId="0" borderId="112" xfId="0" applyBorder="1"/>
    <xf numFmtId="0" fontId="127" fillId="35" borderId="11" xfId="0" applyFont="1" applyFill="1" applyAlignment="1">
      <alignment horizontal="center" vertical="center" wrapText="1"/>
    </xf>
    <xf numFmtId="1" fontId="88" fillId="59" borderId="35" xfId="0" applyNumberFormat="1" applyFont="1" applyFill="1" applyBorder="1" applyAlignment="1">
      <alignment horizontal="center" vertical="center" wrapText="1"/>
    </xf>
    <xf numFmtId="0" fontId="87" fillId="44" borderId="97" xfId="0" applyFont="1" applyFill="1" applyBorder="1" applyAlignment="1">
      <alignment horizontal="center" vertical="center" wrapText="1"/>
    </xf>
    <xf numFmtId="0" fontId="87" fillId="44" borderId="98" xfId="0" applyFont="1" applyFill="1" applyBorder="1" applyAlignment="1">
      <alignment horizontal="center" vertical="center" wrapText="1"/>
    </xf>
    <xf numFmtId="9" fontId="88" fillId="59" borderId="35" xfId="0" applyNumberFormat="1" applyFont="1" applyFill="1" applyBorder="1" applyAlignment="1">
      <alignment horizontal="center" vertical="center" wrapText="1"/>
    </xf>
    <xf numFmtId="0" fontId="12" fillId="0" borderId="11" xfId="0" applyFont="1" applyAlignment="1">
      <alignment vertical="top" wrapText="1"/>
    </xf>
    <xf numFmtId="0" fontId="143" fillId="94" borderId="11" xfId="0" applyFont="1" applyFill="1" applyAlignment="1">
      <alignment vertical="center" wrapText="1"/>
    </xf>
    <xf numFmtId="0" fontId="32" fillId="13" borderId="0" xfId="0" applyFont="1" applyFill="1" applyBorder="1" applyAlignment="1">
      <alignment horizontal="center" vertical="center" wrapText="1"/>
    </xf>
    <xf numFmtId="9" fontId="32" fillId="13" borderId="0" xfId="0" applyNumberFormat="1" applyFont="1" applyFill="1" applyBorder="1" applyAlignment="1">
      <alignment horizontal="center" vertical="center" wrapText="1"/>
    </xf>
    <xf numFmtId="0" fontId="0" fillId="0" borderId="11" xfId="0" applyAlignment="1">
      <alignment vertical="center" wrapText="1"/>
    </xf>
    <xf numFmtId="0" fontId="2" fillId="0" borderId="0" xfId="0" applyFont="1" applyBorder="1" applyAlignment="1">
      <alignment horizontal="center" vertical="center" wrapText="1"/>
    </xf>
    <xf numFmtId="0" fontId="143" fillId="94" borderId="11" xfId="0" applyFont="1" applyFill="1" applyAlignment="1">
      <alignment horizontal="center" vertical="center" wrapText="1"/>
    </xf>
    <xf numFmtId="9" fontId="0" fillId="0" borderId="11" xfId="0" applyNumberFormat="1" applyAlignment="1">
      <alignment horizontal="center" wrapText="1"/>
    </xf>
    <xf numFmtId="0" fontId="0" fillId="0" borderId="11" xfId="0" applyAlignment="1">
      <alignment horizontal="center" wrapText="1"/>
    </xf>
    <xf numFmtId="0" fontId="143" fillId="95" borderId="11" xfId="0" applyFont="1" applyFill="1" applyAlignment="1">
      <alignment horizontal="center" vertical="center" wrapText="1"/>
    </xf>
    <xf numFmtId="0" fontId="0" fillId="0" borderId="11" xfId="0" applyAlignment="1">
      <alignment horizontal="center"/>
    </xf>
    <xf numFmtId="0" fontId="147" fillId="96" borderId="11" xfId="0" applyFont="1" applyFill="1" applyAlignment="1">
      <alignment horizontal="center" wrapText="1"/>
    </xf>
    <xf numFmtId="1" fontId="88" fillId="90" borderId="66" xfId="0" applyNumberFormat="1" applyFont="1" applyFill="1" applyBorder="1" applyAlignment="1">
      <alignment horizontal="center" vertical="center" wrapText="1"/>
    </xf>
    <xf numFmtId="1" fontId="88" fillId="90" borderId="70" xfId="0" applyNumberFormat="1" applyFont="1" applyFill="1" applyBorder="1" applyAlignment="1">
      <alignment horizontal="center" vertical="center" wrapText="1"/>
    </xf>
    <xf numFmtId="1" fontId="88" fillId="90" borderId="72" xfId="0" applyNumberFormat="1" applyFont="1" applyFill="1" applyBorder="1" applyAlignment="1">
      <alignment horizontal="center" vertical="center" wrapText="1"/>
    </xf>
    <xf numFmtId="1" fontId="88" fillId="90" borderId="11" xfId="0" applyNumberFormat="1" applyFont="1" applyFill="1" applyAlignment="1">
      <alignment horizontal="center" vertical="center" wrapText="1"/>
    </xf>
    <xf numFmtId="0" fontId="3" fillId="90" borderId="11" xfId="0" applyFont="1" applyFill="1" applyAlignment="1">
      <alignment horizontal="left" vertical="center" wrapText="1"/>
    </xf>
    <xf numFmtId="0" fontId="56" fillId="90" borderId="11" xfId="0" applyFont="1" applyFill="1" applyAlignment="1">
      <alignment horizontal="left" vertical="center" wrapText="1"/>
    </xf>
    <xf numFmtId="0" fontId="148" fillId="35" borderId="11" xfId="0" applyFont="1" applyFill="1" applyAlignment="1">
      <alignment horizontal="center" vertical="center" wrapText="1"/>
    </xf>
    <xf numFmtId="0" fontId="0" fillId="0" borderId="0" xfId="0" applyBorder="1" applyAlignment="1">
      <alignment horizontal="center" vertical="center" wrapText="1"/>
    </xf>
    <xf numFmtId="0" fontId="149" fillId="35" borderId="11" xfId="0" applyFont="1" applyFill="1" applyAlignment="1">
      <alignment horizontal="center" vertical="center" wrapText="1"/>
    </xf>
    <xf numFmtId="0" fontId="150" fillId="97" borderId="11" xfId="0" applyFont="1" applyFill="1" applyAlignment="1">
      <alignment horizontal="center" vertical="center" wrapText="1"/>
    </xf>
    <xf numFmtId="0" fontId="94" fillId="0" borderId="11" xfId="0" applyFont="1"/>
    <xf numFmtId="0" fontId="94" fillId="97" borderId="11" xfId="0" applyFont="1" applyFill="1"/>
    <xf numFmtId="0" fontId="25" fillId="19" borderId="13" xfId="0" applyFont="1" applyFill="1" applyBorder="1" applyAlignment="1">
      <alignment horizontal="left" vertical="top" wrapText="1"/>
    </xf>
    <xf numFmtId="0" fontId="0" fillId="19" borderId="11" xfId="0" applyFill="1"/>
    <xf numFmtId="0" fontId="151" fillId="70" borderId="11" xfId="0" applyFont="1" applyFill="1" applyAlignment="1">
      <alignment horizontal="center" vertical="center" wrapText="1"/>
    </xf>
    <xf numFmtId="0" fontId="3" fillId="2" borderId="120" xfId="0" applyFont="1" applyFill="1" applyBorder="1" applyAlignment="1">
      <alignment horizontal="center" vertical="center" wrapText="1"/>
    </xf>
    <xf numFmtId="0" fontId="3" fillId="2" borderId="121" xfId="0" applyFont="1" applyFill="1" applyBorder="1" applyAlignment="1">
      <alignment horizontal="center" vertical="center" wrapText="1"/>
    </xf>
    <xf numFmtId="0" fontId="3" fillId="2" borderId="128" xfId="0" applyFont="1" applyFill="1" applyBorder="1" applyAlignment="1">
      <alignment horizontal="center" vertical="center" wrapText="1"/>
    </xf>
    <xf numFmtId="1" fontId="88" fillId="38" borderId="66" xfId="0" applyNumberFormat="1" applyFont="1" applyFill="1" applyBorder="1" applyAlignment="1">
      <alignment horizontal="center" vertical="center" wrapText="1"/>
    </xf>
    <xf numFmtId="1" fontId="88" fillId="38" borderId="70" xfId="0" applyNumberFormat="1" applyFont="1" applyFill="1" applyBorder="1" applyAlignment="1">
      <alignment horizontal="center" vertical="center" wrapText="1"/>
    </xf>
    <xf numFmtId="1" fontId="88" fillId="38" borderId="72" xfId="0" applyNumberFormat="1" applyFont="1" applyFill="1" applyBorder="1" applyAlignment="1">
      <alignment horizontal="center" vertical="center" wrapText="1"/>
    </xf>
    <xf numFmtId="1" fontId="88" fillId="38" borderId="11" xfId="0" applyNumberFormat="1" applyFont="1" applyFill="1" applyAlignment="1">
      <alignment horizontal="center" vertical="center" wrapText="1"/>
    </xf>
    <xf numFmtId="0" fontId="3" fillId="38" borderId="11" xfId="0" applyFont="1" applyFill="1" applyAlignment="1">
      <alignment horizontal="left" vertical="center" wrapText="1"/>
    </xf>
    <xf numFmtId="0" fontId="150" fillId="70" borderId="11" xfId="0" applyFont="1" applyFill="1" applyAlignment="1">
      <alignment horizontal="center" vertical="center" wrapText="1"/>
    </xf>
    <xf numFmtId="0" fontId="94" fillId="70" borderId="11" xfId="0" applyFont="1" applyFill="1"/>
    <xf numFmtId="0" fontId="87" fillId="58" borderId="129" xfId="0" applyFont="1" applyFill="1" applyBorder="1" applyAlignment="1">
      <alignment horizontal="left" vertical="center" wrapText="1"/>
    </xf>
    <xf numFmtId="0" fontId="87" fillId="58" borderId="130" xfId="0" applyFont="1" applyFill="1" applyBorder="1" applyAlignment="1">
      <alignment horizontal="left" vertical="center" wrapText="1"/>
    </xf>
    <xf numFmtId="9" fontId="16" fillId="47" borderId="11" xfId="0" applyNumberFormat="1" applyFont="1" applyFill="1" applyAlignment="1">
      <alignment wrapText="1"/>
    </xf>
    <xf numFmtId="0" fontId="21" fillId="10" borderId="12" xfId="0" applyFont="1" applyFill="1" applyBorder="1" applyAlignment="1">
      <alignment horizontal="left" vertical="top" wrapText="1"/>
    </xf>
    <xf numFmtId="0" fontId="21" fillId="10" borderId="74" xfId="0" applyFont="1" applyFill="1" applyBorder="1" applyAlignment="1">
      <alignment horizontal="left" vertical="top" wrapText="1"/>
    </xf>
    <xf numFmtId="0" fontId="21" fillId="10" borderId="139" xfId="0" applyFont="1" applyFill="1" applyBorder="1" applyAlignment="1">
      <alignment horizontal="left" vertical="top" wrapText="1"/>
    </xf>
    <xf numFmtId="0" fontId="10" fillId="16" borderId="11" xfId="0" applyFont="1" applyFill="1" applyAlignment="1">
      <alignment horizontal="center" vertical="center" wrapText="1"/>
    </xf>
    <xf numFmtId="0" fontId="10" fillId="16" borderId="129" xfId="0" applyFont="1" applyFill="1" applyBorder="1" applyAlignment="1">
      <alignment horizontal="left" vertical="top" wrapText="1"/>
    </xf>
    <xf numFmtId="0" fontId="10" fillId="16" borderId="73" xfId="0" applyFont="1" applyFill="1" applyBorder="1" applyAlignment="1">
      <alignment horizontal="left" vertical="top" wrapText="1"/>
    </xf>
    <xf numFmtId="0" fontId="10" fillId="16" borderId="130" xfId="0" applyFont="1" applyFill="1" applyBorder="1" applyAlignment="1">
      <alignment horizontal="left" vertical="top" wrapText="1"/>
    </xf>
    <xf numFmtId="0" fontId="10" fillId="16" borderId="130" xfId="0" applyFont="1" applyFill="1" applyBorder="1" applyAlignment="1">
      <alignment horizontal="center" vertical="center" wrapText="1"/>
    </xf>
    <xf numFmtId="0" fontId="35" fillId="0" borderId="140" xfId="0" applyFont="1" applyBorder="1" applyAlignment="1">
      <alignment horizontal="center" vertical="center" wrapText="1"/>
    </xf>
    <xf numFmtId="0" fontId="35" fillId="98" borderId="141" xfId="0" applyFont="1" applyFill="1" applyBorder="1" applyAlignment="1">
      <alignment horizontal="left" vertical="top" wrapText="1"/>
    </xf>
    <xf numFmtId="0" fontId="35" fillId="98" borderId="142" xfId="0" applyFont="1" applyFill="1" applyBorder="1" applyAlignment="1">
      <alignment horizontal="left" vertical="top" wrapText="1"/>
    </xf>
    <xf numFmtId="0" fontId="36" fillId="98" borderId="109" xfId="0" applyFont="1" applyFill="1" applyBorder="1" applyAlignment="1">
      <alignment vertical="center" wrapText="1"/>
    </xf>
    <xf numFmtId="0" fontId="36" fillId="98" borderId="108" xfId="0" applyFont="1" applyFill="1" applyBorder="1" applyAlignment="1">
      <alignment vertical="center" wrapText="1"/>
    </xf>
    <xf numFmtId="0" fontId="36" fillId="98" borderId="143" xfId="0" applyFont="1" applyFill="1" applyBorder="1" applyAlignment="1">
      <alignment vertical="center" wrapText="1"/>
    </xf>
    <xf numFmtId="0" fontId="2" fillId="98" borderId="144" xfId="0" applyFont="1" applyFill="1" applyBorder="1" applyAlignment="1">
      <alignment vertical="top" wrapText="1"/>
    </xf>
    <xf numFmtId="0" fontId="2" fillId="0" borderId="145" xfId="0" applyFont="1" applyBorder="1"/>
    <xf numFmtId="0" fontId="2" fillId="98" borderId="146" xfId="0" applyFont="1" applyFill="1" applyBorder="1"/>
    <xf numFmtId="0" fontId="35" fillId="98" borderId="12" xfId="0" applyFont="1" applyFill="1" applyBorder="1" applyAlignment="1">
      <alignment horizontal="left" vertical="top" wrapText="1"/>
    </xf>
    <xf numFmtId="0" fontId="36" fillId="98" borderId="4" xfId="0" applyFont="1" applyFill="1" applyBorder="1" applyAlignment="1">
      <alignment vertical="center" wrapText="1"/>
    </xf>
    <xf numFmtId="0" fontId="35" fillId="98" borderId="74" xfId="0" applyFont="1" applyFill="1" applyBorder="1" applyAlignment="1">
      <alignment horizontal="left" vertical="top" wrapText="1"/>
    </xf>
    <xf numFmtId="0" fontId="35" fillId="98" borderId="139" xfId="0" applyFont="1" applyFill="1" applyBorder="1" applyAlignment="1">
      <alignment horizontal="left" vertical="top" wrapText="1"/>
    </xf>
    <xf numFmtId="0" fontId="2" fillId="98" borderId="147" xfId="0" applyFont="1" applyFill="1" applyBorder="1" applyAlignment="1">
      <alignment vertical="top" wrapText="1"/>
    </xf>
    <xf numFmtId="0" fontId="2" fillId="0" borderId="148" xfId="0" applyFont="1" applyBorder="1"/>
    <xf numFmtId="0" fontId="2" fillId="98" borderId="6" xfId="0" applyFont="1" applyFill="1" applyBorder="1"/>
    <xf numFmtId="0" fontId="35" fillId="98" borderId="149" xfId="0" applyFont="1" applyFill="1" applyBorder="1" applyAlignment="1">
      <alignment horizontal="left" vertical="top" wrapText="1"/>
    </xf>
    <xf numFmtId="0" fontId="36" fillId="98" borderId="106" xfId="0" applyFont="1" applyFill="1" applyBorder="1" applyAlignment="1">
      <alignment vertical="center" wrapText="1"/>
    </xf>
    <xf numFmtId="0" fontId="36" fillId="98" borderId="150" xfId="0" applyFont="1" applyFill="1" applyBorder="1" applyAlignment="1">
      <alignment vertical="center" wrapText="1"/>
    </xf>
    <xf numFmtId="0" fontId="2" fillId="98" borderId="151" xfId="0" applyFont="1" applyFill="1" applyBorder="1" applyAlignment="1">
      <alignment vertical="top" wrapText="1"/>
    </xf>
    <xf numFmtId="0" fontId="35" fillId="0" borderId="152" xfId="0" applyFont="1" applyBorder="1" applyAlignment="1">
      <alignment horizontal="center" vertical="center" wrapText="1"/>
    </xf>
    <xf numFmtId="0" fontId="35" fillId="70" borderId="141" xfId="0" applyFont="1" applyFill="1" applyBorder="1" applyAlignment="1">
      <alignment horizontal="left" vertical="top" wrapText="1"/>
    </xf>
    <xf numFmtId="0" fontId="35" fillId="70" borderId="142" xfId="0" applyFont="1" applyFill="1" applyBorder="1" applyAlignment="1">
      <alignment horizontal="left" vertical="top" wrapText="1"/>
    </xf>
    <xf numFmtId="0" fontId="36" fillId="70" borderId="109" xfId="0" applyFont="1" applyFill="1" applyBorder="1" applyAlignment="1">
      <alignment vertical="center" wrapText="1"/>
    </xf>
    <xf numFmtId="0" fontId="36" fillId="70" borderId="108" xfId="0" applyFont="1" applyFill="1" applyBorder="1" applyAlignment="1">
      <alignment vertical="center" wrapText="1"/>
    </xf>
    <xf numFmtId="0" fontId="36" fillId="70" borderId="143" xfId="0" applyFont="1" applyFill="1" applyBorder="1" applyAlignment="1">
      <alignment vertical="center" wrapText="1"/>
    </xf>
    <xf numFmtId="0" fontId="2" fillId="70" borderId="144" xfId="0" applyFont="1" applyFill="1" applyBorder="1" applyAlignment="1">
      <alignment vertical="top" wrapText="1"/>
    </xf>
    <xf numFmtId="0" fontId="2" fillId="70" borderId="146" xfId="0" applyFont="1" applyFill="1" applyBorder="1"/>
    <xf numFmtId="0" fontId="35" fillId="70" borderId="12" xfId="0" applyFont="1" applyFill="1" applyBorder="1" applyAlignment="1">
      <alignment horizontal="left" vertical="top" wrapText="1"/>
    </xf>
    <xf numFmtId="0" fontId="36" fillId="70" borderId="4" xfId="0" applyFont="1" applyFill="1" applyBorder="1" applyAlignment="1">
      <alignment vertical="center" wrapText="1"/>
    </xf>
    <xf numFmtId="0" fontId="35" fillId="70" borderId="74" xfId="0" applyFont="1" applyFill="1" applyBorder="1" applyAlignment="1">
      <alignment horizontal="left" vertical="top" wrapText="1"/>
    </xf>
    <xf numFmtId="0" fontId="35" fillId="70" borderId="139" xfId="0" applyFont="1" applyFill="1" applyBorder="1" applyAlignment="1">
      <alignment horizontal="left" vertical="top" wrapText="1"/>
    </xf>
    <xf numFmtId="0" fontId="2" fillId="70" borderId="147" xfId="0" applyFont="1" applyFill="1" applyBorder="1" applyAlignment="1">
      <alignment vertical="top" wrapText="1"/>
    </xf>
    <xf numFmtId="0" fontId="2" fillId="70" borderId="6" xfId="0" applyFont="1" applyFill="1" applyBorder="1"/>
    <xf numFmtId="0" fontId="35" fillId="70" borderId="149" xfId="0" applyFont="1" applyFill="1" applyBorder="1" applyAlignment="1">
      <alignment horizontal="left" vertical="top" wrapText="1"/>
    </xf>
    <xf numFmtId="0" fontId="36" fillId="70" borderId="106" xfId="0" applyFont="1" applyFill="1" applyBorder="1" applyAlignment="1">
      <alignment vertical="center" wrapText="1"/>
    </xf>
    <xf numFmtId="0" fontId="36" fillId="70" borderId="150" xfId="0" applyFont="1" applyFill="1" applyBorder="1" applyAlignment="1">
      <alignment vertical="center" wrapText="1"/>
    </xf>
    <xf numFmtId="0" fontId="2" fillId="70" borderId="151" xfId="0" applyFont="1" applyFill="1" applyBorder="1" applyAlignment="1">
      <alignment vertical="top" wrapText="1"/>
    </xf>
    <xf numFmtId="0" fontId="36" fillId="98" borderId="144" xfId="0" applyFont="1" applyFill="1" applyBorder="1" applyAlignment="1">
      <alignment vertical="center" wrapText="1"/>
    </xf>
    <xf numFmtId="0" fontId="2" fillId="98" borderId="153" xfId="0" applyFont="1" applyFill="1" applyBorder="1" applyAlignment="1">
      <alignment vertical="top" wrapText="1"/>
    </xf>
    <xf numFmtId="0" fontId="35" fillId="98" borderId="154" xfId="0" applyFont="1" applyFill="1" applyBorder="1" applyAlignment="1">
      <alignment horizontal="left" vertical="top" wrapText="1"/>
    </xf>
    <xf numFmtId="0" fontId="35" fillId="98" borderId="151" xfId="0" applyFont="1" applyFill="1" applyBorder="1" applyAlignment="1">
      <alignment horizontal="left" vertical="top" wrapText="1"/>
    </xf>
    <xf numFmtId="0" fontId="2" fillId="98" borderId="155" xfId="0" applyFont="1" applyFill="1" applyBorder="1" applyAlignment="1">
      <alignment vertical="top" wrapText="1"/>
    </xf>
    <xf numFmtId="0" fontId="35" fillId="70" borderId="156" xfId="0" applyFont="1" applyFill="1" applyBorder="1" applyAlignment="1">
      <alignment horizontal="left" vertical="top" wrapText="1"/>
    </xf>
    <xf numFmtId="0" fontId="35" fillId="70" borderId="144" xfId="0" applyFont="1" applyFill="1" applyBorder="1" applyAlignment="1">
      <alignment horizontal="left" vertical="top" wrapText="1"/>
    </xf>
    <xf numFmtId="0" fontId="2" fillId="70" borderId="153" xfId="0" applyFont="1" applyFill="1" applyBorder="1" applyAlignment="1">
      <alignment vertical="top" wrapText="1"/>
    </xf>
    <xf numFmtId="0" fontId="35" fillId="70" borderId="147" xfId="0" applyFont="1" applyFill="1" applyBorder="1" applyAlignment="1">
      <alignment horizontal="left" vertical="top" wrapText="1"/>
    </xf>
    <xf numFmtId="0" fontId="2" fillId="70" borderId="157" xfId="0" applyFont="1" applyFill="1" applyBorder="1" applyAlignment="1">
      <alignment vertical="top" wrapText="1"/>
    </xf>
    <xf numFmtId="0" fontId="35" fillId="70" borderId="154" xfId="0" applyFont="1" applyFill="1" applyBorder="1" applyAlignment="1">
      <alignment horizontal="left" vertical="top" wrapText="1"/>
    </xf>
    <xf numFmtId="0" fontId="35" fillId="70" borderId="151" xfId="0" applyFont="1" applyFill="1" applyBorder="1" applyAlignment="1">
      <alignment horizontal="left" vertical="top" wrapText="1"/>
    </xf>
    <xf numFmtId="0" fontId="2" fillId="70" borderId="155" xfId="0" applyFont="1" applyFill="1" applyBorder="1" applyAlignment="1">
      <alignment vertical="top" wrapText="1"/>
    </xf>
    <xf numFmtId="0" fontId="35" fillId="99" borderId="142" xfId="0" applyFont="1" applyFill="1" applyBorder="1" applyAlignment="1">
      <alignment horizontal="left" vertical="top" wrapText="1"/>
    </xf>
    <xf numFmtId="0" fontId="36" fillId="99" borderId="109" xfId="0" applyFont="1" applyFill="1" applyBorder="1" applyAlignment="1">
      <alignment vertical="center" wrapText="1"/>
    </xf>
    <xf numFmtId="0" fontId="36" fillId="99" borderId="108" xfId="0" applyFont="1" applyFill="1" applyBorder="1" applyAlignment="1">
      <alignment vertical="center" wrapText="1"/>
    </xf>
    <xf numFmtId="0" fontId="36" fillId="99" borderId="143" xfId="0" applyFont="1" applyFill="1" applyBorder="1" applyAlignment="1">
      <alignment vertical="center" wrapText="1"/>
    </xf>
    <xf numFmtId="0" fontId="35" fillId="100" borderId="12" xfId="0" applyFont="1" applyFill="1" applyBorder="1" applyAlignment="1">
      <alignment horizontal="left" vertical="top" wrapText="1"/>
    </xf>
    <xf numFmtId="0" fontId="36" fillId="99" borderId="4" xfId="0" applyFont="1" applyFill="1" applyBorder="1" applyAlignment="1">
      <alignment vertical="center" wrapText="1"/>
    </xf>
    <xf numFmtId="0" fontId="36" fillId="99" borderId="106" xfId="0" applyFont="1" applyFill="1" applyBorder="1" applyAlignment="1">
      <alignment vertical="center" wrapText="1"/>
    </xf>
    <xf numFmtId="0" fontId="36" fillId="99" borderId="139" xfId="0" applyFont="1" applyFill="1" applyBorder="1" applyAlignment="1">
      <alignment vertical="center" wrapText="1"/>
    </xf>
    <xf numFmtId="0" fontId="36" fillId="99" borderId="150" xfId="0" applyFont="1" applyFill="1" applyBorder="1" applyAlignment="1">
      <alignment vertical="center" wrapText="1"/>
    </xf>
    <xf numFmtId="0" fontId="35" fillId="70" borderId="150" xfId="0" applyFont="1" applyFill="1" applyBorder="1" applyAlignment="1">
      <alignment horizontal="left" vertical="top" wrapText="1"/>
    </xf>
    <xf numFmtId="0" fontId="35" fillId="98" borderId="156" xfId="0" applyFont="1" applyFill="1" applyBorder="1" applyAlignment="1">
      <alignment horizontal="left" vertical="top" wrapText="1"/>
    </xf>
    <xf numFmtId="0" fontId="35" fillId="98" borderId="143" xfId="0" applyFont="1" applyFill="1" applyBorder="1" applyAlignment="1">
      <alignment horizontal="left" vertical="top" wrapText="1"/>
    </xf>
    <xf numFmtId="0" fontId="36" fillId="98" borderId="139" xfId="0" applyFont="1" applyFill="1" applyBorder="1" applyAlignment="1">
      <alignment vertical="center" wrapText="1"/>
    </xf>
    <xf numFmtId="0" fontId="35" fillId="98" borderId="150" xfId="0" applyFont="1" applyFill="1" applyBorder="1" applyAlignment="1">
      <alignment horizontal="left" vertical="top" wrapText="1"/>
    </xf>
    <xf numFmtId="0" fontId="36" fillId="70" borderId="139" xfId="0" applyFont="1" applyFill="1" applyBorder="1" applyAlignment="1">
      <alignment vertical="center" wrapText="1"/>
    </xf>
    <xf numFmtId="0" fontId="35" fillId="98" borderId="129" xfId="0" applyFont="1" applyFill="1" applyBorder="1" applyAlignment="1">
      <alignment horizontal="left" vertical="top" wrapText="1"/>
    </xf>
    <xf numFmtId="0" fontId="35" fillId="98" borderId="73" xfId="0" applyFont="1" applyFill="1" applyBorder="1" applyAlignment="1">
      <alignment horizontal="left" vertical="top" wrapText="1"/>
    </xf>
    <xf numFmtId="0" fontId="35" fillId="98" borderId="130" xfId="0" applyFont="1" applyFill="1" applyBorder="1" applyAlignment="1">
      <alignment horizontal="left" vertical="top" wrapText="1"/>
    </xf>
    <xf numFmtId="0" fontId="35" fillId="101" borderId="142" xfId="0" applyFont="1" applyFill="1" applyBorder="1" applyAlignment="1">
      <alignment horizontal="left" vertical="top" wrapText="1"/>
    </xf>
    <xf numFmtId="0" fontId="35" fillId="101" borderId="12" xfId="0" applyFont="1" applyFill="1" applyBorder="1" applyAlignment="1">
      <alignment horizontal="left" vertical="top" wrapText="1"/>
    </xf>
    <xf numFmtId="0" fontId="35" fillId="101" borderId="149" xfId="0" applyFont="1" applyFill="1" applyBorder="1" applyAlignment="1">
      <alignment horizontal="left" vertical="top" wrapText="1"/>
    </xf>
    <xf numFmtId="0" fontId="36" fillId="0" borderId="11" xfId="0" applyFont="1" applyAlignment="1">
      <alignment vertical="center"/>
    </xf>
    <xf numFmtId="0" fontId="36" fillId="24" borderId="104" xfId="0" applyFont="1" applyFill="1" applyBorder="1" applyAlignment="1">
      <alignment vertical="center" wrapText="1"/>
    </xf>
    <xf numFmtId="0" fontId="2" fillId="0" borderId="158" xfId="0" applyFont="1" applyBorder="1"/>
    <xf numFmtId="0" fontId="2" fillId="0" borderId="158" xfId="0" applyFont="1" applyBorder="1" applyAlignment="1">
      <alignment vertical="top" wrapText="1"/>
    </xf>
    <xf numFmtId="0" fontId="35" fillId="0" borderId="148" xfId="0" applyFont="1" applyBorder="1" applyAlignment="1">
      <alignment vertical="center" wrapText="1"/>
    </xf>
    <xf numFmtId="0" fontId="35" fillId="98" borderId="159" xfId="0" applyFont="1" applyFill="1" applyBorder="1" applyAlignment="1">
      <alignment horizontal="left" vertical="top" wrapText="1"/>
    </xf>
    <xf numFmtId="0" fontId="35" fillId="98" borderId="160" xfId="0" applyFont="1" applyFill="1" applyBorder="1" applyAlignment="1">
      <alignment horizontal="left" vertical="top" wrapText="1"/>
    </xf>
    <xf numFmtId="0" fontId="35" fillId="100" borderId="160" xfId="0" applyFont="1" applyFill="1" applyBorder="1" applyAlignment="1">
      <alignment horizontal="left" vertical="top" wrapText="1"/>
    </xf>
    <xf numFmtId="0" fontId="35" fillId="98" borderId="161" xfId="0" applyFont="1" applyFill="1" applyBorder="1" applyAlignment="1">
      <alignment horizontal="left" vertical="top" wrapText="1"/>
    </xf>
    <xf numFmtId="0" fontId="35" fillId="98" borderId="162" xfId="0" applyFont="1" applyFill="1" applyBorder="1" applyAlignment="1">
      <alignment horizontal="left" vertical="top" wrapText="1"/>
    </xf>
    <xf numFmtId="0" fontId="2" fillId="98" borderId="163" xfId="0" applyFont="1" applyFill="1" applyBorder="1" applyAlignment="1">
      <alignment vertical="top" wrapText="1"/>
    </xf>
    <xf numFmtId="0" fontId="35" fillId="0" borderId="152" xfId="0" applyFont="1" applyBorder="1" applyAlignment="1">
      <alignment vertical="center" wrapText="1"/>
    </xf>
    <xf numFmtId="0" fontId="35" fillId="102" borderId="142" xfId="0" applyFont="1" applyFill="1" applyBorder="1" applyAlignment="1">
      <alignment horizontal="left" vertical="top" wrapText="1"/>
    </xf>
    <xf numFmtId="0" fontId="36" fillId="102" borderId="109" xfId="0" applyFont="1" applyFill="1" applyBorder="1" applyAlignment="1">
      <alignment vertical="center" wrapText="1"/>
    </xf>
    <xf numFmtId="0" fontId="36" fillId="102" borderId="108" xfId="0" applyFont="1" applyFill="1" applyBorder="1" applyAlignment="1">
      <alignment vertical="center" wrapText="1"/>
    </xf>
    <xf numFmtId="0" fontId="36" fillId="102" borderId="143" xfId="0" applyFont="1" applyFill="1" applyBorder="1" applyAlignment="1">
      <alignment vertical="center" wrapText="1"/>
    </xf>
    <xf numFmtId="0" fontId="35" fillId="103" borderId="149" xfId="0" applyFont="1" applyFill="1" applyBorder="1" applyAlignment="1">
      <alignment horizontal="left" vertical="top" wrapText="1"/>
    </xf>
    <xf numFmtId="0" fontId="36" fillId="102" borderId="4" xfId="0" applyFont="1" applyFill="1" applyBorder="1" applyAlignment="1">
      <alignment vertical="center" wrapText="1"/>
    </xf>
    <xf numFmtId="0" fontId="35" fillId="100" borderId="142" xfId="0" applyFont="1" applyFill="1" applyBorder="1" applyAlignment="1">
      <alignment horizontal="left" vertical="top" wrapText="1"/>
    </xf>
    <xf numFmtId="0" fontId="35" fillId="100" borderId="101" xfId="0" applyFont="1" applyFill="1" applyBorder="1" applyAlignment="1">
      <alignment horizontal="left" vertical="top" wrapText="1"/>
    </xf>
    <xf numFmtId="0" fontId="35" fillId="99" borderId="149" xfId="0" applyFont="1" applyFill="1" applyBorder="1" applyAlignment="1">
      <alignment horizontal="left" vertical="top" wrapText="1"/>
    </xf>
    <xf numFmtId="0" fontId="35" fillId="103" borderId="142" xfId="0" applyFont="1" applyFill="1" applyBorder="1" applyAlignment="1">
      <alignment horizontal="left" vertical="top" wrapText="1"/>
    </xf>
    <xf numFmtId="0" fontId="35" fillId="70" borderId="143" xfId="0" applyFont="1" applyFill="1" applyBorder="1" applyAlignment="1">
      <alignment horizontal="left" vertical="top" wrapText="1"/>
    </xf>
    <xf numFmtId="0" fontId="35" fillId="102" borderId="149" xfId="0" applyFont="1" applyFill="1" applyBorder="1" applyAlignment="1">
      <alignment horizontal="left" vertical="top" wrapText="1"/>
    </xf>
    <xf numFmtId="0" fontId="36" fillId="102" borderId="106" xfId="0" applyFont="1" applyFill="1" applyBorder="1" applyAlignment="1">
      <alignment vertical="center" wrapText="1"/>
    </xf>
    <xf numFmtId="0" fontId="36" fillId="102" borderId="150" xfId="0" applyFont="1" applyFill="1" applyBorder="1" applyAlignment="1">
      <alignment vertical="center" wrapText="1"/>
    </xf>
    <xf numFmtId="0" fontId="35" fillId="0" borderId="141" xfId="0" applyFont="1" applyBorder="1" applyAlignment="1">
      <alignment horizontal="left" vertical="top" wrapText="1"/>
    </xf>
    <xf numFmtId="0" fontId="35" fillId="0" borderId="142" xfId="0" applyFont="1" applyBorder="1" applyAlignment="1">
      <alignment horizontal="left" vertical="top" wrapText="1"/>
    </xf>
    <xf numFmtId="0" fontId="35" fillId="0" borderId="156" xfId="0" applyFont="1" applyBorder="1" applyAlignment="1">
      <alignment horizontal="left" vertical="top" wrapText="1"/>
    </xf>
    <xf numFmtId="0" fontId="35" fillId="0" borderId="143" xfId="0" applyFont="1" applyBorder="1" applyAlignment="1">
      <alignment horizontal="left" vertical="top" wrapText="1"/>
    </xf>
    <xf numFmtId="0" fontId="2" fillId="0" borderId="144" xfId="0" applyFont="1" applyBorder="1" applyAlignment="1">
      <alignment vertical="top" wrapText="1"/>
    </xf>
    <xf numFmtId="0" fontId="2" fillId="0" borderId="146" xfId="0" applyFont="1" applyBorder="1"/>
    <xf numFmtId="0" fontId="35" fillId="0" borderId="12" xfId="0" applyFont="1" applyBorder="1" applyAlignment="1">
      <alignment horizontal="left" vertical="top" wrapText="1"/>
    </xf>
    <xf numFmtId="0" fontId="35" fillId="0" borderId="74" xfId="0" applyFont="1" applyBorder="1" applyAlignment="1">
      <alignment horizontal="left" vertical="top" wrapText="1"/>
    </xf>
    <xf numFmtId="0" fontId="35" fillId="0" borderId="139" xfId="0" applyFont="1" applyBorder="1" applyAlignment="1">
      <alignment horizontal="left" vertical="top" wrapText="1"/>
    </xf>
    <xf numFmtId="0" fontId="2" fillId="0" borderId="147" xfId="0" applyFont="1" applyBorder="1" applyAlignment="1">
      <alignment vertical="top" wrapText="1"/>
    </xf>
    <xf numFmtId="0" fontId="35" fillId="0" borderId="149" xfId="0" applyFont="1" applyBorder="1" applyAlignment="1">
      <alignment horizontal="left" vertical="top" wrapText="1"/>
    </xf>
    <xf numFmtId="0" fontId="2" fillId="0" borderId="151" xfId="0" applyFont="1" applyBorder="1" applyAlignment="1">
      <alignment vertical="top" wrapText="1"/>
    </xf>
    <xf numFmtId="0" fontId="35" fillId="100" borderId="149" xfId="0" applyFont="1" applyFill="1" applyBorder="1" applyAlignment="1">
      <alignment horizontal="left" vertical="top" wrapText="1"/>
    </xf>
    <xf numFmtId="0" fontId="36" fillId="102" borderId="139" xfId="0" applyFont="1" applyFill="1" applyBorder="1" applyAlignment="1">
      <alignment vertical="center" wrapText="1"/>
    </xf>
    <xf numFmtId="0" fontId="35" fillId="70" borderId="129" xfId="0" applyFont="1" applyFill="1" applyBorder="1" applyAlignment="1">
      <alignment horizontal="left" vertical="top" wrapText="1"/>
    </xf>
    <xf numFmtId="0" fontId="36" fillId="102" borderId="104" xfId="0" applyFont="1" applyFill="1" applyBorder="1" applyAlignment="1">
      <alignment vertical="center" wrapText="1"/>
    </xf>
    <xf numFmtId="0" fontId="36" fillId="102" borderId="11" xfId="0" applyFont="1" applyFill="1" applyAlignment="1">
      <alignment vertical="center" wrapText="1"/>
    </xf>
    <xf numFmtId="0" fontId="36" fillId="102" borderId="130" xfId="0" applyFont="1" applyFill="1" applyBorder="1" applyAlignment="1">
      <alignment vertical="center" wrapText="1"/>
    </xf>
    <xf numFmtId="0" fontId="2" fillId="70" borderId="164" xfId="0" applyFont="1" applyFill="1" applyBorder="1" applyAlignment="1">
      <alignment vertical="top" wrapText="1"/>
    </xf>
    <xf numFmtId="0" fontId="35" fillId="0" borderId="165" xfId="0" applyFont="1" applyBorder="1" applyAlignment="1">
      <alignment horizontal="left" vertical="center" wrapText="1"/>
    </xf>
    <xf numFmtId="0" fontId="35" fillId="0" borderId="160" xfId="0" applyFont="1" applyBorder="1" applyAlignment="1">
      <alignment horizontal="left" vertical="top" wrapText="1"/>
    </xf>
    <xf numFmtId="0" fontId="36" fillId="0" borderId="109" xfId="0" applyFont="1" applyBorder="1" applyAlignment="1">
      <alignment vertical="center" wrapText="1"/>
    </xf>
    <xf numFmtId="0" fontId="36" fillId="24" borderId="109" xfId="0" applyFont="1" applyFill="1" applyBorder="1" applyAlignment="1">
      <alignment vertical="center" wrapText="1"/>
    </xf>
    <xf numFmtId="0" fontId="36" fillId="0" borderId="108" xfId="0" applyFont="1" applyBorder="1" applyAlignment="1">
      <alignment vertical="center" wrapText="1"/>
    </xf>
    <xf numFmtId="0" fontId="36" fillId="0" borderId="162" xfId="0" applyFont="1" applyBorder="1" applyAlignment="1">
      <alignment vertical="center" wrapText="1"/>
    </xf>
    <xf numFmtId="0" fontId="2" fillId="0" borderId="163" xfId="0" applyFont="1" applyBorder="1" applyAlignment="1">
      <alignment vertical="top" wrapText="1"/>
    </xf>
    <xf numFmtId="0" fontId="35" fillId="0" borderId="165" xfId="0" applyFont="1" applyBorder="1" applyAlignment="1">
      <alignment horizontal="center" vertical="center" wrapText="1"/>
    </xf>
    <xf numFmtId="0" fontId="2" fillId="0" borderId="11" xfId="0" applyFont="1" applyAlignment="1">
      <alignment vertical="top" wrapText="1"/>
    </xf>
    <xf numFmtId="0" fontId="34" fillId="23" borderId="70" xfId="0" applyFont="1" applyFill="1" applyBorder="1" applyAlignment="1">
      <alignment vertical="top" wrapText="1"/>
    </xf>
    <xf numFmtId="0" fontId="34" fillId="23" borderId="71" xfId="0" applyFont="1" applyFill="1" applyBorder="1" applyAlignment="1">
      <alignment vertical="top" wrapText="1"/>
    </xf>
    <xf numFmtId="0" fontId="141" fillId="104" borderId="11" xfId="0" applyFont="1" applyFill="1" applyAlignment="1">
      <alignment vertical="top" wrapText="1"/>
    </xf>
    <xf numFmtId="0" fontId="141" fillId="104" borderId="11" xfId="0" applyFont="1" applyFill="1" applyAlignment="1">
      <alignment horizontal="center" vertical="top" wrapText="1"/>
    </xf>
    <xf numFmtId="0" fontId="129" fillId="105" borderId="11" xfId="0" applyFont="1" applyFill="1" applyAlignment="1">
      <alignment vertical="top" wrapText="1"/>
    </xf>
    <xf numFmtId="0" fontId="129" fillId="105" borderId="11" xfId="0" applyFont="1" applyFill="1" applyAlignment="1">
      <alignment horizontal="center" vertical="top" wrapText="1"/>
    </xf>
    <xf numFmtId="0" fontId="129" fillId="106" borderId="11" xfId="0" applyFont="1" applyFill="1" applyAlignment="1">
      <alignment vertical="top" wrapText="1"/>
    </xf>
    <xf numFmtId="0" fontId="51" fillId="87" borderId="11" xfId="0" applyFont="1" applyFill="1" applyAlignment="1">
      <alignment wrapText="1"/>
    </xf>
    <xf numFmtId="168" fontId="0" fillId="0" borderId="11" xfId="0" applyNumberFormat="1" applyAlignment="1">
      <alignment vertical="top" wrapText="1"/>
    </xf>
    <xf numFmtId="0" fontId="158" fillId="23" borderId="11" xfId="0" applyFont="1" applyFill="1" applyAlignment="1">
      <alignment horizontal="left" vertical="top" wrapText="1"/>
    </xf>
    <xf numFmtId="0" fontId="127" fillId="86" borderId="11" xfId="0" applyFont="1" applyFill="1" applyAlignment="1">
      <alignment horizontal="left" vertical="top" wrapText="1"/>
    </xf>
    <xf numFmtId="0" fontId="159" fillId="108" borderId="11" xfId="0" applyFont="1" applyFill="1" applyAlignment="1">
      <alignment horizontal="center" vertical="top" wrapText="1"/>
    </xf>
    <xf numFmtId="9" fontId="159" fillId="108" borderId="11" xfId="0" applyNumberFormat="1" applyFont="1" applyFill="1" applyAlignment="1">
      <alignment horizontal="center" vertical="top" wrapText="1"/>
    </xf>
    <xf numFmtId="0" fontId="140" fillId="107" borderId="11" xfId="0" applyFont="1" applyFill="1" applyAlignment="1">
      <alignment horizontal="center" vertical="center" wrapText="1"/>
    </xf>
    <xf numFmtId="9" fontId="0" fillId="0" borderId="11" xfId="0" applyNumberFormat="1" applyAlignment="1">
      <alignment vertical="top" wrapText="1"/>
    </xf>
    <xf numFmtId="0" fontId="140" fillId="107" borderId="11" xfId="0" applyFont="1" applyFill="1" applyAlignment="1">
      <alignment horizontal="center" vertical="top" wrapText="1"/>
    </xf>
    <xf numFmtId="9" fontId="140" fillId="107" borderId="11" xfId="0" applyNumberFormat="1" applyFont="1" applyFill="1" applyAlignment="1">
      <alignment horizontal="center" vertical="center" wrapText="1"/>
    </xf>
    <xf numFmtId="168" fontId="140" fillId="107" borderId="11" xfId="0" applyNumberFormat="1" applyFont="1" applyFill="1" applyAlignment="1">
      <alignment horizontal="center" vertical="center" wrapText="1"/>
    </xf>
    <xf numFmtId="9" fontId="140" fillId="107" borderId="11" xfId="0" applyNumberFormat="1" applyFont="1" applyFill="1" applyAlignment="1">
      <alignment horizontal="center" vertical="top" wrapText="1"/>
    </xf>
    <xf numFmtId="168" fontId="140" fillId="107" borderId="11" xfId="0" applyNumberFormat="1" applyFont="1" applyFill="1" applyAlignment="1">
      <alignment horizontal="center" vertical="top" wrapText="1"/>
    </xf>
    <xf numFmtId="0" fontId="127" fillId="86" borderId="11" xfId="0" applyFont="1" applyFill="1" applyAlignment="1">
      <alignment horizontal="left" vertical="top" wrapText="1"/>
    </xf>
    <xf numFmtId="168" fontId="127" fillId="86" borderId="11" xfId="0" applyNumberFormat="1" applyFont="1" applyFill="1" applyAlignment="1">
      <alignment horizontal="left" vertical="top" wrapText="1"/>
    </xf>
    <xf numFmtId="0" fontId="160" fillId="108" borderId="11" xfId="0" applyFont="1" applyFill="1" applyAlignment="1">
      <alignment vertical="top" wrapText="1"/>
    </xf>
    <xf numFmtId="168" fontId="160" fillId="108" borderId="11" xfId="0" applyNumberFormat="1" applyFont="1" applyFill="1" applyAlignment="1">
      <alignment vertical="top" wrapText="1"/>
    </xf>
    <xf numFmtId="0" fontId="127" fillId="86" borderId="11" xfId="0" applyFont="1" applyFill="1" applyAlignment="1">
      <alignment horizontal="left" vertical="center" wrapText="1"/>
    </xf>
    <xf numFmtId="9" fontId="127" fillId="86" borderId="11" xfId="0" applyNumberFormat="1" applyFont="1" applyFill="1" applyAlignment="1">
      <alignment horizontal="left" vertical="center" wrapText="1"/>
    </xf>
    <xf numFmtId="168" fontId="127" fillId="86" borderId="11" xfId="0" applyNumberFormat="1" applyFont="1" applyFill="1" applyAlignment="1">
      <alignment horizontal="left" vertical="center" wrapText="1"/>
    </xf>
    <xf numFmtId="0" fontId="0" fillId="0" borderId="11" xfId="0" applyAlignment="1">
      <alignment vertical="top" wrapText="1"/>
    </xf>
    <xf numFmtId="0" fontId="125" fillId="107" borderId="11" xfId="0" applyFont="1" applyFill="1" applyAlignment="1">
      <alignment horizontal="left" vertical="top" wrapText="1"/>
    </xf>
    <xf numFmtId="0" fontId="69" fillId="42" borderId="52" xfId="0" applyFont="1" applyFill="1" applyBorder="1" applyAlignment="1">
      <alignment vertical="center" wrapText="1"/>
    </xf>
    <xf numFmtId="0" fontId="0" fillId="0" borderId="59" xfId="0" applyBorder="1"/>
    <xf numFmtId="0" fontId="0" fillId="0" borderId="60" xfId="0" applyBorder="1"/>
    <xf numFmtId="0" fontId="68" fillId="41" borderId="52" xfId="0" applyFont="1" applyFill="1" applyBorder="1" applyAlignment="1">
      <alignment horizontal="center" vertical="center"/>
    </xf>
    <xf numFmtId="0" fontId="69" fillId="0" borderId="52" xfId="0" applyFont="1" applyBorder="1" applyAlignment="1">
      <alignment vertical="top" wrapText="1"/>
    </xf>
    <xf numFmtId="0" fontId="5" fillId="4" borderId="25" xfId="0" applyFont="1" applyFill="1" applyBorder="1" applyAlignment="1">
      <alignment horizontal="left" vertical="center" wrapText="1"/>
    </xf>
    <xf numFmtId="0" fontId="0" fillId="0" borderId="25" xfId="0" applyBorder="1"/>
    <xf numFmtId="0" fontId="7" fillId="6" borderId="26" xfId="0" applyFont="1" applyFill="1" applyBorder="1" applyAlignment="1">
      <alignment horizontal="center" vertical="center" wrapText="1"/>
    </xf>
    <xf numFmtId="0" fontId="0" fillId="0" borderId="0" xfId="0" applyBorder="1"/>
    <xf numFmtId="49" fontId="6" fillId="5" borderId="26" xfId="0" applyNumberFormat="1" applyFont="1" applyFill="1" applyBorder="1" applyAlignment="1">
      <alignment horizontal="center" vertical="center" wrapText="1"/>
    </xf>
    <xf numFmtId="0" fontId="4" fillId="3" borderId="25" xfId="0" applyFont="1" applyFill="1" applyBorder="1" applyAlignment="1">
      <alignment horizontal="left" vertical="center" wrapText="1"/>
    </xf>
    <xf numFmtId="0" fontId="12" fillId="12" borderId="12" xfId="0" applyFont="1" applyFill="1" applyBorder="1" applyAlignment="1">
      <alignment horizontal="left" vertical="top" wrapText="1"/>
    </xf>
    <xf numFmtId="0" fontId="0" fillId="0" borderId="34" xfId="0" applyBorder="1"/>
    <xf numFmtId="0" fontId="0" fillId="0" borderId="35" xfId="0" applyBorder="1"/>
    <xf numFmtId="0" fontId="31" fillId="19" borderId="13" xfId="0" applyFont="1" applyFill="1" applyBorder="1" applyAlignment="1">
      <alignment horizontal="left" vertical="top" wrapText="1"/>
    </xf>
    <xf numFmtId="0" fontId="0" fillId="0" borderId="23" xfId="0" applyBorder="1"/>
    <xf numFmtId="0" fontId="0" fillId="0" borderId="24" xfId="0" applyBorder="1"/>
    <xf numFmtId="0" fontId="31" fillId="15" borderId="13" xfId="0" applyFont="1" applyFill="1" applyBorder="1" applyAlignment="1">
      <alignment horizontal="left" vertical="top" wrapText="1"/>
    </xf>
    <xf numFmtId="0" fontId="28" fillId="15" borderId="29" xfId="0" applyFont="1" applyFill="1" applyBorder="1" applyAlignment="1">
      <alignment horizontal="left" vertical="top" wrapText="1"/>
    </xf>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26" fillId="18" borderId="13" xfId="0" applyFont="1" applyFill="1" applyBorder="1" applyAlignment="1">
      <alignment horizontal="center" vertical="center"/>
    </xf>
    <xf numFmtId="0" fontId="24" fillId="15" borderId="13" xfId="0" applyFont="1" applyFill="1" applyBorder="1" applyAlignment="1">
      <alignment horizontal="left" vertical="center" wrapText="1"/>
    </xf>
    <xf numFmtId="0" fontId="0" fillId="0" borderId="31" xfId="0" applyBorder="1"/>
    <xf numFmtId="0" fontId="0" fillId="0" borderId="32" xfId="0" applyBorder="1"/>
    <xf numFmtId="0" fontId="0" fillId="0" borderId="33" xfId="0" applyBorder="1"/>
    <xf numFmtId="0" fontId="29" fillId="16" borderId="13" xfId="0" applyFont="1" applyFill="1" applyBorder="1" applyAlignment="1">
      <alignment horizontal="left" vertical="center" wrapText="1"/>
    </xf>
    <xf numFmtId="0" fontId="28" fillId="15" borderId="27" xfId="0" applyFont="1" applyFill="1" applyBorder="1" applyAlignment="1">
      <alignment horizontal="left" vertical="top" wrapText="1"/>
    </xf>
    <xf numFmtId="0" fontId="0" fillId="0" borderId="36" xfId="0" applyBorder="1"/>
    <xf numFmtId="0" fontId="0" fillId="0" borderId="38" xfId="0" applyBorder="1"/>
    <xf numFmtId="0" fontId="0" fillId="0" borderId="37" xfId="0" applyBorder="1"/>
    <xf numFmtId="0" fontId="0" fillId="0" borderId="39" xfId="0" applyBorder="1"/>
    <xf numFmtId="0" fontId="77" fillId="50" borderId="75" xfId="0" applyFont="1" applyFill="1" applyBorder="1" applyAlignment="1">
      <alignment horizontal="center" vertical="center" wrapText="1"/>
    </xf>
    <xf numFmtId="0" fontId="77" fillId="50" borderId="23" xfId="0" applyFont="1" applyFill="1" applyBorder="1" applyAlignment="1">
      <alignment horizontal="center" vertical="center" wrapText="1"/>
    </xf>
    <xf numFmtId="0" fontId="77" fillId="50" borderId="24" xfId="0" applyFont="1" applyFill="1" applyBorder="1" applyAlignment="1">
      <alignment horizontal="center" vertical="center" wrapText="1"/>
    </xf>
    <xf numFmtId="1" fontId="88" fillId="59" borderId="74" xfId="0" applyNumberFormat="1" applyFont="1" applyFill="1" applyBorder="1" applyAlignment="1">
      <alignment horizontal="center" vertical="center" wrapText="1"/>
    </xf>
    <xf numFmtId="1" fontId="88" fillId="59" borderId="35" xfId="0" applyNumberFormat="1" applyFont="1" applyFill="1" applyBorder="1" applyAlignment="1">
      <alignment horizontal="center" vertical="center" wrapText="1"/>
    </xf>
    <xf numFmtId="0" fontId="80" fillId="52" borderId="65" xfId="0" applyFont="1" applyFill="1" applyBorder="1" applyAlignment="1">
      <alignment horizontal="left" vertical="top" wrapText="1"/>
    </xf>
    <xf numFmtId="0" fontId="62" fillId="52" borderId="36" xfId="0" applyFont="1" applyFill="1" applyBorder="1" applyAlignment="1">
      <alignment vertical="top" wrapText="1"/>
    </xf>
    <xf numFmtId="0" fontId="76" fillId="0" borderId="36" xfId="0" applyFont="1" applyBorder="1"/>
    <xf numFmtId="0" fontId="62" fillId="52" borderId="11" xfId="0" applyFont="1" applyFill="1" applyAlignment="1">
      <alignment vertical="top" wrapText="1"/>
    </xf>
    <xf numFmtId="0" fontId="76" fillId="0" borderId="11" xfId="0" applyFont="1"/>
    <xf numFmtId="0" fontId="62" fillId="52" borderId="57" xfId="0" applyFont="1" applyFill="1" applyBorder="1" applyAlignment="1">
      <alignment vertical="top" wrapText="1"/>
    </xf>
    <xf numFmtId="0" fontId="0" fillId="0" borderId="57" xfId="0" applyBorder="1" applyAlignment="1">
      <alignment wrapText="1"/>
    </xf>
    <xf numFmtId="0" fontId="76" fillId="0" borderId="57" xfId="0" applyFont="1" applyBorder="1"/>
    <xf numFmtId="0" fontId="28" fillId="15" borderId="28" xfId="0" applyFont="1" applyFill="1" applyBorder="1" applyAlignment="1">
      <alignment horizontal="left" vertical="top" wrapText="1"/>
    </xf>
    <xf numFmtId="0" fontId="0" fillId="0" borderId="40" xfId="0" applyBorder="1"/>
    <xf numFmtId="0" fontId="0" fillId="0" borderId="42" xfId="0" applyBorder="1"/>
    <xf numFmtId="0" fontId="0" fillId="0" borderId="41" xfId="0" applyBorder="1"/>
    <xf numFmtId="0" fontId="0" fillId="0" borderId="43" xfId="0" applyBorder="1"/>
    <xf numFmtId="0" fontId="79" fillId="51" borderId="83" xfId="0" applyFont="1" applyFill="1" applyBorder="1" applyAlignment="1">
      <alignment horizontal="center" vertical="center" wrapText="1"/>
    </xf>
    <xf numFmtId="0" fontId="79" fillId="51" borderId="84" xfId="0" applyFont="1" applyFill="1" applyBorder="1" applyAlignment="1">
      <alignment horizontal="center" vertical="center" wrapText="1"/>
    </xf>
    <xf numFmtId="0" fontId="82" fillId="54" borderId="86" xfId="0" applyFont="1" applyFill="1" applyBorder="1" applyAlignment="1">
      <alignment horizontal="center" vertical="center" wrapText="1"/>
    </xf>
    <xf numFmtId="0" fontId="62" fillId="54" borderId="84" xfId="0" applyFont="1" applyFill="1" applyBorder="1" applyAlignment="1">
      <alignment horizontal="center" vertical="center" wrapText="1"/>
    </xf>
    <xf numFmtId="0" fontId="80" fillId="52" borderId="85" xfId="0" applyFont="1" applyFill="1" applyBorder="1" applyAlignment="1">
      <alignment horizontal="center" vertical="center" wrapText="1"/>
    </xf>
    <xf numFmtId="0" fontId="62" fillId="52" borderId="84" xfId="0" applyFont="1" applyFill="1" applyBorder="1" applyAlignment="1">
      <alignment horizontal="center" vertical="center" wrapText="1"/>
    </xf>
    <xf numFmtId="0" fontId="5" fillId="72" borderId="83" xfId="0" applyFont="1" applyFill="1" applyBorder="1" applyAlignment="1">
      <alignment horizontal="center" vertical="center" wrapText="1"/>
    </xf>
    <xf numFmtId="0" fontId="5" fillId="72" borderId="84" xfId="0" applyFont="1" applyFill="1" applyBorder="1" applyAlignment="1">
      <alignment horizontal="center" vertical="center" wrapText="1"/>
    </xf>
    <xf numFmtId="0" fontId="84" fillId="56" borderId="88" xfId="0" applyFont="1" applyFill="1" applyBorder="1" applyAlignment="1">
      <alignment horizontal="center" vertical="center" wrapText="1"/>
    </xf>
    <xf numFmtId="0" fontId="62" fillId="56" borderId="84" xfId="0" applyFont="1" applyFill="1" applyBorder="1" applyAlignment="1">
      <alignment horizontal="center" vertical="center" wrapText="1"/>
    </xf>
    <xf numFmtId="0" fontId="65" fillId="44" borderId="77" xfId="0" applyFont="1" applyFill="1" applyBorder="1" applyAlignment="1">
      <alignment horizontal="center" vertical="center" wrapText="1"/>
    </xf>
    <xf numFmtId="0" fontId="65" fillId="44" borderId="78" xfId="0" applyFont="1" applyFill="1" applyBorder="1" applyAlignment="1">
      <alignment horizontal="center" vertical="center" wrapText="1"/>
    </xf>
    <xf numFmtId="0" fontId="65" fillId="44" borderId="79" xfId="0" applyFont="1" applyFill="1" applyBorder="1" applyAlignment="1">
      <alignment horizontal="center" vertical="center" wrapText="1"/>
    </xf>
    <xf numFmtId="0" fontId="65" fillId="44" borderId="81" xfId="0" applyFont="1" applyFill="1" applyBorder="1" applyAlignment="1">
      <alignment horizontal="center" vertical="center" wrapText="1"/>
    </xf>
    <xf numFmtId="0" fontId="65" fillId="44" borderId="76" xfId="0" applyFont="1" applyFill="1" applyBorder="1" applyAlignment="1">
      <alignment horizontal="center" vertical="center" wrapText="1"/>
    </xf>
    <xf numFmtId="0" fontId="65" fillId="44" borderId="80" xfId="0" applyFont="1" applyFill="1" applyBorder="1" applyAlignment="1">
      <alignment horizontal="center" vertical="center" wrapText="1"/>
    </xf>
    <xf numFmtId="0" fontId="81" fillId="53" borderId="87" xfId="0" applyFont="1" applyFill="1" applyBorder="1" applyAlignment="1">
      <alignment horizontal="center" vertical="center" wrapText="1"/>
    </xf>
    <xf numFmtId="0" fontId="62" fillId="53" borderId="84" xfId="0" applyFont="1" applyFill="1" applyBorder="1" applyAlignment="1">
      <alignment horizontal="center" vertical="center" wrapText="1"/>
    </xf>
    <xf numFmtId="0" fontId="83" fillId="55" borderId="36" xfId="0" applyFont="1" applyFill="1" applyBorder="1" applyAlignment="1">
      <alignment horizontal="left" vertical="top" wrapText="1"/>
    </xf>
    <xf numFmtId="0" fontId="83" fillId="55" borderId="38" xfId="0" applyFont="1" applyFill="1" applyBorder="1" applyAlignment="1">
      <alignment horizontal="left" vertical="top" wrapText="1"/>
    </xf>
    <xf numFmtId="0" fontId="83" fillId="55" borderId="11" xfId="0" applyFont="1" applyFill="1" applyAlignment="1">
      <alignment horizontal="left" vertical="top" wrapText="1"/>
    </xf>
    <xf numFmtId="0" fontId="83" fillId="55" borderId="19" xfId="0" applyFont="1" applyFill="1" applyBorder="1" applyAlignment="1">
      <alignment horizontal="left" vertical="top" wrapText="1"/>
    </xf>
    <xf numFmtId="0" fontId="83" fillId="55" borderId="21" xfId="0" applyFont="1" applyFill="1" applyBorder="1" applyAlignment="1">
      <alignment horizontal="left" vertical="top" wrapText="1"/>
    </xf>
    <xf numFmtId="0" fontId="83" fillId="55" borderId="22" xfId="0" applyFont="1" applyFill="1" applyBorder="1" applyAlignment="1">
      <alignment horizontal="left" vertical="top" wrapText="1"/>
    </xf>
    <xf numFmtId="0" fontId="30" fillId="73" borderId="107" xfId="0" applyFont="1" applyFill="1" applyBorder="1" applyAlignment="1">
      <alignment horizontal="left" vertical="center"/>
    </xf>
    <xf numFmtId="0" fontId="0" fillId="73" borderId="108" xfId="0" applyFill="1" applyBorder="1"/>
    <xf numFmtId="0" fontId="0" fillId="73" borderId="109" xfId="0" applyFill="1" applyBorder="1"/>
    <xf numFmtId="0" fontId="93" fillId="15" borderId="29" xfId="0" applyFont="1" applyFill="1" applyBorder="1" applyAlignment="1">
      <alignment horizontal="left" vertical="center" wrapText="1"/>
    </xf>
    <xf numFmtId="0" fontId="94" fillId="0" borderId="16" xfId="0" applyFont="1" applyBorder="1"/>
    <xf numFmtId="0" fontId="94" fillId="0" borderId="17" xfId="0" applyFont="1" applyBorder="1"/>
    <xf numFmtId="0" fontId="94" fillId="0" borderId="18" xfId="0" applyFont="1" applyBorder="1"/>
    <xf numFmtId="0" fontId="94" fillId="0" borderId="0" xfId="0" applyFont="1" applyBorder="1"/>
    <xf numFmtId="0" fontId="94" fillId="0" borderId="19" xfId="0" applyFont="1" applyBorder="1"/>
    <xf numFmtId="0" fontId="94" fillId="0" borderId="20" xfId="0" applyFont="1" applyBorder="1"/>
    <xf numFmtId="0" fontId="94" fillId="0" borderId="21" xfId="0" applyFont="1" applyBorder="1"/>
    <xf numFmtId="0" fontId="94" fillId="0" borderId="22" xfId="0" applyFont="1" applyBorder="1"/>
    <xf numFmtId="0" fontId="60" fillId="37" borderId="13" xfId="0" applyFont="1" applyFill="1" applyBorder="1" applyAlignment="1">
      <alignment horizontal="center" vertical="top" wrapText="1"/>
    </xf>
    <xf numFmtId="0" fontId="25" fillId="37" borderId="13" xfId="0" applyFont="1" applyFill="1" applyBorder="1" applyAlignment="1">
      <alignment horizontal="center" vertical="top" wrapText="1"/>
    </xf>
    <xf numFmtId="49" fontId="78" fillId="48" borderId="10" xfId="0" applyNumberFormat="1" applyFont="1" applyFill="1" applyBorder="1" applyAlignment="1">
      <alignment horizontal="center" vertical="center" wrapText="1"/>
    </xf>
    <xf numFmtId="0" fontId="78" fillId="48" borderId="58" xfId="0" applyFont="1" applyFill="1" applyBorder="1"/>
    <xf numFmtId="0" fontId="24" fillId="16" borderId="13" xfId="0" applyFont="1" applyFill="1" applyBorder="1" applyAlignment="1">
      <alignment horizontal="left" vertical="center" wrapText="1"/>
    </xf>
    <xf numFmtId="0" fontId="27" fillId="16" borderId="13" xfId="0" applyFont="1" applyFill="1" applyBorder="1" applyAlignment="1">
      <alignment horizontal="left" vertical="center"/>
    </xf>
    <xf numFmtId="0" fontId="77" fillId="90" borderId="11" xfId="0" applyFont="1" applyFill="1" applyAlignment="1">
      <alignment horizontal="center" vertical="center" wrapText="1"/>
    </xf>
    <xf numFmtId="0" fontId="28" fillId="15" borderId="30" xfId="0" applyFont="1" applyFill="1" applyBorder="1" applyAlignment="1">
      <alignment horizontal="left" vertical="top" wrapText="1"/>
    </xf>
    <xf numFmtId="0" fontId="0" fillId="0" borderId="44" xfId="0" applyBorder="1"/>
    <xf numFmtId="0" fontId="0" fillId="0" borderId="46" xfId="0" applyBorder="1"/>
    <xf numFmtId="0" fontId="0" fillId="0" borderId="45" xfId="0" applyBorder="1"/>
    <xf numFmtId="0" fontId="0" fillId="0" borderId="47" xfId="0" applyBorder="1"/>
    <xf numFmtId="0" fontId="23" fillId="16" borderId="13" xfId="0" applyFont="1" applyFill="1" applyBorder="1" applyAlignment="1">
      <alignment horizontal="left" vertical="center" wrapText="1"/>
    </xf>
    <xf numFmtId="0" fontId="96" fillId="66" borderId="115" xfId="0" applyFont="1" applyFill="1" applyBorder="1" applyAlignment="1">
      <alignment horizontal="center" vertical="center" wrapText="1"/>
    </xf>
    <xf numFmtId="0" fontId="96" fillId="66" borderId="116" xfId="0" applyFont="1" applyFill="1" applyBorder="1" applyAlignment="1">
      <alignment horizontal="center" vertical="center" wrapText="1"/>
    </xf>
    <xf numFmtId="0" fontId="84" fillId="56" borderId="61" xfId="0" applyFont="1" applyFill="1" applyBorder="1" applyAlignment="1">
      <alignment horizontal="left" vertical="top" wrapText="1"/>
    </xf>
    <xf numFmtId="0" fontId="62" fillId="56" borderId="16" xfId="0" applyFont="1" applyFill="1" applyBorder="1" applyAlignment="1">
      <alignment vertical="top" wrapText="1"/>
    </xf>
    <xf numFmtId="0" fontId="76" fillId="0" borderId="16" xfId="0" applyFont="1" applyBorder="1"/>
    <xf numFmtId="0" fontId="62" fillId="56" borderId="11" xfId="0" applyFont="1" applyFill="1" applyAlignment="1">
      <alignment vertical="top" wrapText="1"/>
    </xf>
    <xf numFmtId="0" fontId="62" fillId="56" borderId="21" xfId="0" applyFont="1" applyFill="1" applyBorder="1" applyAlignment="1">
      <alignment vertical="top" wrapText="1"/>
    </xf>
    <xf numFmtId="0" fontId="76" fillId="0" borderId="21" xfId="0" applyFont="1" applyBorder="1"/>
    <xf numFmtId="0" fontId="81" fillId="53" borderId="62" xfId="0" applyFont="1" applyFill="1" applyBorder="1" applyAlignment="1">
      <alignment horizontal="left" vertical="top" wrapText="1"/>
    </xf>
    <xf numFmtId="0" fontId="62" fillId="53" borderId="16" xfId="0" applyFont="1" applyFill="1" applyBorder="1" applyAlignment="1">
      <alignment vertical="top" wrapText="1"/>
    </xf>
    <xf numFmtId="0" fontId="62" fillId="53" borderId="17" xfId="0" applyFont="1" applyFill="1" applyBorder="1" applyAlignment="1">
      <alignment vertical="top" wrapText="1"/>
    </xf>
    <xf numFmtId="0" fontId="76" fillId="0" borderId="17" xfId="0" applyFont="1" applyBorder="1"/>
    <xf numFmtId="0" fontId="62" fillId="53" borderId="11" xfId="0" applyFont="1" applyFill="1" applyAlignment="1">
      <alignment vertical="top" wrapText="1"/>
    </xf>
    <xf numFmtId="0" fontId="62" fillId="53" borderId="19" xfId="0" applyFont="1" applyFill="1" applyBorder="1" applyAlignment="1">
      <alignment vertical="top" wrapText="1"/>
    </xf>
    <xf numFmtId="0" fontId="76" fillId="0" borderId="19" xfId="0" applyFont="1" applyBorder="1"/>
    <xf numFmtId="0" fontId="62" fillId="53" borderId="53" xfId="0" applyFont="1" applyFill="1" applyBorder="1" applyAlignment="1">
      <alignment vertical="top" wrapText="1"/>
    </xf>
    <xf numFmtId="0" fontId="62" fillId="53" borderId="54" xfId="0" applyFont="1" applyFill="1" applyBorder="1" applyAlignment="1">
      <alignment vertical="top" wrapText="1"/>
    </xf>
    <xf numFmtId="0" fontId="76" fillId="0" borderId="53" xfId="0" applyFont="1" applyBorder="1"/>
    <xf numFmtId="0" fontId="76" fillId="0" borderId="54" xfId="0" applyFont="1" applyBorder="1"/>
    <xf numFmtId="9" fontId="86" fillId="60" borderId="73" xfId="0" applyNumberFormat="1" applyFont="1" applyFill="1" applyBorder="1" applyAlignment="1">
      <alignment horizontal="left" vertical="center" wrapText="1"/>
    </xf>
    <xf numFmtId="9" fontId="86" fillId="60" borderId="67" xfId="0" applyNumberFormat="1" applyFont="1" applyFill="1" applyBorder="1" applyAlignment="1">
      <alignment horizontal="left" vertical="center" wrapText="1"/>
    </xf>
    <xf numFmtId="9" fontId="86" fillId="60" borderId="68" xfId="0" applyNumberFormat="1" applyFont="1" applyFill="1" applyBorder="1" applyAlignment="1">
      <alignment horizontal="left" vertical="center" wrapText="1"/>
    </xf>
    <xf numFmtId="0" fontId="90" fillId="62" borderId="26" xfId="0" applyFont="1" applyFill="1" applyBorder="1" applyAlignment="1">
      <alignment horizontal="center" vertical="center" wrapText="1"/>
    </xf>
    <xf numFmtId="0" fontId="90" fillId="62" borderId="11" xfId="0" applyFont="1" applyFill="1" applyAlignment="1">
      <alignment horizontal="center" vertical="center" wrapText="1"/>
    </xf>
    <xf numFmtId="0" fontId="90" fillId="62" borderId="69" xfId="0" applyFont="1" applyFill="1" applyBorder="1" applyAlignment="1">
      <alignment horizontal="center" vertical="center" wrapText="1"/>
    </xf>
    <xf numFmtId="0" fontId="86" fillId="63" borderId="26" xfId="0" applyFont="1" applyFill="1" applyBorder="1" applyAlignment="1">
      <alignment horizontal="center" vertical="center" wrapText="1"/>
    </xf>
    <xf numFmtId="0" fontId="86" fillId="63" borderId="69" xfId="0" applyFont="1" applyFill="1" applyBorder="1" applyAlignment="1">
      <alignment horizontal="center" vertical="center" wrapText="1"/>
    </xf>
    <xf numFmtId="0" fontId="87" fillId="44" borderId="97" xfId="0" applyFont="1" applyFill="1" applyBorder="1" applyAlignment="1">
      <alignment horizontal="center" vertical="center" wrapText="1"/>
    </xf>
    <xf numFmtId="0" fontId="87" fillId="44" borderId="98" xfId="0" applyFont="1" applyFill="1" applyBorder="1" applyAlignment="1">
      <alignment horizontal="center" vertical="center" wrapText="1"/>
    </xf>
    <xf numFmtId="9" fontId="88" fillId="59" borderId="74" xfId="0" applyNumberFormat="1" applyFont="1" applyFill="1" applyBorder="1" applyAlignment="1">
      <alignment horizontal="center" vertical="center" wrapText="1"/>
    </xf>
    <xf numFmtId="9" fontId="88" fillId="59" borderId="35" xfId="0" applyNumberFormat="1" applyFont="1" applyFill="1" applyBorder="1" applyAlignment="1">
      <alignment horizontal="center" vertical="center" wrapText="1"/>
    </xf>
    <xf numFmtId="0" fontId="30" fillId="16" borderId="13" xfId="0" applyFont="1" applyFill="1" applyBorder="1" applyAlignment="1">
      <alignment horizontal="left" vertical="center" wrapText="1"/>
    </xf>
    <xf numFmtId="0" fontId="30" fillId="16" borderId="13" xfId="0" applyFont="1" applyFill="1" applyBorder="1" applyAlignment="1">
      <alignment horizontal="left" vertical="center"/>
    </xf>
    <xf numFmtId="0" fontId="136" fillId="57" borderId="93" xfId="0" applyFont="1" applyFill="1" applyBorder="1" applyAlignment="1">
      <alignment horizontal="center" vertical="center" wrapText="1"/>
    </xf>
    <xf numFmtId="0" fontId="136" fillId="57" borderId="94" xfId="0" applyFont="1" applyFill="1" applyBorder="1" applyAlignment="1">
      <alignment horizontal="center" vertical="center" wrapText="1"/>
    </xf>
    <xf numFmtId="0" fontId="136" fillId="57" borderId="95" xfId="0" applyFont="1" applyFill="1" applyBorder="1" applyAlignment="1">
      <alignment horizontal="center" vertical="center" wrapText="1"/>
    </xf>
    <xf numFmtId="0" fontId="79" fillId="51" borderId="64" xfId="0" applyFont="1" applyFill="1" applyBorder="1" applyAlignment="1">
      <alignment horizontal="left" vertical="top" wrapText="1"/>
    </xf>
    <xf numFmtId="0" fontId="62" fillId="51" borderId="40" xfId="0" applyFont="1" applyFill="1" applyBorder="1" applyAlignment="1">
      <alignment vertical="top" wrapText="1"/>
    </xf>
    <xf numFmtId="0" fontId="62" fillId="51" borderId="42" xfId="0" applyFont="1" applyFill="1" applyBorder="1" applyAlignment="1">
      <alignment vertical="top" wrapText="1"/>
    </xf>
    <xf numFmtId="0" fontId="76" fillId="0" borderId="40" xfId="0" applyFont="1" applyBorder="1"/>
    <xf numFmtId="0" fontId="76" fillId="0" borderId="42" xfId="0" applyFont="1" applyBorder="1"/>
    <xf numFmtId="0" fontId="62" fillId="51" borderId="11" xfId="0" applyFont="1" applyFill="1" applyAlignment="1">
      <alignment vertical="top" wrapText="1"/>
    </xf>
    <xf numFmtId="0" fontId="62" fillId="51" borderId="19" xfId="0" applyFont="1" applyFill="1" applyBorder="1" applyAlignment="1">
      <alignment vertical="top" wrapText="1"/>
    </xf>
    <xf numFmtId="0" fontId="62" fillId="51" borderId="55" xfId="0" applyFont="1" applyFill="1" applyBorder="1" applyAlignment="1">
      <alignment vertical="top" wrapText="1"/>
    </xf>
    <xf numFmtId="0" fontId="62" fillId="51" borderId="56" xfId="0" applyFont="1" applyFill="1" applyBorder="1" applyAlignment="1">
      <alignment vertical="top" wrapText="1"/>
    </xf>
    <xf numFmtId="0" fontId="76" fillId="0" borderId="55" xfId="0" applyFont="1" applyBorder="1"/>
    <xf numFmtId="0" fontId="76" fillId="0" borderId="56" xfId="0" applyFont="1" applyBorder="1"/>
    <xf numFmtId="0" fontId="132" fillId="58" borderId="11" xfId="0" applyFont="1" applyFill="1" applyAlignment="1">
      <alignment horizontal="left" vertical="center" wrapText="1"/>
    </xf>
    <xf numFmtId="0" fontId="132" fillId="58" borderId="110" xfId="0" applyFont="1" applyFill="1" applyBorder="1" applyAlignment="1">
      <alignment horizontal="left" vertical="center" wrapText="1"/>
    </xf>
    <xf numFmtId="0" fontId="77" fillId="50" borderId="33" xfId="0" applyFont="1" applyFill="1" applyBorder="1" applyAlignment="1">
      <alignment horizontal="center" vertical="center" wrapText="1"/>
    </xf>
    <xf numFmtId="0" fontId="77" fillId="50" borderId="21" xfId="0" applyFont="1" applyFill="1" applyBorder="1" applyAlignment="1">
      <alignment horizontal="center" vertical="center" wrapText="1"/>
    </xf>
    <xf numFmtId="0" fontId="77" fillId="50" borderId="22" xfId="0" applyFont="1" applyFill="1" applyBorder="1" applyAlignment="1">
      <alignment horizontal="center" vertical="center" wrapText="1"/>
    </xf>
    <xf numFmtId="0" fontId="82" fillId="54" borderId="63" xfId="0" applyFont="1" applyFill="1" applyBorder="1" applyAlignment="1">
      <alignment horizontal="left" vertical="top" wrapText="1"/>
    </xf>
    <xf numFmtId="0" fontId="62" fillId="54" borderId="40" xfId="0" applyFont="1" applyFill="1" applyBorder="1" applyAlignment="1">
      <alignment vertical="top" wrapText="1"/>
    </xf>
    <xf numFmtId="0" fontId="62" fillId="54" borderId="11" xfId="0" applyFont="1" applyFill="1" applyAlignment="1">
      <alignment vertical="top" wrapText="1"/>
    </xf>
    <xf numFmtId="0" fontId="62" fillId="54" borderId="55" xfId="0" applyFont="1" applyFill="1" applyBorder="1" applyAlignment="1">
      <alignment vertical="top" wrapText="1"/>
    </xf>
    <xf numFmtId="0" fontId="0" fillId="0" borderId="55" xfId="0" applyBorder="1" applyAlignment="1">
      <alignment wrapText="1"/>
    </xf>
    <xf numFmtId="0" fontId="25" fillId="38" borderId="13" xfId="0" applyFont="1" applyFill="1" applyBorder="1" applyAlignment="1">
      <alignment horizontal="center" vertical="top" wrapText="1"/>
    </xf>
    <xf numFmtId="0" fontId="94" fillId="0" borderId="11" xfId="0" applyFont="1"/>
    <xf numFmtId="0" fontId="0" fillId="0" borderId="11" xfId="0"/>
    <xf numFmtId="0" fontId="60" fillId="38" borderId="13" xfId="0" applyFont="1" applyFill="1" applyBorder="1" applyAlignment="1">
      <alignment horizontal="center" vertical="top" wrapText="1"/>
    </xf>
    <xf numFmtId="0" fontId="79" fillId="51" borderId="122" xfId="0" applyFont="1" applyFill="1" applyBorder="1" applyAlignment="1">
      <alignment horizontal="center" vertical="center" wrapText="1"/>
    </xf>
    <xf numFmtId="0" fontId="79" fillId="51" borderId="124" xfId="0" applyFont="1" applyFill="1" applyBorder="1" applyAlignment="1">
      <alignment horizontal="center" vertical="center" wrapText="1"/>
    </xf>
    <xf numFmtId="0" fontId="82" fillId="54" borderId="125" xfId="0" applyFont="1" applyFill="1" applyBorder="1" applyAlignment="1">
      <alignment horizontal="center" vertical="center" wrapText="1"/>
    </xf>
    <xf numFmtId="0" fontId="62" fillId="54" borderId="124" xfId="0" applyFont="1" applyFill="1" applyBorder="1" applyAlignment="1">
      <alignment horizontal="center" vertical="center" wrapText="1"/>
    </xf>
    <xf numFmtId="0" fontId="81" fillId="53" borderId="126" xfId="0" applyFont="1" applyFill="1" applyBorder="1" applyAlignment="1">
      <alignment horizontal="center" vertical="center" wrapText="1"/>
    </xf>
    <xf numFmtId="0" fontId="62" fillId="53" borderId="124" xfId="0" applyFont="1" applyFill="1" applyBorder="1" applyAlignment="1">
      <alignment horizontal="center" vertical="center" wrapText="1"/>
    </xf>
    <xf numFmtId="0" fontId="84" fillId="56" borderId="127" xfId="0" applyFont="1" applyFill="1" applyBorder="1" applyAlignment="1">
      <alignment horizontal="center" vertical="center" wrapText="1"/>
    </xf>
    <xf numFmtId="0" fontId="62" fillId="56" borderId="124" xfId="0" applyFont="1" applyFill="1" applyBorder="1" applyAlignment="1">
      <alignment horizontal="center" vertical="center" wrapText="1"/>
    </xf>
    <xf numFmtId="0" fontId="96" fillId="64" borderId="115" xfId="0" applyFont="1" applyFill="1" applyBorder="1" applyAlignment="1">
      <alignment horizontal="center" vertical="center" wrapText="1"/>
    </xf>
    <xf numFmtId="0" fontId="96" fillId="64" borderId="116" xfId="0" applyFont="1" applyFill="1" applyBorder="1" applyAlignment="1">
      <alignment horizontal="center" vertical="center" wrapText="1"/>
    </xf>
    <xf numFmtId="0" fontId="5" fillId="72" borderId="122" xfId="0" applyFont="1" applyFill="1" applyBorder="1" applyAlignment="1">
      <alignment horizontal="center" vertical="center" wrapText="1"/>
    </xf>
    <xf numFmtId="0" fontId="5" fillId="72" borderId="124" xfId="0" applyFont="1" applyFill="1" applyBorder="1" applyAlignment="1">
      <alignment horizontal="center" vertical="center" wrapText="1"/>
    </xf>
    <xf numFmtId="0" fontId="80" fillId="52" borderId="123" xfId="0" applyFont="1" applyFill="1" applyBorder="1" applyAlignment="1">
      <alignment horizontal="center" vertical="center" wrapText="1"/>
    </xf>
    <xf numFmtId="0" fontId="62" fillId="52" borderId="124" xfId="0" applyFont="1" applyFill="1" applyBorder="1" applyAlignment="1">
      <alignment horizontal="center" vertical="center" wrapText="1"/>
    </xf>
    <xf numFmtId="0" fontId="77" fillId="38" borderId="11" xfId="0" applyFont="1" applyFill="1" applyAlignment="1">
      <alignment horizontal="center" vertical="center" wrapText="1"/>
    </xf>
    <xf numFmtId="0" fontId="65" fillId="44" borderId="117" xfId="0" applyFont="1" applyFill="1" applyBorder="1" applyAlignment="1">
      <alignment horizontal="center" vertical="center" wrapText="1"/>
    </xf>
    <xf numFmtId="0" fontId="65" fillId="44" borderId="118" xfId="0" applyFont="1" applyFill="1" applyBorder="1" applyAlignment="1">
      <alignment horizontal="center" vertical="center" wrapText="1"/>
    </xf>
    <xf numFmtId="0" fontId="65" fillId="44" borderId="119" xfId="0" applyFont="1" applyFill="1" applyBorder="1" applyAlignment="1">
      <alignment horizontal="center" vertical="center" wrapText="1"/>
    </xf>
    <xf numFmtId="0" fontId="65" fillId="44" borderId="120" xfId="0" applyFont="1" applyFill="1" applyBorder="1" applyAlignment="1">
      <alignment horizontal="center" vertical="center" wrapText="1"/>
    </xf>
    <xf numFmtId="0" fontId="65" fillId="44" borderId="121" xfId="0" applyFont="1" applyFill="1" applyBorder="1" applyAlignment="1">
      <alignment horizontal="center" vertical="center" wrapText="1"/>
    </xf>
    <xf numFmtId="0" fontId="77" fillId="50" borderId="89" xfId="0" applyFont="1" applyFill="1" applyBorder="1" applyAlignment="1">
      <alignment horizontal="center" vertical="center" wrapText="1"/>
    </xf>
    <xf numFmtId="0" fontId="77" fillId="50" borderId="31" xfId="0" applyFont="1" applyFill="1" applyBorder="1" applyAlignment="1">
      <alignment horizontal="center" vertical="center" wrapText="1"/>
    </xf>
    <xf numFmtId="0" fontId="77" fillId="50" borderId="32" xfId="0" applyFont="1" applyFill="1" applyBorder="1" applyAlignment="1">
      <alignment horizontal="center" vertical="center" wrapText="1"/>
    </xf>
    <xf numFmtId="0" fontId="77" fillId="50" borderId="90" xfId="0" applyFont="1" applyFill="1" applyBorder="1" applyAlignment="1">
      <alignment horizontal="center" vertical="center" wrapText="1"/>
    </xf>
    <xf numFmtId="0" fontId="77" fillId="50" borderId="91" xfId="0" applyFont="1" applyFill="1" applyBorder="1" applyAlignment="1">
      <alignment horizontal="center" vertical="center" wrapText="1"/>
    </xf>
    <xf numFmtId="0" fontId="77" fillId="50" borderId="92" xfId="0" applyFont="1" applyFill="1" applyBorder="1" applyAlignment="1">
      <alignment horizontal="center" vertical="center" wrapText="1"/>
    </xf>
    <xf numFmtId="0" fontId="77" fillId="83" borderId="75" xfId="0" applyFont="1" applyFill="1" applyBorder="1" applyAlignment="1">
      <alignment horizontal="center" vertical="center" wrapText="1"/>
    </xf>
    <xf numFmtId="0" fontId="77" fillId="83" borderId="23" xfId="0" applyFont="1" applyFill="1" applyBorder="1" applyAlignment="1">
      <alignment horizontal="center" vertical="center" wrapText="1"/>
    </xf>
    <xf numFmtId="0" fontId="77" fillId="83" borderId="24" xfId="0" applyFont="1" applyFill="1" applyBorder="1" applyAlignment="1">
      <alignment horizontal="center" vertical="center" wrapText="1"/>
    </xf>
    <xf numFmtId="0" fontId="85" fillId="57" borderId="11" xfId="0" applyFont="1" applyFill="1" applyAlignment="1">
      <alignment horizontal="center" vertical="center" wrapText="1"/>
    </xf>
    <xf numFmtId="0" fontId="30" fillId="73" borderId="13" xfId="0" applyFont="1" applyFill="1" applyBorder="1" applyAlignment="1">
      <alignment horizontal="left" vertical="center"/>
    </xf>
    <xf numFmtId="0" fontId="0" fillId="73" borderId="23" xfId="0" applyFill="1" applyBorder="1"/>
    <xf numFmtId="0" fontId="0" fillId="73" borderId="24" xfId="0" applyFill="1" applyBorder="1"/>
    <xf numFmtId="0" fontId="131" fillId="49" borderId="75" xfId="1" applyFont="1" applyFill="1" applyBorder="1" applyAlignment="1">
      <alignment horizontal="center" vertical="center" wrapText="1"/>
    </xf>
    <xf numFmtId="0" fontId="131" fillId="49" borderId="23" xfId="1" applyFont="1" applyFill="1" applyBorder="1" applyAlignment="1">
      <alignment horizontal="center" vertical="center" wrapText="1"/>
    </xf>
    <xf numFmtId="0" fontId="131" fillId="49" borderId="24" xfId="1" applyFont="1" applyFill="1" applyBorder="1" applyAlignment="1">
      <alignment horizontal="center" vertical="center" wrapText="1"/>
    </xf>
    <xf numFmtId="0" fontId="153" fillId="70" borderId="11" xfId="0" applyFont="1" applyFill="1" applyAlignment="1">
      <alignment horizontal="center" vertical="center" wrapText="1"/>
    </xf>
    <xf numFmtId="0" fontId="150" fillId="97" borderId="11" xfId="0" applyFont="1" applyFill="1" applyAlignment="1">
      <alignment horizontal="center" vertical="center" wrapText="1"/>
    </xf>
    <xf numFmtId="9" fontId="104" fillId="9" borderId="11" xfId="0" applyNumberFormat="1" applyFont="1" applyFill="1" applyAlignment="1">
      <alignment horizontal="center" vertical="center"/>
    </xf>
    <xf numFmtId="0" fontId="154" fillId="9" borderId="11" xfId="0" applyFont="1" applyFill="1" applyAlignment="1">
      <alignment horizontal="center" vertical="center" wrapText="1"/>
    </xf>
    <xf numFmtId="9" fontId="156" fillId="9" borderId="11" xfId="0" applyNumberFormat="1" applyFont="1" applyFill="1" applyAlignment="1">
      <alignment horizontal="center" vertical="center"/>
    </xf>
    <xf numFmtId="9" fontId="157" fillId="9" borderId="11" xfId="0" applyNumberFormat="1" applyFont="1" applyFill="1" applyAlignment="1">
      <alignment horizontal="center" vertical="center" wrapText="1"/>
    </xf>
    <xf numFmtId="1" fontId="151" fillId="70" borderId="11" xfId="0" applyNumberFormat="1" applyFont="1" applyFill="1" applyAlignment="1">
      <alignment horizontal="center" vertical="center" wrapText="1"/>
    </xf>
    <xf numFmtId="0" fontId="110" fillId="75" borderId="11" xfId="0" applyFont="1" applyFill="1" applyAlignment="1">
      <alignment horizontal="center" vertical="center"/>
    </xf>
    <xf numFmtId="0" fontId="154" fillId="9" borderId="132" xfId="0" applyFont="1" applyFill="1" applyBorder="1" applyAlignment="1">
      <alignment horizontal="center" vertical="center"/>
    </xf>
    <xf numFmtId="0" fontId="154" fillId="9" borderId="133" xfId="0" applyFont="1" applyFill="1" applyBorder="1" applyAlignment="1">
      <alignment horizontal="center" vertical="center"/>
    </xf>
    <xf numFmtId="0" fontId="154" fillId="9" borderId="134" xfId="0" applyFont="1" applyFill="1" applyBorder="1" applyAlignment="1">
      <alignment horizontal="center" vertical="center"/>
    </xf>
    <xf numFmtId="0" fontId="154" fillId="9" borderId="135" xfId="0" applyFont="1" applyFill="1" applyBorder="1" applyAlignment="1">
      <alignment horizontal="center" vertical="center"/>
    </xf>
    <xf numFmtId="0" fontId="154" fillId="9" borderId="11" xfId="0" applyFont="1" applyFill="1" applyAlignment="1">
      <alignment horizontal="center" vertical="center"/>
    </xf>
    <xf numFmtId="0" fontId="154" fillId="9" borderId="136" xfId="0" applyFont="1" applyFill="1" applyBorder="1" applyAlignment="1">
      <alignment horizontal="center" vertical="center"/>
    </xf>
    <xf numFmtId="0" fontId="154" fillId="9" borderId="137" xfId="0" applyFont="1" applyFill="1" applyBorder="1" applyAlignment="1">
      <alignment horizontal="center" vertical="center"/>
    </xf>
    <xf numFmtId="0" fontId="154" fillId="9" borderId="131" xfId="0" applyFont="1" applyFill="1" applyBorder="1" applyAlignment="1">
      <alignment horizontal="center" vertical="center"/>
    </xf>
    <xf numFmtId="0" fontId="154" fillId="9" borderId="138" xfId="0" applyFont="1" applyFill="1" applyBorder="1" applyAlignment="1">
      <alignment horizontal="center" vertical="center"/>
    </xf>
    <xf numFmtId="0" fontId="76" fillId="0" borderId="11" xfId="0" applyFont="1" applyAlignment="1">
      <alignment horizontal="left" vertical="center" wrapText="1"/>
    </xf>
    <xf numFmtId="0" fontId="76" fillId="0" borderId="104" xfId="0" applyFont="1" applyBorder="1" applyAlignment="1">
      <alignment horizontal="left" vertical="center" wrapText="1"/>
    </xf>
    <xf numFmtId="0" fontId="76" fillId="0" borderId="106" xfId="0" applyFont="1" applyBorder="1" applyAlignment="1">
      <alignment horizontal="left" vertical="center" wrapText="1"/>
    </xf>
    <xf numFmtId="0" fontId="127" fillId="85" borderId="106" xfId="0" applyFont="1" applyFill="1" applyBorder="1" applyAlignment="1">
      <alignment horizontal="center" vertical="center" wrapText="1"/>
    </xf>
    <xf numFmtId="0" fontId="76" fillId="0" borderId="4" xfId="0" applyFont="1" applyBorder="1" applyAlignment="1">
      <alignment horizontal="left" vertical="center" wrapText="1"/>
    </xf>
    <xf numFmtId="0" fontId="113" fillId="9" borderId="11" xfId="0" applyFont="1" applyFill="1" applyAlignment="1">
      <alignment horizontal="left" vertical="center"/>
    </xf>
    <xf numFmtId="0" fontId="130" fillId="9" borderId="11" xfId="0" applyFont="1" applyFill="1" applyAlignment="1">
      <alignment horizontal="left" vertical="center"/>
    </xf>
    <xf numFmtId="0" fontId="92" fillId="0" borderId="11" xfId="0" applyFont="1"/>
    <xf numFmtId="0" fontId="55" fillId="0" borderId="11" xfId="1"/>
    <xf numFmtId="0" fontId="115" fillId="9" borderId="11" xfId="0" applyFont="1" applyFill="1" applyAlignment="1">
      <alignment horizontal="left" vertical="center"/>
    </xf>
    <xf numFmtId="0" fontId="116" fillId="9" borderId="11" xfId="0" applyFont="1" applyFill="1" applyAlignment="1">
      <alignment horizontal="center" vertical="center"/>
    </xf>
    <xf numFmtId="0" fontId="114" fillId="9" borderId="11" xfId="0" applyFont="1" applyFill="1" applyAlignment="1">
      <alignment horizontal="right" vertical="center"/>
    </xf>
    <xf numFmtId="0" fontId="101" fillId="9" borderId="11" xfId="0" applyFont="1" applyFill="1" applyAlignment="1">
      <alignment horizontal="left" vertical="top" wrapText="1"/>
    </xf>
    <xf numFmtId="0" fontId="155" fillId="75" borderId="11" xfId="0" applyFont="1" applyFill="1" applyAlignment="1">
      <alignment horizontal="center" vertical="center"/>
    </xf>
    <xf numFmtId="0" fontId="151" fillId="70" borderId="11" xfId="0" applyFont="1" applyFill="1" applyAlignment="1">
      <alignment horizontal="center" vertical="center" wrapText="1"/>
    </xf>
    <xf numFmtId="0" fontId="103" fillId="75" borderId="11" xfId="0" applyFont="1" applyFill="1" applyAlignment="1">
      <alignment horizontal="center" vertical="center"/>
    </xf>
    <xf numFmtId="0" fontId="97" fillId="9" borderId="11" xfId="0" applyFont="1" applyFill="1" applyAlignment="1">
      <alignment horizontal="center" vertical="center" wrapText="1"/>
    </xf>
    <xf numFmtId="0" fontId="0" fillId="9" borderId="11" xfId="0" applyFill="1"/>
    <xf numFmtId="0" fontId="98" fillId="9" borderId="11" xfId="0" applyFont="1" applyFill="1" applyAlignment="1">
      <alignment horizontal="center" vertical="center"/>
    </xf>
    <xf numFmtId="167" fontId="99" fillId="9" borderId="11" xfId="0" applyNumberFormat="1" applyFont="1" applyFill="1" applyAlignment="1">
      <alignment horizontal="right" vertical="center"/>
    </xf>
    <xf numFmtId="0" fontId="100" fillId="9" borderId="11" xfId="0" applyFont="1" applyFill="1" applyAlignment="1">
      <alignment horizontal="center" vertical="center"/>
    </xf>
    <xf numFmtId="0" fontId="101" fillId="9" borderId="11" xfId="0" applyFont="1" applyFill="1" applyAlignment="1">
      <alignment horizontal="right" vertical="center"/>
    </xf>
    <xf numFmtId="0" fontId="102" fillId="9" borderId="11" xfId="0" applyFont="1" applyFill="1" applyAlignment="1">
      <alignment horizontal="center" vertical="center"/>
    </xf>
    <xf numFmtId="0" fontId="109" fillId="9" borderId="11" xfId="0" applyFont="1" applyFill="1" applyAlignment="1">
      <alignment horizontal="center" vertical="center"/>
    </xf>
    <xf numFmtId="1" fontId="105" fillId="9" borderId="11" xfId="0" applyNumberFormat="1" applyFont="1" applyFill="1" applyAlignment="1">
      <alignment horizontal="center" vertical="center"/>
    </xf>
    <xf numFmtId="1" fontId="104" fillId="9" borderId="11" xfId="0" applyNumberFormat="1" applyFont="1" applyFill="1" applyAlignment="1">
      <alignment horizontal="center" vertical="center"/>
    </xf>
    <xf numFmtId="1" fontId="106" fillId="9" borderId="11" xfId="0" applyNumberFormat="1" applyFont="1" applyFill="1" applyAlignment="1">
      <alignment horizontal="center" vertical="center"/>
    </xf>
    <xf numFmtId="1" fontId="107" fillId="9" borderId="11" xfId="0" applyNumberFormat="1" applyFont="1" applyFill="1" applyAlignment="1">
      <alignment horizontal="center" vertical="center"/>
    </xf>
    <xf numFmtId="1" fontId="108" fillId="9" borderId="11" xfId="0" applyNumberFormat="1" applyFont="1" applyFill="1" applyAlignment="1">
      <alignment horizontal="center" vertical="center"/>
    </xf>
    <xf numFmtId="0" fontId="122" fillId="78" borderId="11" xfId="0" applyFont="1" applyFill="1" applyAlignment="1">
      <alignment horizontal="center" vertical="center" wrapText="1"/>
    </xf>
    <xf numFmtId="0" fontId="118" fillId="9" borderId="11" xfId="0" applyFont="1" applyFill="1" applyAlignment="1">
      <alignment horizontal="right" vertical="center"/>
    </xf>
    <xf numFmtId="0" fontId="119" fillId="9" borderId="11" xfId="0" applyFont="1" applyFill="1" applyAlignment="1">
      <alignment horizontal="right" vertical="center"/>
    </xf>
    <xf numFmtId="0" fontId="111" fillId="76" borderId="11" xfId="0" applyFont="1" applyFill="1" applyAlignment="1">
      <alignment horizontal="center" vertical="center" wrapText="1"/>
    </xf>
    <xf numFmtId="0" fontId="120" fillId="77" borderId="11" xfId="0" applyFont="1" applyFill="1" applyAlignment="1">
      <alignment horizontal="center" vertical="center" wrapText="1"/>
    </xf>
    <xf numFmtId="0" fontId="121" fillId="9" borderId="11" xfId="0" applyFont="1" applyFill="1" applyAlignment="1">
      <alignment horizontal="right" vertical="center"/>
    </xf>
    <xf numFmtId="9" fontId="152" fillId="70" borderId="11" xfId="0" applyNumberFormat="1" applyFont="1" applyFill="1" applyAlignment="1">
      <alignment horizontal="center" vertical="center"/>
    </xf>
    <xf numFmtId="0" fontId="124" fillId="0" borderId="11" xfId="0" applyFont="1" applyAlignment="1">
      <alignment horizontal="left" vertical="top" wrapText="1"/>
    </xf>
    <xf numFmtId="0" fontId="122" fillId="66" borderId="11" xfId="0" applyFont="1" applyFill="1" applyAlignment="1">
      <alignment horizontal="center" vertical="center" wrapText="1"/>
    </xf>
    <xf numFmtId="0" fontId="0" fillId="66" borderId="11" xfId="0" applyFill="1"/>
    <xf numFmtId="0" fontId="122" fillId="83" borderId="11" xfId="0" applyFont="1" applyFill="1" applyAlignment="1">
      <alignment horizontal="center" vertical="center" wrapText="1"/>
    </xf>
    <xf numFmtId="0" fontId="0" fillId="83" borderId="11" xfId="0" applyFill="1"/>
    <xf numFmtId="0" fontId="123" fillId="66" borderId="11" xfId="0" applyFont="1" applyFill="1" applyAlignment="1">
      <alignment horizontal="center" vertical="center" wrapText="1"/>
    </xf>
    <xf numFmtId="0" fontId="76" fillId="66" borderId="11" xfId="0" applyFont="1" applyFill="1"/>
    <xf numFmtId="0" fontId="129" fillId="40" borderId="106" xfId="0" applyFont="1" applyFill="1" applyBorder="1" applyAlignment="1">
      <alignment horizontal="center" vertical="top" wrapText="1"/>
    </xf>
    <xf numFmtId="0" fontId="129" fillId="40" borderId="4" xfId="0" applyFont="1" applyFill="1" applyBorder="1" applyAlignment="1">
      <alignment horizontal="center" vertical="top" wrapText="1"/>
    </xf>
    <xf numFmtId="0" fontId="129" fillId="40" borderId="103" xfId="0" applyFont="1" applyFill="1" applyBorder="1" applyAlignment="1">
      <alignment horizontal="center" vertical="top" wrapText="1"/>
    </xf>
    <xf numFmtId="0" fontId="129" fillId="40" borderId="11" xfId="0" applyFont="1" applyFill="1" applyAlignment="1">
      <alignment horizontal="center" vertical="top" wrapText="1"/>
    </xf>
    <xf numFmtId="0" fontId="123" fillId="83" borderId="11" xfId="0" applyFont="1" applyFill="1" applyAlignment="1">
      <alignment horizontal="center" vertical="center" wrapText="1"/>
    </xf>
    <xf numFmtId="0" fontId="76" fillId="83" borderId="11" xfId="0" applyFont="1" applyFill="1"/>
    <xf numFmtId="0" fontId="125" fillId="84" borderId="11" xfId="0" applyFont="1" applyFill="1" applyAlignment="1">
      <alignment horizontal="center" vertical="center" wrapText="1"/>
    </xf>
    <xf numFmtId="0" fontId="125" fillId="84" borderId="106" xfId="0" applyFont="1" applyFill="1" applyBorder="1" applyAlignment="1">
      <alignment horizontal="center" vertical="center" wrapText="1"/>
    </xf>
    <xf numFmtId="0" fontId="125" fillId="84" borderId="11" xfId="0" applyFont="1" applyFill="1" applyAlignment="1">
      <alignment horizontal="right" vertical="center" wrapText="1"/>
    </xf>
    <xf numFmtId="0" fontId="125" fillId="84" borderId="106" xfId="0" applyFont="1" applyFill="1" applyBorder="1" applyAlignment="1">
      <alignment horizontal="right" vertical="center" wrapText="1"/>
    </xf>
    <xf numFmtId="0" fontId="129" fillId="40" borderId="103" xfId="0" applyFont="1" applyFill="1" applyBorder="1" applyAlignment="1">
      <alignment vertical="top" wrapText="1"/>
    </xf>
    <xf numFmtId="0" fontId="129" fillId="40" borderId="11" xfId="0" applyFont="1" applyFill="1" applyAlignment="1">
      <alignment vertical="top" wrapText="1"/>
    </xf>
    <xf numFmtId="0" fontId="129" fillId="40" borderId="104" xfId="0" applyFont="1" applyFill="1" applyBorder="1" applyAlignment="1">
      <alignment vertical="top" wrapText="1"/>
    </xf>
    <xf numFmtId="0" fontId="125" fillId="84" borderId="11" xfId="0" applyFont="1" applyFill="1" applyAlignment="1">
      <alignment horizontal="center" wrapText="1"/>
    </xf>
    <xf numFmtId="0" fontId="126" fillId="85" borderId="11" xfId="0" applyFont="1" applyFill="1" applyAlignment="1">
      <alignment horizontal="center" wrapText="1"/>
    </xf>
    <xf numFmtId="0" fontId="129" fillId="40" borderId="11" xfId="0" applyFont="1" applyFill="1" applyAlignment="1">
      <alignment horizontal="left" vertical="top" wrapText="1"/>
    </xf>
    <xf numFmtId="0" fontId="68" fillId="87" borderId="11" xfId="0" applyFont="1" applyFill="1" applyAlignment="1">
      <alignment horizontal="center" vertical="center"/>
    </xf>
    <xf numFmtId="0" fontId="133" fillId="88" borderId="11" xfId="0" applyFont="1" applyFill="1" applyAlignment="1">
      <alignment wrapText="1"/>
    </xf>
    <xf numFmtId="0" fontId="0" fillId="0" borderId="14" xfId="0" applyBorder="1" applyAlignment="1">
      <alignment vertical="top" wrapText="1"/>
    </xf>
    <xf numFmtId="0" fontId="0" fillId="0" borderId="48" xfId="0" applyBorder="1"/>
    <xf numFmtId="0" fontId="0" fillId="0" borderId="49" xfId="0" applyBorder="1"/>
    <xf numFmtId="0" fontId="52" fillId="20" borderId="14" xfId="0" applyFont="1" applyFill="1" applyBorder="1" applyAlignment="1">
      <alignment vertical="top" wrapText="1"/>
    </xf>
    <xf numFmtId="0" fontId="143" fillId="91" borderId="11" xfId="0" applyFont="1" applyFill="1"/>
    <xf numFmtId="0" fontId="42" fillId="28" borderId="11" xfId="0" applyFont="1" applyFill="1" applyAlignment="1">
      <alignment horizontal="center" vertical="center"/>
    </xf>
    <xf numFmtId="0" fontId="2" fillId="0" borderId="0" xfId="0" applyFont="1" applyBorder="1" applyAlignment="1">
      <alignment vertical="center"/>
    </xf>
    <xf numFmtId="0" fontId="45" fillId="29" borderId="11" xfId="0" applyFont="1" applyFill="1" applyAlignment="1">
      <alignment horizontal="center" vertical="top" wrapText="1"/>
    </xf>
    <xf numFmtId="0" fontId="16" fillId="0" borderId="0" xfId="0" applyFont="1" applyBorder="1" applyAlignment="1">
      <alignment horizontal="center"/>
    </xf>
    <xf numFmtId="0" fontId="44" fillId="29" borderId="11" xfId="0" applyFont="1" applyFill="1" applyAlignment="1">
      <alignment horizontal="center" vertical="center" wrapText="1"/>
    </xf>
    <xf numFmtId="0" fontId="2" fillId="0" borderId="0" xfId="0" applyFont="1" applyBorder="1"/>
    <xf numFmtId="0" fontId="45" fillId="14" borderId="11" xfId="0" applyFont="1" applyFill="1" applyAlignment="1">
      <alignment horizontal="center" vertical="center" wrapText="1"/>
    </xf>
    <xf numFmtId="0" fontId="10" fillId="7" borderId="11" xfId="0" applyFont="1" applyFill="1" applyAlignment="1">
      <alignment horizontal="center" wrapText="1"/>
    </xf>
    <xf numFmtId="0" fontId="10" fillId="7" borderId="11" xfId="0" applyFont="1" applyFill="1" applyAlignment="1">
      <alignment horizontal="center" vertical="center" wrapText="1"/>
    </xf>
    <xf numFmtId="0" fontId="38" fillId="25" borderId="11" xfId="0" applyFont="1" applyFill="1" applyAlignment="1">
      <alignment horizontal="center" vertical="center" wrapText="1"/>
    </xf>
    <xf numFmtId="9" fontId="43" fillId="9" borderId="11" xfId="0" applyNumberFormat="1" applyFont="1" applyFill="1" applyAlignment="1">
      <alignment horizontal="center" vertical="center"/>
    </xf>
    <xf numFmtId="0" fontId="43" fillId="9" borderId="11" xfId="0" applyFont="1" applyFill="1" applyAlignment="1">
      <alignment horizontal="center" vertical="center"/>
    </xf>
    <xf numFmtId="0" fontId="40" fillId="7" borderId="11" xfId="0" applyFont="1" applyFill="1" applyAlignment="1">
      <alignment horizontal="center" vertical="center" wrapText="1"/>
    </xf>
    <xf numFmtId="0" fontId="9" fillId="26" borderId="11" xfId="0" applyFont="1" applyFill="1" applyAlignment="1">
      <alignment horizontal="center" vertical="center" wrapText="1"/>
    </xf>
    <xf numFmtId="1" fontId="43" fillId="9" borderId="11" xfId="0" applyNumberFormat="1" applyFont="1" applyFill="1" applyAlignment="1">
      <alignment horizontal="center" vertical="center"/>
    </xf>
    <xf numFmtId="1" fontId="43" fillId="9" borderId="11" xfId="0" applyNumberFormat="1" applyFont="1" applyFill="1" applyAlignment="1">
      <alignment horizontal="center" vertical="center" wrapText="1"/>
    </xf>
    <xf numFmtId="0" fontId="42" fillId="28" borderId="11" xfId="0" applyFont="1" applyFill="1" applyAlignment="1">
      <alignment horizontal="center" vertical="center" wrapText="1"/>
    </xf>
    <xf numFmtId="0" fontId="15" fillId="7" borderId="11" xfId="0" applyFont="1" applyFill="1" applyAlignment="1">
      <alignment horizontal="center" vertical="center" wrapText="1"/>
    </xf>
    <xf numFmtId="0" fontId="12" fillId="9" borderId="11" xfId="0" applyFont="1" applyFill="1" applyAlignment="1">
      <alignment horizontal="center" vertical="top" wrapText="1"/>
    </xf>
    <xf numFmtId="0" fontId="2" fillId="0" borderId="11" xfId="0" applyFont="1"/>
    <xf numFmtId="0" fontId="46" fillId="9" borderId="11" xfId="0" applyFont="1" applyFill="1" applyAlignment="1">
      <alignment horizontal="center" vertical="center" wrapText="1"/>
    </xf>
    <xf numFmtId="0" fontId="10" fillId="7" borderId="100" xfId="0" applyFont="1" applyFill="1" applyBorder="1" applyAlignment="1">
      <alignment horizontal="center" vertical="center" wrapText="1"/>
    </xf>
    <xf numFmtId="0" fontId="2" fillId="0" borderId="101" xfId="0" applyFont="1" applyBorder="1"/>
    <xf numFmtId="0" fontId="10" fillId="7" borderId="101" xfId="0" applyFont="1" applyFill="1" applyBorder="1" applyAlignment="1">
      <alignment horizontal="center" vertical="center" wrapText="1"/>
    </xf>
    <xf numFmtId="0" fontId="10" fillId="7" borderId="102" xfId="0" applyFont="1" applyFill="1" applyBorder="1" applyAlignment="1">
      <alignment horizontal="center" vertical="center" wrapText="1"/>
    </xf>
    <xf numFmtId="0" fontId="16" fillId="23" borderId="11" xfId="0" applyFont="1" applyFill="1" applyAlignment="1">
      <alignment horizontal="center" vertical="center" wrapText="1"/>
    </xf>
    <xf numFmtId="0" fontId="16" fillId="23" borderId="104" xfId="0" applyFont="1" applyFill="1" applyBorder="1" applyAlignment="1">
      <alignment horizontal="center" vertical="center" wrapText="1"/>
    </xf>
    <xf numFmtId="0" fontId="76" fillId="92" borderId="11" xfId="0" applyFont="1" applyFill="1" applyAlignment="1">
      <alignment horizontal="center" vertical="top" wrapText="1"/>
    </xf>
    <xf numFmtId="0" fontId="76" fillId="92" borderId="104" xfId="0" applyFont="1" applyFill="1" applyBorder="1" applyAlignment="1">
      <alignment horizontal="center" vertical="top" wrapText="1"/>
    </xf>
    <xf numFmtId="0" fontId="76" fillId="0" borderId="11" xfId="0" applyFont="1" applyAlignment="1">
      <alignment horizontal="center"/>
    </xf>
    <xf numFmtId="0" fontId="76" fillId="0" borderId="104" xfId="0" applyFont="1" applyBorder="1" applyAlignment="1">
      <alignment horizontal="center"/>
    </xf>
    <xf numFmtId="0" fontId="16" fillId="93" borderId="103" xfId="0" applyFont="1" applyFill="1" applyBorder="1"/>
    <xf numFmtId="0" fontId="16" fillId="93" borderId="11" xfId="0" applyFont="1" applyFill="1" applyAlignment="1">
      <alignment horizontal="center" vertical="center" wrapText="1"/>
    </xf>
    <xf numFmtId="0" fontId="16" fillId="93" borderId="104" xfId="0" applyFont="1" applyFill="1" applyBorder="1" applyAlignment="1">
      <alignment horizontal="center" vertical="center" wrapText="1"/>
    </xf>
    <xf numFmtId="0" fontId="10" fillId="7" borderId="104" xfId="0" applyFont="1" applyFill="1" applyBorder="1" applyAlignment="1">
      <alignment horizontal="center" vertical="center" wrapText="1"/>
    </xf>
    <xf numFmtId="0" fontId="0" fillId="0" borderId="11" xfId="0" applyAlignment="1">
      <alignment horizontal="center" vertical="top" wrapText="1"/>
    </xf>
    <xf numFmtId="0" fontId="0" fillId="0" borderId="104" xfId="0" applyBorder="1" applyAlignment="1">
      <alignment horizontal="center" vertical="top" wrapText="1"/>
    </xf>
    <xf numFmtId="9" fontId="145" fillId="93" borderId="11" xfId="0" applyNumberFormat="1" applyFont="1" applyFill="1" applyAlignment="1">
      <alignment horizontal="center" vertical="center"/>
    </xf>
    <xf numFmtId="9" fontId="0" fillId="0" borderId="11" xfId="0" applyNumberFormat="1"/>
    <xf numFmtId="0" fontId="0" fillId="92" borderId="11" xfId="0" applyFill="1" applyAlignment="1">
      <alignment horizontal="center" vertical="top" wrapText="1"/>
    </xf>
    <xf numFmtId="0" fontId="0" fillId="90" borderId="11" xfId="0" applyFill="1" applyAlignment="1">
      <alignment horizontal="center"/>
    </xf>
    <xf numFmtId="0" fontId="0" fillId="90" borderId="104" xfId="0" applyFill="1" applyBorder="1" applyAlignment="1">
      <alignment horizontal="center"/>
    </xf>
    <xf numFmtId="0" fontId="10" fillId="7" borderId="103" xfId="0" applyFont="1" applyFill="1" applyBorder="1" applyAlignment="1">
      <alignment horizontal="center" vertical="center" wrapText="1"/>
    </xf>
    <xf numFmtId="0" fontId="0" fillId="0" borderId="11" xfId="0" applyAlignment="1">
      <alignment horizontal="center" vertical="center" wrapText="1"/>
    </xf>
    <xf numFmtId="0" fontId="0" fillId="0" borderId="104" xfId="0" applyBorder="1" applyAlignment="1">
      <alignment horizontal="center" vertical="center" wrapText="1"/>
    </xf>
    <xf numFmtId="0" fontId="16" fillId="93" borderId="11" xfId="0" applyFont="1" applyFill="1" applyAlignment="1">
      <alignment horizontal="center" vertical="center"/>
    </xf>
    <xf numFmtId="0" fontId="16" fillId="93" borderId="11" xfId="0" applyFont="1" applyFill="1"/>
    <xf numFmtId="0" fontId="161" fillId="108" borderId="11" xfId="0" applyFont="1" applyFill="1" applyAlignment="1">
      <alignment horizontal="center" vertical="top" wrapText="1"/>
    </xf>
    <xf numFmtId="9" fontId="127" fillId="86" borderId="11" xfId="0" applyNumberFormat="1" applyFont="1" applyFill="1" applyAlignment="1">
      <alignment horizontal="left" vertical="top" wrapText="1"/>
    </xf>
    <xf numFmtId="9" fontId="161" fillId="108" borderId="11" xfId="0" applyNumberFormat="1" applyFont="1" applyFill="1" applyAlignment="1">
      <alignment horizontal="center" vertical="top" wrapText="1"/>
    </xf>
    <xf numFmtId="0" fontId="13" fillId="4" borderId="26" xfId="0" applyFont="1" applyFill="1" applyBorder="1" applyAlignment="1">
      <alignment horizontal="center" vertical="center" wrapText="1"/>
    </xf>
    <xf numFmtId="0" fontId="13" fillId="4" borderId="11" xfId="0" applyFont="1" applyFill="1" applyAlignment="1">
      <alignment horizontal="center" vertical="center" wrapText="1"/>
    </xf>
    <xf numFmtId="0" fontId="32" fillId="20" borderId="11" xfId="0" applyFont="1" applyFill="1" applyAlignment="1">
      <alignment horizontal="center" vertical="center" wrapText="1"/>
    </xf>
    <xf numFmtId="0" fontId="32" fillId="20" borderId="113" xfId="0" applyFont="1" applyFill="1" applyBorder="1" applyAlignment="1">
      <alignment horizontal="center" vertical="center" wrapText="1"/>
    </xf>
    <xf numFmtId="0" fontId="32" fillId="20" borderId="114" xfId="0" applyFont="1" applyFill="1" applyBorder="1" applyAlignment="1">
      <alignment horizontal="center" vertical="center" wrapText="1"/>
    </xf>
    <xf numFmtId="0" fontId="32" fillId="20" borderId="0" xfId="0" applyFont="1" applyFill="1" applyBorder="1" applyAlignment="1">
      <alignment horizontal="center" vertical="center" wrapText="1"/>
    </xf>
    <xf numFmtId="0" fontId="15" fillId="7" borderId="11" xfId="0" applyFont="1" applyFill="1" applyAlignment="1">
      <alignment horizontal="left" vertical="center" wrapText="1"/>
    </xf>
    <xf numFmtId="0" fontId="15" fillId="7" borderId="0" xfId="0" applyFont="1" applyFill="1" applyBorder="1" applyAlignment="1">
      <alignment horizontal="center" vertical="center" wrapText="1"/>
    </xf>
    <xf numFmtId="0" fontId="19" fillId="7" borderId="11" xfId="0" applyFont="1" applyFill="1" applyAlignment="1">
      <alignment horizontal="center" vertical="center" wrapText="1"/>
    </xf>
    <xf numFmtId="0" fontId="12" fillId="12" borderId="11" xfId="0" applyFont="1" applyFill="1" applyAlignment="1">
      <alignment horizontal="center" vertical="top" wrapText="1"/>
    </xf>
    <xf numFmtId="0" fontId="37" fillId="7" borderId="11" xfId="0" applyFont="1" applyFill="1" applyAlignment="1">
      <alignment horizontal="center" vertical="center" wrapText="1"/>
    </xf>
    <xf numFmtId="14" fontId="37" fillId="7" borderId="11" xfId="0" applyNumberFormat="1" applyFont="1" applyFill="1" applyAlignment="1">
      <alignment horizontal="center" vertical="center" wrapText="1"/>
    </xf>
    <xf numFmtId="0" fontId="52" fillId="2" borderId="15" xfId="0" applyFont="1" applyFill="1" applyBorder="1" applyAlignment="1">
      <alignment vertical="center" wrapText="1"/>
    </xf>
    <xf numFmtId="0" fontId="0" fillId="0" borderId="50" xfId="0" applyBorder="1"/>
    <xf numFmtId="0" fontId="0" fillId="0" borderId="51" xfId="0" applyBorder="1"/>
    <xf numFmtId="0" fontId="32" fillId="34" borderId="15" xfId="0" applyFont="1" applyFill="1" applyBorder="1" applyAlignment="1">
      <alignment vertical="center" wrapText="1"/>
    </xf>
    <xf numFmtId="0" fontId="73" fillId="45" borderId="11" xfId="0" applyFont="1" applyFill="1" applyAlignment="1">
      <alignment wrapText="1"/>
    </xf>
    <xf numFmtId="0" fontId="51" fillId="46" borderId="11" xfId="0" applyFont="1" applyFill="1" applyAlignment="1">
      <alignment horizontal="center"/>
    </xf>
    <xf numFmtId="0" fontId="72" fillId="44" borderId="11" xfId="0" applyFont="1" applyFill="1" applyAlignment="1">
      <alignment horizontal="center"/>
    </xf>
    <xf numFmtId="168" fontId="0" fillId="0" borderId="11" xfId="0" applyNumberFormat="1" applyAlignment="1">
      <alignment wrapText="1"/>
    </xf>
    <xf numFmtId="1" fontId="0" fillId="0" borderId="11" xfId="0" applyNumberFormat="1" applyAlignment="1">
      <alignment wrapText="1"/>
    </xf>
    <xf numFmtId="0" fontId="162" fillId="107" borderId="11" xfId="0" applyFont="1" applyFill="1" applyAlignment="1">
      <alignment horizontal="center" vertical="center" wrapText="1"/>
    </xf>
    <xf numFmtId="0" fontId="163" fillId="107" borderId="11" xfId="0" applyFont="1" applyFill="1" applyAlignment="1">
      <alignment horizontal="left" vertical="center"/>
    </xf>
    <xf numFmtId="0" fontId="164" fillId="108" borderId="11" xfId="0" applyFont="1" applyFill="1" applyAlignment="1">
      <alignment vertical="top" wrapText="1"/>
    </xf>
    <xf numFmtId="0" fontId="165" fillId="7" borderId="11" xfId="0" applyFont="1" applyFill="1" applyAlignment="1">
      <alignment horizontal="center" vertical="center" wrapText="1"/>
    </xf>
    <xf numFmtId="0" fontId="166" fillId="0" borderId="11" xfId="0" applyFont="1"/>
    <xf numFmtId="0" fontId="167" fillId="8" borderId="11" xfId="0" applyFont="1" applyFill="1" applyAlignment="1">
      <alignment horizontal="center" vertical="center"/>
    </xf>
    <xf numFmtId="0" fontId="168" fillId="10" borderId="11" xfId="0" applyFont="1" applyFill="1"/>
    <xf numFmtId="0" fontId="168" fillId="91" borderId="11" xfId="0" applyFont="1" applyFill="1"/>
    <xf numFmtId="0" fontId="169" fillId="9" borderId="11" xfId="0" applyFont="1" applyFill="1"/>
    <xf numFmtId="0" fontId="170" fillId="23" borderId="111" xfId="0" applyFont="1" applyFill="1" applyBorder="1" applyAlignment="1">
      <alignment wrapText="1"/>
    </xf>
  </cellXfs>
  <cellStyles count="6">
    <cellStyle name="Hyperlink" xfId="1" xr:uid="{00000000-0005-0000-0000-000000000000}"/>
    <cellStyle name="Hyperlink 1" xfId="2" xr:uid="{00000000-0005-0000-0000-000001000000}"/>
    <cellStyle name="Normal" xfId="0" builtinId="0"/>
    <cellStyle name="Normal 2" xfId="3" xr:uid="{00000000-0005-0000-0000-000003000000}"/>
    <cellStyle name="Normal 3" xfId="5" xr:uid="{F8E63DB8-8352-421B-B29A-3A8D1000E9FC}"/>
    <cellStyle name="Percent" xfId="4" xr:uid="{00000000-0005-0000-0000-000004000000}"/>
  </cellStyles>
  <dxfs count="1846">
    <dxf>
      <font>
        <b/>
        <color rgb="FF991B1B"/>
      </font>
      <fill>
        <patternFill>
          <bgColor rgb="FFFECACA"/>
        </patternFill>
      </fill>
    </dxf>
    <dxf>
      <fill>
        <patternFill>
          <bgColor rgb="FFF3F6F8"/>
        </patternFill>
      </fill>
    </dxf>
    <dxf>
      <fill>
        <patternFill>
          <b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9C6500"/>
      </font>
      <fill>
        <patternFill patternType="solid">
          <fgColor rgb="FFFFF2CC"/>
        </patternFill>
      </fill>
    </dxf>
    <dxf>
      <font>
        <b/>
        <color rgb="FF9C0006"/>
      </font>
      <fill>
        <patternFill patternType="solid">
          <fgColor rgb="FFF4CCCC"/>
        </patternFill>
      </fill>
    </dxf>
    <dxf>
      <font>
        <b/>
        <color rgb="FF006100"/>
      </font>
      <fill>
        <patternFill patternType="solid">
          <fgColor rgb="FFE2F0D9"/>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b/>
        <color rgb="FFFFFFFF"/>
      </font>
      <fill>
        <patternFill patternType="solid">
          <bgColor rgb="FFB8860B"/>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ont>
        <b/>
        <color rgb="FF006100"/>
      </font>
      <fill>
        <patternFill patternType="solid">
          <fgColor rgb="FFE2F0D9"/>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b/>
        <color rgb="FFFFFFFF"/>
      </font>
      <fill>
        <patternFill patternType="solid">
          <bgColor rgb="FFB8860B"/>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ont>
        <b/>
        <color rgb="FF006100"/>
      </font>
      <fill>
        <patternFill patternType="solid">
          <fgColor rgb="FFE2F0D9"/>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b/>
        <color rgb="FFFFFFFF"/>
      </font>
      <fill>
        <patternFill patternType="solid">
          <bgColor rgb="FFB8860B"/>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ont>
        <b/>
        <color rgb="FF006100"/>
      </font>
      <fill>
        <patternFill patternType="solid">
          <fgColor rgb="FFE2F0D9"/>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b/>
        <color rgb="FFFFFFFF"/>
      </font>
      <fill>
        <patternFill patternType="solid">
          <bgColor rgb="FFB8860B"/>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ont>
        <b/>
        <color rgb="FF006100"/>
      </font>
      <fill>
        <patternFill patternType="solid">
          <fgColor rgb="FFE2F0D9"/>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b/>
        <color rgb="FFFFFFFF"/>
      </font>
      <fill>
        <patternFill patternType="solid">
          <bgColor rgb="FFB8860B"/>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ont>
        <b/>
        <color rgb="FF006100"/>
      </font>
      <fill>
        <patternFill patternType="solid">
          <fgColor rgb="FFE2F0D9"/>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b/>
        <color rgb="FFFFFFFF"/>
      </font>
      <fill>
        <patternFill patternType="solid">
          <bgColor rgb="FFB8860B"/>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ill>
        <patternFill>
          <b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9C6500"/>
      </font>
      <fill>
        <patternFill patternType="solid">
          <fgColor rgb="FFFFF2CC"/>
        </patternFill>
      </fill>
    </dxf>
    <dxf>
      <font>
        <b/>
        <color rgb="FF9C0006"/>
      </font>
      <fill>
        <patternFill patternType="solid">
          <fgColor rgb="FFF4CCCC"/>
        </patternFill>
      </fill>
    </dxf>
    <dxf>
      <font>
        <b/>
        <color rgb="FF006100"/>
      </font>
      <fill>
        <patternFill patternType="solid">
          <fgColor rgb="FFE2F0D9"/>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b/>
        <color rgb="FFFFFFFF"/>
      </font>
      <fill>
        <patternFill patternType="solid">
          <bgColor rgb="FFB8860B"/>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ill>
        <patternFill>
          <b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9C6500"/>
      </font>
      <fill>
        <patternFill patternType="solid">
          <fgColor rgb="FFFFF2CC"/>
        </patternFill>
      </fill>
    </dxf>
    <dxf>
      <font>
        <b/>
        <color rgb="FF9C0006"/>
      </font>
      <fill>
        <patternFill patternType="solid">
          <fgColor rgb="FFF4CCCC"/>
        </patternFill>
      </fill>
    </dxf>
    <dxf>
      <font>
        <b/>
        <color rgb="FF006100"/>
      </font>
      <fill>
        <patternFill patternType="solid">
          <fgColor rgb="FFE2F0D9"/>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b/>
        <color rgb="FFFFFFFF"/>
      </font>
      <fill>
        <patternFill patternType="solid">
          <bgColor rgb="FFB8860B"/>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9C6500"/>
      </font>
      <fill>
        <patternFill patternType="solid">
          <fgColor rgb="FFFFF2CC"/>
        </patternFill>
      </fill>
    </dxf>
    <dxf>
      <font>
        <b/>
        <color rgb="FF9C0006"/>
      </font>
      <fill>
        <patternFill patternType="solid">
          <fgColor rgb="FFF4CCCC"/>
        </patternFill>
      </fill>
    </dxf>
    <dxf>
      <font>
        <b/>
        <color rgb="FF006100"/>
      </font>
      <fill>
        <patternFill patternType="solid">
          <fgColor rgb="FFE2F0D9"/>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b/>
        <color rgb="FFFFFFFF"/>
      </font>
      <fill>
        <patternFill patternType="solid">
          <bgColor rgb="FFB8860B"/>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ont>
        <b/>
        <color rgb="FF006100"/>
      </font>
      <fill>
        <patternFill patternType="solid">
          <fgColor rgb="FFE2F0D9"/>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b/>
        <color rgb="FFFFFFFF"/>
      </font>
      <fill>
        <patternFill patternType="solid">
          <bgColor rgb="FFB8860B"/>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ont>
        <b/>
        <color rgb="FF006100"/>
      </font>
      <fill>
        <patternFill patternType="solid">
          <fgColor rgb="FFE2F0D9"/>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b/>
        <color rgb="FFFFFFFF"/>
      </font>
      <fill>
        <patternFill patternType="solid">
          <bgColor rgb="FFB8860B"/>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ont>
        <b/>
        <color rgb="FF006100"/>
      </font>
      <fill>
        <patternFill patternType="solid">
          <fgColor rgb="FFE2F0D9"/>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b/>
        <color rgb="FFFFFFFF"/>
      </font>
      <fill>
        <patternFill patternType="solid">
          <bgColor rgb="FFB8860B"/>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ont>
        <b/>
        <color rgb="FF006100"/>
      </font>
      <fill>
        <patternFill patternType="solid">
          <fgColor rgb="FFE2F0D9"/>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b/>
        <color rgb="FFFFFFFF"/>
      </font>
      <fill>
        <patternFill patternType="solid">
          <bgColor rgb="FFB8860B"/>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9C6500"/>
      </font>
      <fill>
        <patternFill patternType="solid">
          <fgColor rgb="FFFFF2CC"/>
        </patternFill>
      </fill>
    </dxf>
    <dxf>
      <font>
        <b/>
        <color rgb="FF9C0006"/>
      </font>
      <fill>
        <patternFill patternType="solid">
          <fgColor rgb="FFF4CCCC"/>
        </patternFill>
      </fill>
    </dxf>
    <dxf>
      <font>
        <b/>
        <color rgb="FF006100"/>
      </font>
      <fill>
        <patternFill patternType="solid">
          <fgColor rgb="FFE2F0D9"/>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b/>
        <color rgb="FFFFFFFF"/>
      </font>
      <fill>
        <patternFill patternType="solid">
          <bgColor rgb="FFB8860B"/>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ont>
        <b/>
        <color rgb="FF006100"/>
      </font>
      <fill>
        <patternFill patternType="solid">
          <fgColor rgb="FFE2F0D9"/>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b/>
        <color rgb="FFFFFFFF"/>
      </font>
      <fill>
        <patternFill patternType="solid">
          <bgColor rgb="FFB8860B"/>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ont>
        <b/>
        <color rgb="FF006100"/>
      </font>
      <fill>
        <patternFill patternType="solid">
          <fgColor rgb="FFE2F0D9"/>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b/>
        <color rgb="FFFFFFFF"/>
      </font>
      <fill>
        <patternFill patternType="solid">
          <bgColor rgb="FFB8860B"/>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ont>
        <b/>
        <color rgb="FF006100"/>
      </font>
      <fill>
        <patternFill patternType="solid">
          <fgColor rgb="FFE2F0D9"/>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b/>
        <color rgb="FFFFFFFF"/>
      </font>
      <fill>
        <patternFill patternType="solid">
          <bgColor rgb="FFB8860B"/>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ont>
        <b/>
        <color rgb="FF006100"/>
      </font>
      <fill>
        <patternFill patternType="solid">
          <fgColor rgb="FFE2F0D9"/>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b/>
        <color rgb="FFFFFFFF"/>
      </font>
      <fill>
        <patternFill patternType="solid">
          <bgColor rgb="FFB8860B"/>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ont>
        <b/>
        <color rgb="FF006100"/>
      </font>
      <fill>
        <patternFill patternType="solid">
          <fgColor rgb="FFE2F0D9"/>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b/>
        <color rgb="FFFFFFFF"/>
      </font>
      <fill>
        <patternFill patternType="solid">
          <bgColor rgb="FFB8860B"/>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ont>
        <b/>
        <color rgb="FF006100"/>
      </font>
      <fill>
        <patternFill patternType="solid">
          <fgColor rgb="FFE2F0D9"/>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b/>
        <color rgb="FFFFFFFF"/>
      </font>
      <fill>
        <patternFill patternType="solid">
          <bgColor rgb="FFB8860B"/>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ont>
        <b/>
        <color rgb="FF006100"/>
      </font>
      <fill>
        <patternFill patternType="solid">
          <fgColor rgb="FFE2F0D9"/>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b/>
        <color rgb="FFFFFFFF"/>
      </font>
      <fill>
        <patternFill patternType="solid">
          <bgColor rgb="FFB8860B"/>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ont>
        <b/>
        <color rgb="FF006100"/>
      </font>
      <fill>
        <patternFill patternType="solid">
          <fgColor rgb="FFE2F0D9"/>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b/>
        <color rgb="FFFFFFFF"/>
      </font>
      <fill>
        <patternFill patternType="solid">
          <bgColor rgb="FFB8860B"/>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ont>
        <b/>
        <color rgb="FF006100"/>
      </font>
      <fill>
        <patternFill patternType="solid">
          <fgColor rgb="FFE2F0D9"/>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b/>
        <color rgb="FFFFFFFF"/>
      </font>
      <fill>
        <patternFill patternType="solid">
          <bgColor rgb="FFB8860B"/>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ont>
        <b/>
        <color rgb="FF006100"/>
      </font>
      <fill>
        <patternFill patternType="solid">
          <fgColor rgb="FFE2F0D9"/>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b/>
        <color rgb="FFFFFFFF"/>
      </font>
      <fill>
        <patternFill patternType="solid">
          <bgColor rgb="FFB8860B"/>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ont>
        <b/>
        <color rgb="FF006100"/>
      </font>
      <fill>
        <patternFill patternType="solid">
          <fgColor rgb="FFE2F0D9"/>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b/>
        <color rgb="FFFFFFFF"/>
      </font>
      <fill>
        <patternFill patternType="solid">
          <bgColor rgb="FFB8860B"/>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9C6500"/>
      </font>
      <fill>
        <patternFill patternType="solid">
          <fgColor rgb="FFFFF2CC"/>
        </patternFill>
      </fill>
    </dxf>
    <dxf>
      <font>
        <b/>
        <color rgb="FF9C0006"/>
      </font>
      <fill>
        <patternFill patternType="solid">
          <fgColor rgb="FFF4CCCC"/>
        </patternFill>
      </fill>
    </dxf>
    <dxf>
      <font>
        <b/>
        <color rgb="FF006100"/>
      </font>
      <fill>
        <patternFill patternType="solid">
          <fgColor rgb="FFE2F0D9"/>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b/>
        <color rgb="FFFFFFFF"/>
      </font>
      <fill>
        <patternFill patternType="solid">
          <bgColor rgb="FFB8860B"/>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ill>
        <patternFill>
          <bgColor rgb="FFF4CCCC"/>
        </patternFill>
      </fill>
    </dxf>
    <dxf>
      <fill>
        <patternFill>
          <bgColor rgb="FFFFF2CC"/>
        </patternFill>
      </fill>
    </dxf>
    <dxf>
      <fill>
        <patternFill>
          <bgColor rgb="FFE2F0D9"/>
        </patternFill>
      </fill>
    </dxf>
    <dxf>
      <font>
        <color rgb="FF9C6500"/>
      </font>
      <fill>
        <patternFill patternType="solid">
          <fgColor rgb="FFFFF2CC"/>
        </patternFill>
      </fill>
    </dxf>
    <dxf>
      <font>
        <b/>
        <color rgb="FF9C0006"/>
      </font>
      <fill>
        <patternFill patternType="solid">
          <fgColor rgb="FFF4CCCC"/>
        </patternFill>
      </fill>
    </dxf>
    <dxf>
      <font>
        <b/>
        <color rgb="FF006100"/>
      </font>
      <fill>
        <patternFill patternType="solid">
          <fgColor rgb="FFE2F0D9"/>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b/>
        <color rgb="FFFFFFFF"/>
      </font>
      <fill>
        <patternFill patternType="solid">
          <bgColor rgb="FFB8860B"/>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ill>
        <patternFill>
          <bgColor rgb="FFF4CCCC"/>
        </patternFill>
      </fill>
    </dxf>
    <dxf>
      <fill>
        <patternFill>
          <bgColor rgb="FFFFF2CC"/>
        </patternFill>
      </fill>
    </dxf>
    <dxf>
      <fill>
        <patternFill>
          <bgColor rgb="FFE2F0D9"/>
        </patternFill>
      </fill>
    </dxf>
    <dxf>
      <font>
        <color rgb="FF9C6500"/>
      </font>
      <fill>
        <patternFill patternType="solid">
          <fgColor rgb="FFFFF2CC"/>
        </patternFill>
      </fill>
    </dxf>
    <dxf>
      <font>
        <b/>
        <color rgb="FF9C0006"/>
      </font>
      <fill>
        <patternFill patternType="solid">
          <fgColor rgb="FFF4CCCC"/>
        </patternFill>
      </fill>
    </dxf>
    <dxf>
      <font>
        <b/>
        <color rgb="FF006100"/>
      </font>
      <fill>
        <patternFill patternType="solid">
          <fgColor rgb="FFE2F0D9"/>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b/>
        <color rgb="FFFFFFFF"/>
      </font>
      <fill>
        <patternFill patternType="solid">
          <bgColor rgb="FFB8860B"/>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ont>
        <b/>
        <color rgb="FF006100"/>
      </font>
      <fill>
        <patternFill patternType="solid">
          <fgColor rgb="FFE2F0D9"/>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b/>
        <color rgb="FFFFFFFF"/>
      </font>
      <fill>
        <patternFill patternType="solid">
          <bgColor rgb="FFB8860B"/>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bgColor rgb="FFD9EAD3"/>
        </patternFill>
      </fill>
    </dxf>
    <dxf>
      <font>
        <b/>
        <color rgb="FF7F6000"/>
      </font>
      <fill>
        <patternFill patternType="solid">
          <bgColor rgb="FFFFF2CC"/>
        </patternFill>
      </fill>
    </dxf>
    <dxf>
      <font>
        <b/>
        <color rgb="FF9C0006"/>
      </font>
      <fill>
        <patternFill patternType="solid">
          <bgColor rgb="FFF4CCCC"/>
        </patternFill>
      </fill>
    </dxf>
    <dxf>
      <font>
        <b/>
        <color rgb="FF92400E"/>
      </font>
      <fill>
        <patternFill>
          <bgColor rgb="FFFED7AA"/>
        </patternFill>
      </fill>
    </dxf>
    <dxf>
      <font>
        <b/>
        <color rgb="FFC00000"/>
      </font>
      <fill>
        <patternFill>
          <bgColor rgb="FFFCE4D6"/>
        </patternFill>
      </fill>
    </dxf>
    <dxf>
      <font>
        <b/>
        <color rgb="FFC00000"/>
      </font>
      <fill>
        <patternFill>
          <bgColor rgb="FFFCE4D6"/>
        </patternFill>
      </fill>
    </dxf>
    <dxf>
      <font>
        <b/>
        <color rgb="FF548235"/>
      </font>
      <fill>
        <patternFill>
          <bgColor rgb="FFE2F0D9"/>
        </patternFill>
      </fill>
    </dxf>
    <dxf>
      <font>
        <b/>
        <color rgb="FFC00000"/>
      </font>
      <fill>
        <patternFill>
          <bgColor rgb="FFFCE4D6"/>
        </patternFill>
      </fill>
    </dxf>
    <dxf>
      <font>
        <b/>
        <color rgb="FF548235"/>
      </font>
      <fill>
        <patternFill>
          <bgColor rgb="FFE2F0D9"/>
        </patternFill>
      </fill>
    </dxf>
    <dxf>
      <font>
        <b/>
        <color rgb="FFC00000"/>
      </font>
      <fill>
        <patternFill>
          <bgColor rgb="FFFCE4D6"/>
        </patternFill>
      </fill>
    </dxf>
    <dxf>
      <font>
        <b/>
        <color rgb="FF548235"/>
      </font>
      <fill>
        <patternFill>
          <bgColor rgb="FFE2F0D9"/>
        </patternFill>
      </fill>
    </dxf>
    <dxf>
      <font>
        <b/>
        <color rgb="FFC00000"/>
      </font>
      <fill>
        <patternFill>
          <bgColor rgb="FFFCE4D6"/>
        </patternFill>
      </fill>
    </dxf>
    <dxf>
      <font>
        <b/>
        <color rgb="FF548235"/>
      </font>
      <fill>
        <patternFill>
          <bgColor rgb="FFE2F0D9"/>
        </patternFill>
      </fill>
    </dxf>
    <dxf>
      <font>
        <b/>
        <color rgb="FFC00000"/>
      </font>
      <fill>
        <patternFill>
          <bgColor rgb="FFFCE4D6"/>
        </patternFill>
      </fill>
    </dxf>
    <dxf>
      <font>
        <b/>
        <color rgb="FF548235"/>
      </font>
      <fill>
        <patternFill patternType="solid">
          <bgColor rgb="FFE2F0D9"/>
        </patternFill>
      </fill>
    </dxf>
    <dxf>
      <font>
        <b/>
        <color rgb="FF548235"/>
      </font>
      <fill>
        <patternFill>
          <bgColor rgb="FFE2F0D9"/>
        </patternFill>
      </fill>
    </dxf>
    <dxf>
      <font>
        <b/>
        <color rgb="FFC00000"/>
      </font>
      <fill>
        <patternFill patternType="solid">
          <bgColor rgb="FFFCE4D6"/>
        </patternFill>
      </fill>
    </dxf>
    <dxf>
      <font>
        <b/>
        <color rgb="FFC00000"/>
      </font>
      <fill>
        <patternFill>
          <bgColor rgb="FFFCE4D6"/>
        </patternFill>
      </fill>
    </dxf>
    <dxf>
      <font>
        <color rgb="FF9C6500"/>
      </font>
      <fill>
        <patternFill patternType="solid">
          <fgColor rgb="FFFFF2CC"/>
        </patternFill>
      </fill>
    </dxf>
    <dxf>
      <font>
        <b/>
        <color rgb="FF9C0006"/>
      </font>
      <fill>
        <patternFill patternType="solid">
          <fgColor rgb="FFF4CCCC"/>
        </patternFill>
      </fill>
    </dxf>
    <dxf>
      <font>
        <b/>
        <color rgb="FF006100"/>
      </font>
      <fill>
        <patternFill patternType="solid">
          <fgColor rgb="FFE2F0D9"/>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b/>
        <color rgb="FFFFFFFF"/>
      </font>
      <fill>
        <patternFill patternType="solid">
          <bgColor rgb="FFB8860B"/>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9C0006"/>
      </font>
      <fill>
        <patternFill patternType="solid">
          <bgColor rgb="FFFFC7CE"/>
        </patternFill>
      </fill>
    </dxf>
    <dxf>
      <font>
        <b/>
        <color rgb="FF9C6500"/>
      </font>
      <fill>
        <patternFill patternType="solid">
          <bgColor rgb="FFFFEB9C"/>
        </patternFill>
      </fill>
    </dxf>
    <dxf>
      <font>
        <b/>
        <color rgb="FF006100"/>
      </font>
      <fill>
        <patternFill patternType="solid">
          <bgColor rgb="FFC6EFCE"/>
        </patternFill>
      </fill>
    </dxf>
    <dxf>
      <font>
        <b/>
        <color rgb="FF92400E"/>
      </font>
      <fill>
        <patternFill>
          <bgColor rgb="FFFED7AA"/>
        </patternFill>
      </fill>
    </dxf>
    <dxf>
      <font>
        <b/>
        <color rgb="FF7F0000"/>
      </font>
      <fill>
        <patternFill>
          <bgColor rgb="FFF4CCCC"/>
        </patternFill>
      </fill>
    </dxf>
    <dxf>
      <fill>
        <patternFill>
          <bgColor rgb="FFE2F0D9"/>
        </patternFill>
      </fill>
    </dxf>
    <dxf>
      <fill>
        <patternFill>
          <bgColor rgb="FFEEF4FA"/>
        </patternFill>
      </fill>
    </dxf>
    <dxf>
      <fill>
        <patternFill>
          <bgColor rgb="FFFFF2CC"/>
        </patternFill>
      </fill>
    </dxf>
    <dxf>
      <fill>
        <patternFill>
          <bgColor rgb="FFFFF2CC"/>
        </patternFill>
      </fill>
    </dxf>
    <dxf>
      <fill>
        <patternFill>
          <bgColor rgb="FFFFF2CC"/>
        </patternFill>
      </fill>
    </dxf>
    <dxf>
      <font>
        <b/>
        <color rgb="FF7F3F00"/>
      </font>
      <fill>
        <patternFill>
          <bgColor rgb="FFFCE4D6"/>
        </patternFill>
      </fill>
    </dxf>
    <dxf>
      <fill>
        <patternFill>
          <bgColor rgb="FFE2F0D9"/>
        </patternFill>
      </fill>
    </dxf>
    <dxf>
      <fill>
        <patternFill>
          <bgColor rgb="FFEEF4FA"/>
        </patternFill>
      </fill>
    </dxf>
    <dxf>
      <fill>
        <patternFill>
          <bgColor rgb="FFFFF2CC"/>
        </patternFill>
      </fill>
    </dxf>
    <dxf>
      <fill>
        <patternFill>
          <bgColor rgb="FFFFF2CC"/>
        </patternFill>
      </fill>
    </dxf>
    <dxf>
      <fill>
        <patternFill>
          <bgColor rgb="FFE2F0D9"/>
        </patternFill>
      </fill>
    </dxf>
    <dxf>
      <fill>
        <patternFill>
          <bgColor rgb="FFEEF4FA"/>
        </patternFill>
      </fill>
    </dxf>
    <dxf>
      <fill>
        <patternFill>
          <bgColor rgb="FFFFF2CC"/>
        </patternFill>
      </fill>
    </dxf>
    <dxf>
      <fill>
        <patternFill>
          <bgColor rgb="FFFFF2CC"/>
        </patternFill>
      </fill>
    </dxf>
    <dxf>
      <font>
        <color rgb="FF1F4E78"/>
      </font>
      <fill>
        <patternFill>
          <bgColor rgb="FFD9EAF7"/>
        </patternFill>
      </fill>
    </dxf>
    <dxf>
      <font>
        <color rgb="FF9C6500"/>
      </font>
      <fill>
        <patternFill>
          <bgColor rgb="FFFFF2CC"/>
        </patternFill>
      </fill>
    </dxf>
    <dxf>
      <font>
        <color rgb="FFC00000"/>
      </font>
      <fill>
        <patternFill>
          <bgColor rgb="FFFCE4D6"/>
        </patternFill>
      </fill>
    </dxf>
    <dxf>
      <font>
        <color rgb="FF006100"/>
      </font>
      <fill>
        <patternFill>
          <bgColor rgb="FFE2F0D9"/>
        </patternFill>
      </fill>
    </dxf>
    <dxf>
      <font>
        <color rgb="FF006100"/>
      </font>
      <fill>
        <patternFill>
          <bgColor rgb="FFE2F0D9"/>
        </patternFill>
      </fill>
    </dxf>
    <dxf>
      <font>
        <b/>
        <color rgb="FFFFFFFF"/>
      </font>
      <fill>
        <patternFill patternType="solid">
          <bgColor rgb="FFB8860B"/>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b/>
        <sz val="9"/>
        <color rgb="FF6C7480"/>
      </font>
      <fill>
        <patternFill>
          <bgColor rgb="FFD9DDE3"/>
        </patternFill>
      </fill>
    </dxf>
    <dxf>
      <font>
        <b/>
        <sz val="9"/>
        <color rgb="FF000000"/>
      </font>
      <fill>
        <patternFill>
          <bgColor rgb="FFD9FF00"/>
        </patternFill>
      </fill>
    </dxf>
    <dxf>
      <font>
        <b/>
        <sz val="9"/>
        <color rgb="FFFFFFFF"/>
      </font>
      <fill>
        <patternFill>
          <bgColor rgb="FF2E8B3C"/>
        </patternFill>
      </fill>
    </dxf>
    <dxf>
      <font>
        <b/>
        <sz val="9"/>
        <color rgb="FF6C7480"/>
      </font>
      <fill>
        <patternFill>
          <bgColor rgb="FFD9DDE3"/>
        </patternFill>
      </fill>
    </dxf>
    <dxf>
      <font>
        <b/>
        <sz val="9"/>
        <color rgb="FF000000"/>
      </font>
      <fill>
        <patternFill>
          <bgColor rgb="FFD9FF00"/>
        </patternFill>
      </fill>
    </dxf>
    <dxf>
      <font>
        <b/>
        <sz val="9"/>
        <color rgb="FFFFFFFF"/>
      </font>
      <fill>
        <patternFill>
          <bgColor rgb="FF2E8B3C"/>
        </patternFill>
      </fill>
    </dxf>
    <dxf>
      <font>
        <b/>
        <sz val="9"/>
        <color rgb="FF6C7480"/>
      </font>
      <fill>
        <patternFill>
          <bgColor rgb="FFD9DDE3"/>
        </patternFill>
      </fill>
    </dxf>
    <dxf>
      <font>
        <b/>
        <sz val="9"/>
        <color rgb="FF000000"/>
      </font>
      <fill>
        <patternFill>
          <bgColor rgb="FFD9FF00"/>
        </patternFill>
      </fill>
    </dxf>
    <dxf>
      <font>
        <b/>
        <sz val="9"/>
        <color rgb="FFFFFFFF"/>
      </font>
      <fill>
        <patternFill>
          <bgColor rgb="FF2E8B3C"/>
        </patternFill>
      </fill>
    </dxf>
    <dxf>
      <font>
        <b/>
        <color rgb="FF2E8B3C"/>
      </font>
    </dxf>
    <dxf>
      <font>
        <b/>
        <color rgb="FFF28C00"/>
      </font>
    </dxf>
    <dxf>
      <font>
        <b/>
        <color rgb="FF2E8B3C"/>
      </font>
    </dxf>
    <dxf>
      <font>
        <b/>
        <color rgb="FFF28C00"/>
      </font>
    </dxf>
    <dxf>
      <font>
        <b/>
        <color rgb="FF2E8B3C"/>
      </font>
    </dxf>
    <dxf>
      <font>
        <b/>
        <color rgb="FFF28C00"/>
      </font>
    </dxf>
    <dxf>
      <font>
        <b/>
        <color rgb="FF2E8B3C"/>
      </font>
    </dxf>
    <dxf>
      <font>
        <b/>
        <color rgb="FFF28C00"/>
      </font>
    </dxf>
    <dxf>
      <font>
        <b/>
        <color rgb="FF2E8B3C"/>
      </font>
    </dxf>
    <dxf>
      <font>
        <b/>
        <color rgb="FFF28C00"/>
      </font>
    </dxf>
    <dxf>
      <font>
        <b/>
        <sz val="9"/>
        <color rgb="FF6C7480"/>
      </font>
      <fill>
        <patternFill>
          <bgColor rgb="FFD9DDE3"/>
        </patternFill>
      </fill>
    </dxf>
    <dxf>
      <font>
        <b/>
        <sz val="9"/>
        <color rgb="FF000000"/>
      </font>
      <fill>
        <patternFill>
          <bgColor rgb="FFD9FF00"/>
        </patternFill>
      </fill>
    </dxf>
    <dxf>
      <font>
        <b/>
        <sz val="9"/>
        <color rgb="FFFFFFFF"/>
      </font>
      <fill>
        <patternFill>
          <bgColor rgb="FF2E8B3C"/>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b/>
        <sz val="9"/>
        <color rgb="FF6C7480"/>
      </font>
      <fill>
        <patternFill>
          <bgColor rgb="FFD9DDE3"/>
        </patternFill>
      </fill>
    </dxf>
    <dxf>
      <font>
        <b/>
        <sz val="9"/>
        <color rgb="FF000000"/>
      </font>
      <fill>
        <patternFill>
          <bgColor rgb="FFD9FF00"/>
        </patternFill>
      </fill>
    </dxf>
    <dxf>
      <font>
        <b/>
        <sz val="9"/>
        <color rgb="FFFFFFFF"/>
      </font>
      <fill>
        <patternFill>
          <bgColor rgb="FF2E8B3C"/>
        </patternFill>
      </fill>
    </dxf>
    <dxf>
      <font>
        <b/>
        <sz val="9"/>
        <color rgb="FF6C7480"/>
      </font>
      <fill>
        <patternFill>
          <bgColor rgb="FFD9DDE3"/>
        </patternFill>
      </fill>
    </dxf>
    <dxf>
      <font>
        <b/>
        <sz val="9"/>
        <color rgb="FF000000"/>
      </font>
      <fill>
        <patternFill>
          <bgColor rgb="FFD9FF00"/>
        </patternFill>
      </fill>
    </dxf>
    <dxf>
      <font>
        <b/>
        <sz val="9"/>
        <color rgb="FFFFFFFF"/>
      </font>
      <fill>
        <patternFill>
          <bgColor rgb="FF2E8B3C"/>
        </patternFill>
      </fill>
    </dxf>
    <dxf>
      <font>
        <b/>
        <sz val="9"/>
        <color rgb="FF6C7480"/>
      </font>
      <fill>
        <patternFill>
          <bgColor rgb="FFD9DDE3"/>
        </patternFill>
      </fill>
    </dxf>
    <dxf>
      <font>
        <b/>
        <sz val="9"/>
        <color rgb="FF000000"/>
      </font>
      <fill>
        <patternFill>
          <bgColor rgb="FFD9FF00"/>
        </patternFill>
      </fill>
    </dxf>
    <dxf>
      <font>
        <b/>
        <sz val="9"/>
        <color rgb="FFFFFFFF"/>
      </font>
      <fill>
        <patternFill>
          <bgColor rgb="FF2E8B3C"/>
        </patternFill>
      </fill>
    </dxf>
    <dxf>
      <font>
        <b/>
        <sz val="9"/>
        <color rgb="FF6C7480"/>
      </font>
      <fill>
        <patternFill>
          <bgColor rgb="FFD9DDE3"/>
        </patternFill>
      </fill>
    </dxf>
    <dxf>
      <font>
        <b/>
        <sz val="9"/>
        <color rgb="FF000000"/>
      </font>
      <fill>
        <patternFill>
          <bgColor rgb="FFD9FF00"/>
        </patternFill>
      </fill>
    </dxf>
    <dxf>
      <font>
        <b/>
        <sz val="9"/>
        <color rgb="FFFFFFFF"/>
      </font>
      <fill>
        <patternFill>
          <bgColor rgb="FF2E8B3C"/>
        </patternFill>
      </fill>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color rgb="FF62D26F"/>
      </font>
      <fill>
        <patternFill>
          <bgColor rgb="FF12351E"/>
        </patternFill>
      </fill>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color rgb="FFF2C94C"/>
      </font>
      <fill>
        <patternFill>
          <bgColor rgb="FF3C3212"/>
        </patternFill>
      </fill>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color rgb="FFF2C94C"/>
      </font>
      <fill>
        <patternFill>
          <bgColor rgb="FF3C3212"/>
        </patternFill>
      </fill>
    </dxf>
    <dxf>
      <font>
        <b/>
        <color rgb="FF62D26F"/>
      </font>
      <fill>
        <patternFill>
          <bgColor rgb="FF12351E"/>
        </patternFill>
      </fill>
    </dxf>
    <dxf>
      <font>
        <b/>
        <color rgb="FFEB5757"/>
      </font>
      <fill>
        <patternFill>
          <bgColor rgb="FF3A1117"/>
        </patternFill>
      </fill>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color rgb="FFF2C94C"/>
      </font>
      <fill>
        <patternFill>
          <bgColor rgb="FF3C3212"/>
        </patternFill>
      </fill>
    </dxf>
    <dxf>
      <font>
        <b/>
        <color rgb="FFEB5757"/>
      </font>
      <fill>
        <patternFill>
          <bgColor rgb="FF3A1117"/>
        </patternFill>
      </fill>
    </dxf>
    <dxf>
      <font>
        <b/>
        <color rgb="FF62D26F"/>
      </font>
      <fill>
        <patternFill>
          <bgColor rgb="FF12351E"/>
        </patternFill>
      </fill>
    </dxf>
    <dxf>
      <font>
        <b/>
        <color rgb="FFF2C94C"/>
      </font>
      <fill>
        <patternFill>
          <bgColor rgb="FF3C3212"/>
        </patternFill>
      </fill>
    </dxf>
    <dxf>
      <font>
        <b/>
        <color rgb="FFEB5757"/>
      </font>
      <fill>
        <patternFill>
          <bgColor rgb="FF3A1117"/>
        </patternFill>
      </fill>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color rgb="FFEB5757"/>
      </font>
      <fill>
        <patternFill>
          <bgColor rgb="FF3A1117"/>
        </patternFill>
      </fill>
    </dxf>
    <dxf>
      <font>
        <b/>
        <color rgb="FF62D26F"/>
      </font>
      <fill>
        <patternFill>
          <bgColor rgb="FF12351E"/>
        </patternFill>
      </fill>
    </dxf>
    <dxf>
      <font>
        <b/>
        <color rgb="FFF2C94C"/>
      </font>
      <fill>
        <patternFill>
          <bgColor rgb="FF3C3212"/>
        </patternFill>
      </fill>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color rgb="FFF2C94C"/>
      </font>
      <fill>
        <patternFill>
          <bgColor rgb="FF3C3212"/>
        </patternFill>
      </fill>
    </dxf>
    <dxf>
      <font>
        <b/>
        <color rgb="FF62D26F"/>
      </font>
      <fill>
        <patternFill>
          <bgColor rgb="FF12351E"/>
        </patternFill>
      </fill>
    </dxf>
    <dxf>
      <font>
        <b/>
        <color rgb="FFEB5757"/>
      </font>
      <fill>
        <patternFill>
          <bgColor rgb="FF3A1117"/>
        </patternFill>
      </fill>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color rgb="FF1F4E78"/>
      </font>
      <fill>
        <patternFill>
          <bgColor rgb="FFD9EAF7"/>
        </patternFill>
      </fill>
    </dxf>
    <dxf>
      <font>
        <color rgb="FF9C6500"/>
      </font>
      <fill>
        <patternFill>
          <bgColor rgb="FFFFF2CC"/>
        </patternFill>
      </fill>
    </dxf>
    <dxf>
      <font>
        <color rgb="FFC00000"/>
      </font>
      <fill>
        <patternFill>
          <bgColor rgb="FFFCE4D6"/>
        </patternFill>
      </fill>
    </dxf>
    <dxf>
      <font>
        <color rgb="FF006100"/>
      </font>
      <fill>
        <patternFill>
          <bgColor rgb="FFE2F0D9"/>
        </patternFill>
      </fill>
    </dxf>
    <dxf>
      <font>
        <color rgb="FF006100"/>
      </font>
      <fill>
        <patternFill>
          <bgColor rgb="FFE2F0D9"/>
        </patternFill>
      </fill>
    </dxf>
    <dxf>
      <fill>
        <patternFill>
          <bgColor rgb="FFEEF4FA"/>
        </patternFill>
      </fill>
    </dxf>
    <dxf>
      <fill>
        <patternFill>
          <bgColor rgb="FFFFF2CC"/>
        </patternFill>
      </fill>
    </dxf>
    <dxf>
      <fill>
        <patternFill>
          <bgColor rgb="FFFFF2CC"/>
        </patternFill>
      </fill>
    </dxf>
    <dxf>
      <font>
        <color rgb="FF1F4E78"/>
      </font>
      <fill>
        <patternFill>
          <bgColor rgb="FFD9EAF7"/>
        </patternFill>
      </fill>
    </dxf>
    <dxf>
      <font>
        <color rgb="FF9C6500"/>
      </font>
      <fill>
        <patternFill>
          <bgColor rgb="FFFFF2CC"/>
        </patternFill>
      </fill>
    </dxf>
    <dxf>
      <font>
        <color rgb="FFC00000"/>
      </font>
      <fill>
        <patternFill>
          <bgColor rgb="FFFCE4D6"/>
        </patternFill>
      </fill>
    </dxf>
    <dxf>
      <font>
        <color rgb="FF006100"/>
      </font>
      <fill>
        <patternFill>
          <bgColor rgb="FFE2F0D9"/>
        </patternFill>
      </fill>
    </dxf>
    <dxf>
      <font>
        <color rgb="FF006100"/>
      </font>
      <fill>
        <patternFill>
          <bgColor rgb="FFE2F0D9"/>
        </patternFill>
      </fill>
    </dxf>
    <dxf>
      <fill>
        <patternFill>
          <bgColor rgb="FFEEF4FA"/>
        </patternFill>
      </fill>
    </dxf>
    <dxf>
      <fill>
        <patternFill>
          <bgColor rgb="FFFFF2CC"/>
        </patternFill>
      </fill>
    </dxf>
    <dxf>
      <fill>
        <patternFill>
          <bgColor rgb="FFFFF2CC"/>
        </patternFill>
      </fill>
    </dxf>
    <dxf>
      <fill>
        <patternFill>
          <bgColor rgb="FFEEF4FA"/>
        </patternFill>
      </fill>
    </dxf>
    <dxf>
      <fill>
        <patternFill>
          <bgColor rgb="FFFFF2CC"/>
        </patternFill>
      </fill>
    </dxf>
    <dxf>
      <fill>
        <patternFill>
          <bgColor rgb="FFFFF2CC"/>
        </patternFill>
      </fill>
    </dxf>
    <dxf>
      <fill>
        <patternFill>
          <bgColor rgb="FFEEF4FA"/>
        </patternFill>
      </fill>
    </dxf>
    <dxf>
      <fill>
        <patternFill>
          <bgColor rgb="FFFFF2CC"/>
        </patternFill>
      </fill>
    </dxf>
    <dxf>
      <fill>
        <patternFill>
          <bgColor rgb="FFFFF2CC"/>
        </patternFill>
      </fill>
    </dxf>
    <dxf>
      <font>
        <color rgb="FF1F4E78"/>
      </font>
      <fill>
        <patternFill>
          <bgColor rgb="FFD9EAF7"/>
        </patternFill>
      </fill>
    </dxf>
    <dxf>
      <font>
        <color rgb="FF9C6500"/>
      </font>
      <fill>
        <patternFill>
          <bgColor rgb="FFFFF2CC"/>
        </patternFill>
      </fill>
    </dxf>
    <dxf>
      <font>
        <color rgb="FFC00000"/>
      </font>
      <fill>
        <patternFill>
          <bgColor rgb="FFFCE4D6"/>
        </patternFill>
      </fill>
    </dxf>
    <dxf>
      <font>
        <color rgb="FF006100"/>
      </font>
      <fill>
        <patternFill>
          <bgColor rgb="FFE2F0D9"/>
        </patternFill>
      </fill>
    </dxf>
    <dxf>
      <font>
        <color rgb="FF006100"/>
      </font>
      <fill>
        <patternFill>
          <bgColor rgb="FFE2F0D9"/>
        </patternFill>
      </fill>
    </dxf>
    <dxf>
      <font>
        <color rgb="FF1F4E78"/>
      </font>
      <fill>
        <patternFill>
          <bgColor rgb="FFD9EAF7"/>
        </patternFill>
      </fill>
    </dxf>
    <dxf>
      <font>
        <color rgb="FF9C6500"/>
      </font>
      <fill>
        <patternFill>
          <bgColor rgb="FFFFF2CC"/>
        </patternFill>
      </fill>
    </dxf>
    <dxf>
      <font>
        <color rgb="FFC00000"/>
      </font>
      <fill>
        <patternFill>
          <bgColor rgb="FFFCE4D6"/>
        </patternFill>
      </fill>
    </dxf>
    <dxf>
      <font>
        <color rgb="FF006100"/>
      </font>
      <fill>
        <patternFill>
          <bgColor rgb="FFE2F0D9"/>
        </patternFill>
      </fill>
    </dxf>
    <dxf>
      <font>
        <color rgb="FF006100"/>
      </font>
      <fill>
        <patternFill>
          <bgColor rgb="FFE2F0D9"/>
        </patternFill>
      </fill>
    </dxf>
    <dxf>
      <font>
        <b/>
        <color rgb="FFF2C94C"/>
      </font>
      <fill>
        <patternFill>
          <bgColor rgb="FF3C3212"/>
        </patternFill>
      </fill>
    </dxf>
    <dxf>
      <font>
        <b/>
        <color rgb="FF62D26F"/>
      </font>
      <fill>
        <patternFill>
          <bgColor rgb="FF12351E"/>
        </patternFill>
      </fill>
    </dxf>
    <dxf>
      <font>
        <b/>
        <color rgb="FFEB5757"/>
      </font>
      <fill>
        <patternFill>
          <bgColor rgb="FF3A1117"/>
        </patternFill>
      </fill>
    </dxf>
    <dxf>
      <font>
        <b/>
        <color rgb="FFF2C94C"/>
      </font>
      <fill>
        <patternFill>
          <bgColor rgb="FF3C3212"/>
        </patternFill>
      </fill>
    </dxf>
    <dxf>
      <font>
        <b/>
        <color rgb="FF62D26F"/>
      </font>
      <fill>
        <patternFill>
          <bgColor rgb="FF12351E"/>
        </patternFill>
      </fill>
    </dxf>
    <dxf>
      <font>
        <b/>
        <color rgb="FFEB5757"/>
      </font>
      <fill>
        <patternFill>
          <bgColor rgb="FF3A1117"/>
        </patternFill>
      </fill>
    </dxf>
    <dxf>
      <font>
        <b/>
        <color rgb="FFF2C94C"/>
      </font>
      <fill>
        <patternFill>
          <bgColor rgb="FF3C3212"/>
        </patternFill>
      </fill>
    </dxf>
    <dxf>
      <font>
        <b/>
        <color rgb="FF62D26F"/>
      </font>
      <fill>
        <patternFill>
          <bgColor rgb="FF12351E"/>
        </patternFill>
      </fill>
    </dxf>
    <dxf>
      <font>
        <b/>
        <color rgb="FFEB5757"/>
      </font>
      <fill>
        <patternFill>
          <bgColor rgb="FF3A1117"/>
        </patternFill>
      </fill>
    </dxf>
    <dxf>
      <font>
        <b/>
        <color rgb="FFF2C94C"/>
      </font>
      <fill>
        <patternFill>
          <bgColor rgb="FF3C3212"/>
        </patternFill>
      </fill>
    </dxf>
    <dxf>
      <font>
        <b/>
        <color rgb="FF62D26F"/>
      </font>
      <fill>
        <patternFill>
          <bgColor rgb="FF12351E"/>
        </patternFill>
      </fill>
    </dxf>
    <dxf>
      <font>
        <b/>
        <color rgb="FFEB5757"/>
      </font>
      <fill>
        <patternFill>
          <bgColor rgb="FF3A1117"/>
        </patternFill>
      </fill>
    </dxf>
    <dxf>
      <font>
        <b/>
        <color rgb="FFC0392B"/>
      </font>
      <fill>
        <patternFill>
          <bgColor rgb="FFFADBD8"/>
        </patternFill>
      </fill>
    </dxf>
    <dxf>
      <font>
        <b/>
        <color rgb="FF2E7D32"/>
      </font>
      <fill>
        <patternFill>
          <bgColor rgb="FFDFF0D8"/>
        </patternFill>
      </fill>
    </dxf>
  </dxfs>
  <tableStyles count="0" defaultTableStyle="TableStyleMedium2" defaultPivotStyle="PivotStyleLight16"/>
  <colors>
    <indexedColors>
      <rgbColor rgb="FF000000"/>
      <rgbColor rgb="FFFFFFFF"/>
      <rgbColor rgb="FFFF0000"/>
      <rgbColor rgb="FFF8FAFC"/>
      <rgbColor rgb="FF0F2742"/>
      <rgbColor rgb="FFFFFF00"/>
      <rgbColor rgb="FF13263A"/>
      <rgbColor rgb="FFF3F6F8"/>
      <rgbColor rgb="FFBE0000"/>
      <rgbColor rgb="FF006100"/>
      <rgbColor rgb="FF0B1F3A"/>
      <rgbColor rgb="FF995F00"/>
      <rgbColor rgb="FF172033"/>
      <rgbColor rgb="FF0E756F"/>
      <rgbColor rgb="FFCFDAD8"/>
      <rgbColor rgb="FF35546F"/>
      <rgbColor rgb="FFDCEAF7"/>
      <rgbColor rgb="FF334155"/>
      <rgbColor rgb="FFFFF2CC"/>
      <rgbColor rgb="FFD9EAF7"/>
      <rgbColor rgb="FF4B1F24"/>
      <rgbColor rgb="FFF2F2F2"/>
      <rgbColor rgb="FF1C5D9A"/>
      <rgbColor rgb="FFC7D4EB"/>
      <rgbColor rgb="FF0B1220"/>
      <rgbColor rgb="FF0F1C2A"/>
      <rgbColor rgb="FFFCE4D6"/>
      <rgbColor rgb="FFF5F7FA"/>
      <rgbColor rgb="FF111827"/>
      <rgbColor rgb="FF3A1117"/>
      <rgbColor rgb="FF3475A9"/>
      <rgbColor rgb="FF0B1F33"/>
      <rgbColor rgb="FF105389"/>
      <rgbColor rgb="FFEAF4FB"/>
      <rgbColor rgb="FFD9F0D0"/>
      <rgbColor rgb="FFE2F0D9"/>
      <rgbColor rgb="FFD9D9D9"/>
      <rgbColor rgb="FFF4CCCC"/>
      <rgbColor rgb="FFDDE8F3"/>
      <rgbColor rgb="FFFED4AA"/>
      <rgbColor rgb="FF2C7BE5"/>
      <rgbColor rgb="FF58A3D2"/>
      <rgbColor rgb="FFEEF4FA"/>
      <rgbColor rgb="FFF2C83F"/>
      <rgbColor rgb="FFEEF4FB"/>
      <rgbColor rgb="FFEA5656"/>
      <rgbColor rgb="FF4D5C6B"/>
      <rgbColor rgb="FF1E4E78"/>
      <rgbColor rgb="FF163A60"/>
      <rgbColor rgb="FF5ACA52"/>
      <rgbColor rgb="FF133620"/>
      <rgbColor rgb="FF3B3213"/>
      <rgbColor rgb="FF4A3A18"/>
      <rgbColor rgb="FF1F4E79"/>
      <rgbColor rgb="FF244A72"/>
      <rgbColor rgb="FF1F2937"/>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externalLink" Target="externalLinks/externalLink6.xml"/><Relationship Id="rId79"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externalLink" Target="externalLinks/externalLink1.xml"/><Relationship Id="rId77"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externalLink" Target="externalLinks/externalLink4.xml"/><Relationship Id="rId80"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externalLink" Target="externalLinks/externalLink2.xml"/><Relationship Id="rId75" Type="http://schemas.openxmlformats.org/officeDocument/2006/relationships/externalLink" Target="externalLinks/externalLink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externalLink" Target="externalLinks/externalLink5.xml"/><Relationship Id="rId78"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externalLink" Target="externalLinks/externalLink8.xml"/><Relationship Id="rId7" Type="http://schemas.openxmlformats.org/officeDocument/2006/relationships/worksheet" Target="worksheets/sheet7.xml"/><Relationship Id="rId71" Type="http://schemas.openxmlformats.org/officeDocument/2006/relationships/externalLink" Target="externalLinks/externalLink3.xml"/><Relationship Id="rId2" Type="http://schemas.openxmlformats.org/officeDocument/2006/relationships/worksheet" Target="worksheets/sheet2.xml"/><Relationship Id="rId29" Type="http://schemas.openxmlformats.org/officeDocument/2006/relationships/worksheet" Target="worksheets/sheet29.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304800</xdr:colOff>
      <xdr:row>49</xdr:row>
      <xdr:rowOff>0</xdr:rowOff>
    </xdr:to>
    <xdr:sp macro="" textlink="">
      <xdr:nvSpPr>
        <xdr:cNvPr id="1056" name="Text Box 32" hidden="1">
          <a:extLst>
            <a:ext uri="{FF2B5EF4-FFF2-40B4-BE49-F238E27FC236}">
              <a16:creationId xmlns:a16="http://schemas.microsoft.com/office/drawing/2014/main" id="{60D50262-686D-28CB-E779-4E6A3FE16A9D}"/>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_PMIS_Helper"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_V4_Helper"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_V4_Config"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GCC/Bedford_VA_EHRM_PMIS_MASTER_v8.3_.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C:\Users\PaulThibodeau\Desktop\GCC\Bedford_VA_EHRM_PMIS_MASTER_v8.3_command_center_fixed.xlsx" TargetMode="External"/><Relationship Id="rId1" Type="http://schemas.openxmlformats.org/officeDocument/2006/relationships/externalLinkPath" Target="GCC/Bedford_VA_EHRM_PMIS_MASTER_v8.3_command_center_fixed.xlsx" TargetMode="External"/></Relationships>
</file>

<file path=xl/externalLinks/_rels/externalLink6.xml.rels><?xml version="1.0" encoding="UTF-8" standalone="yes"?>
<Relationships xmlns="http://schemas.openxmlformats.org/package/2006/relationships"><Relationship Id="rId3" Type="http://schemas.openxmlformats.org/officeDocument/2006/relationships/externalLinkPath" Target="../Downloads/Bedford_VA_EHRM_PMIS_MASTER_v8.7(2)_PROJECT_REGISTER_COPY_PASTE.xlsx" TargetMode="External"/><Relationship Id="rId2" Type="http://schemas.openxmlformats.org/officeDocument/2006/relationships/externalLinkPath" Target="file:///C:\Users\PaulThibodeau\Downloads\Bedford_VA_EHRM_PMIS_MASTER_v8.7(2)_PROJECT_REGISTER_COPY_PASTE.xlsx" TargetMode="External"/><Relationship Id="rId1" Type="http://schemas.openxmlformats.org/officeDocument/2006/relationships/externalLinkPath" Target="/Users/PaulThibodeau/Downloads/Bedford_VA_EHRM_PMIS_MASTER_v8.7(2)_PROJECT_REGISTER_COPY_PASTE.xlsx" TargetMode="External"/></Relationships>
</file>

<file path=xl/externalLinks/_rels/externalLink7.xml.rels><?xml version="1.0" encoding="UTF-8" standalone="yes"?>
<Relationships xmlns="http://schemas.openxmlformats.org/package/2006/relationships"><Relationship Id="rId3" Type="http://schemas.openxmlformats.org/officeDocument/2006/relationships/externalLinkPath" Target="../Downloads/Bedford_VA_EHRM_PMIS_MASTER_v8.7(2)_MAPPED.xlsx" TargetMode="External"/><Relationship Id="rId2" Type="http://schemas.openxmlformats.org/officeDocument/2006/relationships/externalLinkPath" Target="file:///C:\Users\PaulThibodeau\Downloads\Bedford_VA_EHRM_PMIS_MASTER_v8.7(2)_MAPPED.xlsx" TargetMode="External"/><Relationship Id="rId1" Type="http://schemas.openxmlformats.org/officeDocument/2006/relationships/externalLinkPath" Target="/Users/PaulThibodeau/Downloads/Bedford_VA_EHRM_PMIS_MASTER_v8.7(2)_MAPPED.xlsx" TargetMode="External"/></Relationships>
</file>

<file path=xl/externalLinks/_rels/externalLink8.xml.rels><?xml version="1.0" encoding="UTF-8" standalone="yes"?>
<Relationships xmlns="http://schemas.openxmlformats.org/package/2006/relationships"><Relationship Id="rId3" Type="http://schemas.openxmlformats.org/officeDocument/2006/relationships/externalLinkPath" Target="../Downloads/Bedford_VA_EHRM_PMIS_MASTER_v8.7(3)_VALIDATION_FIXED.xlsx" TargetMode="External"/><Relationship Id="rId2" Type="http://schemas.openxmlformats.org/officeDocument/2006/relationships/externalLinkPath" Target="file:///C:\Users\PaulThibodeau\Downloads\Bedford_VA_EHRM_PMIS_MASTER_v8.7(3)_VALIDATION_FIXED.xlsx" TargetMode="External"/><Relationship Id="rId1" Type="http://schemas.openxmlformats.org/officeDocument/2006/relationships/externalLinkPath" Target="/Users/PaulThibodeau/Downloads/Bedford_VA_EHRM_PMIS_MASTER_v8.7(3)_VALIDATION_FIX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PMIS_Helper"/>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V4_Helper"/>
      <sheetName val="_PMIS_Helper"/>
    </sheetNames>
    <sheetDataSet>
      <sheetData sheetId="0" refreshError="1"/>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V4_Config"/>
      <sheetName val="_V4_Helper"/>
    </sheetNames>
    <sheetDataSet>
      <sheetData sheetId="0" refreshError="1"/>
      <sheetData sheetId="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MIS_Config"/>
      <sheetName val="Data_Health"/>
      <sheetName val="README_ARCHITECTURE"/>
      <sheetName val="V4_Mission_Control"/>
      <sheetName val="Dashboard"/>
      <sheetName val="Building_View"/>
      <sheetName val="Command_Center"/>
      <sheetName val="COMMAND CENTERS"/>
      <sheetName val="Command_Tile_Copy_Block"/>
      <sheetName val="Executive Brief"/>
      <sheetName val="Pilot"/>
      <sheetName val="Shutdown_Tracker"/>
      <sheetName val="Building_Register"/>
      <sheetName val="Stakeholders"/>
      <sheetName val="_Command_Lists"/>
      <sheetName val="_PMIS_Config"/>
      <sheetName val="Lookup_Lists"/>
      <sheetName val="System_Map"/>
      <sheetName val="PMIS_Home"/>
      <sheetName val="Lists"/>
      <sheetName val="Telecom_Rooms"/>
      <sheetName val="Building_Stakeholders"/>
      <sheetName val="Existing_Conditions"/>
      <sheetName val="Doc_Register"/>
      <sheetName val="Documentation"/>
      <sheetName val="PMIS_Data (2)"/>
      <sheetName val="PMIS_Data"/>
      <sheetName val="B61_Assessment"/>
      <sheetName val="B01_Assessment"/>
      <sheetName val="B02_Assessment"/>
      <sheetName val="B03_Assessment"/>
      <sheetName val="B04_Assessment"/>
      <sheetName val="B05_Assessment"/>
      <sheetName val="B06_Assessment"/>
      <sheetName val="B07_Assessment"/>
      <sheetName val="B08_Assessment"/>
      <sheetName val="B09_Assessment"/>
      <sheetName val="B10_Assessment"/>
      <sheetName val="B12_Assessment"/>
      <sheetName val="B13_Assessment"/>
      <sheetName val="B14_Assessment"/>
      <sheetName val="B15_Assessment"/>
      <sheetName val="B16_Assessment"/>
      <sheetName val="B17_Assessment"/>
      <sheetName val="B18_Assessment"/>
      <sheetName val="B20_Assessment"/>
      <sheetName val="B21_Assessment"/>
      <sheetName val="B22_Assessment"/>
      <sheetName val="B33_Assessment"/>
      <sheetName val="B62_TR_Assessment"/>
      <sheetName val="B70_TR_Assessment"/>
      <sheetName val="B78_Assessment"/>
      <sheetName val="B80_Assessment"/>
      <sheetName val="B82_Assessment"/>
      <sheetName val="BCH_Assessment"/>
      <sheetName val="MCR_Assessment"/>
      <sheetName val="SITE_Assesment"/>
      <sheetName val="SPEC_Assessment"/>
      <sheetName val="_Command_Source"/>
      <sheetName val="_Assessment_Full_View"/>
      <sheetName val="V4_Architecture_Map"/>
      <sheetName val="_V4_ActionQueue"/>
      <sheetName val="_Command_Trade_Notes"/>
      <sheetName val="PMIS_Trade_Notes"/>
      <sheetName val="Today's_Focu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2">
          <cell r="A2" t="str">
            <v>Campus</v>
          </cell>
          <cell r="B2" t="str">
            <v>Campus</v>
          </cell>
        </row>
        <row r="3">
          <cell r="A3" t="str">
            <v>B01</v>
          </cell>
          <cell r="B3" t="str">
            <v>01</v>
          </cell>
        </row>
        <row r="4">
          <cell r="A4" t="str">
            <v>B02</v>
          </cell>
          <cell r="B4" t="str">
            <v>02</v>
          </cell>
        </row>
        <row r="5">
          <cell r="A5" t="str">
            <v>B03</v>
          </cell>
          <cell r="B5" t="str">
            <v>03</v>
          </cell>
        </row>
        <row r="6">
          <cell r="A6" t="str">
            <v>B04</v>
          </cell>
          <cell r="B6" t="str">
            <v>04</v>
          </cell>
        </row>
        <row r="7">
          <cell r="A7" t="str">
            <v>B05</v>
          </cell>
          <cell r="B7" t="str">
            <v>05</v>
          </cell>
        </row>
        <row r="8">
          <cell r="A8" t="str">
            <v>B06</v>
          </cell>
          <cell r="B8" t="str">
            <v>06</v>
          </cell>
        </row>
        <row r="9">
          <cell r="A9" t="str">
            <v>B07</v>
          </cell>
          <cell r="B9" t="str">
            <v>07</v>
          </cell>
        </row>
        <row r="10">
          <cell r="A10" t="str">
            <v>B08</v>
          </cell>
          <cell r="B10" t="str">
            <v>08</v>
          </cell>
        </row>
        <row r="11">
          <cell r="A11" t="str">
            <v>B09</v>
          </cell>
          <cell r="B11" t="str">
            <v>09</v>
          </cell>
        </row>
        <row r="12">
          <cell r="A12" t="str">
            <v>B10</v>
          </cell>
          <cell r="B12" t="str">
            <v>10</v>
          </cell>
        </row>
        <row r="13">
          <cell r="A13" t="str">
            <v>B12</v>
          </cell>
          <cell r="B13" t="str">
            <v>12</v>
          </cell>
        </row>
        <row r="14">
          <cell r="A14" t="str">
            <v>B13</v>
          </cell>
          <cell r="B14" t="str">
            <v>13</v>
          </cell>
        </row>
        <row r="15">
          <cell r="A15" t="str">
            <v>B14</v>
          </cell>
          <cell r="B15" t="str">
            <v>14</v>
          </cell>
        </row>
        <row r="16">
          <cell r="A16" t="str">
            <v>B15</v>
          </cell>
          <cell r="B16" t="str">
            <v>15</v>
          </cell>
        </row>
        <row r="17">
          <cell r="A17" t="str">
            <v>B16</v>
          </cell>
          <cell r="B17" t="str">
            <v>16</v>
          </cell>
        </row>
        <row r="18">
          <cell r="A18" t="str">
            <v>B17</v>
          </cell>
          <cell r="B18" t="str">
            <v>17</v>
          </cell>
        </row>
        <row r="19">
          <cell r="A19" t="str">
            <v>B18</v>
          </cell>
          <cell r="B19" t="str">
            <v>18</v>
          </cell>
        </row>
        <row r="20">
          <cell r="A20" t="str">
            <v>B20</v>
          </cell>
          <cell r="B20" t="str">
            <v>20</v>
          </cell>
        </row>
        <row r="21">
          <cell r="A21" t="str">
            <v>B21</v>
          </cell>
          <cell r="B21" t="str">
            <v>21</v>
          </cell>
        </row>
        <row r="22">
          <cell r="A22" t="str">
            <v>B22</v>
          </cell>
          <cell r="B22" t="str">
            <v>22</v>
          </cell>
        </row>
        <row r="23">
          <cell r="A23" t="str">
            <v>B33</v>
          </cell>
          <cell r="B23" t="str">
            <v>33</v>
          </cell>
        </row>
        <row r="24">
          <cell r="A24" t="str">
            <v>B61</v>
          </cell>
          <cell r="B24" t="str">
            <v>61</v>
          </cell>
        </row>
        <row r="25">
          <cell r="A25" t="str">
            <v>B62</v>
          </cell>
          <cell r="B25" t="str">
            <v>62</v>
          </cell>
        </row>
        <row r="26">
          <cell r="A26" t="str">
            <v>B70</v>
          </cell>
          <cell r="B26" t="str">
            <v>70</v>
          </cell>
        </row>
        <row r="27">
          <cell r="A27" t="str">
            <v>B78</v>
          </cell>
          <cell r="B27" t="str">
            <v>78</v>
          </cell>
        </row>
        <row r="28">
          <cell r="A28" t="str">
            <v>B80</v>
          </cell>
          <cell r="B28" t="str">
            <v>80</v>
          </cell>
        </row>
        <row r="29">
          <cell r="A29" t="str">
            <v>B82</v>
          </cell>
          <cell r="B29" t="str">
            <v>82</v>
          </cell>
        </row>
        <row r="30">
          <cell r="A30" t="str">
            <v>BCH</v>
          </cell>
          <cell r="B30" t="str">
            <v>BCH</v>
          </cell>
        </row>
        <row r="31">
          <cell r="A31" t="str">
            <v>MCR</v>
          </cell>
          <cell r="B31" t="str">
            <v>MCR</v>
          </cell>
        </row>
        <row r="32">
          <cell r="A32" t="str">
            <v>SITE</v>
          </cell>
          <cell r="B32" t="str">
            <v>SITE</v>
          </cell>
        </row>
        <row r="33">
          <cell r="A33" t="str">
            <v>SPEC</v>
          </cell>
          <cell r="B33" t="str">
            <v>SPEC</v>
          </cell>
        </row>
      </sheetData>
      <sheetData sheetId="15"/>
      <sheetData sheetId="16"/>
      <sheetData sheetId="17"/>
      <sheetData sheetId="18"/>
      <sheetData sheetId="19"/>
      <sheetData sheetId="20"/>
      <sheetData sheetId="21"/>
      <sheetData sheetId="22"/>
      <sheetData sheetId="23">
        <row r="5">
          <cell r="A5" t="str">
            <v>DOC-001</v>
          </cell>
        </row>
        <row r="6">
          <cell r="A6" t="str">
            <v>DOC-002</v>
          </cell>
        </row>
        <row r="7">
          <cell r="A7" t="str">
            <v>DOC-003</v>
          </cell>
        </row>
        <row r="8">
          <cell r="A8" t="str">
            <v>DOC-004</v>
          </cell>
        </row>
        <row r="9">
          <cell r="A9" t="str">
            <v>DOC-005</v>
          </cell>
        </row>
        <row r="10">
          <cell r="A10" t="str">
            <v>DOC-006</v>
          </cell>
        </row>
        <row r="11">
          <cell r="A11" t="str">
            <v>DOC-007</v>
          </cell>
        </row>
        <row r="12">
          <cell r="A12" t="str">
            <v>DOC-008</v>
          </cell>
        </row>
        <row r="13">
          <cell r="A13" t="str">
            <v>DOC-009</v>
          </cell>
        </row>
        <row r="14">
          <cell r="A14" t="str">
            <v>DOC-010</v>
          </cell>
        </row>
        <row r="15">
          <cell r="A15" t="str">
            <v>DOC-011</v>
          </cell>
        </row>
        <row r="16">
          <cell r="A16" t="str">
            <v>DOC-012</v>
          </cell>
        </row>
        <row r="17">
          <cell r="A17" t="str">
            <v>DOC-013</v>
          </cell>
        </row>
        <row r="18">
          <cell r="A18" t="str">
            <v>DOC-014</v>
          </cell>
        </row>
        <row r="19">
          <cell r="A19" t="str">
            <v>DOC-015</v>
          </cell>
        </row>
        <row r="20">
          <cell r="A20" t="str">
            <v>DOC-016</v>
          </cell>
        </row>
        <row r="21">
          <cell r="A21" t="str">
            <v>DOC-017</v>
          </cell>
        </row>
        <row r="22">
          <cell r="A22" t="str">
            <v>DOC-018</v>
          </cell>
        </row>
        <row r="23">
          <cell r="A23" t="str">
            <v>DOC-019</v>
          </cell>
        </row>
        <row r="24">
          <cell r="A24" t="str">
            <v>DOC-020</v>
          </cell>
        </row>
        <row r="25">
          <cell r="A25" t="str">
            <v>DOC-021</v>
          </cell>
        </row>
        <row r="26">
          <cell r="A26" t="str">
            <v>DOC-022</v>
          </cell>
        </row>
        <row r="27">
          <cell r="A27" t="str">
            <v>DOC-023</v>
          </cell>
        </row>
        <row r="28">
          <cell r="A28" t="str">
            <v>DOC-024</v>
          </cell>
        </row>
        <row r="29">
          <cell r="A29" t="str">
            <v>DOC-025</v>
          </cell>
        </row>
        <row r="30">
          <cell r="A30" t="str">
            <v>DOC-026</v>
          </cell>
        </row>
        <row r="31">
          <cell r="A31" t="str">
            <v>DOC-027</v>
          </cell>
        </row>
        <row r="32">
          <cell r="A32" t="str">
            <v>DOC-028</v>
          </cell>
        </row>
        <row r="33">
          <cell r="A33" t="str">
            <v>DOC-029</v>
          </cell>
        </row>
        <row r="34">
          <cell r="A34" t="str">
            <v>DOC-030</v>
          </cell>
        </row>
        <row r="35">
          <cell r="A35" t="str">
            <v>DOC-031</v>
          </cell>
        </row>
        <row r="36">
          <cell r="A36" t="str">
            <v>DOC-032</v>
          </cell>
        </row>
        <row r="37">
          <cell r="A37" t="str">
            <v>DOC-033</v>
          </cell>
        </row>
        <row r="38">
          <cell r="A38" t="str">
            <v>DOC-034</v>
          </cell>
        </row>
        <row r="39">
          <cell r="A39" t="str">
            <v>DOC-035</v>
          </cell>
        </row>
        <row r="40">
          <cell r="A40" t="str">
            <v>DOC-036</v>
          </cell>
        </row>
        <row r="41">
          <cell r="A41" t="str">
            <v>DOC-037</v>
          </cell>
        </row>
        <row r="42">
          <cell r="A42" t="str">
            <v>DOC-038</v>
          </cell>
        </row>
        <row r="43">
          <cell r="A43" t="str">
            <v>DOC-039</v>
          </cell>
        </row>
        <row r="44">
          <cell r="A44" t="str">
            <v>DOC-040</v>
          </cell>
        </row>
      </sheetData>
      <sheetData sheetId="24"/>
      <sheetData sheetId="25"/>
      <sheetData sheetId="26">
        <row r="1">
          <cell r="A1" t="str">
            <v>PMIS_DATA — FORMULA-FED BUILDING / AREA ROLLUP</v>
          </cell>
        </row>
      </sheetData>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ow r="1">
          <cell r="A1" t="str">
            <v>Building_ID</v>
          </cell>
          <cell r="B1" t="str">
            <v>Assessment_Sheet</v>
          </cell>
        </row>
        <row r="2">
          <cell r="A2" t="str">
            <v>01</v>
          </cell>
          <cell r="B2" t="str">
            <v>B01_Assessment</v>
          </cell>
        </row>
        <row r="3">
          <cell r="A3" t="str">
            <v>02</v>
          </cell>
          <cell r="B3" t="str">
            <v>B02_Assessment</v>
          </cell>
        </row>
        <row r="4">
          <cell r="A4" t="str">
            <v>03</v>
          </cell>
          <cell r="B4" t="str">
            <v>B03_Assessment</v>
          </cell>
        </row>
        <row r="5">
          <cell r="A5" t="str">
            <v>04</v>
          </cell>
          <cell r="B5" t="str">
            <v>B04_Assessment</v>
          </cell>
        </row>
        <row r="6">
          <cell r="A6" t="str">
            <v>05</v>
          </cell>
          <cell r="B6" t="str">
            <v>B05_Assessment</v>
          </cell>
        </row>
        <row r="7">
          <cell r="A7" t="str">
            <v>06</v>
          </cell>
          <cell r="B7" t="str">
            <v>B06_Assessment</v>
          </cell>
        </row>
        <row r="8">
          <cell r="A8" t="str">
            <v>07</v>
          </cell>
          <cell r="B8" t="str">
            <v>B07_Assessment</v>
          </cell>
        </row>
        <row r="9">
          <cell r="A9" t="str">
            <v>08</v>
          </cell>
          <cell r="B9" t="str">
            <v>B08_Assessment</v>
          </cell>
        </row>
        <row r="10">
          <cell r="A10" t="str">
            <v>09</v>
          </cell>
          <cell r="B10" t="str">
            <v>B09_Assessment</v>
          </cell>
        </row>
        <row r="11">
          <cell r="A11" t="str">
            <v>10</v>
          </cell>
          <cell r="B11" t="str">
            <v>B10_Assessment</v>
          </cell>
        </row>
        <row r="12">
          <cell r="A12" t="str">
            <v>12</v>
          </cell>
          <cell r="B12" t="str">
            <v>B12_Assessment</v>
          </cell>
        </row>
        <row r="13">
          <cell r="A13" t="str">
            <v>13</v>
          </cell>
          <cell r="B13" t="str">
            <v>B13_Assessment</v>
          </cell>
        </row>
        <row r="14">
          <cell r="A14" t="str">
            <v>14</v>
          </cell>
          <cell r="B14" t="str">
            <v>B14_Assessment</v>
          </cell>
        </row>
        <row r="15">
          <cell r="A15" t="str">
            <v>15</v>
          </cell>
          <cell r="B15" t="str">
            <v>B15_Assessment</v>
          </cell>
        </row>
        <row r="16">
          <cell r="A16" t="str">
            <v>16</v>
          </cell>
          <cell r="B16" t="str">
            <v>B16_Assessment</v>
          </cell>
        </row>
        <row r="17">
          <cell r="A17" t="str">
            <v>17</v>
          </cell>
          <cell r="B17" t="str">
            <v>B17_Assessment</v>
          </cell>
        </row>
        <row r="18">
          <cell r="A18" t="str">
            <v>18</v>
          </cell>
          <cell r="B18" t="str">
            <v>B18_Assessment</v>
          </cell>
        </row>
        <row r="19">
          <cell r="A19" t="str">
            <v>20</v>
          </cell>
          <cell r="B19" t="str">
            <v>B20_Assessment</v>
          </cell>
        </row>
        <row r="20">
          <cell r="A20" t="str">
            <v>21</v>
          </cell>
          <cell r="B20" t="str">
            <v>B21_Assessment</v>
          </cell>
        </row>
        <row r="21">
          <cell r="A21" t="str">
            <v>22</v>
          </cell>
          <cell r="B21" t="str">
            <v>B22_Assessment</v>
          </cell>
        </row>
        <row r="22">
          <cell r="A22" t="str">
            <v>33</v>
          </cell>
          <cell r="B22" t="str">
            <v>B33_Assessment</v>
          </cell>
        </row>
        <row r="23">
          <cell r="A23" t="str">
            <v>61</v>
          </cell>
          <cell r="B23" t="str">
            <v>B61_Assessment</v>
          </cell>
        </row>
        <row r="24">
          <cell r="A24" t="str">
            <v>62</v>
          </cell>
          <cell r="B24" t="str">
            <v>B62_TR_Assessment</v>
          </cell>
        </row>
        <row r="25">
          <cell r="A25" t="str">
            <v>70</v>
          </cell>
          <cell r="B25" t="str">
            <v>B70_TR_Assessment</v>
          </cell>
        </row>
        <row r="26">
          <cell r="A26" t="str">
            <v>78</v>
          </cell>
          <cell r="B26" t="str">
            <v>B78_Assessment</v>
          </cell>
        </row>
        <row r="27">
          <cell r="A27" t="str">
            <v>80</v>
          </cell>
          <cell r="B27" t="str">
            <v>B80_Assessment</v>
          </cell>
        </row>
        <row r="28">
          <cell r="A28" t="str">
            <v>82</v>
          </cell>
          <cell r="B28" t="str">
            <v>B82_Assessment</v>
          </cell>
        </row>
        <row r="29">
          <cell r="A29" t="str">
            <v>BCH</v>
          </cell>
          <cell r="B29" t="str">
            <v>BCH_Assessment</v>
          </cell>
        </row>
        <row r="30">
          <cell r="A30" t="str">
            <v>MCR</v>
          </cell>
          <cell r="B30" t="str">
            <v>MCR_Assessment</v>
          </cell>
        </row>
        <row r="31">
          <cell r="A31" t="str">
            <v>SPEC</v>
          </cell>
          <cell r="B31" t="str">
            <v>SPEC_Assessment</v>
          </cell>
        </row>
        <row r="32">
          <cell r="A32" t="str">
            <v>Campus</v>
          </cell>
          <cell r="B32" t="str">
            <v>Campus</v>
          </cell>
        </row>
        <row r="33">
          <cell r="A33" t="str">
            <v>SITE</v>
          </cell>
          <cell r="B33" t="str">
            <v>SITE_Assesment</v>
          </cell>
        </row>
      </sheetData>
      <sheetData sheetId="59">
        <row r="1">
          <cell r="E1" t="str">
            <v>Section</v>
          </cell>
          <cell r="G1" t="str">
            <v>Col_A</v>
          </cell>
          <cell r="H1" t="str">
            <v>Col_B</v>
          </cell>
          <cell r="I1" t="str">
            <v>Col_C</v>
          </cell>
          <cell r="J1" t="str">
            <v>Col_D</v>
          </cell>
          <cell r="K1" t="str">
            <v>Col_E</v>
          </cell>
          <cell r="L1" t="str">
            <v>Col_F</v>
          </cell>
          <cell r="O1" t="str">
            <v>Col_I</v>
          </cell>
          <cell r="Q1" t="str">
            <v>Key</v>
          </cell>
        </row>
        <row r="2">
          <cell r="E2" t="str">
            <v>1. ROOM INVENTORY</v>
          </cell>
          <cell r="G2" t="str">
            <v>1. ROOM INVENTORY</v>
          </cell>
          <cell r="H2">
            <v>0</v>
          </cell>
          <cell r="I2">
            <v>0</v>
          </cell>
          <cell r="J2">
            <v>0</v>
          </cell>
          <cell r="K2">
            <v>0</v>
          </cell>
          <cell r="L2">
            <v>0</v>
          </cell>
          <cell r="O2">
            <v>0</v>
          </cell>
          <cell r="Q2" t="str">
            <v>01|1</v>
          </cell>
        </row>
        <row r="3">
          <cell r="E3" t="str">
            <v>1. ROOM INVENTORY</v>
          </cell>
          <cell r="G3" t="str">
            <v>Building</v>
          </cell>
          <cell r="H3" t="str">
            <v>Room</v>
          </cell>
          <cell r="I3" t="str">
            <v>Floor</v>
          </cell>
          <cell r="J3" t="str">
            <v>Existing Use</v>
          </cell>
          <cell r="K3" t="str">
            <v>New Use</v>
          </cell>
          <cell r="L3" t="str">
            <v>Rack Count</v>
          </cell>
          <cell r="O3" t="str">
            <v>Drawing Ref</v>
          </cell>
          <cell r="Q3" t="str">
            <v>01|2</v>
          </cell>
        </row>
        <row r="4">
          <cell r="E4" t="str">
            <v>1. ROOM INVENTORY</v>
          </cell>
          <cell r="G4" t="str">
            <v>01</v>
          </cell>
          <cell r="H4" t="str">
            <v>107</v>
          </cell>
          <cell r="I4" t="str">
            <v>First</v>
          </cell>
          <cell r="J4" t="str">
            <v>New Telecom Room build area</v>
          </cell>
          <cell r="K4" t="str">
            <v>Telecom Room</v>
          </cell>
          <cell r="L4">
            <v>1</v>
          </cell>
          <cell r="O4" t="str">
            <v>01A-401 / 01E-101 / 01E-601 / 01E-701 / 01T-101 / 01T-604 / 01T-605 / 01T-701</v>
          </cell>
          <cell r="Q4" t="str">
            <v>01|3</v>
          </cell>
        </row>
        <row r="5">
          <cell r="E5" t="str">
            <v>1. ROOM INVENTORY</v>
          </cell>
          <cell r="G5" t="str">
            <v>01</v>
          </cell>
          <cell r="H5" t="str">
            <v>B02</v>
          </cell>
          <cell r="I5" t="str">
            <v>Basement</v>
          </cell>
          <cell r="J5" t="str">
            <v>Existing telecom room / racks</v>
          </cell>
          <cell r="K5" t="str">
            <v>Existing telecom transition point</v>
          </cell>
          <cell r="L5">
            <v>3</v>
          </cell>
          <cell r="O5" t="str">
            <v>01T-100 / 01T-604 / 01R-900</v>
          </cell>
          <cell r="Q5" t="str">
            <v>01|4</v>
          </cell>
        </row>
        <row r="6">
          <cell r="E6" t="str">
            <v>1. ROOM INVENTORY</v>
          </cell>
          <cell r="G6" t="str">
            <v>01</v>
          </cell>
          <cell r="H6" t="str">
            <v>138</v>
          </cell>
          <cell r="I6" t="str">
            <v>First</v>
          </cell>
          <cell r="J6" t="str">
            <v>Existing telecom room / patch panels</v>
          </cell>
          <cell r="K6" t="str">
            <v>Existing telecom transition point</v>
          </cell>
          <cell r="L6">
            <v>3</v>
          </cell>
          <cell r="O6" t="str">
            <v>01T-101 / 01T-604 / 01R-900</v>
          </cell>
          <cell r="Q6" t="str">
            <v>01|5</v>
          </cell>
        </row>
        <row r="7">
          <cell r="E7" t="str">
            <v>1. ROOM INVENTORY</v>
          </cell>
          <cell r="G7" t="str">
            <v>01</v>
          </cell>
          <cell r="H7" t="str">
            <v>282</v>
          </cell>
          <cell r="I7" t="str">
            <v>Second</v>
          </cell>
          <cell r="J7" t="str">
            <v>Existing telecom room / racks</v>
          </cell>
          <cell r="K7" t="str">
            <v>Existing telecom transition point</v>
          </cell>
          <cell r="L7">
            <v>2</v>
          </cell>
          <cell r="O7" t="str">
            <v>01T-101 / 01T-605 / 01R-900</v>
          </cell>
          <cell r="Q7" t="str">
            <v>01|6</v>
          </cell>
        </row>
        <row r="8">
          <cell r="E8" t="str">
            <v>1. ROOM INVENTORY</v>
          </cell>
          <cell r="G8">
            <v>0</v>
          </cell>
          <cell r="H8">
            <v>0</v>
          </cell>
          <cell r="I8">
            <v>0</v>
          </cell>
          <cell r="J8">
            <v>0</v>
          </cell>
          <cell r="K8">
            <v>0</v>
          </cell>
          <cell r="L8">
            <v>0</v>
          </cell>
          <cell r="O8">
            <v>0</v>
          </cell>
          <cell r="Q8" t="str">
            <v>01|7</v>
          </cell>
        </row>
        <row r="9">
          <cell r="E9" t="str">
            <v>2. ROOM READINESS</v>
          </cell>
          <cell r="G9" t="str">
            <v>2. ROOM READINESS</v>
          </cell>
          <cell r="H9">
            <v>0</v>
          </cell>
          <cell r="I9">
            <v>0</v>
          </cell>
          <cell r="J9">
            <v>0</v>
          </cell>
          <cell r="K9">
            <v>0</v>
          </cell>
          <cell r="L9">
            <v>0</v>
          </cell>
          <cell r="O9">
            <v>0</v>
          </cell>
          <cell r="Q9" t="str">
            <v>01|8</v>
          </cell>
        </row>
        <row r="10">
          <cell r="E10" t="str">
            <v>2. ROOM READINESS</v>
          </cell>
          <cell r="G10" t="str">
            <v>Room</v>
          </cell>
          <cell r="H10" t="str">
            <v>Walls / 1-hr Rating</v>
          </cell>
          <cell r="I10" t="str">
            <v>Ceiling</v>
          </cell>
          <cell r="J10" t="str">
            <v>Floor / SDC</v>
          </cell>
          <cell r="K10" t="str">
            <v>Penetrations</v>
          </cell>
          <cell r="L10" t="str">
            <v>Access Control</v>
          </cell>
          <cell r="O10" t="str">
            <v>Overall</v>
          </cell>
          <cell r="Q10" t="str">
            <v>01|9</v>
          </cell>
        </row>
        <row r="11">
          <cell r="E11" t="str">
            <v>2. ROOM READINESS</v>
          </cell>
          <cell r="G11" t="str">
            <v>107</v>
          </cell>
          <cell r="H11" t="str">
            <v>Verify</v>
          </cell>
          <cell r="I11" t="str">
            <v>Verify</v>
          </cell>
          <cell r="J11" t="str">
            <v>Verify</v>
          </cell>
          <cell r="K11" t="str">
            <v>Verify</v>
          </cell>
          <cell r="L11" t="str">
            <v>Verify</v>
          </cell>
          <cell r="O11" t="str">
            <v>Verify</v>
          </cell>
          <cell r="Q11" t="str">
            <v>01|10</v>
          </cell>
        </row>
        <row r="12">
          <cell r="E12" t="str">
            <v>2. ROOM READINESS</v>
          </cell>
          <cell r="G12" t="str">
            <v>B02</v>
          </cell>
          <cell r="H12" t="str">
            <v>Existing / Verify</v>
          </cell>
          <cell r="I12" t="str">
            <v>Existing / Verify</v>
          </cell>
          <cell r="J12" t="str">
            <v>Existing / Verify</v>
          </cell>
          <cell r="K12" t="str">
            <v>Verify</v>
          </cell>
          <cell r="L12" t="str">
            <v>Verify Existing</v>
          </cell>
          <cell r="O12" t="str">
            <v>Verify</v>
          </cell>
          <cell r="Q12" t="str">
            <v>01|11</v>
          </cell>
        </row>
        <row r="13">
          <cell r="E13" t="str">
            <v>2. ROOM READINESS</v>
          </cell>
          <cell r="G13" t="str">
            <v>138</v>
          </cell>
          <cell r="H13" t="str">
            <v>Existing / Verify</v>
          </cell>
          <cell r="I13" t="str">
            <v>Existing / Verify</v>
          </cell>
          <cell r="J13" t="str">
            <v>Existing / Verify</v>
          </cell>
          <cell r="K13" t="str">
            <v>Verify</v>
          </cell>
          <cell r="L13" t="str">
            <v>Verify Existing</v>
          </cell>
          <cell r="O13" t="str">
            <v>Verify</v>
          </cell>
          <cell r="Q13" t="str">
            <v>01|12</v>
          </cell>
        </row>
        <row r="14">
          <cell r="E14" t="str">
            <v>2. ROOM READINESS</v>
          </cell>
          <cell r="G14" t="str">
            <v>282</v>
          </cell>
          <cell r="H14" t="str">
            <v>Existing / Verify</v>
          </cell>
          <cell r="I14" t="str">
            <v>Existing / Verify</v>
          </cell>
          <cell r="J14" t="str">
            <v>Existing / Verify</v>
          </cell>
          <cell r="K14" t="str">
            <v>Verify</v>
          </cell>
          <cell r="L14" t="str">
            <v>Verify Existing</v>
          </cell>
          <cell r="O14" t="str">
            <v>Verify</v>
          </cell>
          <cell r="Q14" t="str">
            <v>01|13</v>
          </cell>
        </row>
        <row r="15">
          <cell r="E15" t="str">
            <v>2. ROOM READINESS</v>
          </cell>
          <cell r="G15">
            <v>0</v>
          </cell>
          <cell r="H15">
            <v>0</v>
          </cell>
          <cell r="I15">
            <v>0</v>
          </cell>
          <cell r="J15">
            <v>0</v>
          </cell>
          <cell r="K15">
            <v>0</v>
          </cell>
          <cell r="L15">
            <v>0</v>
          </cell>
          <cell r="O15">
            <v>0</v>
          </cell>
          <cell r="Q15" t="str">
            <v>01|14</v>
          </cell>
        </row>
        <row r="16">
          <cell r="E16" t="str">
            <v>3. FIRE PROTECTION</v>
          </cell>
          <cell r="G16" t="str">
            <v>3. FIRE PROTECTION</v>
          </cell>
          <cell r="H16">
            <v>0</v>
          </cell>
          <cell r="I16">
            <v>0</v>
          </cell>
          <cell r="J16">
            <v>0</v>
          </cell>
          <cell r="K16">
            <v>0</v>
          </cell>
          <cell r="L16">
            <v>0</v>
          </cell>
          <cell r="O16">
            <v>0</v>
          </cell>
          <cell r="Q16" t="str">
            <v>01|15</v>
          </cell>
        </row>
        <row r="17">
          <cell r="E17" t="str">
            <v>3. FIRE PROTECTION</v>
          </cell>
          <cell r="G17" t="str">
            <v>Room</v>
          </cell>
          <cell r="H17" t="str">
            <v>Sprinkler</v>
          </cell>
          <cell r="I17" t="str">
            <v>Cage</v>
          </cell>
          <cell r="J17" t="str">
            <v>Detector</v>
          </cell>
          <cell r="K17" t="str">
            <v>Horn/Strobe</v>
          </cell>
          <cell r="L17" t="str">
            <v>Extinguisher &lt;75 ft</v>
          </cell>
          <cell r="O17" t="str">
            <v>Overall</v>
          </cell>
          <cell r="Q17" t="str">
            <v>01|16</v>
          </cell>
        </row>
        <row r="18">
          <cell r="E18" t="str">
            <v>3. FIRE PROTECTION</v>
          </cell>
          <cell r="G18" t="str">
            <v>107</v>
          </cell>
          <cell r="H18" t="str">
            <v>Verify</v>
          </cell>
          <cell r="I18" t="str">
            <v>Verify</v>
          </cell>
          <cell r="J18" t="str">
            <v>Verify</v>
          </cell>
          <cell r="K18" t="str">
            <v>Verify</v>
          </cell>
          <cell r="L18" t="str">
            <v>Verify</v>
          </cell>
          <cell r="O18" t="str">
            <v>Verify</v>
          </cell>
          <cell r="Q18" t="str">
            <v>01|17</v>
          </cell>
        </row>
        <row r="19">
          <cell r="E19" t="str">
            <v>3. FIRE PROTECTION</v>
          </cell>
          <cell r="G19" t="str">
            <v>B02</v>
          </cell>
          <cell r="H19" t="str">
            <v>Existing / Verify</v>
          </cell>
          <cell r="I19" t="str">
            <v>N/A</v>
          </cell>
          <cell r="J19" t="str">
            <v>Verify Existing</v>
          </cell>
          <cell r="K19" t="str">
            <v>Verify Existing</v>
          </cell>
          <cell r="L19" t="str">
            <v>Verify</v>
          </cell>
          <cell r="O19" t="str">
            <v>Verify</v>
          </cell>
          <cell r="Q19" t="str">
            <v>01|18</v>
          </cell>
        </row>
        <row r="20">
          <cell r="E20" t="str">
            <v>3. FIRE PROTECTION</v>
          </cell>
          <cell r="G20" t="str">
            <v>138</v>
          </cell>
          <cell r="H20" t="str">
            <v>Existing / Verify</v>
          </cell>
          <cell r="I20" t="str">
            <v>N/A</v>
          </cell>
          <cell r="J20" t="str">
            <v>Verify Existing</v>
          </cell>
          <cell r="K20" t="str">
            <v>Verify Existing</v>
          </cell>
          <cell r="L20" t="str">
            <v>Verify</v>
          </cell>
          <cell r="O20" t="str">
            <v>Verify</v>
          </cell>
          <cell r="Q20" t="str">
            <v>01|19</v>
          </cell>
        </row>
        <row r="21">
          <cell r="E21" t="str">
            <v>3. FIRE PROTECTION</v>
          </cell>
          <cell r="G21" t="str">
            <v>282</v>
          </cell>
          <cell r="H21" t="str">
            <v>Existing / Verify</v>
          </cell>
          <cell r="I21" t="str">
            <v>N/A</v>
          </cell>
          <cell r="J21" t="str">
            <v>Verify Existing</v>
          </cell>
          <cell r="K21" t="str">
            <v>Verify Existing</v>
          </cell>
          <cell r="L21" t="str">
            <v>Verify</v>
          </cell>
          <cell r="O21" t="str">
            <v>Verify</v>
          </cell>
          <cell r="Q21" t="str">
            <v>01|20</v>
          </cell>
        </row>
        <row r="22">
          <cell r="E22" t="str">
            <v>3. FIRE PROTECTION</v>
          </cell>
          <cell r="G22">
            <v>0</v>
          </cell>
          <cell r="H22">
            <v>0</v>
          </cell>
          <cell r="I22">
            <v>0</v>
          </cell>
          <cell r="J22">
            <v>0</v>
          </cell>
          <cell r="K22">
            <v>0</v>
          </cell>
          <cell r="L22">
            <v>0</v>
          </cell>
          <cell r="O22">
            <v>0</v>
          </cell>
          <cell r="Q22" t="str">
            <v>01|21</v>
          </cell>
        </row>
        <row r="23">
          <cell r="E23" t="str">
            <v>4. HVAC / COOLING</v>
          </cell>
          <cell r="G23" t="str">
            <v>4. HVAC / COOLING</v>
          </cell>
          <cell r="H23">
            <v>0</v>
          </cell>
          <cell r="I23">
            <v>0</v>
          </cell>
          <cell r="J23">
            <v>0</v>
          </cell>
          <cell r="K23">
            <v>0</v>
          </cell>
          <cell r="L23">
            <v>0</v>
          </cell>
          <cell r="O23">
            <v>0</v>
          </cell>
          <cell r="Q23" t="str">
            <v>01|22</v>
          </cell>
        </row>
        <row r="24">
          <cell r="E24" t="str">
            <v>4. HVAC / COOLING</v>
          </cell>
          <cell r="G24" t="str">
            <v>Room</v>
          </cell>
          <cell r="H24" t="str">
            <v>Dedicated Unit</v>
          </cell>
          <cell r="I24" t="str">
            <v>Capacity Verified</v>
          </cell>
          <cell r="J24" t="str">
            <v>Emergency Power</v>
          </cell>
          <cell r="K24" t="str">
            <v>Controls / BACnet</v>
          </cell>
          <cell r="L24" t="str">
            <v>Condensate Routed</v>
          </cell>
          <cell r="O24" t="str">
            <v>Overall</v>
          </cell>
          <cell r="Q24" t="str">
            <v>01|23</v>
          </cell>
        </row>
        <row r="25">
          <cell r="E25" t="str">
            <v>4. HVAC / COOLING</v>
          </cell>
          <cell r="G25" t="str">
            <v>107</v>
          </cell>
          <cell r="H25" t="str">
            <v>IU-1-01 / CU-1-01</v>
          </cell>
          <cell r="I25" t="str">
            <v>Verify</v>
          </cell>
          <cell r="J25" t="str">
            <v>Verify</v>
          </cell>
          <cell r="K25" t="str">
            <v>Verify</v>
          </cell>
          <cell r="L25" t="str">
            <v>Verify</v>
          </cell>
          <cell r="O25" t="str">
            <v>Verify</v>
          </cell>
          <cell r="Q25" t="str">
            <v>01|24</v>
          </cell>
        </row>
        <row r="26">
          <cell r="E26" t="str">
            <v>4. HVAC / COOLING</v>
          </cell>
          <cell r="G26" t="str">
            <v>B02</v>
          </cell>
          <cell r="H26" t="str">
            <v>Existing / Verify</v>
          </cell>
          <cell r="I26" t="str">
            <v>Verify</v>
          </cell>
          <cell r="J26" t="str">
            <v>Verify</v>
          </cell>
          <cell r="K26" t="str">
            <v>Verify</v>
          </cell>
          <cell r="L26" t="str">
            <v>Verify</v>
          </cell>
          <cell r="O26" t="str">
            <v>Verify</v>
          </cell>
          <cell r="Q26" t="str">
            <v>01|25</v>
          </cell>
        </row>
        <row r="27">
          <cell r="E27" t="str">
            <v>4. HVAC / COOLING</v>
          </cell>
          <cell r="G27" t="str">
            <v>138</v>
          </cell>
          <cell r="H27" t="str">
            <v>Existing / Verify</v>
          </cell>
          <cell r="I27" t="str">
            <v>Verify</v>
          </cell>
          <cell r="J27" t="str">
            <v>Verify</v>
          </cell>
          <cell r="K27" t="str">
            <v>Verify</v>
          </cell>
          <cell r="L27" t="str">
            <v>Verify</v>
          </cell>
          <cell r="O27" t="str">
            <v>Verify</v>
          </cell>
          <cell r="Q27" t="str">
            <v>01|26</v>
          </cell>
        </row>
        <row r="28">
          <cell r="E28" t="str">
            <v>4. HVAC / COOLING</v>
          </cell>
          <cell r="G28" t="str">
            <v>282</v>
          </cell>
          <cell r="H28" t="str">
            <v>Existing / Verify</v>
          </cell>
          <cell r="I28" t="str">
            <v>Verify</v>
          </cell>
          <cell r="J28" t="str">
            <v>Verify</v>
          </cell>
          <cell r="K28" t="str">
            <v>Verify</v>
          </cell>
          <cell r="L28" t="str">
            <v>Verify</v>
          </cell>
          <cell r="O28" t="str">
            <v>Verify</v>
          </cell>
          <cell r="Q28" t="str">
            <v>01|27</v>
          </cell>
        </row>
        <row r="29">
          <cell r="E29" t="str">
            <v>4. HVAC / COOLING</v>
          </cell>
          <cell r="G29">
            <v>0</v>
          </cell>
          <cell r="H29">
            <v>0</v>
          </cell>
          <cell r="I29">
            <v>0</v>
          </cell>
          <cell r="J29">
            <v>0</v>
          </cell>
          <cell r="K29">
            <v>0</v>
          </cell>
          <cell r="L29">
            <v>0</v>
          </cell>
          <cell r="O29">
            <v>0</v>
          </cell>
          <cell r="Q29" t="str">
            <v>01|28</v>
          </cell>
        </row>
        <row r="30">
          <cell r="E30" t="str">
            <v>5. ELECTRICAL / UPS</v>
          </cell>
          <cell r="G30" t="str">
            <v>5. ELECTRICAL / UPS</v>
          </cell>
          <cell r="H30">
            <v>0</v>
          </cell>
          <cell r="I30">
            <v>0</v>
          </cell>
          <cell r="J30">
            <v>0</v>
          </cell>
          <cell r="K30">
            <v>0</v>
          </cell>
          <cell r="L30">
            <v>0</v>
          </cell>
          <cell r="O30">
            <v>0</v>
          </cell>
          <cell r="Q30" t="str">
            <v>01|29</v>
          </cell>
        </row>
        <row r="31">
          <cell r="E31" t="str">
            <v>5. ELECTRICAL / UPS</v>
          </cell>
          <cell r="G31" t="str">
            <v>Room</v>
          </cell>
          <cell r="H31" t="str">
            <v>UPS Installed</v>
          </cell>
          <cell r="I31" t="str">
            <v>UPS Size</v>
          </cell>
          <cell r="J31" t="str">
            <v>PDU Installed</v>
          </cell>
          <cell r="K31" t="str">
            <v>Rack Receptacles</v>
          </cell>
          <cell r="L31" t="str">
            <v>Panel Assigned</v>
          </cell>
          <cell r="O31" t="str">
            <v>Overall</v>
          </cell>
          <cell r="Q31" t="str">
            <v>01|30</v>
          </cell>
        </row>
        <row r="32">
          <cell r="E32" t="str">
            <v>5. ELECTRICAL / UPS</v>
          </cell>
          <cell r="G32" t="str">
            <v>107</v>
          </cell>
          <cell r="H32" t="str">
            <v>Verify</v>
          </cell>
          <cell r="I32" t="str">
            <v>5 kW / 208V rack UPS</v>
          </cell>
          <cell r="J32" t="str">
            <v>Verify</v>
          </cell>
          <cell r="K32" t="str">
            <v>Verify</v>
          </cell>
          <cell r="L32" t="str">
            <v>B01-TR107A / B01-TR107B</v>
          </cell>
          <cell r="O32" t="str">
            <v>Verify</v>
          </cell>
          <cell r="Q32" t="str">
            <v>01|31</v>
          </cell>
        </row>
        <row r="33">
          <cell r="E33" t="str">
            <v>5. ELECTRICAL / UPS</v>
          </cell>
          <cell r="G33" t="str">
            <v>B02</v>
          </cell>
          <cell r="H33" t="str">
            <v>Existing</v>
          </cell>
          <cell r="I33" t="str">
            <v>Existing UPS on floor / Tripp Lite Smart Pro UPS</v>
          </cell>
          <cell r="J33" t="str">
            <v>Existing / Verify</v>
          </cell>
          <cell r="K33" t="str">
            <v>Verify</v>
          </cell>
          <cell r="L33" t="str">
            <v>Existing / Verify</v>
          </cell>
          <cell r="O33" t="str">
            <v>Verify</v>
          </cell>
          <cell r="Q33" t="str">
            <v>01|32</v>
          </cell>
        </row>
        <row r="34">
          <cell r="E34" t="str">
            <v>5. ELECTRICAL / UPS</v>
          </cell>
          <cell r="G34" t="str">
            <v>138</v>
          </cell>
          <cell r="H34" t="str">
            <v>Existing</v>
          </cell>
          <cell r="I34" t="str">
            <v>Existing APC UPS floor</v>
          </cell>
          <cell r="J34" t="str">
            <v>Existing / Verify</v>
          </cell>
          <cell r="K34" t="str">
            <v>Verify</v>
          </cell>
          <cell r="L34" t="str">
            <v>Existing / Verify</v>
          </cell>
          <cell r="O34" t="str">
            <v>Verify</v>
          </cell>
          <cell r="Q34" t="str">
            <v>01|33</v>
          </cell>
        </row>
        <row r="35">
          <cell r="E35" t="str">
            <v>5. ELECTRICAL / UPS</v>
          </cell>
          <cell r="G35" t="str">
            <v>282</v>
          </cell>
          <cell r="H35" t="str">
            <v>Existing</v>
          </cell>
          <cell r="I35" t="str">
            <v>Existing / Verify</v>
          </cell>
          <cell r="J35" t="str">
            <v>Existing / Verify</v>
          </cell>
          <cell r="K35" t="str">
            <v>Verify</v>
          </cell>
          <cell r="L35" t="str">
            <v>Existing / Verify</v>
          </cell>
          <cell r="O35" t="str">
            <v>Verify</v>
          </cell>
          <cell r="Q35" t="str">
            <v>01|34</v>
          </cell>
        </row>
        <row r="36">
          <cell r="E36" t="str">
            <v>5. ELECTRICAL / UPS</v>
          </cell>
          <cell r="G36">
            <v>0</v>
          </cell>
          <cell r="H36">
            <v>0</v>
          </cell>
          <cell r="I36">
            <v>0</v>
          </cell>
          <cell r="J36">
            <v>0</v>
          </cell>
          <cell r="K36">
            <v>0</v>
          </cell>
          <cell r="L36">
            <v>0</v>
          </cell>
          <cell r="O36">
            <v>0</v>
          </cell>
          <cell r="Q36" t="str">
            <v>01|35</v>
          </cell>
        </row>
        <row r="37">
          <cell r="E37" t="str">
            <v>6. TELECOMMUNICATIONS</v>
          </cell>
          <cell r="G37" t="str">
            <v>6. TELECOMMUNICATIONS</v>
          </cell>
          <cell r="H37">
            <v>0</v>
          </cell>
          <cell r="I37">
            <v>0</v>
          </cell>
          <cell r="J37">
            <v>0</v>
          </cell>
          <cell r="K37">
            <v>0</v>
          </cell>
          <cell r="L37">
            <v>0</v>
          </cell>
          <cell r="O37">
            <v>0</v>
          </cell>
          <cell r="Q37" t="str">
            <v>01|36</v>
          </cell>
        </row>
        <row r="38">
          <cell r="E38" t="str">
            <v>6. TELECOMMUNICATIONS</v>
          </cell>
          <cell r="G38" t="str">
            <v>Room</v>
          </cell>
          <cell r="H38" t="str">
            <v>Rack Installed</v>
          </cell>
          <cell r="I38" t="str">
            <v>Ladder Tray</v>
          </cell>
          <cell r="J38" t="str">
            <v>Fiber Installed</v>
          </cell>
          <cell r="K38" t="str">
            <v>Grounding</v>
          </cell>
          <cell r="L38" t="str">
            <v>Labeling</v>
          </cell>
          <cell r="O38" t="str">
            <v>Overall</v>
          </cell>
          <cell r="Q38" t="str">
            <v>01|37</v>
          </cell>
        </row>
        <row r="39">
          <cell r="E39" t="str">
            <v>6. TELECOMMUNICATIONS</v>
          </cell>
          <cell r="G39" t="str">
            <v>107</v>
          </cell>
          <cell r="H39" t="str">
            <v>Verify</v>
          </cell>
          <cell r="I39" t="str">
            <v>Verify</v>
          </cell>
          <cell r="J39" t="str">
            <v>Verify</v>
          </cell>
          <cell r="K39" t="str">
            <v>Verify</v>
          </cell>
          <cell r="L39" t="str">
            <v>Verify</v>
          </cell>
          <cell r="O39" t="str">
            <v>Verify</v>
          </cell>
          <cell r="Q39" t="str">
            <v>01|38</v>
          </cell>
        </row>
        <row r="40">
          <cell r="E40" t="str">
            <v>6. TELECOMMUNICATIONS</v>
          </cell>
          <cell r="G40" t="str">
            <v>B02</v>
          </cell>
          <cell r="H40" t="str">
            <v>Existing / Transfer</v>
          </cell>
          <cell r="I40" t="str">
            <v>Existing</v>
          </cell>
          <cell r="J40" t="str">
            <v>Existing</v>
          </cell>
          <cell r="K40" t="str">
            <v>Verify</v>
          </cell>
          <cell r="L40" t="str">
            <v>Verify</v>
          </cell>
          <cell r="O40" t="str">
            <v>Verify</v>
          </cell>
          <cell r="Q40" t="str">
            <v>01|39</v>
          </cell>
        </row>
        <row r="41">
          <cell r="E41" t="str">
            <v>6. TELECOMMUNICATIONS</v>
          </cell>
          <cell r="G41" t="str">
            <v>138</v>
          </cell>
          <cell r="H41" t="str">
            <v>Existing / Transfer</v>
          </cell>
          <cell r="I41" t="str">
            <v>Existing</v>
          </cell>
          <cell r="J41" t="str">
            <v>Existing</v>
          </cell>
          <cell r="K41" t="str">
            <v>Verify</v>
          </cell>
          <cell r="L41" t="str">
            <v>Verify</v>
          </cell>
          <cell r="O41" t="str">
            <v>Verify</v>
          </cell>
          <cell r="Q41" t="str">
            <v>01|40</v>
          </cell>
        </row>
        <row r="42">
          <cell r="E42" t="str">
            <v>6. TELECOMMUNICATIONS</v>
          </cell>
          <cell r="G42" t="str">
            <v>282</v>
          </cell>
          <cell r="H42" t="str">
            <v>Existing / Transfer</v>
          </cell>
          <cell r="I42" t="str">
            <v>Existing</v>
          </cell>
          <cell r="J42" t="str">
            <v>Existing</v>
          </cell>
          <cell r="K42" t="str">
            <v>Verify</v>
          </cell>
          <cell r="L42" t="str">
            <v>Verify</v>
          </cell>
          <cell r="O42" t="str">
            <v>Verify</v>
          </cell>
          <cell r="Q42" t="str">
            <v>01|41</v>
          </cell>
        </row>
        <row r="43">
          <cell r="E43" t="str">
            <v>6. TELECOMMUNICATIONS</v>
          </cell>
          <cell r="G43">
            <v>0</v>
          </cell>
          <cell r="H43">
            <v>0</v>
          </cell>
          <cell r="I43">
            <v>0</v>
          </cell>
          <cell r="J43">
            <v>0</v>
          </cell>
          <cell r="K43">
            <v>0</v>
          </cell>
          <cell r="L43">
            <v>0</v>
          </cell>
          <cell r="O43">
            <v>0</v>
          </cell>
          <cell r="Q43" t="str">
            <v>01|42</v>
          </cell>
        </row>
        <row r="44">
          <cell r="E44" t="str">
            <v>7. SECURITY / PACS / CCTV</v>
          </cell>
          <cell r="G44" t="str">
            <v>7. SECURITY / PACS / CCTV</v>
          </cell>
          <cell r="H44">
            <v>0</v>
          </cell>
          <cell r="I44">
            <v>0</v>
          </cell>
          <cell r="J44">
            <v>0</v>
          </cell>
          <cell r="K44">
            <v>0</v>
          </cell>
          <cell r="L44">
            <v>0</v>
          </cell>
          <cell r="O44">
            <v>0</v>
          </cell>
          <cell r="Q44" t="str">
            <v>01|43</v>
          </cell>
        </row>
        <row r="45">
          <cell r="E45" t="str">
            <v>7. SECURITY / PACS / CCTV</v>
          </cell>
          <cell r="G45" t="str">
            <v>Room</v>
          </cell>
          <cell r="H45" t="str">
            <v>PACS</v>
          </cell>
          <cell r="I45" t="str">
            <v>Card Reader</v>
          </cell>
          <cell r="J45" t="str">
            <v>Door Position</v>
          </cell>
          <cell r="K45" t="str">
            <v>Electric Strike</v>
          </cell>
          <cell r="L45" t="str">
            <v>CCTV</v>
          </cell>
          <cell r="O45" t="str">
            <v>Overall</v>
          </cell>
          <cell r="Q45" t="str">
            <v>01|44</v>
          </cell>
        </row>
        <row r="46">
          <cell r="E46" t="str">
            <v>7. SECURITY / PACS / CCTV</v>
          </cell>
          <cell r="G46" t="str">
            <v>107</v>
          </cell>
          <cell r="H46" t="str">
            <v>Verify</v>
          </cell>
          <cell r="I46" t="str">
            <v>Verify</v>
          </cell>
          <cell r="J46" t="str">
            <v>Verify</v>
          </cell>
          <cell r="K46" t="str">
            <v>Verify</v>
          </cell>
          <cell r="L46" t="str">
            <v>Verify</v>
          </cell>
          <cell r="O46" t="str">
            <v>Verify</v>
          </cell>
          <cell r="Q46" t="str">
            <v>01|45</v>
          </cell>
        </row>
        <row r="47">
          <cell r="E47" t="str">
            <v>7. SECURITY / PACS / CCTV</v>
          </cell>
          <cell r="G47" t="str">
            <v>B02</v>
          </cell>
          <cell r="H47" t="str">
            <v>Existing / Verify</v>
          </cell>
          <cell r="I47" t="str">
            <v>Existing / Verify</v>
          </cell>
          <cell r="J47" t="str">
            <v>Existing / Verify</v>
          </cell>
          <cell r="K47" t="str">
            <v>Existing / Verify</v>
          </cell>
          <cell r="L47" t="str">
            <v>Verify Existing</v>
          </cell>
          <cell r="O47" t="str">
            <v>Verify</v>
          </cell>
          <cell r="Q47" t="str">
            <v>01|46</v>
          </cell>
        </row>
        <row r="48">
          <cell r="E48" t="str">
            <v>7. SECURITY / PACS / CCTV</v>
          </cell>
          <cell r="G48" t="str">
            <v>138</v>
          </cell>
          <cell r="H48" t="str">
            <v>Existing / Verify</v>
          </cell>
          <cell r="I48" t="str">
            <v>Existing / Verify</v>
          </cell>
          <cell r="J48" t="str">
            <v>Existing / Verify</v>
          </cell>
          <cell r="K48" t="str">
            <v>Existing / Verify</v>
          </cell>
          <cell r="L48" t="str">
            <v>Verify Existing</v>
          </cell>
          <cell r="O48" t="str">
            <v>Verify</v>
          </cell>
          <cell r="Q48" t="str">
            <v>01|47</v>
          </cell>
        </row>
        <row r="49">
          <cell r="E49" t="str">
            <v>7. SECURITY / PACS / CCTV</v>
          </cell>
          <cell r="G49" t="str">
            <v>282</v>
          </cell>
          <cell r="H49" t="str">
            <v>Existing / Verify</v>
          </cell>
          <cell r="I49" t="str">
            <v>Existing / Verify</v>
          </cell>
          <cell r="J49" t="str">
            <v>Existing / Verify</v>
          </cell>
          <cell r="K49" t="str">
            <v>Existing / Verify</v>
          </cell>
          <cell r="L49" t="str">
            <v>Verify Existing</v>
          </cell>
          <cell r="O49" t="str">
            <v>Verify</v>
          </cell>
          <cell r="Q49" t="str">
            <v>01|48</v>
          </cell>
        </row>
        <row r="50">
          <cell r="E50" t="str">
            <v>7. SECURITY / PACS / CCTV</v>
          </cell>
          <cell r="G50">
            <v>0</v>
          </cell>
          <cell r="H50">
            <v>0</v>
          </cell>
          <cell r="I50">
            <v>0</v>
          </cell>
          <cell r="J50">
            <v>0</v>
          </cell>
          <cell r="K50">
            <v>0</v>
          </cell>
          <cell r="L50">
            <v>0</v>
          </cell>
          <cell r="O50">
            <v>0</v>
          </cell>
          <cell r="Q50" t="str">
            <v>01|49</v>
          </cell>
        </row>
        <row r="51">
          <cell r="E51" t="str">
            <v>8. OWNER RISKS</v>
          </cell>
          <cell r="G51" t="str">
            <v>8. OWNER RISKS</v>
          </cell>
          <cell r="H51">
            <v>0</v>
          </cell>
          <cell r="I51">
            <v>0</v>
          </cell>
          <cell r="J51">
            <v>0</v>
          </cell>
          <cell r="K51">
            <v>0</v>
          </cell>
          <cell r="L51">
            <v>0</v>
          </cell>
          <cell r="O51">
            <v>0</v>
          </cell>
          <cell r="Q51" t="str">
            <v>01|50</v>
          </cell>
        </row>
        <row r="52">
          <cell r="E52" t="str">
            <v>8. OWNER RISKS</v>
          </cell>
          <cell r="G52" t="str">
            <v>Risk ID</v>
          </cell>
          <cell r="H52" t="str">
            <v>Room</v>
          </cell>
          <cell r="I52" t="str">
            <v>Risk</v>
          </cell>
          <cell r="J52" t="str">
            <v>Impact</v>
          </cell>
          <cell r="K52" t="str">
            <v>Probability</v>
          </cell>
          <cell r="L52" t="str">
            <v>Score</v>
          </cell>
          <cell r="O52" t="str">
            <v>Status</v>
          </cell>
          <cell r="Q52" t="str">
            <v>01|51</v>
          </cell>
        </row>
        <row r="53">
          <cell r="E53" t="str">
            <v>8. OWNER RISKS</v>
          </cell>
          <cell r="G53" t="str">
            <v>B01-R1</v>
          </cell>
          <cell r="H53" t="str">
            <v>All</v>
          </cell>
          <cell r="I53" t="str">
            <v>Existing conditions for Room 107 and transition rooms B02/138/282 not field verified</v>
          </cell>
          <cell r="J53" t="str">
            <v>High</v>
          </cell>
          <cell r="K53" t="str">
            <v>Medium</v>
          </cell>
          <cell r="L53">
            <v>6</v>
          </cell>
          <cell r="O53" t="str">
            <v>Pass</v>
          </cell>
          <cell r="Q53" t="str">
            <v>01|52</v>
          </cell>
        </row>
        <row r="54">
          <cell r="E54" t="str">
            <v>8. OWNER RISKS</v>
          </cell>
          <cell r="G54" t="str">
            <v>B01-R2</v>
          </cell>
          <cell r="H54" t="str">
            <v>B02/138/282</v>
          </cell>
          <cell r="I54" t="str">
            <v>Existing equipment may remain active during transfer to Room 107</v>
          </cell>
          <cell r="J54" t="str">
            <v>Critical</v>
          </cell>
          <cell r="K54" t="str">
            <v>Medium</v>
          </cell>
          <cell r="L54">
            <v>8</v>
          </cell>
          <cell r="O54" t="str">
            <v>Pass</v>
          </cell>
          <cell r="Q54" t="str">
            <v>01|53</v>
          </cell>
        </row>
        <row r="55">
          <cell r="E55" t="str">
            <v>8. OWNER RISKS</v>
          </cell>
          <cell r="G55" t="str">
            <v>B01-R3</v>
          </cell>
          <cell r="H55" t="str">
            <v>107</v>
          </cell>
          <cell r="I55" t="str">
            <v>Dedicated cooling emergency power, condensate, BACnet and alarms not verified</v>
          </cell>
          <cell r="J55" t="str">
            <v>Critical</v>
          </cell>
          <cell r="K55" t="str">
            <v>Medium</v>
          </cell>
          <cell r="L55">
            <v>8</v>
          </cell>
          <cell r="O55" t="str">
            <v>Pass</v>
          </cell>
          <cell r="Q55" t="str">
            <v>01|54</v>
          </cell>
        </row>
        <row r="56">
          <cell r="E56" t="str">
            <v>8. OWNER RISKS</v>
          </cell>
          <cell r="G56" t="str">
            <v>B01-R4</v>
          </cell>
          <cell r="H56" t="str">
            <v>107</v>
          </cell>
          <cell r="I56" t="str">
            <v>B01-TR107A/B UPS/PDU and panel source coordination could delay energization</v>
          </cell>
          <cell r="J56" t="str">
            <v>High</v>
          </cell>
          <cell r="K56" t="str">
            <v>Medium</v>
          </cell>
          <cell r="L56">
            <v>6</v>
          </cell>
          <cell r="O56" t="str">
            <v>Pass</v>
          </cell>
          <cell r="Q56" t="str">
            <v>01|55</v>
          </cell>
        </row>
        <row r="57">
          <cell r="E57" t="str">
            <v>8. OWNER RISKS</v>
          </cell>
          <cell r="G57" t="str">
            <v>B01-R5</v>
          </cell>
          <cell r="H57" t="str">
            <v>All</v>
          </cell>
          <cell r="I57" t="str">
            <v>394 feet of cable tray/pathway requires coordination and firestop tracking</v>
          </cell>
          <cell r="J57" t="str">
            <v>High</v>
          </cell>
          <cell r="K57" t="str">
            <v>Medium</v>
          </cell>
          <cell r="L57">
            <v>6</v>
          </cell>
          <cell r="O57" t="str">
            <v>Pass</v>
          </cell>
          <cell r="Q57" t="str">
            <v>01|56</v>
          </cell>
        </row>
        <row r="58">
          <cell r="E58" t="str">
            <v>8. OWNER RISKS</v>
          </cell>
          <cell r="G58" t="str">
            <v>B01-R6</v>
          </cell>
          <cell r="H58" t="str">
            <v>All</v>
          </cell>
          <cell r="I58" t="str">
            <v>Telecom/fiber cutover could affect active hospital communications across basement/first/second levels</v>
          </cell>
          <cell r="J58" t="str">
            <v>Critical</v>
          </cell>
          <cell r="K58" t="str">
            <v>Medium</v>
          </cell>
          <cell r="L58">
            <v>8</v>
          </cell>
          <cell r="O58" t="str">
            <v>Pass</v>
          </cell>
          <cell r="Q58" t="str">
            <v>01|57</v>
          </cell>
        </row>
        <row r="59">
          <cell r="E59" t="str">
            <v>8. OWNER RISKS</v>
          </cell>
          <cell r="G59" t="str">
            <v>B01-R7</v>
          </cell>
          <cell r="H59" t="str">
            <v>107</v>
          </cell>
          <cell r="I59" t="str">
            <v>PACS/CCTV/door hardware coordination may not be ready at room acceptance</v>
          </cell>
          <cell r="J59" t="str">
            <v>High</v>
          </cell>
          <cell r="K59" t="str">
            <v>Medium</v>
          </cell>
          <cell r="L59">
            <v>6</v>
          </cell>
          <cell r="O59" t="str">
            <v>Pass</v>
          </cell>
          <cell r="Q59" t="str">
            <v>01|58</v>
          </cell>
        </row>
        <row r="60">
          <cell r="E60" t="str">
            <v>8. OWNER RISKS</v>
          </cell>
          <cell r="G60" t="str">
            <v>B01-R8</v>
          </cell>
          <cell r="H60" t="str">
            <v>All</v>
          </cell>
          <cell r="I60" t="str">
            <v>Commissioning/third-party inspection reports may not be complete at turnover</v>
          </cell>
          <cell r="J60" t="str">
            <v>High</v>
          </cell>
          <cell r="K60" t="str">
            <v>Medium</v>
          </cell>
          <cell r="L60">
            <v>6</v>
          </cell>
          <cell r="O60" t="str">
            <v>Pass</v>
          </cell>
          <cell r="Q60" t="str">
            <v>01|59</v>
          </cell>
        </row>
        <row r="61">
          <cell r="E61" t="str">
            <v>8. OWNER RISKS</v>
          </cell>
          <cell r="G61">
            <v>0</v>
          </cell>
          <cell r="H61">
            <v>0</v>
          </cell>
          <cell r="I61">
            <v>0</v>
          </cell>
          <cell r="J61">
            <v>0</v>
          </cell>
          <cell r="K61">
            <v>0</v>
          </cell>
          <cell r="L61">
            <v>0</v>
          </cell>
          <cell r="O61">
            <v>0</v>
          </cell>
          <cell r="Q61" t="str">
            <v>01|60</v>
          </cell>
        </row>
        <row r="62">
          <cell r="E62" t="str">
            <v>9. OPEN QUESTIONS</v>
          </cell>
          <cell r="G62" t="str">
            <v>9. OPEN QUESTIONS</v>
          </cell>
          <cell r="H62">
            <v>0</v>
          </cell>
          <cell r="I62">
            <v>0</v>
          </cell>
          <cell r="J62">
            <v>0</v>
          </cell>
          <cell r="K62">
            <v>0</v>
          </cell>
          <cell r="L62">
            <v>0</v>
          </cell>
          <cell r="O62">
            <v>0</v>
          </cell>
          <cell r="Q62" t="str">
            <v>01|61</v>
          </cell>
        </row>
        <row r="63">
          <cell r="E63" t="str">
            <v>9. OPEN QUESTIONS</v>
          </cell>
          <cell r="G63" t="str">
            <v>Question ID</v>
          </cell>
          <cell r="H63" t="str">
            <v>Question</v>
          </cell>
          <cell r="I63" t="str">
            <v>Assigned To</v>
          </cell>
          <cell r="J63" t="str">
            <v>Status</v>
          </cell>
          <cell r="K63" t="str">
            <v>Needed By</v>
          </cell>
          <cell r="L63" t="str">
            <v>Answer / Resolution</v>
          </cell>
          <cell r="O63" t="str">
            <v>Date Closed</v>
          </cell>
          <cell r="Q63" t="str">
            <v>01|62</v>
          </cell>
        </row>
        <row r="64">
          <cell r="E64" t="str">
            <v>9. OPEN QUESTIONS</v>
          </cell>
          <cell r="G64" t="str">
            <v>B01-Q1</v>
          </cell>
          <cell r="H64" t="str">
            <v>Confirm final telecom scope: new Room 107 with existing B02, 138 and 282 transition/transfer points?</v>
          </cell>
          <cell r="I64" t="str">
            <v>VA / OIT / Designer</v>
          </cell>
          <cell r="J64" t="str">
            <v>Closed</v>
          </cell>
          <cell r="K64">
            <v>0</v>
          </cell>
          <cell r="L64">
            <v>0</v>
          </cell>
          <cell r="O64">
            <v>0</v>
          </cell>
          <cell r="Q64" t="str">
            <v>01|63</v>
          </cell>
        </row>
        <row r="65">
          <cell r="E65" t="str">
            <v>9. OPEN QUESTIONS</v>
          </cell>
          <cell r="G65" t="str">
            <v>B01-Q2</v>
          </cell>
          <cell r="H65" t="str">
            <v>What active services are currently fed from existing Rooms B02, 138 and 282?</v>
          </cell>
          <cell r="I65" t="str">
            <v>OIT / Contractor</v>
          </cell>
          <cell r="J65" t="str">
            <v>Closed</v>
          </cell>
          <cell r="K65">
            <v>0</v>
          </cell>
          <cell r="L65">
            <v>0</v>
          </cell>
          <cell r="O65">
            <v>0</v>
          </cell>
          <cell r="Q65" t="str">
            <v>01|64</v>
          </cell>
        </row>
        <row r="66">
          <cell r="E66" t="str">
            <v>9. OPEN QUESTIONS</v>
          </cell>
          <cell r="G66" t="str">
            <v>B01-Q3</v>
          </cell>
          <cell r="H66" t="str">
            <v>What equipment from existing racks transfers to new Room 107 versus remains/decommissions?</v>
          </cell>
          <cell r="I66" t="str">
            <v>OIT / Telecom</v>
          </cell>
          <cell r="J66" t="str">
            <v>Closed</v>
          </cell>
          <cell r="K66">
            <v>0</v>
          </cell>
          <cell r="L66">
            <v>0</v>
          </cell>
          <cell r="O66">
            <v>0</v>
          </cell>
          <cell r="Q66" t="str">
            <v>01|65</v>
          </cell>
        </row>
        <row r="67">
          <cell r="E67" t="str">
            <v>9. OPEN QUESTIONS</v>
          </cell>
          <cell r="G67" t="str">
            <v>B01-Q4</v>
          </cell>
          <cell r="H67" t="str">
            <v>Is IU-1-01/CU-1-01 on emergency/backup power and dedicated to Room 107?</v>
          </cell>
          <cell r="I67" t="str">
            <v>Mechanical / Electrical / VA</v>
          </cell>
          <cell r="J67" t="str">
            <v>Closed</v>
          </cell>
          <cell r="K67">
            <v>0</v>
          </cell>
          <cell r="L67">
            <v>0</v>
          </cell>
          <cell r="O67">
            <v>0</v>
          </cell>
          <cell r="Q67" t="str">
            <v>01|66</v>
          </cell>
        </row>
        <row r="68">
          <cell r="E68" t="str">
            <v>9. OPEN QUESTIONS</v>
          </cell>
          <cell r="G68" t="str">
            <v>B01-Q5</v>
          </cell>
          <cell r="H68" t="str">
            <v>Where is the clean-agent/CO2 extinguisher cabinet located within 75 ft of Room 107?</v>
          </cell>
          <cell r="I68" t="str">
            <v>GC / COR</v>
          </cell>
          <cell r="J68" t="str">
            <v>Closed</v>
          </cell>
          <cell r="K68">
            <v>0</v>
          </cell>
          <cell r="L68">
            <v>0</v>
          </cell>
          <cell r="O68">
            <v>0</v>
          </cell>
          <cell r="Q68" t="str">
            <v>01|67</v>
          </cell>
        </row>
        <row r="69">
          <cell r="E69" t="str">
            <v>9. OPEN QUESTIONS</v>
          </cell>
          <cell r="G69" t="str">
            <v>B01-Q6</v>
          </cell>
          <cell r="H69" t="str">
            <v>Are B01-TR107A/B sources, rack receptacles, SPDs, labels and 30-day load measurements approved?</v>
          </cell>
          <cell r="I69" t="str">
            <v>Electrical / Designer</v>
          </cell>
          <cell r="J69" t="str">
            <v>Closed</v>
          </cell>
          <cell r="K69">
            <v>0</v>
          </cell>
          <cell r="L69">
            <v>0</v>
          </cell>
          <cell r="O69">
            <v>0</v>
          </cell>
          <cell r="Q69" t="str">
            <v>01|68</v>
          </cell>
        </row>
        <row r="70">
          <cell r="E70" t="str">
            <v>9. OPEN QUESTIONS</v>
          </cell>
          <cell r="G70" t="str">
            <v>B01-Q7</v>
          </cell>
          <cell r="H70" t="str">
            <v>Are all rated wall/floor penetrations, sleeves, cable tray entries and firestopping details identified?</v>
          </cell>
          <cell r="I70" t="str">
            <v>GC / Firestop</v>
          </cell>
          <cell r="J70" t="str">
            <v>Closed</v>
          </cell>
          <cell r="K70">
            <v>0</v>
          </cell>
          <cell r="L70">
            <v>0</v>
          </cell>
          <cell r="O70">
            <v>0</v>
          </cell>
          <cell r="Q70" t="str">
            <v>01|69</v>
          </cell>
        </row>
        <row r="71">
          <cell r="E71" t="str">
            <v>9. OPEN QUESTIONS</v>
          </cell>
          <cell r="G71" t="str">
            <v>B01-Q8</v>
          </cell>
          <cell r="H71" t="str">
            <v>Which third-party inspections and commissioning forms are required before VA/OIT acceptance?</v>
          </cell>
          <cell r="I71" t="str">
            <v>GC / Cx Manager / OIT</v>
          </cell>
          <cell r="J71" t="str">
            <v>Closed</v>
          </cell>
          <cell r="K71">
            <v>0</v>
          </cell>
          <cell r="L71">
            <v>0</v>
          </cell>
          <cell r="O71">
            <v>0</v>
          </cell>
          <cell r="Q71" t="str">
            <v>01|70</v>
          </cell>
        </row>
        <row r="72">
          <cell r="E72" t="str">
            <v>9. OPEN QUESTIONS</v>
          </cell>
          <cell r="G72">
            <v>0</v>
          </cell>
          <cell r="H72">
            <v>0</v>
          </cell>
          <cell r="I72">
            <v>0</v>
          </cell>
          <cell r="J72">
            <v>0</v>
          </cell>
          <cell r="K72">
            <v>0</v>
          </cell>
          <cell r="L72">
            <v>0</v>
          </cell>
          <cell r="O72">
            <v>0</v>
          </cell>
          <cell r="Q72" t="str">
            <v>01|71</v>
          </cell>
        </row>
        <row r="73">
          <cell r="E73" t="str">
            <v>10. PHOTO LOG</v>
          </cell>
          <cell r="G73" t="str">
            <v>10. PHOTO LOG</v>
          </cell>
          <cell r="H73">
            <v>0</v>
          </cell>
          <cell r="I73">
            <v>0</v>
          </cell>
          <cell r="J73">
            <v>0</v>
          </cell>
          <cell r="K73">
            <v>0</v>
          </cell>
          <cell r="L73">
            <v>0</v>
          </cell>
          <cell r="O73">
            <v>0</v>
          </cell>
          <cell r="Q73" t="str">
            <v>01|72</v>
          </cell>
        </row>
        <row r="74">
          <cell r="E74" t="str">
            <v>10. PHOTO LOG</v>
          </cell>
          <cell r="G74" t="str">
            <v>Photo ID</v>
          </cell>
          <cell r="H74" t="str">
            <v>Room</v>
          </cell>
          <cell r="I74" t="str">
            <v>Category</v>
          </cell>
          <cell r="J74" t="str">
            <v>Description</v>
          </cell>
          <cell r="K74" t="str">
            <v>Date</v>
          </cell>
          <cell r="L74" t="str">
            <v>Taken By</v>
          </cell>
          <cell r="O74" t="str">
            <v>Status</v>
          </cell>
          <cell r="Q74" t="str">
            <v>01|73</v>
          </cell>
        </row>
        <row r="75">
          <cell r="E75" t="str">
            <v>10. PHOTO LOG</v>
          </cell>
          <cell r="G75" t="str">
            <v>B01-P001</v>
          </cell>
          <cell r="H75" t="str">
            <v>107</v>
          </cell>
          <cell r="I75" t="str">
            <v>Existing / New Condition</v>
          </cell>
          <cell r="J75" t="str">
            <v>Room 107 walls, ceiling/deck, floor, door, rack/future rack, power, HVAC, fiber path A/B, cable tray and penetrations</v>
          </cell>
          <cell r="K75">
            <v>0</v>
          </cell>
          <cell r="L75" t="str">
            <v>Paul</v>
          </cell>
          <cell r="O75" t="str">
            <v>Closed</v>
          </cell>
          <cell r="Q75" t="str">
            <v>01|74</v>
          </cell>
        </row>
        <row r="76">
          <cell r="E76" t="str">
            <v>10. PHOTO LOG</v>
          </cell>
          <cell r="G76" t="str">
            <v>B01-P002</v>
          </cell>
          <cell r="H76" t="str">
            <v>B02</v>
          </cell>
          <cell r="I76" t="str">
            <v>Existing Equipment</v>
          </cell>
          <cell r="J76" t="str">
            <v>Basement existing telecom room B02 racks, wall TE, Cisco/Nokia/Baseband/IRU/Corning/Ortronics equipment, UPS and cable entries</v>
          </cell>
          <cell r="K76">
            <v>0</v>
          </cell>
          <cell r="L76" t="str">
            <v>Paul</v>
          </cell>
          <cell r="O76" t="str">
            <v>Closed</v>
          </cell>
          <cell r="Q76" t="str">
            <v>01|75</v>
          </cell>
        </row>
        <row r="77">
          <cell r="E77" t="str">
            <v>10. PHOTO LOG</v>
          </cell>
          <cell r="G77" t="str">
            <v>B01-P003</v>
          </cell>
          <cell r="H77" t="str">
            <v>138</v>
          </cell>
          <cell r="I77" t="str">
            <v>Existing Equipment</v>
          </cell>
          <cell r="J77" t="str">
            <v>First-level existing telecom room 138 racks, patch panels, Cisco, Corning, APC UPS and active service labels</v>
          </cell>
          <cell r="K77">
            <v>0</v>
          </cell>
          <cell r="L77" t="str">
            <v>Paul</v>
          </cell>
          <cell r="O77" t="str">
            <v>Closed</v>
          </cell>
          <cell r="Q77" t="str">
            <v>01|76</v>
          </cell>
        </row>
        <row r="78">
          <cell r="E78" t="str">
            <v>10. PHOTO LOG</v>
          </cell>
          <cell r="G78" t="str">
            <v>B01-P004</v>
          </cell>
          <cell r="H78" t="str">
            <v>282</v>
          </cell>
          <cell r="I78" t="str">
            <v>Existing Equipment</v>
          </cell>
          <cell r="J78" t="str">
            <v>Second-level existing telecom room 282 racks, Cisco switches, Ortronics patch panels, cable managers and active service labels</v>
          </cell>
          <cell r="K78">
            <v>0</v>
          </cell>
          <cell r="L78" t="str">
            <v>Paul</v>
          </cell>
          <cell r="O78" t="str">
            <v>Closed</v>
          </cell>
          <cell r="Q78" t="str">
            <v>01|77</v>
          </cell>
        </row>
        <row r="79">
          <cell r="E79" t="str">
            <v>10. PHOTO LOG</v>
          </cell>
          <cell r="G79" t="str">
            <v>B01-P005</v>
          </cell>
          <cell r="H79" t="str">
            <v>107</v>
          </cell>
          <cell r="I79" t="str">
            <v>HVAC</v>
          </cell>
          <cell r="J79" t="str">
            <v>IU-1-01/CU-1-01, condensate pump/line, thermostat, BACnet adapter, disconnects, FMS alarm points and power source</v>
          </cell>
          <cell r="K79">
            <v>0</v>
          </cell>
          <cell r="L79" t="str">
            <v>Paul</v>
          </cell>
          <cell r="O79" t="str">
            <v>Closed</v>
          </cell>
          <cell r="Q79" t="str">
            <v>01|78</v>
          </cell>
        </row>
        <row r="80">
          <cell r="E80" t="str">
            <v>10. PHOTO LOG</v>
          </cell>
          <cell r="G80" t="str">
            <v>B01-P006</v>
          </cell>
          <cell r="H80" t="str">
            <v>107</v>
          </cell>
          <cell r="I80" t="str">
            <v>Electrical</v>
          </cell>
          <cell r="J80" t="str">
            <v>B01-TR107A/B panels, rack receptacles, breakers, SPD, PACS power supply, access controller, lighting, CU-1-01 and labels</v>
          </cell>
          <cell r="K80">
            <v>0</v>
          </cell>
          <cell r="L80" t="str">
            <v>Paul</v>
          </cell>
          <cell r="O80" t="str">
            <v>Closed</v>
          </cell>
          <cell r="Q80" t="str">
            <v>01|79</v>
          </cell>
        </row>
        <row r="81">
          <cell r="E81" t="str">
            <v>10. PHOTO LOG</v>
          </cell>
          <cell r="G81" t="str">
            <v>B01-P007</v>
          </cell>
          <cell r="H81" t="str">
            <v>All</v>
          </cell>
          <cell r="I81" t="str">
            <v>Cable Tray / Firestop</v>
          </cell>
          <cell r="J81" t="str">
            <v>Basement/first/second cable tray route, supports, seismic bracing, 40% fill, penetrations and before/after firestopping</v>
          </cell>
          <cell r="K81">
            <v>0</v>
          </cell>
          <cell r="L81" t="str">
            <v>Paul</v>
          </cell>
          <cell r="O81" t="str">
            <v>Closed</v>
          </cell>
          <cell r="Q81" t="str">
            <v>01|80</v>
          </cell>
        </row>
        <row r="82">
          <cell r="E82" t="str">
            <v>10. PHOTO LOG</v>
          </cell>
          <cell r="G82" t="str">
            <v>B01-P008</v>
          </cell>
          <cell r="H82" t="str">
            <v>107 / Existing Rooms</v>
          </cell>
          <cell r="I82" t="str">
            <v>Telecom / Security</v>
          </cell>
          <cell r="J82" t="str">
            <v>New rack/future rack, Fiber LIU, Cat6A, patch panels, labels/test records, 107-CAM-1, PACS and existing rack transfer work</v>
          </cell>
          <cell r="K82">
            <v>0</v>
          </cell>
          <cell r="L82" t="str">
            <v>Paul</v>
          </cell>
          <cell r="O82" t="str">
            <v>Closed</v>
          </cell>
          <cell r="Q82" t="str">
            <v>01|81</v>
          </cell>
        </row>
        <row r="83">
          <cell r="E83" t="str">
            <v>10. PHOTO LOG</v>
          </cell>
          <cell r="G83">
            <v>0</v>
          </cell>
          <cell r="H83">
            <v>0</v>
          </cell>
          <cell r="I83">
            <v>0</v>
          </cell>
          <cell r="J83">
            <v>0</v>
          </cell>
          <cell r="K83">
            <v>0</v>
          </cell>
          <cell r="L83">
            <v>0</v>
          </cell>
          <cell r="O83">
            <v>0</v>
          </cell>
          <cell r="Q83" t="str">
            <v>01|82</v>
          </cell>
        </row>
        <row r="84">
          <cell r="E84" t="str">
            <v>1. ROOM INVENTORY</v>
          </cell>
          <cell r="G84" t="str">
            <v>1. ROOM INVENTORY</v>
          </cell>
          <cell r="H84">
            <v>0</v>
          </cell>
          <cell r="I84">
            <v>0</v>
          </cell>
          <cell r="J84">
            <v>0</v>
          </cell>
          <cell r="K84">
            <v>0</v>
          </cell>
          <cell r="L84">
            <v>0</v>
          </cell>
          <cell r="O84">
            <v>0</v>
          </cell>
          <cell r="Q84" t="str">
            <v>02|1</v>
          </cell>
        </row>
        <row r="85">
          <cell r="E85" t="str">
            <v>1. ROOM INVENTORY</v>
          </cell>
          <cell r="G85" t="str">
            <v>Building</v>
          </cell>
          <cell r="H85" t="str">
            <v>Room</v>
          </cell>
          <cell r="I85" t="str">
            <v>Floor</v>
          </cell>
          <cell r="J85" t="str">
            <v>Existing Use</v>
          </cell>
          <cell r="K85" t="str">
            <v>New Use</v>
          </cell>
          <cell r="L85" t="str">
            <v>Rack Count</v>
          </cell>
          <cell r="O85" t="str">
            <v>Drawing Ref</v>
          </cell>
          <cell r="Q85" t="str">
            <v>02|2</v>
          </cell>
        </row>
        <row r="86">
          <cell r="E86" t="str">
            <v>1. ROOM INVENTORY</v>
          </cell>
          <cell r="G86" t="str">
            <v>02</v>
          </cell>
          <cell r="H86" t="str">
            <v>141</v>
          </cell>
          <cell r="I86" t="str">
            <v>First</v>
          </cell>
          <cell r="J86" t="str">
            <v>Existing first-level telecom room / expanded TR work area</v>
          </cell>
          <cell r="K86" t="str">
            <v>Telecom Room</v>
          </cell>
          <cell r="L86">
            <v>2</v>
          </cell>
          <cell r="O86" t="str">
            <v>02A-401 / 02E-101 / 02E-401 / 02E-601 / 02E-701 / 02T-101 / 02T-401 / 02T-604 / 02T-701</v>
          </cell>
          <cell r="Q86" t="str">
            <v>02|3</v>
          </cell>
        </row>
        <row r="87">
          <cell r="E87" t="str">
            <v>1. ROOM INVENTORY</v>
          </cell>
          <cell r="G87" t="str">
            <v>02</v>
          </cell>
          <cell r="H87" t="str">
            <v>236</v>
          </cell>
          <cell r="I87" t="str">
            <v>Second</v>
          </cell>
          <cell r="J87" t="str">
            <v>Existing second-level telecom room / expanded TR work area</v>
          </cell>
          <cell r="K87" t="str">
            <v>Telecom Room</v>
          </cell>
          <cell r="L87">
            <v>2</v>
          </cell>
          <cell r="O87" t="str">
            <v>02A-401 / 02E-102 / 02E-402 / 02E-701 / 02T-102 / 02T-401 / 02T-604 / 02T-702</v>
          </cell>
          <cell r="Q87" t="str">
            <v>02|4</v>
          </cell>
        </row>
        <row r="88">
          <cell r="E88" t="str">
            <v>1. ROOM INVENTORY</v>
          </cell>
          <cell r="G88" t="str">
            <v>02</v>
          </cell>
          <cell r="H88" t="str">
            <v>342</v>
          </cell>
          <cell r="I88" t="str">
            <v>Third</v>
          </cell>
          <cell r="J88" t="str">
            <v>Third-level telecom room / expanded TR work area</v>
          </cell>
          <cell r="K88" t="str">
            <v>Telecom Room</v>
          </cell>
          <cell r="L88">
            <v>2</v>
          </cell>
          <cell r="O88" t="str">
            <v>02A-402 / 02E-103 / 02E-402 / 02E-701 / 02T-103 / 02T-401 / 02T-604 / 02T-703</v>
          </cell>
          <cell r="Q88" t="str">
            <v>02|5</v>
          </cell>
        </row>
        <row r="89">
          <cell r="E89" t="str">
            <v>1. ROOM INVENTORY</v>
          </cell>
          <cell r="G89" t="str">
            <v>02</v>
          </cell>
          <cell r="H89" t="str">
            <v>B-06</v>
          </cell>
          <cell r="I89" t="str">
            <v>Basement</v>
          </cell>
          <cell r="J89" t="str">
            <v>Existing telecom room / legacy rack equipment</v>
          </cell>
          <cell r="K89" t="str">
            <v>Existing telecom transition point</v>
          </cell>
          <cell r="L89">
            <v>1</v>
          </cell>
          <cell r="O89" t="str">
            <v>02T-100 / 02T-604 / 02R-900</v>
          </cell>
          <cell r="Q89" t="str">
            <v>02|6</v>
          </cell>
        </row>
        <row r="90">
          <cell r="E90" t="str">
            <v>1. ROOM INVENTORY</v>
          </cell>
          <cell r="G90" t="str">
            <v>02</v>
          </cell>
          <cell r="H90" t="str">
            <v>Existing 141 / 236</v>
          </cell>
          <cell r="I90" t="str">
            <v>First / Second</v>
          </cell>
          <cell r="J90" t="str">
            <v>Existing telecom room equipment / transition points</v>
          </cell>
          <cell r="K90" t="str">
            <v>Existing telecom transition points</v>
          </cell>
          <cell r="L90">
            <v>4</v>
          </cell>
          <cell r="O90" t="str">
            <v>02T-604 / 02R-900</v>
          </cell>
          <cell r="Q90" t="str">
            <v>02|7</v>
          </cell>
        </row>
        <row r="91">
          <cell r="E91" t="str">
            <v>1. ROOM INVENTORY</v>
          </cell>
          <cell r="G91">
            <v>0</v>
          </cell>
          <cell r="H91">
            <v>0</v>
          </cell>
          <cell r="I91">
            <v>0</v>
          </cell>
          <cell r="J91">
            <v>0</v>
          </cell>
          <cell r="K91">
            <v>0</v>
          </cell>
          <cell r="L91">
            <v>0</v>
          </cell>
          <cell r="O91">
            <v>0</v>
          </cell>
          <cell r="Q91" t="str">
            <v>02|8</v>
          </cell>
        </row>
        <row r="92">
          <cell r="E92" t="str">
            <v>2. ROOM READINESS</v>
          </cell>
          <cell r="G92" t="str">
            <v>2. ROOM READINESS</v>
          </cell>
          <cell r="H92">
            <v>0</v>
          </cell>
          <cell r="I92">
            <v>0</v>
          </cell>
          <cell r="J92">
            <v>0</v>
          </cell>
          <cell r="K92">
            <v>0</v>
          </cell>
          <cell r="L92">
            <v>0</v>
          </cell>
          <cell r="O92">
            <v>0</v>
          </cell>
          <cell r="Q92" t="str">
            <v>02|9</v>
          </cell>
        </row>
        <row r="93">
          <cell r="E93" t="str">
            <v>2. ROOM READINESS</v>
          </cell>
          <cell r="G93" t="str">
            <v>Room</v>
          </cell>
          <cell r="H93" t="str">
            <v>Walls / 1-hr Rating</v>
          </cell>
          <cell r="I93" t="str">
            <v>Ceiling</v>
          </cell>
          <cell r="J93" t="str">
            <v>Floor / SDC</v>
          </cell>
          <cell r="K93" t="str">
            <v>Penetrations</v>
          </cell>
          <cell r="L93" t="str">
            <v>Access Control</v>
          </cell>
          <cell r="O93" t="str">
            <v>Overall</v>
          </cell>
          <cell r="Q93" t="str">
            <v>02|10</v>
          </cell>
        </row>
        <row r="94">
          <cell r="E94" t="str">
            <v>2. ROOM READINESS</v>
          </cell>
          <cell r="G94" t="str">
            <v>141</v>
          </cell>
          <cell r="H94" t="str">
            <v>Verify</v>
          </cell>
          <cell r="I94" t="str">
            <v>Verify</v>
          </cell>
          <cell r="J94" t="str">
            <v>Verify</v>
          </cell>
          <cell r="K94" t="str">
            <v>Verify</v>
          </cell>
          <cell r="L94" t="str">
            <v>Verify</v>
          </cell>
          <cell r="O94" t="str">
            <v>Verify</v>
          </cell>
          <cell r="Q94" t="str">
            <v>02|11</v>
          </cell>
        </row>
        <row r="95">
          <cell r="E95" t="str">
            <v>2. ROOM READINESS</v>
          </cell>
          <cell r="G95" t="str">
            <v>236</v>
          </cell>
          <cell r="H95" t="str">
            <v>Verify</v>
          </cell>
          <cell r="I95" t="str">
            <v>Verify</v>
          </cell>
          <cell r="J95" t="str">
            <v>Verify</v>
          </cell>
          <cell r="K95" t="str">
            <v>Verify</v>
          </cell>
          <cell r="L95" t="str">
            <v>Verify</v>
          </cell>
          <cell r="O95" t="str">
            <v>Verify</v>
          </cell>
          <cell r="Q95" t="str">
            <v>02|12</v>
          </cell>
        </row>
        <row r="96">
          <cell r="E96" t="str">
            <v>2. ROOM READINESS</v>
          </cell>
          <cell r="G96" t="str">
            <v>342</v>
          </cell>
          <cell r="H96" t="str">
            <v>Verify</v>
          </cell>
          <cell r="I96" t="str">
            <v>Verify</v>
          </cell>
          <cell r="J96" t="str">
            <v>Verify</v>
          </cell>
          <cell r="K96" t="str">
            <v>Verify</v>
          </cell>
          <cell r="L96" t="str">
            <v>Verify</v>
          </cell>
          <cell r="O96" t="str">
            <v>Verify</v>
          </cell>
          <cell r="Q96" t="str">
            <v>02|13</v>
          </cell>
        </row>
        <row r="97">
          <cell r="E97" t="str">
            <v>2. ROOM READINESS</v>
          </cell>
          <cell r="G97" t="str">
            <v>B-06 / existing rooms</v>
          </cell>
          <cell r="H97" t="str">
            <v>Existing / Verify</v>
          </cell>
          <cell r="I97" t="str">
            <v>Existing / Verify</v>
          </cell>
          <cell r="J97" t="str">
            <v>Existing / Verify</v>
          </cell>
          <cell r="K97" t="str">
            <v>Verify</v>
          </cell>
          <cell r="L97" t="str">
            <v>Verify Existing</v>
          </cell>
          <cell r="O97" t="str">
            <v>Verify</v>
          </cell>
          <cell r="Q97" t="str">
            <v>02|14</v>
          </cell>
        </row>
        <row r="98">
          <cell r="E98" t="str">
            <v>2. ROOM READINESS</v>
          </cell>
          <cell r="G98">
            <v>0</v>
          </cell>
          <cell r="H98">
            <v>0</v>
          </cell>
          <cell r="I98">
            <v>0</v>
          </cell>
          <cell r="J98">
            <v>0</v>
          </cell>
          <cell r="K98">
            <v>0</v>
          </cell>
          <cell r="L98">
            <v>0</v>
          </cell>
          <cell r="O98">
            <v>0</v>
          </cell>
          <cell r="Q98" t="str">
            <v>02|15</v>
          </cell>
        </row>
        <row r="99">
          <cell r="E99" t="str">
            <v>3. FIRE PROTECTION</v>
          </cell>
          <cell r="G99" t="str">
            <v>3. FIRE PROTECTION</v>
          </cell>
          <cell r="H99">
            <v>0</v>
          </cell>
          <cell r="I99">
            <v>0</v>
          </cell>
          <cell r="J99">
            <v>0</v>
          </cell>
          <cell r="K99">
            <v>0</v>
          </cell>
          <cell r="L99">
            <v>0</v>
          </cell>
          <cell r="O99">
            <v>0</v>
          </cell>
          <cell r="Q99" t="str">
            <v>02|16</v>
          </cell>
        </row>
        <row r="100">
          <cell r="E100" t="str">
            <v>3. FIRE PROTECTION</v>
          </cell>
          <cell r="G100" t="str">
            <v>Room</v>
          </cell>
          <cell r="H100" t="str">
            <v>Sprinkler</v>
          </cell>
          <cell r="I100" t="str">
            <v>Cage</v>
          </cell>
          <cell r="J100" t="str">
            <v>Detector</v>
          </cell>
          <cell r="K100" t="str">
            <v>Horn/Strobe</v>
          </cell>
          <cell r="L100" t="str">
            <v>Extinguisher &lt;75 ft</v>
          </cell>
          <cell r="O100" t="str">
            <v>Overall</v>
          </cell>
          <cell r="Q100" t="str">
            <v>02|17</v>
          </cell>
        </row>
        <row r="101">
          <cell r="E101" t="str">
            <v>3. FIRE PROTECTION</v>
          </cell>
          <cell r="G101" t="str">
            <v>141</v>
          </cell>
          <cell r="H101" t="str">
            <v>Verify</v>
          </cell>
          <cell r="I101" t="str">
            <v>Verify</v>
          </cell>
          <cell r="J101" t="str">
            <v>Verify</v>
          </cell>
          <cell r="K101" t="str">
            <v>Verify</v>
          </cell>
          <cell r="L101" t="str">
            <v>Verify</v>
          </cell>
          <cell r="O101" t="str">
            <v>Verify</v>
          </cell>
          <cell r="Q101" t="str">
            <v>02|18</v>
          </cell>
        </row>
        <row r="102">
          <cell r="E102" t="str">
            <v>3. FIRE PROTECTION</v>
          </cell>
          <cell r="G102" t="str">
            <v>236</v>
          </cell>
          <cell r="H102" t="str">
            <v>Verify</v>
          </cell>
          <cell r="I102" t="str">
            <v>Verify</v>
          </cell>
          <cell r="J102" t="str">
            <v>Verify</v>
          </cell>
          <cell r="K102" t="str">
            <v>Verify</v>
          </cell>
          <cell r="L102" t="str">
            <v>Verify</v>
          </cell>
          <cell r="O102" t="str">
            <v>Verify</v>
          </cell>
          <cell r="Q102" t="str">
            <v>02|19</v>
          </cell>
        </row>
        <row r="103">
          <cell r="E103" t="str">
            <v>3. FIRE PROTECTION</v>
          </cell>
          <cell r="G103" t="str">
            <v>342</v>
          </cell>
          <cell r="H103" t="str">
            <v>Verify</v>
          </cell>
          <cell r="I103" t="str">
            <v>Verify</v>
          </cell>
          <cell r="J103" t="str">
            <v>Verify</v>
          </cell>
          <cell r="K103" t="str">
            <v>Verify</v>
          </cell>
          <cell r="L103" t="str">
            <v>Verify</v>
          </cell>
          <cell r="O103" t="str">
            <v>Verify</v>
          </cell>
          <cell r="Q103" t="str">
            <v>02|20</v>
          </cell>
        </row>
        <row r="104">
          <cell r="E104" t="str">
            <v>3. FIRE PROTECTION</v>
          </cell>
          <cell r="G104" t="str">
            <v>B-06 / existing rooms</v>
          </cell>
          <cell r="H104" t="str">
            <v>Existing / Verify</v>
          </cell>
          <cell r="I104" t="str">
            <v>N/A</v>
          </cell>
          <cell r="J104" t="str">
            <v>Verify Existing</v>
          </cell>
          <cell r="K104" t="str">
            <v>Verify Existing</v>
          </cell>
          <cell r="L104" t="str">
            <v>Verify</v>
          </cell>
          <cell r="O104" t="str">
            <v>Verify</v>
          </cell>
          <cell r="Q104" t="str">
            <v>02|21</v>
          </cell>
        </row>
        <row r="105">
          <cell r="E105" t="str">
            <v>3. FIRE PROTECTION</v>
          </cell>
          <cell r="G105">
            <v>0</v>
          </cell>
          <cell r="H105">
            <v>0</v>
          </cell>
          <cell r="I105">
            <v>0</v>
          </cell>
          <cell r="J105">
            <v>0</v>
          </cell>
          <cell r="K105">
            <v>0</v>
          </cell>
          <cell r="L105">
            <v>0</v>
          </cell>
          <cell r="O105">
            <v>0</v>
          </cell>
          <cell r="Q105" t="str">
            <v>02|22</v>
          </cell>
        </row>
        <row r="106">
          <cell r="E106" t="str">
            <v>4. HVAC / COOLING</v>
          </cell>
          <cell r="G106" t="str">
            <v>4. HVAC / COOLING</v>
          </cell>
          <cell r="H106">
            <v>0</v>
          </cell>
          <cell r="I106">
            <v>0</v>
          </cell>
          <cell r="J106">
            <v>0</v>
          </cell>
          <cell r="K106">
            <v>0</v>
          </cell>
          <cell r="L106">
            <v>0</v>
          </cell>
          <cell r="O106">
            <v>0</v>
          </cell>
          <cell r="Q106" t="str">
            <v>02|23</v>
          </cell>
        </row>
        <row r="107">
          <cell r="E107" t="str">
            <v>4. HVAC / COOLING</v>
          </cell>
          <cell r="G107" t="str">
            <v>Room</v>
          </cell>
          <cell r="H107" t="str">
            <v>Dedicated Unit</v>
          </cell>
          <cell r="I107" t="str">
            <v>Capacity Verified</v>
          </cell>
          <cell r="J107" t="str">
            <v>Emergency Power</v>
          </cell>
          <cell r="K107" t="str">
            <v>Controls / BACnet</v>
          </cell>
          <cell r="L107" t="str">
            <v>Condensate Routed</v>
          </cell>
          <cell r="O107" t="str">
            <v>Overall</v>
          </cell>
          <cell r="Q107" t="str">
            <v>02|24</v>
          </cell>
        </row>
        <row r="108">
          <cell r="E108" t="str">
            <v>4. HVAC / COOLING</v>
          </cell>
          <cell r="G108" t="str">
            <v>141</v>
          </cell>
          <cell r="H108" t="str">
            <v>CU-1-01 / TR cooling assignment verify</v>
          </cell>
          <cell r="I108" t="str">
            <v>Verify</v>
          </cell>
          <cell r="J108" t="str">
            <v>Verify</v>
          </cell>
          <cell r="K108" t="str">
            <v>Verify</v>
          </cell>
          <cell r="L108" t="str">
            <v>Verify</v>
          </cell>
          <cell r="O108" t="str">
            <v>Verify</v>
          </cell>
          <cell r="Q108" t="str">
            <v>02|25</v>
          </cell>
        </row>
        <row r="109">
          <cell r="E109" t="str">
            <v>4. HVAC / COOLING</v>
          </cell>
          <cell r="G109" t="str">
            <v>236</v>
          </cell>
          <cell r="H109" t="str">
            <v>CU-2-01 / TR cooling assignment verify</v>
          </cell>
          <cell r="I109" t="str">
            <v>Verify</v>
          </cell>
          <cell r="J109" t="str">
            <v>Verify</v>
          </cell>
          <cell r="K109" t="str">
            <v>Verify</v>
          </cell>
          <cell r="L109" t="str">
            <v>Verify</v>
          </cell>
          <cell r="O109" t="str">
            <v>Verify</v>
          </cell>
          <cell r="Q109" t="str">
            <v>02|26</v>
          </cell>
        </row>
        <row r="110">
          <cell r="E110" t="str">
            <v>4. HVAC / COOLING</v>
          </cell>
          <cell r="G110" t="str">
            <v>342</v>
          </cell>
          <cell r="H110" t="str">
            <v>CU-3-01 / TR cooling assignment verify</v>
          </cell>
          <cell r="I110" t="str">
            <v>Verify</v>
          </cell>
          <cell r="J110" t="str">
            <v>Verify</v>
          </cell>
          <cell r="K110" t="str">
            <v>Verify</v>
          </cell>
          <cell r="L110" t="str">
            <v>Verify</v>
          </cell>
          <cell r="O110" t="str">
            <v>Verify</v>
          </cell>
          <cell r="Q110" t="str">
            <v>02|27</v>
          </cell>
        </row>
        <row r="111">
          <cell r="E111" t="str">
            <v>4. HVAC / COOLING</v>
          </cell>
          <cell r="G111" t="str">
            <v>B-06 / existing rooms</v>
          </cell>
          <cell r="H111" t="str">
            <v>Existing / Verify</v>
          </cell>
          <cell r="I111" t="str">
            <v>Verify</v>
          </cell>
          <cell r="J111" t="str">
            <v>Verify</v>
          </cell>
          <cell r="K111" t="str">
            <v>Verify</v>
          </cell>
          <cell r="L111" t="str">
            <v>Verify</v>
          </cell>
          <cell r="O111" t="str">
            <v>Verify</v>
          </cell>
          <cell r="Q111" t="str">
            <v>02|28</v>
          </cell>
        </row>
        <row r="112">
          <cell r="E112" t="str">
            <v>4. HVAC / COOLING</v>
          </cell>
          <cell r="G112">
            <v>0</v>
          </cell>
          <cell r="H112">
            <v>0</v>
          </cell>
          <cell r="I112">
            <v>0</v>
          </cell>
          <cell r="J112">
            <v>0</v>
          </cell>
          <cell r="K112">
            <v>0</v>
          </cell>
          <cell r="L112">
            <v>0</v>
          </cell>
          <cell r="O112">
            <v>0</v>
          </cell>
          <cell r="Q112" t="str">
            <v>02|29</v>
          </cell>
        </row>
        <row r="113">
          <cell r="E113" t="str">
            <v>5. ELECTRICAL / UPS</v>
          </cell>
          <cell r="G113" t="str">
            <v>5. ELECTRICAL / UPS</v>
          </cell>
          <cell r="H113">
            <v>0</v>
          </cell>
          <cell r="I113">
            <v>0</v>
          </cell>
          <cell r="J113">
            <v>0</v>
          </cell>
          <cell r="K113">
            <v>0</v>
          </cell>
          <cell r="L113">
            <v>0</v>
          </cell>
          <cell r="O113">
            <v>0</v>
          </cell>
          <cell r="Q113" t="str">
            <v>02|30</v>
          </cell>
        </row>
        <row r="114">
          <cell r="E114" t="str">
            <v>5. ELECTRICAL / UPS</v>
          </cell>
          <cell r="G114" t="str">
            <v>Room</v>
          </cell>
          <cell r="H114" t="str">
            <v>UPS Installed</v>
          </cell>
          <cell r="I114" t="str">
            <v>UPS Size</v>
          </cell>
          <cell r="J114" t="str">
            <v>PDU Installed</v>
          </cell>
          <cell r="K114" t="str">
            <v>Rack Receptacles</v>
          </cell>
          <cell r="L114" t="str">
            <v>Panel Assigned</v>
          </cell>
          <cell r="O114" t="str">
            <v>Overall</v>
          </cell>
          <cell r="Q114" t="str">
            <v>02|31</v>
          </cell>
        </row>
        <row r="115">
          <cell r="E115" t="str">
            <v>5. ELECTRICAL / UPS</v>
          </cell>
          <cell r="G115" t="str">
            <v>141</v>
          </cell>
          <cell r="H115" t="str">
            <v>Verify</v>
          </cell>
          <cell r="I115" t="str">
            <v>5 kW / 208V rack UPS</v>
          </cell>
          <cell r="J115" t="str">
            <v>Verify</v>
          </cell>
          <cell r="K115" t="str">
            <v>Verify</v>
          </cell>
          <cell r="L115" t="str">
            <v>B02-TR141A / B02-TR141B</v>
          </cell>
          <cell r="O115" t="str">
            <v>Verify</v>
          </cell>
          <cell r="Q115" t="str">
            <v>02|32</v>
          </cell>
        </row>
        <row r="116">
          <cell r="E116" t="str">
            <v>5. ELECTRICAL / UPS</v>
          </cell>
          <cell r="G116" t="str">
            <v>236</v>
          </cell>
          <cell r="H116" t="str">
            <v>Verify</v>
          </cell>
          <cell r="I116" t="str">
            <v>5 kW / 208V rack UPS</v>
          </cell>
          <cell r="J116" t="str">
            <v>Verify</v>
          </cell>
          <cell r="K116" t="str">
            <v>Verify</v>
          </cell>
          <cell r="L116" t="str">
            <v>B02-TR236A / B02-TR236B</v>
          </cell>
          <cell r="O116" t="str">
            <v>Verify</v>
          </cell>
          <cell r="Q116" t="str">
            <v>02|33</v>
          </cell>
        </row>
        <row r="117">
          <cell r="E117" t="str">
            <v>5. ELECTRICAL / UPS</v>
          </cell>
          <cell r="G117" t="str">
            <v>342</v>
          </cell>
          <cell r="H117" t="str">
            <v>Verify</v>
          </cell>
          <cell r="I117" t="str">
            <v>5 kW / 208V rack UPS</v>
          </cell>
          <cell r="J117" t="str">
            <v>Verify</v>
          </cell>
          <cell r="K117" t="str">
            <v>Verify</v>
          </cell>
          <cell r="L117" t="str">
            <v>B02-TR342A / B02-TR342B</v>
          </cell>
          <cell r="O117" t="str">
            <v>Verify</v>
          </cell>
          <cell r="Q117" t="str">
            <v>02|34</v>
          </cell>
        </row>
        <row r="118">
          <cell r="E118" t="str">
            <v>5. ELECTRICAL / UPS</v>
          </cell>
          <cell r="G118" t="str">
            <v>B-06 / existing rooms</v>
          </cell>
          <cell r="H118" t="str">
            <v>Existing / Verify</v>
          </cell>
          <cell r="I118" t="str">
            <v>Existing / Verify</v>
          </cell>
          <cell r="J118" t="str">
            <v>Existing / Verify</v>
          </cell>
          <cell r="K118" t="str">
            <v>Verify</v>
          </cell>
          <cell r="L118" t="str">
            <v>Existing / Verify</v>
          </cell>
          <cell r="O118" t="str">
            <v>Verify</v>
          </cell>
          <cell r="Q118" t="str">
            <v>02|35</v>
          </cell>
        </row>
        <row r="119">
          <cell r="E119" t="str">
            <v>5. ELECTRICAL / UPS</v>
          </cell>
          <cell r="G119">
            <v>0</v>
          </cell>
          <cell r="H119">
            <v>0</v>
          </cell>
          <cell r="I119">
            <v>0</v>
          </cell>
          <cell r="J119">
            <v>0</v>
          </cell>
          <cell r="K119">
            <v>0</v>
          </cell>
          <cell r="L119">
            <v>0</v>
          </cell>
          <cell r="O119">
            <v>0</v>
          </cell>
          <cell r="Q119" t="str">
            <v>02|36</v>
          </cell>
        </row>
        <row r="120">
          <cell r="E120" t="str">
            <v>6. TELECOMMUNICATIONS</v>
          </cell>
          <cell r="G120" t="str">
            <v>6. TELECOMMUNICATIONS</v>
          </cell>
          <cell r="H120">
            <v>0</v>
          </cell>
          <cell r="I120">
            <v>0</v>
          </cell>
          <cell r="J120">
            <v>0</v>
          </cell>
          <cell r="K120">
            <v>0</v>
          </cell>
          <cell r="L120">
            <v>0</v>
          </cell>
          <cell r="O120">
            <v>0</v>
          </cell>
          <cell r="Q120" t="str">
            <v>02|37</v>
          </cell>
        </row>
        <row r="121">
          <cell r="E121" t="str">
            <v>6. TELECOMMUNICATIONS</v>
          </cell>
          <cell r="G121" t="str">
            <v>Room</v>
          </cell>
          <cell r="H121" t="str">
            <v>Rack Installed</v>
          </cell>
          <cell r="I121" t="str">
            <v>Ladder Tray</v>
          </cell>
          <cell r="J121" t="str">
            <v>Fiber Installed</v>
          </cell>
          <cell r="K121" t="str">
            <v>Grounding</v>
          </cell>
          <cell r="L121" t="str">
            <v>Labeling</v>
          </cell>
          <cell r="O121" t="str">
            <v>Overall</v>
          </cell>
          <cell r="Q121" t="str">
            <v>02|38</v>
          </cell>
        </row>
        <row r="122">
          <cell r="E122" t="str">
            <v>6. TELECOMMUNICATIONS</v>
          </cell>
          <cell r="G122" t="str">
            <v>141</v>
          </cell>
          <cell r="H122" t="str">
            <v>Verify</v>
          </cell>
          <cell r="I122" t="str">
            <v>Verify</v>
          </cell>
          <cell r="J122" t="str">
            <v>Verify</v>
          </cell>
          <cell r="K122" t="str">
            <v>Verify</v>
          </cell>
          <cell r="L122" t="str">
            <v>Verify</v>
          </cell>
          <cell r="O122" t="str">
            <v>Verify</v>
          </cell>
          <cell r="Q122" t="str">
            <v>02|39</v>
          </cell>
        </row>
        <row r="123">
          <cell r="E123" t="str">
            <v>6. TELECOMMUNICATIONS</v>
          </cell>
          <cell r="G123" t="str">
            <v>236</v>
          </cell>
          <cell r="H123" t="str">
            <v>Verify</v>
          </cell>
          <cell r="I123" t="str">
            <v>Verify</v>
          </cell>
          <cell r="J123" t="str">
            <v>Verify</v>
          </cell>
          <cell r="K123" t="str">
            <v>Verify</v>
          </cell>
          <cell r="L123" t="str">
            <v>Verify</v>
          </cell>
          <cell r="O123" t="str">
            <v>Verify</v>
          </cell>
          <cell r="Q123" t="str">
            <v>02|40</v>
          </cell>
        </row>
        <row r="124">
          <cell r="E124" t="str">
            <v>6. TELECOMMUNICATIONS</v>
          </cell>
          <cell r="G124" t="str">
            <v>342</v>
          </cell>
          <cell r="H124" t="str">
            <v>Verify</v>
          </cell>
          <cell r="I124" t="str">
            <v>Verify</v>
          </cell>
          <cell r="J124" t="str">
            <v>Verify</v>
          </cell>
          <cell r="K124" t="str">
            <v>Verify</v>
          </cell>
          <cell r="L124" t="str">
            <v>Verify</v>
          </cell>
          <cell r="O124" t="str">
            <v>Verify</v>
          </cell>
          <cell r="Q124" t="str">
            <v>02|41</v>
          </cell>
        </row>
        <row r="125">
          <cell r="E125" t="str">
            <v>6. TELECOMMUNICATIONS</v>
          </cell>
          <cell r="G125" t="str">
            <v>B-06 / existing rooms</v>
          </cell>
          <cell r="H125" t="str">
            <v>Existing / Transfer</v>
          </cell>
          <cell r="I125" t="str">
            <v>Existing</v>
          </cell>
          <cell r="J125" t="str">
            <v>Existing</v>
          </cell>
          <cell r="K125" t="str">
            <v>Verify</v>
          </cell>
          <cell r="L125" t="str">
            <v>Verify</v>
          </cell>
          <cell r="O125" t="str">
            <v>Verify</v>
          </cell>
          <cell r="Q125" t="str">
            <v>02|42</v>
          </cell>
        </row>
        <row r="126">
          <cell r="E126" t="str">
            <v>6. TELECOMMUNICATIONS</v>
          </cell>
          <cell r="G126">
            <v>0</v>
          </cell>
          <cell r="H126">
            <v>0</v>
          </cell>
          <cell r="I126">
            <v>0</v>
          </cell>
          <cell r="J126">
            <v>0</v>
          </cell>
          <cell r="K126">
            <v>0</v>
          </cell>
          <cell r="L126">
            <v>0</v>
          </cell>
          <cell r="O126">
            <v>0</v>
          </cell>
          <cell r="Q126" t="str">
            <v>02|43</v>
          </cell>
        </row>
        <row r="127">
          <cell r="E127" t="str">
            <v>7. SECURITY / PACS / CCTV</v>
          </cell>
          <cell r="G127" t="str">
            <v>7. SECURITY / PACS / CCTV</v>
          </cell>
          <cell r="H127">
            <v>0</v>
          </cell>
          <cell r="I127">
            <v>0</v>
          </cell>
          <cell r="J127">
            <v>0</v>
          </cell>
          <cell r="K127">
            <v>0</v>
          </cell>
          <cell r="L127">
            <v>0</v>
          </cell>
          <cell r="O127">
            <v>0</v>
          </cell>
          <cell r="Q127" t="str">
            <v>02|44</v>
          </cell>
        </row>
        <row r="128">
          <cell r="E128" t="str">
            <v>7. SECURITY / PACS / CCTV</v>
          </cell>
          <cell r="G128" t="str">
            <v>Room</v>
          </cell>
          <cell r="H128" t="str">
            <v>PACS</v>
          </cell>
          <cell r="I128" t="str">
            <v>Card Reader</v>
          </cell>
          <cell r="J128" t="str">
            <v>Door Position</v>
          </cell>
          <cell r="K128" t="str">
            <v>Electric Strike</v>
          </cell>
          <cell r="L128" t="str">
            <v>CCTV</v>
          </cell>
          <cell r="O128" t="str">
            <v>Overall</v>
          </cell>
          <cell r="Q128" t="str">
            <v>02|45</v>
          </cell>
        </row>
        <row r="129">
          <cell r="E129" t="str">
            <v>7. SECURITY / PACS / CCTV</v>
          </cell>
          <cell r="G129" t="str">
            <v>141</v>
          </cell>
          <cell r="H129" t="str">
            <v>Verify</v>
          </cell>
          <cell r="I129" t="str">
            <v>Verify</v>
          </cell>
          <cell r="J129" t="str">
            <v>Verify</v>
          </cell>
          <cell r="K129" t="str">
            <v>Verify</v>
          </cell>
          <cell r="L129" t="str">
            <v>Verify</v>
          </cell>
          <cell r="O129" t="str">
            <v>Verify</v>
          </cell>
          <cell r="Q129" t="str">
            <v>02|46</v>
          </cell>
        </row>
        <row r="130">
          <cell r="E130" t="str">
            <v>7. SECURITY / PACS / CCTV</v>
          </cell>
          <cell r="G130" t="str">
            <v>236</v>
          </cell>
          <cell r="H130" t="str">
            <v>Verify</v>
          </cell>
          <cell r="I130" t="str">
            <v>Verify</v>
          </cell>
          <cell r="J130" t="str">
            <v>Verify</v>
          </cell>
          <cell r="K130" t="str">
            <v>Verify</v>
          </cell>
          <cell r="L130" t="str">
            <v>Verify</v>
          </cell>
          <cell r="O130" t="str">
            <v>Verify</v>
          </cell>
          <cell r="Q130" t="str">
            <v>02|47</v>
          </cell>
        </row>
        <row r="131">
          <cell r="E131" t="str">
            <v>7. SECURITY / PACS / CCTV</v>
          </cell>
          <cell r="G131" t="str">
            <v>342</v>
          </cell>
          <cell r="H131" t="str">
            <v>Verify</v>
          </cell>
          <cell r="I131" t="str">
            <v>Verify</v>
          </cell>
          <cell r="J131" t="str">
            <v>Verify</v>
          </cell>
          <cell r="K131" t="str">
            <v>Verify</v>
          </cell>
          <cell r="L131" t="str">
            <v>Verify</v>
          </cell>
          <cell r="O131" t="str">
            <v>Verify</v>
          </cell>
          <cell r="Q131" t="str">
            <v>02|48</v>
          </cell>
        </row>
        <row r="132">
          <cell r="E132" t="str">
            <v>7. SECURITY / PACS / CCTV</v>
          </cell>
          <cell r="G132" t="str">
            <v>B-06 / existing rooms</v>
          </cell>
          <cell r="H132" t="str">
            <v>Existing / Verify</v>
          </cell>
          <cell r="I132" t="str">
            <v>Existing / Verify</v>
          </cell>
          <cell r="J132" t="str">
            <v>Existing / Verify</v>
          </cell>
          <cell r="K132" t="str">
            <v>Existing / Verify</v>
          </cell>
          <cell r="L132" t="str">
            <v>Verify Existing</v>
          </cell>
          <cell r="O132" t="str">
            <v>Verify</v>
          </cell>
          <cell r="Q132" t="str">
            <v>02|49</v>
          </cell>
        </row>
        <row r="133">
          <cell r="E133" t="str">
            <v>7. SECURITY / PACS / CCTV</v>
          </cell>
          <cell r="G133">
            <v>0</v>
          </cell>
          <cell r="H133">
            <v>0</v>
          </cell>
          <cell r="I133">
            <v>0</v>
          </cell>
          <cell r="J133">
            <v>0</v>
          </cell>
          <cell r="K133">
            <v>0</v>
          </cell>
          <cell r="L133">
            <v>0</v>
          </cell>
          <cell r="O133">
            <v>0</v>
          </cell>
          <cell r="Q133" t="str">
            <v>02|50</v>
          </cell>
        </row>
        <row r="134">
          <cell r="E134" t="str">
            <v>8. OWNER RISKS</v>
          </cell>
          <cell r="G134" t="str">
            <v>8. OWNER RISKS</v>
          </cell>
          <cell r="H134">
            <v>0</v>
          </cell>
          <cell r="I134">
            <v>0</v>
          </cell>
          <cell r="J134">
            <v>0</v>
          </cell>
          <cell r="K134">
            <v>0</v>
          </cell>
          <cell r="L134">
            <v>0</v>
          </cell>
          <cell r="O134">
            <v>0</v>
          </cell>
          <cell r="Q134" t="str">
            <v>02|51</v>
          </cell>
        </row>
        <row r="135">
          <cell r="E135" t="str">
            <v>8. OWNER RISKS</v>
          </cell>
          <cell r="G135" t="str">
            <v>Risk ID</v>
          </cell>
          <cell r="H135" t="str">
            <v>Room</v>
          </cell>
          <cell r="I135" t="str">
            <v>Risk</v>
          </cell>
          <cell r="J135" t="str">
            <v>Impact</v>
          </cell>
          <cell r="K135" t="str">
            <v>Probability</v>
          </cell>
          <cell r="L135" t="str">
            <v>Score</v>
          </cell>
          <cell r="O135" t="str">
            <v>Status</v>
          </cell>
          <cell r="Q135" t="str">
            <v>02|52</v>
          </cell>
        </row>
        <row r="136">
          <cell r="E136" t="str">
            <v>8. OWNER RISKS</v>
          </cell>
          <cell r="G136" t="str">
            <v>B02-R1</v>
          </cell>
          <cell r="H136" t="str">
            <v>All</v>
          </cell>
          <cell r="I136" t="str">
            <v>Existing conditions for Rooms 141/236/342 and existing B-06/141/236 not field verified</v>
          </cell>
          <cell r="J136" t="str">
            <v>High</v>
          </cell>
          <cell r="K136" t="str">
            <v>Medium</v>
          </cell>
          <cell r="L136">
            <v>6</v>
          </cell>
          <cell r="O136" t="str">
            <v>Open</v>
          </cell>
          <cell r="Q136" t="str">
            <v>02|53</v>
          </cell>
        </row>
        <row r="137">
          <cell r="E137" t="str">
            <v>8. OWNER RISKS</v>
          </cell>
          <cell r="G137" t="str">
            <v>B02-R2</v>
          </cell>
          <cell r="H137" t="str">
            <v>Existing rooms</v>
          </cell>
          <cell r="I137" t="str">
            <v>Existing equipment may remain active during transfer to new TRs</v>
          </cell>
          <cell r="J137" t="str">
            <v>Critical</v>
          </cell>
          <cell r="K137" t="str">
            <v>Medium</v>
          </cell>
          <cell r="L137">
            <v>8</v>
          </cell>
          <cell r="O137" t="str">
            <v>Open</v>
          </cell>
          <cell r="Q137" t="str">
            <v>02|54</v>
          </cell>
        </row>
        <row r="138">
          <cell r="E138" t="str">
            <v>8. OWNER RISKS</v>
          </cell>
          <cell r="G138" t="str">
            <v>B02-R3</v>
          </cell>
          <cell r="H138" t="str">
            <v>141/236/342</v>
          </cell>
          <cell r="I138" t="str">
            <v>Dedicated cooling assignment, emergency power, condensate, BACnet and alarms not verified</v>
          </cell>
          <cell r="J138" t="str">
            <v>Critical</v>
          </cell>
          <cell r="K138" t="str">
            <v>Medium</v>
          </cell>
          <cell r="L138">
            <v>8</v>
          </cell>
          <cell r="O138" t="str">
            <v>Open</v>
          </cell>
          <cell r="Q138" t="str">
            <v>02|55</v>
          </cell>
        </row>
        <row r="139">
          <cell r="E139" t="str">
            <v>8. OWNER RISKS</v>
          </cell>
          <cell r="G139" t="str">
            <v>B02-R4</v>
          </cell>
          <cell r="H139" t="str">
            <v>All TRs</v>
          </cell>
          <cell r="I139" t="str">
            <v>B02-TR141/236/342 A/B UPS/PDU and panel source coordination could delay energization</v>
          </cell>
          <cell r="J139" t="str">
            <v>High</v>
          </cell>
          <cell r="K139" t="str">
            <v>Medium</v>
          </cell>
          <cell r="L139">
            <v>6</v>
          </cell>
          <cell r="O139" t="str">
            <v>Open</v>
          </cell>
          <cell r="Q139" t="str">
            <v>02|56</v>
          </cell>
        </row>
        <row r="140">
          <cell r="E140" t="str">
            <v>8. OWNER RISKS</v>
          </cell>
          <cell r="G140" t="str">
            <v>B02-R5</v>
          </cell>
          <cell r="H140" t="str">
            <v>All</v>
          </cell>
          <cell r="I140" t="str">
            <v>2,560 feet of cable tray/pathway requires coordination and firestop tracking</v>
          </cell>
          <cell r="J140" t="str">
            <v>High</v>
          </cell>
          <cell r="K140" t="str">
            <v>Medium</v>
          </cell>
          <cell r="L140">
            <v>6</v>
          </cell>
          <cell r="O140" t="str">
            <v>Open</v>
          </cell>
          <cell r="Q140" t="str">
            <v>02|57</v>
          </cell>
        </row>
        <row r="141">
          <cell r="E141" t="str">
            <v>8. OWNER RISKS</v>
          </cell>
          <cell r="G141" t="str">
            <v>B02-R6</v>
          </cell>
          <cell r="H141" t="str">
            <v>All</v>
          </cell>
          <cell r="I141" t="str">
            <v>Telecom/fiber cutover could affect active hospital communications across several floors</v>
          </cell>
          <cell r="J141" t="str">
            <v>Critical</v>
          </cell>
          <cell r="K141" t="str">
            <v>Medium</v>
          </cell>
          <cell r="L141">
            <v>8</v>
          </cell>
          <cell r="O141" t="str">
            <v>Open</v>
          </cell>
          <cell r="Q141" t="str">
            <v>02|58</v>
          </cell>
        </row>
        <row r="142">
          <cell r="E142" t="str">
            <v>8. OWNER RISKS</v>
          </cell>
          <cell r="G142" t="str">
            <v>B02-R7</v>
          </cell>
          <cell r="H142" t="str">
            <v>141/236/342</v>
          </cell>
          <cell r="I142" t="str">
            <v>PACS/CCTV/door hardware coordination may not be ready at room acceptance</v>
          </cell>
          <cell r="J142" t="str">
            <v>High</v>
          </cell>
          <cell r="K142" t="str">
            <v>Medium</v>
          </cell>
          <cell r="L142">
            <v>6</v>
          </cell>
          <cell r="O142" t="str">
            <v>Open</v>
          </cell>
          <cell r="Q142" t="str">
            <v>02|59</v>
          </cell>
        </row>
        <row r="143">
          <cell r="E143" t="str">
            <v>8. OWNER RISKS</v>
          </cell>
          <cell r="G143" t="str">
            <v>B02-R8</v>
          </cell>
          <cell r="H143" t="str">
            <v>All</v>
          </cell>
          <cell r="I143" t="str">
            <v>Commissioning/third-party inspection reports may not be complete at turnover</v>
          </cell>
          <cell r="J143" t="str">
            <v>High</v>
          </cell>
          <cell r="K143" t="str">
            <v>Medium</v>
          </cell>
          <cell r="L143">
            <v>6</v>
          </cell>
          <cell r="O143" t="str">
            <v>Open</v>
          </cell>
          <cell r="Q143" t="str">
            <v>02|60</v>
          </cell>
        </row>
        <row r="144">
          <cell r="E144" t="str">
            <v>8. OWNER RISKS</v>
          </cell>
          <cell r="G144">
            <v>0</v>
          </cell>
          <cell r="H144">
            <v>0</v>
          </cell>
          <cell r="I144">
            <v>0</v>
          </cell>
          <cell r="J144">
            <v>0</v>
          </cell>
          <cell r="K144">
            <v>0</v>
          </cell>
          <cell r="L144">
            <v>0</v>
          </cell>
          <cell r="O144">
            <v>0</v>
          </cell>
          <cell r="Q144" t="str">
            <v>02|61</v>
          </cell>
        </row>
        <row r="145">
          <cell r="E145" t="str">
            <v>9. OPEN QUESTIONS</v>
          </cell>
          <cell r="G145" t="str">
            <v>9. OPEN QUESTIONS</v>
          </cell>
          <cell r="H145">
            <v>0</v>
          </cell>
          <cell r="I145">
            <v>0</v>
          </cell>
          <cell r="J145">
            <v>0</v>
          </cell>
          <cell r="K145">
            <v>0</v>
          </cell>
          <cell r="L145">
            <v>0</v>
          </cell>
          <cell r="O145">
            <v>0</v>
          </cell>
          <cell r="Q145" t="str">
            <v>02|62</v>
          </cell>
        </row>
        <row r="146">
          <cell r="E146" t="str">
            <v>9. OPEN QUESTIONS</v>
          </cell>
          <cell r="G146" t="str">
            <v>Question ID</v>
          </cell>
          <cell r="H146" t="str">
            <v>Question</v>
          </cell>
          <cell r="I146" t="str">
            <v>Assigned To</v>
          </cell>
          <cell r="J146" t="str">
            <v>Status</v>
          </cell>
          <cell r="K146" t="str">
            <v>Needed By</v>
          </cell>
          <cell r="L146" t="str">
            <v>Answer / Resolution</v>
          </cell>
          <cell r="O146" t="str">
            <v>Date Closed</v>
          </cell>
          <cell r="Q146" t="str">
            <v>02|63</v>
          </cell>
        </row>
        <row r="147">
          <cell r="E147" t="str">
            <v>9. OPEN QUESTIONS</v>
          </cell>
          <cell r="G147" t="str">
            <v>B02-Q1</v>
          </cell>
          <cell r="H147" t="str">
            <v>Confirm final telecom scope: new Rooms 141, 236 and 342 with existing B-06/141/236 transition points?</v>
          </cell>
          <cell r="I147" t="str">
            <v>VA / OIT / Designer</v>
          </cell>
          <cell r="J147" t="str">
            <v>Open</v>
          </cell>
          <cell r="K147">
            <v>0</v>
          </cell>
          <cell r="L147">
            <v>0</v>
          </cell>
          <cell r="O147">
            <v>0</v>
          </cell>
          <cell r="Q147" t="str">
            <v>02|64</v>
          </cell>
        </row>
        <row r="148">
          <cell r="E148" t="str">
            <v>9. OPEN QUESTIONS</v>
          </cell>
          <cell r="G148" t="str">
            <v>B02-Q2</v>
          </cell>
          <cell r="H148" t="str">
            <v>What active services are currently fed from existing Rooms B-06, 141 and 236?</v>
          </cell>
          <cell r="I148" t="str">
            <v>OIT / Contractor</v>
          </cell>
          <cell r="J148" t="str">
            <v>Open</v>
          </cell>
          <cell r="K148">
            <v>0</v>
          </cell>
          <cell r="L148">
            <v>0</v>
          </cell>
          <cell r="O148">
            <v>0</v>
          </cell>
          <cell r="Q148" t="str">
            <v>02|65</v>
          </cell>
        </row>
        <row r="149">
          <cell r="E149" t="str">
            <v>9. OPEN QUESTIONS</v>
          </cell>
          <cell r="G149" t="str">
            <v>B02-Q3</v>
          </cell>
          <cell r="H149" t="str">
            <v>What existing equipment is transferred, relocated, removed or protected in Rooms 141 and 236?</v>
          </cell>
          <cell r="I149" t="str">
            <v>OIT / Telecom</v>
          </cell>
          <cell r="J149" t="str">
            <v>Open</v>
          </cell>
          <cell r="K149">
            <v>0</v>
          </cell>
          <cell r="L149">
            <v>0</v>
          </cell>
          <cell r="O149">
            <v>0</v>
          </cell>
          <cell r="Q149" t="str">
            <v>02|66</v>
          </cell>
        </row>
        <row r="150">
          <cell r="E150" t="str">
            <v>9. OPEN QUESTIONS</v>
          </cell>
          <cell r="G150" t="str">
            <v>B02-Q4</v>
          </cell>
          <cell r="H150" t="str">
            <v>Which IU/CU pair serves each TR and are they on emergency/backup power?</v>
          </cell>
          <cell r="I150" t="str">
            <v>Mechanical / Electrical / VA</v>
          </cell>
          <cell r="J150" t="str">
            <v>Open</v>
          </cell>
          <cell r="K150">
            <v>0</v>
          </cell>
          <cell r="L150">
            <v>0</v>
          </cell>
          <cell r="O150">
            <v>0</v>
          </cell>
          <cell r="Q150" t="str">
            <v>02|67</v>
          </cell>
        </row>
        <row r="151">
          <cell r="E151" t="str">
            <v>9. OPEN QUESTIONS</v>
          </cell>
          <cell r="G151" t="str">
            <v>B02-Q5</v>
          </cell>
          <cell r="H151" t="str">
            <v>Where are clean-agent/CO2 extinguisher cabinets located within 75 ft of Rooms 141, 236 and 342?</v>
          </cell>
          <cell r="I151" t="str">
            <v>GC / COR</v>
          </cell>
          <cell r="J151" t="str">
            <v>Open</v>
          </cell>
          <cell r="K151">
            <v>0</v>
          </cell>
          <cell r="L151">
            <v>0</v>
          </cell>
          <cell r="O151">
            <v>0</v>
          </cell>
          <cell r="Q151" t="str">
            <v>02|68</v>
          </cell>
        </row>
        <row r="152">
          <cell r="E152" t="str">
            <v>9. OPEN QUESTIONS</v>
          </cell>
          <cell r="G152" t="str">
            <v>B02-Q6</v>
          </cell>
          <cell r="H152" t="str">
            <v>Are B02-TR141/236/342 A/B sources, rack receptacles, SPDs, labels and 30-day load measurements approved?</v>
          </cell>
          <cell r="I152" t="str">
            <v>Electrical / Designer</v>
          </cell>
          <cell r="J152" t="str">
            <v>Open</v>
          </cell>
          <cell r="K152">
            <v>0</v>
          </cell>
          <cell r="L152">
            <v>0</v>
          </cell>
          <cell r="O152">
            <v>0</v>
          </cell>
          <cell r="Q152" t="str">
            <v>02|69</v>
          </cell>
        </row>
        <row r="153">
          <cell r="E153" t="str">
            <v>9. OPEN QUESTIONS</v>
          </cell>
          <cell r="G153" t="str">
            <v>B02-Q7</v>
          </cell>
          <cell r="H153" t="str">
            <v>Are all rated wall/floor penetrations, sleeves, cable tray entries and firestopping details identified?</v>
          </cell>
          <cell r="I153" t="str">
            <v>GC / Firestop</v>
          </cell>
          <cell r="J153" t="str">
            <v>Open</v>
          </cell>
          <cell r="K153">
            <v>0</v>
          </cell>
          <cell r="L153">
            <v>0</v>
          </cell>
          <cell r="O153">
            <v>0</v>
          </cell>
          <cell r="Q153" t="str">
            <v>02|70</v>
          </cell>
        </row>
        <row r="154">
          <cell r="E154" t="str">
            <v>9. OPEN QUESTIONS</v>
          </cell>
          <cell r="G154" t="str">
            <v>B02-Q8</v>
          </cell>
          <cell r="H154" t="str">
            <v>Which third-party inspections and commissioning forms are required before VA/OIT acceptance?</v>
          </cell>
          <cell r="I154" t="str">
            <v>GC / Cx Manager / OIT</v>
          </cell>
          <cell r="J154" t="str">
            <v>Open</v>
          </cell>
          <cell r="K154">
            <v>0</v>
          </cell>
          <cell r="L154">
            <v>0</v>
          </cell>
          <cell r="O154">
            <v>0</v>
          </cell>
          <cell r="Q154" t="str">
            <v>02|71</v>
          </cell>
        </row>
        <row r="155">
          <cell r="E155" t="str">
            <v>9. OPEN QUESTIONS</v>
          </cell>
          <cell r="G155">
            <v>0</v>
          </cell>
          <cell r="H155">
            <v>0</v>
          </cell>
          <cell r="I155">
            <v>0</v>
          </cell>
          <cell r="J155">
            <v>0</v>
          </cell>
          <cell r="K155">
            <v>0</v>
          </cell>
          <cell r="L155">
            <v>0</v>
          </cell>
          <cell r="O155">
            <v>0</v>
          </cell>
          <cell r="Q155" t="str">
            <v>02|72</v>
          </cell>
        </row>
        <row r="156">
          <cell r="E156" t="str">
            <v>10. PHOTO LOG</v>
          </cell>
          <cell r="G156" t="str">
            <v>10. PHOTO LOG</v>
          </cell>
          <cell r="H156">
            <v>0</v>
          </cell>
          <cell r="I156">
            <v>0</v>
          </cell>
          <cell r="J156">
            <v>0</v>
          </cell>
          <cell r="K156">
            <v>0</v>
          </cell>
          <cell r="L156">
            <v>0</v>
          </cell>
          <cell r="O156">
            <v>0</v>
          </cell>
          <cell r="Q156" t="str">
            <v>02|73</v>
          </cell>
        </row>
        <row r="157">
          <cell r="E157" t="str">
            <v>10. PHOTO LOG</v>
          </cell>
          <cell r="G157" t="str">
            <v>Photo ID</v>
          </cell>
          <cell r="H157" t="str">
            <v>Room</v>
          </cell>
          <cell r="I157" t="str">
            <v>Category</v>
          </cell>
          <cell r="J157" t="str">
            <v>Description</v>
          </cell>
          <cell r="K157" t="str">
            <v>Date</v>
          </cell>
          <cell r="L157" t="str">
            <v>Taken By</v>
          </cell>
          <cell r="O157" t="str">
            <v>Status</v>
          </cell>
          <cell r="Q157" t="str">
            <v>02|74</v>
          </cell>
        </row>
        <row r="158">
          <cell r="E158" t="str">
            <v>10. PHOTO LOG</v>
          </cell>
          <cell r="G158" t="str">
            <v>B02-P001</v>
          </cell>
          <cell r="H158" t="str">
            <v>141</v>
          </cell>
          <cell r="I158" t="str">
            <v>Existing / New Condition</v>
          </cell>
          <cell r="J158" t="str">
            <v>Room 141 walls, ceiling/deck, floor, door, racks/future rack, panels, HVAC, cable tray, 174-CAM-01, penetrations and demo/relocation conditions</v>
          </cell>
          <cell r="K158">
            <v>0</v>
          </cell>
          <cell r="L158" t="str">
            <v>Paul</v>
          </cell>
          <cell r="O158" t="str">
            <v>Closed</v>
          </cell>
          <cell r="Q158" t="str">
            <v>02|75</v>
          </cell>
        </row>
        <row r="159">
          <cell r="E159" t="str">
            <v>10. PHOTO LOG</v>
          </cell>
          <cell r="G159" t="str">
            <v>B02-P002</v>
          </cell>
          <cell r="H159" t="str">
            <v>236</v>
          </cell>
          <cell r="I159" t="str">
            <v>Existing / New Condition</v>
          </cell>
          <cell r="J159" t="str">
            <v>Room 236 walls, ceiling/deck, floor, door, racks/future rack, panels, HVAC, cable tray, 236-CAM-01, penetrations and existing transfer conditions</v>
          </cell>
          <cell r="K159">
            <v>0</v>
          </cell>
          <cell r="L159" t="str">
            <v>Paul</v>
          </cell>
          <cell r="O159" t="str">
            <v>Closed</v>
          </cell>
          <cell r="Q159" t="str">
            <v>02|76</v>
          </cell>
        </row>
        <row r="160">
          <cell r="E160" t="str">
            <v>10. PHOTO LOG</v>
          </cell>
          <cell r="G160" t="str">
            <v>B02-P003</v>
          </cell>
          <cell r="H160" t="str">
            <v>342</v>
          </cell>
          <cell r="I160" t="str">
            <v>Existing / New Condition</v>
          </cell>
          <cell r="J160" t="str">
            <v>Room 342 walls, ceiling/deck, floor, door, racks/future rack, panels, HVAC, cable tray, 342-CAM-01, penetrations and 342A-CK-A</v>
          </cell>
          <cell r="K160">
            <v>0</v>
          </cell>
          <cell r="L160" t="str">
            <v>Paul</v>
          </cell>
          <cell r="O160" t="str">
            <v>Closed</v>
          </cell>
          <cell r="Q160" t="str">
            <v>02|77</v>
          </cell>
        </row>
        <row r="161">
          <cell r="E161" t="str">
            <v>10. PHOTO LOG</v>
          </cell>
          <cell r="G161" t="str">
            <v>B02-P004</v>
          </cell>
          <cell r="H161" t="str">
            <v>B-06</v>
          </cell>
          <cell r="I161" t="str">
            <v>Existing Equipment</v>
          </cell>
          <cell r="J161" t="str">
            <v>Basement existing telecom room B-06 legacy rack/patch panels, active service labels and cable entries</v>
          </cell>
          <cell r="K161">
            <v>0</v>
          </cell>
          <cell r="L161" t="str">
            <v>Paul</v>
          </cell>
          <cell r="O161" t="str">
            <v>Closed</v>
          </cell>
          <cell r="Q161" t="str">
            <v>02|78</v>
          </cell>
        </row>
        <row r="162">
          <cell r="E162" t="str">
            <v>10. PHOTO LOG</v>
          </cell>
          <cell r="G162" t="str">
            <v>B02-P005</v>
          </cell>
          <cell r="H162" t="str">
            <v>Existing 141 / 236</v>
          </cell>
          <cell r="I162" t="str">
            <v>Existing Equipment</v>
          </cell>
          <cell r="J162" t="str">
            <v>Existing first/second-level telecom rooms 141 and 236, existing patch panels, relocated/removed equipment and fire alarm cabinet conditions</v>
          </cell>
          <cell r="K162">
            <v>0</v>
          </cell>
          <cell r="L162" t="str">
            <v>Paul</v>
          </cell>
          <cell r="O162" t="str">
            <v>Closed</v>
          </cell>
          <cell r="Q162" t="str">
            <v>02|79</v>
          </cell>
        </row>
        <row r="163">
          <cell r="E163" t="str">
            <v>10. PHOTO LOG</v>
          </cell>
          <cell r="G163" t="str">
            <v>B02-P006</v>
          </cell>
          <cell r="H163" t="str">
            <v>All TRs</v>
          </cell>
          <cell r="I163" t="str">
            <v>Electrical / HVAC</v>
          </cell>
          <cell r="J163" t="str">
            <v>B02-TR141/236/342 A/B panels, rack receptacles, breakers, SPD, UPS/PDU, CU/IU equipment, condensate, disconnects and labels</v>
          </cell>
          <cell r="K163">
            <v>0</v>
          </cell>
          <cell r="L163" t="str">
            <v>Paul</v>
          </cell>
          <cell r="O163" t="str">
            <v>Closed</v>
          </cell>
          <cell r="Q163" t="str">
            <v>02|80</v>
          </cell>
        </row>
        <row r="164">
          <cell r="E164" t="str">
            <v>10. PHOTO LOG</v>
          </cell>
          <cell r="G164" t="str">
            <v>B02-P007</v>
          </cell>
          <cell r="H164" t="str">
            <v>All</v>
          </cell>
          <cell r="I164" t="str">
            <v>Cable Tray / Firestop</v>
          </cell>
          <cell r="J164" t="str">
            <v>Basement/first/second/third/fourth cable tray route, supports, seismic bracing, 40% fill, penetrations and before/after firestopping</v>
          </cell>
          <cell r="K164">
            <v>0</v>
          </cell>
          <cell r="L164" t="str">
            <v>Paul</v>
          </cell>
          <cell r="O164" t="str">
            <v>Closed</v>
          </cell>
          <cell r="Q164" t="str">
            <v>02|81</v>
          </cell>
        </row>
        <row r="165">
          <cell r="E165" t="str">
            <v>10. PHOTO LOG</v>
          </cell>
          <cell r="G165" t="str">
            <v>B02-P008</v>
          </cell>
          <cell r="H165" t="str">
            <v>All TRs</v>
          </cell>
          <cell r="I165" t="str">
            <v>Telecom / Security</v>
          </cell>
          <cell r="J165" t="str">
            <v>Racks, Fiber LIU, Cat6A, patch panels, labels/test records, cameras, PACS and existing rack transfer work</v>
          </cell>
          <cell r="K165">
            <v>0</v>
          </cell>
          <cell r="L165" t="str">
            <v>Paul</v>
          </cell>
          <cell r="O165" t="str">
            <v>Closed</v>
          </cell>
          <cell r="Q165" t="str">
            <v>02|82</v>
          </cell>
        </row>
        <row r="166">
          <cell r="E166" t="str">
            <v>10. PHOTO LOG</v>
          </cell>
          <cell r="G166">
            <v>0</v>
          </cell>
          <cell r="H166">
            <v>0</v>
          </cell>
          <cell r="I166">
            <v>0</v>
          </cell>
          <cell r="J166">
            <v>0</v>
          </cell>
          <cell r="K166">
            <v>0</v>
          </cell>
          <cell r="L166">
            <v>0</v>
          </cell>
          <cell r="O166">
            <v>0</v>
          </cell>
          <cell r="Q166" t="str">
            <v>02|83</v>
          </cell>
        </row>
        <row r="167">
          <cell r="E167" t="str">
            <v>1. ROOM INVENTORY</v>
          </cell>
          <cell r="G167" t="str">
            <v>1. ROOM INVENTORY</v>
          </cell>
          <cell r="H167">
            <v>0</v>
          </cell>
          <cell r="I167">
            <v>0</v>
          </cell>
          <cell r="J167">
            <v>0</v>
          </cell>
          <cell r="K167">
            <v>0</v>
          </cell>
          <cell r="L167">
            <v>0</v>
          </cell>
          <cell r="O167">
            <v>0</v>
          </cell>
          <cell r="Q167" t="str">
            <v>03|1</v>
          </cell>
        </row>
        <row r="168">
          <cell r="E168" t="str">
            <v>1. ROOM INVENTORY</v>
          </cell>
          <cell r="G168" t="str">
            <v>Building</v>
          </cell>
          <cell r="H168" t="str">
            <v>Room</v>
          </cell>
          <cell r="I168" t="str">
            <v>Floor</v>
          </cell>
          <cell r="J168" t="str">
            <v>Existing Use</v>
          </cell>
          <cell r="K168" t="str">
            <v>New Use</v>
          </cell>
          <cell r="L168" t="str">
            <v>Rack Count</v>
          </cell>
          <cell r="O168" t="str">
            <v>Drawing Ref</v>
          </cell>
          <cell r="Q168" t="str">
            <v>03|2</v>
          </cell>
        </row>
        <row r="169">
          <cell r="E169" t="str">
            <v>1. ROOM INVENTORY</v>
          </cell>
          <cell r="G169" t="str">
            <v>03</v>
          </cell>
          <cell r="H169" t="str">
            <v>101E</v>
          </cell>
          <cell r="I169" t="str">
            <v>First</v>
          </cell>
          <cell r="J169" t="str">
            <v>New telecom room buildout / relocated TR function</v>
          </cell>
          <cell r="K169" t="str">
            <v>Telecom Room</v>
          </cell>
          <cell r="L169">
            <v>2</v>
          </cell>
          <cell r="O169" t="str">
            <v>03A-401 / 03E-101 / 03E-401 / 03E-601 / 03E-701 / 03T-101 / 03T-401 / 03T-604 / 03T-701</v>
          </cell>
          <cell r="Q169" t="str">
            <v>03|3</v>
          </cell>
        </row>
        <row r="170">
          <cell r="E170" t="str">
            <v>1. ROOM INVENTORY</v>
          </cell>
          <cell r="G170" t="str">
            <v>03</v>
          </cell>
          <cell r="H170" t="str">
            <v>107</v>
          </cell>
          <cell r="I170" t="str">
            <v>Basement</v>
          </cell>
          <cell r="J170" t="str">
            <v>Existing telecom room / legacy rack equipment</v>
          </cell>
          <cell r="K170" t="str">
            <v>Existing telecom transition point</v>
          </cell>
          <cell r="L170">
            <v>1</v>
          </cell>
          <cell r="O170" t="str">
            <v>03T-100 / 03T-403 / 03T-604 / 03R-900</v>
          </cell>
          <cell r="Q170" t="str">
            <v>03|4</v>
          </cell>
        </row>
        <row r="171">
          <cell r="E171" t="str">
            <v>1. ROOM INVENTORY</v>
          </cell>
          <cell r="G171" t="str">
            <v>03</v>
          </cell>
          <cell r="H171" t="str">
            <v>101C</v>
          </cell>
          <cell r="I171" t="str">
            <v>First</v>
          </cell>
          <cell r="J171" t="str">
            <v>Existing DMARC / telecom room</v>
          </cell>
          <cell r="K171" t="str">
            <v>Existing DMARC transition point</v>
          </cell>
          <cell r="L171">
            <v>1</v>
          </cell>
          <cell r="O171" t="str">
            <v>03T-101 / 03T-401 / 03T-604 / 03R-900</v>
          </cell>
          <cell r="Q171" t="str">
            <v>03|5</v>
          </cell>
        </row>
        <row r="172">
          <cell r="E172" t="str">
            <v>1. ROOM INVENTORY</v>
          </cell>
          <cell r="G172" t="str">
            <v>03</v>
          </cell>
          <cell r="H172" t="str">
            <v>108 / 107A / 101C related WAO areas</v>
          </cell>
          <cell r="I172" t="str">
            <v>First</v>
          </cell>
          <cell r="J172" t="str">
            <v>Work area outlets and WAP/camera locations</v>
          </cell>
          <cell r="K172" t="str">
            <v>WAO recabling / device support</v>
          </cell>
          <cell r="L172">
            <v>0</v>
          </cell>
          <cell r="O172" t="str">
            <v>03T-101 / 03T-701</v>
          </cell>
          <cell r="Q172" t="str">
            <v>03|6</v>
          </cell>
        </row>
        <row r="173">
          <cell r="E173" t="str">
            <v>1. ROOM INVENTORY</v>
          </cell>
          <cell r="G173">
            <v>0</v>
          </cell>
          <cell r="H173">
            <v>0</v>
          </cell>
          <cell r="I173">
            <v>0</v>
          </cell>
          <cell r="J173">
            <v>0</v>
          </cell>
          <cell r="K173">
            <v>0</v>
          </cell>
          <cell r="L173">
            <v>0</v>
          </cell>
          <cell r="O173">
            <v>0</v>
          </cell>
          <cell r="Q173" t="str">
            <v>03|7</v>
          </cell>
        </row>
        <row r="174">
          <cell r="E174" t="str">
            <v>2. ROOM READINESS</v>
          </cell>
          <cell r="G174" t="str">
            <v>2. ROOM READINESS</v>
          </cell>
          <cell r="H174">
            <v>0</v>
          </cell>
          <cell r="I174">
            <v>0</v>
          </cell>
          <cell r="J174">
            <v>0</v>
          </cell>
          <cell r="K174">
            <v>0</v>
          </cell>
          <cell r="L174">
            <v>0</v>
          </cell>
          <cell r="O174">
            <v>0</v>
          </cell>
          <cell r="Q174" t="str">
            <v>03|8</v>
          </cell>
        </row>
        <row r="175">
          <cell r="E175" t="str">
            <v>2. ROOM READINESS</v>
          </cell>
          <cell r="G175" t="str">
            <v>Room</v>
          </cell>
          <cell r="H175" t="str">
            <v>Walls / 1-hr Rating</v>
          </cell>
          <cell r="I175" t="str">
            <v>Ceiling</v>
          </cell>
          <cell r="J175" t="str">
            <v>Floor / SDC</v>
          </cell>
          <cell r="K175" t="str">
            <v>Penetrations</v>
          </cell>
          <cell r="L175" t="str">
            <v>Access Control</v>
          </cell>
          <cell r="O175" t="str">
            <v>Overall</v>
          </cell>
          <cell r="Q175" t="str">
            <v>03|9</v>
          </cell>
        </row>
        <row r="176">
          <cell r="E176" t="str">
            <v>2. ROOM READINESS</v>
          </cell>
          <cell r="G176" t="str">
            <v>101E</v>
          </cell>
          <cell r="H176" t="str">
            <v>Verify</v>
          </cell>
          <cell r="I176" t="str">
            <v>Verify</v>
          </cell>
          <cell r="J176" t="str">
            <v>Verify</v>
          </cell>
          <cell r="K176" t="str">
            <v>Verify</v>
          </cell>
          <cell r="L176" t="str">
            <v>Verify</v>
          </cell>
          <cell r="O176" t="str">
            <v>Verify</v>
          </cell>
          <cell r="Q176" t="str">
            <v>03|10</v>
          </cell>
        </row>
        <row r="177">
          <cell r="E177" t="str">
            <v>2. ROOM READINESS</v>
          </cell>
          <cell r="G177" t="str">
            <v>107</v>
          </cell>
          <cell r="H177" t="str">
            <v>Existing / Verify</v>
          </cell>
          <cell r="I177" t="str">
            <v>Existing / Verify</v>
          </cell>
          <cell r="J177" t="str">
            <v>Existing / Verify</v>
          </cell>
          <cell r="K177" t="str">
            <v>Verify</v>
          </cell>
          <cell r="L177" t="str">
            <v>Verify Existing</v>
          </cell>
          <cell r="O177" t="str">
            <v>Verify</v>
          </cell>
          <cell r="Q177" t="str">
            <v>03|11</v>
          </cell>
        </row>
        <row r="178">
          <cell r="E178" t="str">
            <v>2. ROOM READINESS</v>
          </cell>
          <cell r="G178" t="str">
            <v>101C</v>
          </cell>
          <cell r="H178" t="str">
            <v>Existing / Verify</v>
          </cell>
          <cell r="I178" t="str">
            <v>Existing / Verify</v>
          </cell>
          <cell r="J178" t="str">
            <v>Existing / Verify</v>
          </cell>
          <cell r="K178" t="str">
            <v>Verify</v>
          </cell>
          <cell r="L178" t="str">
            <v>Verify Existing</v>
          </cell>
          <cell r="O178" t="str">
            <v>Verify</v>
          </cell>
          <cell r="Q178" t="str">
            <v>03|12</v>
          </cell>
        </row>
        <row r="179">
          <cell r="E179" t="str">
            <v>2. ROOM READINESS</v>
          </cell>
          <cell r="G179" t="str">
            <v>WAO Areas</v>
          </cell>
          <cell r="H179" t="str">
            <v>Existing / Verify</v>
          </cell>
          <cell r="I179" t="str">
            <v>Existing / Verify</v>
          </cell>
          <cell r="J179" t="str">
            <v>Existing / Verify</v>
          </cell>
          <cell r="K179" t="str">
            <v>Verify</v>
          </cell>
          <cell r="L179" t="str">
            <v>N/A / Verify</v>
          </cell>
          <cell r="O179" t="str">
            <v>Verify</v>
          </cell>
          <cell r="Q179" t="str">
            <v>03|13</v>
          </cell>
        </row>
        <row r="180">
          <cell r="E180" t="str">
            <v>2. ROOM READINESS</v>
          </cell>
          <cell r="G180">
            <v>0</v>
          </cell>
          <cell r="H180">
            <v>0</v>
          </cell>
          <cell r="I180">
            <v>0</v>
          </cell>
          <cell r="J180">
            <v>0</v>
          </cell>
          <cell r="K180">
            <v>0</v>
          </cell>
          <cell r="L180">
            <v>0</v>
          </cell>
          <cell r="O180">
            <v>0</v>
          </cell>
          <cell r="Q180" t="str">
            <v>03|14</v>
          </cell>
        </row>
        <row r="181">
          <cell r="E181" t="str">
            <v>3. FIRE PROTECTION</v>
          </cell>
          <cell r="G181" t="str">
            <v>3. FIRE PROTECTION</v>
          </cell>
          <cell r="H181">
            <v>0</v>
          </cell>
          <cell r="I181">
            <v>0</v>
          </cell>
          <cell r="J181">
            <v>0</v>
          </cell>
          <cell r="K181">
            <v>0</v>
          </cell>
          <cell r="L181">
            <v>0</v>
          </cell>
          <cell r="O181">
            <v>0</v>
          </cell>
          <cell r="Q181" t="str">
            <v>03|15</v>
          </cell>
        </row>
        <row r="182">
          <cell r="E182" t="str">
            <v>3. FIRE PROTECTION</v>
          </cell>
          <cell r="G182" t="str">
            <v>Room</v>
          </cell>
          <cell r="H182" t="str">
            <v>Sprinkler</v>
          </cell>
          <cell r="I182" t="str">
            <v>Cage</v>
          </cell>
          <cell r="J182" t="str">
            <v>Detector</v>
          </cell>
          <cell r="K182" t="str">
            <v>Horn/Strobe</v>
          </cell>
          <cell r="L182" t="str">
            <v>Extinguisher &lt;75 ft</v>
          </cell>
          <cell r="O182" t="str">
            <v>Overall</v>
          </cell>
          <cell r="Q182" t="str">
            <v>03|16</v>
          </cell>
        </row>
        <row r="183">
          <cell r="E183" t="str">
            <v>3. FIRE PROTECTION</v>
          </cell>
          <cell r="G183" t="str">
            <v>101E</v>
          </cell>
          <cell r="H183" t="str">
            <v>Verify</v>
          </cell>
          <cell r="I183" t="str">
            <v>Verify</v>
          </cell>
          <cell r="J183" t="str">
            <v>Verify</v>
          </cell>
          <cell r="K183" t="str">
            <v>Verify</v>
          </cell>
          <cell r="L183" t="str">
            <v>Verify</v>
          </cell>
          <cell r="O183" t="str">
            <v>Verify</v>
          </cell>
          <cell r="Q183" t="str">
            <v>03|17</v>
          </cell>
        </row>
        <row r="184">
          <cell r="E184" t="str">
            <v>3. FIRE PROTECTION</v>
          </cell>
          <cell r="G184" t="str">
            <v>107</v>
          </cell>
          <cell r="H184" t="str">
            <v>Existing / Verify</v>
          </cell>
          <cell r="I184" t="str">
            <v>N/A</v>
          </cell>
          <cell r="J184" t="str">
            <v>Verify Existing</v>
          </cell>
          <cell r="K184" t="str">
            <v>Verify Existing</v>
          </cell>
          <cell r="L184" t="str">
            <v>Verify</v>
          </cell>
          <cell r="O184" t="str">
            <v>Verify</v>
          </cell>
          <cell r="Q184" t="str">
            <v>03|18</v>
          </cell>
        </row>
        <row r="185">
          <cell r="E185" t="str">
            <v>3. FIRE PROTECTION</v>
          </cell>
          <cell r="G185" t="str">
            <v>101C</v>
          </cell>
          <cell r="H185" t="str">
            <v>Existing / Verify</v>
          </cell>
          <cell r="I185" t="str">
            <v>N/A</v>
          </cell>
          <cell r="J185" t="str">
            <v>Verify Existing</v>
          </cell>
          <cell r="K185" t="str">
            <v>Verify Existing</v>
          </cell>
          <cell r="L185" t="str">
            <v>Verify</v>
          </cell>
          <cell r="O185" t="str">
            <v>Verify</v>
          </cell>
          <cell r="Q185" t="str">
            <v>03|19</v>
          </cell>
        </row>
        <row r="186">
          <cell r="E186" t="str">
            <v>3. FIRE PROTECTION</v>
          </cell>
          <cell r="G186" t="str">
            <v>WAO Areas</v>
          </cell>
          <cell r="H186" t="str">
            <v>Existing / Verify</v>
          </cell>
          <cell r="I186" t="str">
            <v>N/A</v>
          </cell>
          <cell r="J186" t="str">
            <v>Verify Existing</v>
          </cell>
          <cell r="K186" t="str">
            <v>Verify Existing</v>
          </cell>
          <cell r="L186" t="str">
            <v>N/A</v>
          </cell>
          <cell r="O186" t="str">
            <v>Verify</v>
          </cell>
          <cell r="Q186" t="str">
            <v>03|20</v>
          </cell>
        </row>
        <row r="187">
          <cell r="E187" t="str">
            <v>3. FIRE PROTECTION</v>
          </cell>
          <cell r="G187">
            <v>0</v>
          </cell>
          <cell r="H187">
            <v>0</v>
          </cell>
          <cell r="I187">
            <v>0</v>
          </cell>
          <cell r="J187">
            <v>0</v>
          </cell>
          <cell r="K187">
            <v>0</v>
          </cell>
          <cell r="L187">
            <v>0</v>
          </cell>
          <cell r="O187">
            <v>0</v>
          </cell>
          <cell r="Q187" t="str">
            <v>03|21</v>
          </cell>
        </row>
        <row r="188">
          <cell r="E188" t="str">
            <v>4. HVAC / COOLING</v>
          </cell>
          <cell r="G188" t="str">
            <v>4. HVAC / COOLING</v>
          </cell>
          <cell r="H188">
            <v>0</v>
          </cell>
          <cell r="I188">
            <v>0</v>
          </cell>
          <cell r="J188">
            <v>0</v>
          </cell>
          <cell r="K188">
            <v>0</v>
          </cell>
          <cell r="L188">
            <v>0</v>
          </cell>
          <cell r="O188">
            <v>0</v>
          </cell>
          <cell r="Q188" t="str">
            <v>03|22</v>
          </cell>
        </row>
        <row r="189">
          <cell r="E189" t="str">
            <v>4. HVAC / COOLING</v>
          </cell>
          <cell r="G189" t="str">
            <v>Room</v>
          </cell>
          <cell r="H189" t="str">
            <v>Dedicated Unit</v>
          </cell>
          <cell r="I189" t="str">
            <v>Capacity Verified</v>
          </cell>
          <cell r="J189" t="str">
            <v>Emergency Power</v>
          </cell>
          <cell r="K189" t="str">
            <v>Controls / BACnet</v>
          </cell>
          <cell r="L189" t="str">
            <v>Condensate Routed</v>
          </cell>
          <cell r="O189" t="str">
            <v>Overall</v>
          </cell>
          <cell r="Q189" t="str">
            <v>03|23</v>
          </cell>
        </row>
        <row r="190">
          <cell r="E190" t="str">
            <v>4. HVAC / COOLING</v>
          </cell>
          <cell r="G190" t="str">
            <v>101E</v>
          </cell>
          <cell r="H190" t="str">
            <v>CU-01 / TR cooling assignment verify</v>
          </cell>
          <cell r="I190" t="str">
            <v>Verify</v>
          </cell>
          <cell r="J190" t="str">
            <v>Verify</v>
          </cell>
          <cell r="K190" t="str">
            <v>Verify</v>
          </cell>
          <cell r="L190" t="str">
            <v>Verify</v>
          </cell>
          <cell r="O190" t="str">
            <v>Verify</v>
          </cell>
          <cell r="Q190" t="str">
            <v>03|24</v>
          </cell>
        </row>
        <row r="191">
          <cell r="E191" t="str">
            <v>4. HVAC / COOLING</v>
          </cell>
          <cell r="G191" t="str">
            <v>107</v>
          </cell>
          <cell r="H191" t="str">
            <v>Existing / Verify</v>
          </cell>
          <cell r="I191" t="str">
            <v>Verify</v>
          </cell>
          <cell r="J191" t="str">
            <v>Verify</v>
          </cell>
          <cell r="K191" t="str">
            <v>Verify</v>
          </cell>
          <cell r="L191" t="str">
            <v>Verify</v>
          </cell>
          <cell r="O191" t="str">
            <v>Verify</v>
          </cell>
          <cell r="Q191" t="str">
            <v>03|25</v>
          </cell>
        </row>
        <row r="192">
          <cell r="E192" t="str">
            <v>4. HVAC / COOLING</v>
          </cell>
          <cell r="G192" t="str">
            <v>101C</v>
          </cell>
          <cell r="H192" t="str">
            <v>Existing / Verify</v>
          </cell>
          <cell r="I192" t="str">
            <v>Verify</v>
          </cell>
          <cell r="J192" t="str">
            <v>Verify</v>
          </cell>
          <cell r="K192" t="str">
            <v>Verify</v>
          </cell>
          <cell r="L192" t="str">
            <v>Verify</v>
          </cell>
          <cell r="O192" t="str">
            <v>Verify</v>
          </cell>
          <cell r="Q192" t="str">
            <v>03|26</v>
          </cell>
        </row>
        <row r="193">
          <cell r="E193" t="str">
            <v>4. HVAC / COOLING</v>
          </cell>
          <cell r="G193" t="str">
            <v>WAO Areas</v>
          </cell>
          <cell r="H193" t="str">
            <v>N/A</v>
          </cell>
          <cell r="I193" t="str">
            <v>N/A</v>
          </cell>
          <cell r="J193" t="str">
            <v>N/A</v>
          </cell>
          <cell r="K193" t="str">
            <v>N/A</v>
          </cell>
          <cell r="L193" t="str">
            <v>N/A</v>
          </cell>
          <cell r="O193" t="str">
            <v>N/A</v>
          </cell>
          <cell r="Q193" t="str">
            <v>03|27</v>
          </cell>
        </row>
        <row r="194">
          <cell r="E194" t="str">
            <v>4. HVAC / COOLING</v>
          </cell>
          <cell r="G194">
            <v>0</v>
          </cell>
          <cell r="H194">
            <v>0</v>
          </cell>
          <cell r="I194">
            <v>0</v>
          </cell>
          <cell r="J194">
            <v>0</v>
          </cell>
          <cell r="K194">
            <v>0</v>
          </cell>
          <cell r="L194">
            <v>0</v>
          </cell>
          <cell r="O194">
            <v>0</v>
          </cell>
          <cell r="Q194" t="str">
            <v>03|28</v>
          </cell>
        </row>
        <row r="195">
          <cell r="E195" t="str">
            <v>5. ELECTRICAL / UPS</v>
          </cell>
          <cell r="G195" t="str">
            <v>5. ELECTRICAL / UPS</v>
          </cell>
          <cell r="H195">
            <v>0</v>
          </cell>
          <cell r="I195">
            <v>0</v>
          </cell>
          <cell r="J195">
            <v>0</v>
          </cell>
          <cell r="K195">
            <v>0</v>
          </cell>
          <cell r="L195">
            <v>0</v>
          </cell>
          <cell r="O195">
            <v>0</v>
          </cell>
          <cell r="Q195" t="str">
            <v>03|29</v>
          </cell>
        </row>
        <row r="196">
          <cell r="E196" t="str">
            <v>5. ELECTRICAL / UPS</v>
          </cell>
          <cell r="G196" t="str">
            <v>Room</v>
          </cell>
          <cell r="H196" t="str">
            <v>UPS Installed</v>
          </cell>
          <cell r="I196" t="str">
            <v>UPS Size</v>
          </cell>
          <cell r="J196" t="str">
            <v>PDU Installed</v>
          </cell>
          <cell r="K196" t="str">
            <v>Rack Receptacles</v>
          </cell>
          <cell r="L196" t="str">
            <v>Panel Assigned</v>
          </cell>
          <cell r="O196" t="str">
            <v>Overall</v>
          </cell>
          <cell r="Q196" t="str">
            <v>03|30</v>
          </cell>
        </row>
        <row r="197">
          <cell r="E197" t="str">
            <v>5. ELECTRICAL / UPS</v>
          </cell>
          <cell r="G197" t="str">
            <v>101E</v>
          </cell>
          <cell r="H197" t="str">
            <v>Verify</v>
          </cell>
          <cell r="I197" t="str">
            <v>5 kW / 208V rack UPS</v>
          </cell>
          <cell r="J197" t="str">
            <v>Verify</v>
          </cell>
          <cell r="K197" t="str">
            <v>Verify</v>
          </cell>
          <cell r="L197" t="str">
            <v>B03-TR101CA / B03-TR101CB</v>
          </cell>
          <cell r="O197" t="str">
            <v>Verify</v>
          </cell>
          <cell r="Q197" t="str">
            <v>03|31</v>
          </cell>
        </row>
        <row r="198">
          <cell r="E198" t="str">
            <v>5. ELECTRICAL / UPS</v>
          </cell>
          <cell r="G198" t="str">
            <v>107</v>
          </cell>
          <cell r="H198" t="str">
            <v>Existing</v>
          </cell>
          <cell r="I198" t="str">
            <v>UPS on floor</v>
          </cell>
          <cell r="J198" t="str">
            <v>Existing / Verify</v>
          </cell>
          <cell r="K198" t="str">
            <v>Verify</v>
          </cell>
          <cell r="L198" t="str">
            <v>Existing / Verify</v>
          </cell>
          <cell r="O198" t="str">
            <v>Verify</v>
          </cell>
          <cell r="Q198" t="str">
            <v>03|32</v>
          </cell>
        </row>
        <row r="199">
          <cell r="E199" t="str">
            <v>5. ELECTRICAL / UPS</v>
          </cell>
          <cell r="G199" t="str">
            <v>101C</v>
          </cell>
          <cell r="H199" t="str">
            <v>Existing / Verify</v>
          </cell>
          <cell r="I199" t="str">
            <v>Existing / Verify</v>
          </cell>
          <cell r="J199" t="str">
            <v>Existing / Verify</v>
          </cell>
          <cell r="K199" t="str">
            <v>Verify</v>
          </cell>
          <cell r="L199" t="str">
            <v>Existing branch panel / B03-TR101CA/B transition</v>
          </cell>
          <cell r="O199" t="str">
            <v>Verify</v>
          </cell>
          <cell r="Q199" t="str">
            <v>03|33</v>
          </cell>
        </row>
        <row r="200">
          <cell r="E200" t="str">
            <v>5. ELECTRICAL / UPS</v>
          </cell>
          <cell r="G200" t="str">
            <v>WAO Areas</v>
          </cell>
          <cell r="H200" t="str">
            <v>N/A</v>
          </cell>
          <cell r="I200" t="str">
            <v>N/A</v>
          </cell>
          <cell r="J200" t="str">
            <v>N/A</v>
          </cell>
          <cell r="K200" t="str">
            <v>N/A</v>
          </cell>
          <cell r="L200" t="str">
            <v>Existing / new outlet circuits as needed</v>
          </cell>
          <cell r="O200" t="str">
            <v>Verify</v>
          </cell>
          <cell r="Q200" t="str">
            <v>03|34</v>
          </cell>
        </row>
        <row r="201">
          <cell r="E201" t="str">
            <v>5. ELECTRICAL / UPS</v>
          </cell>
          <cell r="G201">
            <v>0</v>
          </cell>
          <cell r="H201">
            <v>0</v>
          </cell>
          <cell r="I201">
            <v>0</v>
          </cell>
          <cell r="J201">
            <v>0</v>
          </cell>
          <cell r="K201">
            <v>0</v>
          </cell>
          <cell r="L201">
            <v>0</v>
          </cell>
          <cell r="O201">
            <v>0</v>
          </cell>
          <cell r="Q201" t="str">
            <v>03|35</v>
          </cell>
        </row>
        <row r="202">
          <cell r="E202" t="str">
            <v>6. TELECOMMUNICATIONS</v>
          </cell>
          <cell r="G202" t="str">
            <v>6. TELECOMMUNICATIONS</v>
          </cell>
          <cell r="H202">
            <v>0</v>
          </cell>
          <cell r="I202">
            <v>0</v>
          </cell>
          <cell r="J202">
            <v>0</v>
          </cell>
          <cell r="K202">
            <v>0</v>
          </cell>
          <cell r="L202">
            <v>0</v>
          </cell>
          <cell r="O202">
            <v>0</v>
          </cell>
          <cell r="Q202" t="str">
            <v>03|36</v>
          </cell>
        </row>
        <row r="203">
          <cell r="E203" t="str">
            <v>6. TELECOMMUNICATIONS</v>
          </cell>
          <cell r="G203" t="str">
            <v>Room</v>
          </cell>
          <cell r="H203" t="str">
            <v>Rack Installed</v>
          </cell>
          <cell r="I203" t="str">
            <v>Ladder Tray</v>
          </cell>
          <cell r="J203" t="str">
            <v>Fiber Installed</v>
          </cell>
          <cell r="K203" t="str">
            <v>Grounding</v>
          </cell>
          <cell r="L203" t="str">
            <v>Labeling</v>
          </cell>
          <cell r="O203" t="str">
            <v>Overall</v>
          </cell>
          <cell r="Q203" t="str">
            <v>03|37</v>
          </cell>
        </row>
        <row r="204">
          <cell r="E204" t="str">
            <v>6. TELECOMMUNICATIONS</v>
          </cell>
          <cell r="G204" t="str">
            <v>101E</v>
          </cell>
          <cell r="H204" t="str">
            <v>Verify</v>
          </cell>
          <cell r="I204" t="str">
            <v>Verify</v>
          </cell>
          <cell r="J204" t="str">
            <v>Verify</v>
          </cell>
          <cell r="K204" t="str">
            <v>Verify</v>
          </cell>
          <cell r="L204" t="str">
            <v>Verify</v>
          </cell>
          <cell r="O204" t="str">
            <v>Verify</v>
          </cell>
          <cell r="Q204" t="str">
            <v>03|38</v>
          </cell>
        </row>
        <row r="205">
          <cell r="E205" t="str">
            <v>6. TELECOMMUNICATIONS</v>
          </cell>
          <cell r="G205" t="str">
            <v>107</v>
          </cell>
          <cell r="H205" t="str">
            <v>Existing / Transfer</v>
          </cell>
          <cell r="I205" t="str">
            <v>Existing</v>
          </cell>
          <cell r="J205" t="str">
            <v>Existing</v>
          </cell>
          <cell r="K205" t="str">
            <v>Verify</v>
          </cell>
          <cell r="L205" t="str">
            <v>Verify</v>
          </cell>
          <cell r="O205" t="str">
            <v>Verify</v>
          </cell>
          <cell r="Q205" t="str">
            <v>03|39</v>
          </cell>
        </row>
        <row r="206">
          <cell r="E206" t="str">
            <v>6. TELECOMMUNICATIONS</v>
          </cell>
          <cell r="G206" t="str">
            <v>101C</v>
          </cell>
          <cell r="H206" t="str">
            <v>Existing / Transfer</v>
          </cell>
          <cell r="I206" t="str">
            <v>Existing</v>
          </cell>
          <cell r="J206" t="str">
            <v>Existing</v>
          </cell>
          <cell r="K206" t="str">
            <v>Verify</v>
          </cell>
          <cell r="L206" t="str">
            <v>Verify</v>
          </cell>
          <cell r="O206" t="str">
            <v>Verify</v>
          </cell>
          <cell r="Q206" t="str">
            <v>03|40</v>
          </cell>
        </row>
        <row r="207">
          <cell r="E207" t="str">
            <v>6. TELECOMMUNICATIONS</v>
          </cell>
          <cell r="G207" t="str">
            <v>WAO Areas</v>
          </cell>
          <cell r="H207" t="str">
            <v>N/A</v>
          </cell>
          <cell r="I207" t="str">
            <v>Verify route</v>
          </cell>
          <cell r="J207" t="str">
            <v>N/A</v>
          </cell>
          <cell r="K207" t="str">
            <v>N/A</v>
          </cell>
          <cell r="L207" t="str">
            <v>Verify</v>
          </cell>
          <cell r="O207" t="str">
            <v>Verify</v>
          </cell>
          <cell r="Q207" t="str">
            <v>03|41</v>
          </cell>
        </row>
        <row r="208">
          <cell r="E208" t="str">
            <v>6. TELECOMMUNICATIONS</v>
          </cell>
          <cell r="G208">
            <v>0</v>
          </cell>
          <cell r="H208">
            <v>0</v>
          </cell>
          <cell r="I208">
            <v>0</v>
          </cell>
          <cell r="J208">
            <v>0</v>
          </cell>
          <cell r="K208">
            <v>0</v>
          </cell>
          <cell r="L208">
            <v>0</v>
          </cell>
          <cell r="O208">
            <v>0</v>
          </cell>
          <cell r="Q208" t="str">
            <v>03|42</v>
          </cell>
        </row>
        <row r="209">
          <cell r="E209" t="str">
            <v>7. SECURITY / PACS / CCTV</v>
          </cell>
          <cell r="G209" t="str">
            <v>7. SECURITY / PACS / CCTV</v>
          </cell>
          <cell r="H209">
            <v>0</v>
          </cell>
          <cell r="I209">
            <v>0</v>
          </cell>
          <cell r="J209">
            <v>0</v>
          </cell>
          <cell r="K209">
            <v>0</v>
          </cell>
          <cell r="L209">
            <v>0</v>
          </cell>
          <cell r="O209">
            <v>0</v>
          </cell>
          <cell r="Q209" t="str">
            <v>03|43</v>
          </cell>
        </row>
        <row r="210">
          <cell r="E210" t="str">
            <v>7. SECURITY / PACS / CCTV</v>
          </cell>
          <cell r="G210" t="str">
            <v>Room</v>
          </cell>
          <cell r="H210" t="str">
            <v>PACS</v>
          </cell>
          <cell r="I210" t="str">
            <v>Card Reader</v>
          </cell>
          <cell r="J210" t="str">
            <v>Door Position</v>
          </cell>
          <cell r="K210" t="str">
            <v>Electric Strike</v>
          </cell>
          <cell r="L210" t="str">
            <v>CCTV</v>
          </cell>
          <cell r="O210" t="str">
            <v>Overall</v>
          </cell>
          <cell r="Q210" t="str">
            <v>03|44</v>
          </cell>
        </row>
        <row r="211">
          <cell r="E211" t="str">
            <v>7. SECURITY / PACS / CCTV</v>
          </cell>
          <cell r="G211" t="str">
            <v>101E</v>
          </cell>
          <cell r="H211" t="str">
            <v>Verify</v>
          </cell>
          <cell r="I211" t="str">
            <v>Verify</v>
          </cell>
          <cell r="J211" t="str">
            <v>Verify</v>
          </cell>
          <cell r="K211" t="str">
            <v>Verify</v>
          </cell>
          <cell r="L211" t="str">
            <v>Verify</v>
          </cell>
          <cell r="O211" t="str">
            <v>Verify</v>
          </cell>
          <cell r="Q211" t="str">
            <v>03|45</v>
          </cell>
        </row>
        <row r="212">
          <cell r="E212" t="str">
            <v>7. SECURITY / PACS / CCTV</v>
          </cell>
          <cell r="G212" t="str">
            <v>101C</v>
          </cell>
          <cell r="H212" t="str">
            <v>Existing / Verify</v>
          </cell>
          <cell r="I212" t="str">
            <v>Existing / Verify</v>
          </cell>
          <cell r="J212" t="str">
            <v>Existing / Verify</v>
          </cell>
          <cell r="K212" t="str">
            <v>Existing / Verify</v>
          </cell>
          <cell r="L212" t="str">
            <v>101C-CAM-01 Verify</v>
          </cell>
          <cell r="O212" t="str">
            <v>Verify</v>
          </cell>
          <cell r="Q212" t="str">
            <v>03|46</v>
          </cell>
        </row>
        <row r="213">
          <cell r="E213" t="str">
            <v>7. SECURITY / PACS / CCTV</v>
          </cell>
          <cell r="G213" t="str">
            <v>107</v>
          </cell>
          <cell r="H213" t="str">
            <v>Existing / Verify</v>
          </cell>
          <cell r="I213" t="str">
            <v>Existing / Verify</v>
          </cell>
          <cell r="J213" t="str">
            <v>Existing / Verify</v>
          </cell>
          <cell r="K213" t="str">
            <v>Existing / Verify</v>
          </cell>
          <cell r="L213" t="str">
            <v>Verify Existing</v>
          </cell>
          <cell r="O213" t="str">
            <v>Verify</v>
          </cell>
          <cell r="Q213" t="str">
            <v>03|47</v>
          </cell>
        </row>
        <row r="214">
          <cell r="E214" t="str">
            <v>7. SECURITY / PACS / CCTV</v>
          </cell>
          <cell r="G214" t="str">
            <v>WAO Areas</v>
          </cell>
          <cell r="H214" t="str">
            <v>N/A / Verify</v>
          </cell>
          <cell r="I214" t="str">
            <v>N/A / Verify</v>
          </cell>
          <cell r="J214" t="str">
            <v>N/A / Verify</v>
          </cell>
          <cell r="K214" t="str">
            <v>N/A / Verify</v>
          </cell>
          <cell r="L214" t="str">
            <v>Verify Existing</v>
          </cell>
          <cell r="O214" t="str">
            <v>Verify</v>
          </cell>
          <cell r="Q214" t="str">
            <v>03|48</v>
          </cell>
        </row>
        <row r="215">
          <cell r="E215" t="str">
            <v>7. SECURITY / PACS / CCTV</v>
          </cell>
          <cell r="G215">
            <v>0</v>
          </cell>
          <cell r="H215">
            <v>0</v>
          </cell>
          <cell r="I215">
            <v>0</v>
          </cell>
          <cell r="J215">
            <v>0</v>
          </cell>
          <cell r="K215">
            <v>0</v>
          </cell>
          <cell r="L215">
            <v>0</v>
          </cell>
          <cell r="O215">
            <v>0</v>
          </cell>
          <cell r="Q215" t="str">
            <v>03|49</v>
          </cell>
        </row>
        <row r="216">
          <cell r="E216" t="str">
            <v>8. OWNER RISKS</v>
          </cell>
          <cell r="G216" t="str">
            <v>8. OWNER RISKS</v>
          </cell>
          <cell r="H216">
            <v>0</v>
          </cell>
          <cell r="I216">
            <v>0</v>
          </cell>
          <cell r="J216">
            <v>0</v>
          </cell>
          <cell r="K216">
            <v>0</v>
          </cell>
          <cell r="L216">
            <v>0</v>
          </cell>
          <cell r="O216">
            <v>0</v>
          </cell>
          <cell r="Q216" t="str">
            <v>03|50</v>
          </cell>
        </row>
        <row r="217">
          <cell r="E217" t="str">
            <v>8. OWNER RISKS</v>
          </cell>
          <cell r="G217" t="str">
            <v>Risk ID</v>
          </cell>
          <cell r="H217" t="str">
            <v>Room</v>
          </cell>
          <cell r="I217" t="str">
            <v>Risk</v>
          </cell>
          <cell r="J217" t="str">
            <v>Impact</v>
          </cell>
          <cell r="K217" t="str">
            <v>Probability</v>
          </cell>
          <cell r="L217" t="str">
            <v>Score</v>
          </cell>
          <cell r="O217" t="str">
            <v>Status</v>
          </cell>
          <cell r="Q217" t="str">
            <v>03|51</v>
          </cell>
        </row>
        <row r="218">
          <cell r="E218" t="str">
            <v>8. OWNER RISKS</v>
          </cell>
          <cell r="G218" t="str">
            <v>B03-R1</v>
          </cell>
          <cell r="H218" t="str">
            <v>All</v>
          </cell>
          <cell r="I218" t="str">
            <v>Existing conditions for Room 101E and transition rooms 107/101C not field verified</v>
          </cell>
          <cell r="J218" t="str">
            <v>High</v>
          </cell>
          <cell r="K218" t="str">
            <v>Medium</v>
          </cell>
          <cell r="L218">
            <v>6</v>
          </cell>
          <cell r="O218" t="str">
            <v>Open</v>
          </cell>
          <cell r="Q218" t="str">
            <v>03|52</v>
          </cell>
        </row>
        <row r="219">
          <cell r="E219" t="str">
            <v>8. OWNER RISKS</v>
          </cell>
          <cell r="G219" t="str">
            <v>B03-R2</v>
          </cell>
          <cell r="H219" t="str">
            <v>107 / 101C</v>
          </cell>
          <cell r="I219" t="str">
            <v>Existing DMARC/fiber/telecom equipment may remain active during transfer to Room 101E</v>
          </cell>
          <cell r="J219" t="str">
            <v>Critical</v>
          </cell>
          <cell r="K219" t="str">
            <v>Medium</v>
          </cell>
          <cell r="L219">
            <v>8</v>
          </cell>
          <cell r="O219" t="str">
            <v>Open</v>
          </cell>
          <cell r="Q219" t="str">
            <v>03|53</v>
          </cell>
        </row>
        <row r="220">
          <cell r="E220" t="str">
            <v>8. OWNER RISKS</v>
          </cell>
          <cell r="G220" t="str">
            <v>B03-R3</v>
          </cell>
          <cell r="H220" t="str">
            <v>101E</v>
          </cell>
          <cell r="I220" t="str">
            <v>Dedicated cooling assignment, emergency power, condensate, BACnet and alarms not verified</v>
          </cell>
          <cell r="J220" t="str">
            <v>Critical</v>
          </cell>
          <cell r="K220" t="str">
            <v>Medium</v>
          </cell>
          <cell r="L220">
            <v>8</v>
          </cell>
          <cell r="O220" t="str">
            <v>Open</v>
          </cell>
          <cell r="Q220" t="str">
            <v>03|54</v>
          </cell>
        </row>
        <row r="221">
          <cell r="E221" t="str">
            <v>8. OWNER RISKS</v>
          </cell>
          <cell r="G221" t="str">
            <v>B03-R4</v>
          </cell>
          <cell r="H221" t="str">
            <v>101E</v>
          </cell>
          <cell r="I221" t="str">
            <v>B03-TR101CA/B UPS/PDU and panel source coordination could delay energization</v>
          </cell>
          <cell r="J221" t="str">
            <v>High</v>
          </cell>
          <cell r="K221" t="str">
            <v>Medium</v>
          </cell>
          <cell r="L221">
            <v>6</v>
          </cell>
          <cell r="O221" t="str">
            <v>Open</v>
          </cell>
          <cell r="Q221" t="str">
            <v>03|55</v>
          </cell>
        </row>
        <row r="222">
          <cell r="E222" t="str">
            <v>8. OWNER RISKS</v>
          </cell>
          <cell r="G222" t="str">
            <v>B03-R5</v>
          </cell>
          <cell r="H222" t="str">
            <v>All</v>
          </cell>
          <cell r="I222" t="str">
            <v>961 feet of cable tray/pathway requires coordination and firestop tracking</v>
          </cell>
          <cell r="J222" t="str">
            <v>High</v>
          </cell>
          <cell r="K222" t="str">
            <v>Medium</v>
          </cell>
          <cell r="L222">
            <v>6</v>
          </cell>
          <cell r="O222" t="str">
            <v>Open</v>
          </cell>
          <cell r="Q222" t="str">
            <v>03|56</v>
          </cell>
        </row>
        <row r="223">
          <cell r="E223" t="str">
            <v>8. OWNER RISKS</v>
          </cell>
          <cell r="G223" t="str">
            <v>B03-R6</v>
          </cell>
          <cell r="H223" t="str">
            <v>All</v>
          </cell>
          <cell r="I223" t="str">
            <v>Telecom/fiber cutover could affect active hospital communications and provider/DMARC services</v>
          </cell>
          <cell r="J223" t="str">
            <v>Critical</v>
          </cell>
          <cell r="K223" t="str">
            <v>Medium</v>
          </cell>
          <cell r="L223">
            <v>8</v>
          </cell>
          <cell r="O223" t="str">
            <v>Open</v>
          </cell>
          <cell r="Q223" t="str">
            <v>03|57</v>
          </cell>
        </row>
        <row r="224">
          <cell r="E224" t="str">
            <v>8. OWNER RISKS</v>
          </cell>
          <cell r="G224" t="str">
            <v>B03-R7</v>
          </cell>
          <cell r="H224" t="str">
            <v>101E / 101C</v>
          </cell>
          <cell r="I224" t="str">
            <v>PACS/CCTV/door hardware coordination may not be ready at room acceptance</v>
          </cell>
          <cell r="J224" t="str">
            <v>High</v>
          </cell>
          <cell r="K224" t="str">
            <v>Medium</v>
          </cell>
          <cell r="L224">
            <v>6</v>
          </cell>
          <cell r="O224" t="str">
            <v>Open</v>
          </cell>
          <cell r="Q224" t="str">
            <v>03|58</v>
          </cell>
        </row>
        <row r="225">
          <cell r="E225" t="str">
            <v>8. OWNER RISKS</v>
          </cell>
          <cell r="G225" t="str">
            <v>B03-R8</v>
          </cell>
          <cell r="H225" t="str">
            <v>All</v>
          </cell>
          <cell r="I225" t="str">
            <v>Commissioning/third-party inspection reports may not be complete at turnover</v>
          </cell>
          <cell r="J225" t="str">
            <v>High</v>
          </cell>
          <cell r="K225" t="str">
            <v>Medium</v>
          </cell>
          <cell r="L225">
            <v>6</v>
          </cell>
          <cell r="O225" t="str">
            <v>Open</v>
          </cell>
          <cell r="Q225" t="str">
            <v>03|59</v>
          </cell>
        </row>
        <row r="226">
          <cell r="E226" t="str">
            <v>8. OWNER RISKS</v>
          </cell>
          <cell r="G226">
            <v>0</v>
          </cell>
          <cell r="H226">
            <v>0</v>
          </cell>
          <cell r="I226">
            <v>0</v>
          </cell>
          <cell r="J226">
            <v>0</v>
          </cell>
          <cell r="K226">
            <v>0</v>
          </cell>
          <cell r="L226">
            <v>0</v>
          </cell>
          <cell r="O226">
            <v>0</v>
          </cell>
          <cell r="Q226" t="str">
            <v>03|60</v>
          </cell>
        </row>
        <row r="227">
          <cell r="E227" t="str">
            <v>9. OPEN QUESTIONS</v>
          </cell>
          <cell r="G227" t="str">
            <v>9. OPEN QUESTIONS</v>
          </cell>
          <cell r="H227">
            <v>0</v>
          </cell>
          <cell r="I227">
            <v>0</v>
          </cell>
          <cell r="J227">
            <v>0</v>
          </cell>
          <cell r="K227">
            <v>0</v>
          </cell>
          <cell r="L227">
            <v>0</v>
          </cell>
          <cell r="O227">
            <v>0</v>
          </cell>
          <cell r="Q227" t="str">
            <v>03|61</v>
          </cell>
        </row>
        <row r="228">
          <cell r="E228" t="str">
            <v>9. OPEN QUESTIONS</v>
          </cell>
          <cell r="G228" t="str">
            <v>Question ID</v>
          </cell>
          <cell r="H228" t="str">
            <v>Question</v>
          </cell>
          <cell r="I228" t="str">
            <v>Assigned To</v>
          </cell>
          <cell r="J228" t="str">
            <v>Status</v>
          </cell>
          <cell r="K228" t="str">
            <v>Needed By</v>
          </cell>
          <cell r="L228" t="str">
            <v>Answer / Resolution</v>
          </cell>
          <cell r="O228" t="str">
            <v>Date Closed</v>
          </cell>
          <cell r="Q228" t="str">
            <v>03|62</v>
          </cell>
        </row>
        <row r="229">
          <cell r="E229" t="str">
            <v>9. OPEN QUESTIONS</v>
          </cell>
          <cell r="G229" t="str">
            <v>B03-Q1</v>
          </cell>
          <cell r="H229" t="str">
            <v>Confirm final telecom scope: new Room 101E with existing Basement Room 107 and existing DMARC Room 101C transition points?</v>
          </cell>
          <cell r="I229" t="str">
            <v>VA / OIT / Designer</v>
          </cell>
          <cell r="J229" t="str">
            <v>Open</v>
          </cell>
          <cell r="K229">
            <v>0</v>
          </cell>
          <cell r="L229">
            <v>0</v>
          </cell>
          <cell r="O229">
            <v>0</v>
          </cell>
          <cell r="Q229" t="str">
            <v>03|63</v>
          </cell>
        </row>
        <row r="230">
          <cell r="E230" t="str">
            <v>9. OPEN QUESTIONS</v>
          </cell>
          <cell r="G230" t="str">
            <v>B03-Q2</v>
          </cell>
          <cell r="H230" t="str">
            <v>What active services are currently fed from existing Room 107 and DMARC Room 101C?</v>
          </cell>
          <cell r="I230" t="str">
            <v>OIT / Contractor / Provider</v>
          </cell>
          <cell r="J230" t="str">
            <v>Open</v>
          </cell>
          <cell r="K230">
            <v>0</v>
          </cell>
          <cell r="L230">
            <v>0</v>
          </cell>
          <cell r="O230">
            <v>0</v>
          </cell>
          <cell r="Q230" t="str">
            <v>03|64</v>
          </cell>
        </row>
        <row r="231">
          <cell r="E231" t="str">
            <v>9. OPEN QUESTIONS</v>
          </cell>
          <cell r="G231" t="str">
            <v>B03-Q3</v>
          </cell>
          <cell r="H231" t="str">
            <v>What existing equipment transfers to new Room 101E versus remains/decommissions?</v>
          </cell>
          <cell r="I231" t="str">
            <v>OIT / Telecom</v>
          </cell>
          <cell r="J231" t="str">
            <v>Open</v>
          </cell>
          <cell r="K231">
            <v>0</v>
          </cell>
          <cell r="L231">
            <v>0</v>
          </cell>
          <cell r="O231">
            <v>0</v>
          </cell>
          <cell r="Q231" t="str">
            <v>03|65</v>
          </cell>
        </row>
        <row r="232">
          <cell r="E232" t="str">
            <v>9. OPEN QUESTIONS</v>
          </cell>
          <cell r="G232" t="str">
            <v>B03-Q4</v>
          </cell>
          <cell r="H232" t="str">
            <v>Which IU/CU pair serves Room 101E and is it on emergency/backup power?</v>
          </cell>
          <cell r="I232" t="str">
            <v>Mechanical / Electrical / VA</v>
          </cell>
          <cell r="J232" t="str">
            <v>Open</v>
          </cell>
          <cell r="K232">
            <v>0</v>
          </cell>
          <cell r="L232">
            <v>0</v>
          </cell>
          <cell r="O232">
            <v>0</v>
          </cell>
          <cell r="Q232" t="str">
            <v>03|66</v>
          </cell>
        </row>
        <row r="233">
          <cell r="E233" t="str">
            <v>9. OPEN QUESTIONS</v>
          </cell>
          <cell r="G233" t="str">
            <v>B03-Q5</v>
          </cell>
          <cell r="H233" t="str">
            <v>Where is the clean-agent/CO2 extinguisher cabinet located within 75 ft of Room 101E?</v>
          </cell>
          <cell r="I233" t="str">
            <v>GC / COR</v>
          </cell>
          <cell r="J233" t="str">
            <v>Open</v>
          </cell>
          <cell r="K233">
            <v>0</v>
          </cell>
          <cell r="L233">
            <v>0</v>
          </cell>
          <cell r="O233">
            <v>0</v>
          </cell>
          <cell r="Q233" t="str">
            <v>03|67</v>
          </cell>
        </row>
        <row r="234">
          <cell r="E234" t="str">
            <v>9. OPEN QUESTIONS</v>
          </cell>
          <cell r="G234" t="str">
            <v>B03-Q6</v>
          </cell>
          <cell r="H234" t="str">
            <v>Are B03-TR101CA/B sources, rack receptacles, SPDs, labels and 30-day load measurements approved?</v>
          </cell>
          <cell r="I234" t="str">
            <v>Electrical / Designer</v>
          </cell>
          <cell r="J234" t="str">
            <v>Open</v>
          </cell>
          <cell r="K234">
            <v>0</v>
          </cell>
          <cell r="L234">
            <v>0</v>
          </cell>
          <cell r="O234">
            <v>0</v>
          </cell>
          <cell r="Q234" t="str">
            <v>03|68</v>
          </cell>
        </row>
        <row r="235">
          <cell r="E235" t="str">
            <v>9. OPEN QUESTIONS</v>
          </cell>
          <cell r="G235" t="str">
            <v>B03-Q7</v>
          </cell>
          <cell r="H235" t="str">
            <v>Are all rated wall/floor penetrations, sleeves, cable tray entries and firestopping details identified?</v>
          </cell>
          <cell r="I235" t="str">
            <v>GC / Firestop</v>
          </cell>
          <cell r="J235" t="str">
            <v>Open</v>
          </cell>
          <cell r="K235">
            <v>0</v>
          </cell>
          <cell r="L235">
            <v>0</v>
          </cell>
          <cell r="O235">
            <v>0</v>
          </cell>
          <cell r="Q235" t="str">
            <v>03|69</v>
          </cell>
        </row>
        <row r="236">
          <cell r="E236" t="str">
            <v>9. OPEN QUESTIONS</v>
          </cell>
          <cell r="G236" t="str">
            <v>B03-Q8</v>
          </cell>
          <cell r="H236" t="str">
            <v>Which third-party inspections and commissioning forms are required before VA/OIT acceptance?</v>
          </cell>
          <cell r="I236" t="str">
            <v>GC / Cx Manager / OIT</v>
          </cell>
          <cell r="J236" t="str">
            <v>Open</v>
          </cell>
          <cell r="K236">
            <v>0</v>
          </cell>
          <cell r="L236">
            <v>0</v>
          </cell>
          <cell r="O236">
            <v>0</v>
          </cell>
          <cell r="Q236" t="str">
            <v>03|70</v>
          </cell>
        </row>
        <row r="237">
          <cell r="E237" t="str">
            <v>9. OPEN QUESTIONS</v>
          </cell>
          <cell r="G237">
            <v>0</v>
          </cell>
          <cell r="H237">
            <v>0</v>
          </cell>
          <cell r="I237">
            <v>0</v>
          </cell>
          <cell r="J237">
            <v>0</v>
          </cell>
          <cell r="K237">
            <v>0</v>
          </cell>
          <cell r="L237">
            <v>0</v>
          </cell>
          <cell r="O237">
            <v>0</v>
          </cell>
          <cell r="Q237" t="str">
            <v>03|71</v>
          </cell>
        </row>
        <row r="238">
          <cell r="E238" t="str">
            <v>10. PHOTO LOG</v>
          </cell>
          <cell r="G238" t="str">
            <v>10. PHOTO LOG</v>
          </cell>
          <cell r="H238">
            <v>0</v>
          </cell>
          <cell r="I238">
            <v>0</v>
          </cell>
          <cell r="J238">
            <v>0</v>
          </cell>
          <cell r="K238">
            <v>0</v>
          </cell>
          <cell r="L238">
            <v>0</v>
          </cell>
          <cell r="O238">
            <v>0</v>
          </cell>
          <cell r="Q238" t="str">
            <v>03|72</v>
          </cell>
        </row>
        <row r="239">
          <cell r="E239" t="str">
            <v>10. PHOTO LOG</v>
          </cell>
          <cell r="G239" t="str">
            <v>Photo ID</v>
          </cell>
          <cell r="H239" t="str">
            <v>Room</v>
          </cell>
          <cell r="I239" t="str">
            <v>Category</v>
          </cell>
          <cell r="J239" t="str">
            <v>Description</v>
          </cell>
          <cell r="K239" t="str">
            <v>Date</v>
          </cell>
          <cell r="L239" t="str">
            <v>Taken By</v>
          </cell>
          <cell r="O239" t="str">
            <v>Status</v>
          </cell>
          <cell r="Q239" t="str">
            <v>03|73</v>
          </cell>
        </row>
        <row r="240">
          <cell r="E240" t="str">
            <v>10. PHOTO LOG</v>
          </cell>
          <cell r="G240" t="str">
            <v>B03-P001</v>
          </cell>
          <cell r="H240" t="str">
            <v>101E</v>
          </cell>
          <cell r="I240" t="str">
            <v>Existing / New Condition</v>
          </cell>
          <cell r="J240" t="str">
            <v>Room 101E walls, ceiling/deck, floor, door, racks/future rack, panels, HVAC, cable tray, penetrations, PACS and final TR layout</v>
          </cell>
          <cell r="K240">
            <v>0</v>
          </cell>
          <cell r="L240" t="str">
            <v>Paul</v>
          </cell>
          <cell r="O240" t="str">
            <v>Closed</v>
          </cell>
          <cell r="Q240" t="str">
            <v>03|74</v>
          </cell>
        </row>
        <row r="241">
          <cell r="E241" t="str">
            <v>10. PHOTO LOG</v>
          </cell>
          <cell r="G241" t="str">
            <v>B03-P002</v>
          </cell>
          <cell r="H241" t="str">
            <v>107</v>
          </cell>
          <cell r="I241" t="str">
            <v>Existing Equipment</v>
          </cell>
          <cell r="J241" t="str">
            <v>Basement existing telecom room 107 rack, UPS on floor, Cisco switch, legacy patch panels, fiber LIU, active service labels and cable entries</v>
          </cell>
          <cell r="K241">
            <v>0</v>
          </cell>
          <cell r="L241" t="str">
            <v>Paul</v>
          </cell>
          <cell r="O241" t="str">
            <v>Closed</v>
          </cell>
          <cell r="Q241" t="str">
            <v>03|75</v>
          </cell>
        </row>
        <row r="242">
          <cell r="E242" t="str">
            <v>10. PHOTO LOG</v>
          </cell>
          <cell r="G242" t="str">
            <v>B03-P003</v>
          </cell>
          <cell r="H242" t="str">
            <v>101C</v>
          </cell>
          <cell r="I242" t="str">
            <v>Existing DMARC</v>
          </cell>
          <cell r="J242" t="str">
            <v>First-floor existing DMARC Room 101C, patch panels, telecom cabinet, branch panel, provider/fiber equipment, 101C-CAM-01 and active service labels</v>
          </cell>
          <cell r="K242">
            <v>0</v>
          </cell>
          <cell r="L242" t="str">
            <v>Paul</v>
          </cell>
          <cell r="O242" t="str">
            <v>Closed</v>
          </cell>
          <cell r="Q242" t="str">
            <v>03|76</v>
          </cell>
        </row>
        <row r="243">
          <cell r="E243" t="str">
            <v>10. PHOTO LOG</v>
          </cell>
          <cell r="G243" t="str">
            <v>B03-P004</v>
          </cell>
          <cell r="H243" t="str">
            <v>101E / 101C</v>
          </cell>
          <cell r="I243" t="str">
            <v>Electrical / Security</v>
          </cell>
          <cell r="J243" t="str">
            <v>B03-TR101CA/B panels, rack receptacles, breakers, SPD, UPS/PDU, access controller, CU-01, 101C-CAM-01 and labels</v>
          </cell>
          <cell r="K243">
            <v>0</v>
          </cell>
          <cell r="L243" t="str">
            <v>Paul</v>
          </cell>
          <cell r="O243" t="str">
            <v>Closed</v>
          </cell>
          <cell r="Q243" t="str">
            <v>03|77</v>
          </cell>
        </row>
        <row r="244">
          <cell r="E244" t="str">
            <v>10. PHOTO LOG</v>
          </cell>
          <cell r="G244" t="str">
            <v>B03-P005</v>
          </cell>
          <cell r="H244" t="str">
            <v>101E</v>
          </cell>
          <cell r="I244" t="str">
            <v>HVAC</v>
          </cell>
          <cell r="J244" t="str">
            <v>IU/CU-01, condensate route, thermostat, BACnet adapter, disconnects, alarm points and emergency power source</v>
          </cell>
          <cell r="K244">
            <v>0</v>
          </cell>
          <cell r="L244" t="str">
            <v>Paul</v>
          </cell>
          <cell r="O244" t="str">
            <v>Closed</v>
          </cell>
          <cell r="Q244" t="str">
            <v>03|78</v>
          </cell>
        </row>
        <row r="245">
          <cell r="E245" t="str">
            <v>10. PHOTO LOG</v>
          </cell>
          <cell r="G245" t="str">
            <v>B03-P006</v>
          </cell>
          <cell r="H245" t="str">
            <v>All</v>
          </cell>
          <cell r="I245" t="str">
            <v>Cable Tray / Firestop</v>
          </cell>
          <cell r="J245" t="str">
            <v>Basement and first-level cable tray route, supports, seismic bracing, 40% fill, penetrations and before/after firestopping</v>
          </cell>
          <cell r="K245">
            <v>0</v>
          </cell>
          <cell r="L245" t="str">
            <v>Paul</v>
          </cell>
          <cell r="O245" t="str">
            <v>Closed</v>
          </cell>
          <cell r="Q245" t="str">
            <v>03|79</v>
          </cell>
        </row>
        <row r="246">
          <cell r="E246" t="str">
            <v>10. PHOTO LOG</v>
          </cell>
          <cell r="G246" t="str">
            <v>B03-P007</v>
          </cell>
          <cell r="H246" t="str">
            <v>WAO Areas</v>
          </cell>
          <cell r="I246" t="str">
            <v>Telecom Devices</v>
          </cell>
          <cell r="J246" t="str">
            <v>Representative outlets/WAPs/Centrak/clock/camera locations including 108-A/B/C, 108-CK-A, 107A-AP-A, 101C-CAM-01 and related labels</v>
          </cell>
          <cell r="K246">
            <v>0</v>
          </cell>
          <cell r="L246" t="str">
            <v>Paul</v>
          </cell>
          <cell r="O246" t="str">
            <v>Closed</v>
          </cell>
          <cell r="Q246" t="str">
            <v>03|80</v>
          </cell>
        </row>
        <row r="247">
          <cell r="E247" t="str">
            <v>10. PHOTO LOG</v>
          </cell>
          <cell r="G247" t="str">
            <v>B03-P008</v>
          </cell>
          <cell r="H247" t="str">
            <v>101E / Existing Rooms</v>
          </cell>
          <cell r="I247" t="str">
            <v>Telecom Acceptance</v>
          </cell>
          <cell r="J247" t="str">
            <v>New racks TR01-101E-1/2, Fiber LIU, Cat6A, patch panels, labels/test records and existing rack transfer work</v>
          </cell>
          <cell r="K247">
            <v>0</v>
          </cell>
          <cell r="L247" t="str">
            <v>Paul</v>
          </cell>
          <cell r="O247" t="str">
            <v>Closed</v>
          </cell>
          <cell r="Q247" t="str">
            <v>03|81</v>
          </cell>
        </row>
        <row r="248">
          <cell r="E248" t="str">
            <v>10. PHOTO LOG</v>
          </cell>
          <cell r="G248">
            <v>0</v>
          </cell>
          <cell r="H248">
            <v>0</v>
          </cell>
          <cell r="I248">
            <v>0</v>
          </cell>
          <cell r="J248">
            <v>0</v>
          </cell>
          <cell r="K248">
            <v>0</v>
          </cell>
          <cell r="L248">
            <v>0</v>
          </cell>
          <cell r="O248">
            <v>0</v>
          </cell>
          <cell r="Q248" t="str">
            <v>03|82</v>
          </cell>
        </row>
        <row r="249">
          <cell r="E249" t="str">
            <v>1. ROOM INVENTORY</v>
          </cell>
          <cell r="G249" t="str">
            <v>1. ROOM INVENTORY</v>
          </cell>
          <cell r="H249">
            <v>0</v>
          </cell>
          <cell r="I249">
            <v>0</v>
          </cell>
          <cell r="J249">
            <v>0</v>
          </cell>
          <cell r="K249">
            <v>0</v>
          </cell>
          <cell r="L249">
            <v>0</v>
          </cell>
          <cell r="O249">
            <v>0</v>
          </cell>
          <cell r="Q249" t="str">
            <v>04|1</v>
          </cell>
        </row>
        <row r="250">
          <cell r="E250" t="str">
            <v>1. ROOM INVENTORY</v>
          </cell>
          <cell r="G250" t="str">
            <v>Building</v>
          </cell>
          <cell r="H250" t="str">
            <v>Room</v>
          </cell>
          <cell r="I250" t="str">
            <v>Floor</v>
          </cell>
          <cell r="J250" t="str">
            <v>Existing Use</v>
          </cell>
          <cell r="K250" t="str">
            <v>New Use</v>
          </cell>
          <cell r="L250" t="str">
            <v>Rack Count</v>
          </cell>
          <cell r="O250" t="str">
            <v>Drawing Ref</v>
          </cell>
          <cell r="Q250" t="str">
            <v>04|2</v>
          </cell>
        </row>
        <row r="251">
          <cell r="E251" t="str">
            <v>1. ROOM INVENTORY</v>
          </cell>
          <cell r="G251" t="str">
            <v>04</v>
          </cell>
          <cell r="H251" t="str">
            <v>B05</v>
          </cell>
          <cell r="I251" t="str">
            <v>Basement</v>
          </cell>
          <cell r="J251" t="str">
            <v>Existing telecom / service area</v>
          </cell>
          <cell r="K251" t="str">
            <v>TR</v>
          </cell>
          <cell r="L251">
            <v>2</v>
          </cell>
          <cell r="O251" t="str">
            <v>04A-400 / 04T-604 / 04E-701</v>
          </cell>
          <cell r="Q251" t="str">
            <v>04|3</v>
          </cell>
        </row>
        <row r="252">
          <cell r="E252" t="str">
            <v>1. ROOM INVENTORY</v>
          </cell>
          <cell r="G252" t="str">
            <v>04</v>
          </cell>
          <cell r="H252" t="str">
            <v>141</v>
          </cell>
          <cell r="I252" t="str">
            <v>First</v>
          </cell>
          <cell r="J252" t="str">
            <v>Existing room to be converted / upgraded</v>
          </cell>
          <cell r="K252" t="str">
            <v>TR</v>
          </cell>
          <cell r="L252">
            <v>1</v>
          </cell>
          <cell r="O252" t="str">
            <v>04A-401 / 04T-604 / 04E-701</v>
          </cell>
          <cell r="Q252" t="str">
            <v>04|4</v>
          </cell>
        </row>
        <row r="253">
          <cell r="E253" t="str">
            <v>1. ROOM INVENTORY</v>
          </cell>
          <cell r="G253" t="str">
            <v>04</v>
          </cell>
          <cell r="H253" t="str">
            <v>244A</v>
          </cell>
          <cell r="I253" t="str">
            <v>Second</v>
          </cell>
          <cell r="J253" t="str">
            <v>Existing or renovated telecom area</v>
          </cell>
          <cell r="K253" t="str">
            <v>TR</v>
          </cell>
          <cell r="L253">
            <v>1</v>
          </cell>
          <cell r="O253" t="str">
            <v>04T / 04E-701</v>
          </cell>
          <cell r="Q253" t="str">
            <v>04|5</v>
          </cell>
        </row>
        <row r="254">
          <cell r="E254" t="str">
            <v>1. ROOM INVENTORY</v>
          </cell>
          <cell r="G254">
            <v>0</v>
          </cell>
          <cell r="H254">
            <v>0</v>
          </cell>
          <cell r="I254">
            <v>0</v>
          </cell>
          <cell r="J254">
            <v>0</v>
          </cell>
          <cell r="K254">
            <v>0</v>
          </cell>
          <cell r="L254">
            <v>0</v>
          </cell>
          <cell r="O254">
            <v>0</v>
          </cell>
          <cell r="Q254" t="str">
            <v>04|6</v>
          </cell>
        </row>
        <row r="255">
          <cell r="E255" t="str">
            <v>2. ROOM READINESS</v>
          </cell>
          <cell r="G255" t="str">
            <v>2. ROOM READINESS</v>
          </cell>
          <cell r="H255">
            <v>0</v>
          </cell>
          <cell r="I255">
            <v>0</v>
          </cell>
          <cell r="J255">
            <v>0</v>
          </cell>
          <cell r="K255">
            <v>0</v>
          </cell>
          <cell r="L255">
            <v>0</v>
          </cell>
          <cell r="O255">
            <v>0</v>
          </cell>
          <cell r="Q255" t="str">
            <v>04|7</v>
          </cell>
        </row>
        <row r="256">
          <cell r="E256" t="str">
            <v>2. ROOM READINESS</v>
          </cell>
          <cell r="G256" t="str">
            <v>Room</v>
          </cell>
          <cell r="H256" t="str">
            <v>Walls / 1-hr Rating</v>
          </cell>
          <cell r="I256" t="str">
            <v>Ceiling</v>
          </cell>
          <cell r="J256" t="str">
            <v>Floor / SDC</v>
          </cell>
          <cell r="K256" t="str">
            <v>Penetrations</v>
          </cell>
          <cell r="L256" t="str">
            <v>Access Control</v>
          </cell>
          <cell r="O256" t="str">
            <v>Overall</v>
          </cell>
          <cell r="Q256" t="str">
            <v>04|8</v>
          </cell>
        </row>
        <row r="257">
          <cell r="E257" t="str">
            <v>2. ROOM READINESS</v>
          </cell>
          <cell r="G257" t="str">
            <v>B05</v>
          </cell>
          <cell r="H257" t="str">
            <v>Verify</v>
          </cell>
          <cell r="I257" t="str">
            <v>Verify</v>
          </cell>
          <cell r="J257" t="str">
            <v>Verify</v>
          </cell>
          <cell r="K257" t="str">
            <v>Verify</v>
          </cell>
          <cell r="L257" t="str">
            <v>Verify</v>
          </cell>
          <cell r="O257" t="str">
            <v>Verify</v>
          </cell>
          <cell r="Q257" t="str">
            <v>04|9</v>
          </cell>
        </row>
        <row r="258">
          <cell r="E258" t="str">
            <v>2. ROOM READINESS</v>
          </cell>
          <cell r="G258" t="str">
            <v>141</v>
          </cell>
          <cell r="H258" t="str">
            <v>Verify</v>
          </cell>
          <cell r="I258" t="str">
            <v>Verify</v>
          </cell>
          <cell r="J258" t="str">
            <v>Verify</v>
          </cell>
          <cell r="K258" t="str">
            <v>Verify</v>
          </cell>
          <cell r="L258" t="str">
            <v>Verify</v>
          </cell>
          <cell r="O258" t="str">
            <v>Verify</v>
          </cell>
          <cell r="Q258" t="str">
            <v>04|10</v>
          </cell>
        </row>
        <row r="259">
          <cell r="E259" t="str">
            <v>2. ROOM READINESS</v>
          </cell>
          <cell r="G259" t="str">
            <v>244A</v>
          </cell>
          <cell r="H259" t="str">
            <v>Verify</v>
          </cell>
          <cell r="I259" t="str">
            <v>Verify</v>
          </cell>
          <cell r="J259" t="str">
            <v>Verify</v>
          </cell>
          <cell r="K259" t="str">
            <v>Verify</v>
          </cell>
          <cell r="L259" t="str">
            <v>Verify</v>
          </cell>
          <cell r="O259" t="str">
            <v>Verify</v>
          </cell>
          <cell r="Q259" t="str">
            <v>04|11</v>
          </cell>
        </row>
        <row r="260">
          <cell r="E260" t="str">
            <v>2. ROOM READINESS</v>
          </cell>
          <cell r="G260">
            <v>0</v>
          </cell>
          <cell r="H260">
            <v>0</v>
          </cell>
          <cell r="I260">
            <v>0</v>
          </cell>
          <cell r="J260">
            <v>0</v>
          </cell>
          <cell r="K260">
            <v>0</v>
          </cell>
          <cell r="L260">
            <v>0</v>
          </cell>
          <cell r="O260">
            <v>0</v>
          </cell>
          <cell r="Q260" t="str">
            <v>04|12</v>
          </cell>
        </row>
        <row r="261">
          <cell r="E261" t="str">
            <v>3. FIRE PROTECTION</v>
          </cell>
          <cell r="G261" t="str">
            <v>3. FIRE PROTECTION</v>
          </cell>
          <cell r="H261">
            <v>0</v>
          </cell>
          <cell r="I261">
            <v>0</v>
          </cell>
          <cell r="J261">
            <v>0</v>
          </cell>
          <cell r="K261">
            <v>0</v>
          </cell>
          <cell r="L261">
            <v>0</v>
          </cell>
          <cell r="O261">
            <v>0</v>
          </cell>
          <cell r="Q261" t="str">
            <v>04|13</v>
          </cell>
        </row>
        <row r="262">
          <cell r="E262" t="str">
            <v>3. FIRE PROTECTION</v>
          </cell>
          <cell r="G262" t="str">
            <v>Room</v>
          </cell>
          <cell r="H262" t="str">
            <v>Sprinkler</v>
          </cell>
          <cell r="I262" t="str">
            <v>Cage</v>
          </cell>
          <cell r="J262" t="str">
            <v>Detector</v>
          </cell>
          <cell r="K262" t="str">
            <v>Horn/Strobe</v>
          </cell>
          <cell r="L262" t="str">
            <v>Extinguisher &lt;75 ft</v>
          </cell>
          <cell r="O262" t="str">
            <v>Overall</v>
          </cell>
          <cell r="Q262" t="str">
            <v>04|14</v>
          </cell>
        </row>
        <row r="263">
          <cell r="E263" t="str">
            <v>3. FIRE PROTECTION</v>
          </cell>
          <cell r="G263" t="str">
            <v>B05</v>
          </cell>
          <cell r="H263" t="str">
            <v>Verify</v>
          </cell>
          <cell r="I263" t="str">
            <v>Verify</v>
          </cell>
          <cell r="J263" t="str">
            <v>Verify</v>
          </cell>
          <cell r="K263" t="str">
            <v>Verify</v>
          </cell>
          <cell r="L263" t="str">
            <v>Verify</v>
          </cell>
          <cell r="O263" t="str">
            <v>Verify</v>
          </cell>
          <cell r="Q263" t="str">
            <v>04|15</v>
          </cell>
        </row>
        <row r="264">
          <cell r="E264" t="str">
            <v>3. FIRE PROTECTION</v>
          </cell>
          <cell r="G264" t="str">
            <v>141</v>
          </cell>
          <cell r="H264" t="str">
            <v>Verify</v>
          </cell>
          <cell r="I264" t="str">
            <v>Verify</v>
          </cell>
          <cell r="J264" t="str">
            <v>Verify</v>
          </cell>
          <cell r="K264" t="str">
            <v>Verify</v>
          </cell>
          <cell r="L264" t="str">
            <v>Verify</v>
          </cell>
          <cell r="O264" t="str">
            <v>Verify</v>
          </cell>
          <cell r="Q264" t="str">
            <v>04|16</v>
          </cell>
        </row>
        <row r="265">
          <cell r="E265" t="str">
            <v>3. FIRE PROTECTION</v>
          </cell>
          <cell r="G265" t="str">
            <v>244A</v>
          </cell>
          <cell r="H265" t="str">
            <v>Verify</v>
          </cell>
          <cell r="I265" t="str">
            <v>Verify</v>
          </cell>
          <cell r="J265" t="str">
            <v>Verify</v>
          </cell>
          <cell r="K265" t="str">
            <v>Verify</v>
          </cell>
          <cell r="L265" t="str">
            <v>Verify</v>
          </cell>
          <cell r="O265" t="str">
            <v>Verify</v>
          </cell>
          <cell r="Q265" t="str">
            <v>04|17</v>
          </cell>
        </row>
        <row r="266">
          <cell r="E266" t="str">
            <v>3. FIRE PROTECTION</v>
          </cell>
          <cell r="G266">
            <v>0</v>
          </cell>
          <cell r="H266">
            <v>0</v>
          </cell>
          <cell r="I266">
            <v>0</v>
          </cell>
          <cell r="J266">
            <v>0</v>
          </cell>
          <cell r="K266">
            <v>0</v>
          </cell>
          <cell r="L266">
            <v>0</v>
          </cell>
          <cell r="O266">
            <v>0</v>
          </cell>
          <cell r="Q266" t="str">
            <v>04|18</v>
          </cell>
        </row>
        <row r="267">
          <cell r="E267" t="str">
            <v>4. HVAC / COOLING</v>
          </cell>
          <cell r="G267" t="str">
            <v>4. HVAC / COOLING</v>
          </cell>
          <cell r="H267">
            <v>0</v>
          </cell>
          <cell r="I267">
            <v>0</v>
          </cell>
          <cell r="J267">
            <v>0</v>
          </cell>
          <cell r="K267">
            <v>0</v>
          </cell>
          <cell r="L267">
            <v>0</v>
          </cell>
          <cell r="O267">
            <v>0</v>
          </cell>
          <cell r="Q267" t="str">
            <v>04|19</v>
          </cell>
        </row>
        <row r="268">
          <cell r="E268" t="str">
            <v>4. HVAC / COOLING</v>
          </cell>
          <cell r="G268" t="str">
            <v>Room</v>
          </cell>
          <cell r="H268" t="str">
            <v>Dedicated Unit</v>
          </cell>
          <cell r="I268" t="str">
            <v>Capacity Verified</v>
          </cell>
          <cell r="J268" t="str">
            <v>Emergency Power</v>
          </cell>
          <cell r="K268" t="str">
            <v>Controls / BACnet</v>
          </cell>
          <cell r="L268" t="str">
            <v>Condensate Routed</v>
          </cell>
          <cell r="O268" t="str">
            <v>Overall</v>
          </cell>
          <cell r="Q268" t="str">
            <v>04|20</v>
          </cell>
        </row>
        <row r="269">
          <cell r="E269" t="str">
            <v>4. HVAC / COOLING</v>
          </cell>
          <cell r="G269" t="str">
            <v>B05</v>
          </cell>
          <cell r="H269" t="str">
            <v>Verify</v>
          </cell>
          <cell r="I269" t="str">
            <v>Verify</v>
          </cell>
          <cell r="J269" t="str">
            <v>Verify</v>
          </cell>
          <cell r="K269" t="str">
            <v>Verify</v>
          </cell>
          <cell r="L269" t="str">
            <v>Verify</v>
          </cell>
          <cell r="O269" t="str">
            <v>Verify</v>
          </cell>
          <cell r="Q269" t="str">
            <v>04|21</v>
          </cell>
        </row>
        <row r="270">
          <cell r="E270" t="str">
            <v>4. HVAC / COOLING</v>
          </cell>
          <cell r="G270" t="str">
            <v>141</v>
          </cell>
          <cell r="H270" t="str">
            <v>Verify</v>
          </cell>
          <cell r="I270" t="str">
            <v>Verify</v>
          </cell>
          <cell r="J270" t="str">
            <v>Verify</v>
          </cell>
          <cell r="K270" t="str">
            <v>Verify</v>
          </cell>
          <cell r="L270" t="str">
            <v>Verify</v>
          </cell>
          <cell r="O270" t="str">
            <v>Verify</v>
          </cell>
          <cell r="Q270" t="str">
            <v>04|22</v>
          </cell>
        </row>
        <row r="271">
          <cell r="E271" t="str">
            <v>4. HVAC / COOLING</v>
          </cell>
          <cell r="G271" t="str">
            <v>244A</v>
          </cell>
          <cell r="H271" t="str">
            <v>Verify</v>
          </cell>
          <cell r="I271" t="str">
            <v>Verify</v>
          </cell>
          <cell r="J271" t="str">
            <v>Verify</v>
          </cell>
          <cell r="K271" t="str">
            <v>Verify</v>
          </cell>
          <cell r="L271" t="str">
            <v>Verify</v>
          </cell>
          <cell r="O271" t="str">
            <v>Verify</v>
          </cell>
          <cell r="Q271" t="str">
            <v>04|23</v>
          </cell>
        </row>
        <row r="272">
          <cell r="E272" t="str">
            <v>4. HVAC / COOLING</v>
          </cell>
          <cell r="G272">
            <v>0</v>
          </cell>
          <cell r="H272">
            <v>0</v>
          </cell>
          <cell r="I272">
            <v>0</v>
          </cell>
          <cell r="J272">
            <v>0</v>
          </cell>
          <cell r="K272">
            <v>0</v>
          </cell>
          <cell r="L272">
            <v>0</v>
          </cell>
          <cell r="O272">
            <v>0</v>
          </cell>
          <cell r="Q272" t="str">
            <v>04|24</v>
          </cell>
        </row>
        <row r="273">
          <cell r="E273" t="str">
            <v>5. ELECTRICAL / UPS</v>
          </cell>
          <cell r="G273" t="str">
            <v>5. ELECTRICAL / UPS</v>
          </cell>
          <cell r="H273">
            <v>0</v>
          </cell>
          <cell r="I273">
            <v>0</v>
          </cell>
          <cell r="J273">
            <v>0</v>
          </cell>
          <cell r="K273">
            <v>0</v>
          </cell>
          <cell r="L273">
            <v>0</v>
          </cell>
          <cell r="O273">
            <v>0</v>
          </cell>
          <cell r="Q273" t="str">
            <v>04|25</v>
          </cell>
        </row>
        <row r="274">
          <cell r="E274" t="str">
            <v>5. ELECTRICAL / UPS</v>
          </cell>
          <cell r="G274" t="str">
            <v>Room</v>
          </cell>
          <cell r="H274" t="str">
            <v>UPS Installed</v>
          </cell>
          <cell r="I274" t="str">
            <v>UPS Size</v>
          </cell>
          <cell r="J274" t="str">
            <v>PDU Installed</v>
          </cell>
          <cell r="K274" t="str">
            <v>Rack Receptacles</v>
          </cell>
          <cell r="L274" t="str">
            <v>Panel Assigned</v>
          </cell>
          <cell r="O274" t="str">
            <v>Overall</v>
          </cell>
          <cell r="Q274" t="str">
            <v>04|26</v>
          </cell>
        </row>
        <row r="275">
          <cell r="E275" t="str">
            <v>5. ELECTRICAL / UPS</v>
          </cell>
          <cell r="G275" t="str">
            <v>B05</v>
          </cell>
          <cell r="H275" t="str">
            <v>Verify</v>
          </cell>
          <cell r="I275" t="str">
            <v>5 kW</v>
          </cell>
          <cell r="J275" t="str">
            <v>Verify</v>
          </cell>
          <cell r="K275" t="str">
            <v>Verify</v>
          </cell>
          <cell r="L275" t="str">
            <v>B04-NPA-TR / B04-TRB05A / B04-TRB05B</v>
          </cell>
          <cell r="O275" t="str">
            <v>Verify</v>
          </cell>
          <cell r="Q275" t="str">
            <v>04|27</v>
          </cell>
        </row>
        <row r="276">
          <cell r="E276" t="str">
            <v>5. ELECTRICAL / UPS</v>
          </cell>
          <cell r="G276" t="str">
            <v>141</v>
          </cell>
          <cell r="H276" t="str">
            <v>Verify</v>
          </cell>
          <cell r="I276" t="str">
            <v>5 kW</v>
          </cell>
          <cell r="J276" t="str">
            <v>Verify</v>
          </cell>
          <cell r="K276" t="str">
            <v>Verify</v>
          </cell>
          <cell r="L276" t="str">
            <v>B04-TR141A</v>
          </cell>
          <cell r="O276" t="str">
            <v>Verify</v>
          </cell>
          <cell r="Q276" t="str">
            <v>04|28</v>
          </cell>
        </row>
        <row r="277">
          <cell r="E277" t="str">
            <v>5. ELECTRICAL / UPS</v>
          </cell>
          <cell r="G277" t="str">
            <v>244A</v>
          </cell>
          <cell r="H277" t="str">
            <v>Verify</v>
          </cell>
          <cell r="I277" t="str">
            <v>5 kW</v>
          </cell>
          <cell r="J277" t="str">
            <v>Verify</v>
          </cell>
          <cell r="K277" t="str">
            <v>Verify</v>
          </cell>
          <cell r="L277" t="str">
            <v>B04-TR244A</v>
          </cell>
          <cell r="O277" t="str">
            <v>Verify</v>
          </cell>
          <cell r="Q277" t="str">
            <v>04|29</v>
          </cell>
        </row>
        <row r="278">
          <cell r="E278" t="str">
            <v>5. ELECTRICAL / UPS</v>
          </cell>
          <cell r="G278">
            <v>0</v>
          </cell>
          <cell r="H278">
            <v>0</v>
          </cell>
          <cell r="I278">
            <v>0</v>
          </cell>
          <cell r="J278">
            <v>0</v>
          </cell>
          <cell r="K278">
            <v>0</v>
          </cell>
          <cell r="L278">
            <v>0</v>
          </cell>
          <cell r="O278">
            <v>0</v>
          </cell>
          <cell r="Q278" t="str">
            <v>04|30</v>
          </cell>
        </row>
        <row r="279">
          <cell r="E279" t="str">
            <v>6. TELECOMMUNICATIONS</v>
          </cell>
          <cell r="G279" t="str">
            <v>6. TELECOMMUNICATIONS</v>
          </cell>
          <cell r="H279">
            <v>0</v>
          </cell>
          <cell r="I279">
            <v>0</v>
          </cell>
          <cell r="J279">
            <v>0</v>
          </cell>
          <cell r="K279">
            <v>0</v>
          </cell>
          <cell r="L279">
            <v>0</v>
          </cell>
          <cell r="O279">
            <v>0</v>
          </cell>
          <cell r="Q279" t="str">
            <v>04|31</v>
          </cell>
        </row>
        <row r="280">
          <cell r="E280" t="str">
            <v>6. TELECOMMUNICATIONS</v>
          </cell>
          <cell r="G280" t="str">
            <v>Room</v>
          </cell>
          <cell r="H280" t="str">
            <v>Rack Installed</v>
          </cell>
          <cell r="I280" t="str">
            <v>Ladder Tray</v>
          </cell>
          <cell r="J280" t="str">
            <v>Fiber Installed</v>
          </cell>
          <cell r="K280" t="str">
            <v>Grounding</v>
          </cell>
          <cell r="L280" t="str">
            <v>Labeling</v>
          </cell>
          <cell r="O280" t="str">
            <v>Overall</v>
          </cell>
          <cell r="Q280" t="str">
            <v>04|32</v>
          </cell>
        </row>
        <row r="281">
          <cell r="E281" t="str">
            <v>6. TELECOMMUNICATIONS</v>
          </cell>
          <cell r="G281" t="str">
            <v>B05</v>
          </cell>
          <cell r="H281" t="str">
            <v>Verify</v>
          </cell>
          <cell r="I281" t="str">
            <v>Verify</v>
          </cell>
          <cell r="J281" t="str">
            <v>Verify</v>
          </cell>
          <cell r="K281" t="str">
            <v>Verify</v>
          </cell>
          <cell r="L281" t="str">
            <v>Verify</v>
          </cell>
          <cell r="O281" t="str">
            <v>Verify</v>
          </cell>
          <cell r="Q281" t="str">
            <v>04|33</v>
          </cell>
        </row>
        <row r="282">
          <cell r="E282" t="str">
            <v>6. TELECOMMUNICATIONS</v>
          </cell>
          <cell r="G282" t="str">
            <v>141</v>
          </cell>
          <cell r="H282" t="str">
            <v>Verify</v>
          </cell>
          <cell r="I282" t="str">
            <v>Verify</v>
          </cell>
          <cell r="J282" t="str">
            <v>Verify</v>
          </cell>
          <cell r="K282" t="str">
            <v>Verify</v>
          </cell>
          <cell r="L282" t="str">
            <v>Verify</v>
          </cell>
          <cell r="O282" t="str">
            <v>Verify</v>
          </cell>
          <cell r="Q282" t="str">
            <v>04|34</v>
          </cell>
        </row>
        <row r="283">
          <cell r="E283" t="str">
            <v>6. TELECOMMUNICATIONS</v>
          </cell>
          <cell r="G283" t="str">
            <v>244A</v>
          </cell>
          <cell r="H283" t="str">
            <v>Verify</v>
          </cell>
          <cell r="I283" t="str">
            <v>Verify</v>
          </cell>
          <cell r="J283" t="str">
            <v>Verify</v>
          </cell>
          <cell r="K283" t="str">
            <v>Verify</v>
          </cell>
          <cell r="L283" t="str">
            <v>Verify</v>
          </cell>
          <cell r="O283" t="str">
            <v>Verify</v>
          </cell>
          <cell r="Q283" t="str">
            <v>04|35</v>
          </cell>
        </row>
        <row r="284">
          <cell r="E284" t="str">
            <v>6. TELECOMMUNICATIONS</v>
          </cell>
          <cell r="G284">
            <v>0</v>
          </cell>
          <cell r="H284">
            <v>0</v>
          </cell>
          <cell r="I284">
            <v>0</v>
          </cell>
          <cell r="J284">
            <v>0</v>
          </cell>
          <cell r="K284">
            <v>0</v>
          </cell>
          <cell r="L284">
            <v>0</v>
          </cell>
          <cell r="O284">
            <v>0</v>
          </cell>
          <cell r="Q284" t="str">
            <v>04|36</v>
          </cell>
        </row>
        <row r="285">
          <cell r="E285" t="str">
            <v>7. SECURITY / PACS / CCTV</v>
          </cell>
          <cell r="G285" t="str">
            <v>7. SECURITY / PACS / CCTV</v>
          </cell>
          <cell r="H285">
            <v>0</v>
          </cell>
          <cell r="I285">
            <v>0</v>
          </cell>
          <cell r="J285">
            <v>0</v>
          </cell>
          <cell r="K285">
            <v>0</v>
          </cell>
          <cell r="L285">
            <v>0</v>
          </cell>
          <cell r="O285">
            <v>0</v>
          </cell>
          <cell r="Q285" t="str">
            <v>04|37</v>
          </cell>
        </row>
        <row r="286">
          <cell r="E286" t="str">
            <v>7. SECURITY / PACS / CCTV</v>
          </cell>
          <cell r="G286" t="str">
            <v>Room</v>
          </cell>
          <cell r="H286" t="str">
            <v>PACS</v>
          </cell>
          <cell r="I286" t="str">
            <v>Card Reader</v>
          </cell>
          <cell r="J286" t="str">
            <v>Door Position</v>
          </cell>
          <cell r="K286" t="str">
            <v>Electric Strike</v>
          </cell>
          <cell r="L286" t="str">
            <v>CCTV</v>
          </cell>
          <cell r="O286" t="str">
            <v>Overall</v>
          </cell>
          <cell r="Q286" t="str">
            <v>04|38</v>
          </cell>
        </row>
        <row r="287">
          <cell r="E287" t="str">
            <v>7. SECURITY / PACS / CCTV</v>
          </cell>
          <cell r="G287" t="str">
            <v>B05</v>
          </cell>
          <cell r="H287" t="str">
            <v>Verify</v>
          </cell>
          <cell r="I287" t="str">
            <v>Verify</v>
          </cell>
          <cell r="J287" t="str">
            <v>Verify</v>
          </cell>
          <cell r="K287" t="str">
            <v>Verify</v>
          </cell>
          <cell r="L287" t="str">
            <v>Verify</v>
          </cell>
          <cell r="O287" t="str">
            <v>Verify</v>
          </cell>
          <cell r="Q287" t="str">
            <v>04|39</v>
          </cell>
        </row>
        <row r="288">
          <cell r="E288" t="str">
            <v>7. SECURITY / PACS / CCTV</v>
          </cell>
          <cell r="G288" t="str">
            <v>141</v>
          </cell>
          <cell r="H288" t="str">
            <v>Verify</v>
          </cell>
          <cell r="I288" t="str">
            <v>Verify</v>
          </cell>
          <cell r="J288" t="str">
            <v>Verify</v>
          </cell>
          <cell r="K288" t="str">
            <v>Verify</v>
          </cell>
          <cell r="L288" t="str">
            <v>Verify</v>
          </cell>
          <cell r="O288" t="str">
            <v>Verify</v>
          </cell>
          <cell r="Q288" t="str">
            <v>04|40</v>
          </cell>
        </row>
        <row r="289">
          <cell r="E289" t="str">
            <v>7. SECURITY / PACS / CCTV</v>
          </cell>
          <cell r="G289" t="str">
            <v>244A</v>
          </cell>
          <cell r="H289" t="str">
            <v>Verify</v>
          </cell>
          <cell r="I289" t="str">
            <v>Verify</v>
          </cell>
          <cell r="J289" t="str">
            <v>Verify</v>
          </cell>
          <cell r="K289" t="str">
            <v>Verify</v>
          </cell>
          <cell r="L289" t="str">
            <v>Verify</v>
          </cell>
          <cell r="O289" t="str">
            <v>Verify</v>
          </cell>
          <cell r="Q289" t="str">
            <v>04|41</v>
          </cell>
        </row>
        <row r="290">
          <cell r="E290" t="str">
            <v>7. SECURITY / PACS / CCTV</v>
          </cell>
          <cell r="G290">
            <v>0</v>
          </cell>
          <cell r="H290">
            <v>0</v>
          </cell>
          <cell r="I290">
            <v>0</v>
          </cell>
          <cell r="J290">
            <v>0</v>
          </cell>
          <cell r="K290">
            <v>0</v>
          </cell>
          <cell r="L290">
            <v>0</v>
          </cell>
          <cell r="O290">
            <v>0</v>
          </cell>
          <cell r="Q290" t="str">
            <v>04|42</v>
          </cell>
        </row>
        <row r="291">
          <cell r="E291" t="str">
            <v>8. OWNER RISKS</v>
          </cell>
          <cell r="G291" t="str">
            <v>8. OWNER RISKS</v>
          </cell>
          <cell r="H291">
            <v>0</v>
          </cell>
          <cell r="I291">
            <v>0</v>
          </cell>
          <cell r="J291">
            <v>0</v>
          </cell>
          <cell r="K291">
            <v>0</v>
          </cell>
          <cell r="L291">
            <v>0</v>
          </cell>
          <cell r="O291">
            <v>0</v>
          </cell>
          <cell r="Q291" t="str">
            <v>04|43</v>
          </cell>
        </row>
        <row r="292">
          <cell r="E292" t="str">
            <v>8. OWNER RISKS</v>
          </cell>
          <cell r="G292" t="str">
            <v>Risk ID</v>
          </cell>
          <cell r="H292" t="str">
            <v>Room</v>
          </cell>
          <cell r="I292" t="str">
            <v>Risk</v>
          </cell>
          <cell r="J292" t="str">
            <v>Impact</v>
          </cell>
          <cell r="K292" t="str">
            <v>Probability</v>
          </cell>
          <cell r="L292" t="str">
            <v>Score</v>
          </cell>
          <cell r="O292" t="str">
            <v>Status</v>
          </cell>
          <cell r="Q292" t="str">
            <v>04|44</v>
          </cell>
        </row>
        <row r="293">
          <cell r="E293" t="str">
            <v>8. OWNER RISKS</v>
          </cell>
          <cell r="G293" t="str">
            <v>B04-R1</v>
          </cell>
          <cell r="H293" t="str">
            <v>All</v>
          </cell>
          <cell r="I293" t="str">
            <v>Existing conditions across basement/first/second TR areas not verified</v>
          </cell>
          <cell r="J293" t="str">
            <v>High</v>
          </cell>
          <cell r="K293" t="str">
            <v>Medium</v>
          </cell>
          <cell r="L293">
            <v>6</v>
          </cell>
          <cell r="O293" t="str">
            <v>Open</v>
          </cell>
          <cell r="Q293" t="str">
            <v>04|45</v>
          </cell>
        </row>
        <row r="294">
          <cell r="E294" t="str">
            <v>8. OWNER RISKS</v>
          </cell>
          <cell r="G294" t="str">
            <v>B04-R2</v>
          </cell>
          <cell r="H294" t="str">
            <v>B05</v>
          </cell>
          <cell r="I294" t="str">
            <v>Basement TR routing may conflict with existing utilities / abatement areas</v>
          </cell>
          <cell r="J294" t="str">
            <v>High</v>
          </cell>
          <cell r="K294" t="str">
            <v>Medium</v>
          </cell>
          <cell r="L294">
            <v>6</v>
          </cell>
          <cell r="O294" t="str">
            <v>Open</v>
          </cell>
          <cell r="Q294" t="str">
            <v>04|46</v>
          </cell>
        </row>
        <row r="295">
          <cell r="E295" t="str">
            <v>8. OWNER RISKS</v>
          </cell>
          <cell r="G295" t="str">
            <v>B04-R3</v>
          </cell>
          <cell r="H295" t="str">
            <v>141</v>
          </cell>
          <cell r="I295" t="str">
            <v>1-hour fire/smoke-rated envelope and 45-minute door not field verified</v>
          </cell>
          <cell r="J295" t="str">
            <v>High</v>
          </cell>
          <cell r="K295" t="str">
            <v>Medium</v>
          </cell>
          <cell r="L295">
            <v>6</v>
          </cell>
          <cell r="O295" t="str">
            <v>Open</v>
          </cell>
          <cell r="Q295" t="str">
            <v>04|47</v>
          </cell>
        </row>
        <row r="296">
          <cell r="E296" t="str">
            <v>8. OWNER RISKS</v>
          </cell>
          <cell r="G296" t="str">
            <v>B04-R4</v>
          </cell>
          <cell r="H296" t="str">
            <v>All</v>
          </cell>
          <cell r="I296" t="str">
            <v>Cooling emergency power / 24/7 continuity not verified</v>
          </cell>
          <cell r="J296" t="str">
            <v>Critical</v>
          </cell>
          <cell r="K296" t="str">
            <v>Medium</v>
          </cell>
          <cell r="L296">
            <v>8</v>
          </cell>
          <cell r="O296" t="str">
            <v>Open</v>
          </cell>
          <cell r="Q296" t="str">
            <v>04|48</v>
          </cell>
        </row>
        <row r="297">
          <cell r="E297" t="str">
            <v>8. OWNER RISKS</v>
          </cell>
          <cell r="G297" t="str">
            <v>B04-R5</v>
          </cell>
          <cell r="H297" t="str">
            <v>All</v>
          </cell>
          <cell r="I297" t="str">
            <v>UPS/PDU/rack electrical source and load coordination unresolved</v>
          </cell>
          <cell r="J297" t="str">
            <v>High</v>
          </cell>
          <cell r="K297" t="str">
            <v>Medium</v>
          </cell>
          <cell r="L297">
            <v>6</v>
          </cell>
          <cell r="O297" t="str">
            <v>Open</v>
          </cell>
          <cell r="Q297" t="str">
            <v>04|49</v>
          </cell>
        </row>
        <row r="298">
          <cell r="E298" t="str">
            <v>8. OWNER RISKS</v>
          </cell>
          <cell r="G298" t="str">
            <v>B04-R6</v>
          </cell>
          <cell r="H298" t="str">
            <v>All</v>
          </cell>
          <cell r="I298" t="str">
            <v>Telecom/fiber cutover could affect active hospital communications</v>
          </cell>
          <cell r="J298" t="str">
            <v>Critical</v>
          </cell>
          <cell r="K298" t="str">
            <v>Medium</v>
          </cell>
          <cell r="L298">
            <v>8</v>
          </cell>
          <cell r="O298" t="str">
            <v>Open</v>
          </cell>
          <cell r="Q298" t="str">
            <v>04|50</v>
          </cell>
        </row>
        <row r="299">
          <cell r="E299" t="str">
            <v>8. OWNER RISKS</v>
          </cell>
          <cell r="G299" t="str">
            <v>B04-R7</v>
          </cell>
          <cell r="H299" t="str">
            <v>All</v>
          </cell>
          <cell r="I299" t="str">
            <v>Fire alarm/sprinkler impairments during construction could affect occupied operations</v>
          </cell>
          <cell r="J299" t="str">
            <v>Critical</v>
          </cell>
          <cell r="K299" t="str">
            <v>Medium</v>
          </cell>
          <cell r="L299">
            <v>8</v>
          </cell>
          <cell r="O299" t="str">
            <v>Open</v>
          </cell>
          <cell r="Q299" t="str">
            <v>04|51</v>
          </cell>
        </row>
        <row r="300">
          <cell r="E300" t="str">
            <v>8. OWNER RISKS</v>
          </cell>
          <cell r="G300" t="str">
            <v>B04-R8</v>
          </cell>
          <cell r="H300" t="str">
            <v>All</v>
          </cell>
          <cell r="I300" t="str">
            <v>Commissioning and third-party inspection reports incomplete before turnover</v>
          </cell>
          <cell r="J300" t="str">
            <v>High</v>
          </cell>
          <cell r="K300" t="str">
            <v>Medium</v>
          </cell>
          <cell r="L300">
            <v>6</v>
          </cell>
          <cell r="O300" t="str">
            <v>Open</v>
          </cell>
          <cell r="Q300" t="str">
            <v>04|52</v>
          </cell>
        </row>
        <row r="301">
          <cell r="E301" t="str">
            <v>8. OWNER RISKS</v>
          </cell>
          <cell r="G301">
            <v>0</v>
          </cell>
          <cell r="H301">
            <v>0</v>
          </cell>
          <cell r="I301">
            <v>0</v>
          </cell>
          <cell r="J301">
            <v>0</v>
          </cell>
          <cell r="K301">
            <v>0</v>
          </cell>
          <cell r="L301">
            <v>0</v>
          </cell>
          <cell r="O301">
            <v>0</v>
          </cell>
          <cell r="Q301" t="str">
            <v>04|53</v>
          </cell>
        </row>
        <row r="302">
          <cell r="E302" t="str">
            <v>9. OPEN QUESTIONS</v>
          </cell>
          <cell r="G302" t="str">
            <v>9. OPEN QUESTIONS</v>
          </cell>
          <cell r="H302">
            <v>0</v>
          </cell>
          <cell r="I302">
            <v>0</v>
          </cell>
          <cell r="J302">
            <v>0</v>
          </cell>
          <cell r="K302">
            <v>0</v>
          </cell>
          <cell r="L302">
            <v>0</v>
          </cell>
          <cell r="O302">
            <v>0</v>
          </cell>
          <cell r="Q302" t="str">
            <v>04|54</v>
          </cell>
        </row>
        <row r="303">
          <cell r="E303" t="str">
            <v>9. OPEN QUESTIONS</v>
          </cell>
          <cell r="G303" t="str">
            <v>Question ID</v>
          </cell>
          <cell r="H303" t="str">
            <v>Question</v>
          </cell>
          <cell r="I303" t="str">
            <v>Assigned To</v>
          </cell>
          <cell r="J303" t="str">
            <v>Status</v>
          </cell>
          <cell r="K303" t="str">
            <v>Needed By</v>
          </cell>
          <cell r="L303" t="str">
            <v>Answer / Resolution</v>
          </cell>
          <cell r="O303" t="str">
            <v>Date Closed</v>
          </cell>
          <cell r="Q303" t="str">
            <v>04|55</v>
          </cell>
        </row>
        <row r="304">
          <cell r="E304" t="str">
            <v>9. OPEN QUESTIONS</v>
          </cell>
          <cell r="G304" t="str">
            <v>B04-Q1</v>
          </cell>
          <cell r="H304" t="str">
            <v>Confirm final TR room list: B05, 141, and 244A; are there additional served-from rooms?</v>
          </cell>
          <cell r="I304" t="str">
            <v>VA / OIT / Designer</v>
          </cell>
          <cell r="J304" t="str">
            <v>Open</v>
          </cell>
          <cell r="K304">
            <v>0</v>
          </cell>
          <cell r="L304">
            <v>0</v>
          </cell>
          <cell r="O304">
            <v>0</v>
          </cell>
          <cell r="Q304" t="str">
            <v>04|56</v>
          </cell>
        </row>
        <row r="305">
          <cell r="E305" t="str">
            <v>9. OPEN QUESTIONS</v>
          </cell>
          <cell r="G305" t="str">
            <v>B04-Q2</v>
          </cell>
          <cell r="H305" t="str">
            <v>Are B05, 141, and 244A cooling systems on emergency/backup power?</v>
          </cell>
          <cell r="I305" t="str">
            <v>VA / Electrical / Mechanical</v>
          </cell>
          <cell r="J305" t="str">
            <v>Open</v>
          </cell>
          <cell r="K305">
            <v>0</v>
          </cell>
          <cell r="L305">
            <v>0</v>
          </cell>
          <cell r="O305">
            <v>0</v>
          </cell>
          <cell r="Q305" t="str">
            <v>04|57</v>
          </cell>
        </row>
        <row r="306">
          <cell r="E306" t="str">
            <v>9. OPEN QUESTIONS</v>
          </cell>
          <cell r="G306" t="str">
            <v>B04-Q3</v>
          </cell>
          <cell r="H306" t="str">
            <v>Where are clean-agent/CO2 extinguisher cabinets located within 75 ft of each TR?</v>
          </cell>
          <cell r="I306" t="str">
            <v>GC / COR</v>
          </cell>
          <cell r="J306" t="str">
            <v>Open</v>
          </cell>
          <cell r="K306">
            <v>0</v>
          </cell>
          <cell r="L306">
            <v>0</v>
          </cell>
          <cell r="O306">
            <v>0</v>
          </cell>
          <cell r="Q306" t="str">
            <v>04|58</v>
          </cell>
        </row>
        <row r="307">
          <cell r="E307" t="str">
            <v>9. OPEN QUESTIONS</v>
          </cell>
          <cell r="G307" t="str">
            <v>B04-Q4</v>
          </cell>
          <cell r="H307" t="str">
            <v>What is the approved migration and cutover sequence for active Building 04 services?</v>
          </cell>
          <cell r="I307" t="str">
            <v>OIT / Contractor</v>
          </cell>
          <cell r="J307" t="str">
            <v>Open</v>
          </cell>
          <cell r="K307">
            <v>0</v>
          </cell>
          <cell r="L307">
            <v>0</v>
          </cell>
          <cell r="O307">
            <v>0</v>
          </cell>
          <cell r="Q307" t="str">
            <v>04|59</v>
          </cell>
        </row>
        <row r="308">
          <cell r="E308" t="str">
            <v>9. OPEN QUESTIONS</v>
          </cell>
          <cell r="G308" t="str">
            <v>B04-Q5</v>
          </cell>
          <cell r="H308" t="str">
            <v>Are hazardous/abatement impacts cleared for basement and first-level penetrations/floor work?</v>
          </cell>
          <cell r="I308" t="str">
            <v>GC / COR</v>
          </cell>
          <cell r="J308" t="str">
            <v>Open</v>
          </cell>
          <cell r="K308">
            <v>0</v>
          </cell>
          <cell r="L308">
            <v>0</v>
          </cell>
          <cell r="O308">
            <v>0</v>
          </cell>
          <cell r="Q308" t="str">
            <v>04|60</v>
          </cell>
        </row>
        <row r="309">
          <cell r="E309" t="str">
            <v>9. OPEN QUESTIONS</v>
          </cell>
          <cell r="G309" t="str">
            <v>B04-Q6</v>
          </cell>
          <cell r="H309" t="str">
            <v>Are all B04 panelboards/feeders/breakers/SPDs/load measurements approved before renovation?</v>
          </cell>
          <cell r="I309" t="str">
            <v>Electrical / Designer</v>
          </cell>
          <cell r="J309" t="str">
            <v>Open</v>
          </cell>
          <cell r="K309">
            <v>0</v>
          </cell>
          <cell r="L309">
            <v>0</v>
          </cell>
          <cell r="O309">
            <v>0</v>
          </cell>
          <cell r="Q309" t="str">
            <v>04|61</v>
          </cell>
        </row>
        <row r="310">
          <cell r="E310" t="str">
            <v>9. OPEN QUESTIONS</v>
          </cell>
          <cell r="G310" t="str">
            <v>B04-Q7</v>
          </cell>
          <cell r="H310" t="str">
            <v>Are all rated wall/floor penetrations and speed sleeves identified and firestopped?</v>
          </cell>
          <cell r="I310" t="str">
            <v>GC / Designer</v>
          </cell>
          <cell r="J310" t="str">
            <v>Open</v>
          </cell>
          <cell r="K310">
            <v>0</v>
          </cell>
          <cell r="L310">
            <v>0</v>
          </cell>
          <cell r="O310">
            <v>0</v>
          </cell>
          <cell r="Q310" t="str">
            <v>04|62</v>
          </cell>
        </row>
        <row r="311">
          <cell r="E311" t="str">
            <v>9. OPEN QUESTIONS</v>
          </cell>
          <cell r="G311" t="str">
            <v>B04-Q8</v>
          </cell>
          <cell r="H311" t="str">
            <v>Which third-party tests, commissioning forms, and acceptance documents are required before VA turnover?</v>
          </cell>
          <cell r="I311" t="str">
            <v>GC / Cx Manager</v>
          </cell>
          <cell r="J311" t="str">
            <v>Open</v>
          </cell>
          <cell r="K311">
            <v>0</v>
          </cell>
          <cell r="L311">
            <v>0</v>
          </cell>
          <cell r="O311">
            <v>0</v>
          </cell>
          <cell r="Q311" t="str">
            <v>04|63</v>
          </cell>
        </row>
        <row r="312">
          <cell r="E312" t="str">
            <v>9. OPEN QUESTIONS</v>
          </cell>
          <cell r="G312">
            <v>0</v>
          </cell>
          <cell r="H312">
            <v>0</v>
          </cell>
          <cell r="I312">
            <v>0</v>
          </cell>
          <cell r="J312">
            <v>0</v>
          </cell>
          <cell r="K312">
            <v>0</v>
          </cell>
          <cell r="L312">
            <v>0</v>
          </cell>
          <cell r="O312">
            <v>0</v>
          </cell>
          <cell r="Q312" t="str">
            <v>04|64</v>
          </cell>
        </row>
        <row r="313">
          <cell r="E313" t="str">
            <v>10. PHOTO LOG</v>
          </cell>
          <cell r="G313" t="str">
            <v>10. PHOTO LOG</v>
          </cell>
          <cell r="H313">
            <v>0</v>
          </cell>
          <cell r="I313">
            <v>0</v>
          </cell>
          <cell r="J313">
            <v>0</v>
          </cell>
          <cell r="K313">
            <v>0</v>
          </cell>
          <cell r="L313">
            <v>0</v>
          </cell>
          <cell r="O313">
            <v>0</v>
          </cell>
          <cell r="Q313" t="str">
            <v>04|65</v>
          </cell>
        </row>
        <row r="314">
          <cell r="E314" t="str">
            <v>10. PHOTO LOG</v>
          </cell>
          <cell r="G314" t="str">
            <v>Photo ID</v>
          </cell>
          <cell r="H314" t="str">
            <v>Room</v>
          </cell>
          <cell r="I314" t="str">
            <v>Category</v>
          </cell>
          <cell r="J314" t="str">
            <v>Description</v>
          </cell>
          <cell r="K314" t="str">
            <v>Date</v>
          </cell>
          <cell r="L314" t="str">
            <v>Taken By</v>
          </cell>
          <cell r="O314" t="str">
            <v>Status</v>
          </cell>
          <cell r="Q314" t="str">
            <v>04|66</v>
          </cell>
        </row>
        <row r="315">
          <cell r="E315" t="str">
            <v>10. PHOTO LOG</v>
          </cell>
          <cell r="G315" t="str">
            <v>B04-P001</v>
          </cell>
          <cell r="H315" t="str">
            <v>B05</v>
          </cell>
          <cell r="I315" t="str">
            <v>Existing Condition</v>
          </cell>
          <cell r="J315" t="str">
            <v>Basement TR B05 existing conditions, racks, utilities, penetrations, panels</v>
          </cell>
          <cell r="K315">
            <v>0</v>
          </cell>
          <cell r="L315" t="str">
            <v>Paul</v>
          </cell>
          <cell r="O315" t="str">
            <v>Closed</v>
          </cell>
          <cell r="Q315" t="str">
            <v>04|67</v>
          </cell>
        </row>
        <row r="316">
          <cell r="E316" t="str">
            <v>10. PHOTO LOG</v>
          </cell>
          <cell r="G316" t="str">
            <v>B04-P002</v>
          </cell>
          <cell r="H316" t="str">
            <v>141</v>
          </cell>
          <cell r="I316" t="str">
            <v>Existing Condition</v>
          </cell>
          <cell r="J316" t="str">
            <v>Room 141 existing conditions, door/walls/ceiling/window/floor conditions</v>
          </cell>
          <cell r="K316">
            <v>0</v>
          </cell>
          <cell r="L316" t="str">
            <v>Paul</v>
          </cell>
          <cell r="O316" t="str">
            <v>Closed</v>
          </cell>
          <cell r="Q316" t="str">
            <v>04|68</v>
          </cell>
        </row>
        <row r="317">
          <cell r="E317" t="str">
            <v>10. PHOTO LOG</v>
          </cell>
          <cell r="G317" t="str">
            <v>B04-P003</v>
          </cell>
          <cell r="H317" t="str">
            <v>244A</v>
          </cell>
          <cell r="I317" t="str">
            <v>Existing Condition</v>
          </cell>
          <cell r="J317" t="str">
            <v>Room 244A TR existing condition and panel/rack area</v>
          </cell>
          <cell r="K317">
            <v>0</v>
          </cell>
          <cell r="L317" t="str">
            <v>Paul</v>
          </cell>
          <cell r="O317" t="str">
            <v>Closed</v>
          </cell>
          <cell r="Q317" t="str">
            <v>04|69</v>
          </cell>
        </row>
        <row r="318">
          <cell r="E318" t="str">
            <v>10. PHOTO LOG</v>
          </cell>
          <cell r="G318" t="str">
            <v>B04-P004</v>
          </cell>
          <cell r="H318" t="str">
            <v>All</v>
          </cell>
          <cell r="I318" t="str">
            <v>Firestop</v>
          </cell>
          <cell r="J318" t="str">
            <v>All floor/wall/sleeve/tray penetrations before and after firestop</v>
          </cell>
          <cell r="K318">
            <v>0</v>
          </cell>
          <cell r="L318" t="str">
            <v>Paul</v>
          </cell>
          <cell r="O318" t="str">
            <v>Closed</v>
          </cell>
          <cell r="Q318" t="str">
            <v>04|70</v>
          </cell>
        </row>
        <row r="319">
          <cell r="E319" t="str">
            <v>10. PHOTO LOG</v>
          </cell>
          <cell r="G319" t="str">
            <v>B04-P005</v>
          </cell>
          <cell r="H319" t="str">
            <v>All</v>
          </cell>
          <cell r="I319" t="str">
            <v>HVAC</v>
          </cell>
          <cell r="J319" t="str">
            <v>Cooling units, condensate routing, controls, high-temp alarms</v>
          </cell>
          <cell r="K319">
            <v>0</v>
          </cell>
          <cell r="L319" t="str">
            <v>Paul</v>
          </cell>
          <cell r="O319" t="str">
            <v>Closed</v>
          </cell>
          <cell r="Q319" t="str">
            <v>04|71</v>
          </cell>
        </row>
        <row r="320">
          <cell r="E320" t="str">
            <v>10. PHOTO LOG</v>
          </cell>
          <cell r="G320" t="str">
            <v>B04-P006</v>
          </cell>
          <cell r="H320" t="str">
            <v>All</v>
          </cell>
          <cell r="I320" t="str">
            <v>Electrical</v>
          </cell>
          <cell r="J320" t="str">
            <v>Panels, breakers, UPS/PDU receptacles, SPD, grounding/bonding</v>
          </cell>
          <cell r="K320">
            <v>0</v>
          </cell>
          <cell r="L320" t="str">
            <v>Paul</v>
          </cell>
          <cell r="O320" t="str">
            <v>Closed</v>
          </cell>
          <cell r="Q320" t="str">
            <v>04|72</v>
          </cell>
        </row>
        <row r="321">
          <cell r="E321" t="str">
            <v>10. PHOTO LOG</v>
          </cell>
          <cell r="G321" t="str">
            <v>B04-P007</v>
          </cell>
          <cell r="H321" t="str">
            <v>All</v>
          </cell>
          <cell r="I321" t="str">
            <v>Telecom</v>
          </cell>
          <cell r="J321" t="str">
            <v>Racks, ladder tray, fiber, Cat6A, labels, LIU, cable managers</v>
          </cell>
          <cell r="K321">
            <v>0</v>
          </cell>
          <cell r="L321" t="str">
            <v>Paul</v>
          </cell>
          <cell r="O321" t="str">
            <v>Closed</v>
          </cell>
          <cell r="Q321" t="str">
            <v>04|73</v>
          </cell>
        </row>
        <row r="322">
          <cell r="E322" t="str">
            <v>10. PHOTO LOG</v>
          </cell>
          <cell r="G322" t="str">
            <v>B04-P008</v>
          </cell>
          <cell r="H322" t="str">
            <v>All</v>
          </cell>
          <cell r="I322" t="str">
            <v>Security</v>
          </cell>
          <cell r="J322" t="str">
            <v>PACS, card reader, electric strike, camera, motion sensor rough-in</v>
          </cell>
          <cell r="K322">
            <v>0</v>
          </cell>
          <cell r="L322" t="str">
            <v>Paul</v>
          </cell>
          <cell r="O322" t="str">
            <v>Closed</v>
          </cell>
          <cell r="Q322" t="str">
            <v>04|74</v>
          </cell>
        </row>
        <row r="323">
          <cell r="E323" t="str">
            <v>10. PHOTO LOG</v>
          </cell>
          <cell r="G323">
            <v>0</v>
          </cell>
          <cell r="H323">
            <v>0</v>
          </cell>
          <cell r="I323">
            <v>0</v>
          </cell>
          <cell r="J323">
            <v>0</v>
          </cell>
          <cell r="K323">
            <v>0</v>
          </cell>
          <cell r="L323">
            <v>0</v>
          </cell>
          <cell r="O323">
            <v>0</v>
          </cell>
          <cell r="Q323" t="str">
            <v>04|75</v>
          </cell>
        </row>
        <row r="324">
          <cell r="E324" t="str">
            <v>1. ROOM INVENTORY</v>
          </cell>
          <cell r="G324" t="str">
            <v>1. ROOM INVENTORY</v>
          </cell>
          <cell r="H324">
            <v>0</v>
          </cell>
          <cell r="I324">
            <v>0</v>
          </cell>
          <cell r="J324">
            <v>0</v>
          </cell>
          <cell r="K324">
            <v>0</v>
          </cell>
          <cell r="L324">
            <v>0</v>
          </cell>
          <cell r="O324">
            <v>0</v>
          </cell>
          <cell r="Q324" t="str">
            <v>05|1</v>
          </cell>
        </row>
        <row r="325">
          <cell r="E325" t="str">
            <v>1. ROOM INVENTORY</v>
          </cell>
          <cell r="G325" t="str">
            <v>Building</v>
          </cell>
          <cell r="H325" t="str">
            <v>Room</v>
          </cell>
          <cell r="I325" t="str">
            <v>Floor</v>
          </cell>
          <cell r="J325" t="str">
            <v>Existing Use</v>
          </cell>
          <cell r="K325" t="str">
            <v>New Use</v>
          </cell>
          <cell r="L325" t="str">
            <v>Rack Count</v>
          </cell>
          <cell r="O325" t="str">
            <v>Drawing Ref</v>
          </cell>
          <cell r="Q325" t="str">
            <v>05|2</v>
          </cell>
        </row>
        <row r="326">
          <cell r="E326" t="str">
            <v>1. ROOM INVENTORY</v>
          </cell>
          <cell r="G326" t="str">
            <v>05</v>
          </cell>
          <cell r="H326" t="str">
            <v>150</v>
          </cell>
          <cell r="I326" t="str">
            <v>First</v>
          </cell>
          <cell r="J326" t="str">
            <v>Telecom / equipment location</v>
          </cell>
          <cell r="K326" t="str">
            <v>Telecom Enclosure (TE)</v>
          </cell>
          <cell r="L326">
            <v>1</v>
          </cell>
          <cell r="O326" t="str">
            <v>05T-604 / 05T-401 / 05E-401</v>
          </cell>
          <cell r="Q326" t="str">
            <v>05|3</v>
          </cell>
        </row>
        <row r="327">
          <cell r="E327" t="str">
            <v>1. ROOM INVENTORY</v>
          </cell>
          <cell r="G327" t="str">
            <v>05</v>
          </cell>
          <cell r="H327" t="str">
            <v>153-A</v>
          </cell>
          <cell r="I327" t="str">
            <v>First</v>
          </cell>
          <cell r="J327" t="str">
            <v>Existing wall-mounted TE / existing rack area</v>
          </cell>
          <cell r="K327" t="str">
            <v>Existing equipment / transition point</v>
          </cell>
          <cell r="L327">
            <v>1</v>
          </cell>
          <cell r="O327" t="str">
            <v>05T-604</v>
          </cell>
          <cell r="Q327" t="str">
            <v>05|4</v>
          </cell>
        </row>
        <row r="328">
          <cell r="E328" t="str">
            <v>1. ROOM INVENTORY</v>
          </cell>
          <cell r="G328">
            <v>0</v>
          </cell>
          <cell r="H328">
            <v>0</v>
          </cell>
          <cell r="I328">
            <v>0</v>
          </cell>
          <cell r="J328">
            <v>0</v>
          </cell>
          <cell r="K328">
            <v>0</v>
          </cell>
          <cell r="L328">
            <v>0</v>
          </cell>
          <cell r="O328">
            <v>0</v>
          </cell>
          <cell r="Q328" t="str">
            <v>05|5</v>
          </cell>
        </row>
        <row r="329">
          <cell r="E329" t="str">
            <v>2. ROOM READINESS</v>
          </cell>
          <cell r="G329" t="str">
            <v>2. ROOM READINESS</v>
          </cell>
          <cell r="H329">
            <v>0</v>
          </cell>
          <cell r="I329">
            <v>0</v>
          </cell>
          <cell r="J329">
            <v>0</v>
          </cell>
          <cell r="K329">
            <v>0</v>
          </cell>
          <cell r="L329">
            <v>0</v>
          </cell>
          <cell r="O329">
            <v>0</v>
          </cell>
          <cell r="Q329" t="str">
            <v>05|6</v>
          </cell>
        </row>
        <row r="330">
          <cell r="E330" t="str">
            <v>2. ROOM READINESS</v>
          </cell>
          <cell r="G330" t="str">
            <v>Room</v>
          </cell>
          <cell r="H330" t="str">
            <v>Walls / 1-hr Rating</v>
          </cell>
          <cell r="I330" t="str">
            <v>Ceiling</v>
          </cell>
          <cell r="J330" t="str">
            <v>Floor / SDC</v>
          </cell>
          <cell r="K330" t="str">
            <v>Penetrations</v>
          </cell>
          <cell r="L330" t="str">
            <v>Access Control</v>
          </cell>
          <cell r="O330" t="str">
            <v>Overall</v>
          </cell>
          <cell r="Q330" t="str">
            <v>05|7</v>
          </cell>
        </row>
        <row r="331">
          <cell r="E331" t="str">
            <v>2. ROOM READINESS</v>
          </cell>
          <cell r="G331" t="str">
            <v>150</v>
          </cell>
          <cell r="H331" t="str">
            <v>Verify</v>
          </cell>
          <cell r="I331" t="str">
            <v>Verify</v>
          </cell>
          <cell r="J331" t="str">
            <v>Verify</v>
          </cell>
          <cell r="K331" t="str">
            <v>Verify</v>
          </cell>
          <cell r="L331" t="str">
            <v>Verify</v>
          </cell>
          <cell r="O331" t="str">
            <v>Verify</v>
          </cell>
          <cell r="Q331" t="str">
            <v>05|8</v>
          </cell>
        </row>
        <row r="332">
          <cell r="E332" t="str">
            <v>2. ROOM READINESS</v>
          </cell>
          <cell r="G332" t="str">
            <v>153-A</v>
          </cell>
          <cell r="H332" t="str">
            <v>Verify</v>
          </cell>
          <cell r="I332" t="str">
            <v>Verify</v>
          </cell>
          <cell r="J332" t="str">
            <v>Verify</v>
          </cell>
          <cell r="K332" t="str">
            <v>Verify</v>
          </cell>
          <cell r="L332" t="str">
            <v>Verify</v>
          </cell>
          <cell r="O332" t="str">
            <v>Verify</v>
          </cell>
          <cell r="Q332" t="str">
            <v>05|9</v>
          </cell>
        </row>
        <row r="333">
          <cell r="E333" t="str">
            <v>2. ROOM READINESS</v>
          </cell>
          <cell r="G333">
            <v>0</v>
          </cell>
          <cell r="H333">
            <v>0</v>
          </cell>
          <cell r="I333">
            <v>0</v>
          </cell>
          <cell r="J333">
            <v>0</v>
          </cell>
          <cell r="K333">
            <v>0</v>
          </cell>
          <cell r="L333">
            <v>0</v>
          </cell>
          <cell r="O333">
            <v>0</v>
          </cell>
          <cell r="Q333" t="str">
            <v>05|10</v>
          </cell>
        </row>
        <row r="334">
          <cell r="E334" t="str">
            <v>3. FIRE PROTECTION</v>
          </cell>
          <cell r="G334" t="str">
            <v>3. FIRE PROTECTION</v>
          </cell>
          <cell r="H334">
            <v>0</v>
          </cell>
          <cell r="I334">
            <v>0</v>
          </cell>
          <cell r="J334">
            <v>0</v>
          </cell>
          <cell r="K334">
            <v>0</v>
          </cell>
          <cell r="L334">
            <v>0</v>
          </cell>
          <cell r="O334">
            <v>0</v>
          </cell>
          <cell r="Q334" t="str">
            <v>05|11</v>
          </cell>
        </row>
        <row r="335">
          <cell r="E335" t="str">
            <v>3. FIRE PROTECTION</v>
          </cell>
          <cell r="G335" t="str">
            <v>Room</v>
          </cell>
          <cell r="H335" t="str">
            <v>Sprinkler</v>
          </cell>
          <cell r="I335" t="str">
            <v>Cage</v>
          </cell>
          <cell r="J335" t="str">
            <v>Detector</v>
          </cell>
          <cell r="K335" t="str">
            <v>Horn/Strobe</v>
          </cell>
          <cell r="L335" t="str">
            <v>Extinguisher &lt;75 ft</v>
          </cell>
          <cell r="O335" t="str">
            <v>Overall</v>
          </cell>
          <cell r="Q335" t="str">
            <v>05|12</v>
          </cell>
        </row>
        <row r="336">
          <cell r="E336" t="str">
            <v>3. FIRE PROTECTION</v>
          </cell>
          <cell r="G336" t="str">
            <v>150</v>
          </cell>
          <cell r="H336" t="str">
            <v>N/A</v>
          </cell>
          <cell r="I336" t="str">
            <v>N/A</v>
          </cell>
          <cell r="J336" t="str">
            <v>Verify</v>
          </cell>
          <cell r="K336" t="str">
            <v>Verify</v>
          </cell>
          <cell r="L336" t="str">
            <v>Verify</v>
          </cell>
          <cell r="O336" t="str">
            <v>Verify</v>
          </cell>
          <cell r="Q336" t="str">
            <v>05|13</v>
          </cell>
        </row>
        <row r="337">
          <cell r="E337" t="str">
            <v>3. FIRE PROTECTION</v>
          </cell>
          <cell r="G337" t="str">
            <v>153-A</v>
          </cell>
          <cell r="H337" t="str">
            <v>N/A</v>
          </cell>
          <cell r="I337" t="str">
            <v>N/A</v>
          </cell>
          <cell r="J337" t="str">
            <v>Verify</v>
          </cell>
          <cell r="K337" t="str">
            <v>Verify</v>
          </cell>
          <cell r="L337" t="str">
            <v>Verify</v>
          </cell>
          <cell r="O337" t="str">
            <v>Verify</v>
          </cell>
          <cell r="Q337" t="str">
            <v>05|14</v>
          </cell>
        </row>
        <row r="338">
          <cell r="E338" t="str">
            <v>3. FIRE PROTECTION</v>
          </cell>
          <cell r="G338">
            <v>0</v>
          </cell>
          <cell r="H338">
            <v>0</v>
          </cell>
          <cell r="I338">
            <v>0</v>
          </cell>
          <cell r="J338">
            <v>0</v>
          </cell>
          <cell r="K338">
            <v>0</v>
          </cell>
          <cell r="L338">
            <v>0</v>
          </cell>
          <cell r="O338">
            <v>0</v>
          </cell>
          <cell r="Q338" t="str">
            <v>05|15</v>
          </cell>
        </row>
        <row r="339">
          <cell r="E339" t="str">
            <v>4. HVAC / COOLING</v>
          </cell>
          <cell r="G339" t="str">
            <v>4. HVAC / COOLING</v>
          </cell>
          <cell r="H339">
            <v>0</v>
          </cell>
          <cell r="I339">
            <v>0</v>
          </cell>
          <cell r="J339">
            <v>0</v>
          </cell>
          <cell r="K339">
            <v>0</v>
          </cell>
          <cell r="L339">
            <v>0</v>
          </cell>
          <cell r="O339">
            <v>0</v>
          </cell>
          <cell r="Q339" t="str">
            <v>05|16</v>
          </cell>
        </row>
        <row r="340">
          <cell r="E340" t="str">
            <v>4. HVAC / COOLING</v>
          </cell>
          <cell r="G340" t="str">
            <v>Room</v>
          </cell>
          <cell r="H340" t="str">
            <v>Dedicated Unit</v>
          </cell>
          <cell r="I340" t="str">
            <v>Capacity Verified</v>
          </cell>
          <cell r="J340" t="str">
            <v>Emergency Power</v>
          </cell>
          <cell r="K340" t="str">
            <v>Controls / BACnet</v>
          </cell>
          <cell r="L340" t="str">
            <v>Condensate Routed</v>
          </cell>
          <cell r="O340" t="str">
            <v>Overall</v>
          </cell>
          <cell r="Q340" t="str">
            <v>05|17</v>
          </cell>
        </row>
        <row r="341">
          <cell r="E341" t="str">
            <v>4. HVAC / COOLING</v>
          </cell>
          <cell r="G341" t="str">
            <v>150</v>
          </cell>
          <cell r="H341" t="str">
            <v>N/A</v>
          </cell>
          <cell r="I341" t="str">
            <v>N/A</v>
          </cell>
          <cell r="J341" t="str">
            <v>N/A</v>
          </cell>
          <cell r="K341" t="str">
            <v>N/A</v>
          </cell>
          <cell r="L341" t="str">
            <v>N/A</v>
          </cell>
          <cell r="O341" t="str">
            <v>N/A</v>
          </cell>
          <cell r="Q341" t="str">
            <v>05|18</v>
          </cell>
        </row>
        <row r="342">
          <cell r="E342" t="str">
            <v>4. HVAC / COOLING</v>
          </cell>
          <cell r="G342" t="str">
            <v>153-A</v>
          </cell>
          <cell r="H342" t="str">
            <v>N/A</v>
          </cell>
          <cell r="I342" t="str">
            <v>N/A</v>
          </cell>
          <cell r="J342" t="str">
            <v>N/A</v>
          </cell>
          <cell r="K342" t="str">
            <v>N/A</v>
          </cell>
          <cell r="L342" t="str">
            <v>N/A</v>
          </cell>
          <cell r="O342" t="str">
            <v>N/A</v>
          </cell>
          <cell r="Q342" t="str">
            <v>05|19</v>
          </cell>
        </row>
        <row r="343">
          <cell r="E343" t="str">
            <v>4. HVAC / COOLING</v>
          </cell>
          <cell r="G343">
            <v>0</v>
          </cell>
          <cell r="H343">
            <v>0</v>
          </cell>
          <cell r="I343">
            <v>0</v>
          </cell>
          <cell r="J343">
            <v>0</v>
          </cell>
          <cell r="K343">
            <v>0</v>
          </cell>
          <cell r="L343">
            <v>0</v>
          </cell>
          <cell r="O343">
            <v>0</v>
          </cell>
          <cell r="Q343" t="str">
            <v>05|20</v>
          </cell>
        </row>
        <row r="344">
          <cell r="E344" t="str">
            <v>5. ELECTRICAL / UPS</v>
          </cell>
          <cell r="G344" t="str">
            <v>5. ELECTRICAL / UPS</v>
          </cell>
          <cell r="H344">
            <v>0</v>
          </cell>
          <cell r="I344">
            <v>0</v>
          </cell>
          <cell r="J344">
            <v>0</v>
          </cell>
          <cell r="K344">
            <v>0</v>
          </cell>
          <cell r="L344">
            <v>0</v>
          </cell>
          <cell r="O344">
            <v>0</v>
          </cell>
          <cell r="Q344" t="str">
            <v>05|21</v>
          </cell>
        </row>
        <row r="345">
          <cell r="E345" t="str">
            <v>5. ELECTRICAL / UPS</v>
          </cell>
          <cell r="G345" t="str">
            <v>Room</v>
          </cell>
          <cell r="H345" t="str">
            <v>UPS Installed</v>
          </cell>
          <cell r="I345" t="str">
            <v>UPS Size</v>
          </cell>
          <cell r="J345" t="str">
            <v>PDU Installed</v>
          </cell>
          <cell r="K345" t="str">
            <v>Rack Receptacles</v>
          </cell>
          <cell r="L345" t="str">
            <v>Panel Assigned</v>
          </cell>
          <cell r="O345" t="str">
            <v>Overall</v>
          </cell>
          <cell r="Q345" t="str">
            <v>05|22</v>
          </cell>
        </row>
        <row r="346">
          <cell r="E346" t="str">
            <v>5. ELECTRICAL / UPS</v>
          </cell>
          <cell r="G346" t="str">
            <v>150</v>
          </cell>
          <cell r="H346" t="str">
            <v>Verify</v>
          </cell>
          <cell r="I346" t="str">
            <v>APC UPS / TE scale</v>
          </cell>
          <cell r="J346" t="str">
            <v>Verify</v>
          </cell>
          <cell r="K346" t="str">
            <v>Verify</v>
          </cell>
          <cell r="L346" t="str">
            <v>Verify</v>
          </cell>
          <cell r="O346" t="str">
            <v>Verify</v>
          </cell>
          <cell r="Q346" t="str">
            <v>05|23</v>
          </cell>
        </row>
        <row r="347">
          <cell r="E347" t="str">
            <v>5. ELECTRICAL / UPS</v>
          </cell>
          <cell r="G347" t="str">
            <v>153-A</v>
          </cell>
          <cell r="H347" t="str">
            <v>Existing</v>
          </cell>
          <cell r="I347" t="str">
            <v>Existing floor UPS</v>
          </cell>
          <cell r="J347" t="str">
            <v>Existing</v>
          </cell>
          <cell r="K347" t="str">
            <v>Verify</v>
          </cell>
          <cell r="L347" t="str">
            <v>Verify</v>
          </cell>
          <cell r="O347" t="str">
            <v>Verify</v>
          </cell>
          <cell r="Q347" t="str">
            <v>05|24</v>
          </cell>
        </row>
        <row r="348">
          <cell r="E348" t="str">
            <v>5. ELECTRICAL / UPS</v>
          </cell>
          <cell r="G348">
            <v>0</v>
          </cell>
          <cell r="H348">
            <v>0</v>
          </cell>
          <cell r="I348">
            <v>0</v>
          </cell>
          <cell r="J348">
            <v>0</v>
          </cell>
          <cell r="K348">
            <v>0</v>
          </cell>
          <cell r="L348">
            <v>0</v>
          </cell>
          <cell r="O348">
            <v>0</v>
          </cell>
          <cell r="Q348" t="str">
            <v>05|25</v>
          </cell>
        </row>
        <row r="349">
          <cell r="E349" t="str">
            <v>6. TELECOMMUNICATIONS</v>
          </cell>
          <cell r="G349" t="str">
            <v>6. TELECOMMUNICATIONS</v>
          </cell>
          <cell r="H349">
            <v>0</v>
          </cell>
          <cell r="I349">
            <v>0</v>
          </cell>
          <cell r="J349">
            <v>0</v>
          </cell>
          <cell r="K349">
            <v>0</v>
          </cell>
          <cell r="L349">
            <v>0</v>
          </cell>
          <cell r="O349">
            <v>0</v>
          </cell>
          <cell r="Q349" t="str">
            <v>05|26</v>
          </cell>
        </row>
        <row r="350">
          <cell r="E350" t="str">
            <v>6. TELECOMMUNICATIONS</v>
          </cell>
          <cell r="G350" t="str">
            <v>Room</v>
          </cell>
          <cell r="H350" t="str">
            <v>Rack Installed</v>
          </cell>
          <cell r="I350" t="str">
            <v>Ladder Tray</v>
          </cell>
          <cell r="J350" t="str">
            <v>Fiber Installed</v>
          </cell>
          <cell r="K350" t="str">
            <v>Grounding</v>
          </cell>
          <cell r="L350" t="str">
            <v>Labeling</v>
          </cell>
          <cell r="O350" t="str">
            <v>Overall</v>
          </cell>
          <cell r="Q350" t="str">
            <v>05|27</v>
          </cell>
        </row>
        <row r="351">
          <cell r="E351" t="str">
            <v>6. TELECOMMUNICATIONS</v>
          </cell>
          <cell r="G351" t="str">
            <v>150</v>
          </cell>
          <cell r="H351" t="str">
            <v>Verify</v>
          </cell>
          <cell r="I351" t="str">
            <v>N/A / TE</v>
          </cell>
          <cell r="J351" t="str">
            <v>Verify</v>
          </cell>
          <cell r="K351" t="str">
            <v>Verify</v>
          </cell>
          <cell r="L351" t="str">
            <v>Verify</v>
          </cell>
          <cell r="O351" t="str">
            <v>Verify</v>
          </cell>
          <cell r="Q351" t="str">
            <v>05|28</v>
          </cell>
        </row>
        <row r="352">
          <cell r="E352" t="str">
            <v>6. TELECOMMUNICATIONS</v>
          </cell>
          <cell r="G352" t="str">
            <v>153-A</v>
          </cell>
          <cell r="H352" t="str">
            <v>Existing</v>
          </cell>
          <cell r="I352" t="str">
            <v>N/A / Wall TE</v>
          </cell>
          <cell r="J352" t="str">
            <v>Existing</v>
          </cell>
          <cell r="K352" t="str">
            <v>Verify</v>
          </cell>
          <cell r="L352" t="str">
            <v>Verify</v>
          </cell>
          <cell r="O352" t="str">
            <v>Verify</v>
          </cell>
          <cell r="Q352" t="str">
            <v>05|29</v>
          </cell>
        </row>
        <row r="353">
          <cell r="E353" t="str">
            <v>6. TELECOMMUNICATIONS</v>
          </cell>
          <cell r="G353">
            <v>0</v>
          </cell>
          <cell r="H353">
            <v>0</v>
          </cell>
          <cell r="I353">
            <v>0</v>
          </cell>
          <cell r="J353">
            <v>0</v>
          </cell>
          <cell r="K353">
            <v>0</v>
          </cell>
          <cell r="L353">
            <v>0</v>
          </cell>
          <cell r="O353">
            <v>0</v>
          </cell>
          <cell r="Q353" t="str">
            <v>05|30</v>
          </cell>
        </row>
        <row r="354">
          <cell r="E354" t="str">
            <v>7. SECURITY / PACS / CCTV</v>
          </cell>
          <cell r="G354" t="str">
            <v>7. SECURITY / PACS / CCTV</v>
          </cell>
          <cell r="H354">
            <v>0</v>
          </cell>
          <cell r="I354">
            <v>0</v>
          </cell>
          <cell r="J354">
            <v>0</v>
          </cell>
          <cell r="K354">
            <v>0</v>
          </cell>
          <cell r="L354">
            <v>0</v>
          </cell>
          <cell r="O354">
            <v>0</v>
          </cell>
          <cell r="Q354" t="str">
            <v>05|31</v>
          </cell>
        </row>
        <row r="355">
          <cell r="E355" t="str">
            <v>7. SECURITY / PACS / CCTV</v>
          </cell>
          <cell r="G355" t="str">
            <v>Room</v>
          </cell>
          <cell r="H355" t="str">
            <v>PACS</v>
          </cell>
          <cell r="I355" t="str">
            <v>Card Reader</v>
          </cell>
          <cell r="J355" t="str">
            <v>Door Position</v>
          </cell>
          <cell r="K355" t="str">
            <v>Electric Strike</v>
          </cell>
          <cell r="L355" t="str">
            <v>CCTV</v>
          </cell>
          <cell r="O355" t="str">
            <v>Overall</v>
          </cell>
          <cell r="Q355" t="str">
            <v>05|32</v>
          </cell>
        </row>
        <row r="356">
          <cell r="E356" t="str">
            <v>7. SECURITY / PACS / CCTV</v>
          </cell>
          <cell r="G356" t="str">
            <v>150</v>
          </cell>
          <cell r="H356" t="str">
            <v>Verify</v>
          </cell>
          <cell r="I356" t="str">
            <v>Verify</v>
          </cell>
          <cell r="J356" t="str">
            <v>Verify</v>
          </cell>
          <cell r="K356" t="str">
            <v>Verify</v>
          </cell>
          <cell r="L356" t="str">
            <v>Verify</v>
          </cell>
          <cell r="O356" t="str">
            <v>Verify</v>
          </cell>
          <cell r="Q356" t="str">
            <v>05|33</v>
          </cell>
        </row>
        <row r="357">
          <cell r="E357" t="str">
            <v>7. SECURITY / PACS / CCTV</v>
          </cell>
          <cell r="G357" t="str">
            <v>153-A</v>
          </cell>
          <cell r="H357" t="str">
            <v>Verify</v>
          </cell>
          <cell r="I357" t="str">
            <v>Verify</v>
          </cell>
          <cell r="J357" t="str">
            <v>Verify</v>
          </cell>
          <cell r="K357" t="str">
            <v>Verify</v>
          </cell>
          <cell r="L357" t="str">
            <v>Verify</v>
          </cell>
          <cell r="O357" t="str">
            <v>Verify</v>
          </cell>
          <cell r="Q357" t="str">
            <v>05|34</v>
          </cell>
        </row>
        <row r="358">
          <cell r="E358" t="str">
            <v>7. SECURITY / PACS / CCTV</v>
          </cell>
          <cell r="G358">
            <v>0</v>
          </cell>
          <cell r="H358">
            <v>0</v>
          </cell>
          <cell r="I358">
            <v>0</v>
          </cell>
          <cell r="J358">
            <v>0</v>
          </cell>
          <cell r="K358">
            <v>0</v>
          </cell>
          <cell r="L358">
            <v>0</v>
          </cell>
          <cell r="O358">
            <v>0</v>
          </cell>
          <cell r="Q358" t="str">
            <v>05|35</v>
          </cell>
        </row>
        <row r="359">
          <cell r="E359" t="str">
            <v>8. OWNER RISKS</v>
          </cell>
          <cell r="G359" t="str">
            <v>8. OWNER RISKS</v>
          </cell>
          <cell r="H359">
            <v>0</v>
          </cell>
          <cell r="I359">
            <v>0</v>
          </cell>
          <cell r="J359">
            <v>0</v>
          </cell>
          <cell r="K359">
            <v>0</v>
          </cell>
          <cell r="L359">
            <v>0</v>
          </cell>
          <cell r="O359">
            <v>0</v>
          </cell>
          <cell r="Q359" t="str">
            <v>05|36</v>
          </cell>
        </row>
        <row r="360">
          <cell r="E360" t="str">
            <v>8. OWNER RISKS</v>
          </cell>
          <cell r="G360" t="str">
            <v>Risk ID</v>
          </cell>
          <cell r="H360" t="str">
            <v>Room</v>
          </cell>
          <cell r="I360" t="str">
            <v>Risk</v>
          </cell>
          <cell r="J360" t="str">
            <v>Impact</v>
          </cell>
          <cell r="K360" t="str">
            <v>Probability</v>
          </cell>
          <cell r="L360" t="str">
            <v>Score</v>
          </cell>
          <cell r="O360" t="str">
            <v>Status</v>
          </cell>
          <cell r="Q360" t="str">
            <v>05|37</v>
          </cell>
        </row>
        <row r="361">
          <cell r="E361" t="str">
            <v>8. OWNER RISKS</v>
          </cell>
          <cell r="G361" t="str">
            <v>B05-R1</v>
          </cell>
          <cell r="H361" t="str">
            <v>150</v>
          </cell>
          <cell r="I361" t="str">
            <v>Telecom Enclosure installation details not field verified</v>
          </cell>
          <cell r="J361" t="str">
            <v>High</v>
          </cell>
          <cell r="K361" t="str">
            <v>Medium</v>
          </cell>
          <cell r="L361">
            <v>6</v>
          </cell>
          <cell r="O361" t="str">
            <v>Open</v>
          </cell>
          <cell r="Q361" t="str">
            <v>05|38</v>
          </cell>
        </row>
        <row r="362">
          <cell r="E362" t="str">
            <v>8. OWNER RISKS</v>
          </cell>
          <cell r="G362" t="str">
            <v>B05-R2</v>
          </cell>
          <cell r="H362" t="str">
            <v>153-A</v>
          </cell>
          <cell r="I362" t="str">
            <v>Existing legacy equipment/cabling may remain active during cutover</v>
          </cell>
          <cell r="J362" t="str">
            <v>Critical</v>
          </cell>
          <cell r="K362" t="str">
            <v>Medium</v>
          </cell>
          <cell r="L362">
            <v>8</v>
          </cell>
          <cell r="O362" t="str">
            <v>Open</v>
          </cell>
          <cell r="Q362" t="str">
            <v>05|39</v>
          </cell>
        </row>
        <row r="363">
          <cell r="E363" t="str">
            <v>8. OWNER RISKS</v>
          </cell>
          <cell r="G363" t="str">
            <v>B05-R3</v>
          </cell>
          <cell r="H363" t="str">
            <v>All</v>
          </cell>
          <cell r="I363" t="str">
            <v>Mechanical/fire protection scope excluded may hide interface risks</v>
          </cell>
          <cell r="J363" t="str">
            <v>Medium</v>
          </cell>
          <cell r="K363" t="str">
            <v>Medium</v>
          </cell>
          <cell r="L363">
            <v>4</v>
          </cell>
          <cell r="O363" t="str">
            <v>Open</v>
          </cell>
          <cell r="Q363" t="str">
            <v>05|40</v>
          </cell>
        </row>
        <row r="364">
          <cell r="E364" t="str">
            <v>8. OWNER RISKS</v>
          </cell>
          <cell r="G364" t="str">
            <v>B05-R4</v>
          </cell>
          <cell r="H364" t="str">
            <v>150</v>
          </cell>
          <cell r="I364" t="str">
            <v>Electrical panel/circuit source for TE equipment not confirmed</v>
          </cell>
          <cell r="J364" t="str">
            <v>High</v>
          </cell>
          <cell r="K364" t="str">
            <v>Medium</v>
          </cell>
          <cell r="L364">
            <v>6</v>
          </cell>
          <cell r="O364" t="str">
            <v>Open</v>
          </cell>
          <cell r="Q364" t="str">
            <v>05|41</v>
          </cell>
        </row>
        <row r="365">
          <cell r="E365" t="str">
            <v>8. OWNER RISKS</v>
          </cell>
          <cell r="G365" t="str">
            <v>B05-R5</v>
          </cell>
          <cell r="H365" t="str">
            <v>All</v>
          </cell>
          <cell r="I365" t="str">
            <v>Firestopping/penetration sealing still required despite fire protection scope exclusion</v>
          </cell>
          <cell r="J365" t="str">
            <v>High</v>
          </cell>
          <cell r="K365" t="str">
            <v>Medium</v>
          </cell>
          <cell r="L365">
            <v>6</v>
          </cell>
          <cell r="O365" t="str">
            <v>Open</v>
          </cell>
          <cell r="Q365" t="str">
            <v>05|42</v>
          </cell>
        </row>
        <row r="366">
          <cell r="E366" t="str">
            <v>8. OWNER RISKS</v>
          </cell>
          <cell r="G366" t="str">
            <v>B05-R6</v>
          </cell>
          <cell r="H366" t="str">
            <v>All</v>
          </cell>
          <cell r="I366" t="str">
            <v>Commissioning / acceptance documentation may be treated as minor due to TE scope</v>
          </cell>
          <cell r="J366" t="str">
            <v>Medium</v>
          </cell>
          <cell r="K366" t="str">
            <v>Medium</v>
          </cell>
          <cell r="L366">
            <v>4</v>
          </cell>
          <cell r="O366" t="str">
            <v>Open</v>
          </cell>
          <cell r="Q366" t="str">
            <v>05|43</v>
          </cell>
        </row>
        <row r="367">
          <cell r="E367" t="str">
            <v>8. OWNER RISKS</v>
          </cell>
          <cell r="G367">
            <v>0</v>
          </cell>
          <cell r="H367">
            <v>0</v>
          </cell>
          <cell r="I367">
            <v>0</v>
          </cell>
          <cell r="J367">
            <v>0</v>
          </cell>
          <cell r="K367">
            <v>0</v>
          </cell>
          <cell r="L367">
            <v>0</v>
          </cell>
          <cell r="O367">
            <v>0</v>
          </cell>
          <cell r="Q367" t="str">
            <v>05|44</v>
          </cell>
        </row>
        <row r="368">
          <cell r="E368" t="str">
            <v>9. OPEN QUESTIONS</v>
          </cell>
          <cell r="G368" t="str">
            <v>9. OPEN QUESTIONS</v>
          </cell>
          <cell r="H368">
            <v>0</v>
          </cell>
          <cell r="I368">
            <v>0</v>
          </cell>
          <cell r="J368">
            <v>0</v>
          </cell>
          <cell r="K368">
            <v>0</v>
          </cell>
          <cell r="L368">
            <v>0</v>
          </cell>
          <cell r="O368">
            <v>0</v>
          </cell>
          <cell r="Q368" t="str">
            <v>05|45</v>
          </cell>
        </row>
        <row r="369">
          <cell r="E369" t="str">
            <v>9. OPEN QUESTIONS</v>
          </cell>
          <cell r="G369" t="str">
            <v>Question ID</v>
          </cell>
          <cell r="H369" t="str">
            <v>Question</v>
          </cell>
          <cell r="I369" t="str">
            <v>Assigned To</v>
          </cell>
          <cell r="J369" t="str">
            <v>Status</v>
          </cell>
          <cell r="K369" t="str">
            <v>Needed By</v>
          </cell>
          <cell r="L369" t="str">
            <v>Answer / Resolution</v>
          </cell>
          <cell r="O369" t="str">
            <v>Date Closed</v>
          </cell>
          <cell r="Q369" t="str">
            <v>05|46</v>
          </cell>
        </row>
        <row r="370">
          <cell r="E370" t="str">
            <v>9. OPEN QUESTIONS</v>
          </cell>
          <cell r="G370" t="str">
            <v>B05-Q1</v>
          </cell>
          <cell r="H370" t="str">
            <v>Confirm final TE room/location: Room 150 new TE and Room 153-A existing TE transition point?</v>
          </cell>
          <cell r="I370" t="str">
            <v>VA / OIT / Designer</v>
          </cell>
          <cell r="J370" t="str">
            <v>Open</v>
          </cell>
          <cell r="K370">
            <v>0</v>
          </cell>
          <cell r="L370">
            <v>0</v>
          </cell>
          <cell r="O370">
            <v>0</v>
          </cell>
          <cell r="Q370" t="str">
            <v>05|47</v>
          </cell>
        </row>
        <row r="371">
          <cell r="E371" t="str">
            <v>9. OPEN QUESTIONS</v>
          </cell>
          <cell r="G371" t="str">
            <v>B05-Q2</v>
          </cell>
          <cell r="H371" t="str">
            <v>What active services are currently fed from the existing 153-A TE/legacy patch panels?</v>
          </cell>
          <cell r="I371" t="str">
            <v>OIT / Contractor</v>
          </cell>
          <cell r="J371" t="str">
            <v>Open</v>
          </cell>
          <cell r="K371">
            <v>0</v>
          </cell>
          <cell r="L371">
            <v>0</v>
          </cell>
          <cell r="O371">
            <v>0</v>
          </cell>
          <cell r="Q371" t="str">
            <v>05|48</v>
          </cell>
        </row>
        <row r="372">
          <cell r="E372" t="str">
            <v>9. OPEN QUESTIONS</v>
          </cell>
          <cell r="G372" t="str">
            <v>B05-Q3</v>
          </cell>
          <cell r="H372" t="str">
            <v>What is the approved cutover sequence from existing 153-A equipment to new Room 150 TE?</v>
          </cell>
          <cell r="I372" t="str">
            <v>OIT / Contractor</v>
          </cell>
          <cell r="J372" t="str">
            <v>Open</v>
          </cell>
          <cell r="K372">
            <v>0</v>
          </cell>
          <cell r="L372">
            <v>0</v>
          </cell>
          <cell r="O372">
            <v>0</v>
          </cell>
          <cell r="Q372" t="str">
            <v>05|49</v>
          </cell>
        </row>
        <row r="373">
          <cell r="E373" t="str">
            <v>9. OPEN QUESTIONS</v>
          </cell>
          <cell r="G373" t="str">
            <v>B05-Q4</v>
          </cell>
          <cell r="H373" t="str">
            <v>Which electrical panel/circuit serves the Room 150 UPS/PDU outlets?</v>
          </cell>
          <cell r="I373" t="str">
            <v>Electrical / Designer</v>
          </cell>
          <cell r="J373" t="str">
            <v>Open</v>
          </cell>
          <cell r="K373">
            <v>0</v>
          </cell>
          <cell r="L373">
            <v>0</v>
          </cell>
          <cell r="O373">
            <v>0</v>
          </cell>
          <cell r="Q373" t="str">
            <v>05|50</v>
          </cell>
        </row>
        <row r="374">
          <cell r="E374" t="str">
            <v>9. OPEN QUESTIONS</v>
          </cell>
          <cell r="G374" t="str">
            <v>B05-Q5</v>
          </cell>
          <cell r="H374" t="str">
            <v>Is emergency/backup power required or provided for the TE UPS/PDU source?</v>
          </cell>
          <cell r="I374" t="str">
            <v>VA / Electrical</v>
          </cell>
          <cell r="J374" t="str">
            <v>Open</v>
          </cell>
          <cell r="K374">
            <v>0</v>
          </cell>
          <cell r="L374">
            <v>0</v>
          </cell>
          <cell r="O374">
            <v>0</v>
          </cell>
          <cell r="Q374" t="str">
            <v>05|51</v>
          </cell>
        </row>
        <row r="375">
          <cell r="E375" t="str">
            <v>9. OPEN QUESTIONS</v>
          </cell>
          <cell r="G375" t="str">
            <v>B05-Q6</v>
          </cell>
          <cell r="H375" t="str">
            <v>Are firestopping locations and surface raceway/conduit routes shown and coordinated?</v>
          </cell>
          <cell r="I375" t="str">
            <v>GC / Designer</v>
          </cell>
          <cell r="J375" t="str">
            <v>Open</v>
          </cell>
          <cell r="K375">
            <v>0</v>
          </cell>
          <cell r="L375">
            <v>0</v>
          </cell>
          <cell r="O375">
            <v>0</v>
          </cell>
          <cell r="Q375" t="str">
            <v>05|52</v>
          </cell>
        </row>
        <row r="376">
          <cell r="E376" t="str">
            <v>9. OPEN QUESTIONS</v>
          </cell>
          <cell r="G376" t="str">
            <v>B05-Q7</v>
          </cell>
          <cell r="H376" t="str">
            <v>Does Room 150 or existing Room 153-A require PACS/CCTV modifications, or is existing security adequate?</v>
          </cell>
          <cell r="I376" t="str">
            <v>Security / VA</v>
          </cell>
          <cell r="J376" t="str">
            <v>Open</v>
          </cell>
          <cell r="K376">
            <v>0</v>
          </cell>
          <cell r="L376">
            <v>0</v>
          </cell>
          <cell r="O376">
            <v>0</v>
          </cell>
          <cell r="Q376" t="str">
            <v>05|53</v>
          </cell>
        </row>
        <row r="377">
          <cell r="E377" t="str">
            <v>9. OPEN QUESTIONS</v>
          </cell>
          <cell r="G377">
            <v>0</v>
          </cell>
          <cell r="H377">
            <v>0</v>
          </cell>
          <cell r="I377">
            <v>0</v>
          </cell>
          <cell r="J377">
            <v>0</v>
          </cell>
          <cell r="K377">
            <v>0</v>
          </cell>
          <cell r="L377">
            <v>0</v>
          </cell>
          <cell r="O377">
            <v>0</v>
          </cell>
          <cell r="Q377" t="str">
            <v>05|54</v>
          </cell>
        </row>
        <row r="378">
          <cell r="E378" t="str">
            <v>10. PHOTO LOG</v>
          </cell>
          <cell r="G378" t="str">
            <v>10. PHOTO LOG</v>
          </cell>
          <cell r="H378">
            <v>0</v>
          </cell>
          <cell r="I378">
            <v>0</v>
          </cell>
          <cell r="J378">
            <v>0</v>
          </cell>
          <cell r="K378">
            <v>0</v>
          </cell>
          <cell r="L378">
            <v>0</v>
          </cell>
          <cell r="O378">
            <v>0</v>
          </cell>
          <cell r="Q378" t="str">
            <v>05|55</v>
          </cell>
        </row>
        <row r="379">
          <cell r="E379" t="str">
            <v>10. PHOTO LOG</v>
          </cell>
          <cell r="G379" t="str">
            <v>Photo ID</v>
          </cell>
          <cell r="H379" t="str">
            <v>Room</v>
          </cell>
          <cell r="I379" t="str">
            <v>Category</v>
          </cell>
          <cell r="J379" t="str">
            <v>Description</v>
          </cell>
          <cell r="K379" t="str">
            <v>Date</v>
          </cell>
          <cell r="L379" t="str">
            <v>Taken By</v>
          </cell>
          <cell r="O379" t="str">
            <v>Status</v>
          </cell>
          <cell r="Q379" t="str">
            <v>05|56</v>
          </cell>
        </row>
        <row r="380">
          <cell r="E380" t="str">
            <v>10. PHOTO LOG</v>
          </cell>
          <cell r="G380" t="str">
            <v>B05-P001</v>
          </cell>
          <cell r="H380" t="str">
            <v>150</v>
          </cell>
          <cell r="I380" t="str">
            <v>Existing Condition</v>
          </cell>
          <cell r="J380" t="str">
            <v>Room 150 wall/TE location, mounting surface, clearances, power, pathway</v>
          </cell>
          <cell r="K380">
            <v>0</v>
          </cell>
          <cell r="L380" t="str">
            <v>Paul</v>
          </cell>
          <cell r="O380" t="str">
            <v>Open</v>
          </cell>
          <cell r="Q380" t="str">
            <v>05|57</v>
          </cell>
        </row>
        <row r="381">
          <cell r="E381" t="str">
            <v>10. PHOTO LOG</v>
          </cell>
          <cell r="G381" t="str">
            <v>B05-P002</v>
          </cell>
          <cell r="H381" t="str">
            <v>153-A</v>
          </cell>
          <cell r="I381" t="str">
            <v>Existing Condition</v>
          </cell>
          <cell r="J381" t="str">
            <v>Existing wall/wall-mount TE, Cisco switches, legacy patch panels, floor UPS</v>
          </cell>
          <cell r="K381">
            <v>0</v>
          </cell>
          <cell r="L381" t="str">
            <v>Paul</v>
          </cell>
          <cell r="O381" t="str">
            <v>Open</v>
          </cell>
          <cell r="Q381" t="str">
            <v>05|58</v>
          </cell>
        </row>
        <row r="382">
          <cell r="E382" t="str">
            <v>10. PHOTO LOG</v>
          </cell>
          <cell r="G382" t="str">
            <v>B05-P003</v>
          </cell>
          <cell r="H382" t="str">
            <v>All</v>
          </cell>
          <cell r="I382" t="str">
            <v>Firestop</v>
          </cell>
          <cell r="J382" t="str">
            <v>All new/reused penetrations and surface raceway/conduit routes</v>
          </cell>
          <cell r="K382">
            <v>0</v>
          </cell>
          <cell r="L382" t="str">
            <v>Paul</v>
          </cell>
          <cell r="O382" t="str">
            <v>Open</v>
          </cell>
          <cell r="Q382" t="str">
            <v>05|59</v>
          </cell>
        </row>
        <row r="383">
          <cell r="E383" t="str">
            <v>10. PHOTO LOG</v>
          </cell>
          <cell r="G383" t="str">
            <v>B05-P004</v>
          </cell>
          <cell r="H383" t="str">
            <v>150</v>
          </cell>
          <cell r="I383" t="str">
            <v>Electrical</v>
          </cell>
          <cell r="J383" t="str">
            <v>UPS/PDU outlet, circuit label, panel source, grounding/bonding</v>
          </cell>
          <cell r="K383">
            <v>0</v>
          </cell>
          <cell r="L383" t="str">
            <v>Paul</v>
          </cell>
          <cell r="O383" t="str">
            <v>Open</v>
          </cell>
          <cell r="Q383" t="str">
            <v>05|60</v>
          </cell>
        </row>
        <row r="384">
          <cell r="E384" t="str">
            <v>10. PHOTO LOG</v>
          </cell>
          <cell r="G384" t="str">
            <v>B05-P005</v>
          </cell>
          <cell r="H384" t="str">
            <v>All</v>
          </cell>
          <cell r="I384" t="str">
            <v>Telecom</v>
          </cell>
          <cell r="J384" t="str">
            <v>TE, patch panels, Fiber LIU, labels, testing records, as-built conditions</v>
          </cell>
          <cell r="K384">
            <v>0</v>
          </cell>
          <cell r="L384" t="str">
            <v>Paul</v>
          </cell>
          <cell r="O384" t="str">
            <v>Open</v>
          </cell>
          <cell r="Q384" t="str">
            <v>05|61</v>
          </cell>
        </row>
        <row r="385">
          <cell r="E385" t="str">
            <v>10. PHOTO LOG</v>
          </cell>
          <cell r="G385" t="str">
            <v>B05-P006</v>
          </cell>
          <cell r="H385" t="str">
            <v>All</v>
          </cell>
          <cell r="I385" t="str">
            <v>Security</v>
          </cell>
          <cell r="J385" t="str">
            <v>Door/security/CCTV/PACS conditions at TE location</v>
          </cell>
          <cell r="K385">
            <v>0</v>
          </cell>
          <cell r="L385" t="str">
            <v>Paul</v>
          </cell>
          <cell r="O385" t="str">
            <v>Open</v>
          </cell>
          <cell r="Q385" t="str">
            <v>05|62</v>
          </cell>
        </row>
        <row r="386">
          <cell r="E386" t="str">
            <v>10. PHOTO LOG</v>
          </cell>
          <cell r="G386">
            <v>0</v>
          </cell>
          <cell r="H386">
            <v>0</v>
          </cell>
          <cell r="I386">
            <v>0</v>
          </cell>
          <cell r="J386">
            <v>0</v>
          </cell>
          <cell r="K386">
            <v>0</v>
          </cell>
          <cell r="L386">
            <v>0</v>
          </cell>
          <cell r="O386">
            <v>0</v>
          </cell>
          <cell r="Q386" t="str">
            <v>05|63</v>
          </cell>
        </row>
        <row r="387">
          <cell r="E387" t="str">
            <v>1. ROOM INVENTORY</v>
          </cell>
          <cell r="G387" t="str">
            <v>1. ROOM INVENTORY</v>
          </cell>
          <cell r="H387">
            <v>0</v>
          </cell>
          <cell r="I387">
            <v>0</v>
          </cell>
          <cell r="J387">
            <v>0</v>
          </cell>
          <cell r="K387">
            <v>0</v>
          </cell>
          <cell r="L387">
            <v>0</v>
          </cell>
          <cell r="O387">
            <v>0</v>
          </cell>
          <cell r="Q387" t="str">
            <v>06|1</v>
          </cell>
        </row>
        <row r="388">
          <cell r="E388" t="str">
            <v>1. ROOM INVENTORY</v>
          </cell>
          <cell r="G388" t="str">
            <v>Building</v>
          </cell>
          <cell r="H388" t="str">
            <v>Room</v>
          </cell>
          <cell r="I388" t="str">
            <v>Floor</v>
          </cell>
          <cell r="J388" t="str">
            <v>Existing Use</v>
          </cell>
          <cell r="K388" t="str">
            <v>New Use</v>
          </cell>
          <cell r="L388" t="str">
            <v>Rack Count</v>
          </cell>
          <cell r="O388" t="str">
            <v>Drawing Ref</v>
          </cell>
          <cell r="Q388" t="str">
            <v>06|2</v>
          </cell>
        </row>
        <row r="389">
          <cell r="E389" t="str">
            <v>1. ROOM INVENTORY</v>
          </cell>
          <cell r="G389" t="str">
            <v>06</v>
          </cell>
          <cell r="H389" t="str">
            <v>B-01</v>
          </cell>
          <cell r="I389" t="str">
            <v>Basement</v>
          </cell>
          <cell r="J389" t="str">
            <v>Existing wall/wall-mount TE and floor UPS</v>
          </cell>
          <cell r="K389" t="str">
            <v>Existing equipment / transition point</v>
          </cell>
          <cell r="L389">
            <v>1</v>
          </cell>
          <cell r="O389" t="str">
            <v>06T-604</v>
          </cell>
          <cell r="Q389" t="str">
            <v>06|3</v>
          </cell>
        </row>
        <row r="390">
          <cell r="E390" t="str">
            <v>1. ROOM INVENTORY</v>
          </cell>
          <cell r="G390" t="str">
            <v>06</v>
          </cell>
          <cell r="H390" t="str">
            <v>178</v>
          </cell>
          <cell r="I390" t="str">
            <v>First</v>
          </cell>
          <cell r="J390" t="str">
            <v>Existing telecom room / group therapy area adjacent</v>
          </cell>
          <cell r="K390" t="str">
            <v>Telecom Room</v>
          </cell>
          <cell r="L390">
            <v>2</v>
          </cell>
          <cell r="O390" t="str">
            <v>06A-401 / 06E-401 / 06T-604 / 06E-701</v>
          </cell>
          <cell r="Q390" t="str">
            <v>06|4</v>
          </cell>
        </row>
        <row r="391">
          <cell r="E391" t="str">
            <v>1. ROOM INVENTORY</v>
          </cell>
          <cell r="G391" t="str">
            <v>06</v>
          </cell>
          <cell r="H391" t="str">
            <v>233</v>
          </cell>
          <cell r="I391" t="str">
            <v>Second</v>
          </cell>
          <cell r="J391" t="str">
            <v>Data closet / patient toilet area conversion</v>
          </cell>
          <cell r="K391" t="str">
            <v>Telecom Room</v>
          </cell>
          <cell r="L391">
            <v>1</v>
          </cell>
          <cell r="O391" t="str">
            <v>06A-402 / 06E-401 / 06T-604 / 06E-701</v>
          </cell>
          <cell r="Q391" t="str">
            <v>06|5</v>
          </cell>
        </row>
        <row r="392">
          <cell r="E392" t="str">
            <v>1. ROOM INVENTORY</v>
          </cell>
          <cell r="G392">
            <v>0</v>
          </cell>
          <cell r="H392">
            <v>0</v>
          </cell>
          <cell r="I392">
            <v>0</v>
          </cell>
          <cell r="J392">
            <v>0</v>
          </cell>
          <cell r="K392">
            <v>0</v>
          </cell>
          <cell r="L392">
            <v>0</v>
          </cell>
          <cell r="O392">
            <v>0</v>
          </cell>
          <cell r="Q392" t="str">
            <v>06|6</v>
          </cell>
        </row>
        <row r="393">
          <cell r="E393" t="str">
            <v>2. ROOM READINESS</v>
          </cell>
          <cell r="G393" t="str">
            <v>2. ROOM READINESS</v>
          </cell>
          <cell r="H393">
            <v>0</v>
          </cell>
          <cell r="I393">
            <v>0</v>
          </cell>
          <cell r="J393">
            <v>0</v>
          </cell>
          <cell r="K393">
            <v>0</v>
          </cell>
          <cell r="L393">
            <v>0</v>
          </cell>
          <cell r="O393">
            <v>0</v>
          </cell>
          <cell r="Q393" t="str">
            <v>06|7</v>
          </cell>
        </row>
        <row r="394">
          <cell r="E394" t="str">
            <v>2. ROOM READINESS</v>
          </cell>
          <cell r="G394" t="str">
            <v>Room</v>
          </cell>
          <cell r="H394" t="str">
            <v>Walls / 1-hr Rating</v>
          </cell>
          <cell r="I394" t="str">
            <v>Ceiling</v>
          </cell>
          <cell r="J394" t="str">
            <v>Floor / SDC</v>
          </cell>
          <cell r="K394" t="str">
            <v>Penetrations</v>
          </cell>
          <cell r="L394" t="str">
            <v>Access Control</v>
          </cell>
          <cell r="O394" t="str">
            <v>Overall</v>
          </cell>
          <cell r="Q394" t="str">
            <v>06|8</v>
          </cell>
        </row>
        <row r="395">
          <cell r="E395" t="str">
            <v>2. ROOM READINESS</v>
          </cell>
          <cell r="G395" t="str">
            <v>B-01</v>
          </cell>
          <cell r="H395" t="str">
            <v>Verify</v>
          </cell>
          <cell r="I395" t="str">
            <v>Verify</v>
          </cell>
          <cell r="J395" t="str">
            <v>Verify</v>
          </cell>
          <cell r="K395" t="str">
            <v>Verify</v>
          </cell>
          <cell r="L395" t="str">
            <v>Verify</v>
          </cell>
          <cell r="O395" t="str">
            <v>Verify</v>
          </cell>
          <cell r="Q395" t="str">
            <v>06|9</v>
          </cell>
        </row>
        <row r="396">
          <cell r="E396" t="str">
            <v>2. ROOM READINESS</v>
          </cell>
          <cell r="G396" t="str">
            <v>178</v>
          </cell>
          <cell r="H396" t="str">
            <v>Verify</v>
          </cell>
          <cell r="I396" t="str">
            <v>Verify</v>
          </cell>
          <cell r="J396" t="str">
            <v>Verify</v>
          </cell>
          <cell r="K396" t="str">
            <v>Verify</v>
          </cell>
          <cell r="L396" t="str">
            <v>Verify</v>
          </cell>
          <cell r="O396" t="str">
            <v>Verify</v>
          </cell>
          <cell r="Q396" t="str">
            <v>06|10</v>
          </cell>
        </row>
        <row r="397">
          <cell r="E397" t="str">
            <v>2. ROOM READINESS</v>
          </cell>
          <cell r="G397" t="str">
            <v>233</v>
          </cell>
          <cell r="H397" t="str">
            <v>Verify</v>
          </cell>
          <cell r="I397" t="str">
            <v>Verify</v>
          </cell>
          <cell r="J397" t="str">
            <v>Verify</v>
          </cell>
          <cell r="K397" t="str">
            <v>Verify</v>
          </cell>
          <cell r="L397" t="str">
            <v>Verify</v>
          </cell>
          <cell r="O397" t="str">
            <v>Verify</v>
          </cell>
          <cell r="Q397" t="str">
            <v>06|11</v>
          </cell>
        </row>
        <row r="398">
          <cell r="E398" t="str">
            <v>2. ROOM READINESS</v>
          </cell>
          <cell r="G398">
            <v>0</v>
          </cell>
          <cell r="H398">
            <v>0</v>
          </cell>
          <cell r="I398">
            <v>0</v>
          </cell>
          <cell r="J398">
            <v>0</v>
          </cell>
          <cell r="K398">
            <v>0</v>
          </cell>
          <cell r="L398">
            <v>0</v>
          </cell>
          <cell r="O398">
            <v>0</v>
          </cell>
          <cell r="Q398" t="str">
            <v>06|12</v>
          </cell>
        </row>
        <row r="399">
          <cell r="E399" t="str">
            <v>3. FIRE PROTECTION</v>
          </cell>
          <cell r="G399" t="str">
            <v>3. FIRE PROTECTION</v>
          </cell>
          <cell r="H399">
            <v>0</v>
          </cell>
          <cell r="I399">
            <v>0</v>
          </cell>
          <cell r="J399">
            <v>0</v>
          </cell>
          <cell r="K399">
            <v>0</v>
          </cell>
          <cell r="L399">
            <v>0</v>
          </cell>
          <cell r="O399">
            <v>0</v>
          </cell>
          <cell r="Q399" t="str">
            <v>06|13</v>
          </cell>
        </row>
        <row r="400">
          <cell r="E400" t="str">
            <v>3. FIRE PROTECTION</v>
          </cell>
          <cell r="G400" t="str">
            <v>Room</v>
          </cell>
          <cell r="H400" t="str">
            <v>Sprinkler</v>
          </cell>
          <cell r="I400" t="str">
            <v>Cage</v>
          </cell>
          <cell r="J400" t="str">
            <v>Detector</v>
          </cell>
          <cell r="K400" t="str">
            <v>Horn/Strobe</v>
          </cell>
          <cell r="L400" t="str">
            <v>Extinguisher &lt;75 ft</v>
          </cell>
          <cell r="O400" t="str">
            <v>Overall</v>
          </cell>
          <cell r="Q400" t="str">
            <v>06|14</v>
          </cell>
        </row>
        <row r="401">
          <cell r="E401" t="str">
            <v>3. FIRE PROTECTION</v>
          </cell>
          <cell r="G401" t="str">
            <v>B-01</v>
          </cell>
          <cell r="H401" t="str">
            <v>Verify</v>
          </cell>
          <cell r="I401" t="str">
            <v>N/A</v>
          </cell>
          <cell r="J401" t="str">
            <v>Verify</v>
          </cell>
          <cell r="K401" t="str">
            <v>Verify</v>
          </cell>
          <cell r="L401" t="str">
            <v>Verify</v>
          </cell>
          <cell r="O401" t="str">
            <v>Verify</v>
          </cell>
          <cell r="Q401" t="str">
            <v>06|15</v>
          </cell>
        </row>
        <row r="402">
          <cell r="E402" t="str">
            <v>3. FIRE PROTECTION</v>
          </cell>
          <cell r="G402" t="str">
            <v>178</v>
          </cell>
          <cell r="H402" t="str">
            <v>Verify</v>
          </cell>
          <cell r="I402" t="str">
            <v>Verify</v>
          </cell>
          <cell r="J402" t="str">
            <v>Verify</v>
          </cell>
          <cell r="K402" t="str">
            <v>Verify</v>
          </cell>
          <cell r="L402" t="str">
            <v>Verify</v>
          </cell>
          <cell r="O402" t="str">
            <v>Verify</v>
          </cell>
          <cell r="Q402" t="str">
            <v>06|16</v>
          </cell>
        </row>
        <row r="403">
          <cell r="E403" t="str">
            <v>3. FIRE PROTECTION</v>
          </cell>
          <cell r="G403" t="str">
            <v>233</v>
          </cell>
          <cell r="H403" t="str">
            <v>Verify</v>
          </cell>
          <cell r="I403" t="str">
            <v>Verify</v>
          </cell>
          <cell r="J403" t="str">
            <v>Verify</v>
          </cell>
          <cell r="K403" t="str">
            <v>Verify</v>
          </cell>
          <cell r="L403" t="str">
            <v>Verify</v>
          </cell>
          <cell r="O403" t="str">
            <v>Verify</v>
          </cell>
          <cell r="Q403" t="str">
            <v>06|17</v>
          </cell>
        </row>
        <row r="404">
          <cell r="E404" t="str">
            <v>3. FIRE PROTECTION</v>
          </cell>
          <cell r="G404">
            <v>0</v>
          </cell>
          <cell r="H404">
            <v>0</v>
          </cell>
          <cell r="I404">
            <v>0</v>
          </cell>
          <cell r="J404">
            <v>0</v>
          </cell>
          <cell r="K404">
            <v>0</v>
          </cell>
          <cell r="L404">
            <v>0</v>
          </cell>
          <cell r="O404">
            <v>0</v>
          </cell>
          <cell r="Q404" t="str">
            <v>06|18</v>
          </cell>
        </row>
        <row r="405">
          <cell r="E405" t="str">
            <v>4. HVAC / COOLING</v>
          </cell>
          <cell r="G405" t="str">
            <v>4. HVAC / COOLING</v>
          </cell>
          <cell r="H405">
            <v>0</v>
          </cell>
          <cell r="I405">
            <v>0</v>
          </cell>
          <cell r="J405">
            <v>0</v>
          </cell>
          <cell r="K405">
            <v>0</v>
          </cell>
          <cell r="L405">
            <v>0</v>
          </cell>
          <cell r="O405">
            <v>0</v>
          </cell>
          <cell r="Q405" t="str">
            <v>06|19</v>
          </cell>
        </row>
        <row r="406">
          <cell r="E406" t="str">
            <v>4. HVAC / COOLING</v>
          </cell>
          <cell r="G406" t="str">
            <v>Room</v>
          </cell>
          <cell r="H406" t="str">
            <v>Dedicated Unit</v>
          </cell>
          <cell r="I406" t="str">
            <v>Capacity Verified</v>
          </cell>
          <cell r="J406" t="str">
            <v>Emergency Power</v>
          </cell>
          <cell r="K406" t="str">
            <v>Controls / BACnet</v>
          </cell>
          <cell r="L406" t="str">
            <v>Condensate Routed</v>
          </cell>
          <cell r="O406" t="str">
            <v>Overall</v>
          </cell>
          <cell r="Q406" t="str">
            <v>06|20</v>
          </cell>
        </row>
        <row r="407">
          <cell r="E407" t="str">
            <v>4. HVAC / COOLING</v>
          </cell>
          <cell r="G407" t="str">
            <v>B-01</v>
          </cell>
          <cell r="H407" t="str">
            <v>Existing</v>
          </cell>
          <cell r="I407" t="str">
            <v>Verify</v>
          </cell>
          <cell r="J407" t="str">
            <v>Verify</v>
          </cell>
          <cell r="K407" t="str">
            <v>Verify</v>
          </cell>
          <cell r="L407" t="str">
            <v>Verify</v>
          </cell>
          <cell r="O407" t="str">
            <v>Verify</v>
          </cell>
          <cell r="Q407" t="str">
            <v>06|21</v>
          </cell>
        </row>
        <row r="408">
          <cell r="E408" t="str">
            <v>4. HVAC / COOLING</v>
          </cell>
          <cell r="G408" t="str">
            <v>178</v>
          </cell>
          <cell r="H408" t="str">
            <v>IU-1-01 / CU-1-01</v>
          </cell>
          <cell r="I408" t="str">
            <v>Verify</v>
          </cell>
          <cell r="J408" t="str">
            <v>Verify</v>
          </cell>
          <cell r="K408" t="str">
            <v>Verify</v>
          </cell>
          <cell r="L408" t="str">
            <v>Verify</v>
          </cell>
          <cell r="O408" t="str">
            <v>Verify</v>
          </cell>
          <cell r="Q408" t="str">
            <v>06|22</v>
          </cell>
        </row>
        <row r="409">
          <cell r="E409" t="str">
            <v>4. HVAC / COOLING</v>
          </cell>
          <cell r="G409" t="str">
            <v>233</v>
          </cell>
          <cell r="H409" t="str">
            <v>IU-2-01 / CU-2-01</v>
          </cell>
          <cell r="I409" t="str">
            <v>Verify</v>
          </cell>
          <cell r="J409" t="str">
            <v>Verify</v>
          </cell>
          <cell r="K409" t="str">
            <v>Verify</v>
          </cell>
          <cell r="L409" t="str">
            <v>Verify</v>
          </cell>
          <cell r="O409" t="str">
            <v>Verify</v>
          </cell>
          <cell r="Q409" t="str">
            <v>06|23</v>
          </cell>
        </row>
        <row r="410">
          <cell r="E410" t="str">
            <v>4. HVAC / COOLING</v>
          </cell>
          <cell r="G410">
            <v>0</v>
          </cell>
          <cell r="H410">
            <v>0</v>
          </cell>
          <cell r="I410">
            <v>0</v>
          </cell>
          <cell r="J410">
            <v>0</v>
          </cell>
          <cell r="K410">
            <v>0</v>
          </cell>
          <cell r="L410">
            <v>0</v>
          </cell>
          <cell r="O410">
            <v>0</v>
          </cell>
          <cell r="Q410" t="str">
            <v>06|24</v>
          </cell>
        </row>
        <row r="411">
          <cell r="E411" t="str">
            <v>5. ELECTRICAL / UPS</v>
          </cell>
          <cell r="G411" t="str">
            <v>5. ELECTRICAL / UPS</v>
          </cell>
          <cell r="H411">
            <v>0</v>
          </cell>
          <cell r="I411">
            <v>0</v>
          </cell>
          <cell r="J411">
            <v>0</v>
          </cell>
          <cell r="K411">
            <v>0</v>
          </cell>
          <cell r="L411">
            <v>0</v>
          </cell>
          <cell r="O411">
            <v>0</v>
          </cell>
          <cell r="Q411" t="str">
            <v>06|25</v>
          </cell>
        </row>
        <row r="412">
          <cell r="E412" t="str">
            <v>5. ELECTRICAL / UPS</v>
          </cell>
          <cell r="G412" t="str">
            <v>Room</v>
          </cell>
          <cell r="H412" t="str">
            <v>UPS Installed</v>
          </cell>
          <cell r="I412" t="str">
            <v>UPS Size</v>
          </cell>
          <cell r="J412" t="str">
            <v>PDU Installed</v>
          </cell>
          <cell r="K412" t="str">
            <v>Rack Receptacles</v>
          </cell>
          <cell r="L412" t="str">
            <v>Panel Assigned</v>
          </cell>
          <cell r="O412" t="str">
            <v>Overall</v>
          </cell>
          <cell r="Q412" t="str">
            <v>06|26</v>
          </cell>
        </row>
        <row r="413">
          <cell r="E413" t="str">
            <v>5. ELECTRICAL / UPS</v>
          </cell>
          <cell r="G413" t="str">
            <v>B-01</v>
          </cell>
          <cell r="H413" t="str">
            <v>Existing</v>
          </cell>
          <cell r="I413" t="str">
            <v>Existing floor UPS</v>
          </cell>
          <cell r="J413" t="str">
            <v>Existing</v>
          </cell>
          <cell r="K413" t="str">
            <v>Verify</v>
          </cell>
          <cell r="L413" t="str">
            <v>Verify</v>
          </cell>
          <cell r="O413" t="str">
            <v>Verify</v>
          </cell>
          <cell r="Q413" t="str">
            <v>06|27</v>
          </cell>
        </row>
        <row r="414">
          <cell r="E414" t="str">
            <v>5. ELECTRICAL / UPS</v>
          </cell>
          <cell r="G414" t="str">
            <v>178</v>
          </cell>
          <cell r="H414" t="str">
            <v>Verify</v>
          </cell>
          <cell r="I414" t="str">
            <v>5 kW / rack equipment</v>
          </cell>
          <cell r="J414" t="str">
            <v>Verify</v>
          </cell>
          <cell r="K414" t="str">
            <v>Verify</v>
          </cell>
          <cell r="L414" t="str">
            <v>B06-NP-TR / B06-EP-TR / B06-TR178A / B06-TR178B</v>
          </cell>
          <cell r="O414" t="str">
            <v>Verify</v>
          </cell>
          <cell r="Q414" t="str">
            <v>06|28</v>
          </cell>
        </row>
        <row r="415">
          <cell r="E415" t="str">
            <v>5. ELECTRICAL / UPS</v>
          </cell>
          <cell r="G415" t="str">
            <v>233</v>
          </cell>
          <cell r="H415" t="str">
            <v>Verify</v>
          </cell>
          <cell r="I415" t="str">
            <v>5 kW / rack equipment</v>
          </cell>
          <cell r="J415" t="str">
            <v>Verify</v>
          </cell>
          <cell r="K415" t="str">
            <v>Verify</v>
          </cell>
          <cell r="L415" t="str">
            <v>B06-TR233A / B06-TR233B</v>
          </cell>
          <cell r="O415" t="str">
            <v>Verify</v>
          </cell>
          <cell r="Q415" t="str">
            <v>06|29</v>
          </cell>
        </row>
        <row r="416">
          <cell r="E416" t="str">
            <v>5. ELECTRICAL / UPS</v>
          </cell>
          <cell r="G416">
            <v>0</v>
          </cell>
          <cell r="H416">
            <v>0</v>
          </cell>
          <cell r="I416">
            <v>0</v>
          </cell>
          <cell r="J416">
            <v>0</v>
          </cell>
          <cell r="K416">
            <v>0</v>
          </cell>
          <cell r="L416">
            <v>0</v>
          </cell>
          <cell r="O416">
            <v>0</v>
          </cell>
          <cell r="Q416" t="str">
            <v>06|30</v>
          </cell>
        </row>
        <row r="417">
          <cell r="E417" t="str">
            <v>6. TELECOMMUNICATIONS</v>
          </cell>
          <cell r="G417" t="str">
            <v>6. TELECOMMUNICATIONS</v>
          </cell>
          <cell r="H417">
            <v>0</v>
          </cell>
          <cell r="I417">
            <v>0</v>
          </cell>
          <cell r="J417">
            <v>0</v>
          </cell>
          <cell r="K417">
            <v>0</v>
          </cell>
          <cell r="L417">
            <v>0</v>
          </cell>
          <cell r="O417">
            <v>0</v>
          </cell>
          <cell r="Q417" t="str">
            <v>06|31</v>
          </cell>
        </row>
        <row r="418">
          <cell r="E418" t="str">
            <v>6. TELECOMMUNICATIONS</v>
          </cell>
          <cell r="G418" t="str">
            <v>Room</v>
          </cell>
          <cell r="H418" t="str">
            <v>Rack Installed</v>
          </cell>
          <cell r="I418" t="str">
            <v>Ladder Tray</v>
          </cell>
          <cell r="J418" t="str">
            <v>Fiber Installed</v>
          </cell>
          <cell r="K418" t="str">
            <v>Grounding</v>
          </cell>
          <cell r="L418" t="str">
            <v>Labeling</v>
          </cell>
          <cell r="O418" t="str">
            <v>Overall</v>
          </cell>
          <cell r="Q418" t="str">
            <v>06|32</v>
          </cell>
        </row>
        <row r="419">
          <cell r="E419" t="str">
            <v>6. TELECOMMUNICATIONS</v>
          </cell>
          <cell r="G419" t="str">
            <v>B-01</v>
          </cell>
          <cell r="H419" t="str">
            <v>Existing</v>
          </cell>
          <cell r="I419" t="str">
            <v>N/A / TE</v>
          </cell>
          <cell r="J419" t="str">
            <v>Existing</v>
          </cell>
          <cell r="K419" t="str">
            <v>Verify</v>
          </cell>
          <cell r="L419" t="str">
            <v>Verify</v>
          </cell>
          <cell r="O419" t="str">
            <v>Verify</v>
          </cell>
          <cell r="Q419" t="str">
            <v>06|33</v>
          </cell>
        </row>
        <row r="420">
          <cell r="E420" t="str">
            <v>6. TELECOMMUNICATIONS</v>
          </cell>
          <cell r="G420" t="str">
            <v>178</v>
          </cell>
          <cell r="H420" t="str">
            <v>Verify</v>
          </cell>
          <cell r="I420" t="str">
            <v>Verify</v>
          </cell>
          <cell r="J420" t="str">
            <v>Verify</v>
          </cell>
          <cell r="K420" t="str">
            <v>Verify</v>
          </cell>
          <cell r="L420" t="str">
            <v>Verify</v>
          </cell>
          <cell r="O420" t="str">
            <v>Verify</v>
          </cell>
          <cell r="Q420" t="str">
            <v>06|34</v>
          </cell>
        </row>
        <row r="421">
          <cell r="E421" t="str">
            <v>6. TELECOMMUNICATIONS</v>
          </cell>
          <cell r="G421" t="str">
            <v>233</v>
          </cell>
          <cell r="H421" t="str">
            <v>Verify</v>
          </cell>
          <cell r="I421" t="str">
            <v>Verify</v>
          </cell>
          <cell r="J421" t="str">
            <v>Verify</v>
          </cell>
          <cell r="K421" t="str">
            <v>Verify</v>
          </cell>
          <cell r="L421" t="str">
            <v>Verify</v>
          </cell>
          <cell r="O421" t="str">
            <v>Verify</v>
          </cell>
          <cell r="Q421" t="str">
            <v>06|35</v>
          </cell>
        </row>
        <row r="422">
          <cell r="E422" t="str">
            <v>6. TELECOMMUNICATIONS</v>
          </cell>
          <cell r="G422">
            <v>0</v>
          </cell>
          <cell r="H422">
            <v>0</v>
          </cell>
          <cell r="I422">
            <v>0</v>
          </cell>
          <cell r="J422">
            <v>0</v>
          </cell>
          <cell r="K422">
            <v>0</v>
          </cell>
          <cell r="L422">
            <v>0</v>
          </cell>
          <cell r="O422">
            <v>0</v>
          </cell>
          <cell r="Q422" t="str">
            <v>06|36</v>
          </cell>
        </row>
        <row r="423">
          <cell r="E423" t="str">
            <v>7. SECURITY / PACS / CCTV</v>
          </cell>
          <cell r="G423" t="str">
            <v>7. SECURITY / PACS / CCTV</v>
          </cell>
          <cell r="H423">
            <v>0</v>
          </cell>
          <cell r="I423">
            <v>0</v>
          </cell>
          <cell r="J423">
            <v>0</v>
          </cell>
          <cell r="K423">
            <v>0</v>
          </cell>
          <cell r="L423">
            <v>0</v>
          </cell>
          <cell r="O423">
            <v>0</v>
          </cell>
          <cell r="Q423" t="str">
            <v>06|37</v>
          </cell>
        </row>
        <row r="424">
          <cell r="E424" t="str">
            <v>7. SECURITY / PACS / CCTV</v>
          </cell>
          <cell r="G424" t="str">
            <v>Room</v>
          </cell>
          <cell r="H424" t="str">
            <v>PACS</v>
          </cell>
          <cell r="I424" t="str">
            <v>Card Reader</v>
          </cell>
          <cell r="J424" t="str">
            <v>Door Position</v>
          </cell>
          <cell r="K424" t="str">
            <v>Electric Strike</v>
          </cell>
          <cell r="L424" t="str">
            <v>CCTV</v>
          </cell>
          <cell r="O424" t="str">
            <v>Overall</v>
          </cell>
          <cell r="Q424" t="str">
            <v>06|38</v>
          </cell>
        </row>
        <row r="425">
          <cell r="E425" t="str">
            <v>7. SECURITY / PACS / CCTV</v>
          </cell>
          <cell r="G425" t="str">
            <v>B-01</v>
          </cell>
          <cell r="H425" t="str">
            <v>Verify</v>
          </cell>
          <cell r="I425" t="str">
            <v>Verify</v>
          </cell>
          <cell r="J425" t="str">
            <v>Verify</v>
          </cell>
          <cell r="K425" t="str">
            <v>Verify</v>
          </cell>
          <cell r="L425" t="str">
            <v>Verify</v>
          </cell>
          <cell r="O425" t="str">
            <v>Verify</v>
          </cell>
          <cell r="Q425" t="str">
            <v>06|39</v>
          </cell>
        </row>
        <row r="426">
          <cell r="E426" t="str">
            <v>7. SECURITY / PACS / CCTV</v>
          </cell>
          <cell r="G426" t="str">
            <v>178</v>
          </cell>
          <cell r="H426" t="str">
            <v>Verify</v>
          </cell>
          <cell r="I426" t="str">
            <v>Verify</v>
          </cell>
          <cell r="J426" t="str">
            <v>Verify</v>
          </cell>
          <cell r="K426" t="str">
            <v>Verify</v>
          </cell>
          <cell r="L426" t="str">
            <v>Verify</v>
          </cell>
          <cell r="O426" t="str">
            <v>Verify</v>
          </cell>
          <cell r="Q426" t="str">
            <v>06|40</v>
          </cell>
        </row>
        <row r="427">
          <cell r="E427" t="str">
            <v>7. SECURITY / PACS / CCTV</v>
          </cell>
          <cell r="G427" t="str">
            <v>233</v>
          </cell>
          <cell r="H427" t="str">
            <v>Verify</v>
          </cell>
          <cell r="I427" t="str">
            <v>Verify</v>
          </cell>
          <cell r="J427" t="str">
            <v>Verify</v>
          </cell>
          <cell r="K427" t="str">
            <v>Verify</v>
          </cell>
          <cell r="L427" t="str">
            <v>Verify</v>
          </cell>
          <cell r="O427" t="str">
            <v>Verify</v>
          </cell>
          <cell r="Q427" t="str">
            <v>06|41</v>
          </cell>
        </row>
        <row r="428">
          <cell r="E428" t="str">
            <v>7. SECURITY / PACS / CCTV</v>
          </cell>
          <cell r="G428">
            <v>0</v>
          </cell>
          <cell r="H428">
            <v>0</v>
          </cell>
          <cell r="I428">
            <v>0</v>
          </cell>
          <cell r="J428">
            <v>0</v>
          </cell>
          <cell r="K428">
            <v>0</v>
          </cell>
          <cell r="L428">
            <v>0</v>
          </cell>
          <cell r="O428">
            <v>0</v>
          </cell>
          <cell r="Q428" t="str">
            <v>06|42</v>
          </cell>
        </row>
        <row r="429">
          <cell r="E429" t="str">
            <v>8. OWNER RISKS</v>
          </cell>
          <cell r="G429" t="str">
            <v>8. OWNER RISKS</v>
          </cell>
          <cell r="H429">
            <v>0</v>
          </cell>
          <cell r="I429">
            <v>0</v>
          </cell>
          <cell r="J429">
            <v>0</v>
          </cell>
          <cell r="K429">
            <v>0</v>
          </cell>
          <cell r="L429">
            <v>0</v>
          </cell>
          <cell r="O429">
            <v>0</v>
          </cell>
          <cell r="Q429" t="str">
            <v>06|43</v>
          </cell>
        </row>
        <row r="430">
          <cell r="E430" t="str">
            <v>8. OWNER RISKS</v>
          </cell>
          <cell r="G430" t="str">
            <v>Risk ID</v>
          </cell>
          <cell r="H430" t="str">
            <v>Room</v>
          </cell>
          <cell r="I430" t="str">
            <v>Risk</v>
          </cell>
          <cell r="J430" t="str">
            <v>Impact</v>
          </cell>
          <cell r="K430" t="str">
            <v>Probability</v>
          </cell>
          <cell r="L430" t="str">
            <v>Score</v>
          </cell>
          <cell r="O430" t="str">
            <v>Status</v>
          </cell>
          <cell r="Q430" t="str">
            <v>06|44</v>
          </cell>
        </row>
        <row r="431">
          <cell r="E431" t="str">
            <v>8. OWNER RISKS</v>
          </cell>
          <cell r="G431" t="str">
            <v>B06-R1</v>
          </cell>
          <cell r="H431" t="str">
            <v>All</v>
          </cell>
          <cell r="I431" t="str">
            <v>Existing conditions across B-01, 178 and 233 not field verified</v>
          </cell>
          <cell r="J431" t="str">
            <v>High</v>
          </cell>
          <cell r="K431" t="str">
            <v>Medium</v>
          </cell>
          <cell r="L431">
            <v>6</v>
          </cell>
          <cell r="O431" t="str">
            <v>Open</v>
          </cell>
          <cell r="Q431" t="str">
            <v>06|45</v>
          </cell>
        </row>
        <row r="432">
          <cell r="E432" t="str">
            <v>8. OWNER RISKS</v>
          </cell>
          <cell r="G432" t="str">
            <v>B06-R2</v>
          </cell>
          <cell r="H432" t="str">
            <v>B-01</v>
          </cell>
          <cell r="I432" t="str">
            <v>Existing basement equipment may remain active during cutover</v>
          </cell>
          <cell r="J432" t="str">
            <v>Critical</v>
          </cell>
          <cell r="K432" t="str">
            <v>Medium</v>
          </cell>
          <cell r="L432">
            <v>8</v>
          </cell>
          <cell r="O432" t="str">
            <v>Open</v>
          </cell>
          <cell r="Q432" t="str">
            <v>06|46</v>
          </cell>
        </row>
        <row r="433">
          <cell r="E433" t="str">
            <v>8. OWNER RISKS</v>
          </cell>
          <cell r="G433" t="str">
            <v>B06-R3</v>
          </cell>
          <cell r="H433" t="str">
            <v>178</v>
          </cell>
          <cell r="I433" t="str">
            <v>Electrical panel replacement/new telecom power could interrupt active systems</v>
          </cell>
          <cell r="J433" t="str">
            <v>Critical</v>
          </cell>
          <cell r="K433" t="str">
            <v>Medium</v>
          </cell>
          <cell r="L433">
            <v>8</v>
          </cell>
          <cell r="O433" t="str">
            <v>Open</v>
          </cell>
          <cell r="Q433" t="str">
            <v>06|47</v>
          </cell>
        </row>
        <row r="434">
          <cell r="E434" t="str">
            <v>8. OWNER RISKS</v>
          </cell>
          <cell r="G434" t="str">
            <v>B06-R4</v>
          </cell>
          <cell r="H434" t="str">
            <v>233</v>
          </cell>
          <cell r="I434" t="str">
            <v>Room 233 conversion/rated wall and door work may impact adjacent patient toilet/private bath areas</v>
          </cell>
          <cell r="J434" t="str">
            <v>High</v>
          </cell>
          <cell r="K434" t="str">
            <v>Medium</v>
          </cell>
          <cell r="L434">
            <v>6</v>
          </cell>
          <cell r="O434" t="str">
            <v>Open</v>
          </cell>
          <cell r="Q434" t="str">
            <v>06|48</v>
          </cell>
        </row>
        <row r="435">
          <cell r="E435" t="str">
            <v>8. OWNER RISKS</v>
          </cell>
          <cell r="G435" t="str">
            <v>B06-R5</v>
          </cell>
          <cell r="H435" t="str">
            <v>178/233</v>
          </cell>
          <cell r="I435" t="str">
            <v>Dedicated cooling emergency power, controls, condensate and BACnet interface not verified</v>
          </cell>
          <cell r="J435" t="str">
            <v>Critical</v>
          </cell>
          <cell r="K435" t="str">
            <v>Medium</v>
          </cell>
          <cell r="L435">
            <v>8</v>
          </cell>
          <cell r="O435" t="str">
            <v>Open</v>
          </cell>
          <cell r="Q435" t="str">
            <v>06|49</v>
          </cell>
        </row>
        <row r="436">
          <cell r="E436" t="str">
            <v>8. OWNER RISKS</v>
          </cell>
          <cell r="G436" t="str">
            <v>B06-R6</v>
          </cell>
          <cell r="H436" t="str">
            <v>All</v>
          </cell>
          <cell r="I436" t="str">
            <v>Fire alarm/sprinkler impairments and penetrations may affect occupied operations</v>
          </cell>
          <cell r="J436" t="str">
            <v>Critical</v>
          </cell>
          <cell r="K436" t="str">
            <v>Medium</v>
          </cell>
          <cell r="L436">
            <v>8</v>
          </cell>
          <cell r="O436" t="str">
            <v>Open</v>
          </cell>
          <cell r="Q436" t="str">
            <v>06|50</v>
          </cell>
        </row>
        <row r="437">
          <cell r="E437" t="str">
            <v>8. OWNER RISKS</v>
          </cell>
          <cell r="G437" t="str">
            <v>B06-R7</v>
          </cell>
          <cell r="H437" t="str">
            <v>All</v>
          </cell>
          <cell r="I437" t="str">
            <v>Telecom/fiber cutover could affect active hospital communications</v>
          </cell>
          <cell r="J437" t="str">
            <v>Critical</v>
          </cell>
          <cell r="K437" t="str">
            <v>Medium</v>
          </cell>
          <cell r="L437">
            <v>8</v>
          </cell>
          <cell r="O437" t="str">
            <v>Open</v>
          </cell>
          <cell r="Q437" t="str">
            <v>06|51</v>
          </cell>
        </row>
        <row r="438">
          <cell r="E438" t="str">
            <v>8. OWNER RISKS</v>
          </cell>
          <cell r="G438" t="str">
            <v>B06-R8</v>
          </cell>
          <cell r="H438" t="str">
            <v>All</v>
          </cell>
          <cell r="I438" t="str">
            <v>Commissioning/third-party inspection reports may not be ready at turnover</v>
          </cell>
          <cell r="J438" t="str">
            <v>High</v>
          </cell>
          <cell r="K438" t="str">
            <v>Medium</v>
          </cell>
          <cell r="L438">
            <v>6</v>
          </cell>
          <cell r="O438" t="str">
            <v>Open</v>
          </cell>
          <cell r="Q438" t="str">
            <v>06|52</v>
          </cell>
        </row>
        <row r="439">
          <cell r="E439" t="str">
            <v>8. OWNER RISKS</v>
          </cell>
          <cell r="G439">
            <v>0</v>
          </cell>
          <cell r="H439">
            <v>0</v>
          </cell>
          <cell r="I439">
            <v>0</v>
          </cell>
          <cell r="J439">
            <v>0</v>
          </cell>
          <cell r="K439">
            <v>0</v>
          </cell>
          <cell r="L439">
            <v>0</v>
          </cell>
          <cell r="O439">
            <v>0</v>
          </cell>
          <cell r="Q439" t="str">
            <v>06|53</v>
          </cell>
        </row>
        <row r="440">
          <cell r="E440" t="str">
            <v>9. OPEN QUESTIONS</v>
          </cell>
          <cell r="G440" t="str">
            <v>9. OPEN QUESTIONS</v>
          </cell>
          <cell r="H440">
            <v>0</v>
          </cell>
          <cell r="I440">
            <v>0</v>
          </cell>
          <cell r="J440">
            <v>0</v>
          </cell>
          <cell r="K440">
            <v>0</v>
          </cell>
          <cell r="L440">
            <v>0</v>
          </cell>
          <cell r="O440">
            <v>0</v>
          </cell>
          <cell r="Q440" t="str">
            <v>06|54</v>
          </cell>
        </row>
        <row r="441">
          <cell r="E441" t="str">
            <v>9. OPEN QUESTIONS</v>
          </cell>
          <cell r="G441" t="str">
            <v>Question ID</v>
          </cell>
          <cell r="H441" t="str">
            <v>Question</v>
          </cell>
          <cell r="I441" t="str">
            <v>Assigned To</v>
          </cell>
          <cell r="J441" t="str">
            <v>Status</v>
          </cell>
          <cell r="K441" t="str">
            <v>Needed By</v>
          </cell>
          <cell r="L441" t="str">
            <v>Answer / Resolution</v>
          </cell>
          <cell r="O441" t="str">
            <v>Date Closed</v>
          </cell>
          <cell r="Q441" t="str">
            <v>06|55</v>
          </cell>
        </row>
        <row r="442">
          <cell r="E442" t="str">
            <v>9. OPEN QUESTIONS</v>
          </cell>
          <cell r="G442" t="str">
            <v>B06-Q1</v>
          </cell>
          <cell r="H442" t="str">
            <v>Confirm final TR/TE scope: B-01 existing equipment, Room 178, and Room 233?</v>
          </cell>
          <cell r="I442" t="str">
            <v>VA / OIT / Designer</v>
          </cell>
          <cell r="J442" t="str">
            <v>Open</v>
          </cell>
          <cell r="K442">
            <v>0</v>
          </cell>
          <cell r="L442">
            <v>0</v>
          </cell>
          <cell r="O442">
            <v>0</v>
          </cell>
          <cell r="Q442" t="str">
            <v>06|56</v>
          </cell>
        </row>
        <row r="443">
          <cell r="E443" t="str">
            <v>9. OPEN QUESTIONS</v>
          </cell>
          <cell r="G443" t="str">
            <v>B06-Q2</v>
          </cell>
          <cell r="H443" t="str">
            <v>What active services are fed from existing B-01 and Room 178 legacy equipment?</v>
          </cell>
          <cell r="I443" t="str">
            <v>OIT / Contractor</v>
          </cell>
          <cell r="J443" t="str">
            <v>Open</v>
          </cell>
          <cell r="K443">
            <v>0</v>
          </cell>
          <cell r="L443">
            <v>0</v>
          </cell>
          <cell r="O443">
            <v>0</v>
          </cell>
          <cell r="Q443" t="str">
            <v>06|57</v>
          </cell>
        </row>
        <row r="444">
          <cell r="E444" t="str">
            <v>9. OPEN QUESTIONS</v>
          </cell>
          <cell r="G444" t="str">
            <v>B06-Q3</v>
          </cell>
          <cell r="H444" t="str">
            <v>What is the approved cutover sequence for B-01, 178 and 233?</v>
          </cell>
          <cell r="I444" t="str">
            <v>OIT / Contractor</v>
          </cell>
          <cell r="J444" t="str">
            <v>Open</v>
          </cell>
          <cell r="K444">
            <v>0</v>
          </cell>
          <cell r="L444">
            <v>0</v>
          </cell>
          <cell r="O444">
            <v>0</v>
          </cell>
          <cell r="Q444" t="str">
            <v>06|58</v>
          </cell>
        </row>
        <row r="445">
          <cell r="E445" t="str">
            <v>9. OPEN QUESTIONS</v>
          </cell>
          <cell r="G445" t="str">
            <v>B06-Q4</v>
          </cell>
          <cell r="H445" t="str">
            <v>Are IU-1-01/CU-1-01 and IU-2-01/CU-2-01 on emergency/backup power?</v>
          </cell>
          <cell r="I445" t="str">
            <v>Mechanical / Electrical / VA</v>
          </cell>
          <cell r="J445" t="str">
            <v>Open</v>
          </cell>
          <cell r="K445">
            <v>0</v>
          </cell>
          <cell r="L445">
            <v>0</v>
          </cell>
          <cell r="O445">
            <v>0</v>
          </cell>
          <cell r="Q445" t="str">
            <v>06|59</v>
          </cell>
        </row>
        <row r="446">
          <cell r="E446" t="str">
            <v>9. OPEN QUESTIONS</v>
          </cell>
          <cell r="G446" t="str">
            <v>B06-Q5</v>
          </cell>
          <cell r="H446" t="str">
            <v>Where are clean-agent/CO2 extinguisher cabinets located within 75 ft of each TR?</v>
          </cell>
          <cell r="I446" t="str">
            <v>GC / COR</v>
          </cell>
          <cell r="J446" t="str">
            <v>Open</v>
          </cell>
          <cell r="K446">
            <v>0</v>
          </cell>
          <cell r="L446">
            <v>0</v>
          </cell>
          <cell r="O446">
            <v>0</v>
          </cell>
          <cell r="Q446" t="str">
            <v>06|60</v>
          </cell>
        </row>
        <row r="447">
          <cell r="E447" t="str">
            <v>9. OPEN QUESTIONS</v>
          </cell>
          <cell r="G447" t="str">
            <v>B06-Q6</v>
          </cell>
          <cell r="H447" t="str">
            <v>Are all panel load measurements, replacement panels, breakers, SPDs and labels approved?</v>
          </cell>
          <cell r="I447" t="str">
            <v>Electrical / Designer</v>
          </cell>
          <cell r="J447" t="str">
            <v>Open</v>
          </cell>
          <cell r="K447">
            <v>0</v>
          </cell>
          <cell r="L447">
            <v>0</v>
          </cell>
          <cell r="O447">
            <v>0</v>
          </cell>
          <cell r="Q447" t="str">
            <v>06|61</v>
          </cell>
        </row>
        <row r="448">
          <cell r="E448" t="str">
            <v>9. OPEN QUESTIONS</v>
          </cell>
          <cell r="G448" t="str">
            <v>B06-Q7</v>
          </cell>
          <cell r="H448" t="str">
            <v>Are all rated wall/floor penetrations, sleeves and firestopping identified?</v>
          </cell>
          <cell r="I448" t="str">
            <v>GC / Firestop</v>
          </cell>
          <cell r="J448" t="str">
            <v>Open</v>
          </cell>
          <cell r="K448">
            <v>0</v>
          </cell>
          <cell r="L448">
            <v>0</v>
          </cell>
          <cell r="O448">
            <v>0</v>
          </cell>
          <cell r="Q448" t="str">
            <v>06|62</v>
          </cell>
        </row>
        <row r="449">
          <cell r="E449" t="str">
            <v>9. OPEN QUESTIONS</v>
          </cell>
          <cell r="G449" t="str">
            <v>B06-Q8</v>
          </cell>
          <cell r="H449" t="str">
            <v>Which commissioning/third-party tests must be complete before VA acceptance?</v>
          </cell>
          <cell r="I449" t="str">
            <v>GC / Cx Manager</v>
          </cell>
          <cell r="J449" t="str">
            <v>Open</v>
          </cell>
          <cell r="K449">
            <v>0</v>
          </cell>
          <cell r="L449">
            <v>0</v>
          </cell>
          <cell r="O449">
            <v>0</v>
          </cell>
          <cell r="Q449" t="str">
            <v>06|63</v>
          </cell>
        </row>
        <row r="450">
          <cell r="E450" t="str">
            <v>9. OPEN QUESTIONS</v>
          </cell>
          <cell r="G450">
            <v>0</v>
          </cell>
          <cell r="H450">
            <v>0</v>
          </cell>
          <cell r="I450">
            <v>0</v>
          </cell>
          <cell r="J450">
            <v>0</v>
          </cell>
          <cell r="K450">
            <v>0</v>
          </cell>
          <cell r="L450">
            <v>0</v>
          </cell>
          <cell r="O450">
            <v>0</v>
          </cell>
          <cell r="Q450" t="str">
            <v>06|64</v>
          </cell>
        </row>
        <row r="451">
          <cell r="E451" t="str">
            <v>10. PHOTO LOG</v>
          </cell>
          <cell r="G451" t="str">
            <v>10. PHOTO LOG</v>
          </cell>
          <cell r="H451">
            <v>0</v>
          </cell>
          <cell r="I451">
            <v>0</v>
          </cell>
          <cell r="J451">
            <v>0</v>
          </cell>
          <cell r="K451">
            <v>0</v>
          </cell>
          <cell r="L451">
            <v>0</v>
          </cell>
          <cell r="O451">
            <v>0</v>
          </cell>
          <cell r="Q451" t="str">
            <v>06|65</v>
          </cell>
        </row>
        <row r="452">
          <cell r="E452" t="str">
            <v>10. PHOTO LOG</v>
          </cell>
          <cell r="G452" t="str">
            <v>Photo ID</v>
          </cell>
          <cell r="H452" t="str">
            <v>Room</v>
          </cell>
          <cell r="I452" t="str">
            <v>Category</v>
          </cell>
          <cell r="J452" t="str">
            <v>Description</v>
          </cell>
          <cell r="K452" t="str">
            <v>Date</v>
          </cell>
          <cell r="L452" t="str">
            <v>Taken By</v>
          </cell>
          <cell r="O452" t="str">
            <v>Status</v>
          </cell>
          <cell r="Q452" t="str">
            <v>06|66</v>
          </cell>
        </row>
        <row r="453">
          <cell r="E453" t="str">
            <v>10. PHOTO LOG</v>
          </cell>
          <cell r="G453" t="str">
            <v>B06-P001</v>
          </cell>
          <cell r="H453" t="str">
            <v>B-01</v>
          </cell>
          <cell r="I453" t="str">
            <v>Existing Condition</v>
          </cell>
          <cell r="J453" t="str">
            <v>Existing basement wall/wall-mount TE, Cisco switches, legacy patch panels, floor UPS</v>
          </cell>
          <cell r="K453">
            <v>0</v>
          </cell>
          <cell r="L453" t="str">
            <v>Paul</v>
          </cell>
          <cell r="O453" t="str">
            <v>Open</v>
          </cell>
          <cell r="Q453" t="str">
            <v>06|67</v>
          </cell>
        </row>
        <row r="454">
          <cell r="E454" t="str">
            <v>10. PHOTO LOG</v>
          </cell>
          <cell r="G454" t="str">
            <v>B06-P002</v>
          </cell>
          <cell r="H454" t="str">
            <v>178</v>
          </cell>
          <cell r="I454" t="str">
            <v>Existing Condition</v>
          </cell>
          <cell r="J454" t="str">
            <v>Room 178 TR, existing 2-post racks, panels, card reader/security, HVAC location</v>
          </cell>
          <cell r="K454">
            <v>0</v>
          </cell>
          <cell r="L454" t="str">
            <v>Paul</v>
          </cell>
          <cell r="O454" t="str">
            <v>Open</v>
          </cell>
          <cell r="Q454" t="str">
            <v>06|68</v>
          </cell>
        </row>
        <row r="455">
          <cell r="E455" t="str">
            <v>10. PHOTO LOG</v>
          </cell>
          <cell r="G455" t="str">
            <v>B06-P003</v>
          </cell>
          <cell r="H455" t="str">
            <v>233</v>
          </cell>
          <cell r="I455" t="str">
            <v>Existing Condition</v>
          </cell>
          <cell r="J455" t="str">
            <v>Room 233/Data Closet, adjacent toilet/bath areas, walls/door/ceiling/penetrations</v>
          </cell>
          <cell r="K455">
            <v>0</v>
          </cell>
          <cell r="L455" t="str">
            <v>Paul</v>
          </cell>
          <cell r="O455" t="str">
            <v>Open</v>
          </cell>
          <cell r="Q455" t="str">
            <v>06|69</v>
          </cell>
        </row>
        <row r="456">
          <cell r="E456" t="str">
            <v>10. PHOTO LOG</v>
          </cell>
          <cell r="G456" t="str">
            <v>B06-P004</v>
          </cell>
          <cell r="H456" t="str">
            <v>All</v>
          </cell>
          <cell r="I456" t="str">
            <v>Firestop</v>
          </cell>
          <cell r="J456" t="str">
            <v>All wall/floor/sleeve/tray penetrations before and after firestop</v>
          </cell>
          <cell r="K456">
            <v>0</v>
          </cell>
          <cell r="L456" t="str">
            <v>Paul</v>
          </cell>
          <cell r="O456" t="str">
            <v>Open</v>
          </cell>
          <cell r="Q456" t="str">
            <v>06|70</v>
          </cell>
        </row>
        <row r="457">
          <cell r="E457" t="str">
            <v>10. PHOTO LOG</v>
          </cell>
          <cell r="G457" t="str">
            <v>B06-P005</v>
          </cell>
          <cell r="H457" t="str">
            <v>178/233</v>
          </cell>
          <cell r="I457" t="str">
            <v>HVAC</v>
          </cell>
          <cell r="J457" t="str">
            <v>IU/CU equipment, condensate, thermostat, BACnet adapter, disconnects, high-temp alarm</v>
          </cell>
          <cell r="K457">
            <v>0</v>
          </cell>
          <cell r="L457" t="str">
            <v>Paul</v>
          </cell>
          <cell r="O457" t="str">
            <v>Open</v>
          </cell>
          <cell r="Q457" t="str">
            <v>06|71</v>
          </cell>
        </row>
        <row r="458">
          <cell r="E458" t="str">
            <v>10. PHOTO LOG</v>
          </cell>
          <cell r="G458" t="str">
            <v>B06-P006</v>
          </cell>
          <cell r="H458" t="str">
            <v>All</v>
          </cell>
          <cell r="I458" t="str">
            <v>Electrical</v>
          </cell>
          <cell r="J458" t="str">
            <v>B06-NP-TR, B06-EP-TR, B06-TR178A/B, B06-TR233A/B, breakers, SPD, labels</v>
          </cell>
          <cell r="K458">
            <v>0</v>
          </cell>
          <cell r="L458" t="str">
            <v>Paul</v>
          </cell>
          <cell r="O458" t="str">
            <v>Open</v>
          </cell>
          <cell r="Q458" t="str">
            <v>06|72</v>
          </cell>
        </row>
        <row r="459">
          <cell r="E459" t="str">
            <v>10. PHOTO LOG</v>
          </cell>
          <cell r="G459" t="str">
            <v>B06-P007</v>
          </cell>
          <cell r="H459" t="str">
            <v>All</v>
          </cell>
          <cell r="I459" t="str">
            <v>Telecom</v>
          </cell>
          <cell r="J459" t="str">
            <v>Racks, ladder tray, fiber, Cat6A, LIU, patch panels, labels, test records</v>
          </cell>
          <cell r="K459">
            <v>0</v>
          </cell>
          <cell r="L459" t="str">
            <v>Paul</v>
          </cell>
          <cell r="O459" t="str">
            <v>Open</v>
          </cell>
          <cell r="Q459" t="str">
            <v>06|73</v>
          </cell>
        </row>
        <row r="460">
          <cell r="E460" t="str">
            <v>10. PHOTO LOG</v>
          </cell>
          <cell r="G460" t="str">
            <v>B06-P008</v>
          </cell>
          <cell r="H460" t="str">
            <v>All</v>
          </cell>
          <cell r="I460" t="str">
            <v>Security</v>
          </cell>
          <cell r="J460" t="str">
            <v>Card readers, electric strikes, door position, motion sensors, CCTV/PACS integration</v>
          </cell>
          <cell r="K460">
            <v>0</v>
          </cell>
          <cell r="L460" t="str">
            <v>Paul</v>
          </cell>
          <cell r="O460" t="str">
            <v>Open</v>
          </cell>
          <cell r="Q460" t="str">
            <v>06|74</v>
          </cell>
        </row>
        <row r="461">
          <cell r="E461" t="str">
            <v>10. PHOTO LOG</v>
          </cell>
          <cell r="G461">
            <v>0</v>
          </cell>
          <cell r="H461">
            <v>0</v>
          </cell>
          <cell r="I461">
            <v>0</v>
          </cell>
          <cell r="J461">
            <v>0</v>
          </cell>
          <cell r="K461">
            <v>0</v>
          </cell>
          <cell r="L461">
            <v>0</v>
          </cell>
          <cell r="O461">
            <v>0</v>
          </cell>
          <cell r="Q461" t="str">
            <v>06|75</v>
          </cell>
        </row>
        <row r="462">
          <cell r="E462" t="str">
            <v>1. ROOM INVENTORY</v>
          </cell>
          <cell r="G462" t="str">
            <v>1. ROOM INVENTORY</v>
          </cell>
          <cell r="H462">
            <v>0</v>
          </cell>
          <cell r="I462">
            <v>0</v>
          </cell>
          <cell r="J462">
            <v>0</v>
          </cell>
          <cell r="K462">
            <v>0</v>
          </cell>
          <cell r="L462">
            <v>0</v>
          </cell>
          <cell r="O462">
            <v>0</v>
          </cell>
          <cell r="Q462" t="str">
            <v>07|1</v>
          </cell>
        </row>
        <row r="463">
          <cell r="E463" t="str">
            <v>1. ROOM INVENTORY</v>
          </cell>
          <cell r="G463" t="str">
            <v>Building</v>
          </cell>
          <cell r="H463" t="str">
            <v>Room</v>
          </cell>
          <cell r="I463" t="str">
            <v>Floor</v>
          </cell>
          <cell r="J463" t="str">
            <v>Existing Use</v>
          </cell>
          <cell r="K463" t="str">
            <v>New Use</v>
          </cell>
          <cell r="L463" t="str">
            <v>Rack Count</v>
          </cell>
          <cell r="O463" t="str">
            <v>Drawing Ref</v>
          </cell>
          <cell r="Q463" t="str">
            <v>07|2</v>
          </cell>
        </row>
        <row r="464">
          <cell r="E464" t="str">
            <v>1. ROOM INVENTORY</v>
          </cell>
          <cell r="G464" t="str">
            <v>07</v>
          </cell>
          <cell r="H464" t="str">
            <v>B-18</v>
          </cell>
          <cell r="I464" t="str">
            <v>Basement</v>
          </cell>
          <cell r="J464" t="str">
            <v>Existing office / telecom-service area</v>
          </cell>
          <cell r="K464" t="str">
            <v>Telecom Room</v>
          </cell>
          <cell r="L464">
            <v>1</v>
          </cell>
          <cell r="O464" t="str">
            <v>07A-400 / 07E-401 / 07T-604 / 07M-701</v>
          </cell>
          <cell r="Q464" t="str">
            <v>07|3</v>
          </cell>
        </row>
        <row r="465">
          <cell r="E465" t="str">
            <v>1. ROOM INVENTORY</v>
          </cell>
          <cell r="G465" t="str">
            <v>07</v>
          </cell>
          <cell r="H465" t="str">
            <v>228A</v>
          </cell>
          <cell r="I465" t="str">
            <v>Second</v>
          </cell>
          <cell r="J465" t="str">
            <v>Social worker shared / adjacent OPM storage and DOM MSA area</v>
          </cell>
          <cell r="K465" t="str">
            <v>Telecom Room</v>
          </cell>
          <cell r="L465">
            <v>1</v>
          </cell>
          <cell r="O465" t="str">
            <v>07A-401 / 07E-401 / 07T-604 / 07M-701</v>
          </cell>
          <cell r="Q465" t="str">
            <v>07|4</v>
          </cell>
        </row>
        <row r="466">
          <cell r="E466" t="str">
            <v>1. ROOM INVENTORY</v>
          </cell>
          <cell r="G466">
            <v>0</v>
          </cell>
          <cell r="H466">
            <v>0</v>
          </cell>
          <cell r="I466">
            <v>0</v>
          </cell>
          <cell r="J466">
            <v>0</v>
          </cell>
          <cell r="K466">
            <v>0</v>
          </cell>
          <cell r="L466">
            <v>0</v>
          </cell>
          <cell r="O466">
            <v>0</v>
          </cell>
          <cell r="Q466" t="str">
            <v>07|5</v>
          </cell>
        </row>
        <row r="467">
          <cell r="E467" t="str">
            <v>2. ROOM READINESS</v>
          </cell>
          <cell r="G467" t="str">
            <v>2. ROOM READINESS</v>
          </cell>
          <cell r="H467">
            <v>0</v>
          </cell>
          <cell r="I467">
            <v>0</v>
          </cell>
          <cell r="J467">
            <v>0</v>
          </cell>
          <cell r="K467">
            <v>0</v>
          </cell>
          <cell r="L467">
            <v>0</v>
          </cell>
          <cell r="O467">
            <v>0</v>
          </cell>
          <cell r="Q467" t="str">
            <v>07|6</v>
          </cell>
        </row>
        <row r="468">
          <cell r="E468" t="str">
            <v>2. ROOM READINESS</v>
          </cell>
          <cell r="G468" t="str">
            <v>Room</v>
          </cell>
          <cell r="H468" t="str">
            <v>Walls / 1-hr Rating</v>
          </cell>
          <cell r="I468" t="str">
            <v>Ceiling</v>
          </cell>
          <cell r="J468" t="str">
            <v>Floor / SDC</v>
          </cell>
          <cell r="K468" t="str">
            <v>Penetrations</v>
          </cell>
          <cell r="L468" t="str">
            <v>Access Control</v>
          </cell>
          <cell r="O468" t="str">
            <v>Overall</v>
          </cell>
          <cell r="Q468" t="str">
            <v>07|7</v>
          </cell>
        </row>
        <row r="469">
          <cell r="E469" t="str">
            <v>2. ROOM READINESS</v>
          </cell>
          <cell r="G469" t="str">
            <v>B-18</v>
          </cell>
          <cell r="H469" t="str">
            <v>Verify</v>
          </cell>
          <cell r="I469" t="str">
            <v>Verify</v>
          </cell>
          <cell r="J469" t="str">
            <v>Verify</v>
          </cell>
          <cell r="K469" t="str">
            <v>Verify</v>
          </cell>
          <cell r="L469" t="str">
            <v>Verify</v>
          </cell>
          <cell r="O469" t="str">
            <v>Verify</v>
          </cell>
          <cell r="Q469" t="str">
            <v>07|8</v>
          </cell>
        </row>
        <row r="470">
          <cell r="E470" t="str">
            <v>2. ROOM READINESS</v>
          </cell>
          <cell r="G470" t="str">
            <v>228A</v>
          </cell>
          <cell r="H470" t="str">
            <v>Verify</v>
          </cell>
          <cell r="I470" t="str">
            <v>Verify</v>
          </cell>
          <cell r="J470" t="str">
            <v>Verify</v>
          </cell>
          <cell r="K470" t="str">
            <v>Verify</v>
          </cell>
          <cell r="L470" t="str">
            <v>Verify</v>
          </cell>
          <cell r="O470" t="str">
            <v>Verify</v>
          </cell>
          <cell r="Q470" t="str">
            <v>07|9</v>
          </cell>
        </row>
        <row r="471">
          <cell r="E471" t="str">
            <v>2. ROOM READINESS</v>
          </cell>
          <cell r="G471">
            <v>0</v>
          </cell>
          <cell r="H471">
            <v>0</v>
          </cell>
          <cell r="I471">
            <v>0</v>
          </cell>
          <cell r="J471">
            <v>0</v>
          </cell>
          <cell r="K471">
            <v>0</v>
          </cell>
          <cell r="L471">
            <v>0</v>
          </cell>
          <cell r="O471">
            <v>0</v>
          </cell>
          <cell r="Q471" t="str">
            <v>07|10</v>
          </cell>
        </row>
        <row r="472">
          <cell r="E472" t="str">
            <v>3. FIRE PROTECTION</v>
          </cell>
          <cell r="G472" t="str">
            <v>3. FIRE PROTECTION</v>
          </cell>
          <cell r="H472">
            <v>0</v>
          </cell>
          <cell r="I472">
            <v>0</v>
          </cell>
          <cell r="J472">
            <v>0</v>
          </cell>
          <cell r="K472">
            <v>0</v>
          </cell>
          <cell r="L472">
            <v>0</v>
          </cell>
          <cell r="O472">
            <v>0</v>
          </cell>
          <cell r="Q472" t="str">
            <v>07|11</v>
          </cell>
        </row>
        <row r="473">
          <cell r="E473" t="str">
            <v>3. FIRE PROTECTION</v>
          </cell>
          <cell r="G473" t="str">
            <v>Room</v>
          </cell>
          <cell r="H473" t="str">
            <v>Sprinkler</v>
          </cell>
          <cell r="I473" t="str">
            <v>Cage</v>
          </cell>
          <cell r="J473" t="str">
            <v>Detector</v>
          </cell>
          <cell r="K473" t="str">
            <v>Horn/Strobe</v>
          </cell>
          <cell r="L473" t="str">
            <v>Extinguisher &lt;75 ft</v>
          </cell>
          <cell r="O473" t="str">
            <v>Overall</v>
          </cell>
          <cell r="Q473" t="str">
            <v>07|12</v>
          </cell>
        </row>
        <row r="474">
          <cell r="E474" t="str">
            <v>3. FIRE PROTECTION</v>
          </cell>
          <cell r="G474" t="str">
            <v>B-18</v>
          </cell>
          <cell r="H474" t="str">
            <v>Verify</v>
          </cell>
          <cell r="I474" t="str">
            <v>Verify</v>
          </cell>
          <cell r="J474" t="str">
            <v>Verify</v>
          </cell>
          <cell r="K474" t="str">
            <v>Verify</v>
          </cell>
          <cell r="L474" t="str">
            <v>Verify</v>
          </cell>
          <cell r="O474" t="str">
            <v>Verify</v>
          </cell>
          <cell r="Q474" t="str">
            <v>07|13</v>
          </cell>
        </row>
        <row r="475">
          <cell r="E475" t="str">
            <v>3. FIRE PROTECTION</v>
          </cell>
          <cell r="G475" t="str">
            <v>228A</v>
          </cell>
          <cell r="H475" t="str">
            <v>Verify</v>
          </cell>
          <cell r="I475" t="str">
            <v>Verify</v>
          </cell>
          <cell r="J475" t="str">
            <v>Verify</v>
          </cell>
          <cell r="K475" t="str">
            <v>Verify</v>
          </cell>
          <cell r="L475" t="str">
            <v>Verify</v>
          </cell>
          <cell r="O475" t="str">
            <v>Verify</v>
          </cell>
          <cell r="Q475" t="str">
            <v>07|14</v>
          </cell>
        </row>
        <row r="476">
          <cell r="E476" t="str">
            <v>3. FIRE PROTECTION</v>
          </cell>
          <cell r="G476">
            <v>0</v>
          </cell>
          <cell r="H476">
            <v>0</v>
          </cell>
          <cell r="I476">
            <v>0</v>
          </cell>
          <cell r="J476">
            <v>0</v>
          </cell>
          <cell r="K476">
            <v>0</v>
          </cell>
          <cell r="L476">
            <v>0</v>
          </cell>
          <cell r="O476">
            <v>0</v>
          </cell>
          <cell r="Q476" t="str">
            <v>07|15</v>
          </cell>
        </row>
        <row r="477">
          <cell r="E477" t="str">
            <v>4. HVAC / COOLING</v>
          </cell>
          <cell r="G477" t="str">
            <v>4. HVAC / COOLING</v>
          </cell>
          <cell r="H477">
            <v>0</v>
          </cell>
          <cell r="I477">
            <v>0</v>
          </cell>
          <cell r="J477">
            <v>0</v>
          </cell>
          <cell r="K477">
            <v>0</v>
          </cell>
          <cell r="L477">
            <v>0</v>
          </cell>
          <cell r="O477">
            <v>0</v>
          </cell>
          <cell r="Q477" t="str">
            <v>07|16</v>
          </cell>
        </row>
        <row r="478">
          <cell r="E478" t="str">
            <v>4. HVAC / COOLING</v>
          </cell>
          <cell r="G478" t="str">
            <v>Room</v>
          </cell>
          <cell r="H478" t="str">
            <v>Dedicated Unit</v>
          </cell>
          <cell r="I478" t="str">
            <v>Capacity Verified</v>
          </cell>
          <cell r="J478" t="str">
            <v>Emergency Power</v>
          </cell>
          <cell r="K478" t="str">
            <v>Controls / BACnet</v>
          </cell>
          <cell r="L478" t="str">
            <v>Condensate Routed</v>
          </cell>
          <cell r="O478" t="str">
            <v>Overall</v>
          </cell>
          <cell r="Q478" t="str">
            <v>07|17</v>
          </cell>
        </row>
        <row r="479">
          <cell r="E479" t="str">
            <v>4. HVAC / COOLING</v>
          </cell>
          <cell r="G479" t="str">
            <v>B-18</v>
          </cell>
          <cell r="H479" t="str">
            <v>IU-0-01 / CU-0-01</v>
          </cell>
          <cell r="I479" t="str">
            <v>Verify</v>
          </cell>
          <cell r="J479" t="str">
            <v>Verify</v>
          </cell>
          <cell r="K479" t="str">
            <v>Verify</v>
          </cell>
          <cell r="L479" t="str">
            <v>Verify</v>
          </cell>
          <cell r="O479" t="str">
            <v>Verify</v>
          </cell>
          <cell r="Q479" t="str">
            <v>07|18</v>
          </cell>
        </row>
        <row r="480">
          <cell r="E480" t="str">
            <v>4. HVAC / COOLING</v>
          </cell>
          <cell r="G480" t="str">
            <v>228A</v>
          </cell>
          <cell r="H480" t="str">
            <v>IU-2-01 / CU-2-01</v>
          </cell>
          <cell r="I480" t="str">
            <v>Verify</v>
          </cell>
          <cell r="J480" t="str">
            <v>Verify</v>
          </cell>
          <cell r="K480" t="str">
            <v>Verify</v>
          </cell>
          <cell r="L480" t="str">
            <v>Verify</v>
          </cell>
          <cell r="O480" t="str">
            <v>Verify</v>
          </cell>
          <cell r="Q480" t="str">
            <v>07|19</v>
          </cell>
        </row>
        <row r="481">
          <cell r="E481" t="str">
            <v>4. HVAC / COOLING</v>
          </cell>
          <cell r="G481">
            <v>0</v>
          </cell>
          <cell r="H481">
            <v>0</v>
          </cell>
          <cell r="I481">
            <v>0</v>
          </cell>
          <cell r="J481">
            <v>0</v>
          </cell>
          <cell r="K481">
            <v>0</v>
          </cell>
          <cell r="L481">
            <v>0</v>
          </cell>
          <cell r="O481">
            <v>0</v>
          </cell>
          <cell r="Q481" t="str">
            <v>07|20</v>
          </cell>
        </row>
        <row r="482">
          <cell r="E482" t="str">
            <v>5. ELECTRICAL / UPS</v>
          </cell>
          <cell r="G482" t="str">
            <v>5. ELECTRICAL / UPS</v>
          </cell>
          <cell r="H482">
            <v>0</v>
          </cell>
          <cell r="I482">
            <v>0</v>
          </cell>
          <cell r="J482">
            <v>0</v>
          </cell>
          <cell r="K482">
            <v>0</v>
          </cell>
          <cell r="L482">
            <v>0</v>
          </cell>
          <cell r="O482">
            <v>0</v>
          </cell>
          <cell r="Q482" t="str">
            <v>07|21</v>
          </cell>
        </row>
        <row r="483">
          <cell r="E483" t="str">
            <v>5. ELECTRICAL / UPS</v>
          </cell>
          <cell r="G483" t="str">
            <v>Room</v>
          </cell>
          <cell r="H483" t="str">
            <v>UPS Installed</v>
          </cell>
          <cell r="I483" t="str">
            <v>UPS Size</v>
          </cell>
          <cell r="J483" t="str">
            <v>PDU Installed</v>
          </cell>
          <cell r="K483" t="str">
            <v>Rack Receptacles</v>
          </cell>
          <cell r="L483" t="str">
            <v>Panel Assigned</v>
          </cell>
          <cell r="O483" t="str">
            <v>Overall</v>
          </cell>
          <cell r="Q483" t="str">
            <v>07|22</v>
          </cell>
        </row>
        <row r="484">
          <cell r="E484" t="str">
            <v>5. ELECTRICAL / UPS</v>
          </cell>
          <cell r="G484" t="str">
            <v>B-18</v>
          </cell>
          <cell r="H484" t="str">
            <v>Verify</v>
          </cell>
          <cell r="I484" t="str">
            <v>5 kW / rack equipment</v>
          </cell>
          <cell r="J484" t="str">
            <v>Verify</v>
          </cell>
          <cell r="K484" t="str">
            <v>Verify</v>
          </cell>
          <cell r="L484" t="str">
            <v>B07-TRB18A / B07-TRB18B</v>
          </cell>
          <cell r="O484" t="str">
            <v>Verify</v>
          </cell>
          <cell r="Q484" t="str">
            <v>07|23</v>
          </cell>
        </row>
        <row r="485">
          <cell r="E485" t="str">
            <v>5. ELECTRICAL / UPS</v>
          </cell>
          <cell r="G485" t="str">
            <v>228A</v>
          </cell>
          <cell r="H485" t="str">
            <v>Verify</v>
          </cell>
          <cell r="I485" t="str">
            <v>5 kW / rack equipment</v>
          </cell>
          <cell r="J485" t="str">
            <v>Verify</v>
          </cell>
          <cell r="K485" t="str">
            <v>Verify</v>
          </cell>
          <cell r="L485" t="str">
            <v>B07-TR228A / B07-TR228B</v>
          </cell>
          <cell r="O485" t="str">
            <v>Verify</v>
          </cell>
          <cell r="Q485" t="str">
            <v>07|24</v>
          </cell>
        </row>
        <row r="486">
          <cell r="E486" t="str">
            <v>5. ELECTRICAL / UPS</v>
          </cell>
          <cell r="G486">
            <v>0</v>
          </cell>
          <cell r="H486">
            <v>0</v>
          </cell>
          <cell r="I486">
            <v>0</v>
          </cell>
          <cell r="J486">
            <v>0</v>
          </cell>
          <cell r="K486">
            <v>0</v>
          </cell>
          <cell r="L486">
            <v>0</v>
          </cell>
          <cell r="O486">
            <v>0</v>
          </cell>
          <cell r="Q486" t="str">
            <v>07|25</v>
          </cell>
        </row>
        <row r="487">
          <cell r="E487" t="str">
            <v>6. TELECOMMUNICATIONS</v>
          </cell>
          <cell r="G487" t="str">
            <v>6. TELECOMMUNICATIONS</v>
          </cell>
          <cell r="H487">
            <v>0</v>
          </cell>
          <cell r="I487">
            <v>0</v>
          </cell>
          <cell r="J487">
            <v>0</v>
          </cell>
          <cell r="K487">
            <v>0</v>
          </cell>
          <cell r="L487">
            <v>0</v>
          </cell>
          <cell r="O487">
            <v>0</v>
          </cell>
          <cell r="Q487" t="str">
            <v>07|26</v>
          </cell>
        </row>
        <row r="488">
          <cell r="E488" t="str">
            <v>6. TELECOMMUNICATIONS</v>
          </cell>
          <cell r="G488" t="str">
            <v>Room</v>
          </cell>
          <cell r="H488" t="str">
            <v>Rack Installed</v>
          </cell>
          <cell r="I488" t="str">
            <v>Ladder Tray</v>
          </cell>
          <cell r="J488" t="str">
            <v>Fiber Installed</v>
          </cell>
          <cell r="K488" t="str">
            <v>Grounding</v>
          </cell>
          <cell r="L488" t="str">
            <v>Labeling</v>
          </cell>
          <cell r="O488" t="str">
            <v>Overall</v>
          </cell>
          <cell r="Q488" t="str">
            <v>07|27</v>
          </cell>
        </row>
        <row r="489">
          <cell r="E489" t="str">
            <v>6. TELECOMMUNICATIONS</v>
          </cell>
          <cell r="G489" t="str">
            <v>B-18</v>
          </cell>
          <cell r="H489" t="str">
            <v>Verify</v>
          </cell>
          <cell r="I489" t="str">
            <v>Verify</v>
          </cell>
          <cell r="J489" t="str">
            <v>Verify</v>
          </cell>
          <cell r="K489" t="str">
            <v>Verify</v>
          </cell>
          <cell r="L489" t="str">
            <v>Verify</v>
          </cell>
          <cell r="O489" t="str">
            <v>Verify</v>
          </cell>
          <cell r="Q489" t="str">
            <v>07|28</v>
          </cell>
        </row>
        <row r="490">
          <cell r="E490" t="str">
            <v>6. TELECOMMUNICATIONS</v>
          </cell>
          <cell r="G490" t="str">
            <v>228A</v>
          </cell>
          <cell r="H490" t="str">
            <v>Verify</v>
          </cell>
          <cell r="I490" t="str">
            <v>Verify</v>
          </cell>
          <cell r="J490" t="str">
            <v>Verify</v>
          </cell>
          <cell r="K490" t="str">
            <v>Verify</v>
          </cell>
          <cell r="L490" t="str">
            <v>Verify</v>
          </cell>
          <cell r="O490" t="str">
            <v>Verify</v>
          </cell>
          <cell r="Q490" t="str">
            <v>07|29</v>
          </cell>
        </row>
        <row r="491">
          <cell r="E491" t="str">
            <v>6. TELECOMMUNICATIONS</v>
          </cell>
          <cell r="G491">
            <v>0</v>
          </cell>
          <cell r="H491">
            <v>0</v>
          </cell>
          <cell r="I491">
            <v>0</v>
          </cell>
          <cell r="J491">
            <v>0</v>
          </cell>
          <cell r="K491">
            <v>0</v>
          </cell>
          <cell r="L491">
            <v>0</v>
          </cell>
          <cell r="O491">
            <v>0</v>
          </cell>
          <cell r="Q491" t="str">
            <v>07|30</v>
          </cell>
        </row>
        <row r="492">
          <cell r="E492" t="str">
            <v>7. SECURITY / PACS / CCTV</v>
          </cell>
          <cell r="G492" t="str">
            <v>7. SECURITY / PACS / CCTV</v>
          </cell>
          <cell r="H492">
            <v>0</v>
          </cell>
          <cell r="I492">
            <v>0</v>
          </cell>
          <cell r="J492">
            <v>0</v>
          </cell>
          <cell r="K492">
            <v>0</v>
          </cell>
          <cell r="L492">
            <v>0</v>
          </cell>
          <cell r="O492">
            <v>0</v>
          </cell>
          <cell r="Q492" t="str">
            <v>07|31</v>
          </cell>
        </row>
        <row r="493">
          <cell r="E493" t="str">
            <v>7. SECURITY / PACS / CCTV</v>
          </cell>
          <cell r="G493" t="str">
            <v>Room</v>
          </cell>
          <cell r="H493" t="str">
            <v>PACS</v>
          </cell>
          <cell r="I493" t="str">
            <v>Card Reader</v>
          </cell>
          <cell r="J493" t="str">
            <v>Door Position</v>
          </cell>
          <cell r="K493" t="str">
            <v>Electric Strike</v>
          </cell>
          <cell r="L493" t="str">
            <v>CCTV</v>
          </cell>
          <cell r="O493" t="str">
            <v>Overall</v>
          </cell>
          <cell r="Q493" t="str">
            <v>07|32</v>
          </cell>
        </row>
        <row r="494">
          <cell r="E494" t="str">
            <v>7. SECURITY / PACS / CCTV</v>
          </cell>
          <cell r="G494" t="str">
            <v>B-18</v>
          </cell>
          <cell r="H494" t="str">
            <v>Verify</v>
          </cell>
          <cell r="I494" t="str">
            <v>Verify</v>
          </cell>
          <cell r="J494" t="str">
            <v>Verify</v>
          </cell>
          <cell r="K494" t="str">
            <v>Verify</v>
          </cell>
          <cell r="L494" t="str">
            <v>Verify</v>
          </cell>
          <cell r="O494" t="str">
            <v>Verify</v>
          </cell>
          <cell r="Q494" t="str">
            <v>07|33</v>
          </cell>
        </row>
        <row r="495">
          <cell r="E495" t="str">
            <v>7. SECURITY / PACS / CCTV</v>
          </cell>
          <cell r="G495" t="str">
            <v>228A</v>
          </cell>
          <cell r="H495" t="str">
            <v>Verify</v>
          </cell>
          <cell r="I495" t="str">
            <v>Verify</v>
          </cell>
          <cell r="J495" t="str">
            <v>Verify</v>
          </cell>
          <cell r="K495" t="str">
            <v>Verify</v>
          </cell>
          <cell r="L495" t="str">
            <v>Verify</v>
          </cell>
          <cell r="O495" t="str">
            <v>Verify</v>
          </cell>
          <cell r="Q495" t="str">
            <v>07|34</v>
          </cell>
        </row>
        <row r="496">
          <cell r="E496" t="str">
            <v>7. SECURITY / PACS / CCTV</v>
          </cell>
          <cell r="G496">
            <v>0</v>
          </cell>
          <cell r="H496">
            <v>0</v>
          </cell>
          <cell r="I496">
            <v>0</v>
          </cell>
          <cell r="J496">
            <v>0</v>
          </cell>
          <cell r="K496">
            <v>0</v>
          </cell>
          <cell r="L496">
            <v>0</v>
          </cell>
          <cell r="O496">
            <v>0</v>
          </cell>
          <cell r="Q496" t="str">
            <v>07|35</v>
          </cell>
        </row>
        <row r="497">
          <cell r="E497" t="str">
            <v>8. OWNER RISKS</v>
          </cell>
          <cell r="G497" t="str">
            <v>8. OWNER RISKS</v>
          </cell>
          <cell r="H497">
            <v>0</v>
          </cell>
          <cell r="I497">
            <v>0</v>
          </cell>
          <cell r="J497">
            <v>0</v>
          </cell>
          <cell r="K497">
            <v>0</v>
          </cell>
          <cell r="L497">
            <v>0</v>
          </cell>
          <cell r="O497">
            <v>0</v>
          </cell>
          <cell r="Q497" t="str">
            <v>07|36</v>
          </cell>
        </row>
        <row r="498">
          <cell r="E498" t="str">
            <v>8. OWNER RISKS</v>
          </cell>
          <cell r="G498" t="str">
            <v>Risk ID</v>
          </cell>
          <cell r="H498" t="str">
            <v>Room</v>
          </cell>
          <cell r="I498" t="str">
            <v>Risk</v>
          </cell>
          <cell r="J498" t="str">
            <v>Impact</v>
          </cell>
          <cell r="K498" t="str">
            <v>Probability</v>
          </cell>
          <cell r="L498" t="str">
            <v>Score</v>
          </cell>
          <cell r="O498" t="str">
            <v>Status</v>
          </cell>
          <cell r="Q498" t="str">
            <v>07|37</v>
          </cell>
        </row>
        <row r="499">
          <cell r="E499" t="str">
            <v>8. OWNER RISKS</v>
          </cell>
          <cell r="G499" t="str">
            <v>B07-R1</v>
          </cell>
          <cell r="H499" t="str">
            <v>All</v>
          </cell>
          <cell r="I499" t="str">
            <v>Existing conditions for B-18 and 228A not field verified</v>
          </cell>
          <cell r="J499" t="str">
            <v>High</v>
          </cell>
          <cell r="K499" t="str">
            <v>Medium</v>
          </cell>
          <cell r="L499">
            <v>6</v>
          </cell>
          <cell r="O499" t="str">
            <v>Open</v>
          </cell>
          <cell r="Q499" t="str">
            <v>07|38</v>
          </cell>
        </row>
        <row r="500">
          <cell r="E500" t="str">
            <v>8. OWNER RISKS</v>
          </cell>
          <cell r="G500" t="str">
            <v>B07-R2</v>
          </cell>
          <cell r="H500" t="str">
            <v>B-18</v>
          </cell>
          <cell r="I500" t="str">
            <v>Basement TR conversion may conflict with existing utilities, office finishes or active pathways</v>
          </cell>
          <cell r="J500" t="str">
            <v>High</v>
          </cell>
          <cell r="K500" t="str">
            <v>Medium</v>
          </cell>
          <cell r="L500">
            <v>6</v>
          </cell>
          <cell r="O500" t="str">
            <v>Open</v>
          </cell>
          <cell r="Q500" t="str">
            <v>07|39</v>
          </cell>
        </row>
        <row r="501">
          <cell r="E501" t="str">
            <v>8. OWNER RISKS</v>
          </cell>
          <cell r="G501" t="str">
            <v>B07-R3</v>
          </cell>
          <cell r="H501" t="str">
            <v>228A</v>
          </cell>
          <cell r="I501" t="str">
            <v>Second-floor rated wall/door work and exterior furring wall/window enclosure could affect schedule</v>
          </cell>
          <cell r="J501" t="str">
            <v>High</v>
          </cell>
          <cell r="K501" t="str">
            <v>Medium</v>
          </cell>
          <cell r="L501">
            <v>6</v>
          </cell>
          <cell r="O501" t="str">
            <v>Open</v>
          </cell>
          <cell r="Q501" t="str">
            <v>07|40</v>
          </cell>
        </row>
        <row r="502">
          <cell r="E502" t="str">
            <v>8. OWNER RISKS</v>
          </cell>
          <cell r="G502" t="str">
            <v>B07-R4</v>
          </cell>
          <cell r="H502" t="str">
            <v>B-18/228A</v>
          </cell>
          <cell r="I502" t="str">
            <v>Dedicated cooling emergency power, controls, condensate and high-temp alarms not verified</v>
          </cell>
          <cell r="J502" t="str">
            <v>Critical</v>
          </cell>
          <cell r="K502" t="str">
            <v>Medium</v>
          </cell>
          <cell r="L502">
            <v>8</v>
          </cell>
          <cell r="O502" t="str">
            <v>Open</v>
          </cell>
          <cell r="Q502" t="str">
            <v>07|41</v>
          </cell>
        </row>
        <row r="503">
          <cell r="E503" t="str">
            <v>8. OWNER RISKS</v>
          </cell>
          <cell r="G503" t="str">
            <v>B07-R5</v>
          </cell>
          <cell r="H503" t="str">
            <v>All</v>
          </cell>
          <cell r="I503" t="str">
            <v>Electrical panel/circuit source and rack load coordination unresolved</v>
          </cell>
          <cell r="J503" t="str">
            <v>High</v>
          </cell>
          <cell r="K503" t="str">
            <v>Medium</v>
          </cell>
          <cell r="L503">
            <v>6</v>
          </cell>
          <cell r="O503" t="str">
            <v>Open</v>
          </cell>
          <cell r="Q503" t="str">
            <v>07|42</v>
          </cell>
        </row>
        <row r="504">
          <cell r="E504" t="str">
            <v>8. OWNER RISKS</v>
          </cell>
          <cell r="G504" t="str">
            <v>B07-R6</v>
          </cell>
          <cell r="H504" t="str">
            <v>All</v>
          </cell>
          <cell r="I504" t="str">
            <v>Telecom/fiber cutover may affect active hospital communications</v>
          </cell>
          <cell r="J504" t="str">
            <v>Critical</v>
          </cell>
          <cell r="K504" t="str">
            <v>Medium</v>
          </cell>
          <cell r="L504">
            <v>8</v>
          </cell>
          <cell r="O504" t="str">
            <v>Open</v>
          </cell>
          <cell r="Q504" t="str">
            <v>07|43</v>
          </cell>
        </row>
        <row r="505">
          <cell r="E505" t="str">
            <v>8. OWNER RISKS</v>
          </cell>
          <cell r="G505" t="str">
            <v>B07-R7</v>
          </cell>
          <cell r="H505" t="str">
            <v>All</v>
          </cell>
          <cell r="I505" t="str">
            <v>Fire alarm/sprinkler impairments and firestopping could affect occupied operations</v>
          </cell>
          <cell r="J505" t="str">
            <v>Critical</v>
          </cell>
          <cell r="K505" t="str">
            <v>Medium</v>
          </cell>
          <cell r="L505">
            <v>8</v>
          </cell>
          <cell r="O505" t="str">
            <v>Open</v>
          </cell>
          <cell r="Q505" t="str">
            <v>07|44</v>
          </cell>
        </row>
        <row r="506">
          <cell r="E506" t="str">
            <v>8. OWNER RISKS</v>
          </cell>
          <cell r="G506" t="str">
            <v>B07-R8</v>
          </cell>
          <cell r="H506" t="str">
            <v>All</v>
          </cell>
          <cell r="I506" t="str">
            <v>Commissioning/third-party inspection reports may not be complete at turnover</v>
          </cell>
          <cell r="J506" t="str">
            <v>High</v>
          </cell>
          <cell r="K506" t="str">
            <v>Medium</v>
          </cell>
          <cell r="L506">
            <v>6</v>
          </cell>
          <cell r="O506" t="str">
            <v>Open</v>
          </cell>
          <cell r="Q506" t="str">
            <v>07|45</v>
          </cell>
        </row>
        <row r="507">
          <cell r="E507" t="str">
            <v>8. OWNER RISKS</v>
          </cell>
          <cell r="G507">
            <v>0</v>
          </cell>
          <cell r="H507">
            <v>0</v>
          </cell>
          <cell r="I507">
            <v>0</v>
          </cell>
          <cell r="J507">
            <v>0</v>
          </cell>
          <cell r="K507">
            <v>0</v>
          </cell>
          <cell r="L507">
            <v>0</v>
          </cell>
          <cell r="O507">
            <v>0</v>
          </cell>
          <cell r="Q507" t="str">
            <v>07|46</v>
          </cell>
        </row>
        <row r="508">
          <cell r="E508" t="str">
            <v>9. OPEN QUESTIONS</v>
          </cell>
          <cell r="G508" t="str">
            <v>9. OPEN QUESTIONS</v>
          </cell>
          <cell r="H508">
            <v>0</v>
          </cell>
          <cell r="I508">
            <v>0</v>
          </cell>
          <cell r="J508">
            <v>0</v>
          </cell>
          <cell r="K508">
            <v>0</v>
          </cell>
          <cell r="L508">
            <v>0</v>
          </cell>
          <cell r="O508">
            <v>0</v>
          </cell>
          <cell r="Q508" t="str">
            <v>07|47</v>
          </cell>
        </row>
        <row r="509">
          <cell r="E509" t="str">
            <v>9. OPEN QUESTIONS</v>
          </cell>
          <cell r="G509" t="str">
            <v>Question ID</v>
          </cell>
          <cell r="H509" t="str">
            <v>Question</v>
          </cell>
          <cell r="I509" t="str">
            <v>Assigned To</v>
          </cell>
          <cell r="J509" t="str">
            <v>Status</v>
          </cell>
          <cell r="K509" t="str">
            <v>Needed By</v>
          </cell>
          <cell r="L509" t="str">
            <v>Answer / Resolution</v>
          </cell>
          <cell r="O509" t="str">
            <v>Date Closed</v>
          </cell>
          <cell r="Q509" t="str">
            <v>07|48</v>
          </cell>
        </row>
        <row r="510">
          <cell r="E510" t="str">
            <v>9. OPEN QUESTIONS</v>
          </cell>
          <cell r="G510" t="str">
            <v>B07-Q1</v>
          </cell>
          <cell r="H510" t="str">
            <v>Confirm final TR scope: B-18 basement and 228A second floor only?</v>
          </cell>
          <cell r="I510" t="str">
            <v>VA / OIT / Designer</v>
          </cell>
          <cell r="J510" t="str">
            <v>Open</v>
          </cell>
          <cell r="K510">
            <v>0</v>
          </cell>
          <cell r="L510">
            <v>0</v>
          </cell>
          <cell r="O510">
            <v>0</v>
          </cell>
          <cell r="Q510" t="str">
            <v>07|49</v>
          </cell>
        </row>
        <row r="511">
          <cell r="E511" t="str">
            <v>9. OPEN QUESTIONS</v>
          </cell>
          <cell r="G511" t="str">
            <v>B07-Q2</v>
          </cell>
          <cell r="H511" t="str">
            <v>Are IU-0-01/CU-0-01 assigned to B-18 and IU-2-01/CU-2-01 assigned to 228A?</v>
          </cell>
          <cell r="I511" t="str">
            <v>Mechanical / Designer</v>
          </cell>
          <cell r="J511" t="str">
            <v>Open</v>
          </cell>
          <cell r="K511">
            <v>0</v>
          </cell>
          <cell r="L511">
            <v>0</v>
          </cell>
          <cell r="O511">
            <v>0</v>
          </cell>
          <cell r="Q511" t="str">
            <v>07|50</v>
          </cell>
        </row>
        <row r="512">
          <cell r="E512" t="str">
            <v>9. OPEN QUESTIONS</v>
          </cell>
          <cell r="G512" t="str">
            <v>B07-Q3</v>
          </cell>
          <cell r="H512" t="str">
            <v>Are cooling units and controls on emergency/backup power?</v>
          </cell>
          <cell r="I512" t="str">
            <v>Mechanical / Electrical / VA</v>
          </cell>
          <cell r="J512" t="str">
            <v>Open</v>
          </cell>
          <cell r="K512">
            <v>0</v>
          </cell>
          <cell r="L512">
            <v>0</v>
          </cell>
          <cell r="O512">
            <v>0</v>
          </cell>
          <cell r="Q512" t="str">
            <v>07|51</v>
          </cell>
        </row>
        <row r="513">
          <cell r="E513" t="str">
            <v>9. OPEN QUESTIONS</v>
          </cell>
          <cell r="G513" t="str">
            <v>B07-Q4</v>
          </cell>
          <cell r="H513" t="str">
            <v>Where are clean-agent/CO2 extinguisher cabinets located within 75 ft of each TR?</v>
          </cell>
          <cell r="I513" t="str">
            <v>GC / COR</v>
          </cell>
          <cell r="J513" t="str">
            <v>Open</v>
          </cell>
          <cell r="K513">
            <v>0</v>
          </cell>
          <cell r="L513">
            <v>0</v>
          </cell>
          <cell r="O513">
            <v>0</v>
          </cell>
          <cell r="Q513" t="str">
            <v>07|52</v>
          </cell>
        </row>
        <row r="514">
          <cell r="E514" t="str">
            <v>9. OPEN QUESTIONS</v>
          </cell>
          <cell r="G514" t="str">
            <v>B07-Q5</v>
          </cell>
          <cell r="H514" t="str">
            <v>What active services are currently fed from B-18 and/or existing pathways serving 228A?</v>
          </cell>
          <cell r="I514" t="str">
            <v>OIT / Contractor</v>
          </cell>
          <cell r="J514" t="str">
            <v>Open</v>
          </cell>
          <cell r="K514">
            <v>0</v>
          </cell>
          <cell r="L514">
            <v>0</v>
          </cell>
          <cell r="O514">
            <v>0</v>
          </cell>
          <cell r="Q514" t="str">
            <v>07|53</v>
          </cell>
        </row>
        <row r="515">
          <cell r="E515" t="str">
            <v>9. OPEN QUESTIONS</v>
          </cell>
          <cell r="G515" t="str">
            <v>B07-Q6</v>
          </cell>
          <cell r="H515" t="str">
            <v>Are all B07 panelboard sources, circuits, SPDs, labels and load measurements approved?</v>
          </cell>
          <cell r="I515" t="str">
            <v>Electrical / Designer</v>
          </cell>
          <cell r="J515" t="str">
            <v>Open</v>
          </cell>
          <cell r="K515">
            <v>0</v>
          </cell>
          <cell r="L515">
            <v>0</v>
          </cell>
          <cell r="O515">
            <v>0</v>
          </cell>
          <cell r="Q515" t="str">
            <v>07|54</v>
          </cell>
        </row>
        <row r="516">
          <cell r="E516" t="str">
            <v>9. OPEN QUESTIONS</v>
          </cell>
          <cell r="G516" t="str">
            <v>B07-Q7</v>
          </cell>
          <cell r="H516" t="str">
            <v>Are all rated wall/floor penetrations, sleeves and firestopping identified?</v>
          </cell>
          <cell r="I516" t="str">
            <v>GC / Firestop</v>
          </cell>
          <cell r="J516" t="str">
            <v>Open</v>
          </cell>
          <cell r="K516">
            <v>0</v>
          </cell>
          <cell r="L516">
            <v>0</v>
          </cell>
          <cell r="O516">
            <v>0</v>
          </cell>
          <cell r="Q516" t="str">
            <v>07|55</v>
          </cell>
        </row>
        <row r="517">
          <cell r="E517" t="str">
            <v>9. OPEN QUESTIONS</v>
          </cell>
          <cell r="G517" t="str">
            <v>B07-Q8</v>
          </cell>
          <cell r="H517" t="str">
            <v>Which third-party inspections and commissioning forms are required before VA acceptance?</v>
          </cell>
          <cell r="I517" t="str">
            <v>GC / Cx Manager</v>
          </cell>
          <cell r="J517" t="str">
            <v>Open</v>
          </cell>
          <cell r="K517">
            <v>0</v>
          </cell>
          <cell r="L517">
            <v>0</v>
          </cell>
          <cell r="O517">
            <v>0</v>
          </cell>
          <cell r="Q517" t="str">
            <v>07|56</v>
          </cell>
        </row>
        <row r="518">
          <cell r="E518" t="str">
            <v>9. OPEN QUESTIONS</v>
          </cell>
          <cell r="G518">
            <v>0</v>
          </cell>
          <cell r="H518">
            <v>0</v>
          </cell>
          <cell r="I518">
            <v>0</v>
          </cell>
          <cell r="J518">
            <v>0</v>
          </cell>
          <cell r="K518">
            <v>0</v>
          </cell>
          <cell r="L518">
            <v>0</v>
          </cell>
          <cell r="O518">
            <v>0</v>
          </cell>
          <cell r="Q518" t="str">
            <v>07|57</v>
          </cell>
        </row>
        <row r="519">
          <cell r="E519" t="str">
            <v>10. PHOTO LOG</v>
          </cell>
          <cell r="G519" t="str">
            <v>10. PHOTO LOG</v>
          </cell>
          <cell r="H519">
            <v>0</v>
          </cell>
          <cell r="I519">
            <v>0</v>
          </cell>
          <cell r="J519">
            <v>0</v>
          </cell>
          <cell r="K519">
            <v>0</v>
          </cell>
          <cell r="L519">
            <v>0</v>
          </cell>
          <cell r="O519">
            <v>0</v>
          </cell>
          <cell r="Q519" t="str">
            <v>07|58</v>
          </cell>
        </row>
        <row r="520">
          <cell r="E520" t="str">
            <v>10. PHOTO LOG</v>
          </cell>
          <cell r="G520" t="str">
            <v>Photo ID</v>
          </cell>
          <cell r="H520" t="str">
            <v>Room</v>
          </cell>
          <cell r="I520" t="str">
            <v>Category</v>
          </cell>
          <cell r="J520" t="str">
            <v>Description</v>
          </cell>
          <cell r="K520" t="str">
            <v>Date</v>
          </cell>
          <cell r="L520" t="str">
            <v>Taken By</v>
          </cell>
          <cell r="O520" t="str">
            <v>Status</v>
          </cell>
          <cell r="Q520" t="str">
            <v>07|59</v>
          </cell>
        </row>
        <row r="521">
          <cell r="E521" t="str">
            <v>10. PHOTO LOG</v>
          </cell>
          <cell r="G521" t="str">
            <v>B07-P001</v>
          </cell>
          <cell r="H521" t="str">
            <v>B-18</v>
          </cell>
          <cell r="I521" t="str">
            <v>Existing Condition</v>
          </cell>
          <cell r="J521" t="str">
            <v>Basement TR B-18 existing room, walls, ceiling, floor, utilities, penetrations and pathway</v>
          </cell>
          <cell r="K521">
            <v>0</v>
          </cell>
          <cell r="L521" t="str">
            <v>Paul</v>
          </cell>
          <cell r="O521" t="str">
            <v>Open</v>
          </cell>
          <cell r="Q521" t="str">
            <v>07|60</v>
          </cell>
        </row>
        <row r="522">
          <cell r="E522" t="str">
            <v>10. PHOTO LOG</v>
          </cell>
          <cell r="G522" t="str">
            <v>B07-P002</v>
          </cell>
          <cell r="H522" t="str">
            <v>228A</v>
          </cell>
          <cell r="I522" t="str">
            <v>Existing Condition</v>
          </cell>
          <cell r="J522" t="str">
            <v>Second-floor TR 228A, door/wall/furring/window conditions, adjacent spaces and pathway</v>
          </cell>
          <cell r="K522">
            <v>0</v>
          </cell>
          <cell r="L522" t="str">
            <v>Paul</v>
          </cell>
          <cell r="O522" t="str">
            <v>Open</v>
          </cell>
          <cell r="Q522" t="str">
            <v>07|61</v>
          </cell>
        </row>
        <row r="523">
          <cell r="E523" t="str">
            <v>10. PHOTO LOG</v>
          </cell>
          <cell r="G523" t="str">
            <v>B07-P003</v>
          </cell>
          <cell r="H523" t="str">
            <v>All</v>
          </cell>
          <cell r="I523" t="str">
            <v>Firestop</v>
          </cell>
          <cell r="J523" t="str">
            <v>All wall/floor/sleeve/tray penetrations before and after firestop</v>
          </cell>
          <cell r="K523">
            <v>0</v>
          </cell>
          <cell r="L523" t="str">
            <v>Paul</v>
          </cell>
          <cell r="O523" t="str">
            <v>Open</v>
          </cell>
          <cell r="Q523" t="str">
            <v>07|62</v>
          </cell>
        </row>
        <row r="524">
          <cell r="E524" t="str">
            <v>10. PHOTO LOG</v>
          </cell>
          <cell r="G524" t="str">
            <v>B07-P004</v>
          </cell>
          <cell r="H524" t="str">
            <v>B-18/228A</v>
          </cell>
          <cell r="I524" t="str">
            <v>HVAC</v>
          </cell>
          <cell r="J524" t="str">
            <v>IU/CU units, condensate, thermostat, BACnet adapter, disconnects, high-temp alarm and power source</v>
          </cell>
          <cell r="K524">
            <v>0</v>
          </cell>
          <cell r="L524" t="str">
            <v>Paul</v>
          </cell>
          <cell r="O524" t="str">
            <v>Open</v>
          </cell>
          <cell r="Q524" t="str">
            <v>07|63</v>
          </cell>
        </row>
        <row r="525">
          <cell r="E525" t="str">
            <v>10. PHOTO LOG</v>
          </cell>
          <cell r="G525" t="str">
            <v>B07-P005</v>
          </cell>
          <cell r="H525" t="str">
            <v>All</v>
          </cell>
          <cell r="I525" t="str">
            <v>Electrical</v>
          </cell>
          <cell r="J525" t="str">
            <v>B07-TRB18A/B and B07-TR228A/B panels, breakers, SPD, rack receptacles and labels</v>
          </cell>
          <cell r="K525">
            <v>0</v>
          </cell>
          <cell r="L525" t="str">
            <v>Paul</v>
          </cell>
          <cell r="O525" t="str">
            <v>Open</v>
          </cell>
          <cell r="Q525" t="str">
            <v>07|64</v>
          </cell>
        </row>
        <row r="526">
          <cell r="E526" t="str">
            <v>10. PHOTO LOG</v>
          </cell>
          <cell r="G526" t="str">
            <v>B07-P006</v>
          </cell>
          <cell r="H526" t="str">
            <v>All</v>
          </cell>
          <cell r="I526" t="str">
            <v>Telecom</v>
          </cell>
          <cell r="J526" t="str">
            <v>Racks, ladder tray, fiber, Cat6A, patch panels, LIU, labels and test records</v>
          </cell>
          <cell r="K526">
            <v>0</v>
          </cell>
          <cell r="L526" t="str">
            <v>Paul</v>
          </cell>
          <cell r="O526" t="str">
            <v>Open</v>
          </cell>
          <cell r="Q526" t="str">
            <v>07|65</v>
          </cell>
        </row>
        <row r="527">
          <cell r="E527" t="str">
            <v>10. PHOTO LOG</v>
          </cell>
          <cell r="G527" t="str">
            <v>B07-P007</v>
          </cell>
          <cell r="H527" t="str">
            <v>All</v>
          </cell>
          <cell r="I527" t="str">
            <v>Security</v>
          </cell>
          <cell r="J527" t="str">
            <v>Card reader, electric strike, door position, CCTV/PACS and motion sensors</v>
          </cell>
          <cell r="K527">
            <v>0</v>
          </cell>
          <cell r="L527" t="str">
            <v>Paul</v>
          </cell>
          <cell r="O527" t="str">
            <v>Open</v>
          </cell>
          <cell r="Q527" t="str">
            <v>07|66</v>
          </cell>
        </row>
        <row r="528">
          <cell r="E528" t="str">
            <v>10. PHOTO LOG</v>
          </cell>
          <cell r="G528">
            <v>0</v>
          </cell>
          <cell r="H528">
            <v>0</v>
          </cell>
          <cell r="I528">
            <v>0</v>
          </cell>
          <cell r="J528">
            <v>0</v>
          </cell>
          <cell r="K528">
            <v>0</v>
          </cell>
          <cell r="L528">
            <v>0</v>
          </cell>
          <cell r="O528">
            <v>0</v>
          </cell>
          <cell r="Q528" t="str">
            <v>07|67</v>
          </cell>
        </row>
        <row r="529">
          <cell r="E529" t="str">
            <v>1. ROOM INVENTORY</v>
          </cell>
          <cell r="G529" t="str">
            <v>1. ROOM INVENTORY</v>
          </cell>
          <cell r="H529">
            <v>0</v>
          </cell>
          <cell r="I529">
            <v>0</v>
          </cell>
          <cell r="J529">
            <v>0</v>
          </cell>
          <cell r="K529">
            <v>0</v>
          </cell>
          <cell r="L529">
            <v>0</v>
          </cell>
          <cell r="O529">
            <v>0</v>
          </cell>
          <cell r="Q529" t="str">
            <v>08|1</v>
          </cell>
        </row>
        <row r="530">
          <cell r="E530" t="str">
            <v>1. ROOM INVENTORY</v>
          </cell>
          <cell r="G530" t="str">
            <v>Building</v>
          </cell>
          <cell r="H530" t="str">
            <v>Room</v>
          </cell>
          <cell r="I530" t="str">
            <v>Floor</v>
          </cell>
          <cell r="J530" t="str">
            <v>Existing Use</v>
          </cell>
          <cell r="K530" t="str">
            <v>New Use</v>
          </cell>
          <cell r="L530" t="str">
            <v>Rack Count</v>
          </cell>
          <cell r="O530" t="str">
            <v>Drawing Ref</v>
          </cell>
          <cell r="Q530" t="str">
            <v>08|2</v>
          </cell>
        </row>
        <row r="531">
          <cell r="E531" t="str">
            <v>1. ROOM INVENTORY</v>
          </cell>
          <cell r="G531" t="str">
            <v>08</v>
          </cell>
          <cell r="H531" t="str">
            <v>B-15</v>
          </cell>
          <cell r="I531" t="str">
            <v>Basement</v>
          </cell>
          <cell r="J531" t="str">
            <v>Existing wall/wall-mounted TE and floor UPS</v>
          </cell>
          <cell r="K531" t="str">
            <v>Existing equipment / transition point</v>
          </cell>
          <cell r="L531">
            <v>2</v>
          </cell>
          <cell r="O531" t="str">
            <v>08T-604</v>
          </cell>
          <cell r="Q531" t="str">
            <v>08|3</v>
          </cell>
        </row>
        <row r="532">
          <cell r="E532" t="str">
            <v>1. ROOM INVENTORY</v>
          </cell>
          <cell r="G532" t="str">
            <v>08</v>
          </cell>
          <cell r="H532" t="str">
            <v>B12B</v>
          </cell>
          <cell r="I532" t="str">
            <v>Basement</v>
          </cell>
          <cell r="J532" t="str">
            <v>Office / basement cabling area</v>
          </cell>
          <cell r="K532" t="str">
            <v>Telecom enclosure / TE cabling service area</v>
          </cell>
          <cell r="L532">
            <v>1</v>
          </cell>
          <cell r="O532" t="str">
            <v>08A-401 / 08E-701 / 08T-701</v>
          </cell>
          <cell r="Q532" t="str">
            <v>08|4</v>
          </cell>
        </row>
        <row r="533">
          <cell r="E533" t="str">
            <v>1. ROOM INVENTORY</v>
          </cell>
          <cell r="G533" t="str">
            <v>08</v>
          </cell>
          <cell r="H533" t="str">
            <v>2065A</v>
          </cell>
          <cell r="I533" t="str">
            <v>Second</v>
          </cell>
          <cell r="J533" t="str">
            <v>Existing copy/office/storage area converted</v>
          </cell>
          <cell r="K533" t="str">
            <v>Telecom Room</v>
          </cell>
          <cell r="L533">
            <v>2</v>
          </cell>
          <cell r="O533" t="str">
            <v>08A-401 / 08E-701 / 08T-604 / 08M-701</v>
          </cell>
          <cell r="Q533" t="str">
            <v>08|5</v>
          </cell>
        </row>
        <row r="534">
          <cell r="E534" t="str">
            <v>1. ROOM INVENTORY</v>
          </cell>
          <cell r="G534">
            <v>0</v>
          </cell>
          <cell r="H534">
            <v>0</v>
          </cell>
          <cell r="I534">
            <v>0</v>
          </cell>
          <cell r="J534">
            <v>0</v>
          </cell>
          <cell r="K534">
            <v>0</v>
          </cell>
          <cell r="L534">
            <v>0</v>
          </cell>
          <cell r="O534">
            <v>0</v>
          </cell>
          <cell r="Q534" t="str">
            <v>08|6</v>
          </cell>
        </row>
        <row r="535">
          <cell r="E535" t="str">
            <v>2. ROOM READINESS</v>
          </cell>
          <cell r="G535" t="str">
            <v>2. ROOM READINESS</v>
          </cell>
          <cell r="H535">
            <v>0</v>
          </cell>
          <cell r="I535">
            <v>0</v>
          </cell>
          <cell r="J535">
            <v>0</v>
          </cell>
          <cell r="K535">
            <v>0</v>
          </cell>
          <cell r="L535">
            <v>0</v>
          </cell>
          <cell r="O535">
            <v>0</v>
          </cell>
          <cell r="Q535" t="str">
            <v>08|7</v>
          </cell>
        </row>
        <row r="536">
          <cell r="E536" t="str">
            <v>2. ROOM READINESS</v>
          </cell>
          <cell r="G536" t="str">
            <v>Room</v>
          </cell>
          <cell r="H536" t="str">
            <v>Walls / 1-hr Rating</v>
          </cell>
          <cell r="I536" t="str">
            <v>Ceiling</v>
          </cell>
          <cell r="J536" t="str">
            <v>Floor / SDC</v>
          </cell>
          <cell r="K536" t="str">
            <v>Penetrations</v>
          </cell>
          <cell r="L536" t="str">
            <v>Access Control</v>
          </cell>
          <cell r="O536" t="str">
            <v>Overall</v>
          </cell>
          <cell r="Q536" t="str">
            <v>08|8</v>
          </cell>
        </row>
        <row r="537">
          <cell r="E537" t="str">
            <v>2. ROOM READINESS</v>
          </cell>
          <cell r="G537" t="str">
            <v>B-15</v>
          </cell>
          <cell r="H537" t="str">
            <v>Verify</v>
          </cell>
          <cell r="I537" t="str">
            <v>Verify</v>
          </cell>
          <cell r="J537" t="str">
            <v>Verify</v>
          </cell>
          <cell r="K537" t="str">
            <v>Verify</v>
          </cell>
          <cell r="L537" t="str">
            <v>Verify</v>
          </cell>
          <cell r="O537" t="str">
            <v>Verify</v>
          </cell>
          <cell r="Q537" t="str">
            <v>08|9</v>
          </cell>
        </row>
        <row r="538">
          <cell r="E538" t="str">
            <v>2. ROOM READINESS</v>
          </cell>
          <cell r="G538" t="str">
            <v>B12B</v>
          </cell>
          <cell r="H538" t="str">
            <v>Verify</v>
          </cell>
          <cell r="I538" t="str">
            <v>Verify</v>
          </cell>
          <cell r="J538" t="str">
            <v>Verify</v>
          </cell>
          <cell r="K538" t="str">
            <v>Verify</v>
          </cell>
          <cell r="L538" t="str">
            <v>Verify</v>
          </cell>
          <cell r="O538" t="str">
            <v>Verify</v>
          </cell>
          <cell r="Q538" t="str">
            <v>08|10</v>
          </cell>
        </row>
        <row r="539">
          <cell r="E539" t="str">
            <v>2. ROOM READINESS</v>
          </cell>
          <cell r="G539" t="str">
            <v>2065A</v>
          </cell>
          <cell r="H539" t="str">
            <v>Verify</v>
          </cell>
          <cell r="I539" t="str">
            <v>Verify</v>
          </cell>
          <cell r="J539" t="str">
            <v>Verify</v>
          </cell>
          <cell r="K539" t="str">
            <v>Verify</v>
          </cell>
          <cell r="L539" t="str">
            <v>Verify</v>
          </cell>
          <cell r="O539" t="str">
            <v>Verify</v>
          </cell>
          <cell r="Q539" t="str">
            <v>08|11</v>
          </cell>
        </row>
        <row r="540">
          <cell r="E540" t="str">
            <v>2. ROOM READINESS</v>
          </cell>
          <cell r="G540">
            <v>0</v>
          </cell>
          <cell r="H540">
            <v>0</v>
          </cell>
          <cell r="I540">
            <v>0</v>
          </cell>
          <cell r="J540">
            <v>0</v>
          </cell>
          <cell r="K540">
            <v>0</v>
          </cell>
          <cell r="L540">
            <v>0</v>
          </cell>
          <cell r="O540">
            <v>0</v>
          </cell>
          <cell r="Q540" t="str">
            <v>08|12</v>
          </cell>
        </row>
        <row r="541">
          <cell r="E541" t="str">
            <v>3. FIRE PROTECTION</v>
          </cell>
          <cell r="G541" t="str">
            <v>3. FIRE PROTECTION</v>
          </cell>
          <cell r="H541">
            <v>0</v>
          </cell>
          <cell r="I541">
            <v>0</v>
          </cell>
          <cell r="J541">
            <v>0</v>
          </cell>
          <cell r="K541">
            <v>0</v>
          </cell>
          <cell r="L541">
            <v>0</v>
          </cell>
          <cell r="O541">
            <v>0</v>
          </cell>
          <cell r="Q541" t="str">
            <v>08|13</v>
          </cell>
        </row>
        <row r="542">
          <cell r="E542" t="str">
            <v>3. FIRE PROTECTION</v>
          </cell>
          <cell r="G542" t="str">
            <v>Room</v>
          </cell>
          <cell r="H542" t="str">
            <v>Sprinkler</v>
          </cell>
          <cell r="I542" t="str">
            <v>Cage</v>
          </cell>
          <cell r="J542" t="str">
            <v>Detector</v>
          </cell>
          <cell r="K542" t="str">
            <v>Horn/Strobe</v>
          </cell>
          <cell r="L542" t="str">
            <v>Extinguisher &lt;75 ft</v>
          </cell>
          <cell r="O542" t="str">
            <v>Overall</v>
          </cell>
          <cell r="Q542" t="str">
            <v>08|14</v>
          </cell>
        </row>
        <row r="543">
          <cell r="E543" t="str">
            <v>3. FIRE PROTECTION</v>
          </cell>
          <cell r="G543" t="str">
            <v>B-15</v>
          </cell>
          <cell r="H543" t="str">
            <v>Verify</v>
          </cell>
          <cell r="I543" t="str">
            <v>N/A</v>
          </cell>
          <cell r="J543" t="str">
            <v>Verify</v>
          </cell>
          <cell r="K543" t="str">
            <v>Verify</v>
          </cell>
          <cell r="L543" t="str">
            <v>Verify</v>
          </cell>
          <cell r="O543" t="str">
            <v>Verify</v>
          </cell>
          <cell r="Q543" t="str">
            <v>08|15</v>
          </cell>
        </row>
        <row r="544">
          <cell r="E544" t="str">
            <v>3. FIRE PROTECTION</v>
          </cell>
          <cell r="G544" t="str">
            <v>B12B</v>
          </cell>
          <cell r="H544" t="str">
            <v>Verify</v>
          </cell>
          <cell r="I544" t="str">
            <v>Verify</v>
          </cell>
          <cell r="J544" t="str">
            <v>Verify</v>
          </cell>
          <cell r="K544" t="str">
            <v>Verify</v>
          </cell>
          <cell r="L544" t="str">
            <v>Verify</v>
          </cell>
          <cell r="O544" t="str">
            <v>Verify</v>
          </cell>
          <cell r="Q544" t="str">
            <v>08|16</v>
          </cell>
        </row>
        <row r="545">
          <cell r="E545" t="str">
            <v>3. FIRE PROTECTION</v>
          </cell>
          <cell r="G545" t="str">
            <v>2065A</v>
          </cell>
          <cell r="H545" t="str">
            <v>Verify</v>
          </cell>
          <cell r="I545" t="str">
            <v>Verify</v>
          </cell>
          <cell r="J545" t="str">
            <v>Verify</v>
          </cell>
          <cell r="K545" t="str">
            <v>Verify</v>
          </cell>
          <cell r="L545" t="str">
            <v>Verify</v>
          </cell>
          <cell r="O545" t="str">
            <v>Verify</v>
          </cell>
          <cell r="Q545" t="str">
            <v>08|17</v>
          </cell>
        </row>
        <row r="546">
          <cell r="E546" t="str">
            <v>3. FIRE PROTECTION</v>
          </cell>
          <cell r="G546">
            <v>0</v>
          </cell>
          <cell r="H546">
            <v>0</v>
          </cell>
          <cell r="I546">
            <v>0</v>
          </cell>
          <cell r="J546">
            <v>0</v>
          </cell>
          <cell r="K546">
            <v>0</v>
          </cell>
          <cell r="L546">
            <v>0</v>
          </cell>
          <cell r="O546">
            <v>0</v>
          </cell>
          <cell r="Q546" t="str">
            <v>08|18</v>
          </cell>
        </row>
        <row r="547">
          <cell r="E547" t="str">
            <v>4. HVAC / COOLING</v>
          </cell>
          <cell r="G547" t="str">
            <v>4. HVAC / COOLING</v>
          </cell>
          <cell r="H547">
            <v>0</v>
          </cell>
          <cell r="I547">
            <v>0</v>
          </cell>
          <cell r="J547">
            <v>0</v>
          </cell>
          <cell r="K547">
            <v>0</v>
          </cell>
          <cell r="L547">
            <v>0</v>
          </cell>
          <cell r="O547">
            <v>0</v>
          </cell>
          <cell r="Q547" t="str">
            <v>08|19</v>
          </cell>
        </row>
        <row r="548">
          <cell r="E548" t="str">
            <v>4. HVAC / COOLING</v>
          </cell>
          <cell r="G548" t="str">
            <v>Room</v>
          </cell>
          <cell r="H548" t="str">
            <v>Dedicated Unit</v>
          </cell>
          <cell r="I548" t="str">
            <v>Capacity Verified</v>
          </cell>
          <cell r="J548" t="str">
            <v>Emergency Power</v>
          </cell>
          <cell r="K548" t="str">
            <v>Controls / BACnet</v>
          </cell>
          <cell r="L548" t="str">
            <v>Condensate Routed</v>
          </cell>
          <cell r="O548" t="str">
            <v>Overall</v>
          </cell>
          <cell r="Q548" t="str">
            <v>08|20</v>
          </cell>
        </row>
        <row r="549">
          <cell r="E549" t="str">
            <v>4. HVAC / COOLING</v>
          </cell>
          <cell r="G549" t="str">
            <v>B-15</v>
          </cell>
          <cell r="H549" t="str">
            <v>Existing</v>
          </cell>
          <cell r="I549" t="str">
            <v>Verify</v>
          </cell>
          <cell r="J549" t="str">
            <v>Verify</v>
          </cell>
          <cell r="K549" t="str">
            <v>Verify</v>
          </cell>
          <cell r="L549" t="str">
            <v>Verify</v>
          </cell>
          <cell r="O549" t="str">
            <v>Verify</v>
          </cell>
          <cell r="Q549" t="str">
            <v>08|21</v>
          </cell>
        </row>
        <row r="550">
          <cell r="E550" t="str">
            <v>4. HVAC / COOLING</v>
          </cell>
          <cell r="G550" t="str">
            <v>B12B</v>
          </cell>
          <cell r="H550" t="str">
            <v>N/A / Verify</v>
          </cell>
          <cell r="I550" t="str">
            <v>Verify</v>
          </cell>
          <cell r="J550" t="str">
            <v>Verify</v>
          </cell>
          <cell r="K550" t="str">
            <v>Verify</v>
          </cell>
          <cell r="L550" t="str">
            <v>Verify</v>
          </cell>
          <cell r="O550" t="str">
            <v>Verify</v>
          </cell>
          <cell r="Q550" t="str">
            <v>08|22</v>
          </cell>
        </row>
        <row r="551">
          <cell r="E551" t="str">
            <v>4. HVAC / COOLING</v>
          </cell>
          <cell r="G551" t="str">
            <v>2065A</v>
          </cell>
          <cell r="H551" t="str">
            <v>IU-2-01 / CU-2-01</v>
          </cell>
          <cell r="I551" t="str">
            <v>Verify</v>
          </cell>
          <cell r="J551" t="str">
            <v>Verify</v>
          </cell>
          <cell r="K551" t="str">
            <v>Verify</v>
          </cell>
          <cell r="L551" t="str">
            <v>Verify</v>
          </cell>
          <cell r="O551" t="str">
            <v>Verify</v>
          </cell>
          <cell r="Q551" t="str">
            <v>08|23</v>
          </cell>
        </row>
        <row r="552">
          <cell r="E552" t="str">
            <v>4. HVAC / COOLING</v>
          </cell>
          <cell r="G552">
            <v>0</v>
          </cell>
          <cell r="H552">
            <v>0</v>
          </cell>
          <cell r="I552">
            <v>0</v>
          </cell>
          <cell r="J552">
            <v>0</v>
          </cell>
          <cell r="K552">
            <v>0</v>
          </cell>
          <cell r="L552">
            <v>0</v>
          </cell>
          <cell r="O552">
            <v>0</v>
          </cell>
          <cell r="Q552" t="str">
            <v>08|24</v>
          </cell>
        </row>
        <row r="553">
          <cell r="E553" t="str">
            <v>5. ELECTRICAL / UPS</v>
          </cell>
          <cell r="G553" t="str">
            <v>5. ELECTRICAL / UPS</v>
          </cell>
          <cell r="H553">
            <v>0</v>
          </cell>
          <cell r="I553">
            <v>0</v>
          </cell>
          <cell r="J553">
            <v>0</v>
          </cell>
          <cell r="K553">
            <v>0</v>
          </cell>
          <cell r="L553">
            <v>0</v>
          </cell>
          <cell r="O553">
            <v>0</v>
          </cell>
          <cell r="Q553" t="str">
            <v>08|25</v>
          </cell>
        </row>
        <row r="554">
          <cell r="E554" t="str">
            <v>5. ELECTRICAL / UPS</v>
          </cell>
          <cell r="G554" t="str">
            <v>Room</v>
          </cell>
          <cell r="H554" t="str">
            <v>UPS Installed</v>
          </cell>
          <cell r="I554" t="str">
            <v>UPS Size</v>
          </cell>
          <cell r="J554" t="str">
            <v>PDU Installed</v>
          </cell>
          <cell r="K554" t="str">
            <v>Rack Receptacles</v>
          </cell>
          <cell r="L554" t="str">
            <v>Panel Assigned</v>
          </cell>
          <cell r="O554" t="str">
            <v>Overall</v>
          </cell>
          <cell r="Q554" t="str">
            <v>08|26</v>
          </cell>
        </row>
        <row r="555">
          <cell r="E555" t="str">
            <v>5. ELECTRICAL / UPS</v>
          </cell>
          <cell r="G555" t="str">
            <v>B-15</v>
          </cell>
          <cell r="H555" t="str">
            <v>Existing</v>
          </cell>
          <cell r="I555" t="str">
            <v>Existing floor UPS</v>
          </cell>
          <cell r="J555" t="str">
            <v>Existing</v>
          </cell>
          <cell r="K555" t="str">
            <v>Verify</v>
          </cell>
          <cell r="L555" t="str">
            <v>Verify</v>
          </cell>
          <cell r="O555" t="str">
            <v>Verify</v>
          </cell>
          <cell r="Q555" t="str">
            <v>08|27</v>
          </cell>
        </row>
        <row r="556">
          <cell r="E556" t="str">
            <v>5. ELECTRICAL / UPS</v>
          </cell>
          <cell r="G556" t="str">
            <v>B12B</v>
          </cell>
          <cell r="H556" t="str">
            <v>Verify</v>
          </cell>
          <cell r="I556" t="str">
            <v>TE scale</v>
          </cell>
          <cell r="J556" t="str">
            <v>Verify</v>
          </cell>
          <cell r="K556" t="str">
            <v>Verify</v>
          </cell>
          <cell r="L556" t="str">
            <v>TE receptacle Room B12B / B08-TR2065AB reference</v>
          </cell>
          <cell r="O556" t="str">
            <v>Verify</v>
          </cell>
          <cell r="Q556" t="str">
            <v>08|28</v>
          </cell>
        </row>
        <row r="557">
          <cell r="E557" t="str">
            <v>5. ELECTRICAL / UPS</v>
          </cell>
          <cell r="G557" t="str">
            <v>2065A</v>
          </cell>
          <cell r="H557" t="str">
            <v>Verify</v>
          </cell>
          <cell r="I557" t="str">
            <v>5 kW / rack equipment</v>
          </cell>
          <cell r="J557" t="str">
            <v>Verify</v>
          </cell>
          <cell r="K557" t="str">
            <v>Verify</v>
          </cell>
          <cell r="L557" t="str">
            <v>B08-TR2065AA / B08-TR2065AB</v>
          </cell>
          <cell r="O557" t="str">
            <v>Verify</v>
          </cell>
          <cell r="Q557" t="str">
            <v>08|29</v>
          </cell>
        </row>
        <row r="558">
          <cell r="E558" t="str">
            <v>5. ELECTRICAL / UPS</v>
          </cell>
          <cell r="G558">
            <v>0</v>
          </cell>
          <cell r="H558">
            <v>0</v>
          </cell>
          <cell r="I558">
            <v>0</v>
          </cell>
          <cell r="J558">
            <v>0</v>
          </cell>
          <cell r="K558">
            <v>0</v>
          </cell>
          <cell r="L558">
            <v>0</v>
          </cell>
          <cell r="O558">
            <v>0</v>
          </cell>
          <cell r="Q558" t="str">
            <v>08|30</v>
          </cell>
        </row>
        <row r="559">
          <cell r="E559" t="str">
            <v>6. TELECOMMUNICATIONS</v>
          </cell>
          <cell r="G559" t="str">
            <v>6. TELECOMMUNICATIONS</v>
          </cell>
          <cell r="H559">
            <v>0</v>
          </cell>
          <cell r="I559">
            <v>0</v>
          </cell>
          <cell r="J559">
            <v>0</v>
          </cell>
          <cell r="K559">
            <v>0</v>
          </cell>
          <cell r="L559">
            <v>0</v>
          </cell>
          <cell r="O559">
            <v>0</v>
          </cell>
          <cell r="Q559" t="str">
            <v>08|31</v>
          </cell>
        </row>
        <row r="560">
          <cell r="E560" t="str">
            <v>6. TELECOMMUNICATIONS</v>
          </cell>
          <cell r="G560" t="str">
            <v>Room</v>
          </cell>
          <cell r="H560" t="str">
            <v>Rack Installed</v>
          </cell>
          <cell r="I560" t="str">
            <v>Ladder Tray</v>
          </cell>
          <cell r="J560" t="str">
            <v>Fiber Installed</v>
          </cell>
          <cell r="K560" t="str">
            <v>Grounding</v>
          </cell>
          <cell r="L560" t="str">
            <v>Labeling</v>
          </cell>
          <cell r="O560" t="str">
            <v>Overall</v>
          </cell>
          <cell r="Q560" t="str">
            <v>08|32</v>
          </cell>
        </row>
        <row r="561">
          <cell r="E561" t="str">
            <v>6. TELECOMMUNICATIONS</v>
          </cell>
          <cell r="G561" t="str">
            <v>B-15</v>
          </cell>
          <cell r="H561" t="str">
            <v>Existing</v>
          </cell>
          <cell r="I561" t="str">
            <v>N/A / TE</v>
          </cell>
          <cell r="J561" t="str">
            <v>Existing</v>
          </cell>
          <cell r="K561" t="str">
            <v>Verify</v>
          </cell>
          <cell r="L561" t="str">
            <v>Verify</v>
          </cell>
          <cell r="O561" t="str">
            <v>Verify</v>
          </cell>
          <cell r="Q561" t="str">
            <v>08|33</v>
          </cell>
        </row>
        <row r="562">
          <cell r="E562" t="str">
            <v>6. TELECOMMUNICATIONS</v>
          </cell>
          <cell r="G562" t="str">
            <v>B12B</v>
          </cell>
          <cell r="H562" t="str">
            <v>Verify</v>
          </cell>
          <cell r="I562" t="str">
            <v>N/A / TE</v>
          </cell>
          <cell r="J562" t="str">
            <v>Verify</v>
          </cell>
          <cell r="K562" t="str">
            <v>Verify</v>
          </cell>
          <cell r="L562" t="str">
            <v>Verify</v>
          </cell>
          <cell r="O562" t="str">
            <v>Verify</v>
          </cell>
          <cell r="Q562" t="str">
            <v>08|34</v>
          </cell>
        </row>
        <row r="563">
          <cell r="E563" t="str">
            <v>6. TELECOMMUNICATIONS</v>
          </cell>
          <cell r="G563" t="str">
            <v>2065A</v>
          </cell>
          <cell r="H563" t="str">
            <v>Verify</v>
          </cell>
          <cell r="I563" t="str">
            <v>Verify</v>
          </cell>
          <cell r="J563" t="str">
            <v>Verify</v>
          </cell>
          <cell r="K563" t="str">
            <v>Verify</v>
          </cell>
          <cell r="L563" t="str">
            <v>Verify</v>
          </cell>
          <cell r="O563" t="str">
            <v>Verify</v>
          </cell>
          <cell r="Q563" t="str">
            <v>08|35</v>
          </cell>
        </row>
        <row r="564">
          <cell r="E564" t="str">
            <v>6. TELECOMMUNICATIONS</v>
          </cell>
          <cell r="G564">
            <v>0</v>
          </cell>
          <cell r="H564">
            <v>0</v>
          </cell>
          <cell r="I564">
            <v>0</v>
          </cell>
          <cell r="J564">
            <v>0</v>
          </cell>
          <cell r="K564">
            <v>0</v>
          </cell>
          <cell r="L564">
            <v>0</v>
          </cell>
          <cell r="O564">
            <v>0</v>
          </cell>
          <cell r="Q564" t="str">
            <v>08|36</v>
          </cell>
        </row>
        <row r="565">
          <cell r="E565" t="str">
            <v>7. SECURITY / PACS / CCTV</v>
          </cell>
          <cell r="G565" t="str">
            <v>7. SECURITY / PACS / CCTV</v>
          </cell>
          <cell r="H565">
            <v>0</v>
          </cell>
          <cell r="I565">
            <v>0</v>
          </cell>
          <cell r="J565">
            <v>0</v>
          </cell>
          <cell r="K565">
            <v>0</v>
          </cell>
          <cell r="L565">
            <v>0</v>
          </cell>
          <cell r="O565">
            <v>0</v>
          </cell>
          <cell r="Q565" t="str">
            <v>08|37</v>
          </cell>
        </row>
        <row r="566">
          <cell r="E566" t="str">
            <v>7. SECURITY / PACS / CCTV</v>
          </cell>
          <cell r="G566" t="str">
            <v>Room</v>
          </cell>
          <cell r="H566" t="str">
            <v>PACS</v>
          </cell>
          <cell r="I566" t="str">
            <v>Card Reader</v>
          </cell>
          <cell r="J566" t="str">
            <v>Door Position</v>
          </cell>
          <cell r="K566" t="str">
            <v>Electric Strike</v>
          </cell>
          <cell r="L566" t="str">
            <v>CCTV</v>
          </cell>
          <cell r="O566" t="str">
            <v>Overall</v>
          </cell>
          <cell r="Q566" t="str">
            <v>08|38</v>
          </cell>
        </row>
        <row r="567">
          <cell r="E567" t="str">
            <v>7. SECURITY / PACS / CCTV</v>
          </cell>
          <cell r="G567" t="str">
            <v>B-15</v>
          </cell>
          <cell r="H567" t="str">
            <v>Verify</v>
          </cell>
          <cell r="I567" t="str">
            <v>Verify</v>
          </cell>
          <cell r="J567" t="str">
            <v>Verify</v>
          </cell>
          <cell r="K567" t="str">
            <v>Verify</v>
          </cell>
          <cell r="L567" t="str">
            <v>Verify</v>
          </cell>
          <cell r="O567" t="str">
            <v>Verify</v>
          </cell>
          <cell r="Q567" t="str">
            <v>08|39</v>
          </cell>
        </row>
        <row r="568">
          <cell r="E568" t="str">
            <v>7. SECURITY / PACS / CCTV</v>
          </cell>
          <cell r="G568" t="str">
            <v>B12B</v>
          </cell>
          <cell r="H568" t="str">
            <v>Verify</v>
          </cell>
          <cell r="I568" t="str">
            <v>Verify</v>
          </cell>
          <cell r="J568" t="str">
            <v>Verify</v>
          </cell>
          <cell r="K568" t="str">
            <v>Verify</v>
          </cell>
          <cell r="L568" t="str">
            <v>Verify</v>
          </cell>
          <cell r="O568" t="str">
            <v>Verify</v>
          </cell>
          <cell r="Q568" t="str">
            <v>08|40</v>
          </cell>
        </row>
        <row r="569">
          <cell r="E569" t="str">
            <v>7. SECURITY / PACS / CCTV</v>
          </cell>
          <cell r="G569" t="str">
            <v>2065A</v>
          </cell>
          <cell r="H569" t="str">
            <v>Verify</v>
          </cell>
          <cell r="I569" t="str">
            <v>Verify</v>
          </cell>
          <cell r="J569" t="str">
            <v>Verify</v>
          </cell>
          <cell r="K569" t="str">
            <v>Verify</v>
          </cell>
          <cell r="L569" t="str">
            <v>Verify</v>
          </cell>
          <cell r="O569" t="str">
            <v>Verify</v>
          </cell>
          <cell r="Q569" t="str">
            <v>08|41</v>
          </cell>
        </row>
        <row r="570">
          <cell r="E570" t="str">
            <v>7. SECURITY / PACS / CCTV</v>
          </cell>
          <cell r="G570">
            <v>0</v>
          </cell>
          <cell r="H570">
            <v>0</v>
          </cell>
          <cell r="I570">
            <v>0</v>
          </cell>
          <cell r="J570">
            <v>0</v>
          </cell>
          <cell r="K570">
            <v>0</v>
          </cell>
          <cell r="L570">
            <v>0</v>
          </cell>
          <cell r="O570">
            <v>0</v>
          </cell>
          <cell r="Q570" t="str">
            <v>08|42</v>
          </cell>
        </row>
        <row r="571">
          <cell r="E571" t="str">
            <v>8. OWNER RISKS</v>
          </cell>
          <cell r="G571" t="str">
            <v>8. OWNER RISKS</v>
          </cell>
          <cell r="H571">
            <v>0</v>
          </cell>
          <cell r="I571">
            <v>0</v>
          </cell>
          <cell r="J571">
            <v>0</v>
          </cell>
          <cell r="K571">
            <v>0</v>
          </cell>
          <cell r="L571">
            <v>0</v>
          </cell>
          <cell r="O571">
            <v>0</v>
          </cell>
          <cell r="Q571" t="str">
            <v>08|43</v>
          </cell>
        </row>
        <row r="572">
          <cell r="E572" t="str">
            <v>8. OWNER RISKS</v>
          </cell>
          <cell r="G572" t="str">
            <v>Risk ID</v>
          </cell>
          <cell r="H572" t="str">
            <v>Room</v>
          </cell>
          <cell r="I572" t="str">
            <v>Risk</v>
          </cell>
          <cell r="J572" t="str">
            <v>Impact</v>
          </cell>
          <cell r="K572" t="str">
            <v>Probability</v>
          </cell>
          <cell r="L572" t="str">
            <v>Score</v>
          </cell>
          <cell r="O572" t="str">
            <v>Status</v>
          </cell>
          <cell r="Q572" t="str">
            <v>08|44</v>
          </cell>
        </row>
        <row r="573">
          <cell r="E573" t="str">
            <v>8. OWNER RISKS</v>
          </cell>
          <cell r="G573" t="str">
            <v>B08-R1</v>
          </cell>
          <cell r="H573" t="str">
            <v>All</v>
          </cell>
          <cell r="I573" t="str">
            <v>Existing conditions for B-15, B12B and 2065A not field verified</v>
          </cell>
          <cell r="J573" t="str">
            <v>High</v>
          </cell>
          <cell r="K573" t="str">
            <v>Medium</v>
          </cell>
          <cell r="L573">
            <v>6</v>
          </cell>
          <cell r="O573" t="str">
            <v>Open</v>
          </cell>
          <cell r="Q573" t="str">
            <v>08|45</v>
          </cell>
        </row>
        <row r="574">
          <cell r="E574" t="str">
            <v>8. OWNER RISKS</v>
          </cell>
          <cell r="G574" t="str">
            <v>B08-R2</v>
          </cell>
          <cell r="H574" t="str">
            <v>B-15</v>
          </cell>
          <cell r="I574" t="str">
            <v>Existing basement legacy equipment may remain active during cutover</v>
          </cell>
          <cell r="J574" t="str">
            <v>Critical</v>
          </cell>
          <cell r="K574" t="str">
            <v>Medium</v>
          </cell>
          <cell r="L574">
            <v>8</v>
          </cell>
          <cell r="O574" t="str">
            <v>Open</v>
          </cell>
          <cell r="Q574" t="str">
            <v>08|46</v>
          </cell>
        </row>
        <row r="575">
          <cell r="E575" t="str">
            <v>8. OWNER RISKS</v>
          </cell>
          <cell r="G575" t="str">
            <v>B08-R3</v>
          </cell>
          <cell r="H575" t="str">
            <v>B12B</v>
          </cell>
          <cell r="I575" t="str">
            <v>Basement B12B appears as Office in architectural schedule but TE in telecom/electrical schedules</v>
          </cell>
          <cell r="J575" t="str">
            <v>High</v>
          </cell>
          <cell r="K575" t="str">
            <v>Medium</v>
          </cell>
          <cell r="L575">
            <v>6</v>
          </cell>
          <cell r="O575" t="str">
            <v>Open</v>
          </cell>
          <cell r="Q575" t="str">
            <v>08|47</v>
          </cell>
        </row>
        <row r="576">
          <cell r="E576" t="str">
            <v>8. OWNER RISKS</v>
          </cell>
          <cell r="G576" t="str">
            <v>B08-R4</v>
          </cell>
          <cell r="H576" t="str">
            <v>2065A</v>
          </cell>
          <cell r="I576" t="str">
            <v>Second-floor Telecom Room conversion includes rated wall/door/open-to-deck work and possible hazardous material impacts</v>
          </cell>
          <cell r="J576" t="str">
            <v>High</v>
          </cell>
          <cell r="K576" t="str">
            <v>Medium</v>
          </cell>
          <cell r="L576">
            <v>6</v>
          </cell>
          <cell r="O576" t="str">
            <v>Open</v>
          </cell>
          <cell r="Q576" t="str">
            <v>08|48</v>
          </cell>
        </row>
        <row r="577">
          <cell r="E577" t="str">
            <v>8. OWNER RISKS</v>
          </cell>
          <cell r="G577" t="str">
            <v>B08-R5</v>
          </cell>
          <cell r="H577" t="str">
            <v>2065A</v>
          </cell>
          <cell r="I577" t="str">
            <v>Dedicated cooling emergency power, controls, condensate and high-temp alarms not verified</v>
          </cell>
          <cell r="J577" t="str">
            <v>Critical</v>
          </cell>
          <cell r="K577" t="str">
            <v>Medium</v>
          </cell>
          <cell r="L577">
            <v>8</v>
          </cell>
          <cell r="O577" t="str">
            <v>Open</v>
          </cell>
          <cell r="Q577" t="str">
            <v>08|49</v>
          </cell>
        </row>
        <row r="578">
          <cell r="E578" t="str">
            <v>8. OWNER RISKS</v>
          </cell>
          <cell r="G578" t="str">
            <v>B08-R6</v>
          </cell>
          <cell r="H578" t="str">
            <v>All</v>
          </cell>
          <cell r="I578" t="str">
            <v>Electrical panel/circuit source and rack load coordination unresolved</v>
          </cell>
          <cell r="J578" t="str">
            <v>High</v>
          </cell>
          <cell r="K578" t="str">
            <v>Medium</v>
          </cell>
          <cell r="L578">
            <v>6</v>
          </cell>
          <cell r="O578" t="str">
            <v>Open</v>
          </cell>
          <cell r="Q578" t="str">
            <v>08|50</v>
          </cell>
        </row>
        <row r="579">
          <cell r="E579" t="str">
            <v>8. OWNER RISKS</v>
          </cell>
          <cell r="G579" t="str">
            <v>B08-R7</v>
          </cell>
          <cell r="H579" t="str">
            <v>All</v>
          </cell>
          <cell r="I579" t="str">
            <v>Fire alarm/sprinkler impairments and firestopping could affect occupied operations</v>
          </cell>
          <cell r="J579" t="str">
            <v>Critical</v>
          </cell>
          <cell r="K579" t="str">
            <v>Medium</v>
          </cell>
          <cell r="L579">
            <v>8</v>
          </cell>
          <cell r="O579" t="str">
            <v>Open</v>
          </cell>
          <cell r="Q579" t="str">
            <v>08|51</v>
          </cell>
        </row>
        <row r="580">
          <cell r="E580" t="str">
            <v>8. OWNER RISKS</v>
          </cell>
          <cell r="G580" t="str">
            <v>B08-R8</v>
          </cell>
          <cell r="H580" t="str">
            <v>All</v>
          </cell>
          <cell r="I580" t="str">
            <v>Commissioning/third-party inspection reports may not be complete at turnover</v>
          </cell>
          <cell r="J580" t="str">
            <v>High</v>
          </cell>
          <cell r="K580" t="str">
            <v>Medium</v>
          </cell>
          <cell r="L580">
            <v>6</v>
          </cell>
          <cell r="O580" t="str">
            <v>Open</v>
          </cell>
          <cell r="Q580" t="str">
            <v>08|52</v>
          </cell>
        </row>
        <row r="581">
          <cell r="E581" t="str">
            <v>8. OWNER RISKS</v>
          </cell>
          <cell r="G581">
            <v>0</v>
          </cell>
          <cell r="H581">
            <v>0</v>
          </cell>
          <cell r="I581">
            <v>0</v>
          </cell>
          <cell r="J581">
            <v>0</v>
          </cell>
          <cell r="K581">
            <v>0</v>
          </cell>
          <cell r="L581">
            <v>0</v>
          </cell>
          <cell r="O581">
            <v>0</v>
          </cell>
          <cell r="Q581" t="str">
            <v>08|53</v>
          </cell>
        </row>
        <row r="582">
          <cell r="E582" t="str">
            <v>9. OPEN QUESTIONS</v>
          </cell>
          <cell r="G582" t="str">
            <v>9. OPEN QUESTIONS</v>
          </cell>
          <cell r="H582">
            <v>0</v>
          </cell>
          <cell r="I582">
            <v>0</v>
          </cell>
          <cell r="J582">
            <v>0</v>
          </cell>
          <cell r="K582">
            <v>0</v>
          </cell>
          <cell r="L582">
            <v>0</v>
          </cell>
          <cell r="O582">
            <v>0</v>
          </cell>
          <cell r="Q582" t="str">
            <v>08|54</v>
          </cell>
        </row>
        <row r="583">
          <cell r="E583" t="str">
            <v>9. OPEN QUESTIONS</v>
          </cell>
          <cell r="G583" t="str">
            <v>Question ID</v>
          </cell>
          <cell r="H583" t="str">
            <v>Question</v>
          </cell>
          <cell r="I583" t="str">
            <v>Assigned To</v>
          </cell>
          <cell r="J583" t="str">
            <v>Status</v>
          </cell>
          <cell r="K583" t="str">
            <v>Needed By</v>
          </cell>
          <cell r="L583" t="str">
            <v>Answer / Resolution</v>
          </cell>
          <cell r="O583" t="str">
            <v>Date Closed</v>
          </cell>
          <cell r="Q583" t="str">
            <v>08|55</v>
          </cell>
        </row>
        <row r="584">
          <cell r="E584" t="str">
            <v>9. OPEN QUESTIONS</v>
          </cell>
          <cell r="G584" t="str">
            <v>B08-Q1</v>
          </cell>
          <cell r="H584" t="str">
            <v>Confirm final scope: existing B-15 equipment, B12B TE/cabling area, and new TR 2065A?</v>
          </cell>
          <cell r="I584" t="str">
            <v>VA / OIT / Designer</v>
          </cell>
          <cell r="J584" t="str">
            <v>Open</v>
          </cell>
          <cell r="K584">
            <v>0</v>
          </cell>
          <cell r="L584">
            <v>0</v>
          </cell>
          <cell r="O584">
            <v>0</v>
          </cell>
          <cell r="Q584" t="str">
            <v>08|56</v>
          </cell>
        </row>
        <row r="585">
          <cell r="E585" t="str">
            <v>9. OPEN QUESTIONS</v>
          </cell>
          <cell r="G585" t="str">
            <v>B08-Q2</v>
          </cell>
          <cell r="H585" t="str">
            <v>What active services are currently fed from existing B-15 equipment?</v>
          </cell>
          <cell r="I585" t="str">
            <v>OIT / Contractor</v>
          </cell>
          <cell r="J585" t="str">
            <v>Open</v>
          </cell>
          <cell r="K585">
            <v>0</v>
          </cell>
          <cell r="L585">
            <v>0</v>
          </cell>
          <cell r="O585">
            <v>0</v>
          </cell>
          <cell r="Q585" t="str">
            <v>08|57</v>
          </cell>
        </row>
        <row r="586">
          <cell r="E586" t="str">
            <v>9. OPEN QUESTIONS</v>
          </cell>
          <cell r="G586" t="str">
            <v>B08-Q3</v>
          </cell>
          <cell r="H586" t="str">
            <v>Is B12B truly a TE/equipment location or only a cabling pathway/service area?</v>
          </cell>
          <cell r="I586" t="str">
            <v>VA / Designer / Contractor</v>
          </cell>
          <cell r="J586" t="str">
            <v>Open</v>
          </cell>
          <cell r="K586">
            <v>0</v>
          </cell>
          <cell r="L586">
            <v>0</v>
          </cell>
          <cell r="O586">
            <v>0</v>
          </cell>
          <cell r="Q586" t="str">
            <v>08|58</v>
          </cell>
        </row>
        <row r="587">
          <cell r="E587" t="str">
            <v>9. OPEN QUESTIONS</v>
          </cell>
          <cell r="G587" t="str">
            <v>B08-Q4</v>
          </cell>
          <cell r="H587" t="str">
            <v>Is IU-2-01/CU-2-01 dedicated to TR 2065A and on emergency/backup power?</v>
          </cell>
          <cell r="I587" t="str">
            <v>Mechanical / Electrical / VA</v>
          </cell>
          <cell r="J587" t="str">
            <v>Open</v>
          </cell>
          <cell r="K587">
            <v>0</v>
          </cell>
          <cell r="L587">
            <v>0</v>
          </cell>
          <cell r="O587">
            <v>0</v>
          </cell>
          <cell r="Q587" t="str">
            <v>08|59</v>
          </cell>
        </row>
        <row r="588">
          <cell r="E588" t="str">
            <v>9. OPEN QUESTIONS</v>
          </cell>
          <cell r="G588" t="str">
            <v>B08-Q5</v>
          </cell>
          <cell r="H588" t="str">
            <v>Where are clean-agent/CO2 extinguisher cabinets located within 75 ft of each TR/TE?</v>
          </cell>
          <cell r="I588" t="str">
            <v>GC / COR</v>
          </cell>
          <cell r="J588" t="str">
            <v>Open</v>
          </cell>
          <cell r="K588">
            <v>0</v>
          </cell>
          <cell r="L588">
            <v>0</v>
          </cell>
          <cell r="O588">
            <v>0</v>
          </cell>
          <cell r="Q588" t="str">
            <v>08|60</v>
          </cell>
        </row>
        <row r="589">
          <cell r="E589" t="str">
            <v>9. OPEN QUESTIONS</v>
          </cell>
          <cell r="G589" t="str">
            <v>B08-Q6</v>
          </cell>
          <cell r="H589" t="str">
            <v>Are all B08 panelboard sources, circuits, SPDs, rack receptacles and load measurements approved?</v>
          </cell>
          <cell r="I589" t="str">
            <v>Electrical / Designer</v>
          </cell>
          <cell r="J589" t="str">
            <v>Open</v>
          </cell>
          <cell r="K589">
            <v>0</v>
          </cell>
          <cell r="L589">
            <v>0</v>
          </cell>
          <cell r="O589">
            <v>0</v>
          </cell>
          <cell r="Q589" t="str">
            <v>08|61</v>
          </cell>
        </row>
        <row r="590">
          <cell r="E590" t="str">
            <v>9. OPEN QUESTIONS</v>
          </cell>
          <cell r="G590" t="str">
            <v>B08-Q7</v>
          </cell>
          <cell r="H590" t="str">
            <v>Are all rated wall/floor penetrations, sleeves and firestopping identified?</v>
          </cell>
          <cell r="I590" t="str">
            <v>GC / Firestop</v>
          </cell>
          <cell r="J590" t="str">
            <v>Open</v>
          </cell>
          <cell r="K590">
            <v>0</v>
          </cell>
          <cell r="L590">
            <v>0</v>
          </cell>
          <cell r="O590">
            <v>0</v>
          </cell>
          <cell r="Q590" t="str">
            <v>08|62</v>
          </cell>
        </row>
        <row r="591">
          <cell r="E591" t="str">
            <v>9. OPEN QUESTIONS</v>
          </cell>
          <cell r="G591" t="str">
            <v>B08-Q8</v>
          </cell>
          <cell r="H591" t="str">
            <v>Which hazardous material/abatement steps apply to Level 2 floor penetrations and flooring removal?</v>
          </cell>
          <cell r="I591" t="str">
            <v>GC / IH / COR</v>
          </cell>
          <cell r="J591" t="str">
            <v>Open</v>
          </cell>
          <cell r="K591">
            <v>0</v>
          </cell>
          <cell r="L591">
            <v>0</v>
          </cell>
          <cell r="O591">
            <v>0</v>
          </cell>
          <cell r="Q591" t="str">
            <v>08|63</v>
          </cell>
        </row>
        <row r="592">
          <cell r="E592" t="str">
            <v>9. OPEN QUESTIONS</v>
          </cell>
          <cell r="G592">
            <v>0</v>
          </cell>
          <cell r="H592">
            <v>0</v>
          </cell>
          <cell r="I592">
            <v>0</v>
          </cell>
          <cell r="J592">
            <v>0</v>
          </cell>
          <cell r="K592">
            <v>0</v>
          </cell>
          <cell r="L592">
            <v>0</v>
          </cell>
          <cell r="O592">
            <v>0</v>
          </cell>
          <cell r="Q592" t="str">
            <v>08|64</v>
          </cell>
        </row>
        <row r="593">
          <cell r="E593" t="str">
            <v>10. PHOTO LOG</v>
          </cell>
          <cell r="G593" t="str">
            <v>10. PHOTO LOG</v>
          </cell>
          <cell r="H593">
            <v>0</v>
          </cell>
          <cell r="I593">
            <v>0</v>
          </cell>
          <cell r="J593">
            <v>0</v>
          </cell>
          <cell r="K593">
            <v>0</v>
          </cell>
          <cell r="L593">
            <v>0</v>
          </cell>
          <cell r="O593">
            <v>0</v>
          </cell>
          <cell r="Q593" t="str">
            <v>08|65</v>
          </cell>
        </row>
        <row r="594">
          <cell r="E594" t="str">
            <v>10. PHOTO LOG</v>
          </cell>
          <cell r="G594" t="str">
            <v>Photo ID</v>
          </cell>
          <cell r="H594" t="str">
            <v>Room</v>
          </cell>
          <cell r="I594" t="str">
            <v>Category</v>
          </cell>
          <cell r="J594" t="str">
            <v>Description</v>
          </cell>
          <cell r="K594" t="str">
            <v>Date</v>
          </cell>
          <cell r="L594" t="str">
            <v>Taken By</v>
          </cell>
          <cell r="O594" t="str">
            <v>Status</v>
          </cell>
          <cell r="Q594" t="str">
            <v>08|66</v>
          </cell>
        </row>
        <row r="595">
          <cell r="E595" t="str">
            <v>10. PHOTO LOG</v>
          </cell>
          <cell r="G595" t="str">
            <v>B08-P001</v>
          </cell>
          <cell r="H595" t="str">
            <v>B-15</v>
          </cell>
          <cell r="I595" t="str">
            <v>Existing Condition</v>
          </cell>
          <cell r="J595" t="str">
            <v>Existing basement TE, legacy patch panels, Fiber LIU, floor UPS and pathways</v>
          </cell>
          <cell r="K595">
            <v>0</v>
          </cell>
          <cell r="L595" t="str">
            <v>Paul</v>
          </cell>
          <cell r="O595" t="str">
            <v>Open</v>
          </cell>
          <cell r="Q595" t="str">
            <v>08|67</v>
          </cell>
        </row>
        <row r="596">
          <cell r="E596" t="str">
            <v>10. PHOTO LOG</v>
          </cell>
          <cell r="G596" t="str">
            <v>B08-P002</v>
          </cell>
          <cell r="H596" t="str">
            <v>B12B</v>
          </cell>
          <cell r="I596" t="str">
            <v>Existing Condition</v>
          </cell>
          <cell r="J596" t="str">
            <v>Basement B12B office/TE location, door, pathways, receptacles, panel source and penetrations</v>
          </cell>
          <cell r="K596">
            <v>0</v>
          </cell>
          <cell r="L596" t="str">
            <v>Paul</v>
          </cell>
          <cell r="O596" t="str">
            <v>Open</v>
          </cell>
          <cell r="Q596" t="str">
            <v>08|68</v>
          </cell>
        </row>
        <row r="597">
          <cell r="E597" t="str">
            <v>10. PHOTO LOG</v>
          </cell>
          <cell r="G597" t="str">
            <v>B08-P003</v>
          </cell>
          <cell r="H597" t="str">
            <v>2065A</v>
          </cell>
          <cell r="I597" t="str">
            <v>Existing Condition</v>
          </cell>
          <cell r="J597" t="str">
            <v>Second-floor TR 2065A room, door/walls/ceiling/floor, exterior furring/window, penetrations</v>
          </cell>
          <cell r="K597">
            <v>0</v>
          </cell>
          <cell r="L597" t="str">
            <v>Paul</v>
          </cell>
          <cell r="O597" t="str">
            <v>Open</v>
          </cell>
          <cell r="Q597" t="str">
            <v>08|69</v>
          </cell>
        </row>
        <row r="598">
          <cell r="E598" t="str">
            <v>10. PHOTO LOG</v>
          </cell>
          <cell r="G598" t="str">
            <v>B08-P004</v>
          </cell>
          <cell r="H598" t="str">
            <v>All</v>
          </cell>
          <cell r="I598" t="str">
            <v>Firestop</v>
          </cell>
          <cell r="J598" t="str">
            <v>All wall/floor/sleeve/tray penetrations before and after firestop</v>
          </cell>
          <cell r="K598">
            <v>0</v>
          </cell>
          <cell r="L598" t="str">
            <v>Paul</v>
          </cell>
          <cell r="O598" t="str">
            <v>Open</v>
          </cell>
          <cell r="Q598" t="str">
            <v>08|70</v>
          </cell>
        </row>
        <row r="599">
          <cell r="E599" t="str">
            <v>10. PHOTO LOG</v>
          </cell>
          <cell r="G599" t="str">
            <v>B08-P005</v>
          </cell>
          <cell r="H599" t="str">
            <v>2065A</v>
          </cell>
          <cell r="I599" t="str">
            <v>HVAC</v>
          </cell>
          <cell r="J599" t="str">
            <v>IU-2-01/CU-2-01, condensate, thermostat, BACnet adapter, disconnects, high-temp alarm and power</v>
          </cell>
          <cell r="K599">
            <v>0</v>
          </cell>
          <cell r="L599" t="str">
            <v>Paul</v>
          </cell>
          <cell r="O599" t="str">
            <v>Open</v>
          </cell>
          <cell r="Q599" t="str">
            <v>08|71</v>
          </cell>
        </row>
        <row r="600">
          <cell r="E600" t="str">
            <v>10. PHOTO LOG</v>
          </cell>
          <cell r="G600" t="str">
            <v>B08-P006</v>
          </cell>
          <cell r="H600" t="str">
            <v>All</v>
          </cell>
          <cell r="I600" t="str">
            <v>Electrical</v>
          </cell>
          <cell r="J600" t="str">
            <v>B08-TR2065AA/AB panels, breakers, SPD, rack receptacles, TE receptacle B12B and labels</v>
          </cell>
          <cell r="K600">
            <v>0</v>
          </cell>
          <cell r="L600" t="str">
            <v>Paul</v>
          </cell>
          <cell r="O600" t="str">
            <v>Open</v>
          </cell>
          <cell r="Q600" t="str">
            <v>08|72</v>
          </cell>
        </row>
        <row r="601">
          <cell r="E601" t="str">
            <v>10. PHOTO LOG</v>
          </cell>
          <cell r="G601" t="str">
            <v>B08-P007</v>
          </cell>
          <cell r="H601" t="str">
            <v>All</v>
          </cell>
          <cell r="I601" t="str">
            <v>Telecom</v>
          </cell>
          <cell r="J601" t="str">
            <v>B-15 legacy equipment, B12B TE schedule, 2065A racks, fiber, Cat6A, patch panels, LIU, labels and test records</v>
          </cell>
          <cell r="K601">
            <v>0</v>
          </cell>
          <cell r="L601" t="str">
            <v>Paul</v>
          </cell>
          <cell r="O601" t="str">
            <v>Open</v>
          </cell>
          <cell r="Q601" t="str">
            <v>08|73</v>
          </cell>
        </row>
        <row r="602">
          <cell r="E602" t="str">
            <v>10. PHOTO LOG</v>
          </cell>
          <cell r="G602" t="str">
            <v>B08-P008</v>
          </cell>
          <cell r="H602" t="str">
            <v>All</v>
          </cell>
          <cell r="I602" t="str">
            <v>Security</v>
          </cell>
          <cell r="J602" t="str">
            <v>Card reader, electric strike, door position, CCTV/PACS and motion sensors</v>
          </cell>
          <cell r="K602">
            <v>0</v>
          </cell>
          <cell r="L602" t="str">
            <v>Paul</v>
          </cell>
          <cell r="O602" t="str">
            <v>Open</v>
          </cell>
          <cell r="Q602" t="str">
            <v>08|74</v>
          </cell>
        </row>
        <row r="603">
          <cell r="E603" t="str">
            <v>10. PHOTO LOG</v>
          </cell>
          <cell r="G603">
            <v>0</v>
          </cell>
          <cell r="H603">
            <v>0</v>
          </cell>
          <cell r="I603">
            <v>0</v>
          </cell>
          <cell r="J603">
            <v>0</v>
          </cell>
          <cell r="K603">
            <v>0</v>
          </cell>
          <cell r="L603">
            <v>0</v>
          </cell>
          <cell r="O603">
            <v>0</v>
          </cell>
          <cell r="Q603" t="str">
            <v>08|75</v>
          </cell>
        </row>
        <row r="604">
          <cell r="E604" t="str">
            <v>1. ROOM INVENTORY</v>
          </cell>
          <cell r="G604" t="str">
            <v>1. ROOM INVENTORY</v>
          </cell>
          <cell r="H604">
            <v>0</v>
          </cell>
          <cell r="I604">
            <v>0</v>
          </cell>
          <cell r="J604">
            <v>0</v>
          </cell>
          <cell r="K604">
            <v>0</v>
          </cell>
          <cell r="L604">
            <v>0</v>
          </cell>
          <cell r="O604">
            <v>0</v>
          </cell>
          <cell r="Q604" t="str">
            <v>09|1</v>
          </cell>
        </row>
        <row r="605">
          <cell r="E605" t="str">
            <v>1. ROOM INVENTORY</v>
          </cell>
          <cell r="G605" t="str">
            <v>Building</v>
          </cell>
          <cell r="H605" t="str">
            <v>Room</v>
          </cell>
          <cell r="I605" t="str">
            <v>Floor</v>
          </cell>
          <cell r="J605" t="str">
            <v>Existing Use</v>
          </cell>
          <cell r="K605" t="str">
            <v>New Use</v>
          </cell>
          <cell r="L605" t="str">
            <v>Rack Count</v>
          </cell>
          <cell r="O605" t="str">
            <v>Drawing Ref</v>
          </cell>
          <cell r="Q605" t="str">
            <v>09|2</v>
          </cell>
        </row>
        <row r="606">
          <cell r="E606" t="str">
            <v>1. ROOM INVENTORY</v>
          </cell>
          <cell r="G606" t="str">
            <v>09</v>
          </cell>
          <cell r="H606" t="str">
            <v>B01</v>
          </cell>
          <cell r="I606" t="str">
            <v>Basement</v>
          </cell>
          <cell r="J606" t="str">
            <v>Storage / existing telecom equipment area</v>
          </cell>
          <cell r="K606" t="str">
            <v>Telecom Room</v>
          </cell>
          <cell r="L606">
            <v>2</v>
          </cell>
          <cell r="O606" t="str">
            <v>09A-400 / 09E-402 / 09T-604 / 09E-701</v>
          </cell>
          <cell r="Q606" t="str">
            <v>09|3</v>
          </cell>
        </row>
        <row r="607">
          <cell r="E607" t="str">
            <v>1. ROOM INVENTORY</v>
          </cell>
          <cell r="G607" t="str">
            <v>09</v>
          </cell>
          <cell r="H607" t="str">
            <v>104B</v>
          </cell>
          <cell r="I607" t="str">
            <v>First</v>
          </cell>
          <cell r="J607" t="str">
            <v>Interview room / existing area converted</v>
          </cell>
          <cell r="K607" t="str">
            <v>Telecom Room</v>
          </cell>
          <cell r="L607">
            <v>2</v>
          </cell>
          <cell r="O607" t="str">
            <v>09A-401 / 09E-401 / 09T-604 / 09E-701</v>
          </cell>
          <cell r="Q607" t="str">
            <v>09|4</v>
          </cell>
        </row>
        <row r="608">
          <cell r="E608" t="str">
            <v>1. ROOM INVENTORY</v>
          </cell>
          <cell r="G608" t="str">
            <v>09</v>
          </cell>
          <cell r="H608" t="str">
            <v>206A</v>
          </cell>
          <cell r="I608" t="str">
            <v>Second</v>
          </cell>
          <cell r="J608" t="str">
            <v>Nursing service / adjacent office area</v>
          </cell>
          <cell r="K608" t="str">
            <v>Telecom Room</v>
          </cell>
          <cell r="L608">
            <v>2</v>
          </cell>
          <cell r="O608" t="str">
            <v>09A-401 / 09E-401 / 09T-604 / 09E-701</v>
          </cell>
          <cell r="Q608" t="str">
            <v>09|5</v>
          </cell>
        </row>
        <row r="609">
          <cell r="E609" t="str">
            <v>1. ROOM INVENTORY</v>
          </cell>
          <cell r="G609">
            <v>0</v>
          </cell>
          <cell r="H609">
            <v>0</v>
          </cell>
          <cell r="I609">
            <v>0</v>
          </cell>
          <cell r="J609">
            <v>0</v>
          </cell>
          <cell r="K609">
            <v>0</v>
          </cell>
          <cell r="L609">
            <v>0</v>
          </cell>
          <cell r="O609">
            <v>0</v>
          </cell>
          <cell r="Q609" t="str">
            <v>09|6</v>
          </cell>
        </row>
        <row r="610">
          <cell r="E610" t="str">
            <v>2. ROOM READINESS</v>
          </cell>
          <cell r="G610" t="str">
            <v>2. ROOM READINESS</v>
          </cell>
          <cell r="H610">
            <v>0</v>
          </cell>
          <cell r="I610">
            <v>0</v>
          </cell>
          <cell r="J610">
            <v>0</v>
          </cell>
          <cell r="K610">
            <v>0</v>
          </cell>
          <cell r="L610">
            <v>0</v>
          </cell>
          <cell r="O610">
            <v>0</v>
          </cell>
          <cell r="Q610" t="str">
            <v>09|7</v>
          </cell>
        </row>
        <row r="611">
          <cell r="E611" t="str">
            <v>2. ROOM READINESS</v>
          </cell>
          <cell r="G611" t="str">
            <v>Room</v>
          </cell>
          <cell r="H611" t="str">
            <v>Walls / 1-hr Rating</v>
          </cell>
          <cell r="I611" t="str">
            <v>Ceiling</v>
          </cell>
          <cell r="J611" t="str">
            <v>Floor / SDC</v>
          </cell>
          <cell r="K611" t="str">
            <v>Penetrations</v>
          </cell>
          <cell r="L611" t="str">
            <v>Access Control</v>
          </cell>
          <cell r="O611" t="str">
            <v>Overall</v>
          </cell>
          <cell r="Q611" t="str">
            <v>09|8</v>
          </cell>
        </row>
        <row r="612">
          <cell r="E612" t="str">
            <v>2. ROOM READINESS</v>
          </cell>
          <cell r="G612" t="str">
            <v>B01</v>
          </cell>
          <cell r="H612" t="str">
            <v>Verify</v>
          </cell>
          <cell r="I612" t="str">
            <v>Verify</v>
          </cell>
          <cell r="J612" t="str">
            <v>Verify</v>
          </cell>
          <cell r="K612" t="str">
            <v>Verify</v>
          </cell>
          <cell r="L612" t="str">
            <v>Verify</v>
          </cell>
          <cell r="O612" t="str">
            <v>Verify</v>
          </cell>
          <cell r="Q612" t="str">
            <v>09|9</v>
          </cell>
        </row>
        <row r="613">
          <cell r="E613" t="str">
            <v>2. ROOM READINESS</v>
          </cell>
          <cell r="G613" t="str">
            <v>104B</v>
          </cell>
          <cell r="H613" t="str">
            <v>Verify</v>
          </cell>
          <cell r="I613" t="str">
            <v>Verify</v>
          </cell>
          <cell r="J613" t="str">
            <v>Verify</v>
          </cell>
          <cell r="K613" t="str">
            <v>Verify</v>
          </cell>
          <cell r="L613" t="str">
            <v>Verify</v>
          </cell>
          <cell r="O613" t="str">
            <v>Verify</v>
          </cell>
          <cell r="Q613" t="str">
            <v>09|10</v>
          </cell>
        </row>
        <row r="614">
          <cell r="E614" t="str">
            <v>2. ROOM READINESS</v>
          </cell>
          <cell r="G614" t="str">
            <v>206A</v>
          </cell>
          <cell r="H614" t="str">
            <v>Verify</v>
          </cell>
          <cell r="I614" t="str">
            <v>Verify</v>
          </cell>
          <cell r="J614" t="str">
            <v>Verify</v>
          </cell>
          <cell r="K614" t="str">
            <v>Verify</v>
          </cell>
          <cell r="L614" t="str">
            <v>Verify</v>
          </cell>
          <cell r="O614" t="str">
            <v>Verify</v>
          </cell>
          <cell r="Q614" t="str">
            <v>09|11</v>
          </cell>
        </row>
        <row r="615">
          <cell r="E615" t="str">
            <v>2. ROOM READINESS</v>
          </cell>
          <cell r="G615">
            <v>0</v>
          </cell>
          <cell r="H615">
            <v>0</v>
          </cell>
          <cell r="I615">
            <v>0</v>
          </cell>
          <cell r="J615">
            <v>0</v>
          </cell>
          <cell r="K615">
            <v>0</v>
          </cell>
          <cell r="L615">
            <v>0</v>
          </cell>
          <cell r="O615">
            <v>0</v>
          </cell>
          <cell r="Q615" t="str">
            <v>09|12</v>
          </cell>
        </row>
        <row r="616">
          <cell r="E616" t="str">
            <v>3. FIRE PROTECTION</v>
          </cell>
          <cell r="G616" t="str">
            <v>3. FIRE PROTECTION</v>
          </cell>
          <cell r="H616">
            <v>0</v>
          </cell>
          <cell r="I616">
            <v>0</v>
          </cell>
          <cell r="J616">
            <v>0</v>
          </cell>
          <cell r="K616">
            <v>0</v>
          </cell>
          <cell r="L616">
            <v>0</v>
          </cell>
          <cell r="O616">
            <v>0</v>
          </cell>
          <cell r="Q616" t="str">
            <v>09|13</v>
          </cell>
        </row>
        <row r="617">
          <cell r="E617" t="str">
            <v>3. FIRE PROTECTION</v>
          </cell>
          <cell r="G617" t="str">
            <v>Room</v>
          </cell>
          <cell r="H617" t="str">
            <v>Sprinkler</v>
          </cell>
          <cell r="I617" t="str">
            <v>Cage</v>
          </cell>
          <cell r="J617" t="str">
            <v>Detector</v>
          </cell>
          <cell r="K617" t="str">
            <v>Horn/Strobe</v>
          </cell>
          <cell r="L617" t="str">
            <v>Extinguisher &lt;75 ft</v>
          </cell>
          <cell r="O617" t="str">
            <v>Overall</v>
          </cell>
          <cell r="Q617" t="str">
            <v>09|14</v>
          </cell>
        </row>
        <row r="618">
          <cell r="E618" t="str">
            <v>3. FIRE PROTECTION</v>
          </cell>
          <cell r="G618" t="str">
            <v>B01</v>
          </cell>
          <cell r="H618" t="str">
            <v>Verify</v>
          </cell>
          <cell r="I618" t="str">
            <v>Verify</v>
          </cell>
          <cell r="J618" t="str">
            <v>Verify</v>
          </cell>
          <cell r="K618" t="str">
            <v>Verify</v>
          </cell>
          <cell r="L618" t="str">
            <v>Verify</v>
          </cell>
          <cell r="O618" t="str">
            <v>Verify</v>
          </cell>
          <cell r="Q618" t="str">
            <v>09|15</v>
          </cell>
        </row>
        <row r="619">
          <cell r="E619" t="str">
            <v>3. FIRE PROTECTION</v>
          </cell>
          <cell r="G619" t="str">
            <v>104B</v>
          </cell>
          <cell r="H619" t="str">
            <v>Verify</v>
          </cell>
          <cell r="I619" t="str">
            <v>Verify</v>
          </cell>
          <cell r="J619" t="str">
            <v>Verify</v>
          </cell>
          <cell r="K619" t="str">
            <v>Verify</v>
          </cell>
          <cell r="L619" t="str">
            <v>Verify</v>
          </cell>
          <cell r="O619" t="str">
            <v>Verify</v>
          </cell>
          <cell r="Q619" t="str">
            <v>09|16</v>
          </cell>
        </row>
        <row r="620">
          <cell r="E620" t="str">
            <v>3. FIRE PROTECTION</v>
          </cell>
          <cell r="G620" t="str">
            <v>206A</v>
          </cell>
          <cell r="H620" t="str">
            <v>Verify</v>
          </cell>
          <cell r="I620" t="str">
            <v>Verify</v>
          </cell>
          <cell r="J620" t="str">
            <v>Verify</v>
          </cell>
          <cell r="K620" t="str">
            <v>Verify</v>
          </cell>
          <cell r="L620" t="str">
            <v>Verify</v>
          </cell>
          <cell r="O620" t="str">
            <v>Verify</v>
          </cell>
          <cell r="Q620" t="str">
            <v>09|17</v>
          </cell>
        </row>
        <row r="621">
          <cell r="E621" t="str">
            <v>3. FIRE PROTECTION</v>
          </cell>
          <cell r="G621">
            <v>0</v>
          </cell>
          <cell r="H621">
            <v>0</v>
          </cell>
          <cell r="I621">
            <v>0</v>
          </cell>
          <cell r="J621">
            <v>0</v>
          </cell>
          <cell r="K621">
            <v>0</v>
          </cell>
          <cell r="L621">
            <v>0</v>
          </cell>
          <cell r="O621">
            <v>0</v>
          </cell>
          <cell r="Q621" t="str">
            <v>09|18</v>
          </cell>
        </row>
        <row r="622">
          <cell r="E622" t="str">
            <v>4. HVAC / COOLING</v>
          </cell>
          <cell r="G622" t="str">
            <v>4. HVAC / COOLING</v>
          </cell>
          <cell r="H622">
            <v>0</v>
          </cell>
          <cell r="I622">
            <v>0</v>
          </cell>
          <cell r="J622">
            <v>0</v>
          </cell>
          <cell r="K622">
            <v>0</v>
          </cell>
          <cell r="L622">
            <v>0</v>
          </cell>
          <cell r="O622">
            <v>0</v>
          </cell>
          <cell r="Q622" t="str">
            <v>09|19</v>
          </cell>
        </row>
        <row r="623">
          <cell r="E623" t="str">
            <v>4. HVAC / COOLING</v>
          </cell>
          <cell r="G623" t="str">
            <v>Room</v>
          </cell>
          <cell r="H623" t="str">
            <v>Dedicated Unit</v>
          </cell>
          <cell r="I623" t="str">
            <v>Capacity Verified</v>
          </cell>
          <cell r="J623" t="str">
            <v>Emergency Power</v>
          </cell>
          <cell r="K623" t="str">
            <v>Controls / BACnet</v>
          </cell>
          <cell r="L623" t="str">
            <v>Condensate Routed</v>
          </cell>
          <cell r="O623" t="str">
            <v>Overall</v>
          </cell>
          <cell r="Q623" t="str">
            <v>09|20</v>
          </cell>
        </row>
        <row r="624">
          <cell r="E624" t="str">
            <v>4. HVAC / COOLING</v>
          </cell>
          <cell r="G624" t="str">
            <v>B01</v>
          </cell>
          <cell r="H624" t="str">
            <v>IU-0-01 / CU-0-1</v>
          </cell>
          <cell r="I624" t="str">
            <v>Verify</v>
          </cell>
          <cell r="J624" t="str">
            <v>Verify</v>
          </cell>
          <cell r="K624" t="str">
            <v>Verify</v>
          </cell>
          <cell r="L624" t="str">
            <v>Verify</v>
          </cell>
          <cell r="O624" t="str">
            <v>Verify</v>
          </cell>
          <cell r="Q624" t="str">
            <v>09|21</v>
          </cell>
        </row>
        <row r="625">
          <cell r="E625" t="str">
            <v>4. HVAC / COOLING</v>
          </cell>
          <cell r="G625" t="str">
            <v>104B</v>
          </cell>
          <cell r="H625" t="str">
            <v>IU-1-01 / CU-1-1</v>
          </cell>
          <cell r="I625" t="str">
            <v>Verify</v>
          </cell>
          <cell r="J625" t="str">
            <v>Verify</v>
          </cell>
          <cell r="K625" t="str">
            <v>Verify</v>
          </cell>
          <cell r="L625" t="str">
            <v>Verify</v>
          </cell>
          <cell r="O625" t="str">
            <v>Verify</v>
          </cell>
          <cell r="Q625" t="str">
            <v>09|22</v>
          </cell>
        </row>
        <row r="626">
          <cell r="E626" t="str">
            <v>4. HVAC / COOLING</v>
          </cell>
          <cell r="G626" t="str">
            <v>206A</v>
          </cell>
          <cell r="H626" t="str">
            <v>IU-2-01 / CU-2-1</v>
          </cell>
          <cell r="I626" t="str">
            <v>Verify</v>
          </cell>
          <cell r="J626" t="str">
            <v>Verify</v>
          </cell>
          <cell r="K626" t="str">
            <v>Verify</v>
          </cell>
          <cell r="L626" t="str">
            <v>Verify</v>
          </cell>
          <cell r="O626" t="str">
            <v>Verify</v>
          </cell>
          <cell r="Q626" t="str">
            <v>09|23</v>
          </cell>
        </row>
        <row r="627">
          <cell r="E627" t="str">
            <v>4. HVAC / COOLING</v>
          </cell>
          <cell r="G627">
            <v>0</v>
          </cell>
          <cell r="H627">
            <v>0</v>
          </cell>
          <cell r="I627">
            <v>0</v>
          </cell>
          <cell r="J627">
            <v>0</v>
          </cell>
          <cell r="K627">
            <v>0</v>
          </cell>
          <cell r="L627">
            <v>0</v>
          </cell>
          <cell r="O627">
            <v>0</v>
          </cell>
          <cell r="Q627" t="str">
            <v>09|24</v>
          </cell>
        </row>
        <row r="628">
          <cell r="E628" t="str">
            <v>5. ELECTRICAL / UPS</v>
          </cell>
          <cell r="G628" t="str">
            <v>5. ELECTRICAL / UPS</v>
          </cell>
          <cell r="H628">
            <v>0</v>
          </cell>
          <cell r="I628">
            <v>0</v>
          </cell>
          <cell r="J628">
            <v>0</v>
          </cell>
          <cell r="K628">
            <v>0</v>
          </cell>
          <cell r="L628">
            <v>0</v>
          </cell>
          <cell r="O628">
            <v>0</v>
          </cell>
          <cell r="Q628" t="str">
            <v>09|25</v>
          </cell>
        </row>
        <row r="629">
          <cell r="E629" t="str">
            <v>5. ELECTRICAL / UPS</v>
          </cell>
          <cell r="G629" t="str">
            <v>Room</v>
          </cell>
          <cell r="H629" t="str">
            <v>UPS Installed</v>
          </cell>
          <cell r="I629" t="str">
            <v>UPS Size</v>
          </cell>
          <cell r="J629" t="str">
            <v>PDU Installed</v>
          </cell>
          <cell r="K629" t="str">
            <v>Rack Receptacles</v>
          </cell>
          <cell r="L629" t="str">
            <v>Panel Assigned</v>
          </cell>
          <cell r="O629" t="str">
            <v>Overall</v>
          </cell>
          <cell r="Q629" t="str">
            <v>09|26</v>
          </cell>
        </row>
        <row r="630">
          <cell r="E630" t="str">
            <v>5. ELECTRICAL / UPS</v>
          </cell>
          <cell r="G630" t="str">
            <v>B01</v>
          </cell>
          <cell r="H630" t="str">
            <v>Verify</v>
          </cell>
          <cell r="I630" t="str">
            <v>5 kW / rack equipment</v>
          </cell>
          <cell r="J630" t="str">
            <v>Verify</v>
          </cell>
          <cell r="K630" t="str">
            <v>Verify</v>
          </cell>
          <cell r="L630" t="str">
            <v>B09-TRB01A / B09-TRB01B / B09-EP-TR</v>
          </cell>
          <cell r="O630" t="str">
            <v>Verify</v>
          </cell>
          <cell r="Q630" t="str">
            <v>09|27</v>
          </cell>
        </row>
        <row r="631">
          <cell r="E631" t="str">
            <v>5. ELECTRICAL / UPS</v>
          </cell>
          <cell r="G631" t="str">
            <v>104B</v>
          </cell>
          <cell r="H631" t="str">
            <v>Verify</v>
          </cell>
          <cell r="I631" t="str">
            <v>5 kW / rack equipment</v>
          </cell>
          <cell r="J631" t="str">
            <v>Verify</v>
          </cell>
          <cell r="K631" t="str">
            <v>Verify</v>
          </cell>
          <cell r="L631" t="str">
            <v>B09-TR104BA / B09-TR104BB</v>
          </cell>
          <cell r="O631" t="str">
            <v>Verify</v>
          </cell>
          <cell r="Q631" t="str">
            <v>09|28</v>
          </cell>
        </row>
        <row r="632">
          <cell r="E632" t="str">
            <v>5. ELECTRICAL / UPS</v>
          </cell>
          <cell r="G632" t="str">
            <v>206A</v>
          </cell>
          <cell r="H632" t="str">
            <v>Verify</v>
          </cell>
          <cell r="I632" t="str">
            <v>5 kW / rack equipment</v>
          </cell>
          <cell r="J632" t="str">
            <v>Verify</v>
          </cell>
          <cell r="K632" t="str">
            <v>Verify</v>
          </cell>
          <cell r="L632" t="str">
            <v>B09-TR206AA / B09-TR206AB</v>
          </cell>
          <cell r="O632" t="str">
            <v>Verify</v>
          </cell>
          <cell r="Q632" t="str">
            <v>09|29</v>
          </cell>
        </row>
        <row r="633">
          <cell r="E633" t="str">
            <v>5. ELECTRICAL / UPS</v>
          </cell>
          <cell r="G633">
            <v>0</v>
          </cell>
          <cell r="H633">
            <v>0</v>
          </cell>
          <cell r="I633">
            <v>0</v>
          </cell>
          <cell r="J633">
            <v>0</v>
          </cell>
          <cell r="K633">
            <v>0</v>
          </cell>
          <cell r="L633">
            <v>0</v>
          </cell>
          <cell r="O633">
            <v>0</v>
          </cell>
          <cell r="Q633" t="str">
            <v>09|30</v>
          </cell>
        </row>
        <row r="634">
          <cell r="E634" t="str">
            <v>6. TELECOMMUNICATIONS</v>
          </cell>
          <cell r="G634" t="str">
            <v>6. TELECOMMUNICATIONS</v>
          </cell>
          <cell r="H634">
            <v>0</v>
          </cell>
          <cell r="I634">
            <v>0</v>
          </cell>
          <cell r="J634">
            <v>0</v>
          </cell>
          <cell r="K634">
            <v>0</v>
          </cell>
          <cell r="L634">
            <v>0</v>
          </cell>
          <cell r="O634">
            <v>0</v>
          </cell>
          <cell r="Q634" t="str">
            <v>09|31</v>
          </cell>
        </row>
        <row r="635">
          <cell r="E635" t="str">
            <v>6. TELECOMMUNICATIONS</v>
          </cell>
          <cell r="G635" t="str">
            <v>Room</v>
          </cell>
          <cell r="H635" t="str">
            <v>Rack Installed</v>
          </cell>
          <cell r="I635" t="str">
            <v>Ladder Tray</v>
          </cell>
          <cell r="J635" t="str">
            <v>Fiber Installed</v>
          </cell>
          <cell r="K635" t="str">
            <v>Grounding</v>
          </cell>
          <cell r="L635" t="str">
            <v>Labeling</v>
          </cell>
          <cell r="O635" t="str">
            <v>Overall</v>
          </cell>
          <cell r="Q635" t="str">
            <v>09|32</v>
          </cell>
        </row>
        <row r="636">
          <cell r="E636" t="str">
            <v>6. TELECOMMUNICATIONS</v>
          </cell>
          <cell r="G636" t="str">
            <v>B01</v>
          </cell>
          <cell r="H636" t="str">
            <v>Verify</v>
          </cell>
          <cell r="I636" t="str">
            <v>Verify</v>
          </cell>
          <cell r="J636" t="str">
            <v>Verify</v>
          </cell>
          <cell r="K636" t="str">
            <v>Verify</v>
          </cell>
          <cell r="L636" t="str">
            <v>Verify</v>
          </cell>
          <cell r="O636" t="str">
            <v>Verify</v>
          </cell>
          <cell r="Q636" t="str">
            <v>09|33</v>
          </cell>
        </row>
        <row r="637">
          <cell r="E637" t="str">
            <v>6. TELECOMMUNICATIONS</v>
          </cell>
          <cell r="G637" t="str">
            <v>104B</v>
          </cell>
          <cell r="H637" t="str">
            <v>Verify</v>
          </cell>
          <cell r="I637" t="str">
            <v>Verify</v>
          </cell>
          <cell r="J637" t="str">
            <v>Verify</v>
          </cell>
          <cell r="K637" t="str">
            <v>Verify</v>
          </cell>
          <cell r="L637" t="str">
            <v>Verify</v>
          </cell>
          <cell r="O637" t="str">
            <v>Verify</v>
          </cell>
          <cell r="Q637" t="str">
            <v>09|34</v>
          </cell>
        </row>
        <row r="638">
          <cell r="E638" t="str">
            <v>6. TELECOMMUNICATIONS</v>
          </cell>
          <cell r="G638" t="str">
            <v>206A</v>
          </cell>
          <cell r="H638" t="str">
            <v>Verify</v>
          </cell>
          <cell r="I638" t="str">
            <v>Verify</v>
          </cell>
          <cell r="J638" t="str">
            <v>Verify</v>
          </cell>
          <cell r="K638" t="str">
            <v>Verify</v>
          </cell>
          <cell r="L638" t="str">
            <v>Verify</v>
          </cell>
          <cell r="O638" t="str">
            <v>Verify</v>
          </cell>
          <cell r="Q638" t="str">
            <v>09|35</v>
          </cell>
        </row>
        <row r="639">
          <cell r="E639" t="str">
            <v>6. TELECOMMUNICATIONS</v>
          </cell>
          <cell r="G639">
            <v>0</v>
          </cell>
          <cell r="H639">
            <v>0</v>
          </cell>
          <cell r="I639">
            <v>0</v>
          </cell>
          <cell r="J639">
            <v>0</v>
          </cell>
          <cell r="K639">
            <v>0</v>
          </cell>
          <cell r="L639">
            <v>0</v>
          </cell>
          <cell r="O639">
            <v>0</v>
          </cell>
          <cell r="Q639" t="str">
            <v>09|36</v>
          </cell>
        </row>
        <row r="640">
          <cell r="E640" t="str">
            <v>7. SECURITY / PACS / CCTV</v>
          </cell>
          <cell r="G640" t="str">
            <v>7. SECURITY / PACS / CCTV</v>
          </cell>
          <cell r="H640">
            <v>0</v>
          </cell>
          <cell r="I640">
            <v>0</v>
          </cell>
          <cell r="J640">
            <v>0</v>
          </cell>
          <cell r="K640">
            <v>0</v>
          </cell>
          <cell r="L640">
            <v>0</v>
          </cell>
          <cell r="O640">
            <v>0</v>
          </cell>
          <cell r="Q640" t="str">
            <v>09|37</v>
          </cell>
        </row>
        <row r="641">
          <cell r="E641" t="str">
            <v>7. SECURITY / PACS / CCTV</v>
          </cell>
          <cell r="G641" t="str">
            <v>Room</v>
          </cell>
          <cell r="H641" t="str">
            <v>PACS</v>
          </cell>
          <cell r="I641" t="str">
            <v>Card Reader</v>
          </cell>
          <cell r="J641" t="str">
            <v>Door Position</v>
          </cell>
          <cell r="K641" t="str">
            <v>Electric Strike</v>
          </cell>
          <cell r="L641" t="str">
            <v>CCTV</v>
          </cell>
          <cell r="O641" t="str">
            <v>Overall</v>
          </cell>
          <cell r="Q641" t="str">
            <v>09|38</v>
          </cell>
        </row>
        <row r="642">
          <cell r="E642" t="str">
            <v>7. SECURITY / PACS / CCTV</v>
          </cell>
          <cell r="G642" t="str">
            <v>B01</v>
          </cell>
          <cell r="H642" t="str">
            <v>Verify</v>
          </cell>
          <cell r="I642" t="str">
            <v>Verify</v>
          </cell>
          <cell r="J642" t="str">
            <v>Verify</v>
          </cell>
          <cell r="K642" t="str">
            <v>Verify</v>
          </cell>
          <cell r="L642" t="str">
            <v>Verify</v>
          </cell>
          <cell r="O642" t="str">
            <v>Verify</v>
          </cell>
          <cell r="Q642" t="str">
            <v>09|39</v>
          </cell>
        </row>
        <row r="643">
          <cell r="E643" t="str">
            <v>7. SECURITY / PACS / CCTV</v>
          </cell>
          <cell r="G643" t="str">
            <v>104B</v>
          </cell>
          <cell r="H643" t="str">
            <v>Verify</v>
          </cell>
          <cell r="I643" t="str">
            <v>Verify</v>
          </cell>
          <cell r="J643" t="str">
            <v>Verify</v>
          </cell>
          <cell r="K643" t="str">
            <v>Verify</v>
          </cell>
          <cell r="L643" t="str">
            <v>Verify</v>
          </cell>
          <cell r="O643" t="str">
            <v>Verify</v>
          </cell>
          <cell r="Q643" t="str">
            <v>09|40</v>
          </cell>
        </row>
        <row r="644">
          <cell r="E644" t="str">
            <v>7. SECURITY / PACS / CCTV</v>
          </cell>
          <cell r="G644" t="str">
            <v>206A</v>
          </cell>
          <cell r="H644" t="str">
            <v>Verify</v>
          </cell>
          <cell r="I644" t="str">
            <v>Verify</v>
          </cell>
          <cell r="J644" t="str">
            <v>Verify</v>
          </cell>
          <cell r="K644" t="str">
            <v>Verify</v>
          </cell>
          <cell r="L644" t="str">
            <v>Verify</v>
          </cell>
          <cell r="O644" t="str">
            <v>Verify</v>
          </cell>
          <cell r="Q644" t="str">
            <v>09|41</v>
          </cell>
        </row>
        <row r="645">
          <cell r="E645" t="str">
            <v>7. SECURITY / PACS / CCTV</v>
          </cell>
          <cell r="G645">
            <v>0</v>
          </cell>
          <cell r="H645">
            <v>0</v>
          </cell>
          <cell r="I645">
            <v>0</v>
          </cell>
          <cell r="J645">
            <v>0</v>
          </cell>
          <cell r="K645">
            <v>0</v>
          </cell>
          <cell r="L645">
            <v>0</v>
          </cell>
          <cell r="O645">
            <v>0</v>
          </cell>
          <cell r="Q645" t="str">
            <v>09|42</v>
          </cell>
        </row>
        <row r="646">
          <cell r="E646" t="str">
            <v>8. OWNER RISKS</v>
          </cell>
          <cell r="G646" t="str">
            <v>8. OWNER RISKS</v>
          </cell>
          <cell r="H646">
            <v>0</v>
          </cell>
          <cell r="I646">
            <v>0</v>
          </cell>
          <cell r="J646">
            <v>0</v>
          </cell>
          <cell r="K646">
            <v>0</v>
          </cell>
          <cell r="L646">
            <v>0</v>
          </cell>
          <cell r="O646">
            <v>0</v>
          </cell>
          <cell r="Q646" t="str">
            <v>09|43</v>
          </cell>
        </row>
        <row r="647">
          <cell r="E647" t="str">
            <v>8. OWNER RISKS</v>
          </cell>
          <cell r="G647" t="str">
            <v>Risk ID</v>
          </cell>
          <cell r="H647" t="str">
            <v>Room</v>
          </cell>
          <cell r="I647" t="str">
            <v>Risk</v>
          </cell>
          <cell r="J647" t="str">
            <v>Impact</v>
          </cell>
          <cell r="K647" t="str">
            <v>Probability</v>
          </cell>
          <cell r="L647" t="str">
            <v>Score</v>
          </cell>
          <cell r="O647" t="str">
            <v>Status</v>
          </cell>
          <cell r="Q647" t="str">
            <v>09|44</v>
          </cell>
        </row>
        <row r="648">
          <cell r="E648" t="str">
            <v>8. OWNER RISKS</v>
          </cell>
          <cell r="G648" t="str">
            <v>B09-R1</v>
          </cell>
          <cell r="H648" t="str">
            <v>All</v>
          </cell>
          <cell r="I648" t="str">
            <v>Existing conditions for B01, 104B and 206A not field verified</v>
          </cell>
          <cell r="J648" t="str">
            <v>High</v>
          </cell>
          <cell r="K648" t="str">
            <v>Medium</v>
          </cell>
          <cell r="L648">
            <v>6</v>
          </cell>
          <cell r="O648" t="str">
            <v>Open</v>
          </cell>
          <cell r="Q648" t="str">
            <v>09|45</v>
          </cell>
        </row>
        <row r="649">
          <cell r="E649" t="str">
            <v>8. OWNER RISKS</v>
          </cell>
          <cell r="G649" t="str">
            <v>B09-R2</v>
          </cell>
          <cell r="H649" t="str">
            <v>B01</v>
          </cell>
          <cell r="I649" t="str">
            <v>Basement TR includes existing equipment and could remain active during cutover</v>
          </cell>
          <cell r="J649" t="str">
            <v>Critical</v>
          </cell>
          <cell r="K649" t="str">
            <v>Medium</v>
          </cell>
          <cell r="L649">
            <v>8</v>
          </cell>
          <cell r="O649" t="str">
            <v>Open</v>
          </cell>
          <cell r="Q649" t="str">
            <v>09|46</v>
          </cell>
        </row>
        <row r="650">
          <cell r="E650" t="str">
            <v>8. OWNER RISKS</v>
          </cell>
          <cell r="G650" t="str">
            <v>B09-R3</v>
          </cell>
          <cell r="H650" t="str">
            <v>All</v>
          </cell>
          <cell r="I650" t="str">
            <v>Hazardous material abatement plans exist for basement, first and second levels</v>
          </cell>
          <cell r="J650" t="str">
            <v>High</v>
          </cell>
          <cell r="K650" t="str">
            <v>Medium</v>
          </cell>
          <cell r="L650">
            <v>6</v>
          </cell>
          <cell r="O650" t="str">
            <v>Open</v>
          </cell>
          <cell r="Q650" t="str">
            <v>09|47</v>
          </cell>
        </row>
        <row r="651">
          <cell r="E651" t="str">
            <v>8. OWNER RISKS</v>
          </cell>
          <cell r="G651" t="str">
            <v>B09-R4</v>
          </cell>
          <cell r="H651" t="str">
            <v>104B/206A</v>
          </cell>
          <cell r="I651" t="str">
            <v>Rated wall/door work and fire/smoke assemblies could affect schedule and acceptance</v>
          </cell>
          <cell r="J651" t="str">
            <v>High</v>
          </cell>
          <cell r="K651" t="str">
            <v>Medium</v>
          </cell>
          <cell r="L651">
            <v>6</v>
          </cell>
          <cell r="O651" t="str">
            <v>Open</v>
          </cell>
          <cell r="Q651" t="str">
            <v>09|48</v>
          </cell>
        </row>
        <row r="652">
          <cell r="E652" t="str">
            <v>8. OWNER RISKS</v>
          </cell>
          <cell r="G652" t="str">
            <v>B09-R5</v>
          </cell>
          <cell r="H652" t="str">
            <v>All</v>
          </cell>
          <cell r="I652" t="str">
            <v>Dedicated cooling emergency power, controls, condensate and high-temp alarms not verified</v>
          </cell>
          <cell r="J652" t="str">
            <v>Critical</v>
          </cell>
          <cell r="K652" t="str">
            <v>Medium</v>
          </cell>
          <cell r="L652">
            <v>8</v>
          </cell>
          <cell r="O652" t="str">
            <v>Open</v>
          </cell>
          <cell r="Q652" t="str">
            <v>09|49</v>
          </cell>
        </row>
        <row r="653">
          <cell r="E653" t="str">
            <v>8. OWNER RISKS</v>
          </cell>
          <cell r="G653" t="str">
            <v>B09-R6</v>
          </cell>
          <cell r="H653" t="str">
            <v>All</v>
          </cell>
          <cell r="I653" t="str">
            <v>Electrical panel/circuit source and rack load coordination unresolved</v>
          </cell>
          <cell r="J653" t="str">
            <v>High</v>
          </cell>
          <cell r="K653" t="str">
            <v>Medium</v>
          </cell>
          <cell r="L653">
            <v>6</v>
          </cell>
          <cell r="O653" t="str">
            <v>Open</v>
          </cell>
          <cell r="Q653" t="str">
            <v>09|50</v>
          </cell>
        </row>
        <row r="654">
          <cell r="E654" t="str">
            <v>8. OWNER RISKS</v>
          </cell>
          <cell r="G654" t="str">
            <v>B09-R7</v>
          </cell>
          <cell r="H654" t="str">
            <v>All</v>
          </cell>
          <cell r="I654" t="str">
            <v>Fire alarm/sprinkler impairments and firestopping could affect occupied operations</v>
          </cell>
          <cell r="J654" t="str">
            <v>Critical</v>
          </cell>
          <cell r="K654" t="str">
            <v>Medium</v>
          </cell>
          <cell r="L654">
            <v>8</v>
          </cell>
          <cell r="O654" t="str">
            <v>Open</v>
          </cell>
          <cell r="Q654" t="str">
            <v>09|51</v>
          </cell>
        </row>
        <row r="655">
          <cell r="E655" t="str">
            <v>8. OWNER RISKS</v>
          </cell>
          <cell r="G655" t="str">
            <v>B09-R8</v>
          </cell>
          <cell r="H655" t="str">
            <v>All</v>
          </cell>
          <cell r="I655" t="str">
            <v>Commissioning/third-party inspection reports may not be complete at turnover</v>
          </cell>
          <cell r="J655" t="str">
            <v>High</v>
          </cell>
          <cell r="K655" t="str">
            <v>Medium</v>
          </cell>
          <cell r="L655">
            <v>6</v>
          </cell>
          <cell r="O655" t="str">
            <v>Open</v>
          </cell>
          <cell r="Q655" t="str">
            <v>09|52</v>
          </cell>
        </row>
        <row r="656">
          <cell r="E656" t="str">
            <v>8. OWNER RISKS</v>
          </cell>
          <cell r="G656">
            <v>0</v>
          </cell>
          <cell r="H656">
            <v>0</v>
          </cell>
          <cell r="I656">
            <v>0</v>
          </cell>
          <cell r="J656">
            <v>0</v>
          </cell>
          <cell r="K656">
            <v>0</v>
          </cell>
          <cell r="L656">
            <v>0</v>
          </cell>
          <cell r="O656">
            <v>0</v>
          </cell>
          <cell r="Q656" t="str">
            <v>09|53</v>
          </cell>
        </row>
        <row r="657">
          <cell r="E657" t="str">
            <v>9. OPEN QUESTIONS</v>
          </cell>
          <cell r="G657" t="str">
            <v>9. OPEN QUESTIONS</v>
          </cell>
          <cell r="H657">
            <v>0</v>
          </cell>
          <cell r="I657">
            <v>0</v>
          </cell>
          <cell r="J657">
            <v>0</v>
          </cell>
          <cell r="K657">
            <v>0</v>
          </cell>
          <cell r="L657">
            <v>0</v>
          </cell>
          <cell r="O657">
            <v>0</v>
          </cell>
          <cell r="Q657" t="str">
            <v>09|54</v>
          </cell>
        </row>
        <row r="658">
          <cell r="E658" t="str">
            <v>9. OPEN QUESTIONS</v>
          </cell>
          <cell r="G658" t="str">
            <v>Question ID</v>
          </cell>
          <cell r="H658" t="str">
            <v>Question</v>
          </cell>
          <cell r="I658" t="str">
            <v>Assigned To</v>
          </cell>
          <cell r="J658" t="str">
            <v>Status</v>
          </cell>
          <cell r="K658" t="str">
            <v>Needed By</v>
          </cell>
          <cell r="L658" t="str">
            <v>Answer / Resolution</v>
          </cell>
          <cell r="O658" t="str">
            <v>Date Closed</v>
          </cell>
          <cell r="Q658" t="str">
            <v>09|55</v>
          </cell>
        </row>
        <row r="659">
          <cell r="E659" t="str">
            <v>9. OPEN QUESTIONS</v>
          </cell>
          <cell r="G659" t="str">
            <v>B09-Q1</v>
          </cell>
          <cell r="H659" t="str">
            <v>Confirm final TR scope: B01 basement, 104B first level, and 206A second level?</v>
          </cell>
          <cell r="I659" t="str">
            <v>VA / OIT / Designer</v>
          </cell>
          <cell r="J659" t="str">
            <v>Open</v>
          </cell>
          <cell r="K659">
            <v>0</v>
          </cell>
          <cell r="L659">
            <v>0</v>
          </cell>
          <cell r="O659">
            <v>0</v>
          </cell>
          <cell r="Q659" t="str">
            <v>09|56</v>
          </cell>
        </row>
        <row r="660">
          <cell r="E660" t="str">
            <v>9. OPEN QUESTIONS</v>
          </cell>
          <cell r="G660" t="str">
            <v>B09-Q2</v>
          </cell>
          <cell r="H660" t="str">
            <v>What active services are currently fed from B01 existing equipment/security/network devices?</v>
          </cell>
          <cell r="I660" t="str">
            <v>OIT / Contractor</v>
          </cell>
          <cell r="J660" t="str">
            <v>Open</v>
          </cell>
          <cell r="K660">
            <v>0</v>
          </cell>
          <cell r="L660">
            <v>0</v>
          </cell>
          <cell r="O660">
            <v>0</v>
          </cell>
          <cell r="Q660" t="str">
            <v>09|57</v>
          </cell>
        </row>
        <row r="661">
          <cell r="E661" t="str">
            <v>9. OPEN QUESTIONS</v>
          </cell>
          <cell r="G661" t="str">
            <v>B09-Q3</v>
          </cell>
          <cell r="H661" t="str">
            <v>What hazardous/abatement steps apply to B01, 104B and 206A work areas?</v>
          </cell>
          <cell r="I661" t="str">
            <v>GC / IH / COR</v>
          </cell>
          <cell r="J661" t="str">
            <v>Open</v>
          </cell>
          <cell r="K661">
            <v>0</v>
          </cell>
          <cell r="L661">
            <v>0</v>
          </cell>
          <cell r="O661">
            <v>0</v>
          </cell>
          <cell r="Q661" t="str">
            <v>09|58</v>
          </cell>
        </row>
        <row r="662">
          <cell r="E662" t="str">
            <v>9. OPEN QUESTIONS</v>
          </cell>
          <cell r="G662" t="str">
            <v>B09-Q4</v>
          </cell>
          <cell r="H662" t="str">
            <v>Are IU-0-01/CU-0-1, IU-1-01/CU-1-1 and IU-2-01/CU-2-1 on emergency/backup power?</v>
          </cell>
          <cell r="I662" t="str">
            <v>Mechanical / Electrical / VA</v>
          </cell>
          <cell r="J662" t="str">
            <v>Open</v>
          </cell>
          <cell r="K662">
            <v>0</v>
          </cell>
          <cell r="L662">
            <v>0</v>
          </cell>
          <cell r="O662">
            <v>0</v>
          </cell>
          <cell r="Q662" t="str">
            <v>09|59</v>
          </cell>
        </row>
        <row r="663">
          <cell r="E663" t="str">
            <v>9. OPEN QUESTIONS</v>
          </cell>
          <cell r="G663" t="str">
            <v>B09-Q5</v>
          </cell>
          <cell r="H663" t="str">
            <v>Where are clean-agent/CO2 extinguisher cabinets located within 75 ft of each TR?</v>
          </cell>
          <cell r="I663" t="str">
            <v>GC / COR</v>
          </cell>
          <cell r="J663" t="str">
            <v>Open</v>
          </cell>
          <cell r="K663">
            <v>0</v>
          </cell>
          <cell r="L663">
            <v>0</v>
          </cell>
          <cell r="O663">
            <v>0</v>
          </cell>
          <cell r="Q663" t="str">
            <v>09|60</v>
          </cell>
        </row>
        <row r="664">
          <cell r="E664" t="str">
            <v>9. OPEN QUESTIONS</v>
          </cell>
          <cell r="G664" t="str">
            <v>B09-Q6</v>
          </cell>
          <cell r="H664" t="str">
            <v>Are all B09 panelboard sources, circuits, SPDs, rack receptacles and load measurements approved?</v>
          </cell>
          <cell r="I664" t="str">
            <v>Electrical / Designer</v>
          </cell>
          <cell r="J664" t="str">
            <v>Open</v>
          </cell>
          <cell r="K664">
            <v>0</v>
          </cell>
          <cell r="L664">
            <v>0</v>
          </cell>
          <cell r="O664">
            <v>0</v>
          </cell>
          <cell r="Q664" t="str">
            <v>09|61</v>
          </cell>
        </row>
        <row r="665">
          <cell r="E665" t="str">
            <v>9. OPEN QUESTIONS</v>
          </cell>
          <cell r="G665" t="str">
            <v>B09-Q7</v>
          </cell>
          <cell r="H665" t="str">
            <v>Are all rated wall/floor penetrations, sleeves and firestopping identified?</v>
          </cell>
          <cell r="I665" t="str">
            <v>GC / Firestop</v>
          </cell>
          <cell r="J665" t="str">
            <v>Open</v>
          </cell>
          <cell r="K665">
            <v>0</v>
          </cell>
          <cell r="L665">
            <v>0</v>
          </cell>
          <cell r="O665">
            <v>0</v>
          </cell>
          <cell r="Q665" t="str">
            <v>09|62</v>
          </cell>
        </row>
        <row r="666">
          <cell r="E666" t="str">
            <v>9. OPEN QUESTIONS</v>
          </cell>
          <cell r="G666" t="str">
            <v>B09-Q8</v>
          </cell>
          <cell r="H666" t="str">
            <v>Which third-party inspections and commissioning forms are required before VA acceptance?</v>
          </cell>
          <cell r="I666" t="str">
            <v>GC / Cx Manager</v>
          </cell>
          <cell r="J666" t="str">
            <v>Open</v>
          </cell>
          <cell r="K666">
            <v>0</v>
          </cell>
          <cell r="L666">
            <v>0</v>
          </cell>
          <cell r="O666">
            <v>0</v>
          </cell>
          <cell r="Q666" t="str">
            <v>09|63</v>
          </cell>
        </row>
        <row r="667">
          <cell r="E667" t="str">
            <v>9. OPEN QUESTIONS</v>
          </cell>
          <cell r="G667">
            <v>0</v>
          </cell>
          <cell r="H667">
            <v>0</v>
          </cell>
          <cell r="I667">
            <v>0</v>
          </cell>
          <cell r="J667">
            <v>0</v>
          </cell>
          <cell r="K667">
            <v>0</v>
          </cell>
          <cell r="L667">
            <v>0</v>
          </cell>
          <cell r="O667">
            <v>0</v>
          </cell>
          <cell r="Q667" t="str">
            <v>09|64</v>
          </cell>
        </row>
        <row r="668">
          <cell r="E668" t="str">
            <v>10. PHOTO LOG</v>
          </cell>
          <cell r="G668" t="str">
            <v>10. PHOTO LOG</v>
          </cell>
          <cell r="H668">
            <v>0</v>
          </cell>
          <cell r="I668">
            <v>0</v>
          </cell>
          <cell r="J668">
            <v>0</v>
          </cell>
          <cell r="K668">
            <v>0</v>
          </cell>
          <cell r="L668">
            <v>0</v>
          </cell>
          <cell r="O668">
            <v>0</v>
          </cell>
          <cell r="Q668" t="str">
            <v>09|65</v>
          </cell>
        </row>
        <row r="669">
          <cell r="E669" t="str">
            <v>10. PHOTO LOG</v>
          </cell>
          <cell r="G669" t="str">
            <v>Photo ID</v>
          </cell>
          <cell r="H669" t="str">
            <v>Room</v>
          </cell>
          <cell r="I669" t="str">
            <v>Category</v>
          </cell>
          <cell r="J669" t="str">
            <v>Description</v>
          </cell>
          <cell r="K669" t="str">
            <v>Date</v>
          </cell>
          <cell r="L669" t="str">
            <v>Taken By</v>
          </cell>
          <cell r="O669" t="str">
            <v>Status</v>
          </cell>
          <cell r="Q669" t="str">
            <v>09|66</v>
          </cell>
        </row>
        <row r="670">
          <cell r="E670" t="str">
            <v>10. PHOTO LOG</v>
          </cell>
          <cell r="G670" t="str">
            <v>B09-P001</v>
          </cell>
          <cell r="H670" t="str">
            <v>B01</v>
          </cell>
          <cell r="I670" t="str">
            <v>Existing Condition</v>
          </cell>
          <cell r="J670" t="str">
            <v>Basement TR B01 existing telecom/security/network equipment, storage conditions, panels, ceiling, walls and pathways</v>
          </cell>
          <cell r="K670">
            <v>0</v>
          </cell>
          <cell r="L670" t="str">
            <v>Paul</v>
          </cell>
          <cell r="O670" t="str">
            <v>Open</v>
          </cell>
          <cell r="Q670" t="str">
            <v>09|67</v>
          </cell>
        </row>
        <row r="671">
          <cell r="E671" t="str">
            <v>10. PHOTO LOG</v>
          </cell>
          <cell r="G671" t="str">
            <v>B09-P002</v>
          </cell>
          <cell r="H671" t="str">
            <v>104B</v>
          </cell>
          <cell r="I671" t="str">
            <v>Existing Condition</v>
          </cell>
          <cell r="J671" t="str">
            <v>First-level TR 104B, walls/door/ceiling/floor, security devices, IU-1-01 location and pathways</v>
          </cell>
          <cell r="K671">
            <v>0</v>
          </cell>
          <cell r="L671" t="str">
            <v>Paul</v>
          </cell>
          <cell r="O671" t="str">
            <v>Open</v>
          </cell>
          <cell r="Q671" t="str">
            <v>09|68</v>
          </cell>
        </row>
        <row r="672">
          <cell r="E672" t="str">
            <v>10. PHOTO LOG</v>
          </cell>
          <cell r="G672" t="str">
            <v>B09-P003</v>
          </cell>
          <cell r="H672" t="str">
            <v>206A</v>
          </cell>
          <cell r="I672" t="str">
            <v>Existing Condition</v>
          </cell>
          <cell r="J672" t="str">
            <v>Second-level TR 206A, walls/door/ceiling/floor, adjacent Nursing Service 206, IU-2-01 location and pathways</v>
          </cell>
          <cell r="K672">
            <v>0</v>
          </cell>
          <cell r="L672" t="str">
            <v>Paul</v>
          </cell>
          <cell r="O672" t="str">
            <v>Open</v>
          </cell>
          <cell r="Q672" t="str">
            <v>09|69</v>
          </cell>
        </row>
        <row r="673">
          <cell r="E673" t="str">
            <v>10. PHOTO LOG</v>
          </cell>
          <cell r="G673" t="str">
            <v>B09-P004</v>
          </cell>
          <cell r="H673" t="str">
            <v>All</v>
          </cell>
          <cell r="I673" t="str">
            <v>Hazardous Materials</v>
          </cell>
          <cell r="J673" t="str">
            <v>Flooring, ceilings, pipe insulation, penetrations and abatement-related locations before disturbance</v>
          </cell>
          <cell r="K673">
            <v>0</v>
          </cell>
          <cell r="L673" t="str">
            <v>Paul</v>
          </cell>
          <cell r="O673" t="str">
            <v>Open</v>
          </cell>
          <cell r="Q673" t="str">
            <v>09|70</v>
          </cell>
        </row>
        <row r="674">
          <cell r="E674" t="str">
            <v>10. PHOTO LOG</v>
          </cell>
          <cell r="G674" t="str">
            <v>B09-P005</v>
          </cell>
          <cell r="H674" t="str">
            <v>All</v>
          </cell>
          <cell r="I674" t="str">
            <v>Firestop</v>
          </cell>
          <cell r="J674" t="str">
            <v>All wall/floor/sleeve/tray penetrations before and after firestop</v>
          </cell>
          <cell r="K674">
            <v>0</v>
          </cell>
          <cell r="L674" t="str">
            <v>Paul</v>
          </cell>
          <cell r="O674" t="str">
            <v>Open</v>
          </cell>
          <cell r="Q674" t="str">
            <v>09|71</v>
          </cell>
        </row>
        <row r="675">
          <cell r="E675" t="str">
            <v>10. PHOTO LOG</v>
          </cell>
          <cell r="G675" t="str">
            <v>B09-P006</v>
          </cell>
          <cell r="H675" t="str">
            <v>All</v>
          </cell>
          <cell r="I675" t="str">
            <v>HVAC</v>
          </cell>
          <cell r="J675" t="str">
            <v>IU/CU equipment, condensate, thermostat, BACnet adapter, disconnects, high-temp alarm and power source</v>
          </cell>
          <cell r="K675">
            <v>0</v>
          </cell>
          <cell r="L675" t="str">
            <v>Paul</v>
          </cell>
          <cell r="O675" t="str">
            <v>Open</v>
          </cell>
          <cell r="Q675" t="str">
            <v>09|72</v>
          </cell>
        </row>
        <row r="676">
          <cell r="E676" t="str">
            <v>10. PHOTO LOG</v>
          </cell>
          <cell r="G676" t="str">
            <v>B09-P007</v>
          </cell>
          <cell r="H676" t="str">
            <v>All</v>
          </cell>
          <cell r="I676" t="str">
            <v>Electrical</v>
          </cell>
          <cell r="J676" t="str">
            <v>B09 TR panels, breakers, SPD, rack receptacles, access controllers, lighting and labels</v>
          </cell>
          <cell r="K676">
            <v>0</v>
          </cell>
          <cell r="L676" t="str">
            <v>Paul</v>
          </cell>
          <cell r="O676" t="str">
            <v>Open</v>
          </cell>
          <cell r="Q676" t="str">
            <v>09|73</v>
          </cell>
        </row>
        <row r="677">
          <cell r="E677" t="str">
            <v>10. PHOTO LOG</v>
          </cell>
          <cell r="G677" t="str">
            <v>B09-P008</v>
          </cell>
          <cell r="H677" t="str">
            <v>All</v>
          </cell>
          <cell r="I677" t="str">
            <v>Telecom/Security</v>
          </cell>
          <cell r="J677" t="str">
            <v>Racks, fiber, Cat6A, LIU, patch panels, labeling/testing, cameras, access control and VMS/PACS integration</v>
          </cell>
          <cell r="K677">
            <v>0</v>
          </cell>
          <cell r="L677" t="str">
            <v>Paul</v>
          </cell>
          <cell r="O677" t="str">
            <v>Open</v>
          </cell>
          <cell r="Q677" t="str">
            <v>09|74</v>
          </cell>
        </row>
        <row r="678">
          <cell r="E678" t="str">
            <v>10. PHOTO LOG</v>
          </cell>
          <cell r="G678">
            <v>0</v>
          </cell>
          <cell r="H678">
            <v>0</v>
          </cell>
          <cell r="I678">
            <v>0</v>
          </cell>
          <cell r="J678">
            <v>0</v>
          </cell>
          <cell r="K678">
            <v>0</v>
          </cell>
          <cell r="L678">
            <v>0</v>
          </cell>
          <cell r="O678">
            <v>0</v>
          </cell>
          <cell r="Q678" t="str">
            <v>09|75</v>
          </cell>
        </row>
        <row r="679">
          <cell r="E679" t="str">
            <v>1. ROOM INVENTORY</v>
          </cell>
          <cell r="G679" t="str">
            <v>1. ROOM INVENTORY</v>
          </cell>
          <cell r="H679">
            <v>0</v>
          </cell>
          <cell r="I679">
            <v>0</v>
          </cell>
          <cell r="J679">
            <v>0</v>
          </cell>
          <cell r="K679">
            <v>0</v>
          </cell>
          <cell r="L679">
            <v>0</v>
          </cell>
          <cell r="O679">
            <v>0</v>
          </cell>
          <cell r="Q679" t="str">
            <v>10|1</v>
          </cell>
        </row>
        <row r="680">
          <cell r="E680" t="str">
            <v>1. ROOM INVENTORY</v>
          </cell>
          <cell r="G680" t="str">
            <v>Building</v>
          </cell>
          <cell r="H680" t="str">
            <v>Room</v>
          </cell>
          <cell r="I680" t="str">
            <v>Floor</v>
          </cell>
          <cell r="J680" t="str">
            <v>Existing Use</v>
          </cell>
          <cell r="K680" t="str">
            <v>New Use</v>
          </cell>
          <cell r="L680" t="str">
            <v>Rack Count</v>
          </cell>
          <cell r="O680" t="str">
            <v>Drawing Ref</v>
          </cell>
          <cell r="Q680" t="str">
            <v>10|2</v>
          </cell>
        </row>
        <row r="681">
          <cell r="E681" t="str">
            <v>1. ROOM INVENTORY</v>
          </cell>
          <cell r="G681" t="str">
            <v>10</v>
          </cell>
          <cell r="H681" t="str">
            <v>200A</v>
          </cell>
          <cell r="I681" t="str">
            <v>Attic</v>
          </cell>
          <cell r="J681" t="str">
            <v>Existing attic telecom/equipment area</v>
          </cell>
          <cell r="K681" t="str">
            <v>Telecom Room</v>
          </cell>
          <cell r="L681">
            <v>2</v>
          </cell>
          <cell r="O681" t="str">
            <v>10A-401 / 10E-401 / 10T-604 / 10M-701</v>
          </cell>
          <cell r="Q681" t="str">
            <v>10|3</v>
          </cell>
        </row>
        <row r="682">
          <cell r="E682" t="str">
            <v>1. ROOM INVENTORY</v>
          </cell>
          <cell r="G682" t="str">
            <v>10</v>
          </cell>
          <cell r="H682" t="str">
            <v>B24</v>
          </cell>
          <cell r="I682" t="str">
            <v>Basement</v>
          </cell>
          <cell r="J682" t="str">
            <v>Existing electrical room - normal power</v>
          </cell>
          <cell r="K682" t="str">
            <v>Electrical source / coordination room</v>
          </cell>
          <cell r="L682">
            <v>0</v>
          </cell>
          <cell r="O682" t="str">
            <v>10E-401 / 10E-701</v>
          </cell>
          <cell r="Q682" t="str">
            <v>10|4</v>
          </cell>
        </row>
        <row r="683">
          <cell r="E683" t="str">
            <v>1. ROOM INVENTORY</v>
          </cell>
          <cell r="G683" t="str">
            <v>10</v>
          </cell>
          <cell r="H683" t="str">
            <v>B25</v>
          </cell>
          <cell r="I683" t="str">
            <v>Basement</v>
          </cell>
          <cell r="J683" t="str">
            <v>Existing electrical room - emergency power</v>
          </cell>
          <cell r="K683" t="str">
            <v>Emergency electrical source / coordination room</v>
          </cell>
          <cell r="L683">
            <v>0</v>
          </cell>
          <cell r="O683" t="str">
            <v>10E-401 / 10E-601 / 10E-701</v>
          </cell>
          <cell r="Q683" t="str">
            <v>10|5</v>
          </cell>
        </row>
        <row r="684">
          <cell r="E684" t="str">
            <v>1. ROOM INVENTORY</v>
          </cell>
          <cell r="G684">
            <v>0</v>
          </cell>
          <cell r="H684">
            <v>0</v>
          </cell>
          <cell r="I684">
            <v>0</v>
          </cell>
          <cell r="J684">
            <v>0</v>
          </cell>
          <cell r="K684">
            <v>0</v>
          </cell>
          <cell r="L684">
            <v>0</v>
          </cell>
          <cell r="O684">
            <v>0</v>
          </cell>
          <cell r="Q684" t="str">
            <v>10|6</v>
          </cell>
        </row>
        <row r="685">
          <cell r="E685" t="str">
            <v>2. ROOM READINESS</v>
          </cell>
          <cell r="G685" t="str">
            <v>2. ROOM READINESS</v>
          </cell>
          <cell r="H685">
            <v>0</v>
          </cell>
          <cell r="I685">
            <v>0</v>
          </cell>
          <cell r="J685">
            <v>0</v>
          </cell>
          <cell r="K685">
            <v>0</v>
          </cell>
          <cell r="L685">
            <v>0</v>
          </cell>
          <cell r="O685">
            <v>0</v>
          </cell>
          <cell r="Q685" t="str">
            <v>10|7</v>
          </cell>
        </row>
        <row r="686">
          <cell r="E686" t="str">
            <v>2. ROOM READINESS</v>
          </cell>
          <cell r="G686" t="str">
            <v>Room</v>
          </cell>
          <cell r="H686" t="str">
            <v>Walls / 1-hr Rating</v>
          </cell>
          <cell r="I686" t="str">
            <v>Ceiling</v>
          </cell>
          <cell r="J686" t="str">
            <v>Floor / SDC</v>
          </cell>
          <cell r="K686" t="str">
            <v>Penetrations</v>
          </cell>
          <cell r="L686" t="str">
            <v>Access Control</v>
          </cell>
          <cell r="O686" t="str">
            <v>Overall</v>
          </cell>
          <cell r="Q686" t="str">
            <v>10|8</v>
          </cell>
        </row>
        <row r="687">
          <cell r="E687" t="str">
            <v>2. ROOM READINESS</v>
          </cell>
          <cell r="G687" t="str">
            <v>200A</v>
          </cell>
          <cell r="H687" t="str">
            <v>Verify</v>
          </cell>
          <cell r="I687" t="str">
            <v>Verify</v>
          </cell>
          <cell r="J687" t="str">
            <v>Verify</v>
          </cell>
          <cell r="K687" t="str">
            <v>Verify</v>
          </cell>
          <cell r="L687" t="str">
            <v>Verify</v>
          </cell>
          <cell r="O687" t="str">
            <v>Verify</v>
          </cell>
          <cell r="Q687" t="str">
            <v>10|9</v>
          </cell>
        </row>
        <row r="688">
          <cell r="E688" t="str">
            <v>2. ROOM READINESS</v>
          </cell>
          <cell r="G688" t="str">
            <v>B24</v>
          </cell>
          <cell r="H688" t="str">
            <v>N/A</v>
          </cell>
          <cell r="I688" t="str">
            <v>N/A</v>
          </cell>
          <cell r="J688" t="str">
            <v>N/A</v>
          </cell>
          <cell r="K688" t="str">
            <v>Verify</v>
          </cell>
          <cell r="L688" t="str">
            <v>N/A</v>
          </cell>
          <cell r="O688" t="str">
            <v>Verify</v>
          </cell>
          <cell r="Q688" t="str">
            <v>10|10</v>
          </cell>
        </row>
        <row r="689">
          <cell r="E689" t="str">
            <v>2. ROOM READINESS</v>
          </cell>
          <cell r="G689" t="str">
            <v>B25</v>
          </cell>
          <cell r="H689" t="str">
            <v>N/A</v>
          </cell>
          <cell r="I689" t="str">
            <v>N/A</v>
          </cell>
          <cell r="J689" t="str">
            <v>N/A</v>
          </cell>
          <cell r="K689" t="str">
            <v>Verify</v>
          </cell>
          <cell r="L689" t="str">
            <v>N/A</v>
          </cell>
          <cell r="O689" t="str">
            <v>Verify</v>
          </cell>
          <cell r="Q689" t="str">
            <v>10|11</v>
          </cell>
        </row>
        <row r="690">
          <cell r="E690" t="str">
            <v>2. ROOM READINESS</v>
          </cell>
          <cell r="G690">
            <v>0</v>
          </cell>
          <cell r="H690">
            <v>0</v>
          </cell>
          <cell r="I690">
            <v>0</v>
          </cell>
          <cell r="J690">
            <v>0</v>
          </cell>
          <cell r="K690">
            <v>0</v>
          </cell>
          <cell r="L690">
            <v>0</v>
          </cell>
          <cell r="O690">
            <v>0</v>
          </cell>
          <cell r="Q690" t="str">
            <v>10|12</v>
          </cell>
        </row>
        <row r="691">
          <cell r="E691" t="str">
            <v>3. FIRE PROTECTION</v>
          </cell>
          <cell r="G691" t="str">
            <v>3. FIRE PROTECTION</v>
          </cell>
          <cell r="H691">
            <v>0</v>
          </cell>
          <cell r="I691">
            <v>0</v>
          </cell>
          <cell r="J691">
            <v>0</v>
          </cell>
          <cell r="K691">
            <v>0</v>
          </cell>
          <cell r="L691">
            <v>0</v>
          </cell>
          <cell r="O691">
            <v>0</v>
          </cell>
          <cell r="Q691" t="str">
            <v>10|13</v>
          </cell>
        </row>
        <row r="692">
          <cell r="E692" t="str">
            <v>3. FIRE PROTECTION</v>
          </cell>
          <cell r="G692" t="str">
            <v>Room</v>
          </cell>
          <cell r="H692" t="str">
            <v>Sprinkler</v>
          </cell>
          <cell r="I692" t="str">
            <v>Cage</v>
          </cell>
          <cell r="J692" t="str">
            <v>Detector</v>
          </cell>
          <cell r="K692" t="str">
            <v>Horn/Strobe</v>
          </cell>
          <cell r="L692" t="str">
            <v>Extinguisher &lt;75 ft</v>
          </cell>
          <cell r="O692" t="str">
            <v>Overall</v>
          </cell>
          <cell r="Q692" t="str">
            <v>10|14</v>
          </cell>
        </row>
        <row r="693">
          <cell r="E693" t="str">
            <v>3. FIRE PROTECTION</v>
          </cell>
          <cell r="G693" t="str">
            <v>200A</v>
          </cell>
          <cell r="H693" t="str">
            <v>Verify</v>
          </cell>
          <cell r="I693" t="str">
            <v>Verify</v>
          </cell>
          <cell r="J693" t="str">
            <v>Verify</v>
          </cell>
          <cell r="K693" t="str">
            <v>Verify</v>
          </cell>
          <cell r="L693" t="str">
            <v>Verify</v>
          </cell>
          <cell r="O693" t="str">
            <v>Verify</v>
          </cell>
          <cell r="Q693" t="str">
            <v>10|15</v>
          </cell>
        </row>
        <row r="694">
          <cell r="E694" t="str">
            <v>3. FIRE PROTECTION</v>
          </cell>
          <cell r="G694" t="str">
            <v>B24</v>
          </cell>
          <cell r="H694" t="str">
            <v>Verify</v>
          </cell>
          <cell r="I694" t="str">
            <v>N/A</v>
          </cell>
          <cell r="J694" t="str">
            <v>Verify</v>
          </cell>
          <cell r="K694" t="str">
            <v>Verify</v>
          </cell>
          <cell r="L694" t="str">
            <v>Verify</v>
          </cell>
          <cell r="O694" t="str">
            <v>Verify</v>
          </cell>
          <cell r="Q694" t="str">
            <v>10|16</v>
          </cell>
        </row>
        <row r="695">
          <cell r="E695" t="str">
            <v>3. FIRE PROTECTION</v>
          </cell>
          <cell r="G695" t="str">
            <v>B25</v>
          </cell>
          <cell r="H695" t="str">
            <v>Verify</v>
          </cell>
          <cell r="I695" t="str">
            <v>N/A</v>
          </cell>
          <cell r="J695" t="str">
            <v>Verify</v>
          </cell>
          <cell r="K695" t="str">
            <v>Verify</v>
          </cell>
          <cell r="L695" t="str">
            <v>Verify</v>
          </cell>
          <cell r="O695" t="str">
            <v>Verify</v>
          </cell>
          <cell r="Q695" t="str">
            <v>10|17</v>
          </cell>
        </row>
        <row r="696">
          <cell r="E696" t="str">
            <v>3. FIRE PROTECTION</v>
          </cell>
          <cell r="G696">
            <v>0</v>
          </cell>
          <cell r="H696">
            <v>0</v>
          </cell>
          <cell r="I696">
            <v>0</v>
          </cell>
          <cell r="J696">
            <v>0</v>
          </cell>
          <cell r="K696">
            <v>0</v>
          </cell>
          <cell r="L696">
            <v>0</v>
          </cell>
          <cell r="O696">
            <v>0</v>
          </cell>
          <cell r="Q696" t="str">
            <v>10|18</v>
          </cell>
        </row>
        <row r="697">
          <cell r="E697" t="str">
            <v>4. HVAC / COOLING</v>
          </cell>
          <cell r="G697" t="str">
            <v>4. HVAC / COOLING</v>
          </cell>
          <cell r="H697">
            <v>0</v>
          </cell>
          <cell r="I697">
            <v>0</v>
          </cell>
          <cell r="J697">
            <v>0</v>
          </cell>
          <cell r="K697">
            <v>0</v>
          </cell>
          <cell r="L697">
            <v>0</v>
          </cell>
          <cell r="O697">
            <v>0</v>
          </cell>
          <cell r="Q697" t="str">
            <v>10|19</v>
          </cell>
        </row>
        <row r="698">
          <cell r="E698" t="str">
            <v>4. HVAC / COOLING</v>
          </cell>
          <cell r="G698" t="str">
            <v>Room</v>
          </cell>
          <cell r="H698" t="str">
            <v>Dedicated Unit</v>
          </cell>
          <cell r="I698" t="str">
            <v>Capacity Verified</v>
          </cell>
          <cell r="J698" t="str">
            <v>Emergency Power</v>
          </cell>
          <cell r="K698" t="str">
            <v>Controls / BACnet</v>
          </cell>
          <cell r="L698" t="str">
            <v>Condensate Routed</v>
          </cell>
          <cell r="O698" t="str">
            <v>Overall</v>
          </cell>
          <cell r="Q698" t="str">
            <v>10|20</v>
          </cell>
        </row>
        <row r="699">
          <cell r="E699" t="str">
            <v>4. HVAC / COOLING</v>
          </cell>
          <cell r="G699" t="str">
            <v>200A</v>
          </cell>
          <cell r="H699" t="str">
            <v>IU-1-01 / CU-1-01</v>
          </cell>
          <cell r="I699" t="str">
            <v>Verify</v>
          </cell>
          <cell r="J699" t="str">
            <v>Verify</v>
          </cell>
          <cell r="K699" t="str">
            <v>Verify</v>
          </cell>
          <cell r="L699" t="str">
            <v>Verify</v>
          </cell>
          <cell r="O699" t="str">
            <v>Verify</v>
          </cell>
          <cell r="Q699" t="str">
            <v>10|21</v>
          </cell>
        </row>
        <row r="700">
          <cell r="E700" t="str">
            <v>4. HVAC / COOLING</v>
          </cell>
          <cell r="G700" t="str">
            <v>B24</v>
          </cell>
          <cell r="H700" t="str">
            <v>N/A</v>
          </cell>
          <cell r="I700" t="str">
            <v>N/A</v>
          </cell>
          <cell r="J700" t="str">
            <v>N/A</v>
          </cell>
          <cell r="K700" t="str">
            <v>N/A</v>
          </cell>
          <cell r="L700" t="str">
            <v>N/A</v>
          </cell>
          <cell r="O700" t="str">
            <v>N/A</v>
          </cell>
          <cell r="Q700" t="str">
            <v>10|22</v>
          </cell>
        </row>
        <row r="701">
          <cell r="E701" t="str">
            <v>4. HVAC / COOLING</v>
          </cell>
          <cell r="G701" t="str">
            <v>B25</v>
          </cell>
          <cell r="H701" t="str">
            <v>N/A</v>
          </cell>
          <cell r="I701" t="str">
            <v>N/A</v>
          </cell>
          <cell r="J701" t="str">
            <v>N/A</v>
          </cell>
          <cell r="K701" t="str">
            <v>N/A</v>
          </cell>
          <cell r="L701" t="str">
            <v>N/A</v>
          </cell>
          <cell r="O701" t="str">
            <v>N/A</v>
          </cell>
          <cell r="Q701" t="str">
            <v>10|23</v>
          </cell>
        </row>
        <row r="702">
          <cell r="E702" t="str">
            <v>4. HVAC / COOLING</v>
          </cell>
          <cell r="G702">
            <v>0</v>
          </cell>
          <cell r="H702">
            <v>0</v>
          </cell>
          <cell r="I702">
            <v>0</v>
          </cell>
          <cell r="J702">
            <v>0</v>
          </cell>
          <cell r="K702">
            <v>0</v>
          </cell>
          <cell r="L702">
            <v>0</v>
          </cell>
          <cell r="O702">
            <v>0</v>
          </cell>
          <cell r="Q702" t="str">
            <v>10|24</v>
          </cell>
        </row>
        <row r="703">
          <cell r="E703" t="str">
            <v>5. ELECTRICAL / UPS</v>
          </cell>
          <cell r="G703" t="str">
            <v>5. ELECTRICAL / UPS</v>
          </cell>
          <cell r="H703">
            <v>0</v>
          </cell>
          <cell r="I703">
            <v>0</v>
          </cell>
          <cell r="J703">
            <v>0</v>
          </cell>
          <cell r="K703">
            <v>0</v>
          </cell>
          <cell r="L703">
            <v>0</v>
          </cell>
          <cell r="O703">
            <v>0</v>
          </cell>
          <cell r="Q703" t="str">
            <v>10|25</v>
          </cell>
        </row>
        <row r="704">
          <cell r="E704" t="str">
            <v>5. ELECTRICAL / UPS</v>
          </cell>
          <cell r="G704" t="str">
            <v>Room</v>
          </cell>
          <cell r="H704" t="str">
            <v>UPS Installed</v>
          </cell>
          <cell r="I704" t="str">
            <v>UPS Size</v>
          </cell>
          <cell r="J704" t="str">
            <v>PDU Installed</v>
          </cell>
          <cell r="K704" t="str">
            <v>Rack Receptacles</v>
          </cell>
          <cell r="L704" t="str">
            <v>Panel Assigned</v>
          </cell>
          <cell r="O704" t="str">
            <v>Overall</v>
          </cell>
          <cell r="Q704" t="str">
            <v>10|26</v>
          </cell>
        </row>
        <row r="705">
          <cell r="E705" t="str">
            <v>5. ELECTRICAL / UPS</v>
          </cell>
          <cell r="G705" t="str">
            <v>200A</v>
          </cell>
          <cell r="H705" t="str">
            <v>Verify</v>
          </cell>
          <cell r="I705" t="str">
            <v>5 kW / rack equipment</v>
          </cell>
          <cell r="J705" t="str">
            <v>Verify</v>
          </cell>
          <cell r="K705" t="str">
            <v>Verify</v>
          </cell>
          <cell r="L705" t="str">
            <v>B10-TR200AA / B10-TR200AB</v>
          </cell>
          <cell r="O705" t="str">
            <v>Verify</v>
          </cell>
          <cell r="Q705" t="str">
            <v>10|27</v>
          </cell>
        </row>
        <row r="706">
          <cell r="E706" t="str">
            <v>5. ELECTRICAL / UPS</v>
          </cell>
          <cell r="G706" t="str">
            <v>B24</v>
          </cell>
          <cell r="H706" t="str">
            <v>N/A</v>
          </cell>
          <cell r="I706" t="str">
            <v>N/A</v>
          </cell>
          <cell r="J706" t="str">
            <v>N/A</v>
          </cell>
          <cell r="K706" t="str">
            <v>N/A</v>
          </cell>
          <cell r="L706" t="str">
            <v>B10-MDP / B10-L10-E</v>
          </cell>
          <cell r="O706" t="str">
            <v>Verify</v>
          </cell>
          <cell r="Q706" t="str">
            <v>10|28</v>
          </cell>
        </row>
        <row r="707">
          <cell r="E707" t="str">
            <v>5. ELECTRICAL / UPS</v>
          </cell>
          <cell r="G707" t="str">
            <v>B25</v>
          </cell>
          <cell r="H707" t="str">
            <v>N/A</v>
          </cell>
          <cell r="I707" t="str">
            <v>N/A</v>
          </cell>
          <cell r="J707" t="str">
            <v>N/A</v>
          </cell>
          <cell r="K707" t="str">
            <v>N/A</v>
          </cell>
          <cell r="L707" t="str">
            <v>ATS-B10-LSD / emergency distribution</v>
          </cell>
          <cell r="O707" t="str">
            <v>Verify</v>
          </cell>
          <cell r="Q707" t="str">
            <v>10|29</v>
          </cell>
        </row>
        <row r="708">
          <cell r="E708" t="str">
            <v>5. ELECTRICAL / UPS</v>
          </cell>
          <cell r="G708">
            <v>0</v>
          </cell>
          <cell r="H708">
            <v>0</v>
          </cell>
          <cell r="I708">
            <v>0</v>
          </cell>
          <cell r="J708">
            <v>0</v>
          </cell>
          <cell r="K708">
            <v>0</v>
          </cell>
          <cell r="L708">
            <v>0</v>
          </cell>
          <cell r="O708">
            <v>0</v>
          </cell>
          <cell r="Q708" t="str">
            <v>10|30</v>
          </cell>
        </row>
        <row r="709">
          <cell r="E709" t="str">
            <v>6. TELECOMMUNICATIONS</v>
          </cell>
          <cell r="G709" t="str">
            <v>6. TELECOMMUNICATIONS</v>
          </cell>
          <cell r="H709">
            <v>0</v>
          </cell>
          <cell r="I709">
            <v>0</v>
          </cell>
          <cell r="J709">
            <v>0</v>
          </cell>
          <cell r="K709">
            <v>0</v>
          </cell>
          <cell r="L709">
            <v>0</v>
          </cell>
          <cell r="O709">
            <v>0</v>
          </cell>
          <cell r="Q709" t="str">
            <v>10|31</v>
          </cell>
        </row>
        <row r="710">
          <cell r="E710" t="str">
            <v>6. TELECOMMUNICATIONS</v>
          </cell>
          <cell r="G710" t="str">
            <v>Room</v>
          </cell>
          <cell r="H710" t="str">
            <v>Rack Installed</v>
          </cell>
          <cell r="I710" t="str">
            <v>Ladder Tray</v>
          </cell>
          <cell r="J710" t="str">
            <v>Fiber Installed</v>
          </cell>
          <cell r="K710" t="str">
            <v>Grounding</v>
          </cell>
          <cell r="L710" t="str">
            <v>Labeling</v>
          </cell>
          <cell r="O710" t="str">
            <v>Overall</v>
          </cell>
          <cell r="Q710" t="str">
            <v>10|32</v>
          </cell>
        </row>
        <row r="711">
          <cell r="E711" t="str">
            <v>6. TELECOMMUNICATIONS</v>
          </cell>
          <cell r="G711" t="str">
            <v>200A</v>
          </cell>
          <cell r="H711" t="str">
            <v>Verify</v>
          </cell>
          <cell r="I711" t="str">
            <v>Verify</v>
          </cell>
          <cell r="J711" t="str">
            <v>Verify</v>
          </cell>
          <cell r="K711" t="str">
            <v>Verify</v>
          </cell>
          <cell r="L711" t="str">
            <v>Verify</v>
          </cell>
          <cell r="O711" t="str">
            <v>Verify</v>
          </cell>
          <cell r="Q711" t="str">
            <v>10|33</v>
          </cell>
        </row>
        <row r="712">
          <cell r="E712" t="str">
            <v>6. TELECOMMUNICATIONS</v>
          </cell>
          <cell r="G712" t="str">
            <v>B24</v>
          </cell>
          <cell r="H712" t="str">
            <v>N/A</v>
          </cell>
          <cell r="I712" t="str">
            <v>N/A</v>
          </cell>
          <cell r="J712" t="str">
            <v>N/A</v>
          </cell>
          <cell r="K712" t="str">
            <v>Verify</v>
          </cell>
          <cell r="L712" t="str">
            <v>N/A</v>
          </cell>
          <cell r="O712" t="str">
            <v>Verify</v>
          </cell>
          <cell r="Q712" t="str">
            <v>10|34</v>
          </cell>
        </row>
        <row r="713">
          <cell r="E713" t="str">
            <v>6. TELECOMMUNICATIONS</v>
          </cell>
          <cell r="G713" t="str">
            <v>B25</v>
          </cell>
          <cell r="H713" t="str">
            <v>N/A</v>
          </cell>
          <cell r="I713" t="str">
            <v>N/A</v>
          </cell>
          <cell r="J713" t="str">
            <v>N/A</v>
          </cell>
          <cell r="K713" t="str">
            <v>Verify</v>
          </cell>
          <cell r="L713" t="str">
            <v>N/A</v>
          </cell>
          <cell r="O713" t="str">
            <v>Verify</v>
          </cell>
          <cell r="Q713" t="str">
            <v>10|35</v>
          </cell>
        </row>
        <row r="714">
          <cell r="E714" t="str">
            <v>6. TELECOMMUNICATIONS</v>
          </cell>
          <cell r="G714">
            <v>0</v>
          </cell>
          <cell r="H714">
            <v>0</v>
          </cell>
          <cell r="I714">
            <v>0</v>
          </cell>
          <cell r="J714">
            <v>0</v>
          </cell>
          <cell r="K714">
            <v>0</v>
          </cell>
          <cell r="L714">
            <v>0</v>
          </cell>
          <cell r="O714">
            <v>0</v>
          </cell>
          <cell r="Q714" t="str">
            <v>10|36</v>
          </cell>
        </row>
        <row r="715">
          <cell r="E715" t="str">
            <v>7. SECURITY / PACS / CCTV</v>
          </cell>
          <cell r="G715" t="str">
            <v>7. SECURITY / PACS / CCTV</v>
          </cell>
          <cell r="H715">
            <v>0</v>
          </cell>
          <cell r="I715">
            <v>0</v>
          </cell>
          <cell r="J715">
            <v>0</v>
          </cell>
          <cell r="K715">
            <v>0</v>
          </cell>
          <cell r="L715">
            <v>0</v>
          </cell>
          <cell r="O715">
            <v>0</v>
          </cell>
          <cell r="Q715" t="str">
            <v>10|37</v>
          </cell>
        </row>
        <row r="716">
          <cell r="E716" t="str">
            <v>7. SECURITY / PACS / CCTV</v>
          </cell>
          <cell r="G716" t="str">
            <v>Room</v>
          </cell>
          <cell r="H716" t="str">
            <v>PACS</v>
          </cell>
          <cell r="I716" t="str">
            <v>Card Reader</v>
          </cell>
          <cell r="J716" t="str">
            <v>Door Position</v>
          </cell>
          <cell r="K716" t="str">
            <v>Electric Strike</v>
          </cell>
          <cell r="L716" t="str">
            <v>CCTV</v>
          </cell>
          <cell r="O716" t="str">
            <v>Overall</v>
          </cell>
          <cell r="Q716" t="str">
            <v>10|38</v>
          </cell>
        </row>
        <row r="717">
          <cell r="E717" t="str">
            <v>7. SECURITY / PACS / CCTV</v>
          </cell>
          <cell r="G717" t="str">
            <v>200A</v>
          </cell>
          <cell r="H717" t="str">
            <v>Verify</v>
          </cell>
          <cell r="I717" t="str">
            <v>Verify</v>
          </cell>
          <cell r="J717" t="str">
            <v>Verify</v>
          </cell>
          <cell r="K717" t="str">
            <v>Verify</v>
          </cell>
          <cell r="L717" t="str">
            <v>Verify</v>
          </cell>
          <cell r="O717" t="str">
            <v>Verify</v>
          </cell>
          <cell r="Q717" t="str">
            <v>10|39</v>
          </cell>
        </row>
        <row r="718">
          <cell r="E718" t="str">
            <v>7. SECURITY / PACS / CCTV</v>
          </cell>
          <cell r="G718" t="str">
            <v>B24</v>
          </cell>
          <cell r="H718" t="str">
            <v>N/A</v>
          </cell>
          <cell r="I718" t="str">
            <v>N/A</v>
          </cell>
          <cell r="J718" t="str">
            <v>N/A</v>
          </cell>
          <cell r="K718" t="str">
            <v>N/A</v>
          </cell>
          <cell r="L718" t="str">
            <v>Verify</v>
          </cell>
          <cell r="O718" t="str">
            <v>Verify</v>
          </cell>
          <cell r="Q718" t="str">
            <v>10|40</v>
          </cell>
        </row>
        <row r="719">
          <cell r="E719" t="str">
            <v>7. SECURITY / PACS / CCTV</v>
          </cell>
          <cell r="G719" t="str">
            <v>B25</v>
          </cell>
          <cell r="H719" t="str">
            <v>N/A</v>
          </cell>
          <cell r="I719" t="str">
            <v>N/A</v>
          </cell>
          <cell r="J719" t="str">
            <v>N/A</v>
          </cell>
          <cell r="K719" t="str">
            <v>N/A</v>
          </cell>
          <cell r="L719" t="str">
            <v>Verify</v>
          </cell>
          <cell r="O719" t="str">
            <v>Verify</v>
          </cell>
          <cell r="Q719" t="str">
            <v>10|41</v>
          </cell>
        </row>
        <row r="720">
          <cell r="E720" t="str">
            <v>7. SECURITY / PACS / CCTV</v>
          </cell>
          <cell r="G720">
            <v>0</v>
          </cell>
          <cell r="H720">
            <v>0</v>
          </cell>
          <cell r="I720">
            <v>0</v>
          </cell>
          <cell r="J720">
            <v>0</v>
          </cell>
          <cell r="K720">
            <v>0</v>
          </cell>
          <cell r="L720">
            <v>0</v>
          </cell>
          <cell r="O720">
            <v>0</v>
          </cell>
          <cell r="Q720" t="str">
            <v>10|42</v>
          </cell>
        </row>
        <row r="721">
          <cell r="E721" t="str">
            <v>8. OWNER RISKS</v>
          </cell>
          <cell r="G721" t="str">
            <v>8. OWNER RISKS</v>
          </cell>
          <cell r="H721">
            <v>0</v>
          </cell>
          <cell r="I721">
            <v>0</v>
          </cell>
          <cell r="J721">
            <v>0</v>
          </cell>
          <cell r="K721">
            <v>0</v>
          </cell>
          <cell r="L721">
            <v>0</v>
          </cell>
          <cell r="O721">
            <v>0</v>
          </cell>
          <cell r="Q721" t="str">
            <v>10|43</v>
          </cell>
        </row>
        <row r="722">
          <cell r="E722" t="str">
            <v>8. OWNER RISKS</v>
          </cell>
          <cell r="G722" t="str">
            <v>Risk ID</v>
          </cell>
          <cell r="H722" t="str">
            <v>Room</v>
          </cell>
          <cell r="I722" t="str">
            <v>Risk</v>
          </cell>
          <cell r="J722" t="str">
            <v>Impact</v>
          </cell>
          <cell r="K722" t="str">
            <v>Probability</v>
          </cell>
          <cell r="L722" t="str">
            <v>Score</v>
          </cell>
          <cell r="O722" t="str">
            <v>Status</v>
          </cell>
          <cell r="Q722" t="str">
            <v>10|44</v>
          </cell>
        </row>
        <row r="723">
          <cell r="E723" t="str">
            <v>8. OWNER RISKS</v>
          </cell>
          <cell r="G723" t="str">
            <v>B10-R1</v>
          </cell>
          <cell r="H723" t="str">
            <v>200A</v>
          </cell>
          <cell r="I723" t="str">
            <v>Attic Telecom Room existing conditions and access not field verified</v>
          </cell>
          <cell r="J723" t="str">
            <v>High</v>
          </cell>
          <cell r="K723" t="str">
            <v>Medium</v>
          </cell>
          <cell r="L723">
            <v>6</v>
          </cell>
          <cell r="O723" t="str">
            <v>Open</v>
          </cell>
          <cell r="Q723" t="str">
            <v>10|45</v>
          </cell>
        </row>
        <row r="724">
          <cell r="E724" t="str">
            <v>8. OWNER RISKS</v>
          </cell>
          <cell r="G724" t="str">
            <v>B10-R2</v>
          </cell>
          <cell r="H724" t="str">
            <v>200A</v>
          </cell>
          <cell r="I724" t="str">
            <v>Hazardous material abatement plan exists for attic level</v>
          </cell>
          <cell r="J724" t="str">
            <v>High</v>
          </cell>
          <cell r="K724" t="str">
            <v>Medium</v>
          </cell>
          <cell r="L724">
            <v>6</v>
          </cell>
          <cell r="O724" t="str">
            <v>Open</v>
          </cell>
          <cell r="Q724" t="str">
            <v>10|46</v>
          </cell>
        </row>
        <row r="725">
          <cell r="E725" t="str">
            <v>8. OWNER RISKS</v>
          </cell>
          <cell r="G725" t="str">
            <v>B10-R3</v>
          </cell>
          <cell r="H725" t="str">
            <v>200A</v>
          </cell>
          <cell r="I725" t="str">
            <v>Existing wall-mounted rack/equipment may remain active during cutover</v>
          </cell>
          <cell r="J725" t="str">
            <v>Critical</v>
          </cell>
          <cell r="K725" t="str">
            <v>Medium</v>
          </cell>
          <cell r="L725">
            <v>8</v>
          </cell>
          <cell r="O725" t="str">
            <v>Open</v>
          </cell>
          <cell r="Q725" t="str">
            <v>10|47</v>
          </cell>
        </row>
        <row r="726">
          <cell r="E726" t="str">
            <v>8. OWNER RISKS</v>
          </cell>
          <cell r="G726" t="str">
            <v>B10-R4</v>
          </cell>
          <cell r="H726" t="str">
            <v>200A</v>
          </cell>
          <cell r="I726" t="str">
            <v>Dedicated cooling emergency power, condensate, BACnet and alarms not verified</v>
          </cell>
          <cell r="J726" t="str">
            <v>Critical</v>
          </cell>
          <cell r="K726" t="str">
            <v>Medium</v>
          </cell>
          <cell r="L726">
            <v>8</v>
          </cell>
          <cell r="O726" t="str">
            <v>Open</v>
          </cell>
          <cell r="Q726" t="str">
            <v>10|48</v>
          </cell>
        </row>
        <row r="727">
          <cell r="E727" t="str">
            <v>8. OWNER RISKS</v>
          </cell>
          <cell r="G727" t="str">
            <v>B10-R5</v>
          </cell>
          <cell r="H727" t="str">
            <v>B24/B25</v>
          </cell>
          <cell r="I727" t="str">
            <v>Panel source, generator/ATS path and shutdown sequencing unclear</v>
          </cell>
          <cell r="J727" t="str">
            <v>Critical</v>
          </cell>
          <cell r="K727" t="str">
            <v>Medium</v>
          </cell>
          <cell r="L727">
            <v>8</v>
          </cell>
          <cell r="O727" t="str">
            <v>Open</v>
          </cell>
          <cell r="Q727" t="str">
            <v>10|49</v>
          </cell>
        </row>
        <row r="728">
          <cell r="E728" t="str">
            <v>8. OWNER RISKS</v>
          </cell>
          <cell r="G728" t="str">
            <v>B10-R6</v>
          </cell>
          <cell r="H728" t="str">
            <v>200A</v>
          </cell>
          <cell r="I728" t="str">
            <v>Fire alarm/sprinkler/firestopping work in attic TR could affect occupied operations</v>
          </cell>
          <cell r="J728" t="str">
            <v>Critical</v>
          </cell>
          <cell r="K728" t="str">
            <v>Medium</v>
          </cell>
          <cell r="L728">
            <v>8</v>
          </cell>
          <cell r="O728" t="str">
            <v>Open</v>
          </cell>
          <cell r="Q728" t="str">
            <v>10|50</v>
          </cell>
        </row>
        <row r="729">
          <cell r="E729" t="str">
            <v>8. OWNER RISKS</v>
          </cell>
          <cell r="G729" t="str">
            <v>B10-R7</v>
          </cell>
          <cell r="H729" t="str">
            <v>200A</v>
          </cell>
          <cell r="I729" t="str">
            <v>Telecom/fiber cutover could affect active hospital communications</v>
          </cell>
          <cell r="J729" t="str">
            <v>Critical</v>
          </cell>
          <cell r="K729" t="str">
            <v>Medium</v>
          </cell>
          <cell r="L729">
            <v>8</v>
          </cell>
          <cell r="O729" t="str">
            <v>Open</v>
          </cell>
          <cell r="Q729" t="str">
            <v>10|51</v>
          </cell>
        </row>
        <row r="730">
          <cell r="E730" t="str">
            <v>8. OWNER RISKS</v>
          </cell>
          <cell r="G730" t="str">
            <v>B10-R8</v>
          </cell>
          <cell r="H730" t="str">
            <v>All</v>
          </cell>
          <cell r="I730" t="str">
            <v>Commissioning/third-party inspection reports may not be complete at turnover</v>
          </cell>
          <cell r="J730" t="str">
            <v>High</v>
          </cell>
          <cell r="K730" t="str">
            <v>Medium</v>
          </cell>
          <cell r="L730">
            <v>6</v>
          </cell>
          <cell r="O730" t="str">
            <v>Open</v>
          </cell>
          <cell r="Q730" t="str">
            <v>10|52</v>
          </cell>
        </row>
        <row r="731">
          <cell r="E731" t="str">
            <v>8. OWNER RISKS</v>
          </cell>
          <cell r="G731">
            <v>0</v>
          </cell>
          <cell r="H731">
            <v>0</v>
          </cell>
          <cell r="I731">
            <v>0</v>
          </cell>
          <cell r="J731">
            <v>0</v>
          </cell>
          <cell r="K731">
            <v>0</v>
          </cell>
          <cell r="L731">
            <v>0</v>
          </cell>
          <cell r="O731">
            <v>0</v>
          </cell>
          <cell r="Q731" t="str">
            <v>10|53</v>
          </cell>
        </row>
        <row r="732">
          <cell r="E732" t="str">
            <v>9. OPEN QUESTIONS</v>
          </cell>
          <cell r="G732" t="str">
            <v>9. OPEN QUESTIONS</v>
          </cell>
          <cell r="H732">
            <v>0</v>
          </cell>
          <cell r="I732">
            <v>0</v>
          </cell>
          <cell r="J732">
            <v>0</v>
          </cell>
          <cell r="K732">
            <v>0</v>
          </cell>
          <cell r="L732">
            <v>0</v>
          </cell>
          <cell r="O732">
            <v>0</v>
          </cell>
          <cell r="Q732" t="str">
            <v>10|54</v>
          </cell>
        </row>
        <row r="733">
          <cell r="E733" t="str">
            <v>9. OPEN QUESTIONS</v>
          </cell>
          <cell r="G733" t="str">
            <v>Question ID</v>
          </cell>
          <cell r="H733" t="str">
            <v>Question</v>
          </cell>
          <cell r="I733" t="str">
            <v>Assigned To</v>
          </cell>
          <cell r="J733" t="str">
            <v>Status</v>
          </cell>
          <cell r="K733" t="str">
            <v>Needed By</v>
          </cell>
          <cell r="L733" t="str">
            <v>Answer / Resolution</v>
          </cell>
          <cell r="O733" t="str">
            <v>Date Closed</v>
          </cell>
          <cell r="Q733" t="str">
            <v>10|55</v>
          </cell>
        </row>
        <row r="734">
          <cell r="E734" t="str">
            <v>9. OPEN QUESTIONS</v>
          </cell>
          <cell r="G734" t="str">
            <v>B10-Q1</v>
          </cell>
          <cell r="H734" t="str">
            <v>Confirm final scope: attic Telecom Room 200A only, with basement electrical source coordination in B24/B25?</v>
          </cell>
          <cell r="I734" t="str">
            <v>VA / OIT / Designer</v>
          </cell>
          <cell r="J734" t="str">
            <v>Open</v>
          </cell>
          <cell r="K734">
            <v>0</v>
          </cell>
          <cell r="L734">
            <v>0</v>
          </cell>
          <cell r="O734">
            <v>0</v>
          </cell>
          <cell r="Q734" t="str">
            <v>10|56</v>
          </cell>
        </row>
        <row r="735">
          <cell r="E735" t="str">
            <v>9. OPEN QUESTIONS</v>
          </cell>
          <cell r="G735" t="str">
            <v>B10-Q2</v>
          </cell>
          <cell r="H735" t="str">
            <v>What active services are currently fed from the existing wall-mounted rack/equipment in Room 200A?</v>
          </cell>
          <cell r="I735" t="str">
            <v>OIT / Contractor</v>
          </cell>
          <cell r="J735" t="str">
            <v>Open</v>
          </cell>
          <cell r="K735">
            <v>0</v>
          </cell>
          <cell r="L735">
            <v>0</v>
          </cell>
          <cell r="O735">
            <v>0</v>
          </cell>
          <cell r="Q735" t="str">
            <v>10|57</v>
          </cell>
        </row>
        <row r="736">
          <cell r="E736" t="str">
            <v>9. OPEN QUESTIONS</v>
          </cell>
          <cell r="G736" t="str">
            <v>B10-Q3</v>
          </cell>
          <cell r="H736" t="str">
            <v>What attic hazardous material/abatement steps apply before cabling, penetrations, HVAC or electrical work?</v>
          </cell>
          <cell r="I736" t="str">
            <v>GC / IH / COR</v>
          </cell>
          <cell r="J736" t="str">
            <v>Open</v>
          </cell>
          <cell r="K736">
            <v>0</v>
          </cell>
          <cell r="L736">
            <v>0</v>
          </cell>
          <cell r="O736">
            <v>0</v>
          </cell>
          <cell r="Q736" t="str">
            <v>10|58</v>
          </cell>
        </row>
        <row r="737">
          <cell r="E737" t="str">
            <v>9. OPEN QUESTIONS</v>
          </cell>
          <cell r="G737" t="str">
            <v>B10-Q4</v>
          </cell>
          <cell r="H737" t="str">
            <v>Is IU-1-01/CU-1-01 on emergency/backup power and does it serve Room 200A only?</v>
          </cell>
          <cell r="I737" t="str">
            <v>Mechanical / Electrical / VA</v>
          </cell>
          <cell r="J737" t="str">
            <v>Open</v>
          </cell>
          <cell r="K737">
            <v>0</v>
          </cell>
          <cell r="L737">
            <v>0</v>
          </cell>
          <cell r="O737">
            <v>0</v>
          </cell>
          <cell r="Q737" t="str">
            <v>10|59</v>
          </cell>
        </row>
        <row r="738">
          <cell r="E738" t="str">
            <v>9. OPEN QUESTIONS</v>
          </cell>
          <cell r="G738" t="str">
            <v>B10-Q5</v>
          </cell>
          <cell r="H738" t="str">
            <v>Where is the clean-agent/CO2 extinguisher cabinet located within 75 ft of Room 200A?</v>
          </cell>
          <cell r="I738" t="str">
            <v>GC / COR</v>
          </cell>
          <cell r="J738" t="str">
            <v>Open</v>
          </cell>
          <cell r="K738">
            <v>0</v>
          </cell>
          <cell r="L738">
            <v>0</v>
          </cell>
          <cell r="O738">
            <v>0</v>
          </cell>
          <cell r="Q738" t="str">
            <v>10|60</v>
          </cell>
        </row>
        <row r="739">
          <cell r="E739" t="str">
            <v>9. OPEN QUESTIONS</v>
          </cell>
          <cell r="G739" t="str">
            <v>B10-Q6</v>
          </cell>
          <cell r="H739" t="str">
            <v>Are B10-TR200AA/AB, B10-MDP, B10-L10-E and ATS-B10-LSD source circuits/load measurements approved?</v>
          </cell>
          <cell r="I739" t="str">
            <v>Electrical / Designer</v>
          </cell>
          <cell r="J739" t="str">
            <v>Open</v>
          </cell>
          <cell r="K739">
            <v>0</v>
          </cell>
          <cell r="L739">
            <v>0</v>
          </cell>
          <cell r="O739">
            <v>0</v>
          </cell>
          <cell r="Q739" t="str">
            <v>10|61</v>
          </cell>
        </row>
        <row r="740">
          <cell r="E740" t="str">
            <v>9. OPEN QUESTIONS</v>
          </cell>
          <cell r="G740" t="str">
            <v>B10-Q7</v>
          </cell>
          <cell r="H740" t="str">
            <v>Are all attic wall/floor/ceiling penetrations, sleeves and firestopping details identified?</v>
          </cell>
          <cell r="I740" t="str">
            <v>GC / Firestop</v>
          </cell>
          <cell r="J740" t="str">
            <v>Open</v>
          </cell>
          <cell r="K740">
            <v>0</v>
          </cell>
          <cell r="L740">
            <v>0</v>
          </cell>
          <cell r="O740">
            <v>0</v>
          </cell>
          <cell r="Q740" t="str">
            <v>10|62</v>
          </cell>
        </row>
        <row r="741">
          <cell r="E741" t="str">
            <v>9. OPEN QUESTIONS</v>
          </cell>
          <cell r="G741" t="str">
            <v>B10-Q8</v>
          </cell>
          <cell r="H741" t="str">
            <v>Which third-party inspections and commissioning forms are required before VA acceptance?</v>
          </cell>
          <cell r="I741" t="str">
            <v>GC / Cx Manager</v>
          </cell>
          <cell r="J741" t="str">
            <v>Open</v>
          </cell>
          <cell r="K741">
            <v>0</v>
          </cell>
          <cell r="L741">
            <v>0</v>
          </cell>
          <cell r="O741">
            <v>0</v>
          </cell>
          <cell r="Q741" t="str">
            <v>10|63</v>
          </cell>
        </row>
        <row r="742">
          <cell r="E742" t="str">
            <v>9. OPEN QUESTIONS</v>
          </cell>
          <cell r="G742">
            <v>0</v>
          </cell>
          <cell r="H742">
            <v>0</v>
          </cell>
          <cell r="I742">
            <v>0</v>
          </cell>
          <cell r="J742">
            <v>0</v>
          </cell>
          <cell r="K742">
            <v>0</v>
          </cell>
          <cell r="L742">
            <v>0</v>
          </cell>
          <cell r="O742">
            <v>0</v>
          </cell>
          <cell r="Q742" t="str">
            <v>10|64</v>
          </cell>
        </row>
        <row r="743">
          <cell r="E743" t="str">
            <v>10. PHOTO LOG</v>
          </cell>
          <cell r="G743" t="str">
            <v>10. PHOTO LOG</v>
          </cell>
          <cell r="H743">
            <v>0</v>
          </cell>
          <cell r="I743">
            <v>0</v>
          </cell>
          <cell r="J743">
            <v>0</v>
          </cell>
          <cell r="K743">
            <v>0</v>
          </cell>
          <cell r="L743">
            <v>0</v>
          </cell>
          <cell r="O743">
            <v>0</v>
          </cell>
          <cell r="Q743" t="str">
            <v>10|65</v>
          </cell>
        </row>
        <row r="744">
          <cell r="E744" t="str">
            <v>10. PHOTO LOG</v>
          </cell>
          <cell r="G744" t="str">
            <v>Photo ID</v>
          </cell>
          <cell r="H744" t="str">
            <v>Room</v>
          </cell>
          <cell r="I744" t="str">
            <v>Category</v>
          </cell>
          <cell r="J744" t="str">
            <v>Description</v>
          </cell>
          <cell r="K744" t="str">
            <v>Date</v>
          </cell>
          <cell r="L744" t="str">
            <v>Taken By</v>
          </cell>
          <cell r="O744" t="str">
            <v>Status</v>
          </cell>
          <cell r="Q744" t="str">
            <v>10|66</v>
          </cell>
        </row>
        <row r="745">
          <cell r="E745" t="str">
            <v>10. PHOTO LOG</v>
          </cell>
          <cell r="G745" t="str">
            <v>B10-P001</v>
          </cell>
          <cell r="H745" t="str">
            <v>200A</v>
          </cell>
          <cell r="I745" t="str">
            <v>Existing Condition</v>
          </cell>
          <cell r="J745" t="str">
            <v>Attic TR 200A existing rack/equipment, floor/deck, walls, access route, pathways and clearances</v>
          </cell>
          <cell r="K745">
            <v>0</v>
          </cell>
          <cell r="L745" t="str">
            <v>Paul</v>
          </cell>
          <cell r="O745" t="str">
            <v>Open</v>
          </cell>
          <cell r="Q745" t="str">
            <v>10|67</v>
          </cell>
        </row>
        <row r="746">
          <cell r="E746" t="str">
            <v>10. PHOTO LOG</v>
          </cell>
          <cell r="G746" t="str">
            <v>B10-P002</v>
          </cell>
          <cell r="H746" t="str">
            <v>200A</v>
          </cell>
          <cell r="I746" t="str">
            <v>Hazardous Materials</v>
          </cell>
          <cell r="J746" t="str">
            <v>Attic abatement-related materials, flooring/penetrations, ceiling/deck and disturbance areas</v>
          </cell>
          <cell r="K746">
            <v>0</v>
          </cell>
          <cell r="L746" t="str">
            <v>Paul</v>
          </cell>
          <cell r="O746" t="str">
            <v>Open</v>
          </cell>
          <cell r="Q746" t="str">
            <v>10|68</v>
          </cell>
        </row>
        <row r="747">
          <cell r="E747" t="str">
            <v>10. PHOTO LOG</v>
          </cell>
          <cell r="G747" t="str">
            <v>B10-P003</v>
          </cell>
          <cell r="H747" t="str">
            <v>B24</v>
          </cell>
          <cell r="I747" t="str">
            <v>Electrical</v>
          </cell>
          <cell r="J747" t="str">
            <v>Existing normal electrical room panels, B10-MDP/B10-L10-E, feeder route and working clearances</v>
          </cell>
          <cell r="K747">
            <v>0</v>
          </cell>
          <cell r="L747" t="str">
            <v>Paul</v>
          </cell>
          <cell r="O747" t="str">
            <v>Open</v>
          </cell>
          <cell r="Q747" t="str">
            <v>10|69</v>
          </cell>
        </row>
        <row r="748">
          <cell r="E748" t="str">
            <v>10. PHOTO LOG</v>
          </cell>
          <cell r="G748" t="str">
            <v>B10-P004</v>
          </cell>
          <cell r="H748" t="str">
            <v>B25</v>
          </cell>
          <cell r="I748" t="str">
            <v>Electrical</v>
          </cell>
          <cell r="J748" t="str">
            <v>Existing emergency electrical room, ATS-B10-LSD/emergency distribution and access constraints</v>
          </cell>
          <cell r="K748">
            <v>0</v>
          </cell>
          <cell r="L748" t="str">
            <v>Paul</v>
          </cell>
          <cell r="O748" t="str">
            <v>Open</v>
          </cell>
          <cell r="Q748" t="str">
            <v>10|70</v>
          </cell>
        </row>
        <row r="749">
          <cell r="E749" t="str">
            <v>10. PHOTO LOG</v>
          </cell>
          <cell r="G749" t="str">
            <v>B10-P005</v>
          </cell>
          <cell r="H749" t="str">
            <v>200A</v>
          </cell>
          <cell r="I749" t="str">
            <v>Firestop</v>
          </cell>
          <cell r="J749" t="str">
            <v>All attic wall/floor/sleeve/tray penetrations before and after firestop</v>
          </cell>
          <cell r="K749">
            <v>0</v>
          </cell>
          <cell r="L749" t="str">
            <v>Paul</v>
          </cell>
          <cell r="O749" t="str">
            <v>Open</v>
          </cell>
          <cell r="Q749" t="str">
            <v>10|71</v>
          </cell>
        </row>
        <row r="750">
          <cell r="E750" t="str">
            <v>10. PHOTO LOG</v>
          </cell>
          <cell r="G750" t="str">
            <v>B10-P006</v>
          </cell>
          <cell r="H750" t="str">
            <v>200A</v>
          </cell>
          <cell r="I750" t="str">
            <v>HVAC</v>
          </cell>
          <cell r="J750" t="str">
            <v>IU-1-01/CU-1-01, condensate, thermostat, BACnet adapter, disconnects, high-temp alarm and power source</v>
          </cell>
          <cell r="K750">
            <v>0</v>
          </cell>
          <cell r="L750" t="str">
            <v>Paul</v>
          </cell>
          <cell r="O750" t="str">
            <v>Open</v>
          </cell>
          <cell r="Q750" t="str">
            <v>10|72</v>
          </cell>
        </row>
        <row r="751">
          <cell r="E751" t="str">
            <v>10. PHOTO LOG</v>
          </cell>
          <cell r="G751" t="str">
            <v>B10-P007</v>
          </cell>
          <cell r="H751" t="str">
            <v>200A</v>
          </cell>
          <cell r="I751" t="str">
            <v>Telecom</v>
          </cell>
          <cell r="J751" t="str">
            <v>Racks, UPS/PDU, fiber, Cat6A, patch panels, LIU, bonding, labels and test records</v>
          </cell>
          <cell r="K751">
            <v>0</v>
          </cell>
          <cell r="L751" t="str">
            <v>Paul</v>
          </cell>
          <cell r="O751" t="str">
            <v>Open</v>
          </cell>
          <cell r="Q751" t="str">
            <v>10|73</v>
          </cell>
        </row>
        <row r="752">
          <cell r="E752" t="str">
            <v>10. PHOTO LOG</v>
          </cell>
          <cell r="G752" t="str">
            <v>B10-P008</v>
          </cell>
          <cell r="H752" t="str">
            <v>200A</v>
          </cell>
          <cell r="I752" t="str">
            <v>Security</v>
          </cell>
          <cell r="J752" t="str">
            <v>Card reader, electric strike, door position, CCTV/PACS, motion sensor and VMS/PACS integration</v>
          </cell>
          <cell r="K752">
            <v>0</v>
          </cell>
          <cell r="L752" t="str">
            <v>Paul</v>
          </cell>
          <cell r="O752" t="str">
            <v>Open</v>
          </cell>
          <cell r="Q752" t="str">
            <v>10|74</v>
          </cell>
        </row>
        <row r="753">
          <cell r="E753" t="str">
            <v>10. PHOTO LOG</v>
          </cell>
          <cell r="G753">
            <v>0</v>
          </cell>
          <cell r="H753">
            <v>0</v>
          </cell>
          <cell r="I753">
            <v>0</v>
          </cell>
          <cell r="J753">
            <v>0</v>
          </cell>
          <cell r="K753">
            <v>0</v>
          </cell>
          <cell r="L753">
            <v>0</v>
          </cell>
          <cell r="O753">
            <v>0</v>
          </cell>
          <cell r="Q753" t="str">
            <v>10|75</v>
          </cell>
        </row>
        <row r="754">
          <cell r="E754" t="str">
            <v>1. ROOM INVENTORY</v>
          </cell>
          <cell r="G754" t="str">
            <v>1. ROOM INVENTORY</v>
          </cell>
          <cell r="H754">
            <v>0</v>
          </cell>
          <cell r="I754">
            <v>0</v>
          </cell>
          <cell r="J754">
            <v>0</v>
          </cell>
          <cell r="K754">
            <v>0</v>
          </cell>
          <cell r="L754">
            <v>0</v>
          </cell>
          <cell r="O754">
            <v>0</v>
          </cell>
          <cell r="Q754" t="str">
            <v>12|1</v>
          </cell>
        </row>
        <row r="755">
          <cell r="E755" t="str">
            <v>1. ROOM INVENTORY</v>
          </cell>
          <cell r="G755" t="str">
            <v>Building</v>
          </cell>
          <cell r="H755" t="str">
            <v>Room</v>
          </cell>
          <cell r="I755" t="str">
            <v>Floor</v>
          </cell>
          <cell r="J755" t="str">
            <v>Existing Use</v>
          </cell>
          <cell r="K755" t="str">
            <v>New Use</v>
          </cell>
          <cell r="L755" t="str">
            <v>Rack Count</v>
          </cell>
          <cell r="O755" t="str">
            <v>Drawing Ref</v>
          </cell>
          <cell r="Q755" t="str">
            <v>12|2</v>
          </cell>
        </row>
        <row r="756">
          <cell r="E756" t="str">
            <v>1. ROOM INVENTORY</v>
          </cell>
          <cell r="G756" t="str">
            <v>12</v>
          </cell>
          <cell r="H756" t="str">
            <v>00 / existing fiber path</v>
          </cell>
          <cell r="I756" t="str">
            <v>B/1/2</v>
          </cell>
          <cell r="J756" t="str">
            <v>Existing building fiber pathway / pull-through route</v>
          </cell>
          <cell r="K756" t="str">
            <v>Fiber-only pull-through scope</v>
          </cell>
          <cell r="L756">
            <v>0</v>
          </cell>
          <cell r="O756" t="str">
            <v>12G-000 / 12T-100 / 12T-101 / 12T-604</v>
          </cell>
          <cell r="Q756" t="str">
            <v>12|3</v>
          </cell>
        </row>
        <row r="757">
          <cell r="E757" t="str">
            <v>1. ROOM INVENTORY</v>
          </cell>
          <cell r="G757" t="str">
            <v>12</v>
          </cell>
          <cell r="H757" t="str">
            <v>Existing rack/demarc - field verify</v>
          </cell>
          <cell r="I757" t="str">
            <v>Field verify</v>
          </cell>
          <cell r="J757" t="str">
            <v>Existing service point / serving closet</v>
          </cell>
          <cell r="K757" t="str">
            <v>Protect-in-place / fiber transition point</v>
          </cell>
          <cell r="L757">
            <v>0</v>
          </cell>
          <cell r="O757" t="str">
            <v>12T-604 / 12T-601 / 12T-602 / 12T-603A/B</v>
          </cell>
          <cell r="Q757" t="str">
            <v>12|4</v>
          </cell>
        </row>
        <row r="758">
          <cell r="E758" t="str">
            <v>1. ROOM INVENTORY</v>
          </cell>
          <cell r="G758">
            <v>0</v>
          </cell>
          <cell r="H758">
            <v>0</v>
          </cell>
          <cell r="I758">
            <v>0</v>
          </cell>
          <cell r="J758">
            <v>0</v>
          </cell>
          <cell r="K758">
            <v>0</v>
          </cell>
          <cell r="L758">
            <v>0</v>
          </cell>
          <cell r="O758">
            <v>0</v>
          </cell>
          <cell r="Q758" t="str">
            <v>12|5</v>
          </cell>
        </row>
        <row r="759">
          <cell r="E759" t="str">
            <v>2. ROOM READINESS</v>
          </cell>
          <cell r="G759" t="str">
            <v>2. ROOM READINESS</v>
          </cell>
          <cell r="H759">
            <v>0</v>
          </cell>
          <cell r="I759">
            <v>0</v>
          </cell>
          <cell r="J759">
            <v>0</v>
          </cell>
          <cell r="K759">
            <v>0</v>
          </cell>
          <cell r="L759">
            <v>0</v>
          </cell>
          <cell r="O759">
            <v>0</v>
          </cell>
          <cell r="Q759" t="str">
            <v>12|6</v>
          </cell>
        </row>
        <row r="760">
          <cell r="E760" t="str">
            <v>2. ROOM READINESS</v>
          </cell>
          <cell r="G760" t="str">
            <v>Room</v>
          </cell>
          <cell r="H760" t="str">
            <v>Walls / 1-hr Rating</v>
          </cell>
          <cell r="I760" t="str">
            <v>Ceiling</v>
          </cell>
          <cell r="J760" t="str">
            <v>Floor / SDC</v>
          </cell>
          <cell r="K760" t="str">
            <v>Penetrations</v>
          </cell>
          <cell r="L760" t="str">
            <v>Access Control</v>
          </cell>
          <cell r="O760" t="str">
            <v>Overall</v>
          </cell>
          <cell r="Q760" t="str">
            <v>12|7</v>
          </cell>
        </row>
        <row r="761">
          <cell r="E761" t="str">
            <v>2. ROOM READINESS</v>
          </cell>
          <cell r="G761" t="str">
            <v>Fiber path B/1/2</v>
          </cell>
          <cell r="H761" t="str">
            <v>N/A / Verify</v>
          </cell>
          <cell r="I761" t="str">
            <v>N/A / Verify</v>
          </cell>
          <cell r="J761" t="str">
            <v>N/A</v>
          </cell>
          <cell r="K761" t="str">
            <v>Verify</v>
          </cell>
          <cell r="L761" t="str">
            <v>N/A</v>
          </cell>
          <cell r="O761" t="str">
            <v>Verify</v>
          </cell>
          <cell r="Q761" t="str">
            <v>12|8</v>
          </cell>
        </row>
        <row r="762">
          <cell r="E762" t="str">
            <v>2. ROOM READINESS</v>
          </cell>
          <cell r="G762" t="str">
            <v>Existing rack/demarc - field verify</v>
          </cell>
          <cell r="H762" t="str">
            <v>N/A / Verify</v>
          </cell>
          <cell r="I762" t="str">
            <v>N/A / Verify</v>
          </cell>
          <cell r="J762" t="str">
            <v>N/A</v>
          </cell>
          <cell r="K762" t="str">
            <v>Verify</v>
          </cell>
          <cell r="L762" t="str">
            <v>N/A / Verify</v>
          </cell>
          <cell r="O762" t="str">
            <v>Verify</v>
          </cell>
          <cell r="Q762" t="str">
            <v>12|9</v>
          </cell>
        </row>
        <row r="763">
          <cell r="E763" t="str">
            <v>2. ROOM READINESS</v>
          </cell>
          <cell r="G763">
            <v>0</v>
          </cell>
          <cell r="H763">
            <v>0</v>
          </cell>
          <cell r="I763">
            <v>0</v>
          </cell>
          <cell r="J763">
            <v>0</v>
          </cell>
          <cell r="K763">
            <v>0</v>
          </cell>
          <cell r="L763">
            <v>0</v>
          </cell>
          <cell r="O763">
            <v>0</v>
          </cell>
          <cell r="Q763" t="str">
            <v>12|10</v>
          </cell>
        </row>
        <row r="764">
          <cell r="E764" t="str">
            <v>3. FIRE PROTECTION</v>
          </cell>
          <cell r="G764" t="str">
            <v>3. FIRE PROTECTION</v>
          </cell>
          <cell r="H764">
            <v>0</v>
          </cell>
          <cell r="I764">
            <v>0</v>
          </cell>
          <cell r="J764">
            <v>0</v>
          </cell>
          <cell r="K764">
            <v>0</v>
          </cell>
          <cell r="L764">
            <v>0</v>
          </cell>
          <cell r="O764">
            <v>0</v>
          </cell>
          <cell r="Q764" t="str">
            <v>12|11</v>
          </cell>
        </row>
        <row r="765">
          <cell r="E765" t="str">
            <v>3. FIRE PROTECTION</v>
          </cell>
          <cell r="G765" t="str">
            <v>Room</v>
          </cell>
          <cell r="H765" t="str">
            <v>Sprinkler</v>
          </cell>
          <cell r="I765" t="str">
            <v>Cage</v>
          </cell>
          <cell r="J765" t="str">
            <v>Detector</v>
          </cell>
          <cell r="K765" t="str">
            <v>Horn/Strobe</v>
          </cell>
          <cell r="L765" t="str">
            <v>Extinguisher &lt;75 ft</v>
          </cell>
          <cell r="O765" t="str">
            <v>Overall</v>
          </cell>
          <cell r="Q765" t="str">
            <v>12|12</v>
          </cell>
        </row>
        <row r="766">
          <cell r="E766" t="str">
            <v>3. FIRE PROTECTION</v>
          </cell>
          <cell r="G766" t="str">
            <v>Fiber path B/1/2</v>
          </cell>
          <cell r="H766" t="str">
            <v>N/A</v>
          </cell>
          <cell r="I766" t="str">
            <v>N/A</v>
          </cell>
          <cell r="J766" t="str">
            <v>N/A / Verify</v>
          </cell>
          <cell r="K766" t="str">
            <v>N/A / Verify</v>
          </cell>
          <cell r="L766" t="str">
            <v>N/A</v>
          </cell>
          <cell r="O766" t="str">
            <v>Verify</v>
          </cell>
          <cell r="Q766" t="str">
            <v>12|13</v>
          </cell>
        </row>
        <row r="767">
          <cell r="E767" t="str">
            <v>3. FIRE PROTECTION</v>
          </cell>
          <cell r="G767" t="str">
            <v>Existing rack/demarc - field verify</v>
          </cell>
          <cell r="H767" t="str">
            <v>N/A</v>
          </cell>
          <cell r="I767" t="str">
            <v>N/A</v>
          </cell>
          <cell r="J767" t="str">
            <v>N/A / Verify</v>
          </cell>
          <cell r="K767" t="str">
            <v>N/A / Verify</v>
          </cell>
          <cell r="L767" t="str">
            <v>N/A</v>
          </cell>
          <cell r="O767" t="str">
            <v>Verify</v>
          </cell>
          <cell r="Q767" t="str">
            <v>12|14</v>
          </cell>
        </row>
        <row r="768">
          <cell r="E768" t="str">
            <v>3. FIRE PROTECTION</v>
          </cell>
          <cell r="G768">
            <v>0</v>
          </cell>
          <cell r="H768">
            <v>0</v>
          </cell>
          <cell r="I768">
            <v>0</v>
          </cell>
          <cell r="J768">
            <v>0</v>
          </cell>
          <cell r="K768">
            <v>0</v>
          </cell>
          <cell r="L768">
            <v>0</v>
          </cell>
          <cell r="O768">
            <v>0</v>
          </cell>
          <cell r="Q768" t="str">
            <v>12|15</v>
          </cell>
        </row>
        <row r="769">
          <cell r="E769" t="str">
            <v>4. HVAC / COOLING</v>
          </cell>
          <cell r="G769" t="str">
            <v>4. HVAC / COOLING</v>
          </cell>
          <cell r="H769">
            <v>0</v>
          </cell>
          <cell r="I769">
            <v>0</v>
          </cell>
          <cell r="J769">
            <v>0</v>
          </cell>
          <cell r="K769">
            <v>0</v>
          </cell>
          <cell r="L769">
            <v>0</v>
          </cell>
          <cell r="O769">
            <v>0</v>
          </cell>
          <cell r="Q769" t="str">
            <v>12|16</v>
          </cell>
        </row>
        <row r="770">
          <cell r="E770" t="str">
            <v>4. HVAC / COOLING</v>
          </cell>
          <cell r="G770" t="str">
            <v>Room</v>
          </cell>
          <cell r="H770" t="str">
            <v>Dedicated Unit</v>
          </cell>
          <cell r="I770" t="str">
            <v>Capacity Verified</v>
          </cell>
          <cell r="J770" t="str">
            <v>Emergency Power</v>
          </cell>
          <cell r="K770" t="str">
            <v>Controls / BACnet</v>
          </cell>
          <cell r="L770" t="str">
            <v>Condensate Routed</v>
          </cell>
          <cell r="O770" t="str">
            <v>Overall</v>
          </cell>
          <cell r="Q770" t="str">
            <v>12|17</v>
          </cell>
        </row>
        <row r="771">
          <cell r="E771" t="str">
            <v>4. HVAC / COOLING</v>
          </cell>
          <cell r="G771" t="str">
            <v>Fiber path B/1/2</v>
          </cell>
          <cell r="H771" t="str">
            <v>N/A</v>
          </cell>
          <cell r="I771" t="str">
            <v>N/A</v>
          </cell>
          <cell r="J771" t="str">
            <v>N/A</v>
          </cell>
          <cell r="K771" t="str">
            <v>N/A</v>
          </cell>
          <cell r="L771" t="str">
            <v>N/A</v>
          </cell>
          <cell r="O771" t="str">
            <v>N/A</v>
          </cell>
          <cell r="Q771" t="str">
            <v>12|18</v>
          </cell>
        </row>
        <row r="772">
          <cell r="E772" t="str">
            <v>4. HVAC / COOLING</v>
          </cell>
          <cell r="G772" t="str">
            <v>Existing rack/demarc - field verify</v>
          </cell>
          <cell r="H772" t="str">
            <v>Existing / N/A</v>
          </cell>
          <cell r="I772" t="str">
            <v>N/A</v>
          </cell>
          <cell r="J772" t="str">
            <v>N/A</v>
          </cell>
          <cell r="K772" t="str">
            <v>N/A</v>
          </cell>
          <cell r="L772" t="str">
            <v>N/A</v>
          </cell>
          <cell r="O772" t="str">
            <v>N/A</v>
          </cell>
          <cell r="Q772" t="str">
            <v>12|19</v>
          </cell>
        </row>
        <row r="773">
          <cell r="E773" t="str">
            <v>4. HVAC / COOLING</v>
          </cell>
          <cell r="G773">
            <v>0</v>
          </cell>
          <cell r="H773">
            <v>0</v>
          </cell>
          <cell r="I773">
            <v>0</v>
          </cell>
          <cell r="J773">
            <v>0</v>
          </cell>
          <cell r="K773">
            <v>0</v>
          </cell>
          <cell r="L773">
            <v>0</v>
          </cell>
          <cell r="O773">
            <v>0</v>
          </cell>
          <cell r="Q773" t="str">
            <v>12|20</v>
          </cell>
        </row>
        <row r="774">
          <cell r="E774" t="str">
            <v>5. ELECTRICAL / UPS</v>
          </cell>
          <cell r="G774" t="str">
            <v>5. ELECTRICAL / UPS</v>
          </cell>
          <cell r="H774">
            <v>0</v>
          </cell>
          <cell r="I774">
            <v>0</v>
          </cell>
          <cell r="J774">
            <v>0</v>
          </cell>
          <cell r="K774">
            <v>0</v>
          </cell>
          <cell r="L774">
            <v>0</v>
          </cell>
          <cell r="O774">
            <v>0</v>
          </cell>
          <cell r="Q774" t="str">
            <v>12|21</v>
          </cell>
        </row>
        <row r="775">
          <cell r="E775" t="str">
            <v>5. ELECTRICAL / UPS</v>
          </cell>
          <cell r="G775" t="str">
            <v>Room</v>
          </cell>
          <cell r="H775" t="str">
            <v>UPS Installed</v>
          </cell>
          <cell r="I775" t="str">
            <v>UPS Size</v>
          </cell>
          <cell r="J775" t="str">
            <v>PDU Installed</v>
          </cell>
          <cell r="K775" t="str">
            <v>Rack Receptacles</v>
          </cell>
          <cell r="L775" t="str">
            <v>Panel Assigned</v>
          </cell>
          <cell r="O775" t="str">
            <v>Overall</v>
          </cell>
          <cell r="Q775" t="str">
            <v>12|22</v>
          </cell>
        </row>
        <row r="776">
          <cell r="E776" t="str">
            <v>5. ELECTRICAL / UPS</v>
          </cell>
          <cell r="G776" t="str">
            <v>Fiber path B/1/2</v>
          </cell>
          <cell r="H776" t="str">
            <v>N/A</v>
          </cell>
          <cell r="I776" t="str">
            <v>N/A</v>
          </cell>
          <cell r="J776" t="str">
            <v>N/A</v>
          </cell>
          <cell r="K776" t="str">
            <v>N/A</v>
          </cell>
          <cell r="L776" t="str">
            <v>N/A</v>
          </cell>
          <cell r="O776" t="str">
            <v>Verify</v>
          </cell>
          <cell r="Q776" t="str">
            <v>12|23</v>
          </cell>
        </row>
        <row r="777">
          <cell r="E777" t="str">
            <v>5. ELECTRICAL / UPS</v>
          </cell>
          <cell r="G777" t="str">
            <v>Existing rack/demarc - field verify</v>
          </cell>
          <cell r="H777" t="str">
            <v>Existing / N/A</v>
          </cell>
          <cell r="I777" t="str">
            <v>N/A</v>
          </cell>
          <cell r="J777" t="str">
            <v>N/A</v>
          </cell>
          <cell r="K777" t="str">
            <v>N/A</v>
          </cell>
          <cell r="L777" t="str">
            <v>N/A</v>
          </cell>
          <cell r="O777" t="str">
            <v>Verify</v>
          </cell>
          <cell r="Q777" t="str">
            <v>12|24</v>
          </cell>
        </row>
        <row r="778">
          <cell r="E778" t="str">
            <v>5. ELECTRICAL / UPS</v>
          </cell>
          <cell r="G778">
            <v>0</v>
          </cell>
          <cell r="H778">
            <v>0</v>
          </cell>
          <cell r="I778">
            <v>0</v>
          </cell>
          <cell r="J778">
            <v>0</v>
          </cell>
          <cell r="K778">
            <v>0</v>
          </cell>
          <cell r="L778">
            <v>0</v>
          </cell>
          <cell r="O778">
            <v>0</v>
          </cell>
          <cell r="Q778" t="str">
            <v>12|25</v>
          </cell>
        </row>
        <row r="779">
          <cell r="E779" t="str">
            <v>6. TELECOMMUNICATIONS</v>
          </cell>
          <cell r="G779" t="str">
            <v>6. TELECOMMUNICATIONS</v>
          </cell>
          <cell r="H779">
            <v>0</v>
          </cell>
          <cell r="I779">
            <v>0</v>
          </cell>
          <cell r="J779">
            <v>0</v>
          </cell>
          <cell r="K779">
            <v>0</v>
          </cell>
          <cell r="L779">
            <v>0</v>
          </cell>
          <cell r="O779">
            <v>0</v>
          </cell>
          <cell r="Q779" t="str">
            <v>12|26</v>
          </cell>
        </row>
        <row r="780">
          <cell r="E780" t="str">
            <v>6. TELECOMMUNICATIONS</v>
          </cell>
          <cell r="G780" t="str">
            <v>Room</v>
          </cell>
          <cell r="H780" t="str">
            <v>Rack Installed</v>
          </cell>
          <cell r="I780" t="str">
            <v>Ladder Tray</v>
          </cell>
          <cell r="J780" t="str">
            <v>Fiber Installed</v>
          </cell>
          <cell r="K780" t="str">
            <v>Grounding</v>
          </cell>
          <cell r="L780" t="str">
            <v>Labeling</v>
          </cell>
          <cell r="O780" t="str">
            <v>Overall</v>
          </cell>
          <cell r="Q780" t="str">
            <v>12|27</v>
          </cell>
        </row>
        <row r="781">
          <cell r="E781" t="str">
            <v>6. TELECOMMUNICATIONS</v>
          </cell>
          <cell r="G781" t="str">
            <v>Fiber path B/1/2</v>
          </cell>
          <cell r="H781" t="str">
            <v>N/A</v>
          </cell>
          <cell r="I781" t="str">
            <v>Verify</v>
          </cell>
          <cell r="J781" t="str">
            <v>Verify</v>
          </cell>
          <cell r="K781" t="str">
            <v>Verify</v>
          </cell>
          <cell r="L781" t="str">
            <v>Verify</v>
          </cell>
          <cell r="O781" t="str">
            <v>Verify</v>
          </cell>
          <cell r="Q781" t="str">
            <v>12|28</v>
          </cell>
        </row>
        <row r="782">
          <cell r="E782" t="str">
            <v>6. TELECOMMUNICATIONS</v>
          </cell>
          <cell r="G782" t="str">
            <v>Existing rack/demarc - field verify</v>
          </cell>
          <cell r="H782" t="str">
            <v>Existing / none new</v>
          </cell>
          <cell r="I782" t="str">
            <v>N/A / Verify</v>
          </cell>
          <cell r="J782" t="str">
            <v>Verify</v>
          </cell>
          <cell r="K782" t="str">
            <v>Verify</v>
          </cell>
          <cell r="L782" t="str">
            <v>Verify</v>
          </cell>
          <cell r="O782" t="str">
            <v>Verify</v>
          </cell>
          <cell r="Q782" t="str">
            <v>12|29</v>
          </cell>
        </row>
        <row r="783">
          <cell r="E783" t="str">
            <v>6. TELECOMMUNICATIONS</v>
          </cell>
          <cell r="G783">
            <v>0</v>
          </cell>
          <cell r="H783">
            <v>0</v>
          </cell>
          <cell r="I783">
            <v>0</v>
          </cell>
          <cell r="J783">
            <v>0</v>
          </cell>
          <cell r="K783">
            <v>0</v>
          </cell>
          <cell r="L783">
            <v>0</v>
          </cell>
          <cell r="O783">
            <v>0</v>
          </cell>
          <cell r="Q783" t="str">
            <v>12|30</v>
          </cell>
        </row>
        <row r="784">
          <cell r="E784" t="str">
            <v>7. SECURITY / PACS / CCTV</v>
          </cell>
          <cell r="G784" t="str">
            <v>7. SECURITY / PACS / CCTV</v>
          </cell>
          <cell r="H784">
            <v>0</v>
          </cell>
          <cell r="I784">
            <v>0</v>
          </cell>
          <cell r="J784">
            <v>0</v>
          </cell>
          <cell r="K784">
            <v>0</v>
          </cell>
          <cell r="L784">
            <v>0</v>
          </cell>
          <cell r="O784">
            <v>0</v>
          </cell>
          <cell r="Q784" t="str">
            <v>12|31</v>
          </cell>
        </row>
        <row r="785">
          <cell r="E785" t="str">
            <v>7. SECURITY / PACS / CCTV</v>
          </cell>
          <cell r="G785" t="str">
            <v>Room</v>
          </cell>
          <cell r="H785" t="str">
            <v>PACS</v>
          </cell>
          <cell r="I785" t="str">
            <v>Card Reader</v>
          </cell>
          <cell r="J785" t="str">
            <v>Door Position</v>
          </cell>
          <cell r="K785" t="str">
            <v>Electric Strike</v>
          </cell>
          <cell r="L785" t="str">
            <v>CCTV</v>
          </cell>
          <cell r="O785" t="str">
            <v>Overall</v>
          </cell>
          <cell r="Q785" t="str">
            <v>12|32</v>
          </cell>
        </row>
        <row r="786">
          <cell r="E786" t="str">
            <v>7. SECURITY / PACS / CCTV</v>
          </cell>
          <cell r="G786" t="str">
            <v>Fiber path B/1/2</v>
          </cell>
          <cell r="H786" t="str">
            <v>N/A</v>
          </cell>
          <cell r="I786" t="str">
            <v>N/A</v>
          </cell>
          <cell r="J786" t="str">
            <v>N/A</v>
          </cell>
          <cell r="K786" t="str">
            <v>N/A</v>
          </cell>
          <cell r="L786" t="str">
            <v>N/A / Verify</v>
          </cell>
          <cell r="O786" t="str">
            <v>N/A / Verify</v>
          </cell>
          <cell r="Q786" t="str">
            <v>12|33</v>
          </cell>
        </row>
        <row r="787">
          <cell r="E787" t="str">
            <v>7. SECURITY / PACS / CCTV</v>
          </cell>
          <cell r="G787" t="str">
            <v>Existing rack/demarc - field verify</v>
          </cell>
          <cell r="H787" t="str">
            <v>N/A / Verify</v>
          </cell>
          <cell r="I787" t="str">
            <v>N/A / Verify</v>
          </cell>
          <cell r="J787" t="str">
            <v>N/A</v>
          </cell>
          <cell r="K787" t="str">
            <v>N/A</v>
          </cell>
          <cell r="L787" t="str">
            <v>N/A / Verify</v>
          </cell>
          <cell r="O787" t="str">
            <v>N/A / Verify</v>
          </cell>
          <cell r="Q787" t="str">
            <v>12|34</v>
          </cell>
        </row>
        <row r="788">
          <cell r="E788" t="str">
            <v>7. SECURITY / PACS / CCTV</v>
          </cell>
          <cell r="G788">
            <v>0</v>
          </cell>
          <cell r="H788">
            <v>0</v>
          </cell>
          <cell r="I788">
            <v>0</v>
          </cell>
          <cell r="J788">
            <v>0</v>
          </cell>
          <cell r="K788">
            <v>0</v>
          </cell>
          <cell r="L788">
            <v>0</v>
          </cell>
          <cell r="O788">
            <v>0</v>
          </cell>
          <cell r="Q788" t="str">
            <v>12|35</v>
          </cell>
        </row>
        <row r="789">
          <cell r="E789" t="str">
            <v>8. OWNER RISKS</v>
          </cell>
          <cell r="G789" t="str">
            <v>8. OWNER RISKS</v>
          </cell>
          <cell r="H789">
            <v>0</v>
          </cell>
          <cell r="I789">
            <v>0</v>
          </cell>
          <cell r="J789">
            <v>0</v>
          </cell>
          <cell r="K789">
            <v>0</v>
          </cell>
          <cell r="L789">
            <v>0</v>
          </cell>
          <cell r="O789">
            <v>0</v>
          </cell>
          <cell r="Q789" t="str">
            <v>12|36</v>
          </cell>
        </row>
        <row r="790">
          <cell r="E790" t="str">
            <v>8. OWNER RISKS</v>
          </cell>
          <cell r="G790" t="str">
            <v>Risk ID</v>
          </cell>
          <cell r="H790" t="str">
            <v>Room</v>
          </cell>
          <cell r="I790" t="str">
            <v>Risk</v>
          </cell>
          <cell r="J790" t="str">
            <v>Impact</v>
          </cell>
          <cell r="K790" t="str">
            <v>Probability</v>
          </cell>
          <cell r="L790" t="str">
            <v>Score</v>
          </cell>
          <cell r="O790" t="str">
            <v>Status</v>
          </cell>
          <cell r="Q790" t="str">
            <v>12|37</v>
          </cell>
        </row>
        <row r="791">
          <cell r="E791" t="str">
            <v>8. OWNER RISKS</v>
          </cell>
          <cell r="G791" t="str">
            <v>B12-R1</v>
          </cell>
          <cell r="H791" t="str">
            <v>All</v>
          </cell>
          <cell r="I791" t="str">
            <v>Fiber-only scope could be mistaken for full TR scope or skipped as minor work</v>
          </cell>
          <cell r="J791" t="str">
            <v>High</v>
          </cell>
          <cell r="K791" t="str">
            <v>Medium</v>
          </cell>
          <cell r="L791">
            <v>6</v>
          </cell>
          <cell r="O791" t="str">
            <v>Open</v>
          </cell>
          <cell r="Q791" t="str">
            <v>12|38</v>
          </cell>
        </row>
        <row r="792">
          <cell r="E792" t="str">
            <v>8. OWNER RISKS</v>
          </cell>
          <cell r="G792" t="str">
            <v>B12-R2</v>
          </cell>
          <cell r="H792" t="str">
            <v>Fiber path B/1/2</v>
          </cell>
          <cell r="I792" t="str">
            <v>Existing pull-through pathway not field verified</v>
          </cell>
          <cell r="J792" t="str">
            <v>High</v>
          </cell>
          <cell r="K792" t="str">
            <v>Medium</v>
          </cell>
          <cell r="L792">
            <v>6</v>
          </cell>
          <cell r="O792" t="str">
            <v>Open</v>
          </cell>
          <cell r="Q792" t="str">
            <v>12|39</v>
          </cell>
        </row>
        <row r="793">
          <cell r="E793" t="str">
            <v>8. OWNER RISKS</v>
          </cell>
          <cell r="G793" t="str">
            <v>B12-R3</v>
          </cell>
          <cell r="H793" t="str">
            <v>All</v>
          </cell>
          <cell r="I793" t="str">
            <v>Existing service continuity during fiber pull/cutover may not be defined</v>
          </cell>
          <cell r="J793" t="str">
            <v>Critical</v>
          </cell>
          <cell r="K793" t="str">
            <v>Medium</v>
          </cell>
          <cell r="L793">
            <v>8</v>
          </cell>
          <cell r="O793" t="str">
            <v>Open</v>
          </cell>
          <cell r="Q793" t="str">
            <v>12|40</v>
          </cell>
        </row>
        <row r="794">
          <cell r="E794" t="str">
            <v>8. OWNER RISKS</v>
          </cell>
          <cell r="G794" t="str">
            <v>B12-R4</v>
          </cell>
          <cell r="H794" t="str">
            <v>All</v>
          </cell>
          <cell r="I794" t="str">
            <v>Pathway penetrations/firestopping may be overlooked because there is no architectural/FP package</v>
          </cell>
          <cell r="J794" t="str">
            <v>High</v>
          </cell>
          <cell r="K794" t="str">
            <v>Medium</v>
          </cell>
          <cell r="L794">
            <v>6</v>
          </cell>
          <cell r="O794" t="str">
            <v>Open</v>
          </cell>
          <cell r="Q794" t="str">
            <v>12|41</v>
          </cell>
        </row>
        <row r="795">
          <cell r="E795" t="str">
            <v>8. OWNER RISKS</v>
          </cell>
          <cell r="G795" t="str">
            <v>B12-R5</v>
          </cell>
          <cell r="H795" t="str">
            <v>Existing rack/demarc - field verify</v>
          </cell>
          <cell r="I795" t="str">
            <v>Existing termination/demarc location and ownership unclear</v>
          </cell>
          <cell r="J795" t="str">
            <v>Medium</v>
          </cell>
          <cell r="K795" t="str">
            <v>Medium</v>
          </cell>
          <cell r="L795">
            <v>4</v>
          </cell>
          <cell r="O795" t="str">
            <v>Open</v>
          </cell>
          <cell r="Q795" t="str">
            <v>12|42</v>
          </cell>
        </row>
        <row r="796">
          <cell r="E796" t="str">
            <v>8. OWNER RISKS</v>
          </cell>
          <cell r="G796" t="str">
            <v>B12-R6</v>
          </cell>
          <cell r="H796" t="str">
            <v>All</v>
          </cell>
          <cell r="I796" t="str">
            <v>Test reports, labels and as-builts may be incomplete for fiber-only work</v>
          </cell>
          <cell r="J796" t="str">
            <v>High</v>
          </cell>
          <cell r="K796" t="str">
            <v>Medium</v>
          </cell>
          <cell r="L796">
            <v>6</v>
          </cell>
          <cell r="O796" t="str">
            <v>Open</v>
          </cell>
          <cell r="Q796" t="str">
            <v>12|43</v>
          </cell>
        </row>
        <row r="797">
          <cell r="E797" t="str">
            <v>8. OWNER RISKS</v>
          </cell>
          <cell r="G797">
            <v>0</v>
          </cell>
          <cell r="H797">
            <v>0</v>
          </cell>
          <cell r="I797">
            <v>0</v>
          </cell>
          <cell r="J797">
            <v>0</v>
          </cell>
          <cell r="K797">
            <v>0</v>
          </cell>
          <cell r="L797">
            <v>0</v>
          </cell>
          <cell r="O797">
            <v>0</v>
          </cell>
          <cell r="Q797" t="str">
            <v>12|44</v>
          </cell>
        </row>
        <row r="798">
          <cell r="E798" t="str">
            <v>9. OPEN QUESTIONS</v>
          </cell>
          <cell r="G798" t="str">
            <v>9. OPEN QUESTIONS</v>
          </cell>
          <cell r="H798">
            <v>0</v>
          </cell>
          <cell r="I798">
            <v>0</v>
          </cell>
          <cell r="J798">
            <v>0</v>
          </cell>
          <cell r="K798">
            <v>0</v>
          </cell>
          <cell r="L798">
            <v>0</v>
          </cell>
          <cell r="O798">
            <v>0</v>
          </cell>
          <cell r="Q798" t="str">
            <v>12|45</v>
          </cell>
        </row>
        <row r="799">
          <cell r="E799" t="str">
            <v>9. OPEN QUESTIONS</v>
          </cell>
          <cell r="G799" t="str">
            <v>Question ID</v>
          </cell>
          <cell r="H799" t="str">
            <v>Question</v>
          </cell>
          <cell r="I799" t="str">
            <v>Assigned To</v>
          </cell>
          <cell r="J799" t="str">
            <v>Status</v>
          </cell>
          <cell r="K799" t="str">
            <v>Needed By</v>
          </cell>
          <cell r="L799" t="str">
            <v>Answer / Resolution</v>
          </cell>
          <cell r="O799" t="str">
            <v>Date Closed</v>
          </cell>
          <cell r="Q799" t="str">
            <v>12|46</v>
          </cell>
        </row>
        <row r="800">
          <cell r="E800" t="str">
            <v>9. OPEN QUESTIONS</v>
          </cell>
          <cell r="G800" t="str">
            <v>B12-Q1</v>
          </cell>
          <cell r="H800" t="str">
            <v>Confirm Building 12 scope is fiber-only with no new TR, no new rack, no new electrical, HVAC, fire protection, PACS or CCTV work?</v>
          </cell>
          <cell r="I800" t="str">
            <v>VA / OIT / Designer</v>
          </cell>
          <cell r="J800" t="str">
            <v>Open</v>
          </cell>
          <cell r="K800">
            <v>0</v>
          </cell>
          <cell r="L800">
            <v>0</v>
          </cell>
          <cell r="O800">
            <v>0</v>
          </cell>
          <cell r="Q800" t="str">
            <v>12|47</v>
          </cell>
        </row>
        <row r="801">
          <cell r="E801" t="str">
            <v>9. OPEN QUESTIONS</v>
          </cell>
          <cell r="G801" t="str">
            <v>B12-Q2</v>
          </cell>
          <cell r="H801" t="str">
            <v>What exact pathway does the Building 12 fiber take through basement, first and second levels?</v>
          </cell>
          <cell r="I801" t="str">
            <v>Telecom Contractor / OIT</v>
          </cell>
          <cell r="J801" t="str">
            <v>Open</v>
          </cell>
          <cell r="K801">
            <v>0</v>
          </cell>
          <cell r="L801">
            <v>0</v>
          </cell>
          <cell r="O801">
            <v>0</v>
          </cell>
          <cell r="Q801" t="str">
            <v>12|48</v>
          </cell>
        </row>
        <row r="802">
          <cell r="E802" t="str">
            <v>9. OPEN QUESTIONS</v>
          </cell>
          <cell r="G802" t="str">
            <v>B12-Q3</v>
          </cell>
          <cell r="H802" t="str">
            <v>Where does the Building 12 fiber terminate, and is the existing rack/demarc/closet to be touched?</v>
          </cell>
          <cell r="I802" t="str">
            <v>OIT / Contractor</v>
          </cell>
          <cell r="J802" t="str">
            <v>Open</v>
          </cell>
          <cell r="K802">
            <v>0</v>
          </cell>
          <cell r="L802">
            <v>0</v>
          </cell>
          <cell r="O802">
            <v>0</v>
          </cell>
          <cell r="Q802" t="str">
            <v>12|49</v>
          </cell>
        </row>
        <row r="803">
          <cell r="E803" t="str">
            <v>9. OPEN QUESTIONS</v>
          </cell>
          <cell r="G803" t="str">
            <v>B12-Q4</v>
          </cell>
          <cell r="H803" t="str">
            <v>Are existing conduits/cable trays available and below fill limits for the new fiber?</v>
          </cell>
          <cell r="I803" t="str">
            <v>Telecom Contractor</v>
          </cell>
          <cell r="J803" t="str">
            <v>Open</v>
          </cell>
          <cell r="K803">
            <v>0</v>
          </cell>
          <cell r="L803">
            <v>0</v>
          </cell>
          <cell r="O803">
            <v>0</v>
          </cell>
          <cell r="Q803" t="str">
            <v>12|50</v>
          </cell>
        </row>
        <row r="804">
          <cell r="E804" t="str">
            <v>9. OPEN QUESTIONS</v>
          </cell>
          <cell r="G804" t="str">
            <v>B12-Q5</v>
          </cell>
          <cell r="H804" t="str">
            <v>Are there any floor/rated wall penetrations requiring firestop or temporary firestop during cable pull?</v>
          </cell>
          <cell r="I804" t="str">
            <v>GC / Firestop</v>
          </cell>
          <cell r="J804" t="str">
            <v>Open</v>
          </cell>
          <cell r="K804">
            <v>0</v>
          </cell>
          <cell r="L804">
            <v>0</v>
          </cell>
          <cell r="O804">
            <v>0</v>
          </cell>
          <cell r="Q804" t="str">
            <v>12|51</v>
          </cell>
        </row>
        <row r="805">
          <cell r="E805" t="str">
            <v>9. OPEN QUESTIONS</v>
          </cell>
          <cell r="G805" t="str">
            <v>B12-Q6</v>
          </cell>
          <cell r="H805" t="str">
            <v>What is the approved cutover/testing/acceptance sequence for Building 12 fiber?</v>
          </cell>
          <cell r="I805" t="str">
            <v>OIT / COR / Contractor</v>
          </cell>
          <cell r="J805" t="str">
            <v>Open</v>
          </cell>
          <cell r="K805">
            <v>0</v>
          </cell>
          <cell r="L805">
            <v>0</v>
          </cell>
          <cell r="O805">
            <v>0</v>
          </cell>
          <cell r="Q805" t="str">
            <v>12|52</v>
          </cell>
        </row>
        <row r="806">
          <cell r="E806" t="str">
            <v>9. OPEN QUESTIONS</v>
          </cell>
          <cell r="G806" t="str">
            <v>B12-Q7</v>
          </cell>
          <cell r="H806" t="str">
            <v>Which fiber test reports, labels, route documentation and as-builts are required for closeout?</v>
          </cell>
          <cell r="I806" t="str">
            <v>Telecom / GCC</v>
          </cell>
          <cell r="J806" t="str">
            <v>Open</v>
          </cell>
          <cell r="K806">
            <v>0</v>
          </cell>
          <cell r="L806">
            <v>0</v>
          </cell>
          <cell r="O806">
            <v>0</v>
          </cell>
          <cell r="Q806" t="str">
            <v>12|53</v>
          </cell>
        </row>
        <row r="807">
          <cell r="E807" t="str">
            <v>9. OPEN QUESTIONS</v>
          </cell>
          <cell r="G807">
            <v>0</v>
          </cell>
          <cell r="H807">
            <v>0</v>
          </cell>
          <cell r="I807">
            <v>0</v>
          </cell>
          <cell r="J807">
            <v>0</v>
          </cell>
          <cell r="K807">
            <v>0</v>
          </cell>
          <cell r="L807">
            <v>0</v>
          </cell>
          <cell r="O807">
            <v>0</v>
          </cell>
          <cell r="Q807" t="str">
            <v>12|54</v>
          </cell>
        </row>
        <row r="808">
          <cell r="E808" t="str">
            <v>10. PHOTO LOG</v>
          </cell>
          <cell r="G808" t="str">
            <v>10. PHOTO LOG</v>
          </cell>
          <cell r="H808">
            <v>0</v>
          </cell>
          <cell r="I808">
            <v>0</v>
          </cell>
          <cell r="J808">
            <v>0</v>
          </cell>
          <cell r="K808">
            <v>0</v>
          </cell>
          <cell r="L808">
            <v>0</v>
          </cell>
          <cell r="O808">
            <v>0</v>
          </cell>
          <cell r="Q808" t="str">
            <v>12|55</v>
          </cell>
        </row>
        <row r="809">
          <cell r="E809" t="str">
            <v>10. PHOTO LOG</v>
          </cell>
          <cell r="G809" t="str">
            <v>Photo ID</v>
          </cell>
          <cell r="H809" t="str">
            <v>Room</v>
          </cell>
          <cell r="I809" t="str">
            <v>Category</v>
          </cell>
          <cell r="J809" t="str">
            <v>Description</v>
          </cell>
          <cell r="K809" t="str">
            <v>Date</v>
          </cell>
          <cell r="L809" t="str">
            <v>Taken By</v>
          </cell>
          <cell r="O809" t="str">
            <v>Status</v>
          </cell>
          <cell r="Q809" t="str">
            <v>12|56</v>
          </cell>
        </row>
        <row r="810">
          <cell r="E810" t="str">
            <v>10. PHOTO LOG</v>
          </cell>
          <cell r="G810" t="str">
            <v>B12-P001</v>
          </cell>
          <cell r="H810" t="str">
            <v>Fiber path B/1/2</v>
          </cell>
          <cell r="I810" t="str">
            <v>Existing Condition</v>
          </cell>
          <cell r="J810" t="str">
            <v>Existing conduit/cable tray/pathway from entry through basement/first/second levels</v>
          </cell>
          <cell r="K810">
            <v>0</v>
          </cell>
          <cell r="L810" t="str">
            <v>Paul</v>
          </cell>
          <cell r="O810" t="str">
            <v>Open</v>
          </cell>
          <cell r="Q810" t="str">
            <v>12|57</v>
          </cell>
        </row>
        <row r="811">
          <cell r="E811" t="str">
            <v>10. PHOTO LOG</v>
          </cell>
          <cell r="G811" t="str">
            <v>B12-P002</v>
          </cell>
          <cell r="H811" t="str">
            <v>Existing rack/demarc - field verify</v>
          </cell>
          <cell r="I811" t="str">
            <v>Existing Condition</v>
          </cell>
          <cell r="J811" t="str">
            <v>Existing rack, demarc, serving closet or fiber termination/pass-through point</v>
          </cell>
          <cell r="K811">
            <v>0</v>
          </cell>
          <cell r="L811" t="str">
            <v>Paul</v>
          </cell>
          <cell r="O811" t="str">
            <v>Open</v>
          </cell>
          <cell r="Q811" t="str">
            <v>12|58</v>
          </cell>
        </row>
        <row r="812">
          <cell r="E812" t="str">
            <v>10. PHOTO LOG</v>
          </cell>
          <cell r="G812" t="str">
            <v>B12-P003</v>
          </cell>
          <cell r="H812" t="str">
            <v>All</v>
          </cell>
          <cell r="I812" t="str">
            <v>Firestop</v>
          </cell>
          <cell r="J812" t="str">
            <v>All floor/wall/sleeve penetrations before pull, during work, and after permanent firestop</v>
          </cell>
          <cell r="K812">
            <v>0</v>
          </cell>
          <cell r="L812" t="str">
            <v>Paul</v>
          </cell>
          <cell r="O812" t="str">
            <v>Open</v>
          </cell>
          <cell r="Q812" t="str">
            <v>12|59</v>
          </cell>
        </row>
        <row r="813">
          <cell r="E813" t="str">
            <v>10. PHOTO LOG</v>
          </cell>
          <cell r="G813" t="str">
            <v>B12-P004</v>
          </cell>
          <cell r="H813" t="str">
            <v>All</v>
          </cell>
          <cell r="I813" t="str">
            <v>Telecom</v>
          </cell>
          <cell r="J813" t="str">
            <v>Fiber reels, pull route, pull boxes, labels, slack loops, termination points and test records</v>
          </cell>
          <cell r="K813">
            <v>0</v>
          </cell>
          <cell r="L813" t="str">
            <v>Paul</v>
          </cell>
          <cell r="O813" t="str">
            <v>Open</v>
          </cell>
          <cell r="Q813" t="str">
            <v>12|60</v>
          </cell>
        </row>
        <row r="814">
          <cell r="E814" t="str">
            <v>10. PHOTO LOG</v>
          </cell>
          <cell r="G814" t="str">
            <v>B12-P005</v>
          </cell>
          <cell r="H814" t="str">
            <v>All</v>
          </cell>
          <cell r="I814" t="str">
            <v>Closeout</v>
          </cell>
          <cell r="J814" t="str">
            <v>Fiber certification/OTDR screenshots, labeling, as-built route and VA/OIT acceptance evidence</v>
          </cell>
          <cell r="K814">
            <v>0</v>
          </cell>
          <cell r="L814" t="str">
            <v>Paul</v>
          </cell>
          <cell r="O814" t="str">
            <v>Open</v>
          </cell>
          <cell r="Q814" t="str">
            <v>12|61</v>
          </cell>
        </row>
        <row r="815">
          <cell r="E815" t="str">
            <v>10. PHOTO LOG</v>
          </cell>
          <cell r="G815">
            <v>0</v>
          </cell>
          <cell r="H815">
            <v>0</v>
          </cell>
          <cell r="I815">
            <v>0</v>
          </cell>
          <cell r="J815">
            <v>0</v>
          </cell>
          <cell r="K815">
            <v>0</v>
          </cell>
          <cell r="L815">
            <v>0</v>
          </cell>
          <cell r="O815">
            <v>0</v>
          </cell>
          <cell r="Q815" t="str">
            <v>12|62</v>
          </cell>
        </row>
        <row r="816">
          <cell r="E816" t="str">
            <v>1. ROOM INVENTORY</v>
          </cell>
          <cell r="G816" t="str">
            <v>1. ROOM INVENTORY</v>
          </cell>
          <cell r="H816">
            <v>0</v>
          </cell>
          <cell r="I816">
            <v>0</v>
          </cell>
          <cell r="J816">
            <v>0</v>
          </cell>
          <cell r="K816">
            <v>0</v>
          </cell>
          <cell r="L816">
            <v>0</v>
          </cell>
          <cell r="O816">
            <v>0</v>
          </cell>
          <cell r="Q816" t="str">
            <v>13|1</v>
          </cell>
        </row>
        <row r="817">
          <cell r="E817" t="str">
            <v>1. ROOM INVENTORY</v>
          </cell>
          <cell r="G817" t="str">
            <v>Building</v>
          </cell>
          <cell r="H817" t="str">
            <v>Room</v>
          </cell>
          <cell r="I817" t="str">
            <v>Floor</v>
          </cell>
          <cell r="J817" t="str">
            <v>Existing Use</v>
          </cell>
          <cell r="K817" t="str">
            <v>New Use</v>
          </cell>
          <cell r="L817" t="str">
            <v>Rack Count</v>
          </cell>
          <cell r="O817" t="str">
            <v>Drawing Ref</v>
          </cell>
          <cell r="Q817" t="str">
            <v>13|2</v>
          </cell>
        </row>
        <row r="818">
          <cell r="E818" t="str">
            <v>1. ROOM INVENTORY</v>
          </cell>
          <cell r="G818" t="str">
            <v>13</v>
          </cell>
          <cell r="H818" t="str">
            <v>124</v>
          </cell>
          <cell r="I818" t="str">
            <v>First</v>
          </cell>
          <cell r="J818" t="str">
            <v>Telecom Room / new TR build area</v>
          </cell>
          <cell r="K818" t="str">
            <v>Telecom Room</v>
          </cell>
          <cell r="L818">
            <v>2</v>
          </cell>
          <cell r="O818" t="str">
            <v>13A-401 / 13E-401 / 13T-100 / 13T-701</v>
          </cell>
          <cell r="Q818" t="str">
            <v>13|3</v>
          </cell>
        </row>
        <row r="819">
          <cell r="E819" t="str">
            <v>1. ROOM INVENTORY</v>
          </cell>
          <cell r="G819" t="str">
            <v>13</v>
          </cell>
          <cell r="H819" t="str">
            <v>222</v>
          </cell>
          <cell r="I819" t="str">
            <v>Second</v>
          </cell>
          <cell r="J819" t="str">
            <v>Existing Tel Room / existing rack and patching area</v>
          </cell>
          <cell r="K819" t="str">
            <v>Existing telecom transition point</v>
          </cell>
          <cell r="L819">
            <v>1</v>
          </cell>
          <cell r="O819" t="str">
            <v>13T-100 / 13R-900</v>
          </cell>
          <cell r="Q819" t="str">
            <v>13|4</v>
          </cell>
        </row>
        <row r="820">
          <cell r="E820" t="str">
            <v>1. ROOM INVENTORY</v>
          </cell>
          <cell r="G820">
            <v>0</v>
          </cell>
          <cell r="H820">
            <v>0</v>
          </cell>
          <cell r="I820">
            <v>0</v>
          </cell>
          <cell r="J820">
            <v>0</v>
          </cell>
          <cell r="K820">
            <v>0</v>
          </cell>
          <cell r="L820">
            <v>0</v>
          </cell>
          <cell r="O820">
            <v>0</v>
          </cell>
          <cell r="Q820" t="str">
            <v>13|5</v>
          </cell>
        </row>
        <row r="821">
          <cell r="E821" t="str">
            <v>2. ROOM READINESS</v>
          </cell>
          <cell r="G821" t="str">
            <v>2. ROOM READINESS</v>
          </cell>
          <cell r="H821">
            <v>0</v>
          </cell>
          <cell r="I821">
            <v>0</v>
          </cell>
          <cell r="J821">
            <v>0</v>
          </cell>
          <cell r="K821">
            <v>0</v>
          </cell>
          <cell r="L821">
            <v>0</v>
          </cell>
          <cell r="O821">
            <v>0</v>
          </cell>
          <cell r="Q821" t="str">
            <v>13|6</v>
          </cell>
        </row>
        <row r="822">
          <cell r="E822" t="str">
            <v>2. ROOM READINESS</v>
          </cell>
          <cell r="G822" t="str">
            <v>Room</v>
          </cell>
          <cell r="H822" t="str">
            <v>Walls / 1-hr Rating</v>
          </cell>
          <cell r="I822" t="str">
            <v>Ceiling</v>
          </cell>
          <cell r="J822" t="str">
            <v>Floor / SDC</v>
          </cell>
          <cell r="K822" t="str">
            <v>Penetrations</v>
          </cell>
          <cell r="L822" t="str">
            <v>Access Control</v>
          </cell>
          <cell r="O822" t="str">
            <v>Overall</v>
          </cell>
          <cell r="Q822" t="str">
            <v>13|7</v>
          </cell>
        </row>
        <row r="823">
          <cell r="E823" t="str">
            <v>2. ROOM READINESS</v>
          </cell>
          <cell r="G823" t="str">
            <v>124</v>
          </cell>
          <cell r="H823" t="str">
            <v>Verify</v>
          </cell>
          <cell r="I823" t="str">
            <v>Verify</v>
          </cell>
          <cell r="J823" t="str">
            <v>Verify</v>
          </cell>
          <cell r="K823" t="str">
            <v>Verify</v>
          </cell>
          <cell r="L823" t="str">
            <v>Verify</v>
          </cell>
          <cell r="O823" t="str">
            <v>Verify</v>
          </cell>
          <cell r="Q823" t="str">
            <v>13|8</v>
          </cell>
        </row>
        <row r="824">
          <cell r="E824" t="str">
            <v>2. ROOM READINESS</v>
          </cell>
          <cell r="G824" t="str">
            <v>222</v>
          </cell>
          <cell r="H824" t="str">
            <v>Existing / Verify</v>
          </cell>
          <cell r="I824" t="str">
            <v>Existing / Verify</v>
          </cell>
          <cell r="J824" t="str">
            <v>Existing / Verify</v>
          </cell>
          <cell r="K824" t="str">
            <v>Verify</v>
          </cell>
          <cell r="L824" t="str">
            <v>Verify</v>
          </cell>
          <cell r="O824" t="str">
            <v>Verify</v>
          </cell>
          <cell r="Q824" t="str">
            <v>13|9</v>
          </cell>
        </row>
        <row r="825">
          <cell r="E825" t="str">
            <v>2. ROOM READINESS</v>
          </cell>
          <cell r="G825">
            <v>0</v>
          </cell>
          <cell r="H825">
            <v>0</v>
          </cell>
          <cell r="I825">
            <v>0</v>
          </cell>
          <cell r="J825">
            <v>0</v>
          </cell>
          <cell r="K825">
            <v>0</v>
          </cell>
          <cell r="L825">
            <v>0</v>
          </cell>
          <cell r="O825">
            <v>0</v>
          </cell>
          <cell r="Q825" t="str">
            <v>13|10</v>
          </cell>
        </row>
        <row r="826">
          <cell r="E826" t="str">
            <v>3. FIRE PROTECTION</v>
          </cell>
          <cell r="G826" t="str">
            <v>3. FIRE PROTECTION</v>
          </cell>
          <cell r="H826">
            <v>0</v>
          </cell>
          <cell r="I826">
            <v>0</v>
          </cell>
          <cell r="J826">
            <v>0</v>
          </cell>
          <cell r="K826">
            <v>0</v>
          </cell>
          <cell r="L826">
            <v>0</v>
          </cell>
          <cell r="O826">
            <v>0</v>
          </cell>
          <cell r="Q826" t="str">
            <v>13|11</v>
          </cell>
        </row>
        <row r="827">
          <cell r="E827" t="str">
            <v>3. FIRE PROTECTION</v>
          </cell>
          <cell r="G827" t="str">
            <v>Room</v>
          </cell>
          <cell r="H827" t="str">
            <v>Sprinkler</v>
          </cell>
          <cell r="I827" t="str">
            <v>Cage</v>
          </cell>
          <cell r="J827" t="str">
            <v>Detector</v>
          </cell>
          <cell r="K827" t="str">
            <v>Horn/Strobe</v>
          </cell>
          <cell r="L827" t="str">
            <v>Extinguisher &lt;75 ft</v>
          </cell>
          <cell r="O827" t="str">
            <v>Overall</v>
          </cell>
          <cell r="Q827" t="str">
            <v>13|12</v>
          </cell>
        </row>
        <row r="828">
          <cell r="E828" t="str">
            <v>3. FIRE PROTECTION</v>
          </cell>
          <cell r="G828" t="str">
            <v>124</v>
          </cell>
          <cell r="H828" t="str">
            <v>Verify</v>
          </cell>
          <cell r="I828" t="str">
            <v>Verify</v>
          </cell>
          <cell r="J828" t="str">
            <v>Verify</v>
          </cell>
          <cell r="K828" t="str">
            <v>Verify</v>
          </cell>
          <cell r="L828" t="str">
            <v>Verify</v>
          </cell>
          <cell r="O828" t="str">
            <v>Verify</v>
          </cell>
          <cell r="Q828" t="str">
            <v>13|13</v>
          </cell>
        </row>
        <row r="829">
          <cell r="E829" t="str">
            <v>3. FIRE PROTECTION</v>
          </cell>
          <cell r="G829" t="str">
            <v>222</v>
          </cell>
          <cell r="H829" t="str">
            <v>Verify</v>
          </cell>
          <cell r="I829" t="str">
            <v>N/A</v>
          </cell>
          <cell r="J829" t="str">
            <v>Verify</v>
          </cell>
          <cell r="K829" t="str">
            <v>Verify</v>
          </cell>
          <cell r="L829" t="str">
            <v>Verify</v>
          </cell>
          <cell r="O829" t="str">
            <v>Verify</v>
          </cell>
          <cell r="Q829" t="str">
            <v>13|14</v>
          </cell>
        </row>
        <row r="830">
          <cell r="E830" t="str">
            <v>3. FIRE PROTECTION</v>
          </cell>
          <cell r="G830">
            <v>0</v>
          </cell>
          <cell r="H830">
            <v>0</v>
          </cell>
          <cell r="I830">
            <v>0</v>
          </cell>
          <cell r="J830">
            <v>0</v>
          </cell>
          <cell r="K830">
            <v>0</v>
          </cell>
          <cell r="L830">
            <v>0</v>
          </cell>
          <cell r="O830">
            <v>0</v>
          </cell>
          <cell r="Q830" t="str">
            <v>13|15</v>
          </cell>
        </row>
        <row r="831">
          <cell r="E831" t="str">
            <v>4. HVAC / COOLING</v>
          </cell>
          <cell r="G831" t="str">
            <v>4. HVAC / COOLING</v>
          </cell>
          <cell r="H831">
            <v>0</v>
          </cell>
          <cell r="I831">
            <v>0</v>
          </cell>
          <cell r="J831">
            <v>0</v>
          </cell>
          <cell r="K831">
            <v>0</v>
          </cell>
          <cell r="L831">
            <v>0</v>
          </cell>
          <cell r="O831">
            <v>0</v>
          </cell>
          <cell r="Q831" t="str">
            <v>13|16</v>
          </cell>
        </row>
        <row r="832">
          <cell r="E832" t="str">
            <v>4. HVAC / COOLING</v>
          </cell>
          <cell r="G832" t="str">
            <v>Room</v>
          </cell>
          <cell r="H832" t="str">
            <v>Dedicated Unit</v>
          </cell>
          <cell r="I832" t="str">
            <v>Capacity Verified</v>
          </cell>
          <cell r="J832" t="str">
            <v>Emergency Power</v>
          </cell>
          <cell r="K832" t="str">
            <v>Controls / BACnet</v>
          </cell>
          <cell r="L832" t="str">
            <v>Condensate Routed</v>
          </cell>
          <cell r="O832" t="str">
            <v>Overall</v>
          </cell>
          <cell r="Q832" t="str">
            <v>13|17</v>
          </cell>
        </row>
        <row r="833">
          <cell r="E833" t="str">
            <v>4. HVAC / COOLING</v>
          </cell>
          <cell r="G833" t="str">
            <v>124</v>
          </cell>
          <cell r="H833" t="str">
            <v>IU-1-01 / CU-1-01</v>
          </cell>
          <cell r="I833" t="str">
            <v>Verify</v>
          </cell>
          <cell r="J833" t="str">
            <v>Verify</v>
          </cell>
          <cell r="K833" t="str">
            <v>Verify</v>
          </cell>
          <cell r="L833" t="str">
            <v>Verify</v>
          </cell>
          <cell r="O833" t="str">
            <v>Verify</v>
          </cell>
          <cell r="Q833" t="str">
            <v>13|18</v>
          </cell>
        </row>
        <row r="834">
          <cell r="E834" t="str">
            <v>4. HVAC / COOLING</v>
          </cell>
          <cell r="G834" t="str">
            <v>222</v>
          </cell>
          <cell r="H834" t="str">
            <v>Existing indoor AC unit</v>
          </cell>
          <cell r="I834" t="str">
            <v>Verify</v>
          </cell>
          <cell r="J834" t="str">
            <v>Verify</v>
          </cell>
          <cell r="K834" t="str">
            <v>Verify</v>
          </cell>
          <cell r="L834" t="str">
            <v>Verify</v>
          </cell>
          <cell r="O834" t="str">
            <v>Verify</v>
          </cell>
          <cell r="Q834" t="str">
            <v>13|19</v>
          </cell>
        </row>
        <row r="835">
          <cell r="E835" t="str">
            <v>4. HVAC / COOLING</v>
          </cell>
          <cell r="G835">
            <v>0</v>
          </cell>
          <cell r="H835">
            <v>0</v>
          </cell>
          <cell r="I835">
            <v>0</v>
          </cell>
          <cell r="J835">
            <v>0</v>
          </cell>
          <cell r="K835">
            <v>0</v>
          </cell>
          <cell r="L835">
            <v>0</v>
          </cell>
          <cell r="O835">
            <v>0</v>
          </cell>
          <cell r="Q835" t="str">
            <v>13|20</v>
          </cell>
        </row>
        <row r="836">
          <cell r="E836" t="str">
            <v>5. ELECTRICAL / UPS</v>
          </cell>
          <cell r="G836" t="str">
            <v>5. ELECTRICAL / UPS</v>
          </cell>
          <cell r="H836">
            <v>0</v>
          </cell>
          <cell r="I836">
            <v>0</v>
          </cell>
          <cell r="J836">
            <v>0</v>
          </cell>
          <cell r="K836">
            <v>0</v>
          </cell>
          <cell r="L836">
            <v>0</v>
          </cell>
          <cell r="O836">
            <v>0</v>
          </cell>
          <cell r="Q836" t="str">
            <v>13|21</v>
          </cell>
        </row>
        <row r="837">
          <cell r="E837" t="str">
            <v>5. ELECTRICAL / UPS</v>
          </cell>
          <cell r="G837" t="str">
            <v>Room</v>
          </cell>
          <cell r="H837" t="str">
            <v>UPS Installed</v>
          </cell>
          <cell r="I837" t="str">
            <v>UPS Size</v>
          </cell>
          <cell r="J837" t="str">
            <v>PDU Installed</v>
          </cell>
          <cell r="K837" t="str">
            <v>Rack Receptacles</v>
          </cell>
          <cell r="L837" t="str">
            <v>Panel Assigned</v>
          </cell>
          <cell r="O837" t="str">
            <v>Overall</v>
          </cell>
          <cell r="Q837" t="str">
            <v>13|22</v>
          </cell>
        </row>
        <row r="838">
          <cell r="E838" t="str">
            <v>5. ELECTRICAL / UPS</v>
          </cell>
          <cell r="G838" t="str">
            <v>124</v>
          </cell>
          <cell r="H838" t="str">
            <v>Verify</v>
          </cell>
          <cell r="I838" t="str">
            <v>5 kW / 240V rack UPS</v>
          </cell>
          <cell r="J838" t="str">
            <v>Verify</v>
          </cell>
          <cell r="K838" t="str">
            <v>Verify</v>
          </cell>
          <cell r="L838" t="str">
            <v>B13-TR124AA / B13-TR124AB</v>
          </cell>
          <cell r="O838" t="str">
            <v>Verify</v>
          </cell>
          <cell r="Q838" t="str">
            <v>13|23</v>
          </cell>
        </row>
        <row r="839">
          <cell r="E839" t="str">
            <v>5. ELECTRICAL / UPS</v>
          </cell>
          <cell r="G839" t="str">
            <v>222</v>
          </cell>
          <cell r="H839" t="str">
            <v>Existing</v>
          </cell>
          <cell r="I839" t="str">
            <v>Existing</v>
          </cell>
          <cell r="J839" t="str">
            <v>Existing</v>
          </cell>
          <cell r="K839" t="str">
            <v>Verify</v>
          </cell>
          <cell r="L839" t="str">
            <v>Existing / Verify</v>
          </cell>
          <cell r="O839" t="str">
            <v>Verify</v>
          </cell>
          <cell r="Q839" t="str">
            <v>13|24</v>
          </cell>
        </row>
        <row r="840">
          <cell r="E840" t="str">
            <v>5. ELECTRICAL / UPS</v>
          </cell>
          <cell r="G840">
            <v>0</v>
          </cell>
          <cell r="H840">
            <v>0</v>
          </cell>
          <cell r="I840">
            <v>0</v>
          </cell>
          <cell r="J840">
            <v>0</v>
          </cell>
          <cell r="K840">
            <v>0</v>
          </cell>
          <cell r="L840">
            <v>0</v>
          </cell>
          <cell r="O840">
            <v>0</v>
          </cell>
          <cell r="Q840" t="str">
            <v>13|25</v>
          </cell>
        </row>
        <row r="841">
          <cell r="E841" t="str">
            <v>6. TELECOMMUNICATIONS</v>
          </cell>
          <cell r="G841" t="str">
            <v>6. TELECOMMUNICATIONS</v>
          </cell>
          <cell r="H841">
            <v>0</v>
          </cell>
          <cell r="I841">
            <v>0</v>
          </cell>
          <cell r="J841">
            <v>0</v>
          </cell>
          <cell r="K841">
            <v>0</v>
          </cell>
          <cell r="L841">
            <v>0</v>
          </cell>
          <cell r="O841">
            <v>0</v>
          </cell>
          <cell r="Q841" t="str">
            <v>13|26</v>
          </cell>
        </row>
        <row r="842">
          <cell r="E842" t="str">
            <v>6. TELECOMMUNICATIONS</v>
          </cell>
          <cell r="G842" t="str">
            <v>Room</v>
          </cell>
          <cell r="H842" t="str">
            <v>Rack Installed</v>
          </cell>
          <cell r="I842" t="str">
            <v>Ladder Tray</v>
          </cell>
          <cell r="J842" t="str">
            <v>Fiber Installed</v>
          </cell>
          <cell r="K842" t="str">
            <v>Grounding</v>
          </cell>
          <cell r="L842" t="str">
            <v>Labeling</v>
          </cell>
          <cell r="O842" t="str">
            <v>Overall</v>
          </cell>
          <cell r="Q842" t="str">
            <v>13|27</v>
          </cell>
        </row>
        <row r="843">
          <cell r="E843" t="str">
            <v>6. TELECOMMUNICATIONS</v>
          </cell>
          <cell r="G843" t="str">
            <v>124</v>
          </cell>
          <cell r="H843" t="str">
            <v>Verify</v>
          </cell>
          <cell r="I843" t="str">
            <v>Verify</v>
          </cell>
          <cell r="J843" t="str">
            <v>Verify</v>
          </cell>
          <cell r="K843" t="str">
            <v>Verify</v>
          </cell>
          <cell r="L843" t="str">
            <v>Verify</v>
          </cell>
          <cell r="O843" t="str">
            <v>Verify</v>
          </cell>
          <cell r="Q843" t="str">
            <v>13|28</v>
          </cell>
        </row>
        <row r="844">
          <cell r="E844" t="str">
            <v>6. TELECOMMUNICATIONS</v>
          </cell>
          <cell r="G844" t="str">
            <v>222</v>
          </cell>
          <cell r="H844" t="str">
            <v>Existing</v>
          </cell>
          <cell r="I844" t="str">
            <v>Existing</v>
          </cell>
          <cell r="J844" t="str">
            <v>Existing</v>
          </cell>
          <cell r="K844" t="str">
            <v>Verify</v>
          </cell>
          <cell r="L844" t="str">
            <v>Verify</v>
          </cell>
          <cell r="O844" t="str">
            <v>Verify</v>
          </cell>
          <cell r="Q844" t="str">
            <v>13|29</v>
          </cell>
        </row>
        <row r="845">
          <cell r="E845" t="str">
            <v>6. TELECOMMUNICATIONS</v>
          </cell>
          <cell r="G845">
            <v>0</v>
          </cell>
          <cell r="H845">
            <v>0</v>
          </cell>
          <cell r="I845">
            <v>0</v>
          </cell>
          <cell r="J845">
            <v>0</v>
          </cell>
          <cell r="K845">
            <v>0</v>
          </cell>
          <cell r="L845">
            <v>0</v>
          </cell>
          <cell r="O845">
            <v>0</v>
          </cell>
          <cell r="Q845" t="str">
            <v>13|30</v>
          </cell>
        </row>
        <row r="846">
          <cell r="E846" t="str">
            <v>7. SECURITY / PACS / CCTV</v>
          </cell>
          <cell r="G846" t="str">
            <v>7. SECURITY / PACS / CCTV</v>
          </cell>
          <cell r="H846">
            <v>0</v>
          </cell>
          <cell r="I846">
            <v>0</v>
          </cell>
          <cell r="J846">
            <v>0</v>
          </cell>
          <cell r="K846">
            <v>0</v>
          </cell>
          <cell r="L846">
            <v>0</v>
          </cell>
          <cell r="O846">
            <v>0</v>
          </cell>
          <cell r="Q846" t="str">
            <v>13|31</v>
          </cell>
        </row>
        <row r="847">
          <cell r="E847" t="str">
            <v>7. SECURITY / PACS / CCTV</v>
          </cell>
          <cell r="G847" t="str">
            <v>Room</v>
          </cell>
          <cell r="H847" t="str">
            <v>PACS</v>
          </cell>
          <cell r="I847" t="str">
            <v>Card Reader</v>
          </cell>
          <cell r="J847" t="str">
            <v>Door Position</v>
          </cell>
          <cell r="K847" t="str">
            <v>Electric Strike</v>
          </cell>
          <cell r="L847" t="str">
            <v>CCTV</v>
          </cell>
          <cell r="O847" t="str">
            <v>Overall</v>
          </cell>
          <cell r="Q847" t="str">
            <v>13|32</v>
          </cell>
        </row>
        <row r="848">
          <cell r="E848" t="str">
            <v>7. SECURITY / PACS / CCTV</v>
          </cell>
          <cell r="G848" t="str">
            <v>124</v>
          </cell>
          <cell r="H848" t="str">
            <v>Verify</v>
          </cell>
          <cell r="I848" t="str">
            <v>Verify</v>
          </cell>
          <cell r="J848" t="str">
            <v>Verify</v>
          </cell>
          <cell r="K848" t="str">
            <v>Verify</v>
          </cell>
          <cell r="L848" t="str">
            <v>Verify</v>
          </cell>
          <cell r="O848" t="str">
            <v>Verify</v>
          </cell>
          <cell r="Q848" t="str">
            <v>13|33</v>
          </cell>
        </row>
        <row r="849">
          <cell r="E849" t="str">
            <v>7. SECURITY / PACS / CCTV</v>
          </cell>
          <cell r="G849" t="str">
            <v>222</v>
          </cell>
          <cell r="H849" t="str">
            <v>Verify</v>
          </cell>
          <cell r="I849" t="str">
            <v>Verify</v>
          </cell>
          <cell r="J849" t="str">
            <v>Verify</v>
          </cell>
          <cell r="K849" t="str">
            <v>Verify</v>
          </cell>
          <cell r="L849" t="str">
            <v>Verify</v>
          </cell>
          <cell r="O849" t="str">
            <v>Verify</v>
          </cell>
          <cell r="Q849" t="str">
            <v>13|34</v>
          </cell>
        </row>
        <row r="850">
          <cell r="E850" t="str">
            <v>7. SECURITY / PACS / CCTV</v>
          </cell>
          <cell r="G850">
            <v>0</v>
          </cell>
          <cell r="H850">
            <v>0</v>
          </cell>
          <cell r="I850">
            <v>0</v>
          </cell>
          <cell r="J850">
            <v>0</v>
          </cell>
          <cell r="K850">
            <v>0</v>
          </cell>
          <cell r="L850">
            <v>0</v>
          </cell>
          <cell r="O850">
            <v>0</v>
          </cell>
          <cell r="Q850" t="str">
            <v>13|35</v>
          </cell>
        </row>
        <row r="851">
          <cell r="E851" t="str">
            <v>8. OWNER RISKS</v>
          </cell>
          <cell r="G851" t="str">
            <v>8. OWNER RISKS</v>
          </cell>
          <cell r="H851">
            <v>0</v>
          </cell>
          <cell r="I851">
            <v>0</v>
          </cell>
          <cell r="J851">
            <v>0</v>
          </cell>
          <cell r="K851">
            <v>0</v>
          </cell>
          <cell r="L851">
            <v>0</v>
          </cell>
          <cell r="O851">
            <v>0</v>
          </cell>
          <cell r="Q851" t="str">
            <v>13|36</v>
          </cell>
        </row>
        <row r="852">
          <cell r="E852" t="str">
            <v>8. OWNER RISKS</v>
          </cell>
          <cell r="G852" t="str">
            <v>Risk ID</v>
          </cell>
          <cell r="H852" t="str">
            <v>Room</v>
          </cell>
          <cell r="I852" t="str">
            <v>Risk</v>
          </cell>
          <cell r="J852" t="str">
            <v>Impact</v>
          </cell>
          <cell r="K852" t="str">
            <v>Probability</v>
          </cell>
          <cell r="L852" t="str">
            <v>Score</v>
          </cell>
          <cell r="O852" t="str">
            <v>Status</v>
          </cell>
          <cell r="Q852" t="str">
            <v>13|37</v>
          </cell>
        </row>
        <row r="853">
          <cell r="E853" t="str">
            <v>8. OWNER RISKS</v>
          </cell>
          <cell r="G853" t="str">
            <v>B13-R1</v>
          </cell>
          <cell r="H853" t="str">
            <v>All</v>
          </cell>
          <cell r="I853" t="str">
            <v>Existing conditions for Room 124 and existing Tel Room 222 not field verified</v>
          </cell>
          <cell r="J853" t="str">
            <v>High</v>
          </cell>
          <cell r="K853" t="str">
            <v>Medium</v>
          </cell>
          <cell r="L853">
            <v>6</v>
          </cell>
          <cell r="O853" t="str">
            <v>Open</v>
          </cell>
          <cell r="Q853" t="str">
            <v>13|38</v>
          </cell>
        </row>
        <row r="854">
          <cell r="E854" t="str">
            <v>8. OWNER RISKS</v>
          </cell>
          <cell r="G854" t="str">
            <v>B13-R2</v>
          </cell>
          <cell r="H854" t="str">
            <v>124</v>
          </cell>
          <cell r="I854" t="str">
            <v>First-level hazardous material abatement plan exists</v>
          </cell>
          <cell r="J854" t="str">
            <v>High</v>
          </cell>
          <cell r="K854" t="str">
            <v>Medium</v>
          </cell>
          <cell r="L854">
            <v>6</v>
          </cell>
          <cell r="O854" t="str">
            <v>Open</v>
          </cell>
          <cell r="Q854" t="str">
            <v>13|39</v>
          </cell>
        </row>
        <row r="855">
          <cell r="E855" t="str">
            <v>8. OWNER RISKS</v>
          </cell>
          <cell r="G855" t="str">
            <v>B13-R3</v>
          </cell>
          <cell r="H855" t="str">
            <v>222</v>
          </cell>
          <cell r="I855" t="str">
            <v>Existing Tel Room 222 equipment may remain active during cutover</v>
          </cell>
          <cell r="J855" t="str">
            <v>Critical</v>
          </cell>
          <cell r="K855" t="str">
            <v>Medium</v>
          </cell>
          <cell r="L855">
            <v>8</v>
          </cell>
          <cell r="O855" t="str">
            <v>Open</v>
          </cell>
          <cell r="Q855" t="str">
            <v>13|40</v>
          </cell>
        </row>
        <row r="856">
          <cell r="E856" t="str">
            <v>8. OWNER RISKS</v>
          </cell>
          <cell r="G856" t="str">
            <v>B13-R4</v>
          </cell>
          <cell r="H856" t="str">
            <v>124</v>
          </cell>
          <cell r="I856" t="str">
            <v>Dedicated cooling emergency power, condensate, BACnet and alarms not verified</v>
          </cell>
          <cell r="J856" t="str">
            <v>Critical</v>
          </cell>
          <cell r="K856" t="str">
            <v>Medium</v>
          </cell>
          <cell r="L856">
            <v>8</v>
          </cell>
          <cell r="O856" t="str">
            <v>Open</v>
          </cell>
          <cell r="Q856" t="str">
            <v>13|41</v>
          </cell>
        </row>
        <row r="857">
          <cell r="E857" t="str">
            <v>8. OWNER RISKS</v>
          </cell>
          <cell r="G857" t="str">
            <v>B13-R5</v>
          </cell>
          <cell r="H857" t="str">
            <v>124</v>
          </cell>
          <cell r="I857" t="str">
            <v>240V UPS/PDU and panel source coordination could delay energization</v>
          </cell>
          <cell r="J857" t="str">
            <v>High</v>
          </cell>
          <cell r="K857" t="str">
            <v>Medium</v>
          </cell>
          <cell r="L857">
            <v>6</v>
          </cell>
          <cell r="O857" t="str">
            <v>Open</v>
          </cell>
          <cell r="Q857" t="str">
            <v>13|42</v>
          </cell>
        </row>
        <row r="858">
          <cell r="E858" t="str">
            <v>8. OWNER RISKS</v>
          </cell>
          <cell r="G858" t="str">
            <v>B13-R6</v>
          </cell>
          <cell r="H858" t="str">
            <v>124</v>
          </cell>
          <cell r="I858" t="str">
            <v>Rated wall/door/firestop scope may affect life-safety acceptance</v>
          </cell>
          <cell r="J858" t="str">
            <v>High</v>
          </cell>
          <cell r="K858" t="str">
            <v>Medium</v>
          </cell>
          <cell r="L858">
            <v>6</v>
          </cell>
          <cell r="O858" t="str">
            <v>Open</v>
          </cell>
          <cell r="Q858" t="str">
            <v>13|43</v>
          </cell>
        </row>
        <row r="859">
          <cell r="E859" t="str">
            <v>8. OWNER RISKS</v>
          </cell>
          <cell r="G859" t="str">
            <v>B13-R7</v>
          </cell>
          <cell r="H859" t="str">
            <v>All</v>
          </cell>
          <cell r="I859" t="str">
            <v>Telecom/fiber cutover could affect active hospital communications across first and second levels</v>
          </cell>
          <cell r="J859" t="str">
            <v>Critical</v>
          </cell>
          <cell r="K859" t="str">
            <v>Medium</v>
          </cell>
          <cell r="L859">
            <v>8</v>
          </cell>
          <cell r="O859" t="str">
            <v>Open</v>
          </cell>
          <cell r="Q859" t="str">
            <v>13|44</v>
          </cell>
        </row>
        <row r="860">
          <cell r="E860" t="str">
            <v>8. OWNER RISKS</v>
          </cell>
          <cell r="G860" t="str">
            <v>B13-R8</v>
          </cell>
          <cell r="H860" t="str">
            <v>All</v>
          </cell>
          <cell r="I860" t="str">
            <v>Commissioning/third-party inspection reports may not be complete at turnover</v>
          </cell>
          <cell r="J860" t="str">
            <v>High</v>
          </cell>
          <cell r="K860" t="str">
            <v>Medium</v>
          </cell>
          <cell r="L860">
            <v>6</v>
          </cell>
          <cell r="O860" t="str">
            <v>Open</v>
          </cell>
          <cell r="Q860" t="str">
            <v>13|45</v>
          </cell>
        </row>
        <row r="861">
          <cell r="E861" t="str">
            <v>8. OWNER RISKS</v>
          </cell>
          <cell r="G861">
            <v>0</v>
          </cell>
          <cell r="H861">
            <v>0</v>
          </cell>
          <cell r="I861">
            <v>0</v>
          </cell>
          <cell r="J861">
            <v>0</v>
          </cell>
          <cell r="K861">
            <v>0</v>
          </cell>
          <cell r="L861">
            <v>0</v>
          </cell>
          <cell r="O861">
            <v>0</v>
          </cell>
          <cell r="Q861" t="str">
            <v>13|46</v>
          </cell>
        </row>
        <row r="862">
          <cell r="E862" t="str">
            <v>9. OPEN QUESTIONS</v>
          </cell>
          <cell r="G862" t="str">
            <v>9. OPEN QUESTIONS</v>
          </cell>
          <cell r="H862">
            <v>0</v>
          </cell>
          <cell r="I862">
            <v>0</v>
          </cell>
          <cell r="J862">
            <v>0</v>
          </cell>
          <cell r="K862">
            <v>0</v>
          </cell>
          <cell r="L862">
            <v>0</v>
          </cell>
          <cell r="O862">
            <v>0</v>
          </cell>
          <cell r="Q862" t="str">
            <v>13|47</v>
          </cell>
        </row>
        <row r="863">
          <cell r="E863" t="str">
            <v>9. OPEN QUESTIONS</v>
          </cell>
          <cell r="G863" t="str">
            <v>Question ID</v>
          </cell>
          <cell r="H863" t="str">
            <v>Question</v>
          </cell>
          <cell r="I863" t="str">
            <v>Assigned To</v>
          </cell>
          <cell r="J863" t="str">
            <v>Status</v>
          </cell>
          <cell r="K863" t="str">
            <v>Needed By</v>
          </cell>
          <cell r="L863" t="str">
            <v>Answer / Resolution</v>
          </cell>
          <cell r="O863" t="str">
            <v>Date Closed</v>
          </cell>
          <cell r="Q863" t="str">
            <v>13|48</v>
          </cell>
        </row>
        <row r="864">
          <cell r="E864" t="str">
            <v>9. OPEN QUESTIONS</v>
          </cell>
          <cell r="G864" t="str">
            <v>B13-Q1</v>
          </cell>
          <cell r="H864" t="str">
            <v>Confirm final telecom scope: new Room 124 and existing Tel Room 222 transition only?</v>
          </cell>
          <cell r="I864" t="str">
            <v>VA / OIT / Designer</v>
          </cell>
          <cell r="J864" t="str">
            <v>Open</v>
          </cell>
          <cell r="K864">
            <v>0</v>
          </cell>
          <cell r="L864">
            <v>0</v>
          </cell>
          <cell r="O864">
            <v>0</v>
          </cell>
          <cell r="Q864" t="str">
            <v>13|49</v>
          </cell>
        </row>
        <row r="865">
          <cell r="E865" t="str">
            <v>9. OPEN QUESTIONS</v>
          </cell>
          <cell r="G865" t="str">
            <v>B13-Q2</v>
          </cell>
          <cell r="H865" t="str">
            <v>What active services are currently fed from existing Tel Room 222 equipment?</v>
          </cell>
          <cell r="I865" t="str">
            <v>OIT / Contractor</v>
          </cell>
          <cell r="J865" t="str">
            <v>Open</v>
          </cell>
          <cell r="K865">
            <v>0</v>
          </cell>
          <cell r="L865">
            <v>0</v>
          </cell>
          <cell r="O865">
            <v>0</v>
          </cell>
          <cell r="Q865" t="str">
            <v>13|50</v>
          </cell>
        </row>
        <row r="866">
          <cell r="E866" t="str">
            <v>9. OPEN QUESTIONS</v>
          </cell>
          <cell r="G866" t="str">
            <v>B13-Q3</v>
          </cell>
          <cell r="H866" t="str">
            <v>What hazardous/abatement steps apply to first-level Room 124 work?</v>
          </cell>
          <cell r="I866" t="str">
            <v>GC / IH / COR</v>
          </cell>
          <cell r="J866" t="str">
            <v>Open</v>
          </cell>
          <cell r="K866">
            <v>0</v>
          </cell>
          <cell r="L866">
            <v>0</v>
          </cell>
          <cell r="O866">
            <v>0</v>
          </cell>
          <cell r="Q866" t="str">
            <v>13|51</v>
          </cell>
        </row>
        <row r="867">
          <cell r="E867" t="str">
            <v>9. OPEN QUESTIONS</v>
          </cell>
          <cell r="G867" t="str">
            <v>B13-Q4</v>
          </cell>
          <cell r="H867" t="str">
            <v>Is IU-1-01/CU-1-01 on emergency/backup power and dedicated to Room 124?</v>
          </cell>
          <cell r="I867" t="str">
            <v>Mechanical / Electrical / VA</v>
          </cell>
          <cell r="J867" t="str">
            <v>Open</v>
          </cell>
          <cell r="K867">
            <v>0</v>
          </cell>
          <cell r="L867">
            <v>0</v>
          </cell>
          <cell r="O867">
            <v>0</v>
          </cell>
          <cell r="Q867" t="str">
            <v>13|52</v>
          </cell>
        </row>
        <row r="868">
          <cell r="E868" t="str">
            <v>9. OPEN QUESTIONS</v>
          </cell>
          <cell r="G868" t="str">
            <v>B13-Q5</v>
          </cell>
          <cell r="H868" t="str">
            <v>Where is the clean-agent/CO2 extinguisher cabinet located within 75 ft of Room 124?</v>
          </cell>
          <cell r="I868" t="str">
            <v>GC / COR</v>
          </cell>
          <cell r="J868" t="str">
            <v>Open</v>
          </cell>
          <cell r="K868">
            <v>0</v>
          </cell>
          <cell r="L868">
            <v>0</v>
          </cell>
          <cell r="O868">
            <v>0</v>
          </cell>
          <cell r="Q868" t="str">
            <v>13|53</v>
          </cell>
        </row>
        <row r="869">
          <cell r="E869" t="str">
            <v>9. OPEN QUESTIONS</v>
          </cell>
          <cell r="G869" t="str">
            <v>B13-Q6</v>
          </cell>
          <cell r="H869" t="str">
            <v>Are B13-TR124AA/AB sources, rack receptacles, SPDs, circuit labels and load measurements approved?</v>
          </cell>
          <cell r="I869" t="str">
            <v>Electrical / Designer</v>
          </cell>
          <cell r="J869" t="str">
            <v>Open</v>
          </cell>
          <cell r="K869">
            <v>0</v>
          </cell>
          <cell r="L869">
            <v>0</v>
          </cell>
          <cell r="O869">
            <v>0</v>
          </cell>
          <cell r="Q869" t="str">
            <v>13|54</v>
          </cell>
        </row>
        <row r="870">
          <cell r="E870" t="str">
            <v>9. OPEN QUESTIONS</v>
          </cell>
          <cell r="G870" t="str">
            <v>B13-Q7</v>
          </cell>
          <cell r="H870" t="str">
            <v>Are all rated wall/floor penetrations, sleeves, cable tray entries and firestopping details identified?</v>
          </cell>
          <cell r="I870" t="str">
            <v>GC / Firestop</v>
          </cell>
          <cell r="J870" t="str">
            <v>Open</v>
          </cell>
          <cell r="K870">
            <v>0</v>
          </cell>
          <cell r="L870">
            <v>0</v>
          </cell>
          <cell r="O870">
            <v>0</v>
          </cell>
          <cell r="Q870" t="str">
            <v>13|55</v>
          </cell>
        </row>
        <row r="871">
          <cell r="E871" t="str">
            <v>9. OPEN QUESTIONS</v>
          </cell>
          <cell r="G871" t="str">
            <v>B13-Q8</v>
          </cell>
          <cell r="H871" t="str">
            <v>Which third-party inspections and commissioning forms are required before VA acceptance?</v>
          </cell>
          <cell r="I871" t="str">
            <v>GC / Cx Manager</v>
          </cell>
          <cell r="J871" t="str">
            <v>Open</v>
          </cell>
          <cell r="K871">
            <v>0</v>
          </cell>
          <cell r="L871">
            <v>0</v>
          </cell>
          <cell r="O871">
            <v>0</v>
          </cell>
          <cell r="Q871" t="str">
            <v>13|56</v>
          </cell>
        </row>
        <row r="872">
          <cell r="E872" t="str">
            <v>9. OPEN QUESTIONS</v>
          </cell>
          <cell r="G872">
            <v>0</v>
          </cell>
          <cell r="H872">
            <v>0</v>
          </cell>
          <cell r="I872">
            <v>0</v>
          </cell>
          <cell r="J872">
            <v>0</v>
          </cell>
          <cell r="K872">
            <v>0</v>
          </cell>
          <cell r="L872">
            <v>0</v>
          </cell>
          <cell r="O872">
            <v>0</v>
          </cell>
          <cell r="Q872" t="str">
            <v>13|57</v>
          </cell>
        </row>
        <row r="873">
          <cell r="E873" t="str">
            <v>10. PHOTO LOG</v>
          </cell>
          <cell r="G873" t="str">
            <v>10. PHOTO LOG</v>
          </cell>
          <cell r="H873">
            <v>0</v>
          </cell>
          <cell r="I873">
            <v>0</v>
          </cell>
          <cell r="J873">
            <v>0</v>
          </cell>
          <cell r="K873">
            <v>0</v>
          </cell>
          <cell r="L873">
            <v>0</v>
          </cell>
          <cell r="O873">
            <v>0</v>
          </cell>
          <cell r="Q873" t="str">
            <v>13|58</v>
          </cell>
        </row>
        <row r="874">
          <cell r="E874" t="str">
            <v>10. PHOTO LOG</v>
          </cell>
          <cell r="G874" t="str">
            <v>Photo ID</v>
          </cell>
          <cell r="H874" t="str">
            <v>Room</v>
          </cell>
          <cell r="I874" t="str">
            <v>Category</v>
          </cell>
          <cell r="J874" t="str">
            <v>Description</v>
          </cell>
          <cell r="K874" t="str">
            <v>Date</v>
          </cell>
          <cell r="L874" t="str">
            <v>Taken By</v>
          </cell>
          <cell r="O874" t="str">
            <v>Status</v>
          </cell>
          <cell r="Q874" t="str">
            <v>13|59</v>
          </cell>
        </row>
        <row r="875">
          <cell r="E875" t="str">
            <v>10. PHOTO LOG</v>
          </cell>
          <cell r="G875" t="str">
            <v>B13-P001</v>
          </cell>
          <cell r="H875" t="str">
            <v>124</v>
          </cell>
          <cell r="I875" t="str">
            <v>Existing Condition</v>
          </cell>
          <cell r="J875" t="str">
            <v>Room 124 walls, ceiling/deck, floor, door, adjacent Telehealth 124A/109, rack location, pathways and penetrations</v>
          </cell>
          <cell r="K875">
            <v>0</v>
          </cell>
          <cell r="L875" t="str">
            <v>Paul</v>
          </cell>
          <cell r="O875" t="str">
            <v>Open</v>
          </cell>
          <cell r="Q875" t="str">
            <v>13|60</v>
          </cell>
        </row>
        <row r="876">
          <cell r="E876" t="str">
            <v>10. PHOTO LOG</v>
          </cell>
          <cell r="G876" t="str">
            <v>B13-P002</v>
          </cell>
          <cell r="H876" t="str">
            <v>222</v>
          </cell>
          <cell r="I876" t="str">
            <v>Existing Condition</v>
          </cell>
          <cell r="J876" t="str">
            <v>Existing Tel Room 222 wall rack, telco patch, plywood backboard, AC unit, patch panel and security cabinet</v>
          </cell>
          <cell r="K876">
            <v>0</v>
          </cell>
          <cell r="L876" t="str">
            <v>Paul</v>
          </cell>
          <cell r="O876" t="str">
            <v>Open</v>
          </cell>
          <cell r="Q876" t="str">
            <v>13|61</v>
          </cell>
        </row>
        <row r="877">
          <cell r="E877" t="str">
            <v>10. PHOTO LOG</v>
          </cell>
          <cell r="G877" t="str">
            <v>B13-P003</v>
          </cell>
          <cell r="H877" t="str">
            <v>124</v>
          </cell>
          <cell r="I877" t="str">
            <v>Hazardous Materials</v>
          </cell>
          <cell r="J877" t="str">
            <v>First-level abatement-related materials, flooring, walls, ceiling/penetrations, and disturbance areas</v>
          </cell>
          <cell r="K877">
            <v>0</v>
          </cell>
          <cell r="L877" t="str">
            <v>Paul</v>
          </cell>
          <cell r="O877" t="str">
            <v>Open</v>
          </cell>
          <cell r="Q877" t="str">
            <v>13|62</v>
          </cell>
        </row>
        <row r="878">
          <cell r="E878" t="str">
            <v>10. PHOTO LOG</v>
          </cell>
          <cell r="G878" t="str">
            <v>B13-P004</v>
          </cell>
          <cell r="H878" t="str">
            <v>124</v>
          </cell>
          <cell r="I878" t="str">
            <v>Firestop</v>
          </cell>
          <cell r="J878" t="str">
            <v>All wall/floor/sleeve/tray penetrations before and after firestop</v>
          </cell>
          <cell r="K878">
            <v>0</v>
          </cell>
          <cell r="L878" t="str">
            <v>Paul</v>
          </cell>
          <cell r="O878" t="str">
            <v>Open</v>
          </cell>
          <cell r="Q878" t="str">
            <v>13|63</v>
          </cell>
        </row>
        <row r="879">
          <cell r="E879" t="str">
            <v>10. PHOTO LOG</v>
          </cell>
          <cell r="G879" t="str">
            <v>B13-P005</v>
          </cell>
          <cell r="H879" t="str">
            <v>124</v>
          </cell>
          <cell r="I879" t="str">
            <v>HVAC</v>
          </cell>
          <cell r="J879" t="str">
            <v>IU-1-01/CU-1-01, condensate, thermostat, BACnet adapter, disconnects, high-temp alarm and power source</v>
          </cell>
          <cell r="K879">
            <v>0</v>
          </cell>
          <cell r="L879" t="str">
            <v>Paul</v>
          </cell>
          <cell r="O879" t="str">
            <v>Open</v>
          </cell>
          <cell r="Q879" t="str">
            <v>13|64</v>
          </cell>
        </row>
        <row r="880">
          <cell r="E880" t="str">
            <v>10. PHOTO LOG</v>
          </cell>
          <cell r="G880" t="str">
            <v>B13-P006</v>
          </cell>
          <cell r="H880" t="str">
            <v>124</v>
          </cell>
          <cell r="I880" t="str">
            <v>Electrical</v>
          </cell>
          <cell r="J880" t="str">
            <v>B13-TR124AA/AB panels, rack receptacles, breakers, SPD, access controller, lighting and labels</v>
          </cell>
          <cell r="K880">
            <v>0</v>
          </cell>
          <cell r="L880" t="str">
            <v>Paul</v>
          </cell>
          <cell r="O880" t="str">
            <v>Open</v>
          </cell>
          <cell r="Q880" t="str">
            <v>13|65</v>
          </cell>
        </row>
        <row r="881">
          <cell r="E881" t="str">
            <v>10. PHOTO LOG</v>
          </cell>
          <cell r="G881" t="str">
            <v>B13-P007</v>
          </cell>
          <cell r="H881" t="str">
            <v>124/222</v>
          </cell>
          <cell r="I881" t="str">
            <v>Telecom</v>
          </cell>
          <cell r="J881" t="str">
            <v>New racks, fiber path A/B, Cat6A, patch panels, LIU, labels/test records and existing Room 222 transfer work</v>
          </cell>
          <cell r="K881">
            <v>0</v>
          </cell>
          <cell r="L881" t="str">
            <v>Paul</v>
          </cell>
          <cell r="O881" t="str">
            <v>Open</v>
          </cell>
          <cell r="Q881" t="str">
            <v>13|66</v>
          </cell>
        </row>
        <row r="882">
          <cell r="E882" t="str">
            <v>10. PHOTO LOG</v>
          </cell>
          <cell r="G882" t="str">
            <v>B13-P008</v>
          </cell>
          <cell r="H882" t="str">
            <v>124/222</v>
          </cell>
          <cell r="I882" t="str">
            <v>Security</v>
          </cell>
          <cell r="J882" t="str">
            <v>124-CAM-01, card reader, electric strike, door position, motion sensor, existing security cabinet and VMS/PACS integration</v>
          </cell>
          <cell r="K882">
            <v>0</v>
          </cell>
          <cell r="L882" t="str">
            <v>Paul</v>
          </cell>
          <cell r="O882" t="str">
            <v>Open</v>
          </cell>
          <cell r="Q882" t="str">
            <v>13|67</v>
          </cell>
        </row>
        <row r="883">
          <cell r="E883" t="str">
            <v>10. PHOTO LOG</v>
          </cell>
          <cell r="G883">
            <v>0</v>
          </cell>
          <cell r="H883">
            <v>0</v>
          </cell>
          <cell r="I883">
            <v>0</v>
          </cell>
          <cell r="J883">
            <v>0</v>
          </cell>
          <cell r="K883">
            <v>0</v>
          </cell>
          <cell r="L883">
            <v>0</v>
          </cell>
          <cell r="O883">
            <v>0</v>
          </cell>
          <cell r="Q883" t="str">
            <v>13|68</v>
          </cell>
        </row>
        <row r="884">
          <cell r="E884" t="str">
            <v>1. ROOM INVENTORY</v>
          </cell>
          <cell r="G884" t="str">
            <v>1. ROOM INVENTORY</v>
          </cell>
          <cell r="H884">
            <v>0</v>
          </cell>
          <cell r="I884">
            <v>0</v>
          </cell>
          <cell r="J884">
            <v>0</v>
          </cell>
          <cell r="K884">
            <v>0</v>
          </cell>
          <cell r="L884">
            <v>0</v>
          </cell>
          <cell r="O884">
            <v>0</v>
          </cell>
          <cell r="Q884" t="str">
            <v>14|1</v>
          </cell>
        </row>
        <row r="885">
          <cell r="E885" t="str">
            <v>1. ROOM INVENTORY</v>
          </cell>
          <cell r="G885" t="str">
            <v>Building</v>
          </cell>
          <cell r="H885" t="str">
            <v>Room</v>
          </cell>
          <cell r="I885" t="str">
            <v>Floor</v>
          </cell>
          <cell r="J885" t="str">
            <v>Existing Use</v>
          </cell>
          <cell r="K885" t="str">
            <v>New Use</v>
          </cell>
          <cell r="L885" t="str">
            <v>Rack Count</v>
          </cell>
          <cell r="O885" t="str">
            <v>Drawing Ref</v>
          </cell>
          <cell r="Q885" t="str">
            <v>14|2</v>
          </cell>
        </row>
        <row r="886">
          <cell r="E886" t="str">
            <v>1. ROOM INVENTORY</v>
          </cell>
          <cell r="G886" t="str">
            <v>14</v>
          </cell>
          <cell r="H886" t="str">
            <v>119</v>
          </cell>
          <cell r="I886" t="str">
            <v>First</v>
          </cell>
          <cell r="J886" t="str">
            <v>Telecom Room / new TR build area</v>
          </cell>
          <cell r="K886" t="str">
            <v>Telecom Room</v>
          </cell>
          <cell r="L886">
            <v>1</v>
          </cell>
          <cell r="O886" t="str">
            <v>14A-401 / 14E-100 / 14T-100 / 14T-604 / 14T-701</v>
          </cell>
          <cell r="Q886" t="str">
            <v>14|3</v>
          </cell>
        </row>
        <row r="887">
          <cell r="E887" t="str">
            <v>1. ROOM INVENTORY</v>
          </cell>
          <cell r="G887" t="str">
            <v>14</v>
          </cell>
          <cell r="H887" t="str">
            <v>B.01</v>
          </cell>
          <cell r="I887" t="str">
            <v>Basement</v>
          </cell>
          <cell r="J887" t="str">
            <v>Existing Tel/F Panel room / telecom equipment area</v>
          </cell>
          <cell r="K887" t="str">
            <v>Existing telecom transition point</v>
          </cell>
          <cell r="L887">
            <v>1</v>
          </cell>
          <cell r="O887" t="str">
            <v>14T-100 / 14T-604 / 14R-900</v>
          </cell>
          <cell r="Q887" t="str">
            <v>14|4</v>
          </cell>
        </row>
        <row r="888">
          <cell r="E888" t="str">
            <v>1. ROOM INVENTORY</v>
          </cell>
          <cell r="G888" t="str">
            <v>14</v>
          </cell>
          <cell r="H888" t="str">
            <v>B2</v>
          </cell>
          <cell r="I888" t="str">
            <v>Basement</v>
          </cell>
          <cell r="J888" t="str">
            <v>Existing telecom room reference</v>
          </cell>
          <cell r="K888" t="str">
            <v>Existing telecom transition point</v>
          </cell>
          <cell r="L888">
            <v>1</v>
          </cell>
          <cell r="O888" t="str">
            <v>14R-900</v>
          </cell>
          <cell r="Q888" t="str">
            <v>14|5</v>
          </cell>
        </row>
        <row r="889">
          <cell r="E889" t="str">
            <v>1. ROOM INVENTORY</v>
          </cell>
          <cell r="G889">
            <v>0</v>
          </cell>
          <cell r="H889">
            <v>0</v>
          </cell>
          <cell r="I889">
            <v>0</v>
          </cell>
          <cell r="J889">
            <v>0</v>
          </cell>
          <cell r="K889">
            <v>0</v>
          </cell>
          <cell r="L889">
            <v>0</v>
          </cell>
          <cell r="O889">
            <v>0</v>
          </cell>
          <cell r="Q889" t="str">
            <v>14|6</v>
          </cell>
        </row>
        <row r="890">
          <cell r="E890" t="str">
            <v>2. ROOM READINESS</v>
          </cell>
          <cell r="G890" t="str">
            <v>2. ROOM READINESS</v>
          </cell>
          <cell r="H890">
            <v>0</v>
          </cell>
          <cell r="I890">
            <v>0</v>
          </cell>
          <cell r="J890">
            <v>0</v>
          </cell>
          <cell r="K890">
            <v>0</v>
          </cell>
          <cell r="L890">
            <v>0</v>
          </cell>
          <cell r="O890">
            <v>0</v>
          </cell>
          <cell r="Q890" t="str">
            <v>14|7</v>
          </cell>
        </row>
        <row r="891">
          <cell r="E891" t="str">
            <v>2. ROOM READINESS</v>
          </cell>
          <cell r="G891" t="str">
            <v>Room</v>
          </cell>
          <cell r="H891" t="str">
            <v>Walls / 1-hr Rating</v>
          </cell>
          <cell r="I891" t="str">
            <v>Ceiling</v>
          </cell>
          <cell r="J891" t="str">
            <v>Floor / SDC</v>
          </cell>
          <cell r="K891" t="str">
            <v>Penetrations</v>
          </cell>
          <cell r="L891" t="str">
            <v>Access Control</v>
          </cell>
          <cell r="O891" t="str">
            <v>Overall</v>
          </cell>
          <cell r="Q891" t="str">
            <v>14|8</v>
          </cell>
        </row>
        <row r="892">
          <cell r="E892" t="str">
            <v>2. ROOM READINESS</v>
          </cell>
          <cell r="G892" t="str">
            <v>119</v>
          </cell>
          <cell r="H892" t="str">
            <v>Verify</v>
          </cell>
          <cell r="I892" t="str">
            <v>Verify</v>
          </cell>
          <cell r="J892" t="str">
            <v>Verify</v>
          </cell>
          <cell r="K892" t="str">
            <v>Verify</v>
          </cell>
          <cell r="L892" t="str">
            <v>Verify</v>
          </cell>
          <cell r="O892" t="str">
            <v>Verify</v>
          </cell>
          <cell r="Q892" t="str">
            <v>14|9</v>
          </cell>
        </row>
        <row r="893">
          <cell r="E893" t="str">
            <v>2. ROOM READINESS</v>
          </cell>
          <cell r="G893" t="str">
            <v>B.01</v>
          </cell>
          <cell r="H893" t="str">
            <v>Existing / Verify</v>
          </cell>
          <cell r="I893" t="str">
            <v>Existing / Verify</v>
          </cell>
          <cell r="J893" t="str">
            <v>Existing / Verify</v>
          </cell>
          <cell r="K893" t="str">
            <v>Verify</v>
          </cell>
          <cell r="L893" t="str">
            <v>Verify</v>
          </cell>
          <cell r="O893" t="str">
            <v>Verify</v>
          </cell>
          <cell r="Q893" t="str">
            <v>14|10</v>
          </cell>
        </row>
        <row r="894">
          <cell r="E894" t="str">
            <v>2. ROOM READINESS</v>
          </cell>
          <cell r="G894" t="str">
            <v>B2</v>
          </cell>
          <cell r="H894" t="str">
            <v>Existing / Verify</v>
          </cell>
          <cell r="I894" t="str">
            <v>Existing / Verify</v>
          </cell>
          <cell r="J894" t="str">
            <v>Existing / Verify</v>
          </cell>
          <cell r="K894" t="str">
            <v>Verify</v>
          </cell>
          <cell r="L894" t="str">
            <v>Verify</v>
          </cell>
          <cell r="O894" t="str">
            <v>Verify</v>
          </cell>
          <cell r="Q894" t="str">
            <v>14|11</v>
          </cell>
        </row>
        <row r="895">
          <cell r="E895" t="str">
            <v>2. ROOM READINESS</v>
          </cell>
          <cell r="G895">
            <v>0</v>
          </cell>
          <cell r="H895">
            <v>0</v>
          </cell>
          <cell r="I895">
            <v>0</v>
          </cell>
          <cell r="J895">
            <v>0</v>
          </cell>
          <cell r="K895">
            <v>0</v>
          </cell>
          <cell r="L895">
            <v>0</v>
          </cell>
          <cell r="O895">
            <v>0</v>
          </cell>
          <cell r="Q895" t="str">
            <v>14|12</v>
          </cell>
        </row>
        <row r="896">
          <cell r="E896" t="str">
            <v>3. FIRE PROTECTION</v>
          </cell>
          <cell r="G896" t="str">
            <v>3. FIRE PROTECTION</v>
          </cell>
          <cell r="H896">
            <v>0</v>
          </cell>
          <cell r="I896">
            <v>0</v>
          </cell>
          <cell r="J896">
            <v>0</v>
          </cell>
          <cell r="K896">
            <v>0</v>
          </cell>
          <cell r="L896">
            <v>0</v>
          </cell>
          <cell r="O896">
            <v>0</v>
          </cell>
          <cell r="Q896" t="str">
            <v>14|13</v>
          </cell>
        </row>
        <row r="897">
          <cell r="E897" t="str">
            <v>3. FIRE PROTECTION</v>
          </cell>
          <cell r="G897" t="str">
            <v>Room</v>
          </cell>
          <cell r="H897" t="str">
            <v>Sprinkler</v>
          </cell>
          <cell r="I897" t="str">
            <v>Cage</v>
          </cell>
          <cell r="J897" t="str">
            <v>Detector</v>
          </cell>
          <cell r="K897" t="str">
            <v>Horn/Strobe</v>
          </cell>
          <cell r="L897" t="str">
            <v>Extinguisher &lt;75 ft</v>
          </cell>
          <cell r="O897" t="str">
            <v>Overall</v>
          </cell>
          <cell r="Q897" t="str">
            <v>14|14</v>
          </cell>
        </row>
        <row r="898">
          <cell r="E898" t="str">
            <v>3. FIRE PROTECTION</v>
          </cell>
          <cell r="G898" t="str">
            <v>119</v>
          </cell>
          <cell r="H898" t="str">
            <v>Verify</v>
          </cell>
          <cell r="I898" t="str">
            <v>Verify</v>
          </cell>
          <cell r="J898" t="str">
            <v>Verify</v>
          </cell>
          <cell r="K898" t="str">
            <v>Verify</v>
          </cell>
          <cell r="L898" t="str">
            <v>Verify</v>
          </cell>
          <cell r="O898" t="str">
            <v>Verify</v>
          </cell>
          <cell r="Q898" t="str">
            <v>14|15</v>
          </cell>
        </row>
        <row r="899">
          <cell r="E899" t="str">
            <v>3. FIRE PROTECTION</v>
          </cell>
          <cell r="G899" t="str">
            <v>B.01</v>
          </cell>
          <cell r="H899" t="str">
            <v>Verify</v>
          </cell>
          <cell r="I899" t="str">
            <v>N/A</v>
          </cell>
          <cell r="J899" t="str">
            <v>Verify</v>
          </cell>
          <cell r="K899" t="str">
            <v>Verify</v>
          </cell>
          <cell r="L899" t="str">
            <v>Verify</v>
          </cell>
          <cell r="O899" t="str">
            <v>Verify</v>
          </cell>
          <cell r="Q899" t="str">
            <v>14|16</v>
          </cell>
        </row>
        <row r="900">
          <cell r="E900" t="str">
            <v>3. FIRE PROTECTION</v>
          </cell>
          <cell r="G900" t="str">
            <v>B2</v>
          </cell>
          <cell r="H900" t="str">
            <v>Verify</v>
          </cell>
          <cell r="I900" t="str">
            <v>N/A</v>
          </cell>
          <cell r="J900" t="str">
            <v>Verify</v>
          </cell>
          <cell r="K900" t="str">
            <v>Verify</v>
          </cell>
          <cell r="L900" t="str">
            <v>Verify</v>
          </cell>
          <cell r="O900" t="str">
            <v>Verify</v>
          </cell>
          <cell r="Q900" t="str">
            <v>14|17</v>
          </cell>
        </row>
        <row r="901">
          <cell r="E901" t="str">
            <v>3. FIRE PROTECTION</v>
          </cell>
          <cell r="G901">
            <v>0</v>
          </cell>
          <cell r="H901">
            <v>0</v>
          </cell>
          <cell r="I901">
            <v>0</v>
          </cell>
          <cell r="J901">
            <v>0</v>
          </cell>
          <cell r="K901">
            <v>0</v>
          </cell>
          <cell r="L901">
            <v>0</v>
          </cell>
          <cell r="O901">
            <v>0</v>
          </cell>
          <cell r="Q901" t="str">
            <v>14|18</v>
          </cell>
        </row>
        <row r="902">
          <cell r="E902" t="str">
            <v>4. HVAC / COOLING</v>
          </cell>
          <cell r="G902" t="str">
            <v>4. HVAC / COOLING</v>
          </cell>
          <cell r="H902">
            <v>0</v>
          </cell>
          <cell r="I902">
            <v>0</v>
          </cell>
          <cell r="J902">
            <v>0</v>
          </cell>
          <cell r="K902">
            <v>0</v>
          </cell>
          <cell r="L902">
            <v>0</v>
          </cell>
          <cell r="O902">
            <v>0</v>
          </cell>
          <cell r="Q902" t="str">
            <v>14|19</v>
          </cell>
        </row>
        <row r="903">
          <cell r="E903" t="str">
            <v>4. HVAC / COOLING</v>
          </cell>
          <cell r="G903" t="str">
            <v>Room</v>
          </cell>
          <cell r="H903" t="str">
            <v>Dedicated Unit</v>
          </cell>
          <cell r="I903" t="str">
            <v>Capacity Verified</v>
          </cell>
          <cell r="J903" t="str">
            <v>Emergency Power</v>
          </cell>
          <cell r="K903" t="str">
            <v>Controls / BACnet</v>
          </cell>
          <cell r="L903" t="str">
            <v>Condensate Routed</v>
          </cell>
          <cell r="O903" t="str">
            <v>Overall</v>
          </cell>
          <cell r="Q903" t="str">
            <v>14|20</v>
          </cell>
        </row>
        <row r="904">
          <cell r="E904" t="str">
            <v>4. HVAC / COOLING</v>
          </cell>
          <cell r="G904" t="str">
            <v>119</v>
          </cell>
          <cell r="H904" t="str">
            <v>IU-1-01 / CU-1-01</v>
          </cell>
          <cell r="I904" t="str">
            <v>Verify</v>
          </cell>
          <cell r="J904" t="str">
            <v>Verify</v>
          </cell>
          <cell r="K904" t="str">
            <v>Verify</v>
          </cell>
          <cell r="L904" t="str">
            <v>Verify</v>
          </cell>
          <cell r="O904" t="str">
            <v>Verify</v>
          </cell>
          <cell r="Q904" t="str">
            <v>14|21</v>
          </cell>
        </row>
        <row r="905">
          <cell r="E905" t="str">
            <v>4. HVAC / COOLING</v>
          </cell>
          <cell r="G905" t="str">
            <v>B.01</v>
          </cell>
          <cell r="H905" t="str">
            <v>Existing / Verify</v>
          </cell>
          <cell r="I905" t="str">
            <v>Verify</v>
          </cell>
          <cell r="J905" t="str">
            <v>Verify</v>
          </cell>
          <cell r="K905" t="str">
            <v>Verify</v>
          </cell>
          <cell r="L905" t="str">
            <v>Verify</v>
          </cell>
          <cell r="O905" t="str">
            <v>Verify</v>
          </cell>
          <cell r="Q905" t="str">
            <v>14|22</v>
          </cell>
        </row>
        <row r="906">
          <cell r="E906" t="str">
            <v>4. HVAC / COOLING</v>
          </cell>
          <cell r="G906" t="str">
            <v>B2</v>
          </cell>
          <cell r="H906" t="str">
            <v>Existing / Verify</v>
          </cell>
          <cell r="I906" t="str">
            <v>Verify</v>
          </cell>
          <cell r="J906" t="str">
            <v>Verify</v>
          </cell>
          <cell r="K906" t="str">
            <v>Verify</v>
          </cell>
          <cell r="L906" t="str">
            <v>Verify</v>
          </cell>
          <cell r="O906" t="str">
            <v>Verify</v>
          </cell>
          <cell r="Q906" t="str">
            <v>14|23</v>
          </cell>
        </row>
        <row r="907">
          <cell r="E907" t="str">
            <v>4. HVAC / COOLING</v>
          </cell>
          <cell r="G907">
            <v>0</v>
          </cell>
          <cell r="H907">
            <v>0</v>
          </cell>
          <cell r="I907">
            <v>0</v>
          </cell>
          <cell r="J907">
            <v>0</v>
          </cell>
          <cell r="K907">
            <v>0</v>
          </cell>
          <cell r="L907">
            <v>0</v>
          </cell>
          <cell r="O907">
            <v>0</v>
          </cell>
          <cell r="Q907" t="str">
            <v>14|24</v>
          </cell>
        </row>
        <row r="908">
          <cell r="E908" t="str">
            <v>5. ELECTRICAL / UPS</v>
          </cell>
          <cell r="G908" t="str">
            <v>5. ELECTRICAL / UPS</v>
          </cell>
          <cell r="H908">
            <v>0</v>
          </cell>
          <cell r="I908">
            <v>0</v>
          </cell>
          <cell r="J908">
            <v>0</v>
          </cell>
          <cell r="K908">
            <v>0</v>
          </cell>
          <cell r="L908">
            <v>0</v>
          </cell>
          <cell r="O908">
            <v>0</v>
          </cell>
          <cell r="Q908" t="str">
            <v>14|25</v>
          </cell>
        </row>
        <row r="909">
          <cell r="E909" t="str">
            <v>5. ELECTRICAL / UPS</v>
          </cell>
          <cell r="G909" t="str">
            <v>Room</v>
          </cell>
          <cell r="H909" t="str">
            <v>UPS Installed</v>
          </cell>
          <cell r="I909" t="str">
            <v>UPS Size</v>
          </cell>
          <cell r="J909" t="str">
            <v>PDU Installed</v>
          </cell>
          <cell r="K909" t="str">
            <v>Rack Receptacles</v>
          </cell>
          <cell r="L909" t="str">
            <v>Panel Assigned</v>
          </cell>
          <cell r="O909" t="str">
            <v>Overall</v>
          </cell>
          <cell r="Q909" t="str">
            <v>14|26</v>
          </cell>
        </row>
        <row r="910">
          <cell r="E910" t="str">
            <v>5. ELECTRICAL / UPS</v>
          </cell>
          <cell r="G910" t="str">
            <v>119</v>
          </cell>
          <cell r="H910" t="str">
            <v>Verify</v>
          </cell>
          <cell r="I910" t="str">
            <v>5 kW / 240V rack UPS</v>
          </cell>
          <cell r="J910" t="str">
            <v>Verify</v>
          </cell>
          <cell r="K910" t="str">
            <v>Verify</v>
          </cell>
          <cell r="L910" t="str">
            <v>B14-TR119A / B14-TR119B</v>
          </cell>
          <cell r="O910" t="str">
            <v>Verify</v>
          </cell>
          <cell r="Q910" t="str">
            <v>14|27</v>
          </cell>
        </row>
        <row r="911">
          <cell r="E911" t="str">
            <v>5. ELECTRICAL / UPS</v>
          </cell>
          <cell r="G911" t="str">
            <v>B.01</v>
          </cell>
          <cell r="H911" t="str">
            <v>Existing</v>
          </cell>
          <cell r="I911" t="str">
            <v>Existing</v>
          </cell>
          <cell r="J911" t="str">
            <v>Existing</v>
          </cell>
          <cell r="K911" t="str">
            <v>Verify</v>
          </cell>
          <cell r="L911" t="str">
            <v>Existing / Verify</v>
          </cell>
          <cell r="O911" t="str">
            <v>Verify</v>
          </cell>
          <cell r="Q911" t="str">
            <v>14|28</v>
          </cell>
        </row>
        <row r="912">
          <cell r="E912" t="str">
            <v>5. ELECTRICAL / UPS</v>
          </cell>
          <cell r="G912" t="str">
            <v>B2</v>
          </cell>
          <cell r="H912" t="str">
            <v>Existing / Verify</v>
          </cell>
          <cell r="I912" t="str">
            <v>Existing / Verify</v>
          </cell>
          <cell r="J912" t="str">
            <v>Existing / Verify</v>
          </cell>
          <cell r="K912" t="str">
            <v>Verify</v>
          </cell>
          <cell r="L912" t="str">
            <v>Existing / Verify</v>
          </cell>
          <cell r="O912" t="str">
            <v>Verify</v>
          </cell>
          <cell r="Q912" t="str">
            <v>14|29</v>
          </cell>
        </row>
        <row r="913">
          <cell r="E913" t="str">
            <v>5. ELECTRICAL / UPS</v>
          </cell>
          <cell r="G913">
            <v>0</v>
          </cell>
          <cell r="H913">
            <v>0</v>
          </cell>
          <cell r="I913">
            <v>0</v>
          </cell>
          <cell r="J913">
            <v>0</v>
          </cell>
          <cell r="K913">
            <v>0</v>
          </cell>
          <cell r="L913">
            <v>0</v>
          </cell>
          <cell r="O913">
            <v>0</v>
          </cell>
          <cell r="Q913" t="str">
            <v>14|30</v>
          </cell>
        </row>
        <row r="914">
          <cell r="E914" t="str">
            <v>6. TELECOMMUNICATIONS</v>
          </cell>
          <cell r="G914" t="str">
            <v>6. TELECOMMUNICATIONS</v>
          </cell>
          <cell r="H914">
            <v>0</v>
          </cell>
          <cell r="I914">
            <v>0</v>
          </cell>
          <cell r="J914">
            <v>0</v>
          </cell>
          <cell r="K914">
            <v>0</v>
          </cell>
          <cell r="L914">
            <v>0</v>
          </cell>
          <cell r="O914">
            <v>0</v>
          </cell>
          <cell r="Q914" t="str">
            <v>14|31</v>
          </cell>
        </row>
        <row r="915">
          <cell r="E915" t="str">
            <v>6. TELECOMMUNICATIONS</v>
          </cell>
          <cell r="G915" t="str">
            <v>Room</v>
          </cell>
          <cell r="H915" t="str">
            <v>Rack Installed</v>
          </cell>
          <cell r="I915" t="str">
            <v>Ladder Tray</v>
          </cell>
          <cell r="J915" t="str">
            <v>Fiber Installed</v>
          </cell>
          <cell r="K915" t="str">
            <v>Grounding</v>
          </cell>
          <cell r="L915" t="str">
            <v>Labeling</v>
          </cell>
          <cell r="O915" t="str">
            <v>Overall</v>
          </cell>
          <cell r="Q915" t="str">
            <v>14|32</v>
          </cell>
        </row>
        <row r="916">
          <cell r="E916" t="str">
            <v>6. TELECOMMUNICATIONS</v>
          </cell>
          <cell r="G916" t="str">
            <v>119</v>
          </cell>
          <cell r="H916" t="str">
            <v>Verify</v>
          </cell>
          <cell r="I916" t="str">
            <v>Verify</v>
          </cell>
          <cell r="J916" t="str">
            <v>Verify</v>
          </cell>
          <cell r="K916" t="str">
            <v>Verify</v>
          </cell>
          <cell r="L916" t="str">
            <v>Verify</v>
          </cell>
          <cell r="O916" t="str">
            <v>Verify</v>
          </cell>
          <cell r="Q916" t="str">
            <v>14|33</v>
          </cell>
        </row>
        <row r="917">
          <cell r="E917" t="str">
            <v>6. TELECOMMUNICATIONS</v>
          </cell>
          <cell r="G917" t="str">
            <v>B.01</v>
          </cell>
          <cell r="H917" t="str">
            <v>Existing</v>
          </cell>
          <cell r="I917" t="str">
            <v>Existing</v>
          </cell>
          <cell r="J917" t="str">
            <v>Existing</v>
          </cell>
          <cell r="K917" t="str">
            <v>Verify</v>
          </cell>
          <cell r="L917" t="str">
            <v>Verify</v>
          </cell>
          <cell r="O917" t="str">
            <v>Verify</v>
          </cell>
          <cell r="Q917" t="str">
            <v>14|34</v>
          </cell>
        </row>
        <row r="918">
          <cell r="E918" t="str">
            <v>6. TELECOMMUNICATIONS</v>
          </cell>
          <cell r="G918" t="str">
            <v>B2</v>
          </cell>
          <cell r="H918" t="str">
            <v>Existing</v>
          </cell>
          <cell r="I918" t="str">
            <v>Existing</v>
          </cell>
          <cell r="J918" t="str">
            <v>Existing</v>
          </cell>
          <cell r="K918" t="str">
            <v>Verify</v>
          </cell>
          <cell r="L918" t="str">
            <v>Verify</v>
          </cell>
          <cell r="O918" t="str">
            <v>Verify</v>
          </cell>
          <cell r="Q918" t="str">
            <v>14|35</v>
          </cell>
        </row>
        <row r="919">
          <cell r="E919" t="str">
            <v>6. TELECOMMUNICATIONS</v>
          </cell>
          <cell r="G919">
            <v>0</v>
          </cell>
          <cell r="H919">
            <v>0</v>
          </cell>
          <cell r="I919">
            <v>0</v>
          </cell>
          <cell r="J919">
            <v>0</v>
          </cell>
          <cell r="K919">
            <v>0</v>
          </cell>
          <cell r="L919">
            <v>0</v>
          </cell>
          <cell r="O919">
            <v>0</v>
          </cell>
          <cell r="Q919" t="str">
            <v>14|36</v>
          </cell>
        </row>
        <row r="920">
          <cell r="E920" t="str">
            <v>7. SECURITY / PACS / CCTV</v>
          </cell>
          <cell r="G920" t="str">
            <v>7. SECURITY / PACS / CCTV</v>
          </cell>
          <cell r="H920">
            <v>0</v>
          </cell>
          <cell r="I920">
            <v>0</v>
          </cell>
          <cell r="J920">
            <v>0</v>
          </cell>
          <cell r="K920">
            <v>0</v>
          </cell>
          <cell r="L920">
            <v>0</v>
          </cell>
          <cell r="O920">
            <v>0</v>
          </cell>
          <cell r="Q920" t="str">
            <v>14|37</v>
          </cell>
        </row>
        <row r="921">
          <cell r="E921" t="str">
            <v>7. SECURITY / PACS / CCTV</v>
          </cell>
          <cell r="G921" t="str">
            <v>Room</v>
          </cell>
          <cell r="H921" t="str">
            <v>PACS</v>
          </cell>
          <cell r="I921" t="str">
            <v>Card Reader</v>
          </cell>
          <cell r="J921" t="str">
            <v>Door Position</v>
          </cell>
          <cell r="K921" t="str">
            <v>Electric Strike</v>
          </cell>
          <cell r="L921" t="str">
            <v>CCTV</v>
          </cell>
          <cell r="O921" t="str">
            <v>Overall</v>
          </cell>
          <cell r="Q921" t="str">
            <v>14|38</v>
          </cell>
        </row>
        <row r="922">
          <cell r="E922" t="str">
            <v>7. SECURITY / PACS / CCTV</v>
          </cell>
          <cell r="G922" t="str">
            <v>119</v>
          </cell>
          <cell r="H922" t="str">
            <v>Verify</v>
          </cell>
          <cell r="I922" t="str">
            <v>Verify</v>
          </cell>
          <cell r="J922" t="str">
            <v>Verify</v>
          </cell>
          <cell r="K922" t="str">
            <v>Verify</v>
          </cell>
          <cell r="L922" t="str">
            <v>Verify</v>
          </cell>
          <cell r="O922" t="str">
            <v>Verify</v>
          </cell>
          <cell r="Q922" t="str">
            <v>14|39</v>
          </cell>
        </row>
        <row r="923">
          <cell r="E923" t="str">
            <v>7. SECURITY / PACS / CCTV</v>
          </cell>
          <cell r="G923" t="str">
            <v>B.01</v>
          </cell>
          <cell r="H923" t="str">
            <v>Verify</v>
          </cell>
          <cell r="I923" t="str">
            <v>Verify</v>
          </cell>
          <cell r="J923" t="str">
            <v>Verify</v>
          </cell>
          <cell r="K923" t="str">
            <v>Verify</v>
          </cell>
          <cell r="L923" t="str">
            <v>Verify</v>
          </cell>
          <cell r="O923" t="str">
            <v>Verify</v>
          </cell>
          <cell r="Q923" t="str">
            <v>14|40</v>
          </cell>
        </row>
        <row r="924">
          <cell r="E924" t="str">
            <v>7. SECURITY / PACS / CCTV</v>
          </cell>
          <cell r="G924" t="str">
            <v>B2</v>
          </cell>
          <cell r="H924" t="str">
            <v>Verify</v>
          </cell>
          <cell r="I924" t="str">
            <v>Verify</v>
          </cell>
          <cell r="J924" t="str">
            <v>Verify</v>
          </cell>
          <cell r="K924" t="str">
            <v>Verify</v>
          </cell>
          <cell r="L924" t="str">
            <v>Verify</v>
          </cell>
          <cell r="O924" t="str">
            <v>Verify</v>
          </cell>
          <cell r="Q924" t="str">
            <v>14|41</v>
          </cell>
        </row>
        <row r="925">
          <cell r="E925" t="str">
            <v>7. SECURITY / PACS / CCTV</v>
          </cell>
          <cell r="G925">
            <v>0</v>
          </cell>
          <cell r="H925">
            <v>0</v>
          </cell>
          <cell r="I925">
            <v>0</v>
          </cell>
          <cell r="J925">
            <v>0</v>
          </cell>
          <cell r="K925">
            <v>0</v>
          </cell>
          <cell r="L925">
            <v>0</v>
          </cell>
          <cell r="O925">
            <v>0</v>
          </cell>
          <cell r="Q925" t="str">
            <v>14|42</v>
          </cell>
        </row>
        <row r="926">
          <cell r="E926" t="str">
            <v>8. OWNER RISKS</v>
          </cell>
          <cell r="G926" t="str">
            <v>8. OWNER RISKS</v>
          </cell>
          <cell r="H926">
            <v>0</v>
          </cell>
          <cell r="I926">
            <v>0</v>
          </cell>
          <cell r="J926">
            <v>0</v>
          </cell>
          <cell r="K926">
            <v>0</v>
          </cell>
          <cell r="L926">
            <v>0</v>
          </cell>
          <cell r="O926">
            <v>0</v>
          </cell>
          <cell r="Q926" t="str">
            <v>14|43</v>
          </cell>
        </row>
        <row r="927">
          <cell r="E927" t="str">
            <v>8. OWNER RISKS</v>
          </cell>
          <cell r="G927" t="str">
            <v>Risk ID</v>
          </cell>
          <cell r="H927" t="str">
            <v>Room</v>
          </cell>
          <cell r="I927" t="str">
            <v>Risk</v>
          </cell>
          <cell r="J927" t="str">
            <v>Impact</v>
          </cell>
          <cell r="K927" t="str">
            <v>Probability</v>
          </cell>
          <cell r="L927" t="str">
            <v>Score</v>
          </cell>
          <cell r="O927" t="str">
            <v>Status</v>
          </cell>
          <cell r="Q927" t="str">
            <v>14|44</v>
          </cell>
        </row>
        <row r="928">
          <cell r="E928" t="str">
            <v>8. OWNER RISKS</v>
          </cell>
          <cell r="G928" t="str">
            <v>B14-R1</v>
          </cell>
          <cell r="H928" t="str">
            <v>All</v>
          </cell>
          <cell r="I928" t="str">
            <v>Existing conditions for Room 119 and existing basement telecom rooms B.01/B2 not field verified</v>
          </cell>
          <cell r="J928" t="str">
            <v>High</v>
          </cell>
          <cell r="K928" t="str">
            <v>Medium</v>
          </cell>
          <cell r="L928">
            <v>6</v>
          </cell>
          <cell r="O928" t="str">
            <v>Open</v>
          </cell>
          <cell r="Q928" t="str">
            <v>14|45</v>
          </cell>
        </row>
        <row r="929">
          <cell r="E929" t="str">
            <v>8. OWNER RISKS</v>
          </cell>
          <cell r="G929" t="str">
            <v>B14-R2</v>
          </cell>
          <cell r="H929" t="str">
            <v>119</v>
          </cell>
          <cell r="I929" t="str">
            <v>First-level hazardous material abatement plan exists</v>
          </cell>
          <cell r="J929" t="str">
            <v>High</v>
          </cell>
          <cell r="K929" t="str">
            <v>Medium</v>
          </cell>
          <cell r="L929">
            <v>6</v>
          </cell>
          <cell r="O929" t="str">
            <v>Open</v>
          </cell>
          <cell r="Q929" t="str">
            <v>14|46</v>
          </cell>
        </row>
        <row r="930">
          <cell r="E930" t="str">
            <v>8. OWNER RISKS</v>
          </cell>
          <cell r="G930" t="str">
            <v>B14-R3</v>
          </cell>
          <cell r="H930" t="str">
            <v>B.01/B2</v>
          </cell>
          <cell r="I930" t="str">
            <v>Existing basement telecom equipment may remain active during cutover</v>
          </cell>
          <cell r="J930" t="str">
            <v>Critical</v>
          </cell>
          <cell r="K930" t="str">
            <v>Medium</v>
          </cell>
          <cell r="L930">
            <v>8</v>
          </cell>
          <cell r="O930" t="str">
            <v>Open</v>
          </cell>
          <cell r="Q930" t="str">
            <v>14|47</v>
          </cell>
        </row>
        <row r="931">
          <cell r="E931" t="str">
            <v>8. OWNER RISKS</v>
          </cell>
          <cell r="G931" t="str">
            <v>B14-R4</v>
          </cell>
          <cell r="H931" t="str">
            <v>119</v>
          </cell>
          <cell r="I931" t="str">
            <v>Dedicated cooling emergency power, condensate, BACnet and alarms not verified</v>
          </cell>
          <cell r="J931" t="str">
            <v>Critical</v>
          </cell>
          <cell r="K931" t="str">
            <v>Medium</v>
          </cell>
          <cell r="L931">
            <v>8</v>
          </cell>
          <cell r="O931" t="str">
            <v>Open</v>
          </cell>
          <cell r="Q931" t="str">
            <v>14|48</v>
          </cell>
        </row>
        <row r="932">
          <cell r="E932" t="str">
            <v>8. OWNER RISKS</v>
          </cell>
          <cell r="G932" t="str">
            <v>B14-R5</v>
          </cell>
          <cell r="H932" t="str">
            <v>119</v>
          </cell>
          <cell r="I932" t="str">
            <v>240V UPS/PDU and panel source coordination could delay energization</v>
          </cell>
          <cell r="J932" t="str">
            <v>High</v>
          </cell>
          <cell r="K932" t="str">
            <v>Medium</v>
          </cell>
          <cell r="L932">
            <v>6</v>
          </cell>
          <cell r="O932" t="str">
            <v>Open</v>
          </cell>
          <cell r="Q932" t="str">
            <v>14|49</v>
          </cell>
        </row>
        <row r="933">
          <cell r="E933" t="str">
            <v>8. OWNER RISKS</v>
          </cell>
          <cell r="G933" t="str">
            <v>B14-R6</v>
          </cell>
          <cell r="H933" t="str">
            <v>119</v>
          </cell>
          <cell r="I933" t="str">
            <v>Rated wall/door/firestop scope may affect life-safety acceptance</v>
          </cell>
          <cell r="J933" t="str">
            <v>High</v>
          </cell>
          <cell r="K933" t="str">
            <v>Medium</v>
          </cell>
          <cell r="L933">
            <v>6</v>
          </cell>
          <cell r="O933" t="str">
            <v>Open</v>
          </cell>
          <cell r="Q933" t="str">
            <v>14|50</v>
          </cell>
        </row>
        <row r="934">
          <cell r="E934" t="str">
            <v>8. OWNER RISKS</v>
          </cell>
          <cell r="G934" t="str">
            <v>B14-R7</v>
          </cell>
          <cell r="H934" t="str">
            <v>All</v>
          </cell>
          <cell r="I934" t="str">
            <v>Telecom/fiber cutover could affect active hospital communications across basement, first and second levels</v>
          </cell>
          <cell r="J934" t="str">
            <v>Critical</v>
          </cell>
          <cell r="K934" t="str">
            <v>Medium</v>
          </cell>
          <cell r="L934">
            <v>8</v>
          </cell>
          <cell r="O934" t="str">
            <v>Open</v>
          </cell>
          <cell r="Q934" t="str">
            <v>14|51</v>
          </cell>
        </row>
        <row r="935">
          <cell r="E935" t="str">
            <v>8. OWNER RISKS</v>
          </cell>
          <cell r="G935" t="str">
            <v>B14-R8</v>
          </cell>
          <cell r="H935" t="str">
            <v>All</v>
          </cell>
          <cell r="I935" t="str">
            <v>Commissioning/third-party inspection reports may not be complete at turnover</v>
          </cell>
          <cell r="J935" t="str">
            <v>High</v>
          </cell>
          <cell r="K935" t="str">
            <v>Medium</v>
          </cell>
          <cell r="L935">
            <v>6</v>
          </cell>
          <cell r="O935" t="str">
            <v>Open</v>
          </cell>
          <cell r="Q935" t="str">
            <v>14|52</v>
          </cell>
        </row>
        <row r="936">
          <cell r="E936" t="str">
            <v>8. OWNER RISKS</v>
          </cell>
          <cell r="G936">
            <v>0</v>
          </cell>
          <cell r="H936">
            <v>0</v>
          </cell>
          <cell r="I936">
            <v>0</v>
          </cell>
          <cell r="J936">
            <v>0</v>
          </cell>
          <cell r="K936">
            <v>0</v>
          </cell>
          <cell r="L936">
            <v>0</v>
          </cell>
          <cell r="O936">
            <v>0</v>
          </cell>
          <cell r="Q936" t="str">
            <v>14|53</v>
          </cell>
        </row>
        <row r="937">
          <cell r="E937" t="str">
            <v>9. OPEN QUESTIONS</v>
          </cell>
          <cell r="G937" t="str">
            <v>9. OPEN QUESTIONS</v>
          </cell>
          <cell r="H937">
            <v>0</v>
          </cell>
          <cell r="I937">
            <v>0</v>
          </cell>
          <cell r="J937">
            <v>0</v>
          </cell>
          <cell r="K937">
            <v>0</v>
          </cell>
          <cell r="L937">
            <v>0</v>
          </cell>
          <cell r="O937">
            <v>0</v>
          </cell>
          <cell r="Q937" t="str">
            <v>14|54</v>
          </cell>
        </row>
        <row r="938">
          <cell r="E938" t="str">
            <v>9. OPEN QUESTIONS</v>
          </cell>
          <cell r="G938" t="str">
            <v>Question ID</v>
          </cell>
          <cell r="H938" t="str">
            <v>Question</v>
          </cell>
          <cell r="I938" t="str">
            <v>Assigned To</v>
          </cell>
          <cell r="J938" t="str">
            <v>Status</v>
          </cell>
          <cell r="K938" t="str">
            <v>Needed By</v>
          </cell>
          <cell r="L938" t="str">
            <v>Answer / Resolution</v>
          </cell>
          <cell r="O938" t="str">
            <v>Date Closed</v>
          </cell>
          <cell r="Q938" t="str">
            <v>14|55</v>
          </cell>
        </row>
        <row r="939">
          <cell r="E939" t="str">
            <v>9. OPEN QUESTIONS</v>
          </cell>
          <cell r="G939" t="str">
            <v>B14-Q1</v>
          </cell>
          <cell r="H939" t="str">
            <v>Confirm final telecom scope: new Room 119 and existing basement B.01/B2 transition only?</v>
          </cell>
          <cell r="I939" t="str">
            <v>VA / OIT / Designer</v>
          </cell>
          <cell r="J939" t="str">
            <v>Open</v>
          </cell>
          <cell r="K939">
            <v>0</v>
          </cell>
          <cell r="L939">
            <v>0</v>
          </cell>
          <cell r="O939">
            <v>0</v>
          </cell>
          <cell r="Q939" t="str">
            <v>14|56</v>
          </cell>
        </row>
        <row r="940">
          <cell r="E940" t="str">
            <v>9. OPEN QUESTIONS</v>
          </cell>
          <cell r="G940" t="str">
            <v>B14-Q2</v>
          </cell>
          <cell r="H940" t="str">
            <v>What active services are currently fed from existing B.01/B2 equipment?</v>
          </cell>
          <cell r="I940" t="str">
            <v>OIT / Contractor</v>
          </cell>
          <cell r="J940" t="str">
            <v>Open</v>
          </cell>
          <cell r="K940">
            <v>0</v>
          </cell>
          <cell r="L940">
            <v>0</v>
          </cell>
          <cell r="O940">
            <v>0</v>
          </cell>
          <cell r="Q940" t="str">
            <v>14|57</v>
          </cell>
        </row>
        <row r="941">
          <cell r="E941" t="str">
            <v>9. OPEN QUESTIONS</v>
          </cell>
          <cell r="G941" t="str">
            <v>B14-Q3</v>
          </cell>
          <cell r="H941" t="str">
            <v>What hazardous/abatement steps apply to first-level Room 119 work?</v>
          </cell>
          <cell r="I941" t="str">
            <v>GC / IH / COR</v>
          </cell>
          <cell r="J941" t="str">
            <v>Open</v>
          </cell>
          <cell r="K941">
            <v>0</v>
          </cell>
          <cell r="L941">
            <v>0</v>
          </cell>
          <cell r="O941">
            <v>0</v>
          </cell>
          <cell r="Q941" t="str">
            <v>14|58</v>
          </cell>
        </row>
        <row r="942">
          <cell r="E942" t="str">
            <v>9. OPEN QUESTIONS</v>
          </cell>
          <cell r="G942" t="str">
            <v>B14-Q4</v>
          </cell>
          <cell r="H942" t="str">
            <v>Is IU-1-01/CU-1-01 on emergency/backup power and dedicated to Room 119?</v>
          </cell>
          <cell r="I942" t="str">
            <v>Mechanical / Electrical / VA</v>
          </cell>
          <cell r="J942" t="str">
            <v>Open</v>
          </cell>
          <cell r="K942">
            <v>0</v>
          </cell>
          <cell r="L942">
            <v>0</v>
          </cell>
          <cell r="O942">
            <v>0</v>
          </cell>
          <cell r="Q942" t="str">
            <v>14|59</v>
          </cell>
        </row>
        <row r="943">
          <cell r="E943" t="str">
            <v>9. OPEN QUESTIONS</v>
          </cell>
          <cell r="G943" t="str">
            <v>B14-Q5</v>
          </cell>
          <cell r="H943" t="str">
            <v>Where is the clean-agent/CO2 extinguisher cabinet located within 75 ft of Room 119?</v>
          </cell>
          <cell r="I943" t="str">
            <v>GC / COR</v>
          </cell>
          <cell r="J943" t="str">
            <v>Open</v>
          </cell>
          <cell r="K943">
            <v>0</v>
          </cell>
          <cell r="L943">
            <v>0</v>
          </cell>
          <cell r="O943">
            <v>0</v>
          </cell>
          <cell r="Q943" t="str">
            <v>14|60</v>
          </cell>
        </row>
        <row r="944">
          <cell r="E944" t="str">
            <v>9. OPEN QUESTIONS</v>
          </cell>
          <cell r="G944" t="str">
            <v>B14-Q6</v>
          </cell>
          <cell r="H944" t="str">
            <v>Are B14-TR119A/B sources, rack receptacles, SPDs, circuit labels and load measurements approved?</v>
          </cell>
          <cell r="I944" t="str">
            <v>Electrical / Designer</v>
          </cell>
          <cell r="J944" t="str">
            <v>Open</v>
          </cell>
          <cell r="K944">
            <v>0</v>
          </cell>
          <cell r="L944">
            <v>0</v>
          </cell>
          <cell r="O944">
            <v>0</v>
          </cell>
          <cell r="Q944" t="str">
            <v>14|61</v>
          </cell>
        </row>
        <row r="945">
          <cell r="E945" t="str">
            <v>9. OPEN QUESTIONS</v>
          </cell>
          <cell r="G945" t="str">
            <v>B14-Q7</v>
          </cell>
          <cell r="H945" t="str">
            <v>Are all rated wall/floor penetrations, sleeves, cable tray entries and firestopping details identified?</v>
          </cell>
          <cell r="I945" t="str">
            <v>GC / Firestop</v>
          </cell>
          <cell r="J945" t="str">
            <v>Open</v>
          </cell>
          <cell r="K945">
            <v>0</v>
          </cell>
          <cell r="L945">
            <v>0</v>
          </cell>
          <cell r="O945">
            <v>0</v>
          </cell>
          <cell r="Q945" t="str">
            <v>14|62</v>
          </cell>
        </row>
        <row r="946">
          <cell r="E946" t="str">
            <v>9. OPEN QUESTIONS</v>
          </cell>
          <cell r="G946" t="str">
            <v>B14-Q8</v>
          </cell>
          <cell r="H946" t="str">
            <v>Which third-party inspections and commissioning forms are required before VA acceptance?</v>
          </cell>
          <cell r="I946" t="str">
            <v>GC / Cx Manager</v>
          </cell>
          <cell r="J946" t="str">
            <v>Open</v>
          </cell>
          <cell r="K946">
            <v>0</v>
          </cell>
          <cell r="L946">
            <v>0</v>
          </cell>
          <cell r="O946">
            <v>0</v>
          </cell>
          <cell r="Q946" t="str">
            <v>14|63</v>
          </cell>
        </row>
        <row r="947">
          <cell r="E947" t="str">
            <v>9. OPEN QUESTIONS</v>
          </cell>
          <cell r="G947">
            <v>0</v>
          </cell>
          <cell r="H947">
            <v>0</v>
          </cell>
          <cell r="I947">
            <v>0</v>
          </cell>
          <cell r="J947">
            <v>0</v>
          </cell>
          <cell r="K947">
            <v>0</v>
          </cell>
          <cell r="L947">
            <v>0</v>
          </cell>
          <cell r="O947">
            <v>0</v>
          </cell>
          <cell r="Q947" t="str">
            <v>14|64</v>
          </cell>
        </row>
        <row r="948">
          <cell r="E948" t="str">
            <v>10. PHOTO LOG</v>
          </cell>
          <cell r="G948" t="str">
            <v>10. PHOTO LOG</v>
          </cell>
          <cell r="H948">
            <v>0</v>
          </cell>
          <cell r="I948">
            <v>0</v>
          </cell>
          <cell r="J948">
            <v>0</v>
          </cell>
          <cell r="K948">
            <v>0</v>
          </cell>
          <cell r="L948">
            <v>0</v>
          </cell>
          <cell r="O948">
            <v>0</v>
          </cell>
          <cell r="Q948" t="str">
            <v>14|65</v>
          </cell>
        </row>
        <row r="949">
          <cell r="E949" t="str">
            <v>10. PHOTO LOG</v>
          </cell>
          <cell r="G949" t="str">
            <v>Photo ID</v>
          </cell>
          <cell r="H949" t="str">
            <v>Room</v>
          </cell>
          <cell r="I949" t="str">
            <v>Category</v>
          </cell>
          <cell r="J949" t="str">
            <v>Description</v>
          </cell>
          <cell r="K949" t="str">
            <v>Date</v>
          </cell>
          <cell r="L949" t="str">
            <v>Taken By</v>
          </cell>
          <cell r="O949" t="str">
            <v>Status</v>
          </cell>
          <cell r="Q949" t="str">
            <v>14|66</v>
          </cell>
        </row>
        <row r="950">
          <cell r="E950" t="str">
            <v>10. PHOTO LOG</v>
          </cell>
          <cell r="G950" t="str">
            <v>B14-P001</v>
          </cell>
          <cell r="H950" t="str">
            <v>119</v>
          </cell>
          <cell r="I950" t="str">
            <v>Existing Condition</v>
          </cell>
          <cell r="J950" t="str">
            <v>Room 119 walls, ceiling/deck, floor, door, adjacent conference/restroom/office spaces, rack location, pathways and penetrations</v>
          </cell>
          <cell r="K950">
            <v>0</v>
          </cell>
          <cell r="L950" t="str">
            <v>Paul</v>
          </cell>
          <cell r="O950" t="str">
            <v>Open</v>
          </cell>
          <cell r="Q950" t="str">
            <v>14|67</v>
          </cell>
        </row>
        <row r="951">
          <cell r="E951" t="str">
            <v>10. PHOTO LOG</v>
          </cell>
          <cell r="G951" t="str">
            <v>B14-P002</v>
          </cell>
          <cell r="H951" t="str">
            <v>B.01</v>
          </cell>
          <cell r="I951" t="str">
            <v>Existing Condition</v>
          </cell>
          <cell r="J951" t="str">
            <v>Existing basement Tel/F Panel B.01, wall-mounted TE, patch panels, telco patch, plywood backboards, legacy Fiber LIU and pathways</v>
          </cell>
          <cell r="K951">
            <v>0</v>
          </cell>
          <cell r="L951" t="str">
            <v>Paul</v>
          </cell>
          <cell r="O951" t="str">
            <v>Open</v>
          </cell>
          <cell r="Q951" t="str">
            <v>14|68</v>
          </cell>
        </row>
        <row r="952">
          <cell r="E952" t="str">
            <v>10. PHOTO LOG</v>
          </cell>
          <cell r="G952" t="str">
            <v>B14-P003</v>
          </cell>
          <cell r="H952" t="str">
            <v>B2</v>
          </cell>
          <cell r="I952" t="str">
            <v>Existing Condition</v>
          </cell>
          <cell r="J952" t="str">
            <v>Existing basement telecom room B2 photo reference, equipment, pathways, power and protection-in-place needs</v>
          </cell>
          <cell r="K952">
            <v>0</v>
          </cell>
          <cell r="L952" t="str">
            <v>Paul</v>
          </cell>
          <cell r="O952" t="str">
            <v>Open</v>
          </cell>
          <cell r="Q952" t="str">
            <v>14|69</v>
          </cell>
        </row>
        <row r="953">
          <cell r="E953" t="str">
            <v>10. PHOTO LOG</v>
          </cell>
          <cell r="G953" t="str">
            <v>B14-P004</v>
          </cell>
          <cell r="H953" t="str">
            <v>119</v>
          </cell>
          <cell r="I953" t="str">
            <v>Hazardous Materials</v>
          </cell>
          <cell r="J953" t="str">
            <v>First-level abatement-related materials, flooring, walls, ceiling/penetrations, and disturbance areas</v>
          </cell>
          <cell r="K953">
            <v>0</v>
          </cell>
          <cell r="L953" t="str">
            <v>Paul</v>
          </cell>
          <cell r="O953" t="str">
            <v>Open</v>
          </cell>
          <cell r="Q953" t="str">
            <v>14|70</v>
          </cell>
        </row>
        <row r="954">
          <cell r="E954" t="str">
            <v>10. PHOTO LOG</v>
          </cell>
          <cell r="G954" t="str">
            <v>B14-P005</v>
          </cell>
          <cell r="H954" t="str">
            <v>119</v>
          </cell>
          <cell r="I954" t="str">
            <v>Firestop</v>
          </cell>
          <cell r="J954" t="str">
            <v>All wall/floor/sleeve/tray penetrations before and after firestop</v>
          </cell>
          <cell r="K954">
            <v>0</v>
          </cell>
          <cell r="L954" t="str">
            <v>Paul</v>
          </cell>
          <cell r="O954" t="str">
            <v>Open</v>
          </cell>
          <cell r="Q954" t="str">
            <v>14|71</v>
          </cell>
        </row>
        <row r="955">
          <cell r="E955" t="str">
            <v>10. PHOTO LOG</v>
          </cell>
          <cell r="G955" t="str">
            <v>B14-P006</v>
          </cell>
          <cell r="H955" t="str">
            <v>119</v>
          </cell>
          <cell r="I955" t="str">
            <v>HVAC</v>
          </cell>
          <cell r="J955" t="str">
            <v>IU-1-01/CU-1-01, condensate, thermostat, BACnet adapter, disconnects, high-temp alarm and power source</v>
          </cell>
          <cell r="K955">
            <v>0</v>
          </cell>
          <cell r="L955" t="str">
            <v>Paul</v>
          </cell>
          <cell r="O955" t="str">
            <v>Open</v>
          </cell>
          <cell r="Q955" t="str">
            <v>14|72</v>
          </cell>
        </row>
        <row r="956">
          <cell r="E956" t="str">
            <v>10. PHOTO LOG</v>
          </cell>
          <cell r="G956" t="str">
            <v>B14-P007</v>
          </cell>
          <cell r="H956" t="str">
            <v>119</v>
          </cell>
          <cell r="I956" t="str">
            <v>Electrical</v>
          </cell>
          <cell r="J956" t="str">
            <v>B14-TR119A/B panels, rack receptacles, breakers, SPD, access controller, lighting, CU-1-01 and labels</v>
          </cell>
          <cell r="K956">
            <v>0</v>
          </cell>
          <cell r="L956" t="str">
            <v>Paul</v>
          </cell>
          <cell r="O956" t="str">
            <v>Open</v>
          </cell>
          <cell r="Q956" t="str">
            <v>14|73</v>
          </cell>
        </row>
        <row r="957">
          <cell r="E957" t="str">
            <v>10. PHOTO LOG</v>
          </cell>
          <cell r="G957" t="str">
            <v>B14-P008</v>
          </cell>
          <cell r="H957" t="str">
            <v>119/B.01</v>
          </cell>
          <cell r="I957" t="str">
            <v>Telecom/Security</v>
          </cell>
          <cell r="J957" t="str">
            <v>New rack/future rack, fiber path A/B, Cat6A, patch panels, LIU, labels/test records, 119-CAM-01 and existing B.01/B2 transfer work</v>
          </cell>
          <cell r="K957">
            <v>0</v>
          </cell>
          <cell r="L957" t="str">
            <v>Paul</v>
          </cell>
          <cell r="O957" t="str">
            <v>Open</v>
          </cell>
          <cell r="Q957" t="str">
            <v>14|74</v>
          </cell>
        </row>
        <row r="958">
          <cell r="E958" t="str">
            <v>10. PHOTO LOG</v>
          </cell>
          <cell r="G958">
            <v>0</v>
          </cell>
          <cell r="H958">
            <v>0</v>
          </cell>
          <cell r="I958">
            <v>0</v>
          </cell>
          <cell r="J958">
            <v>0</v>
          </cell>
          <cell r="K958">
            <v>0</v>
          </cell>
          <cell r="L958">
            <v>0</v>
          </cell>
          <cell r="O958">
            <v>0</v>
          </cell>
          <cell r="Q958" t="str">
            <v>14|75</v>
          </cell>
        </row>
        <row r="959">
          <cell r="E959" t="str">
            <v>1. ROOM INVENTORY</v>
          </cell>
          <cell r="G959" t="str">
            <v>1. ROOM INVENTORY</v>
          </cell>
          <cell r="H959">
            <v>0</v>
          </cell>
          <cell r="I959">
            <v>0</v>
          </cell>
          <cell r="J959">
            <v>0</v>
          </cell>
          <cell r="K959">
            <v>0</v>
          </cell>
          <cell r="L959">
            <v>0</v>
          </cell>
          <cell r="O959">
            <v>0</v>
          </cell>
          <cell r="Q959" t="str">
            <v>15|1</v>
          </cell>
        </row>
        <row r="960">
          <cell r="E960" t="str">
            <v>1. ROOM INVENTORY</v>
          </cell>
          <cell r="G960" t="str">
            <v>Building</v>
          </cell>
          <cell r="H960" t="str">
            <v>Room</v>
          </cell>
          <cell r="I960" t="str">
            <v>Floor</v>
          </cell>
          <cell r="J960" t="str">
            <v>Existing Use</v>
          </cell>
          <cell r="K960" t="str">
            <v>New Use</v>
          </cell>
          <cell r="L960" t="str">
            <v>Rack Count</v>
          </cell>
          <cell r="O960" t="str">
            <v>Drawing Ref</v>
          </cell>
          <cell r="Q960" t="str">
            <v>15|2</v>
          </cell>
        </row>
        <row r="961">
          <cell r="E961" t="str">
            <v>1. ROOM INVENTORY</v>
          </cell>
          <cell r="G961" t="str">
            <v>15</v>
          </cell>
          <cell r="H961" t="str">
            <v>124A</v>
          </cell>
          <cell r="I961" t="str">
            <v>First</v>
          </cell>
          <cell r="J961" t="str">
            <v>Office/room converted to Telecom Room</v>
          </cell>
          <cell r="K961" t="str">
            <v>Telecom Room</v>
          </cell>
          <cell r="L961">
            <v>1</v>
          </cell>
          <cell r="O961" t="str">
            <v>15A-401 / 15E-401 / 15T-100 / 15T-604 / 15T-701</v>
          </cell>
          <cell r="Q961" t="str">
            <v>15|3</v>
          </cell>
        </row>
        <row r="962">
          <cell r="E962" t="str">
            <v>1. ROOM INVENTORY</v>
          </cell>
          <cell r="G962" t="str">
            <v>15</v>
          </cell>
          <cell r="H962" t="str">
            <v>222</v>
          </cell>
          <cell r="I962" t="str">
            <v>Second</v>
          </cell>
          <cell r="J962" t="str">
            <v>Existing Tel Room / wall-mounted rack and support equipment</v>
          </cell>
          <cell r="K962" t="str">
            <v>Existing telecom transition point</v>
          </cell>
          <cell r="L962">
            <v>1</v>
          </cell>
          <cell r="O962" t="str">
            <v>15T-100 / 15T-604 / 15R-900</v>
          </cell>
          <cell r="Q962" t="str">
            <v>15|4</v>
          </cell>
        </row>
        <row r="963">
          <cell r="E963" t="str">
            <v>1. ROOM INVENTORY</v>
          </cell>
          <cell r="G963" t="str">
            <v>15</v>
          </cell>
          <cell r="H963" t="str">
            <v>B01</v>
          </cell>
          <cell r="I963" t="str">
            <v>Basement</v>
          </cell>
          <cell r="J963" t="str">
            <v>Existing telecom/crossover area</v>
          </cell>
          <cell r="K963" t="str">
            <v>Existing telecom transition point</v>
          </cell>
          <cell r="L963">
            <v>1</v>
          </cell>
          <cell r="O963" t="str">
            <v>15T-604 / 15R-900</v>
          </cell>
          <cell r="Q963" t="str">
            <v>15|5</v>
          </cell>
        </row>
        <row r="964">
          <cell r="E964" t="str">
            <v>1. ROOM INVENTORY</v>
          </cell>
          <cell r="G964">
            <v>0</v>
          </cell>
          <cell r="H964">
            <v>0</v>
          </cell>
          <cell r="I964">
            <v>0</v>
          </cell>
          <cell r="J964">
            <v>0</v>
          </cell>
          <cell r="K964">
            <v>0</v>
          </cell>
          <cell r="L964">
            <v>0</v>
          </cell>
          <cell r="O964">
            <v>0</v>
          </cell>
          <cell r="Q964" t="str">
            <v>15|6</v>
          </cell>
        </row>
        <row r="965">
          <cell r="E965" t="str">
            <v>2. ROOM READINESS</v>
          </cell>
          <cell r="G965" t="str">
            <v>2. ROOM READINESS</v>
          </cell>
          <cell r="H965">
            <v>0</v>
          </cell>
          <cell r="I965">
            <v>0</v>
          </cell>
          <cell r="J965">
            <v>0</v>
          </cell>
          <cell r="K965">
            <v>0</v>
          </cell>
          <cell r="L965">
            <v>0</v>
          </cell>
          <cell r="O965">
            <v>0</v>
          </cell>
          <cell r="Q965" t="str">
            <v>15|7</v>
          </cell>
        </row>
        <row r="966">
          <cell r="E966" t="str">
            <v>2. ROOM READINESS</v>
          </cell>
          <cell r="G966" t="str">
            <v>Room</v>
          </cell>
          <cell r="H966" t="str">
            <v>Walls / 1-hr Rating</v>
          </cell>
          <cell r="I966" t="str">
            <v>Ceiling</v>
          </cell>
          <cell r="J966" t="str">
            <v>Floor / SDC</v>
          </cell>
          <cell r="K966" t="str">
            <v>Penetrations</v>
          </cell>
          <cell r="L966" t="str">
            <v>Access Control</v>
          </cell>
          <cell r="O966" t="str">
            <v>Overall</v>
          </cell>
          <cell r="Q966" t="str">
            <v>15|8</v>
          </cell>
        </row>
        <row r="967">
          <cell r="E967" t="str">
            <v>2. ROOM READINESS</v>
          </cell>
          <cell r="G967" t="str">
            <v>124A</v>
          </cell>
          <cell r="H967" t="str">
            <v>Verify</v>
          </cell>
          <cell r="I967" t="str">
            <v>Verify</v>
          </cell>
          <cell r="J967" t="str">
            <v>Verify</v>
          </cell>
          <cell r="K967" t="str">
            <v>Verify</v>
          </cell>
          <cell r="L967" t="str">
            <v>Verify</v>
          </cell>
          <cell r="O967" t="str">
            <v>Verify</v>
          </cell>
          <cell r="Q967" t="str">
            <v>15|9</v>
          </cell>
        </row>
        <row r="968">
          <cell r="E968" t="str">
            <v>2. ROOM READINESS</v>
          </cell>
          <cell r="G968" t="str">
            <v>222</v>
          </cell>
          <cell r="H968" t="str">
            <v>Existing / Verify</v>
          </cell>
          <cell r="I968" t="str">
            <v>Existing / Verify</v>
          </cell>
          <cell r="J968" t="str">
            <v>Existing / Verify</v>
          </cell>
          <cell r="K968" t="str">
            <v>Verify</v>
          </cell>
          <cell r="L968" t="str">
            <v>Verify</v>
          </cell>
          <cell r="O968" t="str">
            <v>Verify</v>
          </cell>
          <cell r="Q968" t="str">
            <v>15|10</v>
          </cell>
        </row>
        <row r="969">
          <cell r="E969" t="str">
            <v>2. ROOM READINESS</v>
          </cell>
          <cell r="G969" t="str">
            <v>B01</v>
          </cell>
          <cell r="H969" t="str">
            <v>Existing / Verify</v>
          </cell>
          <cell r="I969" t="str">
            <v>Existing / Verify</v>
          </cell>
          <cell r="J969" t="str">
            <v>Existing / Verify</v>
          </cell>
          <cell r="K969" t="str">
            <v>Verify</v>
          </cell>
          <cell r="L969" t="str">
            <v>Verify</v>
          </cell>
          <cell r="O969" t="str">
            <v>Verify</v>
          </cell>
          <cell r="Q969" t="str">
            <v>15|11</v>
          </cell>
        </row>
        <row r="970">
          <cell r="E970" t="str">
            <v>2. ROOM READINESS</v>
          </cell>
          <cell r="G970">
            <v>0</v>
          </cell>
          <cell r="H970">
            <v>0</v>
          </cell>
          <cell r="I970">
            <v>0</v>
          </cell>
          <cell r="J970">
            <v>0</v>
          </cell>
          <cell r="K970">
            <v>0</v>
          </cell>
          <cell r="L970">
            <v>0</v>
          </cell>
          <cell r="O970">
            <v>0</v>
          </cell>
          <cell r="Q970" t="str">
            <v>15|12</v>
          </cell>
        </row>
        <row r="971">
          <cell r="E971" t="str">
            <v>3. FIRE PROTECTION</v>
          </cell>
          <cell r="G971" t="str">
            <v>3. FIRE PROTECTION</v>
          </cell>
          <cell r="H971">
            <v>0</v>
          </cell>
          <cell r="I971">
            <v>0</v>
          </cell>
          <cell r="J971">
            <v>0</v>
          </cell>
          <cell r="K971">
            <v>0</v>
          </cell>
          <cell r="L971">
            <v>0</v>
          </cell>
          <cell r="O971">
            <v>0</v>
          </cell>
          <cell r="Q971" t="str">
            <v>15|13</v>
          </cell>
        </row>
        <row r="972">
          <cell r="E972" t="str">
            <v>3. FIRE PROTECTION</v>
          </cell>
          <cell r="G972" t="str">
            <v>Room</v>
          </cell>
          <cell r="H972" t="str">
            <v>Sprinkler</v>
          </cell>
          <cell r="I972" t="str">
            <v>Cage</v>
          </cell>
          <cell r="J972" t="str">
            <v>Detector</v>
          </cell>
          <cell r="K972" t="str">
            <v>Horn/Strobe</v>
          </cell>
          <cell r="L972" t="str">
            <v>Extinguisher &lt;75 ft</v>
          </cell>
          <cell r="O972" t="str">
            <v>Overall</v>
          </cell>
          <cell r="Q972" t="str">
            <v>15|14</v>
          </cell>
        </row>
        <row r="973">
          <cell r="E973" t="str">
            <v>3. FIRE PROTECTION</v>
          </cell>
          <cell r="G973" t="str">
            <v>124A</v>
          </cell>
          <cell r="H973" t="str">
            <v>Verify</v>
          </cell>
          <cell r="I973" t="str">
            <v>Verify</v>
          </cell>
          <cell r="J973" t="str">
            <v>Verify</v>
          </cell>
          <cell r="K973" t="str">
            <v>Verify</v>
          </cell>
          <cell r="L973" t="str">
            <v>Verify</v>
          </cell>
          <cell r="O973" t="str">
            <v>Verify</v>
          </cell>
          <cell r="Q973" t="str">
            <v>15|15</v>
          </cell>
        </row>
        <row r="974">
          <cell r="E974" t="str">
            <v>3. FIRE PROTECTION</v>
          </cell>
          <cell r="G974" t="str">
            <v>222</v>
          </cell>
          <cell r="H974" t="str">
            <v>Verify</v>
          </cell>
          <cell r="I974" t="str">
            <v>N/A</v>
          </cell>
          <cell r="J974" t="str">
            <v>Verify</v>
          </cell>
          <cell r="K974" t="str">
            <v>Verify</v>
          </cell>
          <cell r="L974" t="str">
            <v>Verify</v>
          </cell>
          <cell r="O974" t="str">
            <v>Verify</v>
          </cell>
          <cell r="Q974" t="str">
            <v>15|16</v>
          </cell>
        </row>
        <row r="975">
          <cell r="E975" t="str">
            <v>3. FIRE PROTECTION</v>
          </cell>
          <cell r="G975" t="str">
            <v>B01</v>
          </cell>
          <cell r="H975" t="str">
            <v>Verify</v>
          </cell>
          <cell r="I975" t="str">
            <v>N/A</v>
          </cell>
          <cell r="J975" t="str">
            <v>Verify</v>
          </cell>
          <cell r="K975" t="str">
            <v>Verify</v>
          </cell>
          <cell r="L975" t="str">
            <v>Verify</v>
          </cell>
          <cell r="O975" t="str">
            <v>Verify</v>
          </cell>
          <cell r="Q975" t="str">
            <v>15|17</v>
          </cell>
        </row>
        <row r="976">
          <cell r="E976" t="str">
            <v>3. FIRE PROTECTION</v>
          </cell>
          <cell r="G976">
            <v>0</v>
          </cell>
          <cell r="H976">
            <v>0</v>
          </cell>
          <cell r="I976">
            <v>0</v>
          </cell>
          <cell r="J976">
            <v>0</v>
          </cell>
          <cell r="K976">
            <v>0</v>
          </cell>
          <cell r="L976">
            <v>0</v>
          </cell>
          <cell r="O976">
            <v>0</v>
          </cell>
          <cell r="Q976" t="str">
            <v>15|18</v>
          </cell>
        </row>
        <row r="977">
          <cell r="E977" t="str">
            <v>4. HVAC / COOLING</v>
          </cell>
          <cell r="G977" t="str">
            <v>4. HVAC / COOLING</v>
          </cell>
          <cell r="H977">
            <v>0</v>
          </cell>
          <cell r="I977">
            <v>0</v>
          </cell>
          <cell r="J977">
            <v>0</v>
          </cell>
          <cell r="K977">
            <v>0</v>
          </cell>
          <cell r="L977">
            <v>0</v>
          </cell>
          <cell r="O977">
            <v>0</v>
          </cell>
          <cell r="Q977" t="str">
            <v>15|19</v>
          </cell>
        </row>
        <row r="978">
          <cell r="E978" t="str">
            <v>4. HVAC / COOLING</v>
          </cell>
          <cell r="G978" t="str">
            <v>Room</v>
          </cell>
          <cell r="H978" t="str">
            <v>Dedicated Unit</v>
          </cell>
          <cell r="I978" t="str">
            <v>Capacity Verified</v>
          </cell>
          <cell r="J978" t="str">
            <v>Emergency Power</v>
          </cell>
          <cell r="K978" t="str">
            <v>Controls / BACnet</v>
          </cell>
          <cell r="L978" t="str">
            <v>Condensate Routed</v>
          </cell>
          <cell r="O978" t="str">
            <v>Overall</v>
          </cell>
          <cell r="Q978" t="str">
            <v>15|20</v>
          </cell>
        </row>
        <row r="979">
          <cell r="E979" t="str">
            <v>4. HVAC / COOLING</v>
          </cell>
          <cell r="G979" t="str">
            <v>124A</v>
          </cell>
          <cell r="H979" t="str">
            <v>IU-1-01 / CU-1-01</v>
          </cell>
          <cell r="I979" t="str">
            <v>Verify</v>
          </cell>
          <cell r="J979" t="str">
            <v>Verify</v>
          </cell>
          <cell r="K979" t="str">
            <v>Verify</v>
          </cell>
          <cell r="L979" t="str">
            <v>Verify</v>
          </cell>
          <cell r="O979" t="str">
            <v>Verify</v>
          </cell>
          <cell r="Q979" t="str">
            <v>15|21</v>
          </cell>
        </row>
        <row r="980">
          <cell r="E980" t="str">
            <v>4. HVAC / COOLING</v>
          </cell>
          <cell r="G980" t="str">
            <v>222</v>
          </cell>
          <cell r="H980" t="str">
            <v>Existing/remain indoor AC unit</v>
          </cell>
          <cell r="I980" t="str">
            <v>Verify</v>
          </cell>
          <cell r="J980" t="str">
            <v>Verify</v>
          </cell>
          <cell r="K980" t="str">
            <v>Verify</v>
          </cell>
          <cell r="L980" t="str">
            <v>Verify</v>
          </cell>
          <cell r="O980" t="str">
            <v>Verify</v>
          </cell>
          <cell r="Q980" t="str">
            <v>15|22</v>
          </cell>
        </row>
        <row r="981">
          <cell r="E981" t="str">
            <v>4. HVAC / COOLING</v>
          </cell>
          <cell r="G981" t="str">
            <v>B01</v>
          </cell>
          <cell r="H981" t="str">
            <v>Existing / Verify</v>
          </cell>
          <cell r="I981" t="str">
            <v>Verify</v>
          </cell>
          <cell r="J981" t="str">
            <v>Verify</v>
          </cell>
          <cell r="K981" t="str">
            <v>Verify</v>
          </cell>
          <cell r="L981" t="str">
            <v>Verify</v>
          </cell>
          <cell r="O981" t="str">
            <v>Verify</v>
          </cell>
          <cell r="Q981" t="str">
            <v>15|23</v>
          </cell>
        </row>
        <row r="982">
          <cell r="E982" t="str">
            <v>4. HVAC / COOLING</v>
          </cell>
          <cell r="G982">
            <v>0</v>
          </cell>
          <cell r="H982">
            <v>0</v>
          </cell>
          <cell r="I982">
            <v>0</v>
          </cell>
          <cell r="J982">
            <v>0</v>
          </cell>
          <cell r="K982">
            <v>0</v>
          </cell>
          <cell r="L982">
            <v>0</v>
          </cell>
          <cell r="O982">
            <v>0</v>
          </cell>
          <cell r="Q982" t="str">
            <v>15|24</v>
          </cell>
        </row>
        <row r="983">
          <cell r="E983" t="str">
            <v>5. ELECTRICAL / UPS</v>
          </cell>
          <cell r="G983" t="str">
            <v>5. ELECTRICAL / UPS</v>
          </cell>
          <cell r="H983">
            <v>0</v>
          </cell>
          <cell r="I983">
            <v>0</v>
          </cell>
          <cell r="J983">
            <v>0</v>
          </cell>
          <cell r="K983">
            <v>0</v>
          </cell>
          <cell r="L983">
            <v>0</v>
          </cell>
          <cell r="O983">
            <v>0</v>
          </cell>
          <cell r="Q983" t="str">
            <v>15|25</v>
          </cell>
        </row>
        <row r="984">
          <cell r="E984" t="str">
            <v>5. ELECTRICAL / UPS</v>
          </cell>
          <cell r="G984" t="str">
            <v>Room</v>
          </cell>
          <cell r="H984" t="str">
            <v>UPS Installed</v>
          </cell>
          <cell r="I984" t="str">
            <v>UPS Size</v>
          </cell>
          <cell r="J984" t="str">
            <v>PDU Installed</v>
          </cell>
          <cell r="K984" t="str">
            <v>Rack Receptacles</v>
          </cell>
          <cell r="L984" t="str">
            <v>Panel Assigned</v>
          </cell>
          <cell r="O984" t="str">
            <v>Overall</v>
          </cell>
          <cell r="Q984" t="str">
            <v>15|26</v>
          </cell>
        </row>
        <row r="985">
          <cell r="E985" t="str">
            <v>5. ELECTRICAL / UPS</v>
          </cell>
          <cell r="G985" t="str">
            <v>124A</v>
          </cell>
          <cell r="H985" t="str">
            <v>Verify</v>
          </cell>
          <cell r="I985" t="str">
            <v>5 kW / 240V rack UPS</v>
          </cell>
          <cell r="J985" t="str">
            <v>Verify</v>
          </cell>
          <cell r="K985" t="str">
            <v>Verify</v>
          </cell>
          <cell r="L985" t="str">
            <v>B15-TR124AA / B15-TR124AB</v>
          </cell>
          <cell r="O985" t="str">
            <v>Verify</v>
          </cell>
          <cell r="Q985" t="str">
            <v>15|27</v>
          </cell>
        </row>
        <row r="986">
          <cell r="E986" t="str">
            <v>5. ELECTRICAL / UPS</v>
          </cell>
          <cell r="G986" t="str">
            <v>222</v>
          </cell>
          <cell r="H986" t="str">
            <v>Existing</v>
          </cell>
          <cell r="I986" t="str">
            <v>Existing floor UPS</v>
          </cell>
          <cell r="J986" t="str">
            <v>Existing</v>
          </cell>
          <cell r="K986" t="str">
            <v>Verify</v>
          </cell>
          <cell r="L986" t="str">
            <v>Existing / Verify</v>
          </cell>
          <cell r="O986" t="str">
            <v>Verify</v>
          </cell>
          <cell r="Q986" t="str">
            <v>15|28</v>
          </cell>
        </row>
        <row r="987">
          <cell r="E987" t="str">
            <v>5. ELECTRICAL / UPS</v>
          </cell>
          <cell r="G987" t="str">
            <v>B01</v>
          </cell>
          <cell r="H987" t="str">
            <v>Existing / Verify</v>
          </cell>
          <cell r="I987" t="str">
            <v>Existing / Verify</v>
          </cell>
          <cell r="J987" t="str">
            <v>Existing / Verify</v>
          </cell>
          <cell r="K987" t="str">
            <v>Verify</v>
          </cell>
          <cell r="L987" t="str">
            <v>Existing / Verify</v>
          </cell>
          <cell r="O987" t="str">
            <v>Verify</v>
          </cell>
          <cell r="Q987" t="str">
            <v>15|29</v>
          </cell>
        </row>
        <row r="988">
          <cell r="E988" t="str">
            <v>5. ELECTRICAL / UPS</v>
          </cell>
          <cell r="G988">
            <v>0</v>
          </cell>
          <cell r="H988">
            <v>0</v>
          </cell>
          <cell r="I988">
            <v>0</v>
          </cell>
          <cell r="J988">
            <v>0</v>
          </cell>
          <cell r="K988">
            <v>0</v>
          </cell>
          <cell r="L988">
            <v>0</v>
          </cell>
          <cell r="O988">
            <v>0</v>
          </cell>
          <cell r="Q988" t="str">
            <v>15|30</v>
          </cell>
        </row>
        <row r="989">
          <cell r="E989" t="str">
            <v>6. TELECOMMUNICATIONS</v>
          </cell>
          <cell r="G989" t="str">
            <v>6. TELECOMMUNICATIONS</v>
          </cell>
          <cell r="H989">
            <v>0</v>
          </cell>
          <cell r="I989">
            <v>0</v>
          </cell>
          <cell r="J989">
            <v>0</v>
          </cell>
          <cell r="K989">
            <v>0</v>
          </cell>
          <cell r="L989">
            <v>0</v>
          </cell>
          <cell r="O989">
            <v>0</v>
          </cell>
          <cell r="Q989" t="str">
            <v>15|31</v>
          </cell>
        </row>
        <row r="990">
          <cell r="E990" t="str">
            <v>6. TELECOMMUNICATIONS</v>
          </cell>
          <cell r="G990" t="str">
            <v>Room</v>
          </cell>
          <cell r="H990" t="str">
            <v>Rack Installed</v>
          </cell>
          <cell r="I990" t="str">
            <v>Ladder Tray</v>
          </cell>
          <cell r="J990" t="str">
            <v>Fiber Installed</v>
          </cell>
          <cell r="K990" t="str">
            <v>Grounding</v>
          </cell>
          <cell r="L990" t="str">
            <v>Labeling</v>
          </cell>
          <cell r="O990" t="str">
            <v>Overall</v>
          </cell>
          <cell r="Q990" t="str">
            <v>15|32</v>
          </cell>
        </row>
        <row r="991">
          <cell r="E991" t="str">
            <v>6. TELECOMMUNICATIONS</v>
          </cell>
          <cell r="G991" t="str">
            <v>124A</v>
          </cell>
          <cell r="H991" t="str">
            <v>Verify</v>
          </cell>
          <cell r="I991" t="str">
            <v>Verify</v>
          </cell>
          <cell r="J991" t="str">
            <v>Verify</v>
          </cell>
          <cell r="K991" t="str">
            <v>Verify</v>
          </cell>
          <cell r="L991" t="str">
            <v>Verify</v>
          </cell>
          <cell r="O991" t="str">
            <v>Verify</v>
          </cell>
          <cell r="Q991" t="str">
            <v>15|33</v>
          </cell>
        </row>
        <row r="992">
          <cell r="E992" t="str">
            <v>6. TELECOMMUNICATIONS</v>
          </cell>
          <cell r="G992" t="str">
            <v>222</v>
          </cell>
          <cell r="H992" t="str">
            <v>Existing</v>
          </cell>
          <cell r="I992" t="str">
            <v>Existing</v>
          </cell>
          <cell r="J992" t="str">
            <v>Existing</v>
          </cell>
          <cell r="K992" t="str">
            <v>Verify</v>
          </cell>
          <cell r="L992" t="str">
            <v>Verify</v>
          </cell>
          <cell r="O992" t="str">
            <v>Verify</v>
          </cell>
          <cell r="Q992" t="str">
            <v>15|34</v>
          </cell>
        </row>
        <row r="993">
          <cell r="E993" t="str">
            <v>6. TELECOMMUNICATIONS</v>
          </cell>
          <cell r="G993" t="str">
            <v>B01</v>
          </cell>
          <cell r="H993" t="str">
            <v>Existing</v>
          </cell>
          <cell r="I993" t="str">
            <v>Existing</v>
          </cell>
          <cell r="J993" t="str">
            <v>Existing</v>
          </cell>
          <cell r="K993" t="str">
            <v>Verify</v>
          </cell>
          <cell r="L993" t="str">
            <v>Verify</v>
          </cell>
          <cell r="O993" t="str">
            <v>Verify</v>
          </cell>
          <cell r="Q993" t="str">
            <v>15|35</v>
          </cell>
        </row>
        <row r="994">
          <cell r="E994" t="str">
            <v>6. TELECOMMUNICATIONS</v>
          </cell>
          <cell r="G994">
            <v>0</v>
          </cell>
          <cell r="H994">
            <v>0</v>
          </cell>
          <cell r="I994">
            <v>0</v>
          </cell>
          <cell r="J994">
            <v>0</v>
          </cell>
          <cell r="K994">
            <v>0</v>
          </cell>
          <cell r="L994">
            <v>0</v>
          </cell>
          <cell r="O994">
            <v>0</v>
          </cell>
          <cell r="Q994" t="str">
            <v>15|36</v>
          </cell>
        </row>
        <row r="995">
          <cell r="E995" t="str">
            <v>7. SECURITY / PACS / CCTV</v>
          </cell>
          <cell r="G995" t="str">
            <v>7. SECURITY / PACS / CCTV</v>
          </cell>
          <cell r="H995">
            <v>0</v>
          </cell>
          <cell r="I995">
            <v>0</v>
          </cell>
          <cell r="J995">
            <v>0</v>
          </cell>
          <cell r="K995">
            <v>0</v>
          </cell>
          <cell r="L995">
            <v>0</v>
          </cell>
          <cell r="O995">
            <v>0</v>
          </cell>
          <cell r="Q995" t="str">
            <v>15|37</v>
          </cell>
        </row>
        <row r="996">
          <cell r="E996" t="str">
            <v>7. SECURITY / PACS / CCTV</v>
          </cell>
          <cell r="G996" t="str">
            <v>Room</v>
          </cell>
          <cell r="H996" t="str">
            <v>PACS</v>
          </cell>
          <cell r="I996" t="str">
            <v>Card Reader</v>
          </cell>
          <cell r="J996" t="str">
            <v>Door Position</v>
          </cell>
          <cell r="K996" t="str">
            <v>Electric Strike</v>
          </cell>
          <cell r="L996" t="str">
            <v>CCTV</v>
          </cell>
          <cell r="O996" t="str">
            <v>Overall</v>
          </cell>
          <cell r="Q996" t="str">
            <v>15|38</v>
          </cell>
        </row>
        <row r="997">
          <cell r="E997" t="str">
            <v>7. SECURITY / PACS / CCTV</v>
          </cell>
          <cell r="G997" t="str">
            <v>124A</v>
          </cell>
          <cell r="H997" t="str">
            <v>Verify</v>
          </cell>
          <cell r="I997" t="str">
            <v>Verify</v>
          </cell>
          <cell r="J997" t="str">
            <v>Verify</v>
          </cell>
          <cell r="K997" t="str">
            <v>Verify</v>
          </cell>
          <cell r="L997" t="str">
            <v>Verify</v>
          </cell>
          <cell r="O997" t="str">
            <v>Verify</v>
          </cell>
          <cell r="Q997" t="str">
            <v>15|39</v>
          </cell>
        </row>
        <row r="998">
          <cell r="E998" t="str">
            <v>7. SECURITY / PACS / CCTV</v>
          </cell>
          <cell r="G998" t="str">
            <v>222</v>
          </cell>
          <cell r="H998" t="str">
            <v>Verify</v>
          </cell>
          <cell r="I998" t="str">
            <v>Verify</v>
          </cell>
          <cell r="J998" t="str">
            <v>Verify</v>
          </cell>
          <cell r="K998" t="str">
            <v>Verify</v>
          </cell>
          <cell r="L998" t="str">
            <v>Verify</v>
          </cell>
          <cell r="O998" t="str">
            <v>Verify</v>
          </cell>
          <cell r="Q998" t="str">
            <v>15|40</v>
          </cell>
        </row>
        <row r="999">
          <cell r="E999" t="str">
            <v>7. SECURITY / PACS / CCTV</v>
          </cell>
          <cell r="G999" t="str">
            <v>B01</v>
          </cell>
          <cell r="H999" t="str">
            <v>Verify</v>
          </cell>
          <cell r="I999" t="str">
            <v>Verify</v>
          </cell>
          <cell r="J999" t="str">
            <v>Verify</v>
          </cell>
          <cell r="K999" t="str">
            <v>Verify</v>
          </cell>
          <cell r="L999" t="str">
            <v>Verify</v>
          </cell>
          <cell r="O999" t="str">
            <v>Verify</v>
          </cell>
          <cell r="Q999" t="str">
            <v>15|41</v>
          </cell>
        </row>
        <row r="1000">
          <cell r="E1000" t="str">
            <v>7. SECURITY / PACS / CCTV</v>
          </cell>
          <cell r="G1000">
            <v>0</v>
          </cell>
          <cell r="H1000">
            <v>0</v>
          </cell>
          <cell r="I1000">
            <v>0</v>
          </cell>
          <cell r="J1000">
            <v>0</v>
          </cell>
          <cell r="K1000">
            <v>0</v>
          </cell>
          <cell r="L1000">
            <v>0</v>
          </cell>
          <cell r="O1000">
            <v>0</v>
          </cell>
          <cell r="Q1000" t="str">
            <v>15|42</v>
          </cell>
        </row>
        <row r="1001">
          <cell r="E1001" t="str">
            <v>8. OWNER RISKS</v>
          </cell>
          <cell r="G1001" t="str">
            <v>8. OWNER RISKS</v>
          </cell>
          <cell r="H1001">
            <v>0</v>
          </cell>
          <cell r="I1001">
            <v>0</v>
          </cell>
          <cell r="J1001">
            <v>0</v>
          </cell>
          <cell r="K1001">
            <v>0</v>
          </cell>
          <cell r="L1001">
            <v>0</v>
          </cell>
          <cell r="O1001">
            <v>0</v>
          </cell>
          <cell r="Q1001" t="str">
            <v>15|43</v>
          </cell>
        </row>
        <row r="1002">
          <cell r="E1002" t="str">
            <v>8. OWNER RISKS</v>
          </cell>
          <cell r="G1002" t="str">
            <v>Risk ID</v>
          </cell>
          <cell r="H1002" t="str">
            <v>Room</v>
          </cell>
          <cell r="I1002" t="str">
            <v>Risk</v>
          </cell>
          <cell r="J1002" t="str">
            <v>Impact</v>
          </cell>
          <cell r="K1002" t="str">
            <v>Probability</v>
          </cell>
          <cell r="L1002" t="str">
            <v>Score</v>
          </cell>
          <cell r="O1002" t="str">
            <v>Status</v>
          </cell>
          <cell r="Q1002" t="str">
            <v>15|44</v>
          </cell>
        </row>
        <row r="1003">
          <cell r="E1003" t="str">
            <v>8. OWNER RISKS</v>
          </cell>
          <cell r="G1003" t="str">
            <v>B15-R1</v>
          </cell>
          <cell r="H1003" t="str">
            <v>All</v>
          </cell>
          <cell r="I1003" t="str">
            <v>Existing conditions for Room 124A and existing telecom rooms 222/B01 not field verified</v>
          </cell>
          <cell r="J1003" t="str">
            <v>High</v>
          </cell>
          <cell r="K1003" t="str">
            <v>Medium</v>
          </cell>
          <cell r="L1003">
            <v>6</v>
          </cell>
          <cell r="O1003" t="str">
            <v>Open</v>
          </cell>
          <cell r="Q1003" t="str">
            <v>15|45</v>
          </cell>
        </row>
        <row r="1004">
          <cell r="E1004" t="str">
            <v>8. OWNER RISKS</v>
          </cell>
          <cell r="G1004" t="str">
            <v>B15-R2</v>
          </cell>
          <cell r="H1004" t="str">
            <v>124A</v>
          </cell>
          <cell r="I1004" t="str">
            <v>First-level hazardous material abatement plan exists</v>
          </cell>
          <cell r="J1004" t="str">
            <v>High</v>
          </cell>
          <cell r="K1004" t="str">
            <v>Medium</v>
          </cell>
          <cell r="L1004">
            <v>6</v>
          </cell>
          <cell r="O1004" t="str">
            <v>Open</v>
          </cell>
          <cell r="Q1004" t="str">
            <v>15|46</v>
          </cell>
        </row>
        <row r="1005">
          <cell r="E1005" t="str">
            <v>8. OWNER RISKS</v>
          </cell>
          <cell r="G1005" t="str">
            <v>B15-R3</v>
          </cell>
          <cell r="H1005" t="str">
            <v>222/B01</v>
          </cell>
          <cell r="I1005" t="str">
            <v>Existing telecom equipment may remain active during cutover</v>
          </cell>
          <cell r="J1005" t="str">
            <v>Critical</v>
          </cell>
          <cell r="K1005" t="str">
            <v>Medium</v>
          </cell>
          <cell r="L1005">
            <v>8</v>
          </cell>
          <cell r="O1005" t="str">
            <v>Open</v>
          </cell>
          <cell r="Q1005" t="str">
            <v>15|47</v>
          </cell>
        </row>
        <row r="1006">
          <cell r="E1006" t="str">
            <v>8. OWNER RISKS</v>
          </cell>
          <cell r="G1006" t="str">
            <v>B15-R4</v>
          </cell>
          <cell r="H1006" t="str">
            <v>124A</v>
          </cell>
          <cell r="I1006" t="str">
            <v>Dedicated cooling emergency power, condensate, BACnet and alarms not verified</v>
          </cell>
          <cell r="J1006" t="str">
            <v>Critical</v>
          </cell>
          <cell r="K1006" t="str">
            <v>Medium</v>
          </cell>
          <cell r="L1006">
            <v>8</v>
          </cell>
          <cell r="O1006" t="str">
            <v>Open</v>
          </cell>
          <cell r="Q1006" t="str">
            <v>15|48</v>
          </cell>
        </row>
        <row r="1007">
          <cell r="E1007" t="str">
            <v>8. OWNER RISKS</v>
          </cell>
          <cell r="G1007" t="str">
            <v>B15-R5</v>
          </cell>
          <cell r="H1007" t="str">
            <v>124A</v>
          </cell>
          <cell r="I1007" t="str">
            <v>240V UPS/PDU and panel source coordination could delay energization</v>
          </cell>
          <cell r="J1007" t="str">
            <v>High</v>
          </cell>
          <cell r="K1007" t="str">
            <v>Medium</v>
          </cell>
          <cell r="L1007">
            <v>6</v>
          </cell>
          <cell r="O1007" t="str">
            <v>Open</v>
          </cell>
          <cell r="Q1007" t="str">
            <v>15|49</v>
          </cell>
        </row>
        <row r="1008">
          <cell r="E1008" t="str">
            <v>8. OWNER RISKS</v>
          </cell>
          <cell r="G1008" t="str">
            <v>B15-R6</v>
          </cell>
          <cell r="H1008" t="str">
            <v>124A</v>
          </cell>
          <cell r="I1008" t="str">
            <v>Rated wall/door/firestop scope may affect life-safety acceptance</v>
          </cell>
          <cell r="J1008" t="str">
            <v>High</v>
          </cell>
          <cell r="K1008" t="str">
            <v>Medium</v>
          </cell>
          <cell r="L1008">
            <v>6</v>
          </cell>
          <cell r="O1008" t="str">
            <v>Open</v>
          </cell>
          <cell r="Q1008" t="str">
            <v>15|50</v>
          </cell>
        </row>
        <row r="1009">
          <cell r="E1009" t="str">
            <v>8. OWNER RISKS</v>
          </cell>
          <cell r="G1009" t="str">
            <v>B15-R7</v>
          </cell>
          <cell r="H1009" t="str">
            <v>All</v>
          </cell>
          <cell r="I1009" t="str">
            <v>Telecom/fiber cutover could affect active hospital communications across basement, first and second levels</v>
          </cell>
          <cell r="J1009" t="str">
            <v>Critical</v>
          </cell>
          <cell r="K1009" t="str">
            <v>Medium</v>
          </cell>
          <cell r="L1009">
            <v>8</v>
          </cell>
          <cell r="O1009" t="str">
            <v>Open</v>
          </cell>
          <cell r="Q1009" t="str">
            <v>15|51</v>
          </cell>
        </row>
        <row r="1010">
          <cell r="E1010" t="str">
            <v>8. OWNER RISKS</v>
          </cell>
          <cell r="G1010" t="str">
            <v>B15-R8</v>
          </cell>
          <cell r="H1010" t="str">
            <v>All</v>
          </cell>
          <cell r="I1010" t="str">
            <v>Commissioning/third-party inspection reports may not be complete at turnover</v>
          </cell>
          <cell r="J1010" t="str">
            <v>High</v>
          </cell>
          <cell r="K1010" t="str">
            <v>Medium</v>
          </cell>
          <cell r="L1010">
            <v>6</v>
          </cell>
          <cell r="O1010" t="str">
            <v>Open</v>
          </cell>
          <cell r="Q1010" t="str">
            <v>15|52</v>
          </cell>
        </row>
        <row r="1011">
          <cell r="E1011" t="str">
            <v>8. OWNER RISKS</v>
          </cell>
          <cell r="G1011">
            <v>0</v>
          </cell>
          <cell r="H1011">
            <v>0</v>
          </cell>
          <cell r="I1011">
            <v>0</v>
          </cell>
          <cell r="J1011">
            <v>0</v>
          </cell>
          <cell r="K1011">
            <v>0</v>
          </cell>
          <cell r="L1011">
            <v>0</v>
          </cell>
          <cell r="O1011">
            <v>0</v>
          </cell>
          <cell r="Q1011" t="str">
            <v>15|53</v>
          </cell>
        </row>
        <row r="1012">
          <cell r="E1012" t="str">
            <v>9. OPEN QUESTIONS</v>
          </cell>
          <cell r="G1012" t="str">
            <v>9. OPEN QUESTIONS</v>
          </cell>
          <cell r="H1012">
            <v>0</v>
          </cell>
          <cell r="I1012">
            <v>0</v>
          </cell>
          <cell r="J1012">
            <v>0</v>
          </cell>
          <cell r="K1012">
            <v>0</v>
          </cell>
          <cell r="L1012">
            <v>0</v>
          </cell>
          <cell r="O1012">
            <v>0</v>
          </cell>
          <cell r="Q1012" t="str">
            <v>15|54</v>
          </cell>
        </row>
        <row r="1013">
          <cell r="E1013" t="str">
            <v>9. OPEN QUESTIONS</v>
          </cell>
          <cell r="G1013" t="str">
            <v>Question ID</v>
          </cell>
          <cell r="H1013" t="str">
            <v>Question</v>
          </cell>
          <cell r="I1013" t="str">
            <v>Assigned To</v>
          </cell>
          <cell r="J1013" t="str">
            <v>Status</v>
          </cell>
          <cell r="K1013" t="str">
            <v>Needed By</v>
          </cell>
          <cell r="L1013" t="str">
            <v>Answer / Resolution</v>
          </cell>
          <cell r="O1013" t="str">
            <v>Date Closed</v>
          </cell>
          <cell r="Q1013" t="str">
            <v>15|55</v>
          </cell>
        </row>
        <row r="1014">
          <cell r="E1014" t="str">
            <v>9. OPEN QUESTIONS</v>
          </cell>
          <cell r="G1014" t="str">
            <v>B15-Q1</v>
          </cell>
          <cell r="H1014" t="str">
            <v>Confirm final telecom scope: new Room 124A and existing Rooms 222/B01 transition only?</v>
          </cell>
          <cell r="I1014" t="str">
            <v>VA / OIT / Designer</v>
          </cell>
          <cell r="J1014" t="str">
            <v>Open</v>
          </cell>
          <cell r="K1014">
            <v>0</v>
          </cell>
          <cell r="L1014">
            <v>0</v>
          </cell>
          <cell r="O1014">
            <v>0</v>
          </cell>
          <cell r="Q1014" t="str">
            <v>15|56</v>
          </cell>
        </row>
        <row r="1015">
          <cell r="E1015" t="str">
            <v>9. OPEN QUESTIONS</v>
          </cell>
          <cell r="G1015" t="str">
            <v>B15-Q2</v>
          </cell>
          <cell r="H1015" t="str">
            <v>Why does 15T-701 reference RM 109A while plans and electrical schedules identify Telecom Room 124A?</v>
          </cell>
          <cell r="I1015" t="str">
            <v>VA / Designer / OIT</v>
          </cell>
          <cell r="J1015" t="str">
            <v>Open</v>
          </cell>
          <cell r="K1015">
            <v>0</v>
          </cell>
          <cell r="L1015">
            <v>0</v>
          </cell>
          <cell r="O1015">
            <v>0</v>
          </cell>
          <cell r="Q1015" t="str">
            <v>15|57</v>
          </cell>
        </row>
        <row r="1016">
          <cell r="E1016" t="str">
            <v>9. OPEN QUESTIONS</v>
          </cell>
          <cell r="G1016" t="str">
            <v>B15-Q3</v>
          </cell>
          <cell r="H1016" t="str">
            <v>What active services are currently fed from existing Room 222 and B01 equipment?</v>
          </cell>
          <cell r="I1016" t="str">
            <v>OIT / Contractor</v>
          </cell>
          <cell r="J1016" t="str">
            <v>Open</v>
          </cell>
          <cell r="K1016">
            <v>0</v>
          </cell>
          <cell r="L1016">
            <v>0</v>
          </cell>
          <cell r="O1016">
            <v>0</v>
          </cell>
          <cell r="Q1016" t="str">
            <v>15|58</v>
          </cell>
        </row>
        <row r="1017">
          <cell r="E1017" t="str">
            <v>9. OPEN QUESTIONS</v>
          </cell>
          <cell r="G1017" t="str">
            <v>B15-Q4</v>
          </cell>
          <cell r="H1017" t="str">
            <v>What hazardous/abatement steps apply to first-level Room 124A work?</v>
          </cell>
          <cell r="I1017" t="str">
            <v>GC / IH / COR</v>
          </cell>
          <cell r="J1017" t="str">
            <v>Open</v>
          </cell>
          <cell r="K1017">
            <v>0</v>
          </cell>
          <cell r="L1017">
            <v>0</v>
          </cell>
          <cell r="O1017">
            <v>0</v>
          </cell>
          <cell r="Q1017" t="str">
            <v>15|59</v>
          </cell>
        </row>
        <row r="1018">
          <cell r="E1018" t="str">
            <v>9. OPEN QUESTIONS</v>
          </cell>
          <cell r="G1018" t="str">
            <v>B15-Q5</v>
          </cell>
          <cell r="H1018" t="str">
            <v>Is IU-1-01/CU-1-01 on emergency/backup power and dedicated to Room 124A?</v>
          </cell>
          <cell r="I1018" t="str">
            <v>Mechanical / Electrical / VA</v>
          </cell>
          <cell r="J1018" t="str">
            <v>Open</v>
          </cell>
          <cell r="K1018">
            <v>0</v>
          </cell>
          <cell r="L1018">
            <v>0</v>
          </cell>
          <cell r="O1018">
            <v>0</v>
          </cell>
          <cell r="Q1018" t="str">
            <v>15|60</v>
          </cell>
        </row>
        <row r="1019">
          <cell r="E1019" t="str">
            <v>9. OPEN QUESTIONS</v>
          </cell>
          <cell r="G1019" t="str">
            <v>B15-Q6</v>
          </cell>
          <cell r="H1019" t="str">
            <v>Where is the clean-agent/CO2 extinguisher cabinet located within 75 ft of Room 124A?</v>
          </cell>
          <cell r="I1019" t="str">
            <v>GC / COR</v>
          </cell>
          <cell r="J1019" t="str">
            <v>Open</v>
          </cell>
          <cell r="K1019">
            <v>0</v>
          </cell>
          <cell r="L1019">
            <v>0</v>
          </cell>
          <cell r="O1019">
            <v>0</v>
          </cell>
          <cell r="Q1019" t="str">
            <v>15|61</v>
          </cell>
        </row>
        <row r="1020">
          <cell r="E1020" t="str">
            <v>9. OPEN QUESTIONS</v>
          </cell>
          <cell r="G1020" t="str">
            <v>B15-Q7</v>
          </cell>
          <cell r="H1020" t="str">
            <v>Are B15-TR124AA/AB sources, rack receptacles, SPDs, circuit labels and load measurements approved?</v>
          </cell>
          <cell r="I1020" t="str">
            <v>Electrical / Designer</v>
          </cell>
          <cell r="J1020" t="str">
            <v>Open</v>
          </cell>
          <cell r="K1020">
            <v>0</v>
          </cell>
          <cell r="L1020">
            <v>0</v>
          </cell>
          <cell r="O1020">
            <v>0</v>
          </cell>
          <cell r="Q1020" t="str">
            <v>15|62</v>
          </cell>
        </row>
        <row r="1021">
          <cell r="E1021" t="str">
            <v>9. OPEN QUESTIONS</v>
          </cell>
          <cell r="G1021" t="str">
            <v>B15-Q8</v>
          </cell>
          <cell r="H1021" t="str">
            <v>Are all rated wall/floor penetrations, sleeves, cable tray entries and firestopping details identified?</v>
          </cell>
          <cell r="I1021" t="str">
            <v>GC / Firestop</v>
          </cell>
          <cell r="J1021" t="str">
            <v>Open</v>
          </cell>
          <cell r="K1021">
            <v>0</v>
          </cell>
          <cell r="L1021">
            <v>0</v>
          </cell>
          <cell r="O1021">
            <v>0</v>
          </cell>
          <cell r="Q1021" t="str">
            <v>15|63</v>
          </cell>
        </row>
        <row r="1022">
          <cell r="E1022" t="str">
            <v>9. OPEN QUESTIONS</v>
          </cell>
          <cell r="G1022">
            <v>0</v>
          </cell>
          <cell r="H1022">
            <v>0</v>
          </cell>
          <cell r="I1022">
            <v>0</v>
          </cell>
          <cell r="J1022">
            <v>0</v>
          </cell>
          <cell r="K1022">
            <v>0</v>
          </cell>
          <cell r="L1022">
            <v>0</v>
          </cell>
          <cell r="O1022">
            <v>0</v>
          </cell>
          <cell r="Q1022" t="str">
            <v>15|64</v>
          </cell>
        </row>
        <row r="1023">
          <cell r="E1023" t="str">
            <v>10. PHOTO LOG</v>
          </cell>
          <cell r="G1023" t="str">
            <v>10. PHOTO LOG</v>
          </cell>
          <cell r="H1023">
            <v>0</v>
          </cell>
          <cell r="I1023">
            <v>0</v>
          </cell>
          <cell r="J1023">
            <v>0</v>
          </cell>
          <cell r="K1023">
            <v>0</v>
          </cell>
          <cell r="L1023">
            <v>0</v>
          </cell>
          <cell r="O1023">
            <v>0</v>
          </cell>
          <cell r="Q1023" t="str">
            <v>15|65</v>
          </cell>
        </row>
        <row r="1024">
          <cell r="E1024" t="str">
            <v>10. PHOTO LOG</v>
          </cell>
          <cell r="G1024" t="str">
            <v>Photo ID</v>
          </cell>
          <cell r="H1024" t="str">
            <v>Room</v>
          </cell>
          <cell r="I1024" t="str">
            <v>Category</v>
          </cell>
          <cell r="J1024" t="str">
            <v>Description</v>
          </cell>
          <cell r="K1024" t="str">
            <v>Date</v>
          </cell>
          <cell r="L1024" t="str">
            <v>Taken By</v>
          </cell>
          <cell r="O1024" t="str">
            <v>Status</v>
          </cell>
          <cell r="Q1024" t="str">
            <v>15|66</v>
          </cell>
        </row>
        <row r="1025">
          <cell r="E1025" t="str">
            <v>10. PHOTO LOG</v>
          </cell>
          <cell r="G1025" t="str">
            <v>B15-P001</v>
          </cell>
          <cell r="H1025" t="str">
            <v>124A</v>
          </cell>
          <cell r="I1025" t="str">
            <v>Existing Condition</v>
          </cell>
          <cell r="J1025" t="str">
            <v>Room 124A walls, ceiling/deck, floor, door, adjacent Office 124/Office 109/HAC 123, rack location, pathways and penetrations</v>
          </cell>
          <cell r="K1025">
            <v>0</v>
          </cell>
          <cell r="L1025" t="str">
            <v>Paul</v>
          </cell>
          <cell r="O1025" t="str">
            <v>Open</v>
          </cell>
          <cell r="Q1025" t="str">
            <v>15|67</v>
          </cell>
        </row>
        <row r="1026">
          <cell r="E1026" t="str">
            <v>10. PHOTO LOG</v>
          </cell>
          <cell r="G1026" t="str">
            <v>B15-P002</v>
          </cell>
          <cell r="H1026" t="str">
            <v>222</v>
          </cell>
          <cell r="I1026" t="str">
            <v>Existing Condition</v>
          </cell>
          <cell r="J1026" t="str">
            <v>Existing Tel Room 222 wall rack, Cisco switches, legacy patch panels, indoor AC unit, security cabinet, ground bar, plywood backboard and floor UPS</v>
          </cell>
          <cell r="K1026">
            <v>0</v>
          </cell>
          <cell r="L1026" t="str">
            <v>Paul</v>
          </cell>
          <cell r="O1026" t="str">
            <v>Open</v>
          </cell>
          <cell r="Q1026" t="str">
            <v>15|68</v>
          </cell>
        </row>
        <row r="1027">
          <cell r="E1027" t="str">
            <v>10. PHOTO LOG</v>
          </cell>
          <cell r="G1027" t="str">
            <v>B15-P003</v>
          </cell>
          <cell r="H1027" t="str">
            <v>B01</v>
          </cell>
          <cell r="I1027" t="str">
            <v>Existing Condition</v>
          </cell>
          <cell r="J1027" t="str">
            <v>Existing basement telecom/crossover B01, legacy 24-port patch panel, pathway, power and protection-in-place needs</v>
          </cell>
          <cell r="K1027">
            <v>0</v>
          </cell>
          <cell r="L1027" t="str">
            <v>Paul</v>
          </cell>
          <cell r="O1027" t="str">
            <v>Open</v>
          </cell>
          <cell r="Q1027" t="str">
            <v>15|69</v>
          </cell>
        </row>
        <row r="1028">
          <cell r="E1028" t="str">
            <v>10. PHOTO LOG</v>
          </cell>
          <cell r="G1028" t="str">
            <v>B15-P004</v>
          </cell>
          <cell r="H1028" t="str">
            <v>124A</v>
          </cell>
          <cell r="I1028" t="str">
            <v>Hazardous Materials</v>
          </cell>
          <cell r="J1028" t="str">
            <v>First-level abatement-related materials, lead-based paint/door frames, flooring, walls, ceiling/penetrations, and disturbance areas</v>
          </cell>
          <cell r="K1028">
            <v>0</v>
          </cell>
          <cell r="L1028" t="str">
            <v>Paul</v>
          </cell>
          <cell r="O1028" t="str">
            <v>Open</v>
          </cell>
          <cell r="Q1028" t="str">
            <v>15|70</v>
          </cell>
        </row>
        <row r="1029">
          <cell r="E1029" t="str">
            <v>10. PHOTO LOG</v>
          </cell>
          <cell r="G1029" t="str">
            <v>B15-P005</v>
          </cell>
          <cell r="H1029" t="str">
            <v>124A</v>
          </cell>
          <cell r="I1029" t="str">
            <v>Firestop</v>
          </cell>
          <cell r="J1029" t="str">
            <v>All wall/floor/sleeve/tray penetrations before and after firestop</v>
          </cell>
          <cell r="K1029">
            <v>0</v>
          </cell>
          <cell r="L1029" t="str">
            <v>Paul</v>
          </cell>
          <cell r="O1029" t="str">
            <v>Open</v>
          </cell>
          <cell r="Q1029" t="str">
            <v>15|71</v>
          </cell>
        </row>
        <row r="1030">
          <cell r="E1030" t="str">
            <v>10. PHOTO LOG</v>
          </cell>
          <cell r="G1030" t="str">
            <v>B15-P006</v>
          </cell>
          <cell r="H1030" t="str">
            <v>124A</v>
          </cell>
          <cell r="I1030" t="str">
            <v>HVAC</v>
          </cell>
          <cell r="J1030" t="str">
            <v>IU-1-01/CU-1-01, condensate, thermostat, BACnet adapter, disconnects, high-temp alarm and power source</v>
          </cell>
          <cell r="K1030">
            <v>0</v>
          </cell>
          <cell r="L1030" t="str">
            <v>Paul</v>
          </cell>
          <cell r="O1030" t="str">
            <v>Open</v>
          </cell>
          <cell r="Q1030" t="str">
            <v>15|72</v>
          </cell>
        </row>
        <row r="1031">
          <cell r="E1031" t="str">
            <v>10. PHOTO LOG</v>
          </cell>
          <cell r="G1031" t="str">
            <v>B15-P007</v>
          </cell>
          <cell r="H1031" t="str">
            <v>124A</v>
          </cell>
          <cell r="I1031" t="str">
            <v>Electrical</v>
          </cell>
          <cell r="J1031" t="str">
            <v>B15-TR124AA/AB panels, rack receptacles, breakers, SPD, access controller, lighting, CU-1-01 and labels</v>
          </cell>
          <cell r="K1031">
            <v>0</v>
          </cell>
          <cell r="L1031" t="str">
            <v>Paul</v>
          </cell>
          <cell r="O1031" t="str">
            <v>Open</v>
          </cell>
          <cell r="Q1031" t="str">
            <v>15|73</v>
          </cell>
        </row>
        <row r="1032">
          <cell r="E1032" t="str">
            <v>10. PHOTO LOG</v>
          </cell>
          <cell r="G1032" t="str">
            <v>B15-P008</v>
          </cell>
          <cell r="H1032" t="str">
            <v>124A/222/B01</v>
          </cell>
          <cell r="I1032" t="str">
            <v>Telecom/Security</v>
          </cell>
          <cell r="J1032" t="str">
            <v>New rack/future rack, fiber path A/B, Cat6A, patch panels, LIU, labels/test records, 124A-CAM-1 and existing 222/B01 transfer work</v>
          </cell>
          <cell r="K1032">
            <v>0</v>
          </cell>
          <cell r="L1032" t="str">
            <v>Paul</v>
          </cell>
          <cell r="O1032" t="str">
            <v>Open</v>
          </cell>
          <cell r="Q1032" t="str">
            <v>15|74</v>
          </cell>
        </row>
        <row r="1033">
          <cell r="E1033" t="str">
            <v>10. PHOTO LOG</v>
          </cell>
          <cell r="G1033">
            <v>0</v>
          </cell>
          <cell r="H1033">
            <v>0</v>
          </cell>
          <cell r="I1033">
            <v>0</v>
          </cell>
          <cell r="J1033">
            <v>0</v>
          </cell>
          <cell r="K1033">
            <v>0</v>
          </cell>
          <cell r="L1033">
            <v>0</v>
          </cell>
          <cell r="O1033">
            <v>0</v>
          </cell>
          <cell r="Q1033" t="str">
            <v>15|75</v>
          </cell>
        </row>
        <row r="1034">
          <cell r="E1034" t="str">
            <v>1. ROOM INVENTORY</v>
          </cell>
          <cell r="G1034" t="str">
            <v>1. ROOM INVENTORY</v>
          </cell>
          <cell r="H1034">
            <v>0</v>
          </cell>
          <cell r="I1034">
            <v>0</v>
          </cell>
          <cell r="J1034">
            <v>0</v>
          </cell>
          <cell r="K1034">
            <v>0</v>
          </cell>
          <cell r="L1034">
            <v>0</v>
          </cell>
          <cell r="O1034">
            <v>0</v>
          </cell>
          <cell r="Q1034" t="str">
            <v>16|1</v>
          </cell>
        </row>
        <row r="1035">
          <cell r="E1035" t="str">
            <v>1. ROOM INVENTORY</v>
          </cell>
          <cell r="G1035" t="str">
            <v>Building</v>
          </cell>
          <cell r="H1035" t="str">
            <v>Room</v>
          </cell>
          <cell r="I1035" t="str">
            <v>Floor</v>
          </cell>
          <cell r="J1035" t="str">
            <v>Existing Use</v>
          </cell>
          <cell r="K1035" t="str">
            <v>New Use</v>
          </cell>
          <cell r="L1035" t="str">
            <v>Rack Count</v>
          </cell>
          <cell r="O1035" t="str">
            <v>Drawing Ref</v>
          </cell>
          <cell r="Q1035" t="str">
            <v>16|2</v>
          </cell>
        </row>
        <row r="1036">
          <cell r="E1036" t="str">
            <v>1. ROOM INVENTORY</v>
          </cell>
          <cell r="G1036" t="str">
            <v>16</v>
          </cell>
          <cell r="H1036" t="str">
            <v>015</v>
          </cell>
          <cell r="I1036" t="str">
            <v>Basement</v>
          </cell>
          <cell r="J1036" t="str">
            <v>Vacant / new telecom room build area</v>
          </cell>
          <cell r="K1036" t="str">
            <v>Telecom Room</v>
          </cell>
          <cell r="L1036">
            <v>1</v>
          </cell>
          <cell r="O1036" t="str">
            <v>16A-400 / 16E-100 / 16T-100 / 16T-604 / 16T-701</v>
          </cell>
          <cell r="Q1036" t="str">
            <v>16|3</v>
          </cell>
        </row>
        <row r="1037">
          <cell r="E1037" t="str">
            <v>1. ROOM INVENTORY</v>
          </cell>
          <cell r="G1037" t="str">
            <v>16</v>
          </cell>
          <cell r="H1037" t="str">
            <v>014</v>
          </cell>
          <cell r="I1037" t="str">
            <v>Basement</v>
          </cell>
          <cell r="J1037" t="str">
            <v>Existing telecom room / stair-adjacent legacy equipment area</v>
          </cell>
          <cell r="K1037" t="str">
            <v>Existing telecom transition point</v>
          </cell>
          <cell r="L1037">
            <v>1</v>
          </cell>
          <cell r="O1037" t="str">
            <v>16T-100 / 16T-604 / 16R-900</v>
          </cell>
          <cell r="Q1037" t="str">
            <v>16|4</v>
          </cell>
        </row>
        <row r="1038">
          <cell r="E1038" t="str">
            <v>1. ROOM INVENTORY</v>
          </cell>
          <cell r="G1038">
            <v>0</v>
          </cell>
          <cell r="H1038">
            <v>0</v>
          </cell>
          <cell r="I1038">
            <v>0</v>
          </cell>
          <cell r="J1038">
            <v>0</v>
          </cell>
          <cell r="K1038">
            <v>0</v>
          </cell>
          <cell r="L1038">
            <v>0</v>
          </cell>
          <cell r="O1038">
            <v>0</v>
          </cell>
          <cell r="Q1038" t="str">
            <v>16|5</v>
          </cell>
        </row>
        <row r="1039">
          <cell r="E1039" t="str">
            <v>2. ROOM READINESS</v>
          </cell>
          <cell r="G1039" t="str">
            <v>2. ROOM READINESS</v>
          </cell>
          <cell r="H1039">
            <v>0</v>
          </cell>
          <cell r="I1039">
            <v>0</v>
          </cell>
          <cell r="J1039">
            <v>0</v>
          </cell>
          <cell r="K1039">
            <v>0</v>
          </cell>
          <cell r="L1039">
            <v>0</v>
          </cell>
          <cell r="O1039">
            <v>0</v>
          </cell>
          <cell r="Q1039" t="str">
            <v>16|6</v>
          </cell>
        </row>
        <row r="1040">
          <cell r="E1040" t="str">
            <v>2. ROOM READINESS</v>
          </cell>
          <cell r="G1040" t="str">
            <v>Room</v>
          </cell>
          <cell r="H1040" t="str">
            <v>Walls / 1-hr Rating</v>
          </cell>
          <cell r="I1040" t="str">
            <v>Ceiling</v>
          </cell>
          <cell r="J1040" t="str">
            <v>Floor / SDC</v>
          </cell>
          <cell r="K1040" t="str">
            <v>Penetrations</v>
          </cell>
          <cell r="L1040" t="str">
            <v>Access Control</v>
          </cell>
          <cell r="O1040" t="str">
            <v>Overall</v>
          </cell>
          <cell r="Q1040" t="str">
            <v>16|7</v>
          </cell>
        </row>
        <row r="1041">
          <cell r="E1041" t="str">
            <v>2. ROOM READINESS</v>
          </cell>
          <cell r="G1041" t="str">
            <v>015</v>
          </cell>
          <cell r="H1041" t="str">
            <v>Verify</v>
          </cell>
          <cell r="I1041" t="str">
            <v>Verify</v>
          </cell>
          <cell r="J1041" t="str">
            <v>Verify</v>
          </cell>
          <cell r="K1041" t="str">
            <v>Verify</v>
          </cell>
          <cell r="L1041" t="str">
            <v>Verify</v>
          </cell>
          <cell r="O1041" t="str">
            <v>Verify</v>
          </cell>
          <cell r="Q1041" t="str">
            <v>16|8</v>
          </cell>
        </row>
        <row r="1042">
          <cell r="E1042" t="str">
            <v>2. ROOM READINESS</v>
          </cell>
          <cell r="G1042" t="str">
            <v>014</v>
          </cell>
          <cell r="H1042" t="str">
            <v>Existing / Verify</v>
          </cell>
          <cell r="I1042" t="str">
            <v>Existing / Verify</v>
          </cell>
          <cell r="J1042" t="str">
            <v>Existing / Verify</v>
          </cell>
          <cell r="K1042" t="str">
            <v>Verify</v>
          </cell>
          <cell r="L1042" t="str">
            <v>Verify</v>
          </cell>
          <cell r="O1042" t="str">
            <v>Verify</v>
          </cell>
          <cell r="Q1042" t="str">
            <v>16|9</v>
          </cell>
        </row>
        <row r="1043">
          <cell r="E1043" t="str">
            <v>2. ROOM READINESS</v>
          </cell>
          <cell r="G1043">
            <v>0</v>
          </cell>
          <cell r="H1043">
            <v>0</v>
          </cell>
          <cell r="I1043">
            <v>0</v>
          </cell>
          <cell r="J1043">
            <v>0</v>
          </cell>
          <cell r="K1043">
            <v>0</v>
          </cell>
          <cell r="L1043">
            <v>0</v>
          </cell>
          <cell r="O1043">
            <v>0</v>
          </cell>
          <cell r="Q1043" t="str">
            <v>16|10</v>
          </cell>
        </row>
        <row r="1044">
          <cell r="E1044" t="str">
            <v>3. FIRE PROTECTION</v>
          </cell>
          <cell r="G1044" t="str">
            <v>3. FIRE PROTECTION</v>
          </cell>
          <cell r="H1044">
            <v>0</v>
          </cell>
          <cell r="I1044">
            <v>0</v>
          </cell>
          <cell r="J1044">
            <v>0</v>
          </cell>
          <cell r="K1044">
            <v>0</v>
          </cell>
          <cell r="L1044">
            <v>0</v>
          </cell>
          <cell r="O1044">
            <v>0</v>
          </cell>
          <cell r="Q1044" t="str">
            <v>16|11</v>
          </cell>
        </row>
        <row r="1045">
          <cell r="E1045" t="str">
            <v>3. FIRE PROTECTION</v>
          </cell>
          <cell r="G1045" t="str">
            <v>Room</v>
          </cell>
          <cell r="H1045" t="str">
            <v>Sprinkler</v>
          </cell>
          <cell r="I1045" t="str">
            <v>Cage</v>
          </cell>
          <cell r="J1045" t="str">
            <v>Detector</v>
          </cell>
          <cell r="K1045" t="str">
            <v>Horn/Strobe</v>
          </cell>
          <cell r="L1045" t="str">
            <v>Extinguisher &lt;75 ft</v>
          </cell>
          <cell r="O1045" t="str">
            <v>Overall</v>
          </cell>
          <cell r="Q1045" t="str">
            <v>16|12</v>
          </cell>
        </row>
        <row r="1046">
          <cell r="E1046" t="str">
            <v>3. FIRE PROTECTION</v>
          </cell>
          <cell r="G1046" t="str">
            <v>015</v>
          </cell>
          <cell r="H1046" t="str">
            <v>Verify</v>
          </cell>
          <cell r="I1046" t="str">
            <v>Verify</v>
          </cell>
          <cell r="J1046" t="str">
            <v>Verify</v>
          </cell>
          <cell r="K1046" t="str">
            <v>Verify</v>
          </cell>
          <cell r="L1046" t="str">
            <v>Verify</v>
          </cell>
          <cell r="O1046" t="str">
            <v>Verify</v>
          </cell>
          <cell r="Q1046" t="str">
            <v>16|13</v>
          </cell>
        </row>
        <row r="1047">
          <cell r="E1047" t="str">
            <v>3. FIRE PROTECTION</v>
          </cell>
          <cell r="G1047" t="str">
            <v>014</v>
          </cell>
          <cell r="H1047" t="str">
            <v>Verify</v>
          </cell>
          <cell r="I1047" t="str">
            <v>N/A</v>
          </cell>
          <cell r="J1047" t="str">
            <v>Verify</v>
          </cell>
          <cell r="K1047" t="str">
            <v>Verify</v>
          </cell>
          <cell r="L1047" t="str">
            <v>Verify</v>
          </cell>
          <cell r="O1047" t="str">
            <v>Verify</v>
          </cell>
          <cell r="Q1047" t="str">
            <v>16|14</v>
          </cell>
        </row>
        <row r="1048">
          <cell r="E1048" t="str">
            <v>3. FIRE PROTECTION</v>
          </cell>
          <cell r="G1048">
            <v>0</v>
          </cell>
          <cell r="H1048">
            <v>0</v>
          </cell>
          <cell r="I1048">
            <v>0</v>
          </cell>
          <cell r="J1048">
            <v>0</v>
          </cell>
          <cell r="K1048">
            <v>0</v>
          </cell>
          <cell r="L1048">
            <v>0</v>
          </cell>
          <cell r="O1048">
            <v>0</v>
          </cell>
          <cell r="Q1048" t="str">
            <v>16|15</v>
          </cell>
        </row>
        <row r="1049">
          <cell r="E1049" t="str">
            <v>4. HVAC / COOLING</v>
          </cell>
          <cell r="G1049" t="str">
            <v>4. HVAC / COOLING</v>
          </cell>
          <cell r="H1049">
            <v>0</v>
          </cell>
          <cell r="I1049">
            <v>0</v>
          </cell>
          <cell r="J1049">
            <v>0</v>
          </cell>
          <cell r="K1049">
            <v>0</v>
          </cell>
          <cell r="L1049">
            <v>0</v>
          </cell>
          <cell r="O1049">
            <v>0</v>
          </cell>
          <cell r="Q1049" t="str">
            <v>16|16</v>
          </cell>
        </row>
        <row r="1050">
          <cell r="E1050" t="str">
            <v>4. HVAC / COOLING</v>
          </cell>
          <cell r="G1050" t="str">
            <v>Room</v>
          </cell>
          <cell r="H1050" t="str">
            <v>Dedicated Unit</v>
          </cell>
          <cell r="I1050" t="str">
            <v>Capacity Verified</v>
          </cell>
          <cell r="J1050" t="str">
            <v>Emergency Power</v>
          </cell>
          <cell r="K1050" t="str">
            <v>Controls / BACnet</v>
          </cell>
          <cell r="L1050" t="str">
            <v>Condensate Routed</v>
          </cell>
          <cell r="O1050" t="str">
            <v>Overall</v>
          </cell>
          <cell r="Q1050" t="str">
            <v>16|17</v>
          </cell>
        </row>
        <row r="1051">
          <cell r="E1051" t="str">
            <v>4. HVAC / COOLING</v>
          </cell>
          <cell r="G1051" t="str">
            <v>015</v>
          </cell>
          <cell r="H1051" t="str">
            <v>IU-1-01 / CU-1-01</v>
          </cell>
          <cell r="I1051" t="str">
            <v>Verify</v>
          </cell>
          <cell r="J1051" t="str">
            <v>Verify</v>
          </cell>
          <cell r="K1051" t="str">
            <v>Verify</v>
          </cell>
          <cell r="L1051" t="str">
            <v>Verify</v>
          </cell>
          <cell r="O1051" t="str">
            <v>Verify</v>
          </cell>
          <cell r="Q1051" t="str">
            <v>16|18</v>
          </cell>
        </row>
        <row r="1052">
          <cell r="E1052" t="str">
            <v>4. HVAC / COOLING</v>
          </cell>
          <cell r="G1052" t="str">
            <v>014</v>
          </cell>
          <cell r="H1052" t="str">
            <v>Existing / Verify</v>
          </cell>
          <cell r="I1052" t="str">
            <v>Verify</v>
          </cell>
          <cell r="J1052" t="str">
            <v>Verify</v>
          </cell>
          <cell r="K1052" t="str">
            <v>Verify</v>
          </cell>
          <cell r="L1052" t="str">
            <v>Verify</v>
          </cell>
          <cell r="O1052" t="str">
            <v>Verify</v>
          </cell>
          <cell r="Q1052" t="str">
            <v>16|19</v>
          </cell>
        </row>
        <row r="1053">
          <cell r="E1053" t="str">
            <v>4. HVAC / COOLING</v>
          </cell>
          <cell r="G1053">
            <v>0</v>
          </cell>
          <cell r="H1053">
            <v>0</v>
          </cell>
          <cell r="I1053">
            <v>0</v>
          </cell>
          <cell r="J1053">
            <v>0</v>
          </cell>
          <cell r="K1053">
            <v>0</v>
          </cell>
          <cell r="L1053">
            <v>0</v>
          </cell>
          <cell r="O1053">
            <v>0</v>
          </cell>
          <cell r="Q1053" t="str">
            <v>16|20</v>
          </cell>
        </row>
        <row r="1054">
          <cell r="E1054" t="str">
            <v>5. ELECTRICAL / UPS</v>
          </cell>
          <cell r="G1054" t="str">
            <v>5. ELECTRICAL / UPS</v>
          </cell>
          <cell r="H1054">
            <v>0</v>
          </cell>
          <cell r="I1054">
            <v>0</v>
          </cell>
          <cell r="J1054">
            <v>0</v>
          </cell>
          <cell r="K1054">
            <v>0</v>
          </cell>
          <cell r="L1054">
            <v>0</v>
          </cell>
          <cell r="O1054">
            <v>0</v>
          </cell>
          <cell r="Q1054" t="str">
            <v>16|21</v>
          </cell>
        </row>
        <row r="1055">
          <cell r="E1055" t="str">
            <v>5. ELECTRICAL / UPS</v>
          </cell>
          <cell r="G1055" t="str">
            <v>Room</v>
          </cell>
          <cell r="H1055" t="str">
            <v>UPS Installed</v>
          </cell>
          <cell r="I1055" t="str">
            <v>UPS Size</v>
          </cell>
          <cell r="J1055" t="str">
            <v>PDU Installed</v>
          </cell>
          <cell r="K1055" t="str">
            <v>Rack Receptacles</v>
          </cell>
          <cell r="L1055" t="str">
            <v>Panel Assigned</v>
          </cell>
          <cell r="O1055" t="str">
            <v>Overall</v>
          </cell>
          <cell r="Q1055" t="str">
            <v>16|22</v>
          </cell>
        </row>
        <row r="1056">
          <cell r="E1056" t="str">
            <v>5. ELECTRICAL / UPS</v>
          </cell>
          <cell r="G1056" t="str">
            <v>015</v>
          </cell>
          <cell r="H1056" t="str">
            <v>Verify</v>
          </cell>
          <cell r="I1056" t="str">
            <v>5 kW / 240V rack UPS</v>
          </cell>
          <cell r="J1056" t="str">
            <v>Verify</v>
          </cell>
          <cell r="K1056" t="str">
            <v>Verify</v>
          </cell>
          <cell r="L1056" t="str">
            <v>B16-TR015A / B16-TR015B</v>
          </cell>
          <cell r="O1056" t="str">
            <v>Verify</v>
          </cell>
          <cell r="Q1056" t="str">
            <v>16|23</v>
          </cell>
        </row>
        <row r="1057">
          <cell r="E1057" t="str">
            <v>5. ELECTRICAL / UPS</v>
          </cell>
          <cell r="G1057" t="str">
            <v>014</v>
          </cell>
          <cell r="H1057" t="str">
            <v>Existing</v>
          </cell>
          <cell r="I1057" t="str">
            <v>Existing floor UPS</v>
          </cell>
          <cell r="J1057" t="str">
            <v>Existing</v>
          </cell>
          <cell r="K1057" t="str">
            <v>Verify</v>
          </cell>
          <cell r="L1057" t="str">
            <v>Existing / Verify</v>
          </cell>
          <cell r="O1057" t="str">
            <v>Verify</v>
          </cell>
          <cell r="Q1057" t="str">
            <v>16|24</v>
          </cell>
        </row>
        <row r="1058">
          <cell r="E1058" t="str">
            <v>5. ELECTRICAL / UPS</v>
          </cell>
          <cell r="G1058">
            <v>0</v>
          </cell>
          <cell r="H1058">
            <v>0</v>
          </cell>
          <cell r="I1058">
            <v>0</v>
          </cell>
          <cell r="J1058">
            <v>0</v>
          </cell>
          <cell r="K1058">
            <v>0</v>
          </cell>
          <cell r="L1058">
            <v>0</v>
          </cell>
          <cell r="O1058">
            <v>0</v>
          </cell>
          <cell r="Q1058" t="str">
            <v>16|25</v>
          </cell>
        </row>
        <row r="1059">
          <cell r="E1059" t="str">
            <v>6. TELECOMMUNICATIONS</v>
          </cell>
          <cell r="G1059" t="str">
            <v>6. TELECOMMUNICATIONS</v>
          </cell>
          <cell r="H1059">
            <v>0</v>
          </cell>
          <cell r="I1059">
            <v>0</v>
          </cell>
          <cell r="J1059">
            <v>0</v>
          </cell>
          <cell r="K1059">
            <v>0</v>
          </cell>
          <cell r="L1059">
            <v>0</v>
          </cell>
          <cell r="O1059">
            <v>0</v>
          </cell>
          <cell r="Q1059" t="str">
            <v>16|26</v>
          </cell>
        </row>
        <row r="1060">
          <cell r="E1060" t="str">
            <v>6. TELECOMMUNICATIONS</v>
          </cell>
          <cell r="G1060" t="str">
            <v>Room</v>
          </cell>
          <cell r="H1060" t="str">
            <v>Rack Installed</v>
          </cell>
          <cell r="I1060" t="str">
            <v>Ladder Tray</v>
          </cell>
          <cell r="J1060" t="str">
            <v>Fiber Installed</v>
          </cell>
          <cell r="K1060" t="str">
            <v>Grounding</v>
          </cell>
          <cell r="L1060" t="str">
            <v>Labeling</v>
          </cell>
          <cell r="O1060" t="str">
            <v>Overall</v>
          </cell>
          <cell r="Q1060" t="str">
            <v>16|27</v>
          </cell>
        </row>
        <row r="1061">
          <cell r="E1061" t="str">
            <v>6. TELECOMMUNICATIONS</v>
          </cell>
          <cell r="G1061" t="str">
            <v>015</v>
          </cell>
          <cell r="H1061" t="str">
            <v>Verify</v>
          </cell>
          <cell r="I1061" t="str">
            <v>Verify</v>
          </cell>
          <cell r="J1061" t="str">
            <v>Verify</v>
          </cell>
          <cell r="K1061" t="str">
            <v>Verify</v>
          </cell>
          <cell r="L1061" t="str">
            <v>Verify</v>
          </cell>
          <cell r="O1061" t="str">
            <v>Verify</v>
          </cell>
          <cell r="Q1061" t="str">
            <v>16|28</v>
          </cell>
        </row>
        <row r="1062">
          <cell r="E1062" t="str">
            <v>6. TELECOMMUNICATIONS</v>
          </cell>
          <cell r="G1062" t="str">
            <v>014</v>
          </cell>
          <cell r="H1062" t="str">
            <v>Existing</v>
          </cell>
          <cell r="I1062" t="str">
            <v>Existing</v>
          </cell>
          <cell r="J1062" t="str">
            <v>Existing</v>
          </cell>
          <cell r="K1062" t="str">
            <v>Verify</v>
          </cell>
          <cell r="L1062" t="str">
            <v>Verify</v>
          </cell>
          <cell r="O1062" t="str">
            <v>Verify</v>
          </cell>
          <cell r="Q1062" t="str">
            <v>16|29</v>
          </cell>
        </row>
        <row r="1063">
          <cell r="E1063" t="str">
            <v>6. TELECOMMUNICATIONS</v>
          </cell>
          <cell r="G1063">
            <v>0</v>
          </cell>
          <cell r="H1063">
            <v>0</v>
          </cell>
          <cell r="I1063">
            <v>0</v>
          </cell>
          <cell r="J1063">
            <v>0</v>
          </cell>
          <cell r="K1063">
            <v>0</v>
          </cell>
          <cell r="L1063">
            <v>0</v>
          </cell>
          <cell r="O1063">
            <v>0</v>
          </cell>
          <cell r="Q1063" t="str">
            <v>16|30</v>
          </cell>
        </row>
        <row r="1064">
          <cell r="E1064" t="str">
            <v>7. SECURITY / PACS / CCTV</v>
          </cell>
          <cell r="G1064" t="str">
            <v>7. SECURITY / PACS / CCTV</v>
          </cell>
          <cell r="H1064">
            <v>0</v>
          </cell>
          <cell r="I1064">
            <v>0</v>
          </cell>
          <cell r="J1064">
            <v>0</v>
          </cell>
          <cell r="K1064">
            <v>0</v>
          </cell>
          <cell r="L1064">
            <v>0</v>
          </cell>
          <cell r="O1064">
            <v>0</v>
          </cell>
          <cell r="Q1064" t="str">
            <v>16|31</v>
          </cell>
        </row>
        <row r="1065">
          <cell r="E1065" t="str">
            <v>7. SECURITY / PACS / CCTV</v>
          </cell>
          <cell r="G1065" t="str">
            <v>Room</v>
          </cell>
          <cell r="H1065" t="str">
            <v>PACS</v>
          </cell>
          <cell r="I1065" t="str">
            <v>Card Reader</v>
          </cell>
          <cell r="J1065" t="str">
            <v>Door Position</v>
          </cell>
          <cell r="K1065" t="str">
            <v>Electric Strike</v>
          </cell>
          <cell r="L1065" t="str">
            <v>CCTV</v>
          </cell>
          <cell r="O1065" t="str">
            <v>Overall</v>
          </cell>
          <cell r="Q1065" t="str">
            <v>16|32</v>
          </cell>
        </row>
        <row r="1066">
          <cell r="E1066" t="str">
            <v>7. SECURITY / PACS / CCTV</v>
          </cell>
          <cell r="G1066" t="str">
            <v>015</v>
          </cell>
          <cell r="H1066" t="str">
            <v>Verify</v>
          </cell>
          <cell r="I1066" t="str">
            <v>Verify</v>
          </cell>
          <cell r="J1066" t="str">
            <v>Verify</v>
          </cell>
          <cell r="K1066" t="str">
            <v>Verify</v>
          </cell>
          <cell r="L1066" t="str">
            <v>Verify</v>
          </cell>
          <cell r="O1066" t="str">
            <v>Verify</v>
          </cell>
          <cell r="Q1066" t="str">
            <v>16|33</v>
          </cell>
        </row>
        <row r="1067">
          <cell r="E1067" t="str">
            <v>7. SECURITY / PACS / CCTV</v>
          </cell>
          <cell r="G1067" t="str">
            <v>014</v>
          </cell>
          <cell r="H1067" t="str">
            <v>Verify</v>
          </cell>
          <cell r="I1067" t="str">
            <v>Verify</v>
          </cell>
          <cell r="J1067" t="str">
            <v>Verify</v>
          </cell>
          <cell r="K1067" t="str">
            <v>Verify</v>
          </cell>
          <cell r="L1067" t="str">
            <v>Verify</v>
          </cell>
          <cell r="O1067" t="str">
            <v>Verify</v>
          </cell>
          <cell r="Q1067" t="str">
            <v>16|34</v>
          </cell>
        </row>
        <row r="1068">
          <cell r="E1068" t="str">
            <v>7. SECURITY / PACS / CCTV</v>
          </cell>
          <cell r="G1068">
            <v>0</v>
          </cell>
          <cell r="H1068">
            <v>0</v>
          </cell>
          <cell r="I1068">
            <v>0</v>
          </cell>
          <cell r="J1068">
            <v>0</v>
          </cell>
          <cell r="K1068">
            <v>0</v>
          </cell>
          <cell r="L1068">
            <v>0</v>
          </cell>
          <cell r="O1068">
            <v>0</v>
          </cell>
          <cell r="Q1068" t="str">
            <v>16|35</v>
          </cell>
        </row>
        <row r="1069">
          <cell r="E1069" t="str">
            <v>8. OWNER RISKS</v>
          </cell>
          <cell r="G1069" t="str">
            <v>8. OWNER RISKS</v>
          </cell>
          <cell r="H1069">
            <v>0</v>
          </cell>
          <cell r="I1069">
            <v>0</v>
          </cell>
          <cell r="J1069">
            <v>0</v>
          </cell>
          <cell r="K1069">
            <v>0</v>
          </cell>
          <cell r="L1069">
            <v>0</v>
          </cell>
          <cell r="O1069">
            <v>0</v>
          </cell>
          <cell r="Q1069" t="str">
            <v>16|36</v>
          </cell>
        </row>
        <row r="1070">
          <cell r="E1070" t="str">
            <v>8. OWNER RISKS</v>
          </cell>
          <cell r="G1070" t="str">
            <v>Risk ID</v>
          </cell>
          <cell r="H1070" t="str">
            <v>Room</v>
          </cell>
          <cell r="I1070" t="str">
            <v>Risk</v>
          </cell>
          <cell r="J1070" t="str">
            <v>Impact</v>
          </cell>
          <cell r="K1070" t="str">
            <v>Probability</v>
          </cell>
          <cell r="L1070" t="str">
            <v>Score</v>
          </cell>
          <cell r="O1070" t="str">
            <v>Status</v>
          </cell>
          <cell r="Q1070" t="str">
            <v>16|37</v>
          </cell>
        </row>
        <row r="1071">
          <cell r="E1071" t="str">
            <v>8. OWNER RISKS</v>
          </cell>
          <cell r="G1071" t="str">
            <v>B16-R1</v>
          </cell>
          <cell r="H1071" t="str">
            <v>All</v>
          </cell>
          <cell r="I1071" t="str">
            <v>Existing conditions for Room 015 and existing Telecom Room 014 not field verified</v>
          </cell>
          <cell r="J1071" t="str">
            <v>High</v>
          </cell>
          <cell r="K1071" t="str">
            <v>Medium</v>
          </cell>
          <cell r="L1071">
            <v>6</v>
          </cell>
          <cell r="O1071" t="str">
            <v>Open</v>
          </cell>
          <cell r="Q1071" t="str">
            <v>16|38</v>
          </cell>
        </row>
        <row r="1072">
          <cell r="E1072" t="str">
            <v>8. OWNER RISKS</v>
          </cell>
          <cell r="G1072" t="str">
            <v>B16-R2</v>
          </cell>
          <cell r="H1072" t="str">
            <v>014</v>
          </cell>
          <cell r="I1072" t="str">
            <v>Existing telecom equipment may remain active during cutover</v>
          </cell>
          <cell r="J1072" t="str">
            <v>Critical</v>
          </cell>
          <cell r="K1072" t="str">
            <v>Medium</v>
          </cell>
          <cell r="L1072">
            <v>8</v>
          </cell>
          <cell r="O1072" t="str">
            <v>Open</v>
          </cell>
          <cell r="Q1072" t="str">
            <v>16|39</v>
          </cell>
        </row>
        <row r="1073">
          <cell r="E1073" t="str">
            <v>8. OWNER RISKS</v>
          </cell>
          <cell r="G1073" t="str">
            <v>B16-R3</v>
          </cell>
          <cell r="H1073" t="str">
            <v>015</v>
          </cell>
          <cell r="I1073" t="str">
            <v>Basement TR buildout may conflict with existing utilities, water heater/stair/storage conditions and pathway routing</v>
          </cell>
          <cell r="J1073" t="str">
            <v>High</v>
          </cell>
          <cell r="K1073" t="str">
            <v>Medium</v>
          </cell>
          <cell r="L1073">
            <v>6</v>
          </cell>
          <cell r="O1073" t="str">
            <v>Open</v>
          </cell>
          <cell r="Q1073" t="str">
            <v>16|40</v>
          </cell>
        </row>
        <row r="1074">
          <cell r="E1074" t="str">
            <v>8. OWNER RISKS</v>
          </cell>
          <cell r="G1074" t="str">
            <v>B16-R4</v>
          </cell>
          <cell r="H1074" t="str">
            <v>015</v>
          </cell>
          <cell r="I1074" t="str">
            <v>Dedicated cooling emergency power, condensate, BACnet and alarms not verified</v>
          </cell>
          <cell r="J1074" t="str">
            <v>Critical</v>
          </cell>
          <cell r="K1074" t="str">
            <v>Medium</v>
          </cell>
          <cell r="L1074">
            <v>8</v>
          </cell>
          <cell r="O1074" t="str">
            <v>Open</v>
          </cell>
          <cell r="Q1074" t="str">
            <v>16|41</v>
          </cell>
        </row>
        <row r="1075">
          <cell r="E1075" t="str">
            <v>8. OWNER RISKS</v>
          </cell>
          <cell r="G1075" t="str">
            <v>B16-R5</v>
          </cell>
          <cell r="H1075" t="str">
            <v>015</v>
          </cell>
          <cell r="I1075" t="str">
            <v>240V UPS/PDU and panel source coordination could delay energization</v>
          </cell>
          <cell r="J1075" t="str">
            <v>High</v>
          </cell>
          <cell r="K1075" t="str">
            <v>Medium</v>
          </cell>
          <cell r="L1075">
            <v>6</v>
          </cell>
          <cell r="O1075" t="str">
            <v>Open</v>
          </cell>
          <cell r="Q1075" t="str">
            <v>16|42</v>
          </cell>
        </row>
        <row r="1076">
          <cell r="E1076" t="str">
            <v>8. OWNER RISKS</v>
          </cell>
          <cell r="G1076" t="str">
            <v>B16-R6</v>
          </cell>
          <cell r="H1076" t="str">
            <v>015</v>
          </cell>
          <cell r="I1076" t="str">
            <v>Rated wall/door/firestop scope may affect life-safety acceptance</v>
          </cell>
          <cell r="J1076" t="str">
            <v>High</v>
          </cell>
          <cell r="K1076" t="str">
            <v>Medium</v>
          </cell>
          <cell r="L1076">
            <v>6</v>
          </cell>
          <cell r="O1076" t="str">
            <v>Open</v>
          </cell>
          <cell r="Q1076" t="str">
            <v>16|43</v>
          </cell>
        </row>
        <row r="1077">
          <cell r="E1077" t="str">
            <v>8. OWNER RISKS</v>
          </cell>
          <cell r="G1077" t="str">
            <v>B16-R7</v>
          </cell>
          <cell r="H1077" t="str">
            <v>All</v>
          </cell>
          <cell r="I1077" t="str">
            <v>Telecom/fiber cutover could affect active hospital communications across basement, first, second and attic levels</v>
          </cell>
          <cell r="J1077" t="str">
            <v>Critical</v>
          </cell>
          <cell r="K1077" t="str">
            <v>Medium</v>
          </cell>
          <cell r="L1077">
            <v>8</v>
          </cell>
          <cell r="O1077" t="str">
            <v>Open</v>
          </cell>
          <cell r="Q1077" t="str">
            <v>16|44</v>
          </cell>
        </row>
        <row r="1078">
          <cell r="E1078" t="str">
            <v>8. OWNER RISKS</v>
          </cell>
          <cell r="G1078" t="str">
            <v>B16-R8</v>
          </cell>
          <cell r="H1078" t="str">
            <v>All</v>
          </cell>
          <cell r="I1078" t="str">
            <v>Commissioning/third-party inspection reports may not be complete at turnover</v>
          </cell>
          <cell r="J1078" t="str">
            <v>High</v>
          </cell>
          <cell r="K1078" t="str">
            <v>Medium</v>
          </cell>
          <cell r="L1078">
            <v>6</v>
          </cell>
          <cell r="O1078" t="str">
            <v>Open</v>
          </cell>
          <cell r="Q1078" t="str">
            <v>16|45</v>
          </cell>
        </row>
        <row r="1079">
          <cell r="E1079" t="str">
            <v>8. OWNER RISKS</v>
          </cell>
          <cell r="G1079">
            <v>0</v>
          </cell>
          <cell r="H1079">
            <v>0</v>
          </cell>
          <cell r="I1079">
            <v>0</v>
          </cell>
          <cell r="J1079">
            <v>0</v>
          </cell>
          <cell r="K1079">
            <v>0</v>
          </cell>
          <cell r="L1079">
            <v>0</v>
          </cell>
          <cell r="O1079">
            <v>0</v>
          </cell>
          <cell r="Q1079" t="str">
            <v>16|46</v>
          </cell>
        </row>
        <row r="1080">
          <cell r="E1080" t="str">
            <v>9. OPEN QUESTIONS</v>
          </cell>
          <cell r="G1080" t="str">
            <v>9. OPEN QUESTIONS</v>
          </cell>
          <cell r="H1080">
            <v>0</v>
          </cell>
          <cell r="I1080">
            <v>0</v>
          </cell>
          <cell r="J1080">
            <v>0</v>
          </cell>
          <cell r="K1080">
            <v>0</v>
          </cell>
          <cell r="L1080">
            <v>0</v>
          </cell>
          <cell r="O1080">
            <v>0</v>
          </cell>
          <cell r="Q1080" t="str">
            <v>16|47</v>
          </cell>
        </row>
        <row r="1081">
          <cell r="E1081" t="str">
            <v>9. OPEN QUESTIONS</v>
          </cell>
          <cell r="G1081" t="str">
            <v>Question ID</v>
          </cell>
          <cell r="H1081" t="str">
            <v>Question</v>
          </cell>
          <cell r="I1081" t="str">
            <v>Assigned To</v>
          </cell>
          <cell r="J1081" t="str">
            <v>Status</v>
          </cell>
          <cell r="K1081" t="str">
            <v>Needed By</v>
          </cell>
          <cell r="L1081" t="str">
            <v>Answer / Resolution</v>
          </cell>
          <cell r="O1081" t="str">
            <v>Date Closed</v>
          </cell>
          <cell r="Q1081" t="str">
            <v>16|48</v>
          </cell>
        </row>
        <row r="1082">
          <cell r="E1082" t="str">
            <v>9. OPEN QUESTIONS</v>
          </cell>
          <cell r="G1082" t="str">
            <v>B16-Q1</v>
          </cell>
          <cell r="H1082" t="str">
            <v>Confirm final telecom scope: new Room 015 and existing Room 014 transition only?</v>
          </cell>
          <cell r="I1082" t="str">
            <v>VA / OIT / Designer</v>
          </cell>
          <cell r="J1082" t="str">
            <v>Open</v>
          </cell>
          <cell r="K1082">
            <v>0</v>
          </cell>
          <cell r="L1082">
            <v>0</v>
          </cell>
          <cell r="O1082">
            <v>0</v>
          </cell>
          <cell r="Q1082" t="str">
            <v>16|49</v>
          </cell>
        </row>
        <row r="1083">
          <cell r="E1083" t="str">
            <v>9. OPEN QUESTIONS</v>
          </cell>
          <cell r="G1083" t="str">
            <v>B16-Q2</v>
          </cell>
          <cell r="H1083" t="str">
            <v>What active services are currently fed from existing Room 014 equipment?</v>
          </cell>
          <cell r="I1083" t="str">
            <v>OIT / Contractor</v>
          </cell>
          <cell r="J1083" t="str">
            <v>Open</v>
          </cell>
          <cell r="K1083">
            <v>0</v>
          </cell>
          <cell r="L1083">
            <v>0</v>
          </cell>
          <cell r="O1083">
            <v>0</v>
          </cell>
          <cell r="Q1083" t="str">
            <v>16|50</v>
          </cell>
        </row>
        <row r="1084">
          <cell r="E1084" t="str">
            <v>9. OPEN QUESTIONS</v>
          </cell>
          <cell r="G1084" t="str">
            <v>B16-Q3</v>
          </cell>
          <cell r="H1084" t="str">
            <v>Is IU-1-01/CU-1-01 on emergency/backup power and dedicated to Room 015?</v>
          </cell>
          <cell r="I1084" t="str">
            <v>Mechanical / Electrical / VA</v>
          </cell>
          <cell r="J1084" t="str">
            <v>Open</v>
          </cell>
          <cell r="K1084">
            <v>0</v>
          </cell>
          <cell r="L1084">
            <v>0</v>
          </cell>
          <cell r="O1084">
            <v>0</v>
          </cell>
          <cell r="Q1084" t="str">
            <v>16|51</v>
          </cell>
        </row>
        <row r="1085">
          <cell r="E1085" t="str">
            <v>9. OPEN QUESTIONS</v>
          </cell>
          <cell r="G1085" t="str">
            <v>B16-Q4</v>
          </cell>
          <cell r="H1085" t="str">
            <v>Where is the clean-agent/CO2 extinguisher cabinet located within 75 ft of Room 015?</v>
          </cell>
          <cell r="I1085" t="str">
            <v>GC / COR</v>
          </cell>
          <cell r="J1085" t="str">
            <v>Open</v>
          </cell>
          <cell r="K1085">
            <v>0</v>
          </cell>
          <cell r="L1085">
            <v>0</v>
          </cell>
          <cell r="O1085">
            <v>0</v>
          </cell>
          <cell r="Q1085" t="str">
            <v>16|52</v>
          </cell>
        </row>
        <row r="1086">
          <cell r="E1086" t="str">
            <v>9. OPEN QUESTIONS</v>
          </cell>
          <cell r="G1086" t="str">
            <v>B16-Q5</v>
          </cell>
          <cell r="H1086" t="str">
            <v>Are B16-TR015A/B sources, rack receptacles, SPDs, circuit labels and load measurements approved?</v>
          </cell>
          <cell r="I1086" t="str">
            <v>Electrical / Designer</v>
          </cell>
          <cell r="J1086" t="str">
            <v>Open</v>
          </cell>
          <cell r="K1086">
            <v>0</v>
          </cell>
          <cell r="L1086">
            <v>0</v>
          </cell>
          <cell r="O1086">
            <v>0</v>
          </cell>
          <cell r="Q1086" t="str">
            <v>16|53</v>
          </cell>
        </row>
        <row r="1087">
          <cell r="E1087" t="str">
            <v>9. OPEN QUESTIONS</v>
          </cell>
          <cell r="G1087" t="str">
            <v>B16-Q6</v>
          </cell>
          <cell r="H1087" t="str">
            <v>Which existing panel/circuit breaker/feeder demolition and replacement affects Room 015 telecom power?</v>
          </cell>
          <cell r="I1087" t="str">
            <v>Electrical / GCC</v>
          </cell>
          <cell r="J1087" t="str">
            <v>Open</v>
          </cell>
          <cell r="K1087">
            <v>0</v>
          </cell>
          <cell r="L1087">
            <v>0</v>
          </cell>
          <cell r="O1087">
            <v>0</v>
          </cell>
          <cell r="Q1087" t="str">
            <v>16|54</v>
          </cell>
        </row>
        <row r="1088">
          <cell r="E1088" t="str">
            <v>9. OPEN QUESTIONS</v>
          </cell>
          <cell r="G1088" t="str">
            <v>B16-Q7</v>
          </cell>
          <cell r="H1088" t="str">
            <v>Are all rated wall/floor penetrations, sleeves, cable tray entries and firestopping details identified?</v>
          </cell>
          <cell r="I1088" t="str">
            <v>GC / Firestop</v>
          </cell>
          <cell r="J1088" t="str">
            <v>Open</v>
          </cell>
          <cell r="K1088">
            <v>0</v>
          </cell>
          <cell r="L1088">
            <v>0</v>
          </cell>
          <cell r="O1088">
            <v>0</v>
          </cell>
          <cell r="Q1088" t="str">
            <v>16|55</v>
          </cell>
        </row>
        <row r="1089">
          <cell r="E1089" t="str">
            <v>9. OPEN QUESTIONS</v>
          </cell>
          <cell r="G1089" t="str">
            <v>B16-Q8</v>
          </cell>
          <cell r="H1089" t="str">
            <v>Which third-party inspections and commissioning forms are required before VA acceptance?</v>
          </cell>
          <cell r="I1089" t="str">
            <v>GC / Cx Manager</v>
          </cell>
          <cell r="J1089" t="str">
            <v>Open</v>
          </cell>
          <cell r="K1089">
            <v>0</v>
          </cell>
          <cell r="L1089">
            <v>0</v>
          </cell>
          <cell r="O1089">
            <v>0</v>
          </cell>
          <cell r="Q1089" t="str">
            <v>16|56</v>
          </cell>
        </row>
        <row r="1090">
          <cell r="E1090" t="str">
            <v>9. OPEN QUESTIONS</v>
          </cell>
          <cell r="G1090">
            <v>0</v>
          </cell>
          <cell r="H1090">
            <v>0</v>
          </cell>
          <cell r="I1090">
            <v>0</v>
          </cell>
          <cell r="J1090">
            <v>0</v>
          </cell>
          <cell r="K1090">
            <v>0</v>
          </cell>
          <cell r="L1090">
            <v>0</v>
          </cell>
          <cell r="O1090">
            <v>0</v>
          </cell>
          <cell r="Q1090" t="str">
            <v>16|57</v>
          </cell>
        </row>
        <row r="1091">
          <cell r="E1091" t="str">
            <v>10. PHOTO LOG</v>
          </cell>
          <cell r="G1091" t="str">
            <v>10. PHOTO LOG</v>
          </cell>
          <cell r="H1091">
            <v>0</v>
          </cell>
          <cell r="I1091">
            <v>0</v>
          </cell>
          <cell r="J1091">
            <v>0</v>
          </cell>
          <cell r="K1091">
            <v>0</v>
          </cell>
          <cell r="L1091">
            <v>0</v>
          </cell>
          <cell r="O1091">
            <v>0</v>
          </cell>
          <cell r="Q1091" t="str">
            <v>16|58</v>
          </cell>
        </row>
        <row r="1092">
          <cell r="E1092" t="str">
            <v>10. PHOTO LOG</v>
          </cell>
          <cell r="G1092" t="str">
            <v>Photo ID</v>
          </cell>
          <cell r="H1092" t="str">
            <v>Room</v>
          </cell>
          <cell r="I1092" t="str">
            <v>Category</v>
          </cell>
          <cell r="J1092" t="str">
            <v>Description</v>
          </cell>
          <cell r="K1092" t="str">
            <v>Date</v>
          </cell>
          <cell r="L1092" t="str">
            <v>Taken By</v>
          </cell>
          <cell r="O1092" t="str">
            <v>Status</v>
          </cell>
          <cell r="Q1092" t="str">
            <v>16|59</v>
          </cell>
        </row>
        <row r="1093">
          <cell r="E1093" t="str">
            <v>10. PHOTO LOG</v>
          </cell>
          <cell r="G1093" t="str">
            <v>B16-P001</v>
          </cell>
          <cell r="H1093" t="str">
            <v>015</v>
          </cell>
          <cell r="I1093" t="str">
            <v>Existing Condition</v>
          </cell>
          <cell r="J1093" t="str">
            <v>Room 015 walls, ceiling/deck, floor, door, adjacent Vacant 011/012/013, Stair 014, Water Heater 010, rack location, pathways and penetrations</v>
          </cell>
          <cell r="K1093">
            <v>0</v>
          </cell>
          <cell r="L1093" t="str">
            <v>Paul</v>
          </cell>
          <cell r="O1093" t="str">
            <v>Open</v>
          </cell>
          <cell r="Q1093" t="str">
            <v>16|60</v>
          </cell>
        </row>
        <row r="1094">
          <cell r="E1094" t="str">
            <v>10. PHOTO LOG</v>
          </cell>
          <cell r="G1094" t="str">
            <v>B16-P002</v>
          </cell>
          <cell r="H1094" t="str">
            <v>014</v>
          </cell>
          <cell r="I1094" t="str">
            <v>Existing Condition</v>
          </cell>
          <cell r="J1094" t="str">
            <v>Existing Telecom Room 014 wall rack/TE, Cisco switch, legacy 12-port patch panel, Fiber LIU, floor UPS, plywood backboard and security cabinet</v>
          </cell>
          <cell r="K1094">
            <v>0</v>
          </cell>
          <cell r="L1094" t="str">
            <v>Paul</v>
          </cell>
          <cell r="O1094" t="str">
            <v>Open</v>
          </cell>
          <cell r="Q1094" t="str">
            <v>16|61</v>
          </cell>
        </row>
        <row r="1095">
          <cell r="E1095" t="str">
            <v>10. PHOTO LOG</v>
          </cell>
          <cell r="G1095" t="str">
            <v>B16-P003</v>
          </cell>
          <cell r="H1095" t="str">
            <v>015</v>
          </cell>
          <cell r="I1095" t="str">
            <v>Firestop</v>
          </cell>
          <cell r="J1095" t="str">
            <v>All wall/floor/sleeve/tray penetrations before and after firestop</v>
          </cell>
          <cell r="K1095">
            <v>0</v>
          </cell>
          <cell r="L1095" t="str">
            <v>Paul</v>
          </cell>
          <cell r="O1095" t="str">
            <v>Open</v>
          </cell>
          <cell r="Q1095" t="str">
            <v>16|62</v>
          </cell>
        </row>
        <row r="1096">
          <cell r="E1096" t="str">
            <v>10. PHOTO LOG</v>
          </cell>
          <cell r="G1096" t="str">
            <v>B16-P004</v>
          </cell>
          <cell r="H1096" t="str">
            <v>015</v>
          </cell>
          <cell r="I1096" t="str">
            <v>HVAC</v>
          </cell>
          <cell r="J1096" t="str">
            <v>IU-1-01/CU-1-01, condensate, thermostat, BACnet adapter, disconnects, high-temp alarm and power source</v>
          </cell>
          <cell r="K1096">
            <v>0</v>
          </cell>
          <cell r="L1096" t="str">
            <v>Paul</v>
          </cell>
          <cell r="O1096" t="str">
            <v>Open</v>
          </cell>
          <cell r="Q1096" t="str">
            <v>16|63</v>
          </cell>
        </row>
        <row r="1097">
          <cell r="E1097" t="str">
            <v>10. PHOTO LOG</v>
          </cell>
          <cell r="G1097" t="str">
            <v>B16-P005</v>
          </cell>
          <cell r="H1097" t="str">
            <v>015</v>
          </cell>
          <cell r="I1097" t="str">
            <v>Electrical</v>
          </cell>
          <cell r="J1097" t="str">
            <v>B16-TR015A/B panels, rack receptacles, breakers, SPD, access controller, lighting, CU-1-01 and labels</v>
          </cell>
          <cell r="K1097">
            <v>0</v>
          </cell>
          <cell r="L1097" t="str">
            <v>Paul</v>
          </cell>
          <cell r="O1097" t="str">
            <v>Open</v>
          </cell>
          <cell r="Q1097" t="str">
            <v>16|64</v>
          </cell>
        </row>
        <row r="1098">
          <cell r="E1098" t="str">
            <v>10. PHOTO LOG</v>
          </cell>
          <cell r="G1098" t="str">
            <v>B16-P006</v>
          </cell>
          <cell r="H1098" t="str">
            <v>015/014</v>
          </cell>
          <cell r="I1098" t="str">
            <v>Telecom</v>
          </cell>
          <cell r="J1098" t="str">
            <v>New rack/future rack, fiber path A/B, Cat6A, patch panels, LIU, labels/test records and existing Room 014 transfer work</v>
          </cell>
          <cell r="K1098">
            <v>0</v>
          </cell>
          <cell r="L1098" t="str">
            <v>Paul</v>
          </cell>
          <cell r="O1098" t="str">
            <v>Open</v>
          </cell>
          <cell r="Q1098" t="str">
            <v>16|65</v>
          </cell>
        </row>
        <row r="1099">
          <cell r="E1099" t="str">
            <v>10. PHOTO LOG</v>
          </cell>
          <cell r="G1099" t="str">
            <v>B16-P007</v>
          </cell>
          <cell r="H1099" t="str">
            <v>015/014</v>
          </cell>
          <cell r="I1099" t="str">
            <v>Security</v>
          </cell>
          <cell r="J1099" t="str">
            <v>015-CAM-1, card reader, electric strike, door position, motion sensor, existing security cabinet and VMS/PACS integration</v>
          </cell>
          <cell r="K1099">
            <v>0</v>
          </cell>
          <cell r="L1099" t="str">
            <v>Paul</v>
          </cell>
          <cell r="O1099" t="str">
            <v>Open</v>
          </cell>
          <cell r="Q1099" t="str">
            <v>16|66</v>
          </cell>
        </row>
        <row r="1100">
          <cell r="E1100" t="str">
            <v>10. PHOTO LOG</v>
          </cell>
          <cell r="G1100" t="str">
            <v>B16-P008</v>
          </cell>
          <cell r="H1100" t="str">
            <v>All</v>
          </cell>
          <cell r="I1100" t="str">
            <v>Cable Tray / Pathway</v>
          </cell>
          <cell r="J1100" t="str">
            <v>Basement and first-level cable tray/pathway route, supports, fill, firestopping and seismic bracing</v>
          </cell>
          <cell r="K1100">
            <v>0</v>
          </cell>
          <cell r="L1100" t="str">
            <v>Paul</v>
          </cell>
          <cell r="O1100" t="str">
            <v>Open</v>
          </cell>
          <cell r="Q1100" t="str">
            <v>16|67</v>
          </cell>
        </row>
        <row r="1101">
          <cell r="E1101" t="str">
            <v>10. PHOTO LOG</v>
          </cell>
          <cell r="G1101">
            <v>0</v>
          </cell>
          <cell r="H1101">
            <v>0</v>
          </cell>
          <cell r="I1101">
            <v>0</v>
          </cell>
          <cell r="J1101">
            <v>0</v>
          </cell>
          <cell r="K1101">
            <v>0</v>
          </cell>
          <cell r="L1101">
            <v>0</v>
          </cell>
          <cell r="O1101">
            <v>0</v>
          </cell>
          <cell r="Q1101" t="str">
            <v>16|68</v>
          </cell>
        </row>
        <row r="1102">
          <cell r="E1102" t="str">
            <v>1. ROOM INVENTORY</v>
          </cell>
          <cell r="G1102" t="str">
            <v>1. ROOM INVENTORY</v>
          </cell>
          <cell r="H1102">
            <v>0</v>
          </cell>
          <cell r="I1102">
            <v>0</v>
          </cell>
          <cell r="J1102">
            <v>0</v>
          </cell>
          <cell r="K1102">
            <v>0</v>
          </cell>
          <cell r="L1102">
            <v>0</v>
          </cell>
          <cell r="O1102">
            <v>0</v>
          </cell>
          <cell r="Q1102" t="str">
            <v>17|1</v>
          </cell>
        </row>
        <row r="1103">
          <cell r="E1103" t="str">
            <v>1. ROOM INVENTORY</v>
          </cell>
          <cell r="G1103" t="str">
            <v>Building</v>
          </cell>
          <cell r="H1103" t="str">
            <v>Room</v>
          </cell>
          <cell r="I1103" t="str">
            <v>Floor</v>
          </cell>
          <cell r="J1103" t="str">
            <v>Existing Use</v>
          </cell>
          <cell r="K1103" t="str">
            <v>New Use</v>
          </cell>
          <cell r="L1103" t="str">
            <v>Rack Count</v>
          </cell>
          <cell r="O1103" t="str">
            <v>Drawing Ref</v>
          </cell>
          <cell r="Q1103" t="str">
            <v>17|2</v>
          </cell>
        </row>
        <row r="1104">
          <cell r="E1104" t="str">
            <v>1. ROOM INVENTORY</v>
          </cell>
          <cell r="G1104" t="str">
            <v>17</v>
          </cell>
          <cell r="H1104" t="str">
            <v>118</v>
          </cell>
          <cell r="I1104" t="str">
            <v>First</v>
          </cell>
          <cell r="J1104" t="str">
            <v>New telecom room build area</v>
          </cell>
          <cell r="K1104" t="str">
            <v>Telecom Room</v>
          </cell>
          <cell r="L1104">
            <v>1</v>
          </cell>
          <cell r="O1104" t="str">
            <v>17_29A-401 / 17_29E-401 / 17_29T-100 / 17_29T-604 / 17_29T-701</v>
          </cell>
          <cell r="Q1104" t="str">
            <v>17|3</v>
          </cell>
        </row>
        <row r="1105">
          <cell r="E1105" t="str">
            <v>1. ROOM INVENTORY</v>
          </cell>
          <cell r="G1105" t="str">
            <v>17</v>
          </cell>
          <cell r="H1105" t="str">
            <v>B35A</v>
          </cell>
          <cell r="I1105" t="str">
            <v>Basement</v>
          </cell>
          <cell r="J1105" t="str">
            <v>Existing telecom closet / legacy equipment area</v>
          </cell>
          <cell r="K1105" t="str">
            <v>Existing telecom transition point</v>
          </cell>
          <cell r="L1105">
            <v>1</v>
          </cell>
          <cell r="O1105" t="str">
            <v>17_29T-100 / 17_29T-604 / 17_29R-900</v>
          </cell>
          <cell r="Q1105" t="str">
            <v>17|4</v>
          </cell>
        </row>
        <row r="1106">
          <cell r="E1106" t="str">
            <v>1. ROOM INVENTORY</v>
          </cell>
          <cell r="G1106" t="str">
            <v>29</v>
          </cell>
          <cell r="H1106" t="str">
            <v>Building 29 path</v>
          </cell>
          <cell r="I1106" t="str">
            <v>First / served from B17</v>
          </cell>
          <cell r="J1106" t="str">
            <v>Building 29 service extension</v>
          </cell>
          <cell r="K1106" t="str">
            <v>Served from B17 TR 118</v>
          </cell>
          <cell r="L1106">
            <v>0</v>
          </cell>
          <cell r="O1106" t="str">
            <v>17_29T-100 / 17_29T-604 / 17_29T-701</v>
          </cell>
          <cell r="Q1106" t="str">
            <v>17|5</v>
          </cell>
        </row>
        <row r="1107">
          <cell r="E1107" t="str">
            <v>1. ROOM INVENTORY</v>
          </cell>
          <cell r="G1107">
            <v>0</v>
          </cell>
          <cell r="H1107">
            <v>0</v>
          </cell>
          <cell r="I1107">
            <v>0</v>
          </cell>
          <cell r="J1107">
            <v>0</v>
          </cell>
          <cell r="K1107">
            <v>0</v>
          </cell>
          <cell r="L1107">
            <v>0</v>
          </cell>
          <cell r="O1107">
            <v>0</v>
          </cell>
          <cell r="Q1107" t="str">
            <v>17|6</v>
          </cell>
        </row>
        <row r="1108">
          <cell r="E1108" t="str">
            <v>2. ROOM READINESS</v>
          </cell>
          <cell r="G1108" t="str">
            <v>2. ROOM READINESS</v>
          </cell>
          <cell r="H1108">
            <v>0</v>
          </cell>
          <cell r="I1108">
            <v>0</v>
          </cell>
          <cell r="J1108">
            <v>0</v>
          </cell>
          <cell r="K1108">
            <v>0</v>
          </cell>
          <cell r="L1108">
            <v>0</v>
          </cell>
          <cell r="O1108">
            <v>0</v>
          </cell>
          <cell r="Q1108" t="str">
            <v>17|7</v>
          </cell>
        </row>
        <row r="1109">
          <cell r="E1109" t="str">
            <v>2. ROOM READINESS</v>
          </cell>
          <cell r="G1109" t="str">
            <v>Room</v>
          </cell>
          <cell r="H1109" t="str">
            <v>Walls / 1-hr Rating</v>
          </cell>
          <cell r="I1109" t="str">
            <v>Ceiling</v>
          </cell>
          <cell r="J1109" t="str">
            <v>Floor / SDC</v>
          </cell>
          <cell r="K1109" t="str">
            <v>Penetrations</v>
          </cell>
          <cell r="L1109" t="str">
            <v>Access Control</v>
          </cell>
          <cell r="O1109" t="str">
            <v>Overall</v>
          </cell>
          <cell r="Q1109" t="str">
            <v>17|8</v>
          </cell>
        </row>
        <row r="1110">
          <cell r="E1110" t="str">
            <v>2. ROOM READINESS</v>
          </cell>
          <cell r="G1110" t="str">
            <v>118</v>
          </cell>
          <cell r="H1110" t="str">
            <v>Verify</v>
          </cell>
          <cell r="I1110" t="str">
            <v>Verify</v>
          </cell>
          <cell r="J1110" t="str">
            <v>Verify</v>
          </cell>
          <cell r="K1110" t="str">
            <v>Verify</v>
          </cell>
          <cell r="L1110" t="str">
            <v>Verify</v>
          </cell>
          <cell r="O1110" t="str">
            <v>Verify</v>
          </cell>
          <cell r="Q1110" t="str">
            <v>17|9</v>
          </cell>
        </row>
        <row r="1111">
          <cell r="E1111" t="str">
            <v>2. ROOM READINESS</v>
          </cell>
          <cell r="G1111" t="str">
            <v>B35A</v>
          </cell>
          <cell r="H1111" t="str">
            <v>Existing / Verify</v>
          </cell>
          <cell r="I1111" t="str">
            <v>Existing / Verify</v>
          </cell>
          <cell r="J1111" t="str">
            <v>Existing / Verify</v>
          </cell>
          <cell r="K1111" t="str">
            <v>Verify</v>
          </cell>
          <cell r="L1111" t="str">
            <v>Verify</v>
          </cell>
          <cell r="O1111" t="str">
            <v>Verify</v>
          </cell>
          <cell r="Q1111" t="str">
            <v>17|10</v>
          </cell>
        </row>
        <row r="1112">
          <cell r="E1112" t="str">
            <v>2. ROOM READINESS</v>
          </cell>
          <cell r="G1112" t="str">
            <v>B29 Path</v>
          </cell>
          <cell r="H1112" t="str">
            <v>Verify</v>
          </cell>
          <cell r="I1112" t="str">
            <v>Verify</v>
          </cell>
          <cell r="J1112" t="str">
            <v>Verify</v>
          </cell>
          <cell r="K1112" t="str">
            <v>Verify</v>
          </cell>
          <cell r="L1112" t="str">
            <v>Verify</v>
          </cell>
          <cell r="O1112" t="str">
            <v>Verify</v>
          </cell>
          <cell r="Q1112" t="str">
            <v>17|11</v>
          </cell>
        </row>
        <row r="1113">
          <cell r="E1113" t="str">
            <v>2. ROOM READINESS</v>
          </cell>
          <cell r="G1113">
            <v>0</v>
          </cell>
          <cell r="H1113">
            <v>0</v>
          </cell>
          <cell r="I1113">
            <v>0</v>
          </cell>
          <cell r="J1113">
            <v>0</v>
          </cell>
          <cell r="K1113">
            <v>0</v>
          </cell>
          <cell r="L1113">
            <v>0</v>
          </cell>
          <cell r="O1113">
            <v>0</v>
          </cell>
          <cell r="Q1113" t="str">
            <v>17|12</v>
          </cell>
        </row>
        <row r="1114">
          <cell r="E1114" t="str">
            <v>3. FIRE PROTECTION</v>
          </cell>
          <cell r="G1114" t="str">
            <v>3. FIRE PROTECTION</v>
          </cell>
          <cell r="H1114">
            <v>0</v>
          </cell>
          <cell r="I1114">
            <v>0</v>
          </cell>
          <cell r="J1114">
            <v>0</v>
          </cell>
          <cell r="K1114">
            <v>0</v>
          </cell>
          <cell r="L1114">
            <v>0</v>
          </cell>
          <cell r="O1114">
            <v>0</v>
          </cell>
          <cell r="Q1114" t="str">
            <v>17|13</v>
          </cell>
        </row>
        <row r="1115">
          <cell r="E1115" t="str">
            <v>3. FIRE PROTECTION</v>
          </cell>
          <cell r="G1115" t="str">
            <v>Room</v>
          </cell>
          <cell r="H1115" t="str">
            <v>Sprinkler</v>
          </cell>
          <cell r="I1115" t="str">
            <v>Cage</v>
          </cell>
          <cell r="J1115" t="str">
            <v>Detector</v>
          </cell>
          <cell r="K1115" t="str">
            <v>Horn/Strobe</v>
          </cell>
          <cell r="L1115" t="str">
            <v>Extinguisher &lt;75 ft</v>
          </cell>
          <cell r="O1115" t="str">
            <v>Overall</v>
          </cell>
          <cell r="Q1115" t="str">
            <v>17|14</v>
          </cell>
        </row>
        <row r="1116">
          <cell r="E1116" t="str">
            <v>3. FIRE PROTECTION</v>
          </cell>
          <cell r="G1116" t="str">
            <v>118</v>
          </cell>
          <cell r="H1116" t="str">
            <v>Verify</v>
          </cell>
          <cell r="I1116" t="str">
            <v>Verify</v>
          </cell>
          <cell r="J1116" t="str">
            <v>Verify</v>
          </cell>
          <cell r="K1116" t="str">
            <v>Verify</v>
          </cell>
          <cell r="L1116" t="str">
            <v>Verify</v>
          </cell>
          <cell r="O1116" t="str">
            <v>Verify</v>
          </cell>
          <cell r="Q1116" t="str">
            <v>17|15</v>
          </cell>
        </row>
        <row r="1117">
          <cell r="E1117" t="str">
            <v>3. FIRE PROTECTION</v>
          </cell>
          <cell r="G1117" t="str">
            <v>B35A</v>
          </cell>
          <cell r="H1117" t="str">
            <v>Verify</v>
          </cell>
          <cell r="I1117" t="str">
            <v>N/A</v>
          </cell>
          <cell r="J1117" t="str">
            <v>Verify</v>
          </cell>
          <cell r="K1117" t="str">
            <v>Verify</v>
          </cell>
          <cell r="L1117" t="str">
            <v>Verify</v>
          </cell>
          <cell r="O1117" t="str">
            <v>Verify</v>
          </cell>
          <cell r="Q1117" t="str">
            <v>17|16</v>
          </cell>
        </row>
        <row r="1118">
          <cell r="E1118" t="str">
            <v>3. FIRE PROTECTION</v>
          </cell>
          <cell r="G1118" t="str">
            <v>B29 Path</v>
          </cell>
          <cell r="H1118" t="str">
            <v>Verify</v>
          </cell>
          <cell r="I1118" t="str">
            <v>N/A</v>
          </cell>
          <cell r="J1118" t="str">
            <v>Verify</v>
          </cell>
          <cell r="K1118" t="str">
            <v>Verify</v>
          </cell>
          <cell r="L1118" t="str">
            <v>Verify</v>
          </cell>
          <cell r="O1118" t="str">
            <v>Verify</v>
          </cell>
          <cell r="Q1118" t="str">
            <v>17|17</v>
          </cell>
        </row>
        <row r="1119">
          <cell r="E1119" t="str">
            <v>3. FIRE PROTECTION</v>
          </cell>
          <cell r="G1119">
            <v>0</v>
          </cell>
          <cell r="H1119">
            <v>0</v>
          </cell>
          <cell r="I1119">
            <v>0</v>
          </cell>
          <cell r="J1119">
            <v>0</v>
          </cell>
          <cell r="K1119">
            <v>0</v>
          </cell>
          <cell r="L1119">
            <v>0</v>
          </cell>
          <cell r="O1119">
            <v>0</v>
          </cell>
          <cell r="Q1119" t="str">
            <v>17|18</v>
          </cell>
        </row>
        <row r="1120">
          <cell r="E1120" t="str">
            <v>4. HVAC / COOLING</v>
          </cell>
          <cell r="G1120" t="str">
            <v>4. HVAC / COOLING</v>
          </cell>
          <cell r="H1120">
            <v>0</v>
          </cell>
          <cell r="I1120">
            <v>0</v>
          </cell>
          <cell r="J1120">
            <v>0</v>
          </cell>
          <cell r="K1120">
            <v>0</v>
          </cell>
          <cell r="L1120">
            <v>0</v>
          </cell>
          <cell r="O1120">
            <v>0</v>
          </cell>
          <cell r="Q1120" t="str">
            <v>17|19</v>
          </cell>
        </row>
        <row r="1121">
          <cell r="E1121" t="str">
            <v>4. HVAC / COOLING</v>
          </cell>
          <cell r="G1121" t="str">
            <v>Room</v>
          </cell>
          <cell r="H1121" t="str">
            <v>Dedicated Unit</v>
          </cell>
          <cell r="I1121" t="str">
            <v>Capacity Verified</v>
          </cell>
          <cell r="J1121" t="str">
            <v>Emergency Power</v>
          </cell>
          <cell r="K1121" t="str">
            <v>Controls / BACnet</v>
          </cell>
          <cell r="L1121" t="str">
            <v>Condensate Routed</v>
          </cell>
          <cell r="O1121" t="str">
            <v>Overall</v>
          </cell>
          <cell r="Q1121" t="str">
            <v>17|20</v>
          </cell>
        </row>
        <row r="1122">
          <cell r="E1122" t="str">
            <v>4. HVAC / COOLING</v>
          </cell>
          <cell r="G1122" t="str">
            <v>118</v>
          </cell>
          <cell r="H1122" t="str">
            <v>IU-1-01 / CU-1-01</v>
          </cell>
          <cell r="I1122" t="str">
            <v>Verify</v>
          </cell>
          <cell r="J1122" t="str">
            <v>Verify</v>
          </cell>
          <cell r="K1122" t="str">
            <v>Verify</v>
          </cell>
          <cell r="L1122" t="str">
            <v>Verify</v>
          </cell>
          <cell r="O1122" t="str">
            <v>Verify</v>
          </cell>
          <cell r="Q1122" t="str">
            <v>17|21</v>
          </cell>
        </row>
        <row r="1123">
          <cell r="E1123" t="str">
            <v>4. HVAC / COOLING</v>
          </cell>
          <cell r="G1123" t="str">
            <v>B35A</v>
          </cell>
          <cell r="H1123" t="str">
            <v>Existing indoor AC unit</v>
          </cell>
          <cell r="I1123" t="str">
            <v>Verify</v>
          </cell>
          <cell r="J1123" t="str">
            <v>Verify</v>
          </cell>
          <cell r="K1123" t="str">
            <v>Verify</v>
          </cell>
          <cell r="L1123" t="str">
            <v>Verify</v>
          </cell>
          <cell r="O1123" t="str">
            <v>Verify</v>
          </cell>
          <cell r="Q1123" t="str">
            <v>17|22</v>
          </cell>
        </row>
        <row r="1124">
          <cell r="E1124" t="str">
            <v>4. HVAC / COOLING</v>
          </cell>
          <cell r="G1124" t="str">
            <v>B29 Path</v>
          </cell>
          <cell r="H1124" t="str">
            <v>N/A</v>
          </cell>
          <cell r="I1124" t="str">
            <v>N/A</v>
          </cell>
          <cell r="J1124" t="str">
            <v>N/A</v>
          </cell>
          <cell r="K1124" t="str">
            <v>N/A</v>
          </cell>
          <cell r="L1124" t="str">
            <v>N/A</v>
          </cell>
          <cell r="O1124" t="str">
            <v>N/A</v>
          </cell>
          <cell r="Q1124" t="str">
            <v>17|23</v>
          </cell>
        </row>
        <row r="1125">
          <cell r="E1125" t="str">
            <v>4. HVAC / COOLING</v>
          </cell>
          <cell r="G1125">
            <v>0</v>
          </cell>
          <cell r="H1125">
            <v>0</v>
          </cell>
          <cell r="I1125">
            <v>0</v>
          </cell>
          <cell r="J1125">
            <v>0</v>
          </cell>
          <cell r="K1125">
            <v>0</v>
          </cell>
          <cell r="L1125">
            <v>0</v>
          </cell>
          <cell r="O1125">
            <v>0</v>
          </cell>
          <cell r="Q1125" t="str">
            <v>17|24</v>
          </cell>
        </row>
        <row r="1126">
          <cell r="E1126" t="str">
            <v>5. ELECTRICAL / UPS</v>
          </cell>
          <cell r="G1126" t="str">
            <v>5. ELECTRICAL / UPS</v>
          </cell>
          <cell r="H1126">
            <v>0</v>
          </cell>
          <cell r="I1126">
            <v>0</v>
          </cell>
          <cell r="J1126">
            <v>0</v>
          </cell>
          <cell r="K1126">
            <v>0</v>
          </cell>
          <cell r="L1126">
            <v>0</v>
          </cell>
          <cell r="O1126">
            <v>0</v>
          </cell>
          <cell r="Q1126" t="str">
            <v>17|25</v>
          </cell>
        </row>
        <row r="1127">
          <cell r="E1127" t="str">
            <v>5. ELECTRICAL / UPS</v>
          </cell>
          <cell r="G1127" t="str">
            <v>Room</v>
          </cell>
          <cell r="H1127" t="str">
            <v>UPS Installed</v>
          </cell>
          <cell r="I1127" t="str">
            <v>UPS Size</v>
          </cell>
          <cell r="J1127" t="str">
            <v>PDU Installed</v>
          </cell>
          <cell r="K1127" t="str">
            <v>Rack Receptacles</v>
          </cell>
          <cell r="L1127" t="str">
            <v>Panel Assigned</v>
          </cell>
          <cell r="O1127" t="str">
            <v>Overall</v>
          </cell>
          <cell r="Q1127" t="str">
            <v>17|26</v>
          </cell>
        </row>
        <row r="1128">
          <cell r="E1128" t="str">
            <v>5. ELECTRICAL / UPS</v>
          </cell>
          <cell r="G1128" t="str">
            <v>118</v>
          </cell>
          <cell r="H1128" t="str">
            <v>Verify</v>
          </cell>
          <cell r="I1128" t="str">
            <v>5 kW / 208V rack UPS</v>
          </cell>
          <cell r="J1128" t="str">
            <v>Verify</v>
          </cell>
          <cell r="K1128" t="str">
            <v>Verify</v>
          </cell>
          <cell r="L1128" t="str">
            <v>B17-TR118A / B17-TR118B</v>
          </cell>
          <cell r="O1128" t="str">
            <v>Verify</v>
          </cell>
          <cell r="Q1128" t="str">
            <v>17|27</v>
          </cell>
        </row>
        <row r="1129">
          <cell r="E1129" t="str">
            <v>5. ELECTRICAL / UPS</v>
          </cell>
          <cell r="G1129" t="str">
            <v>B35A</v>
          </cell>
          <cell r="H1129" t="str">
            <v>Existing</v>
          </cell>
          <cell r="I1129" t="str">
            <v>Existing floor UPS</v>
          </cell>
          <cell r="J1129" t="str">
            <v>Existing</v>
          </cell>
          <cell r="K1129" t="str">
            <v>Verify</v>
          </cell>
          <cell r="L1129" t="str">
            <v>Existing / Verify</v>
          </cell>
          <cell r="O1129" t="str">
            <v>Verify</v>
          </cell>
          <cell r="Q1129" t="str">
            <v>17|28</v>
          </cell>
        </row>
        <row r="1130">
          <cell r="E1130" t="str">
            <v>5. ELECTRICAL / UPS</v>
          </cell>
          <cell r="G1130" t="str">
            <v>B29 Path</v>
          </cell>
          <cell r="H1130" t="str">
            <v>N/A</v>
          </cell>
          <cell r="I1130" t="str">
            <v>N/A</v>
          </cell>
          <cell r="J1130" t="str">
            <v>N/A</v>
          </cell>
          <cell r="K1130" t="str">
            <v>N/A</v>
          </cell>
          <cell r="L1130" t="str">
            <v>B17 source / verify</v>
          </cell>
          <cell r="O1130" t="str">
            <v>Verify</v>
          </cell>
          <cell r="Q1130" t="str">
            <v>17|29</v>
          </cell>
        </row>
        <row r="1131">
          <cell r="E1131" t="str">
            <v>5. ELECTRICAL / UPS</v>
          </cell>
          <cell r="G1131">
            <v>0</v>
          </cell>
          <cell r="H1131">
            <v>0</v>
          </cell>
          <cell r="I1131">
            <v>0</v>
          </cell>
          <cell r="J1131">
            <v>0</v>
          </cell>
          <cell r="K1131">
            <v>0</v>
          </cell>
          <cell r="L1131">
            <v>0</v>
          </cell>
          <cell r="O1131">
            <v>0</v>
          </cell>
          <cell r="Q1131" t="str">
            <v>17|30</v>
          </cell>
        </row>
        <row r="1132">
          <cell r="E1132" t="str">
            <v>6. TELECOMMUNICATIONS</v>
          </cell>
          <cell r="G1132" t="str">
            <v>6. TELECOMMUNICATIONS</v>
          </cell>
          <cell r="H1132">
            <v>0</v>
          </cell>
          <cell r="I1132">
            <v>0</v>
          </cell>
          <cell r="J1132">
            <v>0</v>
          </cell>
          <cell r="K1132">
            <v>0</v>
          </cell>
          <cell r="L1132">
            <v>0</v>
          </cell>
          <cell r="O1132">
            <v>0</v>
          </cell>
          <cell r="Q1132" t="str">
            <v>17|31</v>
          </cell>
        </row>
        <row r="1133">
          <cell r="E1133" t="str">
            <v>6. TELECOMMUNICATIONS</v>
          </cell>
          <cell r="G1133" t="str">
            <v>Room</v>
          </cell>
          <cell r="H1133" t="str">
            <v>Rack Installed</v>
          </cell>
          <cell r="I1133" t="str">
            <v>Ladder Tray</v>
          </cell>
          <cell r="J1133" t="str">
            <v>Fiber Installed</v>
          </cell>
          <cell r="K1133" t="str">
            <v>Grounding</v>
          </cell>
          <cell r="L1133" t="str">
            <v>Labeling</v>
          </cell>
          <cell r="O1133" t="str">
            <v>Overall</v>
          </cell>
          <cell r="Q1133" t="str">
            <v>17|32</v>
          </cell>
        </row>
        <row r="1134">
          <cell r="E1134" t="str">
            <v>6. TELECOMMUNICATIONS</v>
          </cell>
          <cell r="G1134" t="str">
            <v>118</v>
          </cell>
          <cell r="H1134" t="str">
            <v>Verify</v>
          </cell>
          <cell r="I1134" t="str">
            <v>Verify</v>
          </cell>
          <cell r="J1134" t="str">
            <v>Verify</v>
          </cell>
          <cell r="K1134" t="str">
            <v>Verify</v>
          </cell>
          <cell r="L1134" t="str">
            <v>Verify</v>
          </cell>
          <cell r="O1134" t="str">
            <v>Verify</v>
          </cell>
          <cell r="Q1134" t="str">
            <v>17|33</v>
          </cell>
        </row>
        <row r="1135">
          <cell r="E1135" t="str">
            <v>6. TELECOMMUNICATIONS</v>
          </cell>
          <cell r="G1135" t="str">
            <v>B35A</v>
          </cell>
          <cell r="H1135" t="str">
            <v>Existing</v>
          </cell>
          <cell r="I1135" t="str">
            <v>Existing</v>
          </cell>
          <cell r="J1135" t="str">
            <v>Existing</v>
          </cell>
          <cell r="K1135" t="str">
            <v>Verify</v>
          </cell>
          <cell r="L1135" t="str">
            <v>Verify</v>
          </cell>
          <cell r="O1135" t="str">
            <v>Verify</v>
          </cell>
          <cell r="Q1135" t="str">
            <v>17|34</v>
          </cell>
        </row>
        <row r="1136">
          <cell r="E1136" t="str">
            <v>6. TELECOMMUNICATIONS</v>
          </cell>
          <cell r="G1136" t="str">
            <v>B29 Path</v>
          </cell>
          <cell r="H1136" t="str">
            <v>Verify</v>
          </cell>
          <cell r="I1136" t="str">
            <v>Verify</v>
          </cell>
          <cell r="J1136" t="str">
            <v>Verify</v>
          </cell>
          <cell r="K1136" t="str">
            <v>Verify</v>
          </cell>
          <cell r="L1136" t="str">
            <v>Verify</v>
          </cell>
          <cell r="O1136" t="str">
            <v>Verify</v>
          </cell>
          <cell r="Q1136" t="str">
            <v>17|35</v>
          </cell>
        </row>
        <row r="1137">
          <cell r="E1137" t="str">
            <v>6. TELECOMMUNICATIONS</v>
          </cell>
          <cell r="G1137">
            <v>0</v>
          </cell>
          <cell r="H1137">
            <v>0</v>
          </cell>
          <cell r="I1137">
            <v>0</v>
          </cell>
          <cell r="J1137">
            <v>0</v>
          </cell>
          <cell r="K1137">
            <v>0</v>
          </cell>
          <cell r="L1137">
            <v>0</v>
          </cell>
          <cell r="O1137">
            <v>0</v>
          </cell>
          <cell r="Q1137" t="str">
            <v>17|36</v>
          </cell>
        </row>
        <row r="1138">
          <cell r="E1138" t="str">
            <v>7. SECURITY / PACS / CCTV</v>
          </cell>
          <cell r="G1138" t="str">
            <v>7. SECURITY / PACS / CCTV</v>
          </cell>
          <cell r="H1138">
            <v>0</v>
          </cell>
          <cell r="I1138">
            <v>0</v>
          </cell>
          <cell r="J1138">
            <v>0</v>
          </cell>
          <cell r="K1138">
            <v>0</v>
          </cell>
          <cell r="L1138">
            <v>0</v>
          </cell>
          <cell r="O1138">
            <v>0</v>
          </cell>
          <cell r="Q1138" t="str">
            <v>17|37</v>
          </cell>
        </row>
        <row r="1139">
          <cell r="E1139" t="str">
            <v>7. SECURITY / PACS / CCTV</v>
          </cell>
          <cell r="G1139" t="str">
            <v>Room</v>
          </cell>
          <cell r="H1139" t="str">
            <v>PACS</v>
          </cell>
          <cell r="I1139" t="str">
            <v>Card Reader</v>
          </cell>
          <cell r="J1139" t="str">
            <v>Door Position</v>
          </cell>
          <cell r="K1139" t="str">
            <v>Electric Strike</v>
          </cell>
          <cell r="L1139" t="str">
            <v>CCTV</v>
          </cell>
          <cell r="O1139" t="str">
            <v>Overall</v>
          </cell>
          <cell r="Q1139" t="str">
            <v>17|38</v>
          </cell>
        </row>
        <row r="1140">
          <cell r="E1140" t="str">
            <v>7. SECURITY / PACS / CCTV</v>
          </cell>
          <cell r="G1140" t="str">
            <v>118</v>
          </cell>
          <cell r="H1140" t="str">
            <v>Verify</v>
          </cell>
          <cell r="I1140" t="str">
            <v>Verify</v>
          </cell>
          <cell r="J1140" t="str">
            <v>Verify</v>
          </cell>
          <cell r="K1140" t="str">
            <v>Verify</v>
          </cell>
          <cell r="L1140" t="str">
            <v>Verify</v>
          </cell>
          <cell r="O1140" t="str">
            <v>Verify</v>
          </cell>
          <cell r="Q1140" t="str">
            <v>17|39</v>
          </cell>
        </row>
        <row r="1141">
          <cell r="E1141" t="str">
            <v>7. SECURITY / PACS / CCTV</v>
          </cell>
          <cell r="G1141" t="str">
            <v>B35A</v>
          </cell>
          <cell r="H1141" t="str">
            <v>Verify</v>
          </cell>
          <cell r="I1141" t="str">
            <v>Verify</v>
          </cell>
          <cell r="J1141" t="str">
            <v>Verify</v>
          </cell>
          <cell r="K1141" t="str">
            <v>Verify</v>
          </cell>
          <cell r="L1141" t="str">
            <v>Verify</v>
          </cell>
          <cell r="O1141" t="str">
            <v>Verify</v>
          </cell>
          <cell r="Q1141" t="str">
            <v>17|40</v>
          </cell>
        </row>
        <row r="1142">
          <cell r="E1142" t="str">
            <v>7. SECURITY / PACS / CCTV</v>
          </cell>
          <cell r="G1142" t="str">
            <v>B29 Path</v>
          </cell>
          <cell r="H1142" t="str">
            <v>Verify</v>
          </cell>
          <cell r="I1142" t="str">
            <v>Verify</v>
          </cell>
          <cell r="J1142" t="str">
            <v>Verify</v>
          </cell>
          <cell r="K1142" t="str">
            <v>Verify</v>
          </cell>
          <cell r="L1142" t="str">
            <v>Verify</v>
          </cell>
          <cell r="O1142" t="str">
            <v>Verify</v>
          </cell>
          <cell r="Q1142" t="str">
            <v>17|41</v>
          </cell>
        </row>
        <row r="1143">
          <cell r="E1143" t="str">
            <v>7. SECURITY / PACS / CCTV</v>
          </cell>
          <cell r="G1143">
            <v>0</v>
          </cell>
          <cell r="H1143">
            <v>0</v>
          </cell>
          <cell r="I1143">
            <v>0</v>
          </cell>
          <cell r="J1143">
            <v>0</v>
          </cell>
          <cell r="K1143">
            <v>0</v>
          </cell>
          <cell r="L1143">
            <v>0</v>
          </cell>
          <cell r="O1143">
            <v>0</v>
          </cell>
          <cell r="Q1143" t="str">
            <v>17|42</v>
          </cell>
        </row>
        <row r="1144">
          <cell r="E1144" t="str">
            <v>8. OWNER RISKS</v>
          </cell>
          <cell r="G1144" t="str">
            <v>8. OWNER RISKS</v>
          </cell>
          <cell r="H1144">
            <v>0</v>
          </cell>
          <cell r="I1144">
            <v>0</v>
          </cell>
          <cell r="J1144">
            <v>0</v>
          </cell>
          <cell r="K1144">
            <v>0</v>
          </cell>
          <cell r="L1144">
            <v>0</v>
          </cell>
          <cell r="O1144">
            <v>0</v>
          </cell>
          <cell r="Q1144" t="str">
            <v>17|43</v>
          </cell>
        </row>
        <row r="1145">
          <cell r="E1145" t="str">
            <v>8. OWNER RISKS</v>
          </cell>
          <cell r="G1145" t="str">
            <v>Risk ID</v>
          </cell>
          <cell r="H1145" t="str">
            <v>Room</v>
          </cell>
          <cell r="I1145" t="str">
            <v>Risk</v>
          </cell>
          <cell r="J1145" t="str">
            <v>Impact</v>
          </cell>
          <cell r="K1145" t="str">
            <v>Probability</v>
          </cell>
          <cell r="L1145" t="str">
            <v>Score</v>
          </cell>
          <cell r="O1145" t="str">
            <v>Status</v>
          </cell>
          <cell r="Q1145" t="str">
            <v>17|44</v>
          </cell>
        </row>
        <row r="1146">
          <cell r="E1146" t="str">
            <v>8. OWNER RISKS</v>
          </cell>
          <cell r="G1146" t="str">
            <v>B17-R1</v>
          </cell>
          <cell r="H1146" t="str">
            <v>All</v>
          </cell>
          <cell r="I1146" t="str">
            <v>Existing conditions for Room 118, B35A and Building 29 service path not field verified</v>
          </cell>
          <cell r="J1146" t="str">
            <v>High</v>
          </cell>
          <cell r="K1146" t="str">
            <v>Medium</v>
          </cell>
          <cell r="L1146">
            <v>6</v>
          </cell>
          <cell r="O1146" t="str">
            <v>Open</v>
          </cell>
          <cell r="Q1146" t="str">
            <v>17|45</v>
          </cell>
        </row>
        <row r="1147">
          <cell r="E1147" t="str">
            <v>8. OWNER RISKS</v>
          </cell>
          <cell r="G1147" t="str">
            <v>B17-R2</v>
          </cell>
          <cell r="H1147" t="str">
            <v>118</v>
          </cell>
          <cell r="I1147" t="str">
            <v>First-level hazardous material abatement plan exists</v>
          </cell>
          <cell r="J1147" t="str">
            <v>High</v>
          </cell>
          <cell r="K1147" t="str">
            <v>Medium</v>
          </cell>
          <cell r="L1147">
            <v>6</v>
          </cell>
          <cell r="O1147" t="str">
            <v>Open</v>
          </cell>
          <cell r="Q1147" t="str">
            <v>17|46</v>
          </cell>
        </row>
        <row r="1148">
          <cell r="E1148" t="str">
            <v>8. OWNER RISKS</v>
          </cell>
          <cell r="G1148" t="str">
            <v>B17-R3</v>
          </cell>
          <cell r="H1148" t="str">
            <v>B35A</v>
          </cell>
          <cell r="I1148" t="str">
            <v>Existing telecom equipment may remain active during cutover</v>
          </cell>
          <cell r="J1148" t="str">
            <v>Critical</v>
          </cell>
          <cell r="K1148" t="str">
            <v>Medium</v>
          </cell>
          <cell r="L1148">
            <v>8</v>
          </cell>
          <cell r="O1148" t="str">
            <v>Open</v>
          </cell>
          <cell r="Q1148" t="str">
            <v>17|47</v>
          </cell>
        </row>
        <row r="1149">
          <cell r="E1149" t="str">
            <v>8. OWNER RISKS</v>
          </cell>
          <cell r="G1149" t="str">
            <v>B17-R4</v>
          </cell>
          <cell r="H1149" t="str">
            <v>118</v>
          </cell>
          <cell r="I1149" t="str">
            <v>Dedicated cooling emergency power, condensate, BACnet and alarms not verified</v>
          </cell>
          <cell r="J1149" t="str">
            <v>Critical</v>
          </cell>
          <cell r="K1149" t="str">
            <v>Medium</v>
          </cell>
          <cell r="L1149">
            <v>8</v>
          </cell>
          <cell r="O1149" t="str">
            <v>Open</v>
          </cell>
          <cell r="Q1149" t="str">
            <v>17|48</v>
          </cell>
        </row>
        <row r="1150">
          <cell r="E1150" t="str">
            <v>8. OWNER RISKS</v>
          </cell>
          <cell r="G1150" t="str">
            <v>B17-R5</v>
          </cell>
          <cell r="H1150" t="str">
            <v>118</v>
          </cell>
          <cell r="I1150" t="str">
            <v>208V UPS/PDU and panel source coordination could delay energization</v>
          </cell>
          <cell r="J1150" t="str">
            <v>High</v>
          </cell>
          <cell r="K1150" t="str">
            <v>Medium</v>
          </cell>
          <cell r="L1150">
            <v>6</v>
          </cell>
          <cell r="O1150" t="str">
            <v>Open</v>
          </cell>
          <cell r="Q1150" t="str">
            <v>17|49</v>
          </cell>
        </row>
        <row r="1151">
          <cell r="E1151" t="str">
            <v>8. OWNER RISKS</v>
          </cell>
          <cell r="G1151" t="str">
            <v>B17-R6</v>
          </cell>
          <cell r="H1151" t="str">
            <v>118/B29 Path</v>
          </cell>
          <cell r="I1151" t="str">
            <v>Cable tray and pathway scope is large and crosses multiple levels/building service boundary</v>
          </cell>
          <cell r="J1151" t="str">
            <v>High</v>
          </cell>
          <cell r="K1151" t="str">
            <v>Medium</v>
          </cell>
          <cell r="L1151">
            <v>6</v>
          </cell>
          <cell r="O1151" t="str">
            <v>Open</v>
          </cell>
          <cell r="Q1151" t="str">
            <v>17|50</v>
          </cell>
        </row>
        <row r="1152">
          <cell r="E1152" t="str">
            <v>8. OWNER RISKS</v>
          </cell>
          <cell r="G1152" t="str">
            <v>B17-R7</v>
          </cell>
          <cell r="H1152" t="str">
            <v>All</v>
          </cell>
          <cell r="I1152" t="str">
            <v>Telecom/fiber cutover could affect active hospital communications across B17 and B29</v>
          </cell>
          <cell r="J1152" t="str">
            <v>Critical</v>
          </cell>
          <cell r="K1152" t="str">
            <v>Medium</v>
          </cell>
          <cell r="L1152">
            <v>8</v>
          </cell>
          <cell r="O1152" t="str">
            <v>Open</v>
          </cell>
          <cell r="Q1152" t="str">
            <v>17|51</v>
          </cell>
        </row>
        <row r="1153">
          <cell r="E1153" t="str">
            <v>8. OWNER RISKS</v>
          </cell>
          <cell r="G1153" t="str">
            <v>B17-R8</v>
          </cell>
          <cell r="H1153" t="str">
            <v>All</v>
          </cell>
          <cell r="I1153" t="str">
            <v>Commissioning/third-party inspection reports may not be complete at turnover</v>
          </cell>
          <cell r="J1153" t="str">
            <v>High</v>
          </cell>
          <cell r="K1153" t="str">
            <v>Medium</v>
          </cell>
          <cell r="L1153">
            <v>6</v>
          </cell>
          <cell r="O1153" t="str">
            <v>Open</v>
          </cell>
          <cell r="Q1153" t="str">
            <v>17|52</v>
          </cell>
        </row>
        <row r="1154">
          <cell r="E1154" t="str">
            <v>8. OWNER RISKS</v>
          </cell>
          <cell r="G1154">
            <v>0</v>
          </cell>
          <cell r="H1154">
            <v>0</v>
          </cell>
          <cell r="I1154">
            <v>0</v>
          </cell>
          <cell r="J1154">
            <v>0</v>
          </cell>
          <cell r="K1154">
            <v>0</v>
          </cell>
          <cell r="L1154">
            <v>0</v>
          </cell>
          <cell r="O1154">
            <v>0</v>
          </cell>
          <cell r="Q1154" t="str">
            <v>17|53</v>
          </cell>
        </row>
        <row r="1155">
          <cell r="E1155" t="str">
            <v>9. OPEN QUESTIONS</v>
          </cell>
          <cell r="G1155" t="str">
            <v>9. OPEN QUESTIONS</v>
          </cell>
          <cell r="H1155">
            <v>0</v>
          </cell>
          <cell r="I1155">
            <v>0</v>
          </cell>
          <cell r="J1155">
            <v>0</v>
          </cell>
          <cell r="K1155">
            <v>0</v>
          </cell>
          <cell r="L1155">
            <v>0</v>
          </cell>
          <cell r="O1155">
            <v>0</v>
          </cell>
          <cell r="Q1155" t="str">
            <v>17|54</v>
          </cell>
        </row>
        <row r="1156">
          <cell r="E1156" t="str">
            <v>9. OPEN QUESTIONS</v>
          </cell>
          <cell r="G1156" t="str">
            <v>Question ID</v>
          </cell>
          <cell r="H1156" t="str">
            <v>Question</v>
          </cell>
          <cell r="I1156" t="str">
            <v>Assigned To</v>
          </cell>
          <cell r="J1156" t="str">
            <v>Status</v>
          </cell>
          <cell r="K1156" t="str">
            <v>Needed By</v>
          </cell>
          <cell r="L1156" t="str">
            <v>Answer / Resolution</v>
          </cell>
          <cell r="O1156" t="str">
            <v>Date Closed</v>
          </cell>
          <cell r="Q1156" t="str">
            <v>17|55</v>
          </cell>
        </row>
        <row r="1157">
          <cell r="E1157" t="str">
            <v>9. OPEN QUESTIONS</v>
          </cell>
          <cell r="G1157" t="str">
            <v>B17-Q1</v>
          </cell>
          <cell r="H1157" t="str">
            <v>Confirm final telecom scope: new Room 118, existing B35A, and Building 29 served from B17?</v>
          </cell>
          <cell r="I1157" t="str">
            <v>VA / OIT / Designer</v>
          </cell>
          <cell r="J1157" t="str">
            <v>Open</v>
          </cell>
          <cell r="K1157">
            <v>0</v>
          </cell>
          <cell r="L1157">
            <v>0</v>
          </cell>
          <cell r="O1157">
            <v>0</v>
          </cell>
          <cell r="Q1157" t="str">
            <v>17|56</v>
          </cell>
        </row>
        <row r="1158">
          <cell r="E1158" t="str">
            <v>9. OPEN QUESTIONS</v>
          </cell>
          <cell r="G1158" t="str">
            <v>B17-Q2</v>
          </cell>
          <cell r="H1158" t="str">
            <v>What active services are currently fed from existing B35A equipment?</v>
          </cell>
          <cell r="I1158" t="str">
            <v>OIT / Contractor</v>
          </cell>
          <cell r="J1158" t="str">
            <v>Open</v>
          </cell>
          <cell r="K1158">
            <v>0</v>
          </cell>
          <cell r="L1158">
            <v>0</v>
          </cell>
          <cell r="O1158">
            <v>0</v>
          </cell>
          <cell r="Q1158" t="str">
            <v>17|57</v>
          </cell>
        </row>
        <row r="1159">
          <cell r="E1159" t="str">
            <v>9. OPEN QUESTIONS</v>
          </cell>
          <cell r="G1159" t="str">
            <v>B17-Q3</v>
          </cell>
          <cell r="H1159" t="str">
            <v>What exact Building 29 outlets/devices are served through TR17-118-1?</v>
          </cell>
          <cell r="I1159" t="str">
            <v>VA / OIT / Designer</v>
          </cell>
          <cell r="J1159" t="str">
            <v>Open</v>
          </cell>
          <cell r="K1159">
            <v>0</v>
          </cell>
          <cell r="L1159">
            <v>0</v>
          </cell>
          <cell r="O1159">
            <v>0</v>
          </cell>
          <cell r="Q1159" t="str">
            <v>17|58</v>
          </cell>
        </row>
        <row r="1160">
          <cell r="E1160" t="str">
            <v>9. OPEN QUESTIONS</v>
          </cell>
          <cell r="G1160" t="str">
            <v>B17-Q4</v>
          </cell>
          <cell r="H1160" t="str">
            <v>Is IU-1-01/CU-1-01 on emergency/backup power and dedicated to Room 118?</v>
          </cell>
          <cell r="I1160" t="str">
            <v>Mechanical / Electrical / VA</v>
          </cell>
          <cell r="J1160" t="str">
            <v>Open</v>
          </cell>
          <cell r="K1160">
            <v>0</v>
          </cell>
          <cell r="L1160">
            <v>0</v>
          </cell>
          <cell r="O1160">
            <v>0</v>
          </cell>
          <cell r="Q1160" t="str">
            <v>17|59</v>
          </cell>
        </row>
        <row r="1161">
          <cell r="E1161" t="str">
            <v>9. OPEN QUESTIONS</v>
          </cell>
          <cell r="G1161" t="str">
            <v>B17-Q5</v>
          </cell>
          <cell r="H1161" t="str">
            <v>Where is the clean-agent/CO2 extinguisher cabinet located within 75 ft of Room 118?</v>
          </cell>
          <cell r="I1161" t="str">
            <v>GC / COR</v>
          </cell>
          <cell r="J1161" t="str">
            <v>Open</v>
          </cell>
          <cell r="K1161">
            <v>0</v>
          </cell>
          <cell r="L1161">
            <v>0</v>
          </cell>
          <cell r="O1161">
            <v>0</v>
          </cell>
          <cell r="Q1161" t="str">
            <v>17|60</v>
          </cell>
        </row>
        <row r="1162">
          <cell r="E1162" t="str">
            <v>9. OPEN QUESTIONS</v>
          </cell>
          <cell r="G1162" t="str">
            <v>B17-Q6</v>
          </cell>
          <cell r="H1162" t="str">
            <v>Are B17-TR118A/B sources, rack receptacles, SPDs, circuit labels and load measurements approved?</v>
          </cell>
          <cell r="I1162" t="str">
            <v>Electrical / Designer</v>
          </cell>
          <cell r="J1162" t="str">
            <v>Open</v>
          </cell>
          <cell r="K1162">
            <v>0</v>
          </cell>
          <cell r="L1162">
            <v>0</v>
          </cell>
          <cell r="O1162">
            <v>0</v>
          </cell>
          <cell r="Q1162" t="str">
            <v>17|61</v>
          </cell>
        </row>
        <row r="1163">
          <cell r="E1163" t="str">
            <v>9. OPEN QUESTIONS</v>
          </cell>
          <cell r="G1163" t="str">
            <v>B17-Q7</v>
          </cell>
          <cell r="H1163" t="str">
            <v>Are all rated wall/floor penetrations, sleeves, cable tray entries and firestopping details identified?</v>
          </cell>
          <cell r="I1163" t="str">
            <v>GC / Firestop</v>
          </cell>
          <cell r="J1163" t="str">
            <v>Open</v>
          </cell>
          <cell r="K1163">
            <v>0</v>
          </cell>
          <cell r="L1163">
            <v>0</v>
          </cell>
          <cell r="O1163">
            <v>0</v>
          </cell>
          <cell r="Q1163" t="str">
            <v>17|62</v>
          </cell>
        </row>
        <row r="1164">
          <cell r="E1164" t="str">
            <v>9. OPEN QUESTIONS</v>
          </cell>
          <cell r="G1164" t="str">
            <v>B17-Q8</v>
          </cell>
          <cell r="H1164" t="str">
            <v>Which third-party inspections and commissioning forms are required before VA acceptance?</v>
          </cell>
          <cell r="I1164" t="str">
            <v>GC / Cx Manager</v>
          </cell>
          <cell r="J1164" t="str">
            <v>Open</v>
          </cell>
          <cell r="K1164">
            <v>0</v>
          </cell>
          <cell r="L1164">
            <v>0</v>
          </cell>
          <cell r="O1164">
            <v>0</v>
          </cell>
          <cell r="Q1164" t="str">
            <v>17|63</v>
          </cell>
        </row>
        <row r="1165">
          <cell r="E1165" t="str">
            <v>9. OPEN QUESTIONS</v>
          </cell>
          <cell r="G1165">
            <v>0</v>
          </cell>
          <cell r="H1165">
            <v>0</v>
          </cell>
          <cell r="I1165">
            <v>0</v>
          </cell>
          <cell r="J1165">
            <v>0</v>
          </cell>
          <cell r="K1165">
            <v>0</v>
          </cell>
          <cell r="L1165">
            <v>0</v>
          </cell>
          <cell r="O1165">
            <v>0</v>
          </cell>
          <cell r="Q1165" t="str">
            <v>17|64</v>
          </cell>
        </row>
        <row r="1166">
          <cell r="E1166" t="str">
            <v>10. PHOTO LOG</v>
          </cell>
          <cell r="G1166" t="str">
            <v>10. PHOTO LOG</v>
          </cell>
          <cell r="H1166">
            <v>0</v>
          </cell>
          <cell r="I1166">
            <v>0</v>
          </cell>
          <cell r="J1166">
            <v>0</v>
          </cell>
          <cell r="K1166">
            <v>0</v>
          </cell>
          <cell r="L1166">
            <v>0</v>
          </cell>
          <cell r="O1166">
            <v>0</v>
          </cell>
          <cell r="Q1166" t="str">
            <v>17|65</v>
          </cell>
        </row>
        <row r="1167">
          <cell r="E1167" t="str">
            <v>10. PHOTO LOG</v>
          </cell>
          <cell r="G1167" t="str">
            <v>Photo ID</v>
          </cell>
          <cell r="H1167" t="str">
            <v>Room</v>
          </cell>
          <cell r="I1167" t="str">
            <v>Category</v>
          </cell>
          <cell r="J1167" t="str">
            <v>Description</v>
          </cell>
          <cell r="K1167" t="str">
            <v>Date</v>
          </cell>
          <cell r="L1167" t="str">
            <v>Taken By</v>
          </cell>
          <cell r="O1167" t="str">
            <v>Status</v>
          </cell>
          <cell r="Q1167" t="str">
            <v>17|66</v>
          </cell>
        </row>
        <row r="1168">
          <cell r="E1168" t="str">
            <v>10. PHOTO LOG</v>
          </cell>
          <cell r="G1168" t="str">
            <v>B17-P001</v>
          </cell>
          <cell r="H1168" t="str">
            <v>118</v>
          </cell>
          <cell r="I1168" t="str">
            <v>Existing Condition</v>
          </cell>
          <cell r="J1168" t="str">
            <v>Room 118 walls, ceiling/deck, floor, door, adjacent Lab/Freezer/Research/Corridor areas, rack location, pathways and penetrations</v>
          </cell>
          <cell r="K1168">
            <v>0</v>
          </cell>
          <cell r="L1168" t="str">
            <v>Paul</v>
          </cell>
          <cell r="O1168" t="str">
            <v>Open</v>
          </cell>
          <cell r="Q1168" t="str">
            <v>17|67</v>
          </cell>
        </row>
        <row r="1169">
          <cell r="E1169" t="str">
            <v>10. PHOTO LOG</v>
          </cell>
          <cell r="G1169" t="str">
            <v>B17-P002</v>
          </cell>
          <cell r="H1169" t="str">
            <v>B35A</v>
          </cell>
          <cell r="I1169" t="str">
            <v>Existing Condition</v>
          </cell>
          <cell r="J1169" t="str">
            <v>Existing Telecom Closet B35A wall TE, SERTEX service ports, legacy patch panels, Cisco switches, security cabinet, plywood backboard, indoor AC and floor UPS</v>
          </cell>
          <cell r="K1169">
            <v>0</v>
          </cell>
          <cell r="L1169" t="str">
            <v>Paul</v>
          </cell>
          <cell r="O1169" t="str">
            <v>Open</v>
          </cell>
          <cell r="Q1169" t="str">
            <v>17|68</v>
          </cell>
        </row>
        <row r="1170">
          <cell r="E1170" t="str">
            <v>10. PHOTO LOG</v>
          </cell>
          <cell r="G1170" t="str">
            <v>B17-P003</v>
          </cell>
          <cell r="H1170" t="str">
            <v>B29 Path</v>
          </cell>
          <cell r="I1170" t="str">
            <v>Pathway</v>
          </cell>
          <cell r="J1170" t="str">
            <v>Path to B29 4-inch PVC, fiber route, penetrations, handoff points and labeling</v>
          </cell>
          <cell r="K1170">
            <v>0</v>
          </cell>
          <cell r="L1170" t="str">
            <v>Paul</v>
          </cell>
          <cell r="O1170" t="str">
            <v>Open</v>
          </cell>
          <cell r="Q1170" t="str">
            <v>17|69</v>
          </cell>
        </row>
        <row r="1171">
          <cell r="E1171" t="str">
            <v>10. PHOTO LOG</v>
          </cell>
          <cell r="G1171" t="str">
            <v>B17-P004</v>
          </cell>
          <cell r="H1171" t="str">
            <v>118</v>
          </cell>
          <cell r="I1171" t="str">
            <v>Hazardous Materials</v>
          </cell>
          <cell r="J1171" t="str">
            <v>First-level abatement-related materials, flooring, walls, ceiling/penetrations, and disturbance areas</v>
          </cell>
          <cell r="K1171">
            <v>0</v>
          </cell>
          <cell r="L1171" t="str">
            <v>Paul</v>
          </cell>
          <cell r="O1171" t="str">
            <v>Open</v>
          </cell>
          <cell r="Q1171" t="str">
            <v>17|70</v>
          </cell>
        </row>
        <row r="1172">
          <cell r="E1172" t="str">
            <v>10. PHOTO LOG</v>
          </cell>
          <cell r="G1172" t="str">
            <v>B17-P005</v>
          </cell>
          <cell r="H1172" t="str">
            <v>118/B29</v>
          </cell>
          <cell r="I1172" t="str">
            <v>Firestop</v>
          </cell>
          <cell r="J1172" t="str">
            <v>All wall/floor/sleeve/tray penetrations before and after firestop, including B29 pathway</v>
          </cell>
          <cell r="K1172">
            <v>0</v>
          </cell>
          <cell r="L1172" t="str">
            <v>Paul</v>
          </cell>
          <cell r="O1172" t="str">
            <v>Open</v>
          </cell>
          <cell r="Q1172" t="str">
            <v>17|71</v>
          </cell>
        </row>
        <row r="1173">
          <cell r="E1173" t="str">
            <v>10. PHOTO LOG</v>
          </cell>
          <cell r="G1173" t="str">
            <v>B17-P006</v>
          </cell>
          <cell r="H1173" t="str">
            <v>118</v>
          </cell>
          <cell r="I1173" t="str">
            <v>HVAC</v>
          </cell>
          <cell r="J1173" t="str">
            <v>IU-1-01/CU-1-01, condensate, thermostat, BACnet adapter, disconnects, high-temp alarm and power source</v>
          </cell>
          <cell r="K1173">
            <v>0</v>
          </cell>
          <cell r="L1173" t="str">
            <v>Paul</v>
          </cell>
          <cell r="O1173" t="str">
            <v>Open</v>
          </cell>
          <cell r="Q1173" t="str">
            <v>17|72</v>
          </cell>
        </row>
        <row r="1174">
          <cell r="E1174" t="str">
            <v>10. PHOTO LOG</v>
          </cell>
          <cell r="G1174" t="str">
            <v>B17-P007</v>
          </cell>
          <cell r="H1174" t="str">
            <v>118</v>
          </cell>
          <cell r="I1174" t="str">
            <v>Electrical</v>
          </cell>
          <cell r="J1174" t="str">
            <v>B17-TR118A/B panels, BUS-B17-EQDP, BUS-B17-NPB1-R, rack receptacles, breakers, SPD, access controller, lighting, CU-1-01 and labels</v>
          </cell>
          <cell r="K1174">
            <v>0</v>
          </cell>
          <cell r="L1174" t="str">
            <v>Paul</v>
          </cell>
          <cell r="O1174" t="str">
            <v>Open</v>
          </cell>
          <cell r="Q1174" t="str">
            <v>17|73</v>
          </cell>
        </row>
        <row r="1175">
          <cell r="E1175" t="str">
            <v>10. PHOTO LOG</v>
          </cell>
          <cell r="G1175" t="str">
            <v>B17-P008</v>
          </cell>
          <cell r="H1175" t="str">
            <v>118/B35A/B29</v>
          </cell>
          <cell r="I1175" t="str">
            <v>Telecom/Security</v>
          </cell>
          <cell r="J1175" t="str">
            <v>New rack/future rack, fiber path A/B, Cat6A, patch panels, LIU, labels/test records, 118-CAM-01 and existing B35A transfer work</v>
          </cell>
          <cell r="K1175">
            <v>0</v>
          </cell>
          <cell r="L1175" t="str">
            <v>Paul</v>
          </cell>
          <cell r="O1175" t="str">
            <v>Open</v>
          </cell>
          <cell r="Q1175" t="str">
            <v>17|74</v>
          </cell>
        </row>
        <row r="1176">
          <cell r="E1176" t="str">
            <v>10. PHOTO LOG</v>
          </cell>
          <cell r="G1176">
            <v>0</v>
          </cell>
          <cell r="H1176">
            <v>0</v>
          </cell>
          <cell r="I1176">
            <v>0</v>
          </cell>
          <cell r="J1176">
            <v>0</v>
          </cell>
          <cell r="K1176">
            <v>0</v>
          </cell>
          <cell r="L1176">
            <v>0</v>
          </cell>
          <cell r="O1176">
            <v>0</v>
          </cell>
          <cell r="Q1176" t="str">
            <v>17|75</v>
          </cell>
        </row>
        <row r="1177">
          <cell r="E1177" t="str">
            <v>1. ROOM INVENTORY</v>
          </cell>
          <cell r="G1177" t="str">
            <v>1. ROOM INVENTORY</v>
          </cell>
          <cell r="H1177">
            <v>0</v>
          </cell>
          <cell r="I1177">
            <v>0</v>
          </cell>
          <cell r="J1177">
            <v>0</v>
          </cell>
          <cell r="K1177">
            <v>0</v>
          </cell>
          <cell r="L1177">
            <v>0</v>
          </cell>
          <cell r="O1177">
            <v>0</v>
          </cell>
          <cell r="Q1177" t="str">
            <v>18|1</v>
          </cell>
        </row>
        <row r="1178">
          <cell r="E1178" t="str">
            <v>1. ROOM INVENTORY</v>
          </cell>
          <cell r="G1178" t="str">
            <v>Building</v>
          </cell>
          <cell r="H1178" t="str">
            <v>Room</v>
          </cell>
          <cell r="I1178" t="str">
            <v>Floor</v>
          </cell>
          <cell r="J1178" t="str">
            <v>Existing Use</v>
          </cell>
          <cell r="K1178" t="str">
            <v>New Use</v>
          </cell>
          <cell r="L1178" t="str">
            <v>Rack Count</v>
          </cell>
          <cell r="O1178" t="str">
            <v>Drawing Ref</v>
          </cell>
          <cell r="Q1178" t="str">
            <v>18|2</v>
          </cell>
        </row>
        <row r="1179">
          <cell r="E1179" t="str">
            <v>1. ROOM INVENTORY</v>
          </cell>
          <cell r="G1179" t="str">
            <v>18</v>
          </cell>
          <cell r="H1179" t="str">
            <v>110</v>
          </cell>
          <cell r="I1179" t="str">
            <v>First</v>
          </cell>
          <cell r="J1179" t="str">
            <v>New telecom room build area</v>
          </cell>
          <cell r="K1179" t="str">
            <v>Telecom Room</v>
          </cell>
          <cell r="L1179">
            <v>1</v>
          </cell>
          <cell r="O1179" t="str">
            <v>18A-401 / 18E-101 / 18T-100 / 18T-401 / 18T-604 / 18T-701</v>
          </cell>
          <cell r="Q1179" t="str">
            <v>18|3</v>
          </cell>
        </row>
        <row r="1180">
          <cell r="E1180" t="str">
            <v>1. ROOM INVENTORY</v>
          </cell>
          <cell r="G1180" t="str">
            <v>18</v>
          </cell>
          <cell r="H1180" t="str">
            <v>111B</v>
          </cell>
          <cell r="I1180" t="str">
            <v>First</v>
          </cell>
          <cell r="J1180" t="str">
            <v>Existing TE / stair-adjacent legacy equipment area</v>
          </cell>
          <cell r="K1180" t="str">
            <v>Existing telecom transition point</v>
          </cell>
          <cell r="L1180">
            <v>1</v>
          </cell>
          <cell r="O1180" t="str">
            <v>18T-401 / 18T-604 / 18R-900</v>
          </cell>
          <cell r="Q1180" t="str">
            <v>18|4</v>
          </cell>
        </row>
        <row r="1181">
          <cell r="E1181" t="str">
            <v>1. ROOM INVENTORY</v>
          </cell>
          <cell r="G1181" t="str">
            <v>18</v>
          </cell>
          <cell r="H1181" t="str">
            <v>213</v>
          </cell>
          <cell r="I1181" t="str">
            <v>Second</v>
          </cell>
          <cell r="J1181" t="str">
            <v>Existing telecom closet / legacy equipment area</v>
          </cell>
          <cell r="K1181" t="str">
            <v>Existing telecom transition point</v>
          </cell>
          <cell r="L1181">
            <v>1</v>
          </cell>
          <cell r="O1181" t="str">
            <v>18T-401 / 18T-604 / 18R-900</v>
          </cell>
          <cell r="Q1181" t="str">
            <v>18|5</v>
          </cell>
        </row>
        <row r="1182">
          <cell r="E1182" t="str">
            <v>1. ROOM INVENTORY</v>
          </cell>
          <cell r="G1182">
            <v>0</v>
          </cell>
          <cell r="H1182">
            <v>0</v>
          </cell>
          <cell r="I1182">
            <v>0</v>
          </cell>
          <cell r="J1182">
            <v>0</v>
          </cell>
          <cell r="K1182">
            <v>0</v>
          </cell>
          <cell r="L1182">
            <v>0</v>
          </cell>
          <cell r="O1182">
            <v>0</v>
          </cell>
          <cell r="Q1182" t="str">
            <v>18|6</v>
          </cell>
        </row>
        <row r="1183">
          <cell r="E1183" t="str">
            <v>2. ROOM READINESS</v>
          </cell>
          <cell r="G1183" t="str">
            <v>2. ROOM READINESS</v>
          </cell>
          <cell r="H1183">
            <v>0</v>
          </cell>
          <cell r="I1183">
            <v>0</v>
          </cell>
          <cell r="J1183">
            <v>0</v>
          </cell>
          <cell r="K1183">
            <v>0</v>
          </cell>
          <cell r="L1183">
            <v>0</v>
          </cell>
          <cell r="O1183">
            <v>0</v>
          </cell>
          <cell r="Q1183" t="str">
            <v>18|7</v>
          </cell>
        </row>
        <row r="1184">
          <cell r="E1184" t="str">
            <v>2. ROOM READINESS</v>
          </cell>
          <cell r="G1184" t="str">
            <v>Room</v>
          </cell>
          <cell r="H1184" t="str">
            <v>Walls / 1-hr Rating</v>
          </cell>
          <cell r="I1184" t="str">
            <v>Ceiling</v>
          </cell>
          <cell r="J1184" t="str">
            <v>Floor / SDC</v>
          </cell>
          <cell r="K1184" t="str">
            <v>Penetrations</v>
          </cell>
          <cell r="L1184" t="str">
            <v>Access Control</v>
          </cell>
          <cell r="O1184" t="str">
            <v>Overall</v>
          </cell>
          <cell r="Q1184" t="str">
            <v>18|8</v>
          </cell>
        </row>
        <row r="1185">
          <cell r="E1185" t="str">
            <v>2. ROOM READINESS</v>
          </cell>
          <cell r="G1185" t="str">
            <v>110</v>
          </cell>
          <cell r="H1185" t="str">
            <v>Verify</v>
          </cell>
          <cell r="I1185" t="str">
            <v>Verify</v>
          </cell>
          <cell r="J1185" t="str">
            <v>Verify</v>
          </cell>
          <cell r="K1185" t="str">
            <v>Verify</v>
          </cell>
          <cell r="L1185" t="str">
            <v>Verify</v>
          </cell>
          <cell r="O1185" t="str">
            <v>Verify</v>
          </cell>
          <cell r="Q1185" t="str">
            <v>18|9</v>
          </cell>
        </row>
        <row r="1186">
          <cell r="E1186" t="str">
            <v>2. ROOM READINESS</v>
          </cell>
          <cell r="G1186" t="str">
            <v>111B</v>
          </cell>
          <cell r="H1186" t="str">
            <v>Existing / Verify</v>
          </cell>
          <cell r="I1186" t="str">
            <v>Existing / Verify</v>
          </cell>
          <cell r="J1186" t="str">
            <v>Existing / Verify</v>
          </cell>
          <cell r="K1186" t="str">
            <v>Verify</v>
          </cell>
          <cell r="L1186" t="str">
            <v>Verify</v>
          </cell>
          <cell r="O1186" t="str">
            <v>Verify</v>
          </cell>
          <cell r="Q1186" t="str">
            <v>18|10</v>
          </cell>
        </row>
        <row r="1187">
          <cell r="E1187" t="str">
            <v>2. ROOM READINESS</v>
          </cell>
          <cell r="G1187" t="str">
            <v>213</v>
          </cell>
          <cell r="H1187" t="str">
            <v>Existing / Verify</v>
          </cell>
          <cell r="I1187" t="str">
            <v>Existing / Verify</v>
          </cell>
          <cell r="J1187" t="str">
            <v>Existing / Verify</v>
          </cell>
          <cell r="K1187" t="str">
            <v>Verify</v>
          </cell>
          <cell r="L1187" t="str">
            <v>Verify</v>
          </cell>
          <cell r="O1187" t="str">
            <v>Verify</v>
          </cell>
          <cell r="Q1187" t="str">
            <v>18|11</v>
          </cell>
        </row>
        <row r="1188">
          <cell r="E1188" t="str">
            <v>2. ROOM READINESS</v>
          </cell>
          <cell r="G1188">
            <v>0</v>
          </cell>
          <cell r="H1188">
            <v>0</v>
          </cell>
          <cell r="I1188">
            <v>0</v>
          </cell>
          <cell r="J1188">
            <v>0</v>
          </cell>
          <cell r="K1188">
            <v>0</v>
          </cell>
          <cell r="L1188">
            <v>0</v>
          </cell>
          <cell r="O1188">
            <v>0</v>
          </cell>
          <cell r="Q1188" t="str">
            <v>18|12</v>
          </cell>
        </row>
        <row r="1189">
          <cell r="E1189" t="str">
            <v>3. FIRE PROTECTION</v>
          </cell>
          <cell r="G1189" t="str">
            <v>3. FIRE PROTECTION</v>
          </cell>
          <cell r="H1189">
            <v>0</v>
          </cell>
          <cell r="I1189">
            <v>0</v>
          </cell>
          <cell r="J1189">
            <v>0</v>
          </cell>
          <cell r="K1189">
            <v>0</v>
          </cell>
          <cell r="L1189">
            <v>0</v>
          </cell>
          <cell r="O1189">
            <v>0</v>
          </cell>
          <cell r="Q1189" t="str">
            <v>18|13</v>
          </cell>
        </row>
        <row r="1190">
          <cell r="E1190" t="str">
            <v>3. FIRE PROTECTION</v>
          </cell>
          <cell r="G1190" t="str">
            <v>Room</v>
          </cell>
          <cell r="H1190" t="str">
            <v>Sprinkler</v>
          </cell>
          <cell r="I1190" t="str">
            <v>Cage</v>
          </cell>
          <cell r="J1190" t="str">
            <v>Detector</v>
          </cell>
          <cell r="K1190" t="str">
            <v>Horn/Strobe</v>
          </cell>
          <cell r="L1190" t="str">
            <v>Extinguisher &lt;75 ft</v>
          </cell>
          <cell r="O1190" t="str">
            <v>Overall</v>
          </cell>
          <cell r="Q1190" t="str">
            <v>18|14</v>
          </cell>
        </row>
        <row r="1191">
          <cell r="E1191" t="str">
            <v>3. FIRE PROTECTION</v>
          </cell>
          <cell r="G1191" t="str">
            <v>110</v>
          </cell>
          <cell r="H1191" t="str">
            <v>Verify</v>
          </cell>
          <cell r="I1191" t="str">
            <v>Verify</v>
          </cell>
          <cell r="J1191" t="str">
            <v>Verify</v>
          </cell>
          <cell r="K1191" t="str">
            <v>Verify</v>
          </cell>
          <cell r="L1191" t="str">
            <v>Verify</v>
          </cell>
          <cell r="O1191" t="str">
            <v>Verify</v>
          </cell>
          <cell r="Q1191" t="str">
            <v>18|15</v>
          </cell>
        </row>
        <row r="1192">
          <cell r="E1192" t="str">
            <v>3. FIRE PROTECTION</v>
          </cell>
          <cell r="G1192" t="str">
            <v>111B</v>
          </cell>
          <cell r="H1192" t="str">
            <v>Verify</v>
          </cell>
          <cell r="I1192" t="str">
            <v>N/A</v>
          </cell>
          <cell r="J1192" t="str">
            <v>Verify</v>
          </cell>
          <cell r="K1192" t="str">
            <v>Verify</v>
          </cell>
          <cell r="L1192" t="str">
            <v>Verify</v>
          </cell>
          <cell r="O1192" t="str">
            <v>Verify</v>
          </cell>
          <cell r="Q1192" t="str">
            <v>18|16</v>
          </cell>
        </row>
        <row r="1193">
          <cell r="E1193" t="str">
            <v>3. FIRE PROTECTION</v>
          </cell>
          <cell r="G1193" t="str">
            <v>213</v>
          </cell>
          <cell r="H1193" t="str">
            <v>Verify</v>
          </cell>
          <cell r="I1193" t="str">
            <v>N/A</v>
          </cell>
          <cell r="J1193" t="str">
            <v>Verify</v>
          </cell>
          <cell r="K1193" t="str">
            <v>Verify</v>
          </cell>
          <cell r="L1193" t="str">
            <v>Verify</v>
          </cell>
          <cell r="O1193" t="str">
            <v>Verify</v>
          </cell>
          <cell r="Q1193" t="str">
            <v>18|17</v>
          </cell>
        </row>
        <row r="1194">
          <cell r="E1194" t="str">
            <v>3. FIRE PROTECTION</v>
          </cell>
          <cell r="G1194">
            <v>0</v>
          </cell>
          <cell r="H1194">
            <v>0</v>
          </cell>
          <cell r="I1194">
            <v>0</v>
          </cell>
          <cell r="J1194">
            <v>0</v>
          </cell>
          <cell r="K1194">
            <v>0</v>
          </cell>
          <cell r="L1194">
            <v>0</v>
          </cell>
          <cell r="O1194">
            <v>0</v>
          </cell>
          <cell r="Q1194" t="str">
            <v>18|18</v>
          </cell>
        </row>
        <row r="1195">
          <cell r="E1195" t="str">
            <v>4. HVAC / COOLING</v>
          </cell>
          <cell r="G1195" t="str">
            <v>4. HVAC / COOLING</v>
          </cell>
          <cell r="H1195">
            <v>0</v>
          </cell>
          <cell r="I1195">
            <v>0</v>
          </cell>
          <cell r="J1195">
            <v>0</v>
          </cell>
          <cell r="K1195">
            <v>0</v>
          </cell>
          <cell r="L1195">
            <v>0</v>
          </cell>
          <cell r="O1195">
            <v>0</v>
          </cell>
          <cell r="Q1195" t="str">
            <v>18|19</v>
          </cell>
        </row>
        <row r="1196">
          <cell r="E1196" t="str">
            <v>4. HVAC / COOLING</v>
          </cell>
          <cell r="G1196" t="str">
            <v>Room</v>
          </cell>
          <cell r="H1196" t="str">
            <v>Dedicated Unit</v>
          </cell>
          <cell r="I1196" t="str">
            <v>Capacity Verified</v>
          </cell>
          <cell r="J1196" t="str">
            <v>Emergency Power</v>
          </cell>
          <cell r="K1196" t="str">
            <v>Controls / BACnet</v>
          </cell>
          <cell r="L1196" t="str">
            <v>Condensate Routed</v>
          </cell>
          <cell r="O1196" t="str">
            <v>Overall</v>
          </cell>
          <cell r="Q1196" t="str">
            <v>18|20</v>
          </cell>
        </row>
        <row r="1197">
          <cell r="E1197" t="str">
            <v>4. HVAC / COOLING</v>
          </cell>
          <cell r="G1197" t="str">
            <v>110</v>
          </cell>
          <cell r="H1197" t="str">
            <v>IU-1-01 / CU-1-01</v>
          </cell>
          <cell r="I1197" t="str">
            <v>Verify</v>
          </cell>
          <cell r="J1197" t="str">
            <v>Verify</v>
          </cell>
          <cell r="K1197" t="str">
            <v>Verify</v>
          </cell>
          <cell r="L1197" t="str">
            <v>Verify</v>
          </cell>
          <cell r="O1197" t="str">
            <v>Verify</v>
          </cell>
          <cell r="Q1197" t="str">
            <v>18|21</v>
          </cell>
        </row>
        <row r="1198">
          <cell r="E1198" t="str">
            <v>4. HVAC / COOLING</v>
          </cell>
          <cell r="G1198" t="str">
            <v>111B</v>
          </cell>
          <cell r="H1198" t="str">
            <v>Existing / Verify</v>
          </cell>
          <cell r="I1198" t="str">
            <v>Verify</v>
          </cell>
          <cell r="J1198" t="str">
            <v>Verify</v>
          </cell>
          <cell r="K1198" t="str">
            <v>Verify</v>
          </cell>
          <cell r="L1198" t="str">
            <v>Verify</v>
          </cell>
          <cell r="O1198" t="str">
            <v>Verify</v>
          </cell>
          <cell r="Q1198" t="str">
            <v>18|22</v>
          </cell>
        </row>
        <row r="1199">
          <cell r="E1199" t="str">
            <v>4. HVAC / COOLING</v>
          </cell>
          <cell r="G1199" t="str">
            <v>213</v>
          </cell>
          <cell r="H1199" t="str">
            <v>Existing / Verify</v>
          </cell>
          <cell r="I1199" t="str">
            <v>Verify</v>
          </cell>
          <cell r="J1199" t="str">
            <v>Verify</v>
          </cell>
          <cell r="K1199" t="str">
            <v>Verify</v>
          </cell>
          <cell r="L1199" t="str">
            <v>Verify</v>
          </cell>
          <cell r="O1199" t="str">
            <v>Verify</v>
          </cell>
          <cell r="Q1199" t="str">
            <v>18|23</v>
          </cell>
        </row>
        <row r="1200">
          <cell r="E1200" t="str">
            <v>4. HVAC / COOLING</v>
          </cell>
          <cell r="G1200">
            <v>0</v>
          </cell>
          <cell r="H1200">
            <v>0</v>
          </cell>
          <cell r="I1200">
            <v>0</v>
          </cell>
          <cell r="J1200">
            <v>0</v>
          </cell>
          <cell r="K1200">
            <v>0</v>
          </cell>
          <cell r="L1200">
            <v>0</v>
          </cell>
          <cell r="O1200">
            <v>0</v>
          </cell>
          <cell r="Q1200" t="str">
            <v>18|24</v>
          </cell>
        </row>
        <row r="1201">
          <cell r="E1201" t="str">
            <v>5. ELECTRICAL / UPS</v>
          </cell>
          <cell r="G1201" t="str">
            <v>5. ELECTRICAL / UPS</v>
          </cell>
          <cell r="H1201">
            <v>0</v>
          </cell>
          <cell r="I1201">
            <v>0</v>
          </cell>
          <cell r="J1201">
            <v>0</v>
          </cell>
          <cell r="K1201">
            <v>0</v>
          </cell>
          <cell r="L1201">
            <v>0</v>
          </cell>
          <cell r="O1201">
            <v>0</v>
          </cell>
          <cell r="Q1201" t="str">
            <v>18|25</v>
          </cell>
        </row>
        <row r="1202">
          <cell r="E1202" t="str">
            <v>5. ELECTRICAL / UPS</v>
          </cell>
          <cell r="G1202" t="str">
            <v>Room</v>
          </cell>
          <cell r="H1202" t="str">
            <v>UPS Installed</v>
          </cell>
          <cell r="I1202" t="str">
            <v>UPS Size</v>
          </cell>
          <cell r="J1202" t="str">
            <v>PDU Installed</v>
          </cell>
          <cell r="K1202" t="str">
            <v>Rack Receptacles</v>
          </cell>
          <cell r="L1202" t="str">
            <v>Panel Assigned</v>
          </cell>
          <cell r="O1202" t="str">
            <v>Overall</v>
          </cell>
          <cell r="Q1202" t="str">
            <v>18|26</v>
          </cell>
        </row>
        <row r="1203">
          <cell r="E1203" t="str">
            <v>5. ELECTRICAL / UPS</v>
          </cell>
          <cell r="G1203" t="str">
            <v>110</v>
          </cell>
          <cell r="H1203" t="str">
            <v>Verify</v>
          </cell>
          <cell r="I1203" t="str">
            <v>5 kW / 208V rack UPS</v>
          </cell>
          <cell r="J1203" t="str">
            <v>Verify</v>
          </cell>
          <cell r="K1203" t="str">
            <v>Verify</v>
          </cell>
          <cell r="L1203" t="str">
            <v>B18-TR110A / B18-TR110B</v>
          </cell>
          <cell r="O1203" t="str">
            <v>Verify</v>
          </cell>
          <cell r="Q1203" t="str">
            <v>18|27</v>
          </cell>
        </row>
        <row r="1204">
          <cell r="E1204" t="str">
            <v>5. ELECTRICAL / UPS</v>
          </cell>
          <cell r="G1204" t="str">
            <v>111B</v>
          </cell>
          <cell r="H1204" t="str">
            <v>Existing</v>
          </cell>
          <cell r="I1204" t="str">
            <v>Existing floor UPS</v>
          </cell>
          <cell r="J1204" t="str">
            <v>Existing</v>
          </cell>
          <cell r="K1204" t="str">
            <v>Verify</v>
          </cell>
          <cell r="L1204" t="str">
            <v>Existing / Verify</v>
          </cell>
          <cell r="O1204" t="str">
            <v>Verify</v>
          </cell>
          <cell r="Q1204" t="str">
            <v>18|28</v>
          </cell>
        </row>
        <row r="1205">
          <cell r="E1205" t="str">
            <v>5. ELECTRICAL / UPS</v>
          </cell>
          <cell r="G1205" t="str">
            <v>213</v>
          </cell>
          <cell r="H1205" t="str">
            <v>Existing</v>
          </cell>
          <cell r="I1205" t="str">
            <v>Existing APC floor UPS</v>
          </cell>
          <cell r="J1205" t="str">
            <v>Existing</v>
          </cell>
          <cell r="K1205" t="str">
            <v>Verify</v>
          </cell>
          <cell r="L1205" t="str">
            <v>Existing / Verify</v>
          </cell>
          <cell r="O1205" t="str">
            <v>Verify</v>
          </cell>
          <cell r="Q1205" t="str">
            <v>18|29</v>
          </cell>
        </row>
        <row r="1206">
          <cell r="E1206" t="str">
            <v>5. ELECTRICAL / UPS</v>
          </cell>
          <cell r="G1206">
            <v>0</v>
          </cell>
          <cell r="H1206">
            <v>0</v>
          </cell>
          <cell r="I1206">
            <v>0</v>
          </cell>
          <cell r="J1206">
            <v>0</v>
          </cell>
          <cell r="K1206">
            <v>0</v>
          </cell>
          <cell r="L1206">
            <v>0</v>
          </cell>
          <cell r="O1206">
            <v>0</v>
          </cell>
          <cell r="Q1206" t="str">
            <v>18|30</v>
          </cell>
        </row>
        <row r="1207">
          <cell r="E1207" t="str">
            <v>6. TELECOMMUNICATIONS</v>
          </cell>
          <cell r="G1207" t="str">
            <v>6. TELECOMMUNICATIONS</v>
          </cell>
          <cell r="H1207">
            <v>0</v>
          </cell>
          <cell r="I1207">
            <v>0</v>
          </cell>
          <cell r="J1207">
            <v>0</v>
          </cell>
          <cell r="K1207">
            <v>0</v>
          </cell>
          <cell r="L1207">
            <v>0</v>
          </cell>
          <cell r="O1207">
            <v>0</v>
          </cell>
          <cell r="Q1207" t="str">
            <v>18|31</v>
          </cell>
        </row>
        <row r="1208">
          <cell r="E1208" t="str">
            <v>6. TELECOMMUNICATIONS</v>
          </cell>
          <cell r="G1208" t="str">
            <v>Room</v>
          </cell>
          <cell r="H1208" t="str">
            <v>Rack Installed</v>
          </cell>
          <cell r="I1208" t="str">
            <v>Ladder Tray</v>
          </cell>
          <cell r="J1208" t="str">
            <v>Fiber Installed</v>
          </cell>
          <cell r="K1208" t="str">
            <v>Grounding</v>
          </cell>
          <cell r="L1208" t="str">
            <v>Labeling</v>
          </cell>
          <cell r="O1208" t="str">
            <v>Overall</v>
          </cell>
          <cell r="Q1208" t="str">
            <v>18|32</v>
          </cell>
        </row>
        <row r="1209">
          <cell r="E1209" t="str">
            <v>6. TELECOMMUNICATIONS</v>
          </cell>
          <cell r="G1209" t="str">
            <v>110</v>
          </cell>
          <cell r="H1209" t="str">
            <v>Verify</v>
          </cell>
          <cell r="I1209" t="str">
            <v>Verify</v>
          </cell>
          <cell r="J1209" t="str">
            <v>Verify</v>
          </cell>
          <cell r="K1209" t="str">
            <v>Verify</v>
          </cell>
          <cell r="L1209" t="str">
            <v>Verify</v>
          </cell>
          <cell r="O1209" t="str">
            <v>Verify</v>
          </cell>
          <cell r="Q1209" t="str">
            <v>18|33</v>
          </cell>
        </row>
        <row r="1210">
          <cell r="E1210" t="str">
            <v>6. TELECOMMUNICATIONS</v>
          </cell>
          <cell r="G1210" t="str">
            <v>111B</v>
          </cell>
          <cell r="H1210" t="str">
            <v>Existing</v>
          </cell>
          <cell r="I1210" t="str">
            <v>Existing</v>
          </cell>
          <cell r="J1210" t="str">
            <v>Existing</v>
          </cell>
          <cell r="K1210" t="str">
            <v>Verify</v>
          </cell>
          <cell r="L1210" t="str">
            <v>Verify</v>
          </cell>
          <cell r="O1210" t="str">
            <v>Verify</v>
          </cell>
          <cell r="Q1210" t="str">
            <v>18|34</v>
          </cell>
        </row>
        <row r="1211">
          <cell r="E1211" t="str">
            <v>6. TELECOMMUNICATIONS</v>
          </cell>
          <cell r="G1211" t="str">
            <v>213</v>
          </cell>
          <cell r="H1211" t="str">
            <v>Existing</v>
          </cell>
          <cell r="I1211" t="str">
            <v>Existing</v>
          </cell>
          <cell r="J1211" t="str">
            <v>Existing</v>
          </cell>
          <cell r="K1211" t="str">
            <v>Verify</v>
          </cell>
          <cell r="L1211" t="str">
            <v>Verify</v>
          </cell>
          <cell r="O1211" t="str">
            <v>Verify</v>
          </cell>
          <cell r="Q1211" t="str">
            <v>18|35</v>
          </cell>
        </row>
        <row r="1212">
          <cell r="E1212" t="str">
            <v>6. TELECOMMUNICATIONS</v>
          </cell>
          <cell r="G1212">
            <v>0</v>
          </cell>
          <cell r="H1212">
            <v>0</v>
          </cell>
          <cell r="I1212">
            <v>0</v>
          </cell>
          <cell r="J1212">
            <v>0</v>
          </cell>
          <cell r="K1212">
            <v>0</v>
          </cell>
          <cell r="L1212">
            <v>0</v>
          </cell>
          <cell r="O1212">
            <v>0</v>
          </cell>
          <cell r="Q1212" t="str">
            <v>18|36</v>
          </cell>
        </row>
        <row r="1213">
          <cell r="E1213" t="str">
            <v>7. SECURITY / PACS / CCTV</v>
          </cell>
          <cell r="G1213" t="str">
            <v>7. SECURITY / PACS / CCTV</v>
          </cell>
          <cell r="H1213">
            <v>0</v>
          </cell>
          <cell r="I1213">
            <v>0</v>
          </cell>
          <cell r="J1213">
            <v>0</v>
          </cell>
          <cell r="K1213">
            <v>0</v>
          </cell>
          <cell r="L1213">
            <v>0</v>
          </cell>
          <cell r="O1213">
            <v>0</v>
          </cell>
          <cell r="Q1213" t="str">
            <v>18|37</v>
          </cell>
        </row>
        <row r="1214">
          <cell r="E1214" t="str">
            <v>7. SECURITY / PACS / CCTV</v>
          </cell>
          <cell r="G1214" t="str">
            <v>Room</v>
          </cell>
          <cell r="H1214" t="str">
            <v>PACS</v>
          </cell>
          <cell r="I1214" t="str">
            <v>Card Reader</v>
          </cell>
          <cell r="J1214" t="str">
            <v>Door Position</v>
          </cell>
          <cell r="K1214" t="str">
            <v>Electric Strike</v>
          </cell>
          <cell r="L1214" t="str">
            <v>CCTV</v>
          </cell>
          <cell r="O1214" t="str">
            <v>Overall</v>
          </cell>
          <cell r="Q1214" t="str">
            <v>18|38</v>
          </cell>
        </row>
        <row r="1215">
          <cell r="E1215" t="str">
            <v>7. SECURITY / PACS / CCTV</v>
          </cell>
          <cell r="G1215" t="str">
            <v>110</v>
          </cell>
          <cell r="H1215" t="str">
            <v>Verify</v>
          </cell>
          <cell r="I1215" t="str">
            <v>Verify</v>
          </cell>
          <cell r="J1215" t="str">
            <v>Verify</v>
          </cell>
          <cell r="K1215" t="str">
            <v>Verify</v>
          </cell>
          <cell r="L1215" t="str">
            <v>Verify</v>
          </cell>
          <cell r="O1215" t="str">
            <v>Verify</v>
          </cell>
          <cell r="Q1215" t="str">
            <v>18|39</v>
          </cell>
        </row>
        <row r="1216">
          <cell r="E1216" t="str">
            <v>7. SECURITY / PACS / CCTV</v>
          </cell>
          <cell r="G1216" t="str">
            <v>111B</v>
          </cell>
          <cell r="H1216" t="str">
            <v>Verify</v>
          </cell>
          <cell r="I1216" t="str">
            <v>Verify</v>
          </cell>
          <cell r="J1216" t="str">
            <v>Verify</v>
          </cell>
          <cell r="K1216" t="str">
            <v>Verify</v>
          </cell>
          <cell r="L1216" t="str">
            <v>Verify</v>
          </cell>
          <cell r="O1216" t="str">
            <v>Verify</v>
          </cell>
          <cell r="Q1216" t="str">
            <v>18|40</v>
          </cell>
        </row>
        <row r="1217">
          <cell r="E1217" t="str">
            <v>7. SECURITY / PACS / CCTV</v>
          </cell>
          <cell r="G1217" t="str">
            <v>213</v>
          </cell>
          <cell r="H1217" t="str">
            <v>Verify</v>
          </cell>
          <cell r="I1217" t="str">
            <v>Verify</v>
          </cell>
          <cell r="J1217" t="str">
            <v>Verify</v>
          </cell>
          <cell r="K1217" t="str">
            <v>Verify</v>
          </cell>
          <cell r="L1217" t="str">
            <v>Verify</v>
          </cell>
          <cell r="O1217" t="str">
            <v>Verify</v>
          </cell>
          <cell r="Q1217" t="str">
            <v>18|41</v>
          </cell>
        </row>
        <row r="1218">
          <cell r="E1218" t="str">
            <v>7. SECURITY / PACS / CCTV</v>
          </cell>
          <cell r="G1218">
            <v>0</v>
          </cell>
          <cell r="H1218">
            <v>0</v>
          </cell>
          <cell r="I1218">
            <v>0</v>
          </cell>
          <cell r="J1218">
            <v>0</v>
          </cell>
          <cell r="K1218">
            <v>0</v>
          </cell>
          <cell r="L1218">
            <v>0</v>
          </cell>
          <cell r="O1218">
            <v>0</v>
          </cell>
          <cell r="Q1218" t="str">
            <v>18|42</v>
          </cell>
        </row>
        <row r="1219">
          <cell r="E1219" t="str">
            <v>8. OWNER RISKS</v>
          </cell>
          <cell r="G1219" t="str">
            <v>8. OWNER RISKS</v>
          </cell>
          <cell r="H1219">
            <v>0</v>
          </cell>
          <cell r="I1219">
            <v>0</v>
          </cell>
          <cell r="J1219">
            <v>0</v>
          </cell>
          <cell r="K1219">
            <v>0</v>
          </cell>
          <cell r="L1219">
            <v>0</v>
          </cell>
          <cell r="O1219">
            <v>0</v>
          </cell>
          <cell r="Q1219" t="str">
            <v>18|43</v>
          </cell>
        </row>
        <row r="1220">
          <cell r="E1220" t="str">
            <v>8. OWNER RISKS</v>
          </cell>
          <cell r="G1220" t="str">
            <v>Risk ID</v>
          </cell>
          <cell r="H1220" t="str">
            <v>Room</v>
          </cell>
          <cell r="I1220" t="str">
            <v>Risk</v>
          </cell>
          <cell r="J1220" t="str">
            <v>Impact</v>
          </cell>
          <cell r="K1220" t="str">
            <v>Probability</v>
          </cell>
          <cell r="L1220" t="str">
            <v>Score</v>
          </cell>
          <cell r="O1220" t="str">
            <v>Status</v>
          </cell>
          <cell r="Q1220" t="str">
            <v>18|44</v>
          </cell>
        </row>
        <row r="1221">
          <cell r="E1221" t="str">
            <v>8. OWNER RISKS</v>
          </cell>
          <cell r="G1221" t="str">
            <v>B18-R1</v>
          </cell>
          <cell r="H1221" t="str">
            <v>All</v>
          </cell>
          <cell r="I1221" t="str">
            <v>Existing conditions for Room 110, Room 111B and Room 213 not field verified</v>
          </cell>
          <cell r="J1221" t="str">
            <v>High</v>
          </cell>
          <cell r="K1221" t="str">
            <v>Medium</v>
          </cell>
          <cell r="L1221">
            <v>6</v>
          </cell>
          <cell r="O1221" t="str">
            <v>Open</v>
          </cell>
          <cell r="Q1221" t="str">
            <v>18|45</v>
          </cell>
        </row>
        <row r="1222">
          <cell r="E1222" t="str">
            <v>8. OWNER RISKS</v>
          </cell>
          <cell r="G1222" t="str">
            <v>B18-R2</v>
          </cell>
          <cell r="H1222" t="str">
            <v>110</v>
          </cell>
          <cell r="I1222" t="str">
            <v>First-level hazardous material / lead-based paint abatement plan exists</v>
          </cell>
          <cell r="J1222" t="str">
            <v>High</v>
          </cell>
          <cell r="K1222" t="str">
            <v>Medium</v>
          </cell>
          <cell r="L1222">
            <v>6</v>
          </cell>
          <cell r="O1222" t="str">
            <v>Open</v>
          </cell>
          <cell r="Q1222" t="str">
            <v>18|46</v>
          </cell>
        </row>
        <row r="1223">
          <cell r="E1223" t="str">
            <v>8. OWNER RISKS</v>
          </cell>
          <cell r="G1223" t="str">
            <v>B18-R3</v>
          </cell>
          <cell r="H1223" t="str">
            <v>111B/213</v>
          </cell>
          <cell r="I1223" t="str">
            <v>Existing telecom equipment may remain active during cutover</v>
          </cell>
          <cell r="J1223" t="str">
            <v>Critical</v>
          </cell>
          <cell r="K1223" t="str">
            <v>Medium</v>
          </cell>
          <cell r="L1223">
            <v>8</v>
          </cell>
          <cell r="O1223" t="str">
            <v>Open</v>
          </cell>
          <cell r="Q1223" t="str">
            <v>18|47</v>
          </cell>
        </row>
        <row r="1224">
          <cell r="E1224" t="str">
            <v>8. OWNER RISKS</v>
          </cell>
          <cell r="G1224" t="str">
            <v>B18-R4</v>
          </cell>
          <cell r="H1224" t="str">
            <v>110</v>
          </cell>
          <cell r="I1224" t="str">
            <v>Dedicated cooling emergency power, condensate, BACnet and alarms not verified</v>
          </cell>
          <cell r="J1224" t="str">
            <v>Critical</v>
          </cell>
          <cell r="K1224" t="str">
            <v>Medium</v>
          </cell>
          <cell r="L1224">
            <v>8</v>
          </cell>
          <cell r="O1224" t="str">
            <v>Open</v>
          </cell>
          <cell r="Q1224" t="str">
            <v>18|48</v>
          </cell>
        </row>
        <row r="1225">
          <cell r="E1225" t="str">
            <v>8. OWNER RISKS</v>
          </cell>
          <cell r="G1225" t="str">
            <v>B18-R5</v>
          </cell>
          <cell r="H1225" t="str">
            <v>110</v>
          </cell>
          <cell r="I1225" t="str">
            <v>208V UPS/PDU and panel source coordination could delay energization</v>
          </cell>
          <cell r="J1225" t="str">
            <v>High</v>
          </cell>
          <cell r="K1225" t="str">
            <v>Medium</v>
          </cell>
          <cell r="L1225">
            <v>6</v>
          </cell>
          <cell r="O1225" t="str">
            <v>Open</v>
          </cell>
          <cell r="Q1225" t="str">
            <v>18|49</v>
          </cell>
        </row>
        <row r="1226">
          <cell r="E1226" t="str">
            <v>8. OWNER RISKS</v>
          </cell>
          <cell r="G1226" t="str">
            <v>B18-R6</v>
          </cell>
          <cell r="H1226" t="str">
            <v>110</v>
          </cell>
          <cell r="I1226" t="str">
            <v>Cable tray and pathway scope crosses first and second levels</v>
          </cell>
          <cell r="J1226" t="str">
            <v>High</v>
          </cell>
          <cell r="K1226" t="str">
            <v>Medium</v>
          </cell>
          <cell r="L1226">
            <v>6</v>
          </cell>
          <cell r="O1226" t="str">
            <v>Open</v>
          </cell>
          <cell r="Q1226" t="str">
            <v>18|50</v>
          </cell>
        </row>
        <row r="1227">
          <cell r="E1227" t="str">
            <v>8. OWNER RISKS</v>
          </cell>
          <cell r="G1227" t="str">
            <v>B18-R7</v>
          </cell>
          <cell r="H1227" t="str">
            <v>All</v>
          </cell>
          <cell r="I1227" t="str">
            <v>Telecom/fiber cutover could affect active hospital communications and legacy cross-building service ports</v>
          </cell>
          <cell r="J1227" t="str">
            <v>Critical</v>
          </cell>
          <cell r="K1227" t="str">
            <v>Medium</v>
          </cell>
          <cell r="L1227">
            <v>8</v>
          </cell>
          <cell r="O1227" t="str">
            <v>Open</v>
          </cell>
          <cell r="Q1227" t="str">
            <v>18|51</v>
          </cell>
        </row>
        <row r="1228">
          <cell r="E1228" t="str">
            <v>8. OWNER RISKS</v>
          </cell>
          <cell r="G1228" t="str">
            <v>B18-R8</v>
          </cell>
          <cell r="H1228" t="str">
            <v>All</v>
          </cell>
          <cell r="I1228" t="str">
            <v>Commissioning/third-party inspection reports may not be complete at turnover</v>
          </cell>
          <cell r="J1228" t="str">
            <v>High</v>
          </cell>
          <cell r="K1228" t="str">
            <v>Medium</v>
          </cell>
          <cell r="L1228">
            <v>6</v>
          </cell>
          <cell r="O1228" t="str">
            <v>Open</v>
          </cell>
          <cell r="Q1228" t="str">
            <v>18|52</v>
          </cell>
        </row>
        <row r="1229">
          <cell r="E1229" t="str">
            <v>8. OWNER RISKS</v>
          </cell>
          <cell r="G1229">
            <v>0</v>
          </cell>
          <cell r="H1229">
            <v>0</v>
          </cell>
          <cell r="I1229">
            <v>0</v>
          </cell>
          <cell r="J1229">
            <v>0</v>
          </cell>
          <cell r="K1229">
            <v>0</v>
          </cell>
          <cell r="L1229">
            <v>0</v>
          </cell>
          <cell r="O1229">
            <v>0</v>
          </cell>
          <cell r="Q1229" t="str">
            <v>18|53</v>
          </cell>
        </row>
        <row r="1230">
          <cell r="E1230" t="str">
            <v>9. OPEN QUESTIONS</v>
          </cell>
          <cell r="G1230" t="str">
            <v>9. OPEN QUESTIONS</v>
          </cell>
          <cell r="H1230">
            <v>0</v>
          </cell>
          <cell r="I1230">
            <v>0</v>
          </cell>
          <cell r="J1230">
            <v>0</v>
          </cell>
          <cell r="K1230">
            <v>0</v>
          </cell>
          <cell r="L1230">
            <v>0</v>
          </cell>
          <cell r="O1230">
            <v>0</v>
          </cell>
          <cell r="Q1230" t="str">
            <v>18|54</v>
          </cell>
        </row>
        <row r="1231">
          <cell r="E1231" t="str">
            <v>9. OPEN QUESTIONS</v>
          </cell>
          <cell r="G1231" t="str">
            <v>Question ID</v>
          </cell>
          <cell r="H1231" t="str">
            <v>Question</v>
          </cell>
          <cell r="I1231" t="str">
            <v>Assigned To</v>
          </cell>
          <cell r="J1231" t="str">
            <v>Status</v>
          </cell>
          <cell r="K1231" t="str">
            <v>Needed By</v>
          </cell>
          <cell r="L1231" t="str">
            <v>Answer / Resolution</v>
          </cell>
          <cell r="O1231" t="str">
            <v>Date Closed</v>
          </cell>
          <cell r="Q1231" t="str">
            <v>18|55</v>
          </cell>
        </row>
        <row r="1232">
          <cell r="E1232" t="str">
            <v>9. OPEN QUESTIONS</v>
          </cell>
          <cell r="G1232" t="str">
            <v>B18-Q1</v>
          </cell>
          <cell r="H1232" t="str">
            <v>Confirm final telecom scope: new Room 110 with existing 111B and 213 transition only?</v>
          </cell>
          <cell r="I1232" t="str">
            <v>VA / OIT / Designer</v>
          </cell>
          <cell r="J1232" t="str">
            <v>Open</v>
          </cell>
          <cell r="K1232">
            <v>0</v>
          </cell>
          <cell r="L1232">
            <v>0</v>
          </cell>
          <cell r="O1232">
            <v>0</v>
          </cell>
          <cell r="Q1232" t="str">
            <v>18|56</v>
          </cell>
        </row>
        <row r="1233">
          <cell r="E1233" t="str">
            <v>9. OPEN QUESTIONS</v>
          </cell>
          <cell r="G1233" t="str">
            <v>B18-Q2</v>
          </cell>
          <cell r="H1233" t="str">
            <v>Why does 18T-701 reference RM 111A while new rack/electrical plans identify Telecom Room 110?</v>
          </cell>
          <cell r="I1233" t="str">
            <v>VA / Designer / OIT</v>
          </cell>
          <cell r="J1233" t="str">
            <v>Open</v>
          </cell>
          <cell r="K1233">
            <v>0</v>
          </cell>
          <cell r="L1233">
            <v>0</v>
          </cell>
          <cell r="O1233">
            <v>0</v>
          </cell>
          <cell r="Q1233" t="str">
            <v>18|57</v>
          </cell>
        </row>
        <row r="1234">
          <cell r="E1234" t="str">
            <v>9. OPEN QUESTIONS</v>
          </cell>
          <cell r="G1234" t="str">
            <v>B18-Q3</v>
          </cell>
          <cell r="H1234" t="str">
            <v>What active services are currently fed from existing 111B and 213 equipment?</v>
          </cell>
          <cell r="I1234" t="str">
            <v>OIT / Contractor</v>
          </cell>
          <cell r="J1234" t="str">
            <v>Open</v>
          </cell>
          <cell r="K1234">
            <v>0</v>
          </cell>
          <cell r="L1234">
            <v>0</v>
          </cell>
          <cell r="O1234">
            <v>0</v>
          </cell>
          <cell r="Q1234" t="str">
            <v>18|58</v>
          </cell>
        </row>
        <row r="1235">
          <cell r="E1235" t="str">
            <v>9. OPEN QUESTIONS</v>
          </cell>
          <cell r="G1235" t="str">
            <v>B18-Q4</v>
          </cell>
          <cell r="H1235" t="str">
            <v>Is IU-1-01/CU-1-01 on emergency/backup power and dedicated to Room 110?</v>
          </cell>
          <cell r="I1235" t="str">
            <v>Mechanical / Electrical / VA</v>
          </cell>
          <cell r="J1235" t="str">
            <v>Open</v>
          </cell>
          <cell r="K1235">
            <v>0</v>
          </cell>
          <cell r="L1235">
            <v>0</v>
          </cell>
          <cell r="O1235">
            <v>0</v>
          </cell>
          <cell r="Q1235" t="str">
            <v>18|59</v>
          </cell>
        </row>
        <row r="1236">
          <cell r="E1236" t="str">
            <v>9. OPEN QUESTIONS</v>
          </cell>
          <cell r="G1236" t="str">
            <v>B18-Q5</v>
          </cell>
          <cell r="H1236" t="str">
            <v>Where is the clean-agent/CO2 extinguisher cabinet located within 75 ft of Room 110?</v>
          </cell>
          <cell r="I1236" t="str">
            <v>GC / COR</v>
          </cell>
          <cell r="J1236" t="str">
            <v>Open</v>
          </cell>
          <cell r="K1236">
            <v>0</v>
          </cell>
          <cell r="L1236">
            <v>0</v>
          </cell>
          <cell r="O1236">
            <v>0</v>
          </cell>
          <cell r="Q1236" t="str">
            <v>18|60</v>
          </cell>
        </row>
        <row r="1237">
          <cell r="E1237" t="str">
            <v>9. OPEN QUESTIONS</v>
          </cell>
          <cell r="G1237" t="str">
            <v>B18-Q6</v>
          </cell>
          <cell r="H1237" t="str">
            <v>Are B18-TR110A/B sources, rack receptacles, SPDs, circuit labels and load measurements approved?</v>
          </cell>
          <cell r="I1237" t="str">
            <v>Electrical / Designer</v>
          </cell>
          <cell r="J1237" t="str">
            <v>Open</v>
          </cell>
          <cell r="K1237">
            <v>0</v>
          </cell>
          <cell r="L1237">
            <v>0</v>
          </cell>
          <cell r="O1237">
            <v>0</v>
          </cell>
          <cell r="Q1237" t="str">
            <v>18|61</v>
          </cell>
        </row>
        <row r="1238">
          <cell r="E1238" t="str">
            <v>9. OPEN QUESTIONS</v>
          </cell>
          <cell r="G1238" t="str">
            <v>B18-Q7</v>
          </cell>
          <cell r="H1238" t="str">
            <v>Are all rated wall/floor penetrations, sleeves, cable tray entries and firestopping details identified?</v>
          </cell>
          <cell r="I1238" t="str">
            <v>GC / Firestop</v>
          </cell>
          <cell r="J1238" t="str">
            <v>Open</v>
          </cell>
          <cell r="K1238">
            <v>0</v>
          </cell>
          <cell r="L1238">
            <v>0</v>
          </cell>
          <cell r="O1238">
            <v>0</v>
          </cell>
          <cell r="Q1238" t="str">
            <v>18|62</v>
          </cell>
        </row>
        <row r="1239">
          <cell r="E1239" t="str">
            <v>9. OPEN QUESTIONS</v>
          </cell>
          <cell r="G1239" t="str">
            <v>B18-Q8</v>
          </cell>
          <cell r="H1239" t="str">
            <v>Which third-party inspections and commissioning forms are required before VA acceptance?</v>
          </cell>
          <cell r="I1239" t="str">
            <v>GC / Cx Manager</v>
          </cell>
          <cell r="J1239" t="str">
            <v>Open</v>
          </cell>
          <cell r="K1239">
            <v>0</v>
          </cell>
          <cell r="L1239">
            <v>0</v>
          </cell>
          <cell r="O1239">
            <v>0</v>
          </cell>
          <cell r="Q1239" t="str">
            <v>18|63</v>
          </cell>
        </row>
        <row r="1240">
          <cell r="E1240" t="str">
            <v>9. OPEN QUESTIONS</v>
          </cell>
          <cell r="G1240">
            <v>0</v>
          </cell>
          <cell r="H1240">
            <v>0</v>
          </cell>
          <cell r="I1240">
            <v>0</v>
          </cell>
          <cell r="J1240">
            <v>0</v>
          </cell>
          <cell r="K1240">
            <v>0</v>
          </cell>
          <cell r="L1240">
            <v>0</v>
          </cell>
          <cell r="O1240">
            <v>0</v>
          </cell>
          <cell r="Q1240" t="str">
            <v>18|64</v>
          </cell>
        </row>
        <row r="1241">
          <cell r="E1241" t="str">
            <v>10. PHOTO LOG</v>
          </cell>
          <cell r="G1241" t="str">
            <v>10. PHOTO LOG</v>
          </cell>
          <cell r="H1241">
            <v>0</v>
          </cell>
          <cell r="I1241">
            <v>0</v>
          </cell>
          <cell r="J1241">
            <v>0</v>
          </cell>
          <cell r="K1241">
            <v>0</v>
          </cell>
          <cell r="L1241">
            <v>0</v>
          </cell>
          <cell r="O1241">
            <v>0</v>
          </cell>
          <cell r="Q1241" t="str">
            <v>18|65</v>
          </cell>
        </row>
        <row r="1242">
          <cell r="E1242" t="str">
            <v>10. PHOTO LOG</v>
          </cell>
          <cell r="G1242" t="str">
            <v>Photo ID</v>
          </cell>
          <cell r="H1242" t="str">
            <v>Room</v>
          </cell>
          <cell r="I1242" t="str">
            <v>Category</v>
          </cell>
          <cell r="J1242" t="str">
            <v>Description</v>
          </cell>
          <cell r="K1242" t="str">
            <v>Date</v>
          </cell>
          <cell r="L1242" t="str">
            <v>Taken By</v>
          </cell>
          <cell r="O1242" t="str">
            <v>Status</v>
          </cell>
          <cell r="Q1242" t="str">
            <v>18|66</v>
          </cell>
        </row>
        <row r="1243">
          <cell r="E1243" t="str">
            <v>10. PHOTO LOG</v>
          </cell>
          <cell r="G1243" t="str">
            <v>B18-P001</v>
          </cell>
          <cell r="H1243" t="str">
            <v>110</v>
          </cell>
          <cell r="I1243" t="str">
            <v>Existing Condition</v>
          </cell>
          <cell r="J1243" t="str">
            <v>Room 110 walls, ceiling/deck, floor, door, adjacent Corridor 121/Stair 122/Office 112, rack location, pathways and penetrations</v>
          </cell>
          <cell r="K1243">
            <v>0</v>
          </cell>
          <cell r="L1243" t="str">
            <v>Paul</v>
          </cell>
          <cell r="O1243" t="str">
            <v>Open</v>
          </cell>
          <cell r="Q1243" t="str">
            <v>18|67</v>
          </cell>
        </row>
        <row r="1244">
          <cell r="E1244" t="str">
            <v>10. PHOTO LOG</v>
          </cell>
          <cell r="G1244" t="str">
            <v>B18-P002</v>
          </cell>
          <cell r="H1244" t="str">
            <v>111B</v>
          </cell>
          <cell r="I1244" t="str">
            <v>Existing Condition</v>
          </cell>
          <cell r="J1244" t="str">
            <v>Existing TE 111B wall rack, plywood backboard, patch panel, security cabinet, floor UPS and 5RU fiber housing</v>
          </cell>
          <cell r="K1244">
            <v>0</v>
          </cell>
          <cell r="L1244" t="str">
            <v>Paul</v>
          </cell>
          <cell r="O1244" t="str">
            <v>Open</v>
          </cell>
          <cell r="Q1244" t="str">
            <v>18|68</v>
          </cell>
        </row>
        <row r="1245">
          <cell r="E1245" t="str">
            <v>10. PHOTO LOG</v>
          </cell>
          <cell r="G1245" t="str">
            <v>B18-P003</v>
          </cell>
          <cell r="H1245" t="str">
            <v>213</v>
          </cell>
          <cell r="I1245" t="str">
            <v>Existing Condition</v>
          </cell>
          <cell r="J1245" t="str">
            <v>Existing Closet 213 wall rack/TE, SERTEX service ports, Cisco switch, legacy Ortronics patch panels, security cabinet, plywood backboard and APC floor UPS</v>
          </cell>
          <cell r="K1245">
            <v>0</v>
          </cell>
          <cell r="L1245" t="str">
            <v>Paul</v>
          </cell>
          <cell r="O1245" t="str">
            <v>Open</v>
          </cell>
          <cell r="Q1245" t="str">
            <v>18|69</v>
          </cell>
        </row>
        <row r="1246">
          <cell r="E1246" t="str">
            <v>10. PHOTO LOG</v>
          </cell>
          <cell r="G1246" t="str">
            <v>B18-P004</v>
          </cell>
          <cell r="H1246" t="str">
            <v>110</v>
          </cell>
          <cell r="I1246" t="str">
            <v>Hazardous Materials</v>
          </cell>
          <cell r="J1246" t="str">
            <v>First-level abatement/lead-paint areas, flooring, walls, ceiling/penetrations, and disturbance areas</v>
          </cell>
          <cell r="K1246">
            <v>0</v>
          </cell>
          <cell r="L1246" t="str">
            <v>Paul</v>
          </cell>
          <cell r="O1246" t="str">
            <v>Open</v>
          </cell>
          <cell r="Q1246" t="str">
            <v>18|70</v>
          </cell>
        </row>
        <row r="1247">
          <cell r="E1247" t="str">
            <v>10. PHOTO LOG</v>
          </cell>
          <cell r="G1247" t="str">
            <v>B18-P005</v>
          </cell>
          <cell r="H1247" t="str">
            <v>110</v>
          </cell>
          <cell r="I1247" t="str">
            <v>Firestop</v>
          </cell>
          <cell r="J1247" t="str">
            <v>All wall/floor/sleeve/tray penetrations before and after firestop</v>
          </cell>
          <cell r="K1247">
            <v>0</v>
          </cell>
          <cell r="L1247" t="str">
            <v>Paul</v>
          </cell>
          <cell r="O1247" t="str">
            <v>Open</v>
          </cell>
          <cell r="Q1247" t="str">
            <v>18|71</v>
          </cell>
        </row>
        <row r="1248">
          <cell r="E1248" t="str">
            <v>10. PHOTO LOG</v>
          </cell>
          <cell r="G1248" t="str">
            <v>B18-P006</v>
          </cell>
          <cell r="H1248" t="str">
            <v>110</v>
          </cell>
          <cell r="I1248" t="str">
            <v>HVAC</v>
          </cell>
          <cell r="J1248" t="str">
            <v>IU-1-01/CU-1-01, condensate, thermostat, BACnet adapter, disconnects, high-temp alarm and power source</v>
          </cell>
          <cell r="K1248">
            <v>0</v>
          </cell>
          <cell r="L1248" t="str">
            <v>Paul</v>
          </cell>
          <cell r="O1248" t="str">
            <v>Open</v>
          </cell>
          <cell r="Q1248" t="str">
            <v>18|72</v>
          </cell>
        </row>
        <row r="1249">
          <cell r="E1249" t="str">
            <v>10. PHOTO LOG</v>
          </cell>
          <cell r="G1249" t="str">
            <v>B18-P007</v>
          </cell>
          <cell r="H1249" t="str">
            <v>110</v>
          </cell>
          <cell r="I1249" t="str">
            <v>Electrical</v>
          </cell>
          <cell r="J1249" t="str">
            <v>B18-TR110A/B panels, rack receptacles, breakers, SPD, access controller, lighting, CU-1-01 and labels</v>
          </cell>
          <cell r="K1249">
            <v>0</v>
          </cell>
          <cell r="L1249" t="str">
            <v>Paul</v>
          </cell>
          <cell r="O1249" t="str">
            <v>Open</v>
          </cell>
          <cell r="Q1249" t="str">
            <v>18|73</v>
          </cell>
        </row>
        <row r="1250">
          <cell r="E1250" t="str">
            <v>10. PHOTO LOG</v>
          </cell>
          <cell r="G1250" t="str">
            <v>B18-P008</v>
          </cell>
          <cell r="H1250" t="str">
            <v>110/111B/213</v>
          </cell>
          <cell r="I1250" t="str">
            <v>Telecom/Security</v>
          </cell>
          <cell r="J1250" t="str">
            <v>New rack/future rack, fiber path A/B, Cat6A, patch panels, LIU, labels/test records, 111A-CAM-01 and existing 111B/213 transfer work</v>
          </cell>
          <cell r="K1250">
            <v>0</v>
          </cell>
          <cell r="L1250" t="str">
            <v>Paul</v>
          </cell>
          <cell r="O1250" t="str">
            <v>Open</v>
          </cell>
          <cell r="Q1250" t="str">
            <v>18|74</v>
          </cell>
        </row>
        <row r="1251">
          <cell r="E1251" t="str">
            <v>10. PHOTO LOG</v>
          </cell>
          <cell r="G1251">
            <v>0</v>
          </cell>
          <cell r="H1251">
            <v>0</v>
          </cell>
          <cell r="I1251">
            <v>0</v>
          </cell>
          <cell r="J1251">
            <v>0</v>
          </cell>
          <cell r="K1251">
            <v>0</v>
          </cell>
          <cell r="L1251">
            <v>0</v>
          </cell>
          <cell r="O1251">
            <v>0</v>
          </cell>
          <cell r="Q1251" t="str">
            <v>18|75</v>
          </cell>
        </row>
        <row r="1252">
          <cell r="E1252" t="str">
            <v>1. ROOM INVENTORY</v>
          </cell>
          <cell r="G1252" t="str">
            <v>1. ROOM INVENTORY</v>
          </cell>
          <cell r="H1252">
            <v>0</v>
          </cell>
          <cell r="I1252">
            <v>0</v>
          </cell>
          <cell r="J1252">
            <v>0</v>
          </cell>
          <cell r="K1252">
            <v>0</v>
          </cell>
          <cell r="L1252">
            <v>0</v>
          </cell>
          <cell r="O1252">
            <v>0</v>
          </cell>
          <cell r="Q1252" t="str">
            <v>20|1</v>
          </cell>
        </row>
        <row r="1253">
          <cell r="E1253" t="str">
            <v>1. ROOM INVENTORY</v>
          </cell>
          <cell r="G1253" t="str">
            <v>Building</v>
          </cell>
          <cell r="H1253" t="str">
            <v>Room</v>
          </cell>
          <cell r="I1253" t="str">
            <v>Floor</v>
          </cell>
          <cell r="J1253" t="str">
            <v>Existing Use</v>
          </cell>
          <cell r="K1253" t="str">
            <v>New Use</v>
          </cell>
          <cell r="L1253" t="str">
            <v>Rack Count</v>
          </cell>
          <cell r="O1253" t="str">
            <v>Drawing Ref</v>
          </cell>
          <cell r="Q1253" t="str">
            <v>20|2</v>
          </cell>
        </row>
        <row r="1254">
          <cell r="E1254" t="str">
            <v>1. ROOM INVENTORY</v>
          </cell>
          <cell r="G1254" t="str">
            <v>20</v>
          </cell>
          <cell r="H1254" t="str">
            <v>1B</v>
          </cell>
          <cell r="I1254" t="str">
            <v>First</v>
          </cell>
          <cell r="J1254" t="str">
            <v>Office / new TE location</v>
          </cell>
          <cell r="K1254" t="str">
            <v>Telecom Enclosure</v>
          </cell>
          <cell r="L1254">
            <v>1</v>
          </cell>
          <cell r="O1254" t="str">
            <v>20T-101 / 20T-701 / 20E-101 / 20E-601</v>
          </cell>
          <cell r="Q1254" t="str">
            <v>20|3</v>
          </cell>
        </row>
        <row r="1255">
          <cell r="E1255" t="str">
            <v>1. ROOM INVENTORY</v>
          </cell>
          <cell r="G1255" t="str">
            <v>20</v>
          </cell>
          <cell r="H1255" t="str">
            <v>8A</v>
          </cell>
          <cell r="I1255" t="str">
            <v>First</v>
          </cell>
          <cell r="J1255" t="str">
            <v>Existing Tel/Data Closet / open TE cabinet</v>
          </cell>
          <cell r="K1255" t="str">
            <v>Existing telecom transition point</v>
          </cell>
          <cell r="L1255">
            <v>2</v>
          </cell>
          <cell r="O1255" t="str">
            <v>20T-101 / 20T-701 / 20R-900</v>
          </cell>
          <cell r="Q1255" t="str">
            <v>20|4</v>
          </cell>
        </row>
        <row r="1256">
          <cell r="E1256" t="str">
            <v>1. ROOM INVENTORY</v>
          </cell>
          <cell r="G1256">
            <v>0</v>
          </cell>
          <cell r="H1256">
            <v>0</v>
          </cell>
          <cell r="I1256">
            <v>0</v>
          </cell>
          <cell r="J1256">
            <v>0</v>
          </cell>
          <cell r="K1256">
            <v>0</v>
          </cell>
          <cell r="L1256">
            <v>0</v>
          </cell>
          <cell r="O1256">
            <v>0</v>
          </cell>
          <cell r="Q1256" t="str">
            <v>20|5</v>
          </cell>
        </row>
        <row r="1257">
          <cell r="E1257" t="str">
            <v>2. ROOM READINESS</v>
          </cell>
          <cell r="G1257" t="str">
            <v>2. ROOM READINESS</v>
          </cell>
          <cell r="H1257">
            <v>0</v>
          </cell>
          <cell r="I1257">
            <v>0</v>
          </cell>
          <cell r="J1257">
            <v>0</v>
          </cell>
          <cell r="K1257">
            <v>0</v>
          </cell>
          <cell r="L1257">
            <v>0</v>
          </cell>
          <cell r="O1257">
            <v>0</v>
          </cell>
          <cell r="Q1257" t="str">
            <v>20|6</v>
          </cell>
        </row>
        <row r="1258">
          <cell r="E1258" t="str">
            <v>2. ROOM READINESS</v>
          </cell>
          <cell r="G1258" t="str">
            <v>Room</v>
          </cell>
          <cell r="H1258" t="str">
            <v>Walls / 1-hr Rating</v>
          </cell>
          <cell r="I1258" t="str">
            <v>Ceiling</v>
          </cell>
          <cell r="J1258" t="str">
            <v>Floor / SDC</v>
          </cell>
          <cell r="K1258" t="str">
            <v>Penetrations</v>
          </cell>
          <cell r="L1258" t="str">
            <v>Access Control</v>
          </cell>
          <cell r="O1258" t="str">
            <v>Overall</v>
          </cell>
          <cell r="Q1258" t="str">
            <v>20|7</v>
          </cell>
        </row>
        <row r="1259">
          <cell r="E1259" t="str">
            <v>2. ROOM READINESS</v>
          </cell>
          <cell r="G1259" t="str">
            <v>1B</v>
          </cell>
          <cell r="H1259" t="str">
            <v>Verify</v>
          </cell>
          <cell r="I1259" t="str">
            <v>Verify</v>
          </cell>
          <cell r="J1259" t="str">
            <v>N/A / Office</v>
          </cell>
          <cell r="K1259" t="str">
            <v>Verify</v>
          </cell>
          <cell r="L1259" t="str">
            <v>Verify Existing</v>
          </cell>
          <cell r="O1259" t="str">
            <v>Verify</v>
          </cell>
          <cell r="Q1259" t="str">
            <v>20|8</v>
          </cell>
        </row>
        <row r="1260">
          <cell r="E1260" t="str">
            <v>2. ROOM READINESS</v>
          </cell>
          <cell r="G1260" t="str">
            <v>8A</v>
          </cell>
          <cell r="H1260" t="str">
            <v>Existing / Verify</v>
          </cell>
          <cell r="I1260" t="str">
            <v>Existing / Verify</v>
          </cell>
          <cell r="J1260" t="str">
            <v>Existing / Verify</v>
          </cell>
          <cell r="K1260" t="str">
            <v>Verify</v>
          </cell>
          <cell r="L1260" t="str">
            <v>Verify Existing</v>
          </cell>
          <cell r="O1260" t="str">
            <v>Verify</v>
          </cell>
          <cell r="Q1260" t="str">
            <v>20|9</v>
          </cell>
        </row>
        <row r="1261">
          <cell r="E1261" t="str">
            <v>2. ROOM READINESS</v>
          </cell>
          <cell r="G1261">
            <v>0</v>
          </cell>
          <cell r="H1261">
            <v>0</v>
          </cell>
          <cell r="I1261">
            <v>0</v>
          </cell>
          <cell r="J1261">
            <v>0</v>
          </cell>
          <cell r="K1261">
            <v>0</v>
          </cell>
          <cell r="L1261">
            <v>0</v>
          </cell>
          <cell r="O1261">
            <v>0</v>
          </cell>
          <cell r="Q1261" t="str">
            <v>20|10</v>
          </cell>
        </row>
        <row r="1262">
          <cell r="E1262" t="str">
            <v>3. FIRE PROTECTION</v>
          </cell>
          <cell r="G1262" t="str">
            <v>3. FIRE PROTECTION</v>
          </cell>
          <cell r="H1262">
            <v>0</v>
          </cell>
          <cell r="I1262">
            <v>0</v>
          </cell>
          <cell r="J1262">
            <v>0</v>
          </cell>
          <cell r="K1262">
            <v>0</v>
          </cell>
          <cell r="L1262">
            <v>0</v>
          </cell>
          <cell r="O1262">
            <v>0</v>
          </cell>
          <cell r="Q1262" t="str">
            <v>20|11</v>
          </cell>
        </row>
        <row r="1263">
          <cell r="E1263" t="str">
            <v>3. FIRE PROTECTION</v>
          </cell>
          <cell r="G1263" t="str">
            <v>Room</v>
          </cell>
          <cell r="H1263" t="str">
            <v>Sprinkler</v>
          </cell>
          <cell r="I1263" t="str">
            <v>Cage</v>
          </cell>
          <cell r="J1263" t="str">
            <v>Detector</v>
          </cell>
          <cell r="K1263" t="str">
            <v>Horn/Strobe</v>
          </cell>
          <cell r="L1263" t="str">
            <v>Extinguisher &lt;75 ft</v>
          </cell>
          <cell r="O1263" t="str">
            <v>Overall</v>
          </cell>
          <cell r="Q1263" t="str">
            <v>20|12</v>
          </cell>
        </row>
        <row r="1264">
          <cell r="E1264" t="str">
            <v>3. FIRE PROTECTION</v>
          </cell>
          <cell r="G1264" t="str">
            <v>1B</v>
          </cell>
          <cell r="H1264" t="str">
            <v>Excluded / Verify</v>
          </cell>
          <cell r="I1264" t="str">
            <v>N/A</v>
          </cell>
          <cell r="J1264" t="str">
            <v>Verify Existing</v>
          </cell>
          <cell r="K1264" t="str">
            <v>Verify Existing</v>
          </cell>
          <cell r="L1264" t="str">
            <v>N/A / Verify</v>
          </cell>
          <cell r="O1264" t="str">
            <v>Verify</v>
          </cell>
          <cell r="Q1264" t="str">
            <v>20|13</v>
          </cell>
        </row>
        <row r="1265">
          <cell r="E1265" t="str">
            <v>3. FIRE PROTECTION</v>
          </cell>
          <cell r="G1265" t="str">
            <v>8A</v>
          </cell>
          <cell r="H1265" t="str">
            <v>Existing / Verify</v>
          </cell>
          <cell r="I1265" t="str">
            <v>N/A</v>
          </cell>
          <cell r="J1265" t="str">
            <v>Verify Existing</v>
          </cell>
          <cell r="K1265" t="str">
            <v>Verify Existing</v>
          </cell>
          <cell r="L1265" t="str">
            <v>N/A / Verify</v>
          </cell>
          <cell r="O1265" t="str">
            <v>Verify</v>
          </cell>
          <cell r="Q1265" t="str">
            <v>20|14</v>
          </cell>
        </row>
        <row r="1266">
          <cell r="E1266" t="str">
            <v>3. FIRE PROTECTION</v>
          </cell>
          <cell r="G1266">
            <v>0</v>
          </cell>
          <cell r="H1266">
            <v>0</v>
          </cell>
          <cell r="I1266">
            <v>0</v>
          </cell>
          <cell r="J1266">
            <v>0</v>
          </cell>
          <cell r="K1266">
            <v>0</v>
          </cell>
          <cell r="L1266">
            <v>0</v>
          </cell>
          <cell r="O1266">
            <v>0</v>
          </cell>
          <cell r="Q1266" t="str">
            <v>20|15</v>
          </cell>
        </row>
        <row r="1267">
          <cell r="E1267" t="str">
            <v>4. HVAC / COOLING</v>
          </cell>
          <cell r="G1267" t="str">
            <v>4. HVAC / COOLING</v>
          </cell>
          <cell r="H1267">
            <v>0</v>
          </cell>
          <cell r="I1267">
            <v>0</v>
          </cell>
          <cell r="J1267">
            <v>0</v>
          </cell>
          <cell r="K1267">
            <v>0</v>
          </cell>
          <cell r="L1267">
            <v>0</v>
          </cell>
          <cell r="O1267">
            <v>0</v>
          </cell>
          <cell r="Q1267" t="str">
            <v>20|16</v>
          </cell>
        </row>
        <row r="1268">
          <cell r="E1268" t="str">
            <v>4. HVAC / COOLING</v>
          </cell>
          <cell r="G1268" t="str">
            <v>Room</v>
          </cell>
          <cell r="H1268" t="str">
            <v>Dedicated Unit</v>
          </cell>
          <cell r="I1268" t="str">
            <v>Capacity Verified</v>
          </cell>
          <cell r="J1268" t="str">
            <v>Emergency Power</v>
          </cell>
          <cell r="K1268" t="str">
            <v>Controls / BACnet</v>
          </cell>
          <cell r="L1268" t="str">
            <v>Condensate Routed</v>
          </cell>
          <cell r="O1268" t="str">
            <v>Overall</v>
          </cell>
          <cell r="Q1268" t="str">
            <v>20|17</v>
          </cell>
        </row>
        <row r="1269">
          <cell r="E1269" t="str">
            <v>4. HVAC / COOLING</v>
          </cell>
          <cell r="G1269" t="str">
            <v>1B</v>
          </cell>
          <cell r="H1269" t="str">
            <v>Excluded</v>
          </cell>
          <cell r="I1269" t="str">
            <v>N/A</v>
          </cell>
          <cell r="J1269" t="str">
            <v>N/A</v>
          </cell>
          <cell r="K1269" t="str">
            <v>N/A</v>
          </cell>
          <cell r="L1269" t="str">
            <v>N/A</v>
          </cell>
          <cell r="O1269" t="str">
            <v>N/A</v>
          </cell>
          <cell r="Q1269" t="str">
            <v>20|18</v>
          </cell>
        </row>
        <row r="1270">
          <cell r="E1270" t="str">
            <v>4. HVAC / COOLING</v>
          </cell>
          <cell r="G1270" t="str">
            <v>8A</v>
          </cell>
          <cell r="H1270" t="str">
            <v>Existing indoor AC unit</v>
          </cell>
          <cell r="I1270" t="str">
            <v>Verify</v>
          </cell>
          <cell r="J1270" t="str">
            <v>Verify</v>
          </cell>
          <cell r="K1270" t="str">
            <v>Verify</v>
          </cell>
          <cell r="L1270" t="str">
            <v>Verify</v>
          </cell>
          <cell r="O1270" t="str">
            <v>Verify</v>
          </cell>
          <cell r="Q1270" t="str">
            <v>20|19</v>
          </cell>
        </row>
        <row r="1271">
          <cell r="E1271" t="str">
            <v>4. HVAC / COOLING</v>
          </cell>
          <cell r="G1271">
            <v>0</v>
          </cell>
          <cell r="H1271">
            <v>0</v>
          </cell>
          <cell r="I1271">
            <v>0</v>
          </cell>
          <cell r="J1271">
            <v>0</v>
          </cell>
          <cell r="K1271">
            <v>0</v>
          </cell>
          <cell r="L1271">
            <v>0</v>
          </cell>
          <cell r="O1271">
            <v>0</v>
          </cell>
          <cell r="Q1271" t="str">
            <v>20|20</v>
          </cell>
        </row>
        <row r="1272">
          <cell r="E1272" t="str">
            <v>5. ELECTRICAL / UPS</v>
          </cell>
          <cell r="G1272" t="str">
            <v>5. ELECTRICAL / UPS</v>
          </cell>
          <cell r="H1272">
            <v>0</v>
          </cell>
          <cell r="I1272">
            <v>0</v>
          </cell>
          <cell r="J1272">
            <v>0</v>
          </cell>
          <cell r="K1272">
            <v>0</v>
          </cell>
          <cell r="L1272">
            <v>0</v>
          </cell>
          <cell r="O1272">
            <v>0</v>
          </cell>
          <cell r="Q1272" t="str">
            <v>20|21</v>
          </cell>
        </row>
        <row r="1273">
          <cell r="E1273" t="str">
            <v>5. ELECTRICAL / UPS</v>
          </cell>
          <cell r="G1273" t="str">
            <v>Room</v>
          </cell>
          <cell r="H1273" t="str">
            <v>UPS Installed</v>
          </cell>
          <cell r="I1273" t="str">
            <v>UPS Size</v>
          </cell>
          <cell r="J1273" t="str">
            <v>PDU Installed</v>
          </cell>
          <cell r="K1273" t="str">
            <v>Rack Receptacles</v>
          </cell>
          <cell r="L1273" t="str">
            <v>Panel Assigned</v>
          </cell>
          <cell r="O1273" t="str">
            <v>Overall</v>
          </cell>
          <cell r="Q1273" t="str">
            <v>20|22</v>
          </cell>
        </row>
        <row r="1274">
          <cell r="E1274" t="str">
            <v>5. ELECTRICAL / UPS</v>
          </cell>
          <cell r="G1274" t="str">
            <v>1B</v>
          </cell>
          <cell r="H1274" t="str">
            <v>Verify</v>
          </cell>
          <cell r="I1274" t="str">
            <v>APC UPS / TE enclosure</v>
          </cell>
          <cell r="J1274" t="str">
            <v>Verify</v>
          </cell>
          <cell r="K1274" t="str">
            <v>Verify</v>
          </cell>
          <cell r="L1274" t="str">
            <v>20E-101 / 20E-601 source to verify</v>
          </cell>
          <cell r="O1274" t="str">
            <v>Verify</v>
          </cell>
          <cell r="Q1274" t="str">
            <v>20|23</v>
          </cell>
        </row>
        <row r="1275">
          <cell r="E1275" t="str">
            <v>5. ELECTRICAL / UPS</v>
          </cell>
          <cell r="G1275" t="str">
            <v>8A</v>
          </cell>
          <cell r="H1275" t="str">
            <v>Existing</v>
          </cell>
          <cell r="I1275" t="str">
            <v>Existing floor UPS</v>
          </cell>
          <cell r="J1275" t="str">
            <v>Existing</v>
          </cell>
          <cell r="K1275" t="str">
            <v>Verify</v>
          </cell>
          <cell r="L1275" t="str">
            <v>Existing / Verify</v>
          </cell>
          <cell r="O1275" t="str">
            <v>Verify</v>
          </cell>
          <cell r="Q1275" t="str">
            <v>20|24</v>
          </cell>
        </row>
        <row r="1276">
          <cell r="E1276" t="str">
            <v>5. ELECTRICAL / UPS</v>
          </cell>
          <cell r="G1276">
            <v>0</v>
          </cell>
          <cell r="H1276">
            <v>0</v>
          </cell>
          <cell r="I1276">
            <v>0</v>
          </cell>
          <cell r="J1276">
            <v>0</v>
          </cell>
          <cell r="K1276">
            <v>0</v>
          </cell>
          <cell r="L1276">
            <v>0</v>
          </cell>
          <cell r="O1276">
            <v>0</v>
          </cell>
          <cell r="Q1276" t="str">
            <v>20|25</v>
          </cell>
        </row>
        <row r="1277">
          <cell r="E1277" t="str">
            <v>6. TELECOMMUNICATIONS</v>
          </cell>
          <cell r="G1277" t="str">
            <v>6. TELECOMMUNICATIONS</v>
          </cell>
          <cell r="H1277">
            <v>0</v>
          </cell>
          <cell r="I1277">
            <v>0</v>
          </cell>
          <cell r="J1277">
            <v>0</v>
          </cell>
          <cell r="K1277">
            <v>0</v>
          </cell>
          <cell r="L1277">
            <v>0</v>
          </cell>
          <cell r="O1277">
            <v>0</v>
          </cell>
          <cell r="Q1277" t="str">
            <v>20|26</v>
          </cell>
        </row>
        <row r="1278">
          <cell r="E1278" t="str">
            <v>6. TELECOMMUNICATIONS</v>
          </cell>
          <cell r="G1278" t="str">
            <v>Room</v>
          </cell>
          <cell r="H1278" t="str">
            <v>Rack Installed</v>
          </cell>
          <cell r="I1278" t="str">
            <v>Ladder Tray</v>
          </cell>
          <cell r="J1278" t="str">
            <v>Fiber Installed</v>
          </cell>
          <cell r="K1278" t="str">
            <v>Grounding</v>
          </cell>
          <cell r="L1278" t="str">
            <v>Labeling</v>
          </cell>
          <cell r="O1278" t="str">
            <v>Overall</v>
          </cell>
          <cell r="Q1278" t="str">
            <v>20|27</v>
          </cell>
        </row>
        <row r="1279">
          <cell r="E1279" t="str">
            <v>6. TELECOMMUNICATIONS</v>
          </cell>
          <cell r="G1279" t="str">
            <v>1B</v>
          </cell>
          <cell r="H1279" t="str">
            <v>Verify</v>
          </cell>
          <cell r="I1279" t="str">
            <v>Verify</v>
          </cell>
          <cell r="J1279" t="str">
            <v>Verify</v>
          </cell>
          <cell r="K1279" t="str">
            <v>Verify</v>
          </cell>
          <cell r="L1279" t="str">
            <v>Verify</v>
          </cell>
          <cell r="O1279" t="str">
            <v>Verify</v>
          </cell>
          <cell r="Q1279" t="str">
            <v>20|28</v>
          </cell>
        </row>
        <row r="1280">
          <cell r="E1280" t="str">
            <v>6. TELECOMMUNICATIONS</v>
          </cell>
          <cell r="G1280" t="str">
            <v>8A</v>
          </cell>
          <cell r="H1280" t="str">
            <v>Existing</v>
          </cell>
          <cell r="I1280" t="str">
            <v>Existing</v>
          </cell>
          <cell r="J1280" t="str">
            <v>Existing</v>
          </cell>
          <cell r="K1280" t="str">
            <v>Verify</v>
          </cell>
          <cell r="L1280" t="str">
            <v>Verify</v>
          </cell>
          <cell r="O1280" t="str">
            <v>Verify</v>
          </cell>
          <cell r="Q1280" t="str">
            <v>20|29</v>
          </cell>
        </row>
        <row r="1281">
          <cell r="E1281" t="str">
            <v>6. TELECOMMUNICATIONS</v>
          </cell>
          <cell r="G1281">
            <v>0</v>
          </cell>
          <cell r="H1281">
            <v>0</v>
          </cell>
          <cell r="I1281">
            <v>0</v>
          </cell>
          <cell r="J1281">
            <v>0</v>
          </cell>
          <cell r="K1281">
            <v>0</v>
          </cell>
          <cell r="L1281">
            <v>0</v>
          </cell>
          <cell r="O1281">
            <v>0</v>
          </cell>
          <cell r="Q1281" t="str">
            <v>20|30</v>
          </cell>
        </row>
        <row r="1282">
          <cell r="E1282" t="str">
            <v>7. SECURITY / PACS / CCTV</v>
          </cell>
          <cell r="G1282" t="str">
            <v>7. SECURITY / PACS / CCTV</v>
          </cell>
          <cell r="H1282">
            <v>0</v>
          </cell>
          <cell r="I1282">
            <v>0</v>
          </cell>
          <cell r="J1282">
            <v>0</v>
          </cell>
          <cell r="K1282">
            <v>0</v>
          </cell>
          <cell r="L1282">
            <v>0</v>
          </cell>
          <cell r="O1282">
            <v>0</v>
          </cell>
          <cell r="Q1282" t="str">
            <v>20|31</v>
          </cell>
        </row>
        <row r="1283">
          <cell r="E1283" t="str">
            <v>7. SECURITY / PACS / CCTV</v>
          </cell>
          <cell r="G1283" t="str">
            <v>Room</v>
          </cell>
          <cell r="H1283" t="str">
            <v>PACS</v>
          </cell>
          <cell r="I1283" t="str">
            <v>Card Reader</v>
          </cell>
          <cell r="J1283" t="str">
            <v>Door Position</v>
          </cell>
          <cell r="K1283" t="str">
            <v>Electric Strike</v>
          </cell>
          <cell r="L1283" t="str">
            <v>CCTV</v>
          </cell>
          <cell r="O1283" t="str">
            <v>Overall</v>
          </cell>
          <cell r="Q1283" t="str">
            <v>20|32</v>
          </cell>
        </row>
        <row r="1284">
          <cell r="E1284" t="str">
            <v>7. SECURITY / PACS / CCTV</v>
          </cell>
          <cell r="G1284" t="str">
            <v>1B</v>
          </cell>
          <cell r="H1284" t="str">
            <v>N/A / Verify</v>
          </cell>
          <cell r="I1284" t="str">
            <v>N/A / Verify</v>
          </cell>
          <cell r="J1284" t="str">
            <v>N/A / Verify</v>
          </cell>
          <cell r="K1284" t="str">
            <v>N/A / Verify</v>
          </cell>
          <cell r="L1284" t="str">
            <v>Verify Existing</v>
          </cell>
          <cell r="O1284" t="str">
            <v>Verify</v>
          </cell>
          <cell r="Q1284" t="str">
            <v>20|33</v>
          </cell>
        </row>
        <row r="1285">
          <cell r="E1285" t="str">
            <v>7. SECURITY / PACS / CCTV</v>
          </cell>
          <cell r="G1285" t="str">
            <v>8A</v>
          </cell>
          <cell r="H1285" t="str">
            <v>N/A / Verify</v>
          </cell>
          <cell r="I1285" t="str">
            <v>N/A / Verify</v>
          </cell>
          <cell r="J1285" t="str">
            <v>N/A / Verify</v>
          </cell>
          <cell r="K1285" t="str">
            <v>N/A / Verify</v>
          </cell>
          <cell r="L1285" t="str">
            <v>Verify Existing</v>
          </cell>
          <cell r="O1285" t="str">
            <v>Verify</v>
          </cell>
          <cell r="Q1285" t="str">
            <v>20|34</v>
          </cell>
        </row>
        <row r="1286">
          <cell r="E1286" t="str">
            <v>7. SECURITY / PACS / CCTV</v>
          </cell>
          <cell r="G1286">
            <v>0</v>
          </cell>
          <cell r="H1286">
            <v>0</v>
          </cell>
          <cell r="I1286">
            <v>0</v>
          </cell>
          <cell r="J1286">
            <v>0</v>
          </cell>
          <cell r="K1286">
            <v>0</v>
          </cell>
          <cell r="L1286">
            <v>0</v>
          </cell>
          <cell r="O1286">
            <v>0</v>
          </cell>
          <cell r="Q1286" t="str">
            <v>20|35</v>
          </cell>
        </row>
        <row r="1287">
          <cell r="E1287" t="str">
            <v>8. OWNER RISKS</v>
          </cell>
          <cell r="G1287" t="str">
            <v>8. OWNER RISKS</v>
          </cell>
          <cell r="H1287">
            <v>0</v>
          </cell>
          <cell r="I1287">
            <v>0</v>
          </cell>
          <cell r="J1287">
            <v>0</v>
          </cell>
          <cell r="K1287">
            <v>0</v>
          </cell>
          <cell r="L1287">
            <v>0</v>
          </cell>
          <cell r="O1287">
            <v>0</v>
          </cell>
          <cell r="Q1287" t="str">
            <v>20|36</v>
          </cell>
        </row>
        <row r="1288">
          <cell r="E1288" t="str">
            <v>8. OWNER RISKS</v>
          </cell>
          <cell r="G1288" t="str">
            <v>Risk ID</v>
          </cell>
          <cell r="H1288" t="str">
            <v>Room</v>
          </cell>
          <cell r="I1288" t="str">
            <v>Risk</v>
          </cell>
          <cell r="J1288" t="str">
            <v>Impact</v>
          </cell>
          <cell r="K1288" t="str">
            <v>Probability</v>
          </cell>
          <cell r="L1288" t="str">
            <v>Score</v>
          </cell>
          <cell r="O1288" t="str">
            <v>Status</v>
          </cell>
          <cell r="Q1288" t="str">
            <v>20|37</v>
          </cell>
        </row>
        <row r="1289">
          <cell r="E1289" t="str">
            <v>8. OWNER RISKS</v>
          </cell>
          <cell r="G1289" t="str">
            <v>B20-R1</v>
          </cell>
          <cell r="H1289" t="str">
            <v>All</v>
          </cell>
          <cell r="I1289" t="str">
            <v>Existing conditions for new Office 1B TE and existing Tel/Data Closet 8A not field verified</v>
          </cell>
          <cell r="J1289" t="str">
            <v>High</v>
          </cell>
          <cell r="K1289" t="str">
            <v>Medium</v>
          </cell>
          <cell r="L1289">
            <v>6</v>
          </cell>
          <cell r="O1289" t="str">
            <v>Open</v>
          </cell>
          <cell r="Q1289" t="str">
            <v>20|38</v>
          </cell>
        </row>
        <row r="1290">
          <cell r="E1290" t="str">
            <v>8. OWNER RISKS</v>
          </cell>
          <cell r="G1290" t="str">
            <v>B20-R2</v>
          </cell>
          <cell r="H1290" t="str">
            <v>1B/8A</v>
          </cell>
          <cell r="I1290" t="str">
            <v>Existing equipment in 8A may remain active during transfer to new TE in 1B</v>
          </cell>
          <cell r="J1290" t="str">
            <v>Critical</v>
          </cell>
          <cell r="K1290" t="str">
            <v>Medium</v>
          </cell>
          <cell r="L1290">
            <v>8</v>
          </cell>
          <cell r="O1290" t="str">
            <v>Open</v>
          </cell>
          <cell r="Q1290" t="str">
            <v>20|39</v>
          </cell>
        </row>
        <row r="1291">
          <cell r="E1291" t="str">
            <v>8. OWNER RISKS</v>
          </cell>
          <cell r="G1291" t="str">
            <v>B20-R3</v>
          </cell>
          <cell r="H1291" t="str">
            <v>1B</v>
          </cell>
          <cell r="I1291" t="str">
            <v>Room naming and TE designation could cause PMIS mapping confusion</v>
          </cell>
          <cell r="J1291" t="str">
            <v>Medium</v>
          </cell>
          <cell r="K1291" t="str">
            <v>Medium</v>
          </cell>
          <cell r="L1291">
            <v>4</v>
          </cell>
          <cell r="O1291" t="str">
            <v>Open</v>
          </cell>
          <cell r="Q1291" t="str">
            <v>20|40</v>
          </cell>
        </row>
        <row r="1292">
          <cell r="E1292" t="str">
            <v>8. OWNER RISKS</v>
          </cell>
          <cell r="G1292" t="str">
            <v>B20-R4</v>
          </cell>
          <cell r="H1292" t="str">
            <v>1B</v>
          </cell>
          <cell r="I1292" t="str">
            <v>No mechanical scope, but TE/UPS/network equipment may add heat load to Office 1B</v>
          </cell>
          <cell r="J1292" t="str">
            <v>High</v>
          </cell>
          <cell r="K1292" t="str">
            <v>Medium</v>
          </cell>
          <cell r="L1292">
            <v>6</v>
          </cell>
          <cell r="O1292" t="str">
            <v>Open</v>
          </cell>
          <cell r="Q1292" t="str">
            <v>20|41</v>
          </cell>
        </row>
        <row r="1293">
          <cell r="E1293" t="str">
            <v>8. OWNER RISKS</v>
          </cell>
          <cell r="G1293" t="str">
            <v>B20-R5</v>
          </cell>
          <cell r="H1293" t="str">
            <v>1B</v>
          </cell>
          <cell r="I1293" t="str">
            <v>UPS/PDU/receptacle source and grounding/bonding not verified</v>
          </cell>
          <cell r="J1293" t="str">
            <v>High</v>
          </cell>
          <cell r="K1293" t="str">
            <v>Medium</v>
          </cell>
          <cell r="L1293">
            <v>6</v>
          </cell>
          <cell r="O1293" t="str">
            <v>Open</v>
          </cell>
          <cell r="Q1293" t="str">
            <v>20|42</v>
          </cell>
        </row>
        <row r="1294">
          <cell r="E1294" t="str">
            <v>8. OWNER RISKS</v>
          </cell>
          <cell r="G1294" t="str">
            <v>B20-R6</v>
          </cell>
          <cell r="H1294" t="str">
            <v>All</v>
          </cell>
          <cell r="I1294" t="str">
            <v>459 feet of cable tray/pathway requires coordination despite small port count</v>
          </cell>
          <cell r="J1294" t="str">
            <v>High</v>
          </cell>
          <cell r="K1294" t="str">
            <v>Medium</v>
          </cell>
          <cell r="L1294">
            <v>6</v>
          </cell>
          <cell r="O1294" t="str">
            <v>Open</v>
          </cell>
          <cell r="Q1294" t="str">
            <v>20|43</v>
          </cell>
        </row>
        <row r="1295">
          <cell r="E1295" t="str">
            <v>8. OWNER RISKS</v>
          </cell>
          <cell r="G1295" t="str">
            <v>B20-R7</v>
          </cell>
          <cell r="H1295" t="str">
            <v>All</v>
          </cell>
          <cell r="I1295" t="str">
            <v>Firestopping/rated sleeve work could be missed because FP scope is excluded</v>
          </cell>
          <cell r="J1295" t="str">
            <v>High</v>
          </cell>
          <cell r="K1295" t="str">
            <v>Medium</v>
          </cell>
          <cell r="L1295">
            <v>6</v>
          </cell>
          <cell r="O1295" t="str">
            <v>Open</v>
          </cell>
          <cell r="Q1295" t="str">
            <v>20|44</v>
          </cell>
        </row>
        <row r="1296">
          <cell r="E1296" t="str">
            <v>8. OWNER RISKS</v>
          </cell>
          <cell r="G1296" t="str">
            <v>B20-R8</v>
          </cell>
          <cell r="H1296" t="str">
            <v>All</v>
          </cell>
          <cell r="I1296" t="str">
            <v>Commissioning/test documentation may be overlooked due to TE-only scope</v>
          </cell>
          <cell r="J1296" t="str">
            <v>High</v>
          </cell>
          <cell r="K1296" t="str">
            <v>Medium</v>
          </cell>
          <cell r="L1296">
            <v>6</v>
          </cell>
          <cell r="O1296" t="str">
            <v>Open</v>
          </cell>
          <cell r="Q1296" t="str">
            <v>20|45</v>
          </cell>
        </row>
        <row r="1297">
          <cell r="E1297" t="str">
            <v>8. OWNER RISKS</v>
          </cell>
          <cell r="G1297">
            <v>0</v>
          </cell>
          <cell r="H1297">
            <v>0</v>
          </cell>
          <cell r="I1297">
            <v>0</v>
          </cell>
          <cell r="J1297">
            <v>0</v>
          </cell>
          <cell r="K1297">
            <v>0</v>
          </cell>
          <cell r="L1297">
            <v>0</v>
          </cell>
          <cell r="O1297">
            <v>0</v>
          </cell>
          <cell r="Q1297" t="str">
            <v>20|46</v>
          </cell>
        </row>
        <row r="1298">
          <cell r="E1298" t="str">
            <v>9. OPEN QUESTIONS</v>
          </cell>
          <cell r="G1298" t="str">
            <v>9. OPEN QUESTIONS</v>
          </cell>
          <cell r="H1298">
            <v>0</v>
          </cell>
          <cell r="I1298">
            <v>0</v>
          </cell>
          <cell r="J1298">
            <v>0</v>
          </cell>
          <cell r="K1298">
            <v>0</v>
          </cell>
          <cell r="L1298">
            <v>0</v>
          </cell>
          <cell r="O1298">
            <v>0</v>
          </cell>
          <cell r="Q1298" t="str">
            <v>20|47</v>
          </cell>
        </row>
        <row r="1299">
          <cell r="E1299" t="str">
            <v>9. OPEN QUESTIONS</v>
          </cell>
          <cell r="G1299" t="str">
            <v>Question ID</v>
          </cell>
          <cell r="H1299" t="str">
            <v>Question</v>
          </cell>
          <cell r="I1299" t="str">
            <v>Assigned To</v>
          </cell>
          <cell r="J1299" t="str">
            <v>Status</v>
          </cell>
          <cell r="K1299" t="str">
            <v>Needed By</v>
          </cell>
          <cell r="L1299" t="str">
            <v>Answer / Resolution</v>
          </cell>
          <cell r="O1299" t="str">
            <v>Date Closed</v>
          </cell>
          <cell r="Q1299" t="str">
            <v>20|48</v>
          </cell>
        </row>
        <row r="1300">
          <cell r="E1300" t="str">
            <v>9. OPEN QUESTIONS</v>
          </cell>
          <cell r="G1300" t="str">
            <v>B20-Q1</v>
          </cell>
          <cell r="H1300" t="str">
            <v>Confirm final scope: new wall-mount TE enclosure in Office 1B and existing Tel/Data Closet 8A transition only?</v>
          </cell>
          <cell r="I1300" t="str">
            <v>VA / OIT / Designer</v>
          </cell>
          <cell r="J1300" t="str">
            <v>Open</v>
          </cell>
          <cell r="K1300">
            <v>0</v>
          </cell>
          <cell r="L1300">
            <v>0</v>
          </cell>
          <cell r="O1300">
            <v>0</v>
          </cell>
          <cell r="Q1300" t="str">
            <v>20|49</v>
          </cell>
        </row>
        <row r="1301">
          <cell r="E1301" t="str">
            <v>9. OPEN QUESTIONS</v>
          </cell>
          <cell r="G1301" t="str">
            <v>B20-Q2</v>
          </cell>
          <cell r="H1301" t="str">
            <v>What active services are currently fed from existing 8A open TE cabinet and related equipment?</v>
          </cell>
          <cell r="I1301" t="str">
            <v>OIT / Contractor</v>
          </cell>
          <cell r="J1301" t="str">
            <v>Open</v>
          </cell>
          <cell r="K1301">
            <v>0</v>
          </cell>
          <cell r="L1301">
            <v>0</v>
          </cell>
          <cell r="O1301">
            <v>0</v>
          </cell>
          <cell r="Q1301" t="str">
            <v>20|50</v>
          </cell>
        </row>
        <row r="1302">
          <cell r="E1302" t="str">
            <v>9. OPEN QUESTIONS</v>
          </cell>
          <cell r="G1302" t="str">
            <v>B20-Q3</v>
          </cell>
          <cell r="H1302" t="str">
            <v>What is the approved power source, receptacle type and circuit capacity for the new APC UPS/PDU in Office 1B?</v>
          </cell>
          <cell r="I1302" t="str">
            <v>Electrical / Designer</v>
          </cell>
          <cell r="J1302" t="str">
            <v>Open</v>
          </cell>
          <cell r="K1302">
            <v>0</v>
          </cell>
          <cell r="L1302">
            <v>0</v>
          </cell>
          <cell r="O1302">
            <v>0</v>
          </cell>
          <cell r="Q1302" t="str">
            <v>20|51</v>
          </cell>
        </row>
        <row r="1303">
          <cell r="E1303" t="str">
            <v>9. OPEN QUESTIONS</v>
          </cell>
          <cell r="G1303" t="str">
            <v>B20-Q4</v>
          </cell>
          <cell r="H1303" t="str">
            <v>Is Office 1B HVAC/ambient condition acceptable for a wall-mount TE with UPS/PDU/network switch?</v>
          </cell>
          <cell r="I1303" t="str">
            <v>VA / OIT / Facilities</v>
          </cell>
          <cell r="J1303" t="str">
            <v>Open</v>
          </cell>
          <cell r="K1303">
            <v>0</v>
          </cell>
          <cell r="L1303">
            <v>0</v>
          </cell>
          <cell r="O1303">
            <v>0</v>
          </cell>
          <cell r="Q1303" t="str">
            <v>20|52</v>
          </cell>
        </row>
        <row r="1304">
          <cell r="E1304" t="str">
            <v>9. OPEN QUESTIONS</v>
          </cell>
          <cell r="G1304" t="str">
            <v>B20-Q5</v>
          </cell>
          <cell r="H1304" t="str">
            <v>Are existing cameras/security devices in Building 20 protected and retained with no VMS/PACS changes?</v>
          </cell>
          <cell r="I1304" t="str">
            <v>Security / OIT</v>
          </cell>
          <cell r="J1304" t="str">
            <v>Open</v>
          </cell>
          <cell r="K1304">
            <v>0</v>
          </cell>
          <cell r="L1304">
            <v>0</v>
          </cell>
          <cell r="O1304">
            <v>0</v>
          </cell>
          <cell r="Q1304" t="str">
            <v>20|53</v>
          </cell>
        </row>
        <row r="1305">
          <cell r="E1305" t="str">
            <v>9. OPEN QUESTIONS</v>
          </cell>
          <cell r="G1305" t="str">
            <v>B20-Q6</v>
          </cell>
          <cell r="H1305" t="str">
            <v>Are all 459 feet of cable tray route, sleeves, supports and firestopping details field verified?</v>
          </cell>
          <cell r="I1305" t="str">
            <v>Telecom / GC / Firestop</v>
          </cell>
          <cell r="J1305" t="str">
            <v>Open</v>
          </cell>
          <cell r="K1305">
            <v>0</v>
          </cell>
          <cell r="L1305">
            <v>0</v>
          </cell>
          <cell r="O1305">
            <v>0</v>
          </cell>
          <cell r="Q1305" t="str">
            <v>20|54</v>
          </cell>
        </row>
        <row r="1306">
          <cell r="E1306" t="str">
            <v>9. OPEN QUESTIONS</v>
          </cell>
          <cell r="G1306" t="str">
            <v>B20-Q7</v>
          </cell>
          <cell r="H1306" t="str">
            <v>Are the 10 new Cat6A cross-connect cables from existing TE to new TE location coordinated and labeled?</v>
          </cell>
          <cell r="I1306" t="str">
            <v>Telecom / OIT</v>
          </cell>
          <cell r="J1306" t="str">
            <v>Open</v>
          </cell>
          <cell r="K1306">
            <v>0</v>
          </cell>
          <cell r="L1306">
            <v>0</v>
          </cell>
          <cell r="O1306">
            <v>0</v>
          </cell>
          <cell r="Q1306" t="str">
            <v>20|55</v>
          </cell>
        </row>
        <row r="1307">
          <cell r="E1307" t="str">
            <v>9. OPEN QUESTIONS</v>
          </cell>
          <cell r="G1307" t="str">
            <v>B20-Q8</v>
          </cell>
          <cell r="H1307" t="str">
            <v>Which test records and turnover documents are required for TE-only acceptance?</v>
          </cell>
          <cell r="I1307" t="str">
            <v>GC / Cx Manager / OIT</v>
          </cell>
          <cell r="J1307" t="str">
            <v>Open</v>
          </cell>
          <cell r="K1307">
            <v>0</v>
          </cell>
          <cell r="L1307">
            <v>0</v>
          </cell>
          <cell r="O1307">
            <v>0</v>
          </cell>
          <cell r="Q1307" t="str">
            <v>20|56</v>
          </cell>
        </row>
        <row r="1308">
          <cell r="E1308" t="str">
            <v>9. OPEN QUESTIONS</v>
          </cell>
          <cell r="G1308">
            <v>0</v>
          </cell>
          <cell r="H1308">
            <v>0</v>
          </cell>
          <cell r="I1308">
            <v>0</v>
          </cell>
          <cell r="J1308">
            <v>0</v>
          </cell>
          <cell r="K1308">
            <v>0</v>
          </cell>
          <cell r="L1308">
            <v>0</v>
          </cell>
          <cell r="O1308">
            <v>0</v>
          </cell>
          <cell r="Q1308" t="str">
            <v>20|57</v>
          </cell>
        </row>
        <row r="1309">
          <cell r="E1309" t="str">
            <v>10. PHOTO LOG</v>
          </cell>
          <cell r="G1309" t="str">
            <v>10. PHOTO LOG</v>
          </cell>
          <cell r="H1309">
            <v>0</v>
          </cell>
          <cell r="I1309">
            <v>0</v>
          </cell>
          <cell r="J1309">
            <v>0</v>
          </cell>
          <cell r="K1309">
            <v>0</v>
          </cell>
          <cell r="L1309">
            <v>0</v>
          </cell>
          <cell r="O1309">
            <v>0</v>
          </cell>
          <cell r="Q1309" t="str">
            <v>20|58</v>
          </cell>
        </row>
        <row r="1310">
          <cell r="E1310" t="str">
            <v>10. PHOTO LOG</v>
          </cell>
          <cell r="G1310" t="str">
            <v>Photo ID</v>
          </cell>
          <cell r="H1310" t="str">
            <v>Room</v>
          </cell>
          <cell r="I1310" t="str">
            <v>Category</v>
          </cell>
          <cell r="J1310" t="str">
            <v>Description</v>
          </cell>
          <cell r="K1310" t="str">
            <v>Date</v>
          </cell>
          <cell r="L1310" t="str">
            <v>Taken By</v>
          </cell>
          <cell r="O1310" t="str">
            <v>Status</v>
          </cell>
          <cell r="Q1310" t="str">
            <v>20|59</v>
          </cell>
        </row>
        <row r="1311">
          <cell r="E1311" t="str">
            <v>10. PHOTO LOG</v>
          </cell>
          <cell r="G1311" t="str">
            <v>B20-P001</v>
          </cell>
          <cell r="H1311" t="str">
            <v>1B</v>
          </cell>
          <cell r="I1311" t="str">
            <v>Existing Condition</v>
          </cell>
          <cell r="J1311" t="str">
            <v>Office 1B wall location, wall backing, clearances, ceiling, power source, cable path, fiber path A/B and new TE enclosure location</v>
          </cell>
          <cell r="K1311">
            <v>0</v>
          </cell>
          <cell r="L1311" t="str">
            <v>Paul</v>
          </cell>
          <cell r="O1311" t="str">
            <v>Open</v>
          </cell>
          <cell r="Q1311" t="str">
            <v>20|60</v>
          </cell>
        </row>
        <row r="1312">
          <cell r="E1312" t="str">
            <v>10. PHOTO LOG</v>
          </cell>
          <cell r="G1312" t="str">
            <v>B20-P002</v>
          </cell>
          <cell r="H1312" t="str">
            <v>8A</v>
          </cell>
          <cell r="I1312" t="str">
            <v>Existing Condition</v>
          </cell>
          <cell r="J1312" t="str">
            <v>Existing Tel/Data Closet 8A open TE cabinet, ground bar, patch panel, equipment box, indoor AC unit, plywood backboard and cable entries</v>
          </cell>
          <cell r="K1312">
            <v>0</v>
          </cell>
          <cell r="L1312" t="str">
            <v>Paul</v>
          </cell>
          <cell r="O1312" t="str">
            <v>Open</v>
          </cell>
          <cell r="Q1312" t="str">
            <v>20|61</v>
          </cell>
        </row>
        <row r="1313">
          <cell r="E1313" t="str">
            <v>10. PHOTO LOG</v>
          </cell>
          <cell r="G1313" t="str">
            <v>B20-P003</v>
          </cell>
          <cell r="H1313" t="str">
            <v>8A</v>
          </cell>
          <cell r="I1313" t="str">
            <v>Existing Equipment</v>
          </cell>
          <cell r="J1313" t="str">
            <v>BIX blocks, Cisco switch, legacy Ortronics 48-port patch panel, UPS on ground and Fiber LIU on wall</v>
          </cell>
          <cell r="K1313">
            <v>0</v>
          </cell>
          <cell r="L1313" t="str">
            <v>Paul</v>
          </cell>
          <cell r="O1313" t="str">
            <v>Open</v>
          </cell>
          <cell r="Q1313" t="str">
            <v>20|62</v>
          </cell>
        </row>
        <row r="1314">
          <cell r="E1314" t="str">
            <v>10. PHOTO LOG</v>
          </cell>
          <cell r="G1314" t="str">
            <v>B20-P004</v>
          </cell>
          <cell r="H1314" t="str">
            <v>1B/8A</v>
          </cell>
          <cell r="I1314" t="str">
            <v>Pathway</v>
          </cell>
          <cell r="J1314" t="str">
            <v>459 ft Level 1 cable tray route, sleeves, wall penetrations, support points, light/HVAC conflicts and 40% fill concerns</v>
          </cell>
          <cell r="K1314">
            <v>0</v>
          </cell>
          <cell r="L1314" t="str">
            <v>Paul</v>
          </cell>
          <cell r="O1314" t="str">
            <v>Open</v>
          </cell>
          <cell r="Q1314" t="str">
            <v>20|63</v>
          </cell>
        </row>
        <row r="1315">
          <cell r="E1315" t="str">
            <v>10. PHOTO LOG</v>
          </cell>
          <cell r="G1315" t="str">
            <v>B20-P005</v>
          </cell>
          <cell r="H1315" t="str">
            <v>1B</v>
          </cell>
          <cell r="I1315" t="str">
            <v>Electrical</v>
          </cell>
          <cell r="J1315" t="str">
            <v>New TE enclosure UPS/PDU receptacles, circuit source, grounding/bonding, labels and disconnect/access</v>
          </cell>
          <cell r="K1315">
            <v>0</v>
          </cell>
          <cell r="L1315" t="str">
            <v>Paul</v>
          </cell>
          <cell r="O1315" t="str">
            <v>Open</v>
          </cell>
          <cell r="Q1315" t="str">
            <v>20|64</v>
          </cell>
        </row>
        <row r="1316">
          <cell r="E1316" t="str">
            <v>10. PHOTO LOG</v>
          </cell>
          <cell r="G1316" t="str">
            <v>B20-P006</v>
          </cell>
          <cell r="H1316" t="str">
            <v>1B/8A</v>
          </cell>
          <cell r="I1316" t="str">
            <v>Telecom</v>
          </cell>
          <cell r="J1316" t="str">
            <v>TE01-1B-1 enclosure, cross-connect cables, Fiber LIU, patch panels, labels, test results and existing equipment transfer</v>
          </cell>
          <cell r="K1316">
            <v>0</v>
          </cell>
          <cell r="L1316" t="str">
            <v>Paul</v>
          </cell>
          <cell r="O1316" t="str">
            <v>Open</v>
          </cell>
          <cell r="Q1316" t="str">
            <v>20|65</v>
          </cell>
        </row>
        <row r="1317">
          <cell r="E1317" t="str">
            <v>10. PHOTO LOG</v>
          </cell>
          <cell r="G1317" t="str">
            <v>B20-P007</v>
          </cell>
          <cell r="H1317" t="str">
            <v>All</v>
          </cell>
          <cell r="I1317" t="str">
            <v>Firestop</v>
          </cell>
          <cell r="J1317" t="str">
            <v>4-inch speed sleeve, wall penetrations and fire caulk before/after photos</v>
          </cell>
          <cell r="K1317">
            <v>0</v>
          </cell>
          <cell r="L1317" t="str">
            <v>Paul</v>
          </cell>
          <cell r="O1317" t="str">
            <v>Open</v>
          </cell>
          <cell r="Q1317" t="str">
            <v>20|66</v>
          </cell>
        </row>
        <row r="1318">
          <cell r="E1318" t="str">
            <v>10. PHOTO LOG</v>
          </cell>
          <cell r="G1318" t="str">
            <v>B20-P008</v>
          </cell>
          <cell r="H1318" t="str">
            <v>All</v>
          </cell>
          <cell r="I1318" t="str">
            <v>Security / Existing Devices</v>
          </cell>
          <cell r="J1318" t="str">
            <v>Existing cameras/security devices to remain, protection-in-place and final operating condition</v>
          </cell>
          <cell r="K1318">
            <v>0</v>
          </cell>
          <cell r="L1318" t="str">
            <v>Paul</v>
          </cell>
          <cell r="O1318" t="str">
            <v>Open</v>
          </cell>
          <cell r="Q1318" t="str">
            <v>20|67</v>
          </cell>
        </row>
        <row r="1319">
          <cell r="E1319" t="str">
            <v>10. PHOTO LOG</v>
          </cell>
          <cell r="G1319">
            <v>0</v>
          </cell>
          <cell r="H1319">
            <v>0</v>
          </cell>
          <cell r="I1319">
            <v>0</v>
          </cell>
          <cell r="J1319">
            <v>0</v>
          </cell>
          <cell r="K1319">
            <v>0</v>
          </cell>
          <cell r="L1319">
            <v>0</v>
          </cell>
          <cell r="O1319">
            <v>0</v>
          </cell>
          <cell r="Q1319" t="str">
            <v>20|68</v>
          </cell>
        </row>
        <row r="1320">
          <cell r="E1320" t="str">
            <v>1. ROOM INVENTORY</v>
          </cell>
          <cell r="G1320" t="str">
            <v>1. ROOM INVENTORY</v>
          </cell>
          <cell r="H1320">
            <v>0</v>
          </cell>
          <cell r="I1320">
            <v>0</v>
          </cell>
          <cell r="J1320">
            <v>0</v>
          </cell>
          <cell r="K1320">
            <v>0</v>
          </cell>
          <cell r="L1320">
            <v>0</v>
          </cell>
          <cell r="O1320">
            <v>0</v>
          </cell>
          <cell r="Q1320" t="str">
            <v>21|1</v>
          </cell>
        </row>
        <row r="1321">
          <cell r="E1321" t="str">
            <v>1. ROOM INVENTORY</v>
          </cell>
          <cell r="G1321" t="str">
            <v>Building</v>
          </cell>
          <cell r="H1321" t="str">
            <v>Room</v>
          </cell>
          <cell r="I1321" t="str">
            <v>Floor</v>
          </cell>
          <cell r="J1321" t="str">
            <v>Existing Use</v>
          </cell>
          <cell r="K1321" t="str">
            <v>New Use</v>
          </cell>
          <cell r="L1321" t="str">
            <v>Rack Count</v>
          </cell>
          <cell r="O1321" t="str">
            <v>Drawing Ref</v>
          </cell>
          <cell r="Q1321" t="str">
            <v>21|2</v>
          </cell>
        </row>
        <row r="1322">
          <cell r="E1322" t="str">
            <v>1. ROOM INVENTORY</v>
          </cell>
          <cell r="G1322" t="str">
            <v>21</v>
          </cell>
          <cell r="H1322" t="str">
            <v>100A</v>
          </cell>
          <cell r="I1322" t="str">
            <v>First</v>
          </cell>
          <cell r="J1322" t="str">
            <v>M&amp;O Foreman Office / new TE location</v>
          </cell>
          <cell r="K1322" t="str">
            <v>Telecom Enclosure</v>
          </cell>
          <cell r="L1322">
            <v>1</v>
          </cell>
          <cell r="O1322" t="str">
            <v>21_19T-101 / 21_19T-604 / 21_19T-701 / 21_19E-101</v>
          </cell>
          <cell r="Q1322" t="str">
            <v>21|3</v>
          </cell>
        </row>
        <row r="1323">
          <cell r="E1323" t="str">
            <v>1. ROOM INVENTORY</v>
          </cell>
          <cell r="G1323" t="str">
            <v>21</v>
          </cell>
          <cell r="H1323" t="str">
            <v>B1.TR</v>
          </cell>
          <cell r="I1323" t="str">
            <v>Basement</v>
          </cell>
          <cell r="J1323" t="str">
            <v>Existing telecom room / wall-mount TE</v>
          </cell>
          <cell r="K1323" t="str">
            <v>Existing telecom transition point</v>
          </cell>
          <cell r="L1323">
            <v>1</v>
          </cell>
          <cell r="O1323" t="str">
            <v>21_19T-100 / 21_19T-604</v>
          </cell>
          <cell r="Q1323" t="str">
            <v>21|4</v>
          </cell>
        </row>
        <row r="1324">
          <cell r="E1324" t="str">
            <v>1. ROOM INVENTORY</v>
          </cell>
          <cell r="G1324" t="str">
            <v>19</v>
          </cell>
          <cell r="H1324" t="str">
            <v>B05TR</v>
          </cell>
          <cell r="I1324" t="str">
            <v>Basement / First</v>
          </cell>
          <cell r="J1324" t="str">
            <v>Existing telecom room / wall-mount TE</v>
          </cell>
          <cell r="K1324" t="str">
            <v>Existing telecom transition point serving B19/B21</v>
          </cell>
          <cell r="L1324">
            <v>2</v>
          </cell>
          <cell r="O1324" t="str">
            <v>21_19T-100 / 21_19T-604 / 21_19R-900</v>
          </cell>
          <cell r="Q1324" t="str">
            <v>21|5</v>
          </cell>
        </row>
        <row r="1325">
          <cell r="E1325" t="str">
            <v>1. ROOM INVENTORY</v>
          </cell>
          <cell r="G1325">
            <v>0</v>
          </cell>
          <cell r="H1325">
            <v>0</v>
          </cell>
          <cell r="I1325">
            <v>0</v>
          </cell>
          <cell r="J1325">
            <v>0</v>
          </cell>
          <cell r="K1325">
            <v>0</v>
          </cell>
          <cell r="L1325">
            <v>0</v>
          </cell>
          <cell r="O1325">
            <v>0</v>
          </cell>
          <cell r="Q1325" t="str">
            <v>21|6</v>
          </cell>
        </row>
        <row r="1326">
          <cell r="E1326" t="str">
            <v>2. ROOM READINESS</v>
          </cell>
          <cell r="G1326" t="str">
            <v>2. ROOM READINESS</v>
          </cell>
          <cell r="H1326">
            <v>0</v>
          </cell>
          <cell r="I1326">
            <v>0</v>
          </cell>
          <cell r="J1326">
            <v>0</v>
          </cell>
          <cell r="K1326">
            <v>0</v>
          </cell>
          <cell r="L1326">
            <v>0</v>
          </cell>
          <cell r="O1326">
            <v>0</v>
          </cell>
          <cell r="Q1326" t="str">
            <v>21|7</v>
          </cell>
        </row>
        <row r="1327">
          <cell r="E1327" t="str">
            <v>2. ROOM READINESS</v>
          </cell>
          <cell r="G1327" t="str">
            <v>Room</v>
          </cell>
          <cell r="H1327" t="str">
            <v>Walls / 1-hr Rating</v>
          </cell>
          <cell r="I1327" t="str">
            <v>Ceiling</v>
          </cell>
          <cell r="J1327" t="str">
            <v>Floor / SDC</v>
          </cell>
          <cell r="K1327" t="str">
            <v>Penetrations</v>
          </cell>
          <cell r="L1327" t="str">
            <v>Access Control</v>
          </cell>
          <cell r="O1327" t="str">
            <v>Overall</v>
          </cell>
          <cell r="Q1327" t="str">
            <v>21|8</v>
          </cell>
        </row>
        <row r="1328">
          <cell r="E1328" t="str">
            <v>2. ROOM READINESS</v>
          </cell>
          <cell r="G1328" t="str">
            <v>100A</v>
          </cell>
          <cell r="H1328" t="str">
            <v>Verify</v>
          </cell>
          <cell r="I1328" t="str">
            <v>Verify</v>
          </cell>
          <cell r="J1328" t="str">
            <v>N/A / Office</v>
          </cell>
          <cell r="K1328" t="str">
            <v>Verify</v>
          </cell>
          <cell r="L1328" t="str">
            <v>Verify Existing</v>
          </cell>
          <cell r="O1328" t="str">
            <v>Verify</v>
          </cell>
          <cell r="Q1328" t="str">
            <v>21|9</v>
          </cell>
        </row>
        <row r="1329">
          <cell r="E1329" t="str">
            <v>2. ROOM READINESS</v>
          </cell>
          <cell r="G1329" t="str">
            <v>B1.TR</v>
          </cell>
          <cell r="H1329" t="str">
            <v>Existing / Verify</v>
          </cell>
          <cell r="I1329" t="str">
            <v>Existing / Verify</v>
          </cell>
          <cell r="J1329" t="str">
            <v>Existing / Verify</v>
          </cell>
          <cell r="K1329" t="str">
            <v>Verify</v>
          </cell>
          <cell r="L1329" t="str">
            <v>Verify Existing</v>
          </cell>
          <cell r="O1329" t="str">
            <v>Verify</v>
          </cell>
          <cell r="Q1329" t="str">
            <v>21|10</v>
          </cell>
        </row>
        <row r="1330">
          <cell r="E1330" t="str">
            <v>2. ROOM READINESS</v>
          </cell>
          <cell r="G1330" t="str">
            <v>B05TR</v>
          </cell>
          <cell r="H1330" t="str">
            <v>Existing / Verify</v>
          </cell>
          <cell r="I1330" t="str">
            <v>Existing / Verify</v>
          </cell>
          <cell r="J1330" t="str">
            <v>Existing / Verify</v>
          </cell>
          <cell r="K1330" t="str">
            <v>Verify</v>
          </cell>
          <cell r="L1330" t="str">
            <v>Verify Existing</v>
          </cell>
          <cell r="O1330" t="str">
            <v>Verify</v>
          </cell>
          <cell r="Q1330" t="str">
            <v>21|11</v>
          </cell>
        </row>
        <row r="1331">
          <cell r="E1331" t="str">
            <v>2. ROOM READINESS</v>
          </cell>
          <cell r="G1331">
            <v>0</v>
          </cell>
          <cell r="H1331">
            <v>0</v>
          </cell>
          <cell r="I1331">
            <v>0</v>
          </cell>
          <cell r="J1331">
            <v>0</v>
          </cell>
          <cell r="K1331">
            <v>0</v>
          </cell>
          <cell r="L1331">
            <v>0</v>
          </cell>
          <cell r="O1331">
            <v>0</v>
          </cell>
          <cell r="Q1331" t="str">
            <v>21|12</v>
          </cell>
        </row>
        <row r="1332">
          <cell r="E1332" t="str">
            <v>3. FIRE PROTECTION</v>
          </cell>
          <cell r="G1332" t="str">
            <v>3. FIRE PROTECTION</v>
          </cell>
          <cell r="H1332">
            <v>0</v>
          </cell>
          <cell r="I1332">
            <v>0</v>
          </cell>
          <cell r="J1332">
            <v>0</v>
          </cell>
          <cell r="K1332">
            <v>0</v>
          </cell>
          <cell r="L1332">
            <v>0</v>
          </cell>
          <cell r="O1332">
            <v>0</v>
          </cell>
          <cell r="Q1332" t="str">
            <v>21|13</v>
          </cell>
        </row>
        <row r="1333">
          <cell r="E1333" t="str">
            <v>3. FIRE PROTECTION</v>
          </cell>
          <cell r="G1333" t="str">
            <v>Room</v>
          </cell>
          <cell r="H1333" t="str">
            <v>Sprinkler</v>
          </cell>
          <cell r="I1333" t="str">
            <v>Cage</v>
          </cell>
          <cell r="J1333" t="str">
            <v>Detector</v>
          </cell>
          <cell r="K1333" t="str">
            <v>Horn/Strobe</v>
          </cell>
          <cell r="L1333" t="str">
            <v>Extinguisher &lt;75 ft</v>
          </cell>
          <cell r="O1333" t="str">
            <v>Overall</v>
          </cell>
          <cell r="Q1333" t="str">
            <v>21|14</v>
          </cell>
        </row>
        <row r="1334">
          <cell r="E1334" t="str">
            <v>3. FIRE PROTECTION</v>
          </cell>
          <cell r="G1334" t="str">
            <v>100A</v>
          </cell>
          <cell r="H1334" t="str">
            <v>Excluded / Verify</v>
          </cell>
          <cell r="I1334" t="str">
            <v>N/A</v>
          </cell>
          <cell r="J1334" t="str">
            <v>Verify Existing</v>
          </cell>
          <cell r="K1334" t="str">
            <v>Verify Existing</v>
          </cell>
          <cell r="L1334" t="str">
            <v>N/A / Verify</v>
          </cell>
          <cell r="O1334" t="str">
            <v>Verify</v>
          </cell>
          <cell r="Q1334" t="str">
            <v>21|15</v>
          </cell>
        </row>
        <row r="1335">
          <cell r="E1335" t="str">
            <v>3. FIRE PROTECTION</v>
          </cell>
          <cell r="G1335" t="str">
            <v>B1.TR</v>
          </cell>
          <cell r="H1335" t="str">
            <v>Existing / Verify</v>
          </cell>
          <cell r="I1335" t="str">
            <v>N/A</v>
          </cell>
          <cell r="J1335" t="str">
            <v>Verify Existing</v>
          </cell>
          <cell r="K1335" t="str">
            <v>Verify Existing</v>
          </cell>
          <cell r="L1335" t="str">
            <v>N/A / Verify</v>
          </cell>
          <cell r="O1335" t="str">
            <v>Verify</v>
          </cell>
          <cell r="Q1335" t="str">
            <v>21|16</v>
          </cell>
        </row>
        <row r="1336">
          <cell r="E1336" t="str">
            <v>3. FIRE PROTECTION</v>
          </cell>
          <cell r="G1336" t="str">
            <v>B05TR</v>
          </cell>
          <cell r="H1336" t="str">
            <v>Existing / Verify</v>
          </cell>
          <cell r="I1336" t="str">
            <v>N/A</v>
          </cell>
          <cell r="J1336" t="str">
            <v>Verify Existing</v>
          </cell>
          <cell r="K1336" t="str">
            <v>Verify Existing</v>
          </cell>
          <cell r="L1336" t="str">
            <v>N/A / Verify</v>
          </cell>
          <cell r="O1336" t="str">
            <v>Verify</v>
          </cell>
          <cell r="Q1336" t="str">
            <v>21|17</v>
          </cell>
        </row>
        <row r="1337">
          <cell r="E1337" t="str">
            <v>3. FIRE PROTECTION</v>
          </cell>
          <cell r="G1337">
            <v>0</v>
          </cell>
          <cell r="H1337">
            <v>0</v>
          </cell>
          <cell r="I1337">
            <v>0</v>
          </cell>
          <cell r="J1337">
            <v>0</v>
          </cell>
          <cell r="K1337">
            <v>0</v>
          </cell>
          <cell r="L1337">
            <v>0</v>
          </cell>
          <cell r="O1337">
            <v>0</v>
          </cell>
          <cell r="Q1337" t="str">
            <v>21|18</v>
          </cell>
        </row>
        <row r="1338">
          <cell r="E1338" t="str">
            <v>4. HVAC / COOLING</v>
          </cell>
          <cell r="G1338" t="str">
            <v>4. HVAC / COOLING</v>
          </cell>
          <cell r="H1338">
            <v>0</v>
          </cell>
          <cell r="I1338">
            <v>0</v>
          </cell>
          <cell r="J1338">
            <v>0</v>
          </cell>
          <cell r="K1338">
            <v>0</v>
          </cell>
          <cell r="L1338">
            <v>0</v>
          </cell>
          <cell r="O1338">
            <v>0</v>
          </cell>
          <cell r="Q1338" t="str">
            <v>21|19</v>
          </cell>
        </row>
        <row r="1339">
          <cell r="E1339" t="str">
            <v>4. HVAC / COOLING</v>
          </cell>
          <cell r="G1339" t="str">
            <v>Room</v>
          </cell>
          <cell r="H1339" t="str">
            <v>Dedicated Unit</v>
          </cell>
          <cell r="I1339" t="str">
            <v>Capacity Verified</v>
          </cell>
          <cell r="J1339" t="str">
            <v>Emergency Power</v>
          </cell>
          <cell r="K1339" t="str">
            <v>Controls / BACnet</v>
          </cell>
          <cell r="L1339" t="str">
            <v>Condensate Routed</v>
          </cell>
          <cell r="O1339" t="str">
            <v>Overall</v>
          </cell>
          <cell r="Q1339" t="str">
            <v>21|20</v>
          </cell>
        </row>
        <row r="1340">
          <cell r="E1340" t="str">
            <v>4. HVAC / COOLING</v>
          </cell>
          <cell r="G1340" t="str">
            <v>100A</v>
          </cell>
          <cell r="H1340" t="str">
            <v>Verify / Existing HVAC</v>
          </cell>
          <cell r="I1340" t="str">
            <v>Verify</v>
          </cell>
          <cell r="J1340" t="str">
            <v>Verify</v>
          </cell>
          <cell r="K1340" t="str">
            <v>Verify</v>
          </cell>
          <cell r="L1340" t="str">
            <v>Verify</v>
          </cell>
          <cell r="O1340" t="str">
            <v>Verify</v>
          </cell>
          <cell r="Q1340" t="str">
            <v>21|21</v>
          </cell>
        </row>
        <row r="1341">
          <cell r="E1341" t="str">
            <v>4. HVAC / COOLING</v>
          </cell>
          <cell r="G1341" t="str">
            <v>B1.TR</v>
          </cell>
          <cell r="H1341" t="str">
            <v>Existing / Verify</v>
          </cell>
          <cell r="I1341" t="str">
            <v>Verify</v>
          </cell>
          <cell r="J1341" t="str">
            <v>Verify</v>
          </cell>
          <cell r="K1341" t="str">
            <v>Verify</v>
          </cell>
          <cell r="L1341" t="str">
            <v>Verify</v>
          </cell>
          <cell r="O1341" t="str">
            <v>Verify</v>
          </cell>
          <cell r="Q1341" t="str">
            <v>21|22</v>
          </cell>
        </row>
        <row r="1342">
          <cell r="E1342" t="str">
            <v>4. HVAC / COOLING</v>
          </cell>
          <cell r="G1342" t="str">
            <v>B05TR</v>
          </cell>
          <cell r="H1342" t="str">
            <v>Existing / Verify</v>
          </cell>
          <cell r="I1342" t="str">
            <v>Verify</v>
          </cell>
          <cell r="J1342" t="str">
            <v>Verify</v>
          </cell>
          <cell r="K1342" t="str">
            <v>Verify</v>
          </cell>
          <cell r="L1342" t="str">
            <v>Verify</v>
          </cell>
          <cell r="O1342" t="str">
            <v>Verify</v>
          </cell>
          <cell r="Q1342" t="str">
            <v>21|23</v>
          </cell>
        </row>
        <row r="1343">
          <cell r="E1343" t="str">
            <v>4. HVAC / COOLING</v>
          </cell>
          <cell r="G1343">
            <v>0</v>
          </cell>
          <cell r="H1343">
            <v>0</v>
          </cell>
          <cell r="I1343">
            <v>0</v>
          </cell>
          <cell r="J1343">
            <v>0</v>
          </cell>
          <cell r="K1343">
            <v>0</v>
          </cell>
          <cell r="L1343">
            <v>0</v>
          </cell>
          <cell r="O1343">
            <v>0</v>
          </cell>
          <cell r="Q1343" t="str">
            <v>21|24</v>
          </cell>
        </row>
        <row r="1344">
          <cell r="E1344" t="str">
            <v>5. ELECTRICAL / UPS</v>
          </cell>
          <cell r="G1344" t="str">
            <v>5. ELECTRICAL / UPS</v>
          </cell>
          <cell r="H1344">
            <v>0</v>
          </cell>
          <cell r="I1344">
            <v>0</v>
          </cell>
          <cell r="J1344">
            <v>0</v>
          </cell>
          <cell r="K1344">
            <v>0</v>
          </cell>
          <cell r="L1344">
            <v>0</v>
          </cell>
          <cell r="O1344">
            <v>0</v>
          </cell>
          <cell r="Q1344" t="str">
            <v>21|25</v>
          </cell>
        </row>
        <row r="1345">
          <cell r="E1345" t="str">
            <v>5. ELECTRICAL / UPS</v>
          </cell>
          <cell r="G1345" t="str">
            <v>Room</v>
          </cell>
          <cell r="H1345" t="str">
            <v>UPS Installed</v>
          </cell>
          <cell r="I1345" t="str">
            <v>UPS Size</v>
          </cell>
          <cell r="J1345" t="str">
            <v>PDU Installed</v>
          </cell>
          <cell r="K1345" t="str">
            <v>Rack Receptacles</v>
          </cell>
          <cell r="L1345" t="str">
            <v>Panel Assigned</v>
          </cell>
          <cell r="O1345" t="str">
            <v>Overall</v>
          </cell>
          <cell r="Q1345" t="str">
            <v>21|26</v>
          </cell>
        </row>
        <row r="1346">
          <cell r="E1346" t="str">
            <v>5. ELECTRICAL / UPS</v>
          </cell>
          <cell r="G1346" t="str">
            <v>100A</v>
          </cell>
          <cell r="H1346" t="str">
            <v>Verify</v>
          </cell>
          <cell r="I1346" t="str">
            <v>APC UPS / TE enclosure</v>
          </cell>
          <cell r="J1346" t="str">
            <v>Verify</v>
          </cell>
          <cell r="K1346" t="str">
            <v>Verify</v>
          </cell>
          <cell r="L1346" t="str">
            <v>21_19E-101 / 21_19E-701 source to verify</v>
          </cell>
          <cell r="O1346" t="str">
            <v>Verify</v>
          </cell>
          <cell r="Q1346" t="str">
            <v>21|27</v>
          </cell>
        </row>
        <row r="1347">
          <cell r="E1347" t="str">
            <v>5. ELECTRICAL / UPS</v>
          </cell>
          <cell r="G1347" t="str">
            <v>B1.TR</v>
          </cell>
          <cell r="H1347" t="str">
            <v>Existing</v>
          </cell>
          <cell r="I1347" t="str">
            <v>Existing APC floor UPS</v>
          </cell>
          <cell r="J1347" t="str">
            <v>Existing</v>
          </cell>
          <cell r="K1347" t="str">
            <v>Verify</v>
          </cell>
          <cell r="L1347" t="str">
            <v>Existing / Verify</v>
          </cell>
          <cell r="O1347" t="str">
            <v>Verify</v>
          </cell>
          <cell r="Q1347" t="str">
            <v>21|28</v>
          </cell>
        </row>
        <row r="1348">
          <cell r="E1348" t="str">
            <v>5. ELECTRICAL / UPS</v>
          </cell>
          <cell r="G1348" t="str">
            <v>B05TR</v>
          </cell>
          <cell r="H1348" t="str">
            <v>Existing</v>
          </cell>
          <cell r="I1348" t="str">
            <v>Existing APC floor UPS</v>
          </cell>
          <cell r="J1348" t="str">
            <v>Existing</v>
          </cell>
          <cell r="K1348" t="str">
            <v>Verify</v>
          </cell>
          <cell r="L1348" t="str">
            <v>Existing / Verify</v>
          </cell>
          <cell r="O1348" t="str">
            <v>Verify</v>
          </cell>
          <cell r="Q1348" t="str">
            <v>21|29</v>
          </cell>
        </row>
        <row r="1349">
          <cell r="E1349" t="str">
            <v>5. ELECTRICAL / UPS</v>
          </cell>
          <cell r="G1349">
            <v>0</v>
          </cell>
          <cell r="H1349">
            <v>0</v>
          </cell>
          <cell r="I1349">
            <v>0</v>
          </cell>
          <cell r="J1349">
            <v>0</v>
          </cell>
          <cell r="K1349">
            <v>0</v>
          </cell>
          <cell r="L1349">
            <v>0</v>
          </cell>
          <cell r="O1349">
            <v>0</v>
          </cell>
          <cell r="Q1349" t="str">
            <v>21|30</v>
          </cell>
        </row>
        <row r="1350">
          <cell r="E1350" t="str">
            <v>6. TELECOMMUNICATIONS</v>
          </cell>
          <cell r="G1350" t="str">
            <v>6. TELECOMMUNICATIONS</v>
          </cell>
          <cell r="H1350">
            <v>0</v>
          </cell>
          <cell r="I1350">
            <v>0</v>
          </cell>
          <cell r="J1350">
            <v>0</v>
          </cell>
          <cell r="K1350">
            <v>0</v>
          </cell>
          <cell r="L1350">
            <v>0</v>
          </cell>
          <cell r="O1350">
            <v>0</v>
          </cell>
          <cell r="Q1350" t="str">
            <v>21|31</v>
          </cell>
        </row>
        <row r="1351">
          <cell r="E1351" t="str">
            <v>6. TELECOMMUNICATIONS</v>
          </cell>
          <cell r="G1351" t="str">
            <v>Room</v>
          </cell>
          <cell r="H1351" t="str">
            <v>Rack Installed</v>
          </cell>
          <cell r="I1351" t="str">
            <v>Ladder Tray</v>
          </cell>
          <cell r="J1351" t="str">
            <v>Fiber Installed</v>
          </cell>
          <cell r="K1351" t="str">
            <v>Grounding</v>
          </cell>
          <cell r="L1351" t="str">
            <v>Labeling</v>
          </cell>
          <cell r="O1351" t="str">
            <v>Overall</v>
          </cell>
          <cell r="Q1351" t="str">
            <v>21|32</v>
          </cell>
        </row>
        <row r="1352">
          <cell r="E1352" t="str">
            <v>6. TELECOMMUNICATIONS</v>
          </cell>
          <cell r="G1352" t="str">
            <v>100A</v>
          </cell>
          <cell r="H1352" t="str">
            <v>Verify</v>
          </cell>
          <cell r="I1352" t="str">
            <v>Verify</v>
          </cell>
          <cell r="J1352" t="str">
            <v>Verify</v>
          </cell>
          <cell r="K1352" t="str">
            <v>Verify</v>
          </cell>
          <cell r="L1352" t="str">
            <v>Verify</v>
          </cell>
          <cell r="O1352" t="str">
            <v>Verify</v>
          </cell>
          <cell r="Q1352" t="str">
            <v>21|33</v>
          </cell>
        </row>
        <row r="1353">
          <cell r="E1353" t="str">
            <v>6. TELECOMMUNICATIONS</v>
          </cell>
          <cell r="G1353" t="str">
            <v>B1.TR</v>
          </cell>
          <cell r="H1353" t="str">
            <v>Existing</v>
          </cell>
          <cell r="I1353" t="str">
            <v>Existing</v>
          </cell>
          <cell r="J1353" t="str">
            <v>Existing</v>
          </cell>
          <cell r="K1353" t="str">
            <v>Verify</v>
          </cell>
          <cell r="L1353" t="str">
            <v>Verify</v>
          </cell>
          <cell r="O1353" t="str">
            <v>Verify</v>
          </cell>
          <cell r="Q1353" t="str">
            <v>21|34</v>
          </cell>
        </row>
        <row r="1354">
          <cell r="E1354" t="str">
            <v>6. TELECOMMUNICATIONS</v>
          </cell>
          <cell r="G1354" t="str">
            <v>B05TR</v>
          </cell>
          <cell r="H1354" t="str">
            <v>Existing</v>
          </cell>
          <cell r="I1354" t="str">
            <v>Existing</v>
          </cell>
          <cell r="J1354" t="str">
            <v>Existing</v>
          </cell>
          <cell r="K1354" t="str">
            <v>Verify</v>
          </cell>
          <cell r="L1354" t="str">
            <v>Verify</v>
          </cell>
          <cell r="O1354" t="str">
            <v>Verify</v>
          </cell>
          <cell r="Q1354" t="str">
            <v>21|35</v>
          </cell>
        </row>
        <row r="1355">
          <cell r="E1355" t="str">
            <v>6. TELECOMMUNICATIONS</v>
          </cell>
          <cell r="G1355">
            <v>0</v>
          </cell>
          <cell r="H1355">
            <v>0</v>
          </cell>
          <cell r="I1355">
            <v>0</v>
          </cell>
          <cell r="J1355">
            <v>0</v>
          </cell>
          <cell r="K1355">
            <v>0</v>
          </cell>
          <cell r="L1355">
            <v>0</v>
          </cell>
          <cell r="O1355">
            <v>0</v>
          </cell>
          <cell r="Q1355" t="str">
            <v>21|36</v>
          </cell>
        </row>
        <row r="1356">
          <cell r="E1356" t="str">
            <v>7. SECURITY / PACS / CCTV</v>
          </cell>
          <cell r="G1356" t="str">
            <v>7. SECURITY / PACS / CCTV</v>
          </cell>
          <cell r="H1356">
            <v>0</v>
          </cell>
          <cell r="I1356">
            <v>0</v>
          </cell>
          <cell r="J1356">
            <v>0</v>
          </cell>
          <cell r="K1356">
            <v>0</v>
          </cell>
          <cell r="L1356">
            <v>0</v>
          </cell>
          <cell r="O1356">
            <v>0</v>
          </cell>
          <cell r="Q1356" t="str">
            <v>21|37</v>
          </cell>
        </row>
        <row r="1357">
          <cell r="E1357" t="str">
            <v>7. SECURITY / PACS / CCTV</v>
          </cell>
          <cell r="G1357" t="str">
            <v>Room</v>
          </cell>
          <cell r="H1357" t="str">
            <v>PACS</v>
          </cell>
          <cell r="I1357" t="str">
            <v>Card Reader</v>
          </cell>
          <cell r="J1357" t="str">
            <v>Door Position</v>
          </cell>
          <cell r="K1357" t="str">
            <v>Electric Strike</v>
          </cell>
          <cell r="L1357" t="str">
            <v>CCTV</v>
          </cell>
          <cell r="O1357" t="str">
            <v>Overall</v>
          </cell>
          <cell r="Q1357" t="str">
            <v>21|38</v>
          </cell>
        </row>
        <row r="1358">
          <cell r="E1358" t="str">
            <v>7. SECURITY / PACS / CCTV</v>
          </cell>
          <cell r="G1358" t="str">
            <v>100A</v>
          </cell>
          <cell r="H1358" t="str">
            <v>N/A / Verify</v>
          </cell>
          <cell r="I1358" t="str">
            <v>N/A / Verify</v>
          </cell>
          <cell r="J1358" t="str">
            <v>N/A / Verify</v>
          </cell>
          <cell r="K1358" t="str">
            <v>N/A / Verify</v>
          </cell>
          <cell r="L1358" t="str">
            <v>Verify Existing</v>
          </cell>
          <cell r="O1358" t="str">
            <v>Verify</v>
          </cell>
          <cell r="Q1358" t="str">
            <v>21|39</v>
          </cell>
        </row>
        <row r="1359">
          <cell r="E1359" t="str">
            <v>7. SECURITY / PACS / CCTV</v>
          </cell>
          <cell r="G1359" t="str">
            <v>B1.TR</v>
          </cell>
          <cell r="H1359" t="str">
            <v>N/A / Verify</v>
          </cell>
          <cell r="I1359" t="str">
            <v>N/A / Verify</v>
          </cell>
          <cell r="J1359" t="str">
            <v>N/A / Verify</v>
          </cell>
          <cell r="K1359" t="str">
            <v>N/A / Verify</v>
          </cell>
          <cell r="L1359" t="str">
            <v>Verify Existing</v>
          </cell>
          <cell r="O1359" t="str">
            <v>Verify</v>
          </cell>
          <cell r="Q1359" t="str">
            <v>21|40</v>
          </cell>
        </row>
        <row r="1360">
          <cell r="E1360" t="str">
            <v>7. SECURITY / PACS / CCTV</v>
          </cell>
          <cell r="G1360" t="str">
            <v>B05TR</v>
          </cell>
          <cell r="H1360" t="str">
            <v>N/A / Verify</v>
          </cell>
          <cell r="I1360" t="str">
            <v>N/A / Verify</v>
          </cell>
          <cell r="J1360" t="str">
            <v>N/A / Verify</v>
          </cell>
          <cell r="K1360" t="str">
            <v>N/A / Verify</v>
          </cell>
          <cell r="L1360" t="str">
            <v>Verify Existing</v>
          </cell>
          <cell r="O1360" t="str">
            <v>Verify</v>
          </cell>
          <cell r="Q1360" t="str">
            <v>21|41</v>
          </cell>
        </row>
        <row r="1361">
          <cell r="E1361" t="str">
            <v>7. SECURITY / PACS / CCTV</v>
          </cell>
          <cell r="G1361">
            <v>0</v>
          </cell>
          <cell r="H1361">
            <v>0</v>
          </cell>
          <cell r="I1361">
            <v>0</v>
          </cell>
          <cell r="J1361">
            <v>0</v>
          </cell>
          <cell r="K1361">
            <v>0</v>
          </cell>
          <cell r="L1361">
            <v>0</v>
          </cell>
          <cell r="O1361">
            <v>0</v>
          </cell>
          <cell r="Q1361" t="str">
            <v>21|42</v>
          </cell>
        </row>
        <row r="1362">
          <cell r="E1362" t="str">
            <v>8. OWNER RISKS</v>
          </cell>
          <cell r="G1362" t="str">
            <v>8. OWNER RISKS</v>
          </cell>
          <cell r="H1362">
            <v>0</v>
          </cell>
          <cell r="I1362">
            <v>0</v>
          </cell>
          <cell r="J1362">
            <v>0</v>
          </cell>
          <cell r="K1362">
            <v>0</v>
          </cell>
          <cell r="L1362">
            <v>0</v>
          </cell>
          <cell r="O1362">
            <v>0</v>
          </cell>
          <cell r="Q1362" t="str">
            <v>21|43</v>
          </cell>
        </row>
        <row r="1363">
          <cell r="E1363" t="str">
            <v>8. OWNER RISKS</v>
          </cell>
          <cell r="G1363" t="str">
            <v>Risk ID</v>
          </cell>
          <cell r="H1363" t="str">
            <v>Room</v>
          </cell>
          <cell r="I1363" t="str">
            <v>Risk</v>
          </cell>
          <cell r="J1363" t="str">
            <v>Impact</v>
          </cell>
          <cell r="K1363" t="str">
            <v>Probability</v>
          </cell>
          <cell r="L1363" t="str">
            <v>Score</v>
          </cell>
          <cell r="O1363" t="str">
            <v>Status</v>
          </cell>
          <cell r="Q1363" t="str">
            <v>21|44</v>
          </cell>
        </row>
        <row r="1364">
          <cell r="E1364" t="str">
            <v>8. OWNER RISKS</v>
          </cell>
          <cell r="G1364" t="str">
            <v>B21-R1</v>
          </cell>
          <cell r="H1364" t="str">
            <v>All</v>
          </cell>
          <cell r="I1364" t="str">
            <v>Existing conditions for new 100A TE, B21 B1.TR and B19 B05TR not field verified</v>
          </cell>
          <cell r="J1364" t="str">
            <v>High</v>
          </cell>
          <cell r="K1364" t="str">
            <v>Medium</v>
          </cell>
          <cell r="L1364">
            <v>6</v>
          </cell>
          <cell r="O1364" t="str">
            <v>Open</v>
          </cell>
          <cell r="Q1364" t="str">
            <v>21|45</v>
          </cell>
        </row>
        <row r="1365">
          <cell r="E1365" t="str">
            <v>8. OWNER RISKS</v>
          </cell>
          <cell r="G1365" t="str">
            <v>B21-R2</v>
          </cell>
          <cell r="H1365" t="str">
            <v>100A/B1.TR/B05TR</v>
          </cell>
          <cell r="I1365" t="str">
            <v>Existing equipment may remain active during transfer to new TE enclosure</v>
          </cell>
          <cell r="J1365" t="str">
            <v>Critical</v>
          </cell>
          <cell r="K1365" t="str">
            <v>Medium</v>
          </cell>
          <cell r="L1365">
            <v>8</v>
          </cell>
          <cell r="O1365" t="str">
            <v>Open</v>
          </cell>
          <cell r="Q1365" t="str">
            <v>21|46</v>
          </cell>
        </row>
        <row r="1366">
          <cell r="E1366" t="str">
            <v>8. OWNER RISKS</v>
          </cell>
          <cell r="G1366" t="str">
            <v>B21-R3</v>
          </cell>
          <cell r="H1366" t="str">
            <v>100A</v>
          </cell>
          <cell r="I1366" t="str">
            <v>Room naming mismatch: schedule says RM 104 / TR01-104-1 while plan/enlarged view identifies Room 100A</v>
          </cell>
          <cell r="J1366" t="str">
            <v>High</v>
          </cell>
          <cell r="K1366" t="str">
            <v>Medium</v>
          </cell>
          <cell r="L1366">
            <v>6</v>
          </cell>
          <cell r="O1366" t="str">
            <v>Open</v>
          </cell>
          <cell r="Q1366" t="str">
            <v>21|47</v>
          </cell>
        </row>
        <row r="1367">
          <cell r="E1367" t="str">
            <v>8. OWNER RISKS</v>
          </cell>
          <cell r="G1367" t="str">
            <v>B21-R4</v>
          </cell>
          <cell r="H1367" t="str">
            <v>All</v>
          </cell>
          <cell r="I1367" t="str">
            <v>B19/B21 combined package may blur scope boundary and ownership of ports</v>
          </cell>
          <cell r="J1367" t="str">
            <v>High</v>
          </cell>
          <cell r="K1367" t="str">
            <v>Medium</v>
          </cell>
          <cell r="L1367">
            <v>6</v>
          </cell>
          <cell r="O1367" t="str">
            <v>Open</v>
          </cell>
          <cell r="Q1367" t="str">
            <v>21|48</v>
          </cell>
        </row>
        <row r="1368">
          <cell r="E1368" t="str">
            <v>8. OWNER RISKS</v>
          </cell>
          <cell r="G1368" t="str">
            <v>B21-R5</v>
          </cell>
          <cell r="H1368" t="str">
            <v>100A</v>
          </cell>
          <cell r="I1368" t="str">
            <v>UPS/PDU/receptacle source and grounding/bonding not verified</v>
          </cell>
          <cell r="J1368" t="str">
            <v>High</v>
          </cell>
          <cell r="K1368" t="str">
            <v>Medium</v>
          </cell>
          <cell r="L1368">
            <v>6</v>
          </cell>
          <cell r="O1368" t="str">
            <v>Open</v>
          </cell>
          <cell r="Q1368" t="str">
            <v>21|49</v>
          </cell>
        </row>
        <row r="1369">
          <cell r="E1369" t="str">
            <v>8. OWNER RISKS</v>
          </cell>
          <cell r="G1369" t="str">
            <v>B21-R6</v>
          </cell>
          <cell r="H1369" t="str">
            <v>All</v>
          </cell>
          <cell r="I1369" t="str">
            <v>659 feet of cable tray/pathway requires coordination and firestop tracking</v>
          </cell>
          <cell r="J1369" t="str">
            <v>High</v>
          </cell>
          <cell r="K1369" t="str">
            <v>Medium</v>
          </cell>
          <cell r="L1369">
            <v>6</v>
          </cell>
          <cell r="O1369" t="str">
            <v>Open</v>
          </cell>
          <cell r="Q1369" t="str">
            <v>21|50</v>
          </cell>
        </row>
        <row r="1370">
          <cell r="E1370" t="str">
            <v>8. OWNER RISKS</v>
          </cell>
          <cell r="G1370" t="str">
            <v>B21-R7</v>
          </cell>
          <cell r="H1370" t="str">
            <v>All</v>
          </cell>
          <cell r="I1370" t="str">
            <v>Fire protection scope excluded, but rated penetrations and temporary firestopping still apply</v>
          </cell>
          <cell r="J1370" t="str">
            <v>High</v>
          </cell>
          <cell r="K1370" t="str">
            <v>Medium</v>
          </cell>
          <cell r="L1370">
            <v>6</v>
          </cell>
          <cell r="O1370" t="str">
            <v>Open</v>
          </cell>
          <cell r="Q1370" t="str">
            <v>21|51</v>
          </cell>
        </row>
        <row r="1371">
          <cell r="E1371" t="str">
            <v>8. OWNER RISKS</v>
          </cell>
          <cell r="G1371" t="str">
            <v>B21-R8</v>
          </cell>
          <cell r="H1371" t="str">
            <v>All</v>
          </cell>
          <cell r="I1371" t="str">
            <v>Commissioning/test documentation may be overlooked due to TE-only scope</v>
          </cell>
          <cell r="J1371" t="str">
            <v>High</v>
          </cell>
          <cell r="K1371" t="str">
            <v>Medium</v>
          </cell>
          <cell r="L1371">
            <v>6</v>
          </cell>
          <cell r="O1371" t="str">
            <v>Open</v>
          </cell>
          <cell r="Q1371" t="str">
            <v>21|52</v>
          </cell>
        </row>
        <row r="1372">
          <cell r="E1372" t="str">
            <v>8. OWNER RISKS</v>
          </cell>
          <cell r="G1372">
            <v>0</v>
          </cell>
          <cell r="H1372">
            <v>0</v>
          </cell>
          <cell r="I1372">
            <v>0</v>
          </cell>
          <cell r="J1372">
            <v>0</v>
          </cell>
          <cell r="K1372">
            <v>0</v>
          </cell>
          <cell r="L1372">
            <v>0</v>
          </cell>
          <cell r="O1372">
            <v>0</v>
          </cell>
          <cell r="Q1372" t="str">
            <v>21|53</v>
          </cell>
        </row>
        <row r="1373">
          <cell r="E1373" t="str">
            <v>9. OPEN QUESTIONS</v>
          </cell>
          <cell r="G1373" t="str">
            <v>9. OPEN QUESTIONS</v>
          </cell>
          <cell r="H1373">
            <v>0</v>
          </cell>
          <cell r="I1373">
            <v>0</v>
          </cell>
          <cell r="J1373">
            <v>0</v>
          </cell>
          <cell r="K1373">
            <v>0</v>
          </cell>
          <cell r="L1373">
            <v>0</v>
          </cell>
          <cell r="O1373">
            <v>0</v>
          </cell>
          <cell r="Q1373" t="str">
            <v>21|54</v>
          </cell>
        </row>
        <row r="1374">
          <cell r="E1374" t="str">
            <v>9. OPEN QUESTIONS</v>
          </cell>
          <cell r="G1374" t="str">
            <v>Question ID</v>
          </cell>
          <cell r="H1374" t="str">
            <v>Question</v>
          </cell>
          <cell r="I1374" t="str">
            <v>Assigned To</v>
          </cell>
          <cell r="J1374" t="str">
            <v>Status</v>
          </cell>
          <cell r="K1374" t="str">
            <v>Needed By</v>
          </cell>
          <cell r="L1374" t="str">
            <v>Answer / Resolution</v>
          </cell>
          <cell r="O1374" t="str">
            <v>Date Closed</v>
          </cell>
          <cell r="Q1374" t="str">
            <v>21|55</v>
          </cell>
        </row>
        <row r="1375">
          <cell r="E1375" t="str">
            <v>9. OPEN QUESTIONS</v>
          </cell>
          <cell r="G1375" t="str">
            <v>B21-Q1</v>
          </cell>
          <cell r="H1375" t="str">
            <v>Confirm final scope: new TE enclosure at Room 100A/RM 104 and existing B21 B1.TR plus B19 B05TR transition?</v>
          </cell>
          <cell r="I1375" t="str">
            <v>VA / OIT / Designer</v>
          </cell>
          <cell r="J1375" t="str">
            <v>Open</v>
          </cell>
          <cell r="K1375">
            <v>0</v>
          </cell>
          <cell r="L1375">
            <v>0</v>
          </cell>
          <cell r="O1375">
            <v>0</v>
          </cell>
          <cell r="Q1375" t="str">
            <v>21|56</v>
          </cell>
        </row>
        <row r="1376">
          <cell r="E1376" t="str">
            <v>9. OPEN QUESTIONS</v>
          </cell>
          <cell r="G1376" t="str">
            <v>B21-Q2</v>
          </cell>
          <cell r="H1376" t="str">
            <v>Why does 21_19T-701 list RM 104 / TR01-104-1 while enlarged plan identifies Room 100A?</v>
          </cell>
          <cell r="I1376" t="str">
            <v>VA / Designer / OIT</v>
          </cell>
          <cell r="J1376" t="str">
            <v>Open</v>
          </cell>
          <cell r="K1376">
            <v>0</v>
          </cell>
          <cell r="L1376">
            <v>0</v>
          </cell>
          <cell r="O1376">
            <v>0</v>
          </cell>
          <cell r="Q1376" t="str">
            <v>21|57</v>
          </cell>
        </row>
        <row r="1377">
          <cell r="E1377" t="str">
            <v>9. OPEN QUESTIONS</v>
          </cell>
          <cell r="G1377" t="str">
            <v>B21-Q3</v>
          </cell>
          <cell r="H1377" t="str">
            <v>What active services are currently fed from existing B21 B1.TR and B19 B05TR equipment?</v>
          </cell>
          <cell r="I1377" t="str">
            <v>OIT / Contractor</v>
          </cell>
          <cell r="J1377" t="str">
            <v>Open</v>
          </cell>
          <cell r="K1377">
            <v>0</v>
          </cell>
          <cell r="L1377">
            <v>0</v>
          </cell>
          <cell r="O1377">
            <v>0</v>
          </cell>
          <cell r="Q1377" t="str">
            <v>21|58</v>
          </cell>
        </row>
        <row r="1378">
          <cell r="E1378" t="str">
            <v>9. OPEN QUESTIONS</v>
          </cell>
          <cell r="G1378" t="str">
            <v>B21-Q4</v>
          </cell>
          <cell r="H1378" t="str">
            <v>What exactly is meant by '19 serving 21' on the new TE enclosure elevation?</v>
          </cell>
          <cell r="I1378" t="str">
            <v>VA / OIT / Designer</v>
          </cell>
          <cell r="J1378" t="str">
            <v>Open</v>
          </cell>
          <cell r="K1378">
            <v>0</v>
          </cell>
          <cell r="L1378">
            <v>0</v>
          </cell>
          <cell r="O1378">
            <v>0</v>
          </cell>
          <cell r="Q1378" t="str">
            <v>21|59</v>
          </cell>
        </row>
        <row r="1379">
          <cell r="E1379" t="str">
            <v>9. OPEN QUESTIONS</v>
          </cell>
          <cell r="G1379" t="str">
            <v>B21-Q5</v>
          </cell>
          <cell r="H1379" t="str">
            <v>What is the approved power source, receptacle type and circuit capacity for the new APC UPS/PDU in 100A?</v>
          </cell>
          <cell r="I1379" t="str">
            <v>Electrical / Designer</v>
          </cell>
          <cell r="J1379" t="str">
            <v>Open</v>
          </cell>
          <cell r="K1379">
            <v>0</v>
          </cell>
          <cell r="L1379">
            <v>0</v>
          </cell>
          <cell r="O1379">
            <v>0</v>
          </cell>
          <cell r="Q1379" t="str">
            <v>21|60</v>
          </cell>
        </row>
        <row r="1380">
          <cell r="E1380" t="str">
            <v>9. OPEN QUESTIONS</v>
          </cell>
          <cell r="G1380" t="str">
            <v>B21-Q6</v>
          </cell>
          <cell r="H1380" t="str">
            <v>Are all 659 ft of cable tray route, sleeves, supports and firestopping details field verified?</v>
          </cell>
          <cell r="I1380" t="str">
            <v>Telecom / GC / Firestop</v>
          </cell>
          <cell r="J1380" t="str">
            <v>Open</v>
          </cell>
          <cell r="K1380">
            <v>0</v>
          </cell>
          <cell r="L1380">
            <v>0</v>
          </cell>
          <cell r="O1380">
            <v>0</v>
          </cell>
          <cell r="Q1380" t="str">
            <v>21|61</v>
          </cell>
        </row>
        <row r="1381">
          <cell r="E1381" t="str">
            <v>9. OPEN QUESTIONS</v>
          </cell>
          <cell r="G1381" t="str">
            <v>B21-Q7</v>
          </cell>
          <cell r="H1381" t="str">
            <v>Are the 10 new Cat6A cross-connect cables from existing TE to new TE location coordinated and labeled?</v>
          </cell>
          <cell r="I1381" t="str">
            <v>Telecom / OIT</v>
          </cell>
          <cell r="J1381" t="str">
            <v>Open</v>
          </cell>
          <cell r="K1381">
            <v>0</v>
          </cell>
          <cell r="L1381">
            <v>0</v>
          </cell>
          <cell r="O1381">
            <v>0</v>
          </cell>
          <cell r="Q1381" t="str">
            <v>21|62</v>
          </cell>
        </row>
        <row r="1382">
          <cell r="E1382" t="str">
            <v>9. OPEN QUESTIONS</v>
          </cell>
          <cell r="G1382" t="str">
            <v>B21-Q8</v>
          </cell>
          <cell r="H1382" t="str">
            <v>Which test records and turnover documents are required for TE-only acceptance?</v>
          </cell>
          <cell r="I1382" t="str">
            <v>GC / Cx Manager / OIT</v>
          </cell>
          <cell r="J1382" t="str">
            <v>Open</v>
          </cell>
          <cell r="K1382">
            <v>0</v>
          </cell>
          <cell r="L1382">
            <v>0</v>
          </cell>
          <cell r="O1382">
            <v>0</v>
          </cell>
          <cell r="Q1382" t="str">
            <v>21|63</v>
          </cell>
        </row>
        <row r="1383">
          <cell r="E1383" t="str">
            <v>9. OPEN QUESTIONS</v>
          </cell>
          <cell r="G1383">
            <v>0</v>
          </cell>
          <cell r="H1383">
            <v>0</v>
          </cell>
          <cell r="I1383">
            <v>0</v>
          </cell>
          <cell r="J1383">
            <v>0</v>
          </cell>
          <cell r="K1383">
            <v>0</v>
          </cell>
          <cell r="L1383">
            <v>0</v>
          </cell>
          <cell r="O1383">
            <v>0</v>
          </cell>
          <cell r="Q1383" t="str">
            <v>21|64</v>
          </cell>
        </row>
        <row r="1384">
          <cell r="E1384" t="str">
            <v>10. PHOTO LOG</v>
          </cell>
          <cell r="G1384" t="str">
            <v>10. PHOTO LOG</v>
          </cell>
          <cell r="H1384">
            <v>0</v>
          </cell>
          <cell r="I1384">
            <v>0</v>
          </cell>
          <cell r="J1384">
            <v>0</v>
          </cell>
          <cell r="K1384">
            <v>0</v>
          </cell>
          <cell r="L1384">
            <v>0</v>
          </cell>
          <cell r="O1384">
            <v>0</v>
          </cell>
          <cell r="Q1384" t="str">
            <v>21|65</v>
          </cell>
        </row>
        <row r="1385">
          <cell r="E1385" t="str">
            <v>10. PHOTO LOG</v>
          </cell>
          <cell r="G1385" t="str">
            <v>Photo ID</v>
          </cell>
          <cell r="H1385" t="str">
            <v>Room</v>
          </cell>
          <cell r="I1385" t="str">
            <v>Category</v>
          </cell>
          <cell r="J1385" t="str">
            <v>Description</v>
          </cell>
          <cell r="K1385" t="str">
            <v>Date</v>
          </cell>
          <cell r="L1385" t="str">
            <v>Taken By</v>
          </cell>
          <cell r="O1385" t="str">
            <v>Status</v>
          </cell>
          <cell r="Q1385" t="str">
            <v>21|66</v>
          </cell>
        </row>
        <row r="1386">
          <cell r="E1386" t="str">
            <v>10. PHOTO LOG</v>
          </cell>
          <cell r="G1386" t="str">
            <v>B21-P001</v>
          </cell>
          <cell r="H1386" t="str">
            <v>100A</v>
          </cell>
          <cell r="I1386" t="str">
            <v>Existing Condition</v>
          </cell>
          <cell r="J1386" t="str">
            <v>M&amp;O Foreman Office 100A wall location, wall backing, clearances, ceiling, power source, cable path, fiber path A/B and new TE enclosure location</v>
          </cell>
          <cell r="K1386">
            <v>0</v>
          </cell>
          <cell r="L1386" t="str">
            <v>Paul</v>
          </cell>
          <cell r="O1386" t="str">
            <v>Open</v>
          </cell>
          <cell r="Q1386" t="str">
            <v>21|67</v>
          </cell>
        </row>
        <row r="1387">
          <cell r="E1387" t="str">
            <v>10. PHOTO LOG</v>
          </cell>
          <cell r="G1387" t="str">
            <v>B21-P002</v>
          </cell>
          <cell r="H1387" t="str">
            <v>B1.TR</v>
          </cell>
          <cell r="I1387" t="str">
            <v>Existing Condition</v>
          </cell>
          <cell r="J1387" t="str">
            <v>Existing B21 basement B1.TR wall TE, legacy patch panels, Cisco switch, Fiber LIU, UPS on ground and cable entries</v>
          </cell>
          <cell r="K1387">
            <v>0</v>
          </cell>
          <cell r="L1387" t="str">
            <v>Paul</v>
          </cell>
          <cell r="O1387" t="str">
            <v>Open</v>
          </cell>
          <cell r="Q1387" t="str">
            <v>21|68</v>
          </cell>
        </row>
        <row r="1388">
          <cell r="E1388" t="str">
            <v>10. PHOTO LOG</v>
          </cell>
          <cell r="G1388" t="str">
            <v>B21-P003</v>
          </cell>
          <cell r="H1388" t="str">
            <v>B05TR</v>
          </cell>
          <cell r="I1388" t="str">
            <v>Existing Condition</v>
          </cell>
          <cell r="J1388" t="str">
            <v>Existing B19 B05TR basement and first-level TE/equipment, APC floor UPS, Cisco switch, patch panels, Fiber LIU and pathways</v>
          </cell>
          <cell r="K1388">
            <v>0</v>
          </cell>
          <cell r="L1388" t="str">
            <v>Paul</v>
          </cell>
          <cell r="O1388" t="str">
            <v>Open</v>
          </cell>
          <cell r="Q1388" t="str">
            <v>21|69</v>
          </cell>
        </row>
        <row r="1389">
          <cell r="E1389" t="str">
            <v>10. PHOTO LOG</v>
          </cell>
          <cell r="G1389" t="str">
            <v>B21-P004</v>
          </cell>
          <cell r="H1389" t="str">
            <v>100A/B05TR/B1.TR</v>
          </cell>
          <cell r="I1389" t="str">
            <v>Pathway</v>
          </cell>
          <cell r="J1389" t="str">
            <v>659 ft cable tray route, sleeves, wall/floor penetrations, support points, light/HVAC conflicts and 40% fill concerns</v>
          </cell>
          <cell r="K1389">
            <v>0</v>
          </cell>
          <cell r="L1389" t="str">
            <v>Paul</v>
          </cell>
          <cell r="O1389" t="str">
            <v>Open</v>
          </cell>
          <cell r="Q1389" t="str">
            <v>21|70</v>
          </cell>
        </row>
        <row r="1390">
          <cell r="E1390" t="str">
            <v>10. PHOTO LOG</v>
          </cell>
          <cell r="G1390" t="str">
            <v>B21-P005</v>
          </cell>
          <cell r="H1390" t="str">
            <v>100A</v>
          </cell>
          <cell r="I1390" t="str">
            <v>Electrical</v>
          </cell>
          <cell r="J1390" t="str">
            <v>New TE enclosure UPS/PDU receptacles, circuit source, grounding/bonding, labels and access</v>
          </cell>
          <cell r="K1390">
            <v>0</v>
          </cell>
          <cell r="L1390" t="str">
            <v>Paul</v>
          </cell>
          <cell r="O1390" t="str">
            <v>Open</v>
          </cell>
          <cell r="Q1390" t="str">
            <v>21|71</v>
          </cell>
        </row>
        <row r="1391">
          <cell r="E1391" t="str">
            <v>10. PHOTO LOG</v>
          </cell>
          <cell r="G1391" t="str">
            <v>B21-P006</v>
          </cell>
          <cell r="H1391" t="str">
            <v>100A/B1.TR/B05TR</v>
          </cell>
          <cell r="I1391" t="str">
            <v>Telecom</v>
          </cell>
          <cell r="J1391" t="str">
            <v>TR01-104-1 enclosure, cross-connect cables, Fiber LIU, patch panels, labels, test results and existing equipment transfer</v>
          </cell>
          <cell r="K1391">
            <v>0</v>
          </cell>
          <cell r="L1391" t="str">
            <v>Paul</v>
          </cell>
          <cell r="O1391" t="str">
            <v>Open</v>
          </cell>
          <cell r="Q1391" t="str">
            <v>21|72</v>
          </cell>
        </row>
        <row r="1392">
          <cell r="E1392" t="str">
            <v>10. PHOTO LOG</v>
          </cell>
          <cell r="G1392" t="str">
            <v>B21-P007</v>
          </cell>
          <cell r="H1392" t="str">
            <v>All</v>
          </cell>
          <cell r="I1392" t="str">
            <v>Firestop</v>
          </cell>
          <cell r="J1392" t="str">
            <v>4-inch speed sleeve, wall/floor penetrations and fire caulk before/after photos</v>
          </cell>
          <cell r="K1392">
            <v>0</v>
          </cell>
          <cell r="L1392" t="str">
            <v>Paul</v>
          </cell>
          <cell r="O1392" t="str">
            <v>Open</v>
          </cell>
          <cell r="Q1392" t="str">
            <v>21|73</v>
          </cell>
        </row>
        <row r="1393">
          <cell r="E1393" t="str">
            <v>10. PHOTO LOG</v>
          </cell>
          <cell r="G1393" t="str">
            <v>B21-P008</v>
          </cell>
          <cell r="H1393" t="str">
            <v>All</v>
          </cell>
          <cell r="I1393" t="str">
            <v>Security / Existing Devices</v>
          </cell>
          <cell r="J1393" t="str">
            <v>Existing cameras/security devices to remain, protection-in-place and final operating condition</v>
          </cell>
          <cell r="K1393">
            <v>0</v>
          </cell>
          <cell r="L1393" t="str">
            <v>Paul</v>
          </cell>
          <cell r="O1393" t="str">
            <v>Open</v>
          </cell>
          <cell r="Q1393" t="str">
            <v>21|74</v>
          </cell>
        </row>
        <row r="1394">
          <cell r="E1394" t="str">
            <v>10. PHOTO LOG</v>
          </cell>
          <cell r="G1394">
            <v>0</v>
          </cell>
          <cell r="H1394">
            <v>0</v>
          </cell>
          <cell r="I1394">
            <v>0</v>
          </cell>
          <cell r="J1394">
            <v>0</v>
          </cell>
          <cell r="K1394">
            <v>0</v>
          </cell>
          <cell r="L1394">
            <v>0</v>
          </cell>
          <cell r="O1394">
            <v>0</v>
          </cell>
          <cell r="Q1394" t="str">
            <v>21|75</v>
          </cell>
        </row>
        <row r="1395">
          <cell r="E1395" t="str">
            <v>1. ROOM INVENTORY</v>
          </cell>
          <cell r="G1395" t="str">
            <v>1. ROOM INVENTORY</v>
          </cell>
          <cell r="H1395">
            <v>0</v>
          </cell>
          <cell r="I1395">
            <v>0</v>
          </cell>
          <cell r="J1395">
            <v>0</v>
          </cell>
          <cell r="K1395">
            <v>0</v>
          </cell>
          <cell r="L1395">
            <v>0</v>
          </cell>
          <cell r="O1395">
            <v>0</v>
          </cell>
          <cell r="Q1395" t="str">
            <v>22|1</v>
          </cell>
        </row>
        <row r="1396">
          <cell r="E1396" t="str">
            <v>1. ROOM INVENTORY</v>
          </cell>
          <cell r="G1396" t="str">
            <v>Building</v>
          </cell>
          <cell r="H1396" t="str">
            <v>Room</v>
          </cell>
          <cell r="I1396" t="str">
            <v>Floor</v>
          </cell>
          <cell r="J1396" t="str">
            <v>Existing Use</v>
          </cell>
          <cell r="K1396" t="str">
            <v>New Use</v>
          </cell>
          <cell r="L1396" t="str">
            <v>Rack Count</v>
          </cell>
          <cell r="O1396" t="str">
            <v>Drawing Ref</v>
          </cell>
          <cell r="Q1396" t="str">
            <v>22|2</v>
          </cell>
        </row>
        <row r="1397">
          <cell r="E1397" t="str">
            <v>1. ROOM INVENTORY</v>
          </cell>
          <cell r="G1397" t="str">
            <v>22</v>
          </cell>
          <cell r="H1397" t="str">
            <v>102</v>
          </cell>
          <cell r="I1397" t="str">
            <v>First</v>
          </cell>
          <cell r="J1397" t="str">
            <v>Break Room / new TE location</v>
          </cell>
          <cell r="K1397" t="str">
            <v>Telecom Enclosure</v>
          </cell>
          <cell r="L1397">
            <v>1</v>
          </cell>
          <cell r="O1397" t="str">
            <v>22T-101 / 22T-701 / 22E-101 / 22E-701</v>
          </cell>
          <cell r="Q1397" t="str">
            <v>22|3</v>
          </cell>
        </row>
        <row r="1398">
          <cell r="E1398" t="str">
            <v>1. ROOM INVENTORY</v>
          </cell>
          <cell r="G1398" t="str">
            <v>22</v>
          </cell>
          <cell r="H1398" t="str">
            <v>103</v>
          </cell>
          <cell r="I1398" t="str">
            <v>First</v>
          </cell>
          <cell r="J1398" t="str">
            <v>Existing wall/wall-mount TE / legacy equipment area</v>
          </cell>
          <cell r="K1398" t="str">
            <v>Existing telecom transition point</v>
          </cell>
          <cell r="L1398">
            <v>1</v>
          </cell>
          <cell r="O1398" t="str">
            <v>22T-101 / 22T-701 / 22R-900</v>
          </cell>
          <cell r="Q1398" t="str">
            <v>22|4</v>
          </cell>
        </row>
        <row r="1399">
          <cell r="E1399" t="str">
            <v>1. ROOM INVENTORY</v>
          </cell>
          <cell r="G1399">
            <v>0</v>
          </cell>
          <cell r="H1399">
            <v>0</v>
          </cell>
          <cell r="I1399">
            <v>0</v>
          </cell>
          <cell r="J1399">
            <v>0</v>
          </cell>
          <cell r="K1399">
            <v>0</v>
          </cell>
          <cell r="L1399">
            <v>0</v>
          </cell>
          <cell r="O1399">
            <v>0</v>
          </cell>
          <cell r="Q1399" t="str">
            <v>22|5</v>
          </cell>
        </row>
        <row r="1400">
          <cell r="E1400" t="str">
            <v>2. ROOM READINESS</v>
          </cell>
          <cell r="G1400" t="str">
            <v>2. ROOM READINESS</v>
          </cell>
          <cell r="H1400">
            <v>0</v>
          </cell>
          <cell r="I1400">
            <v>0</v>
          </cell>
          <cell r="J1400">
            <v>0</v>
          </cell>
          <cell r="K1400">
            <v>0</v>
          </cell>
          <cell r="L1400">
            <v>0</v>
          </cell>
          <cell r="O1400">
            <v>0</v>
          </cell>
          <cell r="Q1400" t="str">
            <v>22|6</v>
          </cell>
        </row>
        <row r="1401">
          <cell r="E1401" t="str">
            <v>2. ROOM READINESS</v>
          </cell>
          <cell r="G1401" t="str">
            <v>Room</v>
          </cell>
          <cell r="H1401" t="str">
            <v>Walls / 1-hr Rating</v>
          </cell>
          <cell r="I1401" t="str">
            <v>Ceiling</v>
          </cell>
          <cell r="J1401" t="str">
            <v>Floor / SDC</v>
          </cell>
          <cell r="K1401" t="str">
            <v>Penetrations</v>
          </cell>
          <cell r="L1401" t="str">
            <v>Access Control</v>
          </cell>
          <cell r="O1401" t="str">
            <v>Overall</v>
          </cell>
          <cell r="Q1401" t="str">
            <v>22|7</v>
          </cell>
        </row>
        <row r="1402">
          <cell r="E1402" t="str">
            <v>2. ROOM READINESS</v>
          </cell>
          <cell r="G1402" t="str">
            <v>102</v>
          </cell>
          <cell r="H1402" t="str">
            <v>Verify</v>
          </cell>
          <cell r="I1402" t="str">
            <v>Verify</v>
          </cell>
          <cell r="J1402" t="str">
            <v>N/A / Break Room</v>
          </cell>
          <cell r="K1402" t="str">
            <v>Verify</v>
          </cell>
          <cell r="L1402" t="str">
            <v>Verify Existing</v>
          </cell>
          <cell r="O1402" t="str">
            <v>Verify</v>
          </cell>
          <cell r="Q1402" t="str">
            <v>22|8</v>
          </cell>
        </row>
        <row r="1403">
          <cell r="E1403" t="str">
            <v>2. ROOM READINESS</v>
          </cell>
          <cell r="G1403" t="str">
            <v>103</v>
          </cell>
          <cell r="H1403" t="str">
            <v>Existing / Verify</v>
          </cell>
          <cell r="I1403" t="str">
            <v>Existing / Verify</v>
          </cell>
          <cell r="J1403" t="str">
            <v>Existing / Verify</v>
          </cell>
          <cell r="K1403" t="str">
            <v>Verify</v>
          </cell>
          <cell r="L1403" t="str">
            <v>Verify Existing</v>
          </cell>
          <cell r="O1403" t="str">
            <v>Verify</v>
          </cell>
          <cell r="Q1403" t="str">
            <v>22|9</v>
          </cell>
        </row>
        <row r="1404">
          <cell r="E1404" t="str">
            <v>2. ROOM READINESS</v>
          </cell>
          <cell r="G1404">
            <v>0</v>
          </cell>
          <cell r="H1404">
            <v>0</v>
          </cell>
          <cell r="I1404">
            <v>0</v>
          </cell>
          <cell r="J1404">
            <v>0</v>
          </cell>
          <cell r="K1404">
            <v>0</v>
          </cell>
          <cell r="L1404">
            <v>0</v>
          </cell>
          <cell r="O1404">
            <v>0</v>
          </cell>
          <cell r="Q1404" t="str">
            <v>22|10</v>
          </cell>
        </row>
        <row r="1405">
          <cell r="E1405" t="str">
            <v>3. FIRE PROTECTION</v>
          </cell>
          <cell r="G1405" t="str">
            <v>3. FIRE PROTECTION</v>
          </cell>
          <cell r="H1405">
            <v>0</v>
          </cell>
          <cell r="I1405">
            <v>0</v>
          </cell>
          <cell r="J1405">
            <v>0</v>
          </cell>
          <cell r="K1405">
            <v>0</v>
          </cell>
          <cell r="L1405">
            <v>0</v>
          </cell>
          <cell r="O1405">
            <v>0</v>
          </cell>
          <cell r="Q1405" t="str">
            <v>22|11</v>
          </cell>
        </row>
        <row r="1406">
          <cell r="E1406" t="str">
            <v>3. FIRE PROTECTION</v>
          </cell>
          <cell r="G1406" t="str">
            <v>Room</v>
          </cell>
          <cell r="H1406" t="str">
            <v>Sprinkler</v>
          </cell>
          <cell r="I1406" t="str">
            <v>Cage</v>
          </cell>
          <cell r="J1406" t="str">
            <v>Detector</v>
          </cell>
          <cell r="K1406" t="str">
            <v>Horn/Strobe</v>
          </cell>
          <cell r="L1406" t="str">
            <v>Extinguisher &lt;75 ft</v>
          </cell>
          <cell r="O1406" t="str">
            <v>Overall</v>
          </cell>
          <cell r="Q1406" t="str">
            <v>22|12</v>
          </cell>
        </row>
        <row r="1407">
          <cell r="E1407" t="str">
            <v>3. FIRE PROTECTION</v>
          </cell>
          <cell r="G1407" t="str">
            <v>102</v>
          </cell>
          <cell r="H1407" t="str">
            <v>Excluded / Verify</v>
          </cell>
          <cell r="I1407" t="str">
            <v>N/A</v>
          </cell>
          <cell r="J1407" t="str">
            <v>Verify Existing</v>
          </cell>
          <cell r="K1407" t="str">
            <v>Verify Existing</v>
          </cell>
          <cell r="L1407" t="str">
            <v>N/A / Verify</v>
          </cell>
          <cell r="O1407" t="str">
            <v>Verify</v>
          </cell>
          <cell r="Q1407" t="str">
            <v>22|13</v>
          </cell>
        </row>
        <row r="1408">
          <cell r="E1408" t="str">
            <v>3. FIRE PROTECTION</v>
          </cell>
          <cell r="G1408" t="str">
            <v>103</v>
          </cell>
          <cell r="H1408" t="str">
            <v>Existing / Verify</v>
          </cell>
          <cell r="I1408" t="str">
            <v>N/A</v>
          </cell>
          <cell r="J1408" t="str">
            <v>Verify Existing</v>
          </cell>
          <cell r="K1408" t="str">
            <v>Verify Existing</v>
          </cell>
          <cell r="L1408" t="str">
            <v>N/A / Verify</v>
          </cell>
          <cell r="O1408" t="str">
            <v>Verify</v>
          </cell>
          <cell r="Q1408" t="str">
            <v>22|14</v>
          </cell>
        </row>
        <row r="1409">
          <cell r="E1409" t="str">
            <v>3. FIRE PROTECTION</v>
          </cell>
          <cell r="G1409">
            <v>0</v>
          </cell>
          <cell r="H1409">
            <v>0</v>
          </cell>
          <cell r="I1409">
            <v>0</v>
          </cell>
          <cell r="J1409">
            <v>0</v>
          </cell>
          <cell r="K1409">
            <v>0</v>
          </cell>
          <cell r="L1409">
            <v>0</v>
          </cell>
          <cell r="O1409">
            <v>0</v>
          </cell>
          <cell r="Q1409" t="str">
            <v>22|15</v>
          </cell>
        </row>
        <row r="1410">
          <cell r="E1410" t="str">
            <v>4. HVAC / COOLING</v>
          </cell>
          <cell r="G1410" t="str">
            <v>4. HVAC / COOLING</v>
          </cell>
          <cell r="H1410">
            <v>0</v>
          </cell>
          <cell r="I1410">
            <v>0</v>
          </cell>
          <cell r="J1410">
            <v>0</v>
          </cell>
          <cell r="K1410">
            <v>0</v>
          </cell>
          <cell r="L1410">
            <v>0</v>
          </cell>
          <cell r="O1410">
            <v>0</v>
          </cell>
          <cell r="Q1410" t="str">
            <v>22|16</v>
          </cell>
        </row>
        <row r="1411">
          <cell r="E1411" t="str">
            <v>4. HVAC / COOLING</v>
          </cell>
          <cell r="G1411" t="str">
            <v>Room</v>
          </cell>
          <cell r="H1411" t="str">
            <v>Dedicated Unit</v>
          </cell>
          <cell r="I1411" t="str">
            <v>Capacity Verified</v>
          </cell>
          <cell r="J1411" t="str">
            <v>Emergency Power</v>
          </cell>
          <cell r="K1411" t="str">
            <v>Controls / BACnet</v>
          </cell>
          <cell r="L1411" t="str">
            <v>Condensate Routed</v>
          </cell>
          <cell r="O1411" t="str">
            <v>Overall</v>
          </cell>
          <cell r="Q1411" t="str">
            <v>22|17</v>
          </cell>
        </row>
        <row r="1412">
          <cell r="E1412" t="str">
            <v>4. HVAC / COOLING</v>
          </cell>
          <cell r="G1412" t="str">
            <v>102</v>
          </cell>
          <cell r="H1412" t="str">
            <v>Excluded</v>
          </cell>
          <cell r="I1412" t="str">
            <v>N/A</v>
          </cell>
          <cell r="J1412" t="str">
            <v>N/A</v>
          </cell>
          <cell r="K1412" t="str">
            <v>N/A</v>
          </cell>
          <cell r="L1412" t="str">
            <v>N/A</v>
          </cell>
          <cell r="O1412" t="str">
            <v>N/A</v>
          </cell>
          <cell r="Q1412" t="str">
            <v>22|18</v>
          </cell>
        </row>
        <row r="1413">
          <cell r="E1413" t="str">
            <v>4. HVAC / COOLING</v>
          </cell>
          <cell r="G1413" t="str">
            <v>103</v>
          </cell>
          <cell r="H1413" t="str">
            <v>Existing / Verify</v>
          </cell>
          <cell r="I1413" t="str">
            <v>Verify</v>
          </cell>
          <cell r="J1413" t="str">
            <v>Verify</v>
          </cell>
          <cell r="K1413" t="str">
            <v>Verify</v>
          </cell>
          <cell r="L1413" t="str">
            <v>Verify</v>
          </cell>
          <cell r="O1413" t="str">
            <v>Verify</v>
          </cell>
          <cell r="Q1413" t="str">
            <v>22|19</v>
          </cell>
        </row>
        <row r="1414">
          <cell r="E1414" t="str">
            <v>4. HVAC / COOLING</v>
          </cell>
          <cell r="G1414">
            <v>0</v>
          </cell>
          <cell r="H1414">
            <v>0</v>
          </cell>
          <cell r="I1414">
            <v>0</v>
          </cell>
          <cell r="J1414">
            <v>0</v>
          </cell>
          <cell r="K1414">
            <v>0</v>
          </cell>
          <cell r="L1414">
            <v>0</v>
          </cell>
          <cell r="O1414">
            <v>0</v>
          </cell>
          <cell r="Q1414" t="str">
            <v>22|20</v>
          </cell>
        </row>
        <row r="1415">
          <cell r="E1415" t="str">
            <v>5. ELECTRICAL / UPS</v>
          </cell>
          <cell r="G1415" t="str">
            <v>5. ELECTRICAL / UPS</v>
          </cell>
          <cell r="H1415">
            <v>0</v>
          </cell>
          <cell r="I1415">
            <v>0</v>
          </cell>
          <cell r="J1415">
            <v>0</v>
          </cell>
          <cell r="K1415">
            <v>0</v>
          </cell>
          <cell r="L1415">
            <v>0</v>
          </cell>
          <cell r="O1415">
            <v>0</v>
          </cell>
          <cell r="Q1415" t="str">
            <v>22|21</v>
          </cell>
        </row>
        <row r="1416">
          <cell r="E1416" t="str">
            <v>5. ELECTRICAL / UPS</v>
          </cell>
          <cell r="G1416" t="str">
            <v>Room</v>
          </cell>
          <cell r="H1416" t="str">
            <v>UPS Installed</v>
          </cell>
          <cell r="I1416" t="str">
            <v>UPS Size</v>
          </cell>
          <cell r="J1416" t="str">
            <v>PDU Installed</v>
          </cell>
          <cell r="K1416" t="str">
            <v>Rack Receptacles</v>
          </cell>
          <cell r="L1416" t="str">
            <v>Panel Assigned</v>
          </cell>
          <cell r="O1416" t="str">
            <v>Overall</v>
          </cell>
          <cell r="Q1416" t="str">
            <v>22|22</v>
          </cell>
        </row>
        <row r="1417">
          <cell r="E1417" t="str">
            <v>5. ELECTRICAL / UPS</v>
          </cell>
          <cell r="G1417" t="str">
            <v>102</v>
          </cell>
          <cell r="H1417" t="str">
            <v>Verify</v>
          </cell>
          <cell r="I1417" t="str">
            <v>APC UPS / TE enclosure</v>
          </cell>
          <cell r="J1417" t="str">
            <v>Verify</v>
          </cell>
          <cell r="K1417" t="str">
            <v>Verify</v>
          </cell>
          <cell r="L1417" t="str">
            <v>22E-101 / 22E-701 source to verify</v>
          </cell>
          <cell r="O1417" t="str">
            <v>Verify</v>
          </cell>
          <cell r="Q1417" t="str">
            <v>22|23</v>
          </cell>
        </row>
        <row r="1418">
          <cell r="E1418" t="str">
            <v>5. ELECTRICAL / UPS</v>
          </cell>
          <cell r="G1418" t="str">
            <v>103</v>
          </cell>
          <cell r="H1418" t="str">
            <v>Existing</v>
          </cell>
          <cell r="I1418" t="str">
            <v>Existing APC UPS</v>
          </cell>
          <cell r="J1418" t="str">
            <v>Existing</v>
          </cell>
          <cell r="K1418" t="str">
            <v>Verify</v>
          </cell>
          <cell r="L1418" t="str">
            <v>Existing / Verify</v>
          </cell>
          <cell r="O1418" t="str">
            <v>Verify</v>
          </cell>
          <cell r="Q1418" t="str">
            <v>22|24</v>
          </cell>
        </row>
        <row r="1419">
          <cell r="E1419" t="str">
            <v>5. ELECTRICAL / UPS</v>
          </cell>
          <cell r="G1419">
            <v>0</v>
          </cell>
          <cell r="H1419">
            <v>0</v>
          </cell>
          <cell r="I1419">
            <v>0</v>
          </cell>
          <cell r="J1419">
            <v>0</v>
          </cell>
          <cell r="K1419">
            <v>0</v>
          </cell>
          <cell r="L1419">
            <v>0</v>
          </cell>
          <cell r="O1419">
            <v>0</v>
          </cell>
          <cell r="Q1419" t="str">
            <v>22|25</v>
          </cell>
        </row>
        <row r="1420">
          <cell r="E1420" t="str">
            <v>6. TELECOMMUNICATIONS</v>
          </cell>
          <cell r="G1420" t="str">
            <v>6. TELECOMMUNICATIONS</v>
          </cell>
          <cell r="H1420">
            <v>0</v>
          </cell>
          <cell r="I1420">
            <v>0</v>
          </cell>
          <cell r="J1420">
            <v>0</v>
          </cell>
          <cell r="K1420">
            <v>0</v>
          </cell>
          <cell r="L1420">
            <v>0</v>
          </cell>
          <cell r="O1420">
            <v>0</v>
          </cell>
          <cell r="Q1420" t="str">
            <v>22|26</v>
          </cell>
        </row>
        <row r="1421">
          <cell r="E1421" t="str">
            <v>6. TELECOMMUNICATIONS</v>
          </cell>
          <cell r="G1421" t="str">
            <v>Room</v>
          </cell>
          <cell r="H1421" t="str">
            <v>Rack Installed</v>
          </cell>
          <cell r="I1421" t="str">
            <v>Ladder Tray</v>
          </cell>
          <cell r="J1421" t="str">
            <v>Fiber Installed</v>
          </cell>
          <cell r="K1421" t="str">
            <v>Grounding</v>
          </cell>
          <cell r="L1421" t="str">
            <v>Labeling</v>
          </cell>
          <cell r="O1421" t="str">
            <v>Overall</v>
          </cell>
          <cell r="Q1421" t="str">
            <v>22|27</v>
          </cell>
        </row>
        <row r="1422">
          <cell r="E1422" t="str">
            <v>6. TELECOMMUNICATIONS</v>
          </cell>
          <cell r="G1422" t="str">
            <v>102</v>
          </cell>
          <cell r="H1422" t="str">
            <v>Verify</v>
          </cell>
          <cell r="I1422" t="str">
            <v>Verify</v>
          </cell>
          <cell r="J1422" t="str">
            <v>Verify</v>
          </cell>
          <cell r="K1422" t="str">
            <v>Verify</v>
          </cell>
          <cell r="L1422" t="str">
            <v>Verify</v>
          </cell>
          <cell r="O1422" t="str">
            <v>Verify</v>
          </cell>
          <cell r="Q1422" t="str">
            <v>22|28</v>
          </cell>
        </row>
        <row r="1423">
          <cell r="E1423" t="str">
            <v>6. TELECOMMUNICATIONS</v>
          </cell>
          <cell r="G1423" t="str">
            <v>103</v>
          </cell>
          <cell r="H1423" t="str">
            <v>Existing</v>
          </cell>
          <cell r="I1423" t="str">
            <v>Existing</v>
          </cell>
          <cell r="J1423" t="str">
            <v>Existing</v>
          </cell>
          <cell r="K1423" t="str">
            <v>Verify</v>
          </cell>
          <cell r="L1423" t="str">
            <v>Verify</v>
          </cell>
          <cell r="O1423" t="str">
            <v>Verify</v>
          </cell>
          <cell r="Q1423" t="str">
            <v>22|29</v>
          </cell>
        </row>
        <row r="1424">
          <cell r="E1424" t="str">
            <v>6. TELECOMMUNICATIONS</v>
          </cell>
          <cell r="G1424">
            <v>0</v>
          </cell>
          <cell r="H1424">
            <v>0</v>
          </cell>
          <cell r="I1424">
            <v>0</v>
          </cell>
          <cell r="J1424">
            <v>0</v>
          </cell>
          <cell r="K1424">
            <v>0</v>
          </cell>
          <cell r="L1424">
            <v>0</v>
          </cell>
          <cell r="O1424">
            <v>0</v>
          </cell>
          <cell r="Q1424" t="str">
            <v>22|30</v>
          </cell>
        </row>
        <row r="1425">
          <cell r="E1425" t="str">
            <v>7. SECURITY / PACS / CCTV</v>
          </cell>
          <cell r="G1425" t="str">
            <v>7. SECURITY / PACS / CCTV</v>
          </cell>
          <cell r="H1425">
            <v>0</v>
          </cell>
          <cell r="I1425">
            <v>0</v>
          </cell>
          <cell r="J1425">
            <v>0</v>
          </cell>
          <cell r="K1425">
            <v>0</v>
          </cell>
          <cell r="L1425">
            <v>0</v>
          </cell>
          <cell r="O1425">
            <v>0</v>
          </cell>
          <cell r="Q1425" t="str">
            <v>22|31</v>
          </cell>
        </row>
        <row r="1426">
          <cell r="E1426" t="str">
            <v>7. SECURITY / PACS / CCTV</v>
          </cell>
          <cell r="G1426" t="str">
            <v>Room</v>
          </cell>
          <cell r="H1426" t="str">
            <v>PACS</v>
          </cell>
          <cell r="I1426" t="str">
            <v>Card Reader</v>
          </cell>
          <cell r="J1426" t="str">
            <v>Door Position</v>
          </cell>
          <cell r="K1426" t="str">
            <v>Electric Strike</v>
          </cell>
          <cell r="L1426" t="str">
            <v>CCTV</v>
          </cell>
          <cell r="O1426" t="str">
            <v>Overall</v>
          </cell>
          <cell r="Q1426" t="str">
            <v>22|32</v>
          </cell>
        </row>
        <row r="1427">
          <cell r="E1427" t="str">
            <v>7. SECURITY / PACS / CCTV</v>
          </cell>
          <cell r="G1427" t="str">
            <v>102</v>
          </cell>
          <cell r="H1427" t="str">
            <v>N/A / Verify</v>
          </cell>
          <cell r="I1427" t="str">
            <v>N/A / Verify</v>
          </cell>
          <cell r="J1427" t="str">
            <v>N/A / Verify</v>
          </cell>
          <cell r="K1427" t="str">
            <v>N/A / Verify</v>
          </cell>
          <cell r="L1427" t="str">
            <v>Verify Existing</v>
          </cell>
          <cell r="O1427" t="str">
            <v>Verify</v>
          </cell>
          <cell r="Q1427" t="str">
            <v>22|33</v>
          </cell>
        </row>
        <row r="1428">
          <cell r="E1428" t="str">
            <v>7. SECURITY / PACS / CCTV</v>
          </cell>
          <cell r="G1428" t="str">
            <v>103</v>
          </cell>
          <cell r="H1428" t="str">
            <v>N/A / Verify</v>
          </cell>
          <cell r="I1428" t="str">
            <v>N/A / Verify</v>
          </cell>
          <cell r="J1428" t="str">
            <v>N/A / Verify</v>
          </cell>
          <cell r="K1428" t="str">
            <v>N/A / Verify</v>
          </cell>
          <cell r="L1428" t="str">
            <v>Verify Existing</v>
          </cell>
          <cell r="O1428" t="str">
            <v>Verify</v>
          </cell>
          <cell r="Q1428" t="str">
            <v>22|34</v>
          </cell>
        </row>
        <row r="1429">
          <cell r="E1429" t="str">
            <v>7. SECURITY / PACS / CCTV</v>
          </cell>
          <cell r="G1429">
            <v>0</v>
          </cell>
          <cell r="H1429">
            <v>0</v>
          </cell>
          <cell r="I1429">
            <v>0</v>
          </cell>
          <cell r="J1429">
            <v>0</v>
          </cell>
          <cell r="K1429">
            <v>0</v>
          </cell>
          <cell r="L1429">
            <v>0</v>
          </cell>
          <cell r="O1429">
            <v>0</v>
          </cell>
          <cell r="Q1429" t="str">
            <v>22|35</v>
          </cell>
        </row>
        <row r="1430">
          <cell r="E1430" t="str">
            <v>8. OWNER RISKS</v>
          </cell>
          <cell r="G1430" t="str">
            <v>8. OWNER RISKS</v>
          </cell>
          <cell r="H1430">
            <v>0</v>
          </cell>
          <cell r="I1430">
            <v>0</v>
          </cell>
          <cell r="J1430">
            <v>0</v>
          </cell>
          <cell r="K1430">
            <v>0</v>
          </cell>
          <cell r="L1430">
            <v>0</v>
          </cell>
          <cell r="O1430">
            <v>0</v>
          </cell>
          <cell r="Q1430" t="str">
            <v>22|36</v>
          </cell>
        </row>
        <row r="1431">
          <cell r="E1431" t="str">
            <v>8. OWNER RISKS</v>
          </cell>
          <cell r="G1431" t="str">
            <v>Risk ID</v>
          </cell>
          <cell r="H1431" t="str">
            <v>Room</v>
          </cell>
          <cell r="I1431" t="str">
            <v>Risk</v>
          </cell>
          <cell r="J1431" t="str">
            <v>Impact</v>
          </cell>
          <cell r="K1431" t="str">
            <v>Probability</v>
          </cell>
          <cell r="L1431" t="str">
            <v>Score</v>
          </cell>
          <cell r="O1431" t="str">
            <v>Status</v>
          </cell>
          <cell r="Q1431" t="str">
            <v>22|37</v>
          </cell>
        </row>
        <row r="1432">
          <cell r="E1432" t="str">
            <v>8. OWNER RISKS</v>
          </cell>
          <cell r="G1432" t="str">
            <v>B22-R1</v>
          </cell>
          <cell r="H1432" t="str">
            <v>All</v>
          </cell>
          <cell r="I1432" t="str">
            <v>Existing conditions for new Break Room 102 TE and existing Room 103 TE not field verified</v>
          </cell>
          <cell r="J1432" t="str">
            <v>High</v>
          </cell>
          <cell r="K1432" t="str">
            <v>Medium</v>
          </cell>
          <cell r="L1432">
            <v>6</v>
          </cell>
          <cell r="O1432" t="str">
            <v>Open</v>
          </cell>
          <cell r="Q1432" t="str">
            <v>22|38</v>
          </cell>
        </row>
        <row r="1433">
          <cell r="E1433" t="str">
            <v>8. OWNER RISKS</v>
          </cell>
          <cell r="G1433" t="str">
            <v>B22-R2</v>
          </cell>
          <cell r="H1433" t="str">
            <v>102/103</v>
          </cell>
          <cell r="I1433" t="str">
            <v>Existing equipment in 103 may remain active during transfer to new TE in 102</v>
          </cell>
          <cell r="J1433" t="str">
            <v>Critical</v>
          </cell>
          <cell r="K1433" t="str">
            <v>Medium</v>
          </cell>
          <cell r="L1433">
            <v>8</v>
          </cell>
          <cell r="O1433" t="str">
            <v>Open</v>
          </cell>
          <cell r="Q1433" t="str">
            <v>22|39</v>
          </cell>
        </row>
        <row r="1434">
          <cell r="E1434" t="str">
            <v>8. OWNER RISKS</v>
          </cell>
          <cell r="G1434" t="str">
            <v>B22-R3</v>
          </cell>
          <cell r="H1434" t="str">
            <v>102</v>
          </cell>
          <cell r="I1434" t="str">
            <v>Break Room 102 use may conflict with wall-mount TE access and clearances</v>
          </cell>
          <cell r="J1434" t="str">
            <v>Medium</v>
          </cell>
          <cell r="K1434" t="str">
            <v>Medium</v>
          </cell>
          <cell r="L1434">
            <v>4</v>
          </cell>
          <cell r="O1434" t="str">
            <v>Open</v>
          </cell>
          <cell r="Q1434" t="str">
            <v>22|40</v>
          </cell>
        </row>
        <row r="1435">
          <cell r="E1435" t="str">
            <v>8. OWNER RISKS</v>
          </cell>
          <cell r="G1435" t="str">
            <v>B22-R4</v>
          </cell>
          <cell r="H1435" t="str">
            <v>102</v>
          </cell>
          <cell r="I1435" t="str">
            <v>No mechanical scope, but TE/UPS/network equipment may add heat load to Break Room 102</v>
          </cell>
          <cell r="J1435" t="str">
            <v>High</v>
          </cell>
          <cell r="K1435" t="str">
            <v>Medium</v>
          </cell>
          <cell r="L1435">
            <v>6</v>
          </cell>
          <cell r="O1435" t="str">
            <v>Open</v>
          </cell>
          <cell r="Q1435" t="str">
            <v>22|41</v>
          </cell>
        </row>
        <row r="1436">
          <cell r="E1436" t="str">
            <v>8. OWNER RISKS</v>
          </cell>
          <cell r="G1436" t="str">
            <v>B22-R5</v>
          </cell>
          <cell r="H1436" t="str">
            <v>102</v>
          </cell>
          <cell r="I1436" t="str">
            <v>UPS/PDU/receptacle source and grounding/bonding not verified</v>
          </cell>
          <cell r="J1436" t="str">
            <v>High</v>
          </cell>
          <cell r="K1436" t="str">
            <v>Medium</v>
          </cell>
          <cell r="L1436">
            <v>6</v>
          </cell>
          <cell r="O1436" t="str">
            <v>Open</v>
          </cell>
          <cell r="Q1436" t="str">
            <v>22|42</v>
          </cell>
        </row>
        <row r="1437">
          <cell r="E1437" t="str">
            <v>8. OWNER RISKS</v>
          </cell>
          <cell r="G1437" t="str">
            <v>B22-R6</v>
          </cell>
          <cell r="H1437" t="str">
            <v>All</v>
          </cell>
          <cell r="I1437" t="str">
            <v>139 feet of cable tray/pathway requires coordination despite small port count</v>
          </cell>
          <cell r="J1437" t="str">
            <v>High</v>
          </cell>
          <cell r="K1437" t="str">
            <v>Medium</v>
          </cell>
          <cell r="L1437">
            <v>6</v>
          </cell>
          <cell r="O1437" t="str">
            <v>Open</v>
          </cell>
          <cell r="Q1437" t="str">
            <v>22|43</v>
          </cell>
        </row>
        <row r="1438">
          <cell r="E1438" t="str">
            <v>8. OWNER RISKS</v>
          </cell>
          <cell r="G1438" t="str">
            <v>B22-R7</v>
          </cell>
          <cell r="H1438" t="str">
            <v>All</v>
          </cell>
          <cell r="I1438" t="str">
            <v>Firestopping/rated sleeve work could be missed because FP scope is excluded</v>
          </cell>
          <cell r="J1438" t="str">
            <v>High</v>
          </cell>
          <cell r="K1438" t="str">
            <v>Medium</v>
          </cell>
          <cell r="L1438">
            <v>6</v>
          </cell>
          <cell r="O1438" t="str">
            <v>Open</v>
          </cell>
          <cell r="Q1438" t="str">
            <v>22|44</v>
          </cell>
        </row>
        <row r="1439">
          <cell r="E1439" t="str">
            <v>8. OWNER RISKS</v>
          </cell>
          <cell r="G1439" t="str">
            <v>B22-R8</v>
          </cell>
          <cell r="H1439" t="str">
            <v>103 / B19</v>
          </cell>
          <cell r="I1439" t="str">
            <v>Existing SERTEX utility service and B19 port relationship may create cutover dependency</v>
          </cell>
          <cell r="J1439" t="str">
            <v>High</v>
          </cell>
          <cell r="K1439" t="str">
            <v>Medium</v>
          </cell>
          <cell r="L1439">
            <v>6</v>
          </cell>
          <cell r="O1439" t="str">
            <v>Open</v>
          </cell>
          <cell r="Q1439" t="str">
            <v>22|45</v>
          </cell>
        </row>
        <row r="1440">
          <cell r="E1440" t="str">
            <v>8. OWNER RISKS</v>
          </cell>
          <cell r="G1440">
            <v>0</v>
          </cell>
          <cell r="H1440">
            <v>0</v>
          </cell>
          <cell r="I1440">
            <v>0</v>
          </cell>
          <cell r="J1440">
            <v>0</v>
          </cell>
          <cell r="K1440">
            <v>0</v>
          </cell>
          <cell r="L1440">
            <v>0</v>
          </cell>
          <cell r="O1440">
            <v>0</v>
          </cell>
          <cell r="Q1440" t="str">
            <v>22|46</v>
          </cell>
        </row>
        <row r="1441">
          <cell r="E1441" t="str">
            <v>9. OPEN QUESTIONS</v>
          </cell>
          <cell r="G1441" t="str">
            <v>9. OPEN QUESTIONS</v>
          </cell>
          <cell r="H1441">
            <v>0</v>
          </cell>
          <cell r="I1441">
            <v>0</v>
          </cell>
          <cell r="J1441">
            <v>0</v>
          </cell>
          <cell r="K1441">
            <v>0</v>
          </cell>
          <cell r="L1441">
            <v>0</v>
          </cell>
          <cell r="O1441">
            <v>0</v>
          </cell>
          <cell r="Q1441" t="str">
            <v>22|47</v>
          </cell>
        </row>
        <row r="1442">
          <cell r="E1442" t="str">
            <v>9. OPEN QUESTIONS</v>
          </cell>
          <cell r="G1442" t="str">
            <v>Question ID</v>
          </cell>
          <cell r="H1442" t="str">
            <v>Question</v>
          </cell>
          <cell r="I1442" t="str">
            <v>Assigned To</v>
          </cell>
          <cell r="J1442" t="str">
            <v>Status</v>
          </cell>
          <cell r="K1442" t="str">
            <v>Needed By</v>
          </cell>
          <cell r="L1442" t="str">
            <v>Answer / Resolution</v>
          </cell>
          <cell r="O1442" t="str">
            <v>Date Closed</v>
          </cell>
          <cell r="Q1442" t="str">
            <v>22|48</v>
          </cell>
        </row>
        <row r="1443">
          <cell r="E1443" t="str">
            <v>9. OPEN QUESTIONS</v>
          </cell>
          <cell r="G1443" t="str">
            <v>B22-Q1</v>
          </cell>
          <cell r="H1443" t="str">
            <v>Confirm final scope: new wall-mount TE enclosure in Break Room 102 and existing Room 103 transition only?</v>
          </cell>
          <cell r="I1443" t="str">
            <v>VA / OIT / Designer</v>
          </cell>
          <cell r="J1443" t="str">
            <v>Open</v>
          </cell>
          <cell r="K1443">
            <v>0</v>
          </cell>
          <cell r="L1443">
            <v>0</v>
          </cell>
          <cell r="O1443">
            <v>0</v>
          </cell>
          <cell r="Q1443" t="str">
            <v>22|49</v>
          </cell>
        </row>
        <row r="1444">
          <cell r="E1444" t="str">
            <v>9. OPEN QUESTIONS</v>
          </cell>
          <cell r="G1444" t="str">
            <v>B22-Q2</v>
          </cell>
          <cell r="H1444" t="str">
            <v>What active services are currently fed from existing Room 103 equipment?</v>
          </cell>
          <cell r="I1444" t="str">
            <v>OIT / Contractor</v>
          </cell>
          <cell r="J1444" t="str">
            <v>Open</v>
          </cell>
          <cell r="K1444">
            <v>0</v>
          </cell>
          <cell r="L1444">
            <v>0</v>
          </cell>
          <cell r="O1444">
            <v>0</v>
          </cell>
          <cell r="Q1444" t="str">
            <v>22|50</v>
          </cell>
        </row>
        <row r="1445">
          <cell r="E1445" t="str">
            <v>9. OPEN QUESTIONS</v>
          </cell>
          <cell r="G1445" t="str">
            <v>B22-Q3</v>
          </cell>
          <cell r="H1445" t="str">
            <v>What is the approved power source, receptacle type and circuit capacity for the new APC UPS/PDU in Room 102?</v>
          </cell>
          <cell r="I1445" t="str">
            <v>Electrical / Designer</v>
          </cell>
          <cell r="J1445" t="str">
            <v>Open</v>
          </cell>
          <cell r="K1445">
            <v>0</v>
          </cell>
          <cell r="L1445">
            <v>0</v>
          </cell>
          <cell r="O1445">
            <v>0</v>
          </cell>
          <cell r="Q1445" t="str">
            <v>22|51</v>
          </cell>
        </row>
        <row r="1446">
          <cell r="E1446" t="str">
            <v>9. OPEN QUESTIONS</v>
          </cell>
          <cell r="G1446" t="str">
            <v>B22-Q4</v>
          </cell>
          <cell r="H1446" t="str">
            <v>Is Break Room 102 HVAC/ambient condition acceptable for a wall-mount TE with UPS/PDU/network switch?</v>
          </cell>
          <cell r="I1446" t="str">
            <v>VA / OIT / Facilities</v>
          </cell>
          <cell r="J1446" t="str">
            <v>Open</v>
          </cell>
          <cell r="K1446">
            <v>0</v>
          </cell>
          <cell r="L1446">
            <v>0</v>
          </cell>
          <cell r="O1446">
            <v>0</v>
          </cell>
          <cell r="Q1446" t="str">
            <v>22|52</v>
          </cell>
        </row>
        <row r="1447">
          <cell r="E1447" t="str">
            <v>9. OPEN QUESTIONS</v>
          </cell>
          <cell r="G1447" t="str">
            <v>B22-Q5</v>
          </cell>
          <cell r="H1447" t="str">
            <v>Are existing cameras/security devices in Building 22 protected and retained with no VMS/PACS changes?</v>
          </cell>
          <cell r="I1447" t="str">
            <v>Security / OIT</v>
          </cell>
          <cell r="J1447" t="str">
            <v>Open</v>
          </cell>
          <cell r="K1447">
            <v>0</v>
          </cell>
          <cell r="L1447">
            <v>0</v>
          </cell>
          <cell r="O1447">
            <v>0</v>
          </cell>
          <cell r="Q1447" t="str">
            <v>22|53</v>
          </cell>
        </row>
        <row r="1448">
          <cell r="E1448" t="str">
            <v>9. OPEN QUESTIONS</v>
          </cell>
          <cell r="G1448" t="str">
            <v>B22-Q6</v>
          </cell>
          <cell r="H1448" t="str">
            <v>Are all 139 feet of cable tray route, sleeves, supports and firestopping details field verified?</v>
          </cell>
          <cell r="I1448" t="str">
            <v>Telecom / GC / Firestop</v>
          </cell>
          <cell r="J1448" t="str">
            <v>Open</v>
          </cell>
          <cell r="K1448">
            <v>0</v>
          </cell>
          <cell r="L1448">
            <v>0</v>
          </cell>
          <cell r="O1448">
            <v>0</v>
          </cell>
          <cell r="Q1448" t="str">
            <v>22|54</v>
          </cell>
        </row>
        <row r="1449">
          <cell r="E1449" t="str">
            <v>9. OPEN QUESTIONS</v>
          </cell>
          <cell r="G1449" t="str">
            <v>B22-Q7</v>
          </cell>
          <cell r="H1449" t="str">
            <v>Are the 10 new Cat6A cross-connect cables from existing TE to new TE location coordinated and labeled?</v>
          </cell>
          <cell r="I1449" t="str">
            <v>Telecom / OIT</v>
          </cell>
          <cell r="J1449" t="str">
            <v>Open</v>
          </cell>
          <cell r="K1449">
            <v>0</v>
          </cell>
          <cell r="L1449">
            <v>0</v>
          </cell>
          <cell r="O1449">
            <v>0</v>
          </cell>
          <cell r="Q1449" t="str">
            <v>22|55</v>
          </cell>
        </row>
        <row r="1450">
          <cell r="E1450" t="str">
            <v>9. OPEN QUESTIONS</v>
          </cell>
          <cell r="G1450" t="str">
            <v>B22-Q8</v>
          </cell>
          <cell r="H1450" t="str">
            <v>What is the operational impact of Room 103 ports 1-24 to Building 19 ports 73-96?</v>
          </cell>
          <cell r="I1450" t="str">
            <v>VA / OIT / Designer</v>
          </cell>
          <cell r="J1450" t="str">
            <v>Open</v>
          </cell>
          <cell r="K1450">
            <v>0</v>
          </cell>
          <cell r="L1450">
            <v>0</v>
          </cell>
          <cell r="O1450">
            <v>0</v>
          </cell>
          <cell r="Q1450" t="str">
            <v>22|56</v>
          </cell>
        </row>
        <row r="1451">
          <cell r="E1451" t="str">
            <v>9. OPEN QUESTIONS</v>
          </cell>
          <cell r="G1451">
            <v>0</v>
          </cell>
          <cell r="H1451">
            <v>0</v>
          </cell>
          <cell r="I1451">
            <v>0</v>
          </cell>
          <cell r="J1451">
            <v>0</v>
          </cell>
          <cell r="K1451">
            <v>0</v>
          </cell>
          <cell r="L1451">
            <v>0</v>
          </cell>
          <cell r="O1451">
            <v>0</v>
          </cell>
          <cell r="Q1451" t="str">
            <v>22|57</v>
          </cell>
        </row>
        <row r="1452">
          <cell r="E1452" t="str">
            <v>10. PHOTO LOG</v>
          </cell>
          <cell r="G1452" t="str">
            <v>10. PHOTO LOG</v>
          </cell>
          <cell r="H1452">
            <v>0</v>
          </cell>
          <cell r="I1452">
            <v>0</v>
          </cell>
          <cell r="J1452">
            <v>0</v>
          </cell>
          <cell r="K1452">
            <v>0</v>
          </cell>
          <cell r="L1452">
            <v>0</v>
          </cell>
          <cell r="O1452">
            <v>0</v>
          </cell>
          <cell r="Q1452" t="str">
            <v>22|58</v>
          </cell>
        </row>
        <row r="1453">
          <cell r="E1453" t="str">
            <v>10. PHOTO LOG</v>
          </cell>
          <cell r="G1453" t="str">
            <v>Photo ID</v>
          </cell>
          <cell r="H1453" t="str">
            <v>Room</v>
          </cell>
          <cell r="I1453" t="str">
            <v>Category</v>
          </cell>
          <cell r="J1453" t="str">
            <v>Description</v>
          </cell>
          <cell r="K1453" t="str">
            <v>Date</v>
          </cell>
          <cell r="L1453" t="str">
            <v>Taken By</v>
          </cell>
          <cell r="O1453" t="str">
            <v>Status</v>
          </cell>
          <cell r="Q1453" t="str">
            <v>22|59</v>
          </cell>
        </row>
        <row r="1454">
          <cell r="E1454" t="str">
            <v>10. PHOTO LOG</v>
          </cell>
          <cell r="G1454" t="str">
            <v>B22-P001</v>
          </cell>
          <cell r="H1454" t="str">
            <v>102</v>
          </cell>
          <cell r="I1454" t="str">
            <v>Existing Condition</v>
          </cell>
          <cell r="J1454" t="str">
            <v>Break Room 102 wall location, wall backing, clearances, ceiling, power source, cable path, fiber path A/B and new TE enclosure location</v>
          </cell>
          <cell r="K1454">
            <v>0</v>
          </cell>
          <cell r="L1454" t="str">
            <v>Paul</v>
          </cell>
          <cell r="O1454" t="str">
            <v>Open</v>
          </cell>
          <cell r="Q1454" t="str">
            <v>22|60</v>
          </cell>
        </row>
        <row r="1455">
          <cell r="E1455" t="str">
            <v>10. PHOTO LOG</v>
          </cell>
          <cell r="G1455" t="str">
            <v>B22-P002</v>
          </cell>
          <cell r="H1455" t="str">
            <v>103</v>
          </cell>
          <cell r="I1455" t="str">
            <v>Existing Condition</v>
          </cell>
          <cell r="J1455" t="str">
            <v>Existing Room 103 wall/wall-mount TE, APC UPS, Cisco switch, SERTEX utility service, legacy patch panel, Fiber LIU and cable entries</v>
          </cell>
          <cell r="K1455">
            <v>0</v>
          </cell>
          <cell r="L1455" t="str">
            <v>Paul</v>
          </cell>
          <cell r="O1455" t="str">
            <v>Open</v>
          </cell>
          <cell r="Q1455" t="str">
            <v>22|61</v>
          </cell>
        </row>
        <row r="1456">
          <cell r="E1456" t="str">
            <v>10. PHOTO LOG</v>
          </cell>
          <cell r="G1456" t="str">
            <v>B22-P003</v>
          </cell>
          <cell r="H1456" t="str">
            <v>103 / B19</v>
          </cell>
          <cell r="I1456" t="str">
            <v>Existing Equipment</v>
          </cell>
          <cell r="J1456" t="str">
            <v>Ports 1-24 to Building 19 ports 73-96, active service labeling, utility service and handoff condition</v>
          </cell>
          <cell r="K1456">
            <v>0</v>
          </cell>
          <cell r="L1456" t="str">
            <v>Paul</v>
          </cell>
          <cell r="O1456" t="str">
            <v>Open</v>
          </cell>
          <cell r="Q1456" t="str">
            <v>22|62</v>
          </cell>
        </row>
        <row r="1457">
          <cell r="E1457" t="str">
            <v>10. PHOTO LOG</v>
          </cell>
          <cell r="G1457" t="str">
            <v>B22-P004</v>
          </cell>
          <cell r="H1457" t="str">
            <v>102/103</v>
          </cell>
          <cell r="I1457" t="str">
            <v>Pathway</v>
          </cell>
          <cell r="J1457" t="str">
            <v>139 ft first-floor cable tray route, sleeves, wall penetrations, support points, light/HVAC conflicts and 40% fill concerns</v>
          </cell>
          <cell r="K1457">
            <v>0</v>
          </cell>
          <cell r="L1457" t="str">
            <v>Paul</v>
          </cell>
          <cell r="O1457" t="str">
            <v>Open</v>
          </cell>
          <cell r="Q1457" t="str">
            <v>22|63</v>
          </cell>
        </row>
        <row r="1458">
          <cell r="E1458" t="str">
            <v>10. PHOTO LOG</v>
          </cell>
          <cell r="G1458" t="str">
            <v>B22-P005</v>
          </cell>
          <cell r="H1458" t="str">
            <v>102</v>
          </cell>
          <cell r="I1458" t="str">
            <v>Electrical</v>
          </cell>
          <cell r="J1458" t="str">
            <v>New TE enclosure UPS/PDU receptacles, circuit source, grounding/bonding, labels and access</v>
          </cell>
          <cell r="K1458">
            <v>0</v>
          </cell>
          <cell r="L1458" t="str">
            <v>Paul</v>
          </cell>
          <cell r="O1458" t="str">
            <v>Open</v>
          </cell>
          <cell r="Q1458" t="str">
            <v>22|64</v>
          </cell>
        </row>
        <row r="1459">
          <cell r="E1459" t="str">
            <v>10. PHOTO LOG</v>
          </cell>
          <cell r="G1459" t="str">
            <v>B22-P006</v>
          </cell>
          <cell r="H1459" t="str">
            <v>102/103</v>
          </cell>
          <cell r="I1459" t="str">
            <v>Telecom</v>
          </cell>
          <cell r="J1459" t="str">
            <v>TR01-102-1 enclosure, cross-connect cables, Fiber LIU, patch panels, labels, test results and existing equipment transfer</v>
          </cell>
          <cell r="K1459">
            <v>0</v>
          </cell>
          <cell r="L1459" t="str">
            <v>Paul</v>
          </cell>
          <cell r="O1459" t="str">
            <v>Open</v>
          </cell>
          <cell r="Q1459" t="str">
            <v>22|65</v>
          </cell>
        </row>
        <row r="1460">
          <cell r="E1460" t="str">
            <v>10. PHOTO LOG</v>
          </cell>
          <cell r="G1460" t="str">
            <v>B22-P007</v>
          </cell>
          <cell r="H1460" t="str">
            <v>All</v>
          </cell>
          <cell r="I1460" t="str">
            <v>Firestop</v>
          </cell>
          <cell r="J1460" t="str">
            <v>4-inch speed sleeve, wall/floor penetrations and fire caulk before/after photos</v>
          </cell>
          <cell r="K1460">
            <v>0</v>
          </cell>
          <cell r="L1460" t="str">
            <v>Paul</v>
          </cell>
          <cell r="O1460" t="str">
            <v>Open</v>
          </cell>
          <cell r="Q1460" t="str">
            <v>22|66</v>
          </cell>
        </row>
        <row r="1461">
          <cell r="E1461" t="str">
            <v>10. PHOTO LOG</v>
          </cell>
          <cell r="G1461" t="str">
            <v>B22-P008</v>
          </cell>
          <cell r="H1461" t="str">
            <v>All</v>
          </cell>
          <cell r="I1461" t="str">
            <v>Security / Existing Devices</v>
          </cell>
          <cell r="J1461" t="str">
            <v>Existing cameras/security devices to remain, protection-in-place and final operating condition</v>
          </cell>
          <cell r="K1461">
            <v>0</v>
          </cell>
          <cell r="L1461" t="str">
            <v>Paul</v>
          </cell>
          <cell r="O1461" t="str">
            <v>Open</v>
          </cell>
          <cell r="Q1461" t="str">
            <v>22|67</v>
          </cell>
        </row>
        <row r="1462">
          <cell r="E1462" t="str">
            <v>10. PHOTO LOG</v>
          </cell>
          <cell r="G1462">
            <v>0</v>
          </cell>
          <cell r="H1462">
            <v>0</v>
          </cell>
          <cell r="I1462">
            <v>0</v>
          </cell>
          <cell r="J1462">
            <v>0</v>
          </cell>
          <cell r="K1462">
            <v>0</v>
          </cell>
          <cell r="L1462">
            <v>0</v>
          </cell>
          <cell r="O1462">
            <v>0</v>
          </cell>
          <cell r="Q1462" t="str">
            <v>22|68</v>
          </cell>
        </row>
        <row r="1463">
          <cell r="E1463" t="str">
            <v>1. ROOM INVENTORY</v>
          </cell>
          <cell r="G1463" t="str">
            <v>1. ROOM INVENTORY</v>
          </cell>
          <cell r="H1463">
            <v>0</v>
          </cell>
          <cell r="I1463">
            <v>0</v>
          </cell>
          <cell r="J1463">
            <v>0</v>
          </cell>
          <cell r="K1463">
            <v>0</v>
          </cell>
          <cell r="L1463">
            <v>0</v>
          </cell>
          <cell r="O1463">
            <v>0</v>
          </cell>
          <cell r="Q1463" t="str">
            <v>33|1</v>
          </cell>
        </row>
        <row r="1464">
          <cell r="E1464" t="str">
            <v>1. ROOM INVENTORY</v>
          </cell>
          <cell r="G1464" t="str">
            <v>Building</v>
          </cell>
          <cell r="H1464" t="str">
            <v>Room</v>
          </cell>
          <cell r="I1464" t="str">
            <v>Floor</v>
          </cell>
          <cell r="J1464" t="str">
            <v>Existing Use</v>
          </cell>
          <cell r="K1464" t="str">
            <v>New Use</v>
          </cell>
          <cell r="L1464" t="str">
            <v>Rack Count</v>
          </cell>
          <cell r="O1464" t="str">
            <v>Drawing Ref</v>
          </cell>
          <cell r="Q1464" t="str">
            <v>33|2</v>
          </cell>
        </row>
        <row r="1465">
          <cell r="E1465" t="str">
            <v>1. ROOM INVENTORY</v>
          </cell>
          <cell r="G1465" t="str">
            <v>33</v>
          </cell>
          <cell r="H1465" t="str">
            <v>B23</v>
          </cell>
          <cell r="I1465" t="str">
            <v>Basement</v>
          </cell>
          <cell r="J1465" t="str">
            <v>EEO Manager Office / new TE location</v>
          </cell>
          <cell r="K1465" t="str">
            <v>Telecom Enclosure</v>
          </cell>
          <cell r="L1465">
            <v>1</v>
          </cell>
          <cell r="O1465" t="str">
            <v>33T-100 / 33T-604 / 33T-701 / 33E-100 / 33E-701</v>
          </cell>
          <cell r="Q1465" t="str">
            <v>33|3</v>
          </cell>
        </row>
        <row r="1466">
          <cell r="E1466" t="str">
            <v>1. ROOM INVENTORY</v>
          </cell>
          <cell r="G1466" t="str">
            <v>33</v>
          </cell>
          <cell r="H1466" t="str">
            <v>B17</v>
          </cell>
          <cell r="I1466" t="str">
            <v>Basement / First photo reference</v>
          </cell>
          <cell r="J1466" t="str">
            <v>Existing Tel Closet / open TE cabinet and legacy equipment</v>
          </cell>
          <cell r="K1466" t="str">
            <v>Existing telecom transition point</v>
          </cell>
          <cell r="L1466">
            <v>2</v>
          </cell>
          <cell r="O1466" t="str">
            <v>33T-100 / 33T-604 / 33R-900</v>
          </cell>
          <cell r="Q1466" t="str">
            <v>33|4</v>
          </cell>
        </row>
        <row r="1467">
          <cell r="E1467" t="str">
            <v>1. ROOM INVENTORY</v>
          </cell>
          <cell r="G1467">
            <v>0</v>
          </cell>
          <cell r="H1467">
            <v>0</v>
          </cell>
          <cell r="I1467">
            <v>0</v>
          </cell>
          <cell r="J1467">
            <v>0</v>
          </cell>
          <cell r="K1467">
            <v>0</v>
          </cell>
          <cell r="L1467">
            <v>0</v>
          </cell>
          <cell r="O1467">
            <v>0</v>
          </cell>
          <cell r="Q1467" t="str">
            <v>33|5</v>
          </cell>
        </row>
        <row r="1468">
          <cell r="E1468" t="str">
            <v>2. ROOM READINESS</v>
          </cell>
          <cell r="G1468" t="str">
            <v>2. ROOM READINESS</v>
          </cell>
          <cell r="H1468">
            <v>0</v>
          </cell>
          <cell r="I1468">
            <v>0</v>
          </cell>
          <cell r="J1468">
            <v>0</v>
          </cell>
          <cell r="K1468">
            <v>0</v>
          </cell>
          <cell r="L1468">
            <v>0</v>
          </cell>
          <cell r="O1468">
            <v>0</v>
          </cell>
          <cell r="Q1468" t="str">
            <v>33|6</v>
          </cell>
        </row>
        <row r="1469">
          <cell r="E1469" t="str">
            <v>2. ROOM READINESS</v>
          </cell>
          <cell r="G1469" t="str">
            <v>Room</v>
          </cell>
          <cell r="H1469" t="str">
            <v>Walls / 1-hr Rating</v>
          </cell>
          <cell r="I1469" t="str">
            <v>Ceiling</v>
          </cell>
          <cell r="J1469" t="str">
            <v>Floor / SDC</v>
          </cell>
          <cell r="K1469" t="str">
            <v>Penetrations</v>
          </cell>
          <cell r="L1469" t="str">
            <v>Access Control</v>
          </cell>
          <cell r="O1469" t="str">
            <v>Overall</v>
          </cell>
          <cell r="Q1469" t="str">
            <v>33|7</v>
          </cell>
        </row>
        <row r="1470">
          <cell r="E1470" t="str">
            <v>2. ROOM READINESS</v>
          </cell>
          <cell r="G1470" t="str">
            <v>B23</v>
          </cell>
          <cell r="H1470" t="str">
            <v>Verify</v>
          </cell>
          <cell r="I1470" t="str">
            <v>Verify</v>
          </cell>
          <cell r="J1470" t="str">
            <v>N/A / Office</v>
          </cell>
          <cell r="K1470" t="str">
            <v>Verify</v>
          </cell>
          <cell r="L1470" t="str">
            <v>Verify Existing</v>
          </cell>
          <cell r="O1470" t="str">
            <v>Verify</v>
          </cell>
          <cell r="Q1470" t="str">
            <v>33|8</v>
          </cell>
        </row>
        <row r="1471">
          <cell r="E1471" t="str">
            <v>2. ROOM READINESS</v>
          </cell>
          <cell r="G1471" t="str">
            <v>B17</v>
          </cell>
          <cell r="H1471" t="str">
            <v>Existing / Verify</v>
          </cell>
          <cell r="I1471" t="str">
            <v>Existing / Verify</v>
          </cell>
          <cell r="J1471" t="str">
            <v>Existing / Verify</v>
          </cell>
          <cell r="K1471" t="str">
            <v>Verify</v>
          </cell>
          <cell r="L1471" t="str">
            <v>Verify Existing</v>
          </cell>
          <cell r="O1471" t="str">
            <v>Verify</v>
          </cell>
          <cell r="Q1471" t="str">
            <v>33|9</v>
          </cell>
        </row>
        <row r="1472">
          <cell r="E1472" t="str">
            <v>2. ROOM READINESS</v>
          </cell>
          <cell r="G1472">
            <v>0</v>
          </cell>
          <cell r="H1472">
            <v>0</v>
          </cell>
          <cell r="I1472">
            <v>0</v>
          </cell>
          <cell r="J1472">
            <v>0</v>
          </cell>
          <cell r="K1472">
            <v>0</v>
          </cell>
          <cell r="L1472">
            <v>0</v>
          </cell>
          <cell r="O1472">
            <v>0</v>
          </cell>
          <cell r="Q1472" t="str">
            <v>33|10</v>
          </cell>
        </row>
        <row r="1473">
          <cell r="E1473" t="str">
            <v>3. FIRE PROTECTION</v>
          </cell>
          <cell r="G1473" t="str">
            <v>3. FIRE PROTECTION</v>
          </cell>
          <cell r="H1473">
            <v>0</v>
          </cell>
          <cell r="I1473">
            <v>0</v>
          </cell>
          <cell r="J1473">
            <v>0</v>
          </cell>
          <cell r="K1473">
            <v>0</v>
          </cell>
          <cell r="L1473">
            <v>0</v>
          </cell>
          <cell r="O1473">
            <v>0</v>
          </cell>
          <cell r="Q1473" t="str">
            <v>33|11</v>
          </cell>
        </row>
        <row r="1474">
          <cell r="E1474" t="str">
            <v>3. FIRE PROTECTION</v>
          </cell>
          <cell r="G1474" t="str">
            <v>Room</v>
          </cell>
          <cell r="H1474" t="str">
            <v>Sprinkler</v>
          </cell>
          <cell r="I1474" t="str">
            <v>Cage</v>
          </cell>
          <cell r="J1474" t="str">
            <v>Detector</v>
          </cell>
          <cell r="K1474" t="str">
            <v>Horn/Strobe</v>
          </cell>
          <cell r="L1474" t="str">
            <v>Extinguisher &lt;75 ft</v>
          </cell>
          <cell r="O1474" t="str">
            <v>Overall</v>
          </cell>
          <cell r="Q1474" t="str">
            <v>33|12</v>
          </cell>
        </row>
        <row r="1475">
          <cell r="E1475" t="str">
            <v>3. FIRE PROTECTION</v>
          </cell>
          <cell r="G1475" t="str">
            <v>B23</v>
          </cell>
          <cell r="H1475" t="str">
            <v>Excluded / Verify</v>
          </cell>
          <cell r="I1475" t="str">
            <v>N/A</v>
          </cell>
          <cell r="J1475" t="str">
            <v>Verify Existing</v>
          </cell>
          <cell r="K1475" t="str">
            <v>Verify Existing</v>
          </cell>
          <cell r="L1475" t="str">
            <v>N/A / Verify</v>
          </cell>
          <cell r="O1475" t="str">
            <v>Verify</v>
          </cell>
          <cell r="Q1475" t="str">
            <v>33|13</v>
          </cell>
        </row>
        <row r="1476">
          <cell r="E1476" t="str">
            <v>3. FIRE PROTECTION</v>
          </cell>
          <cell r="G1476" t="str">
            <v>B17</v>
          </cell>
          <cell r="H1476" t="str">
            <v>Existing / Verify</v>
          </cell>
          <cell r="I1476" t="str">
            <v>N/A</v>
          </cell>
          <cell r="J1476" t="str">
            <v>Verify Existing</v>
          </cell>
          <cell r="K1476" t="str">
            <v>Verify Existing</v>
          </cell>
          <cell r="L1476" t="str">
            <v>N/A / Verify</v>
          </cell>
          <cell r="O1476" t="str">
            <v>Verify</v>
          </cell>
          <cell r="Q1476" t="str">
            <v>33|14</v>
          </cell>
        </row>
        <row r="1477">
          <cell r="E1477" t="str">
            <v>3. FIRE PROTECTION</v>
          </cell>
          <cell r="G1477">
            <v>0</v>
          </cell>
          <cell r="H1477">
            <v>0</v>
          </cell>
          <cell r="I1477">
            <v>0</v>
          </cell>
          <cell r="J1477">
            <v>0</v>
          </cell>
          <cell r="K1477">
            <v>0</v>
          </cell>
          <cell r="L1477">
            <v>0</v>
          </cell>
          <cell r="O1477">
            <v>0</v>
          </cell>
          <cell r="Q1477" t="str">
            <v>33|15</v>
          </cell>
        </row>
        <row r="1478">
          <cell r="E1478" t="str">
            <v>4. HVAC / COOLING</v>
          </cell>
          <cell r="G1478" t="str">
            <v>4. HVAC / COOLING</v>
          </cell>
          <cell r="H1478">
            <v>0</v>
          </cell>
          <cell r="I1478">
            <v>0</v>
          </cell>
          <cell r="J1478">
            <v>0</v>
          </cell>
          <cell r="K1478">
            <v>0</v>
          </cell>
          <cell r="L1478">
            <v>0</v>
          </cell>
          <cell r="O1478">
            <v>0</v>
          </cell>
          <cell r="Q1478" t="str">
            <v>33|16</v>
          </cell>
        </row>
        <row r="1479">
          <cell r="E1479" t="str">
            <v>4. HVAC / COOLING</v>
          </cell>
          <cell r="G1479" t="str">
            <v>Room</v>
          </cell>
          <cell r="H1479" t="str">
            <v>Dedicated Unit</v>
          </cell>
          <cell r="I1479" t="str">
            <v>Capacity Verified</v>
          </cell>
          <cell r="J1479" t="str">
            <v>Emergency Power</v>
          </cell>
          <cell r="K1479" t="str">
            <v>Controls / BACnet</v>
          </cell>
          <cell r="L1479" t="str">
            <v>Condensate Routed</v>
          </cell>
          <cell r="O1479" t="str">
            <v>Overall</v>
          </cell>
          <cell r="Q1479" t="str">
            <v>33|17</v>
          </cell>
        </row>
        <row r="1480">
          <cell r="E1480" t="str">
            <v>4. HVAC / COOLING</v>
          </cell>
          <cell r="G1480" t="str">
            <v>B23</v>
          </cell>
          <cell r="H1480" t="str">
            <v>Excluded</v>
          </cell>
          <cell r="I1480" t="str">
            <v>N/A</v>
          </cell>
          <cell r="J1480" t="str">
            <v>N/A</v>
          </cell>
          <cell r="K1480" t="str">
            <v>N/A</v>
          </cell>
          <cell r="L1480" t="str">
            <v>N/A</v>
          </cell>
          <cell r="O1480" t="str">
            <v>N/A</v>
          </cell>
          <cell r="Q1480" t="str">
            <v>33|18</v>
          </cell>
        </row>
        <row r="1481">
          <cell r="E1481" t="str">
            <v>4. HVAC / COOLING</v>
          </cell>
          <cell r="G1481" t="str">
            <v>B17</v>
          </cell>
          <cell r="H1481" t="str">
            <v>Existing indoor AC unit</v>
          </cell>
          <cell r="I1481" t="str">
            <v>Verify</v>
          </cell>
          <cell r="J1481" t="str">
            <v>Verify</v>
          </cell>
          <cell r="K1481" t="str">
            <v>Verify</v>
          </cell>
          <cell r="L1481" t="str">
            <v>Verify</v>
          </cell>
          <cell r="O1481" t="str">
            <v>Verify</v>
          </cell>
          <cell r="Q1481" t="str">
            <v>33|19</v>
          </cell>
        </row>
        <row r="1482">
          <cell r="E1482" t="str">
            <v>4. HVAC / COOLING</v>
          </cell>
          <cell r="G1482">
            <v>0</v>
          </cell>
          <cell r="H1482">
            <v>0</v>
          </cell>
          <cell r="I1482">
            <v>0</v>
          </cell>
          <cell r="J1482">
            <v>0</v>
          </cell>
          <cell r="K1482">
            <v>0</v>
          </cell>
          <cell r="L1482">
            <v>0</v>
          </cell>
          <cell r="O1482">
            <v>0</v>
          </cell>
          <cell r="Q1482" t="str">
            <v>33|20</v>
          </cell>
        </row>
        <row r="1483">
          <cell r="E1483" t="str">
            <v>5. ELECTRICAL / UPS</v>
          </cell>
          <cell r="G1483" t="str">
            <v>5. ELECTRICAL / UPS</v>
          </cell>
          <cell r="H1483">
            <v>0</v>
          </cell>
          <cell r="I1483">
            <v>0</v>
          </cell>
          <cell r="J1483">
            <v>0</v>
          </cell>
          <cell r="K1483">
            <v>0</v>
          </cell>
          <cell r="L1483">
            <v>0</v>
          </cell>
          <cell r="O1483">
            <v>0</v>
          </cell>
          <cell r="Q1483" t="str">
            <v>33|21</v>
          </cell>
        </row>
        <row r="1484">
          <cell r="E1484" t="str">
            <v>5. ELECTRICAL / UPS</v>
          </cell>
          <cell r="G1484" t="str">
            <v>Room</v>
          </cell>
          <cell r="H1484" t="str">
            <v>UPS Installed</v>
          </cell>
          <cell r="I1484" t="str">
            <v>UPS Size</v>
          </cell>
          <cell r="J1484" t="str">
            <v>PDU Installed</v>
          </cell>
          <cell r="K1484" t="str">
            <v>Rack Receptacles</v>
          </cell>
          <cell r="L1484" t="str">
            <v>Panel Assigned</v>
          </cell>
          <cell r="O1484" t="str">
            <v>Overall</v>
          </cell>
          <cell r="Q1484" t="str">
            <v>33|22</v>
          </cell>
        </row>
        <row r="1485">
          <cell r="E1485" t="str">
            <v>5. ELECTRICAL / UPS</v>
          </cell>
          <cell r="G1485" t="str">
            <v>B23</v>
          </cell>
          <cell r="H1485" t="str">
            <v>Verify</v>
          </cell>
          <cell r="I1485" t="str">
            <v>APC UPS / TE enclosure</v>
          </cell>
          <cell r="J1485" t="str">
            <v>Verify</v>
          </cell>
          <cell r="K1485" t="str">
            <v>Verify</v>
          </cell>
          <cell r="L1485" t="str">
            <v>33E-100 / 33E-701 source to verify</v>
          </cell>
          <cell r="O1485" t="str">
            <v>Verify</v>
          </cell>
          <cell r="Q1485" t="str">
            <v>33|23</v>
          </cell>
        </row>
        <row r="1486">
          <cell r="E1486" t="str">
            <v>5. ELECTRICAL / UPS</v>
          </cell>
          <cell r="G1486" t="str">
            <v>B17</v>
          </cell>
          <cell r="H1486" t="str">
            <v>Existing</v>
          </cell>
          <cell r="I1486" t="str">
            <v>Existing UPS on floor</v>
          </cell>
          <cell r="J1486" t="str">
            <v>Existing</v>
          </cell>
          <cell r="K1486" t="str">
            <v>Verify</v>
          </cell>
          <cell r="L1486" t="str">
            <v>Existing / Verify</v>
          </cell>
          <cell r="O1486" t="str">
            <v>Verify</v>
          </cell>
          <cell r="Q1486" t="str">
            <v>33|24</v>
          </cell>
        </row>
        <row r="1487">
          <cell r="E1487" t="str">
            <v>5. ELECTRICAL / UPS</v>
          </cell>
          <cell r="G1487">
            <v>0</v>
          </cell>
          <cell r="H1487">
            <v>0</v>
          </cell>
          <cell r="I1487">
            <v>0</v>
          </cell>
          <cell r="J1487">
            <v>0</v>
          </cell>
          <cell r="K1487">
            <v>0</v>
          </cell>
          <cell r="L1487">
            <v>0</v>
          </cell>
          <cell r="O1487">
            <v>0</v>
          </cell>
          <cell r="Q1487" t="str">
            <v>33|25</v>
          </cell>
        </row>
        <row r="1488">
          <cell r="E1488" t="str">
            <v>6. TELECOMMUNICATIONS</v>
          </cell>
          <cell r="G1488" t="str">
            <v>6. TELECOMMUNICATIONS</v>
          </cell>
          <cell r="H1488">
            <v>0</v>
          </cell>
          <cell r="I1488">
            <v>0</v>
          </cell>
          <cell r="J1488">
            <v>0</v>
          </cell>
          <cell r="K1488">
            <v>0</v>
          </cell>
          <cell r="L1488">
            <v>0</v>
          </cell>
          <cell r="O1488">
            <v>0</v>
          </cell>
          <cell r="Q1488" t="str">
            <v>33|26</v>
          </cell>
        </row>
        <row r="1489">
          <cell r="E1489" t="str">
            <v>6. TELECOMMUNICATIONS</v>
          </cell>
          <cell r="G1489" t="str">
            <v>Room</v>
          </cell>
          <cell r="H1489" t="str">
            <v>Rack Installed</v>
          </cell>
          <cell r="I1489" t="str">
            <v>Ladder Tray</v>
          </cell>
          <cell r="J1489" t="str">
            <v>Fiber Installed</v>
          </cell>
          <cell r="K1489" t="str">
            <v>Grounding</v>
          </cell>
          <cell r="L1489" t="str">
            <v>Labeling</v>
          </cell>
          <cell r="O1489" t="str">
            <v>Overall</v>
          </cell>
          <cell r="Q1489" t="str">
            <v>33|27</v>
          </cell>
        </row>
        <row r="1490">
          <cell r="E1490" t="str">
            <v>6. TELECOMMUNICATIONS</v>
          </cell>
          <cell r="G1490" t="str">
            <v>B23</v>
          </cell>
          <cell r="H1490" t="str">
            <v>Verify</v>
          </cell>
          <cell r="I1490" t="str">
            <v>Verify</v>
          </cell>
          <cell r="J1490" t="str">
            <v>Verify</v>
          </cell>
          <cell r="K1490" t="str">
            <v>Verify</v>
          </cell>
          <cell r="L1490" t="str">
            <v>Verify</v>
          </cell>
          <cell r="O1490" t="str">
            <v>Verify</v>
          </cell>
          <cell r="Q1490" t="str">
            <v>33|28</v>
          </cell>
        </row>
        <row r="1491">
          <cell r="E1491" t="str">
            <v>6. TELECOMMUNICATIONS</v>
          </cell>
          <cell r="G1491" t="str">
            <v>B17</v>
          </cell>
          <cell r="H1491" t="str">
            <v>Existing</v>
          </cell>
          <cell r="I1491" t="str">
            <v>Existing</v>
          </cell>
          <cell r="J1491" t="str">
            <v>Existing</v>
          </cell>
          <cell r="K1491" t="str">
            <v>Verify</v>
          </cell>
          <cell r="L1491" t="str">
            <v>Verify</v>
          </cell>
          <cell r="O1491" t="str">
            <v>Verify</v>
          </cell>
          <cell r="Q1491" t="str">
            <v>33|29</v>
          </cell>
        </row>
        <row r="1492">
          <cell r="E1492" t="str">
            <v>6. TELECOMMUNICATIONS</v>
          </cell>
          <cell r="G1492">
            <v>0</v>
          </cell>
          <cell r="H1492">
            <v>0</v>
          </cell>
          <cell r="I1492">
            <v>0</v>
          </cell>
          <cell r="J1492">
            <v>0</v>
          </cell>
          <cell r="K1492">
            <v>0</v>
          </cell>
          <cell r="L1492">
            <v>0</v>
          </cell>
          <cell r="O1492">
            <v>0</v>
          </cell>
          <cell r="Q1492" t="str">
            <v>33|30</v>
          </cell>
        </row>
        <row r="1493">
          <cell r="E1493" t="str">
            <v>7. SECURITY / PACS / CCTV</v>
          </cell>
          <cell r="G1493" t="str">
            <v>7. SECURITY / PACS / CCTV</v>
          </cell>
          <cell r="H1493">
            <v>0</v>
          </cell>
          <cell r="I1493">
            <v>0</v>
          </cell>
          <cell r="J1493">
            <v>0</v>
          </cell>
          <cell r="K1493">
            <v>0</v>
          </cell>
          <cell r="L1493">
            <v>0</v>
          </cell>
          <cell r="O1493">
            <v>0</v>
          </cell>
          <cell r="Q1493" t="str">
            <v>33|31</v>
          </cell>
        </row>
        <row r="1494">
          <cell r="E1494" t="str">
            <v>7. SECURITY / PACS / CCTV</v>
          </cell>
          <cell r="G1494" t="str">
            <v>Room</v>
          </cell>
          <cell r="H1494" t="str">
            <v>PACS</v>
          </cell>
          <cell r="I1494" t="str">
            <v>Card Reader</v>
          </cell>
          <cell r="J1494" t="str">
            <v>Door Position</v>
          </cell>
          <cell r="K1494" t="str">
            <v>Electric Strike</v>
          </cell>
          <cell r="L1494" t="str">
            <v>CCTV</v>
          </cell>
          <cell r="O1494" t="str">
            <v>Overall</v>
          </cell>
          <cell r="Q1494" t="str">
            <v>33|32</v>
          </cell>
        </row>
        <row r="1495">
          <cell r="E1495" t="str">
            <v>7. SECURITY / PACS / CCTV</v>
          </cell>
          <cell r="G1495" t="str">
            <v>B23</v>
          </cell>
          <cell r="H1495" t="str">
            <v>N/A / Verify</v>
          </cell>
          <cell r="I1495" t="str">
            <v>N/A / Verify</v>
          </cell>
          <cell r="J1495" t="str">
            <v>N/A / Verify</v>
          </cell>
          <cell r="K1495" t="str">
            <v>N/A / Verify</v>
          </cell>
          <cell r="L1495" t="str">
            <v>Verify Existing</v>
          </cell>
          <cell r="O1495" t="str">
            <v>Verify</v>
          </cell>
          <cell r="Q1495" t="str">
            <v>33|33</v>
          </cell>
        </row>
        <row r="1496">
          <cell r="E1496" t="str">
            <v>7. SECURITY / PACS / CCTV</v>
          </cell>
          <cell r="G1496" t="str">
            <v>B17</v>
          </cell>
          <cell r="H1496" t="str">
            <v>Verify Existing</v>
          </cell>
          <cell r="I1496" t="str">
            <v>Verify Existing</v>
          </cell>
          <cell r="J1496" t="str">
            <v>Verify Existing</v>
          </cell>
          <cell r="K1496" t="str">
            <v>Verify Existing</v>
          </cell>
          <cell r="L1496" t="str">
            <v>Verify Existing</v>
          </cell>
          <cell r="O1496" t="str">
            <v>Verify</v>
          </cell>
          <cell r="Q1496" t="str">
            <v>33|34</v>
          </cell>
        </row>
        <row r="1497">
          <cell r="E1497" t="str">
            <v>7. SECURITY / PACS / CCTV</v>
          </cell>
          <cell r="G1497">
            <v>0</v>
          </cell>
          <cell r="H1497">
            <v>0</v>
          </cell>
          <cell r="I1497">
            <v>0</v>
          </cell>
          <cell r="J1497">
            <v>0</v>
          </cell>
          <cell r="K1497">
            <v>0</v>
          </cell>
          <cell r="L1497">
            <v>0</v>
          </cell>
          <cell r="O1497">
            <v>0</v>
          </cell>
          <cell r="Q1497" t="str">
            <v>33|35</v>
          </cell>
        </row>
        <row r="1498">
          <cell r="E1498" t="str">
            <v>8. OWNER RISKS</v>
          </cell>
          <cell r="G1498" t="str">
            <v>8. OWNER RISKS</v>
          </cell>
          <cell r="H1498">
            <v>0</v>
          </cell>
          <cell r="I1498">
            <v>0</v>
          </cell>
          <cell r="J1498">
            <v>0</v>
          </cell>
          <cell r="K1498">
            <v>0</v>
          </cell>
          <cell r="L1498">
            <v>0</v>
          </cell>
          <cell r="O1498">
            <v>0</v>
          </cell>
          <cell r="Q1498" t="str">
            <v>33|36</v>
          </cell>
        </row>
        <row r="1499">
          <cell r="E1499" t="str">
            <v>8. OWNER RISKS</v>
          </cell>
          <cell r="G1499" t="str">
            <v>Risk ID</v>
          </cell>
          <cell r="H1499" t="str">
            <v>Room</v>
          </cell>
          <cell r="I1499" t="str">
            <v>Risk</v>
          </cell>
          <cell r="J1499" t="str">
            <v>Impact</v>
          </cell>
          <cell r="K1499" t="str">
            <v>Probability</v>
          </cell>
          <cell r="L1499" t="str">
            <v>Score</v>
          </cell>
          <cell r="O1499" t="str">
            <v>Status</v>
          </cell>
          <cell r="Q1499" t="str">
            <v>33|37</v>
          </cell>
        </row>
        <row r="1500">
          <cell r="E1500" t="str">
            <v>8. OWNER RISKS</v>
          </cell>
          <cell r="G1500" t="str">
            <v>B33-R1</v>
          </cell>
          <cell r="H1500" t="str">
            <v>All</v>
          </cell>
          <cell r="I1500" t="str">
            <v>Existing conditions for new B23 TE and existing B17 Tel Closet not field verified</v>
          </cell>
          <cell r="J1500" t="str">
            <v>High</v>
          </cell>
          <cell r="K1500" t="str">
            <v>Medium</v>
          </cell>
          <cell r="L1500">
            <v>6</v>
          </cell>
          <cell r="O1500" t="str">
            <v>Open</v>
          </cell>
          <cell r="Q1500" t="str">
            <v>33|38</v>
          </cell>
        </row>
        <row r="1501">
          <cell r="E1501" t="str">
            <v>8. OWNER RISKS</v>
          </cell>
          <cell r="G1501" t="str">
            <v>B33-R2</v>
          </cell>
          <cell r="H1501" t="str">
            <v>B23/B17</v>
          </cell>
          <cell r="I1501" t="str">
            <v>Existing equipment in B17 may remain active during transfer to new TE in B23</v>
          </cell>
          <cell r="J1501" t="str">
            <v>Critical</v>
          </cell>
          <cell r="K1501" t="str">
            <v>Medium</v>
          </cell>
          <cell r="L1501">
            <v>8</v>
          </cell>
          <cell r="O1501" t="str">
            <v>Open</v>
          </cell>
          <cell r="Q1501" t="str">
            <v>33|39</v>
          </cell>
        </row>
        <row r="1502">
          <cell r="E1502" t="str">
            <v>8. OWNER RISKS</v>
          </cell>
          <cell r="G1502" t="str">
            <v>B33-R3</v>
          </cell>
          <cell r="H1502" t="str">
            <v>B23</v>
          </cell>
          <cell r="I1502" t="str">
            <v>Office B23 use may conflict with wall-mount TE access and clearances</v>
          </cell>
          <cell r="J1502" t="str">
            <v>Medium</v>
          </cell>
          <cell r="K1502" t="str">
            <v>Medium</v>
          </cell>
          <cell r="L1502">
            <v>4</v>
          </cell>
          <cell r="O1502" t="str">
            <v>Open</v>
          </cell>
          <cell r="Q1502" t="str">
            <v>33|40</v>
          </cell>
        </row>
        <row r="1503">
          <cell r="E1503" t="str">
            <v>8. OWNER RISKS</v>
          </cell>
          <cell r="G1503" t="str">
            <v>B33-R4</v>
          </cell>
          <cell r="H1503" t="str">
            <v>B23</v>
          </cell>
          <cell r="I1503" t="str">
            <v>No mechanical scope, but TE/UPS/network equipment may add heat load to Office B23</v>
          </cell>
          <cell r="J1503" t="str">
            <v>High</v>
          </cell>
          <cell r="K1503" t="str">
            <v>Medium</v>
          </cell>
          <cell r="L1503">
            <v>6</v>
          </cell>
          <cell r="O1503" t="str">
            <v>Open</v>
          </cell>
          <cell r="Q1503" t="str">
            <v>33|41</v>
          </cell>
        </row>
        <row r="1504">
          <cell r="E1504" t="str">
            <v>8. OWNER RISKS</v>
          </cell>
          <cell r="G1504" t="str">
            <v>B33-R5</v>
          </cell>
          <cell r="H1504" t="str">
            <v>B23</v>
          </cell>
          <cell r="I1504" t="str">
            <v>UPS/PDU/receptacle source and grounding/bonding not verified</v>
          </cell>
          <cell r="J1504" t="str">
            <v>High</v>
          </cell>
          <cell r="K1504" t="str">
            <v>Medium</v>
          </cell>
          <cell r="L1504">
            <v>6</v>
          </cell>
          <cell r="O1504" t="str">
            <v>Open</v>
          </cell>
          <cell r="Q1504" t="str">
            <v>33|42</v>
          </cell>
        </row>
        <row r="1505">
          <cell r="E1505" t="str">
            <v>8. OWNER RISKS</v>
          </cell>
          <cell r="G1505" t="str">
            <v>B33-R6</v>
          </cell>
          <cell r="H1505" t="str">
            <v>All</v>
          </cell>
          <cell r="I1505" t="str">
            <v>102 feet of basement cable tray/pathway requires coordination and firestop tracking</v>
          </cell>
          <cell r="J1505" t="str">
            <v>High</v>
          </cell>
          <cell r="K1505" t="str">
            <v>Medium</v>
          </cell>
          <cell r="L1505">
            <v>6</v>
          </cell>
          <cell r="O1505" t="str">
            <v>Open</v>
          </cell>
          <cell r="Q1505" t="str">
            <v>33|43</v>
          </cell>
        </row>
        <row r="1506">
          <cell r="E1506" t="str">
            <v>8. OWNER RISKS</v>
          </cell>
          <cell r="G1506" t="str">
            <v>B33-R7</v>
          </cell>
          <cell r="H1506" t="str">
            <v>All</v>
          </cell>
          <cell r="I1506" t="str">
            <v>Firestopping/rated sleeve work could be missed because FP scope is excluded</v>
          </cell>
          <cell r="J1506" t="str">
            <v>High</v>
          </cell>
          <cell r="K1506" t="str">
            <v>Medium</v>
          </cell>
          <cell r="L1506">
            <v>6</v>
          </cell>
          <cell r="O1506" t="str">
            <v>Open</v>
          </cell>
          <cell r="Q1506" t="str">
            <v>33|44</v>
          </cell>
        </row>
        <row r="1507">
          <cell r="E1507" t="str">
            <v>8. OWNER RISKS</v>
          </cell>
          <cell r="G1507" t="str">
            <v>B33-R8</v>
          </cell>
          <cell r="H1507" t="str">
            <v>B17 / Other Bldgs</v>
          </cell>
          <cell r="I1507" t="str">
            <v>Existing B17 cross-building service relationships may create cutover dependency</v>
          </cell>
          <cell r="J1507" t="str">
            <v>High</v>
          </cell>
          <cell r="K1507" t="str">
            <v>Medium</v>
          </cell>
          <cell r="L1507">
            <v>6</v>
          </cell>
          <cell r="O1507" t="str">
            <v>Open</v>
          </cell>
          <cell r="Q1507" t="str">
            <v>33|45</v>
          </cell>
        </row>
        <row r="1508">
          <cell r="E1508" t="str">
            <v>8. OWNER RISKS</v>
          </cell>
          <cell r="G1508">
            <v>0</v>
          </cell>
          <cell r="H1508">
            <v>0</v>
          </cell>
          <cell r="I1508">
            <v>0</v>
          </cell>
          <cell r="J1508">
            <v>0</v>
          </cell>
          <cell r="K1508">
            <v>0</v>
          </cell>
          <cell r="L1508">
            <v>0</v>
          </cell>
          <cell r="O1508">
            <v>0</v>
          </cell>
          <cell r="Q1508" t="str">
            <v>33|46</v>
          </cell>
        </row>
        <row r="1509">
          <cell r="E1509" t="str">
            <v>9. OPEN QUESTIONS</v>
          </cell>
          <cell r="G1509" t="str">
            <v>9. OPEN QUESTIONS</v>
          </cell>
          <cell r="H1509">
            <v>0</v>
          </cell>
          <cell r="I1509">
            <v>0</v>
          </cell>
          <cell r="J1509">
            <v>0</v>
          </cell>
          <cell r="K1509">
            <v>0</v>
          </cell>
          <cell r="L1509">
            <v>0</v>
          </cell>
          <cell r="O1509">
            <v>0</v>
          </cell>
          <cell r="Q1509" t="str">
            <v>33|47</v>
          </cell>
        </row>
        <row r="1510">
          <cell r="E1510" t="str">
            <v>9. OPEN QUESTIONS</v>
          </cell>
          <cell r="G1510" t="str">
            <v>Question ID</v>
          </cell>
          <cell r="H1510" t="str">
            <v>Question</v>
          </cell>
          <cell r="I1510" t="str">
            <v>Assigned To</v>
          </cell>
          <cell r="J1510" t="str">
            <v>Status</v>
          </cell>
          <cell r="K1510" t="str">
            <v>Needed By</v>
          </cell>
          <cell r="L1510" t="str">
            <v>Answer / Resolution</v>
          </cell>
          <cell r="O1510" t="str">
            <v>Date Closed</v>
          </cell>
          <cell r="Q1510" t="str">
            <v>33|48</v>
          </cell>
        </row>
        <row r="1511">
          <cell r="E1511" t="str">
            <v>9. OPEN QUESTIONS</v>
          </cell>
          <cell r="G1511" t="str">
            <v>B33-Q1</v>
          </cell>
          <cell r="H1511" t="str">
            <v>Confirm final scope: new wall-mount TE enclosure in B23 and existing B17 transition only?</v>
          </cell>
          <cell r="I1511" t="str">
            <v>VA / OIT / Designer</v>
          </cell>
          <cell r="J1511" t="str">
            <v>Open</v>
          </cell>
          <cell r="K1511">
            <v>0</v>
          </cell>
          <cell r="L1511">
            <v>0</v>
          </cell>
          <cell r="O1511">
            <v>0</v>
          </cell>
          <cell r="Q1511" t="str">
            <v>33|49</v>
          </cell>
        </row>
        <row r="1512">
          <cell r="E1512" t="str">
            <v>9. OPEN QUESTIONS</v>
          </cell>
          <cell r="G1512" t="str">
            <v>B33-Q2</v>
          </cell>
          <cell r="H1512" t="str">
            <v>What active services are currently fed from existing B17 equipment?</v>
          </cell>
          <cell r="I1512" t="str">
            <v>OIT / Contractor</v>
          </cell>
          <cell r="J1512" t="str">
            <v>Open</v>
          </cell>
          <cell r="K1512">
            <v>0</v>
          </cell>
          <cell r="L1512">
            <v>0</v>
          </cell>
          <cell r="O1512">
            <v>0</v>
          </cell>
          <cell r="Q1512" t="str">
            <v>33|50</v>
          </cell>
        </row>
        <row r="1513">
          <cell r="E1513" t="str">
            <v>9. OPEN QUESTIONS</v>
          </cell>
          <cell r="G1513" t="str">
            <v>B33-Q3</v>
          </cell>
          <cell r="H1513" t="str">
            <v>What is the approved power source, receptacle type and circuit capacity for the new APC UPS/PDU in B23?</v>
          </cell>
          <cell r="I1513" t="str">
            <v>Electrical / Designer</v>
          </cell>
          <cell r="J1513" t="str">
            <v>Open</v>
          </cell>
          <cell r="K1513">
            <v>0</v>
          </cell>
          <cell r="L1513">
            <v>0</v>
          </cell>
          <cell r="O1513">
            <v>0</v>
          </cell>
          <cell r="Q1513" t="str">
            <v>33|51</v>
          </cell>
        </row>
        <row r="1514">
          <cell r="E1514" t="str">
            <v>9. OPEN QUESTIONS</v>
          </cell>
          <cell r="G1514" t="str">
            <v>B33-Q4</v>
          </cell>
          <cell r="H1514" t="str">
            <v>Is Office B23 HVAC/ambient condition acceptable for a wall-mount TE with UPS/PDU/network switch?</v>
          </cell>
          <cell r="I1514" t="str">
            <v>VA / OIT / Facilities</v>
          </cell>
          <cell r="J1514" t="str">
            <v>Open</v>
          </cell>
          <cell r="K1514">
            <v>0</v>
          </cell>
          <cell r="L1514">
            <v>0</v>
          </cell>
          <cell r="O1514">
            <v>0</v>
          </cell>
          <cell r="Q1514" t="str">
            <v>33|52</v>
          </cell>
        </row>
        <row r="1515">
          <cell r="E1515" t="str">
            <v>9. OPEN QUESTIONS</v>
          </cell>
          <cell r="G1515" t="str">
            <v>B33-Q5</v>
          </cell>
          <cell r="H1515" t="str">
            <v>Are existing cameras/security devices in Building 33 protected and retained with no VMS/PACS disruption?</v>
          </cell>
          <cell r="I1515" t="str">
            <v>Security / OIT</v>
          </cell>
          <cell r="J1515" t="str">
            <v>Open</v>
          </cell>
          <cell r="K1515">
            <v>0</v>
          </cell>
          <cell r="L1515">
            <v>0</v>
          </cell>
          <cell r="O1515">
            <v>0</v>
          </cell>
          <cell r="Q1515" t="str">
            <v>33|53</v>
          </cell>
        </row>
        <row r="1516">
          <cell r="E1516" t="str">
            <v>9. OPEN QUESTIONS</v>
          </cell>
          <cell r="G1516" t="str">
            <v>B33-Q6</v>
          </cell>
          <cell r="H1516" t="str">
            <v>Are all 102 feet of cable tray route, sleeves, supports and firestopping details field verified?</v>
          </cell>
          <cell r="I1516" t="str">
            <v>Telecom / GC / Firestop</v>
          </cell>
          <cell r="J1516" t="str">
            <v>Open</v>
          </cell>
          <cell r="K1516">
            <v>0</v>
          </cell>
          <cell r="L1516">
            <v>0</v>
          </cell>
          <cell r="O1516">
            <v>0</v>
          </cell>
          <cell r="Q1516" t="str">
            <v>33|54</v>
          </cell>
        </row>
        <row r="1517">
          <cell r="E1517" t="str">
            <v>9. OPEN QUESTIONS</v>
          </cell>
          <cell r="G1517" t="str">
            <v>B33-Q7</v>
          </cell>
          <cell r="H1517" t="str">
            <v>Are the 10 new Cat6A cross-connect cables from existing TE to new TE location coordinated and labeled?</v>
          </cell>
          <cell r="I1517" t="str">
            <v>Telecom / OIT</v>
          </cell>
          <cell r="J1517" t="str">
            <v>Open</v>
          </cell>
          <cell r="K1517">
            <v>0</v>
          </cell>
          <cell r="L1517">
            <v>0</v>
          </cell>
          <cell r="O1517">
            <v>0</v>
          </cell>
          <cell r="Q1517" t="str">
            <v>33|55</v>
          </cell>
        </row>
        <row r="1518">
          <cell r="E1518" t="str">
            <v>9. OPEN QUESTIONS</v>
          </cell>
          <cell r="G1518" t="str">
            <v>B33-Q8</v>
          </cell>
          <cell r="H1518" t="str">
            <v>What is the operational impact of B17 ports serving Buildings 3, 80 and 82?</v>
          </cell>
          <cell r="I1518" t="str">
            <v>VA / OIT / Designer</v>
          </cell>
          <cell r="J1518" t="str">
            <v>Open</v>
          </cell>
          <cell r="K1518">
            <v>0</v>
          </cell>
          <cell r="L1518">
            <v>0</v>
          </cell>
          <cell r="O1518">
            <v>0</v>
          </cell>
          <cell r="Q1518" t="str">
            <v>33|56</v>
          </cell>
        </row>
        <row r="1519">
          <cell r="E1519" t="str">
            <v>9. OPEN QUESTIONS</v>
          </cell>
          <cell r="G1519">
            <v>0</v>
          </cell>
          <cell r="H1519">
            <v>0</v>
          </cell>
          <cell r="I1519">
            <v>0</v>
          </cell>
          <cell r="J1519">
            <v>0</v>
          </cell>
          <cell r="K1519">
            <v>0</v>
          </cell>
          <cell r="L1519">
            <v>0</v>
          </cell>
          <cell r="O1519">
            <v>0</v>
          </cell>
          <cell r="Q1519" t="str">
            <v>33|57</v>
          </cell>
        </row>
        <row r="1520">
          <cell r="E1520" t="str">
            <v>10. PHOTO LOG</v>
          </cell>
          <cell r="G1520" t="str">
            <v>10. PHOTO LOG</v>
          </cell>
          <cell r="H1520">
            <v>0</v>
          </cell>
          <cell r="I1520">
            <v>0</v>
          </cell>
          <cell r="J1520">
            <v>0</v>
          </cell>
          <cell r="K1520">
            <v>0</v>
          </cell>
          <cell r="L1520">
            <v>0</v>
          </cell>
          <cell r="O1520">
            <v>0</v>
          </cell>
          <cell r="Q1520" t="str">
            <v>33|58</v>
          </cell>
        </row>
        <row r="1521">
          <cell r="E1521" t="str">
            <v>10. PHOTO LOG</v>
          </cell>
          <cell r="G1521" t="str">
            <v>Photo ID</v>
          </cell>
          <cell r="H1521" t="str">
            <v>Room</v>
          </cell>
          <cell r="I1521" t="str">
            <v>Category</v>
          </cell>
          <cell r="J1521" t="str">
            <v>Description</v>
          </cell>
          <cell r="K1521" t="str">
            <v>Date</v>
          </cell>
          <cell r="L1521" t="str">
            <v>Taken By</v>
          </cell>
          <cell r="O1521" t="str">
            <v>Status</v>
          </cell>
          <cell r="Q1521" t="str">
            <v>33|59</v>
          </cell>
        </row>
        <row r="1522">
          <cell r="E1522" t="str">
            <v>10. PHOTO LOG</v>
          </cell>
          <cell r="G1522" t="str">
            <v>B33-P001</v>
          </cell>
          <cell r="H1522" t="str">
            <v>B23</v>
          </cell>
          <cell r="I1522" t="str">
            <v>Existing Condition</v>
          </cell>
          <cell r="J1522" t="str">
            <v>EEO Manager Office B23 wall location, wall backing, clearances, ceiling, power source, cable path, fiber path A/B and new TE enclosure location</v>
          </cell>
          <cell r="K1522">
            <v>0</v>
          </cell>
          <cell r="L1522" t="str">
            <v>Paul</v>
          </cell>
          <cell r="O1522" t="str">
            <v>Open</v>
          </cell>
          <cell r="Q1522" t="str">
            <v>33|60</v>
          </cell>
        </row>
        <row r="1523">
          <cell r="E1523" t="str">
            <v>10. PHOTO LOG</v>
          </cell>
          <cell r="G1523" t="str">
            <v>B33-P002</v>
          </cell>
          <cell r="H1523" t="str">
            <v>B17</v>
          </cell>
          <cell r="I1523" t="str">
            <v>Existing Condition</v>
          </cell>
          <cell r="J1523" t="str">
            <v>Existing Tel Closet B17 open TE cabinet, network door controller, indoor AC unit, plywood backboard, keypad, patch panel, ground bar and equipment box</v>
          </cell>
          <cell r="K1523">
            <v>0</v>
          </cell>
          <cell r="L1523" t="str">
            <v>Paul</v>
          </cell>
          <cell r="O1523" t="str">
            <v>Open</v>
          </cell>
          <cell r="Q1523" t="str">
            <v>33|61</v>
          </cell>
        </row>
        <row r="1524">
          <cell r="E1524" t="str">
            <v>10. PHOTO LOG</v>
          </cell>
          <cell r="G1524" t="str">
            <v>B33-P003</v>
          </cell>
          <cell r="H1524" t="str">
            <v>B17</v>
          </cell>
          <cell r="I1524" t="str">
            <v>Existing Equipment</v>
          </cell>
          <cell r="J1524" t="str">
            <v>Cisco switches, legacy 24/48-port patch panels, SERTEX utility service, Fiber LIU, UPS on floor and cross-building port labels</v>
          </cell>
          <cell r="K1524">
            <v>0</v>
          </cell>
          <cell r="L1524" t="str">
            <v>Paul</v>
          </cell>
          <cell r="O1524" t="str">
            <v>Open</v>
          </cell>
          <cell r="Q1524" t="str">
            <v>33|62</v>
          </cell>
        </row>
        <row r="1525">
          <cell r="E1525" t="str">
            <v>10. PHOTO LOG</v>
          </cell>
          <cell r="G1525" t="str">
            <v>B33-P004</v>
          </cell>
          <cell r="H1525" t="str">
            <v>B23/B17</v>
          </cell>
          <cell r="I1525" t="str">
            <v>Pathway</v>
          </cell>
          <cell r="J1525" t="str">
            <v>102 ft basement cable tray route, 4-inch sleeve, wall/floor penetrations, support points, light/HVAC conflicts and 40% fill concerns</v>
          </cell>
          <cell r="K1525">
            <v>0</v>
          </cell>
          <cell r="L1525" t="str">
            <v>Paul</v>
          </cell>
          <cell r="O1525" t="str">
            <v>Open</v>
          </cell>
          <cell r="Q1525" t="str">
            <v>33|63</v>
          </cell>
        </row>
        <row r="1526">
          <cell r="E1526" t="str">
            <v>10. PHOTO LOG</v>
          </cell>
          <cell r="G1526" t="str">
            <v>B33-P005</v>
          </cell>
          <cell r="H1526" t="str">
            <v>B23</v>
          </cell>
          <cell r="I1526" t="str">
            <v>Electrical</v>
          </cell>
          <cell r="J1526" t="str">
            <v>New TE enclosure UPS/PDU receptacles, circuit source, grounding/bonding, labels and access</v>
          </cell>
          <cell r="K1526">
            <v>0</v>
          </cell>
          <cell r="L1526" t="str">
            <v>Paul</v>
          </cell>
          <cell r="O1526" t="str">
            <v>Open</v>
          </cell>
          <cell r="Q1526" t="str">
            <v>33|64</v>
          </cell>
        </row>
        <row r="1527">
          <cell r="E1527" t="str">
            <v>10. PHOTO LOG</v>
          </cell>
          <cell r="G1527" t="str">
            <v>B33-P006</v>
          </cell>
          <cell r="H1527" t="str">
            <v>B23/B17</v>
          </cell>
          <cell r="I1527" t="str">
            <v>Telecom</v>
          </cell>
          <cell r="J1527" t="str">
            <v>TE01-B23-1 enclosure, cross-connect cables, Fiber LIU, patch panels, labels, test results and existing B17 equipment transfer</v>
          </cell>
          <cell r="K1527">
            <v>0</v>
          </cell>
          <cell r="L1527" t="str">
            <v>Paul</v>
          </cell>
          <cell r="O1527" t="str">
            <v>Open</v>
          </cell>
          <cell r="Q1527" t="str">
            <v>33|65</v>
          </cell>
        </row>
        <row r="1528">
          <cell r="E1528" t="str">
            <v>10. PHOTO LOG</v>
          </cell>
          <cell r="G1528" t="str">
            <v>B33-P007</v>
          </cell>
          <cell r="H1528" t="str">
            <v>All</v>
          </cell>
          <cell r="I1528" t="str">
            <v>Firestop</v>
          </cell>
          <cell r="J1528" t="str">
            <v>4-inch speed sleeve, wall/floor penetrations and fire caulk before/after photos</v>
          </cell>
          <cell r="K1528">
            <v>0</v>
          </cell>
          <cell r="L1528" t="str">
            <v>Paul</v>
          </cell>
          <cell r="O1528" t="str">
            <v>Open</v>
          </cell>
          <cell r="Q1528" t="str">
            <v>33|66</v>
          </cell>
        </row>
        <row r="1529">
          <cell r="E1529" t="str">
            <v>10. PHOTO LOG</v>
          </cell>
          <cell r="G1529" t="str">
            <v>B33-P008</v>
          </cell>
          <cell r="H1529" t="str">
            <v>B17/B23</v>
          </cell>
          <cell r="I1529" t="str">
            <v>Security / Existing Devices</v>
          </cell>
          <cell r="J1529" t="str">
            <v>Existing cameras, network door controller, keypad and equipment box to remain/protect or be recabled</v>
          </cell>
          <cell r="K1529">
            <v>0</v>
          </cell>
          <cell r="L1529" t="str">
            <v>Paul</v>
          </cell>
          <cell r="O1529" t="str">
            <v>Open</v>
          </cell>
          <cell r="Q1529" t="str">
            <v>33|67</v>
          </cell>
        </row>
        <row r="1530">
          <cell r="E1530" t="str">
            <v>10. PHOTO LOG</v>
          </cell>
          <cell r="G1530">
            <v>0</v>
          </cell>
          <cell r="H1530">
            <v>0</v>
          </cell>
          <cell r="I1530">
            <v>0</v>
          </cell>
          <cell r="J1530">
            <v>0</v>
          </cell>
          <cell r="K1530">
            <v>0</v>
          </cell>
          <cell r="L1530">
            <v>0</v>
          </cell>
          <cell r="O1530">
            <v>0</v>
          </cell>
          <cell r="Q1530" t="str">
            <v>33|68</v>
          </cell>
        </row>
        <row r="1531">
          <cell r="E1531" t="str">
            <v>1. ROOM INVENTORY</v>
          </cell>
          <cell r="G1531" t="str">
            <v>1. ROOM INVENTORY</v>
          </cell>
          <cell r="H1531">
            <v>0</v>
          </cell>
          <cell r="I1531">
            <v>0</v>
          </cell>
          <cell r="J1531">
            <v>0</v>
          </cell>
          <cell r="K1531">
            <v>0</v>
          </cell>
          <cell r="L1531">
            <v>0</v>
          </cell>
          <cell r="O1531">
            <v>0</v>
          </cell>
          <cell r="Q1531" t="str">
            <v>61|1</v>
          </cell>
        </row>
        <row r="1532">
          <cell r="E1532" t="str">
            <v>1. ROOM INVENTORY</v>
          </cell>
          <cell r="G1532" t="str">
            <v>Building</v>
          </cell>
          <cell r="H1532" t="str">
            <v>Room</v>
          </cell>
          <cell r="I1532" t="str">
            <v>Floor</v>
          </cell>
          <cell r="J1532" t="str">
            <v>Existing Use</v>
          </cell>
          <cell r="K1532" t="str">
            <v>New Use</v>
          </cell>
          <cell r="L1532" t="str">
            <v>Rack Count</v>
          </cell>
          <cell r="O1532" t="str">
            <v>Drawing Ref</v>
          </cell>
          <cell r="Q1532" t="str">
            <v>61|2</v>
          </cell>
        </row>
        <row r="1533">
          <cell r="E1533" t="str">
            <v>1. ROOM INVENTORY</v>
          </cell>
          <cell r="G1533" t="str">
            <v>61</v>
          </cell>
          <cell r="H1533" t="str">
            <v>B13H-A</v>
          </cell>
          <cell r="I1533" t="str">
            <v>Basement</v>
          </cell>
          <cell r="J1533" t="str">
            <v>Basement telecom / support area</v>
          </cell>
          <cell r="K1533" t="str">
            <v>Telecom Room</v>
          </cell>
          <cell r="L1533">
            <v>1</v>
          </cell>
          <cell r="O1533" t="str">
            <v>61A-400 / 61E-401 / 61T-100 / 61T-401 / 61T-604 / 61T-701</v>
          </cell>
          <cell r="Q1533" t="str">
            <v>61|3</v>
          </cell>
        </row>
        <row r="1534">
          <cell r="E1534" t="str">
            <v>1. ROOM INVENTORY</v>
          </cell>
          <cell r="G1534" t="str">
            <v>61</v>
          </cell>
          <cell r="H1534" t="str">
            <v>124</v>
          </cell>
          <cell r="I1534" t="str">
            <v>First</v>
          </cell>
          <cell r="J1534" t="str">
            <v>First-level telecom area</v>
          </cell>
          <cell r="K1534" t="str">
            <v>Telecom Room</v>
          </cell>
          <cell r="L1534">
            <v>1</v>
          </cell>
          <cell r="O1534" t="str">
            <v>61A-400 / 61E-402 / 61T-101 / 61T-401 / 61T-604 / 61T-701</v>
          </cell>
          <cell r="Q1534" t="str">
            <v>61|4</v>
          </cell>
        </row>
        <row r="1535">
          <cell r="E1535" t="str">
            <v>1. ROOM INVENTORY</v>
          </cell>
          <cell r="G1535" t="str">
            <v>61</v>
          </cell>
          <cell r="H1535" t="str">
            <v>226</v>
          </cell>
          <cell r="I1535" t="str">
            <v>Second</v>
          </cell>
          <cell r="J1535" t="str">
            <v>Second-level telecom area</v>
          </cell>
          <cell r="K1535" t="str">
            <v>Telecom Room</v>
          </cell>
          <cell r="L1535">
            <v>1</v>
          </cell>
          <cell r="O1535" t="str">
            <v>61A-401 / 61E-402 / 61T-102 / 61T-401 / 61T-605 / 61T-702</v>
          </cell>
          <cell r="Q1535" t="str">
            <v>61|5</v>
          </cell>
        </row>
        <row r="1536">
          <cell r="E1536" t="str">
            <v>1. ROOM INVENTORY</v>
          </cell>
          <cell r="G1536" t="str">
            <v>61</v>
          </cell>
          <cell r="H1536" t="str">
            <v>137 / 137A</v>
          </cell>
          <cell r="I1536" t="str">
            <v>First</v>
          </cell>
          <cell r="J1536" t="str">
            <v>Existing server/demarc/telecom equipment rooms</v>
          </cell>
          <cell r="K1536" t="str">
            <v>Existing demarc / server transition point</v>
          </cell>
          <cell r="L1536">
            <v>11</v>
          </cell>
          <cell r="O1536" t="str">
            <v>61T-402 / 61T-606 / 61T-607 / 61R-900</v>
          </cell>
          <cell r="Q1536" t="str">
            <v>61|6</v>
          </cell>
        </row>
        <row r="1537">
          <cell r="E1537" t="str">
            <v>1. ROOM INVENTORY</v>
          </cell>
          <cell r="G1537">
            <v>0</v>
          </cell>
          <cell r="H1537">
            <v>0</v>
          </cell>
          <cell r="I1537">
            <v>0</v>
          </cell>
          <cell r="J1537">
            <v>0</v>
          </cell>
          <cell r="K1537">
            <v>0</v>
          </cell>
          <cell r="L1537">
            <v>0</v>
          </cell>
          <cell r="O1537">
            <v>0</v>
          </cell>
          <cell r="Q1537" t="str">
            <v>61|7</v>
          </cell>
        </row>
        <row r="1538">
          <cell r="E1538" t="str">
            <v>2. ROOM READINESS</v>
          </cell>
          <cell r="G1538" t="str">
            <v>2. ROOM READINESS</v>
          </cell>
          <cell r="H1538">
            <v>0</v>
          </cell>
          <cell r="I1538">
            <v>0</v>
          </cell>
          <cell r="J1538">
            <v>0</v>
          </cell>
          <cell r="K1538">
            <v>0</v>
          </cell>
          <cell r="L1538">
            <v>0</v>
          </cell>
          <cell r="O1538">
            <v>0</v>
          </cell>
          <cell r="Q1538" t="str">
            <v>61|8</v>
          </cell>
        </row>
        <row r="1539">
          <cell r="E1539" t="str">
            <v>2. ROOM READINESS</v>
          </cell>
          <cell r="G1539" t="str">
            <v>Room</v>
          </cell>
          <cell r="H1539" t="str">
            <v>Walls / 1-hr Rating</v>
          </cell>
          <cell r="I1539" t="str">
            <v>Ceiling</v>
          </cell>
          <cell r="J1539" t="str">
            <v>Floor / SDC</v>
          </cell>
          <cell r="K1539" t="str">
            <v>Penetrations</v>
          </cell>
          <cell r="L1539" t="str">
            <v>Access Control</v>
          </cell>
          <cell r="O1539" t="str">
            <v>Overall</v>
          </cell>
          <cell r="Q1539" t="str">
            <v>61|9</v>
          </cell>
        </row>
        <row r="1540">
          <cell r="E1540" t="str">
            <v>2. ROOM READINESS</v>
          </cell>
          <cell r="G1540" t="str">
            <v>B13H-A</v>
          </cell>
          <cell r="H1540" t="str">
            <v>Verify</v>
          </cell>
          <cell r="I1540" t="str">
            <v>Verify</v>
          </cell>
          <cell r="J1540" t="str">
            <v>Verify</v>
          </cell>
          <cell r="K1540" t="str">
            <v>Verify</v>
          </cell>
          <cell r="L1540" t="str">
            <v>Verify</v>
          </cell>
          <cell r="O1540" t="str">
            <v>Verify</v>
          </cell>
          <cell r="Q1540" t="str">
            <v>61|10</v>
          </cell>
        </row>
        <row r="1541">
          <cell r="E1541" t="str">
            <v>2. ROOM READINESS</v>
          </cell>
          <cell r="G1541" t="str">
            <v>124</v>
          </cell>
          <cell r="H1541" t="str">
            <v>Verify</v>
          </cell>
          <cell r="I1541" t="str">
            <v>Verify</v>
          </cell>
          <cell r="J1541" t="str">
            <v>Verify</v>
          </cell>
          <cell r="K1541" t="str">
            <v>Verify</v>
          </cell>
          <cell r="L1541" t="str">
            <v>Verify</v>
          </cell>
          <cell r="O1541" t="str">
            <v>Verify</v>
          </cell>
          <cell r="Q1541" t="str">
            <v>61|11</v>
          </cell>
        </row>
        <row r="1542">
          <cell r="E1542" t="str">
            <v>2. ROOM READINESS</v>
          </cell>
          <cell r="G1542" t="str">
            <v>226</v>
          </cell>
          <cell r="H1542" t="str">
            <v>Verify</v>
          </cell>
          <cell r="I1542" t="str">
            <v>Verify</v>
          </cell>
          <cell r="J1542" t="str">
            <v>Verify</v>
          </cell>
          <cell r="K1542" t="str">
            <v>Verify</v>
          </cell>
          <cell r="L1542" t="str">
            <v>Verify</v>
          </cell>
          <cell r="O1542" t="str">
            <v>Verify</v>
          </cell>
          <cell r="Q1542" t="str">
            <v>61|12</v>
          </cell>
        </row>
        <row r="1543">
          <cell r="E1543" t="str">
            <v>2. ROOM READINESS</v>
          </cell>
          <cell r="G1543" t="str">
            <v>137 / 137A</v>
          </cell>
          <cell r="H1543" t="str">
            <v>Existing / Verify</v>
          </cell>
          <cell r="I1543" t="str">
            <v>Existing / Verify</v>
          </cell>
          <cell r="J1543" t="str">
            <v>Existing / Verify</v>
          </cell>
          <cell r="K1543" t="str">
            <v>Verify</v>
          </cell>
          <cell r="L1543" t="str">
            <v>Verify</v>
          </cell>
          <cell r="O1543" t="str">
            <v>Verify</v>
          </cell>
          <cell r="Q1543" t="str">
            <v>61|13</v>
          </cell>
        </row>
        <row r="1544">
          <cell r="E1544" t="str">
            <v>2. ROOM READINESS</v>
          </cell>
          <cell r="G1544">
            <v>0</v>
          </cell>
          <cell r="H1544">
            <v>0</v>
          </cell>
          <cell r="I1544">
            <v>0</v>
          </cell>
          <cell r="J1544">
            <v>0</v>
          </cell>
          <cell r="K1544">
            <v>0</v>
          </cell>
          <cell r="L1544">
            <v>0</v>
          </cell>
          <cell r="O1544">
            <v>0</v>
          </cell>
          <cell r="Q1544" t="str">
            <v>61|14</v>
          </cell>
        </row>
        <row r="1545">
          <cell r="E1545" t="str">
            <v>3. FIRE PROTECTION</v>
          </cell>
          <cell r="G1545" t="str">
            <v>3. FIRE PROTECTION</v>
          </cell>
          <cell r="H1545">
            <v>0</v>
          </cell>
          <cell r="I1545">
            <v>0</v>
          </cell>
          <cell r="J1545">
            <v>0</v>
          </cell>
          <cell r="K1545">
            <v>0</v>
          </cell>
          <cell r="L1545">
            <v>0</v>
          </cell>
          <cell r="O1545">
            <v>0</v>
          </cell>
          <cell r="Q1545" t="str">
            <v>61|15</v>
          </cell>
        </row>
        <row r="1546">
          <cell r="E1546" t="str">
            <v>3. FIRE PROTECTION</v>
          </cell>
          <cell r="G1546" t="str">
            <v>Room</v>
          </cell>
          <cell r="H1546" t="str">
            <v>Sprinkler</v>
          </cell>
          <cell r="I1546" t="str">
            <v>Cage</v>
          </cell>
          <cell r="J1546" t="str">
            <v>Detector</v>
          </cell>
          <cell r="K1546" t="str">
            <v>Horn/Strobe</v>
          </cell>
          <cell r="L1546" t="str">
            <v>Extinguisher &lt;75 ft</v>
          </cell>
          <cell r="O1546" t="str">
            <v>Overall</v>
          </cell>
          <cell r="Q1546" t="str">
            <v>61|16</v>
          </cell>
        </row>
        <row r="1547">
          <cell r="E1547" t="str">
            <v>3. FIRE PROTECTION</v>
          </cell>
          <cell r="G1547" t="str">
            <v>B13H-A</v>
          </cell>
          <cell r="H1547" t="str">
            <v>Verify</v>
          </cell>
          <cell r="I1547" t="str">
            <v>Verify</v>
          </cell>
          <cell r="J1547" t="str">
            <v>Verify</v>
          </cell>
          <cell r="K1547" t="str">
            <v>Verify</v>
          </cell>
          <cell r="L1547" t="str">
            <v>Verify</v>
          </cell>
          <cell r="O1547" t="str">
            <v>Verify</v>
          </cell>
          <cell r="Q1547" t="str">
            <v>61|17</v>
          </cell>
        </row>
        <row r="1548">
          <cell r="E1548" t="str">
            <v>3. FIRE PROTECTION</v>
          </cell>
          <cell r="G1548" t="str">
            <v>124</v>
          </cell>
          <cell r="H1548" t="str">
            <v>Verify</v>
          </cell>
          <cell r="I1548" t="str">
            <v>Verify</v>
          </cell>
          <cell r="J1548" t="str">
            <v>Verify</v>
          </cell>
          <cell r="K1548" t="str">
            <v>Verify</v>
          </cell>
          <cell r="L1548" t="str">
            <v>Verify</v>
          </cell>
          <cell r="O1548" t="str">
            <v>Verify</v>
          </cell>
          <cell r="Q1548" t="str">
            <v>61|18</v>
          </cell>
        </row>
        <row r="1549">
          <cell r="E1549" t="str">
            <v>3. FIRE PROTECTION</v>
          </cell>
          <cell r="G1549" t="str">
            <v>226</v>
          </cell>
          <cell r="H1549" t="str">
            <v>Verify</v>
          </cell>
          <cell r="I1549" t="str">
            <v>Verify</v>
          </cell>
          <cell r="J1549" t="str">
            <v>Verify</v>
          </cell>
          <cell r="K1549" t="str">
            <v>Verify</v>
          </cell>
          <cell r="L1549" t="str">
            <v>Verify</v>
          </cell>
          <cell r="O1549" t="str">
            <v>Verify</v>
          </cell>
          <cell r="Q1549" t="str">
            <v>61|19</v>
          </cell>
        </row>
        <row r="1550">
          <cell r="E1550" t="str">
            <v>3. FIRE PROTECTION</v>
          </cell>
          <cell r="G1550" t="str">
            <v>137 / 137A</v>
          </cell>
          <cell r="H1550" t="str">
            <v>Verify</v>
          </cell>
          <cell r="I1550" t="str">
            <v>N/A</v>
          </cell>
          <cell r="J1550" t="str">
            <v>Verify</v>
          </cell>
          <cell r="K1550" t="str">
            <v>Verify</v>
          </cell>
          <cell r="L1550" t="str">
            <v>Verify</v>
          </cell>
          <cell r="O1550" t="str">
            <v>Verify</v>
          </cell>
          <cell r="Q1550" t="str">
            <v>61|20</v>
          </cell>
        </row>
        <row r="1551">
          <cell r="E1551" t="str">
            <v>3. FIRE PROTECTION</v>
          </cell>
          <cell r="G1551">
            <v>0</v>
          </cell>
          <cell r="H1551">
            <v>0</v>
          </cell>
          <cell r="I1551">
            <v>0</v>
          </cell>
          <cell r="J1551">
            <v>0</v>
          </cell>
          <cell r="K1551">
            <v>0</v>
          </cell>
          <cell r="L1551">
            <v>0</v>
          </cell>
          <cell r="O1551">
            <v>0</v>
          </cell>
          <cell r="Q1551" t="str">
            <v>61|21</v>
          </cell>
        </row>
        <row r="1552">
          <cell r="E1552" t="str">
            <v>4. HVAC / COOLING</v>
          </cell>
          <cell r="G1552" t="str">
            <v>4. HVAC / COOLING</v>
          </cell>
          <cell r="H1552">
            <v>0</v>
          </cell>
          <cell r="I1552">
            <v>0</v>
          </cell>
          <cell r="J1552">
            <v>0</v>
          </cell>
          <cell r="K1552">
            <v>0</v>
          </cell>
          <cell r="L1552">
            <v>0</v>
          </cell>
          <cell r="O1552">
            <v>0</v>
          </cell>
          <cell r="Q1552" t="str">
            <v>61|22</v>
          </cell>
        </row>
        <row r="1553">
          <cell r="E1553" t="str">
            <v>4. HVAC / COOLING</v>
          </cell>
          <cell r="G1553" t="str">
            <v>Room</v>
          </cell>
          <cell r="H1553" t="str">
            <v>Dedicated Unit</v>
          </cell>
          <cell r="I1553" t="str">
            <v>Capacity Verified</v>
          </cell>
          <cell r="J1553" t="str">
            <v>Emergency Power</v>
          </cell>
          <cell r="K1553" t="str">
            <v>Controls / BACnet</v>
          </cell>
          <cell r="L1553" t="str">
            <v>Condensate Routed</v>
          </cell>
          <cell r="O1553" t="str">
            <v>Overall</v>
          </cell>
          <cell r="Q1553" t="str">
            <v>61|23</v>
          </cell>
        </row>
        <row r="1554">
          <cell r="E1554" t="str">
            <v>4. HVAC / COOLING</v>
          </cell>
          <cell r="G1554" t="str">
            <v>B13H-A</v>
          </cell>
          <cell r="H1554" t="str">
            <v>IU-0-01 / CU-0-01</v>
          </cell>
          <cell r="I1554" t="str">
            <v>Verify</v>
          </cell>
          <cell r="J1554" t="str">
            <v>Verify</v>
          </cell>
          <cell r="K1554" t="str">
            <v>Verify</v>
          </cell>
          <cell r="L1554" t="str">
            <v>Verify</v>
          </cell>
          <cell r="O1554" t="str">
            <v>Verify</v>
          </cell>
          <cell r="Q1554" t="str">
            <v>61|24</v>
          </cell>
        </row>
        <row r="1555">
          <cell r="E1555" t="str">
            <v>4. HVAC / COOLING</v>
          </cell>
          <cell r="G1555" t="str">
            <v>124</v>
          </cell>
          <cell r="H1555" t="str">
            <v>IU-1-01 / CU-1-01</v>
          </cell>
          <cell r="I1555" t="str">
            <v>Verify</v>
          </cell>
          <cell r="J1555" t="str">
            <v>Verify</v>
          </cell>
          <cell r="K1555" t="str">
            <v>Verify</v>
          </cell>
          <cell r="L1555" t="str">
            <v>Verify</v>
          </cell>
          <cell r="O1555" t="str">
            <v>Verify</v>
          </cell>
          <cell r="Q1555" t="str">
            <v>61|25</v>
          </cell>
        </row>
        <row r="1556">
          <cell r="E1556" t="str">
            <v>4. HVAC / COOLING</v>
          </cell>
          <cell r="G1556" t="str">
            <v>226</v>
          </cell>
          <cell r="H1556" t="str">
            <v>IU-2-01 / CU-2-01</v>
          </cell>
          <cell r="I1556" t="str">
            <v>Verify</v>
          </cell>
          <cell r="J1556" t="str">
            <v>Verify</v>
          </cell>
          <cell r="K1556" t="str">
            <v>Verify</v>
          </cell>
          <cell r="L1556" t="str">
            <v>Verify</v>
          </cell>
          <cell r="O1556" t="str">
            <v>Verify</v>
          </cell>
          <cell r="Q1556" t="str">
            <v>61|26</v>
          </cell>
        </row>
        <row r="1557">
          <cell r="E1557" t="str">
            <v>4. HVAC / COOLING</v>
          </cell>
          <cell r="G1557" t="str">
            <v>137 / 137A</v>
          </cell>
          <cell r="H1557" t="str">
            <v>Existing / Verify</v>
          </cell>
          <cell r="I1557" t="str">
            <v>Verify</v>
          </cell>
          <cell r="J1557" t="str">
            <v>Verify</v>
          </cell>
          <cell r="K1557" t="str">
            <v>Verify</v>
          </cell>
          <cell r="L1557" t="str">
            <v>Verify</v>
          </cell>
          <cell r="O1557" t="str">
            <v>Verify</v>
          </cell>
          <cell r="Q1557" t="str">
            <v>61|27</v>
          </cell>
        </row>
        <row r="1558">
          <cell r="E1558" t="str">
            <v>4. HVAC / COOLING</v>
          </cell>
          <cell r="G1558">
            <v>0</v>
          </cell>
          <cell r="H1558">
            <v>0</v>
          </cell>
          <cell r="I1558">
            <v>0</v>
          </cell>
          <cell r="J1558">
            <v>0</v>
          </cell>
          <cell r="K1558">
            <v>0</v>
          </cell>
          <cell r="L1558">
            <v>0</v>
          </cell>
          <cell r="O1558">
            <v>0</v>
          </cell>
          <cell r="Q1558" t="str">
            <v>61|28</v>
          </cell>
        </row>
        <row r="1559">
          <cell r="E1559" t="str">
            <v>5. ELECTRICAL / UPS</v>
          </cell>
          <cell r="G1559" t="str">
            <v>5. ELECTRICAL / UPS</v>
          </cell>
          <cell r="H1559">
            <v>0</v>
          </cell>
          <cell r="I1559">
            <v>0</v>
          </cell>
          <cell r="J1559">
            <v>0</v>
          </cell>
          <cell r="K1559">
            <v>0</v>
          </cell>
          <cell r="L1559">
            <v>0</v>
          </cell>
          <cell r="O1559">
            <v>0</v>
          </cell>
          <cell r="Q1559" t="str">
            <v>61|29</v>
          </cell>
        </row>
        <row r="1560">
          <cell r="E1560" t="str">
            <v>5. ELECTRICAL / UPS</v>
          </cell>
          <cell r="G1560" t="str">
            <v>Room</v>
          </cell>
          <cell r="H1560" t="str">
            <v>UPS Installed</v>
          </cell>
          <cell r="I1560" t="str">
            <v>UPS Size</v>
          </cell>
          <cell r="J1560" t="str">
            <v>PDU Installed</v>
          </cell>
          <cell r="K1560" t="str">
            <v>Rack Receptacles</v>
          </cell>
          <cell r="L1560" t="str">
            <v>Panel Assigned</v>
          </cell>
          <cell r="O1560" t="str">
            <v>Overall</v>
          </cell>
          <cell r="Q1560" t="str">
            <v>61|30</v>
          </cell>
        </row>
        <row r="1561">
          <cell r="E1561" t="str">
            <v>5. ELECTRICAL / UPS</v>
          </cell>
          <cell r="G1561" t="str">
            <v>B13H-A</v>
          </cell>
          <cell r="H1561" t="str">
            <v>Verify</v>
          </cell>
          <cell r="I1561" t="str">
            <v>5 kW / 208V rack UPS</v>
          </cell>
          <cell r="J1561" t="str">
            <v>Verify</v>
          </cell>
          <cell r="K1561" t="str">
            <v>Verify</v>
          </cell>
          <cell r="L1561" t="str">
            <v>B61-TRB13A / B61-TRB13B</v>
          </cell>
          <cell r="O1561" t="str">
            <v>Verify</v>
          </cell>
          <cell r="Q1561" t="str">
            <v>61|31</v>
          </cell>
        </row>
        <row r="1562">
          <cell r="E1562" t="str">
            <v>5. ELECTRICAL / UPS</v>
          </cell>
          <cell r="G1562" t="str">
            <v>124</v>
          </cell>
          <cell r="H1562" t="str">
            <v>Verify</v>
          </cell>
          <cell r="I1562" t="str">
            <v>5 kW / 208V rack UPS</v>
          </cell>
          <cell r="J1562" t="str">
            <v>Verify</v>
          </cell>
          <cell r="K1562" t="str">
            <v>Verify</v>
          </cell>
          <cell r="L1562" t="str">
            <v>B61-TR124A / B61-TR124B</v>
          </cell>
          <cell r="O1562" t="str">
            <v>Verify</v>
          </cell>
          <cell r="Q1562" t="str">
            <v>61|32</v>
          </cell>
        </row>
        <row r="1563">
          <cell r="E1563" t="str">
            <v>5. ELECTRICAL / UPS</v>
          </cell>
          <cell r="G1563" t="str">
            <v>226</v>
          </cell>
          <cell r="H1563" t="str">
            <v>Verify</v>
          </cell>
          <cell r="I1563" t="str">
            <v>5 kW / 208V rack UPS</v>
          </cell>
          <cell r="J1563" t="str">
            <v>Verify</v>
          </cell>
          <cell r="K1563" t="str">
            <v>Verify</v>
          </cell>
          <cell r="L1563" t="str">
            <v>B61-TR226A / B61-TR226B</v>
          </cell>
          <cell r="O1563" t="str">
            <v>Verify</v>
          </cell>
          <cell r="Q1563" t="str">
            <v>61|33</v>
          </cell>
        </row>
        <row r="1564">
          <cell r="E1564" t="str">
            <v>5. ELECTRICAL / UPS</v>
          </cell>
          <cell r="G1564" t="str">
            <v>137 / 137A</v>
          </cell>
          <cell r="H1564" t="str">
            <v>Existing / Verify</v>
          </cell>
          <cell r="I1564" t="str">
            <v>Existing APC UPS/PDU</v>
          </cell>
          <cell r="J1564" t="str">
            <v>Existing / Verify</v>
          </cell>
          <cell r="K1564" t="str">
            <v>Verify</v>
          </cell>
          <cell r="L1564" t="str">
            <v>B61-TR137AA / B61-TR137AB / existing</v>
          </cell>
          <cell r="O1564" t="str">
            <v>Verify</v>
          </cell>
          <cell r="Q1564" t="str">
            <v>61|34</v>
          </cell>
        </row>
        <row r="1565">
          <cell r="E1565" t="str">
            <v>5. ELECTRICAL / UPS</v>
          </cell>
          <cell r="G1565">
            <v>0</v>
          </cell>
          <cell r="H1565">
            <v>0</v>
          </cell>
          <cell r="I1565">
            <v>0</v>
          </cell>
          <cell r="J1565">
            <v>0</v>
          </cell>
          <cell r="K1565">
            <v>0</v>
          </cell>
          <cell r="L1565">
            <v>0</v>
          </cell>
          <cell r="O1565">
            <v>0</v>
          </cell>
          <cell r="Q1565" t="str">
            <v>61|35</v>
          </cell>
        </row>
        <row r="1566">
          <cell r="E1566" t="str">
            <v>6. TELECOMMUNICATIONS</v>
          </cell>
          <cell r="G1566" t="str">
            <v>6. TELECOMMUNICATIONS</v>
          </cell>
          <cell r="H1566">
            <v>0</v>
          </cell>
          <cell r="I1566">
            <v>0</v>
          </cell>
          <cell r="J1566">
            <v>0</v>
          </cell>
          <cell r="K1566">
            <v>0</v>
          </cell>
          <cell r="L1566">
            <v>0</v>
          </cell>
          <cell r="O1566">
            <v>0</v>
          </cell>
          <cell r="Q1566" t="str">
            <v>61|36</v>
          </cell>
        </row>
        <row r="1567">
          <cell r="E1567" t="str">
            <v>6. TELECOMMUNICATIONS</v>
          </cell>
          <cell r="G1567" t="str">
            <v>Room</v>
          </cell>
          <cell r="H1567" t="str">
            <v>Rack Installed</v>
          </cell>
          <cell r="I1567" t="str">
            <v>Ladder Tray</v>
          </cell>
          <cell r="J1567" t="str">
            <v>Fiber Installed</v>
          </cell>
          <cell r="K1567" t="str">
            <v>Grounding</v>
          </cell>
          <cell r="L1567" t="str">
            <v>Labeling</v>
          </cell>
          <cell r="O1567" t="str">
            <v>Overall</v>
          </cell>
          <cell r="Q1567" t="str">
            <v>61|37</v>
          </cell>
        </row>
        <row r="1568">
          <cell r="E1568" t="str">
            <v>6. TELECOMMUNICATIONS</v>
          </cell>
          <cell r="G1568" t="str">
            <v>B13H-A</v>
          </cell>
          <cell r="H1568" t="str">
            <v>Verify</v>
          </cell>
          <cell r="I1568" t="str">
            <v>Verify</v>
          </cell>
          <cell r="J1568" t="str">
            <v>Verify</v>
          </cell>
          <cell r="K1568" t="str">
            <v>Verify</v>
          </cell>
          <cell r="L1568" t="str">
            <v>Verify</v>
          </cell>
          <cell r="O1568" t="str">
            <v>Verify</v>
          </cell>
          <cell r="Q1568" t="str">
            <v>61|38</v>
          </cell>
        </row>
        <row r="1569">
          <cell r="E1569" t="str">
            <v>6. TELECOMMUNICATIONS</v>
          </cell>
          <cell r="G1569" t="str">
            <v>124</v>
          </cell>
          <cell r="H1569" t="str">
            <v>Verify</v>
          </cell>
          <cell r="I1569" t="str">
            <v>Verify</v>
          </cell>
          <cell r="J1569" t="str">
            <v>Verify</v>
          </cell>
          <cell r="K1569" t="str">
            <v>Verify</v>
          </cell>
          <cell r="L1569" t="str">
            <v>Verify</v>
          </cell>
          <cell r="O1569" t="str">
            <v>Verify</v>
          </cell>
          <cell r="Q1569" t="str">
            <v>61|39</v>
          </cell>
        </row>
        <row r="1570">
          <cell r="E1570" t="str">
            <v>6. TELECOMMUNICATIONS</v>
          </cell>
          <cell r="G1570" t="str">
            <v>226</v>
          </cell>
          <cell r="H1570" t="str">
            <v>Verify</v>
          </cell>
          <cell r="I1570" t="str">
            <v>Verify</v>
          </cell>
          <cell r="J1570" t="str">
            <v>Verify</v>
          </cell>
          <cell r="K1570" t="str">
            <v>Verify</v>
          </cell>
          <cell r="L1570" t="str">
            <v>Verify</v>
          </cell>
          <cell r="O1570" t="str">
            <v>Verify</v>
          </cell>
          <cell r="Q1570" t="str">
            <v>61|40</v>
          </cell>
        </row>
        <row r="1571">
          <cell r="E1571" t="str">
            <v>6. TELECOMMUNICATIONS</v>
          </cell>
          <cell r="G1571" t="str">
            <v>137 / 137A</v>
          </cell>
          <cell r="H1571" t="str">
            <v>Existing / Verify</v>
          </cell>
          <cell r="I1571" t="str">
            <v>Existing / Verify</v>
          </cell>
          <cell r="J1571" t="str">
            <v>Existing / Verify</v>
          </cell>
          <cell r="K1571" t="str">
            <v>Verify</v>
          </cell>
          <cell r="L1571" t="str">
            <v>Verify</v>
          </cell>
          <cell r="O1571" t="str">
            <v>Verify</v>
          </cell>
          <cell r="Q1571" t="str">
            <v>61|41</v>
          </cell>
        </row>
        <row r="1572">
          <cell r="E1572" t="str">
            <v>6. TELECOMMUNICATIONS</v>
          </cell>
          <cell r="G1572">
            <v>0</v>
          </cell>
          <cell r="H1572">
            <v>0</v>
          </cell>
          <cell r="I1572">
            <v>0</v>
          </cell>
          <cell r="J1572">
            <v>0</v>
          </cell>
          <cell r="K1572">
            <v>0</v>
          </cell>
          <cell r="L1572">
            <v>0</v>
          </cell>
          <cell r="O1572">
            <v>0</v>
          </cell>
          <cell r="Q1572" t="str">
            <v>61|42</v>
          </cell>
        </row>
        <row r="1573">
          <cell r="E1573" t="str">
            <v>7. SECURITY / PACS / CCTV</v>
          </cell>
          <cell r="G1573" t="str">
            <v>7. SECURITY / PACS / CCTV</v>
          </cell>
          <cell r="H1573">
            <v>0</v>
          </cell>
          <cell r="I1573">
            <v>0</v>
          </cell>
          <cell r="J1573">
            <v>0</v>
          </cell>
          <cell r="K1573">
            <v>0</v>
          </cell>
          <cell r="L1573">
            <v>0</v>
          </cell>
          <cell r="O1573">
            <v>0</v>
          </cell>
          <cell r="Q1573" t="str">
            <v>61|43</v>
          </cell>
        </row>
        <row r="1574">
          <cell r="E1574" t="str">
            <v>7. SECURITY / PACS / CCTV</v>
          </cell>
          <cell r="G1574" t="str">
            <v>Room</v>
          </cell>
          <cell r="H1574" t="str">
            <v>PACS</v>
          </cell>
          <cell r="I1574" t="str">
            <v>Card Reader</v>
          </cell>
          <cell r="J1574" t="str">
            <v>Door Position</v>
          </cell>
          <cell r="K1574" t="str">
            <v>Electric Strike</v>
          </cell>
          <cell r="L1574" t="str">
            <v>CCTV</v>
          </cell>
          <cell r="O1574" t="str">
            <v>Overall</v>
          </cell>
          <cell r="Q1574" t="str">
            <v>61|44</v>
          </cell>
        </row>
        <row r="1575">
          <cell r="E1575" t="str">
            <v>7. SECURITY / PACS / CCTV</v>
          </cell>
          <cell r="G1575" t="str">
            <v>B13H-A</v>
          </cell>
          <cell r="H1575" t="str">
            <v>Verify</v>
          </cell>
          <cell r="I1575" t="str">
            <v>Verify</v>
          </cell>
          <cell r="J1575" t="str">
            <v>Verify</v>
          </cell>
          <cell r="K1575" t="str">
            <v>Verify</v>
          </cell>
          <cell r="L1575" t="str">
            <v>Verify</v>
          </cell>
          <cell r="O1575" t="str">
            <v>Verify</v>
          </cell>
          <cell r="Q1575" t="str">
            <v>61|45</v>
          </cell>
        </row>
        <row r="1576">
          <cell r="E1576" t="str">
            <v>7. SECURITY / PACS / CCTV</v>
          </cell>
          <cell r="G1576" t="str">
            <v>124</v>
          </cell>
          <cell r="H1576" t="str">
            <v>Verify</v>
          </cell>
          <cell r="I1576" t="str">
            <v>Verify</v>
          </cell>
          <cell r="J1576" t="str">
            <v>Verify</v>
          </cell>
          <cell r="K1576" t="str">
            <v>Verify</v>
          </cell>
          <cell r="L1576" t="str">
            <v>Verify</v>
          </cell>
          <cell r="O1576" t="str">
            <v>Verify</v>
          </cell>
          <cell r="Q1576" t="str">
            <v>61|46</v>
          </cell>
        </row>
        <row r="1577">
          <cell r="E1577" t="str">
            <v>7. SECURITY / PACS / CCTV</v>
          </cell>
          <cell r="G1577" t="str">
            <v>226</v>
          </cell>
          <cell r="H1577" t="str">
            <v>Verify</v>
          </cell>
          <cell r="I1577" t="str">
            <v>Verify</v>
          </cell>
          <cell r="J1577" t="str">
            <v>Verify</v>
          </cell>
          <cell r="K1577" t="str">
            <v>Verify</v>
          </cell>
          <cell r="L1577" t="str">
            <v>Verify</v>
          </cell>
          <cell r="O1577" t="str">
            <v>Verify</v>
          </cell>
          <cell r="Q1577" t="str">
            <v>61|47</v>
          </cell>
        </row>
        <row r="1578">
          <cell r="E1578" t="str">
            <v>7. SECURITY / PACS / CCTV</v>
          </cell>
          <cell r="G1578" t="str">
            <v>137 / 137A</v>
          </cell>
          <cell r="H1578" t="str">
            <v>Existing / Verify</v>
          </cell>
          <cell r="I1578" t="str">
            <v>Existing / Verify</v>
          </cell>
          <cell r="J1578" t="str">
            <v>Existing / Verify</v>
          </cell>
          <cell r="K1578" t="str">
            <v>Existing / Verify</v>
          </cell>
          <cell r="L1578" t="str">
            <v>Verify</v>
          </cell>
          <cell r="O1578" t="str">
            <v>Verify</v>
          </cell>
          <cell r="Q1578" t="str">
            <v>61|48</v>
          </cell>
        </row>
        <row r="1579">
          <cell r="E1579" t="str">
            <v>7. SECURITY / PACS / CCTV</v>
          </cell>
          <cell r="G1579">
            <v>0</v>
          </cell>
          <cell r="H1579">
            <v>0</v>
          </cell>
          <cell r="I1579">
            <v>0</v>
          </cell>
          <cell r="J1579">
            <v>0</v>
          </cell>
          <cell r="K1579">
            <v>0</v>
          </cell>
          <cell r="L1579">
            <v>0</v>
          </cell>
          <cell r="O1579">
            <v>0</v>
          </cell>
          <cell r="Q1579" t="str">
            <v>61|49</v>
          </cell>
        </row>
        <row r="1580">
          <cell r="E1580" t="str">
            <v>8. OWNER RISKS</v>
          </cell>
          <cell r="G1580" t="str">
            <v>8. OWNER RISKS</v>
          </cell>
          <cell r="H1580">
            <v>0</v>
          </cell>
          <cell r="I1580">
            <v>0</v>
          </cell>
          <cell r="J1580">
            <v>0</v>
          </cell>
          <cell r="K1580">
            <v>0</v>
          </cell>
          <cell r="L1580">
            <v>0</v>
          </cell>
          <cell r="O1580">
            <v>0</v>
          </cell>
          <cell r="Q1580" t="str">
            <v>61|50</v>
          </cell>
        </row>
        <row r="1581">
          <cell r="E1581" t="str">
            <v>8. OWNER RISKS</v>
          </cell>
          <cell r="G1581" t="str">
            <v>Risk ID</v>
          </cell>
          <cell r="H1581" t="str">
            <v>Room</v>
          </cell>
          <cell r="I1581" t="str">
            <v>Risk</v>
          </cell>
          <cell r="J1581" t="str">
            <v>Impact</v>
          </cell>
          <cell r="K1581" t="str">
            <v>Probability</v>
          </cell>
          <cell r="L1581" t="str">
            <v>Score</v>
          </cell>
          <cell r="O1581" t="str">
            <v>Status</v>
          </cell>
          <cell r="Q1581" t="str">
            <v>61|51</v>
          </cell>
        </row>
        <row r="1582">
          <cell r="E1582" t="str">
            <v>8. OWNER RISKS</v>
          </cell>
          <cell r="G1582" t="str">
            <v>B61-R1</v>
          </cell>
          <cell r="H1582" t="str">
            <v>All</v>
          </cell>
          <cell r="I1582" t="str">
            <v>Existing conditions and active equipment across B13H-A, 124, 226 and 137/137A not field verified</v>
          </cell>
          <cell r="J1582" t="str">
            <v>High</v>
          </cell>
          <cell r="K1582" t="str">
            <v>Medium</v>
          </cell>
          <cell r="L1582">
            <v>6</v>
          </cell>
          <cell r="O1582" t="str">
            <v>Closed</v>
          </cell>
          <cell r="Q1582" t="str">
            <v>61|52</v>
          </cell>
        </row>
        <row r="1583">
          <cell r="E1583" t="str">
            <v>8. OWNER RISKS</v>
          </cell>
          <cell r="G1583" t="str">
            <v>B61-R2</v>
          </cell>
          <cell r="H1583" t="str">
            <v>B13H-A / 124 / 226</v>
          </cell>
          <cell r="I1583" t="str">
            <v>Hazardous material abatement plans exist for first and second levels</v>
          </cell>
          <cell r="J1583" t="str">
            <v>High</v>
          </cell>
          <cell r="K1583" t="str">
            <v>Medium</v>
          </cell>
          <cell r="L1583">
            <v>6</v>
          </cell>
          <cell r="O1583" t="str">
            <v>Closed</v>
          </cell>
          <cell r="Q1583" t="str">
            <v>61|53</v>
          </cell>
        </row>
        <row r="1584">
          <cell r="E1584" t="str">
            <v>8. OWNER RISKS</v>
          </cell>
          <cell r="G1584" t="str">
            <v>B61-R3</v>
          </cell>
          <cell r="H1584" t="str">
            <v>137 / 137A</v>
          </cell>
          <cell r="I1584" t="str">
            <v>Existing server/demarc equipment may remain active during cutover</v>
          </cell>
          <cell r="J1584" t="str">
            <v>Critical</v>
          </cell>
          <cell r="K1584" t="str">
            <v>Medium</v>
          </cell>
          <cell r="L1584">
            <v>8</v>
          </cell>
          <cell r="O1584" t="str">
            <v>Closed</v>
          </cell>
          <cell r="Q1584" t="str">
            <v>61|54</v>
          </cell>
        </row>
        <row r="1585">
          <cell r="E1585" t="str">
            <v>8. OWNER RISKS</v>
          </cell>
          <cell r="G1585" t="str">
            <v>B61-R4</v>
          </cell>
          <cell r="H1585" t="str">
            <v>All TRs</v>
          </cell>
          <cell r="I1585" t="str">
            <v>Dedicated cooling sequence, emergency power, condensate, BACnet and alarms not verified</v>
          </cell>
          <cell r="J1585" t="str">
            <v>Critical</v>
          </cell>
          <cell r="K1585" t="str">
            <v>Medium</v>
          </cell>
          <cell r="L1585">
            <v>8</v>
          </cell>
          <cell r="O1585" t="str">
            <v>Closed</v>
          </cell>
          <cell r="Q1585" t="str">
            <v>61|55</v>
          </cell>
        </row>
        <row r="1586">
          <cell r="E1586" t="str">
            <v>8. OWNER RISKS</v>
          </cell>
          <cell r="G1586" t="str">
            <v>B61-R5</v>
          </cell>
          <cell r="H1586" t="str">
            <v>All TRs</v>
          </cell>
          <cell r="I1586" t="str">
            <v>Panel source, UPS/PDU and rack receptacle coordination could delay energization</v>
          </cell>
          <cell r="J1586" t="str">
            <v>Critical</v>
          </cell>
          <cell r="K1586" t="str">
            <v>Medium</v>
          </cell>
          <cell r="L1586">
            <v>8</v>
          </cell>
          <cell r="O1586" t="str">
            <v>Closed</v>
          </cell>
          <cell r="Q1586" t="str">
            <v>61|56</v>
          </cell>
        </row>
        <row r="1587">
          <cell r="E1587" t="str">
            <v>8. OWNER RISKS</v>
          </cell>
          <cell r="G1587" t="str">
            <v>B61-R6</v>
          </cell>
          <cell r="H1587" t="str">
            <v>All</v>
          </cell>
          <cell r="I1587" t="str">
            <v>Large cable tray scope creates coordination and firestop risk</v>
          </cell>
          <cell r="J1587" t="str">
            <v>High</v>
          </cell>
          <cell r="K1587" t="str">
            <v>Medium</v>
          </cell>
          <cell r="L1587">
            <v>6</v>
          </cell>
          <cell r="O1587" t="str">
            <v>Closed</v>
          </cell>
          <cell r="Q1587" t="str">
            <v>61|57</v>
          </cell>
        </row>
        <row r="1588">
          <cell r="E1588" t="str">
            <v>8. OWNER RISKS</v>
          </cell>
          <cell r="G1588" t="str">
            <v>B61-R7</v>
          </cell>
          <cell r="H1588" t="str">
            <v>All</v>
          </cell>
          <cell r="I1588" t="str">
            <v>Telecom/fiber cutover could affect active hospital communications and server/demarc services</v>
          </cell>
          <cell r="J1588" t="str">
            <v>Critical</v>
          </cell>
          <cell r="K1588" t="str">
            <v>Medium</v>
          </cell>
          <cell r="L1588">
            <v>8</v>
          </cell>
          <cell r="O1588" t="str">
            <v>Closed</v>
          </cell>
          <cell r="Q1588" t="str">
            <v>61|58</v>
          </cell>
        </row>
        <row r="1589">
          <cell r="E1589" t="str">
            <v>8. OWNER RISKS</v>
          </cell>
          <cell r="G1589" t="str">
            <v>B61-R8</v>
          </cell>
          <cell r="H1589" t="str">
            <v>All</v>
          </cell>
          <cell r="I1589" t="str">
            <v>Commissioning/third-party inspection reports may not be complete at turnover</v>
          </cell>
          <cell r="J1589" t="str">
            <v>High</v>
          </cell>
          <cell r="K1589" t="str">
            <v>Medium</v>
          </cell>
          <cell r="L1589">
            <v>6</v>
          </cell>
          <cell r="O1589" t="str">
            <v>Closed</v>
          </cell>
          <cell r="Q1589" t="str">
            <v>61|59</v>
          </cell>
        </row>
        <row r="1590">
          <cell r="E1590" t="str">
            <v>8. OWNER RISKS</v>
          </cell>
          <cell r="G1590">
            <v>0</v>
          </cell>
          <cell r="H1590">
            <v>0</v>
          </cell>
          <cell r="I1590">
            <v>0</v>
          </cell>
          <cell r="J1590">
            <v>0</v>
          </cell>
          <cell r="K1590">
            <v>0</v>
          </cell>
          <cell r="L1590">
            <v>0</v>
          </cell>
          <cell r="O1590">
            <v>0</v>
          </cell>
          <cell r="Q1590" t="str">
            <v>61|60</v>
          </cell>
        </row>
        <row r="1591">
          <cell r="E1591" t="str">
            <v>9. OPEN QUESTIONS</v>
          </cell>
          <cell r="G1591" t="str">
            <v>9. OPEN QUESTIONS</v>
          </cell>
          <cell r="H1591">
            <v>0</v>
          </cell>
          <cell r="I1591">
            <v>0</v>
          </cell>
          <cell r="J1591">
            <v>0</v>
          </cell>
          <cell r="K1591">
            <v>0</v>
          </cell>
          <cell r="L1591">
            <v>0</v>
          </cell>
          <cell r="O1591">
            <v>0</v>
          </cell>
          <cell r="Q1591" t="str">
            <v>61|61</v>
          </cell>
        </row>
        <row r="1592">
          <cell r="E1592" t="str">
            <v>9. OPEN QUESTIONS</v>
          </cell>
          <cell r="G1592" t="str">
            <v>Question ID</v>
          </cell>
          <cell r="H1592" t="str">
            <v>Question</v>
          </cell>
          <cell r="I1592" t="str">
            <v>Assigned To</v>
          </cell>
          <cell r="J1592" t="str">
            <v>Status</v>
          </cell>
          <cell r="K1592" t="str">
            <v>Needed By</v>
          </cell>
          <cell r="L1592" t="str">
            <v>Answer / Resolution</v>
          </cell>
          <cell r="O1592" t="str">
            <v>Date Closed</v>
          </cell>
          <cell r="Q1592" t="str">
            <v>61|62</v>
          </cell>
        </row>
        <row r="1593">
          <cell r="E1593" t="str">
            <v>9. OPEN QUESTIONS</v>
          </cell>
          <cell r="G1593" t="str">
            <v>B61-Q1</v>
          </cell>
          <cell r="H1593" t="str">
            <v>Confirm final telecom room list and PMIS mapping: B13H-A, 124, 226 and existing 137/137A demarc/server rooms?</v>
          </cell>
          <cell r="I1593" t="str">
            <v>VA / OIT / Designer</v>
          </cell>
          <cell r="J1593" t="str">
            <v>Open</v>
          </cell>
          <cell r="K1593">
            <v>0</v>
          </cell>
          <cell r="L1593">
            <v>0</v>
          </cell>
          <cell r="O1593">
            <v>0</v>
          </cell>
          <cell r="Q1593" t="str">
            <v>61|63</v>
          </cell>
        </row>
        <row r="1594">
          <cell r="E1594" t="str">
            <v>9. OPEN QUESTIONS</v>
          </cell>
          <cell r="G1594" t="str">
            <v>B61-Q2</v>
          </cell>
          <cell r="H1594" t="str">
            <v>What active services and circuits are currently housed in Room 137/137A?</v>
          </cell>
          <cell r="I1594" t="str">
            <v>OIT / Contractor</v>
          </cell>
          <cell r="J1594" t="str">
            <v>Closed</v>
          </cell>
          <cell r="K1594">
            <v>0</v>
          </cell>
          <cell r="L1594">
            <v>0</v>
          </cell>
          <cell r="O1594">
            <v>0</v>
          </cell>
          <cell r="Q1594" t="str">
            <v>61|64</v>
          </cell>
        </row>
        <row r="1595">
          <cell r="E1595" t="str">
            <v>9. OPEN QUESTIONS</v>
          </cell>
          <cell r="G1595" t="str">
            <v>B61-Q3</v>
          </cell>
          <cell r="H1595" t="str">
            <v>Are B61-TR137AA/AB panel references tied to Room 137 or a schedule naming mismatch for Room 124?</v>
          </cell>
          <cell r="I1595" t="str">
            <v>Electrical / Designer</v>
          </cell>
          <cell r="J1595" t="str">
            <v>Closed</v>
          </cell>
          <cell r="K1595">
            <v>0</v>
          </cell>
          <cell r="L1595">
            <v>0</v>
          </cell>
          <cell r="O1595">
            <v>0</v>
          </cell>
          <cell r="Q1595" t="str">
            <v>61|65</v>
          </cell>
        </row>
        <row r="1596">
          <cell r="E1596" t="str">
            <v>9. OPEN QUESTIONS</v>
          </cell>
          <cell r="G1596" t="str">
            <v>B61-Q4</v>
          </cell>
          <cell r="H1596" t="str">
            <v>Are IU/CU-0-01, 1-01 and 2-01 on emergency/backup power and dedicated to the TRs they serve?</v>
          </cell>
          <cell r="I1596" t="str">
            <v>Mechanical / Electrical / VA</v>
          </cell>
          <cell r="J1596" t="str">
            <v>Closed</v>
          </cell>
          <cell r="K1596">
            <v>0</v>
          </cell>
          <cell r="L1596">
            <v>0</v>
          </cell>
          <cell r="O1596">
            <v>0</v>
          </cell>
          <cell r="Q1596" t="str">
            <v>61|66</v>
          </cell>
        </row>
        <row r="1597">
          <cell r="E1597" t="str">
            <v>9. OPEN QUESTIONS</v>
          </cell>
          <cell r="G1597" t="str">
            <v>B61-Q5</v>
          </cell>
          <cell r="H1597" t="str">
            <v>Where are clean-agent/CO2 FEC cabinets located within 75 ft of each new TR?</v>
          </cell>
          <cell r="I1597" t="str">
            <v>GC / COR</v>
          </cell>
          <cell r="J1597" t="str">
            <v>Closed</v>
          </cell>
          <cell r="K1597">
            <v>0</v>
          </cell>
          <cell r="L1597">
            <v>0</v>
          </cell>
          <cell r="O1597">
            <v>0</v>
          </cell>
          <cell r="Q1597" t="str">
            <v>61|67</v>
          </cell>
        </row>
        <row r="1598">
          <cell r="E1598" t="str">
            <v>9. OPEN QUESTIONS</v>
          </cell>
          <cell r="G1598" t="str">
            <v>B61-Q6</v>
          </cell>
          <cell r="H1598" t="str">
            <v>Are rack UPS/PDU circuits, SPDs, labels, load measurements and LOTO requirements approved for all TR panelboards?</v>
          </cell>
          <cell r="I1598" t="str">
            <v>Electrical / Designer</v>
          </cell>
          <cell r="J1598" t="str">
            <v>Closed</v>
          </cell>
          <cell r="K1598">
            <v>0</v>
          </cell>
          <cell r="L1598">
            <v>0</v>
          </cell>
          <cell r="O1598">
            <v>0</v>
          </cell>
          <cell r="Q1598" t="str">
            <v>61|68</v>
          </cell>
        </row>
        <row r="1599">
          <cell r="E1599" t="str">
            <v>9. OPEN QUESTIONS</v>
          </cell>
          <cell r="G1599" t="str">
            <v>B61-Q7</v>
          </cell>
          <cell r="H1599" t="str">
            <v>Are all rated wall/floor penetrations, sleeves, cable tray entries and temporary firestopping details identified?</v>
          </cell>
          <cell r="I1599" t="str">
            <v>GC / Firestop</v>
          </cell>
          <cell r="J1599" t="str">
            <v>Closed</v>
          </cell>
          <cell r="K1599">
            <v>0</v>
          </cell>
          <cell r="L1599">
            <v>0</v>
          </cell>
          <cell r="O1599">
            <v>0</v>
          </cell>
          <cell r="Q1599" t="str">
            <v>61|69</v>
          </cell>
        </row>
        <row r="1600">
          <cell r="E1600" t="str">
            <v>9. OPEN QUESTIONS</v>
          </cell>
          <cell r="G1600" t="str">
            <v>B61-Q8</v>
          </cell>
          <cell r="H1600" t="str">
            <v>Which third-party inspections, commissioning forms and OIT acceptance records are required before turnover?</v>
          </cell>
          <cell r="I1600" t="str">
            <v>GC / Cx Manager / OIT</v>
          </cell>
          <cell r="J1600" t="str">
            <v>Closed</v>
          </cell>
          <cell r="K1600">
            <v>0</v>
          </cell>
          <cell r="L1600">
            <v>0</v>
          </cell>
          <cell r="O1600">
            <v>0</v>
          </cell>
          <cell r="Q1600" t="str">
            <v>61|70</v>
          </cell>
        </row>
        <row r="1601">
          <cell r="E1601" t="str">
            <v>9. OPEN QUESTIONS</v>
          </cell>
          <cell r="G1601" t="str">
            <v>B61-Q9</v>
          </cell>
          <cell r="H1601" t="str">
            <v xml:space="preserve">How did this sheetget made? </v>
          </cell>
          <cell r="I1601" t="str">
            <v>GC / Cx Manager / OIT</v>
          </cell>
          <cell r="J1601" t="str">
            <v>Closed</v>
          </cell>
          <cell r="K1601">
            <v>0</v>
          </cell>
          <cell r="L1601">
            <v>0</v>
          </cell>
          <cell r="O1601">
            <v>0</v>
          </cell>
          <cell r="Q1601" t="str">
            <v>61|71</v>
          </cell>
        </row>
        <row r="1602">
          <cell r="E1602" t="str">
            <v>10. PHOTO LOG</v>
          </cell>
          <cell r="G1602" t="str">
            <v>10. PHOTO LOG</v>
          </cell>
          <cell r="H1602">
            <v>0</v>
          </cell>
          <cell r="I1602">
            <v>0</v>
          </cell>
          <cell r="J1602">
            <v>0</v>
          </cell>
          <cell r="K1602">
            <v>0</v>
          </cell>
          <cell r="L1602">
            <v>0</v>
          </cell>
          <cell r="O1602">
            <v>0</v>
          </cell>
          <cell r="Q1602" t="str">
            <v>61|72</v>
          </cell>
        </row>
        <row r="1603">
          <cell r="E1603" t="str">
            <v>10. PHOTO LOG</v>
          </cell>
          <cell r="G1603" t="str">
            <v>Photo ID</v>
          </cell>
          <cell r="H1603" t="str">
            <v>Room</v>
          </cell>
          <cell r="I1603" t="str">
            <v>Category</v>
          </cell>
          <cell r="J1603" t="str">
            <v>Description</v>
          </cell>
          <cell r="K1603" t="str">
            <v>Date</v>
          </cell>
          <cell r="L1603" t="str">
            <v>Taken By</v>
          </cell>
          <cell r="O1603" t="str">
            <v>Status</v>
          </cell>
          <cell r="Q1603" t="str">
            <v>61|73</v>
          </cell>
        </row>
        <row r="1604">
          <cell r="E1604" t="str">
            <v>10. PHOTO LOG</v>
          </cell>
          <cell r="G1604" t="str">
            <v>B61-P001</v>
          </cell>
          <cell r="H1604" t="str">
            <v>B13H-A</v>
          </cell>
          <cell r="I1604" t="str">
            <v>Existing Condition</v>
          </cell>
          <cell r="J1604" t="str">
            <v>Basement TR B13H-A walls, ceiling/deck, floor, door, rack/future rack, power, HVAC, cable tray and penetrations</v>
          </cell>
          <cell r="K1604">
            <v>0</v>
          </cell>
          <cell r="L1604" t="str">
            <v>Paul</v>
          </cell>
          <cell r="O1604" t="str">
            <v>Closed</v>
          </cell>
          <cell r="Q1604" t="str">
            <v>61|74</v>
          </cell>
        </row>
        <row r="1605">
          <cell r="E1605" t="str">
            <v>10. PHOTO LOG</v>
          </cell>
          <cell r="G1605" t="str">
            <v>B61-P002</v>
          </cell>
          <cell r="H1605" t="str">
            <v>124</v>
          </cell>
          <cell r="I1605" t="str">
            <v>Existing Condition</v>
          </cell>
          <cell r="J1605" t="str">
            <v>First-level TR 124 walls, ceiling/deck, floor, door, rack/future rack, power, HVAC, cable tray and penetrations</v>
          </cell>
          <cell r="K1605">
            <v>0</v>
          </cell>
          <cell r="L1605" t="str">
            <v>Paul</v>
          </cell>
          <cell r="O1605" t="str">
            <v>Closed</v>
          </cell>
          <cell r="Q1605" t="str">
            <v>61|75</v>
          </cell>
        </row>
        <row r="1606">
          <cell r="E1606" t="str">
            <v>10. PHOTO LOG</v>
          </cell>
          <cell r="G1606" t="str">
            <v>B61-P003</v>
          </cell>
          <cell r="H1606" t="str">
            <v>226</v>
          </cell>
          <cell r="I1606" t="str">
            <v>Existing Condition</v>
          </cell>
          <cell r="J1606" t="str">
            <v>Second-level TR 226 walls, ceiling/deck, floor, door, rack/future rack, power, HVAC, cable tray and riser penetrations</v>
          </cell>
          <cell r="K1606">
            <v>0</v>
          </cell>
          <cell r="L1606" t="str">
            <v>Paul</v>
          </cell>
          <cell r="O1606" t="str">
            <v>Closed</v>
          </cell>
          <cell r="Q1606" t="str">
            <v>61|76</v>
          </cell>
        </row>
        <row r="1607">
          <cell r="E1607" t="str">
            <v>10. PHOTO LOG</v>
          </cell>
          <cell r="G1607" t="str">
            <v>B61-P004</v>
          </cell>
          <cell r="H1607" t="str">
            <v>137 / 137A</v>
          </cell>
          <cell r="I1607" t="str">
            <v>Existing Equipment</v>
          </cell>
          <cell r="J1607" t="str">
            <v>Existing server/demarc racks, APC UPS/PDU, Fujitsu equipment, patch panels, PACS/equipment racks and cable entries</v>
          </cell>
          <cell r="K1607">
            <v>0</v>
          </cell>
          <cell r="L1607" t="str">
            <v>Paul</v>
          </cell>
          <cell r="O1607" t="str">
            <v>Closed</v>
          </cell>
          <cell r="Q1607" t="str">
            <v>61|77</v>
          </cell>
        </row>
        <row r="1608">
          <cell r="E1608" t="str">
            <v>10. PHOTO LOG</v>
          </cell>
          <cell r="G1608" t="str">
            <v>B61-P005</v>
          </cell>
          <cell r="H1608" t="str">
            <v>All TRs</v>
          </cell>
          <cell r="I1608" t="str">
            <v>HVAC</v>
          </cell>
          <cell r="J1608" t="str">
            <v>IU/CU-0-01, IU/CU-1-01, IU/CU-2-01, condensate, thermostat, BACnet adapter, disconnects, high-temp alarm and power source</v>
          </cell>
          <cell r="K1608">
            <v>0</v>
          </cell>
          <cell r="L1608" t="str">
            <v>Paul</v>
          </cell>
          <cell r="O1608" t="str">
            <v>Closed</v>
          </cell>
          <cell r="Q1608" t="str">
            <v>61|78</v>
          </cell>
        </row>
        <row r="1609">
          <cell r="E1609" t="str">
            <v>10. PHOTO LOG</v>
          </cell>
          <cell r="G1609" t="str">
            <v>B61-P006</v>
          </cell>
          <cell r="H1609" t="str">
            <v>All TRs</v>
          </cell>
          <cell r="I1609" t="str">
            <v>Electrical</v>
          </cell>
          <cell r="J1609" t="str">
            <v>B61 telecom panels, PD panels, rack receptacles, UPS/PDU, breakers, SPDs, labels and grounding/bonding</v>
          </cell>
          <cell r="K1609">
            <v>0</v>
          </cell>
          <cell r="L1609" t="str">
            <v>Paul</v>
          </cell>
          <cell r="O1609" t="str">
            <v>Closed</v>
          </cell>
          <cell r="Q1609" t="str">
            <v>61|79</v>
          </cell>
        </row>
        <row r="1610">
          <cell r="E1610" t="str">
            <v>10. PHOTO LOG</v>
          </cell>
          <cell r="G1610" t="str">
            <v>B61-P007</v>
          </cell>
          <cell r="H1610" t="str">
            <v>All</v>
          </cell>
          <cell r="I1610" t="str">
            <v>Cable Tray / Firestop</v>
          </cell>
          <cell r="J1610" t="str">
            <v>Basement/first/second cable tray route, supports, seismic bracing, penetrations and before/after firestopping</v>
          </cell>
          <cell r="K1610">
            <v>0</v>
          </cell>
          <cell r="L1610" t="str">
            <v>Paul</v>
          </cell>
          <cell r="O1610" t="str">
            <v>Closed</v>
          </cell>
          <cell r="Q1610" t="str">
            <v>61|80</v>
          </cell>
        </row>
        <row r="1611">
          <cell r="E1611" t="str">
            <v>10. PHOTO LOG</v>
          </cell>
          <cell r="G1611" t="str">
            <v>B61-P008</v>
          </cell>
          <cell r="H1611" t="str">
            <v>All</v>
          </cell>
          <cell r="I1611" t="str">
            <v>Telecom / Security</v>
          </cell>
          <cell r="J1611" t="str">
            <v>Racks, Fiber LIU, Cat6A, patch panels, labels/test records, CCTV, PACS and existing equipment transfer work</v>
          </cell>
          <cell r="K1611">
            <v>0</v>
          </cell>
          <cell r="L1611" t="str">
            <v>Paul</v>
          </cell>
          <cell r="O1611" t="str">
            <v>Closed</v>
          </cell>
          <cell r="Q1611" t="str">
            <v>61|81</v>
          </cell>
        </row>
        <row r="1612">
          <cell r="E1612" t="str">
            <v>10. PHOTO LOG</v>
          </cell>
          <cell r="G1612">
            <v>0</v>
          </cell>
          <cell r="H1612">
            <v>0</v>
          </cell>
          <cell r="I1612">
            <v>0</v>
          </cell>
          <cell r="J1612">
            <v>0</v>
          </cell>
          <cell r="K1612">
            <v>0</v>
          </cell>
          <cell r="L1612">
            <v>0</v>
          </cell>
          <cell r="O1612">
            <v>0</v>
          </cell>
          <cell r="Q1612" t="str">
            <v>61|82</v>
          </cell>
        </row>
        <row r="1613">
          <cell r="E1613" t="str">
            <v>1. ROOM INVENTORY</v>
          </cell>
          <cell r="G1613" t="str">
            <v>1. ROOM INVENTORY</v>
          </cell>
          <cell r="H1613">
            <v>0</v>
          </cell>
          <cell r="I1613">
            <v>0</v>
          </cell>
          <cell r="J1613">
            <v>0</v>
          </cell>
          <cell r="K1613">
            <v>0</v>
          </cell>
          <cell r="L1613">
            <v>0</v>
          </cell>
          <cell r="O1613">
            <v>0</v>
          </cell>
          <cell r="Q1613" t="str">
            <v>62|1</v>
          </cell>
        </row>
        <row r="1614">
          <cell r="E1614" t="str">
            <v>1. ROOM INVENTORY</v>
          </cell>
          <cell r="G1614" t="str">
            <v>Building</v>
          </cell>
          <cell r="H1614" t="str">
            <v>Room</v>
          </cell>
          <cell r="I1614" t="str">
            <v>Floor</v>
          </cell>
          <cell r="J1614" t="str">
            <v>Existing Use</v>
          </cell>
          <cell r="K1614" t="str">
            <v>New Use</v>
          </cell>
          <cell r="L1614" t="str">
            <v>Rack Count</v>
          </cell>
          <cell r="O1614" t="str">
            <v>Drawing Ref</v>
          </cell>
          <cell r="Q1614" t="str">
            <v>62|2</v>
          </cell>
        </row>
        <row r="1615">
          <cell r="E1615" t="str">
            <v>1. ROOM INVENTORY</v>
          </cell>
          <cell r="G1615" t="str">
            <v>62</v>
          </cell>
          <cell r="H1615" t="str">
            <v>B24A</v>
          </cell>
          <cell r="I1615" t="str">
            <v>Basement</v>
          </cell>
          <cell r="J1615" t="str">
            <v>Restroom / Storage</v>
          </cell>
          <cell r="K1615" t="str">
            <v>TR</v>
          </cell>
          <cell r="L1615">
            <v>1</v>
          </cell>
          <cell r="O1615" t="str">
            <v>B62 IFC</v>
          </cell>
          <cell r="Q1615" t="str">
            <v>62|3</v>
          </cell>
        </row>
        <row r="1616">
          <cell r="E1616" t="str">
            <v>1. ROOM INVENTORY</v>
          </cell>
          <cell r="G1616" t="str">
            <v>62</v>
          </cell>
          <cell r="H1616" t="str">
            <v>125</v>
          </cell>
          <cell r="I1616" t="str">
            <v>First</v>
          </cell>
          <cell r="J1616" t="str">
            <v>Medication Room</v>
          </cell>
          <cell r="K1616" t="str">
            <v>TR</v>
          </cell>
          <cell r="L1616">
            <v>1</v>
          </cell>
          <cell r="O1616" t="str">
            <v>B62 IFC</v>
          </cell>
          <cell r="Q1616" t="str">
            <v>62|4</v>
          </cell>
        </row>
        <row r="1617">
          <cell r="E1617" t="str">
            <v>1. ROOM INVENTORY</v>
          </cell>
          <cell r="G1617" t="str">
            <v>62</v>
          </cell>
          <cell r="H1617" t="str">
            <v>225</v>
          </cell>
          <cell r="I1617" t="str">
            <v>Second</v>
          </cell>
          <cell r="J1617" t="str">
            <v>Office</v>
          </cell>
          <cell r="K1617" t="str">
            <v>TR</v>
          </cell>
          <cell r="L1617">
            <v>1</v>
          </cell>
          <cell r="O1617" t="str">
            <v>B62 IFC</v>
          </cell>
          <cell r="Q1617" t="str">
            <v>62|5</v>
          </cell>
        </row>
        <row r="1618">
          <cell r="E1618" t="str">
            <v>1. ROOM INVENTORY</v>
          </cell>
          <cell r="G1618">
            <v>0</v>
          </cell>
          <cell r="H1618">
            <v>0</v>
          </cell>
          <cell r="I1618">
            <v>0</v>
          </cell>
          <cell r="J1618">
            <v>0</v>
          </cell>
          <cell r="K1618">
            <v>0</v>
          </cell>
          <cell r="L1618">
            <v>0</v>
          </cell>
          <cell r="O1618">
            <v>0</v>
          </cell>
          <cell r="Q1618" t="str">
            <v>62|6</v>
          </cell>
        </row>
        <row r="1619">
          <cell r="E1619" t="str">
            <v>1. ROOM INVENTORY</v>
          </cell>
          <cell r="G1619">
            <v>0</v>
          </cell>
          <cell r="H1619">
            <v>0</v>
          </cell>
          <cell r="I1619">
            <v>0</v>
          </cell>
          <cell r="J1619">
            <v>0</v>
          </cell>
          <cell r="K1619">
            <v>0</v>
          </cell>
          <cell r="L1619">
            <v>0</v>
          </cell>
          <cell r="O1619">
            <v>0</v>
          </cell>
          <cell r="Q1619" t="str">
            <v>62|7</v>
          </cell>
        </row>
        <row r="1620">
          <cell r="E1620" t="str">
            <v>2. ROOM READINESS</v>
          </cell>
          <cell r="G1620" t="str">
            <v>2. ROOM READINESS</v>
          </cell>
          <cell r="H1620">
            <v>0</v>
          </cell>
          <cell r="I1620">
            <v>0</v>
          </cell>
          <cell r="J1620">
            <v>0</v>
          </cell>
          <cell r="K1620">
            <v>0</v>
          </cell>
          <cell r="L1620">
            <v>0</v>
          </cell>
          <cell r="O1620">
            <v>0</v>
          </cell>
          <cell r="Q1620" t="str">
            <v>62|8</v>
          </cell>
        </row>
        <row r="1621">
          <cell r="E1621" t="str">
            <v>2. ROOM READINESS</v>
          </cell>
          <cell r="G1621" t="str">
            <v>Room</v>
          </cell>
          <cell r="H1621" t="str">
            <v>Walls</v>
          </cell>
          <cell r="I1621" t="str">
            <v>Ceiling</v>
          </cell>
          <cell r="J1621" t="str">
            <v>Floor</v>
          </cell>
          <cell r="K1621" t="str">
            <v>Penetrations</v>
          </cell>
          <cell r="L1621" t="str">
            <v>Access Control</v>
          </cell>
          <cell r="O1621" t="str">
            <v>Overall</v>
          </cell>
          <cell r="Q1621" t="str">
            <v>62|9</v>
          </cell>
        </row>
        <row r="1622">
          <cell r="E1622" t="str">
            <v>2. ROOM READINESS</v>
          </cell>
          <cell r="G1622" t="str">
            <v>B24A</v>
          </cell>
          <cell r="H1622" t="str">
            <v>Verify</v>
          </cell>
          <cell r="I1622" t="str">
            <v>Verify</v>
          </cell>
          <cell r="J1622" t="str">
            <v>Verify</v>
          </cell>
          <cell r="K1622" t="str">
            <v>Verify</v>
          </cell>
          <cell r="L1622" t="str">
            <v>Verify</v>
          </cell>
          <cell r="O1622" t="str">
            <v>Verify</v>
          </cell>
          <cell r="Q1622" t="str">
            <v>62|10</v>
          </cell>
        </row>
        <row r="1623">
          <cell r="E1623" t="str">
            <v>2. ROOM READINESS</v>
          </cell>
          <cell r="G1623" t="str">
            <v>125</v>
          </cell>
          <cell r="H1623" t="str">
            <v>Verify</v>
          </cell>
          <cell r="I1623" t="str">
            <v>Verify</v>
          </cell>
          <cell r="J1623" t="str">
            <v>Verify</v>
          </cell>
          <cell r="K1623" t="str">
            <v>Verify</v>
          </cell>
          <cell r="L1623" t="str">
            <v>Verify</v>
          </cell>
          <cell r="O1623" t="str">
            <v>Verify</v>
          </cell>
          <cell r="Q1623" t="str">
            <v>62|11</v>
          </cell>
        </row>
        <row r="1624">
          <cell r="E1624" t="str">
            <v>2. ROOM READINESS</v>
          </cell>
          <cell r="G1624" t="str">
            <v>225</v>
          </cell>
          <cell r="H1624" t="str">
            <v>Verify</v>
          </cell>
          <cell r="I1624" t="str">
            <v>Verify</v>
          </cell>
          <cell r="J1624" t="str">
            <v>Verify</v>
          </cell>
          <cell r="K1624" t="str">
            <v>Verify</v>
          </cell>
          <cell r="L1624" t="str">
            <v>Verify</v>
          </cell>
          <cell r="O1624" t="str">
            <v>Verify</v>
          </cell>
          <cell r="Q1624" t="str">
            <v>62|12</v>
          </cell>
        </row>
        <row r="1625">
          <cell r="E1625" t="str">
            <v>2. ROOM READINESS</v>
          </cell>
          <cell r="G1625">
            <v>0</v>
          </cell>
          <cell r="H1625">
            <v>0</v>
          </cell>
          <cell r="I1625">
            <v>0</v>
          </cell>
          <cell r="J1625">
            <v>0</v>
          </cell>
          <cell r="K1625">
            <v>0</v>
          </cell>
          <cell r="L1625">
            <v>0</v>
          </cell>
          <cell r="O1625">
            <v>0</v>
          </cell>
          <cell r="Q1625" t="str">
            <v>62|13</v>
          </cell>
        </row>
        <row r="1626">
          <cell r="E1626" t="str">
            <v>2. ROOM READINESS</v>
          </cell>
          <cell r="G1626">
            <v>0</v>
          </cell>
          <cell r="H1626">
            <v>0</v>
          </cell>
          <cell r="I1626">
            <v>0</v>
          </cell>
          <cell r="J1626">
            <v>0</v>
          </cell>
          <cell r="K1626">
            <v>0</v>
          </cell>
          <cell r="L1626">
            <v>0</v>
          </cell>
          <cell r="O1626">
            <v>0</v>
          </cell>
          <cell r="Q1626" t="str">
            <v>62|14</v>
          </cell>
        </row>
        <row r="1627">
          <cell r="E1627" t="str">
            <v>3. FIRE PROTECTION</v>
          </cell>
          <cell r="G1627" t="str">
            <v>3. FIRE PROTECTION</v>
          </cell>
          <cell r="H1627">
            <v>0</v>
          </cell>
          <cell r="I1627">
            <v>0</v>
          </cell>
          <cell r="J1627">
            <v>0</v>
          </cell>
          <cell r="K1627">
            <v>0</v>
          </cell>
          <cell r="L1627">
            <v>0</v>
          </cell>
          <cell r="O1627">
            <v>0</v>
          </cell>
          <cell r="Q1627" t="str">
            <v>62|15</v>
          </cell>
        </row>
        <row r="1628">
          <cell r="E1628" t="str">
            <v>3. FIRE PROTECTION</v>
          </cell>
          <cell r="G1628" t="str">
            <v>Room</v>
          </cell>
          <cell r="H1628" t="str">
            <v>Sprinkler</v>
          </cell>
          <cell r="I1628" t="str">
            <v>Cage</v>
          </cell>
          <cell r="J1628" t="str">
            <v>Detector</v>
          </cell>
          <cell r="K1628" t="str">
            <v>Horn/Strobe</v>
          </cell>
          <cell r="L1628" t="str">
            <v>Extinguisher &lt;75 ft</v>
          </cell>
          <cell r="O1628" t="str">
            <v>Overall</v>
          </cell>
          <cell r="Q1628" t="str">
            <v>62|16</v>
          </cell>
        </row>
        <row r="1629">
          <cell r="E1629" t="str">
            <v>3. FIRE PROTECTION</v>
          </cell>
          <cell r="G1629" t="str">
            <v>B24A</v>
          </cell>
          <cell r="H1629" t="str">
            <v>Verify</v>
          </cell>
          <cell r="I1629" t="str">
            <v>Verify</v>
          </cell>
          <cell r="J1629" t="str">
            <v>Verify</v>
          </cell>
          <cell r="K1629" t="str">
            <v>Verify</v>
          </cell>
          <cell r="L1629" t="str">
            <v>Verify</v>
          </cell>
          <cell r="O1629" t="str">
            <v>Verify</v>
          </cell>
          <cell r="Q1629" t="str">
            <v>62|17</v>
          </cell>
        </row>
        <row r="1630">
          <cell r="E1630" t="str">
            <v>3. FIRE PROTECTION</v>
          </cell>
          <cell r="G1630" t="str">
            <v>125</v>
          </cell>
          <cell r="H1630" t="str">
            <v>Verify</v>
          </cell>
          <cell r="I1630" t="str">
            <v>Verify</v>
          </cell>
          <cell r="J1630" t="str">
            <v>Verify</v>
          </cell>
          <cell r="K1630" t="str">
            <v>Verify</v>
          </cell>
          <cell r="L1630" t="str">
            <v>Verify</v>
          </cell>
          <cell r="O1630" t="str">
            <v>Verify</v>
          </cell>
          <cell r="Q1630" t="str">
            <v>62|18</v>
          </cell>
        </row>
        <row r="1631">
          <cell r="E1631" t="str">
            <v>3. FIRE PROTECTION</v>
          </cell>
          <cell r="G1631" t="str">
            <v>225</v>
          </cell>
          <cell r="H1631" t="str">
            <v>Verify</v>
          </cell>
          <cell r="I1631" t="str">
            <v>Verify</v>
          </cell>
          <cell r="J1631" t="str">
            <v>Verify</v>
          </cell>
          <cell r="K1631" t="str">
            <v>Verify</v>
          </cell>
          <cell r="L1631" t="str">
            <v>Verify</v>
          </cell>
          <cell r="O1631" t="str">
            <v>Verify</v>
          </cell>
          <cell r="Q1631" t="str">
            <v>62|19</v>
          </cell>
        </row>
        <row r="1632">
          <cell r="E1632" t="str">
            <v>3. FIRE PROTECTION</v>
          </cell>
          <cell r="G1632">
            <v>0</v>
          </cell>
          <cell r="H1632">
            <v>0</v>
          </cell>
          <cell r="I1632">
            <v>0</v>
          </cell>
          <cell r="J1632">
            <v>0</v>
          </cell>
          <cell r="K1632">
            <v>0</v>
          </cell>
          <cell r="L1632">
            <v>0</v>
          </cell>
          <cell r="O1632">
            <v>0</v>
          </cell>
          <cell r="Q1632" t="str">
            <v>62|20</v>
          </cell>
        </row>
        <row r="1633">
          <cell r="E1633" t="str">
            <v>3. FIRE PROTECTION</v>
          </cell>
          <cell r="G1633">
            <v>0</v>
          </cell>
          <cell r="H1633">
            <v>0</v>
          </cell>
          <cell r="I1633">
            <v>0</v>
          </cell>
          <cell r="J1633">
            <v>0</v>
          </cell>
          <cell r="K1633">
            <v>0</v>
          </cell>
          <cell r="L1633">
            <v>0</v>
          </cell>
          <cell r="O1633">
            <v>0</v>
          </cell>
          <cell r="Q1633" t="str">
            <v>62|21</v>
          </cell>
        </row>
        <row r="1634">
          <cell r="E1634" t="str">
            <v>4. HVAC / COOLING</v>
          </cell>
          <cell r="G1634" t="str">
            <v>4. HVAC / COOLING</v>
          </cell>
          <cell r="H1634">
            <v>0</v>
          </cell>
          <cell r="I1634">
            <v>0</v>
          </cell>
          <cell r="J1634">
            <v>0</v>
          </cell>
          <cell r="K1634">
            <v>0</v>
          </cell>
          <cell r="L1634">
            <v>0</v>
          </cell>
          <cell r="O1634">
            <v>0</v>
          </cell>
          <cell r="Q1634" t="str">
            <v>62|22</v>
          </cell>
        </row>
        <row r="1635">
          <cell r="E1635" t="str">
            <v>4. HVAC / COOLING</v>
          </cell>
          <cell r="G1635" t="str">
            <v>Room</v>
          </cell>
          <cell r="H1635" t="str">
            <v>Dedicated Unit</v>
          </cell>
          <cell r="I1635" t="str">
            <v>Capacity Verified</v>
          </cell>
          <cell r="J1635" t="str">
            <v>Emergency Power</v>
          </cell>
          <cell r="K1635" t="str">
            <v>Controls Tested</v>
          </cell>
          <cell r="L1635" t="str">
            <v>Condensate Routed</v>
          </cell>
          <cell r="O1635" t="str">
            <v>Overall</v>
          </cell>
          <cell r="Q1635" t="str">
            <v>62|23</v>
          </cell>
        </row>
        <row r="1636">
          <cell r="E1636" t="str">
            <v>4. HVAC / COOLING</v>
          </cell>
          <cell r="G1636" t="str">
            <v>B24A</v>
          </cell>
          <cell r="H1636" t="str">
            <v>Verify</v>
          </cell>
          <cell r="I1636" t="str">
            <v>Verify</v>
          </cell>
          <cell r="J1636" t="str">
            <v>Verify</v>
          </cell>
          <cell r="K1636" t="str">
            <v>Verify</v>
          </cell>
          <cell r="L1636" t="str">
            <v>Verify</v>
          </cell>
          <cell r="O1636" t="str">
            <v>Verify</v>
          </cell>
          <cell r="Q1636" t="str">
            <v>62|24</v>
          </cell>
        </row>
        <row r="1637">
          <cell r="E1637" t="str">
            <v>4. HVAC / COOLING</v>
          </cell>
          <cell r="G1637" t="str">
            <v>125</v>
          </cell>
          <cell r="H1637" t="str">
            <v>Verify</v>
          </cell>
          <cell r="I1637" t="str">
            <v>Verify</v>
          </cell>
          <cell r="J1637" t="str">
            <v>Verify</v>
          </cell>
          <cell r="K1637" t="str">
            <v>Verify</v>
          </cell>
          <cell r="L1637" t="str">
            <v>Verify</v>
          </cell>
          <cell r="O1637" t="str">
            <v>Verify</v>
          </cell>
          <cell r="Q1637" t="str">
            <v>62|25</v>
          </cell>
        </row>
        <row r="1638">
          <cell r="E1638" t="str">
            <v>4. HVAC / COOLING</v>
          </cell>
          <cell r="G1638" t="str">
            <v>225</v>
          </cell>
          <cell r="H1638" t="str">
            <v>Verify</v>
          </cell>
          <cell r="I1638" t="str">
            <v>Verify</v>
          </cell>
          <cell r="J1638" t="str">
            <v>Verify</v>
          </cell>
          <cell r="K1638" t="str">
            <v>Verify</v>
          </cell>
          <cell r="L1638" t="str">
            <v>Verify</v>
          </cell>
          <cell r="O1638" t="str">
            <v>Verify</v>
          </cell>
          <cell r="Q1638" t="str">
            <v>62|26</v>
          </cell>
        </row>
        <row r="1639">
          <cell r="E1639" t="str">
            <v>4. HVAC / COOLING</v>
          </cell>
          <cell r="G1639">
            <v>0</v>
          </cell>
          <cell r="H1639">
            <v>0</v>
          </cell>
          <cell r="I1639">
            <v>0</v>
          </cell>
          <cell r="J1639">
            <v>0</v>
          </cell>
          <cell r="K1639">
            <v>0</v>
          </cell>
          <cell r="L1639">
            <v>0</v>
          </cell>
          <cell r="O1639">
            <v>0</v>
          </cell>
          <cell r="Q1639" t="str">
            <v>62|27</v>
          </cell>
        </row>
        <row r="1640">
          <cell r="E1640" t="str">
            <v>4. HVAC / COOLING</v>
          </cell>
          <cell r="G1640">
            <v>0</v>
          </cell>
          <cell r="H1640">
            <v>0</v>
          </cell>
          <cell r="I1640">
            <v>0</v>
          </cell>
          <cell r="J1640">
            <v>0</v>
          </cell>
          <cell r="K1640">
            <v>0</v>
          </cell>
          <cell r="L1640">
            <v>0</v>
          </cell>
          <cell r="O1640">
            <v>0</v>
          </cell>
          <cell r="Q1640" t="str">
            <v>62|28</v>
          </cell>
        </row>
        <row r="1641">
          <cell r="E1641" t="str">
            <v>5. ELECTRICAL / UPS</v>
          </cell>
          <cell r="G1641" t="str">
            <v>5. ELECTRICAL / UPS</v>
          </cell>
          <cell r="H1641">
            <v>0</v>
          </cell>
          <cell r="I1641">
            <v>0</v>
          </cell>
          <cell r="J1641">
            <v>0</v>
          </cell>
          <cell r="K1641">
            <v>0</v>
          </cell>
          <cell r="L1641">
            <v>0</v>
          </cell>
          <cell r="O1641">
            <v>0</v>
          </cell>
          <cell r="Q1641" t="str">
            <v>62|29</v>
          </cell>
        </row>
        <row r="1642">
          <cell r="E1642" t="str">
            <v>5. ELECTRICAL / UPS</v>
          </cell>
          <cell r="G1642" t="str">
            <v>Room</v>
          </cell>
          <cell r="H1642" t="str">
            <v>UPS Installed</v>
          </cell>
          <cell r="I1642" t="str">
            <v>UPS Size</v>
          </cell>
          <cell r="J1642" t="str">
            <v>PDU Installed</v>
          </cell>
          <cell r="K1642" t="str">
            <v>Rack Receptacles</v>
          </cell>
          <cell r="L1642" t="str">
            <v>Panel Assigned</v>
          </cell>
          <cell r="O1642" t="str">
            <v>Overall</v>
          </cell>
          <cell r="Q1642" t="str">
            <v>62|30</v>
          </cell>
        </row>
        <row r="1643">
          <cell r="E1643" t="str">
            <v>5. ELECTRICAL / UPS</v>
          </cell>
          <cell r="G1643" t="str">
            <v>B24A</v>
          </cell>
          <cell r="H1643" t="str">
            <v>Verify</v>
          </cell>
          <cell r="I1643" t="str">
            <v>5 kW</v>
          </cell>
          <cell r="J1643" t="str">
            <v>Verify</v>
          </cell>
          <cell r="K1643" t="str">
            <v>Verify</v>
          </cell>
          <cell r="L1643" t="str">
            <v>Verify</v>
          </cell>
          <cell r="O1643" t="str">
            <v>Verify</v>
          </cell>
          <cell r="Q1643" t="str">
            <v>62|31</v>
          </cell>
        </row>
        <row r="1644">
          <cell r="E1644" t="str">
            <v>5. ELECTRICAL / UPS</v>
          </cell>
          <cell r="G1644" t="str">
            <v>125</v>
          </cell>
          <cell r="H1644" t="str">
            <v>Verify</v>
          </cell>
          <cell r="I1644" t="str">
            <v>5 kW</v>
          </cell>
          <cell r="J1644" t="str">
            <v>Verify</v>
          </cell>
          <cell r="K1644" t="str">
            <v>Verify</v>
          </cell>
          <cell r="L1644" t="str">
            <v>Verify</v>
          </cell>
          <cell r="O1644" t="str">
            <v>Verify</v>
          </cell>
          <cell r="Q1644" t="str">
            <v>62|32</v>
          </cell>
        </row>
        <row r="1645">
          <cell r="E1645" t="str">
            <v>5. ELECTRICAL / UPS</v>
          </cell>
          <cell r="G1645" t="str">
            <v>225</v>
          </cell>
          <cell r="H1645" t="str">
            <v>Verify</v>
          </cell>
          <cell r="I1645" t="str">
            <v>5 kW</v>
          </cell>
          <cell r="J1645" t="str">
            <v>Verify</v>
          </cell>
          <cell r="K1645" t="str">
            <v>Verify</v>
          </cell>
          <cell r="L1645" t="str">
            <v>Verify</v>
          </cell>
          <cell r="O1645" t="str">
            <v>Verify</v>
          </cell>
          <cell r="Q1645" t="str">
            <v>62|33</v>
          </cell>
        </row>
        <row r="1646">
          <cell r="E1646" t="str">
            <v>5. ELECTRICAL / UPS</v>
          </cell>
          <cell r="G1646">
            <v>0</v>
          </cell>
          <cell r="H1646">
            <v>0</v>
          </cell>
          <cell r="I1646">
            <v>0</v>
          </cell>
          <cell r="J1646">
            <v>0</v>
          </cell>
          <cell r="K1646">
            <v>0</v>
          </cell>
          <cell r="L1646">
            <v>0</v>
          </cell>
          <cell r="O1646">
            <v>0</v>
          </cell>
          <cell r="Q1646" t="str">
            <v>62|34</v>
          </cell>
        </row>
        <row r="1647">
          <cell r="E1647" t="str">
            <v>5. ELECTRICAL / UPS</v>
          </cell>
          <cell r="G1647">
            <v>0</v>
          </cell>
          <cell r="H1647">
            <v>0</v>
          </cell>
          <cell r="I1647">
            <v>0</v>
          </cell>
          <cell r="J1647">
            <v>0</v>
          </cell>
          <cell r="K1647">
            <v>0</v>
          </cell>
          <cell r="L1647">
            <v>0</v>
          </cell>
          <cell r="O1647">
            <v>0</v>
          </cell>
          <cell r="Q1647" t="str">
            <v>62|35</v>
          </cell>
        </row>
        <row r="1648">
          <cell r="E1648" t="str">
            <v>6. TELECOM</v>
          </cell>
          <cell r="G1648" t="str">
            <v>6. TELECOM</v>
          </cell>
          <cell r="H1648">
            <v>0</v>
          </cell>
          <cell r="I1648">
            <v>0</v>
          </cell>
          <cell r="J1648">
            <v>0</v>
          </cell>
          <cell r="K1648">
            <v>0</v>
          </cell>
          <cell r="L1648">
            <v>0</v>
          </cell>
          <cell r="O1648">
            <v>0</v>
          </cell>
          <cell r="Q1648" t="str">
            <v>62|36</v>
          </cell>
        </row>
        <row r="1649">
          <cell r="E1649" t="str">
            <v>6. TELECOM</v>
          </cell>
          <cell r="G1649" t="str">
            <v>Room</v>
          </cell>
          <cell r="H1649" t="str">
            <v>Rack Installed</v>
          </cell>
          <cell r="I1649" t="str">
            <v>Ladder Tray</v>
          </cell>
          <cell r="J1649" t="str">
            <v>Fiber Installed</v>
          </cell>
          <cell r="K1649" t="str">
            <v>Grounding</v>
          </cell>
          <cell r="L1649" t="str">
            <v>Labeling</v>
          </cell>
          <cell r="O1649" t="str">
            <v>Overall</v>
          </cell>
          <cell r="Q1649" t="str">
            <v>62|37</v>
          </cell>
        </row>
        <row r="1650">
          <cell r="E1650" t="str">
            <v>6. TELECOM</v>
          </cell>
          <cell r="G1650" t="str">
            <v>B24A</v>
          </cell>
          <cell r="H1650" t="str">
            <v>Verify</v>
          </cell>
          <cell r="I1650" t="str">
            <v>Verify</v>
          </cell>
          <cell r="J1650" t="str">
            <v>Verify</v>
          </cell>
          <cell r="K1650" t="str">
            <v>Verify</v>
          </cell>
          <cell r="L1650" t="str">
            <v>Verify</v>
          </cell>
          <cell r="O1650" t="str">
            <v>Verify</v>
          </cell>
          <cell r="Q1650" t="str">
            <v>62|38</v>
          </cell>
        </row>
        <row r="1651">
          <cell r="E1651" t="str">
            <v>6. TELECOM</v>
          </cell>
          <cell r="G1651" t="str">
            <v>125</v>
          </cell>
          <cell r="H1651" t="str">
            <v>Verify</v>
          </cell>
          <cell r="I1651" t="str">
            <v>Verify</v>
          </cell>
          <cell r="J1651" t="str">
            <v>Verify</v>
          </cell>
          <cell r="K1651" t="str">
            <v>Verify</v>
          </cell>
          <cell r="L1651" t="str">
            <v>Verify</v>
          </cell>
          <cell r="O1651" t="str">
            <v>Verify</v>
          </cell>
          <cell r="Q1651" t="str">
            <v>62|39</v>
          </cell>
        </row>
        <row r="1652">
          <cell r="E1652" t="str">
            <v>6. TELECOM</v>
          </cell>
          <cell r="G1652" t="str">
            <v>225</v>
          </cell>
          <cell r="H1652" t="str">
            <v>Verify</v>
          </cell>
          <cell r="I1652" t="str">
            <v>Verify</v>
          </cell>
          <cell r="J1652" t="str">
            <v>Verify</v>
          </cell>
          <cell r="K1652" t="str">
            <v>Verify</v>
          </cell>
          <cell r="L1652" t="str">
            <v>Verify</v>
          </cell>
          <cell r="O1652" t="str">
            <v>Verify</v>
          </cell>
          <cell r="Q1652" t="str">
            <v>62|40</v>
          </cell>
        </row>
        <row r="1653">
          <cell r="E1653" t="str">
            <v>6. TELECOM</v>
          </cell>
          <cell r="G1653">
            <v>0</v>
          </cell>
          <cell r="H1653">
            <v>0</v>
          </cell>
          <cell r="I1653">
            <v>0</v>
          </cell>
          <cell r="J1653">
            <v>0</v>
          </cell>
          <cell r="K1653">
            <v>0</v>
          </cell>
          <cell r="L1653">
            <v>0</v>
          </cell>
          <cell r="O1653">
            <v>0</v>
          </cell>
          <cell r="Q1653" t="str">
            <v>62|41</v>
          </cell>
        </row>
        <row r="1654">
          <cell r="E1654" t="str">
            <v>6. TELECOM</v>
          </cell>
          <cell r="G1654">
            <v>0</v>
          </cell>
          <cell r="H1654">
            <v>0</v>
          </cell>
          <cell r="I1654">
            <v>0</v>
          </cell>
          <cell r="J1654">
            <v>0</v>
          </cell>
          <cell r="K1654">
            <v>0</v>
          </cell>
          <cell r="L1654">
            <v>0</v>
          </cell>
          <cell r="O1654">
            <v>0</v>
          </cell>
          <cell r="Q1654" t="str">
            <v>62|42</v>
          </cell>
        </row>
        <row r="1655">
          <cell r="E1655" t="str">
            <v>7. OWNER RISKS</v>
          </cell>
          <cell r="G1655" t="str">
            <v>7. OWNER RISKS</v>
          </cell>
          <cell r="H1655">
            <v>0</v>
          </cell>
          <cell r="I1655">
            <v>0</v>
          </cell>
          <cell r="J1655">
            <v>0</v>
          </cell>
          <cell r="K1655">
            <v>0</v>
          </cell>
          <cell r="L1655">
            <v>0</v>
          </cell>
          <cell r="O1655">
            <v>0</v>
          </cell>
          <cell r="Q1655" t="str">
            <v>62|43</v>
          </cell>
        </row>
        <row r="1656">
          <cell r="E1656" t="str">
            <v>7. OWNER RISKS</v>
          </cell>
          <cell r="G1656" t="str">
            <v>Risk ID</v>
          </cell>
          <cell r="H1656" t="str">
            <v>Room</v>
          </cell>
          <cell r="I1656" t="str">
            <v>Risk</v>
          </cell>
          <cell r="J1656" t="str">
            <v>Impact</v>
          </cell>
          <cell r="K1656" t="str">
            <v>Probability</v>
          </cell>
          <cell r="L1656" t="str">
            <v>Score</v>
          </cell>
          <cell r="O1656" t="str">
            <v>Status</v>
          </cell>
          <cell r="Q1656" t="str">
            <v>62|44</v>
          </cell>
        </row>
        <row r="1657">
          <cell r="E1657" t="str">
            <v>7. OWNER RISKS</v>
          </cell>
          <cell r="G1657" t="str">
            <v>B62-R1</v>
          </cell>
          <cell r="H1657" t="str">
            <v>All</v>
          </cell>
          <cell r="I1657" t="str">
            <v>Cooling redundancy / emergency power not verified</v>
          </cell>
          <cell r="J1657" t="str">
            <v>High</v>
          </cell>
          <cell r="K1657" t="str">
            <v>Medium</v>
          </cell>
          <cell r="L1657">
            <v>6</v>
          </cell>
          <cell r="O1657" t="str">
            <v>Open</v>
          </cell>
          <cell r="Q1657" t="str">
            <v>62|45</v>
          </cell>
        </row>
        <row r="1658">
          <cell r="E1658" t="str">
            <v>7. OWNER RISKS</v>
          </cell>
          <cell r="G1658" t="str">
            <v>B62-R2</v>
          </cell>
          <cell r="H1658" t="str">
            <v>All</v>
          </cell>
          <cell r="I1658" t="str">
            <v>Firestopping condition unknown</v>
          </cell>
          <cell r="J1658" t="str">
            <v>High</v>
          </cell>
          <cell r="K1658" t="str">
            <v>Medium</v>
          </cell>
          <cell r="L1658">
            <v>6</v>
          </cell>
          <cell r="O1658" t="str">
            <v>Open</v>
          </cell>
          <cell r="Q1658" t="str">
            <v>62|46</v>
          </cell>
        </row>
        <row r="1659">
          <cell r="E1659" t="str">
            <v>7. OWNER RISKS</v>
          </cell>
          <cell r="G1659" t="str">
            <v>B62-R3</v>
          </cell>
          <cell r="H1659" t="str">
            <v>All</v>
          </cell>
          <cell r="I1659" t="str">
            <v>Existing room conditions undocumented</v>
          </cell>
          <cell r="J1659" t="str">
            <v>Medium</v>
          </cell>
          <cell r="K1659" t="str">
            <v>High</v>
          </cell>
          <cell r="L1659">
            <v>6</v>
          </cell>
          <cell r="O1659" t="str">
            <v>Open</v>
          </cell>
          <cell r="Q1659" t="str">
            <v>62|47</v>
          </cell>
        </row>
        <row r="1660">
          <cell r="E1660" t="str">
            <v>7. OWNER RISKS</v>
          </cell>
          <cell r="G1660" t="str">
            <v>B62-R4</v>
          </cell>
          <cell r="H1660" t="str">
            <v>All</v>
          </cell>
          <cell r="I1660" t="str">
            <v>Condensate leak risk near IT equipment</v>
          </cell>
          <cell r="J1660" t="str">
            <v>High</v>
          </cell>
          <cell r="K1660" t="str">
            <v>Medium</v>
          </cell>
          <cell r="L1660">
            <v>6</v>
          </cell>
          <cell r="O1660" t="str">
            <v>Open</v>
          </cell>
          <cell r="Q1660" t="str">
            <v>62|48</v>
          </cell>
        </row>
        <row r="1661">
          <cell r="E1661" t="str">
            <v>7. OWNER RISKS</v>
          </cell>
          <cell r="G1661">
            <v>0</v>
          </cell>
          <cell r="H1661">
            <v>0</v>
          </cell>
          <cell r="I1661">
            <v>0</v>
          </cell>
          <cell r="J1661">
            <v>0</v>
          </cell>
          <cell r="K1661">
            <v>0</v>
          </cell>
          <cell r="L1661">
            <v>0</v>
          </cell>
          <cell r="O1661">
            <v>0</v>
          </cell>
          <cell r="Q1661" t="str">
            <v>62|49</v>
          </cell>
        </row>
        <row r="1662">
          <cell r="E1662" t="str">
            <v>7. OWNER RISKS</v>
          </cell>
          <cell r="G1662">
            <v>0</v>
          </cell>
          <cell r="H1662">
            <v>0</v>
          </cell>
          <cell r="I1662">
            <v>0</v>
          </cell>
          <cell r="J1662">
            <v>0</v>
          </cell>
          <cell r="K1662">
            <v>0</v>
          </cell>
          <cell r="L1662">
            <v>0</v>
          </cell>
          <cell r="O1662">
            <v>0</v>
          </cell>
          <cell r="Q1662" t="str">
            <v>62|50</v>
          </cell>
        </row>
        <row r="1663">
          <cell r="E1663" t="str">
            <v>8. OPEN QUESTIONS</v>
          </cell>
          <cell r="G1663" t="str">
            <v>8. OPEN QUESTIONS</v>
          </cell>
          <cell r="H1663">
            <v>0</v>
          </cell>
          <cell r="I1663">
            <v>0</v>
          </cell>
          <cell r="J1663">
            <v>0</v>
          </cell>
          <cell r="K1663">
            <v>0</v>
          </cell>
          <cell r="L1663">
            <v>0</v>
          </cell>
          <cell r="O1663">
            <v>0</v>
          </cell>
          <cell r="Q1663" t="str">
            <v>62|51</v>
          </cell>
        </row>
        <row r="1664">
          <cell r="E1664" t="str">
            <v>8. OPEN QUESTIONS</v>
          </cell>
          <cell r="G1664" t="str">
            <v>Question ID</v>
          </cell>
          <cell r="H1664" t="str">
            <v>Question</v>
          </cell>
          <cell r="I1664" t="str">
            <v>Assigned To</v>
          </cell>
          <cell r="J1664" t="str">
            <v>Status</v>
          </cell>
          <cell r="K1664" t="str">
            <v>Needed By</v>
          </cell>
          <cell r="L1664" t="str">
            <v>Answer / Resolution</v>
          </cell>
          <cell r="O1664" t="str">
            <v>Date Closed</v>
          </cell>
          <cell r="Q1664" t="str">
            <v>62|52</v>
          </cell>
        </row>
        <row r="1665">
          <cell r="E1665" t="str">
            <v>8. OPEN QUESTIONS</v>
          </cell>
          <cell r="G1665" t="str">
            <v>B62-Q1</v>
          </cell>
          <cell r="H1665" t="str">
            <v>Are cooling units emergency powered?</v>
          </cell>
          <cell r="I1665" t="str">
            <v>VA / Designer</v>
          </cell>
          <cell r="J1665" t="str">
            <v>Open</v>
          </cell>
          <cell r="K1665">
            <v>0</v>
          </cell>
          <cell r="L1665">
            <v>0</v>
          </cell>
          <cell r="O1665">
            <v>0</v>
          </cell>
          <cell r="Q1665" t="str">
            <v>62|53</v>
          </cell>
        </row>
        <row r="1666">
          <cell r="E1666" t="str">
            <v>8. OPEN QUESTIONS</v>
          </cell>
          <cell r="G1666" t="str">
            <v>B62-Q2</v>
          </cell>
          <cell r="H1666" t="str">
            <v>Are future rack loads included in HVAC sizing?</v>
          </cell>
          <cell r="I1666" t="str">
            <v>Designer</v>
          </cell>
          <cell r="J1666" t="str">
            <v>Open</v>
          </cell>
          <cell r="K1666">
            <v>0</v>
          </cell>
          <cell r="L1666">
            <v>0</v>
          </cell>
          <cell r="O1666">
            <v>0</v>
          </cell>
          <cell r="Q1666" t="str">
            <v>62|54</v>
          </cell>
        </row>
        <row r="1667">
          <cell r="E1667" t="str">
            <v>8. OPEN QUESTIONS</v>
          </cell>
          <cell r="G1667" t="str">
            <v>B62-Q3</v>
          </cell>
          <cell r="H1667" t="str">
            <v>Is extinguisher location identified within 75 feet?</v>
          </cell>
          <cell r="I1667" t="str">
            <v>Contractor / COR</v>
          </cell>
          <cell r="J1667" t="str">
            <v>Open</v>
          </cell>
          <cell r="K1667">
            <v>0</v>
          </cell>
          <cell r="L1667">
            <v>0</v>
          </cell>
          <cell r="O1667">
            <v>0</v>
          </cell>
          <cell r="Q1667" t="str">
            <v>62|55</v>
          </cell>
        </row>
        <row r="1668">
          <cell r="E1668" t="str">
            <v>8. OPEN QUESTIONS</v>
          </cell>
          <cell r="G1668" t="str">
            <v>B62-Q4</v>
          </cell>
          <cell r="H1668" t="str">
            <v>Are all penetrations fully documented and firestopped?</v>
          </cell>
          <cell r="I1668" t="str">
            <v>Contractor / Designer</v>
          </cell>
          <cell r="J1668" t="str">
            <v>Open</v>
          </cell>
          <cell r="K1668">
            <v>0</v>
          </cell>
          <cell r="L1668">
            <v>0</v>
          </cell>
          <cell r="O1668">
            <v>0</v>
          </cell>
          <cell r="Q1668" t="str">
            <v>62|56</v>
          </cell>
        </row>
        <row r="1669">
          <cell r="E1669" t="str">
            <v>8. OPEN QUESTIONS</v>
          </cell>
          <cell r="G1669">
            <v>0</v>
          </cell>
          <cell r="H1669">
            <v>0</v>
          </cell>
          <cell r="I1669">
            <v>0</v>
          </cell>
          <cell r="J1669">
            <v>0</v>
          </cell>
          <cell r="K1669">
            <v>0</v>
          </cell>
          <cell r="L1669">
            <v>0</v>
          </cell>
          <cell r="O1669">
            <v>0</v>
          </cell>
          <cell r="Q1669" t="str">
            <v>62|57</v>
          </cell>
        </row>
        <row r="1670">
          <cell r="E1670" t="str">
            <v>8. OPEN QUESTIONS</v>
          </cell>
          <cell r="G1670">
            <v>0</v>
          </cell>
          <cell r="H1670">
            <v>0</v>
          </cell>
          <cell r="I1670">
            <v>0</v>
          </cell>
          <cell r="J1670">
            <v>0</v>
          </cell>
          <cell r="K1670">
            <v>0</v>
          </cell>
          <cell r="L1670">
            <v>0</v>
          </cell>
          <cell r="O1670">
            <v>0</v>
          </cell>
          <cell r="Q1670" t="str">
            <v>62|58</v>
          </cell>
        </row>
        <row r="1671">
          <cell r="E1671" t="str">
            <v>9. PHOTO LOG</v>
          </cell>
          <cell r="G1671" t="str">
            <v>9. PHOTO LOG</v>
          </cell>
          <cell r="H1671">
            <v>0</v>
          </cell>
          <cell r="I1671">
            <v>0</v>
          </cell>
          <cell r="J1671">
            <v>0</v>
          </cell>
          <cell r="K1671">
            <v>0</v>
          </cell>
          <cell r="L1671">
            <v>0</v>
          </cell>
          <cell r="O1671">
            <v>0</v>
          </cell>
          <cell r="Q1671" t="str">
            <v>62|59</v>
          </cell>
        </row>
        <row r="1672">
          <cell r="E1672" t="str">
            <v>9. PHOTO LOG</v>
          </cell>
          <cell r="G1672" t="str">
            <v>Photo ID</v>
          </cell>
          <cell r="H1672" t="str">
            <v>Room</v>
          </cell>
          <cell r="I1672" t="str">
            <v>Category</v>
          </cell>
          <cell r="J1672" t="str">
            <v>Description</v>
          </cell>
          <cell r="K1672" t="str">
            <v>Date</v>
          </cell>
          <cell r="L1672" t="str">
            <v>Taken By</v>
          </cell>
          <cell r="O1672" t="str">
            <v>Status</v>
          </cell>
          <cell r="Q1672" t="str">
            <v>62|60</v>
          </cell>
        </row>
        <row r="1673">
          <cell r="E1673" t="str">
            <v>9. PHOTO LOG</v>
          </cell>
          <cell r="G1673" t="str">
            <v>B62-P001</v>
          </cell>
          <cell r="H1673" t="str">
            <v>B24A</v>
          </cell>
          <cell r="I1673" t="str">
            <v>Existing Condition</v>
          </cell>
          <cell r="J1673" t="str">
            <v>Existing room condition</v>
          </cell>
          <cell r="K1673">
            <v>0</v>
          </cell>
          <cell r="L1673" t="str">
            <v>Paul</v>
          </cell>
          <cell r="O1673" t="str">
            <v>Open</v>
          </cell>
          <cell r="Q1673" t="str">
            <v>62|61</v>
          </cell>
        </row>
        <row r="1674">
          <cell r="E1674" t="str">
            <v>9. PHOTO LOG</v>
          </cell>
          <cell r="G1674" t="str">
            <v>B62-P002</v>
          </cell>
          <cell r="H1674" t="str">
            <v>125</v>
          </cell>
          <cell r="I1674" t="str">
            <v>Existing Condition</v>
          </cell>
          <cell r="J1674" t="str">
            <v>Existing room condition</v>
          </cell>
          <cell r="K1674">
            <v>0</v>
          </cell>
          <cell r="L1674" t="str">
            <v>Paul</v>
          </cell>
          <cell r="O1674" t="str">
            <v>Open</v>
          </cell>
          <cell r="Q1674" t="str">
            <v>62|62</v>
          </cell>
        </row>
        <row r="1675">
          <cell r="E1675" t="str">
            <v>9. PHOTO LOG</v>
          </cell>
          <cell r="G1675" t="str">
            <v>B62-P003</v>
          </cell>
          <cell r="H1675" t="str">
            <v>225</v>
          </cell>
          <cell r="I1675" t="str">
            <v>Existing Condition</v>
          </cell>
          <cell r="J1675" t="str">
            <v>Existing room condition</v>
          </cell>
          <cell r="K1675">
            <v>0</v>
          </cell>
          <cell r="L1675" t="str">
            <v>Paul</v>
          </cell>
          <cell r="O1675" t="str">
            <v>Open</v>
          </cell>
          <cell r="Q1675" t="str">
            <v>62|63</v>
          </cell>
        </row>
        <row r="1676">
          <cell r="E1676" t="str">
            <v>9. PHOTO LOG</v>
          </cell>
          <cell r="G1676" t="str">
            <v>B62-P004</v>
          </cell>
          <cell r="H1676" t="str">
            <v>All</v>
          </cell>
          <cell r="I1676" t="str">
            <v>Firestop</v>
          </cell>
          <cell r="J1676" t="str">
            <v>Penetration/firestopping photo</v>
          </cell>
          <cell r="K1676">
            <v>0</v>
          </cell>
          <cell r="L1676" t="str">
            <v>Paul</v>
          </cell>
          <cell r="O1676" t="str">
            <v>Open</v>
          </cell>
          <cell r="Q1676" t="str">
            <v>62|64</v>
          </cell>
        </row>
        <row r="1677">
          <cell r="E1677" t="str">
            <v>9. PHOTO LOG</v>
          </cell>
          <cell r="G1677">
            <v>0</v>
          </cell>
          <cell r="H1677">
            <v>0</v>
          </cell>
          <cell r="I1677">
            <v>0</v>
          </cell>
          <cell r="J1677">
            <v>0</v>
          </cell>
          <cell r="K1677">
            <v>0</v>
          </cell>
          <cell r="L1677">
            <v>0</v>
          </cell>
          <cell r="O1677">
            <v>0</v>
          </cell>
          <cell r="Q1677" t="str">
            <v>62|65</v>
          </cell>
        </row>
        <row r="1678">
          <cell r="E1678" t="str">
            <v>9. PHOTO LOG</v>
          </cell>
          <cell r="G1678">
            <v>0</v>
          </cell>
          <cell r="H1678">
            <v>0</v>
          </cell>
          <cell r="I1678">
            <v>0</v>
          </cell>
          <cell r="J1678">
            <v>0</v>
          </cell>
          <cell r="K1678">
            <v>0</v>
          </cell>
          <cell r="L1678">
            <v>0</v>
          </cell>
          <cell r="O1678">
            <v>0</v>
          </cell>
          <cell r="Q1678" t="str">
            <v>62|66</v>
          </cell>
        </row>
        <row r="1679">
          <cell r="E1679" t="str">
            <v>10. OWNER READINESS SCORE</v>
          </cell>
          <cell r="G1679" t="str">
            <v>10. OWNER READINESS SCORE</v>
          </cell>
          <cell r="H1679">
            <v>0</v>
          </cell>
          <cell r="I1679">
            <v>0</v>
          </cell>
          <cell r="J1679">
            <v>0</v>
          </cell>
          <cell r="K1679">
            <v>0</v>
          </cell>
          <cell r="L1679">
            <v>0</v>
          </cell>
          <cell r="O1679">
            <v>0</v>
          </cell>
          <cell r="Q1679" t="str">
            <v>62|67</v>
          </cell>
        </row>
        <row r="1680">
          <cell r="E1680" t="str">
            <v>10. OWNER READINESS SCORE</v>
          </cell>
          <cell r="G1680" t="str">
            <v>Room</v>
          </cell>
          <cell r="H1680" t="str">
            <v>Room Readiness</v>
          </cell>
          <cell r="I1680" t="str">
            <v>Fire</v>
          </cell>
          <cell r="J1680" t="str">
            <v>HVAC</v>
          </cell>
          <cell r="K1680" t="str">
            <v>Electrical</v>
          </cell>
          <cell r="L1680" t="str">
            <v>Telecom</v>
          </cell>
          <cell r="O1680" t="str">
            <v>Readiness</v>
          </cell>
          <cell r="Q1680" t="str">
            <v>62|68</v>
          </cell>
        </row>
        <row r="1681">
          <cell r="E1681" t="str">
            <v>10. OWNER READINESS SCORE</v>
          </cell>
          <cell r="G1681" t="str">
            <v>B24A</v>
          </cell>
          <cell r="H1681">
            <v>0.5</v>
          </cell>
          <cell r="I1681">
            <v>0.5</v>
          </cell>
          <cell r="J1681">
            <v>0.5</v>
          </cell>
          <cell r="K1681">
            <v>0.5</v>
          </cell>
          <cell r="L1681">
            <v>0.5</v>
          </cell>
          <cell r="O1681" t="str">
            <v>Partial / Yellow</v>
          </cell>
          <cell r="Q1681" t="str">
            <v>62|69</v>
          </cell>
        </row>
        <row r="1682">
          <cell r="E1682" t="str">
            <v>10. OWNER READINESS SCORE</v>
          </cell>
          <cell r="G1682" t="str">
            <v>125</v>
          </cell>
          <cell r="H1682">
            <v>0.5</v>
          </cell>
          <cell r="I1682">
            <v>0.5</v>
          </cell>
          <cell r="J1682">
            <v>0.5</v>
          </cell>
          <cell r="K1682">
            <v>0.5</v>
          </cell>
          <cell r="L1682">
            <v>0.5</v>
          </cell>
          <cell r="O1682" t="str">
            <v>Partial / Yellow</v>
          </cell>
          <cell r="Q1682" t="str">
            <v>62|70</v>
          </cell>
        </row>
        <row r="1683">
          <cell r="E1683" t="str">
            <v>10. OWNER READINESS SCORE</v>
          </cell>
          <cell r="G1683" t="str">
            <v>225</v>
          </cell>
          <cell r="H1683">
            <v>0.5</v>
          </cell>
          <cell r="I1683">
            <v>0.5</v>
          </cell>
          <cell r="J1683">
            <v>0.5</v>
          </cell>
          <cell r="K1683">
            <v>0.5</v>
          </cell>
          <cell r="L1683">
            <v>0.5</v>
          </cell>
          <cell r="O1683" t="str">
            <v>Partial / Yellow</v>
          </cell>
          <cell r="Q1683" t="str">
            <v>62|71</v>
          </cell>
        </row>
        <row r="1684">
          <cell r="E1684" t="str">
            <v>10. OWNER READINESS SCORE</v>
          </cell>
          <cell r="G1684">
            <v>0</v>
          </cell>
          <cell r="H1684">
            <v>0</v>
          </cell>
          <cell r="I1684">
            <v>0</v>
          </cell>
          <cell r="J1684">
            <v>0</v>
          </cell>
          <cell r="K1684">
            <v>0</v>
          </cell>
          <cell r="L1684">
            <v>0</v>
          </cell>
          <cell r="O1684">
            <v>0</v>
          </cell>
          <cell r="Q1684" t="str">
            <v>62|72</v>
          </cell>
        </row>
        <row r="1685">
          <cell r="E1685" t="str">
            <v>10. OWNER READINESS SCORE</v>
          </cell>
          <cell r="G1685" t="str">
            <v>12. PAYMENT VERIFICATION</v>
          </cell>
          <cell r="H1685">
            <v>0</v>
          </cell>
          <cell r="I1685">
            <v>0</v>
          </cell>
          <cell r="J1685">
            <v>0</v>
          </cell>
          <cell r="K1685">
            <v>0</v>
          </cell>
          <cell r="L1685">
            <v>0</v>
          </cell>
          <cell r="O1685">
            <v>0</v>
          </cell>
          <cell r="Q1685" t="str">
            <v>62|73</v>
          </cell>
        </row>
        <row r="1686">
          <cell r="E1686" t="str">
            <v>1. ROOM INVENTORY</v>
          </cell>
          <cell r="G1686" t="str">
            <v>1. ROOM INVENTORY</v>
          </cell>
          <cell r="H1686">
            <v>0</v>
          </cell>
          <cell r="I1686">
            <v>0</v>
          </cell>
          <cell r="J1686">
            <v>0</v>
          </cell>
          <cell r="K1686">
            <v>0</v>
          </cell>
          <cell r="L1686">
            <v>0</v>
          </cell>
          <cell r="O1686">
            <v>0</v>
          </cell>
          <cell r="Q1686" t="str">
            <v>70|1</v>
          </cell>
        </row>
        <row r="1687">
          <cell r="E1687" t="str">
            <v>1. ROOM INVENTORY</v>
          </cell>
          <cell r="G1687" t="str">
            <v>Building</v>
          </cell>
          <cell r="H1687" t="str">
            <v>Room</v>
          </cell>
          <cell r="I1687" t="str">
            <v>Floor</v>
          </cell>
          <cell r="J1687" t="str">
            <v>Existing Use</v>
          </cell>
          <cell r="K1687" t="str">
            <v>New Use</v>
          </cell>
          <cell r="L1687" t="str">
            <v>Rack Count</v>
          </cell>
          <cell r="O1687" t="str">
            <v>Drawing Ref</v>
          </cell>
          <cell r="Q1687" t="str">
            <v>70|2</v>
          </cell>
        </row>
        <row r="1688">
          <cell r="E1688" t="str">
            <v>1. ROOM INVENTORY</v>
          </cell>
          <cell r="G1688" t="str">
            <v>70</v>
          </cell>
          <cell r="H1688" t="str">
            <v>B27</v>
          </cell>
          <cell r="I1688" t="str">
            <v>Basement</v>
          </cell>
          <cell r="J1688" t="str">
            <v>Telecom Room / existing service area</v>
          </cell>
          <cell r="K1688" t="str">
            <v>TR</v>
          </cell>
          <cell r="L1688">
            <v>1</v>
          </cell>
          <cell r="O1688" t="str">
            <v>70A/70T/70M/70FX</v>
          </cell>
          <cell r="Q1688" t="str">
            <v>70|3</v>
          </cell>
        </row>
        <row r="1689">
          <cell r="E1689" t="str">
            <v>1. ROOM INVENTORY</v>
          </cell>
          <cell r="G1689" t="str">
            <v>70</v>
          </cell>
          <cell r="H1689" t="str">
            <v>125A</v>
          </cell>
          <cell r="I1689" t="str">
            <v>First</v>
          </cell>
          <cell r="J1689" t="str">
            <v>Telecom Room / existing or renovated space</v>
          </cell>
          <cell r="K1689" t="str">
            <v>TR</v>
          </cell>
          <cell r="L1689">
            <v>1</v>
          </cell>
          <cell r="O1689" t="str">
            <v>70A/70T/70M/70FX</v>
          </cell>
          <cell r="Q1689" t="str">
            <v>70|4</v>
          </cell>
        </row>
        <row r="1690">
          <cell r="E1690" t="str">
            <v>1. ROOM INVENTORY</v>
          </cell>
          <cell r="G1690" t="str">
            <v>70</v>
          </cell>
          <cell r="H1690" t="str">
            <v>262A</v>
          </cell>
          <cell r="I1690" t="str">
            <v>Second</v>
          </cell>
          <cell r="J1690" t="str">
            <v>Telecom Room / existing or renovated space</v>
          </cell>
          <cell r="K1690" t="str">
            <v>TR</v>
          </cell>
          <cell r="L1690">
            <v>1</v>
          </cell>
          <cell r="O1690" t="str">
            <v>70A/70T/70M/70FX</v>
          </cell>
          <cell r="Q1690" t="str">
            <v>70|5</v>
          </cell>
        </row>
        <row r="1691">
          <cell r="E1691" t="str">
            <v>1. ROOM INVENTORY</v>
          </cell>
          <cell r="G1691">
            <v>0</v>
          </cell>
          <cell r="H1691">
            <v>0</v>
          </cell>
          <cell r="I1691">
            <v>0</v>
          </cell>
          <cell r="J1691">
            <v>0</v>
          </cell>
          <cell r="K1691">
            <v>0</v>
          </cell>
          <cell r="L1691">
            <v>0</v>
          </cell>
          <cell r="O1691">
            <v>0</v>
          </cell>
          <cell r="Q1691" t="str">
            <v>70|6</v>
          </cell>
        </row>
        <row r="1692">
          <cell r="E1692" t="str">
            <v>1. ROOM INVENTORY</v>
          </cell>
          <cell r="G1692">
            <v>0</v>
          </cell>
          <cell r="H1692">
            <v>0</v>
          </cell>
          <cell r="I1692">
            <v>0</v>
          </cell>
          <cell r="J1692">
            <v>0</v>
          </cell>
          <cell r="K1692">
            <v>0</v>
          </cell>
          <cell r="L1692">
            <v>0</v>
          </cell>
          <cell r="O1692">
            <v>0</v>
          </cell>
          <cell r="Q1692" t="str">
            <v>70|7</v>
          </cell>
        </row>
        <row r="1693">
          <cell r="E1693" t="str">
            <v>2. ROOM READINESS</v>
          </cell>
          <cell r="G1693" t="str">
            <v>2. ROOM READINESS</v>
          </cell>
          <cell r="H1693">
            <v>0</v>
          </cell>
          <cell r="I1693">
            <v>0</v>
          </cell>
          <cell r="J1693">
            <v>0</v>
          </cell>
          <cell r="K1693">
            <v>0</v>
          </cell>
          <cell r="L1693">
            <v>0</v>
          </cell>
          <cell r="O1693">
            <v>0</v>
          </cell>
          <cell r="Q1693" t="str">
            <v>70|8</v>
          </cell>
        </row>
        <row r="1694">
          <cell r="E1694" t="str">
            <v>2. ROOM READINESS</v>
          </cell>
          <cell r="G1694" t="str">
            <v>Room</v>
          </cell>
          <cell r="H1694" t="str">
            <v>Walls / 1-hr Rating</v>
          </cell>
          <cell r="I1694" t="str">
            <v>Ceiling</v>
          </cell>
          <cell r="J1694" t="str">
            <v>Floor / SDC</v>
          </cell>
          <cell r="K1694" t="str">
            <v>Penetrations</v>
          </cell>
          <cell r="L1694" t="str">
            <v>Access Control</v>
          </cell>
          <cell r="O1694" t="str">
            <v>Overall</v>
          </cell>
          <cell r="Q1694" t="str">
            <v>70|9</v>
          </cell>
        </row>
        <row r="1695">
          <cell r="E1695" t="str">
            <v>2. ROOM READINESS</v>
          </cell>
          <cell r="G1695" t="str">
            <v>B27</v>
          </cell>
          <cell r="H1695" t="str">
            <v>Verify</v>
          </cell>
          <cell r="I1695" t="str">
            <v>Verify</v>
          </cell>
          <cell r="J1695" t="str">
            <v>Verify</v>
          </cell>
          <cell r="K1695" t="str">
            <v>Verify</v>
          </cell>
          <cell r="L1695" t="str">
            <v>Verify</v>
          </cell>
          <cell r="O1695" t="str">
            <v>Verify</v>
          </cell>
          <cell r="Q1695" t="str">
            <v>70|10</v>
          </cell>
        </row>
        <row r="1696">
          <cell r="E1696" t="str">
            <v>2. ROOM READINESS</v>
          </cell>
          <cell r="G1696" t="str">
            <v>125A</v>
          </cell>
          <cell r="H1696" t="str">
            <v>Verify</v>
          </cell>
          <cell r="I1696" t="str">
            <v>Verify</v>
          </cell>
          <cell r="J1696" t="str">
            <v>Verify</v>
          </cell>
          <cell r="K1696" t="str">
            <v>Verify</v>
          </cell>
          <cell r="L1696" t="str">
            <v>Verify</v>
          </cell>
          <cell r="O1696" t="str">
            <v>Verify</v>
          </cell>
          <cell r="Q1696" t="str">
            <v>70|11</v>
          </cell>
        </row>
        <row r="1697">
          <cell r="E1697" t="str">
            <v>2. ROOM READINESS</v>
          </cell>
          <cell r="G1697" t="str">
            <v>262A</v>
          </cell>
          <cell r="H1697" t="str">
            <v>Verify</v>
          </cell>
          <cell r="I1697" t="str">
            <v>Verify</v>
          </cell>
          <cell r="J1697" t="str">
            <v>Verify</v>
          </cell>
          <cell r="K1697" t="str">
            <v>Verify</v>
          </cell>
          <cell r="L1697" t="str">
            <v>Verify</v>
          </cell>
          <cell r="O1697" t="str">
            <v>Verify</v>
          </cell>
          <cell r="Q1697" t="str">
            <v>70|12</v>
          </cell>
        </row>
        <row r="1698">
          <cell r="E1698" t="str">
            <v>2. ROOM READINESS</v>
          </cell>
          <cell r="G1698">
            <v>0</v>
          </cell>
          <cell r="H1698">
            <v>0</v>
          </cell>
          <cell r="I1698">
            <v>0</v>
          </cell>
          <cell r="J1698">
            <v>0</v>
          </cell>
          <cell r="K1698">
            <v>0</v>
          </cell>
          <cell r="L1698">
            <v>0</v>
          </cell>
          <cell r="O1698">
            <v>0</v>
          </cell>
          <cell r="Q1698" t="str">
            <v>70|13</v>
          </cell>
        </row>
        <row r="1699">
          <cell r="E1699" t="str">
            <v>2. ROOM READINESS</v>
          </cell>
          <cell r="G1699">
            <v>0</v>
          </cell>
          <cell r="H1699">
            <v>0</v>
          </cell>
          <cell r="I1699">
            <v>0</v>
          </cell>
          <cell r="J1699">
            <v>0</v>
          </cell>
          <cell r="K1699">
            <v>0</v>
          </cell>
          <cell r="L1699">
            <v>0</v>
          </cell>
          <cell r="O1699">
            <v>0</v>
          </cell>
          <cell r="Q1699" t="str">
            <v>70|14</v>
          </cell>
        </row>
        <row r="1700">
          <cell r="E1700" t="str">
            <v>3. FIRE PROTECTION</v>
          </cell>
          <cell r="G1700" t="str">
            <v>3. FIRE PROTECTION</v>
          </cell>
          <cell r="H1700">
            <v>0</v>
          </cell>
          <cell r="I1700">
            <v>0</v>
          </cell>
          <cell r="J1700">
            <v>0</v>
          </cell>
          <cell r="K1700">
            <v>0</v>
          </cell>
          <cell r="L1700">
            <v>0</v>
          </cell>
          <cell r="O1700">
            <v>0</v>
          </cell>
          <cell r="Q1700" t="str">
            <v>70|15</v>
          </cell>
        </row>
        <row r="1701">
          <cell r="E1701" t="str">
            <v>3. FIRE PROTECTION</v>
          </cell>
          <cell r="G1701" t="str">
            <v>Room</v>
          </cell>
          <cell r="H1701" t="str">
            <v>Sprinkler</v>
          </cell>
          <cell r="I1701" t="str">
            <v>Cage</v>
          </cell>
          <cell r="J1701" t="str">
            <v>Detector</v>
          </cell>
          <cell r="K1701" t="str">
            <v>Horn/Strobe</v>
          </cell>
          <cell r="L1701" t="str">
            <v>Extinguisher &lt;75 ft</v>
          </cell>
          <cell r="O1701" t="str">
            <v>Overall</v>
          </cell>
          <cell r="Q1701" t="str">
            <v>70|16</v>
          </cell>
        </row>
        <row r="1702">
          <cell r="E1702" t="str">
            <v>3. FIRE PROTECTION</v>
          </cell>
          <cell r="G1702" t="str">
            <v>B27</v>
          </cell>
          <cell r="H1702" t="str">
            <v>Verify</v>
          </cell>
          <cell r="I1702" t="str">
            <v>Verify</v>
          </cell>
          <cell r="J1702" t="str">
            <v>Verify</v>
          </cell>
          <cell r="K1702" t="str">
            <v>Verify</v>
          </cell>
          <cell r="L1702" t="str">
            <v>Verify</v>
          </cell>
          <cell r="O1702" t="str">
            <v>Verify</v>
          </cell>
          <cell r="Q1702" t="str">
            <v>70|17</v>
          </cell>
        </row>
        <row r="1703">
          <cell r="E1703" t="str">
            <v>3. FIRE PROTECTION</v>
          </cell>
          <cell r="G1703" t="str">
            <v>125A</v>
          </cell>
          <cell r="H1703" t="str">
            <v>Verify</v>
          </cell>
          <cell r="I1703" t="str">
            <v>Verify</v>
          </cell>
          <cell r="J1703" t="str">
            <v>Verify</v>
          </cell>
          <cell r="K1703" t="str">
            <v>Verify</v>
          </cell>
          <cell r="L1703" t="str">
            <v>Verify</v>
          </cell>
          <cell r="O1703" t="str">
            <v>Verify</v>
          </cell>
          <cell r="Q1703" t="str">
            <v>70|18</v>
          </cell>
        </row>
        <row r="1704">
          <cell r="E1704" t="str">
            <v>3. FIRE PROTECTION</v>
          </cell>
          <cell r="G1704" t="str">
            <v>262A</v>
          </cell>
          <cell r="H1704" t="str">
            <v>Verify</v>
          </cell>
          <cell r="I1704" t="str">
            <v>Verify</v>
          </cell>
          <cell r="J1704" t="str">
            <v>Verify</v>
          </cell>
          <cell r="K1704" t="str">
            <v>Verify</v>
          </cell>
          <cell r="L1704" t="str">
            <v>Verify</v>
          </cell>
          <cell r="O1704" t="str">
            <v>Verify</v>
          </cell>
          <cell r="Q1704" t="str">
            <v>70|19</v>
          </cell>
        </row>
        <row r="1705">
          <cell r="E1705" t="str">
            <v>3. FIRE PROTECTION</v>
          </cell>
          <cell r="G1705">
            <v>0</v>
          </cell>
          <cell r="H1705">
            <v>0</v>
          </cell>
          <cell r="I1705">
            <v>0</v>
          </cell>
          <cell r="J1705">
            <v>0</v>
          </cell>
          <cell r="K1705">
            <v>0</v>
          </cell>
          <cell r="L1705">
            <v>0</v>
          </cell>
          <cell r="O1705">
            <v>0</v>
          </cell>
          <cell r="Q1705" t="str">
            <v>70|20</v>
          </cell>
        </row>
        <row r="1706">
          <cell r="E1706" t="str">
            <v>3. FIRE PROTECTION</v>
          </cell>
          <cell r="G1706">
            <v>0</v>
          </cell>
          <cell r="H1706">
            <v>0</v>
          </cell>
          <cell r="I1706">
            <v>0</v>
          </cell>
          <cell r="J1706">
            <v>0</v>
          </cell>
          <cell r="K1706">
            <v>0</v>
          </cell>
          <cell r="L1706">
            <v>0</v>
          </cell>
          <cell r="O1706">
            <v>0</v>
          </cell>
          <cell r="Q1706" t="str">
            <v>70|21</v>
          </cell>
        </row>
        <row r="1707">
          <cell r="E1707" t="str">
            <v>4. HVAC / COOLING</v>
          </cell>
          <cell r="G1707" t="str">
            <v>4. HVAC / COOLING</v>
          </cell>
          <cell r="H1707">
            <v>0</v>
          </cell>
          <cell r="I1707">
            <v>0</v>
          </cell>
          <cell r="J1707">
            <v>0</v>
          </cell>
          <cell r="K1707">
            <v>0</v>
          </cell>
          <cell r="L1707">
            <v>0</v>
          </cell>
          <cell r="O1707">
            <v>0</v>
          </cell>
          <cell r="Q1707" t="str">
            <v>70|22</v>
          </cell>
        </row>
        <row r="1708">
          <cell r="E1708" t="str">
            <v>4. HVAC / COOLING</v>
          </cell>
          <cell r="G1708" t="str">
            <v>Room</v>
          </cell>
          <cell r="H1708" t="str">
            <v>Dedicated Unit</v>
          </cell>
          <cell r="I1708" t="str">
            <v>Capacity Verified</v>
          </cell>
          <cell r="J1708" t="str">
            <v>Emergency Power</v>
          </cell>
          <cell r="K1708" t="str">
            <v>Controls / BACnet</v>
          </cell>
          <cell r="L1708" t="str">
            <v>Condensate Routed</v>
          </cell>
          <cell r="O1708" t="str">
            <v>Overall</v>
          </cell>
          <cell r="Q1708" t="str">
            <v>70|23</v>
          </cell>
        </row>
        <row r="1709">
          <cell r="E1709" t="str">
            <v>4. HVAC / COOLING</v>
          </cell>
          <cell r="G1709" t="str">
            <v>B27</v>
          </cell>
          <cell r="H1709" t="str">
            <v>Verify</v>
          </cell>
          <cell r="I1709" t="str">
            <v>Verify</v>
          </cell>
          <cell r="J1709" t="str">
            <v>Verify</v>
          </cell>
          <cell r="K1709" t="str">
            <v>Verify</v>
          </cell>
          <cell r="L1709" t="str">
            <v>Verify</v>
          </cell>
          <cell r="O1709" t="str">
            <v>Verify</v>
          </cell>
          <cell r="Q1709" t="str">
            <v>70|24</v>
          </cell>
        </row>
        <row r="1710">
          <cell r="E1710" t="str">
            <v>4. HVAC / COOLING</v>
          </cell>
          <cell r="G1710" t="str">
            <v>125A</v>
          </cell>
          <cell r="H1710" t="str">
            <v>Verify</v>
          </cell>
          <cell r="I1710" t="str">
            <v>Verify</v>
          </cell>
          <cell r="J1710" t="str">
            <v>Verify</v>
          </cell>
          <cell r="K1710" t="str">
            <v>Verify</v>
          </cell>
          <cell r="L1710" t="str">
            <v>Verify</v>
          </cell>
          <cell r="O1710" t="str">
            <v>Verify</v>
          </cell>
          <cell r="Q1710" t="str">
            <v>70|25</v>
          </cell>
        </row>
        <row r="1711">
          <cell r="E1711" t="str">
            <v>4. HVAC / COOLING</v>
          </cell>
          <cell r="G1711" t="str">
            <v>262A</v>
          </cell>
          <cell r="H1711" t="str">
            <v>Verify</v>
          </cell>
          <cell r="I1711" t="str">
            <v>Verify</v>
          </cell>
          <cell r="J1711" t="str">
            <v>Verify</v>
          </cell>
          <cell r="K1711" t="str">
            <v>Verify</v>
          </cell>
          <cell r="L1711" t="str">
            <v>Verify</v>
          </cell>
          <cell r="O1711" t="str">
            <v>Verify</v>
          </cell>
          <cell r="Q1711" t="str">
            <v>70|26</v>
          </cell>
        </row>
        <row r="1712">
          <cell r="E1712" t="str">
            <v>4. HVAC / COOLING</v>
          </cell>
          <cell r="G1712">
            <v>0</v>
          </cell>
          <cell r="H1712">
            <v>0</v>
          </cell>
          <cell r="I1712">
            <v>0</v>
          </cell>
          <cell r="J1712">
            <v>0</v>
          </cell>
          <cell r="K1712">
            <v>0</v>
          </cell>
          <cell r="L1712">
            <v>0</v>
          </cell>
          <cell r="O1712">
            <v>0</v>
          </cell>
          <cell r="Q1712" t="str">
            <v>70|27</v>
          </cell>
        </row>
        <row r="1713">
          <cell r="E1713" t="str">
            <v>4. HVAC / COOLING</v>
          </cell>
          <cell r="G1713">
            <v>0</v>
          </cell>
          <cell r="H1713">
            <v>0</v>
          </cell>
          <cell r="I1713">
            <v>0</v>
          </cell>
          <cell r="J1713">
            <v>0</v>
          </cell>
          <cell r="K1713">
            <v>0</v>
          </cell>
          <cell r="L1713">
            <v>0</v>
          </cell>
          <cell r="O1713">
            <v>0</v>
          </cell>
          <cell r="Q1713" t="str">
            <v>70|28</v>
          </cell>
        </row>
        <row r="1714">
          <cell r="E1714" t="str">
            <v>5. ELECTRICAL / UPS</v>
          </cell>
          <cell r="G1714" t="str">
            <v>5. ELECTRICAL / UPS</v>
          </cell>
          <cell r="H1714">
            <v>0</v>
          </cell>
          <cell r="I1714">
            <v>0</v>
          </cell>
          <cell r="J1714">
            <v>0</v>
          </cell>
          <cell r="K1714">
            <v>0</v>
          </cell>
          <cell r="L1714">
            <v>0</v>
          </cell>
          <cell r="O1714">
            <v>0</v>
          </cell>
          <cell r="Q1714" t="str">
            <v>70|29</v>
          </cell>
        </row>
        <row r="1715">
          <cell r="E1715" t="str">
            <v>5. ELECTRICAL / UPS</v>
          </cell>
          <cell r="G1715" t="str">
            <v>Room</v>
          </cell>
          <cell r="H1715" t="str">
            <v>UPS Installed</v>
          </cell>
          <cell r="I1715" t="str">
            <v>UPS Size</v>
          </cell>
          <cell r="J1715" t="str">
            <v>PDU Installed</v>
          </cell>
          <cell r="K1715" t="str">
            <v>Rack Receptacles</v>
          </cell>
          <cell r="L1715" t="str">
            <v>Panel Assigned</v>
          </cell>
          <cell r="O1715" t="str">
            <v>Overall</v>
          </cell>
          <cell r="Q1715" t="str">
            <v>70|30</v>
          </cell>
        </row>
        <row r="1716">
          <cell r="E1716" t="str">
            <v>5. ELECTRICAL / UPS</v>
          </cell>
          <cell r="G1716" t="str">
            <v>B27</v>
          </cell>
          <cell r="H1716" t="str">
            <v>Verify</v>
          </cell>
          <cell r="I1716" t="str">
            <v>5 kW</v>
          </cell>
          <cell r="J1716" t="str">
            <v>Verify</v>
          </cell>
          <cell r="K1716" t="str">
            <v>Verify</v>
          </cell>
          <cell r="L1716" t="str">
            <v>Verify</v>
          </cell>
          <cell r="O1716" t="str">
            <v>Verify</v>
          </cell>
          <cell r="Q1716" t="str">
            <v>70|31</v>
          </cell>
        </row>
        <row r="1717">
          <cell r="E1717" t="str">
            <v>5. ELECTRICAL / UPS</v>
          </cell>
          <cell r="G1717" t="str">
            <v>125A</v>
          </cell>
          <cell r="H1717" t="str">
            <v>Verify</v>
          </cell>
          <cell r="I1717" t="str">
            <v>5 kW</v>
          </cell>
          <cell r="J1717" t="str">
            <v>Verify</v>
          </cell>
          <cell r="K1717" t="str">
            <v>Verify</v>
          </cell>
          <cell r="L1717" t="str">
            <v>Verify</v>
          </cell>
          <cell r="O1717" t="str">
            <v>Verify</v>
          </cell>
          <cell r="Q1717" t="str">
            <v>70|32</v>
          </cell>
        </row>
        <row r="1718">
          <cell r="E1718" t="str">
            <v>5. ELECTRICAL / UPS</v>
          </cell>
          <cell r="G1718" t="str">
            <v>262A</v>
          </cell>
          <cell r="H1718" t="str">
            <v>Verify</v>
          </cell>
          <cell r="I1718" t="str">
            <v>5 kW</v>
          </cell>
          <cell r="J1718" t="str">
            <v>Verify</v>
          </cell>
          <cell r="K1718" t="str">
            <v>Verify</v>
          </cell>
          <cell r="L1718" t="str">
            <v>Verify</v>
          </cell>
          <cell r="O1718" t="str">
            <v>Verify</v>
          </cell>
          <cell r="Q1718" t="str">
            <v>70|33</v>
          </cell>
        </row>
        <row r="1719">
          <cell r="E1719" t="str">
            <v>5. ELECTRICAL / UPS</v>
          </cell>
          <cell r="G1719">
            <v>0</v>
          </cell>
          <cell r="H1719">
            <v>0</v>
          </cell>
          <cell r="I1719">
            <v>0</v>
          </cell>
          <cell r="J1719">
            <v>0</v>
          </cell>
          <cell r="K1719">
            <v>0</v>
          </cell>
          <cell r="L1719">
            <v>0</v>
          </cell>
          <cell r="O1719">
            <v>0</v>
          </cell>
          <cell r="Q1719" t="str">
            <v>70|34</v>
          </cell>
        </row>
        <row r="1720">
          <cell r="E1720" t="str">
            <v>5. ELECTRICAL / UPS</v>
          </cell>
          <cell r="G1720">
            <v>0</v>
          </cell>
          <cell r="H1720">
            <v>0</v>
          </cell>
          <cell r="I1720">
            <v>0</v>
          </cell>
          <cell r="J1720">
            <v>0</v>
          </cell>
          <cell r="K1720">
            <v>0</v>
          </cell>
          <cell r="L1720">
            <v>0</v>
          </cell>
          <cell r="O1720">
            <v>0</v>
          </cell>
          <cell r="Q1720" t="str">
            <v>70|35</v>
          </cell>
        </row>
        <row r="1721">
          <cell r="E1721" t="str">
            <v>6. TELECOM</v>
          </cell>
          <cell r="G1721" t="str">
            <v>6. TELECOM</v>
          </cell>
          <cell r="H1721">
            <v>0</v>
          </cell>
          <cell r="I1721">
            <v>0</v>
          </cell>
          <cell r="J1721">
            <v>0</v>
          </cell>
          <cell r="K1721">
            <v>0</v>
          </cell>
          <cell r="L1721">
            <v>0</v>
          </cell>
          <cell r="O1721">
            <v>0</v>
          </cell>
          <cell r="Q1721" t="str">
            <v>70|36</v>
          </cell>
        </row>
        <row r="1722">
          <cell r="E1722" t="str">
            <v>6. TELECOM</v>
          </cell>
          <cell r="G1722" t="str">
            <v>Room</v>
          </cell>
          <cell r="H1722" t="str">
            <v>Rack Installed</v>
          </cell>
          <cell r="I1722" t="str">
            <v>Ladder Tray</v>
          </cell>
          <cell r="J1722" t="str">
            <v>Fiber Installed</v>
          </cell>
          <cell r="K1722" t="str">
            <v>Grounding</v>
          </cell>
          <cell r="L1722" t="str">
            <v>Labeling</v>
          </cell>
          <cell r="O1722" t="str">
            <v>Overall</v>
          </cell>
          <cell r="Q1722" t="str">
            <v>70|37</v>
          </cell>
        </row>
        <row r="1723">
          <cell r="E1723" t="str">
            <v>6. TELECOM</v>
          </cell>
          <cell r="G1723" t="str">
            <v>B27</v>
          </cell>
          <cell r="H1723" t="str">
            <v>Verify</v>
          </cell>
          <cell r="I1723" t="str">
            <v>Verify</v>
          </cell>
          <cell r="J1723" t="str">
            <v>Verify</v>
          </cell>
          <cell r="K1723" t="str">
            <v>Verify</v>
          </cell>
          <cell r="L1723" t="str">
            <v>Verify</v>
          </cell>
          <cell r="O1723" t="str">
            <v>Verify</v>
          </cell>
          <cell r="Q1723" t="str">
            <v>70|38</v>
          </cell>
        </row>
        <row r="1724">
          <cell r="E1724" t="str">
            <v>6. TELECOM</v>
          </cell>
          <cell r="G1724" t="str">
            <v>125A</v>
          </cell>
          <cell r="H1724" t="str">
            <v>Verify</v>
          </cell>
          <cell r="I1724" t="str">
            <v>Verify</v>
          </cell>
          <cell r="J1724" t="str">
            <v>Verify</v>
          </cell>
          <cell r="K1724" t="str">
            <v>Verify</v>
          </cell>
          <cell r="L1724" t="str">
            <v>Verify</v>
          </cell>
          <cell r="O1724" t="str">
            <v>Verify</v>
          </cell>
          <cell r="Q1724" t="str">
            <v>70|39</v>
          </cell>
        </row>
        <row r="1725">
          <cell r="E1725" t="str">
            <v>6. TELECOM</v>
          </cell>
          <cell r="G1725" t="str">
            <v>262A</v>
          </cell>
          <cell r="H1725" t="str">
            <v>Verify</v>
          </cell>
          <cell r="I1725" t="str">
            <v>Verify</v>
          </cell>
          <cell r="J1725" t="str">
            <v>Verify</v>
          </cell>
          <cell r="K1725" t="str">
            <v>Verify</v>
          </cell>
          <cell r="L1725" t="str">
            <v>Verify</v>
          </cell>
          <cell r="O1725" t="str">
            <v>Verify</v>
          </cell>
          <cell r="Q1725" t="str">
            <v>70|40</v>
          </cell>
        </row>
        <row r="1726">
          <cell r="E1726" t="str">
            <v>6. TELECOM</v>
          </cell>
          <cell r="G1726">
            <v>0</v>
          </cell>
          <cell r="H1726">
            <v>0</v>
          </cell>
          <cell r="I1726">
            <v>0</v>
          </cell>
          <cell r="J1726">
            <v>0</v>
          </cell>
          <cell r="K1726">
            <v>0</v>
          </cell>
          <cell r="L1726">
            <v>0</v>
          </cell>
          <cell r="O1726">
            <v>0</v>
          </cell>
          <cell r="Q1726" t="str">
            <v>70|41</v>
          </cell>
        </row>
        <row r="1727">
          <cell r="E1727" t="str">
            <v>6. TELECOM</v>
          </cell>
          <cell r="G1727">
            <v>0</v>
          </cell>
          <cell r="H1727">
            <v>0</v>
          </cell>
          <cell r="I1727">
            <v>0</v>
          </cell>
          <cell r="J1727">
            <v>0</v>
          </cell>
          <cell r="K1727">
            <v>0</v>
          </cell>
          <cell r="L1727">
            <v>0</v>
          </cell>
          <cell r="O1727">
            <v>0</v>
          </cell>
          <cell r="Q1727" t="str">
            <v>70|42</v>
          </cell>
        </row>
        <row r="1728">
          <cell r="E1728" t="str">
            <v>7. OWNER RISKS</v>
          </cell>
          <cell r="G1728" t="str">
            <v>7. OWNER RISKS</v>
          </cell>
          <cell r="H1728">
            <v>0</v>
          </cell>
          <cell r="I1728">
            <v>0</v>
          </cell>
          <cell r="J1728">
            <v>0</v>
          </cell>
          <cell r="K1728">
            <v>0</v>
          </cell>
          <cell r="L1728">
            <v>0</v>
          </cell>
          <cell r="O1728">
            <v>0</v>
          </cell>
          <cell r="Q1728" t="str">
            <v>70|43</v>
          </cell>
        </row>
        <row r="1729">
          <cell r="E1729" t="str">
            <v>7. OWNER RISKS</v>
          </cell>
          <cell r="G1729" t="str">
            <v>Risk ID</v>
          </cell>
          <cell r="H1729" t="str">
            <v>Room</v>
          </cell>
          <cell r="I1729" t="str">
            <v>Risk</v>
          </cell>
          <cell r="J1729" t="str">
            <v>Impact</v>
          </cell>
          <cell r="K1729" t="str">
            <v>Probability</v>
          </cell>
          <cell r="L1729" t="str">
            <v>Score</v>
          </cell>
          <cell r="O1729" t="str">
            <v>Status</v>
          </cell>
          <cell r="Q1729" t="str">
            <v>70|44</v>
          </cell>
        </row>
        <row r="1730">
          <cell r="E1730" t="str">
            <v>7. OWNER RISKS</v>
          </cell>
          <cell r="G1730" t="str">
            <v>B70-R1</v>
          </cell>
          <cell r="H1730" t="str">
            <v>All</v>
          </cell>
          <cell r="I1730" t="str">
            <v>Cooling emergency power / continuity not verified</v>
          </cell>
          <cell r="J1730" t="str">
            <v>High</v>
          </cell>
          <cell r="K1730" t="str">
            <v>Medium</v>
          </cell>
          <cell r="L1730">
            <v>6</v>
          </cell>
          <cell r="O1730" t="str">
            <v>Open</v>
          </cell>
          <cell r="Q1730" t="str">
            <v>70|45</v>
          </cell>
        </row>
        <row r="1731">
          <cell r="E1731" t="str">
            <v>7. OWNER RISKS</v>
          </cell>
          <cell r="G1731" t="str">
            <v>B70-R2</v>
          </cell>
          <cell r="H1731" t="str">
            <v>All</v>
          </cell>
          <cell r="I1731" t="str">
            <v>1-hour rated/smoke-rated TR envelope and penetrations not field verified</v>
          </cell>
          <cell r="J1731" t="str">
            <v>High</v>
          </cell>
          <cell r="K1731" t="str">
            <v>Medium</v>
          </cell>
          <cell r="L1731">
            <v>6</v>
          </cell>
          <cell r="O1731" t="str">
            <v>Open</v>
          </cell>
          <cell r="Q1731" t="str">
            <v>70|46</v>
          </cell>
        </row>
        <row r="1732">
          <cell r="E1732" t="str">
            <v>7. OWNER RISKS</v>
          </cell>
          <cell r="G1732" t="str">
            <v>B70-R3</v>
          </cell>
          <cell r="H1732" t="str">
            <v>B27</v>
          </cell>
          <cell r="I1732" t="str">
            <v>Existing basement service conditions may constrain routing and access</v>
          </cell>
          <cell r="J1732" t="str">
            <v>Medium</v>
          </cell>
          <cell r="K1732" t="str">
            <v>High</v>
          </cell>
          <cell r="L1732">
            <v>6</v>
          </cell>
          <cell r="O1732" t="str">
            <v>Open</v>
          </cell>
          <cell r="Q1732" t="str">
            <v>70|47</v>
          </cell>
        </row>
        <row r="1733">
          <cell r="E1733" t="str">
            <v>7. OWNER RISKS</v>
          </cell>
          <cell r="G1733" t="str">
            <v>B70-R4</v>
          </cell>
          <cell r="H1733" t="str">
            <v>All</v>
          </cell>
          <cell r="I1733" t="str">
            <v>Existing TR/service equipment transfer could affect active operations</v>
          </cell>
          <cell r="J1733" t="str">
            <v>High</v>
          </cell>
          <cell r="K1733" t="str">
            <v>Medium</v>
          </cell>
          <cell r="L1733">
            <v>6</v>
          </cell>
          <cell r="O1733" t="str">
            <v>Open</v>
          </cell>
          <cell r="Q1733" t="str">
            <v>70|48</v>
          </cell>
        </row>
        <row r="1734">
          <cell r="E1734" t="str">
            <v>7. OWNER RISKS</v>
          </cell>
          <cell r="G1734" t="str">
            <v>B70-R5</v>
          </cell>
          <cell r="H1734" t="str">
            <v>All</v>
          </cell>
          <cell r="I1734" t="str">
            <v>Condensate leak risk near IT equipment</v>
          </cell>
          <cell r="J1734" t="str">
            <v>High</v>
          </cell>
          <cell r="K1734" t="str">
            <v>Medium</v>
          </cell>
          <cell r="L1734">
            <v>6</v>
          </cell>
          <cell r="O1734" t="str">
            <v>Open</v>
          </cell>
          <cell r="Q1734" t="str">
            <v>70|49</v>
          </cell>
        </row>
        <row r="1735">
          <cell r="E1735" t="str">
            <v>7. OWNER RISKS</v>
          </cell>
          <cell r="G1735">
            <v>0</v>
          </cell>
          <cell r="H1735">
            <v>0</v>
          </cell>
          <cell r="I1735">
            <v>0</v>
          </cell>
          <cell r="J1735">
            <v>0</v>
          </cell>
          <cell r="K1735">
            <v>0</v>
          </cell>
          <cell r="L1735">
            <v>0</v>
          </cell>
          <cell r="O1735">
            <v>0</v>
          </cell>
          <cell r="Q1735" t="str">
            <v>70|50</v>
          </cell>
        </row>
        <row r="1736">
          <cell r="E1736" t="str">
            <v>7. OWNER RISKS</v>
          </cell>
          <cell r="G1736">
            <v>0</v>
          </cell>
          <cell r="H1736">
            <v>0</v>
          </cell>
          <cell r="I1736">
            <v>0</v>
          </cell>
          <cell r="J1736">
            <v>0</v>
          </cell>
          <cell r="K1736">
            <v>0</v>
          </cell>
          <cell r="L1736">
            <v>0</v>
          </cell>
          <cell r="O1736">
            <v>0</v>
          </cell>
          <cell r="Q1736" t="str">
            <v>70|51</v>
          </cell>
        </row>
        <row r="1737">
          <cell r="E1737" t="str">
            <v>8. OPEN QUESTIONS</v>
          </cell>
          <cell r="G1737" t="str">
            <v>8. OPEN QUESTIONS</v>
          </cell>
          <cell r="H1737">
            <v>0</v>
          </cell>
          <cell r="I1737">
            <v>0</v>
          </cell>
          <cell r="J1737">
            <v>0</v>
          </cell>
          <cell r="K1737">
            <v>0</v>
          </cell>
          <cell r="L1737">
            <v>0</v>
          </cell>
          <cell r="O1737">
            <v>0</v>
          </cell>
          <cell r="Q1737" t="str">
            <v>70|52</v>
          </cell>
        </row>
        <row r="1738">
          <cell r="E1738" t="str">
            <v>8. OPEN QUESTIONS</v>
          </cell>
          <cell r="G1738" t="str">
            <v>Question ID</v>
          </cell>
          <cell r="H1738" t="str">
            <v>Question</v>
          </cell>
          <cell r="I1738" t="str">
            <v>Assigned To</v>
          </cell>
          <cell r="J1738" t="str">
            <v>Status</v>
          </cell>
          <cell r="K1738" t="str">
            <v>Needed By</v>
          </cell>
          <cell r="L1738" t="str">
            <v>Answer / Resolution</v>
          </cell>
          <cell r="O1738" t="str">
            <v>Date Closed</v>
          </cell>
          <cell r="Q1738" t="str">
            <v>70|53</v>
          </cell>
        </row>
        <row r="1739">
          <cell r="E1739" t="str">
            <v>8. OPEN QUESTIONS</v>
          </cell>
          <cell r="G1739" t="str">
            <v>B70-Q1</v>
          </cell>
          <cell r="H1739" t="str">
            <v>Are cooling units and controls on emergency/backup power?</v>
          </cell>
          <cell r="I1739" t="str">
            <v>VA / Designer</v>
          </cell>
          <cell r="J1739" t="str">
            <v>Open</v>
          </cell>
          <cell r="K1739">
            <v>0</v>
          </cell>
          <cell r="L1739">
            <v>0</v>
          </cell>
          <cell r="O1739">
            <v>0</v>
          </cell>
          <cell r="Q1739" t="str">
            <v>70|54</v>
          </cell>
        </row>
        <row r="1740">
          <cell r="E1740" t="str">
            <v>8. OPEN QUESTIONS</v>
          </cell>
          <cell r="G1740" t="str">
            <v>B70-Q2</v>
          </cell>
          <cell r="H1740" t="str">
            <v>Are future rack loads included in HVAC sizing for B27, 125A, and 262A?</v>
          </cell>
          <cell r="I1740" t="str">
            <v>Designer</v>
          </cell>
          <cell r="J1740" t="str">
            <v>Open</v>
          </cell>
          <cell r="K1740">
            <v>0</v>
          </cell>
          <cell r="L1740">
            <v>0</v>
          </cell>
          <cell r="O1740">
            <v>0</v>
          </cell>
          <cell r="Q1740" t="str">
            <v>70|55</v>
          </cell>
        </row>
        <row r="1741">
          <cell r="E1741" t="str">
            <v>8. OPEN QUESTIONS</v>
          </cell>
          <cell r="G1741" t="str">
            <v>B70-Q3</v>
          </cell>
          <cell r="H1741" t="str">
            <v>Are extinguisher cabinet locations identified within 75 feet of each TR?</v>
          </cell>
          <cell r="I1741" t="str">
            <v>Contractor / COR</v>
          </cell>
          <cell r="J1741" t="str">
            <v>Open</v>
          </cell>
          <cell r="K1741">
            <v>0</v>
          </cell>
          <cell r="L1741">
            <v>0</v>
          </cell>
          <cell r="O1741">
            <v>0</v>
          </cell>
          <cell r="Q1741" t="str">
            <v>70|56</v>
          </cell>
        </row>
        <row r="1742">
          <cell r="E1742" t="str">
            <v>8. OPEN QUESTIONS</v>
          </cell>
          <cell r="G1742" t="str">
            <v>B70-Q4</v>
          </cell>
          <cell r="H1742" t="str">
            <v>Are all wall/floor penetrations and speed sleeves shown and firestopped?</v>
          </cell>
          <cell r="I1742" t="str">
            <v>Contractor / Designer</v>
          </cell>
          <cell r="J1742" t="str">
            <v>Open</v>
          </cell>
          <cell r="K1742">
            <v>0</v>
          </cell>
          <cell r="L1742">
            <v>0</v>
          </cell>
          <cell r="O1742">
            <v>0</v>
          </cell>
          <cell r="Q1742" t="str">
            <v>70|57</v>
          </cell>
        </row>
        <row r="1743">
          <cell r="E1743" t="str">
            <v>8. OPEN QUESTIONS</v>
          </cell>
          <cell r="G1743" t="str">
            <v>B70-Q5</v>
          </cell>
          <cell r="H1743" t="str">
            <v>What phasing is required to keep existing low-voltage/analog systems operational?</v>
          </cell>
          <cell r="I1743" t="str">
            <v>Contractor / OIT</v>
          </cell>
          <cell r="J1743" t="str">
            <v>Open</v>
          </cell>
          <cell r="K1743">
            <v>0</v>
          </cell>
          <cell r="L1743">
            <v>0</v>
          </cell>
          <cell r="O1743">
            <v>0</v>
          </cell>
          <cell r="Q1743" t="str">
            <v>70|58</v>
          </cell>
        </row>
        <row r="1744">
          <cell r="E1744" t="str">
            <v>8. OPEN QUESTIONS</v>
          </cell>
          <cell r="G1744">
            <v>0</v>
          </cell>
          <cell r="H1744">
            <v>0</v>
          </cell>
          <cell r="I1744">
            <v>0</v>
          </cell>
          <cell r="J1744">
            <v>0</v>
          </cell>
          <cell r="K1744">
            <v>0</v>
          </cell>
          <cell r="L1744">
            <v>0</v>
          </cell>
          <cell r="O1744">
            <v>0</v>
          </cell>
          <cell r="Q1744" t="str">
            <v>70|59</v>
          </cell>
        </row>
        <row r="1745">
          <cell r="E1745" t="str">
            <v>8. OPEN QUESTIONS</v>
          </cell>
          <cell r="G1745">
            <v>0</v>
          </cell>
          <cell r="H1745">
            <v>0</v>
          </cell>
          <cell r="I1745">
            <v>0</v>
          </cell>
          <cell r="J1745">
            <v>0</v>
          </cell>
          <cell r="K1745">
            <v>0</v>
          </cell>
          <cell r="L1745">
            <v>0</v>
          </cell>
          <cell r="O1745">
            <v>0</v>
          </cell>
          <cell r="Q1745" t="str">
            <v>70|60</v>
          </cell>
        </row>
        <row r="1746">
          <cell r="E1746" t="str">
            <v>9. PHOTO LOG</v>
          </cell>
          <cell r="G1746" t="str">
            <v>9. PHOTO LOG</v>
          </cell>
          <cell r="H1746">
            <v>0</v>
          </cell>
          <cell r="I1746">
            <v>0</v>
          </cell>
          <cell r="J1746">
            <v>0</v>
          </cell>
          <cell r="K1746">
            <v>0</v>
          </cell>
          <cell r="L1746">
            <v>0</v>
          </cell>
          <cell r="O1746">
            <v>0</v>
          </cell>
          <cell r="Q1746" t="str">
            <v>70|61</v>
          </cell>
        </row>
        <row r="1747">
          <cell r="E1747" t="str">
            <v>9. PHOTO LOG</v>
          </cell>
          <cell r="G1747" t="str">
            <v>Photo ID</v>
          </cell>
          <cell r="H1747" t="str">
            <v>Room</v>
          </cell>
          <cell r="I1747" t="str">
            <v>Category</v>
          </cell>
          <cell r="J1747" t="str">
            <v>Description</v>
          </cell>
          <cell r="K1747" t="str">
            <v>Date</v>
          </cell>
          <cell r="L1747" t="str">
            <v>Taken By</v>
          </cell>
          <cell r="O1747" t="str">
            <v>Status</v>
          </cell>
          <cell r="Q1747" t="str">
            <v>70|62</v>
          </cell>
        </row>
        <row r="1748">
          <cell r="E1748" t="str">
            <v>9. PHOTO LOG</v>
          </cell>
          <cell r="G1748" t="str">
            <v>B70-P001</v>
          </cell>
          <cell r="H1748" t="str">
            <v>B27</v>
          </cell>
          <cell r="I1748" t="str">
            <v>Existing Condition</v>
          </cell>
          <cell r="J1748" t="str">
            <v>Existing basement TR / utility condition</v>
          </cell>
          <cell r="K1748">
            <v>0</v>
          </cell>
          <cell r="L1748" t="str">
            <v>Paul</v>
          </cell>
          <cell r="O1748" t="str">
            <v>Open</v>
          </cell>
          <cell r="Q1748" t="str">
            <v>70|63</v>
          </cell>
        </row>
        <row r="1749">
          <cell r="E1749" t="str">
            <v>9. PHOTO LOG</v>
          </cell>
          <cell r="G1749" t="str">
            <v>B70-P002</v>
          </cell>
          <cell r="H1749" t="str">
            <v>125A</v>
          </cell>
          <cell r="I1749" t="str">
            <v>Existing Condition</v>
          </cell>
          <cell r="J1749" t="str">
            <v>Existing first-floor TR condition</v>
          </cell>
          <cell r="K1749">
            <v>0</v>
          </cell>
          <cell r="L1749" t="str">
            <v>Paul</v>
          </cell>
          <cell r="O1749" t="str">
            <v>Open</v>
          </cell>
          <cell r="Q1749" t="str">
            <v>70|64</v>
          </cell>
        </row>
        <row r="1750">
          <cell r="E1750" t="str">
            <v>9. PHOTO LOG</v>
          </cell>
          <cell r="G1750" t="str">
            <v>B70-P003</v>
          </cell>
          <cell r="H1750" t="str">
            <v>262A</v>
          </cell>
          <cell r="I1750" t="str">
            <v>Existing Condition</v>
          </cell>
          <cell r="J1750" t="str">
            <v>Existing second-floor TR condition</v>
          </cell>
          <cell r="K1750">
            <v>0</v>
          </cell>
          <cell r="L1750" t="str">
            <v>Paul</v>
          </cell>
          <cell r="O1750" t="str">
            <v>Open</v>
          </cell>
          <cell r="Q1750" t="str">
            <v>70|65</v>
          </cell>
        </row>
        <row r="1751">
          <cell r="E1751" t="str">
            <v>9. PHOTO LOG</v>
          </cell>
          <cell r="G1751" t="str">
            <v>B70-P004</v>
          </cell>
          <cell r="H1751" t="str">
            <v>All</v>
          </cell>
          <cell r="I1751" t="str">
            <v>Firestop</v>
          </cell>
          <cell r="J1751" t="str">
            <v>Penetration/firestopping photo</v>
          </cell>
          <cell r="K1751">
            <v>0</v>
          </cell>
          <cell r="L1751" t="str">
            <v>Paul</v>
          </cell>
          <cell r="O1751" t="str">
            <v>Open</v>
          </cell>
          <cell r="Q1751" t="str">
            <v>70|66</v>
          </cell>
        </row>
        <row r="1752">
          <cell r="E1752" t="str">
            <v>9. PHOTO LOG</v>
          </cell>
          <cell r="G1752" t="str">
            <v>B70-P005</v>
          </cell>
          <cell r="H1752" t="str">
            <v>All</v>
          </cell>
          <cell r="I1752" t="str">
            <v>HVAC</v>
          </cell>
          <cell r="J1752" t="str">
            <v>Cooling unit/condensate photo</v>
          </cell>
          <cell r="K1752">
            <v>0</v>
          </cell>
          <cell r="L1752" t="str">
            <v>Paul</v>
          </cell>
          <cell r="O1752" t="str">
            <v>Open</v>
          </cell>
          <cell r="Q1752" t="str">
            <v>70|67</v>
          </cell>
        </row>
        <row r="1753">
          <cell r="E1753" t="str">
            <v>9. PHOTO LOG</v>
          </cell>
          <cell r="G1753">
            <v>0</v>
          </cell>
          <cell r="H1753">
            <v>0</v>
          </cell>
          <cell r="I1753">
            <v>0</v>
          </cell>
          <cell r="J1753">
            <v>0</v>
          </cell>
          <cell r="K1753">
            <v>0</v>
          </cell>
          <cell r="L1753">
            <v>0</v>
          </cell>
          <cell r="O1753">
            <v>0</v>
          </cell>
          <cell r="Q1753" t="str">
            <v>70|68</v>
          </cell>
        </row>
        <row r="1754">
          <cell r="E1754" t="str">
            <v>9. PHOTO LOG</v>
          </cell>
          <cell r="G1754">
            <v>0</v>
          </cell>
          <cell r="H1754">
            <v>0</v>
          </cell>
          <cell r="I1754">
            <v>0</v>
          </cell>
          <cell r="J1754">
            <v>0</v>
          </cell>
          <cell r="K1754">
            <v>0</v>
          </cell>
          <cell r="L1754">
            <v>0</v>
          </cell>
          <cell r="O1754">
            <v>0</v>
          </cell>
          <cell r="Q1754" t="str">
            <v>70|69</v>
          </cell>
        </row>
        <row r="1755">
          <cell r="E1755" t="str">
            <v>10. OWNER READINESS SCORE</v>
          </cell>
          <cell r="G1755" t="str">
            <v>10. OWNER READINESS SCORE</v>
          </cell>
          <cell r="H1755">
            <v>0</v>
          </cell>
          <cell r="I1755">
            <v>0</v>
          </cell>
          <cell r="J1755">
            <v>0</v>
          </cell>
          <cell r="K1755">
            <v>0</v>
          </cell>
          <cell r="L1755">
            <v>0</v>
          </cell>
          <cell r="O1755">
            <v>0</v>
          </cell>
          <cell r="Q1755" t="str">
            <v>70|70</v>
          </cell>
        </row>
        <row r="1756">
          <cell r="E1756" t="str">
            <v>10. OWNER READINESS SCORE</v>
          </cell>
          <cell r="G1756" t="str">
            <v>Room</v>
          </cell>
          <cell r="H1756" t="str">
            <v>Room Readiness</v>
          </cell>
          <cell r="I1756" t="str">
            <v>Fire</v>
          </cell>
          <cell r="J1756" t="str">
            <v>HVAC</v>
          </cell>
          <cell r="K1756" t="str">
            <v>Electrical</v>
          </cell>
          <cell r="L1756" t="str">
            <v>Telecom</v>
          </cell>
          <cell r="O1756" t="str">
            <v>Readiness</v>
          </cell>
          <cell r="Q1756" t="str">
            <v>70|71</v>
          </cell>
        </row>
        <row r="1757">
          <cell r="E1757" t="str">
            <v>10. OWNER READINESS SCORE</v>
          </cell>
          <cell r="G1757" t="str">
            <v>B27</v>
          </cell>
          <cell r="H1757">
            <v>0.5</v>
          </cell>
          <cell r="I1757">
            <v>0.5</v>
          </cell>
          <cell r="J1757">
            <v>0.5</v>
          </cell>
          <cell r="K1757">
            <v>0.5</v>
          </cell>
          <cell r="L1757">
            <v>0.5</v>
          </cell>
          <cell r="O1757" t="str">
            <v>Partial / Yellow</v>
          </cell>
          <cell r="Q1757" t="str">
            <v>70|72</v>
          </cell>
        </row>
        <row r="1758">
          <cell r="E1758" t="str">
            <v>10. OWNER READINESS SCORE</v>
          </cell>
          <cell r="G1758" t="str">
            <v>125A</v>
          </cell>
          <cell r="H1758">
            <v>0.5</v>
          </cell>
          <cell r="I1758">
            <v>0.5</v>
          </cell>
          <cell r="J1758">
            <v>0.5</v>
          </cell>
          <cell r="K1758">
            <v>0.5</v>
          </cell>
          <cell r="L1758">
            <v>0.5</v>
          </cell>
          <cell r="O1758" t="str">
            <v>Partial / Yellow</v>
          </cell>
          <cell r="Q1758" t="str">
            <v>70|73</v>
          </cell>
        </row>
        <row r="1759">
          <cell r="E1759" t="str">
            <v>10. OWNER READINESS SCORE</v>
          </cell>
          <cell r="G1759" t="str">
            <v>262A</v>
          </cell>
          <cell r="H1759">
            <v>0.5</v>
          </cell>
          <cell r="I1759">
            <v>0.5</v>
          </cell>
          <cell r="J1759">
            <v>0.5</v>
          </cell>
          <cell r="K1759">
            <v>0.5</v>
          </cell>
          <cell r="L1759">
            <v>0.5</v>
          </cell>
          <cell r="O1759" t="str">
            <v>Partial / Yellow</v>
          </cell>
          <cell r="Q1759" t="str">
            <v>70|74</v>
          </cell>
        </row>
        <row r="1760">
          <cell r="E1760" t="str">
            <v>10. OWNER READINESS SCORE</v>
          </cell>
          <cell r="G1760">
            <v>0</v>
          </cell>
          <cell r="H1760">
            <v>0</v>
          </cell>
          <cell r="I1760">
            <v>0</v>
          </cell>
          <cell r="J1760">
            <v>0</v>
          </cell>
          <cell r="K1760">
            <v>0</v>
          </cell>
          <cell r="L1760">
            <v>0</v>
          </cell>
          <cell r="O1760">
            <v>0</v>
          </cell>
          <cell r="Q1760" t="str">
            <v>70|75</v>
          </cell>
        </row>
        <row r="1761">
          <cell r="E1761" t="str">
            <v>10. OWNER READINESS SCORE</v>
          </cell>
          <cell r="G1761">
            <v>0</v>
          </cell>
          <cell r="H1761">
            <v>0</v>
          </cell>
          <cell r="I1761">
            <v>0</v>
          </cell>
          <cell r="J1761">
            <v>0</v>
          </cell>
          <cell r="K1761">
            <v>0</v>
          </cell>
          <cell r="L1761">
            <v>0</v>
          </cell>
          <cell r="O1761">
            <v>0</v>
          </cell>
          <cell r="Q1761" t="str">
            <v>70|76</v>
          </cell>
        </row>
        <row r="1762">
          <cell r="E1762" t="str">
            <v>10. OWNER READINESS SCORE</v>
          </cell>
          <cell r="G1762" t="str">
            <v>SOURCE / DRAWING REVIEW NOTES</v>
          </cell>
          <cell r="H1762">
            <v>0</v>
          </cell>
          <cell r="I1762">
            <v>0</v>
          </cell>
          <cell r="J1762">
            <v>0</v>
          </cell>
          <cell r="K1762">
            <v>0</v>
          </cell>
          <cell r="L1762">
            <v>0</v>
          </cell>
          <cell r="O1762">
            <v>0</v>
          </cell>
          <cell r="Q1762" t="str">
            <v>70|77</v>
          </cell>
        </row>
        <row r="1763">
          <cell r="E1763" t="str">
            <v>10. OWNER READINESS SCORE</v>
          </cell>
          <cell r="G1763" t="str">
            <v>Source package</v>
          </cell>
          <cell r="H1763" t="str">
            <v>518-22-700.Bedford.EHRM.IFC.B70.20260316.pdf</v>
          </cell>
          <cell r="I1763">
            <v>0</v>
          </cell>
          <cell r="J1763">
            <v>0</v>
          </cell>
          <cell r="K1763">
            <v>0</v>
          </cell>
          <cell r="L1763">
            <v>0</v>
          </cell>
          <cell r="O1763">
            <v>0</v>
          </cell>
          <cell r="Q1763" t="str">
            <v>70|78</v>
          </cell>
        </row>
        <row r="1764">
          <cell r="E1764" t="str">
            <v>10. OWNER READINESS SCORE</v>
          </cell>
          <cell r="G1764" t="str">
            <v>TR locations identified</v>
          </cell>
          <cell r="H1764" t="str">
            <v>B27 basement, 125A first floor, 262A second floor based on architectural, fire protection, mechanical, and telecom drawing references.</v>
          </cell>
          <cell r="I1764">
            <v>0</v>
          </cell>
          <cell r="J1764">
            <v>0</v>
          </cell>
          <cell r="K1764">
            <v>0</v>
          </cell>
          <cell r="L1764">
            <v>0</v>
          </cell>
          <cell r="O1764">
            <v>0</v>
          </cell>
          <cell r="Q1764" t="str">
            <v>70|79</v>
          </cell>
        </row>
        <row r="1765">
          <cell r="E1765" t="str">
            <v>10. OWNER READINESS SCORE</v>
          </cell>
          <cell r="G1765" t="str">
            <v>Fire protection basis</v>
          </cell>
          <cell r="H1765" t="str">
            <v>Building 70 is fully sprinklered. TRs require sprinkler modifications, fire alarm devices, extinguisher coverage within 75 feet, and firestopping at penetrations.</v>
          </cell>
          <cell r="I1765">
            <v>0</v>
          </cell>
          <cell r="J1765">
            <v>0</v>
          </cell>
          <cell r="K1765">
            <v>0</v>
          </cell>
          <cell r="L1765">
            <v>0</v>
          </cell>
          <cell r="O1765">
            <v>0</v>
          </cell>
          <cell r="Q1765" t="str">
            <v>70|80</v>
          </cell>
        </row>
        <row r="1766">
          <cell r="E1766" t="str">
            <v>10. OWNER READINESS SCORE</v>
          </cell>
          <cell r="G1766" t="str">
            <v>HVAC basis</v>
          </cell>
          <cell r="H1766" t="str">
            <v>New indoor units, condensate routing, thermostat, and BACnet adapter are noted for TR spaces; emergency power and operational continuity should be field verified.</v>
          </cell>
          <cell r="I1766">
            <v>0</v>
          </cell>
          <cell r="J1766">
            <v>0</v>
          </cell>
          <cell r="K1766">
            <v>0</v>
          </cell>
          <cell r="L1766">
            <v>0</v>
          </cell>
          <cell r="O1766">
            <v>0</v>
          </cell>
          <cell r="Q1766" t="str">
            <v>70|81</v>
          </cell>
        </row>
        <row r="1767">
          <cell r="E1767" t="str">
            <v>10. OWNER READINESS SCORE</v>
          </cell>
          <cell r="G1767" t="str">
            <v>Telecom basis</v>
          </cell>
          <cell r="H1767" t="str">
            <v>TR rack elevations show 1 rack plus future rack at B-27, 125-A, and 262-A with UPS/PDU/cable management/grounding requirements.</v>
          </cell>
          <cell r="I1767">
            <v>0</v>
          </cell>
          <cell r="J1767">
            <v>0</v>
          </cell>
          <cell r="K1767">
            <v>0</v>
          </cell>
          <cell r="L1767">
            <v>0</v>
          </cell>
          <cell r="O1767">
            <v>0</v>
          </cell>
          <cell r="Q1767" t="str">
            <v>70|82</v>
          </cell>
        </row>
        <row r="1768">
          <cell r="E1768" t="str">
            <v>10. OWNER READINESS SCORE</v>
          </cell>
          <cell r="G1768">
            <v>0</v>
          </cell>
          <cell r="H1768" t="str">
            <v>12. PAYMENT VERIFICATION</v>
          </cell>
          <cell r="I1768">
            <v>0</v>
          </cell>
          <cell r="J1768">
            <v>0</v>
          </cell>
          <cell r="K1768">
            <v>0</v>
          </cell>
          <cell r="L1768">
            <v>0</v>
          </cell>
          <cell r="O1768">
            <v>0</v>
          </cell>
          <cell r="Q1768" t="str">
            <v>70|83</v>
          </cell>
        </row>
        <row r="1769">
          <cell r="E1769" t="str">
            <v>10. OWNER READINESS SCORE</v>
          </cell>
          <cell r="G1769" t="str">
            <v xml:space="preserve">Based on the Building 70 IFC review, the telecom scope is very similar to Building 62, but Building 70 appears to have three TRs (B27, 125A, and 262A) instead of a single room. The project introduces new racks, UPS equipment, dedicated cooling, fire alarm modifications, sprinkler modifications, grounding, cable management, and access control while maintaining hospital operations. </v>
          </cell>
          <cell r="H1769" t="str">
            <v>Telecom Room Build</v>
          </cell>
          <cell r="I1769" t="str">
            <v>🟡 Partial</v>
          </cell>
          <cell r="J1769">
            <v>0.9</v>
          </cell>
          <cell r="K1769">
            <v>0.85</v>
          </cell>
          <cell r="L1769" t="str">
            <v>🟡</v>
          </cell>
          <cell r="O1769">
            <v>0</v>
          </cell>
          <cell r="Q1769" t="str">
            <v>70|84</v>
          </cell>
        </row>
        <row r="1770">
          <cell r="E1770" t="str">
            <v>10. OWNER READINESS SCORE</v>
          </cell>
          <cell r="G1770">
            <v>0</v>
          </cell>
          <cell r="H1770" t="str">
            <v>Cooling Installation</v>
          </cell>
          <cell r="I1770" t="str">
            <v>🟢 Verified</v>
          </cell>
          <cell r="J1770">
            <v>1</v>
          </cell>
          <cell r="K1770">
            <v>1</v>
          </cell>
          <cell r="L1770" t="str">
            <v>🟢</v>
          </cell>
          <cell r="O1770">
            <v>0</v>
          </cell>
          <cell r="Q1770" t="str">
            <v>70|85</v>
          </cell>
        </row>
        <row r="1771">
          <cell r="E1771" t="str">
            <v>10. OWNER READINESS SCORE</v>
          </cell>
          <cell r="G1771" t="str">
            <v>Building 70 – Telecom Room Infrastructure Scope</v>
          </cell>
          <cell r="H1771" t="str">
            <v>UPS Installation</v>
          </cell>
          <cell r="I1771" t="str">
            <v>🟢 Verified</v>
          </cell>
          <cell r="J1771">
            <v>1</v>
          </cell>
          <cell r="K1771">
            <v>1</v>
          </cell>
          <cell r="L1771" t="str">
            <v>🟢</v>
          </cell>
          <cell r="O1771">
            <v>0</v>
          </cell>
          <cell r="Q1771" t="str">
            <v>70|86</v>
          </cell>
        </row>
        <row r="1772">
          <cell r="E1772" t="str">
            <v>10. OWNER READINESS SCORE</v>
          </cell>
          <cell r="G1772">
            <v>0</v>
          </cell>
          <cell r="H1772" t="str">
            <v>Fiber Installation</v>
          </cell>
          <cell r="I1772" t="str">
            <v>🟢 Verified</v>
          </cell>
          <cell r="J1772">
            <v>1</v>
          </cell>
          <cell r="K1772">
            <v>1</v>
          </cell>
          <cell r="L1772" t="str">
            <v>🟢</v>
          </cell>
          <cell r="O1772">
            <v>0</v>
          </cell>
          <cell r="Q1772" t="str">
            <v>70|87</v>
          </cell>
        </row>
        <row r="1773">
          <cell r="E1773" t="str">
            <v>10. OWNER READINESS SCORE</v>
          </cell>
          <cell r="G1773" t="str">
            <v>Existing Conditions Survey</v>
          </cell>
          <cell r="H1773" t="str">
            <v>Firestopping</v>
          </cell>
          <cell r="I1773" t="str">
            <v>🔴 Disputed</v>
          </cell>
          <cell r="J1773">
            <v>1</v>
          </cell>
          <cell r="K1773">
            <v>1</v>
          </cell>
          <cell r="L1773" t="str">
            <v>🟢</v>
          </cell>
          <cell r="O1773">
            <v>0</v>
          </cell>
          <cell r="Q1773" t="str">
            <v>70|88</v>
          </cell>
        </row>
        <row r="1774">
          <cell r="E1774" t="str">
            <v>10. OWNER READINESS SCORE</v>
          </cell>
          <cell r="G1774">
            <v>0</v>
          </cell>
          <cell r="H1774" t="str">
            <v>Payment Confidence</v>
          </cell>
          <cell r="I1774">
            <v>0</v>
          </cell>
          <cell r="J1774">
            <v>0.98000000000000009</v>
          </cell>
          <cell r="K1774">
            <v>0.97</v>
          </cell>
          <cell r="L1774" t="str">
            <v>Success: Recommended payment aligns with observed progress and evidence is documented.</v>
          </cell>
          <cell r="O1774">
            <v>0</v>
          </cell>
          <cell r="Q1774" t="str">
            <v>70|89</v>
          </cell>
        </row>
        <row r="1775">
          <cell r="E1775" t="str">
            <v>10. OWNER READINESS SCORE</v>
          </cell>
          <cell r="G1775" t="str">
            <v>Verify existing conditions of TR-B27, TR-125A, and TR-262A.</v>
          </cell>
          <cell r="H1775">
            <v>0</v>
          </cell>
          <cell r="I1775">
            <v>0</v>
          </cell>
          <cell r="J1775">
            <v>0</v>
          </cell>
          <cell r="K1775">
            <v>0</v>
          </cell>
          <cell r="L1775">
            <v>0</v>
          </cell>
          <cell r="O1775">
            <v>0</v>
          </cell>
          <cell r="Q1775" t="str">
            <v>70|90</v>
          </cell>
        </row>
        <row r="1776">
          <cell r="E1776" t="str">
            <v>10. OWNER READINESS SCORE</v>
          </cell>
          <cell r="G1776" t="str">
            <v>Document existing racks, power, HVAC, fire protection, grounding, and pathway systems.</v>
          </cell>
          <cell r="H1776" t="str">
            <v>13. OIT ACTIVATION READINESS</v>
          </cell>
          <cell r="I1776">
            <v>0</v>
          </cell>
          <cell r="J1776">
            <v>0</v>
          </cell>
          <cell r="K1776">
            <v>0</v>
          </cell>
          <cell r="L1776">
            <v>0</v>
          </cell>
          <cell r="O1776">
            <v>0</v>
          </cell>
          <cell r="Q1776" t="str">
            <v>70|91</v>
          </cell>
        </row>
        <row r="1777">
          <cell r="E1777" t="str">
            <v>10. OWNER READINESS SCORE</v>
          </cell>
          <cell r="G1777" t="str">
            <v>Photograph all existing conditions.</v>
          </cell>
          <cell r="H1777" t="str">
            <v>Requirement</v>
          </cell>
          <cell r="I1777" t="str">
            <v>Status</v>
          </cell>
          <cell r="J1777" t="str">
            <v>Verified By</v>
          </cell>
          <cell r="K1777" t="str">
            <v>Complete</v>
          </cell>
          <cell r="L1777" t="str">
            <v>Score</v>
          </cell>
          <cell r="O1777">
            <v>0</v>
          </cell>
          <cell r="Q1777" t="str">
            <v>70|92</v>
          </cell>
        </row>
        <row r="1778">
          <cell r="E1778" t="str">
            <v>10. OWNER READINESS SCORE</v>
          </cell>
          <cell r="G1778" t="str">
            <v>Verify existing active services and identify systems requiring uninterrupted operation.</v>
          </cell>
          <cell r="H1778" t="str">
            <v>Telecom Room Complete</v>
          </cell>
          <cell r="I1778" t="str">
            <v>In Progress</v>
          </cell>
          <cell r="J1778" t="str">
            <v>Yes</v>
          </cell>
          <cell r="K1778" t="str">
            <v>Yes</v>
          </cell>
          <cell r="L1778">
            <v>1</v>
          </cell>
          <cell r="O1778">
            <v>0</v>
          </cell>
          <cell r="Q1778" t="str">
            <v>70|93</v>
          </cell>
        </row>
        <row r="1779">
          <cell r="E1779" t="str">
            <v>10. OWNER READINESS SCORE</v>
          </cell>
          <cell r="G1779" t="str">
            <v>Verify room dimensions and equipment clearances.</v>
          </cell>
          <cell r="H1779" t="str">
            <v>Rack Installed</v>
          </cell>
          <cell r="I1779" t="str">
            <v>In Progress</v>
          </cell>
          <cell r="J1779" t="str">
            <v>Yes</v>
          </cell>
          <cell r="K1779" t="str">
            <v>Yes</v>
          </cell>
          <cell r="L1779">
            <v>1</v>
          </cell>
          <cell r="O1779">
            <v>0</v>
          </cell>
          <cell r="Q1779" t="str">
            <v>70|94</v>
          </cell>
        </row>
        <row r="1780">
          <cell r="E1780" t="str">
            <v>10. OWNER READINESS SCORE</v>
          </cell>
          <cell r="G1780">
            <v>0</v>
          </cell>
          <cell r="H1780" t="str">
            <v>Fiber Tested</v>
          </cell>
          <cell r="I1780" t="str">
            <v>In Progress</v>
          </cell>
          <cell r="J1780" t="str">
            <v>Yes</v>
          </cell>
          <cell r="K1780" t="str">
            <v>Yes</v>
          </cell>
          <cell r="L1780">
            <v>1</v>
          </cell>
          <cell r="O1780">
            <v>0</v>
          </cell>
          <cell r="Q1780" t="str">
            <v>70|95</v>
          </cell>
        </row>
        <row r="1781">
          <cell r="E1781" t="str">
            <v>10. OWNER READINESS SCORE</v>
          </cell>
          <cell r="G1781" t="str">
            <v>Architectural</v>
          </cell>
          <cell r="H1781" t="str">
            <v>UPS Operational</v>
          </cell>
          <cell r="I1781" t="str">
            <v>In Progress</v>
          </cell>
          <cell r="J1781" t="str">
            <v>Yes</v>
          </cell>
          <cell r="K1781" t="str">
            <v>Yes</v>
          </cell>
          <cell r="L1781">
            <v>1</v>
          </cell>
          <cell r="O1781">
            <v>0</v>
          </cell>
          <cell r="Q1781" t="str">
            <v>70|96</v>
          </cell>
        </row>
        <row r="1782">
          <cell r="E1782" t="str">
            <v>10. OWNER READINESS SCORE</v>
          </cell>
          <cell r="G1782">
            <v>0</v>
          </cell>
          <cell r="H1782" t="str">
            <v>Network Equipment Received</v>
          </cell>
          <cell r="I1782" t="str">
            <v>Complete</v>
          </cell>
          <cell r="J1782" t="str">
            <v>Yes</v>
          </cell>
          <cell r="K1782" t="str">
            <v>Yes</v>
          </cell>
          <cell r="L1782">
            <v>1</v>
          </cell>
          <cell r="O1782">
            <v>0</v>
          </cell>
          <cell r="Q1782" t="str">
            <v>70|97</v>
          </cell>
        </row>
        <row r="1783">
          <cell r="E1783" t="str">
            <v>10. OWNER READINESS SCORE</v>
          </cell>
          <cell r="G1783" t="str">
            <v>Prepare rooms for new telecom infrastructure.</v>
          </cell>
          <cell r="H1783" t="str">
            <v>National OIT Approval</v>
          </cell>
          <cell r="I1783" t="str">
            <v>In Progress</v>
          </cell>
          <cell r="J1783" t="str">
            <v>Yes</v>
          </cell>
          <cell r="K1783" t="str">
            <v>Yes</v>
          </cell>
          <cell r="L1783">
            <v>1</v>
          </cell>
          <cell r="O1783">
            <v>0</v>
          </cell>
          <cell r="Q1783" t="str">
            <v>70|98</v>
          </cell>
        </row>
        <row r="1784">
          <cell r="E1784" t="str">
            <v>10. OWNER READINESS SCORE</v>
          </cell>
          <cell r="G1784" t="str">
            <v>Patch and repair walls, ceilings, and penetrations as required.</v>
          </cell>
          <cell r="H1784" t="str">
            <v>Local OIT Ready</v>
          </cell>
          <cell r="I1784" t="str">
            <v>Blocked</v>
          </cell>
          <cell r="J1784" t="str">
            <v>Yes</v>
          </cell>
          <cell r="K1784" t="str">
            <v>No</v>
          </cell>
          <cell r="L1784">
            <v>0</v>
          </cell>
          <cell r="O1784">
            <v>0</v>
          </cell>
          <cell r="Q1784" t="str">
            <v>70|99</v>
          </cell>
        </row>
        <row r="1785">
          <cell r="E1785" t="str">
            <v>10. OWNER READINESS SCORE</v>
          </cell>
          <cell r="G1785" t="str">
            <v>Maintain or restore all fire-rated assemblies.</v>
          </cell>
          <cell r="H1785" t="str">
            <v>Activation Scheduled</v>
          </cell>
          <cell r="I1785" t="str">
            <v>In Progress</v>
          </cell>
          <cell r="J1785" t="str">
            <v>Yes</v>
          </cell>
          <cell r="K1785" t="str">
            <v>No</v>
          </cell>
          <cell r="L1785">
            <v>0</v>
          </cell>
          <cell r="O1785">
            <v>0</v>
          </cell>
          <cell r="Q1785" t="str">
            <v>70|100</v>
          </cell>
        </row>
        <row r="1786">
          <cell r="E1786" t="str">
            <v>10. OWNER READINESS SCORE</v>
          </cell>
          <cell r="G1786" t="str">
            <v>Verify door hardware, access control, and room security.</v>
          </cell>
          <cell r="H1786" t="str">
            <v>OIT Readiness</v>
          </cell>
          <cell r="I1786">
            <v>0</v>
          </cell>
          <cell r="J1786">
            <v>0.75</v>
          </cell>
          <cell r="K1786">
            <v>0</v>
          </cell>
          <cell r="L1786" t="str">
            <v>Success: Required OIT activation prerequisites are complete or formally coordinated.</v>
          </cell>
          <cell r="O1786">
            <v>0</v>
          </cell>
          <cell r="Q1786" t="str">
            <v>70|101</v>
          </cell>
        </row>
        <row r="1787">
          <cell r="E1787" t="str">
            <v>10. OWNER READINESS SCORE</v>
          </cell>
          <cell r="G1787" t="str">
            <v>Label rooms and equipment per VA standards.</v>
          </cell>
          <cell r="H1787">
            <v>0</v>
          </cell>
          <cell r="I1787">
            <v>0</v>
          </cell>
          <cell r="J1787">
            <v>0</v>
          </cell>
          <cell r="K1787">
            <v>0</v>
          </cell>
          <cell r="L1787">
            <v>0</v>
          </cell>
          <cell r="O1787">
            <v>0</v>
          </cell>
          <cell r="Q1787" t="str">
            <v>70|102</v>
          </cell>
        </row>
        <row r="1788">
          <cell r="E1788" t="str">
            <v>10. OWNER READINESS SCORE</v>
          </cell>
          <cell r="G1788">
            <v>0</v>
          </cell>
          <cell r="H1788" t="str">
            <v>14. SUBMITTAL / MATERIAL VERIFICATION</v>
          </cell>
          <cell r="I1788">
            <v>0</v>
          </cell>
          <cell r="J1788">
            <v>0</v>
          </cell>
          <cell r="K1788">
            <v>0</v>
          </cell>
          <cell r="L1788">
            <v>0</v>
          </cell>
          <cell r="O1788">
            <v>0</v>
          </cell>
          <cell r="Q1788" t="str">
            <v>70|103</v>
          </cell>
        </row>
        <row r="1789">
          <cell r="E1789" t="str">
            <v>10. OWNER READINESS SCORE</v>
          </cell>
          <cell r="G1789" t="str">
            <v>Fire Protection</v>
          </cell>
          <cell r="H1789" t="str">
            <v>Spec / Item</v>
          </cell>
          <cell r="I1789" t="str">
            <v>Status</v>
          </cell>
          <cell r="J1789" t="str">
            <v>Approved</v>
          </cell>
          <cell r="K1789" t="str">
            <v>Installed</v>
          </cell>
          <cell r="L1789" t="str">
            <v>Match</v>
          </cell>
          <cell r="O1789">
            <v>0</v>
          </cell>
          <cell r="Q1789" t="str">
            <v>70|104</v>
          </cell>
        </row>
        <row r="1790">
          <cell r="E1790" t="str">
            <v>10. OWNER READINESS SCORE</v>
          </cell>
          <cell r="G1790">
            <v>0</v>
          </cell>
          <cell r="H1790" t="str">
            <v>Telecom Equipment</v>
          </cell>
          <cell r="I1790" t="str">
            <v>Complete</v>
          </cell>
          <cell r="J1790" t="str">
            <v>Yes</v>
          </cell>
          <cell r="K1790" t="str">
            <v>Yes</v>
          </cell>
          <cell r="L1790" t="str">
            <v>Yes</v>
          </cell>
          <cell r="O1790">
            <v>0</v>
          </cell>
          <cell r="Q1790" t="str">
            <v>70|105</v>
          </cell>
        </row>
        <row r="1791">
          <cell r="E1791" t="str">
            <v>10. OWNER READINESS SCORE</v>
          </cell>
          <cell r="G1791" t="str">
            <v>Verify sprinkler coverage within each TR.</v>
          </cell>
          <cell r="H1791" t="str">
            <v>Cable Tray</v>
          </cell>
          <cell r="I1791" t="str">
            <v>Complete</v>
          </cell>
          <cell r="J1791" t="str">
            <v>Yes</v>
          </cell>
          <cell r="K1791" t="str">
            <v>Yes</v>
          </cell>
          <cell r="L1791" t="str">
            <v>Yes</v>
          </cell>
          <cell r="O1791">
            <v>0</v>
          </cell>
          <cell r="Q1791" t="str">
            <v>70|106</v>
          </cell>
        </row>
        <row r="1792">
          <cell r="E1792" t="str">
            <v>10. OWNER READINESS SCORE</v>
          </cell>
          <cell r="G1792" t="str">
            <v>Reconfigure sprinkler piping and heads where required.</v>
          </cell>
          <cell r="H1792" t="str">
            <v>Firestop System</v>
          </cell>
          <cell r="I1792" t="str">
            <v>Complete</v>
          </cell>
          <cell r="J1792" t="str">
            <v>Yes</v>
          </cell>
          <cell r="K1792" t="str">
            <v>Yes</v>
          </cell>
          <cell r="L1792" t="str">
            <v>Yes</v>
          </cell>
          <cell r="O1792">
            <v>0</v>
          </cell>
          <cell r="Q1792" t="str">
            <v>70|107</v>
          </cell>
        </row>
        <row r="1793">
          <cell r="E1793" t="str">
            <v>10. OWNER READINESS SCORE</v>
          </cell>
          <cell r="G1793" t="str">
            <v>Verify no obstructions to sprinkler discharge.</v>
          </cell>
          <cell r="H1793" t="str">
            <v>HVAC Equipment</v>
          </cell>
          <cell r="I1793" t="str">
            <v>Complete</v>
          </cell>
          <cell r="J1793" t="str">
            <v>Yes</v>
          </cell>
          <cell r="K1793" t="str">
            <v>Yes</v>
          </cell>
          <cell r="L1793" t="str">
            <v>Yes</v>
          </cell>
          <cell r="O1793">
            <v>0</v>
          </cell>
          <cell r="Q1793" t="str">
            <v>70|108</v>
          </cell>
        </row>
        <row r="1794">
          <cell r="E1794" t="str">
            <v>10. OWNER READINESS SCORE</v>
          </cell>
          <cell r="G1794" t="str">
            <v>Provide fire extinguisher cabinet and clean-agent or CO₂ extinguisher within 75 feet of each TR.</v>
          </cell>
          <cell r="H1794" t="str">
            <v>Electrical Equipment</v>
          </cell>
          <cell r="I1794" t="str">
            <v>Complete</v>
          </cell>
          <cell r="J1794" t="str">
            <v>Yes</v>
          </cell>
          <cell r="K1794" t="str">
            <v>Yes</v>
          </cell>
          <cell r="L1794" t="str">
            <v>Yes</v>
          </cell>
          <cell r="O1794">
            <v>0</v>
          </cell>
          <cell r="Q1794" t="str">
            <v>70|109</v>
          </cell>
        </row>
        <row r="1795">
          <cell r="E1795" t="str">
            <v>10. OWNER READINESS SCORE</v>
          </cell>
          <cell r="G1795" t="str">
            <v>Firestop all penetrations through rated assemblies.</v>
          </cell>
          <cell r="H1795" t="str">
            <v>Inspection Compliance</v>
          </cell>
          <cell r="I1795">
            <v>0</v>
          </cell>
          <cell r="J1795">
            <v>1</v>
          </cell>
          <cell r="K1795">
            <v>0</v>
          </cell>
          <cell r="L1795" t="str">
            <v>Success: Installed materials match approved submittals and deficiencies are documented.</v>
          </cell>
          <cell r="O1795">
            <v>0</v>
          </cell>
          <cell r="Q1795" t="str">
            <v>70|110</v>
          </cell>
        </row>
        <row r="1796">
          <cell r="E1796" t="str">
            <v>10. OWNER READINESS SCORE</v>
          </cell>
          <cell r="G1796" t="str">
            <v>Verify compliance with NFPA 13 and VA Fire Protection Design Manual requirements.</v>
          </cell>
          <cell r="H1796">
            <v>0</v>
          </cell>
          <cell r="I1796">
            <v>0</v>
          </cell>
          <cell r="J1796">
            <v>0</v>
          </cell>
          <cell r="K1796">
            <v>0</v>
          </cell>
          <cell r="L1796">
            <v>0</v>
          </cell>
          <cell r="O1796">
            <v>0</v>
          </cell>
          <cell r="Q1796" t="str">
            <v>70|111</v>
          </cell>
        </row>
        <row r="1797">
          <cell r="E1797" t="str">
            <v>10. OWNER READINESS SCORE</v>
          </cell>
          <cell r="G1797">
            <v>0</v>
          </cell>
          <cell r="H1797" t="str">
            <v>15. PRODUCTIVITY OBSERVATIONS</v>
          </cell>
          <cell r="I1797">
            <v>0</v>
          </cell>
          <cell r="J1797">
            <v>0</v>
          </cell>
          <cell r="K1797">
            <v>0</v>
          </cell>
          <cell r="L1797">
            <v>0</v>
          </cell>
          <cell r="O1797">
            <v>0</v>
          </cell>
          <cell r="Q1797" t="str">
            <v>70|112</v>
          </cell>
        </row>
        <row r="1798">
          <cell r="E1798" t="str">
            <v>10. OWNER READINESS SCORE</v>
          </cell>
          <cell r="G1798" t="str">
            <v>Fire Alarm</v>
          </cell>
          <cell r="H1798" t="str">
            <v>Trade</v>
          </cell>
          <cell r="I1798" t="str">
            <v>Status</v>
          </cell>
          <cell r="J1798" t="str">
            <v>Planned</v>
          </cell>
          <cell r="K1798" t="str">
            <v>Actual</v>
          </cell>
          <cell r="L1798" t="str">
            <v>Crew</v>
          </cell>
          <cell r="O1798">
            <v>0</v>
          </cell>
          <cell r="Q1798" t="str">
            <v>70|113</v>
          </cell>
        </row>
        <row r="1799">
          <cell r="E1799" t="str">
            <v>10. OWNER READINESS SCORE</v>
          </cell>
          <cell r="G1799">
            <v>0</v>
          </cell>
          <cell r="H1799" t="str">
            <v>Electrical</v>
          </cell>
          <cell r="I1799" t="str">
            <v>Not Started</v>
          </cell>
          <cell r="J1799">
            <v>8</v>
          </cell>
          <cell r="K1799">
            <v>7.5</v>
          </cell>
          <cell r="L1799">
            <v>6</v>
          </cell>
          <cell r="O1799">
            <v>0</v>
          </cell>
          <cell r="Q1799" t="str">
            <v>70|114</v>
          </cell>
        </row>
        <row r="1800">
          <cell r="E1800" t="str">
            <v>10. OWNER READINESS SCORE</v>
          </cell>
          <cell r="G1800" t="str">
            <v>Verify smoke detection coverage.</v>
          </cell>
          <cell r="H1800" t="str">
            <v>Telecom</v>
          </cell>
          <cell r="I1800" t="str">
            <v>Not Started</v>
          </cell>
          <cell r="J1800">
            <v>8</v>
          </cell>
          <cell r="K1800">
            <v>9</v>
          </cell>
          <cell r="L1800">
            <v>4</v>
          </cell>
          <cell r="O1800">
            <v>0</v>
          </cell>
          <cell r="Q1800" t="str">
            <v>70|115</v>
          </cell>
        </row>
        <row r="1801">
          <cell r="E1801" t="str">
            <v>10. OWNER READINESS SCORE</v>
          </cell>
          <cell r="G1801" t="str">
            <v>Verify horn/strobe coverage.</v>
          </cell>
          <cell r="H1801" t="str">
            <v>Mechanical</v>
          </cell>
          <cell r="I1801" t="str">
            <v>Not Started</v>
          </cell>
          <cell r="J1801">
            <v>10</v>
          </cell>
          <cell r="K1801">
            <v>10</v>
          </cell>
          <cell r="L1801">
            <v>3</v>
          </cell>
          <cell r="O1801">
            <v>0</v>
          </cell>
          <cell r="Q1801" t="str">
            <v>70|116</v>
          </cell>
        </row>
        <row r="1802">
          <cell r="E1802" t="str">
            <v>10. OWNER READINESS SCORE</v>
          </cell>
          <cell r="G1802" t="str">
            <v>Coordinate relocation or addition of devices as required.</v>
          </cell>
          <cell r="H1802" t="str">
            <v>Firestop</v>
          </cell>
          <cell r="I1802" t="str">
            <v>Not Started</v>
          </cell>
          <cell r="J1802">
            <v>10</v>
          </cell>
          <cell r="K1802">
            <v>13</v>
          </cell>
          <cell r="L1802">
            <v>1</v>
          </cell>
          <cell r="O1802">
            <v>0</v>
          </cell>
          <cell r="Q1802" t="str">
            <v>70|117</v>
          </cell>
        </row>
        <row r="1803">
          <cell r="E1803" t="str">
            <v>10. OWNER READINESS SCORE</v>
          </cell>
          <cell r="G1803" t="str">
            <v>Verify monitoring and reporting through existing fire alarm systems.</v>
          </cell>
          <cell r="H1803" t="str">
            <v>Contractor Performance</v>
          </cell>
          <cell r="I1803">
            <v>0</v>
          </cell>
          <cell r="J1803">
            <v>0</v>
          </cell>
          <cell r="K1803">
            <v>0</v>
          </cell>
          <cell r="L1803" t="str">
            <v>Success: Actual production is on or above baseline, or delay cause is documented.</v>
          </cell>
          <cell r="O1803">
            <v>0</v>
          </cell>
          <cell r="Q1803" t="str">
            <v>70|118</v>
          </cell>
        </row>
        <row r="1804">
          <cell r="E1804" t="str">
            <v>10. OWNER READINESS SCORE</v>
          </cell>
          <cell r="G1804" t="str">
            <v>Test and document final operation.</v>
          </cell>
          <cell r="H1804">
            <v>0</v>
          </cell>
          <cell r="I1804">
            <v>0</v>
          </cell>
          <cell r="J1804">
            <v>0</v>
          </cell>
          <cell r="K1804">
            <v>0</v>
          </cell>
          <cell r="L1804">
            <v>0</v>
          </cell>
          <cell r="O1804">
            <v>0</v>
          </cell>
          <cell r="Q1804" t="str">
            <v>70|119</v>
          </cell>
        </row>
        <row r="1805">
          <cell r="E1805" t="str">
            <v>10. OWNER READINESS SCORE</v>
          </cell>
          <cell r="G1805">
            <v>0</v>
          </cell>
          <cell r="H1805" t="str">
            <v>16. OWNER ACCEPTANCE READINESS</v>
          </cell>
          <cell r="I1805">
            <v>0</v>
          </cell>
          <cell r="J1805">
            <v>0</v>
          </cell>
          <cell r="K1805">
            <v>0</v>
          </cell>
          <cell r="L1805">
            <v>0</v>
          </cell>
          <cell r="O1805">
            <v>0</v>
          </cell>
          <cell r="Q1805" t="str">
            <v>70|120</v>
          </cell>
        </row>
        <row r="1806">
          <cell r="E1806" t="str">
            <v>10. OWNER READINESS SCORE</v>
          </cell>
          <cell r="G1806" t="str">
            <v>Mechanical / HVAC</v>
          </cell>
          <cell r="H1806" t="str">
            <v>Requirement</v>
          </cell>
          <cell r="I1806" t="str">
            <v>Status</v>
          </cell>
          <cell r="J1806" t="str">
            <v>Required</v>
          </cell>
          <cell r="K1806" t="str">
            <v>Complete</v>
          </cell>
          <cell r="L1806" t="str">
            <v>Score</v>
          </cell>
          <cell r="O1806">
            <v>0</v>
          </cell>
          <cell r="Q1806" t="str">
            <v>70|121</v>
          </cell>
        </row>
        <row r="1807">
          <cell r="E1807" t="str">
            <v>10. OWNER READINESS SCORE</v>
          </cell>
          <cell r="G1807">
            <v>0</v>
          </cell>
          <cell r="H1807" t="str">
            <v>Construction Complete</v>
          </cell>
          <cell r="I1807" t="str">
            <v>🟢 Verified</v>
          </cell>
          <cell r="J1807" t="str">
            <v>Yes</v>
          </cell>
          <cell r="K1807" t="str">
            <v>Yes</v>
          </cell>
          <cell r="L1807">
            <v>1</v>
          </cell>
          <cell r="O1807">
            <v>0</v>
          </cell>
          <cell r="Q1807" t="str">
            <v>70|122</v>
          </cell>
        </row>
        <row r="1808">
          <cell r="E1808" t="str">
            <v>10. OWNER READINESS SCORE</v>
          </cell>
          <cell r="G1808" t="str">
            <v>Verify dedicated cooling units serving each telecom room.</v>
          </cell>
          <cell r="H1808" t="str">
            <v>QA/QC Complete</v>
          </cell>
          <cell r="I1808" t="str">
            <v>🟢 Verified</v>
          </cell>
          <cell r="J1808" t="str">
            <v>Yes</v>
          </cell>
          <cell r="K1808" t="str">
            <v>Yes</v>
          </cell>
          <cell r="L1808">
            <v>1</v>
          </cell>
          <cell r="O1808">
            <v>0</v>
          </cell>
          <cell r="Q1808" t="str">
            <v>70|123</v>
          </cell>
        </row>
        <row r="1809">
          <cell r="E1809" t="str">
            <v>10. OWNER READINESS SCORE</v>
          </cell>
          <cell r="G1809" t="str">
            <v>Verify thermostat installation.</v>
          </cell>
          <cell r="H1809" t="str">
            <v>Deficiencies Closed</v>
          </cell>
          <cell r="I1809" t="str">
            <v>🟢 Verified</v>
          </cell>
          <cell r="J1809" t="str">
            <v>Yes</v>
          </cell>
          <cell r="K1809" t="str">
            <v>Yes</v>
          </cell>
          <cell r="L1809">
            <v>1</v>
          </cell>
          <cell r="O1809">
            <v>0</v>
          </cell>
          <cell r="Q1809" t="str">
            <v>70|124</v>
          </cell>
        </row>
        <row r="1810">
          <cell r="E1810" t="str">
            <v>10. OWNER READINESS SCORE</v>
          </cell>
          <cell r="G1810" t="str">
            <v>Verify BACnet integration and controls.</v>
          </cell>
          <cell r="H1810" t="str">
            <v>OIT Ready</v>
          </cell>
          <cell r="I1810" t="str">
            <v>🟢 Verified</v>
          </cell>
          <cell r="J1810" t="str">
            <v>Yes</v>
          </cell>
          <cell r="K1810" t="str">
            <v>Yes</v>
          </cell>
          <cell r="L1810">
            <v>1</v>
          </cell>
          <cell r="O1810">
            <v>0</v>
          </cell>
          <cell r="Q1810" t="str">
            <v>70|125</v>
          </cell>
        </row>
        <row r="1811">
          <cell r="E1811" t="str">
            <v>10. OWNER READINESS SCORE</v>
          </cell>
          <cell r="G1811" t="str">
            <v>Verify condensate routing and drainage.</v>
          </cell>
          <cell r="H1811" t="str">
            <v>Documentation Complete</v>
          </cell>
          <cell r="I1811" t="str">
            <v>🟢 Verified</v>
          </cell>
          <cell r="J1811" t="str">
            <v>Yes</v>
          </cell>
          <cell r="K1811" t="str">
            <v>Yes</v>
          </cell>
          <cell r="L1811">
            <v>1</v>
          </cell>
          <cell r="O1811">
            <v>0</v>
          </cell>
          <cell r="Q1811" t="str">
            <v>70|126</v>
          </cell>
        </row>
        <row r="1812">
          <cell r="E1812" t="str">
            <v>10. OWNER READINESS SCORE</v>
          </cell>
          <cell r="G1812" t="str">
            <v>Verify emergency power requirements for cooling equipment.</v>
          </cell>
          <cell r="H1812" t="str">
            <v>Recommended for Acceptance</v>
          </cell>
          <cell r="I1812" t="str">
            <v>🟢 Verified</v>
          </cell>
          <cell r="J1812" t="str">
            <v>Yes</v>
          </cell>
          <cell r="K1812" t="str">
            <v>No</v>
          </cell>
          <cell r="L1812">
            <v>0</v>
          </cell>
          <cell r="O1812">
            <v>0</v>
          </cell>
          <cell r="Q1812" t="str">
            <v>70|127</v>
          </cell>
        </row>
        <row r="1813">
          <cell r="E1813" t="str">
            <v>10. OWNER READINESS SCORE</v>
          </cell>
          <cell r="G1813" t="str">
            <v>Verify continuous cooling capability during hospital operations.</v>
          </cell>
          <cell r="H1813" t="str">
            <v>Acceptance Readiness</v>
          </cell>
          <cell r="I1813">
            <v>0</v>
          </cell>
          <cell r="J1813">
            <v>0.83333333333333337</v>
          </cell>
          <cell r="K1813">
            <v>0</v>
          </cell>
          <cell r="L1813" t="str">
            <v>Success: Building is ready for turnover when all required gates are complete.</v>
          </cell>
          <cell r="O1813">
            <v>0</v>
          </cell>
          <cell r="Q1813" t="str">
            <v>70|128</v>
          </cell>
        </row>
        <row r="1814">
          <cell r="E1814" t="str">
            <v>10. OWNER READINESS SCORE</v>
          </cell>
          <cell r="G1814" t="str">
            <v>Perform startup and commissioning.</v>
          </cell>
          <cell r="H1814">
            <v>0</v>
          </cell>
          <cell r="I1814">
            <v>0</v>
          </cell>
          <cell r="J1814">
            <v>0</v>
          </cell>
          <cell r="K1814">
            <v>0</v>
          </cell>
          <cell r="L1814">
            <v>0</v>
          </cell>
          <cell r="O1814">
            <v>0</v>
          </cell>
          <cell r="Q1814" t="str">
            <v>70|129</v>
          </cell>
        </row>
        <row r="1815">
          <cell r="E1815" t="str">
            <v>10. OWNER READINESS SCORE</v>
          </cell>
          <cell r="G1815">
            <v>0</v>
          </cell>
          <cell r="H1815" t="str">
            <v>16. SOURCE / DRAWING REVIEW NOTES</v>
          </cell>
          <cell r="I1815">
            <v>0</v>
          </cell>
          <cell r="J1815">
            <v>0</v>
          </cell>
          <cell r="K1815">
            <v>0</v>
          </cell>
          <cell r="L1815">
            <v>0</v>
          </cell>
          <cell r="O1815">
            <v>0</v>
          </cell>
          <cell r="Q1815" t="str">
            <v>70|130</v>
          </cell>
        </row>
        <row r="1816">
          <cell r="E1816" t="str">
            <v>10. OWNER READINESS SCORE</v>
          </cell>
          <cell r="G1816" t="str">
            <v>Electrical</v>
          </cell>
          <cell r="H1816" t="str">
            <v>Source Package</v>
          </cell>
          <cell r="I1816" t="str">
            <v>518-22-700.Bedford.EHRM.IFC.B61.20260316.pdf</v>
          </cell>
          <cell r="J1816">
            <v>0</v>
          </cell>
          <cell r="K1816">
            <v>0</v>
          </cell>
          <cell r="L1816">
            <v>0</v>
          </cell>
          <cell r="O1816">
            <v>0</v>
          </cell>
          <cell r="Q1816" t="str">
            <v>70|131</v>
          </cell>
        </row>
        <row r="1817">
          <cell r="E1817" t="str">
            <v>10. OWNER READINESS SCORE</v>
          </cell>
          <cell r="G1817">
            <v>0</v>
          </cell>
          <cell r="H1817" t="str">
            <v>Drawing Index</v>
          </cell>
          <cell r="I1817" t="str">
            <v>70-sheet Building 61 IFC package includes general, hazardous abatement, architectural, interiors, fire protection, plumbing, mechanical, electrical, telecommunications, schedules/rack elevations, server/demarc rack elevations and photo references.</v>
          </cell>
          <cell r="J1817">
            <v>0</v>
          </cell>
          <cell r="K1817">
            <v>0</v>
          </cell>
          <cell r="L1817">
            <v>0</v>
          </cell>
          <cell r="O1817">
            <v>0</v>
          </cell>
          <cell r="Q1817" t="str">
            <v>70|132</v>
          </cell>
        </row>
        <row r="1818">
          <cell r="E1818" t="str">
            <v>10. OWNER READINESS SCORE</v>
          </cell>
          <cell r="G1818" t="str">
            <v>Verify new electrical distribution serving telecom equipment.</v>
          </cell>
          <cell r="H1818" t="str">
            <v>Architectural / Hazardous Basis</v>
          </cell>
          <cell r="I1818" t="str">
            <v>Drawing index includes 61H-101 first-level and 61H-102 second-level hazardous material abatement plans plus architectural enlarged views 61A-400/401 for basement, first and second levels.</v>
          </cell>
          <cell r="J1818">
            <v>0</v>
          </cell>
          <cell r="K1818">
            <v>0</v>
          </cell>
          <cell r="L1818">
            <v>0</v>
          </cell>
          <cell r="O1818">
            <v>0</v>
          </cell>
          <cell r="Q1818" t="str">
            <v>70|133</v>
          </cell>
        </row>
        <row r="1819">
          <cell r="E1819" t="str">
            <v>10. OWNER READINESS SCORE</v>
          </cell>
          <cell r="G1819" t="str">
            <v>Verify dedicated panel assignments.</v>
          </cell>
          <cell r="H1819" t="str">
            <v>Mechanical Basis</v>
          </cell>
          <cell r="I1819" t="str">
            <v>61M sheets identify dedicated split-system cooling for telecom rooms using IU-0-01/IU-1-01/IU-2-01 and CU-0-01/CU-1-01/CU-2-01, with BACnet adapter mounted adjacent to unit in telecom room; verify emergency power, condensate and alarms.</v>
          </cell>
          <cell r="J1819">
            <v>0</v>
          </cell>
          <cell r="K1819">
            <v>0</v>
          </cell>
          <cell r="L1819">
            <v>0</v>
          </cell>
          <cell r="O1819">
            <v>0</v>
          </cell>
          <cell r="Q1819" t="str">
            <v>70|134</v>
          </cell>
        </row>
        <row r="1820">
          <cell r="E1820" t="str">
            <v>10. OWNER READINESS SCORE</v>
          </cell>
          <cell r="G1820" t="str">
            <v>Verify UPS installation and ratings.</v>
          </cell>
          <cell r="H1820" t="str">
            <v>Electrical Basis</v>
          </cell>
          <cell r="I1820" t="str">
            <v>61E-401/402/601/701/702/703 identify B61 telecom panelboards and PD panels including B61-TRB13A/B, B61-TR124A/B, B61-TR226A/B, B61-TR137AA/AB, rack receptacles, SPDs, UPS/PDU and cooling equipment circuits.</v>
          </cell>
          <cell r="J1820">
            <v>0</v>
          </cell>
          <cell r="K1820">
            <v>0</v>
          </cell>
          <cell r="L1820">
            <v>0</v>
          </cell>
          <cell r="O1820">
            <v>0</v>
          </cell>
          <cell r="Q1820" t="str">
            <v>70|135</v>
          </cell>
        </row>
        <row r="1821">
          <cell r="E1821" t="str">
            <v>10. OWNER READINESS SCORE</v>
          </cell>
          <cell r="G1821" t="str">
            <v>Verify rack power distribution units.</v>
          </cell>
          <cell r="H1821" t="str">
            <v>Telecom Basis</v>
          </cell>
          <cell r="I1821" t="str">
            <v>61T-701/702 identify B13H-A: 88 WAO, 74 active, 129 scheduled, 142 with allowance; 226: 109 WAO, 126 active, 156 scheduled, 172 with allowance. Cable tray schedule totals 1,966 ft: basement 890 ft, first 499 ft, second 578 ft.</v>
          </cell>
          <cell r="J1821">
            <v>0</v>
          </cell>
          <cell r="K1821">
            <v>0</v>
          </cell>
          <cell r="L1821">
            <v>0</v>
          </cell>
          <cell r="O1821">
            <v>0</v>
          </cell>
          <cell r="Q1821" t="str">
            <v>70|136</v>
          </cell>
        </row>
        <row r="1822">
          <cell r="E1822" t="str">
            <v>10. OWNER READINESS SCORE</v>
          </cell>
          <cell r="G1822" t="str">
            <v>Verify emergency power source.</v>
          </cell>
          <cell r="H1822" t="str">
            <v>Server / Demarc Basis</v>
          </cell>
          <cell r="I1822" t="str">
            <v>61T-402/606/607 and 61R-900 reference Room 137/137A existing telecom/server/demarc racks, APC UPS/PDU, Fujitsu equipment, wall-mounted patch panels and active systems requiring protection-in-place and cutover coordination.</v>
          </cell>
          <cell r="J1822">
            <v>0</v>
          </cell>
          <cell r="K1822">
            <v>0</v>
          </cell>
          <cell r="L1822">
            <v>0</v>
          </cell>
          <cell r="O1822">
            <v>0</v>
          </cell>
          <cell r="Q1822" t="str">
            <v>70|137</v>
          </cell>
        </row>
        <row r="1823">
          <cell r="E1823" t="str">
            <v>10. OWNER READINESS SCORE</v>
          </cell>
          <cell r="G1823" t="str">
            <v>Verify grounding and bonding requirements.</v>
          </cell>
          <cell r="H1823" t="str">
            <v>Operational Basis</v>
          </cell>
          <cell r="I1823" t="str">
            <v>Cover/general notes require existing ports replaced, conduit reuse where possible, 10% data-port allowance, coordination drawings, third-party inspections, commissioning/recommissioning, VA acceptance before active connections, and shutdowns limited one at a time.</v>
          </cell>
          <cell r="J1823">
            <v>0</v>
          </cell>
          <cell r="K1823">
            <v>0</v>
          </cell>
          <cell r="L1823">
            <v>0</v>
          </cell>
          <cell r="O1823">
            <v>0</v>
          </cell>
          <cell r="Q1823" t="str">
            <v>70|138</v>
          </cell>
        </row>
        <row r="1824">
          <cell r="E1824" t="str">
            <v>10. OWNER READINESS SCORE</v>
          </cell>
          <cell r="G1824" t="str">
            <v>Verify circuit identification and labeling.</v>
          </cell>
          <cell r="H1824">
            <v>0</v>
          </cell>
          <cell r="I1824">
            <v>0</v>
          </cell>
          <cell r="J1824">
            <v>0</v>
          </cell>
          <cell r="K1824">
            <v>0</v>
          </cell>
          <cell r="L1824">
            <v>0</v>
          </cell>
          <cell r="O1824">
            <v>0</v>
          </cell>
          <cell r="Q1824" t="str">
            <v>70|139</v>
          </cell>
        </row>
        <row r="1825">
          <cell r="E1825" t="str">
            <v>10. OWNER READINESS SCORE</v>
          </cell>
          <cell r="G1825">
            <v>0</v>
          </cell>
          <cell r="H1825" t="str">
            <v>PILOT ACCEPTANCE GATE — COPY / PASTE BLOCK</v>
          </cell>
          <cell r="I1825">
            <v>0</v>
          </cell>
          <cell r="J1825">
            <v>0</v>
          </cell>
          <cell r="K1825">
            <v>0</v>
          </cell>
          <cell r="L1825">
            <v>0</v>
          </cell>
          <cell r="O1825">
            <v>0</v>
          </cell>
          <cell r="Q1825" t="str">
            <v>70|140</v>
          </cell>
        </row>
        <row r="1826">
          <cell r="E1826" t="str">
            <v>10. OWNER READINESS SCORE</v>
          </cell>
          <cell r="G1826" t="str">
            <v>Telecommunications</v>
          </cell>
          <cell r="H1826" t="str">
            <v>Purpose</v>
          </cell>
          <cell r="I1826" t="str">
            <v>Use this as the objective completion gate for pilot turnover. A building/pilot stays YELLOW until all eight gates are complete.</v>
          </cell>
          <cell r="J1826">
            <v>0</v>
          </cell>
          <cell r="K1826">
            <v>0</v>
          </cell>
          <cell r="L1826">
            <v>0</v>
          </cell>
          <cell r="O1826">
            <v>0</v>
          </cell>
          <cell r="Q1826" t="str">
            <v>70|141</v>
          </cell>
        </row>
        <row r="1827">
          <cell r="E1827" t="str">
            <v>10. OWNER READINESS SCORE</v>
          </cell>
          <cell r="G1827">
            <v>0</v>
          </cell>
          <cell r="H1827" t="str">
            <v>How to use</v>
          </cell>
          <cell r="I1827" t="str">
            <v>Copy A5:H18 into the applicable Building Assessment sheet. Status cells are intended to be Yes / No / N/A, with evidence links in the Evidence column.</v>
          </cell>
          <cell r="J1827">
            <v>0</v>
          </cell>
          <cell r="K1827">
            <v>0</v>
          </cell>
          <cell r="L1827">
            <v>0</v>
          </cell>
          <cell r="O1827">
            <v>0</v>
          </cell>
          <cell r="Q1827" t="str">
            <v>70|142</v>
          </cell>
        </row>
        <row r="1828">
          <cell r="E1828" t="str">
            <v>10. OWNER READINESS SCORE</v>
          </cell>
          <cell r="G1828" t="str">
            <v>Install and/or verify new equipment racks.</v>
          </cell>
          <cell r="H1828">
            <v>0</v>
          </cell>
          <cell r="I1828">
            <v>0</v>
          </cell>
          <cell r="J1828">
            <v>0</v>
          </cell>
          <cell r="K1828">
            <v>0</v>
          </cell>
          <cell r="L1828">
            <v>0</v>
          </cell>
          <cell r="O1828">
            <v>0</v>
          </cell>
          <cell r="Q1828" t="str">
            <v>70|143</v>
          </cell>
        </row>
        <row r="1829">
          <cell r="E1829" t="str">
            <v>10. OWNER READINESS SCORE</v>
          </cell>
          <cell r="G1829" t="str">
            <v>Install vertical and horizontal cable management.</v>
          </cell>
          <cell r="H1829" t="str">
            <v>Requirement</v>
          </cell>
          <cell r="I1829" t="str">
            <v>Status</v>
          </cell>
          <cell r="J1829" t="str">
            <v>Evidence / Link</v>
          </cell>
          <cell r="K1829" t="str">
            <v>Date</v>
          </cell>
          <cell r="L1829" t="str">
            <v>Owner</v>
          </cell>
          <cell r="O1829" t="str">
            <v>Dashboard Signal</v>
          </cell>
          <cell r="Q1829" t="str">
            <v>70|144</v>
          </cell>
        </row>
        <row r="1830">
          <cell r="E1830" t="str">
            <v>10. OWNER READINESS SCORE</v>
          </cell>
          <cell r="G1830" t="str">
            <v>Install grounding busbars.</v>
          </cell>
          <cell r="H1830" t="str">
            <v>Approved Submittals</v>
          </cell>
          <cell r="I1830" t="str">
            <v>No</v>
          </cell>
          <cell r="J1830">
            <v>0</v>
          </cell>
          <cell r="K1830">
            <v>0</v>
          </cell>
          <cell r="L1830">
            <v>0</v>
          </cell>
          <cell r="O1830">
            <v>0</v>
          </cell>
          <cell r="Q1830" t="str">
            <v>70|145</v>
          </cell>
        </row>
        <row r="1831">
          <cell r="E1831" t="str">
            <v>10. OWNER READINESS SCORE</v>
          </cell>
          <cell r="G1831" t="str">
            <v>Install fiber termination shelves.</v>
          </cell>
          <cell r="H1831" t="str">
            <v>ICRA / PCRA</v>
          </cell>
          <cell r="I1831" t="str">
            <v>No</v>
          </cell>
          <cell r="J1831">
            <v>0</v>
          </cell>
          <cell r="K1831">
            <v>0</v>
          </cell>
          <cell r="L1831">
            <v>0</v>
          </cell>
          <cell r="O1831">
            <v>0</v>
          </cell>
          <cell r="Q1831" t="str">
            <v>70|146</v>
          </cell>
        </row>
        <row r="1832">
          <cell r="E1832" t="str">
            <v>10. OWNER READINESS SCORE</v>
          </cell>
          <cell r="G1832" t="str">
            <v>Install patch panels.</v>
          </cell>
          <cell r="H1832" t="str">
            <v>QA/QC Reports</v>
          </cell>
          <cell r="I1832" t="str">
            <v>No</v>
          </cell>
          <cell r="J1832">
            <v>0</v>
          </cell>
          <cell r="K1832">
            <v>0</v>
          </cell>
          <cell r="L1832">
            <v>0</v>
          </cell>
          <cell r="O1832">
            <v>0</v>
          </cell>
          <cell r="Q1832" t="str">
            <v>70|147</v>
          </cell>
        </row>
        <row r="1833">
          <cell r="E1833" t="str">
            <v>10. OWNER READINESS SCORE</v>
          </cell>
          <cell r="G1833" t="str">
            <v>Verify Cat6A and fiber terminations.</v>
          </cell>
          <cell r="H1833" t="str">
            <v>Firestopping</v>
          </cell>
          <cell r="I1833" t="str">
            <v>No</v>
          </cell>
          <cell r="J1833">
            <v>0</v>
          </cell>
          <cell r="K1833">
            <v>0</v>
          </cell>
          <cell r="L1833">
            <v>0</v>
          </cell>
          <cell r="O1833">
            <v>0</v>
          </cell>
          <cell r="Q1833" t="str">
            <v>70|148</v>
          </cell>
        </row>
        <row r="1834">
          <cell r="E1834" t="str">
            <v>10. OWNER READINESS SCORE</v>
          </cell>
          <cell r="G1834" t="str">
            <v>Verify cable labeling.</v>
          </cell>
          <cell r="H1834" t="str">
            <v>Cable Tests</v>
          </cell>
          <cell r="I1834" t="str">
            <v>No</v>
          </cell>
          <cell r="J1834">
            <v>0</v>
          </cell>
          <cell r="K1834">
            <v>0</v>
          </cell>
          <cell r="L1834">
            <v>0</v>
          </cell>
          <cell r="O1834">
            <v>0</v>
          </cell>
          <cell r="Q1834" t="str">
            <v>70|149</v>
          </cell>
        </row>
        <row r="1835">
          <cell r="E1835" t="str">
            <v>10. OWNER READINESS SCORE</v>
          </cell>
          <cell r="G1835" t="str">
            <v>Test and certify all copper and fiber cabling.</v>
          </cell>
          <cell r="H1835" t="str">
            <v>OIT Acceptance</v>
          </cell>
          <cell r="I1835" t="str">
            <v>No</v>
          </cell>
          <cell r="J1835">
            <v>0</v>
          </cell>
          <cell r="K1835">
            <v>0</v>
          </cell>
          <cell r="L1835">
            <v>0</v>
          </cell>
          <cell r="O1835">
            <v>0</v>
          </cell>
          <cell r="Q1835" t="str">
            <v>70|150</v>
          </cell>
        </row>
        <row r="1836">
          <cell r="E1836" t="str">
            <v>10. OWNER READINESS SCORE</v>
          </cell>
          <cell r="G1836" t="str">
            <v>Verify compliance with OIT standards.</v>
          </cell>
          <cell r="H1836" t="str">
            <v>Photos</v>
          </cell>
          <cell r="I1836" t="str">
            <v>No</v>
          </cell>
          <cell r="J1836">
            <v>0</v>
          </cell>
          <cell r="K1836">
            <v>0</v>
          </cell>
          <cell r="L1836">
            <v>0</v>
          </cell>
          <cell r="O1836">
            <v>0</v>
          </cell>
          <cell r="Q1836" t="str">
            <v>70|151</v>
          </cell>
        </row>
        <row r="1837">
          <cell r="E1837" t="str">
            <v>10. OWNER READINESS SCORE</v>
          </cell>
          <cell r="G1837">
            <v>0</v>
          </cell>
          <cell r="H1837" t="str">
            <v>Zero Critical Punch Items</v>
          </cell>
          <cell r="I1837" t="str">
            <v>No</v>
          </cell>
          <cell r="J1837">
            <v>0</v>
          </cell>
          <cell r="K1837">
            <v>0</v>
          </cell>
          <cell r="L1837">
            <v>0</v>
          </cell>
          <cell r="O1837">
            <v>0</v>
          </cell>
          <cell r="Q1837" t="str">
            <v>70|152</v>
          </cell>
        </row>
        <row r="1838">
          <cell r="E1838" t="str">
            <v>10. OWNER READINESS SCORE</v>
          </cell>
          <cell r="G1838" t="str">
            <v>Security</v>
          </cell>
          <cell r="H1838" t="str">
            <v>Requirement</v>
          </cell>
          <cell r="I1838" t="str">
            <v>What it Means</v>
          </cell>
          <cell r="J1838">
            <v>0</v>
          </cell>
          <cell r="K1838">
            <v>0</v>
          </cell>
          <cell r="L1838" t="str">
            <v>Verification</v>
          </cell>
          <cell r="O1838">
            <v>0</v>
          </cell>
          <cell r="Q1838" t="str">
            <v>70|153</v>
          </cell>
        </row>
        <row r="1839">
          <cell r="E1839" t="str">
            <v>10. OWNER READINESS SCORE</v>
          </cell>
          <cell r="G1839">
            <v>0</v>
          </cell>
          <cell r="H1839" t="str">
            <v>Approved Submittals</v>
          </cell>
          <cell r="I1839" t="str">
            <v>Every material and piece of equipment installed in the pilot area has been reviewed and approved through the submittal process. Nothing unapproved was installed.</v>
          </cell>
          <cell r="J1839">
            <v>0</v>
          </cell>
          <cell r="K1839">
            <v>0</v>
          </cell>
          <cell r="L1839" t="str">
            <v>Verify approved submittals exist for all installed systems and that field installations match the approved documents.</v>
          </cell>
          <cell r="O1839">
            <v>0</v>
          </cell>
          <cell r="Q1839" t="str">
            <v>70|154</v>
          </cell>
        </row>
        <row r="1840">
          <cell r="E1840" t="str">
            <v>10. OWNER READINESS SCORE</v>
          </cell>
          <cell r="G1840" t="str">
            <v>Verify PACS access control for all TR doors.</v>
          </cell>
          <cell r="H1840" t="str">
            <v>ICRA / PCRA</v>
          </cell>
          <cell r="I1840" t="str">
            <v>The required Infection Control Risk Assessment and Pre-Construction Risk Assessment were approved, implemented, and maintained throughout construction.</v>
          </cell>
          <cell r="J1840">
            <v>0</v>
          </cell>
          <cell r="K1840">
            <v>0</v>
          </cell>
          <cell r="L1840" t="str">
            <v>Confirm approved plans, barrier inspections, negative air documentation (if applicable), housekeeping, and final removal procedures.</v>
          </cell>
          <cell r="O1840">
            <v>0</v>
          </cell>
          <cell r="Q1840" t="str">
            <v>70|155</v>
          </cell>
        </row>
        <row r="1841">
          <cell r="E1841" t="str">
            <v>10. OWNER READINESS SCORE</v>
          </cell>
          <cell r="G1841" t="str">
            <v>Verify card reader operation.</v>
          </cell>
          <cell r="H1841" t="str">
            <v>QA/QC Reports</v>
          </cell>
          <cell r="I1841" t="str">
            <v>Contractor quality inspections have been completed and documented.</v>
          </cell>
          <cell r="J1841">
            <v>0</v>
          </cell>
          <cell r="K1841">
            <v>0</v>
          </cell>
          <cell r="L1841" t="str">
            <v>Review QC reports, inspection checklists, deficiency logs, corrective actions, and daily QC documentation.</v>
          </cell>
          <cell r="O1841">
            <v>0</v>
          </cell>
          <cell r="Q1841" t="str">
            <v>70|156</v>
          </cell>
        </row>
        <row r="1842">
          <cell r="E1842" t="str">
            <v>10. OWNER READINESS SCORE</v>
          </cell>
          <cell r="G1842" t="str">
            <v>Verify door position monitoring.</v>
          </cell>
          <cell r="H1842" t="str">
            <v>Firestopping</v>
          </cell>
          <cell r="I1842" t="str">
            <v>Every penetration through rated walls, floors, and ceilings has been properly firestopped with approved systems.</v>
          </cell>
          <cell r="J1842">
            <v>0</v>
          </cell>
          <cell r="K1842">
            <v>0</v>
          </cell>
          <cell r="L1842" t="str">
            <v>Inspect penetrations, verify UL systems, labels, installation quality, and documentation/photos.</v>
          </cell>
          <cell r="O1842">
            <v>0</v>
          </cell>
          <cell r="Q1842" t="str">
            <v>70|157</v>
          </cell>
        </row>
        <row r="1843">
          <cell r="E1843" t="str">
            <v>10. OWNER READINESS SCORE</v>
          </cell>
          <cell r="G1843" t="str">
            <v>Verify camera coverage where required.</v>
          </cell>
          <cell r="H1843" t="str">
            <v>Cable Tests</v>
          </cell>
          <cell r="I1843" t="str">
            <v>All network, fiber, and communication cabling has passed required testing.</v>
          </cell>
          <cell r="J1843">
            <v>0</v>
          </cell>
          <cell r="K1843">
            <v>0</v>
          </cell>
          <cell r="L1843" t="str">
            <v>Verify copper certification reports, fiber OTDR/power meter results, labeling, and test documentation.</v>
          </cell>
          <cell r="O1843">
            <v>0</v>
          </cell>
          <cell r="Q1843" t="str">
            <v>70|158</v>
          </cell>
        </row>
        <row r="1844">
          <cell r="E1844" t="str">
            <v>10. OWNER READINESS SCORE</v>
          </cell>
          <cell r="G1844" t="str">
            <v>Verify integration with existing VA security systems.</v>
          </cell>
          <cell r="H1844" t="str">
            <v>OIT Acceptance</v>
          </cell>
          <cell r="I1844" t="str">
            <v>VA Office of Information &amp; Technology has inspected and accepted the installed IT infrastructure.</v>
          </cell>
          <cell r="J1844">
            <v>0</v>
          </cell>
          <cell r="K1844">
            <v>0</v>
          </cell>
          <cell r="L1844" t="str">
            <v>Obtain written acceptance or signoff from OIT confirming systems are operational and acceptable.</v>
          </cell>
          <cell r="O1844">
            <v>0</v>
          </cell>
          <cell r="Q1844" t="str">
            <v>70|159</v>
          </cell>
        </row>
        <row r="1845">
          <cell r="E1845" t="str">
            <v>10. OWNER READINESS SCORE</v>
          </cell>
          <cell r="G1845">
            <v>0</v>
          </cell>
          <cell r="H1845" t="str">
            <v>Photos</v>
          </cell>
          <cell r="I1845" t="str">
            <v>Construction has been photographically documented.</v>
          </cell>
          <cell r="J1845">
            <v>0</v>
          </cell>
          <cell r="K1845">
            <v>0</v>
          </cell>
          <cell r="L1845" t="str">
            <v>Ensure pre-construction, rough-in, above-ceiling, concealed work, and final condition photographs are complete and organized.</v>
          </cell>
          <cell r="O1845">
            <v>0</v>
          </cell>
          <cell r="Q1845" t="str">
            <v>70|160</v>
          </cell>
        </row>
        <row r="1846">
          <cell r="E1846" t="str">
            <v>10. OWNER READINESS SCORE</v>
          </cell>
          <cell r="G1846" t="str">
            <v>Operational Risk Review</v>
          </cell>
          <cell r="H1846" t="str">
            <v>Zero Critical Punch Items</v>
          </cell>
          <cell r="I1846" t="str">
            <v>No life safety, code, operational, or mission-critical deficiencies remain. Minor cosmetic items may remain only if allowed by contract.</v>
          </cell>
          <cell r="J1846">
            <v>0</v>
          </cell>
          <cell r="K1846">
            <v>0</v>
          </cell>
          <cell r="L1846" t="str">
            <v>Walk the space and confirm all critical deficiencies have been corrected prior to turnover.</v>
          </cell>
          <cell r="O1846">
            <v>0</v>
          </cell>
          <cell r="Q1846" t="str">
            <v>70|161</v>
          </cell>
        </row>
        <row r="1847">
          <cell r="E1847" t="str">
            <v>10. OWNER READINESS SCORE</v>
          </cell>
          <cell r="G1847">
            <v>0</v>
          </cell>
          <cell r="H1847" t="str">
            <v>Acceptance Gate Result</v>
          </cell>
          <cell r="I1847" t="str">
            <v>🟡 NOT COMPLETE — ACCEPTANCE GATES OPEN</v>
          </cell>
          <cell r="J1847">
            <v>0</v>
          </cell>
          <cell r="K1847">
            <v>0</v>
          </cell>
          <cell r="L1847">
            <v>0</v>
          </cell>
          <cell r="O1847">
            <v>0</v>
          </cell>
          <cell r="Q1847" t="str">
            <v>70|162</v>
          </cell>
        </row>
        <row r="1848">
          <cell r="E1848" t="str">
            <v>10. OWNER READINESS SCORE</v>
          </cell>
          <cell r="G1848" t="str">
            <v>Identify systems requiring uninterrupted operation.</v>
          </cell>
          <cell r="H1848" t="str">
            <v>Open Gate Count</v>
          </cell>
          <cell r="I1848">
            <v>8</v>
          </cell>
          <cell r="J1848">
            <v>0</v>
          </cell>
          <cell r="K1848">
            <v>0</v>
          </cell>
          <cell r="L1848">
            <v>0</v>
          </cell>
          <cell r="O1848">
            <v>0</v>
          </cell>
          <cell r="Q1848" t="str">
            <v>70|163</v>
          </cell>
        </row>
        <row r="1849">
          <cell r="E1849" t="str">
            <v>10. OWNER READINESS SCORE</v>
          </cell>
          <cell r="G1849" t="str">
            <v>Develop cutover strategy.</v>
          </cell>
          <cell r="H1849" t="str">
            <v>Gate Completion</v>
          </cell>
          <cell r="I1849" t="str">
            <v>0 / 8 Complete</v>
          </cell>
          <cell r="J1849">
            <v>0</v>
          </cell>
          <cell r="K1849">
            <v>0</v>
          </cell>
          <cell r="L1849">
            <v>0</v>
          </cell>
          <cell r="O1849">
            <v>0</v>
          </cell>
          <cell r="Q1849" t="str">
            <v>70|164</v>
          </cell>
        </row>
        <row r="1850">
          <cell r="E1850" t="str">
            <v>10. OWNER READINESS SCORE</v>
          </cell>
          <cell r="G1850" t="str">
            <v>Review outage requirements with VA OIT.</v>
          </cell>
          <cell r="H1850" t="str">
            <v>Command Center Rule</v>
          </cell>
          <cell r="I1850" t="str">
            <v>Tile remains YELLOW until B15 returns "🟢 PILOT COMPLETE / ACCEPTANCE READY"; then tile may turn GREEN.</v>
          </cell>
          <cell r="J1850">
            <v>0</v>
          </cell>
          <cell r="K1850">
            <v>0</v>
          </cell>
          <cell r="L1850">
            <v>0</v>
          </cell>
          <cell r="O1850">
            <v>0</v>
          </cell>
          <cell r="Q1850" t="str">
            <v>70|165</v>
          </cell>
        </row>
        <row r="1851">
          <cell r="E1851" t="str">
            <v>10. OWNER READINESS SCORE</v>
          </cell>
          <cell r="G1851" t="str">
            <v>Review shutdown requirements with facilities staff.</v>
          </cell>
          <cell r="H1851">
            <v>0</v>
          </cell>
          <cell r="I1851">
            <v>0</v>
          </cell>
          <cell r="J1851">
            <v>0</v>
          </cell>
          <cell r="K1851">
            <v>0</v>
          </cell>
          <cell r="L1851">
            <v>0</v>
          </cell>
          <cell r="O1851">
            <v>0</v>
          </cell>
          <cell r="Q1851" t="str">
            <v>70|166</v>
          </cell>
        </row>
        <row r="1852">
          <cell r="E1852" t="str">
            <v>10. OWNER READINESS SCORE</v>
          </cell>
          <cell r="G1852" t="str">
            <v>Verify no active services are removed before migration.</v>
          </cell>
          <cell r="H1852" t="str">
            <v>Suggested Building Tile Logic</v>
          </cell>
          <cell r="I1852" t="str">
            <v>Example only: =IF(COUNTIF(&lt;building_gate_status_range&gt;,"No")=0,"GREEN","YELLOW")</v>
          </cell>
          <cell r="J1852">
            <v>0</v>
          </cell>
          <cell r="K1852">
            <v>0</v>
          </cell>
          <cell r="L1852">
            <v>0</v>
          </cell>
          <cell r="O1852">
            <v>0</v>
          </cell>
          <cell r="Q1852" t="str">
            <v>70|167</v>
          </cell>
        </row>
        <row r="1853">
          <cell r="E1853" t="str">
            <v>10. OWNER READINESS SCORE</v>
          </cell>
          <cell r="G1853">
            <v>0</v>
          </cell>
          <cell r="H1853" t="str">
            <v>17. OWNER DECISION SUMMARY</v>
          </cell>
          <cell r="I1853">
            <v>0</v>
          </cell>
          <cell r="J1853">
            <v>0</v>
          </cell>
          <cell r="K1853">
            <v>0</v>
          </cell>
          <cell r="L1853">
            <v>0</v>
          </cell>
          <cell r="O1853">
            <v>0</v>
          </cell>
          <cell r="Q1853" t="str">
            <v>70|168</v>
          </cell>
        </row>
        <row r="1854">
          <cell r="E1854" t="str">
            <v>10. OWNER READINESS SCORE</v>
          </cell>
          <cell r="G1854" t="str">
            <v>Commissioning &amp; Acceptance</v>
          </cell>
          <cell r="H1854" t="str">
            <v>Recommended Payment</v>
          </cell>
          <cell r="I1854">
            <v>0</v>
          </cell>
          <cell r="J1854">
            <v>0</v>
          </cell>
          <cell r="K1854">
            <v>0</v>
          </cell>
          <cell r="L1854">
            <v>0</v>
          </cell>
          <cell r="O1854">
            <v>0</v>
          </cell>
          <cell r="Q1854" t="str">
            <v>70|169</v>
          </cell>
        </row>
        <row r="1855">
          <cell r="E1855" t="str">
            <v>10. OWNER READINESS SCORE</v>
          </cell>
          <cell r="G1855">
            <v>0</v>
          </cell>
          <cell r="H1855">
            <v>0</v>
          </cell>
          <cell r="I1855">
            <v>0</v>
          </cell>
          <cell r="J1855">
            <v>0</v>
          </cell>
          <cell r="K1855">
            <v>0</v>
          </cell>
          <cell r="L1855">
            <v>0</v>
          </cell>
          <cell r="O1855">
            <v>0</v>
          </cell>
          <cell r="Q1855" t="str">
            <v>70|170</v>
          </cell>
        </row>
        <row r="1856">
          <cell r="E1856" t="str">
            <v>10. OWNER READINESS SCORE</v>
          </cell>
          <cell r="G1856" t="str">
            <v>HVAC commissioning.</v>
          </cell>
          <cell r="H1856" t="str">
            <v>☐ Full</v>
          </cell>
          <cell r="I1856">
            <v>0</v>
          </cell>
          <cell r="J1856">
            <v>0</v>
          </cell>
          <cell r="K1856">
            <v>0</v>
          </cell>
          <cell r="L1856">
            <v>0</v>
          </cell>
          <cell r="O1856">
            <v>0</v>
          </cell>
          <cell r="Q1856" t="str">
            <v>70|171</v>
          </cell>
        </row>
        <row r="1857">
          <cell r="E1857" t="str">
            <v>10. OWNER READINESS SCORE</v>
          </cell>
          <cell r="G1857" t="str">
            <v>Electrical commissioning.</v>
          </cell>
          <cell r="H1857">
            <v>0</v>
          </cell>
          <cell r="I1857">
            <v>0</v>
          </cell>
          <cell r="J1857">
            <v>0</v>
          </cell>
          <cell r="K1857">
            <v>0</v>
          </cell>
          <cell r="L1857">
            <v>0</v>
          </cell>
          <cell r="O1857">
            <v>0</v>
          </cell>
          <cell r="Q1857" t="str">
            <v>70|172</v>
          </cell>
        </row>
        <row r="1858">
          <cell r="E1858" t="str">
            <v>10. OWNER READINESS SCORE</v>
          </cell>
          <cell r="G1858" t="str">
            <v>Telecom testing and certification.</v>
          </cell>
          <cell r="H1858" t="str">
            <v>☐ Partial</v>
          </cell>
          <cell r="I1858">
            <v>0</v>
          </cell>
          <cell r="J1858">
            <v>0</v>
          </cell>
          <cell r="K1858">
            <v>0</v>
          </cell>
          <cell r="L1858">
            <v>0</v>
          </cell>
          <cell r="O1858">
            <v>0</v>
          </cell>
          <cell r="Q1858" t="str">
            <v>70|173</v>
          </cell>
        </row>
        <row r="1859">
          <cell r="E1859" t="str">
            <v>10. OWNER READINESS SCORE</v>
          </cell>
          <cell r="G1859" t="str">
            <v>Fire alarm testing.</v>
          </cell>
          <cell r="H1859">
            <v>0</v>
          </cell>
          <cell r="I1859">
            <v>0</v>
          </cell>
          <cell r="J1859">
            <v>0</v>
          </cell>
          <cell r="K1859">
            <v>0</v>
          </cell>
          <cell r="L1859">
            <v>0</v>
          </cell>
          <cell r="O1859">
            <v>0</v>
          </cell>
          <cell r="Q1859" t="str">
            <v>70|174</v>
          </cell>
        </row>
        <row r="1860">
          <cell r="E1860" t="str">
            <v>10. OWNER READINESS SCORE</v>
          </cell>
          <cell r="G1860" t="str">
            <v>Fire protection testing.</v>
          </cell>
          <cell r="H1860" t="str">
            <v>☐ Withhold</v>
          </cell>
          <cell r="I1860">
            <v>0</v>
          </cell>
          <cell r="J1860">
            <v>0</v>
          </cell>
          <cell r="K1860">
            <v>0</v>
          </cell>
          <cell r="L1860">
            <v>0</v>
          </cell>
          <cell r="O1860">
            <v>0</v>
          </cell>
          <cell r="Q1860" t="str">
            <v>70|175</v>
          </cell>
        </row>
        <row r="1861">
          <cell r="E1861" t="str">
            <v>10. OWNER READINESS SCORE</v>
          </cell>
          <cell r="G1861" t="str">
            <v>Security testing.</v>
          </cell>
          <cell r="H1861">
            <v>0</v>
          </cell>
          <cell r="I1861">
            <v>0</v>
          </cell>
          <cell r="J1861">
            <v>0</v>
          </cell>
          <cell r="K1861">
            <v>0</v>
          </cell>
          <cell r="L1861">
            <v>0</v>
          </cell>
          <cell r="O1861">
            <v>0</v>
          </cell>
          <cell r="Q1861" t="str">
            <v>70|176</v>
          </cell>
        </row>
        <row r="1862">
          <cell r="E1862" t="str">
            <v>10. OWNER READINESS SCORE</v>
          </cell>
          <cell r="G1862" t="str">
            <v>Final owner acceptance walkthrough.</v>
          </cell>
          <cell r="H1862">
            <v>0</v>
          </cell>
          <cell r="I1862">
            <v>0</v>
          </cell>
          <cell r="J1862">
            <v>0</v>
          </cell>
          <cell r="K1862">
            <v>0</v>
          </cell>
          <cell r="L1862">
            <v>0</v>
          </cell>
          <cell r="O1862">
            <v>0</v>
          </cell>
          <cell r="Q1862" t="str">
            <v>70|177</v>
          </cell>
        </row>
        <row r="1863">
          <cell r="E1863" t="str">
            <v>10. OWNER READINESS SCORE</v>
          </cell>
          <cell r="G1863" t="str">
            <v>Turnover documentation.</v>
          </cell>
          <cell r="H1863">
            <v>0</v>
          </cell>
          <cell r="I1863">
            <v>0</v>
          </cell>
          <cell r="J1863">
            <v>0</v>
          </cell>
          <cell r="K1863">
            <v>0</v>
          </cell>
          <cell r="L1863">
            <v>0</v>
          </cell>
          <cell r="O1863">
            <v>0</v>
          </cell>
          <cell r="Q1863" t="str">
            <v>70|178</v>
          </cell>
        </row>
        <row r="1864">
          <cell r="E1864" t="str">
            <v>10. OWNER READINESS SCORE</v>
          </cell>
          <cell r="G1864">
            <v>0</v>
          </cell>
          <cell r="H1864" t="str">
            <v>18. Construction Status</v>
          </cell>
          <cell r="I1864">
            <v>0</v>
          </cell>
          <cell r="J1864">
            <v>0</v>
          </cell>
          <cell r="K1864">
            <v>0</v>
          </cell>
          <cell r="L1864">
            <v>0</v>
          </cell>
          <cell r="O1864">
            <v>0</v>
          </cell>
          <cell r="Q1864" t="str">
            <v>70|179</v>
          </cell>
        </row>
        <row r="1865">
          <cell r="E1865" t="str">
            <v>10. OWNER READINESS SCORE</v>
          </cell>
          <cell r="G1865" t="str">
            <v>Owner Risks Identified</v>
          </cell>
          <cell r="H1865">
            <v>0</v>
          </cell>
          <cell r="I1865">
            <v>0</v>
          </cell>
          <cell r="J1865">
            <v>0</v>
          </cell>
          <cell r="K1865">
            <v>0</v>
          </cell>
          <cell r="L1865">
            <v>0</v>
          </cell>
          <cell r="O1865">
            <v>0</v>
          </cell>
          <cell r="Q1865" t="str">
            <v>70|180</v>
          </cell>
        </row>
        <row r="1866">
          <cell r="E1866" t="str">
            <v>10. OWNER READINESS SCORE</v>
          </cell>
          <cell r="G1866">
            <v>0</v>
          </cell>
          <cell r="H1866" t="str">
            <v>☐ On Schedule</v>
          </cell>
          <cell r="I1866">
            <v>0</v>
          </cell>
          <cell r="J1866">
            <v>0</v>
          </cell>
          <cell r="K1866">
            <v>0</v>
          </cell>
          <cell r="L1866">
            <v>0</v>
          </cell>
          <cell r="O1866">
            <v>0</v>
          </cell>
          <cell r="Q1866" t="str">
            <v>70|181</v>
          </cell>
        </row>
        <row r="1867">
          <cell r="E1867" t="str">
            <v>10. OWNER READINESS SCORE</v>
          </cell>
          <cell r="G1867" t="str">
            <v>High Risk</v>
          </cell>
          <cell r="H1867">
            <v>0</v>
          </cell>
          <cell r="I1867">
            <v>0</v>
          </cell>
          <cell r="J1867">
            <v>0</v>
          </cell>
          <cell r="K1867">
            <v>0</v>
          </cell>
          <cell r="L1867">
            <v>0</v>
          </cell>
          <cell r="O1867">
            <v>0</v>
          </cell>
          <cell r="Q1867" t="str">
            <v>70|182</v>
          </cell>
        </row>
        <row r="1868">
          <cell r="E1868" t="str">
            <v>10. OWNER READINESS SCORE</v>
          </cell>
          <cell r="G1868">
            <v>0</v>
          </cell>
          <cell r="H1868" t="str">
            <v>☐ Behind Schedule</v>
          </cell>
          <cell r="I1868">
            <v>0</v>
          </cell>
          <cell r="J1868">
            <v>0</v>
          </cell>
          <cell r="K1868">
            <v>0</v>
          </cell>
          <cell r="L1868">
            <v>0</v>
          </cell>
          <cell r="O1868">
            <v>0</v>
          </cell>
          <cell r="Q1868" t="str">
            <v>70|183</v>
          </cell>
        </row>
        <row r="1869">
          <cell r="E1869" t="str">
            <v>1. ROOM INVENTORY</v>
          </cell>
          <cell r="G1869" t="str">
            <v>1. ROOM INVENTORY</v>
          </cell>
          <cell r="H1869">
            <v>0</v>
          </cell>
          <cell r="I1869">
            <v>0</v>
          </cell>
          <cell r="J1869">
            <v>0</v>
          </cell>
          <cell r="K1869">
            <v>0</v>
          </cell>
          <cell r="L1869">
            <v>0</v>
          </cell>
          <cell r="O1869">
            <v>0</v>
          </cell>
          <cell r="Q1869" t="str">
            <v>78|1</v>
          </cell>
        </row>
        <row r="1870">
          <cell r="E1870" t="str">
            <v>1. ROOM INVENTORY</v>
          </cell>
          <cell r="G1870" t="str">
            <v>Building</v>
          </cell>
          <cell r="H1870" t="str">
            <v>Room</v>
          </cell>
          <cell r="I1870" t="str">
            <v>Floor</v>
          </cell>
          <cell r="J1870" t="str">
            <v>Existing Use</v>
          </cell>
          <cell r="K1870" t="str">
            <v>New Use</v>
          </cell>
          <cell r="L1870" t="str">
            <v>Rack Count</v>
          </cell>
          <cell r="O1870" t="str">
            <v>Drawing Ref</v>
          </cell>
          <cell r="Q1870" t="str">
            <v>78|2</v>
          </cell>
        </row>
        <row r="1871">
          <cell r="E1871" t="str">
            <v>1. ROOM INVENTORY</v>
          </cell>
          <cell r="G1871" t="str">
            <v>78/78A</v>
          </cell>
          <cell r="H1871" t="str">
            <v>B30</v>
          </cell>
          <cell r="I1871" t="str">
            <v>Basement</v>
          </cell>
          <cell r="J1871" t="str">
            <v>Basement telecom area / existing rack transfer</v>
          </cell>
          <cell r="K1871" t="str">
            <v>Telecom Room</v>
          </cell>
          <cell r="L1871">
            <v>2</v>
          </cell>
          <cell r="O1871" t="str">
            <v>78_78AA-400 / 78_78AE-401 / 78_78AT-100 / 78_78AT-604 / 78_78AT-701</v>
          </cell>
          <cell r="Q1871" t="str">
            <v>78|3</v>
          </cell>
        </row>
        <row r="1872">
          <cell r="E1872" t="str">
            <v>1. ROOM INVENTORY</v>
          </cell>
          <cell r="G1872" t="str">
            <v>78/78A</v>
          </cell>
          <cell r="H1872" t="str">
            <v>B35</v>
          </cell>
          <cell r="I1872" t="str">
            <v>Basement</v>
          </cell>
          <cell r="J1872" t="str">
            <v>Basement telecom area / existing rack transfer</v>
          </cell>
          <cell r="K1872" t="str">
            <v>Telecom Room</v>
          </cell>
          <cell r="L1872">
            <v>1</v>
          </cell>
          <cell r="O1872" t="str">
            <v>78_78AT-100 / 78_78AT-605 / 78_78AT-702</v>
          </cell>
          <cell r="Q1872" t="str">
            <v>78|4</v>
          </cell>
        </row>
        <row r="1873">
          <cell r="E1873" t="str">
            <v>1. ROOM INVENTORY</v>
          </cell>
          <cell r="G1873" t="str">
            <v>78/78A</v>
          </cell>
          <cell r="H1873" t="str">
            <v>1232</v>
          </cell>
          <cell r="I1873" t="str">
            <v>First</v>
          </cell>
          <cell r="J1873" t="str">
            <v>First-level telecom room / existing rack transfer</v>
          </cell>
          <cell r="K1873" t="str">
            <v>Telecom Room</v>
          </cell>
          <cell r="L1873">
            <v>1</v>
          </cell>
          <cell r="O1873" t="str">
            <v>78_78AA-401 / 78_78AE-402 / 78_78AT-101 / 78_78AT-606 / 78_78AT-702/703</v>
          </cell>
          <cell r="Q1873" t="str">
            <v>78|5</v>
          </cell>
        </row>
        <row r="1874">
          <cell r="E1874" t="str">
            <v>1. ROOM INVENTORY</v>
          </cell>
          <cell r="G1874" t="str">
            <v>78/78A</v>
          </cell>
          <cell r="H1874" t="str">
            <v>227A</v>
          </cell>
          <cell r="I1874" t="str">
            <v>Second</v>
          </cell>
          <cell r="J1874" t="str">
            <v>Second-level telecom room / existing rack transfer</v>
          </cell>
          <cell r="K1874" t="str">
            <v>Telecom Room</v>
          </cell>
          <cell r="L1874">
            <v>1</v>
          </cell>
          <cell r="O1874" t="str">
            <v>78_78AA-401 / 78_78AE-402 / 78_78AT-102 / 78_78AT-606 / 78_78AT-703/704</v>
          </cell>
          <cell r="Q1874" t="str">
            <v>78|6</v>
          </cell>
        </row>
        <row r="1875">
          <cell r="E1875" t="str">
            <v>1. ROOM INVENTORY</v>
          </cell>
          <cell r="G1875" t="str">
            <v>78/78A</v>
          </cell>
          <cell r="H1875" t="str">
            <v>342</v>
          </cell>
          <cell r="I1875" t="str">
            <v>Third</v>
          </cell>
          <cell r="J1875" t="str">
            <v>Third-level telecom room / existing rack transfer</v>
          </cell>
          <cell r="K1875" t="str">
            <v>Telecom Room</v>
          </cell>
          <cell r="L1875">
            <v>2</v>
          </cell>
          <cell r="O1875" t="str">
            <v>78_78AA-402 / 78_78AE-403 / 78_78AT-103 / 78_78AT-607 / 78_78AT-704</v>
          </cell>
          <cell r="Q1875" t="str">
            <v>78|7</v>
          </cell>
        </row>
        <row r="1876">
          <cell r="E1876" t="str">
            <v>1. ROOM INVENTORY</v>
          </cell>
          <cell r="G1876" t="str">
            <v>78/78A</v>
          </cell>
          <cell r="H1876" t="str">
            <v>401</v>
          </cell>
          <cell r="I1876" t="str">
            <v>Fourth</v>
          </cell>
          <cell r="J1876" t="str">
            <v>Fourth-level telecom room / existing rack transfer</v>
          </cell>
          <cell r="K1876" t="str">
            <v>Telecom Room</v>
          </cell>
          <cell r="L1876">
            <v>1</v>
          </cell>
          <cell r="O1876" t="str">
            <v>78_78AA-402 / 78_78AE-404 / 78_78AT-104 / 78_78AT-607 / 78_78AT-705</v>
          </cell>
          <cell r="Q1876" t="str">
            <v>78|8</v>
          </cell>
        </row>
        <row r="1877">
          <cell r="E1877" t="str">
            <v>1. ROOM INVENTORY</v>
          </cell>
          <cell r="G1877" t="str">
            <v>78/78A</v>
          </cell>
          <cell r="H1877" t="str">
            <v>15E / 1234 / 353 / 308A / 408A</v>
          </cell>
          <cell r="I1877" t="str">
            <v>Existing levels</v>
          </cell>
          <cell r="J1877" t="str">
            <v>Existing telecom rooms / photo references</v>
          </cell>
          <cell r="K1877" t="str">
            <v>Existing telecom transition points</v>
          </cell>
          <cell r="L1877">
            <v>5</v>
          </cell>
          <cell r="O1877" t="str">
            <v>78_78AR-900 / 901 / 902 / 903</v>
          </cell>
          <cell r="Q1877" t="str">
            <v>78|9</v>
          </cell>
        </row>
        <row r="1878">
          <cell r="E1878" t="str">
            <v>1. ROOM INVENTORY</v>
          </cell>
          <cell r="G1878">
            <v>0</v>
          </cell>
          <cell r="H1878">
            <v>0</v>
          </cell>
          <cell r="I1878">
            <v>0</v>
          </cell>
          <cell r="J1878">
            <v>0</v>
          </cell>
          <cell r="K1878">
            <v>0</v>
          </cell>
          <cell r="L1878">
            <v>0</v>
          </cell>
          <cell r="O1878">
            <v>0</v>
          </cell>
          <cell r="Q1878" t="str">
            <v>78|10</v>
          </cell>
        </row>
        <row r="1879">
          <cell r="E1879" t="str">
            <v>2. ROOM READINESS</v>
          </cell>
          <cell r="G1879" t="str">
            <v>2. ROOM READINESS</v>
          </cell>
          <cell r="H1879">
            <v>0</v>
          </cell>
          <cell r="I1879">
            <v>0</v>
          </cell>
          <cell r="J1879">
            <v>0</v>
          </cell>
          <cell r="K1879">
            <v>0</v>
          </cell>
          <cell r="L1879">
            <v>0</v>
          </cell>
          <cell r="O1879">
            <v>0</v>
          </cell>
          <cell r="Q1879" t="str">
            <v>78|11</v>
          </cell>
        </row>
        <row r="1880">
          <cell r="E1880" t="str">
            <v>2. ROOM READINESS</v>
          </cell>
          <cell r="G1880" t="str">
            <v>Room</v>
          </cell>
          <cell r="H1880" t="str">
            <v>Walls / 1-hr Rating</v>
          </cell>
          <cell r="I1880" t="str">
            <v>Ceiling</v>
          </cell>
          <cell r="J1880" t="str">
            <v>Floor / SDC</v>
          </cell>
          <cell r="K1880" t="str">
            <v>Penetrations</v>
          </cell>
          <cell r="L1880" t="str">
            <v>Access Control</v>
          </cell>
          <cell r="O1880" t="str">
            <v>Overall</v>
          </cell>
          <cell r="Q1880" t="str">
            <v>78|12</v>
          </cell>
        </row>
        <row r="1881">
          <cell r="E1881" t="str">
            <v>2. ROOM READINESS</v>
          </cell>
          <cell r="G1881" t="str">
            <v>B30</v>
          </cell>
          <cell r="H1881" t="str">
            <v>Verify</v>
          </cell>
          <cell r="I1881" t="str">
            <v>Verify</v>
          </cell>
          <cell r="J1881" t="str">
            <v>Verify</v>
          </cell>
          <cell r="K1881" t="str">
            <v>Verify</v>
          </cell>
          <cell r="L1881" t="str">
            <v>Verify</v>
          </cell>
          <cell r="O1881" t="str">
            <v>Verify</v>
          </cell>
          <cell r="Q1881" t="str">
            <v>78|13</v>
          </cell>
        </row>
        <row r="1882">
          <cell r="E1882" t="str">
            <v>2. ROOM READINESS</v>
          </cell>
          <cell r="G1882" t="str">
            <v>B35</v>
          </cell>
          <cell r="H1882" t="str">
            <v>Verify</v>
          </cell>
          <cell r="I1882" t="str">
            <v>Verify</v>
          </cell>
          <cell r="J1882" t="str">
            <v>Verify</v>
          </cell>
          <cell r="K1882" t="str">
            <v>Verify</v>
          </cell>
          <cell r="L1882" t="str">
            <v>Verify</v>
          </cell>
          <cell r="O1882" t="str">
            <v>Verify</v>
          </cell>
          <cell r="Q1882" t="str">
            <v>78|14</v>
          </cell>
        </row>
        <row r="1883">
          <cell r="E1883" t="str">
            <v>2. ROOM READINESS</v>
          </cell>
          <cell r="G1883" t="str">
            <v>1232</v>
          </cell>
          <cell r="H1883" t="str">
            <v>Verify</v>
          </cell>
          <cell r="I1883" t="str">
            <v>Verify</v>
          </cell>
          <cell r="J1883" t="str">
            <v>Verify</v>
          </cell>
          <cell r="K1883" t="str">
            <v>Verify</v>
          </cell>
          <cell r="L1883" t="str">
            <v>Verify</v>
          </cell>
          <cell r="O1883" t="str">
            <v>Verify</v>
          </cell>
          <cell r="Q1883" t="str">
            <v>78|15</v>
          </cell>
        </row>
        <row r="1884">
          <cell r="E1884" t="str">
            <v>2. ROOM READINESS</v>
          </cell>
          <cell r="G1884" t="str">
            <v>227A</v>
          </cell>
          <cell r="H1884" t="str">
            <v>Verify</v>
          </cell>
          <cell r="I1884" t="str">
            <v>Verify</v>
          </cell>
          <cell r="J1884" t="str">
            <v>Verify</v>
          </cell>
          <cell r="K1884" t="str">
            <v>Verify</v>
          </cell>
          <cell r="L1884" t="str">
            <v>Verify</v>
          </cell>
          <cell r="O1884" t="str">
            <v>Verify</v>
          </cell>
          <cell r="Q1884" t="str">
            <v>78|16</v>
          </cell>
        </row>
        <row r="1885">
          <cell r="E1885" t="str">
            <v>2. ROOM READINESS</v>
          </cell>
          <cell r="G1885" t="str">
            <v>342</v>
          </cell>
          <cell r="H1885" t="str">
            <v>Verify</v>
          </cell>
          <cell r="I1885" t="str">
            <v>Verify</v>
          </cell>
          <cell r="J1885" t="str">
            <v>Verify</v>
          </cell>
          <cell r="K1885" t="str">
            <v>Verify</v>
          </cell>
          <cell r="L1885" t="str">
            <v>Verify</v>
          </cell>
          <cell r="O1885" t="str">
            <v>Verify</v>
          </cell>
          <cell r="Q1885" t="str">
            <v>78|17</v>
          </cell>
        </row>
        <row r="1886">
          <cell r="E1886" t="str">
            <v>2. ROOM READINESS</v>
          </cell>
          <cell r="G1886" t="str">
            <v>401</v>
          </cell>
          <cell r="H1886" t="str">
            <v>Verify</v>
          </cell>
          <cell r="I1886" t="str">
            <v>Verify</v>
          </cell>
          <cell r="J1886" t="str">
            <v>Verify</v>
          </cell>
          <cell r="K1886" t="str">
            <v>Verify</v>
          </cell>
          <cell r="L1886" t="str">
            <v>Verify</v>
          </cell>
          <cell r="O1886" t="str">
            <v>Verify</v>
          </cell>
          <cell r="Q1886" t="str">
            <v>78|18</v>
          </cell>
        </row>
        <row r="1887">
          <cell r="E1887" t="str">
            <v>2. ROOM READINESS</v>
          </cell>
          <cell r="G1887" t="str">
            <v>Existing rooms</v>
          </cell>
          <cell r="H1887" t="str">
            <v>Existing / Verify</v>
          </cell>
          <cell r="I1887" t="str">
            <v>Existing / Verify</v>
          </cell>
          <cell r="J1887" t="str">
            <v>Existing / Verify</v>
          </cell>
          <cell r="K1887" t="str">
            <v>Verify</v>
          </cell>
          <cell r="L1887" t="str">
            <v>Verify</v>
          </cell>
          <cell r="O1887" t="str">
            <v>Verify</v>
          </cell>
          <cell r="Q1887" t="str">
            <v>78|19</v>
          </cell>
        </row>
        <row r="1888">
          <cell r="E1888" t="str">
            <v>2. ROOM READINESS</v>
          </cell>
          <cell r="G1888">
            <v>0</v>
          </cell>
          <cell r="H1888">
            <v>0</v>
          </cell>
          <cell r="I1888">
            <v>0</v>
          </cell>
          <cell r="J1888">
            <v>0</v>
          </cell>
          <cell r="K1888">
            <v>0</v>
          </cell>
          <cell r="L1888">
            <v>0</v>
          </cell>
          <cell r="O1888">
            <v>0</v>
          </cell>
          <cell r="Q1888" t="str">
            <v>78|20</v>
          </cell>
        </row>
        <row r="1889">
          <cell r="E1889" t="str">
            <v>3. FIRE PROTECTION</v>
          </cell>
          <cell r="G1889" t="str">
            <v>3. FIRE PROTECTION</v>
          </cell>
          <cell r="H1889">
            <v>0</v>
          </cell>
          <cell r="I1889">
            <v>0</v>
          </cell>
          <cell r="J1889">
            <v>0</v>
          </cell>
          <cell r="K1889">
            <v>0</v>
          </cell>
          <cell r="L1889">
            <v>0</v>
          </cell>
          <cell r="O1889">
            <v>0</v>
          </cell>
          <cell r="Q1889" t="str">
            <v>78|21</v>
          </cell>
        </row>
        <row r="1890">
          <cell r="E1890" t="str">
            <v>3. FIRE PROTECTION</v>
          </cell>
          <cell r="G1890" t="str">
            <v>Room</v>
          </cell>
          <cell r="H1890" t="str">
            <v>Sprinkler</v>
          </cell>
          <cell r="I1890" t="str">
            <v>Cage</v>
          </cell>
          <cell r="J1890" t="str">
            <v>Detector</v>
          </cell>
          <cell r="K1890" t="str">
            <v>Horn/Strobe</v>
          </cell>
          <cell r="L1890" t="str">
            <v>Extinguisher &lt;75 ft</v>
          </cell>
          <cell r="O1890" t="str">
            <v>Overall</v>
          </cell>
          <cell r="Q1890" t="str">
            <v>78|22</v>
          </cell>
        </row>
        <row r="1891">
          <cell r="E1891" t="str">
            <v>3. FIRE PROTECTION</v>
          </cell>
          <cell r="G1891" t="str">
            <v>B30</v>
          </cell>
          <cell r="H1891" t="str">
            <v>Verify</v>
          </cell>
          <cell r="I1891" t="str">
            <v>Verify</v>
          </cell>
          <cell r="J1891" t="str">
            <v>Verify</v>
          </cell>
          <cell r="K1891" t="str">
            <v>Verify</v>
          </cell>
          <cell r="L1891" t="str">
            <v>Verify</v>
          </cell>
          <cell r="O1891" t="str">
            <v>Verify</v>
          </cell>
          <cell r="Q1891" t="str">
            <v>78|23</v>
          </cell>
        </row>
        <row r="1892">
          <cell r="E1892" t="str">
            <v>3. FIRE PROTECTION</v>
          </cell>
          <cell r="G1892" t="str">
            <v>B35</v>
          </cell>
          <cell r="H1892" t="str">
            <v>Verify</v>
          </cell>
          <cell r="I1892" t="str">
            <v>Verify</v>
          </cell>
          <cell r="J1892" t="str">
            <v>Verify</v>
          </cell>
          <cell r="K1892" t="str">
            <v>Verify</v>
          </cell>
          <cell r="L1892" t="str">
            <v>Verify</v>
          </cell>
          <cell r="O1892" t="str">
            <v>Verify</v>
          </cell>
          <cell r="Q1892" t="str">
            <v>78|24</v>
          </cell>
        </row>
        <row r="1893">
          <cell r="E1893" t="str">
            <v>3. FIRE PROTECTION</v>
          </cell>
          <cell r="G1893" t="str">
            <v>1232</v>
          </cell>
          <cell r="H1893" t="str">
            <v>Verify</v>
          </cell>
          <cell r="I1893" t="str">
            <v>Verify</v>
          </cell>
          <cell r="J1893" t="str">
            <v>Verify</v>
          </cell>
          <cell r="K1893" t="str">
            <v>Verify</v>
          </cell>
          <cell r="L1893" t="str">
            <v>Verify</v>
          </cell>
          <cell r="O1893" t="str">
            <v>Verify</v>
          </cell>
          <cell r="Q1893" t="str">
            <v>78|25</v>
          </cell>
        </row>
        <row r="1894">
          <cell r="E1894" t="str">
            <v>3. FIRE PROTECTION</v>
          </cell>
          <cell r="G1894" t="str">
            <v>227A</v>
          </cell>
          <cell r="H1894" t="str">
            <v>Verify</v>
          </cell>
          <cell r="I1894" t="str">
            <v>Verify</v>
          </cell>
          <cell r="J1894" t="str">
            <v>Verify</v>
          </cell>
          <cell r="K1894" t="str">
            <v>Verify</v>
          </cell>
          <cell r="L1894" t="str">
            <v>Verify</v>
          </cell>
          <cell r="O1894" t="str">
            <v>Verify</v>
          </cell>
          <cell r="Q1894" t="str">
            <v>78|26</v>
          </cell>
        </row>
        <row r="1895">
          <cell r="E1895" t="str">
            <v>3. FIRE PROTECTION</v>
          </cell>
          <cell r="G1895" t="str">
            <v>342</v>
          </cell>
          <cell r="H1895" t="str">
            <v>Verify</v>
          </cell>
          <cell r="I1895" t="str">
            <v>Verify</v>
          </cell>
          <cell r="J1895" t="str">
            <v>Verify</v>
          </cell>
          <cell r="K1895" t="str">
            <v>Verify</v>
          </cell>
          <cell r="L1895" t="str">
            <v>Verify</v>
          </cell>
          <cell r="O1895" t="str">
            <v>Verify</v>
          </cell>
          <cell r="Q1895" t="str">
            <v>78|27</v>
          </cell>
        </row>
        <row r="1896">
          <cell r="E1896" t="str">
            <v>3. FIRE PROTECTION</v>
          </cell>
          <cell r="G1896" t="str">
            <v>401</v>
          </cell>
          <cell r="H1896" t="str">
            <v>Verify</v>
          </cell>
          <cell r="I1896" t="str">
            <v>Verify</v>
          </cell>
          <cell r="J1896" t="str">
            <v>Verify</v>
          </cell>
          <cell r="K1896" t="str">
            <v>Verify</v>
          </cell>
          <cell r="L1896" t="str">
            <v>Verify</v>
          </cell>
          <cell r="O1896" t="str">
            <v>Verify</v>
          </cell>
          <cell r="Q1896" t="str">
            <v>78|28</v>
          </cell>
        </row>
        <row r="1897">
          <cell r="E1897" t="str">
            <v>3. FIRE PROTECTION</v>
          </cell>
          <cell r="G1897" t="str">
            <v>Existing rooms</v>
          </cell>
          <cell r="H1897" t="str">
            <v>Verify</v>
          </cell>
          <cell r="I1897" t="str">
            <v>N/A</v>
          </cell>
          <cell r="J1897" t="str">
            <v>Verify</v>
          </cell>
          <cell r="K1897" t="str">
            <v>Verify</v>
          </cell>
          <cell r="L1897" t="str">
            <v>Verify</v>
          </cell>
          <cell r="O1897" t="str">
            <v>Verify</v>
          </cell>
          <cell r="Q1897" t="str">
            <v>78|29</v>
          </cell>
        </row>
        <row r="1898">
          <cell r="E1898" t="str">
            <v>3. FIRE PROTECTION</v>
          </cell>
          <cell r="G1898">
            <v>0</v>
          </cell>
          <cell r="H1898">
            <v>0</v>
          </cell>
          <cell r="I1898">
            <v>0</v>
          </cell>
          <cell r="J1898">
            <v>0</v>
          </cell>
          <cell r="K1898">
            <v>0</v>
          </cell>
          <cell r="L1898">
            <v>0</v>
          </cell>
          <cell r="O1898">
            <v>0</v>
          </cell>
          <cell r="Q1898" t="str">
            <v>78|30</v>
          </cell>
        </row>
        <row r="1899">
          <cell r="E1899" t="str">
            <v>4. HVAC / COOLING</v>
          </cell>
          <cell r="G1899" t="str">
            <v>4. HVAC / COOLING</v>
          </cell>
          <cell r="H1899">
            <v>0</v>
          </cell>
          <cell r="I1899">
            <v>0</v>
          </cell>
          <cell r="J1899">
            <v>0</v>
          </cell>
          <cell r="K1899">
            <v>0</v>
          </cell>
          <cell r="L1899">
            <v>0</v>
          </cell>
          <cell r="O1899">
            <v>0</v>
          </cell>
          <cell r="Q1899" t="str">
            <v>78|31</v>
          </cell>
        </row>
        <row r="1900">
          <cell r="E1900" t="str">
            <v>4. HVAC / COOLING</v>
          </cell>
          <cell r="G1900" t="str">
            <v>Room</v>
          </cell>
          <cell r="H1900" t="str">
            <v>Dedicated Unit</v>
          </cell>
          <cell r="I1900" t="str">
            <v>Capacity Verified</v>
          </cell>
          <cell r="J1900" t="str">
            <v>Emergency Power</v>
          </cell>
          <cell r="K1900" t="str">
            <v>Controls / BACnet</v>
          </cell>
          <cell r="L1900" t="str">
            <v>Condensate Routed</v>
          </cell>
          <cell r="O1900" t="str">
            <v>Overall</v>
          </cell>
          <cell r="Q1900" t="str">
            <v>78|32</v>
          </cell>
        </row>
        <row r="1901">
          <cell r="E1901" t="str">
            <v>4. HVAC / COOLING</v>
          </cell>
          <cell r="G1901" t="str">
            <v>B30</v>
          </cell>
          <cell r="H1901" t="str">
            <v>Dedicated TR cooling shown / verify</v>
          </cell>
          <cell r="I1901" t="str">
            <v>Verify</v>
          </cell>
          <cell r="J1901" t="str">
            <v>Verify</v>
          </cell>
          <cell r="K1901" t="str">
            <v>Verify</v>
          </cell>
          <cell r="L1901" t="str">
            <v>Verify</v>
          </cell>
          <cell r="O1901" t="str">
            <v>Verify</v>
          </cell>
          <cell r="Q1901" t="str">
            <v>78|33</v>
          </cell>
        </row>
        <row r="1902">
          <cell r="E1902" t="str">
            <v>4. HVAC / COOLING</v>
          </cell>
          <cell r="G1902" t="str">
            <v>B35</v>
          </cell>
          <cell r="H1902" t="str">
            <v>Dedicated TR cooling shown / verify</v>
          </cell>
          <cell r="I1902" t="str">
            <v>Verify</v>
          </cell>
          <cell r="J1902" t="str">
            <v>Verify</v>
          </cell>
          <cell r="K1902" t="str">
            <v>Verify</v>
          </cell>
          <cell r="L1902" t="str">
            <v>Verify</v>
          </cell>
          <cell r="O1902" t="str">
            <v>Verify</v>
          </cell>
          <cell r="Q1902" t="str">
            <v>78|34</v>
          </cell>
        </row>
        <row r="1903">
          <cell r="E1903" t="str">
            <v>4. HVAC / COOLING</v>
          </cell>
          <cell r="G1903" t="str">
            <v>1232</v>
          </cell>
          <cell r="H1903" t="str">
            <v>Dedicated TR cooling shown / verify</v>
          </cell>
          <cell r="I1903" t="str">
            <v>Verify</v>
          </cell>
          <cell r="J1903" t="str">
            <v>Verify</v>
          </cell>
          <cell r="K1903" t="str">
            <v>Verify</v>
          </cell>
          <cell r="L1903" t="str">
            <v>Verify</v>
          </cell>
          <cell r="O1903" t="str">
            <v>Verify</v>
          </cell>
          <cell r="Q1903" t="str">
            <v>78|35</v>
          </cell>
        </row>
        <row r="1904">
          <cell r="E1904" t="str">
            <v>4. HVAC / COOLING</v>
          </cell>
          <cell r="G1904" t="str">
            <v>227A</v>
          </cell>
          <cell r="H1904" t="str">
            <v>Dedicated TR cooling shown / verify</v>
          </cell>
          <cell r="I1904" t="str">
            <v>Verify</v>
          </cell>
          <cell r="J1904" t="str">
            <v>Verify</v>
          </cell>
          <cell r="K1904" t="str">
            <v>Verify</v>
          </cell>
          <cell r="L1904" t="str">
            <v>Verify</v>
          </cell>
          <cell r="O1904" t="str">
            <v>Verify</v>
          </cell>
          <cell r="Q1904" t="str">
            <v>78|36</v>
          </cell>
        </row>
        <row r="1905">
          <cell r="E1905" t="str">
            <v>4. HVAC / COOLING</v>
          </cell>
          <cell r="G1905" t="str">
            <v>342</v>
          </cell>
          <cell r="H1905" t="str">
            <v>Dedicated TR cooling shown / verify</v>
          </cell>
          <cell r="I1905" t="str">
            <v>Verify</v>
          </cell>
          <cell r="J1905" t="str">
            <v>Verify</v>
          </cell>
          <cell r="K1905" t="str">
            <v>Verify</v>
          </cell>
          <cell r="L1905" t="str">
            <v>Verify</v>
          </cell>
          <cell r="O1905" t="str">
            <v>Verify</v>
          </cell>
          <cell r="Q1905" t="str">
            <v>78|37</v>
          </cell>
        </row>
        <row r="1906">
          <cell r="E1906" t="str">
            <v>4. HVAC / COOLING</v>
          </cell>
          <cell r="G1906" t="str">
            <v>401</v>
          </cell>
          <cell r="H1906" t="str">
            <v>Dedicated TR cooling shown / verify</v>
          </cell>
          <cell r="I1906" t="str">
            <v>Verify</v>
          </cell>
          <cell r="J1906" t="str">
            <v>Verify</v>
          </cell>
          <cell r="K1906" t="str">
            <v>Verify</v>
          </cell>
          <cell r="L1906" t="str">
            <v>Verify</v>
          </cell>
          <cell r="O1906" t="str">
            <v>Verify</v>
          </cell>
          <cell r="Q1906" t="str">
            <v>78|38</v>
          </cell>
        </row>
        <row r="1907">
          <cell r="E1907" t="str">
            <v>4. HVAC / COOLING</v>
          </cell>
          <cell r="G1907" t="str">
            <v>Existing rooms</v>
          </cell>
          <cell r="H1907" t="str">
            <v>Existing / Verify</v>
          </cell>
          <cell r="I1907" t="str">
            <v>Verify</v>
          </cell>
          <cell r="J1907" t="str">
            <v>Verify</v>
          </cell>
          <cell r="K1907" t="str">
            <v>Verify</v>
          </cell>
          <cell r="L1907" t="str">
            <v>Verify</v>
          </cell>
          <cell r="O1907" t="str">
            <v>Verify</v>
          </cell>
          <cell r="Q1907" t="str">
            <v>78|39</v>
          </cell>
        </row>
        <row r="1908">
          <cell r="E1908" t="str">
            <v>4. HVAC / COOLING</v>
          </cell>
          <cell r="G1908">
            <v>0</v>
          </cell>
          <cell r="H1908">
            <v>0</v>
          </cell>
          <cell r="I1908">
            <v>0</v>
          </cell>
          <cell r="J1908">
            <v>0</v>
          </cell>
          <cell r="K1908">
            <v>0</v>
          </cell>
          <cell r="L1908">
            <v>0</v>
          </cell>
          <cell r="O1908">
            <v>0</v>
          </cell>
          <cell r="Q1908" t="str">
            <v>78|40</v>
          </cell>
        </row>
        <row r="1909">
          <cell r="E1909" t="str">
            <v>5. ELECTRICAL / UPS</v>
          </cell>
          <cell r="G1909" t="str">
            <v>5. ELECTRICAL / UPS</v>
          </cell>
          <cell r="H1909">
            <v>0</v>
          </cell>
          <cell r="I1909">
            <v>0</v>
          </cell>
          <cell r="J1909">
            <v>0</v>
          </cell>
          <cell r="K1909">
            <v>0</v>
          </cell>
          <cell r="L1909">
            <v>0</v>
          </cell>
          <cell r="O1909">
            <v>0</v>
          </cell>
          <cell r="Q1909" t="str">
            <v>78|41</v>
          </cell>
        </row>
        <row r="1910">
          <cell r="E1910" t="str">
            <v>5. ELECTRICAL / UPS</v>
          </cell>
          <cell r="G1910" t="str">
            <v>Room</v>
          </cell>
          <cell r="H1910" t="str">
            <v>UPS Installed</v>
          </cell>
          <cell r="I1910" t="str">
            <v>UPS Size</v>
          </cell>
          <cell r="J1910" t="str">
            <v>PDU Installed</v>
          </cell>
          <cell r="K1910" t="str">
            <v>Rack Receptacles</v>
          </cell>
          <cell r="L1910" t="str">
            <v>Panel Assigned</v>
          </cell>
          <cell r="O1910" t="str">
            <v>Overall</v>
          </cell>
          <cell r="Q1910" t="str">
            <v>78|42</v>
          </cell>
        </row>
        <row r="1911">
          <cell r="E1911" t="str">
            <v>5. ELECTRICAL / UPS</v>
          </cell>
          <cell r="G1911" t="str">
            <v>B30</v>
          </cell>
          <cell r="H1911" t="str">
            <v>Verify</v>
          </cell>
          <cell r="I1911" t="str">
            <v>5 kW / 208V rack UPS</v>
          </cell>
          <cell r="J1911" t="str">
            <v>Verify</v>
          </cell>
          <cell r="K1911" t="str">
            <v>Verify</v>
          </cell>
          <cell r="L1911" t="str">
            <v>B78-TRB30 panels / verify</v>
          </cell>
          <cell r="O1911" t="str">
            <v>Verify</v>
          </cell>
          <cell r="Q1911" t="str">
            <v>78|43</v>
          </cell>
        </row>
        <row r="1912">
          <cell r="E1912" t="str">
            <v>5. ELECTRICAL / UPS</v>
          </cell>
          <cell r="G1912" t="str">
            <v>B35</v>
          </cell>
          <cell r="H1912" t="str">
            <v>Verify</v>
          </cell>
          <cell r="I1912" t="str">
            <v>5 kW / 208V rack UPS</v>
          </cell>
          <cell r="J1912" t="str">
            <v>Verify</v>
          </cell>
          <cell r="K1912" t="str">
            <v>Verify</v>
          </cell>
          <cell r="L1912" t="str">
            <v>B78-TRB35 panels / verify</v>
          </cell>
          <cell r="O1912" t="str">
            <v>Verify</v>
          </cell>
          <cell r="Q1912" t="str">
            <v>78|44</v>
          </cell>
        </row>
        <row r="1913">
          <cell r="E1913" t="str">
            <v>5. ELECTRICAL / UPS</v>
          </cell>
          <cell r="G1913" t="str">
            <v>1232</v>
          </cell>
          <cell r="H1913" t="str">
            <v>Verify</v>
          </cell>
          <cell r="I1913" t="str">
            <v>5 kW / 208V rack UPS</v>
          </cell>
          <cell r="J1913" t="str">
            <v>Verify</v>
          </cell>
          <cell r="K1913" t="str">
            <v>Verify</v>
          </cell>
          <cell r="L1913" t="str">
            <v>B78-TR1232 panels / verify</v>
          </cell>
          <cell r="O1913" t="str">
            <v>Verify</v>
          </cell>
          <cell r="Q1913" t="str">
            <v>78|45</v>
          </cell>
        </row>
        <row r="1914">
          <cell r="E1914" t="str">
            <v>5. ELECTRICAL / UPS</v>
          </cell>
          <cell r="G1914" t="str">
            <v>227A</v>
          </cell>
          <cell r="H1914" t="str">
            <v>Verify</v>
          </cell>
          <cell r="I1914" t="str">
            <v>5 kW / 208V rack UPS</v>
          </cell>
          <cell r="J1914" t="str">
            <v>Verify</v>
          </cell>
          <cell r="K1914" t="str">
            <v>Verify</v>
          </cell>
          <cell r="L1914" t="str">
            <v>B78-TR227A panels / verify</v>
          </cell>
          <cell r="O1914" t="str">
            <v>Verify</v>
          </cell>
          <cell r="Q1914" t="str">
            <v>78|46</v>
          </cell>
        </row>
        <row r="1915">
          <cell r="E1915" t="str">
            <v>5. ELECTRICAL / UPS</v>
          </cell>
          <cell r="G1915" t="str">
            <v>342</v>
          </cell>
          <cell r="H1915" t="str">
            <v>Verify</v>
          </cell>
          <cell r="I1915" t="str">
            <v>5 kW / 208V rack UPS</v>
          </cell>
          <cell r="J1915" t="str">
            <v>Verify</v>
          </cell>
          <cell r="K1915" t="str">
            <v>Verify</v>
          </cell>
          <cell r="L1915" t="str">
            <v>B78-TR342 panels / verify</v>
          </cell>
          <cell r="O1915" t="str">
            <v>Verify</v>
          </cell>
          <cell r="Q1915" t="str">
            <v>78|47</v>
          </cell>
        </row>
        <row r="1916">
          <cell r="E1916" t="str">
            <v>5. ELECTRICAL / UPS</v>
          </cell>
          <cell r="G1916" t="str">
            <v>401</v>
          </cell>
          <cell r="H1916" t="str">
            <v>Verify</v>
          </cell>
          <cell r="I1916" t="str">
            <v>5 kW / 208V rack UPS</v>
          </cell>
          <cell r="J1916" t="str">
            <v>Verify</v>
          </cell>
          <cell r="K1916" t="str">
            <v>Verify</v>
          </cell>
          <cell r="L1916" t="str">
            <v>B78-TR401 panels / verify</v>
          </cell>
          <cell r="O1916" t="str">
            <v>Verify</v>
          </cell>
          <cell r="Q1916" t="str">
            <v>78|48</v>
          </cell>
        </row>
        <row r="1917">
          <cell r="E1917" t="str">
            <v>5. ELECTRICAL / UPS</v>
          </cell>
          <cell r="G1917" t="str">
            <v>Existing rooms</v>
          </cell>
          <cell r="H1917" t="str">
            <v>Existing / Verify</v>
          </cell>
          <cell r="I1917" t="str">
            <v>Existing UPS / PDU</v>
          </cell>
          <cell r="J1917" t="str">
            <v>Existing / Verify</v>
          </cell>
          <cell r="K1917" t="str">
            <v>Verify</v>
          </cell>
          <cell r="L1917" t="str">
            <v>Existing / verify</v>
          </cell>
          <cell r="O1917" t="str">
            <v>Verify</v>
          </cell>
          <cell r="Q1917" t="str">
            <v>78|49</v>
          </cell>
        </row>
        <row r="1918">
          <cell r="E1918" t="str">
            <v>5. ELECTRICAL / UPS</v>
          </cell>
          <cell r="G1918">
            <v>0</v>
          </cell>
          <cell r="H1918">
            <v>0</v>
          </cell>
          <cell r="I1918">
            <v>0</v>
          </cell>
          <cell r="J1918">
            <v>0</v>
          </cell>
          <cell r="K1918">
            <v>0</v>
          </cell>
          <cell r="L1918">
            <v>0</v>
          </cell>
          <cell r="O1918">
            <v>0</v>
          </cell>
          <cell r="Q1918" t="str">
            <v>78|50</v>
          </cell>
        </row>
        <row r="1919">
          <cell r="E1919" t="str">
            <v>6. TELECOMMUNICATIONS</v>
          </cell>
          <cell r="G1919" t="str">
            <v>6. TELECOMMUNICATIONS</v>
          </cell>
          <cell r="H1919">
            <v>0</v>
          </cell>
          <cell r="I1919">
            <v>0</v>
          </cell>
          <cell r="J1919">
            <v>0</v>
          </cell>
          <cell r="K1919">
            <v>0</v>
          </cell>
          <cell r="L1919">
            <v>0</v>
          </cell>
          <cell r="O1919">
            <v>0</v>
          </cell>
          <cell r="Q1919" t="str">
            <v>78|51</v>
          </cell>
        </row>
        <row r="1920">
          <cell r="E1920" t="str">
            <v>6. TELECOMMUNICATIONS</v>
          </cell>
          <cell r="G1920" t="str">
            <v>Room</v>
          </cell>
          <cell r="H1920" t="str">
            <v>Rack Installed</v>
          </cell>
          <cell r="I1920" t="str">
            <v>Ladder Tray</v>
          </cell>
          <cell r="J1920" t="str">
            <v>Fiber Installed</v>
          </cell>
          <cell r="K1920" t="str">
            <v>Grounding</v>
          </cell>
          <cell r="L1920" t="str">
            <v>Labeling</v>
          </cell>
          <cell r="O1920" t="str">
            <v>Overall</v>
          </cell>
          <cell r="Q1920" t="str">
            <v>78|52</v>
          </cell>
        </row>
        <row r="1921">
          <cell r="E1921" t="str">
            <v>6. TELECOMMUNICATIONS</v>
          </cell>
          <cell r="G1921" t="str">
            <v>B30</v>
          </cell>
          <cell r="H1921" t="str">
            <v>Verify</v>
          </cell>
          <cell r="I1921" t="str">
            <v>Verify</v>
          </cell>
          <cell r="J1921" t="str">
            <v>Verify</v>
          </cell>
          <cell r="K1921" t="str">
            <v>Verify</v>
          </cell>
          <cell r="L1921" t="str">
            <v>Verify</v>
          </cell>
          <cell r="O1921" t="str">
            <v>Verify</v>
          </cell>
          <cell r="Q1921" t="str">
            <v>78|53</v>
          </cell>
        </row>
        <row r="1922">
          <cell r="E1922" t="str">
            <v>6. TELECOMMUNICATIONS</v>
          </cell>
          <cell r="G1922" t="str">
            <v>B35</v>
          </cell>
          <cell r="H1922" t="str">
            <v>Verify</v>
          </cell>
          <cell r="I1922" t="str">
            <v>Verify</v>
          </cell>
          <cell r="J1922" t="str">
            <v>Verify</v>
          </cell>
          <cell r="K1922" t="str">
            <v>Verify</v>
          </cell>
          <cell r="L1922" t="str">
            <v>Verify</v>
          </cell>
          <cell r="O1922" t="str">
            <v>Verify</v>
          </cell>
          <cell r="Q1922" t="str">
            <v>78|54</v>
          </cell>
        </row>
        <row r="1923">
          <cell r="E1923" t="str">
            <v>6. TELECOMMUNICATIONS</v>
          </cell>
          <cell r="G1923" t="str">
            <v>1232</v>
          </cell>
          <cell r="H1923" t="str">
            <v>Verify</v>
          </cell>
          <cell r="I1923" t="str">
            <v>Verify</v>
          </cell>
          <cell r="J1923" t="str">
            <v>Verify</v>
          </cell>
          <cell r="K1923" t="str">
            <v>Verify</v>
          </cell>
          <cell r="L1923" t="str">
            <v>Verify</v>
          </cell>
          <cell r="O1923" t="str">
            <v>Verify</v>
          </cell>
          <cell r="Q1923" t="str">
            <v>78|55</v>
          </cell>
        </row>
        <row r="1924">
          <cell r="E1924" t="str">
            <v>6. TELECOMMUNICATIONS</v>
          </cell>
          <cell r="G1924" t="str">
            <v>227A</v>
          </cell>
          <cell r="H1924" t="str">
            <v>Verify</v>
          </cell>
          <cell r="I1924" t="str">
            <v>Verify</v>
          </cell>
          <cell r="J1924" t="str">
            <v>Verify</v>
          </cell>
          <cell r="K1924" t="str">
            <v>Verify</v>
          </cell>
          <cell r="L1924" t="str">
            <v>Verify</v>
          </cell>
          <cell r="O1924" t="str">
            <v>Verify</v>
          </cell>
          <cell r="Q1924" t="str">
            <v>78|56</v>
          </cell>
        </row>
        <row r="1925">
          <cell r="E1925" t="str">
            <v>6. TELECOMMUNICATIONS</v>
          </cell>
          <cell r="G1925" t="str">
            <v>342</v>
          </cell>
          <cell r="H1925" t="str">
            <v>Verify</v>
          </cell>
          <cell r="I1925" t="str">
            <v>Verify</v>
          </cell>
          <cell r="J1925" t="str">
            <v>Verify</v>
          </cell>
          <cell r="K1925" t="str">
            <v>Verify</v>
          </cell>
          <cell r="L1925" t="str">
            <v>Verify</v>
          </cell>
          <cell r="O1925" t="str">
            <v>Verify</v>
          </cell>
          <cell r="Q1925" t="str">
            <v>78|57</v>
          </cell>
        </row>
        <row r="1926">
          <cell r="E1926" t="str">
            <v>6. TELECOMMUNICATIONS</v>
          </cell>
          <cell r="G1926" t="str">
            <v>401</v>
          </cell>
          <cell r="H1926" t="str">
            <v>Verify</v>
          </cell>
          <cell r="I1926" t="str">
            <v>Verify</v>
          </cell>
          <cell r="J1926" t="str">
            <v>Verify</v>
          </cell>
          <cell r="K1926" t="str">
            <v>Verify</v>
          </cell>
          <cell r="L1926" t="str">
            <v>Verify</v>
          </cell>
          <cell r="O1926" t="str">
            <v>Verify</v>
          </cell>
          <cell r="Q1926" t="str">
            <v>78|58</v>
          </cell>
        </row>
        <row r="1927">
          <cell r="E1927" t="str">
            <v>6. TELECOMMUNICATIONS</v>
          </cell>
          <cell r="G1927" t="str">
            <v>Existing rooms</v>
          </cell>
          <cell r="H1927" t="str">
            <v>Existing / Verify</v>
          </cell>
          <cell r="I1927" t="str">
            <v>Existing / Verify</v>
          </cell>
          <cell r="J1927" t="str">
            <v>Existing / Verify</v>
          </cell>
          <cell r="K1927" t="str">
            <v>Verify</v>
          </cell>
          <cell r="L1927" t="str">
            <v>Verify</v>
          </cell>
          <cell r="O1927" t="str">
            <v>Verify</v>
          </cell>
          <cell r="Q1927" t="str">
            <v>78|59</v>
          </cell>
        </row>
        <row r="1928">
          <cell r="E1928" t="str">
            <v>6. TELECOMMUNICATIONS</v>
          </cell>
          <cell r="G1928">
            <v>0</v>
          </cell>
          <cell r="H1928">
            <v>0</v>
          </cell>
          <cell r="I1928">
            <v>0</v>
          </cell>
          <cell r="J1928">
            <v>0</v>
          </cell>
          <cell r="K1928">
            <v>0</v>
          </cell>
          <cell r="L1928">
            <v>0</v>
          </cell>
          <cell r="O1928">
            <v>0</v>
          </cell>
          <cell r="Q1928" t="str">
            <v>78|60</v>
          </cell>
        </row>
        <row r="1929">
          <cell r="E1929" t="str">
            <v>7. SECURITY / PACS / CCTV</v>
          </cell>
          <cell r="G1929" t="str">
            <v>7. SECURITY / PACS / CCTV</v>
          </cell>
          <cell r="H1929">
            <v>0</v>
          </cell>
          <cell r="I1929">
            <v>0</v>
          </cell>
          <cell r="J1929">
            <v>0</v>
          </cell>
          <cell r="K1929">
            <v>0</v>
          </cell>
          <cell r="L1929">
            <v>0</v>
          </cell>
          <cell r="O1929">
            <v>0</v>
          </cell>
          <cell r="Q1929" t="str">
            <v>78|61</v>
          </cell>
        </row>
        <row r="1930">
          <cell r="E1930" t="str">
            <v>7. SECURITY / PACS / CCTV</v>
          </cell>
          <cell r="G1930" t="str">
            <v>Room</v>
          </cell>
          <cell r="H1930" t="str">
            <v>PACS</v>
          </cell>
          <cell r="I1930" t="str">
            <v>Card Reader</v>
          </cell>
          <cell r="J1930" t="str">
            <v>Door Position</v>
          </cell>
          <cell r="K1930" t="str">
            <v>Electric Strike</v>
          </cell>
          <cell r="L1930" t="str">
            <v>CCTV</v>
          </cell>
          <cell r="O1930" t="str">
            <v>Overall</v>
          </cell>
          <cell r="Q1930" t="str">
            <v>78|62</v>
          </cell>
        </row>
        <row r="1931">
          <cell r="E1931" t="str">
            <v>7. SECURITY / PACS / CCTV</v>
          </cell>
          <cell r="G1931" t="str">
            <v>B30</v>
          </cell>
          <cell r="H1931" t="str">
            <v>Verify</v>
          </cell>
          <cell r="I1931" t="str">
            <v>Verify</v>
          </cell>
          <cell r="J1931" t="str">
            <v>Verify</v>
          </cell>
          <cell r="K1931" t="str">
            <v>Verify</v>
          </cell>
          <cell r="L1931" t="str">
            <v>Verify</v>
          </cell>
          <cell r="O1931" t="str">
            <v>Verify</v>
          </cell>
          <cell r="Q1931" t="str">
            <v>78|63</v>
          </cell>
        </row>
        <row r="1932">
          <cell r="E1932" t="str">
            <v>7. SECURITY / PACS / CCTV</v>
          </cell>
          <cell r="G1932" t="str">
            <v>B35</v>
          </cell>
          <cell r="H1932" t="str">
            <v>Verify</v>
          </cell>
          <cell r="I1932" t="str">
            <v>Verify</v>
          </cell>
          <cell r="J1932" t="str">
            <v>Verify</v>
          </cell>
          <cell r="K1932" t="str">
            <v>Verify</v>
          </cell>
          <cell r="L1932" t="str">
            <v>Verify</v>
          </cell>
          <cell r="O1932" t="str">
            <v>Verify</v>
          </cell>
          <cell r="Q1932" t="str">
            <v>78|64</v>
          </cell>
        </row>
        <row r="1933">
          <cell r="E1933" t="str">
            <v>7. SECURITY / PACS / CCTV</v>
          </cell>
          <cell r="G1933" t="str">
            <v>1232</v>
          </cell>
          <cell r="H1933" t="str">
            <v>Verify</v>
          </cell>
          <cell r="I1933" t="str">
            <v>Verify</v>
          </cell>
          <cell r="J1933" t="str">
            <v>Verify</v>
          </cell>
          <cell r="K1933" t="str">
            <v>Verify</v>
          </cell>
          <cell r="L1933" t="str">
            <v>Verify</v>
          </cell>
          <cell r="O1933" t="str">
            <v>Verify</v>
          </cell>
          <cell r="Q1933" t="str">
            <v>78|65</v>
          </cell>
        </row>
        <row r="1934">
          <cell r="E1934" t="str">
            <v>7. SECURITY / PACS / CCTV</v>
          </cell>
          <cell r="G1934" t="str">
            <v>227A</v>
          </cell>
          <cell r="H1934" t="str">
            <v>Verify</v>
          </cell>
          <cell r="I1934" t="str">
            <v>Verify</v>
          </cell>
          <cell r="J1934" t="str">
            <v>Verify</v>
          </cell>
          <cell r="K1934" t="str">
            <v>Verify</v>
          </cell>
          <cell r="L1934" t="str">
            <v>Verify</v>
          </cell>
          <cell r="O1934" t="str">
            <v>Verify</v>
          </cell>
          <cell r="Q1934" t="str">
            <v>78|66</v>
          </cell>
        </row>
        <row r="1935">
          <cell r="E1935" t="str">
            <v>7. SECURITY / PACS / CCTV</v>
          </cell>
          <cell r="G1935" t="str">
            <v>342</v>
          </cell>
          <cell r="H1935" t="str">
            <v>Verify</v>
          </cell>
          <cell r="I1935" t="str">
            <v>Verify</v>
          </cell>
          <cell r="J1935" t="str">
            <v>Verify</v>
          </cell>
          <cell r="K1935" t="str">
            <v>Verify</v>
          </cell>
          <cell r="L1935" t="str">
            <v>Verify</v>
          </cell>
          <cell r="O1935" t="str">
            <v>Verify</v>
          </cell>
          <cell r="Q1935" t="str">
            <v>78|67</v>
          </cell>
        </row>
        <row r="1936">
          <cell r="E1936" t="str">
            <v>7. SECURITY / PACS / CCTV</v>
          </cell>
          <cell r="G1936" t="str">
            <v>401</v>
          </cell>
          <cell r="H1936" t="str">
            <v>Verify</v>
          </cell>
          <cell r="I1936" t="str">
            <v>Verify</v>
          </cell>
          <cell r="J1936" t="str">
            <v>Verify</v>
          </cell>
          <cell r="K1936" t="str">
            <v>Verify</v>
          </cell>
          <cell r="L1936" t="str">
            <v>Verify</v>
          </cell>
          <cell r="O1936" t="str">
            <v>Verify</v>
          </cell>
          <cell r="Q1936" t="str">
            <v>78|68</v>
          </cell>
        </row>
        <row r="1937">
          <cell r="E1937" t="str">
            <v>7. SECURITY / PACS / CCTV</v>
          </cell>
          <cell r="G1937" t="str">
            <v>Existing rooms</v>
          </cell>
          <cell r="H1937" t="str">
            <v>Existing / Verify</v>
          </cell>
          <cell r="I1937" t="str">
            <v>Existing / Verify</v>
          </cell>
          <cell r="J1937" t="str">
            <v>Existing / Verify</v>
          </cell>
          <cell r="K1937" t="str">
            <v>Existing / Verify</v>
          </cell>
          <cell r="L1937" t="str">
            <v>Verify</v>
          </cell>
          <cell r="O1937" t="str">
            <v>Verify</v>
          </cell>
          <cell r="Q1937" t="str">
            <v>78|69</v>
          </cell>
        </row>
        <row r="1938">
          <cell r="E1938" t="str">
            <v>7. SECURITY / PACS / CCTV</v>
          </cell>
          <cell r="G1938">
            <v>0</v>
          </cell>
          <cell r="H1938">
            <v>0</v>
          </cell>
          <cell r="I1938">
            <v>0</v>
          </cell>
          <cell r="J1938">
            <v>0</v>
          </cell>
          <cell r="K1938">
            <v>0</v>
          </cell>
          <cell r="L1938">
            <v>0</v>
          </cell>
          <cell r="O1938">
            <v>0</v>
          </cell>
          <cell r="Q1938" t="str">
            <v>78|70</v>
          </cell>
        </row>
        <row r="1939">
          <cell r="E1939" t="str">
            <v>8. OWNER RISKS</v>
          </cell>
          <cell r="G1939" t="str">
            <v>8. OWNER RISKS</v>
          </cell>
          <cell r="H1939">
            <v>0</v>
          </cell>
          <cell r="I1939">
            <v>0</v>
          </cell>
          <cell r="J1939">
            <v>0</v>
          </cell>
          <cell r="K1939">
            <v>0</v>
          </cell>
          <cell r="L1939">
            <v>0</v>
          </cell>
          <cell r="O1939">
            <v>0</v>
          </cell>
          <cell r="Q1939" t="str">
            <v>78|71</v>
          </cell>
        </row>
        <row r="1940">
          <cell r="E1940" t="str">
            <v>8. OWNER RISKS</v>
          </cell>
          <cell r="G1940" t="str">
            <v>Risk ID</v>
          </cell>
          <cell r="H1940" t="str">
            <v>Room</v>
          </cell>
          <cell r="I1940" t="str">
            <v>Risk</v>
          </cell>
          <cell r="J1940" t="str">
            <v>Impact</v>
          </cell>
          <cell r="K1940" t="str">
            <v>Probability</v>
          </cell>
          <cell r="L1940" t="str">
            <v>Score</v>
          </cell>
          <cell r="O1940" t="str">
            <v>Status</v>
          </cell>
          <cell r="Q1940" t="str">
            <v>78|72</v>
          </cell>
        </row>
        <row r="1941">
          <cell r="E1941" t="str">
            <v>8. OWNER RISKS</v>
          </cell>
          <cell r="G1941" t="str">
            <v>B78-R1</v>
          </cell>
          <cell r="H1941" t="str">
            <v>All</v>
          </cell>
          <cell r="I1941" t="str">
            <v>Existing conditions and active equipment across six TRs and existing telecom rooms not field verified</v>
          </cell>
          <cell r="J1941" t="str">
            <v>High</v>
          </cell>
          <cell r="K1941" t="str">
            <v>Medium</v>
          </cell>
          <cell r="L1941">
            <v>6</v>
          </cell>
          <cell r="O1941" t="str">
            <v>Open</v>
          </cell>
          <cell r="Q1941" t="str">
            <v>78|73</v>
          </cell>
        </row>
        <row r="1942">
          <cell r="E1942" t="str">
            <v>8. OWNER RISKS</v>
          </cell>
          <cell r="G1942" t="str">
            <v>B78-R2</v>
          </cell>
          <cell r="H1942" t="str">
            <v>Basement / Third</v>
          </cell>
          <cell r="I1942" t="str">
            <v>Hazardous material abatement plans exist for basement and third level</v>
          </cell>
          <cell r="J1942" t="str">
            <v>High</v>
          </cell>
          <cell r="K1942" t="str">
            <v>Medium</v>
          </cell>
          <cell r="L1942">
            <v>6</v>
          </cell>
          <cell r="O1942" t="str">
            <v>Open</v>
          </cell>
          <cell r="Q1942" t="str">
            <v>78|74</v>
          </cell>
        </row>
        <row r="1943">
          <cell r="E1943" t="str">
            <v>8. OWNER RISKS</v>
          </cell>
          <cell r="G1943" t="str">
            <v>B78-R3</v>
          </cell>
          <cell r="H1943" t="str">
            <v>Existing rooms</v>
          </cell>
          <cell r="I1943" t="str">
            <v>Existing telecom equipment may remain active during cutover</v>
          </cell>
          <cell r="J1943" t="str">
            <v>Critical</v>
          </cell>
          <cell r="K1943" t="str">
            <v>Medium</v>
          </cell>
          <cell r="L1943">
            <v>8</v>
          </cell>
          <cell r="O1943" t="str">
            <v>Open</v>
          </cell>
          <cell r="Q1943" t="str">
            <v>78|75</v>
          </cell>
        </row>
        <row r="1944">
          <cell r="E1944" t="str">
            <v>8. OWNER RISKS</v>
          </cell>
          <cell r="G1944" t="str">
            <v>B78-R4</v>
          </cell>
          <cell r="H1944" t="str">
            <v>All TRs</v>
          </cell>
          <cell r="I1944" t="str">
            <v>Dedicated cooling sequence, emergency power, condensate and alarms not verified</v>
          </cell>
          <cell r="J1944" t="str">
            <v>Critical</v>
          </cell>
          <cell r="K1944" t="str">
            <v>Medium</v>
          </cell>
          <cell r="L1944">
            <v>8</v>
          </cell>
          <cell r="O1944" t="str">
            <v>Open</v>
          </cell>
          <cell r="Q1944" t="str">
            <v>78|76</v>
          </cell>
        </row>
        <row r="1945">
          <cell r="E1945" t="str">
            <v>8. OWNER RISKS</v>
          </cell>
          <cell r="G1945" t="str">
            <v>B78-R5</v>
          </cell>
          <cell r="H1945" t="str">
            <v>All TRs</v>
          </cell>
          <cell r="I1945" t="str">
            <v>Panel source, UPS/PDU and rack receptacle coordination could delay energization</v>
          </cell>
          <cell r="J1945" t="str">
            <v>Critical</v>
          </cell>
          <cell r="K1945" t="str">
            <v>Medium</v>
          </cell>
          <cell r="L1945">
            <v>8</v>
          </cell>
          <cell r="O1945" t="str">
            <v>Open</v>
          </cell>
          <cell r="Q1945" t="str">
            <v>78|77</v>
          </cell>
        </row>
        <row r="1946">
          <cell r="E1946" t="str">
            <v>8. OWNER RISKS</v>
          </cell>
          <cell r="G1946" t="str">
            <v>B78-R6</v>
          </cell>
          <cell r="H1946" t="str">
            <v>All</v>
          </cell>
          <cell r="I1946" t="str">
            <v>Large cable tray scope creates coordination and firestop risk</v>
          </cell>
          <cell r="J1946" t="str">
            <v>High</v>
          </cell>
          <cell r="K1946" t="str">
            <v>Medium</v>
          </cell>
          <cell r="L1946">
            <v>6</v>
          </cell>
          <cell r="O1946" t="str">
            <v>Open</v>
          </cell>
          <cell r="Q1946" t="str">
            <v>78|78</v>
          </cell>
        </row>
        <row r="1947">
          <cell r="E1947" t="str">
            <v>8. OWNER RISKS</v>
          </cell>
          <cell r="G1947" t="str">
            <v>B78-R7</v>
          </cell>
          <cell r="H1947" t="str">
            <v>All</v>
          </cell>
          <cell r="I1947" t="str">
            <v>Telecom/fiber cutover could affect active hospital communications across B78 and B78A</v>
          </cell>
          <cell r="J1947" t="str">
            <v>Critical</v>
          </cell>
          <cell r="K1947" t="str">
            <v>Medium</v>
          </cell>
          <cell r="L1947">
            <v>8</v>
          </cell>
          <cell r="O1947" t="str">
            <v>Open</v>
          </cell>
          <cell r="Q1947" t="str">
            <v>78|79</v>
          </cell>
        </row>
        <row r="1948">
          <cell r="E1948" t="str">
            <v>8. OWNER RISKS</v>
          </cell>
          <cell r="G1948" t="str">
            <v>B78-R8</v>
          </cell>
          <cell r="H1948" t="str">
            <v>All</v>
          </cell>
          <cell r="I1948" t="str">
            <v>Commissioning/third-party inspection reports may not be complete at turnover</v>
          </cell>
          <cell r="J1948" t="str">
            <v>High</v>
          </cell>
          <cell r="K1948" t="str">
            <v>Medium</v>
          </cell>
          <cell r="L1948">
            <v>6</v>
          </cell>
          <cell r="O1948" t="str">
            <v>Open</v>
          </cell>
          <cell r="Q1948" t="str">
            <v>78|80</v>
          </cell>
        </row>
        <row r="1949">
          <cell r="E1949" t="str">
            <v>8. OWNER RISKS</v>
          </cell>
          <cell r="G1949">
            <v>0</v>
          </cell>
          <cell r="H1949">
            <v>0</v>
          </cell>
          <cell r="I1949">
            <v>0</v>
          </cell>
          <cell r="J1949">
            <v>0</v>
          </cell>
          <cell r="K1949">
            <v>0</v>
          </cell>
          <cell r="L1949">
            <v>0</v>
          </cell>
          <cell r="O1949">
            <v>0</v>
          </cell>
          <cell r="Q1949" t="str">
            <v>78|81</v>
          </cell>
        </row>
        <row r="1950">
          <cell r="E1950" t="str">
            <v>9. OPEN QUESTIONS</v>
          </cell>
          <cell r="G1950" t="str">
            <v>9. OPEN QUESTIONS</v>
          </cell>
          <cell r="H1950">
            <v>0</v>
          </cell>
          <cell r="I1950">
            <v>0</v>
          </cell>
          <cell r="J1950">
            <v>0</v>
          </cell>
          <cell r="K1950">
            <v>0</v>
          </cell>
          <cell r="L1950">
            <v>0</v>
          </cell>
          <cell r="O1950">
            <v>0</v>
          </cell>
          <cell r="Q1950" t="str">
            <v>78|82</v>
          </cell>
        </row>
        <row r="1951">
          <cell r="E1951" t="str">
            <v>9. OPEN QUESTIONS</v>
          </cell>
          <cell r="G1951" t="str">
            <v>Question ID</v>
          </cell>
          <cell r="H1951" t="str">
            <v>Question</v>
          </cell>
          <cell r="I1951" t="str">
            <v>Assigned To</v>
          </cell>
          <cell r="J1951" t="str">
            <v>Status</v>
          </cell>
          <cell r="K1951" t="str">
            <v>Needed By</v>
          </cell>
          <cell r="L1951" t="str">
            <v>Answer / Resolution</v>
          </cell>
          <cell r="O1951" t="str">
            <v>Date Closed</v>
          </cell>
          <cell r="Q1951" t="str">
            <v>78|83</v>
          </cell>
        </row>
        <row r="1952">
          <cell r="E1952" t="str">
            <v>9. OPEN QUESTIONS</v>
          </cell>
          <cell r="G1952" t="str">
            <v>B78-Q1</v>
          </cell>
          <cell r="H1952" t="str">
            <v>Confirm final telecom room list and PMIS mapping: B30, B35, 1232, 227A, 342, 401 plus existing rooms 15E/1234/353/308A/408A?</v>
          </cell>
          <cell r="I1952" t="str">
            <v>VA / OIT / Designer</v>
          </cell>
          <cell r="J1952" t="str">
            <v>Open</v>
          </cell>
          <cell r="K1952">
            <v>0</v>
          </cell>
          <cell r="L1952">
            <v>0</v>
          </cell>
          <cell r="O1952">
            <v>0</v>
          </cell>
          <cell r="Q1952" t="str">
            <v>78|84</v>
          </cell>
        </row>
        <row r="1953">
          <cell r="E1953" t="str">
            <v>9. OPEN QUESTIONS</v>
          </cell>
          <cell r="G1953" t="str">
            <v>B78-Q2</v>
          </cell>
          <cell r="H1953" t="str">
            <v>What active services currently remain in each existing telecom room/photo reference location?</v>
          </cell>
          <cell r="I1953" t="str">
            <v>OIT / Contractor</v>
          </cell>
          <cell r="J1953" t="str">
            <v>Open</v>
          </cell>
          <cell r="K1953">
            <v>0</v>
          </cell>
          <cell r="L1953">
            <v>0</v>
          </cell>
          <cell r="O1953">
            <v>0</v>
          </cell>
          <cell r="Q1953" t="str">
            <v>78|85</v>
          </cell>
        </row>
        <row r="1954">
          <cell r="E1954" t="str">
            <v>9. OPEN QUESTIONS</v>
          </cell>
          <cell r="G1954" t="str">
            <v>B78-Q3</v>
          </cell>
          <cell r="H1954" t="str">
            <v>Are Room 1232 and existing Room 1234 separate rooms or naming/mapping references for the same telecom space?</v>
          </cell>
          <cell r="I1954" t="str">
            <v>VA / Designer / OIT</v>
          </cell>
          <cell r="J1954" t="str">
            <v>Open</v>
          </cell>
          <cell r="K1954">
            <v>0</v>
          </cell>
          <cell r="L1954">
            <v>0</v>
          </cell>
          <cell r="O1954">
            <v>0</v>
          </cell>
          <cell r="Q1954" t="str">
            <v>78|86</v>
          </cell>
        </row>
        <row r="1955">
          <cell r="E1955" t="str">
            <v>9. OPEN QUESTIONS</v>
          </cell>
          <cell r="G1955" t="str">
            <v>B78-Q4</v>
          </cell>
          <cell r="H1955" t="str">
            <v>Which dedicated cooling units serve each TR and are they on emergency/backup power?</v>
          </cell>
          <cell r="I1955" t="str">
            <v>Mechanical / Electrical / VA</v>
          </cell>
          <cell r="J1955" t="str">
            <v>Open</v>
          </cell>
          <cell r="K1955">
            <v>0</v>
          </cell>
          <cell r="L1955">
            <v>0</v>
          </cell>
          <cell r="O1955">
            <v>0</v>
          </cell>
          <cell r="Q1955" t="str">
            <v>78|87</v>
          </cell>
        </row>
        <row r="1956">
          <cell r="E1956" t="str">
            <v>9. OPEN QUESTIONS</v>
          </cell>
          <cell r="G1956" t="str">
            <v>B78-Q5</v>
          </cell>
          <cell r="H1956" t="str">
            <v>Where are clean-agent/CO2 FEC cabinets located within 75 ft of each new TR?</v>
          </cell>
          <cell r="I1956" t="str">
            <v>GC / COR</v>
          </cell>
          <cell r="J1956" t="str">
            <v>Open</v>
          </cell>
          <cell r="K1956">
            <v>0</v>
          </cell>
          <cell r="L1956">
            <v>0</v>
          </cell>
          <cell r="O1956">
            <v>0</v>
          </cell>
          <cell r="Q1956" t="str">
            <v>78|88</v>
          </cell>
        </row>
        <row r="1957">
          <cell r="E1957" t="str">
            <v>9. OPEN QUESTIONS</v>
          </cell>
          <cell r="G1957" t="str">
            <v>B78-Q6</v>
          </cell>
          <cell r="H1957" t="str">
            <v>Are rack UPS/PDU circuits, SPDs, labels, load measurements and LOTO requirements approved for all TR panelboards?</v>
          </cell>
          <cell r="I1957" t="str">
            <v>Electrical / Designer</v>
          </cell>
          <cell r="J1957" t="str">
            <v>Open</v>
          </cell>
          <cell r="K1957">
            <v>0</v>
          </cell>
          <cell r="L1957">
            <v>0</v>
          </cell>
          <cell r="O1957">
            <v>0</v>
          </cell>
          <cell r="Q1957" t="str">
            <v>78|89</v>
          </cell>
        </row>
        <row r="1958">
          <cell r="E1958" t="str">
            <v>9. OPEN QUESTIONS</v>
          </cell>
          <cell r="G1958" t="str">
            <v>B78-Q7</v>
          </cell>
          <cell r="H1958" t="str">
            <v>Are all rated wall/floor penetrations, sleeves, cable tray entries and temporary firestopping details identified?</v>
          </cell>
          <cell r="I1958" t="str">
            <v>GC / Firestop</v>
          </cell>
          <cell r="J1958" t="str">
            <v>Open</v>
          </cell>
          <cell r="K1958">
            <v>0</v>
          </cell>
          <cell r="L1958">
            <v>0</v>
          </cell>
          <cell r="O1958">
            <v>0</v>
          </cell>
          <cell r="Q1958" t="str">
            <v>78|90</v>
          </cell>
        </row>
        <row r="1959">
          <cell r="E1959" t="str">
            <v>9. OPEN QUESTIONS</v>
          </cell>
          <cell r="G1959" t="str">
            <v>B78-Q8</v>
          </cell>
          <cell r="H1959" t="str">
            <v>Which third-party inspections, commissioning forms and OIT acceptance records are required before turnover?</v>
          </cell>
          <cell r="I1959" t="str">
            <v>GC / Cx Manager / OIT</v>
          </cell>
          <cell r="J1959" t="str">
            <v>Open</v>
          </cell>
          <cell r="K1959">
            <v>0</v>
          </cell>
          <cell r="L1959">
            <v>0</v>
          </cell>
          <cell r="O1959">
            <v>0</v>
          </cell>
          <cell r="Q1959" t="str">
            <v>78|91</v>
          </cell>
        </row>
        <row r="1960">
          <cell r="E1960" t="str">
            <v>9. OPEN QUESTIONS</v>
          </cell>
          <cell r="G1960">
            <v>0</v>
          </cell>
          <cell r="H1960">
            <v>0</v>
          </cell>
          <cell r="I1960">
            <v>0</v>
          </cell>
          <cell r="J1960">
            <v>0</v>
          </cell>
          <cell r="K1960">
            <v>0</v>
          </cell>
          <cell r="L1960">
            <v>0</v>
          </cell>
          <cell r="O1960">
            <v>0</v>
          </cell>
          <cell r="Q1960" t="str">
            <v>78|92</v>
          </cell>
        </row>
        <row r="1961">
          <cell r="E1961" t="str">
            <v>10. PHOTO LOG</v>
          </cell>
          <cell r="G1961" t="str">
            <v>10. PHOTO LOG</v>
          </cell>
          <cell r="H1961">
            <v>0</v>
          </cell>
          <cell r="I1961">
            <v>0</v>
          </cell>
          <cell r="J1961">
            <v>0</v>
          </cell>
          <cell r="K1961">
            <v>0</v>
          </cell>
          <cell r="L1961">
            <v>0</v>
          </cell>
          <cell r="O1961">
            <v>0</v>
          </cell>
          <cell r="Q1961" t="str">
            <v>78|93</v>
          </cell>
        </row>
        <row r="1962">
          <cell r="E1962" t="str">
            <v>10. PHOTO LOG</v>
          </cell>
          <cell r="G1962" t="str">
            <v>Photo ID</v>
          </cell>
          <cell r="H1962" t="str">
            <v>Room</v>
          </cell>
          <cell r="I1962" t="str">
            <v>Category</v>
          </cell>
          <cell r="J1962" t="str">
            <v>Description</v>
          </cell>
          <cell r="K1962" t="str">
            <v>Date</v>
          </cell>
          <cell r="L1962" t="str">
            <v>Taken By</v>
          </cell>
          <cell r="O1962" t="str">
            <v>Status</v>
          </cell>
          <cell r="Q1962" t="str">
            <v>78|94</v>
          </cell>
        </row>
        <row r="1963">
          <cell r="E1963" t="str">
            <v>10. PHOTO LOG</v>
          </cell>
          <cell r="G1963" t="str">
            <v>B78-P001</v>
          </cell>
          <cell r="H1963" t="str">
            <v>B30</v>
          </cell>
          <cell r="I1963" t="str">
            <v>Existing Condition</v>
          </cell>
          <cell r="J1963" t="str">
            <v>Basement RM B30 walls, ceiling/deck, floor, door, racks/future rack, power, HVAC, cable tray and penetrations</v>
          </cell>
          <cell r="K1963">
            <v>0</v>
          </cell>
          <cell r="L1963" t="str">
            <v>Paul</v>
          </cell>
          <cell r="O1963" t="str">
            <v>Open</v>
          </cell>
          <cell r="Q1963" t="str">
            <v>78|95</v>
          </cell>
        </row>
        <row r="1964">
          <cell r="E1964" t="str">
            <v>10. PHOTO LOG</v>
          </cell>
          <cell r="G1964" t="str">
            <v>B78-P002</v>
          </cell>
          <cell r="H1964" t="str">
            <v>B35</v>
          </cell>
          <cell r="I1964" t="str">
            <v>Existing Condition</v>
          </cell>
          <cell r="J1964" t="str">
            <v>Basement RM B35 and relationship to existing telecom room 15E; rack/equipment, pathway, power, HVAC and penetrations</v>
          </cell>
          <cell r="K1964">
            <v>0</v>
          </cell>
          <cell r="L1964" t="str">
            <v>Paul</v>
          </cell>
          <cell r="O1964" t="str">
            <v>Open</v>
          </cell>
          <cell r="Q1964" t="str">
            <v>78|96</v>
          </cell>
        </row>
        <row r="1965">
          <cell r="E1965" t="str">
            <v>10. PHOTO LOG</v>
          </cell>
          <cell r="G1965" t="str">
            <v>B78-P003</v>
          </cell>
          <cell r="H1965" t="str">
            <v>1232 / 1234</v>
          </cell>
          <cell r="I1965" t="str">
            <v>Existing Condition</v>
          </cell>
          <cell r="J1965" t="str">
            <v>First-level RM 1232/new TR and existing telecom room 1234 photo reference, active equipment, cable paths and rack transfer scope</v>
          </cell>
          <cell r="K1965">
            <v>0</v>
          </cell>
          <cell r="L1965" t="str">
            <v>Paul</v>
          </cell>
          <cell r="O1965" t="str">
            <v>Open</v>
          </cell>
          <cell r="Q1965" t="str">
            <v>78|97</v>
          </cell>
        </row>
        <row r="1966">
          <cell r="E1966" t="str">
            <v>10. PHOTO LOG</v>
          </cell>
          <cell r="G1966" t="str">
            <v>B78-P004</v>
          </cell>
          <cell r="H1966" t="str">
            <v>227A / 1234</v>
          </cell>
          <cell r="I1966" t="str">
            <v>Existing Condition</v>
          </cell>
          <cell r="J1966" t="str">
            <v>Second-level RM 227A/new TR and existing telecom room 1234 photo reference, active equipment, cable paths and rack transfer scope</v>
          </cell>
          <cell r="K1966">
            <v>0</v>
          </cell>
          <cell r="L1966" t="str">
            <v>Paul</v>
          </cell>
          <cell r="O1966" t="str">
            <v>Open</v>
          </cell>
          <cell r="Q1966" t="str">
            <v>78|98</v>
          </cell>
        </row>
        <row r="1967">
          <cell r="E1967" t="str">
            <v>10. PHOTO LOG</v>
          </cell>
          <cell r="G1967" t="str">
            <v>B78-P005</v>
          </cell>
          <cell r="H1967" t="str">
            <v>342 / 353</v>
          </cell>
          <cell r="I1967" t="str">
            <v>Existing Condition</v>
          </cell>
          <cell r="J1967" t="str">
            <v>Third-level RM 342/new TR and existing telecom room 353 photo reference, active equipment, cable paths and rack transfer scope</v>
          </cell>
          <cell r="K1967">
            <v>0</v>
          </cell>
          <cell r="L1967" t="str">
            <v>Paul</v>
          </cell>
          <cell r="O1967" t="str">
            <v>Open</v>
          </cell>
          <cell r="Q1967" t="str">
            <v>78|99</v>
          </cell>
        </row>
        <row r="1968">
          <cell r="E1968" t="str">
            <v>10. PHOTO LOG</v>
          </cell>
          <cell r="G1968" t="str">
            <v>B78-P006</v>
          </cell>
          <cell r="H1968" t="str">
            <v>401 / 308A / 408A</v>
          </cell>
          <cell r="I1968" t="str">
            <v>Existing Condition</v>
          </cell>
          <cell r="J1968" t="str">
            <v>Fourth-level RM 401 and existing telecom rooms 308A/408A photo references, active equipment, cable paths and transfer scope</v>
          </cell>
          <cell r="K1968">
            <v>0</v>
          </cell>
          <cell r="L1968" t="str">
            <v>Paul</v>
          </cell>
          <cell r="O1968" t="str">
            <v>Open</v>
          </cell>
          <cell r="Q1968" t="str">
            <v>78|100</v>
          </cell>
        </row>
        <row r="1969">
          <cell r="E1969" t="str">
            <v>10. PHOTO LOG</v>
          </cell>
          <cell r="G1969" t="str">
            <v>B78-P007</v>
          </cell>
          <cell r="H1969" t="str">
            <v>All</v>
          </cell>
          <cell r="I1969" t="str">
            <v>Cable Tray / Firestop</v>
          </cell>
          <cell r="J1969" t="str">
            <v>Basement through fourth-level cable tray routes, supports, seismic bracing, penetrations and before/after firestopping</v>
          </cell>
          <cell r="K1969">
            <v>0</v>
          </cell>
          <cell r="L1969" t="str">
            <v>Paul</v>
          </cell>
          <cell r="O1969" t="str">
            <v>Open</v>
          </cell>
          <cell r="Q1969" t="str">
            <v>78|101</v>
          </cell>
        </row>
        <row r="1970">
          <cell r="E1970" t="str">
            <v>10. PHOTO LOG</v>
          </cell>
          <cell r="G1970" t="str">
            <v>B78-P008</v>
          </cell>
          <cell r="H1970" t="str">
            <v>All</v>
          </cell>
          <cell r="I1970" t="str">
            <v>Telecom / Security / HVAC</v>
          </cell>
          <cell r="J1970" t="str">
            <v>Racks, Fiber LIU, Cat6A, patch panels, UPS/PDU, labels/test records, CCTV, PACS, HVAC units and existing transfer work</v>
          </cell>
          <cell r="K1970">
            <v>0</v>
          </cell>
          <cell r="L1970" t="str">
            <v>Paul</v>
          </cell>
          <cell r="O1970" t="str">
            <v>Open</v>
          </cell>
          <cell r="Q1970" t="str">
            <v>78|102</v>
          </cell>
        </row>
        <row r="1971">
          <cell r="E1971" t="str">
            <v>10. PHOTO LOG</v>
          </cell>
          <cell r="G1971">
            <v>0</v>
          </cell>
          <cell r="H1971">
            <v>0</v>
          </cell>
          <cell r="I1971">
            <v>0</v>
          </cell>
          <cell r="J1971">
            <v>0</v>
          </cell>
          <cell r="K1971">
            <v>0</v>
          </cell>
          <cell r="L1971">
            <v>0</v>
          </cell>
          <cell r="O1971">
            <v>0</v>
          </cell>
          <cell r="Q1971" t="str">
            <v>78|103</v>
          </cell>
        </row>
        <row r="1972">
          <cell r="E1972" t="str">
            <v>1. ROOM INVENTORY</v>
          </cell>
          <cell r="G1972" t="str">
            <v>1. ROOM INVENTORY</v>
          </cell>
          <cell r="H1972">
            <v>0</v>
          </cell>
          <cell r="I1972">
            <v>0</v>
          </cell>
          <cell r="J1972">
            <v>0</v>
          </cell>
          <cell r="K1972">
            <v>0</v>
          </cell>
          <cell r="L1972">
            <v>0</v>
          </cell>
          <cell r="O1972">
            <v>0</v>
          </cell>
          <cell r="Q1972" t="str">
            <v>80|1</v>
          </cell>
        </row>
        <row r="1973">
          <cell r="E1973" t="str">
            <v>1. ROOM INVENTORY</v>
          </cell>
          <cell r="G1973" t="str">
            <v>Building</v>
          </cell>
          <cell r="H1973" t="str">
            <v>Room</v>
          </cell>
          <cell r="I1973" t="str">
            <v>Floor</v>
          </cell>
          <cell r="J1973" t="str">
            <v>Existing Use</v>
          </cell>
          <cell r="K1973" t="str">
            <v>New Use</v>
          </cell>
          <cell r="L1973" t="str">
            <v>Rack Count</v>
          </cell>
          <cell r="O1973" t="str">
            <v>Drawing Ref</v>
          </cell>
          <cell r="Q1973" t="str">
            <v>80|2</v>
          </cell>
        </row>
        <row r="1974">
          <cell r="E1974" t="str">
            <v>1. ROOM INVENTORY</v>
          </cell>
          <cell r="G1974" t="str">
            <v>80</v>
          </cell>
          <cell r="H1974" t="str">
            <v>102</v>
          </cell>
          <cell r="I1974" t="str">
            <v>First</v>
          </cell>
          <cell r="J1974" t="str">
            <v>Telecom Room / new TR build area</v>
          </cell>
          <cell r="K1974" t="str">
            <v>Telecom Room</v>
          </cell>
          <cell r="L1974">
            <v>1</v>
          </cell>
          <cell r="O1974" t="str">
            <v>80A-401 / 80E-101 / 80E-401 / 80T-101 / 80T-604 / 80T-701</v>
          </cell>
          <cell r="Q1974" t="str">
            <v>80|3</v>
          </cell>
        </row>
        <row r="1975">
          <cell r="E1975" t="str">
            <v>1. ROOM INVENTORY</v>
          </cell>
          <cell r="G1975" t="str">
            <v>80</v>
          </cell>
          <cell r="H1975" t="str">
            <v>127A / 126</v>
          </cell>
          <cell r="I1975" t="str">
            <v>First</v>
          </cell>
          <cell r="J1975" t="str">
            <v>Existing Tel Closet / existing telecom room photo reference</v>
          </cell>
          <cell r="K1975" t="str">
            <v>Existing telecom transition point</v>
          </cell>
          <cell r="L1975">
            <v>1</v>
          </cell>
          <cell r="O1975" t="str">
            <v>80T-101 / 80T-604 / 80R-900</v>
          </cell>
          <cell r="Q1975" t="str">
            <v>80|4</v>
          </cell>
        </row>
        <row r="1976">
          <cell r="E1976" t="str">
            <v>1. ROOM INVENTORY</v>
          </cell>
          <cell r="G1976">
            <v>0</v>
          </cell>
          <cell r="H1976">
            <v>0</v>
          </cell>
          <cell r="I1976">
            <v>0</v>
          </cell>
          <cell r="J1976">
            <v>0</v>
          </cell>
          <cell r="K1976">
            <v>0</v>
          </cell>
          <cell r="L1976">
            <v>0</v>
          </cell>
          <cell r="O1976">
            <v>0</v>
          </cell>
          <cell r="Q1976" t="str">
            <v>80|5</v>
          </cell>
        </row>
        <row r="1977">
          <cell r="E1977" t="str">
            <v>2. ROOM READINESS</v>
          </cell>
          <cell r="G1977" t="str">
            <v>2. ROOM READINESS</v>
          </cell>
          <cell r="H1977">
            <v>0</v>
          </cell>
          <cell r="I1977">
            <v>0</v>
          </cell>
          <cell r="J1977">
            <v>0</v>
          </cell>
          <cell r="K1977">
            <v>0</v>
          </cell>
          <cell r="L1977">
            <v>0</v>
          </cell>
          <cell r="O1977">
            <v>0</v>
          </cell>
          <cell r="Q1977" t="str">
            <v>80|6</v>
          </cell>
        </row>
        <row r="1978">
          <cell r="E1978" t="str">
            <v>2. ROOM READINESS</v>
          </cell>
          <cell r="G1978" t="str">
            <v>Room</v>
          </cell>
          <cell r="H1978" t="str">
            <v>Walls / 1-hr Rating</v>
          </cell>
          <cell r="I1978" t="str">
            <v>Ceiling</v>
          </cell>
          <cell r="J1978" t="str">
            <v>Floor / SDC</v>
          </cell>
          <cell r="K1978" t="str">
            <v>Penetrations</v>
          </cell>
          <cell r="L1978" t="str">
            <v>Access Control</v>
          </cell>
          <cell r="O1978" t="str">
            <v>Overall</v>
          </cell>
          <cell r="Q1978" t="str">
            <v>80|7</v>
          </cell>
        </row>
        <row r="1979">
          <cell r="E1979" t="str">
            <v>2. ROOM READINESS</v>
          </cell>
          <cell r="G1979" t="str">
            <v>102</v>
          </cell>
          <cell r="H1979" t="str">
            <v>Verify</v>
          </cell>
          <cell r="I1979" t="str">
            <v>Verify</v>
          </cell>
          <cell r="J1979" t="str">
            <v>Verify</v>
          </cell>
          <cell r="K1979" t="str">
            <v>Verify</v>
          </cell>
          <cell r="L1979" t="str">
            <v>Verify</v>
          </cell>
          <cell r="O1979" t="str">
            <v>Verify</v>
          </cell>
          <cell r="Q1979" t="str">
            <v>80|8</v>
          </cell>
        </row>
        <row r="1980">
          <cell r="E1980" t="str">
            <v>2. ROOM READINESS</v>
          </cell>
          <cell r="G1980" t="str">
            <v>127A / 126</v>
          </cell>
          <cell r="H1980" t="str">
            <v>Existing / Verify</v>
          </cell>
          <cell r="I1980" t="str">
            <v>Existing / Verify</v>
          </cell>
          <cell r="J1980" t="str">
            <v>Existing / Verify</v>
          </cell>
          <cell r="K1980" t="str">
            <v>Verify</v>
          </cell>
          <cell r="L1980" t="str">
            <v>Verify Existing</v>
          </cell>
          <cell r="O1980" t="str">
            <v>Verify</v>
          </cell>
          <cell r="Q1980" t="str">
            <v>80|9</v>
          </cell>
        </row>
        <row r="1981">
          <cell r="E1981" t="str">
            <v>2. ROOM READINESS</v>
          </cell>
          <cell r="G1981">
            <v>0</v>
          </cell>
          <cell r="H1981">
            <v>0</v>
          </cell>
          <cell r="I1981">
            <v>0</v>
          </cell>
          <cell r="J1981">
            <v>0</v>
          </cell>
          <cell r="K1981">
            <v>0</v>
          </cell>
          <cell r="L1981">
            <v>0</v>
          </cell>
          <cell r="O1981">
            <v>0</v>
          </cell>
          <cell r="Q1981" t="str">
            <v>80|10</v>
          </cell>
        </row>
        <row r="1982">
          <cell r="E1982" t="str">
            <v>3. FIRE PROTECTION</v>
          </cell>
          <cell r="G1982" t="str">
            <v>3. FIRE PROTECTION</v>
          </cell>
          <cell r="H1982">
            <v>0</v>
          </cell>
          <cell r="I1982">
            <v>0</v>
          </cell>
          <cell r="J1982">
            <v>0</v>
          </cell>
          <cell r="K1982">
            <v>0</v>
          </cell>
          <cell r="L1982">
            <v>0</v>
          </cell>
          <cell r="O1982">
            <v>0</v>
          </cell>
          <cell r="Q1982" t="str">
            <v>80|11</v>
          </cell>
        </row>
        <row r="1983">
          <cell r="E1983" t="str">
            <v>3. FIRE PROTECTION</v>
          </cell>
          <cell r="G1983" t="str">
            <v>Room</v>
          </cell>
          <cell r="H1983" t="str">
            <v>Sprinkler</v>
          </cell>
          <cell r="I1983" t="str">
            <v>Cage</v>
          </cell>
          <cell r="J1983" t="str">
            <v>Detector</v>
          </cell>
          <cell r="K1983" t="str">
            <v>Horn/Strobe</v>
          </cell>
          <cell r="L1983" t="str">
            <v>Extinguisher &lt;75 ft</v>
          </cell>
          <cell r="O1983" t="str">
            <v>Overall</v>
          </cell>
          <cell r="Q1983" t="str">
            <v>80|12</v>
          </cell>
        </row>
        <row r="1984">
          <cell r="E1984" t="str">
            <v>3. FIRE PROTECTION</v>
          </cell>
          <cell r="G1984" t="str">
            <v>102</v>
          </cell>
          <cell r="H1984" t="str">
            <v>Verify</v>
          </cell>
          <cell r="I1984" t="str">
            <v>Verify</v>
          </cell>
          <cell r="J1984" t="str">
            <v>Verify</v>
          </cell>
          <cell r="K1984" t="str">
            <v>Verify</v>
          </cell>
          <cell r="L1984" t="str">
            <v>Verify</v>
          </cell>
          <cell r="O1984" t="str">
            <v>Verify</v>
          </cell>
          <cell r="Q1984" t="str">
            <v>80|13</v>
          </cell>
        </row>
        <row r="1985">
          <cell r="E1985" t="str">
            <v>3. FIRE PROTECTION</v>
          </cell>
          <cell r="G1985" t="str">
            <v>127A / 126</v>
          </cell>
          <cell r="H1985" t="str">
            <v>Existing / Verify</v>
          </cell>
          <cell r="I1985" t="str">
            <v>N/A</v>
          </cell>
          <cell r="J1985" t="str">
            <v>Verify Existing</v>
          </cell>
          <cell r="K1985" t="str">
            <v>Verify Existing</v>
          </cell>
          <cell r="L1985" t="str">
            <v>Verify</v>
          </cell>
          <cell r="O1985" t="str">
            <v>Verify</v>
          </cell>
          <cell r="Q1985" t="str">
            <v>80|14</v>
          </cell>
        </row>
        <row r="1986">
          <cell r="E1986" t="str">
            <v>3. FIRE PROTECTION</v>
          </cell>
          <cell r="G1986">
            <v>0</v>
          </cell>
          <cell r="H1986">
            <v>0</v>
          </cell>
          <cell r="I1986">
            <v>0</v>
          </cell>
          <cell r="J1986">
            <v>0</v>
          </cell>
          <cell r="K1986">
            <v>0</v>
          </cell>
          <cell r="L1986">
            <v>0</v>
          </cell>
          <cell r="O1986">
            <v>0</v>
          </cell>
          <cell r="Q1986" t="str">
            <v>80|15</v>
          </cell>
        </row>
        <row r="1987">
          <cell r="E1987" t="str">
            <v>4. HVAC / COOLING</v>
          </cell>
          <cell r="G1987" t="str">
            <v>4. HVAC / COOLING</v>
          </cell>
          <cell r="H1987">
            <v>0</v>
          </cell>
          <cell r="I1987">
            <v>0</v>
          </cell>
          <cell r="J1987">
            <v>0</v>
          </cell>
          <cell r="K1987">
            <v>0</v>
          </cell>
          <cell r="L1987">
            <v>0</v>
          </cell>
          <cell r="O1987">
            <v>0</v>
          </cell>
          <cell r="Q1987" t="str">
            <v>80|16</v>
          </cell>
        </row>
        <row r="1988">
          <cell r="E1988" t="str">
            <v>4. HVAC / COOLING</v>
          </cell>
          <cell r="G1988" t="str">
            <v>Room</v>
          </cell>
          <cell r="H1988" t="str">
            <v>Dedicated Unit</v>
          </cell>
          <cell r="I1988" t="str">
            <v>Capacity Verified</v>
          </cell>
          <cell r="J1988" t="str">
            <v>Emergency Power</v>
          </cell>
          <cell r="K1988" t="str">
            <v>Controls / BACnet</v>
          </cell>
          <cell r="L1988" t="str">
            <v>Condensate Routed</v>
          </cell>
          <cell r="O1988" t="str">
            <v>Overall</v>
          </cell>
          <cell r="Q1988" t="str">
            <v>80|17</v>
          </cell>
        </row>
        <row r="1989">
          <cell r="E1989" t="str">
            <v>4. HVAC / COOLING</v>
          </cell>
          <cell r="G1989" t="str">
            <v>102</v>
          </cell>
          <cell r="H1989" t="str">
            <v>IU-1-01 / CU-1-01</v>
          </cell>
          <cell r="I1989" t="str">
            <v>Verify</v>
          </cell>
          <cell r="J1989" t="str">
            <v>Verify</v>
          </cell>
          <cell r="K1989" t="str">
            <v>Verify</v>
          </cell>
          <cell r="L1989" t="str">
            <v>Verify</v>
          </cell>
          <cell r="O1989" t="str">
            <v>Verify</v>
          </cell>
          <cell r="Q1989" t="str">
            <v>80|18</v>
          </cell>
        </row>
        <row r="1990">
          <cell r="E1990" t="str">
            <v>4. HVAC / COOLING</v>
          </cell>
          <cell r="G1990" t="str">
            <v>127A / 126</v>
          </cell>
          <cell r="H1990" t="str">
            <v>Existing / Verify</v>
          </cell>
          <cell r="I1990" t="str">
            <v>Verify</v>
          </cell>
          <cell r="J1990" t="str">
            <v>Verify</v>
          </cell>
          <cell r="K1990" t="str">
            <v>Verify</v>
          </cell>
          <cell r="L1990" t="str">
            <v>Verify</v>
          </cell>
          <cell r="O1990" t="str">
            <v>Verify</v>
          </cell>
          <cell r="Q1990" t="str">
            <v>80|19</v>
          </cell>
        </row>
        <row r="1991">
          <cell r="E1991" t="str">
            <v>4. HVAC / COOLING</v>
          </cell>
          <cell r="G1991">
            <v>0</v>
          </cell>
          <cell r="H1991">
            <v>0</v>
          </cell>
          <cell r="I1991">
            <v>0</v>
          </cell>
          <cell r="J1991">
            <v>0</v>
          </cell>
          <cell r="K1991">
            <v>0</v>
          </cell>
          <cell r="L1991">
            <v>0</v>
          </cell>
          <cell r="O1991">
            <v>0</v>
          </cell>
          <cell r="Q1991" t="str">
            <v>80|20</v>
          </cell>
        </row>
        <row r="1992">
          <cell r="E1992" t="str">
            <v>5. ELECTRICAL / UPS</v>
          </cell>
          <cell r="G1992" t="str">
            <v>5. ELECTRICAL / UPS</v>
          </cell>
          <cell r="H1992">
            <v>0</v>
          </cell>
          <cell r="I1992">
            <v>0</v>
          </cell>
          <cell r="J1992">
            <v>0</v>
          </cell>
          <cell r="K1992">
            <v>0</v>
          </cell>
          <cell r="L1992">
            <v>0</v>
          </cell>
          <cell r="O1992">
            <v>0</v>
          </cell>
          <cell r="Q1992" t="str">
            <v>80|21</v>
          </cell>
        </row>
        <row r="1993">
          <cell r="E1993" t="str">
            <v>5. ELECTRICAL / UPS</v>
          </cell>
          <cell r="G1993" t="str">
            <v>Room</v>
          </cell>
          <cell r="H1993" t="str">
            <v>UPS Installed</v>
          </cell>
          <cell r="I1993" t="str">
            <v>UPS Size</v>
          </cell>
          <cell r="J1993" t="str">
            <v>PDU Installed</v>
          </cell>
          <cell r="K1993" t="str">
            <v>Rack Receptacles</v>
          </cell>
          <cell r="L1993" t="str">
            <v>Panel Assigned</v>
          </cell>
          <cell r="O1993" t="str">
            <v>Overall</v>
          </cell>
          <cell r="Q1993" t="str">
            <v>80|22</v>
          </cell>
        </row>
        <row r="1994">
          <cell r="E1994" t="str">
            <v>5. ELECTRICAL / UPS</v>
          </cell>
          <cell r="G1994" t="str">
            <v>102</v>
          </cell>
          <cell r="H1994" t="str">
            <v>Verify</v>
          </cell>
          <cell r="I1994" t="str">
            <v>5 kW / 208V rack UPS</v>
          </cell>
          <cell r="J1994" t="str">
            <v>Verify</v>
          </cell>
          <cell r="K1994" t="str">
            <v>Verify</v>
          </cell>
          <cell r="L1994" t="str">
            <v>B80-TR102A / B80-TR102B</v>
          </cell>
          <cell r="O1994" t="str">
            <v>Verify</v>
          </cell>
          <cell r="Q1994" t="str">
            <v>80|23</v>
          </cell>
        </row>
        <row r="1995">
          <cell r="E1995" t="str">
            <v>5. ELECTRICAL / UPS</v>
          </cell>
          <cell r="G1995" t="str">
            <v>127A / 126</v>
          </cell>
          <cell r="H1995" t="str">
            <v>Existing</v>
          </cell>
          <cell r="I1995" t="str">
            <v>Existing APC floor UPS</v>
          </cell>
          <cell r="J1995" t="str">
            <v>Existing</v>
          </cell>
          <cell r="K1995" t="str">
            <v>Verify</v>
          </cell>
          <cell r="L1995" t="str">
            <v>Existing / Verify</v>
          </cell>
          <cell r="O1995" t="str">
            <v>Verify</v>
          </cell>
          <cell r="Q1995" t="str">
            <v>80|24</v>
          </cell>
        </row>
        <row r="1996">
          <cell r="E1996" t="str">
            <v>5. ELECTRICAL / UPS</v>
          </cell>
          <cell r="G1996">
            <v>0</v>
          </cell>
          <cell r="H1996">
            <v>0</v>
          </cell>
          <cell r="I1996">
            <v>0</v>
          </cell>
          <cell r="J1996">
            <v>0</v>
          </cell>
          <cell r="K1996">
            <v>0</v>
          </cell>
          <cell r="L1996">
            <v>0</v>
          </cell>
          <cell r="O1996">
            <v>0</v>
          </cell>
          <cell r="Q1996" t="str">
            <v>80|25</v>
          </cell>
        </row>
        <row r="1997">
          <cell r="E1997" t="str">
            <v>6. TELECOMMUNICATIONS</v>
          </cell>
          <cell r="G1997" t="str">
            <v>6. TELECOMMUNICATIONS</v>
          </cell>
          <cell r="H1997">
            <v>0</v>
          </cell>
          <cell r="I1997">
            <v>0</v>
          </cell>
          <cell r="J1997">
            <v>0</v>
          </cell>
          <cell r="K1997">
            <v>0</v>
          </cell>
          <cell r="L1997">
            <v>0</v>
          </cell>
          <cell r="O1997">
            <v>0</v>
          </cell>
          <cell r="Q1997" t="str">
            <v>80|26</v>
          </cell>
        </row>
        <row r="1998">
          <cell r="E1998" t="str">
            <v>6. TELECOMMUNICATIONS</v>
          </cell>
          <cell r="G1998" t="str">
            <v>Room</v>
          </cell>
          <cell r="H1998" t="str">
            <v>Rack Installed</v>
          </cell>
          <cell r="I1998" t="str">
            <v>Ladder Tray</v>
          </cell>
          <cell r="J1998" t="str">
            <v>Fiber Installed</v>
          </cell>
          <cell r="K1998" t="str">
            <v>Grounding</v>
          </cell>
          <cell r="L1998" t="str">
            <v>Labeling</v>
          </cell>
          <cell r="O1998" t="str">
            <v>Overall</v>
          </cell>
          <cell r="Q1998" t="str">
            <v>80|27</v>
          </cell>
        </row>
        <row r="1999">
          <cell r="E1999" t="str">
            <v>6. TELECOMMUNICATIONS</v>
          </cell>
          <cell r="G1999" t="str">
            <v>102</v>
          </cell>
          <cell r="H1999" t="str">
            <v>Verify</v>
          </cell>
          <cell r="I1999" t="str">
            <v>Verify</v>
          </cell>
          <cell r="J1999" t="str">
            <v>Verify</v>
          </cell>
          <cell r="K1999" t="str">
            <v>Verify</v>
          </cell>
          <cell r="L1999" t="str">
            <v>Verify</v>
          </cell>
          <cell r="O1999" t="str">
            <v>Verify</v>
          </cell>
          <cell r="Q1999" t="str">
            <v>80|28</v>
          </cell>
        </row>
        <row r="2000">
          <cell r="E2000" t="str">
            <v>6. TELECOMMUNICATIONS</v>
          </cell>
          <cell r="G2000" t="str">
            <v>127A / 126</v>
          </cell>
          <cell r="H2000" t="str">
            <v>Existing</v>
          </cell>
          <cell r="I2000" t="str">
            <v>Existing</v>
          </cell>
          <cell r="J2000" t="str">
            <v>Existing</v>
          </cell>
          <cell r="K2000" t="str">
            <v>Verify</v>
          </cell>
          <cell r="L2000" t="str">
            <v>Verify</v>
          </cell>
          <cell r="O2000" t="str">
            <v>Verify</v>
          </cell>
          <cell r="Q2000" t="str">
            <v>80|29</v>
          </cell>
        </row>
        <row r="2001">
          <cell r="E2001" t="str">
            <v>6. TELECOMMUNICATIONS</v>
          </cell>
          <cell r="G2001">
            <v>0</v>
          </cell>
          <cell r="H2001">
            <v>0</v>
          </cell>
          <cell r="I2001">
            <v>0</v>
          </cell>
          <cell r="J2001">
            <v>0</v>
          </cell>
          <cell r="K2001">
            <v>0</v>
          </cell>
          <cell r="L2001">
            <v>0</v>
          </cell>
          <cell r="O2001">
            <v>0</v>
          </cell>
          <cell r="Q2001" t="str">
            <v>80|30</v>
          </cell>
        </row>
        <row r="2002">
          <cell r="E2002" t="str">
            <v>7. SECURITY / PACS / CCTV</v>
          </cell>
          <cell r="G2002" t="str">
            <v>7. SECURITY / PACS / CCTV</v>
          </cell>
          <cell r="H2002">
            <v>0</v>
          </cell>
          <cell r="I2002">
            <v>0</v>
          </cell>
          <cell r="J2002">
            <v>0</v>
          </cell>
          <cell r="K2002">
            <v>0</v>
          </cell>
          <cell r="L2002">
            <v>0</v>
          </cell>
          <cell r="O2002">
            <v>0</v>
          </cell>
          <cell r="Q2002" t="str">
            <v>80|31</v>
          </cell>
        </row>
        <row r="2003">
          <cell r="E2003" t="str">
            <v>7. SECURITY / PACS / CCTV</v>
          </cell>
          <cell r="G2003" t="str">
            <v>Room</v>
          </cell>
          <cell r="H2003" t="str">
            <v>PACS</v>
          </cell>
          <cell r="I2003" t="str">
            <v>Card Reader</v>
          </cell>
          <cell r="J2003" t="str">
            <v>Door Position</v>
          </cell>
          <cell r="K2003" t="str">
            <v>Electric Strike</v>
          </cell>
          <cell r="L2003" t="str">
            <v>CCTV</v>
          </cell>
          <cell r="O2003" t="str">
            <v>Overall</v>
          </cell>
          <cell r="Q2003" t="str">
            <v>80|32</v>
          </cell>
        </row>
        <row r="2004">
          <cell r="E2004" t="str">
            <v>7. SECURITY / PACS / CCTV</v>
          </cell>
          <cell r="G2004" t="str">
            <v>102</v>
          </cell>
          <cell r="H2004" t="str">
            <v>Verify</v>
          </cell>
          <cell r="I2004" t="str">
            <v>Verify</v>
          </cell>
          <cell r="J2004" t="str">
            <v>Verify</v>
          </cell>
          <cell r="K2004" t="str">
            <v>Verify</v>
          </cell>
          <cell r="L2004" t="str">
            <v>Verify</v>
          </cell>
          <cell r="O2004" t="str">
            <v>Verify</v>
          </cell>
          <cell r="Q2004" t="str">
            <v>80|33</v>
          </cell>
        </row>
        <row r="2005">
          <cell r="E2005" t="str">
            <v>7. SECURITY / PACS / CCTV</v>
          </cell>
          <cell r="G2005" t="str">
            <v>127A / 126</v>
          </cell>
          <cell r="H2005" t="str">
            <v>Verify Existing</v>
          </cell>
          <cell r="I2005" t="str">
            <v>Verify Existing</v>
          </cell>
          <cell r="J2005" t="str">
            <v>Verify Existing</v>
          </cell>
          <cell r="K2005" t="str">
            <v>Verify Existing</v>
          </cell>
          <cell r="L2005" t="str">
            <v>Verify Existing</v>
          </cell>
          <cell r="O2005" t="str">
            <v>Verify</v>
          </cell>
          <cell r="Q2005" t="str">
            <v>80|34</v>
          </cell>
        </row>
        <row r="2006">
          <cell r="E2006" t="str">
            <v>7. SECURITY / PACS / CCTV</v>
          </cell>
          <cell r="G2006">
            <v>0</v>
          </cell>
          <cell r="H2006">
            <v>0</v>
          </cell>
          <cell r="I2006">
            <v>0</v>
          </cell>
          <cell r="J2006">
            <v>0</v>
          </cell>
          <cell r="K2006">
            <v>0</v>
          </cell>
          <cell r="L2006">
            <v>0</v>
          </cell>
          <cell r="O2006">
            <v>0</v>
          </cell>
          <cell r="Q2006" t="str">
            <v>80|35</v>
          </cell>
        </row>
        <row r="2007">
          <cell r="E2007" t="str">
            <v>8. OWNER RISKS</v>
          </cell>
          <cell r="G2007" t="str">
            <v>8. OWNER RISKS</v>
          </cell>
          <cell r="H2007">
            <v>0</v>
          </cell>
          <cell r="I2007">
            <v>0</v>
          </cell>
          <cell r="J2007">
            <v>0</v>
          </cell>
          <cell r="K2007">
            <v>0</v>
          </cell>
          <cell r="L2007">
            <v>0</v>
          </cell>
          <cell r="O2007">
            <v>0</v>
          </cell>
          <cell r="Q2007" t="str">
            <v>80|36</v>
          </cell>
        </row>
        <row r="2008">
          <cell r="E2008" t="str">
            <v>8. OWNER RISKS</v>
          </cell>
          <cell r="G2008" t="str">
            <v>Risk ID</v>
          </cell>
          <cell r="H2008" t="str">
            <v>Room</v>
          </cell>
          <cell r="I2008" t="str">
            <v>Risk</v>
          </cell>
          <cell r="J2008" t="str">
            <v>Impact</v>
          </cell>
          <cell r="K2008" t="str">
            <v>Probability</v>
          </cell>
          <cell r="L2008" t="str">
            <v>Score</v>
          </cell>
          <cell r="O2008" t="str">
            <v>Status</v>
          </cell>
          <cell r="Q2008" t="str">
            <v>80|37</v>
          </cell>
        </row>
        <row r="2009">
          <cell r="E2009" t="str">
            <v>8. OWNER RISKS</v>
          </cell>
          <cell r="G2009" t="str">
            <v>B80-R1</v>
          </cell>
          <cell r="H2009" t="str">
            <v>All</v>
          </cell>
          <cell r="I2009" t="str">
            <v>Existing conditions for Room 102 and existing 127A/126 not field verified</v>
          </cell>
          <cell r="J2009" t="str">
            <v>High</v>
          </cell>
          <cell r="K2009" t="str">
            <v>Medium</v>
          </cell>
          <cell r="L2009">
            <v>6</v>
          </cell>
          <cell r="O2009" t="str">
            <v>Open</v>
          </cell>
          <cell r="Q2009" t="str">
            <v>80|38</v>
          </cell>
        </row>
        <row r="2010">
          <cell r="E2010" t="str">
            <v>8. OWNER RISKS</v>
          </cell>
          <cell r="G2010" t="str">
            <v>B80-R2</v>
          </cell>
          <cell r="H2010" t="str">
            <v>127A / 126</v>
          </cell>
          <cell r="I2010" t="str">
            <v>Existing telecom equipment may remain active during transfer to Room 102</v>
          </cell>
          <cell r="J2010" t="str">
            <v>Critical</v>
          </cell>
          <cell r="K2010" t="str">
            <v>Medium</v>
          </cell>
          <cell r="L2010">
            <v>8</v>
          </cell>
          <cell r="O2010" t="str">
            <v>Open</v>
          </cell>
          <cell r="Q2010" t="str">
            <v>80|39</v>
          </cell>
        </row>
        <row r="2011">
          <cell r="E2011" t="str">
            <v>8. OWNER RISKS</v>
          </cell>
          <cell r="G2011" t="str">
            <v>B80-R3</v>
          </cell>
          <cell r="H2011" t="str">
            <v>102 / 127A</v>
          </cell>
          <cell r="I2011" t="str">
            <v>Room-number mismatch between Tel Closet 127A and photo/rack reference Room 126/127-A</v>
          </cell>
          <cell r="J2011" t="str">
            <v>High</v>
          </cell>
          <cell r="K2011" t="str">
            <v>Medium</v>
          </cell>
          <cell r="L2011">
            <v>6</v>
          </cell>
          <cell r="O2011" t="str">
            <v>Open</v>
          </cell>
          <cell r="Q2011" t="str">
            <v>80|40</v>
          </cell>
        </row>
        <row r="2012">
          <cell r="E2012" t="str">
            <v>8. OWNER RISKS</v>
          </cell>
          <cell r="G2012" t="str">
            <v>B80-R4</v>
          </cell>
          <cell r="H2012" t="str">
            <v>102</v>
          </cell>
          <cell r="I2012" t="str">
            <v>Dedicated cooling emergency power, condensate, BACnet and alarms not verified</v>
          </cell>
          <cell r="J2012" t="str">
            <v>Critical</v>
          </cell>
          <cell r="K2012" t="str">
            <v>Medium</v>
          </cell>
          <cell r="L2012">
            <v>8</v>
          </cell>
          <cell r="O2012" t="str">
            <v>Open</v>
          </cell>
          <cell r="Q2012" t="str">
            <v>80|41</v>
          </cell>
        </row>
        <row r="2013">
          <cell r="E2013" t="str">
            <v>8. OWNER RISKS</v>
          </cell>
          <cell r="G2013" t="str">
            <v>B80-R5</v>
          </cell>
          <cell r="H2013" t="str">
            <v>102</v>
          </cell>
          <cell r="I2013" t="str">
            <v>B80-TR102A/B UPS/PDU and panel source coordination could delay energization</v>
          </cell>
          <cell r="J2013" t="str">
            <v>High</v>
          </cell>
          <cell r="K2013" t="str">
            <v>Medium</v>
          </cell>
          <cell r="L2013">
            <v>6</v>
          </cell>
          <cell r="O2013" t="str">
            <v>Open</v>
          </cell>
          <cell r="Q2013" t="str">
            <v>80|42</v>
          </cell>
        </row>
        <row r="2014">
          <cell r="E2014" t="str">
            <v>8. OWNER RISKS</v>
          </cell>
          <cell r="G2014" t="str">
            <v>B80-R6</v>
          </cell>
          <cell r="H2014" t="str">
            <v>All</v>
          </cell>
          <cell r="I2014" t="str">
            <v>811 feet of cable tray/pathway requires coordination and firestop tracking</v>
          </cell>
          <cell r="J2014" t="str">
            <v>High</v>
          </cell>
          <cell r="K2014" t="str">
            <v>Medium</v>
          </cell>
          <cell r="L2014">
            <v>6</v>
          </cell>
          <cell r="O2014" t="str">
            <v>Open</v>
          </cell>
          <cell r="Q2014" t="str">
            <v>80|43</v>
          </cell>
        </row>
        <row r="2015">
          <cell r="E2015" t="str">
            <v>8. OWNER RISKS</v>
          </cell>
          <cell r="G2015" t="str">
            <v>B80-R7</v>
          </cell>
          <cell r="H2015" t="str">
            <v>All</v>
          </cell>
          <cell r="I2015" t="str">
            <v>Telecom/fiber cutover could affect active hospital communications on first-level operations</v>
          </cell>
          <cell r="J2015" t="str">
            <v>Critical</v>
          </cell>
          <cell r="K2015" t="str">
            <v>Medium</v>
          </cell>
          <cell r="L2015">
            <v>8</v>
          </cell>
          <cell r="O2015" t="str">
            <v>Open</v>
          </cell>
          <cell r="Q2015" t="str">
            <v>80|44</v>
          </cell>
        </row>
        <row r="2016">
          <cell r="E2016" t="str">
            <v>8. OWNER RISKS</v>
          </cell>
          <cell r="G2016" t="str">
            <v>B80-R8</v>
          </cell>
          <cell r="H2016" t="str">
            <v>All</v>
          </cell>
          <cell r="I2016" t="str">
            <v>Commissioning/third-party inspection reports may not be complete at turnover</v>
          </cell>
          <cell r="J2016" t="str">
            <v>High</v>
          </cell>
          <cell r="K2016" t="str">
            <v>Medium</v>
          </cell>
          <cell r="L2016">
            <v>6</v>
          </cell>
          <cell r="O2016" t="str">
            <v>Open</v>
          </cell>
          <cell r="Q2016" t="str">
            <v>80|45</v>
          </cell>
        </row>
        <row r="2017">
          <cell r="E2017" t="str">
            <v>8. OWNER RISKS</v>
          </cell>
          <cell r="G2017">
            <v>0</v>
          </cell>
          <cell r="H2017">
            <v>0</v>
          </cell>
          <cell r="I2017">
            <v>0</v>
          </cell>
          <cell r="J2017">
            <v>0</v>
          </cell>
          <cell r="K2017">
            <v>0</v>
          </cell>
          <cell r="L2017">
            <v>0</v>
          </cell>
          <cell r="O2017">
            <v>0</v>
          </cell>
          <cell r="Q2017" t="str">
            <v>80|46</v>
          </cell>
        </row>
        <row r="2018">
          <cell r="E2018" t="str">
            <v>9. OPEN QUESTIONS</v>
          </cell>
          <cell r="G2018" t="str">
            <v>9. OPEN QUESTIONS</v>
          </cell>
          <cell r="H2018">
            <v>0</v>
          </cell>
          <cell r="I2018">
            <v>0</v>
          </cell>
          <cell r="J2018">
            <v>0</v>
          </cell>
          <cell r="K2018">
            <v>0</v>
          </cell>
          <cell r="L2018">
            <v>0</v>
          </cell>
          <cell r="O2018">
            <v>0</v>
          </cell>
          <cell r="Q2018" t="str">
            <v>80|47</v>
          </cell>
        </row>
        <row r="2019">
          <cell r="E2019" t="str">
            <v>9. OPEN QUESTIONS</v>
          </cell>
          <cell r="G2019" t="str">
            <v>Question ID</v>
          </cell>
          <cell r="H2019" t="str">
            <v>Question</v>
          </cell>
          <cell r="I2019" t="str">
            <v>Assigned To</v>
          </cell>
          <cell r="J2019" t="str">
            <v>Status</v>
          </cell>
          <cell r="K2019" t="str">
            <v>Needed By</v>
          </cell>
          <cell r="L2019" t="str">
            <v>Answer / Resolution</v>
          </cell>
          <cell r="O2019" t="str">
            <v>Date Closed</v>
          </cell>
          <cell r="Q2019" t="str">
            <v>80|48</v>
          </cell>
        </row>
        <row r="2020">
          <cell r="E2020" t="str">
            <v>9. OPEN QUESTIONS</v>
          </cell>
          <cell r="G2020" t="str">
            <v>B80-Q1</v>
          </cell>
          <cell r="H2020" t="str">
            <v>Confirm final telecom scope: new Room 102 with existing 127A/126 transition only?</v>
          </cell>
          <cell r="I2020" t="str">
            <v>VA / OIT / Designer</v>
          </cell>
          <cell r="J2020" t="str">
            <v>Open</v>
          </cell>
          <cell r="K2020">
            <v>0</v>
          </cell>
          <cell r="L2020">
            <v>0</v>
          </cell>
          <cell r="O2020">
            <v>0</v>
          </cell>
          <cell r="Q2020" t="str">
            <v>80|49</v>
          </cell>
        </row>
        <row r="2021">
          <cell r="E2021" t="str">
            <v>9. OPEN QUESTIONS</v>
          </cell>
          <cell r="G2021" t="str">
            <v>B80-Q2</v>
          </cell>
          <cell r="H2021" t="str">
            <v>What active services are currently fed from existing Room 127A/126 equipment?</v>
          </cell>
          <cell r="I2021" t="str">
            <v>OIT / Contractor</v>
          </cell>
          <cell r="J2021" t="str">
            <v>Open</v>
          </cell>
          <cell r="K2021">
            <v>0</v>
          </cell>
          <cell r="L2021">
            <v>0</v>
          </cell>
          <cell r="O2021">
            <v>0</v>
          </cell>
          <cell r="Q2021" t="str">
            <v>80|50</v>
          </cell>
        </row>
        <row r="2022">
          <cell r="E2022" t="str">
            <v>9. OPEN QUESTIONS</v>
          </cell>
          <cell r="G2022" t="str">
            <v>B80-Q3</v>
          </cell>
          <cell r="H2022" t="str">
            <v>Are Room 127A and Room 126 the same telecom room, or separate locations?</v>
          </cell>
          <cell r="I2022" t="str">
            <v>VA / Designer / OIT</v>
          </cell>
          <cell r="J2022" t="str">
            <v>Open</v>
          </cell>
          <cell r="K2022">
            <v>0</v>
          </cell>
          <cell r="L2022">
            <v>0</v>
          </cell>
          <cell r="O2022">
            <v>0</v>
          </cell>
          <cell r="Q2022" t="str">
            <v>80|51</v>
          </cell>
        </row>
        <row r="2023">
          <cell r="E2023" t="str">
            <v>9. OPEN QUESTIONS</v>
          </cell>
          <cell r="G2023" t="str">
            <v>B80-Q4</v>
          </cell>
          <cell r="H2023" t="str">
            <v>Is IU-1-01/CU-1-01 on emergency/backup power and dedicated to Room 102?</v>
          </cell>
          <cell r="I2023" t="str">
            <v>Mechanical / Electrical / VA</v>
          </cell>
          <cell r="J2023" t="str">
            <v>Open</v>
          </cell>
          <cell r="K2023">
            <v>0</v>
          </cell>
          <cell r="L2023">
            <v>0</v>
          </cell>
          <cell r="O2023">
            <v>0</v>
          </cell>
          <cell r="Q2023" t="str">
            <v>80|52</v>
          </cell>
        </row>
        <row r="2024">
          <cell r="E2024" t="str">
            <v>9. OPEN QUESTIONS</v>
          </cell>
          <cell r="G2024" t="str">
            <v>B80-Q5</v>
          </cell>
          <cell r="H2024" t="str">
            <v>Where is the clean-agent/CO2 extinguisher cabinet located within 75 ft of Room 102?</v>
          </cell>
          <cell r="I2024" t="str">
            <v>GC / COR</v>
          </cell>
          <cell r="J2024" t="str">
            <v>Open</v>
          </cell>
          <cell r="K2024">
            <v>0</v>
          </cell>
          <cell r="L2024">
            <v>0</v>
          </cell>
          <cell r="O2024">
            <v>0</v>
          </cell>
          <cell r="Q2024" t="str">
            <v>80|53</v>
          </cell>
        </row>
        <row r="2025">
          <cell r="E2025" t="str">
            <v>9. OPEN QUESTIONS</v>
          </cell>
          <cell r="G2025" t="str">
            <v>B80-Q6</v>
          </cell>
          <cell r="H2025" t="str">
            <v>Are B80-TR102A/B sources, rack receptacles, SPDs, circuit labels and load measurements approved?</v>
          </cell>
          <cell r="I2025" t="str">
            <v>Electrical / Designer</v>
          </cell>
          <cell r="J2025" t="str">
            <v>Open</v>
          </cell>
          <cell r="K2025">
            <v>0</v>
          </cell>
          <cell r="L2025">
            <v>0</v>
          </cell>
          <cell r="O2025">
            <v>0</v>
          </cell>
          <cell r="Q2025" t="str">
            <v>80|54</v>
          </cell>
        </row>
        <row r="2026">
          <cell r="E2026" t="str">
            <v>9. OPEN QUESTIONS</v>
          </cell>
          <cell r="G2026" t="str">
            <v>B80-Q7</v>
          </cell>
          <cell r="H2026" t="str">
            <v>Are all rated wall/floor penetrations, sleeves, cable tray entries and firestopping details identified?</v>
          </cell>
          <cell r="I2026" t="str">
            <v>GC / Firestop</v>
          </cell>
          <cell r="J2026" t="str">
            <v>Open</v>
          </cell>
          <cell r="K2026">
            <v>0</v>
          </cell>
          <cell r="L2026">
            <v>0</v>
          </cell>
          <cell r="O2026">
            <v>0</v>
          </cell>
          <cell r="Q2026" t="str">
            <v>80|55</v>
          </cell>
        </row>
        <row r="2027">
          <cell r="E2027" t="str">
            <v>9. OPEN QUESTIONS</v>
          </cell>
          <cell r="G2027" t="str">
            <v>B80-Q8</v>
          </cell>
          <cell r="H2027" t="str">
            <v>Which third-party inspections and commissioning forms are required before VA/OIT acceptance?</v>
          </cell>
          <cell r="I2027" t="str">
            <v>GC / Cx Manager / OIT</v>
          </cell>
          <cell r="J2027" t="str">
            <v>Open</v>
          </cell>
          <cell r="K2027">
            <v>0</v>
          </cell>
          <cell r="L2027">
            <v>0</v>
          </cell>
          <cell r="O2027">
            <v>0</v>
          </cell>
          <cell r="Q2027" t="str">
            <v>80|56</v>
          </cell>
        </row>
        <row r="2028">
          <cell r="E2028" t="str">
            <v>9. OPEN QUESTIONS</v>
          </cell>
          <cell r="G2028">
            <v>0</v>
          </cell>
          <cell r="H2028">
            <v>0</v>
          </cell>
          <cell r="I2028">
            <v>0</v>
          </cell>
          <cell r="J2028">
            <v>0</v>
          </cell>
          <cell r="K2028">
            <v>0</v>
          </cell>
          <cell r="L2028">
            <v>0</v>
          </cell>
          <cell r="O2028">
            <v>0</v>
          </cell>
          <cell r="Q2028" t="str">
            <v>80|57</v>
          </cell>
        </row>
        <row r="2029">
          <cell r="E2029" t="str">
            <v>10. PHOTO LOG</v>
          </cell>
          <cell r="G2029" t="str">
            <v>10. PHOTO LOG</v>
          </cell>
          <cell r="H2029">
            <v>0</v>
          </cell>
          <cell r="I2029">
            <v>0</v>
          </cell>
          <cell r="J2029">
            <v>0</v>
          </cell>
          <cell r="K2029">
            <v>0</v>
          </cell>
          <cell r="L2029">
            <v>0</v>
          </cell>
          <cell r="O2029">
            <v>0</v>
          </cell>
          <cell r="Q2029" t="str">
            <v>80|58</v>
          </cell>
        </row>
        <row r="2030">
          <cell r="E2030" t="str">
            <v>10. PHOTO LOG</v>
          </cell>
          <cell r="G2030" t="str">
            <v>Photo ID</v>
          </cell>
          <cell r="H2030" t="str">
            <v>Room</v>
          </cell>
          <cell r="I2030" t="str">
            <v>Category</v>
          </cell>
          <cell r="J2030" t="str">
            <v>Description</v>
          </cell>
          <cell r="K2030" t="str">
            <v>Date</v>
          </cell>
          <cell r="L2030" t="str">
            <v>Taken By</v>
          </cell>
          <cell r="O2030" t="str">
            <v>Status</v>
          </cell>
          <cell r="Q2030" t="str">
            <v>80|59</v>
          </cell>
        </row>
        <row r="2031">
          <cell r="E2031" t="str">
            <v>10. PHOTO LOG</v>
          </cell>
          <cell r="G2031" t="str">
            <v>B80-P001</v>
          </cell>
          <cell r="H2031" t="str">
            <v>102</v>
          </cell>
          <cell r="I2031" t="str">
            <v>Existing Condition</v>
          </cell>
          <cell r="J2031" t="str">
            <v>Room 102 walls, ceiling/deck, floor, door, rack/future rack, power, HVAC, fiber path A/B, cable tray and penetrations</v>
          </cell>
          <cell r="K2031">
            <v>0</v>
          </cell>
          <cell r="L2031" t="str">
            <v>Paul</v>
          </cell>
          <cell r="O2031" t="str">
            <v>Open</v>
          </cell>
          <cell r="Q2031" t="str">
            <v>80|60</v>
          </cell>
        </row>
        <row r="2032">
          <cell r="E2032" t="str">
            <v>10. PHOTO LOG</v>
          </cell>
          <cell r="G2032" t="str">
            <v>B80-P002</v>
          </cell>
          <cell r="H2032" t="str">
            <v>127A / 126</v>
          </cell>
          <cell r="I2032" t="str">
            <v>Existing Condition</v>
          </cell>
          <cell r="J2032" t="str">
            <v>Existing Tel Closet/telecom room with plywood backboard, ground bar, patch panel, equipment box, two-post rack/wall TE and cable entries</v>
          </cell>
          <cell r="K2032">
            <v>0</v>
          </cell>
          <cell r="L2032" t="str">
            <v>Paul</v>
          </cell>
          <cell r="O2032" t="str">
            <v>Open</v>
          </cell>
          <cell r="Q2032" t="str">
            <v>80|61</v>
          </cell>
        </row>
        <row r="2033">
          <cell r="E2033" t="str">
            <v>10. PHOTO LOG</v>
          </cell>
          <cell r="G2033" t="str">
            <v>B80-P003</v>
          </cell>
          <cell r="H2033" t="str">
            <v>127A / 126</v>
          </cell>
          <cell r="I2033" t="str">
            <v>Existing Equipment</v>
          </cell>
          <cell r="J2033" t="str">
            <v>Cisco switches, legacy Fiber LIU, Ortronics patch panels, Cat5e patch panel, APC floor UPS and active service labels</v>
          </cell>
          <cell r="K2033">
            <v>0</v>
          </cell>
          <cell r="L2033" t="str">
            <v>Paul</v>
          </cell>
          <cell r="O2033" t="str">
            <v>Open</v>
          </cell>
          <cell r="Q2033" t="str">
            <v>80|62</v>
          </cell>
        </row>
        <row r="2034">
          <cell r="E2034" t="str">
            <v>10. PHOTO LOG</v>
          </cell>
          <cell r="G2034" t="str">
            <v>B80-P004</v>
          </cell>
          <cell r="H2034" t="str">
            <v>102</v>
          </cell>
          <cell r="I2034" t="str">
            <v>HVAC</v>
          </cell>
          <cell r="J2034" t="str">
            <v>IU-1-01/CU-1-01, condensate, thermostat, BACnet adapter, disconnects, high-temp alarm and power source</v>
          </cell>
          <cell r="K2034">
            <v>0</v>
          </cell>
          <cell r="L2034" t="str">
            <v>Paul</v>
          </cell>
          <cell r="O2034" t="str">
            <v>Open</v>
          </cell>
          <cell r="Q2034" t="str">
            <v>80|63</v>
          </cell>
        </row>
        <row r="2035">
          <cell r="E2035" t="str">
            <v>10. PHOTO LOG</v>
          </cell>
          <cell r="G2035" t="str">
            <v>B80-P005</v>
          </cell>
          <cell r="H2035" t="str">
            <v>102</v>
          </cell>
          <cell r="I2035" t="str">
            <v>Electrical</v>
          </cell>
          <cell r="J2035" t="str">
            <v>B80-TR102A/B panels, rack receptacles, breakers, SPD, access controller, lighting, CU-1-01 and labels</v>
          </cell>
          <cell r="K2035">
            <v>0</v>
          </cell>
          <cell r="L2035" t="str">
            <v>Paul</v>
          </cell>
          <cell r="O2035" t="str">
            <v>Open</v>
          </cell>
          <cell r="Q2035" t="str">
            <v>80|64</v>
          </cell>
        </row>
        <row r="2036">
          <cell r="E2036" t="str">
            <v>10. PHOTO LOG</v>
          </cell>
          <cell r="G2036" t="str">
            <v>B80-P006</v>
          </cell>
          <cell r="H2036" t="str">
            <v>All</v>
          </cell>
          <cell r="I2036" t="str">
            <v>Cable Tray / Firestop</v>
          </cell>
          <cell r="J2036" t="str">
            <v>Basement and first-level cable tray route, supports, seismic bracing, 40% fill, penetrations and before/after firestopping</v>
          </cell>
          <cell r="K2036">
            <v>0</v>
          </cell>
          <cell r="L2036" t="str">
            <v>Paul</v>
          </cell>
          <cell r="O2036" t="str">
            <v>Open</v>
          </cell>
          <cell r="Q2036" t="str">
            <v>80|65</v>
          </cell>
        </row>
        <row r="2037">
          <cell r="E2037" t="str">
            <v>10. PHOTO LOG</v>
          </cell>
          <cell r="G2037" t="str">
            <v>B80-P007</v>
          </cell>
          <cell r="H2037" t="str">
            <v>102 / 127A</v>
          </cell>
          <cell r="I2037" t="str">
            <v>Telecom</v>
          </cell>
          <cell r="J2037" t="str">
            <v>New rack/future rack, Fiber LIU, Cat6A, patch panels, labels/test records and existing rack transfer work</v>
          </cell>
          <cell r="K2037">
            <v>0</v>
          </cell>
          <cell r="L2037" t="str">
            <v>Paul</v>
          </cell>
          <cell r="O2037" t="str">
            <v>Open</v>
          </cell>
          <cell r="Q2037" t="str">
            <v>80|66</v>
          </cell>
        </row>
        <row r="2038">
          <cell r="E2038" t="str">
            <v>10. PHOTO LOG</v>
          </cell>
          <cell r="G2038" t="str">
            <v>B80-P008</v>
          </cell>
          <cell r="H2038" t="str">
            <v>102</v>
          </cell>
          <cell r="I2038" t="str">
            <v>Security</v>
          </cell>
          <cell r="J2038" t="str">
            <v>102-CAM-1, card reader, electric strike, door position, motion sensor, existing security devices and VMS/PACS integration</v>
          </cell>
          <cell r="K2038">
            <v>0</v>
          </cell>
          <cell r="L2038" t="str">
            <v>Paul</v>
          </cell>
          <cell r="O2038" t="str">
            <v>Open</v>
          </cell>
          <cell r="Q2038" t="str">
            <v>80|67</v>
          </cell>
        </row>
        <row r="2039">
          <cell r="E2039" t="str">
            <v>10. PHOTO LOG</v>
          </cell>
          <cell r="G2039">
            <v>0</v>
          </cell>
          <cell r="H2039">
            <v>0</v>
          </cell>
          <cell r="I2039">
            <v>0</v>
          </cell>
          <cell r="J2039">
            <v>0</v>
          </cell>
          <cell r="K2039">
            <v>0</v>
          </cell>
          <cell r="L2039">
            <v>0</v>
          </cell>
          <cell r="O2039">
            <v>0</v>
          </cell>
          <cell r="Q2039" t="str">
            <v>80|68</v>
          </cell>
        </row>
        <row r="2040">
          <cell r="E2040" t="str">
            <v>1. ROOM INVENTORY</v>
          </cell>
          <cell r="G2040" t="str">
            <v>1. ROOM INVENTORY</v>
          </cell>
          <cell r="H2040">
            <v>0</v>
          </cell>
          <cell r="I2040">
            <v>0</v>
          </cell>
          <cell r="J2040">
            <v>0</v>
          </cell>
          <cell r="K2040">
            <v>0</v>
          </cell>
          <cell r="L2040">
            <v>0</v>
          </cell>
          <cell r="O2040">
            <v>0</v>
          </cell>
          <cell r="Q2040" t="str">
            <v>82|1</v>
          </cell>
        </row>
        <row r="2041">
          <cell r="E2041" t="str">
            <v>1. ROOM INVENTORY</v>
          </cell>
          <cell r="G2041" t="str">
            <v>Building</v>
          </cell>
          <cell r="H2041" t="str">
            <v>Room</v>
          </cell>
          <cell r="I2041" t="str">
            <v>Floor</v>
          </cell>
          <cell r="J2041" t="str">
            <v>Existing Use</v>
          </cell>
          <cell r="K2041" t="str">
            <v>New Use</v>
          </cell>
          <cell r="L2041" t="str">
            <v>Rack Count</v>
          </cell>
          <cell r="O2041" t="str">
            <v>Drawing Ref</v>
          </cell>
          <cell r="Q2041" t="str">
            <v>82|2</v>
          </cell>
        </row>
        <row r="2042">
          <cell r="E2042" t="str">
            <v>1. ROOM INVENTORY</v>
          </cell>
          <cell r="G2042" t="str">
            <v>82</v>
          </cell>
          <cell r="H2042" t="str">
            <v>102</v>
          </cell>
          <cell r="I2042" t="str">
            <v>First</v>
          </cell>
          <cell r="J2042" t="str">
            <v>Telecom Room / new TE location</v>
          </cell>
          <cell r="K2042" t="str">
            <v>Telecom Enclosure</v>
          </cell>
          <cell r="L2042">
            <v>1</v>
          </cell>
          <cell r="O2042" t="str">
            <v>82A-401 / 82M-101 / 82E-101 / 82T-101 / 82T-604 / 82T-701</v>
          </cell>
          <cell r="Q2042" t="str">
            <v>82|3</v>
          </cell>
        </row>
        <row r="2043">
          <cell r="E2043" t="str">
            <v>1. ROOM INVENTORY</v>
          </cell>
          <cell r="G2043" t="str">
            <v>82</v>
          </cell>
          <cell r="H2043" t="str">
            <v>B01-A</v>
          </cell>
          <cell r="I2043" t="str">
            <v>First</v>
          </cell>
          <cell r="J2043" t="str">
            <v>Existing telecom room / wall rack and patch panels</v>
          </cell>
          <cell r="K2043" t="str">
            <v>Existing telecom transition point</v>
          </cell>
          <cell r="L2043">
            <v>1</v>
          </cell>
          <cell r="O2043" t="str">
            <v>82T-101 / 82T-604 / 82R-900</v>
          </cell>
          <cell r="Q2043" t="str">
            <v>82|4</v>
          </cell>
        </row>
        <row r="2044">
          <cell r="E2044" t="str">
            <v>1. ROOM INVENTORY</v>
          </cell>
          <cell r="G2044">
            <v>0</v>
          </cell>
          <cell r="H2044">
            <v>0</v>
          </cell>
          <cell r="I2044">
            <v>0</v>
          </cell>
          <cell r="J2044">
            <v>0</v>
          </cell>
          <cell r="K2044">
            <v>0</v>
          </cell>
          <cell r="L2044">
            <v>0</v>
          </cell>
          <cell r="O2044">
            <v>0</v>
          </cell>
          <cell r="Q2044" t="str">
            <v>82|5</v>
          </cell>
        </row>
        <row r="2045">
          <cell r="E2045" t="str">
            <v>2. ROOM READINESS</v>
          </cell>
          <cell r="G2045" t="str">
            <v>2. ROOM READINESS</v>
          </cell>
          <cell r="H2045">
            <v>0</v>
          </cell>
          <cell r="I2045">
            <v>0</v>
          </cell>
          <cell r="J2045">
            <v>0</v>
          </cell>
          <cell r="K2045">
            <v>0</v>
          </cell>
          <cell r="L2045">
            <v>0</v>
          </cell>
          <cell r="O2045">
            <v>0</v>
          </cell>
          <cell r="Q2045" t="str">
            <v>82|6</v>
          </cell>
        </row>
        <row r="2046">
          <cell r="E2046" t="str">
            <v>2. ROOM READINESS</v>
          </cell>
          <cell r="G2046" t="str">
            <v>Room</v>
          </cell>
          <cell r="H2046" t="str">
            <v>Walls / 1-hr Rating</v>
          </cell>
          <cell r="I2046" t="str">
            <v>Ceiling</v>
          </cell>
          <cell r="J2046" t="str">
            <v>Floor / SDC</v>
          </cell>
          <cell r="K2046" t="str">
            <v>Penetrations</v>
          </cell>
          <cell r="L2046" t="str">
            <v>Access Control</v>
          </cell>
          <cell r="O2046" t="str">
            <v>Overall</v>
          </cell>
          <cell r="Q2046" t="str">
            <v>82|7</v>
          </cell>
        </row>
        <row r="2047">
          <cell r="E2047" t="str">
            <v>2. ROOM READINESS</v>
          </cell>
          <cell r="G2047" t="str">
            <v>102</v>
          </cell>
          <cell r="H2047" t="str">
            <v>Verify</v>
          </cell>
          <cell r="I2047" t="str">
            <v>Verify</v>
          </cell>
          <cell r="J2047" t="str">
            <v>N/A / TE Room</v>
          </cell>
          <cell r="K2047" t="str">
            <v>Verify</v>
          </cell>
          <cell r="L2047" t="str">
            <v>Verify Existing</v>
          </cell>
          <cell r="O2047" t="str">
            <v>Verify</v>
          </cell>
          <cell r="Q2047" t="str">
            <v>82|8</v>
          </cell>
        </row>
        <row r="2048">
          <cell r="E2048" t="str">
            <v>2. ROOM READINESS</v>
          </cell>
          <cell r="G2048" t="str">
            <v>B01-A</v>
          </cell>
          <cell r="H2048" t="str">
            <v>Existing / Verify</v>
          </cell>
          <cell r="I2048" t="str">
            <v>Existing / Verify</v>
          </cell>
          <cell r="J2048" t="str">
            <v>Existing / Verify</v>
          </cell>
          <cell r="K2048" t="str">
            <v>Verify</v>
          </cell>
          <cell r="L2048" t="str">
            <v>Verify Existing</v>
          </cell>
          <cell r="O2048" t="str">
            <v>Verify</v>
          </cell>
          <cell r="Q2048" t="str">
            <v>82|9</v>
          </cell>
        </row>
        <row r="2049">
          <cell r="E2049" t="str">
            <v>2. ROOM READINESS</v>
          </cell>
          <cell r="G2049">
            <v>0</v>
          </cell>
          <cell r="H2049">
            <v>0</v>
          </cell>
          <cell r="I2049">
            <v>0</v>
          </cell>
          <cell r="J2049">
            <v>0</v>
          </cell>
          <cell r="K2049">
            <v>0</v>
          </cell>
          <cell r="L2049">
            <v>0</v>
          </cell>
          <cell r="O2049">
            <v>0</v>
          </cell>
          <cell r="Q2049" t="str">
            <v>82|10</v>
          </cell>
        </row>
        <row r="2050">
          <cell r="E2050" t="str">
            <v>3. FIRE PROTECTION</v>
          </cell>
          <cell r="G2050" t="str">
            <v>3. FIRE PROTECTION</v>
          </cell>
          <cell r="H2050">
            <v>0</v>
          </cell>
          <cell r="I2050">
            <v>0</v>
          </cell>
          <cell r="J2050">
            <v>0</v>
          </cell>
          <cell r="K2050">
            <v>0</v>
          </cell>
          <cell r="L2050">
            <v>0</v>
          </cell>
          <cell r="O2050">
            <v>0</v>
          </cell>
          <cell r="Q2050" t="str">
            <v>82|11</v>
          </cell>
        </row>
        <row r="2051">
          <cell r="E2051" t="str">
            <v>3. FIRE PROTECTION</v>
          </cell>
          <cell r="G2051" t="str">
            <v>Room</v>
          </cell>
          <cell r="H2051" t="str">
            <v>Sprinkler</v>
          </cell>
          <cell r="I2051" t="str">
            <v>Cage</v>
          </cell>
          <cell r="J2051" t="str">
            <v>Detector</v>
          </cell>
          <cell r="K2051" t="str">
            <v>Horn/Strobe</v>
          </cell>
          <cell r="L2051" t="str">
            <v>Extinguisher &lt;75 ft</v>
          </cell>
          <cell r="O2051" t="str">
            <v>Overall</v>
          </cell>
          <cell r="Q2051" t="str">
            <v>82|12</v>
          </cell>
        </row>
        <row r="2052">
          <cell r="E2052" t="str">
            <v>3. FIRE PROTECTION</v>
          </cell>
          <cell r="G2052" t="str">
            <v>102</v>
          </cell>
          <cell r="H2052" t="str">
            <v>Excluded / Verify</v>
          </cell>
          <cell r="I2052" t="str">
            <v>N/A</v>
          </cell>
          <cell r="J2052" t="str">
            <v>Verify Existing</v>
          </cell>
          <cell r="K2052" t="str">
            <v>Verify Existing</v>
          </cell>
          <cell r="L2052" t="str">
            <v>N/A / Verify</v>
          </cell>
          <cell r="O2052" t="str">
            <v>Verify</v>
          </cell>
          <cell r="Q2052" t="str">
            <v>82|13</v>
          </cell>
        </row>
        <row r="2053">
          <cell r="E2053" t="str">
            <v>3. FIRE PROTECTION</v>
          </cell>
          <cell r="G2053" t="str">
            <v>B01-A</v>
          </cell>
          <cell r="H2053" t="str">
            <v>Existing / Verify</v>
          </cell>
          <cell r="I2053" t="str">
            <v>N/A</v>
          </cell>
          <cell r="J2053" t="str">
            <v>Verify Existing</v>
          </cell>
          <cell r="K2053" t="str">
            <v>Verify Existing</v>
          </cell>
          <cell r="L2053" t="str">
            <v>N/A / Verify</v>
          </cell>
          <cell r="O2053" t="str">
            <v>Verify</v>
          </cell>
          <cell r="Q2053" t="str">
            <v>82|14</v>
          </cell>
        </row>
        <row r="2054">
          <cell r="E2054" t="str">
            <v>3. FIRE PROTECTION</v>
          </cell>
          <cell r="G2054">
            <v>0</v>
          </cell>
          <cell r="H2054">
            <v>0</v>
          </cell>
          <cell r="I2054">
            <v>0</v>
          </cell>
          <cell r="J2054">
            <v>0</v>
          </cell>
          <cell r="K2054">
            <v>0</v>
          </cell>
          <cell r="L2054">
            <v>0</v>
          </cell>
          <cell r="O2054">
            <v>0</v>
          </cell>
          <cell r="Q2054" t="str">
            <v>82|15</v>
          </cell>
        </row>
        <row r="2055">
          <cell r="E2055" t="str">
            <v>4. HVAC / COOLING</v>
          </cell>
          <cell r="G2055" t="str">
            <v>4. HVAC / COOLING</v>
          </cell>
          <cell r="H2055">
            <v>0</v>
          </cell>
          <cell r="I2055">
            <v>0</v>
          </cell>
          <cell r="J2055">
            <v>0</v>
          </cell>
          <cell r="K2055">
            <v>0</v>
          </cell>
          <cell r="L2055">
            <v>0</v>
          </cell>
          <cell r="O2055">
            <v>0</v>
          </cell>
          <cell r="Q2055" t="str">
            <v>82|16</v>
          </cell>
        </row>
        <row r="2056">
          <cell r="E2056" t="str">
            <v>4. HVAC / COOLING</v>
          </cell>
          <cell r="G2056" t="str">
            <v>Room</v>
          </cell>
          <cell r="H2056" t="str">
            <v>Dedicated Unit</v>
          </cell>
          <cell r="I2056" t="str">
            <v>Capacity Verified</v>
          </cell>
          <cell r="J2056" t="str">
            <v>Emergency Power</v>
          </cell>
          <cell r="K2056" t="str">
            <v>Controls / BACnet</v>
          </cell>
          <cell r="L2056" t="str">
            <v>Condensate Routed</v>
          </cell>
          <cell r="O2056" t="str">
            <v>Overall</v>
          </cell>
          <cell r="Q2056" t="str">
            <v>82|17</v>
          </cell>
        </row>
        <row r="2057">
          <cell r="E2057" t="str">
            <v>4. HVAC / COOLING</v>
          </cell>
          <cell r="G2057" t="str">
            <v>102</v>
          </cell>
          <cell r="H2057" t="str">
            <v>IU-1-01 / CU-1-01</v>
          </cell>
          <cell r="I2057" t="str">
            <v>Verify</v>
          </cell>
          <cell r="J2057" t="str">
            <v>Verify</v>
          </cell>
          <cell r="K2057" t="str">
            <v>Verify</v>
          </cell>
          <cell r="L2057" t="str">
            <v>Verify</v>
          </cell>
          <cell r="O2057" t="str">
            <v>Verify</v>
          </cell>
          <cell r="Q2057" t="str">
            <v>82|18</v>
          </cell>
        </row>
        <row r="2058">
          <cell r="E2058" t="str">
            <v>4. HVAC / COOLING</v>
          </cell>
          <cell r="G2058" t="str">
            <v>B01-A</v>
          </cell>
          <cell r="H2058" t="str">
            <v>Existing / Verify</v>
          </cell>
          <cell r="I2058" t="str">
            <v>Verify</v>
          </cell>
          <cell r="J2058" t="str">
            <v>Verify</v>
          </cell>
          <cell r="K2058" t="str">
            <v>Verify</v>
          </cell>
          <cell r="L2058" t="str">
            <v>Verify</v>
          </cell>
          <cell r="O2058" t="str">
            <v>Verify</v>
          </cell>
          <cell r="Q2058" t="str">
            <v>82|19</v>
          </cell>
        </row>
        <row r="2059">
          <cell r="E2059" t="str">
            <v>4. HVAC / COOLING</v>
          </cell>
          <cell r="G2059">
            <v>0</v>
          </cell>
          <cell r="H2059">
            <v>0</v>
          </cell>
          <cell r="I2059">
            <v>0</v>
          </cell>
          <cell r="J2059">
            <v>0</v>
          </cell>
          <cell r="K2059">
            <v>0</v>
          </cell>
          <cell r="L2059">
            <v>0</v>
          </cell>
          <cell r="O2059">
            <v>0</v>
          </cell>
          <cell r="Q2059" t="str">
            <v>82|20</v>
          </cell>
        </row>
        <row r="2060">
          <cell r="E2060" t="str">
            <v>5. ELECTRICAL / UPS</v>
          </cell>
          <cell r="G2060" t="str">
            <v>5. ELECTRICAL / UPS</v>
          </cell>
          <cell r="H2060">
            <v>0</v>
          </cell>
          <cell r="I2060">
            <v>0</v>
          </cell>
          <cell r="J2060">
            <v>0</v>
          </cell>
          <cell r="K2060">
            <v>0</v>
          </cell>
          <cell r="L2060">
            <v>0</v>
          </cell>
          <cell r="O2060">
            <v>0</v>
          </cell>
          <cell r="Q2060" t="str">
            <v>82|21</v>
          </cell>
        </row>
        <row r="2061">
          <cell r="E2061" t="str">
            <v>5. ELECTRICAL / UPS</v>
          </cell>
          <cell r="G2061" t="str">
            <v>Room</v>
          </cell>
          <cell r="H2061" t="str">
            <v>UPS Installed</v>
          </cell>
          <cell r="I2061" t="str">
            <v>UPS Size</v>
          </cell>
          <cell r="J2061" t="str">
            <v>PDU Installed</v>
          </cell>
          <cell r="K2061" t="str">
            <v>Rack Receptacles</v>
          </cell>
          <cell r="L2061" t="str">
            <v>Panel Assigned</v>
          </cell>
          <cell r="O2061" t="str">
            <v>Overall</v>
          </cell>
          <cell r="Q2061" t="str">
            <v>82|22</v>
          </cell>
        </row>
        <row r="2062">
          <cell r="E2062" t="str">
            <v>5. ELECTRICAL / UPS</v>
          </cell>
          <cell r="G2062" t="str">
            <v>102</v>
          </cell>
          <cell r="H2062" t="str">
            <v>Verify</v>
          </cell>
          <cell r="I2062" t="str">
            <v>APC UPS / 12RU enclosure</v>
          </cell>
          <cell r="J2062" t="str">
            <v>Verify</v>
          </cell>
          <cell r="K2062" t="str">
            <v>Verify</v>
          </cell>
          <cell r="L2062" t="str">
            <v>B82-MDP / B82-P-EMER source to verify</v>
          </cell>
          <cell r="O2062" t="str">
            <v>Verify</v>
          </cell>
          <cell r="Q2062" t="str">
            <v>82|23</v>
          </cell>
        </row>
        <row r="2063">
          <cell r="E2063" t="str">
            <v>5. ELECTRICAL / UPS</v>
          </cell>
          <cell r="G2063" t="str">
            <v>B01-A</v>
          </cell>
          <cell r="H2063" t="str">
            <v>Existing</v>
          </cell>
          <cell r="I2063" t="str">
            <v>Existing APC floor UPS</v>
          </cell>
          <cell r="J2063" t="str">
            <v>Existing</v>
          </cell>
          <cell r="K2063" t="str">
            <v>Verify</v>
          </cell>
          <cell r="L2063" t="str">
            <v>Existing / Verify</v>
          </cell>
          <cell r="O2063" t="str">
            <v>Verify</v>
          </cell>
          <cell r="Q2063" t="str">
            <v>82|24</v>
          </cell>
        </row>
        <row r="2064">
          <cell r="E2064" t="str">
            <v>5. ELECTRICAL / UPS</v>
          </cell>
          <cell r="G2064">
            <v>0</v>
          </cell>
          <cell r="H2064">
            <v>0</v>
          </cell>
          <cell r="I2064">
            <v>0</v>
          </cell>
          <cell r="J2064">
            <v>0</v>
          </cell>
          <cell r="K2064">
            <v>0</v>
          </cell>
          <cell r="L2064">
            <v>0</v>
          </cell>
          <cell r="O2064">
            <v>0</v>
          </cell>
          <cell r="Q2064" t="str">
            <v>82|25</v>
          </cell>
        </row>
        <row r="2065">
          <cell r="E2065" t="str">
            <v>6. TELECOMMUNICATIONS</v>
          </cell>
          <cell r="G2065" t="str">
            <v>6. TELECOMMUNICATIONS</v>
          </cell>
          <cell r="H2065">
            <v>0</v>
          </cell>
          <cell r="I2065">
            <v>0</v>
          </cell>
          <cell r="J2065">
            <v>0</v>
          </cell>
          <cell r="K2065">
            <v>0</v>
          </cell>
          <cell r="L2065">
            <v>0</v>
          </cell>
          <cell r="O2065">
            <v>0</v>
          </cell>
          <cell r="Q2065" t="str">
            <v>82|26</v>
          </cell>
        </row>
        <row r="2066">
          <cell r="E2066" t="str">
            <v>6. TELECOMMUNICATIONS</v>
          </cell>
          <cell r="G2066" t="str">
            <v>Room</v>
          </cell>
          <cell r="H2066" t="str">
            <v>Rack Installed</v>
          </cell>
          <cell r="I2066" t="str">
            <v>Ladder Tray</v>
          </cell>
          <cell r="J2066" t="str">
            <v>Fiber Installed</v>
          </cell>
          <cell r="K2066" t="str">
            <v>Grounding</v>
          </cell>
          <cell r="L2066" t="str">
            <v>Labeling</v>
          </cell>
          <cell r="O2066" t="str">
            <v>Overall</v>
          </cell>
          <cell r="Q2066" t="str">
            <v>82|27</v>
          </cell>
        </row>
        <row r="2067">
          <cell r="E2067" t="str">
            <v>6. TELECOMMUNICATIONS</v>
          </cell>
          <cell r="G2067" t="str">
            <v>102</v>
          </cell>
          <cell r="H2067" t="str">
            <v>Verify</v>
          </cell>
          <cell r="I2067" t="str">
            <v>Verify</v>
          </cell>
          <cell r="J2067" t="str">
            <v>Verify</v>
          </cell>
          <cell r="K2067" t="str">
            <v>Verify</v>
          </cell>
          <cell r="L2067" t="str">
            <v>Verify</v>
          </cell>
          <cell r="O2067" t="str">
            <v>Verify</v>
          </cell>
          <cell r="Q2067" t="str">
            <v>82|28</v>
          </cell>
        </row>
        <row r="2068">
          <cell r="E2068" t="str">
            <v>6. TELECOMMUNICATIONS</v>
          </cell>
          <cell r="G2068" t="str">
            <v>B01-A</v>
          </cell>
          <cell r="H2068" t="str">
            <v>Existing</v>
          </cell>
          <cell r="I2068" t="str">
            <v>Existing</v>
          </cell>
          <cell r="J2068" t="str">
            <v>Existing</v>
          </cell>
          <cell r="K2068" t="str">
            <v>Verify</v>
          </cell>
          <cell r="L2068" t="str">
            <v>Verify</v>
          </cell>
          <cell r="O2068" t="str">
            <v>Verify</v>
          </cell>
          <cell r="Q2068" t="str">
            <v>82|29</v>
          </cell>
        </row>
        <row r="2069">
          <cell r="E2069" t="str">
            <v>6. TELECOMMUNICATIONS</v>
          </cell>
          <cell r="G2069">
            <v>0</v>
          </cell>
          <cell r="H2069">
            <v>0</v>
          </cell>
          <cell r="I2069">
            <v>0</v>
          </cell>
          <cell r="J2069">
            <v>0</v>
          </cell>
          <cell r="K2069">
            <v>0</v>
          </cell>
          <cell r="L2069">
            <v>0</v>
          </cell>
          <cell r="O2069">
            <v>0</v>
          </cell>
          <cell r="Q2069" t="str">
            <v>82|30</v>
          </cell>
        </row>
        <row r="2070">
          <cell r="E2070" t="str">
            <v>7. SECURITY / PACS / CCTV</v>
          </cell>
          <cell r="G2070" t="str">
            <v>7. SECURITY / PACS / CCTV</v>
          </cell>
          <cell r="H2070">
            <v>0</v>
          </cell>
          <cell r="I2070">
            <v>0</v>
          </cell>
          <cell r="J2070">
            <v>0</v>
          </cell>
          <cell r="K2070">
            <v>0</v>
          </cell>
          <cell r="L2070">
            <v>0</v>
          </cell>
          <cell r="O2070">
            <v>0</v>
          </cell>
          <cell r="Q2070" t="str">
            <v>82|31</v>
          </cell>
        </row>
        <row r="2071">
          <cell r="E2071" t="str">
            <v>7. SECURITY / PACS / CCTV</v>
          </cell>
          <cell r="G2071" t="str">
            <v>Room</v>
          </cell>
          <cell r="H2071" t="str">
            <v>PACS</v>
          </cell>
          <cell r="I2071" t="str">
            <v>Card Reader</v>
          </cell>
          <cell r="J2071" t="str">
            <v>Door Position</v>
          </cell>
          <cell r="K2071" t="str">
            <v>Electric Strike</v>
          </cell>
          <cell r="L2071" t="str">
            <v>CCTV</v>
          </cell>
          <cell r="O2071" t="str">
            <v>Overall</v>
          </cell>
          <cell r="Q2071" t="str">
            <v>82|32</v>
          </cell>
        </row>
        <row r="2072">
          <cell r="E2072" t="str">
            <v>7. SECURITY / PACS / CCTV</v>
          </cell>
          <cell r="G2072" t="str">
            <v>102</v>
          </cell>
          <cell r="H2072" t="str">
            <v>N/A / Verify</v>
          </cell>
          <cell r="I2072" t="str">
            <v>N/A / Verify</v>
          </cell>
          <cell r="J2072" t="str">
            <v>N/A / Verify</v>
          </cell>
          <cell r="K2072" t="str">
            <v>N/A / Verify</v>
          </cell>
          <cell r="L2072" t="str">
            <v>Verify Existing</v>
          </cell>
          <cell r="O2072" t="str">
            <v>Verify</v>
          </cell>
          <cell r="Q2072" t="str">
            <v>82|33</v>
          </cell>
        </row>
        <row r="2073">
          <cell r="E2073" t="str">
            <v>7. SECURITY / PACS / CCTV</v>
          </cell>
          <cell r="G2073" t="str">
            <v>B01-A</v>
          </cell>
          <cell r="H2073" t="str">
            <v>N/A / Verify</v>
          </cell>
          <cell r="I2073" t="str">
            <v>N/A / Verify</v>
          </cell>
          <cell r="J2073" t="str">
            <v>N/A / Verify</v>
          </cell>
          <cell r="K2073" t="str">
            <v>N/A / Verify</v>
          </cell>
          <cell r="L2073" t="str">
            <v>Verify Existing</v>
          </cell>
          <cell r="O2073" t="str">
            <v>Verify</v>
          </cell>
          <cell r="Q2073" t="str">
            <v>82|34</v>
          </cell>
        </row>
        <row r="2074">
          <cell r="E2074" t="str">
            <v>7. SECURITY / PACS / CCTV</v>
          </cell>
          <cell r="G2074">
            <v>0</v>
          </cell>
          <cell r="H2074">
            <v>0</v>
          </cell>
          <cell r="I2074">
            <v>0</v>
          </cell>
          <cell r="J2074">
            <v>0</v>
          </cell>
          <cell r="K2074">
            <v>0</v>
          </cell>
          <cell r="L2074">
            <v>0</v>
          </cell>
          <cell r="O2074">
            <v>0</v>
          </cell>
          <cell r="Q2074" t="str">
            <v>82|35</v>
          </cell>
        </row>
        <row r="2075">
          <cell r="E2075" t="str">
            <v>8. OWNER RISKS</v>
          </cell>
          <cell r="G2075" t="str">
            <v>8. OWNER RISKS</v>
          </cell>
          <cell r="H2075">
            <v>0</v>
          </cell>
          <cell r="I2075">
            <v>0</v>
          </cell>
          <cell r="J2075">
            <v>0</v>
          </cell>
          <cell r="K2075">
            <v>0</v>
          </cell>
          <cell r="L2075">
            <v>0</v>
          </cell>
          <cell r="O2075">
            <v>0</v>
          </cell>
          <cell r="Q2075" t="str">
            <v>82|36</v>
          </cell>
        </row>
        <row r="2076">
          <cell r="E2076" t="str">
            <v>8. OWNER RISKS</v>
          </cell>
          <cell r="G2076" t="str">
            <v>Risk ID</v>
          </cell>
          <cell r="H2076" t="str">
            <v>Room</v>
          </cell>
          <cell r="I2076" t="str">
            <v>Risk</v>
          </cell>
          <cell r="J2076" t="str">
            <v>Impact</v>
          </cell>
          <cell r="K2076" t="str">
            <v>Probability</v>
          </cell>
          <cell r="L2076" t="str">
            <v>Score</v>
          </cell>
          <cell r="O2076" t="str">
            <v>Status</v>
          </cell>
          <cell r="Q2076" t="str">
            <v>82|37</v>
          </cell>
        </row>
        <row r="2077">
          <cell r="E2077" t="str">
            <v>8. OWNER RISKS</v>
          </cell>
          <cell r="G2077" t="str">
            <v>B82-R1</v>
          </cell>
          <cell r="H2077" t="str">
            <v>All</v>
          </cell>
          <cell r="I2077" t="str">
            <v>Existing conditions for new Room 102 TE and existing B01-A not field verified</v>
          </cell>
          <cell r="J2077" t="str">
            <v>High</v>
          </cell>
          <cell r="K2077" t="str">
            <v>Medium</v>
          </cell>
          <cell r="L2077">
            <v>6</v>
          </cell>
          <cell r="O2077" t="str">
            <v>Open</v>
          </cell>
          <cell r="Q2077" t="str">
            <v>82|38</v>
          </cell>
        </row>
        <row r="2078">
          <cell r="E2078" t="str">
            <v>8. OWNER RISKS</v>
          </cell>
          <cell r="G2078" t="str">
            <v>B82-R2</v>
          </cell>
          <cell r="H2078" t="str">
            <v>102 / B01-A</v>
          </cell>
          <cell r="I2078" t="str">
            <v>Existing equipment in B01-A may remain active during transfer to new TE in 102</v>
          </cell>
          <cell r="J2078" t="str">
            <v>Critical</v>
          </cell>
          <cell r="K2078" t="str">
            <v>Medium</v>
          </cell>
          <cell r="L2078">
            <v>8</v>
          </cell>
          <cell r="O2078" t="str">
            <v>Open</v>
          </cell>
          <cell r="Q2078" t="str">
            <v>82|39</v>
          </cell>
        </row>
        <row r="2079">
          <cell r="E2079" t="str">
            <v>8. OWNER RISKS</v>
          </cell>
          <cell r="G2079" t="str">
            <v>B82-R3</v>
          </cell>
          <cell r="H2079" t="str">
            <v>102</v>
          </cell>
          <cell r="I2079" t="str">
            <v>Cover sheet says TE, but mechanical cooling is included for Room 102</v>
          </cell>
          <cell r="J2079" t="str">
            <v>High</v>
          </cell>
          <cell r="K2079" t="str">
            <v>Medium</v>
          </cell>
          <cell r="L2079">
            <v>6</v>
          </cell>
          <cell r="O2079" t="str">
            <v>Open</v>
          </cell>
          <cell r="Q2079" t="str">
            <v>82|40</v>
          </cell>
        </row>
        <row r="2080">
          <cell r="E2080" t="str">
            <v>8. OWNER RISKS</v>
          </cell>
          <cell r="G2080" t="str">
            <v>B82-R4</v>
          </cell>
          <cell r="H2080" t="str">
            <v>102</v>
          </cell>
          <cell r="I2080" t="str">
            <v>Dedicated cooling emergency power, condensate, BACnet and alarms not verified</v>
          </cell>
          <cell r="J2080" t="str">
            <v>Critical</v>
          </cell>
          <cell r="K2080" t="str">
            <v>Medium</v>
          </cell>
          <cell r="L2080">
            <v>8</v>
          </cell>
          <cell r="O2080" t="str">
            <v>Open</v>
          </cell>
          <cell r="Q2080" t="str">
            <v>82|41</v>
          </cell>
        </row>
        <row r="2081">
          <cell r="E2081" t="str">
            <v>8. OWNER RISKS</v>
          </cell>
          <cell r="G2081" t="str">
            <v>B82-R5</v>
          </cell>
          <cell r="H2081" t="str">
            <v>102</v>
          </cell>
          <cell r="I2081" t="str">
            <v>UPS/PDU/receptacle source and grounding/bonding not verified</v>
          </cell>
          <cell r="J2081" t="str">
            <v>High</v>
          </cell>
          <cell r="K2081" t="str">
            <v>Medium</v>
          </cell>
          <cell r="L2081">
            <v>6</v>
          </cell>
          <cell r="O2081" t="str">
            <v>Open</v>
          </cell>
          <cell r="Q2081" t="str">
            <v>82|42</v>
          </cell>
        </row>
        <row r="2082">
          <cell r="E2082" t="str">
            <v>8. OWNER RISKS</v>
          </cell>
          <cell r="G2082" t="str">
            <v>B82-R6</v>
          </cell>
          <cell r="H2082" t="str">
            <v>All</v>
          </cell>
          <cell r="I2082" t="str">
            <v>278 feet of first-level cable tray/pathway requires coordination and firestop tracking</v>
          </cell>
          <cell r="J2082" t="str">
            <v>High</v>
          </cell>
          <cell r="K2082" t="str">
            <v>Medium</v>
          </cell>
          <cell r="L2082">
            <v>6</v>
          </cell>
          <cell r="O2082" t="str">
            <v>Open</v>
          </cell>
          <cell r="Q2082" t="str">
            <v>82|43</v>
          </cell>
        </row>
        <row r="2083">
          <cell r="E2083" t="str">
            <v>8. OWNER RISKS</v>
          </cell>
          <cell r="G2083" t="str">
            <v>B82-R7</v>
          </cell>
          <cell r="H2083" t="str">
            <v>All</v>
          </cell>
          <cell r="I2083" t="str">
            <v>Firestopping/rated sleeve work could be missed because FP scope is excluded</v>
          </cell>
          <cell r="J2083" t="str">
            <v>High</v>
          </cell>
          <cell r="K2083" t="str">
            <v>Medium</v>
          </cell>
          <cell r="L2083">
            <v>6</v>
          </cell>
          <cell r="O2083" t="str">
            <v>Open</v>
          </cell>
          <cell r="Q2083" t="str">
            <v>82|44</v>
          </cell>
        </row>
        <row r="2084">
          <cell r="E2084" t="str">
            <v>8. OWNER RISKS</v>
          </cell>
          <cell r="G2084" t="str">
            <v>B82-R8</v>
          </cell>
          <cell r="H2084" t="str">
            <v>All</v>
          </cell>
          <cell r="I2084" t="str">
            <v>Commissioning/test documentation may be overlooked due to TE-only scope</v>
          </cell>
          <cell r="J2084" t="str">
            <v>High</v>
          </cell>
          <cell r="K2084" t="str">
            <v>Medium</v>
          </cell>
          <cell r="L2084">
            <v>6</v>
          </cell>
          <cell r="O2084" t="str">
            <v>Open</v>
          </cell>
          <cell r="Q2084" t="str">
            <v>82|45</v>
          </cell>
        </row>
        <row r="2085">
          <cell r="E2085" t="str">
            <v>8. OWNER RISKS</v>
          </cell>
          <cell r="G2085">
            <v>0</v>
          </cell>
          <cell r="H2085">
            <v>0</v>
          </cell>
          <cell r="I2085">
            <v>0</v>
          </cell>
          <cell r="J2085">
            <v>0</v>
          </cell>
          <cell r="K2085">
            <v>0</v>
          </cell>
          <cell r="L2085">
            <v>0</v>
          </cell>
          <cell r="O2085">
            <v>0</v>
          </cell>
          <cell r="Q2085" t="str">
            <v>82|46</v>
          </cell>
        </row>
        <row r="2086">
          <cell r="E2086" t="str">
            <v>9. OPEN QUESTIONS</v>
          </cell>
          <cell r="G2086" t="str">
            <v>9. OPEN QUESTIONS</v>
          </cell>
          <cell r="H2086">
            <v>0</v>
          </cell>
          <cell r="I2086">
            <v>0</v>
          </cell>
          <cell r="J2086">
            <v>0</v>
          </cell>
          <cell r="K2086">
            <v>0</v>
          </cell>
          <cell r="L2086">
            <v>0</v>
          </cell>
          <cell r="O2086">
            <v>0</v>
          </cell>
          <cell r="Q2086" t="str">
            <v>82|47</v>
          </cell>
        </row>
        <row r="2087">
          <cell r="E2087" t="str">
            <v>9. OPEN QUESTIONS</v>
          </cell>
          <cell r="G2087" t="str">
            <v>Question ID</v>
          </cell>
          <cell r="H2087" t="str">
            <v>Question</v>
          </cell>
          <cell r="I2087" t="str">
            <v>Assigned To</v>
          </cell>
          <cell r="J2087" t="str">
            <v>Status</v>
          </cell>
          <cell r="K2087" t="str">
            <v>Needed By</v>
          </cell>
          <cell r="L2087" t="str">
            <v>Answer / Resolution</v>
          </cell>
          <cell r="O2087" t="str">
            <v>Date Closed</v>
          </cell>
          <cell r="Q2087" t="str">
            <v>82|48</v>
          </cell>
        </row>
        <row r="2088">
          <cell r="E2088" t="str">
            <v>9. OPEN QUESTIONS</v>
          </cell>
          <cell r="G2088" t="str">
            <v>B82-Q1</v>
          </cell>
          <cell r="H2088" t="str">
            <v>Confirm final scope: new 12RU wall-mount TE enclosure in Room 102 and existing B01-A transition only?</v>
          </cell>
          <cell r="I2088" t="str">
            <v>VA / OIT / Designer</v>
          </cell>
          <cell r="J2088" t="str">
            <v>Open</v>
          </cell>
          <cell r="K2088">
            <v>0</v>
          </cell>
          <cell r="L2088">
            <v>0</v>
          </cell>
          <cell r="O2088">
            <v>0</v>
          </cell>
          <cell r="Q2088" t="str">
            <v>82|49</v>
          </cell>
        </row>
        <row r="2089">
          <cell r="E2089" t="str">
            <v>9. OPEN QUESTIONS</v>
          </cell>
          <cell r="G2089" t="str">
            <v>B82-Q2</v>
          </cell>
          <cell r="H2089" t="str">
            <v>What active services are currently fed from existing B01-A equipment?</v>
          </cell>
          <cell r="I2089" t="str">
            <v>OIT / Contractor</v>
          </cell>
          <cell r="J2089" t="str">
            <v>Open</v>
          </cell>
          <cell r="K2089">
            <v>0</v>
          </cell>
          <cell r="L2089">
            <v>0</v>
          </cell>
          <cell r="O2089">
            <v>0</v>
          </cell>
          <cell r="Q2089" t="str">
            <v>82|50</v>
          </cell>
        </row>
        <row r="2090">
          <cell r="E2090" t="str">
            <v>9. OPEN QUESTIONS</v>
          </cell>
          <cell r="G2090" t="str">
            <v>B82-Q3</v>
          </cell>
          <cell r="H2090" t="str">
            <v>Is Room 102 officially a TE-only scope or a conditioned telecom room with mechanical support?</v>
          </cell>
          <cell r="I2090" t="str">
            <v>VA / AE / COR</v>
          </cell>
          <cell r="J2090" t="str">
            <v>Open</v>
          </cell>
          <cell r="K2090">
            <v>0</v>
          </cell>
          <cell r="L2090">
            <v>0</v>
          </cell>
          <cell r="O2090">
            <v>0</v>
          </cell>
          <cell r="Q2090" t="str">
            <v>82|51</v>
          </cell>
        </row>
        <row r="2091">
          <cell r="E2091" t="str">
            <v>9. OPEN QUESTIONS</v>
          </cell>
          <cell r="G2091" t="str">
            <v>B82-Q4</v>
          </cell>
          <cell r="H2091" t="str">
            <v>Is IU-1-01/CU-1-01 on emergency/backup power and dedicated to Room 102?</v>
          </cell>
          <cell r="I2091" t="str">
            <v>Mechanical / Electrical / VA</v>
          </cell>
          <cell r="J2091" t="str">
            <v>Open</v>
          </cell>
          <cell r="K2091">
            <v>0</v>
          </cell>
          <cell r="L2091">
            <v>0</v>
          </cell>
          <cell r="O2091">
            <v>0</v>
          </cell>
          <cell r="Q2091" t="str">
            <v>82|52</v>
          </cell>
        </row>
        <row r="2092">
          <cell r="E2092" t="str">
            <v>9. OPEN QUESTIONS</v>
          </cell>
          <cell r="G2092" t="str">
            <v>B82-Q5</v>
          </cell>
          <cell r="H2092" t="str">
            <v>What is the approved power source, receptacle type and circuit capacity for the new APC UPS/PDU in Room 102?</v>
          </cell>
          <cell r="I2092" t="str">
            <v>Electrical / Designer</v>
          </cell>
          <cell r="J2092" t="str">
            <v>Open</v>
          </cell>
          <cell r="K2092">
            <v>0</v>
          </cell>
          <cell r="L2092">
            <v>0</v>
          </cell>
          <cell r="O2092">
            <v>0</v>
          </cell>
          <cell r="Q2092" t="str">
            <v>82|53</v>
          </cell>
        </row>
        <row r="2093">
          <cell r="E2093" t="str">
            <v>9. OPEN QUESTIONS</v>
          </cell>
          <cell r="G2093" t="str">
            <v>B82-Q6</v>
          </cell>
          <cell r="H2093" t="str">
            <v>Are all 278 feet of cable tray route, sleeves, supports and firestopping details field verified?</v>
          </cell>
          <cell r="I2093" t="str">
            <v>Telecom / GC / Firestop</v>
          </cell>
          <cell r="J2093" t="str">
            <v>Open</v>
          </cell>
          <cell r="K2093">
            <v>0</v>
          </cell>
          <cell r="L2093">
            <v>0</v>
          </cell>
          <cell r="O2093">
            <v>0</v>
          </cell>
          <cell r="Q2093" t="str">
            <v>82|54</v>
          </cell>
        </row>
        <row r="2094">
          <cell r="E2094" t="str">
            <v>9. OPEN QUESTIONS</v>
          </cell>
          <cell r="G2094" t="str">
            <v>B82-Q7</v>
          </cell>
          <cell r="H2094" t="str">
            <v>Are existing cameras/security devices protected and retained with no VMS/PACS disruption?</v>
          </cell>
          <cell r="I2094" t="str">
            <v>Security / OIT</v>
          </cell>
          <cell r="J2094" t="str">
            <v>Open</v>
          </cell>
          <cell r="K2094">
            <v>0</v>
          </cell>
          <cell r="L2094">
            <v>0</v>
          </cell>
          <cell r="O2094">
            <v>0</v>
          </cell>
          <cell r="Q2094" t="str">
            <v>82|55</v>
          </cell>
        </row>
        <row r="2095">
          <cell r="E2095" t="str">
            <v>9. OPEN QUESTIONS</v>
          </cell>
          <cell r="G2095" t="str">
            <v>B82-Q8</v>
          </cell>
          <cell r="H2095" t="str">
            <v>Which test records, HVAC startup records and turnover documents are required for TE acceptance?</v>
          </cell>
          <cell r="I2095" t="str">
            <v>GC / Cx Manager / OIT</v>
          </cell>
          <cell r="J2095" t="str">
            <v>Open</v>
          </cell>
          <cell r="K2095">
            <v>0</v>
          </cell>
          <cell r="L2095">
            <v>0</v>
          </cell>
          <cell r="O2095">
            <v>0</v>
          </cell>
          <cell r="Q2095" t="str">
            <v>82|56</v>
          </cell>
        </row>
        <row r="2096">
          <cell r="E2096" t="str">
            <v>9. OPEN QUESTIONS</v>
          </cell>
          <cell r="G2096">
            <v>0</v>
          </cell>
          <cell r="H2096">
            <v>0</v>
          </cell>
          <cell r="I2096">
            <v>0</v>
          </cell>
          <cell r="J2096">
            <v>0</v>
          </cell>
          <cell r="K2096">
            <v>0</v>
          </cell>
          <cell r="L2096">
            <v>0</v>
          </cell>
          <cell r="O2096">
            <v>0</v>
          </cell>
          <cell r="Q2096" t="str">
            <v>82|57</v>
          </cell>
        </row>
        <row r="2097">
          <cell r="E2097" t="str">
            <v>10. PHOTO LOG</v>
          </cell>
          <cell r="G2097" t="str">
            <v>10. PHOTO LOG</v>
          </cell>
          <cell r="H2097">
            <v>0</v>
          </cell>
          <cell r="I2097">
            <v>0</v>
          </cell>
          <cell r="J2097">
            <v>0</v>
          </cell>
          <cell r="K2097">
            <v>0</v>
          </cell>
          <cell r="L2097">
            <v>0</v>
          </cell>
          <cell r="O2097">
            <v>0</v>
          </cell>
          <cell r="Q2097" t="str">
            <v>82|58</v>
          </cell>
        </row>
        <row r="2098">
          <cell r="E2098" t="str">
            <v>10. PHOTO LOG</v>
          </cell>
          <cell r="G2098" t="str">
            <v>Photo ID</v>
          </cell>
          <cell r="H2098" t="str">
            <v>Room</v>
          </cell>
          <cell r="I2098" t="str">
            <v>Category</v>
          </cell>
          <cell r="J2098" t="str">
            <v>Description</v>
          </cell>
          <cell r="K2098" t="str">
            <v>Date</v>
          </cell>
          <cell r="L2098" t="str">
            <v>Taken By</v>
          </cell>
          <cell r="O2098" t="str">
            <v>Status</v>
          </cell>
          <cell r="Q2098" t="str">
            <v>82|59</v>
          </cell>
        </row>
        <row r="2099">
          <cell r="E2099" t="str">
            <v>10. PHOTO LOG</v>
          </cell>
          <cell r="G2099" t="str">
            <v>B82-P001</v>
          </cell>
          <cell r="H2099" t="str">
            <v>102</v>
          </cell>
          <cell r="I2099" t="str">
            <v>Existing Condition</v>
          </cell>
          <cell r="J2099" t="str">
            <v>Room 102 wall location, wall backing, clearances, ceiling, power source, cable path, fiber path A/B and new TE enclosure location</v>
          </cell>
          <cell r="K2099">
            <v>0</v>
          </cell>
          <cell r="L2099" t="str">
            <v>Paul</v>
          </cell>
          <cell r="O2099" t="str">
            <v>Open</v>
          </cell>
          <cell r="Q2099" t="str">
            <v>82|60</v>
          </cell>
        </row>
        <row r="2100">
          <cell r="E2100" t="str">
            <v>10. PHOTO LOG</v>
          </cell>
          <cell r="G2100" t="str">
            <v>B82-P002</v>
          </cell>
          <cell r="H2100" t="str">
            <v>B01-A</v>
          </cell>
          <cell r="I2100" t="str">
            <v>Existing Condition</v>
          </cell>
          <cell r="J2100" t="str">
            <v>Existing first-level telecom room B01-A wall rack, Cisco switches, cable management, Ortronics patch panels, APC floor UPS and cable entries</v>
          </cell>
          <cell r="K2100">
            <v>0</v>
          </cell>
          <cell r="L2100" t="str">
            <v>Paul</v>
          </cell>
          <cell r="O2100" t="str">
            <v>Open</v>
          </cell>
          <cell r="Q2100" t="str">
            <v>82|61</v>
          </cell>
        </row>
        <row r="2101">
          <cell r="E2101" t="str">
            <v>10. PHOTO LOG</v>
          </cell>
          <cell r="G2101" t="str">
            <v>B82-P003</v>
          </cell>
          <cell r="H2101" t="str">
            <v>102 / B01-A</v>
          </cell>
          <cell r="I2101" t="str">
            <v>Pathway</v>
          </cell>
          <cell r="J2101" t="str">
            <v>278 ft first-level cable tray route, 4-inch sleeve, wall/floor penetrations, support points, light/HVAC conflicts and 40% fill concerns</v>
          </cell>
          <cell r="K2101">
            <v>0</v>
          </cell>
          <cell r="L2101" t="str">
            <v>Paul</v>
          </cell>
          <cell r="O2101" t="str">
            <v>Open</v>
          </cell>
          <cell r="Q2101" t="str">
            <v>82|62</v>
          </cell>
        </row>
        <row r="2102">
          <cell r="E2102" t="str">
            <v>10. PHOTO LOG</v>
          </cell>
          <cell r="G2102" t="str">
            <v>B82-P004</v>
          </cell>
          <cell r="H2102" t="str">
            <v>102</v>
          </cell>
          <cell r="I2102" t="str">
            <v>HVAC</v>
          </cell>
          <cell r="J2102" t="str">
            <v>IU-1-01/CU-1-01, condensate pump/path, thermostat, BACnet adapter, disconnects, high-temp alarm and power source</v>
          </cell>
          <cell r="K2102">
            <v>0</v>
          </cell>
          <cell r="L2102" t="str">
            <v>Paul</v>
          </cell>
          <cell r="O2102" t="str">
            <v>Open</v>
          </cell>
          <cell r="Q2102" t="str">
            <v>82|63</v>
          </cell>
        </row>
        <row r="2103">
          <cell r="E2103" t="str">
            <v>10. PHOTO LOG</v>
          </cell>
          <cell r="G2103" t="str">
            <v>B82-P005</v>
          </cell>
          <cell r="H2103" t="str">
            <v>102</v>
          </cell>
          <cell r="I2103" t="str">
            <v>Electrical</v>
          </cell>
          <cell r="J2103" t="str">
            <v>New TE enclosure UPS/PDU receptacles, circuit source, B82-MDP/B82-P-EMER connections, grounding/bonding, SPD, labels and access</v>
          </cell>
          <cell r="K2103">
            <v>0</v>
          </cell>
          <cell r="L2103" t="str">
            <v>Paul</v>
          </cell>
          <cell r="O2103" t="str">
            <v>Open</v>
          </cell>
          <cell r="Q2103" t="str">
            <v>82|64</v>
          </cell>
        </row>
        <row r="2104">
          <cell r="E2104" t="str">
            <v>10. PHOTO LOG</v>
          </cell>
          <cell r="G2104" t="str">
            <v>B82-P006</v>
          </cell>
          <cell r="H2104" t="str">
            <v>102 / B01-A</v>
          </cell>
          <cell r="I2104" t="str">
            <v>Telecom</v>
          </cell>
          <cell r="J2104" t="str">
            <v>TR01-102-01 enclosure, cross-connect/cutover cabling, Fiber LIU, patch panels, labels, test results and existing equipment transfer</v>
          </cell>
          <cell r="K2104">
            <v>0</v>
          </cell>
          <cell r="L2104" t="str">
            <v>Paul</v>
          </cell>
          <cell r="O2104" t="str">
            <v>Open</v>
          </cell>
          <cell r="Q2104" t="str">
            <v>82|65</v>
          </cell>
        </row>
        <row r="2105">
          <cell r="E2105" t="str">
            <v>10. PHOTO LOG</v>
          </cell>
          <cell r="G2105" t="str">
            <v>B82-P007</v>
          </cell>
          <cell r="H2105" t="str">
            <v>All</v>
          </cell>
          <cell r="I2105" t="str">
            <v>Firestop</v>
          </cell>
          <cell r="J2105" t="str">
            <v>4-inch speed sleeve, wall/floor penetrations and fire caulk before/after photos</v>
          </cell>
          <cell r="K2105">
            <v>0</v>
          </cell>
          <cell r="L2105" t="str">
            <v>Paul</v>
          </cell>
          <cell r="O2105" t="str">
            <v>Open</v>
          </cell>
          <cell r="Q2105" t="str">
            <v>82|66</v>
          </cell>
        </row>
        <row r="2106">
          <cell r="E2106" t="str">
            <v>10. PHOTO LOG</v>
          </cell>
          <cell r="G2106" t="str">
            <v>B82-P008</v>
          </cell>
          <cell r="H2106" t="str">
            <v>All</v>
          </cell>
          <cell r="I2106" t="str">
            <v>Security / Existing Devices</v>
          </cell>
          <cell r="J2106" t="str">
            <v>Existing cameras/security devices to remain, protection-in-place and final operating condition</v>
          </cell>
          <cell r="K2106">
            <v>0</v>
          </cell>
          <cell r="L2106" t="str">
            <v>Paul</v>
          </cell>
          <cell r="O2106" t="str">
            <v>Open</v>
          </cell>
          <cell r="Q2106" t="str">
            <v>82|67</v>
          </cell>
        </row>
        <row r="2107">
          <cell r="E2107" t="str">
            <v>10. PHOTO LOG</v>
          </cell>
          <cell r="G2107">
            <v>0</v>
          </cell>
          <cell r="H2107">
            <v>0</v>
          </cell>
          <cell r="I2107">
            <v>0</v>
          </cell>
          <cell r="J2107">
            <v>0</v>
          </cell>
          <cell r="K2107">
            <v>0</v>
          </cell>
          <cell r="L2107">
            <v>0</v>
          </cell>
          <cell r="O2107">
            <v>0</v>
          </cell>
          <cell r="Q2107" t="str">
            <v>82|68</v>
          </cell>
        </row>
        <row r="2108">
          <cell r="E2108" t="str">
            <v>1. ROOM INVENTORY</v>
          </cell>
          <cell r="G2108" t="str">
            <v>1. ROOM INVENTORY</v>
          </cell>
          <cell r="H2108">
            <v>0</v>
          </cell>
          <cell r="I2108">
            <v>0</v>
          </cell>
          <cell r="J2108">
            <v>0</v>
          </cell>
          <cell r="K2108">
            <v>0</v>
          </cell>
          <cell r="L2108">
            <v>0</v>
          </cell>
          <cell r="O2108">
            <v>0</v>
          </cell>
          <cell r="Q2108" t="str">
            <v>BCH|1</v>
          </cell>
        </row>
        <row r="2109">
          <cell r="E2109" t="str">
            <v>1. ROOM INVENTORY</v>
          </cell>
          <cell r="G2109" t="str">
            <v>Building</v>
          </cell>
          <cell r="H2109" t="str">
            <v>Room</v>
          </cell>
          <cell r="I2109" t="str">
            <v>Floor</v>
          </cell>
          <cell r="J2109" t="str">
            <v>Existing Use</v>
          </cell>
          <cell r="K2109" t="str">
            <v>New Use</v>
          </cell>
          <cell r="L2109" t="str">
            <v>Rack Count</v>
          </cell>
          <cell r="O2109" t="str">
            <v>Drawing Ref</v>
          </cell>
          <cell r="Q2109" t="str">
            <v>BCH|2</v>
          </cell>
        </row>
        <row r="2110">
          <cell r="E2110" t="str">
            <v>1. ROOM INVENTORY</v>
          </cell>
          <cell r="G2110" t="str">
            <v>BCH</v>
          </cell>
          <cell r="H2110" t="str">
            <v>107</v>
          </cell>
          <cell r="I2110" t="str">
            <v>First</v>
          </cell>
          <cell r="J2110" t="str">
            <v>Existing Crescent House room area / telecom work area</v>
          </cell>
          <cell r="K2110" t="str">
            <v>Telecom Enclosure / Telecom Room</v>
          </cell>
          <cell r="L2110">
            <v>1</v>
          </cell>
          <cell r="O2110" t="str">
            <v>BCHGA-401 / BCHE-101 / BCHT-101 / BCHT-604</v>
          </cell>
          <cell r="Q2110" t="str">
            <v>BCH|3</v>
          </cell>
        </row>
        <row r="2111">
          <cell r="E2111" t="str">
            <v>1. ROOM INVENTORY</v>
          </cell>
          <cell r="G2111" t="str">
            <v>BCH</v>
          </cell>
          <cell r="H2111" t="str">
            <v>00 / 107</v>
          </cell>
          <cell r="I2111" t="str">
            <v>First</v>
          </cell>
          <cell r="J2111" t="str">
            <v>Rack/elevation reference location</v>
          </cell>
          <cell r="K2111" t="str">
            <v>Telecom Enclosure</v>
          </cell>
          <cell r="L2111">
            <v>1</v>
          </cell>
          <cell r="O2111" t="str">
            <v>BCHT-604</v>
          </cell>
          <cell r="Q2111" t="str">
            <v>BCH|4</v>
          </cell>
        </row>
        <row r="2112">
          <cell r="E2112" t="str">
            <v>1. ROOM INVENTORY</v>
          </cell>
          <cell r="G2112">
            <v>0</v>
          </cell>
          <cell r="H2112">
            <v>0</v>
          </cell>
          <cell r="I2112">
            <v>0</v>
          </cell>
          <cell r="J2112">
            <v>0</v>
          </cell>
          <cell r="K2112">
            <v>0</v>
          </cell>
          <cell r="L2112">
            <v>0</v>
          </cell>
          <cell r="O2112">
            <v>0</v>
          </cell>
          <cell r="Q2112" t="str">
            <v>BCH|5</v>
          </cell>
        </row>
        <row r="2113">
          <cell r="E2113" t="str">
            <v>2. ROOM READINESS</v>
          </cell>
          <cell r="G2113" t="str">
            <v>2. ROOM READINESS</v>
          </cell>
          <cell r="H2113">
            <v>0</v>
          </cell>
          <cell r="I2113">
            <v>0</v>
          </cell>
          <cell r="J2113">
            <v>0</v>
          </cell>
          <cell r="K2113">
            <v>0</v>
          </cell>
          <cell r="L2113">
            <v>0</v>
          </cell>
          <cell r="O2113">
            <v>0</v>
          </cell>
          <cell r="Q2113" t="str">
            <v>BCH|6</v>
          </cell>
        </row>
        <row r="2114">
          <cell r="E2114" t="str">
            <v>2. ROOM READINESS</v>
          </cell>
          <cell r="G2114" t="str">
            <v>Room</v>
          </cell>
          <cell r="H2114" t="str">
            <v>Walls / 1-hr Rating</v>
          </cell>
          <cell r="I2114" t="str">
            <v>Ceiling</v>
          </cell>
          <cell r="J2114" t="str">
            <v>Floor / SDC</v>
          </cell>
          <cell r="K2114" t="str">
            <v>Penetrations</v>
          </cell>
          <cell r="L2114" t="str">
            <v>Access Control</v>
          </cell>
          <cell r="O2114" t="str">
            <v>Overall</v>
          </cell>
          <cell r="Q2114" t="str">
            <v>BCH|7</v>
          </cell>
        </row>
        <row r="2115">
          <cell r="E2115" t="str">
            <v>2. ROOM READINESS</v>
          </cell>
          <cell r="G2115" t="str">
            <v>107</v>
          </cell>
          <cell r="H2115" t="str">
            <v>Verify</v>
          </cell>
          <cell r="I2115" t="str">
            <v>Verify</v>
          </cell>
          <cell r="J2115" t="str">
            <v>N/A / TE Scope</v>
          </cell>
          <cell r="K2115" t="str">
            <v>Verify</v>
          </cell>
          <cell r="L2115" t="str">
            <v>Verify Existing</v>
          </cell>
          <cell r="O2115" t="str">
            <v>Verify</v>
          </cell>
          <cell r="Q2115" t="str">
            <v>BCH|8</v>
          </cell>
        </row>
        <row r="2116">
          <cell r="E2116" t="str">
            <v>2. ROOM READINESS</v>
          </cell>
          <cell r="G2116" t="str">
            <v>00 / 107</v>
          </cell>
          <cell r="H2116" t="str">
            <v>Verify</v>
          </cell>
          <cell r="I2116" t="str">
            <v>Verify</v>
          </cell>
          <cell r="J2116" t="str">
            <v>N/A / TE Scope</v>
          </cell>
          <cell r="K2116" t="str">
            <v>Verify</v>
          </cell>
          <cell r="L2116" t="str">
            <v>Verify Existing</v>
          </cell>
          <cell r="O2116" t="str">
            <v>Verify</v>
          </cell>
          <cell r="Q2116" t="str">
            <v>BCH|9</v>
          </cell>
        </row>
        <row r="2117">
          <cell r="E2117" t="str">
            <v>2. ROOM READINESS</v>
          </cell>
          <cell r="G2117">
            <v>0</v>
          </cell>
          <cell r="H2117">
            <v>0</v>
          </cell>
          <cell r="I2117">
            <v>0</v>
          </cell>
          <cell r="J2117">
            <v>0</v>
          </cell>
          <cell r="K2117">
            <v>0</v>
          </cell>
          <cell r="L2117">
            <v>0</v>
          </cell>
          <cell r="O2117">
            <v>0</v>
          </cell>
          <cell r="Q2117" t="str">
            <v>BCH|10</v>
          </cell>
        </row>
        <row r="2118">
          <cell r="E2118" t="str">
            <v>3. FIRE PROTECTION</v>
          </cell>
          <cell r="G2118" t="str">
            <v>3. FIRE PROTECTION</v>
          </cell>
          <cell r="H2118">
            <v>0</v>
          </cell>
          <cell r="I2118">
            <v>0</v>
          </cell>
          <cell r="J2118">
            <v>0</v>
          </cell>
          <cell r="K2118">
            <v>0</v>
          </cell>
          <cell r="L2118">
            <v>0</v>
          </cell>
          <cell r="O2118">
            <v>0</v>
          </cell>
          <cell r="Q2118" t="str">
            <v>BCH|11</v>
          </cell>
        </row>
        <row r="2119">
          <cell r="E2119" t="str">
            <v>3. FIRE PROTECTION</v>
          </cell>
          <cell r="G2119" t="str">
            <v>Room</v>
          </cell>
          <cell r="H2119" t="str">
            <v>Sprinkler</v>
          </cell>
          <cell r="I2119" t="str">
            <v>Cage</v>
          </cell>
          <cell r="J2119" t="str">
            <v>Detector</v>
          </cell>
          <cell r="K2119" t="str">
            <v>Horn/Strobe</v>
          </cell>
          <cell r="L2119" t="str">
            <v>Extinguisher &lt;75 ft</v>
          </cell>
          <cell r="O2119" t="str">
            <v>Overall</v>
          </cell>
          <cell r="Q2119" t="str">
            <v>BCH|12</v>
          </cell>
        </row>
        <row r="2120">
          <cell r="E2120" t="str">
            <v>3. FIRE PROTECTION</v>
          </cell>
          <cell r="G2120" t="str">
            <v>107</v>
          </cell>
          <cell r="H2120" t="str">
            <v>Excluded / Verify</v>
          </cell>
          <cell r="I2120" t="str">
            <v>N/A</v>
          </cell>
          <cell r="J2120" t="str">
            <v>Verify Existing</v>
          </cell>
          <cell r="K2120" t="str">
            <v>Verify Existing</v>
          </cell>
          <cell r="L2120" t="str">
            <v>N/A / Verify</v>
          </cell>
          <cell r="O2120" t="str">
            <v>Verify</v>
          </cell>
          <cell r="Q2120" t="str">
            <v>BCH|13</v>
          </cell>
        </row>
        <row r="2121">
          <cell r="E2121" t="str">
            <v>3. FIRE PROTECTION</v>
          </cell>
          <cell r="G2121" t="str">
            <v>00 / 107</v>
          </cell>
          <cell r="H2121" t="str">
            <v>Excluded / Verify</v>
          </cell>
          <cell r="I2121" t="str">
            <v>N/A</v>
          </cell>
          <cell r="J2121" t="str">
            <v>Verify Existing</v>
          </cell>
          <cell r="K2121" t="str">
            <v>Verify Existing</v>
          </cell>
          <cell r="L2121" t="str">
            <v>N/A / Verify</v>
          </cell>
          <cell r="O2121" t="str">
            <v>Verify</v>
          </cell>
          <cell r="Q2121" t="str">
            <v>BCH|14</v>
          </cell>
        </row>
        <row r="2122">
          <cell r="E2122" t="str">
            <v>3. FIRE PROTECTION</v>
          </cell>
          <cell r="G2122">
            <v>0</v>
          </cell>
          <cell r="H2122">
            <v>0</v>
          </cell>
          <cell r="I2122">
            <v>0</v>
          </cell>
          <cell r="J2122">
            <v>0</v>
          </cell>
          <cell r="K2122">
            <v>0</v>
          </cell>
          <cell r="L2122">
            <v>0</v>
          </cell>
          <cell r="O2122">
            <v>0</v>
          </cell>
          <cell r="Q2122" t="str">
            <v>BCH|15</v>
          </cell>
        </row>
        <row r="2123">
          <cell r="E2123" t="str">
            <v>4. HVAC / COOLING</v>
          </cell>
          <cell r="G2123" t="str">
            <v>4. HVAC / COOLING</v>
          </cell>
          <cell r="H2123">
            <v>0</v>
          </cell>
          <cell r="I2123">
            <v>0</v>
          </cell>
          <cell r="J2123">
            <v>0</v>
          </cell>
          <cell r="K2123">
            <v>0</v>
          </cell>
          <cell r="L2123">
            <v>0</v>
          </cell>
          <cell r="O2123">
            <v>0</v>
          </cell>
          <cell r="Q2123" t="str">
            <v>BCH|16</v>
          </cell>
        </row>
        <row r="2124">
          <cell r="E2124" t="str">
            <v>4. HVAC / COOLING</v>
          </cell>
          <cell r="G2124" t="str">
            <v>Room</v>
          </cell>
          <cell r="H2124" t="str">
            <v>Dedicated Unit</v>
          </cell>
          <cell r="I2124" t="str">
            <v>Capacity Verified</v>
          </cell>
          <cell r="J2124" t="str">
            <v>Emergency Power</v>
          </cell>
          <cell r="K2124" t="str">
            <v>Controls / BACnet</v>
          </cell>
          <cell r="L2124" t="str">
            <v>Condensate Routed</v>
          </cell>
          <cell r="O2124" t="str">
            <v>Overall</v>
          </cell>
          <cell r="Q2124" t="str">
            <v>BCH|17</v>
          </cell>
        </row>
        <row r="2125">
          <cell r="E2125" t="str">
            <v>4. HVAC / COOLING</v>
          </cell>
          <cell r="G2125" t="str">
            <v>107</v>
          </cell>
          <cell r="H2125" t="str">
            <v>Excluded</v>
          </cell>
          <cell r="I2125" t="str">
            <v>N/A</v>
          </cell>
          <cell r="J2125" t="str">
            <v>N/A</v>
          </cell>
          <cell r="K2125" t="str">
            <v>N/A</v>
          </cell>
          <cell r="L2125" t="str">
            <v>N/A</v>
          </cell>
          <cell r="O2125" t="str">
            <v>N/A</v>
          </cell>
          <cell r="Q2125" t="str">
            <v>BCH|18</v>
          </cell>
        </row>
        <row r="2126">
          <cell r="E2126" t="str">
            <v>4. HVAC / COOLING</v>
          </cell>
          <cell r="G2126" t="str">
            <v>00 / 107</v>
          </cell>
          <cell r="H2126" t="str">
            <v>Excluded</v>
          </cell>
          <cell r="I2126" t="str">
            <v>N/A</v>
          </cell>
          <cell r="J2126" t="str">
            <v>N/A</v>
          </cell>
          <cell r="K2126" t="str">
            <v>N/A</v>
          </cell>
          <cell r="L2126" t="str">
            <v>N/A</v>
          </cell>
          <cell r="O2126" t="str">
            <v>N/A</v>
          </cell>
          <cell r="Q2126" t="str">
            <v>BCH|19</v>
          </cell>
        </row>
        <row r="2127">
          <cell r="E2127" t="str">
            <v>4. HVAC / COOLING</v>
          </cell>
          <cell r="G2127">
            <v>0</v>
          </cell>
          <cell r="H2127">
            <v>0</v>
          </cell>
          <cell r="I2127">
            <v>0</v>
          </cell>
          <cell r="J2127">
            <v>0</v>
          </cell>
          <cell r="K2127">
            <v>0</v>
          </cell>
          <cell r="L2127">
            <v>0</v>
          </cell>
          <cell r="O2127">
            <v>0</v>
          </cell>
          <cell r="Q2127" t="str">
            <v>BCH|20</v>
          </cell>
        </row>
        <row r="2128">
          <cell r="E2128" t="str">
            <v>5. ELECTRICAL / UPS</v>
          </cell>
          <cell r="G2128" t="str">
            <v>5. ELECTRICAL / UPS</v>
          </cell>
          <cell r="H2128">
            <v>0</v>
          </cell>
          <cell r="I2128">
            <v>0</v>
          </cell>
          <cell r="J2128">
            <v>0</v>
          </cell>
          <cell r="K2128">
            <v>0</v>
          </cell>
          <cell r="L2128">
            <v>0</v>
          </cell>
          <cell r="O2128">
            <v>0</v>
          </cell>
          <cell r="Q2128" t="str">
            <v>BCH|21</v>
          </cell>
        </row>
        <row r="2129">
          <cell r="E2129" t="str">
            <v>5. ELECTRICAL / UPS</v>
          </cell>
          <cell r="G2129" t="str">
            <v>Room</v>
          </cell>
          <cell r="H2129" t="str">
            <v>UPS Installed</v>
          </cell>
          <cell r="I2129" t="str">
            <v>UPS Size</v>
          </cell>
          <cell r="J2129" t="str">
            <v>PDU Installed</v>
          </cell>
          <cell r="K2129" t="str">
            <v>Rack Receptacles</v>
          </cell>
          <cell r="L2129" t="str">
            <v>Panel Assigned</v>
          </cell>
          <cell r="O2129" t="str">
            <v>Overall</v>
          </cell>
          <cell r="Q2129" t="str">
            <v>BCH|22</v>
          </cell>
        </row>
        <row r="2130">
          <cell r="E2130" t="str">
            <v>5. ELECTRICAL / UPS</v>
          </cell>
          <cell r="G2130" t="str">
            <v>107</v>
          </cell>
          <cell r="H2130" t="str">
            <v>Verify</v>
          </cell>
          <cell r="I2130" t="str">
            <v>APC UPS / TE enclosure</v>
          </cell>
          <cell r="J2130" t="str">
            <v>Verify</v>
          </cell>
          <cell r="K2130" t="str">
            <v>Verify</v>
          </cell>
          <cell r="L2130" t="str">
            <v>BCHE-101 / BCHE-601 source to verify</v>
          </cell>
          <cell r="O2130" t="str">
            <v>Verify</v>
          </cell>
          <cell r="Q2130" t="str">
            <v>BCH|23</v>
          </cell>
        </row>
        <row r="2131">
          <cell r="E2131" t="str">
            <v>5. ELECTRICAL / UPS</v>
          </cell>
          <cell r="G2131" t="str">
            <v>00 / 107</v>
          </cell>
          <cell r="H2131" t="str">
            <v>Verify</v>
          </cell>
          <cell r="I2131" t="str">
            <v>APC UPS / 12RU enclosure or 5kW rack UPS if room rack governs</v>
          </cell>
          <cell r="J2131" t="str">
            <v>Verify</v>
          </cell>
          <cell r="K2131" t="str">
            <v>Verify</v>
          </cell>
          <cell r="L2131" t="str">
            <v>Verify</v>
          </cell>
          <cell r="O2131" t="str">
            <v>Verify</v>
          </cell>
          <cell r="Q2131" t="str">
            <v>BCH|24</v>
          </cell>
        </row>
        <row r="2132">
          <cell r="E2132" t="str">
            <v>5. ELECTRICAL / UPS</v>
          </cell>
          <cell r="G2132">
            <v>0</v>
          </cell>
          <cell r="H2132">
            <v>0</v>
          </cell>
          <cell r="I2132">
            <v>0</v>
          </cell>
          <cell r="J2132">
            <v>0</v>
          </cell>
          <cell r="K2132">
            <v>0</v>
          </cell>
          <cell r="L2132">
            <v>0</v>
          </cell>
          <cell r="O2132">
            <v>0</v>
          </cell>
          <cell r="Q2132" t="str">
            <v>BCH|25</v>
          </cell>
        </row>
        <row r="2133">
          <cell r="E2133" t="str">
            <v>6. TELECOMMUNICATIONS</v>
          </cell>
          <cell r="G2133" t="str">
            <v>6. TELECOMMUNICATIONS</v>
          </cell>
          <cell r="H2133">
            <v>0</v>
          </cell>
          <cell r="I2133">
            <v>0</v>
          </cell>
          <cell r="J2133">
            <v>0</v>
          </cell>
          <cell r="K2133">
            <v>0</v>
          </cell>
          <cell r="L2133">
            <v>0</v>
          </cell>
          <cell r="O2133">
            <v>0</v>
          </cell>
          <cell r="Q2133" t="str">
            <v>BCH|26</v>
          </cell>
        </row>
        <row r="2134">
          <cell r="E2134" t="str">
            <v>6. TELECOMMUNICATIONS</v>
          </cell>
          <cell r="G2134" t="str">
            <v>Room</v>
          </cell>
          <cell r="H2134" t="str">
            <v>Rack Installed</v>
          </cell>
          <cell r="I2134" t="str">
            <v>Ladder Tray</v>
          </cell>
          <cell r="J2134" t="str">
            <v>Fiber Installed</v>
          </cell>
          <cell r="K2134" t="str">
            <v>Grounding</v>
          </cell>
          <cell r="L2134" t="str">
            <v>Labeling</v>
          </cell>
          <cell r="O2134" t="str">
            <v>Overall</v>
          </cell>
          <cell r="Q2134" t="str">
            <v>BCH|27</v>
          </cell>
        </row>
        <row r="2135">
          <cell r="E2135" t="str">
            <v>6. TELECOMMUNICATIONS</v>
          </cell>
          <cell r="G2135" t="str">
            <v>107</v>
          </cell>
          <cell r="H2135" t="str">
            <v>Verify</v>
          </cell>
          <cell r="I2135" t="str">
            <v>Verify</v>
          </cell>
          <cell r="J2135" t="str">
            <v>Verify</v>
          </cell>
          <cell r="K2135" t="str">
            <v>Verify</v>
          </cell>
          <cell r="L2135" t="str">
            <v>Verify</v>
          </cell>
          <cell r="O2135" t="str">
            <v>Verify</v>
          </cell>
          <cell r="Q2135" t="str">
            <v>BCH|28</v>
          </cell>
        </row>
        <row r="2136">
          <cell r="E2136" t="str">
            <v>6. TELECOMMUNICATIONS</v>
          </cell>
          <cell r="G2136" t="str">
            <v>00 / 107</v>
          </cell>
          <cell r="H2136" t="str">
            <v>Verify</v>
          </cell>
          <cell r="I2136" t="str">
            <v>Verify</v>
          </cell>
          <cell r="J2136" t="str">
            <v>Verify</v>
          </cell>
          <cell r="K2136" t="str">
            <v>Verify</v>
          </cell>
          <cell r="L2136" t="str">
            <v>Verify</v>
          </cell>
          <cell r="O2136" t="str">
            <v>Verify</v>
          </cell>
          <cell r="Q2136" t="str">
            <v>BCH|29</v>
          </cell>
        </row>
        <row r="2137">
          <cell r="E2137" t="str">
            <v>6. TELECOMMUNICATIONS</v>
          </cell>
          <cell r="G2137">
            <v>0</v>
          </cell>
          <cell r="H2137">
            <v>0</v>
          </cell>
          <cell r="I2137">
            <v>0</v>
          </cell>
          <cell r="J2137">
            <v>0</v>
          </cell>
          <cell r="K2137">
            <v>0</v>
          </cell>
          <cell r="L2137">
            <v>0</v>
          </cell>
          <cell r="O2137">
            <v>0</v>
          </cell>
          <cell r="Q2137" t="str">
            <v>BCH|30</v>
          </cell>
        </row>
        <row r="2138">
          <cell r="E2138" t="str">
            <v>7. SECURITY / PACS / CCTV</v>
          </cell>
          <cell r="G2138" t="str">
            <v>7. SECURITY / PACS / CCTV</v>
          </cell>
          <cell r="H2138">
            <v>0</v>
          </cell>
          <cell r="I2138">
            <v>0</v>
          </cell>
          <cell r="J2138">
            <v>0</v>
          </cell>
          <cell r="K2138">
            <v>0</v>
          </cell>
          <cell r="L2138">
            <v>0</v>
          </cell>
          <cell r="O2138">
            <v>0</v>
          </cell>
          <cell r="Q2138" t="str">
            <v>BCH|31</v>
          </cell>
        </row>
        <row r="2139">
          <cell r="E2139" t="str">
            <v>7. SECURITY / PACS / CCTV</v>
          </cell>
          <cell r="G2139" t="str">
            <v>Room</v>
          </cell>
          <cell r="H2139" t="str">
            <v>PACS</v>
          </cell>
          <cell r="I2139" t="str">
            <v>Card Reader</v>
          </cell>
          <cell r="J2139" t="str">
            <v>Door Position</v>
          </cell>
          <cell r="K2139" t="str">
            <v>Electric Strike</v>
          </cell>
          <cell r="L2139" t="str">
            <v>CCTV</v>
          </cell>
          <cell r="O2139" t="str">
            <v>Overall</v>
          </cell>
          <cell r="Q2139" t="str">
            <v>BCH|32</v>
          </cell>
        </row>
        <row r="2140">
          <cell r="E2140" t="str">
            <v>7. SECURITY / PACS / CCTV</v>
          </cell>
          <cell r="G2140" t="str">
            <v>107</v>
          </cell>
          <cell r="H2140" t="str">
            <v>N/A / Verify</v>
          </cell>
          <cell r="I2140" t="str">
            <v>N/A / Verify</v>
          </cell>
          <cell r="J2140" t="str">
            <v>N/A / Verify</v>
          </cell>
          <cell r="K2140" t="str">
            <v>N/A / Verify</v>
          </cell>
          <cell r="L2140" t="str">
            <v>Verify</v>
          </cell>
          <cell r="O2140" t="str">
            <v>Verify</v>
          </cell>
          <cell r="Q2140" t="str">
            <v>BCH|33</v>
          </cell>
        </row>
        <row r="2141">
          <cell r="E2141" t="str">
            <v>7. SECURITY / PACS / CCTV</v>
          </cell>
          <cell r="G2141" t="str">
            <v>00 / 107</v>
          </cell>
          <cell r="H2141" t="str">
            <v>N/A / Verify</v>
          </cell>
          <cell r="I2141" t="str">
            <v>N/A / Verify</v>
          </cell>
          <cell r="J2141" t="str">
            <v>N/A / Verify</v>
          </cell>
          <cell r="K2141" t="str">
            <v>N/A / Verify</v>
          </cell>
          <cell r="L2141" t="str">
            <v>Verify</v>
          </cell>
          <cell r="O2141" t="str">
            <v>Verify</v>
          </cell>
          <cell r="Q2141" t="str">
            <v>BCH|34</v>
          </cell>
        </row>
        <row r="2142">
          <cell r="E2142" t="str">
            <v>7. SECURITY / PACS / CCTV</v>
          </cell>
          <cell r="G2142">
            <v>0</v>
          </cell>
          <cell r="H2142">
            <v>0</v>
          </cell>
          <cell r="I2142">
            <v>0</v>
          </cell>
          <cell r="J2142">
            <v>0</v>
          </cell>
          <cell r="K2142">
            <v>0</v>
          </cell>
          <cell r="L2142">
            <v>0</v>
          </cell>
          <cell r="O2142">
            <v>0</v>
          </cell>
          <cell r="Q2142" t="str">
            <v>BCH|35</v>
          </cell>
        </row>
        <row r="2143">
          <cell r="E2143" t="str">
            <v>8. OWNER RISKS</v>
          </cell>
          <cell r="G2143" t="str">
            <v>8. OWNER RISKS</v>
          </cell>
          <cell r="H2143">
            <v>0</v>
          </cell>
          <cell r="I2143">
            <v>0</v>
          </cell>
          <cell r="J2143">
            <v>0</v>
          </cell>
          <cell r="K2143">
            <v>0</v>
          </cell>
          <cell r="L2143">
            <v>0</v>
          </cell>
          <cell r="O2143">
            <v>0</v>
          </cell>
          <cell r="Q2143" t="str">
            <v>BCH|36</v>
          </cell>
        </row>
        <row r="2144">
          <cell r="E2144" t="str">
            <v>8. OWNER RISKS</v>
          </cell>
          <cell r="G2144" t="str">
            <v>Risk ID</v>
          </cell>
          <cell r="H2144" t="str">
            <v>Room</v>
          </cell>
          <cell r="I2144" t="str">
            <v>Risk</v>
          </cell>
          <cell r="J2144" t="str">
            <v>Impact</v>
          </cell>
          <cell r="K2144" t="str">
            <v>Probability</v>
          </cell>
          <cell r="L2144" t="str">
            <v>Score</v>
          </cell>
          <cell r="O2144" t="str">
            <v>Status</v>
          </cell>
          <cell r="Q2144" t="str">
            <v>BCH|37</v>
          </cell>
        </row>
        <row r="2145">
          <cell r="E2145" t="str">
            <v>8. OWNER RISKS</v>
          </cell>
          <cell r="G2145" t="str">
            <v>BCH-R1</v>
          </cell>
          <cell r="H2145" t="str">
            <v>All</v>
          </cell>
          <cell r="I2145" t="str">
            <v>Existing conditions for Crescent House Room 107 not field verified</v>
          </cell>
          <cell r="J2145" t="str">
            <v>High</v>
          </cell>
          <cell r="K2145" t="str">
            <v>Medium</v>
          </cell>
          <cell r="L2145">
            <v>6</v>
          </cell>
          <cell r="O2145" t="str">
            <v>Open</v>
          </cell>
          <cell r="Q2145" t="str">
            <v>BCH|38</v>
          </cell>
        </row>
        <row r="2146">
          <cell r="E2146" t="str">
            <v>8. OWNER RISKS</v>
          </cell>
          <cell r="G2146" t="str">
            <v>BCH-R2</v>
          </cell>
          <cell r="H2146" t="str">
            <v>107</v>
          </cell>
          <cell r="I2146" t="str">
            <v>Mechanical and fire protection are excluded despite telecom/electronics installation</v>
          </cell>
          <cell r="J2146" t="str">
            <v>High</v>
          </cell>
          <cell r="K2146" t="str">
            <v>Medium</v>
          </cell>
          <cell r="L2146">
            <v>6</v>
          </cell>
          <cell r="O2146" t="str">
            <v>Open</v>
          </cell>
          <cell r="Q2146" t="str">
            <v>BCH|39</v>
          </cell>
        </row>
        <row r="2147">
          <cell r="E2147" t="str">
            <v>8. OWNER RISKS</v>
          </cell>
          <cell r="G2147" t="str">
            <v>BCH-R3</v>
          </cell>
          <cell r="H2147" t="str">
            <v>107 / 00</v>
          </cell>
          <cell r="I2147" t="str">
            <v>Rack/elevation conflict: TE 12RU enclosure versus BCH Room 107 new telecom room elevation</v>
          </cell>
          <cell r="J2147" t="str">
            <v>High</v>
          </cell>
          <cell r="K2147" t="str">
            <v>Medium</v>
          </cell>
          <cell r="L2147">
            <v>6</v>
          </cell>
          <cell r="O2147" t="str">
            <v>Open</v>
          </cell>
          <cell r="Q2147" t="str">
            <v>BCH|40</v>
          </cell>
        </row>
        <row r="2148">
          <cell r="E2148" t="str">
            <v>8. OWNER RISKS</v>
          </cell>
          <cell r="G2148" t="str">
            <v>BCH-R4</v>
          </cell>
          <cell r="H2148" t="str">
            <v>107</v>
          </cell>
          <cell r="I2148" t="str">
            <v>Active services and existing devices may require phasing/temporary service</v>
          </cell>
          <cell r="J2148" t="str">
            <v>Critical</v>
          </cell>
          <cell r="K2148" t="str">
            <v>Medium</v>
          </cell>
          <cell r="L2148">
            <v>8</v>
          </cell>
          <cell r="O2148" t="str">
            <v>Open</v>
          </cell>
          <cell r="Q2148" t="str">
            <v>BCH|41</v>
          </cell>
        </row>
        <row r="2149">
          <cell r="E2149" t="str">
            <v>8. OWNER RISKS</v>
          </cell>
          <cell r="G2149" t="str">
            <v>BCH-R5</v>
          </cell>
          <cell r="H2149" t="str">
            <v>107</v>
          </cell>
          <cell r="I2149" t="str">
            <v>UPS/PDU/receptacle source and grounding/bonding not verified</v>
          </cell>
          <cell r="J2149" t="str">
            <v>High</v>
          </cell>
          <cell r="K2149" t="str">
            <v>Medium</v>
          </cell>
          <cell r="L2149">
            <v>6</v>
          </cell>
          <cell r="O2149" t="str">
            <v>Open</v>
          </cell>
          <cell r="Q2149" t="str">
            <v>BCH|42</v>
          </cell>
        </row>
        <row r="2150">
          <cell r="E2150" t="str">
            <v>8. OWNER RISKS</v>
          </cell>
          <cell r="G2150" t="str">
            <v>BCH-R6</v>
          </cell>
          <cell r="H2150" t="str">
            <v>All</v>
          </cell>
          <cell r="I2150" t="str">
            <v>Cable tray, sleeve and pathway quantities not scheduled in a BCHT-701 sheet</v>
          </cell>
          <cell r="J2150" t="str">
            <v>High</v>
          </cell>
          <cell r="K2150" t="str">
            <v>Medium</v>
          </cell>
          <cell r="L2150">
            <v>6</v>
          </cell>
          <cell r="O2150" t="str">
            <v>Open</v>
          </cell>
          <cell r="Q2150" t="str">
            <v>BCH|43</v>
          </cell>
        </row>
        <row r="2151">
          <cell r="E2151" t="str">
            <v>8. OWNER RISKS</v>
          </cell>
          <cell r="G2151" t="str">
            <v>BCH-R7</v>
          </cell>
          <cell r="H2151" t="str">
            <v>All</v>
          </cell>
          <cell r="I2151" t="str">
            <v>Firestopping/rated sleeve work could be missed because FP scope is excluded</v>
          </cell>
          <cell r="J2151" t="str">
            <v>High</v>
          </cell>
          <cell r="K2151" t="str">
            <v>Medium</v>
          </cell>
          <cell r="L2151">
            <v>6</v>
          </cell>
          <cell r="O2151" t="str">
            <v>Open</v>
          </cell>
          <cell r="Q2151" t="str">
            <v>BCH|44</v>
          </cell>
        </row>
        <row r="2152">
          <cell r="E2152" t="str">
            <v>8. OWNER RISKS</v>
          </cell>
          <cell r="G2152" t="str">
            <v>BCH-R8</v>
          </cell>
          <cell r="H2152" t="str">
            <v>All</v>
          </cell>
          <cell r="I2152" t="str">
            <v>Turnover documentation may be incomplete due to TE-only/off-site scope</v>
          </cell>
          <cell r="J2152" t="str">
            <v>High</v>
          </cell>
          <cell r="K2152" t="str">
            <v>Medium</v>
          </cell>
          <cell r="L2152">
            <v>6</v>
          </cell>
          <cell r="O2152" t="str">
            <v>Open</v>
          </cell>
          <cell r="Q2152" t="str">
            <v>BCH|45</v>
          </cell>
        </row>
        <row r="2153">
          <cell r="E2153" t="str">
            <v>8. OWNER RISKS</v>
          </cell>
          <cell r="G2153">
            <v>0</v>
          </cell>
          <cell r="H2153">
            <v>0</v>
          </cell>
          <cell r="I2153">
            <v>0</v>
          </cell>
          <cell r="J2153">
            <v>0</v>
          </cell>
          <cell r="K2153">
            <v>0</v>
          </cell>
          <cell r="L2153">
            <v>0</v>
          </cell>
          <cell r="O2153">
            <v>0</v>
          </cell>
          <cell r="Q2153" t="str">
            <v>BCH|46</v>
          </cell>
        </row>
        <row r="2154">
          <cell r="E2154" t="str">
            <v>9. OPEN QUESTIONS</v>
          </cell>
          <cell r="G2154" t="str">
            <v>9. OPEN QUESTIONS</v>
          </cell>
          <cell r="H2154">
            <v>0</v>
          </cell>
          <cell r="I2154">
            <v>0</v>
          </cell>
          <cell r="J2154">
            <v>0</v>
          </cell>
          <cell r="K2154">
            <v>0</v>
          </cell>
          <cell r="L2154">
            <v>0</v>
          </cell>
          <cell r="O2154">
            <v>0</v>
          </cell>
          <cell r="Q2154" t="str">
            <v>BCH|47</v>
          </cell>
        </row>
        <row r="2155">
          <cell r="E2155" t="str">
            <v>9. OPEN QUESTIONS</v>
          </cell>
          <cell r="G2155" t="str">
            <v>Question ID</v>
          </cell>
          <cell r="H2155" t="str">
            <v>Question</v>
          </cell>
          <cell r="I2155" t="str">
            <v>Assigned To</v>
          </cell>
          <cell r="J2155" t="str">
            <v>Status</v>
          </cell>
          <cell r="K2155" t="str">
            <v>Needed By</v>
          </cell>
          <cell r="L2155" t="str">
            <v>Answer / Resolution</v>
          </cell>
          <cell r="O2155" t="str">
            <v>Date Closed</v>
          </cell>
          <cell r="Q2155" t="str">
            <v>BCH|48</v>
          </cell>
        </row>
        <row r="2156">
          <cell r="E2156" t="str">
            <v>9. OPEN QUESTIONS</v>
          </cell>
          <cell r="G2156" t="str">
            <v>BCH-Q1</v>
          </cell>
          <cell r="H2156" t="str">
            <v>Confirm final BCH scope: Room 107 TE enclosure only, or a new telecom room/rack buildout?</v>
          </cell>
          <cell r="I2156" t="str">
            <v>VA / AE / OIT</v>
          </cell>
          <cell r="J2156" t="str">
            <v>Open</v>
          </cell>
          <cell r="K2156">
            <v>0</v>
          </cell>
          <cell r="L2156">
            <v>0</v>
          </cell>
          <cell r="O2156">
            <v>0</v>
          </cell>
          <cell r="Q2156" t="str">
            <v>BCH|49</v>
          </cell>
        </row>
        <row r="2157">
          <cell r="E2157" t="str">
            <v>9. OPEN QUESTIONS</v>
          </cell>
          <cell r="G2157" t="str">
            <v>BCH-Q2</v>
          </cell>
          <cell r="H2157" t="str">
            <v>Why does BCHT-604 show a T78 12RU TE enclosure and a separate BCH Crescent House Room 107 new telecom room elevation?</v>
          </cell>
          <cell r="I2157" t="str">
            <v>VA / Designer</v>
          </cell>
          <cell r="J2157" t="str">
            <v>Open</v>
          </cell>
          <cell r="K2157">
            <v>0</v>
          </cell>
          <cell r="L2157">
            <v>0</v>
          </cell>
          <cell r="O2157">
            <v>0</v>
          </cell>
          <cell r="Q2157" t="str">
            <v>BCH|50</v>
          </cell>
        </row>
        <row r="2158">
          <cell r="E2158" t="str">
            <v>9. OPEN QUESTIONS</v>
          </cell>
          <cell r="G2158" t="str">
            <v>BCH-Q3</v>
          </cell>
          <cell r="H2158" t="str">
            <v>What active services currently serve Crescent House and where are existing terminations located?</v>
          </cell>
          <cell r="I2158" t="str">
            <v>OIT / Contractor</v>
          </cell>
          <cell r="J2158" t="str">
            <v>Open</v>
          </cell>
          <cell r="K2158">
            <v>0</v>
          </cell>
          <cell r="L2158">
            <v>0</v>
          </cell>
          <cell r="O2158">
            <v>0</v>
          </cell>
          <cell r="Q2158" t="str">
            <v>BCH|51</v>
          </cell>
        </row>
        <row r="2159">
          <cell r="E2159" t="str">
            <v>9. OPEN QUESTIONS</v>
          </cell>
          <cell r="G2159" t="str">
            <v>BCH-Q4</v>
          </cell>
          <cell r="H2159" t="str">
            <v>What is the approved power source, receptacle type and circuit capacity for the new UPS/PDU?</v>
          </cell>
          <cell r="I2159" t="str">
            <v>Electrical / Designer</v>
          </cell>
          <cell r="J2159" t="str">
            <v>Open</v>
          </cell>
          <cell r="K2159">
            <v>0</v>
          </cell>
          <cell r="L2159">
            <v>0</v>
          </cell>
          <cell r="O2159">
            <v>0</v>
          </cell>
          <cell r="Q2159" t="str">
            <v>BCH|52</v>
          </cell>
        </row>
        <row r="2160">
          <cell r="E2160" t="str">
            <v>9. OPEN QUESTIONS</v>
          </cell>
          <cell r="G2160" t="str">
            <v>BCH-Q5</v>
          </cell>
          <cell r="H2160" t="str">
            <v>Is existing HVAC/ambient condition acceptable for TE/network equipment since mechanical scope is excluded?</v>
          </cell>
          <cell r="I2160" t="str">
            <v>VA / OIT / Facilities</v>
          </cell>
          <cell r="J2160" t="str">
            <v>Open</v>
          </cell>
          <cell r="K2160">
            <v>0</v>
          </cell>
          <cell r="L2160">
            <v>0</v>
          </cell>
          <cell r="O2160">
            <v>0</v>
          </cell>
          <cell r="Q2160" t="str">
            <v>BCH|53</v>
          </cell>
        </row>
        <row r="2161">
          <cell r="E2161" t="str">
            <v>9. OPEN QUESTIONS</v>
          </cell>
          <cell r="G2161" t="str">
            <v>BCH-Q6</v>
          </cell>
          <cell r="H2161" t="str">
            <v>Are cable tray route, sleeve locations, supports and firestopping details shown/field verified without a BCHT-701 schedule?</v>
          </cell>
          <cell r="I2161" t="str">
            <v>Telecom / GC / Firestop</v>
          </cell>
          <cell r="J2161" t="str">
            <v>Open</v>
          </cell>
          <cell r="K2161">
            <v>0</v>
          </cell>
          <cell r="L2161">
            <v>0</v>
          </cell>
          <cell r="O2161">
            <v>0</v>
          </cell>
          <cell r="Q2161" t="str">
            <v>BCH|54</v>
          </cell>
        </row>
        <row r="2162">
          <cell r="E2162" t="str">
            <v>9. OPEN QUESTIONS</v>
          </cell>
          <cell r="G2162" t="str">
            <v>BCH-Q7</v>
          </cell>
          <cell r="H2162" t="str">
            <v>Are camera/security devices required, protected and integrated into VMS for Room 107?</v>
          </cell>
          <cell r="I2162" t="str">
            <v>Security / OIT</v>
          </cell>
          <cell r="J2162" t="str">
            <v>Open</v>
          </cell>
          <cell r="K2162">
            <v>0</v>
          </cell>
          <cell r="L2162">
            <v>0</v>
          </cell>
          <cell r="O2162">
            <v>0</v>
          </cell>
          <cell r="Q2162" t="str">
            <v>BCH|55</v>
          </cell>
        </row>
        <row r="2163">
          <cell r="E2163" t="str">
            <v>9. OPEN QUESTIONS</v>
          </cell>
          <cell r="G2163" t="str">
            <v>BCH-Q8</v>
          </cell>
          <cell r="H2163" t="str">
            <v>Which test records and turnover documents are required for BCH TE/off-site acceptance?</v>
          </cell>
          <cell r="I2163" t="str">
            <v>GC / Cx Manager / OIT</v>
          </cell>
          <cell r="J2163" t="str">
            <v>Open</v>
          </cell>
          <cell r="K2163">
            <v>0</v>
          </cell>
          <cell r="L2163">
            <v>0</v>
          </cell>
          <cell r="O2163">
            <v>0</v>
          </cell>
          <cell r="Q2163" t="str">
            <v>BCH|56</v>
          </cell>
        </row>
        <row r="2164">
          <cell r="E2164" t="str">
            <v>9. OPEN QUESTIONS</v>
          </cell>
          <cell r="G2164">
            <v>0</v>
          </cell>
          <cell r="H2164">
            <v>0</v>
          </cell>
          <cell r="I2164">
            <v>0</v>
          </cell>
          <cell r="J2164">
            <v>0</v>
          </cell>
          <cell r="K2164">
            <v>0</v>
          </cell>
          <cell r="L2164">
            <v>0</v>
          </cell>
          <cell r="O2164">
            <v>0</v>
          </cell>
          <cell r="Q2164" t="str">
            <v>BCH|57</v>
          </cell>
        </row>
        <row r="2165">
          <cell r="E2165" t="str">
            <v>10. PHOTO LOG</v>
          </cell>
          <cell r="G2165" t="str">
            <v>10. PHOTO LOG</v>
          </cell>
          <cell r="H2165">
            <v>0</v>
          </cell>
          <cell r="I2165">
            <v>0</v>
          </cell>
          <cell r="J2165">
            <v>0</v>
          </cell>
          <cell r="K2165">
            <v>0</v>
          </cell>
          <cell r="L2165">
            <v>0</v>
          </cell>
          <cell r="O2165">
            <v>0</v>
          </cell>
          <cell r="Q2165" t="str">
            <v>BCH|58</v>
          </cell>
        </row>
        <row r="2166">
          <cell r="E2166" t="str">
            <v>10. PHOTO LOG</v>
          </cell>
          <cell r="G2166" t="str">
            <v>Photo ID</v>
          </cell>
          <cell r="H2166" t="str">
            <v>Room</v>
          </cell>
          <cell r="I2166" t="str">
            <v>Category</v>
          </cell>
          <cell r="J2166" t="str">
            <v>Description</v>
          </cell>
          <cell r="K2166" t="str">
            <v>Date</v>
          </cell>
          <cell r="L2166" t="str">
            <v>Taken By</v>
          </cell>
          <cell r="O2166" t="str">
            <v>Status</v>
          </cell>
          <cell r="Q2166" t="str">
            <v>BCH|59</v>
          </cell>
        </row>
        <row r="2167">
          <cell r="E2167" t="str">
            <v>10. PHOTO LOG</v>
          </cell>
          <cell r="G2167" t="str">
            <v>BCH-P001</v>
          </cell>
          <cell r="H2167" t="str">
            <v>107</v>
          </cell>
          <cell r="I2167" t="str">
            <v>Existing Condition</v>
          </cell>
          <cell r="J2167" t="str">
            <v>Room 107 walls, ceiling, floor, wall backing, clearances, existing devices, power source, cable path, and proposed TE/rack location</v>
          </cell>
          <cell r="K2167">
            <v>0</v>
          </cell>
          <cell r="L2167" t="str">
            <v>Paul</v>
          </cell>
          <cell r="O2167" t="str">
            <v>Open</v>
          </cell>
          <cell r="Q2167" t="str">
            <v>BCH|60</v>
          </cell>
        </row>
        <row r="2168">
          <cell r="E2168" t="str">
            <v>10. PHOTO LOG</v>
          </cell>
          <cell r="G2168" t="str">
            <v>BCH-P002</v>
          </cell>
          <cell r="H2168" t="str">
            <v>107</v>
          </cell>
          <cell r="I2168" t="str">
            <v>Electrical</v>
          </cell>
          <cell r="J2168" t="str">
            <v>Panel/source, receptacles, UPS/PDU location, grounding/bonding bar, labels and access clearance</v>
          </cell>
          <cell r="K2168">
            <v>0</v>
          </cell>
          <cell r="L2168" t="str">
            <v>Paul</v>
          </cell>
          <cell r="O2168" t="str">
            <v>Open</v>
          </cell>
          <cell r="Q2168" t="str">
            <v>BCH|61</v>
          </cell>
        </row>
        <row r="2169">
          <cell r="E2169" t="str">
            <v>10. PHOTO LOG</v>
          </cell>
          <cell r="G2169" t="str">
            <v>BCH-P003</v>
          </cell>
          <cell r="H2169" t="str">
            <v>107</v>
          </cell>
          <cell r="I2169" t="str">
            <v>Telecom</v>
          </cell>
          <cell r="J2169" t="str">
            <v>12RU enclosure or rack location, Fiber LIU, patch panel, network switch, Cat6A terminations, labels and test records</v>
          </cell>
          <cell r="K2169">
            <v>0</v>
          </cell>
          <cell r="L2169" t="str">
            <v>Paul</v>
          </cell>
          <cell r="O2169" t="str">
            <v>Open</v>
          </cell>
          <cell r="Q2169" t="str">
            <v>BCH|62</v>
          </cell>
        </row>
        <row r="2170">
          <cell r="E2170" t="str">
            <v>10. PHOTO LOG</v>
          </cell>
          <cell r="G2170" t="str">
            <v>BCH-P004</v>
          </cell>
          <cell r="H2170" t="str">
            <v>107</v>
          </cell>
          <cell r="I2170" t="str">
            <v>Pathway</v>
          </cell>
          <cell r="J2170" t="str">
            <v>Cable tray route, 4-inch sleeves, wall/floor penetrations, support points and 40% fill concerns</v>
          </cell>
          <cell r="K2170">
            <v>0</v>
          </cell>
          <cell r="L2170" t="str">
            <v>Paul</v>
          </cell>
          <cell r="O2170" t="str">
            <v>Open</v>
          </cell>
          <cell r="Q2170" t="str">
            <v>BCH|63</v>
          </cell>
        </row>
        <row r="2171">
          <cell r="E2171" t="str">
            <v>10. PHOTO LOG</v>
          </cell>
          <cell r="G2171" t="str">
            <v>BCH-P005</v>
          </cell>
          <cell r="H2171" t="str">
            <v>107</v>
          </cell>
          <cell r="I2171" t="str">
            <v>Firestop</v>
          </cell>
          <cell r="J2171" t="str">
            <v>Rated penetrations, fire caulk and temporary/final firestopping before/after photos</v>
          </cell>
          <cell r="K2171">
            <v>0</v>
          </cell>
          <cell r="L2171" t="str">
            <v>Paul</v>
          </cell>
          <cell r="O2171" t="str">
            <v>Open</v>
          </cell>
          <cell r="Q2171" t="str">
            <v>BCH|64</v>
          </cell>
        </row>
        <row r="2172">
          <cell r="E2172" t="str">
            <v>10. PHOTO LOG</v>
          </cell>
          <cell r="G2172" t="str">
            <v>BCH-P006</v>
          </cell>
          <cell r="H2172" t="str">
            <v>107</v>
          </cell>
          <cell r="I2172" t="str">
            <v>HVAC / Existing Environment</v>
          </cell>
          <cell r="J2172" t="str">
            <v>Existing room cooling/ventilation and ambient condition for TE equipment</v>
          </cell>
          <cell r="K2172">
            <v>0</v>
          </cell>
          <cell r="L2172" t="str">
            <v>Paul</v>
          </cell>
          <cell r="O2172" t="str">
            <v>Open</v>
          </cell>
          <cell r="Q2172" t="str">
            <v>BCH|65</v>
          </cell>
        </row>
        <row r="2173">
          <cell r="E2173" t="str">
            <v>10. PHOTO LOG</v>
          </cell>
          <cell r="G2173" t="str">
            <v>BCH-P007</v>
          </cell>
          <cell r="H2173" t="str">
            <v>107</v>
          </cell>
          <cell r="I2173" t="str">
            <v>Security / CCTV</v>
          </cell>
          <cell r="J2173" t="str">
            <v>Camera location, existing/security devices, VMS integration, access conditions and protection-in-place</v>
          </cell>
          <cell r="K2173">
            <v>0</v>
          </cell>
          <cell r="L2173" t="str">
            <v>Paul</v>
          </cell>
          <cell r="O2173" t="str">
            <v>Open</v>
          </cell>
          <cell r="Q2173" t="str">
            <v>BCH|66</v>
          </cell>
        </row>
        <row r="2174">
          <cell r="E2174" t="str">
            <v>10. PHOTO LOG</v>
          </cell>
          <cell r="G2174" t="str">
            <v>BCH-P008</v>
          </cell>
          <cell r="H2174" t="str">
            <v>All</v>
          </cell>
          <cell r="I2174" t="str">
            <v>Off-site Coordination</v>
          </cell>
          <cell r="J2174" t="str">
            <v>Site access, staging, ICRA/dust control, work area barriers and temporary service conditions</v>
          </cell>
          <cell r="K2174">
            <v>0</v>
          </cell>
          <cell r="L2174" t="str">
            <v>Paul</v>
          </cell>
          <cell r="O2174" t="str">
            <v>Open</v>
          </cell>
          <cell r="Q2174" t="str">
            <v>BCH|67</v>
          </cell>
        </row>
        <row r="2175">
          <cell r="E2175" t="str">
            <v>10. PHOTO LOG</v>
          </cell>
          <cell r="G2175">
            <v>0</v>
          </cell>
          <cell r="H2175">
            <v>0</v>
          </cell>
          <cell r="I2175">
            <v>0</v>
          </cell>
          <cell r="J2175">
            <v>0</v>
          </cell>
          <cell r="K2175">
            <v>0</v>
          </cell>
          <cell r="L2175">
            <v>0</v>
          </cell>
          <cell r="O2175">
            <v>0</v>
          </cell>
          <cell r="Q2175" t="str">
            <v>BCH|68</v>
          </cell>
        </row>
        <row r="2176">
          <cell r="E2176" t="str">
            <v>1. ROOM INVENTORY</v>
          </cell>
          <cell r="G2176" t="str">
            <v>1. ROOM INVENTORY</v>
          </cell>
          <cell r="H2176">
            <v>0</v>
          </cell>
          <cell r="I2176">
            <v>0</v>
          </cell>
          <cell r="J2176">
            <v>0</v>
          </cell>
          <cell r="K2176">
            <v>0</v>
          </cell>
          <cell r="L2176">
            <v>0</v>
          </cell>
          <cell r="O2176">
            <v>0</v>
          </cell>
          <cell r="Q2176" t="str">
            <v>MCR|1</v>
          </cell>
        </row>
        <row r="2177">
          <cell r="E2177" t="str">
            <v>1. ROOM INVENTORY</v>
          </cell>
          <cell r="G2177" t="str">
            <v>Building</v>
          </cell>
          <cell r="H2177" t="str">
            <v>Room</v>
          </cell>
          <cell r="I2177" t="str">
            <v>Floor</v>
          </cell>
          <cell r="J2177" t="str">
            <v>Existing Use</v>
          </cell>
          <cell r="K2177" t="str">
            <v>New Use</v>
          </cell>
          <cell r="L2177" t="str">
            <v>Rack Count</v>
          </cell>
          <cell r="O2177" t="str">
            <v>Drawing Ref</v>
          </cell>
          <cell r="Q2177" t="str">
            <v>MCR|2</v>
          </cell>
        </row>
        <row r="2178">
          <cell r="E2178" t="str">
            <v>1. ROOM INVENTORY</v>
          </cell>
          <cell r="G2178" t="str">
            <v>MCR</v>
          </cell>
          <cell r="H2178" t="str">
            <v>107 / MCR</v>
          </cell>
          <cell r="I2178" t="str">
            <v>Ground</v>
          </cell>
          <cell r="J2178" t="str">
            <v>New Main Computer Room / MCR building</v>
          </cell>
          <cell r="K2178" t="str">
            <v>Main Computer Room</v>
          </cell>
          <cell r="L2178">
            <v>12</v>
          </cell>
          <cell r="O2178" t="str">
            <v>MCRA-101 / MCRT-100 / MCRT-101 / MCRT-401 / MCRT-607-609 / MCRT-701</v>
          </cell>
          <cell r="Q2178" t="str">
            <v>MCR|3</v>
          </cell>
        </row>
        <row r="2179">
          <cell r="E2179" t="str">
            <v>1. ROOM INVENTORY</v>
          </cell>
          <cell r="G2179" t="str">
            <v>MCR</v>
          </cell>
          <cell r="H2179" t="str">
            <v>031 / Fiber Entrance Room 1</v>
          </cell>
          <cell r="I2179" t="str">
            <v>Ground</v>
          </cell>
          <cell r="J2179" t="str">
            <v>Fiber entrance / telecom pathway space</v>
          </cell>
          <cell r="K2179" t="str">
            <v>Fiber Entrance / support room</v>
          </cell>
          <cell r="L2179">
            <v>1</v>
          </cell>
          <cell r="O2179" t="str">
            <v>MCRT-401 / MCRT-701</v>
          </cell>
          <cell r="Q2179" t="str">
            <v>MCR|4</v>
          </cell>
        </row>
        <row r="2180">
          <cell r="E2180" t="str">
            <v>1. ROOM INVENTORY</v>
          </cell>
          <cell r="G2180" t="str">
            <v>MCR</v>
          </cell>
          <cell r="H2180" t="str">
            <v>MDA-A1/A2/A3</v>
          </cell>
          <cell r="I2180" t="str">
            <v>Ground</v>
          </cell>
          <cell r="J2180" t="str">
            <v>New MDA row A</v>
          </cell>
          <cell r="K2180" t="str">
            <v>Main Distribution Area A</v>
          </cell>
          <cell r="L2180">
            <v>3</v>
          </cell>
          <cell r="O2180" t="str">
            <v>MCRT-607</v>
          </cell>
          <cell r="Q2180" t="str">
            <v>MCR|5</v>
          </cell>
        </row>
        <row r="2181">
          <cell r="E2181" t="str">
            <v>1. ROOM INVENTORY</v>
          </cell>
          <cell r="G2181" t="str">
            <v>MCR</v>
          </cell>
          <cell r="H2181" t="str">
            <v>MDA-B1/B2/B3</v>
          </cell>
          <cell r="I2181" t="str">
            <v>Ground</v>
          </cell>
          <cell r="J2181" t="str">
            <v>New MDA row B</v>
          </cell>
          <cell r="K2181" t="str">
            <v>Main Distribution Area B</v>
          </cell>
          <cell r="L2181">
            <v>3</v>
          </cell>
          <cell r="O2181" t="str">
            <v>MCRT-607</v>
          </cell>
          <cell r="Q2181" t="str">
            <v>MCR|6</v>
          </cell>
        </row>
        <row r="2182">
          <cell r="E2182" t="str">
            <v>1. ROOM INVENTORY</v>
          </cell>
          <cell r="G2182" t="str">
            <v>MCR</v>
          </cell>
          <cell r="H2182" t="str">
            <v>HDA-A</v>
          </cell>
          <cell r="I2182" t="str">
            <v>Ground</v>
          </cell>
          <cell r="J2182" t="str">
            <v>New HDA A row</v>
          </cell>
          <cell r="K2182" t="str">
            <v>Horizontal Distribution Area A</v>
          </cell>
          <cell r="L2182">
            <v>1</v>
          </cell>
          <cell r="O2182" t="str">
            <v>MCRT-608</v>
          </cell>
          <cell r="Q2182" t="str">
            <v>MCR|7</v>
          </cell>
        </row>
        <row r="2183">
          <cell r="E2183" t="str">
            <v>1. ROOM INVENTORY</v>
          </cell>
          <cell r="G2183" t="str">
            <v>MCR</v>
          </cell>
          <cell r="H2183" t="str">
            <v>HDA-B</v>
          </cell>
          <cell r="I2183" t="str">
            <v>Ground</v>
          </cell>
          <cell r="J2183" t="str">
            <v>New HDA B row</v>
          </cell>
          <cell r="K2183" t="str">
            <v>Horizontal Distribution Area B</v>
          </cell>
          <cell r="L2183">
            <v>1</v>
          </cell>
          <cell r="O2183" t="str">
            <v>MCRT-609</v>
          </cell>
          <cell r="Q2183" t="str">
            <v>MCR|8</v>
          </cell>
        </row>
        <row r="2184">
          <cell r="E2184" t="str">
            <v>1. ROOM INVENTORY</v>
          </cell>
          <cell r="G2184" t="str">
            <v>MCR</v>
          </cell>
          <cell r="H2184" t="str">
            <v>Existing 107 / 137 Server MCR</v>
          </cell>
          <cell r="I2184" t="str">
            <v>Existing / transition</v>
          </cell>
          <cell r="J2184" t="str">
            <v>Existing MCR/server/core equipment</v>
          </cell>
          <cell r="K2184" t="str">
            <v>Existing equipment transition point</v>
          </cell>
          <cell r="L2184">
            <v>20</v>
          </cell>
          <cell r="O2184" t="str">
            <v>MCRT-604 / MCRT-605 / MCRT-606 / MCRT-608 / MCRT-609</v>
          </cell>
          <cell r="Q2184" t="str">
            <v>MCR|9</v>
          </cell>
        </row>
        <row r="2185">
          <cell r="E2185" t="str">
            <v>1. ROOM INVENTORY</v>
          </cell>
          <cell r="G2185">
            <v>0</v>
          </cell>
          <cell r="H2185">
            <v>0</v>
          </cell>
          <cell r="I2185">
            <v>0</v>
          </cell>
          <cell r="J2185">
            <v>0</v>
          </cell>
          <cell r="K2185">
            <v>0</v>
          </cell>
          <cell r="L2185">
            <v>0</v>
          </cell>
          <cell r="O2185">
            <v>0</v>
          </cell>
          <cell r="Q2185" t="str">
            <v>MCR|10</v>
          </cell>
        </row>
        <row r="2186">
          <cell r="E2186" t="str">
            <v>2. ROOM READINESS</v>
          </cell>
          <cell r="G2186" t="str">
            <v>2. ROOM READINESS</v>
          </cell>
          <cell r="H2186">
            <v>0</v>
          </cell>
          <cell r="I2186">
            <v>0</v>
          </cell>
          <cell r="J2186">
            <v>0</v>
          </cell>
          <cell r="K2186">
            <v>0</v>
          </cell>
          <cell r="L2186">
            <v>0</v>
          </cell>
          <cell r="O2186">
            <v>0</v>
          </cell>
          <cell r="Q2186" t="str">
            <v>MCR|11</v>
          </cell>
        </row>
        <row r="2187">
          <cell r="E2187" t="str">
            <v>2. ROOM READINESS</v>
          </cell>
          <cell r="G2187" t="str">
            <v>Room</v>
          </cell>
          <cell r="H2187" t="str">
            <v>Walls / 1-hr Rating</v>
          </cell>
          <cell r="I2187" t="str">
            <v>Ceiling</v>
          </cell>
          <cell r="J2187" t="str">
            <v>Floor / SDC</v>
          </cell>
          <cell r="K2187" t="str">
            <v>Penetrations</v>
          </cell>
          <cell r="L2187" t="str">
            <v>Access Control</v>
          </cell>
          <cell r="O2187" t="str">
            <v>Overall</v>
          </cell>
          <cell r="Q2187" t="str">
            <v>MCR|12</v>
          </cell>
        </row>
        <row r="2188">
          <cell r="E2188" t="str">
            <v>2. ROOM READINESS</v>
          </cell>
          <cell r="G2188" t="str">
            <v>107 / MCR</v>
          </cell>
          <cell r="H2188" t="str">
            <v>Verify</v>
          </cell>
          <cell r="I2188" t="str">
            <v>Verify</v>
          </cell>
          <cell r="J2188" t="str">
            <v>Verify</v>
          </cell>
          <cell r="K2188" t="str">
            <v>Verify</v>
          </cell>
          <cell r="L2188" t="str">
            <v>Verify</v>
          </cell>
          <cell r="O2188" t="str">
            <v>Verify</v>
          </cell>
          <cell r="Q2188" t="str">
            <v>MCR|13</v>
          </cell>
        </row>
        <row r="2189">
          <cell r="E2189" t="str">
            <v>2. ROOM READINESS</v>
          </cell>
          <cell r="G2189" t="str">
            <v>031</v>
          </cell>
          <cell r="H2189" t="str">
            <v>Verify</v>
          </cell>
          <cell r="I2189" t="str">
            <v>Verify</v>
          </cell>
          <cell r="J2189" t="str">
            <v>Verify</v>
          </cell>
          <cell r="K2189" t="str">
            <v>Verify</v>
          </cell>
          <cell r="L2189" t="str">
            <v>Verify</v>
          </cell>
          <cell r="O2189" t="str">
            <v>Verify</v>
          </cell>
          <cell r="Q2189" t="str">
            <v>MCR|14</v>
          </cell>
        </row>
        <row r="2190">
          <cell r="E2190" t="str">
            <v>2. ROOM READINESS</v>
          </cell>
          <cell r="G2190" t="str">
            <v>MDA-A/B</v>
          </cell>
          <cell r="H2190" t="str">
            <v>Verify</v>
          </cell>
          <cell r="I2190" t="str">
            <v>Verify</v>
          </cell>
          <cell r="J2190" t="str">
            <v>Verify</v>
          </cell>
          <cell r="K2190" t="str">
            <v>Verify</v>
          </cell>
          <cell r="L2190" t="str">
            <v>Verify</v>
          </cell>
          <cell r="O2190" t="str">
            <v>Verify</v>
          </cell>
          <cell r="Q2190" t="str">
            <v>MCR|15</v>
          </cell>
        </row>
        <row r="2191">
          <cell r="E2191" t="str">
            <v>2. ROOM READINESS</v>
          </cell>
          <cell r="G2191" t="str">
            <v>HDA-A/B</v>
          </cell>
          <cell r="H2191" t="str">
            <v>Verify</v>
          </cell>
          <cell r="I2191" t="str">
            <v>Verify</v>
          </cell>
          <cell r="J2191" t="str">
            <v>Verify</v>
          </cell>
          <cell r="K2191" t="str">
            <v>Verify</v>
          </cell>
          <cell r="L2191" t="str">
            <v>Verify</v>
          </cell>
          <cell r="O2191" t="str">
            <v>Verify</v>
          </cell>
          <cell r="Q2191" t="str">
            <v>MCR|16</v>
          </cell>
        </row>
        <row r="2192">
          <cell r="E2192" t="str">
            <v>2. ROOM READINESS</v>
          </cell>
          <cell r="G2192" t="str">
            <v>Existing 107/137</v>
          </cell>
          <cell r="H2192" t="str">
            <v>Existing / Verify</v>
          </cell>
          <cell r="I2192" t="str">
            <v>Existing / Verify</v>
          </cell>
          <cell r="J2192" t="str">
            <v>Existing / Verify</v>
          </cell>
          <cell r="K2192" t="str">
            <v>Verify</v>
          </cell>
          <cell r="L2192" t="str">
            <v>Verify</v>
          </cell>
          <cell r="O2192" t="str">
            <v>Verify</v>
          </cell>
          <cell r="Q2192" t="str">
            <v>MCR|17</v>
          </cell>
        </row>
        <row r="2193">
          <cell r="E2193" t="str">
            <v>2. ROOM READINESS</v>
          </cell>
          <cell r="G2193">
            <v>0</v>
          </cell>
          <cell r="H2193">
            <v>0</v>
          </cell>
          <cell r="I2193">
            <v>0</v>
          </cell>
          <cell r="J2193">
            <v>0</v>
          </cell>
          <cell r="K2193">
            <v>0</v>
          </cell>
          <cell r="L2193">
            <v>0</v>
          </cell>
          <cell r="O2193">
            <v>0</v>
          </cell>
          <cell r="Q2193" t="str">
            <v>MCR|18</v>
          </cell>
        </row>
        <row r="2194">
          <cell r="E2194" t="str">
            <v>3. FIRE PROTECTION</v>
          </cell>
          <cell r="G2194" t="str">
            <v>3. FIRE PROTECTION</v>
          </cell>
          <cell r="H2194">
            <v>0</v>
          </cell>
          <cell r="I2194">
            <v>0</v>
          </cell>
          <cell r="J2194">
            <v>0</v>
          </cell>
          <cell r="K2194">
            <v>0</v>
          </cell>
          <cell r="L2194">
            <v>0</v>
          </cell>
          <cell r="O2194">
            <v>0</v>
          </cell>
          <cell r="Q2194" t="str">
            <v>MCR|19</v>
          </cell>
        </row>
        <row r="2195">
          <cell r="E2195" t="str">
            <v>3. FIRE PROTECTION</v>
          </cell>
          <cell r="G2195" t="str">
            <v>Room</v>
          </cell>
          <cell r="H2195" t="str">
            <v>Sprinkler</v>
          </cell>
          <cell r="I2195" t="str">
            <v>Cage</v>
          </cell>
          <cell r="J2195" t="str">
            <v>Detector</v>
          </cell>
          <cell r="K2195" t="str">
            <v>Horn/Strobe</v>
          </cell>
          <cell r="L2195" t="str">
            <v>Extinguisher &lt;75 ft</v>
          </cell>
          <cell r="O2195" t="str">
            <v>Overall</v>
          </cell>
          <cell r="Q2195" t="str">
            <v>MCR|20</v>
          </cell>
        </row>
        <row r="2196">
          <cell r="E2196" t="str">
            <v>3. FIRE PROTECTION</v>
          </cell>
          <cell r="G2196" t="str">
            <v>107 / MCR</v>
          </cell>
          <cell r="H2196" t="str">
            <v>Verify</v>
          </cell>
          <cell r="I2196" t="str">
            <v>Verify</v>
          </cell>
          <cell r="J2196" t="str">
            <v>Verify</v>
          </cell>
          <cell r="K2196" t="str">
            <v>Verify</v>
          </cell>
          <cell r="L2196" t="str">
            <v>Verify</v>
          </cell>
          <cell r="O2196" t="str">
            <v>Verify</v>
          </cell>
          <cell r="Q2196" t="str">
            <v>MCR|21</v>
          </cell>
        </row>
        <row r="2197">
          <cell r="E2197" t="str">
            <v>3. FIRE PROTECTION</v>
          </cell>
          <cell r="G2197" t="str">
            <v>031</v>
          </cell>
          <cell r="H2197" t="str">
            <v>Verify</v>
          </cell>
          <cell r="I2197" t="str">
            <v>N/A</v>
          </cell>
          <cell r="J2197" t="str">
            <v>Verify</v>
          </cell>
          <cell r="K2197" t="str">
            <v>Verify</v>
          </cell>
          <cell r="L2197" t="str">
            <v>Verify</v>
          </cell>
          <cell r="O2197" t="str">
            <v>Verify</v>
          </cell>
          <cell r="Q2197" t="str">
            <v>MCR|22</v>
          </cell>
        </row>
        <row r="2198">
          <cell r="E2198" t="str">
            <v>3. FIRE PROTECTION</v>
          </cell>
          <cell r="G2198" t="str">
            <v>MDA-A/B</v>
          </cell>
          <cell r="H2198" t="str">
            <v>Verify</v>
          </cell>
          <cell r="I2198" t="str">
            <v>Verify</v>
          </cell>
          <cell r="J2198" t="str">
            <v>Verify</v>
          </cell>
          <cell r="K2198" t="str">
            <v>Verify</v>
          </cell>
          <cell r="L2198" t="str">
            <v>Verify</v>
          </cell>
          <cell r="O2198" t="str">
            <v>Verify</v>
          </cell>
          <cell r="Q2198" t="str">
            <v>MCR|23</v>
          </cell>
        </row>
        <row r="2199">
          <cell r="E2199" t="str">
            <v>3. FIRE PROTECTION</v>
          </cell>
          <cell r="G2199" t="str">
            <v>HDA-A/B</v>
          </cell>
          <cell r="H2199" t="str">
            <v>Verify</v>
          </cell>
          <cell r="I2199" t="str">
            <v>Verify</v>
          </cell>
          <cell r="J2199" t="str">
            <v>Verify</v>
          </cell>
          <cell r="K2199" t="str">
            <v>Verify</v>
          </cell>
          <cell r="L2199" t="str">
            <v>Verify</v>
          </cell>
          <cell r="O2199" t="str">
            <v>Verify</v>
          </cell>
          <cell r="Q2199" t="str">
            <v>MCR|24</v>
          </cell>
        </row>
        <row r="2200">
          <cell r="E2200" t="str">
            <v>3. FIRE PROTECTION</v>
          </cell>
          <cell r="G2200" t="str">
            <v>Existing 107/137</v>
          </cell>
          <cell r="H2200" t="str">
            <v>Verify</v>
          </cell>
          <cell r="I2200" t="str">
            <v>N/A</v>
          </cell>
          <cell r="J2200" t="str">
            <v>Verify</v>
          </cell>
          <cell r="K2200" t="str">
            <v>Verify</v>
          </cell>
          <cell r="L2200" t="str">
            <v>Verify</v>
          </cell>
          <cell r="O2200" t="str">
            <v>Verify</v>
          </cell>
          <cell r="Q2200" t="str">
            <v>MCR|25</v>
          </cell>
        </row>
        <row r="2201">
          <cell r="E2201" t="str">
            <v>3. FIRE PROTECTION</v>
          </cell>
          <cell r="G2201">
            <v>0</v>
          </cell>
          <cell r="H2201">
            <v>0</v>
          </cell>
          <cell r="I2201">
            <v>0</v>
          </cell>
          <cell r="J2201">
            <v>0</v>
          </cell>
          <cell r="K2201">
            <v>0</v>
          </cell>
          <cell r="L2201">
            <v>0</v>
          </cell>
          <cell r="O2201">
            <v>0</v>
          </cell>
          <cell r="Q2201" t="str">
            <v>MCR|26</v>
          </cell>
        </row>
        <row r="2202">
          <cell r="E2202" t="str">
            <v>4. HVAC / COOLING</v>
          </cell>
          <cell r="G2202" t="str">
            <v>4. HVAC / COOLING</v>
          </cell>
          <cell r="H2202">
            <v>0</v>
          </cell>
          <cell r="I2202">
            <v>0</v>
          </cell>
          <cell r="J2202">
            <v>0</v>
          </cell>
          <cell r="K2202">
            <v>0</v>
          </cell>
          <cell r="L2202">
            <v>0</v>
          </cell>
          <cell r="O2202">
            <v>0</v>
          </cell>
          <cell r="Q2202" t="str">
            <v>MCR|27</v>
          </cell>
        </row>
        <row r="2203">
          <cell r="E2203" t="str">
            <v>4. HVAC / COOLING</v>
          </cell>
          <cell r="G2203" t="str">
            <v>Room</v>
          </cell>
          <cell r="H2203" t="str">
            <v>Dedicated Unit</v>
          </cell>
          <cell r="I2203" t="str">
            <v>Capacity Verified</v>
          </cell>
          <cell r="J2203" t="str">
            <v>Emergency Power</v>
          </cell>
          <cell r="K2203" t="str">
            <v>Controls / BACnet</v>
          </cell>
          <cell r="L2203" t="str">
            <v>Condensate Routed</v>
          </cell>
          <cell r="O2203" t="str">
            <v>Overall</v>
          </cell>
          <cell r="Q2203" t="str">
            <v>MCR|28</v>
          </cell>
        </row>
        <row r="2204">
          <cell r="E2204" t="str">
            <v>4. HVAC / COOLING</v>
          </cell>
          <cell r="G2204" t="str">
            <v>107 / MCR</v>
          </cell>
          <cell r="H2204" t="str">
            <v>CRAC units / verify</v>
          </cell>
          <cell r="I2204" t="str">
            <v>Verify</v>
          </cell>
          <cell r="J2204" t="str">
            <v>Verify</v>
          </cell>
          <cell r="K2204" t="str">
            <v>Verify</v>
          </cell>
          <cell r="L2204" t="str">
            <v>Verify</v>
          </cell>
          <cell r="O2204" t="str">
            <v>Verify</v>
          </cell>
          <cell r="Q2204" t="str">
            <v>MCR|29</v>
          </cell>
        </row>
        <row r="2205">
          <cell r="E2205" t="str">
            <v>4. HVAC / COOLING</v>
          </cell>
          <cell r="G2205" t="str">
            <v>UPS-A / UPS-B</v>
          </cell>
          <cell r="H2205" t="str">
            <v>Dedicated cooling / verify</v>
          </cell>
          <cell r="I2205" t="str">
            <v>Verify</v>
          </cell>
          <cell r="J2205" t="str">
            <v>Verify</v>
          </cell>
          <cell r="K2205" t="str">
            <v>Verify</v>
          </cell>
          <cell r="L2205" t="str">
            <v>Verify</v>
          </cell>
          <cell r="O2205" t="str">
            <v>Verify</v>
          </cell>
          <cell r="Q2205" t="str">
            <v>MCR|30</v>
          </cell>
        </row>
        <row r="2206">
          <cell r="E2206" t="str">
            <v>4. HVAC / COOLING</v>
          </cell>
          <cell r="G2206" t="str">
            <v>MDA-A/B</v>
          </cell>
          <cell r="H2206" t="str">
            <v>CRAC-served MCR</v>
          </cell>
          <cell r="I2206" t="str">
            <v>Verify</v>
          </cell>
          <cell r="J2206" t="str">
            <v>Verify</v>
          </cell>
          <cell r="K2206" t="str">
            <v>Verify</v>
          </cell>
          <cell r="L2206" t="str">
            <v>Verify</v>
          </cell>
          <cell r="O2206" t="str">
            <v>Verify</v>
          </cell>
          <cell r="Q2206" t="str">
            <v>MCR|31</v>
          </cell>
        </row>
        <row r="2207">
          <cell r="E2207" t="str">
            <v>4. HVAC / COOLING</v>
          </cell>
          <cell r="G2207" t="str">
            <v>HDA-A/B</v>
          </cell>
          <cell r="H2207" t="str">
            <v>CRAC-served MCR</v>
          </cell>
          <cell r="I2207" t="str">
            <v>Verify</v>
          </cell>
          <cell r="J2207" t="str">
            <v>Verify</v>
          </cell>
          <cell r="K2207" t="str">
            <v>Verify</v>
          </cell>
          <cell r="L2207" t="str">
            <v>Verify</v>
          </cell>
          <cell r="O2207" t="str">
            <v>Verify</v>
          </cell>
          <cell r="Q2207" t="str">
            <v>MCR|32</v>
          </cell>
        </row>
        <row r="2208">
          <cell r="E2208" t="str">
            <v>4. HVAC / COOLING</v>
          </cell>
          <cell r="G2208" t="str">
            <v>Existing 107/137</v>
          </cell>
          <cell r="H2208" t="str">
            <v>Existing / Verify</v>
          </cell>
          <cell r="I2208" t="str">
            <v>Verify</v>
          </cell>
          <cell r="J2208" t="str">
            <v>Verify</v>
          </cell>
          <cell r="K2208" t="str">
            <v>Verify</v>
          </cell>
          <cell r="L2208" t="str">
            <v>Verify</v>
          </cell>
          <cell r="O2208" t="str">
            <v>Verify</v>
          </cell>
          <cell r="Q2208" t="str">
            <v>MCR|33</v>
          </cell>
        </row>
        <row r="2209">
          <cell r="E2209" t="str">
            <v>4. HVAC / COOLING</v>
          </cell>
          <cell r="G2209">
            <v>0</v>
          </cell>
          <cell r="H2209">
            <v>0</v>
          </cell>
          <cell r="I2209">
            <v>0</v>
          </cell>
          <cell r="J2209">
            <v>0</v>
          </cell>
          <cell r="K2209">
            <v>0</v>
          </cell>
          <cell r="L2209">
            <v>0</v>
          </cell>
          <cell r="O2209">
            <v>0</v>
          </cell>
          <cell r="Q2209" t="str">
            <v>MCR|34</v>
          </cell>
        </row>
        <row r="2210">
          <cell r="E2210" t="str">
            <v>5. ELECTRICAL / UPS</v>
          </cell>
          <cell r="G2210" t="str">
            <v>5. ELECTRICAL / UPS</v>
          </cell>
          <cell r="H2210">
            <v>0</v>
          </cell>
          <cell r="I2210">
            <v>0</v>
          </cell>
          <cell r="J2210">
            <v>0</v>
          </cell>
          <cell r="K2210">
            <v>0</v>
          </cell>
          <cell r="L2210">
            <v>0</v>
          </cell>
          <cell r="O2210">
            <v>0</v>
          </cell>
          <cell r="Q2210" t="str">
            <v>MCR|35</v>
          </cell>
        </row>
        <row r="2211">
          <cell r="E2211" t="str">
            <v>5. ELECTRICAL / UPS</v>
          </cell>
          <cell r="G2211" t="str">
            <v>Room</v>
          </cell>
          <cell r="H2211" t="str">
            <v>UPS Installed</v>
          </cell>
          <cell r="I2211" t="str">
            <v>UPS Size</v>
          </cell>
          <cell r="J2211" t="str">
            <v>PDU Installed</v>
          </cell>
          <cell r="K2211" t="str">
            <v>Rack Receptacles</v>
          </cell>
          <cell r="L2211" t="str">
            <v>Panel Assigned</v>
          </cell>
          <cell r="O2211" t="str">
            <v>Overall</v>
          </cell>
          <cell r="Q2211" t="str">
            <v>MCR|36</v>
          </cell>
        </row>
        <row r="2212">
          <cell r="E2212" t="str">
            <v>5. ELECTRICAL / UPS</v>
          </cell>
          <cell r="G2212" t="str">
            <v>107 / MCR</v>
          </cell>
          <cell r="H2212" t="str">
            <v>UPS-A / UPS-B</v>
          </cell>
          <cell r="I2212" t="str">
            <v>Verify</v>
          </cell>
          <cell r="J2212" t="str">
            <v>Verify</v>
          </cell>
          <cell r="K2212" t="str">
            <v>Verify</v>
          </cell>
          <cell r="L2212" t="str">
            <v>MCRE-401/402/403/601/701/702</v>
          </cell>
          <cell r="O2212" t="str">
            <v>Verify</v>
          </cell>
          <cell r="Q2212" t="str">
            <v>MCR|37</v>
          </cell>
        </row>
        <row r="2213">
          <cell r="E2213" t="str">
            <v>5. ELECTRICAL / UPS</v>
          </cell>
          <cell r="G2213" t="str">
            <v>MDA-A/B</v>
          </cell>
          <cell r="H2213" t="str">
            <v>Verify</v>
          </cell>
          <cell r="I2213" t="str">
            <v>Rack/PDU dependent</v>
          </cell>
          <cell r="J2213" t="str">
            <v>Verify</v>
          </cell>
          <cell r="K2213" t="str">
            <v>Verify</v>
          </cell>
          <cell r="L2213" t="str">
            <v>MCR telecom panels / verify</v>
          </cell>
          <cell r="O2213" t="str">
            <v>Verify</v>
          </cell>
          <cell r="Q2213" t="str">
            <v>MCR|38</v>
          </cell>
        </row>
        <row r="2214">
          <cell r="E2214" t="str">
            <v>5. ELECTRICAL / UPS</v>
          </cell>
          <cell r="G2214" t="str">
            <v>HDA-A/B</v>
          </cell>
          <cell r="H2214" t="str">
            <v>Verify</v>
          </cell>
          <cell r="I2214" t="str">
            <v>Cabinet/PDU dependent</v>
          </cell>
          <cell r="J2214" t="str">
            <v>Verify</v>
          </cell>
          <cell r="K2214" t="str">
            <v>Verify</v>
          </cell>
          <cell r="L2214" t="str">
            <v>MCR telecom/UPS panels / verify</v>
          </cell>
          <cell r="O2214" t="str">
            <v>Verify</v>
          </cell>
          <cell r="Q2214" t="str">
            <v>MCR|39</v>
          </cell>
        </row>
        <row r="2215">
          <cell r="E2215" t="str">
            <v>5. ELECTRICAL / UPS</v>
          </cell>
          <cell r="G2215" t="str">
            <v>Existing 107/137</v>
          </cell>
          <cell r="H2215" t="str">
            <v>Existing / Verify</v>
          </cell>
          <cell r="I2215" t="str">
            <v>Existing rack UPS/PDU</v>
          </cell>
          <cell r="J2215" t="str">
            <v>Existing / Verify</v>
          </cell>
          <cell r="K2215" t="str">
            <v>Verify</v>
          </cell>
          <cell r="L2215" t="str">
            <v>Existing / verify</v>
          </cell>
          <cell r="O2215" t="str">
            <v>Verify</v>
          </cell>
          <cell r="Q2215" t="str">
            <v>MCR|40</v>
          </cell>
        </row>
        <row r="2216">
          <cell r="E2216" t="str">
            <v>5. ELECTRICAL / UPS</v>
          </cell>
          <cell r="G2216" t="str">
            <v>Site / Utility</v>
          </cell>
          <cell r="H2216" t="str">
            <v>Verify</v>
          </cell>
          <cell r="I2216" t="str">
            <v>N/A</v>
          </cell>
          <cell r="J2216" t="str">
            <v>N/A</v>
          </cell>
          <cell r="K2216" t="str">
            <v>N/A</v>
          </cell>
          <cell r="L2216" t="str">
            <v>MCRES / MCRE site one-line</v>
          </cell>
          <cell r="O2216" t="str">
            <v>Verify</v>
          </cell>
          <cell r="Q2216" t="str">
            <v>MCR|41</v>
          </cell>
        </row>
        <row r="2217">
          <cell r="E2217" t="str">
            <v>5. ELECTRICAL / UPS</v>
          </cell>
          <cell r="G2217">
            <v>0</v>
          </cell>
          <cell r="H2217">
            <v>0</v>
          </cell>
          <cell r="I2217">
            <v>0</v>
          </cell>
          <cell r="J2217">
            <v>0</v>
          </cell>
          <cell r="K2217">
            <v>0</v>
          </cell>
          <cell r="L2217">
            <v>0</v>
          </cell>
          <cell r="O2217">
            <v>0</v>
          </cell>
          <cell r="Q2217" t="str">
            <v>MCR|42</v>
          </cell>
        </row>
        <row r="2218">
          <cell r="E2218" t="str">
            <v>6. TELECOMMUNICATIONS</v>
          </cell>
          <cell r="G2218" t="str">
            <v>6. TELECOMMUNICATIONS</v>
          </cell>
          <cell r="H2218">
            <v>0</v>
          </cell>
          <cell r="I2218">
            <v>0</v>
          </cell>
          <cell r="J2218">
            <v>0</v>
          </cell>
          <cell r="K2218">
            <v>0</v>
          </cell>
          <cell r="L2218">
            <v>0</v>
          </cell>
          <cell r="O2218">
            <v>0</v>
          </cell>
          <cell r="Q2218" t="str">
            <v>MCR|43</v>
          </cell>
        </row>
        <row r="2219">
          <cell r="E2219" t="str">
            <v>6. TELECOMMUNICATIONS</v>
          </cell>
          <cell r="G2219" t="str">
            <v>Room</v>
          </cell>
          <cell r="H2219" t="str">
            <v>Rack Installed</v>
          </cell>
          <cell r="I2219" t="str">
            <v>Ladder Tray</v>
          </cell>
          <cell r="J2219" t="str">
            <v>Fiber Installed</v>
          </cell>
          <cell r="K2219" t="str">
            <v>Grounding</v>
          </cell>
          <cell r="L2219" t="str">
            <v>Labeling</v>
          </cell>
          <cell r="O2219" t="str">
            <v>Overall</v>
          </cell>
          <cell r="Q2219" t="str">
            <v>MCR|44</v>
          </cell>
        </row>
        <row r="2220">
          <cell r="E2220" t="str">
            <v>6. TELECOMMUNICATIONS</v>
          </cell>
          <cell r="G2220" t="str">
            <v>107 / MCR</v>
          </cell>
          <cell r="H2220" t="str">
            <v>Verify</v>
          </cell>
          <cell r="I2220" t="str">
            <v>Verify</v>
          </cell>
          <cell r="J2220" t="str">
            <v>Verify</v>
          </cell>
          <cell r="K2220" t="str">
            <v>Verify</v>
          </cell>
          <cell r="L2220" t="str">
            <v>Verify</v>
          </cell>
          <cell r="O2220" t="str">
            <v>Verify</v>
          </cell>
          <cell r="Q2220" t="str">
            <v>MCR|45</v>
          </cell>
        </row>
        <row r="2221">
          <cell r="E2221" t="str">
            <v>6. TELECOMMUNICATIONS</v>
          </cell>
          <cell r="G2221" t="str">
            <v>031</v>
          </cell>
          <cell r="H2221" t="str">
            <v>Verify</v>
          </cell>
          <cell r="I2221" t="str">
            <v>Verify</v>
          </cell>
          <cell r="J2221" t="str">
            <v>Verify</v>
          </cell>
          <cell r="K2221" t="str">
            <v>Verify</v>
          </cell>
          <cell r="L2221" t="str">
            <v>Verify</v>
          </cell>
          <cell r="O2221" t="str">
            <v>Verify</v>
          </cell>
          <cell r="Q2221" t="str">
            <v>MCR|46</v>
          </cell>
        </row>
        <row r="2222">
          <cell r="E2222" t="str">
            <v>6. TELECOMMUNICATIONS</v>
          </cell>
          <cell r="G2222" t="str">
            <v>MDA-A/B</v>
          </cell>
          <cell r="H2222" t="str">
            <v>Verify</v>
          </cell>
          <cell r="I2222" t="str">
            <v>Verify</v>
          </cell>
          <cell r="J2222" t="str">
            <v>Verify</v>
          </cell>
          <cell r="K2222" t="str">
            <v>Verify</v>
          </cell>
          <cell r="L2222" t="str">
            <v>Verify</v>
          </cell>
          <cell r="O2222" t="str">
            <v>Verify</v>
          </cell>
          <cell r="Q2222" t="str">
            <v>MCR|47</v>
          </cell>
        </row>
        <row r="2223">
          <cell r="E2223" t="str">
            <v>6. TELECOMMUNICATIONS</v>
          </cell>
          <cell r="G2223" t="str">
            <v>HDA-A/B</v>
          </cell>
          <cell r="H2223" t="str">
            <v>Verify</v>
          </cell>
          <cell r="I2223" t="str">
            <v>Verify</v>
          </cell>
          <cell r="J2223" t="str">
            <v>Verify</v>
          </cell>
          <cell r="K2223" t="str">
            <v>Verify</v>
          </cell>
          <cell r="L2223" t="str">
            <v>Verify</v>
          </cell>
          <cell r="O2223" t="str">
            <v>Verify</v>
          </cell>
          <cell r="Q2223" t="str">
            <v>MCR|48</v>
          </cell>
        </row>
        <row r="2224">
          <cell r="E2224" t="str">
            <v>6. TELECOMMUNICATIONS</v>
          </cell>
          <cell r="G2224" t="str">
            <v>Existing 107/137</v>
          </cell>
          <cell r="H2224" t="str">
            <v>Existing / Verify</v>
          </cell>
          <cell r="I2224" t="str">
            <v>Existing / Verify</v>
          </cell>
          <cell r="J2224" t="str">
            <v>Existing / Verify</v>
          </cell>
          <cell r="K2224" t="str">
            <v>Verify</v>
          </cell>
          <cell r="L2224" t="str">
            <v>Verify</v>
          </cell>
          <cell r="O2224" t="str">
            <v>Verify</v>
          </cell>
          <cell r="Q2224" t="str">
            <v>MCR|49</v>
          </cell>
        </row>
        <row r="2225">
          <cell r="E2225" t="str">
            <v>6. TELECOMMUNICATIONS</v>
          </cell>
          <cell r="G2225">
            <v>0</v>
          </cell>
          <cell r="H2225">
            <v>0</v>
          </cell>
          <cell r="I2225">
            <v>0</v>
          </cell>
          <cell r="J2225">
            <v>0</v>
          </cell>
          <cell r="K2225">
            <v>0</v>
          </cell>
          <cell r="L2225">
            <v>0</v>
          </cell>
          <cell r="O2225">
            <v>0</v>
          </cell>
          <cell r="Q2225" t="str">
            <v>MCR|50</v>
          </cell>
        </row>
        <row r="2226">
          <cell r="E2226" t="str">
            <v>7. SECURITY / PACS / CCTV</v>
          </cell>
          <cell r="G2226" t="str">
            <v>7. SECURITY / PACS / CCTV</v>
          </cell>
          <cell r="H2226">
            <v>0</v>
          </cell>
          <cell r="I2226">
            <v>0</v>
          </cell>
          <cell r="J2226">
            <v>0</v>
          </cell>
          <cell r="K2226">
            <v>0</v>
          </cell>
          <cell r="L2226">
            <v>0</v>
          </cell>
          <cell r="O2226">
            <v>0</v>
          </cell>
          <cell r="Q2226" t="str">
            <v>MCR|51</v>
          </cell>
        </row>
        <row r="2227">
          <cell r="E2227" t="str">
            <v>7. SECURITY / PACS / CCTV</v>
          </cell>
          <cell r="G2227" t="str">
            <v>Room</v>
          </cell>
          <cell r="H2227" t="str">
            <v>PACS</v>
          </cell>
          <cell r="I2227" t="str">
            <v>Card Reader</v>
          </cell>
          <cell r="J2227" t="str">
            <v>Door Position</v>
          </cell>
          <cell r="K2227" t="str">
            <v>Electric Strike</v>
          </cell>
          <cell r="L2227" t="str">
            <v>CCTV</v>
          </cell>
          <cell r="O2227" t="str">
            <v>Overall</v>
          </cell>
          <cell r="Q2227" t="str">
            <v>MCR|52</v>
          </cell>
        </row>
        <row r="2228">
          <cell r="E2228" t="str">
            <v>7. SECURITY / PACS / CCTV</v>
          </cell>
          <cell r="G2228" t="str">
            <v>107 / MCR</v>
          </cell>
          <cell r="H2228" t="str">
            <v>Verify</v>
          </cell>
          <cell r="I2228" t="str">
            <v>Verify</v>
          </cell>
          <cell r="J2228" t="str">
            <v>Verify</v>
          </cell>
          <cell r="K2228" t="str">
            <v>Verify</v>
          </cell>
          <cell r="L2228" t="str">
            <v>Verify</v>
          </cell>
          <cell r="O2228" t="str">
            <v>Verify</v>
          </cell>
          <cell r="Q2228" t="str">
            <v>MCR|53</v>
          </cell>
        </row>
        <row r="2229">
          <cell r="E2229" t="str">
            <v>7. SECURITY / PACS / CCTV</v>
          </cell>
          <cell r="G2229" t="str">
            <v>031</v>
          </cell>
          <cell r="H2229" t="str">
            <v>Verify</v>
          </cell>
          <cell r="I2229" t="str">
            <v>Verify</v>
          </cell>
          <cell r="J2229" t="str">
            <v>Verify</v>
          </cell>
          <cell r="K2229" t="str">
            <v>Verify</v>
          </cell>
          <cell r="L2229" t="str">
            <v>Verify</v>
          </cell>
          <cell r="O2229" t="str">
            <v>Verify</v>
          </cell>
          <cell r="Q2229" t="str">
            <v>MCR|54</v>
          </cell>
        </row>
        <row r="2230">
          <cell r="E2230" t="str">
            <v>7. SECURITY / PACS / CCTV</v>
          </cell>
          <cell r="G2230" t="str">
            <v>MDA-A/B</v>
          </cell>
          <cell r="H2230" t="str">
            <v>Verify</v>
          </cell>
          <cell r="I2230" t="str">
            <v>Verify</v>
          </cell>
          <cell r="J2230" t="str">
            <v>Verify</v>
          </cell>
          <cell r="K2230" t="str">
            <v>Verify</v>
          </cell>
          <cell r="L2230" t="str">
            <v>Verify</v>
          </cell>
          <cell r="O2230" t="str">
            <v>Verify</v>
          </cell>
          <cell r="Q2230" t="str">
            <v>MCR|55</v>
          </cell>
        </row>
        <row r="2231">
          <cell r="E2231" t="str">
            <v>7. SECURITY / PACS / CCTV</v>
          </cell>
          <cell r="G2231" t="str">
            <v>HDA-A/B</v>
          </cell>
          <cell r="H2231" t="str">
            <v>Verify</v>
          </cell>
          <cell r="I2231" t="str">
            <v>Verify</v>
          </cell>
          <cell r="J2231" t="str">
            <v>Verify</v>
          </cell>
          <cell r="K2231" t="str">
            <v>Verify</v>
          </cell>
          <cell r="L2231" t="str">
            <v>Verify</v>
          </cell>
          <cell r="O2231" t="str">
            <v>Verify</v>
          </cell>
          <cell r="Q2231" t="str">
            <v>MCR|56</v>
          </cell>
        </row>
        <row r="2232">
          <cell r="E2232" t="str">
            <v>7. SECURITY / PACS / CCTV</v>
          </cell>
          <cell r="G2232" t="str">
            <v>Existing 107/137</v>
          </cell>
          <cell r="H2232" t="str">
            <v>Existing / Verify</v>
          </cell>
          <cell r="I2232" t="str">
            <v>Existing / Verify</v>
          </cell>
          <cell r="J2232" t="str">
            <v>Existing / Verify</v>
          </cell>
          <cell r="K2232" t="str">
            <v>Existing / Verify</v>
          </cell>
          <cell r="L2232" t="str">
            <v>Verify</v>
          </cell>
          <cell r="O2232" t="str">
            <v>Verify</v>
          </cell>
          <cell r="Q2232" t="str">
            <v>MCR|57</v>
          </cell>
        </row>
        <row r="2233">
          <cell r="E2233" t="str">
            <v>7. SECURITY / PACS / CCTV</v>
          </cell>
          <cell r="G2233">
            <v>0</v>
          </cell>
          <cell r="H2233">
            <v>0</v>
          </cell>
          <cell r="I2233">
            <v>0</v>
          </cell>
          <cell r="J2233">
            <v>0</v>
          </cell>
          <cell r="K2233">
            <v>0</v>
          </cell>
          <cell r="L2233">
            <v>0</v>
          </cell>
          <cell r="O2233">
            <v>0</v>
          </cell>
          <cell r="Q2233" t="str">
            <v>MCR|58</v>
          </cell>
        </row>
        <row r="2234">
          <cell r="E2234" t="str">
            <v>8. OWNER RISKS</v>
          </cell>
          <cell r="G2234" t="str">
            <v>8. OWNER RISKS</v>
          </cell>
          <cell r="H2234">
            <v>0</v>
          </cell>
          <cell r="I2234">
            <v>0</v>
          </cell>
          <cell r="J2234">
            <v>0</v>
          </cell>
          <cell r="K2234">
            <v>0</v>
          </cell>
          <cell r="L2234">
            <v>0</v>
          </cell>
          <cell r="O2234">
            <v>0</v>
          </cell>
          <cell r="Q2234" t="str">
            <v>MCR|59</v>
          </cell>
        </row>
        <row r="2235">
          <cell r="E2235" t="str">
            <v>8. OWNER RISKS</v>
          </cell>
          <cell r="G2235" t="str">
            <v>Risk ID</v>
          </cell>
          <cell r="H2235" t="str">
            <v>Room</v>
          </cell>
          <cell r="I2235" t="str">
            <v>Risk</v>
          </cell>
          <cell r="J2235" t="str">
            <v>Impact</v>
          </cell>
          <cell r="K2235" t="str">
            <v>Probability</v>
          </cell>
          <cell r="L2235" t="str">
            <v>Score</v>
          </cell>
          <cell r="O2235" t="str">
            <v>Status</v>
          </cell>
          <cell r="Q2235" t="str">
            <v>MCR|60</v>
          </cell>
        </row>
        <row r="2236">
          <cell r="E2236" t="str">
            <v>8. OWNER RISKS</v>
          </cell>
          <cell r="G2236" t="str">
            <v>MCR-R1</v>
          </cell>
          <cell r="H2236" t="str">
            <v>All</v>
          </cell>
          <cell r="I2236" t="str">
            <v>MCR is a new standalone critical facility with 120-sheet multi-discipline scope</v>
          </cell>
          <cell r="J2236" t="str">
            <v>Critical</v>
          </cell>
          <cell r="K2236" t="str">
            <v>Medium</v>
          </cell>
          <cell r="L2236">
            <v>8</v>
          </cell>
          <cell r="O2236" t="str">
            <v>Open</v>
          </cell>
          <cell r="Q2236" t="str">
            <v>MCR|61</v>
          </cell>
        </row>
        <row r="2237">
          <cell r="E2237" t="str">
            <v>8. OWNER RISKS</v>
          </cell>
          <cell r="G2237" t="str">
            <v>MCR-R2</v>
          </cell>
          <cell r="H2237" t="str">
            <v>Existing 107/137</v>
          </cell>
          <cell r="I2237" t="str">
            <v>Existing MCR/server/core equipment transfer may interrupt hospital network operations</v>
          </cell>
          <cell r="J2237" t="str">
            <v>Critical</v>
          </cell>
          <cell r="K2237" t="str">
            <v>Medium</v>
          </cell>
          <cell r="L2237">
            <v>8</v>
          </cell>
          <cell r="O2237" t="str">
            <v>Open</v>
          </cell>
          <cell r="Q2237" t="str">
            <v>MCR|62</v>
          </cell>
        </row>
        <row r="2238">
          <cell r="E2238" t="str">
            <v>8. OWNER RISKS</v>
          </cell>
          <cell r="G2238" t="str">
            <v>MCR-R3</v>
          </cell>
          <cell r="H2238" t="str">
            <v>MDA/HDA</v>
          </cell>
          <cell r="I2238" t="str">
            <v>A/B fiber path diversity and backbone commissioning not verified</v>
          </cell>
          <cell r="J2238" t="str">
            <v>Critical</v>
          </cell>
          <cell r="K2238" t="str">
            <v>Medium</v>
          </cell>
          <cell r="L2238">
            <v>8</v>
          </cell>
          <cell r="O2238" t="str">
            <v>Open</v>
          </cell>
          <cell r="Q2238" t="str">
            <v>MCR|63</v>
          </cell>
        </row>
        <row r="2239">
          <cell r="E2239" t="str">
            <v>8. OWNER RISKS</v>
          </cell>
          <cell r="G2239" t="str">
            <v>MCR-R4</v>
          </cell>
          <cell r="H2239" t="str">
            <v>MCR / UPS</v>
          </cell>
          <cell r="I2239" t="str">
            <v>UPS-A/B, ATS/generator, panel source and PDU coordination could delay activation</v>
          </cell>
          <cell r="J2239" t="str">
            <v>Critical</v>
          </cell>
          <cell r="K2239" t="str">
            <v>Medium</v>
          </cell>
          <cell r="L2239">
            <v>8</v>
          </cell>
          <cell r="O2239" t="str">
            <v>Open</v>
          </cell>
          <cell r="Q2239" t="str">
            <v>MCR|64</v>
          </cell>
        </row>
        <row r="2240">
          <cell r="E2240" t="str">
            <v>8. OWNER RISKS</v>
          </cell>
          <cell r="G2240" t="str">
            <v>MCR-R5</v>
          </cell>
          <cell r="H2240" t="str">
            <v>MCR</v>
          </cell>
          <cell r="I2240" t="str">
            <v>CRAC capacity, redundancy, condensate, BMS/FMS alarms and emergency power not verified</v>
          </cell>
          <cell r="J2240" t="str">
            <v>Critical</v>
          </cell>
          <cell r="K2240" t="str">
            <v>Medium</v>
          </cell>
          <cell r="L2240">
            <v>8</v>
          </cell>
          <cell r="O2240" t="str">
            <v>Open</v>
          </cell>
          <cell r="Q2240" t="str">
            <v>MCR|65</v>
          </cell>
        </row>
        <row r="2241">
          <cell r="E2241" t="str">
            <v>8. OWNER RISKS</v>
          </cell>
          <cell r="G2241" t="str">
            <v>MCR-R6</v>
          </cell>
          <cell r="H2241" t="str">
            <v>MCR</v>
          </cell>
          <cell r="I2241" t="str">
            <v>Clean-agent/preaction/fire alarm interface and room integrity acceptance risk</v>
          </cell>
          <cell r="J2241" t="str">
            <v>Critical</v>
          </cell>
          <cell r="K2241" t="str">
            <v>Medium</v>
          </cell>
          <cell r="L2241">
            <v>8</v>
          </cell>
          <cell r="O2241" t="str">
            <v>Open</v>
          </cell>
          <cell r="Q2241" t="str">
            <v>MCR|66</v>
          </cell>
        </row>
        <row r="2242">
          <cell r="E2242" t="str">
            <v>8. OWNER RISKS</v>
          </cell>
          <cell r="G2242" t="str">
            <v>MCR-R7</v>
          </cell>
          <cell r="H2242" t="str">
            <v>MCR / Site</v>
          </cell>
          <cell r="I2242" t="str">
            <v>Civil/site/utility ductbank, drainage, grading and security envelope could affect substantial completion</v>
          </cell>
          <cell r="J2242" t="str">
            <v>High</v>
          </cell>
          <cell r="K2242" t="str">
            <v>Medium</v>
          </cell>
          <cell r="L2242">
            <v>6</v>
          </cell>
          <cell r="O2242" t="str">
            <v>Open</v>
          </cell>
          <cell r="Q2242" t="str">
            <v>MCR|67</v>
          </cell>
        </row>
        <row r="2243">
          <cell r="E2243" t="str">
            <v>8. OWNER RISKS</v>
          </cell>
          <cell r="G2243" t="str">
            <v>MCR-R8</v>
          </cell>
          <cell r="H2243" t="str">
            <v>All</v>
          </cell>
          <cell r="I2243" t="str">
            <v>Commissioning/turnover package may be incomplete across all divisions</v>
          </cell>
          <cell r="J2243" t="str">
            <v>High</v>
          </cell>
          <cell r="K2243" t="str">
            <v>Medium</v>
          </cell>
          <cell r="L2243">
            <v>6</v>
          </cell>
          <cell r="O2243" t="str">
            <v>Open</v>
          </cell>
          <cell r="Q2243" t="str">
            <v>MCR|68</v>
          </cell>
        </row>
        <row r="2244">
          <cell r="E2244" t="str">
            <v>8. OWNER RISKS</v>
          </cell>
          <cell r="G2244">
            <v>0</v>
          </cell>
          <cell r="H2244">
            <v>0</v>
          </cell>
          <cell r="I2244">
            <v>0</v>
          </cell>
          <cell r="J2244">
            <v>0</v>
          </cell>
          <cell r="K2244">
            <v>0</v>
          </cell>
          <cell r="L2244">
            <v>0</v>
          </cell>
          <cell r="O2244">
            <v>0</v>
          </cell>
          <cell r="Q2244" t="str">
            <v>MCR|69</v>
          </cell>
        </row>
        <row r="2245">
          <cell r="E2245" t="str">
            <v>9. OPEN QUESTIONS</v>
          </cell>
          <cell r="G2245" t="str">
            <v>9. OPEN QUESTIONS</v>
          </cell>
          <cell r="H2245">
            <v>0</v>
          </cell>
          <cell r="I2245">
            <v>0</v>
          </cell>
          <cell r="J2245">
            <v>0</v>
          </cell>
          <cell r="K2245">
            <v>0</v>
          </cell>
          <cell r="L2245">
            <v>0</v>
          </cell>
          <cell r="O2245">
            <v>0</v>
          </cell>
          <cell r="Q2245" t="str">
            <v>MCR|70</v>
          </cell>
        </row>
        <row r="2246">
          <cell r="E2246" t="str">
            <v>9. OPEN QUESTIONS</v>
          </cell>
          <cell r="G2246" t="str">
            <v>Question ID</v>
          </cell>
          <cell r="H2246" t="str">
            <v>Question</v>
          </cell>
          <cell r="I2246" t="str">
            <v>Assigned To</v>
          </cell>
          <cell r="J2246" t="str">
            <v>Status</v>
          </cell>
          <cell r="K2246" t="str">
            <v>Needed By</v>
          </cell>
          <cell r="L2246" t="str">
            <v>Answer / Resolution</v>
          </cell>
          <cell r="O2246" t="str">
            <v>Date Closed</v>
          </cell>
          <cell r="Q2246" t="str">
            <v>MCR|71</v>
          </cell>
        </row>
        <row r="2247">
          <cell r="E2247" t="str">
            <v>9. OPEN QUESTIONS</v>
          </cell>
          <cell r="G2247" t="str">
            <v>MCR-Q1</v>
          </cell>
          <cell r="H2247" t="str">
            <v>Confirm final room naming and PMIS mapping: MCR Room 107, Fiber Entrance Room 031, Existing 107/137 server/MCR references.</v>
          </cell>
          <cell r="I2247" t="str">
            <v>VA / OIT / Designer</v>
          </cell>
          <cell r="J2247" t="str">
            <v>Open</v>
          </cell>
          <cell r="K2247">
            <v>0</v>
          </cell>
          <cell r="L2247">
            <v>0</v>
          </cell>
          <cell r="O2247">
            <v>0</v>
          </cell>
          <cell r="Q2247" t="str">
            <v>MCR|72</v>
          </cell>
        </row>
        <row r="2248">
          <cell r="E2248" t="str">
            <v>9. OPEN QUESTIONS</v>
          </cell>
          <cell r="G2248" t="str">
            <v>MCR-Q2</v>
          </cell>
          <cell r="H2248" t="str">
            <v>What existing core/server/rack equipment is being relocated from the existing MCR/server rooms, and what remains?</v>
          </cell>
          <cell r="I2248" t="str">
            <v>OIT / Contractor</v>
          </cell>
          <cell r="J2248" t="str">
            <v>Open</v>
          </cell>
          <cell r="K2248">
            <v>0</v>
          </cell>
          <cell r="L2248">
            <v>0</v>
          </cell>
          <cell r="O2248">
            <v>0</v>
          </cell>
          <cell r="Q2248" t="str">
            <v>MCR|73</v>
          </cell>
        </row>
        <row r="2249">
          <cell r="E2249" t="str">
            <v>9. OPEN QUESTIONS</v>
          </cell>
          <cell r="G2249" t="str">
            <v>MCR-Q3</v>
          </cell>
          <cell r="H2249" t="str">
            <v>What is the approved MCR activation sequence and required VA/OIT hold points?</v>
          </cell>
          <cell r="I2249" t="str">
            <v>VA / OIT / COR</v>
          </cell>
          <cell r="J2249" t="str">
            <v>Open</v>
          </cell>
          <cell r="K2249">
            <v>0</v>
          </cell>
          <cell r="L2249">
            <v>0</v>
          </cell>
          <cell r="O2249">
            <v>0</v>
          </cell>
          <cell r="Q2249" t="str">
            <v>MCR|74</v>
          </cell>
        </row>
        <row r="2250">
          <cell r="E2250" t="str">
            <v>9. OPEN QUESTIONS</v>
          </cell>
          <cell r="G2250" t="str">
            <v>MCR-Q4</v>
          </cell>
          <cell r="H2250" t="str">
            <v>Are UPS-A/B, generator/ATS and emergency power paths commissioned and mapped to each rack/PDU?</v>
          </cell>
          <cell r="I2250" t="str">
            <v>Electrical / Cx</v>
          </cell>
          <cell r="J2250" t="str">
            <v>Open</v>
          </cell>
          <cell r="K2250">
            <v>0</v>
          </cell>
          <cell r="L2250">
            <v>0</v>
          </cell>
          <cell r="O2250">
            <v>0</v>
          </cell>
          <cell r="Q2250" t="str">
            <v>MCR|75</v>
          </cell>
        </row>
        <row r="2251">
          <cell r="E2251" t="str">
            <v>9. OPEN QUESTIONS</v>
          </cell>
          <cell r="G2251" t="str">
            <v>MCR-Q5</v>
          </cell>
          <cell r="H2251" t="str">
            <v>Are CRAC units fully commissioned with BMS/FMS alarms, redundancy and emergency power?</v>
          </cell>
          <cell r="I2251" t="str">
            <v>Mechanical / Cx</v>
          </cell>
          <cell r="J2251" t="str">
            <v>Open</v>
          </cell>
          <cell r="K2251">
            <v>0</v>
          </cell>
          <cell r="L2251">
            <v>0</v>
          </cell>
          <cell r="O2251">
            <v>0</v>
          </cell>
          <cell r="Q2251" t="str">
            <v>MCR|76</v>
          </cell>
        </row>
        <row r="2252">
          <cell r="E2252" t="str">
            <v>9. OPEN QUESTIONS</v>
          </cell>
          <cell r="G2252" t="str">
            <v>MCR-Q6</v>
          </cell>
          <cell r="H2252" t="str">
            <v>Are clean-agent/preaction/fire alarm systems fully designed, tested and accepted?</v>
          </cell>
          <cell r="I2252" t="str">
            <v>FP / FA / AHJ</v>
          </cell>
          <cell r="J2252" t="str">
            <v>Open</v>
          </cell>
          <cell r="K2252">
            <v>0</v>
          </cell>
          <cell r="L2252">
            <v>0</v>
          </cell>
          <cell r="O2252">
            <v>0</v>
          </cell>
          <cell r="Q2252" t="str">
            <v>MCR|77</v>
          </cell>
        </row>
        <row r="2253">
          <cell r="E2253" t="str">
            <v>9. OPEN QUESTIONS</v>
          </cell>
          <cell r="G2253" t="str">
            <v>MCR-Q7</v>
          </cell>
          <cell r="H2253" t="str">
            <v>Are redundant Path A/B fiber routes geographically diverse, tested, labeled and accepted?</v>
          </cell>
          <cell r="I2253" t="str">
            <v>Telecom / OIT</v>
          </cell>
          <cell r="J2253" t="str">
            <v>Open</v>
          </cell>
          <cell r="K2253">
            <v>0</v>
          </cell>
          <cell r="L2253">
            <v>0</v>
          </cell>
          <cell r="O2253">
            <v>0</v>
          </cell>
          <cell r="Q2253" t="str">
            <v>MCR|78</v>
          </cell>
        </row>
        <row r="2254">
          <cell r="E2254" t="str">
            <v>9. OPEN QUESTIONS</v>
          </cell>
          <cell r="G2254" t="str">
            <v>MCR-Q8</v>
          </cell>
          <cell r="H2254" t="str">
            <v>Which third-party inspections, commissioning reports and OIT validation records are required before turnover/activation?</v>
          </cell>
          <cell r="I2254" t="str">
            <v>GC / Cx Manager / OIT</v>
          </cell>
          <cell r="J2254" t="str">
            <v>Open</v>
          </cell>
          <cell r="K2254">
            <v>0</v>
          </cell>
          <cell r="L2254">
            <v>0</v>
          </cell>
          <cell r="O2254">
            <v>0</v>
          </cell>
          <cell r="Q2254" t="str">
            <v>MCR|79</v>
          </cell>
        </row>
        <row r="2255">
          <cell r="E2255" t="str">
            <v>9. OPEN QUESTIONS</v>
          </cell>
          <cell r="G2255">
            <v>0</v>
          </cell>
          <cell r="H2255">
            <v>0</v>
          </cell>
          <cell r="I2255">
            <v>0</v>
          </cell>
          <cell r="J2255">
            <v>0</v>
          </cell>
          <cell r="K2255">
            <v>0</v>
          </cell>
          <cell r="L2255">
            <v>0</v>
          </cell>
          <cell r="O2255">
            <v>0</v>
          </cell>
          <cell r="Q2255" t="str">
            <v>MCR|80</v>
          </cell>
        </row>
        <row r="2256">
          <cell r="E2256" t="str">
            <v>10. PHOTO LOG</v>
          </cell>
          <cell r="G2256" t="str">
            <v>10. PHOTO LOG</v>
          </cell>
          <cell r="H2256">
            <v>0</v>
          </cell>
          <cell r="I2256">
            <v>0</v>
          </cell>
          <cell r="J2256">
            <v>0</v>
          </cell>
          <cell r="K2256">
            <v>0</v>
          </cell>
          <cell r="L2256">
            <v>0</v>
          </cell>
          <cell r="O2256">
            <v>0</v>
          </cell>
          <cell r="Q2256" t="str">
            <v>MCR|81</v>
          </cell>
        </row>
        <row r="2257">
          <cell r="E2257" t="str">
            <v>10. PHOTO LOG</v>
          </cell>
          <cell r="G2257" t="str">
            <v>Photo ID</v>
          </cell>
          <cell r="H2257" t="str">
            <v>Room</v>
          </cell>
          <cell r="I2257" t="str">
            <v>Category</v>
          </cell>
          <cell r="J2257" t="str">
            <v>Description</v>
          </cell>
          <cell r="K2257" t="str">
            <v>Date</v>
          </cell>
          <cell r="L2257" t="str">
            <v>Taken By</v>
          </cell>
          <cell r="O2257" t="str">
            <v>Status</v>
          </cell>
          <cell r="Q2257" t="str">
            <v>MCR|82</v>
          </cell>
        </row>
        <row r="2258">
          <cell r="E2258" t="str">
            <v>10. PHOTO LOG</v>
          </cell>
          <cell r="G2258" t="str">
            <v>MCR-P001</v>
          </cell>
          <cell r="H2258" t="str">
            <v>MCR 107</v>
          </cell>
          <cell r="I2258" t="str">
            <v>Existing / New Condition</v>
          </cell>
          <cell r="J2258" t="str">
            <v>Full room envelope, doors, rated walls, ceiling/roof, floors, row layout, UPS-A/B, MDA/HDA, access points and cameras</v>
          </cell>
          <cell r="K2258">
            <v>0</v>
          </cell>
          <cell r="L2258" t="str">
            <v>Paul</v>
          </cell>
          <cell r="O2258" t="str">
            <v>Open</v>
          </cell>
          <cell r="Q2258" t="str">
            <v>MCR|83</v>
          </cell>
        </row>
        <row r="2259">
          <cell r="E2259" t="str">
            <v>10. PHOTO LOG</v>
          </cell>
          <cell r="G2259" t="str">
            <v>MCR-P002</v>
          </cell>
          <cell r="H2259" t="str">
            <v>031</v>
          </cell>
          <cell r="I2259" t="str">
            <v>Fiber Entrance</v>
          </cell>
          <cell r="J2259" t="str">
            <v>Fiber Entrance Room 1, outlet locations 31-A/B/C/D, rack/cabinet location, sleeve/firestop and service entrance pathways</v>
          </cell>
          <cell r="K2259">
            <v>0</v>
          </cell>
          <cell r="L2259" t="str">
            <v>Paul</v>
          </cell>
          <cell r="O2259" t="str">
            <v>Open</v>
          </cell>
          <cell r="Q2259" t="str">
            <v>MCR|84</v>
          </cell>
        </row>
        <row r="2260">
          <cell r="E2260" t="str">
            <v>10. PHOTO LOG</v>
          </cell>
          <cell r="G2260" t="str">
            <v>MCR-P003</v>
          </cell>
          <cell r="H2260" t="str">
            <v>MDA-A/B</v>
          </cell>
          <cell r="I2260" t="str">
            <v>Rack / Fiber</v>
          </cell>
          <cell r="J2260" t="str">
            <v>MDA-A1/A2/A3 and MDA-B1/B2/B3 rack fronts/rears, LIUs, hybrid FOC, Cat6A to HDA, grounding and cable management</v>
          </cell>
          <cell r="K2260">
            <v>0</v>
          </cell>
          <cell r="L2260" t="str">
            <v>Paul</v>
          </cell>
          <cell r="O2260" t="str">
            <v>Open</v>
          </cell>
          <cell r="Q2260" t="str">
            <v>MCR|85</v>
          </cell>
        </row>
        <row r="2261">
          <cell r="E2261" t="str">
            <v>10. PHOTO LOG</v>
          </cell>
          <cell r="G2261" t="str">
            <v>MCR-P004</v>
          </cell>
          <cell r="H2261" t="str">
            <v>HDA-A/B</v>
          </cell>
          <cell r="I2261" t="str">
            <v>Rack / Server Cabinets</v>
          </cell>
          <cell r="J2261" t="str">
            <v>HDA-A1/HDA-B1 front/rear, patch panels, HD LIUs, cabinet blanking panels, server cabinet airflow and labels</v>
          </cell>
          <cell r="K2261">
            <v>0</v>
          </cell>
          <cell r="L2261" t="str">
            <v>Paul</v>
          </cell>
          <cell r="O2261" t="str">
            <v>Open</v>
          </cell>
          <cell r="Q2261" t="str">
            <v>MCR|86</v>
          </cell>
        </row>
        <row r="2262">
          <cell r="E2262" t="str">
            <v>10. PHOTO LOG</v>
          </cell>
          <cell r="G2262" t="str">
            <v>MCR-P005</v>
          </cell>
          <cell r="H2262" t="str">
            <v>Existing 107/137</v>
          </cell>
          <cell r="I2262" t="str">
            <v>Existing Equipment</v>
          </cell>
          <cell r="J2262" t="str">
            <v>Existing rows 1-3 and B61 server cabinet transfer equipment, Cisco core, WAN aggregation, NetScout, Canoga, Ortronics, LIUs, UPS/PDU labels</v>
          </cell>
          <cell r="K2262">
            <v>0</v>
          </cell>
          <cell r="L2262" t="str">
            <v>Paul</v>
          </cell>
          <cell r="O2262" t="str">
            <v>Open</v>
          </cell>
          <cell r="Q2262" t="str">
            <v>MCR|87</v>
          </cell>
        </row>
        <row r="2263">
          <cell r="E2263" t="str">
            <v>10. PHOTO LOG</v>
          </cell>
          <cell r="G2263" t="str">
            <v>MCR-P006</v>
          </cell>
          <cell r="H2263" t="str">
            <v>MCR / Electrical</v>
          </cell>
          <cell r="I2263" t="str">
            <v>Electrical / UPS</v>
          </cell>
          <cell r="J2263" t="str">
            <v>UPS-A/B, switchboards, panels, ATS, generator tie, PDUs, rack receptacles, grounding, SPDs and load measurement labels</v>
          </cell>
          <cell r="K2263">
            <v>0</v>
          </cell>
          <cell r="L2263" t="str">
            <v>Paul</v>
          </cell>
          <cell r="O2263" t="str">
            <v>Open</v>
          </cell>
          <cell r="Q2263" t="str">
            <v>MCR|88</v>
          </cell>
        </row>
        <row r="2264">
          <cell r="E2264" t="str">
            <v>10. PHOTO LOG</v>
          </cell>
          <cell r="G2264" t="str">
            <v>MCR-P007</v>
          </cell>
          <cell r="H2264" t="str">
            <v>MCR / Mechanical</v>
          </cell>
          <cell r="I2264" t="str">
            <v>HVAC / Controls</v>
          </cell>
          <cell r="J2264" t="str">
            <v>CRAC units, condensate, controls/BACnet/BMS/FMS points, alarms, environmental monitoring and emergency power source</v>
          </cell>
          <cell r="K2264">
            <v>0</v>
          </cell>
          <cell r="L2264" t="str">
            <v>Paul</v>
          </cell>
          <cell r="O2264" t="str">
            <v>Open</v>
          </cell>
          <cell r="Q2264" t="str">
            <v>MCR|89</v>
          </cell>
        </row>
        <row r="2265">
          <cell r="E2265" t="str">
            <v>10. PHOTO LOG</v>
          </cell>
          <cell r="G2265" t="str">
            <v>MCR-P008</v>
          </cell>
          <cell r="H2265" t="str">
            <v>MCR / Life Safety</v>
          </cell>
          <cell r="I2265" t="str">
            <v>Fire / Security</v>
          </cell>
          <cell r="J2265" t="str">
            <v>Clean-agent cylinders/piping/nozzles, preaction/sprinkler, fire alarm, release/abort devices, cameras 07-CAM series, PACS/controller and door hardware</v>
          </cell>
          <cell r="K2265">
            <v>0</v>
          </cell>
          <cell r="L2265" t="str">
            <v>Paul</v>
          </cell>
          <cell r="O2265" t="str">
            <v>Open</v>
          </cell>
          <cell r="Q2265" t="str">
            <v>MCR|90</v>
          </cell>
        </row>
        <row r="2266">
          <cell r="E2266" t="str">
            <v>10. PHOTO LOG</v>
          </cell>
          <cell r="G2266">
            <v>0</v>
          </cell>
          <cell r="H2266">
            <v>0</v>
          </cell>
          <cell r="I2266">
            <v>0</v>
          </cell>
          <cell r="J2266">
            <v>0</v>
          </cell>
          <cell r="K2266">
            <v>0</v>
          </cell>
          <cell r="L2266">
            <v>0</v>
          </cell>
          <cell r="O2266">
            <v>0</v>
          </cell>
          <cell r="Q2266" t="str">
            <v>MCR|91</v>
          </cell>
        </row>
        <row r="2267">
          <cell r="E2267" t="str">
            <v>1. SITE ROUTE INVENTORY</v>
          </cell>
          <cell r="G2267" t="str">
            <v>1. SITE ROUTE INVENTORY</v>
          </cell>
          <cell r="H2267">
            <v>0</v>
          </cell>
          <cell r="I2267">
            <v>0</v>
          </cell>
          <cell r="J2267">
            <v>0</v>
          </cell>
          <cell r="K2267">
            <v>0</v>
          </cell>
          <cell r="L2267">
            <v>0</v>
          </cell>
          <cell r="O2267">
            <v>0</v>
          </cell>
          <cell r="Q2267" t="str">
            <v>SITE|1</v>
          </cell>
        </row>
        <row r="2268">
          <cell r="E2268" t="str">
            <v>1. SITE ROUTE INVENTORY</v>
          </cell>
          <cell r="G2268" t="str">
            <v>Area / Segment</v>
          </cell>
          <cell r="H2268" t="str">
            <v>Buildings / Nodes</v>
          </cell>
          <cell r="I2268" t="str">
            <v>Path</v>
          </cell>
          <cell r="J2268" t="str">
            <v>Primary Scope</v>
          </cell>
          <cell r="K2268" t="str">
            <v>Handholes / Structures</v>
          </cell>
          <cell r="L2268" t="str">
            <v>Conduit / Ductbank</v>
          </cell>
          <cell r="O2268" t="str">
            <v>Station / Length</v>
          </cell>
          <cell r="Q2268" t="str">
            <v>SITE|2</v>
          </cell>
        </row>
        <row r="2269">
          <cell r="E2269" t="str">
            <v>1. SITE ROUTE INVENTORY</v>
          </cell>
          <cell r="G2269" t="str">
            <v>Overall Site</v>
          </cell>
          <cell r="H2269" t="str">
            <v>Campus-wide / MCR / all EHRM buildings</v>
          </cell>
          <cell r="I2269" t="str">
            <v>Path A &amp; B</v>
          </cell>
          <cell r="J2269" t="str">
            <v>Redundant site fiber backbone</v>
          </cell>
          <cell r="K2269" t="str">
            <v>THH #1-#19, communication manholes, concrete pullboxes</v>
          </cell>
          <cell r="L2269" t="str">
            <v>4-inch PVC conduit in concrete ductbank; direct-bury communication conduit where noted</v>
          </cell>
          <cell r="O2269" t="str">
            <v>Campus wide</v>
          </cell>
          <cell r="Q2269" t="str">
            <v>SITE|3</v>
          </cell>
        </row>
        <row r="2270">
          <cell r="E2270" t="str">
            <v>1. SITE ROUTE INVENTORY</v>
          </cell>
          <cell r="G2270" t="str">
            <v>B12 to B16</v>
          </cell>
          <cell r="H2270" t="str">
            <v>B12 / B16</v>
          </cell>
          <cell r="I2270" t="str">
            <v>Path A &amp; B</v>
          </cell>
          <cell r="J2270" t="str">
            <v>Telecom plan and profile</v>
          </cell>
          <cell r="K2270" t="str">
            <v>THH #15-#19</v>
          </cell>
          <cell r="L2270" t="str">
            <v>2x4-inch PVC concrete ductbank</v>
          </cell>
          <cell r="O2270" t="str">
            <v>00+00 to 7+91.21</v>
          </cell>
          <cell r="Q2270" t="str">
            <v>SITE|4</v>
          </cell>
        </row>
        <row r="2271">
          <cell r="E2271" t="str">
            <v>1. SITE ROUTE INVENTORY</v>
          </cell>
          <cell r="G2271" t="str">
            <v>B1 to B70</v>
          </cell>
          <cell r="H2271" t="str">
            <v>B1 / B70 backbone segment</v>
          </cell>
          <cell r="I2271" t="str">
            <v>Path A &amp; B</v>
          </cell>
          <cell r="J2271" t="str">
            <v>Telecom plan and profile</v>
          </cell>
          <cell r="K2271" t="str">
            <v>THH #1-#7 plus pullbox</v>
          </cell>
          <cell r="L2271" t="str">
            <v>2x4-inch and 4x4-inch PVC concrete ductbank</v>
          </cell>
          <cell r="O2271" t="str">
            <v>00+00 to 15+92.04</v>
          </cell>
          <cell r="Q2271" t="str">
            <v>SITE|5</v>
          </cell>
        </row>
        <row r="2272">
          <cell r="E2272" t="str">
            <v>1. SITE ROUTE INVENTORY</v>
          </cell>
          <cell r="G2272" t="str">
            <v>B20 / B22</v>
          </cell>
          <cell r="H2272" t="str">
            <v>B20 / B22</v>
          </cell>
          <cell r="I2272" t="str">
            <v>Path A &amp; B</v>
          </cell>
          <cell r="J2272" t="str">
            <v>Telecom plan and profile</v>
          </cell>
          <cell r="K2272" t="str">
            <v>THH #2, #8-#12</v>
          </cell>
          <cell r="L2272" t="str">
            <v>2x4-inch PVC concrete ductbank</v>
          </cell>
          <cell r="O2272" t="str">
            <v>B20 00+00 to 7+34.47; B22 00+00 to 1+98.18</v>
          </cell>
          <cell r="Q2272" t="str">
            <v>SITE|6</v>
          </cell>
        </row>
        <row r="2273">
          <cell r="E2273" t="str">
            <v>1. SITE ROUTE INVENTORY</v>
          </cell>
          <cell r="G2273" t="str">
            <v>B15 / B9</v>
          </cell>
          <cell r="H2273" t="str">
            <v>B15 / B9</v>
          </cell>
          <cell r="I2273" t="str">
            <v>Path A &amp; B</v>
          </cell>
          <cell r="J2273" t="str">
            <v>Telecom plan and profile</v>
          </cell>
          <cell r="K2273" t="str">
            <v>THH #14-#18</v>
          </cell>
          <cell r="L2273" t="str">
            <v>2x4-inch PVC concrete ductbank</v>
          </cell>
          <cell r="O2273" t="str">
            <v>B15 00+00 to 1+70.82; B9 00+00 to 2+01.32</v>
          </cell>
          <cell r="Q2273" t="str">
            <v>SITE|7</v>
          </cell>
        </row>
        <row r="2274">
          <cell r="E2274" t="str">
            <v>1. SITE ROUTE INVENTORY</v>
          </cell>
          <cell r="G2274" t="str">
            <v>B13 / B14</v>
          </cell>
          <cell r="H2274" t="str">
            <v>B13 / B14</v>
          </cell>
          <cell r="I2274" t="str">
            <v>Path A &amp; B</v>
          </cell>
          <cell r="J2274" t="str">
            <v>Telecom plan and profile</v>
          </cell>
          <cell r="K2274" t="str">
            <v>THH #15-#17</v>
          </cell>
          <cell r="L2274" t="str">
            <v>2x4-inch PVC concrete ductbank</v>
          </cell>
          <cell r="O2274" t="str">
            <v>B13 00+00 to 1+67.85; B14 00+00 to 1+79.01</v>
          </cell>
          <cell r="Q2274" t="str">
            <v>SITE|8</v>
          </cell>
        </row>
        <row r="2275">
          <cell r="E2275" t="str">
            <v>1. SITE ROUTE INVENTORY</v>
          </cell>
          <cell r="G2275" t="str">
            <v>B70 / B81</v>
          </cell>
          <cell r="H2275" t="str">
            <v>B70 / B81</v>
          </cell>
          <cell r="I2275" t="str">
            <v>Path A &amp; B</v>
          </cell>
          <cell r="J2275" t="str">
            <v>Telecom plan and profile</v>
          </cell>
          <cell r="K2275" t="str">
            <v>THH #7 / #14</v>
          </cell>
          <cell r="L2275" t="str">
            <v>2x4-inch PVC concrete ductbank</v>
          </cell>
          <cell r="O2275" t="str">
            <v>B70 15+52.38 to 15+92.04; B81 00+00 to 1+49.54</v>
          </cell>
          <cell r="Q2275" t="str">
            <v>SITE|9</v>
          </cell>
        </row>
        <row r="2276">
          <cell r="E2276" t="str">
            <v>1. SITE ROUTE INVENTORY</v>
          </cell>
          <cell r="G2276" t="str">
            <v>B33 / B17</v>
          </cell>
          <cell r="H2276" t="str">
            <v>B33 / B17</v>
          </cell>
          <cell r="I2276" t="str">
            <v>B33 Path A &amp; B / B17 Path A</v>
          </cell>
          <cell r="J2276" t="str">
            <v>Telecom plan and profile</v>
          </cell>
          <cell r="K2276" t="str">
            <v>THH #8, #10, #13</v>
          </cell>
          <cell r="L2276" t="str">
            <v>2x4-inch PVC concrete ductbank</v>
          </cell>
          <cell r="O2276" t="str">
            <v>B33 00+00 to 0+78.16; B17 00+00 to 1+16.82</v>
          </cell>
          <cell r="Q2276" t="str">
            <v>SITE|10</v>
          </cell>
        </row>
        <row r="2277">
          <cell r="E2277" t="str">
            <v>1. SITE ROUTE INVENTORY</v>
          </cell>
          <cell r="G2277" t="str">
            <v>B18 / B19</v>
          </cell>
          <cell r="H2277" t="str">
            <v>B18 / B19</v>
          </cell>
          <cell r="I2277" t="str">
            <v>B18 Path A / B19 Path A &amp; B</v>
          </cell>
          <cell r="J2277" t="str">
            <v>Telecom plan and profile</v>
          </cell>
          <cell r="K2277" t="str">
            <v>THH #9 / #10</v>
          </cell>
          <cell r="L2277" t="str">
            <v>2x4-inch PVC concrete ductbank</v>
          </cell>
          <cell r="O2277" t="str">
            <v>B18 00+00 to 0+36.94; B19 00+00 to 0+42.25</v>
          </cell>
          <cell r="Q2277" t="str">
            <v>SITE|11</v>
          </cell>
        </row>
        <row r="2278">
          <cell r="E2278" t="str">
            <v>1. SITE ROUTE INVENTORY</v>
          </cell>
          <cell r="G2278" t="str">
            <v>B81 / B17 to B01 / B18</v>
          </cell>
          <cell r="H2278" t="str">
            <v>B81 / B17 / B01 / B18</v>
          </cell>
          <cell r="I2278" t="str">
            <v>Path B</v>
          </cell>
          <cell r="J2278" t="str">
            <v>Telecom plan and profile</v>
          </cell>
          <cell r="K2278" t="str">
            <v>THH #7 / #13</v>
          </cell>
          <cell r="L2278" t="str">
            <v>2x4-inch PVC concrete ductbank</v>
          </cell>
          <cell r="O2278" t="str">
            <v>B17 to B01 00+00 to 1+63.50; B18 00+00 to 0+87.25</v>
          </cell>
          <cell r="Q2278" t="str">
            <v>SITE|12</v>
          </cell>
        </row>
        <row r="2279">
          <cell r="E2279" t="str">
            <v>1. SITE ROUTE INVENTORY</v>
          </cell>
          <cell r="G2279">
            <v>0</v>
          </cell>
          <cell r="H2279">
            <v>0</v>
          </cell>
          <cell r="I2279">
            <v>0</v>
          </cell>
          <cell r="J2279">
            <v>0</v>
          </cell>
          <cell r="K2279">
            <v>0</v>
          </cell>
          <cell r="L2279">
            <v>0</v>
          </cell>
          <cell r="O2279">
            <v>0</v>
          </cell>
          <cell r="Q2279" t="str">
            <v>SITE|13</v>
          </cell>
        </row>
        <row r="2280">
          <cell r="E2280" t="str">
            <v>2. SITE READINESS</v>
          </cell>
          <cell r="G2280" t="str">
            <v>2. SITE READINESS</v>
          </cell>
          <cell r="H2280">
            <v>0</v>
          </cell>
          <cell r="I2280">
            <v>0</v>
          </cell>
          <cell r="J2280">
            <v>0</v>
          </cell>
          <cell r="K2280">
            <v>0</v>
          </cell>
          <cell r="L2280">
            <v>0</v>
          </cell>
          <cell r="O2280">
            <v>0</v>
          </cell>
          <cell r="Q2280" t="str">
            <v>SITE|14</v>
          </cell>
        </row>
        <row r="2281">
          <cell r="E2281" t="str">
            <v>2. SITE READINESS</v>
          </cell>
          <cell r="G2281" t="str">
            <v>Scope Area</v>
          </cell>
          <cell r="H2281" t="str">
            <v>Survey / Layout</v>
          </cell>
          <cell r="I2281" t="str">
            <v>Utility Locate</v>
          </cell>
          <cell r="J2281" t="str">
            <v>Access / Traffic</v>
          </cell>
          <cell r="K2281" t="str">
            <v>Excavation Permit</v>
          </cell>
          <cell r="L2281" t="str">
            <v>Ductbank Forms</v>
          </cell>
          <cell r="O2281" t="str">
            <v>Overall</v>
          </cell>
          <cell r="Q2281" t="str">
            <v>SITE|15</v>
          </cell>
        </row>
        <row r="2282">
          <cell r="E2282" t="str">
            <v>2. SITE READINESS</v>
          </cell>
          <cell r="G2282" t="str">
            <v>Campus Backbone</v>
          </cell>
          <cell r="H2282" t="str">
            <v>Verify</v>
          </cell>
          <cell r="I2282" t="str">
            <v>Verify</v>
          </cell>
          <cell r="J2282" t="str">
            <v>Verify</v>
          </cell>
          <cell r="K2282" t="str">
            <v>Verify</v>
          </cell>
          <cell r="L2282" t="str">
            <v>Verify</v>
          </cell>
          <cell r="O2282" t="str">
            <v>Verify</v>
          </cell>
          <cell r="Q2282" t="str">
            <v>SITE|16</v>
          </cell>
        </row>
        <row r="2283">
          <cell r="E2283" t="str">
            <v>2. SITE READINESS</v>
          </cell>
          <cell r="G2283" t="str">
            <v>THH / Manholes</v>
          </cell>
          <cell r="H2283" t="str">
            <v>Verify</v>
          </cell>
          <cell r="I2283" t="str">
            <v>Verify</v>
          </cell>
          <cell r="J2283" t="str">
            <v>Verify</v>
          </cell>
          <cell r="K2283" t="str">
            <v>Verify</v>
          </cell>
          <cell r="L2283" t="str">
            <v>Verify</v>
          </cell>
          <cell r="O2283" t="str">
            <v>Verify</v>
          </cell>
          <cell r="Q2283" t="str">
            <v>SITE|17</v>
          </cell>
        </row>
        <row r="2284">
          <cell r="E2284" t="str">
            <v>2. SITE READINESS</v>
          </cell>
          <cell r="G2284" t="str">
            <v>Concrete Ductbank</v>
          </cell>
          <cell r="H2284" t="str">
            <v>Verify</v>
          </cell>
          <cell r="I2284" t="str">
            <v>Verify</v>
          </cell>
          <cell r="J2284" t="str">
            <v>Verify</v>
          </cell>
          <cell r="K2284" t="str">
            <v>Verify</v>
          </cell>
          <cell r="L2284" t="str">
            <v>Verify</v>
          </cell>
          <cell r="O2284" t="str">
            <v>Verify</v>
          </cell>
          <cell r="Q2284" t="str">
            <v>SITE|18</v>
          </cell>
        </row>
        <row r="2285">
          <cell r="E2285" t="str">
            <v>2. SITE READINESS</v>
          </cell>
          <cell r="G2285" t="str">
            <v>Building Tie-ins</v>
          </cell>
          <cell r="H2285" t="str">
            <v>Verify</v>
          </cell>
          <cell r="I2285" t="str">
            <v>Verify</v>
          </cell>
          <cell r="J2285" t="str">
            <v>Verify</v>
          </cell>
          <cell r="K2285" t="str">
            <v>Verify</v>
          </cell>
          <cell r="L2285" t="str">
            <v>Verify</v>
          </cell>
          <cell r="O2285" t="str">
            <v>Verify</v>
          </cell>
          <cell r="Q2285" t="str">
            <v>SITE|19</v>
          </cell>
        </row>
        <row r="2286">
          <cell r="E2286" t="str">
            <v>2. SITE READINESS</v>
          </cell>
          <cell r="G2286" t="str">
            <v>Restoration / Site</v>
          </cell>
          <cell r="H2286" t="str">
            <v>Verify</v>
          </cell>
          <cell r="I2286" t="str">
            <v>Verify</v>
          </cell>
          <cell r="J2286" t="str">
            <v>Verify</v>
          </cell>
          <cell r="K2286" t="str">
            <v>Verify</v>
          </cell>
          <cell r="L2286" t="str">
            <v>N/A</v>
          </cell>
          <cell r="O2286" t="str">
            <v>Verify</v>
          </cell>
          <cell r="Q2286" t="str">
            <v>SITE|20</v>
          </cell>
        </row>
        <row r="2287">
          <cell r="E2287" t="str">
            <v>2. SITE READINESS</v>
          </cell>
          <cell r="G2287">
            <v>0</v>
          </cell>
          <cell r="H2287">
            <v>0</v>
          </cell>
          <cell r="I2287">
            <v>0</v>
          </cell>
          <cell r="J2287">
            <v>0</v>
          </cell>
          <cell r="K2287">
            <v>0</v>
          </cell>
          <cell r="L2287">
            <v>0</v>
          </cell>
          <cell r="O2287">
            <v>0</v>
          </cell>
          <cell r="Q2287" t="str">
            <v>SITE|21</v>
          </cell>
        </row>
        <row r="2288">
          <cell r="E2288" t="str">
            <v>3. FIRE / LIFE SAFETY / SITE ACCESS</v>
          </cell>
          <cell r="G2288" t="str">
            <v>3. FIRE / LIFE SAFETY / SITE ACCESS</v>
          </cell>
          <cell r="H2288">
            <v>0</v>
          </cell>
          <cell r="I2288">
            <v>0</v>
          </cell>
          <cell r="J2288">
            <v>0</v>
          </cell>
          <cell r="K2288">
            <v>0</v>
          </cell>
          <cell r="L2288">
            <v>0</v>
          </cell>
          <cell r="O2288">
            <v>0</v>
          </cell>
          <cell r="Q2288" t="str">
            <v>SITE|22</v>
          </cell>
        </row>
        <row r="2289">
          <cell r="E2289" t="str">
            <v>3. FIRE / LIFE SAFETY / SITE ACCESS</v>
          </cell>
          <cell r="G2289" t="str">
            <v>Area</v>
          </cell>
          <cell r="H2289" t="str">
            <v>Fire Lane</v>
          </cell>
          <cell r="I2289" t="str">
            <v>Hydrants / FDC</v>
          </cell>
          <cell r="J2289" t="str">
            <v>Egress</v>
          </cell>
          <cell r="K2289" t="str">
            <v>Temp Barriers</v>
          </cell>
          <cell r="L2289" t="str">
            <v>Hot Work</v>
          </cell>
          <cell r="O2289" t="str">
            <v>Overall</v>
          </cell>
          <cell r="Q2289" t="str">
            <v>SITE|23</v>
          </cell>
        </row>
        <row r="2290">
          <cell r="E2290" t="str">
            <v>3. FIRE / LIFE SAFETY / SITE ACCESS</v>
          </cell>
          <cell r="G2290" t="str">
            <v>Campus Work Areas</v>
          </cell>
          <cell r="H2290" t="str">
            <v>Verify</v>
          </cell>
          <cell r="I2290" t="str">
            <v>Verify</v>
          </cell>
          <cell r="J2290" t="str">
            <v>Verify</v>
          </cell>
          <cell r="K2290" t="str">
            <v>Verify</v>
          </cell>
          <cell r="L2290" t="str">
            <v>Verify</v>
          </cell>
          <cell r="O2290" t="str">
            <v>Verify</v>
          </cell>
          <cell r="Q2290" t="str">
            <v>SITE|24</v>
          </cell>
        </row>
        <row r="2291">
          <cell r="E2291" t="str">
            <v>3. FIRE / LIFE SAFETY / SITE ACCESS</v>
          </cell>
          <cell r="G2291" t="str">
            <v>Trenching / Excavation</v>
          </cell>
          <cell r="H2291" t="str">
            <v>Verify</v>
          </cell>
          <cell r="I2291" t="str">
            <v>Verify</v>
          </cell>
          <cell r="J2291" t="str">
            <v>Verify</v>
          </cell>
          <cell r="K2291" t="str">
            <v>Verify</v>
          </cell>
          <cell r="L2291" t="str">
            <v>N/A</v>
          </cell>
          <cell r="O2291" t="str">
            <v>Verify</v>
          </cell>
          <cell r="Q2291" t="str">
            <v>SITE|25</v>
          </cell>
        </row>
        <row r="2292">
          <cell r="E2292" t="str">
            <v>3. FIRE / LIFE SAFETY / SITE ACCESS</v>
          </cell>
          <cell r="G2292" t="str">
            <v>Building Penetrations</v>
          </cell>
          <cell r="H2292" t="str">
            <v>Verify</v>
          </cell>
          <cell r="I2292" t="str">
            <v>Verify</v>
          </cell>
          <cell r="J2292" t="str">
            <v>Verify</v>
          </cell>
          <cell r="K2292" t="str">
            <v>Verify</v>
          </cell>
          <cell r="L2292" t="str">
            <v>Verify</v>
          </cell>
          <cell r="O2292" t="str">
            <v>Verify</v>
          </cell>
          <cell r="Q2292" t="str">
            <v>SITE|26</v>
          </cell>
        </row>
        <row r="2293">
          <cell r="E2293" t="str">
            <v>3. FIRE / LIFE SAFETY / SITE ACCESS</v>
          </cell>
          <cell r="G2293" t="str">
            <v>MCR / Critical Backbone</v>
          </cell>
          <cell r="H2293" t="str">
            <v>Verify</v>
          </cell>
          <cell r="I2293" t="str">
            <v>Verify</v>
          </cell>
          <cell r="J2293" t="str">
            <v>Verify</v>
          </cell>
          <cell r="K2293" t="str">
            <v>Verify</v>
          </cell>
          <cell r="L2293" t="str">
            <v>Verify</v>
          </cell>
          <cell r="O2293" t="str">
            <v>Verify</v>
          </cell>
          <cell r="Q2293" t="str">
            <v>SITE|27</v>
          </cell>
        </row>
        <row r="2294">
          <cell r="E2294" t="str">
            <v>3. FIRE / LIFE SAFETY / SITE ACCESS</v>
          </cell>
          <cell r="G2294">
            <v>0</v>
          </cell>
          <cell r="H2294">
            <v>0</v>
          </cell>
          <cell r="I2294">
            <v>0</v>
          </cell>
          <cell r="J2294">
            <v>0</v>
          </cell>
          <cell r="K2294">
            <v>0</v>
          </cell>
          <cell r="L2294">
            <v>0</v>
          </cell>
          <cell r="O2294">
            <v>0</v>
          </cell>
          <cell r="Q2294" t="str">
            <v>SITE|28</v>
          </cell>
        </row>
        <row r="2295">
          <cell r="E2295" t="str">
            <v>4. CIVIL / DUCTBANK / RESTORATION</v>
          </cell>
          <cell r="G2295" t="str">
            <v>4. CIVIL / DUCTBANK / RESTORATION</v>
          </cell>
          <cell r="H2295">
            <v>0</v>
          </cell>
          <cell r="I2295">
            <v>0</v>
          </cell>
          <cell r="J2295">
            <v>0</v>
          </cell>
          <cell r="K2295">
            <v>0</v>
          </cell>
          <cell r="L2295">
            <v>0</v>
          </cell>
          <cell r="O2295">
            <v>0</v>
          </cell>
          <cell r="Q2295" t="str">
            <v>SITE|29</v>
          </cell>
        </row>
        <row r="2296">
          <cell r="E2296" t="str">
            <v>4. CIVIL / DUCTBANK / RESTORATION</v>
          </cell>
          <cell r="G2296" t="str">
            <v>Segment</v>
          </cell>
          <cell r="H2296" t="str">
            <v>Excavation Method</v>
          </cell>
          <cell r="I2296" t="str">
            <v>Ductbank Type</v>
          </cell>
          <cell r="J2296" t="str">
            <v>Concrete / Backfill</v>
          </cell>
          <cell r="K2296" t="str">
            <v>Structures</v>
          </cell>
          <cell r="L2296" t="str">
            <v>Profile Verified</v>
          </cell>
          <cell r="O2296" t="str">
            <v>Overall</v>
          </cell>
          <cell r="Q2296" t="str">
            <v>SITE|30</v>
          </cell>
        </row>
        <row r="2297">
          <cell r="E2297" t="str">
            <v>4. CIVIL / DUCTBANK / RESTORATION</v>
          </cell>
          <cell r="G2297" t="str">
            <v>All New Site Fiber</v>
          </cell>
          <cell r="H2297" t="str">
            <v>Trenching base bid</v>
          </cell>
          <cell r="I2297" t="str">
            <v>Concrete encased conduit</v>
          </cell>
          <cell r="J2297" t="str">
            <v>Verify</v>
          </cell>
          <cell r="K2297" t="str">
            <v>THH / manholes / pullboxes</v>
          </cell>
          <cell r="L2297" t="str">
            <v>Verify</v>
          </cell>
          <cell r="O2297" t="str">
            <v>Verify</v>
          </cell>
          <cell r="Q2297" t="str">
            <v>SITE|31</v>
          </cell>
        </row>
        <row r="2298">
          <cell r="E2298" t="str">
            <v>4. CIVIL / DUCTBANK / RESTORATION</v>
          </cell>
          <cell r="G2298" t="str">
            <v>B1-B70 Backbone</v>
          </cell>
          <cell r="H2298" t="str">
            <v>Trench / hand dig at crossings</v>
          </cell>
          <cell r="I2298" t="str">
            <v>2x4 and 4x4 PVC ductbank</v>
          </cell>
          <cell r="J2298" t="str">
            <v>Verify</v>
          </cell>
          <cell r="K2298" t="str">
            <v>THH #1-#7 / pullbox</v>
          </cell>
          <cell r="L2298" t="str">
            <v>Verify</v>
          </cell>
          <cell r="O2298" t="str">
            <v>Verify</v>
          </cell>
          <cell r="Q2298" t="str">
            <v>SITE|32</v>
          </cell>
        </row>
        <row r="2299">
          <cell r="E2299" t="str">
            <v>4. CIVIL / DUCTBANK / RESTORATION</v>
          </cell>
          <cell r="G2299" t="str">
            <v>B12-B16 / South/East Branches</v>
          </cell>
          <cell r="H2299" t="str">
            <v>Trench / hand dig at crossings</v>
          </cell>
          <cell r="I2299" t="str">
            <v>2x4 PVC ductbank</v>
          </cell>
          <cell r="J2299" t="str">
            <v>Verify</v>
          </cell>
          <cell r="K2299" t="str">
            <v>THH #15-#19</v>
          </cell>
          <cell r="L2299" t="str">
            <v>Verify</v>
          </cell>
          <cell r="O2299" t="str">
            <v>Verify</v>
          </cell>
          <cell r="Q2299" t="str">
            <v>SITE|33</v>
          </cell>
        </row>
        <row r="2300">
          <cell r="E2300" t="str">
            <v>4. CIVIL / DUCTBANK / RESTORATION</v>
          </cell>
          <cell r="G2300" t="str">
            <v>B20/B22/B33/B17/B18/B19</v>
          </cell>
          <cell r="H2300" t="str">
            <v>Trench / hand dig at crossings</v>
          </cell>
          <cell r="I2300" t="str">
            <v>2x4 PVC ductbank</v>
          </cell>
          <cell r="J2300" t="str">
            <v>Verify</v>
          </cell>
          <cell r="K2300" t="str">
            <v>THH #8-#13</v>
          </cell>
          <cell r="L2300" t="str">
            <v>Verify</v>
          </cell>
          <cell r="O2300" t="str">
            <v>Verify</v>
          </cell>
          <cell r="Q2300" t="str">
            <v>SITE|34</v>
          </cell>
        </row>
        <row r="2301">
          <cell r="E2301" t="str">
            <v>4. CIVIL / DUCTBANK / RESTORATION</v>
          </cell>
          <cell r="G2301" t="str">
            <v>Restoration</v>
          </cell>
          <cell r="H2301" t="str">
            <v>Match existing</v>
          </cell>
          <cell r="I2301" t="str">
            <v>N/A</v>
          </cell>
          <cell r="J2301" t="str">
            <v>Concrete/asphalt/landscape</v>
          </cell>
          <cell r="K2301" t="str">
            <v>N/A</v>
          </cell>
          <cell r="L2301" t="str">
            <v>N/A</v>
          </cell>
          <cell r="O2301" t="str">
            <v>Verify</v>
          </cell>
          <cell r="Q2301" t="str">
            <v>SITE|35</v>
          </cell>
        </row>
        <row r="2302">
          <cell r="E2302" t="str">
            <v>4. CIVIL / DUCTBANK / RESTORATION</v>
          </cell>
          <cell r="G2302">
            <v>0</v>
          </cell>
          <cell r="H2302">
            <v>0</v>
          </cell>
          <cell r="I2302">
            <v>0</v>
          </cell>
          <cell r="J2302">
            <v>0</v>
          </cell>
          <cell r="K2302">
            <v>0</v>
          </cell>
          <cell r="L2302">
            <v>0</v>
          </cell>
          <cell r="O2302">
            <v>0</v>
          </cell>
          <cell r="Q2302" t="str">
            <v>SITE|36</v>
          </cell>
        </row>
        <row r="2303">
          <cell r="E2303" t="str">
            <v>5. ELECTRICAL / SITE UTILITIES</v>
          </cell>
          <cell r="G2303" t="str">
            <v>5. ELECTRICAL / SITE UTILITIES</v>
          </cell>
          <cell r="H2303">
            <v>0</v>
          </cell>
          <cell r="I2303">
            <v>0</v>
          </cell>
          <cell r="J2303">
            <v>0</v>
          </cell>
          <cell r="K2303">
            <v>0</v>
          </cell>
          <cell r="L2303">
            <v>0</v>
          </cell>
          <cell r="O2303">
            <v>0</v>
          </cell>
          <cell r="Q2303" t="str">
            <v>SITE|37</v>
          </cell>
        </row>
        <row r="2304">
          <cell r="E2304" t="str">
            <v>5. ELECTRICAL / SITE UTILITIES</v>
          </cell>
          <cell r="G2304" t="str">
            <v>Area</v>
          </cell>
          <cell r="H2304" t="str">
            <v>Electrical Conflict</v>
          </cell>
          <cell r="I2304" t="str">
            <v>Telecom Conflict</v>
          </cell>
          <cell r="J2304" t="str">
            <v>Storm/Sanitary Conflict</v>
          </cell>
          <cell r="K2304" t="str">
            <v>Utility Locate</v>
          </cell>
          <cell r="L2304" t="str">
            <v>Grounding/Bonding</v>
          </cell>
          <cell r="O2304" t="str">
            <v>Overall</v>
          </cell>
          <cell r="Q2304" t="str">
            <v>SITE|38</v>
          </cell>
        </row>
        <row r="2305">
          <cell r="E2305" t="str">
            <v>5. ELECTRICAL / SITE UTILITIES</v>
          </cell>
          <cell r="G2305" t="str">
            <v>Overall Site</v>
          </cell>
          <cell r="H2305" t="str">
            <v>Verify</v>
          </cell>
          <cell r="I2305" t="str">
            <v>Verify</v>
          </cell>
          <cell r="J2305" t="str">
            <v>Verify</v>
          </cell>
          <cell r="K2305" t="str">
            <v>Verify</v>
          </cell>
          <cell r="L2305" t="str">
            <v>Verify</v>
          </cell>
          <cell r="O2305" t="str">
            <v>Verify</v>
          </cell>
          <cell r="Q2305" t="str">
            <v>SITE|39</v>
          </cell>
        </row>
        <row r="2306">
          <cell r="E2306" t="str">
            <v>5. ELECTRICAL / SITE UTILITIES</v>
          </cell>
          <cell r="G2306" t="str">
            <v>THH / Manholes</v>
          </cell>
          <cell r="H2306" t="str">
            <v>Verify</v>
          </cell>
          <cell r="I2306" t="str">
            <v>Verify</v>
          </cell>
          <cell r="J2306" t="str">
            <v>Verify</v>
          </cell>
          <cell r="K2306" t="str">
            <v>Verify</v>
          </cell>
          <cell r="L2306" t="str">
            <v>Verify</v>
          </cell>
          <cell r="O2306" t="str">
            <v>Verify</v>
          </cell>
          <cell r="Q2306" t="str">
            <v>SITE|40</v>
          </cell>
        </row>
        <row r="2307">
          <cell r="E2307" t="str">
            <v>5. ELECTRICAL / SITE UTILITIES</v>
          </cell>
          <cell r="G2307" t="str">
            <v>MCR / Provider Entrance</v>
          </cell>
          <cell r="H2307" t="str">
            <v>Verify</v>
          </cell>
          <cell r="I2307" t="str">
            <v>Verify</v>
          </cell>
          <cell r="J2307" t="str">
            <v>Verify</v>
          </cell>
          <cell r="K2307" t="str">
            <v>Verify</v>
          </cell>
          <cell r="L2307" t="str">
            <v>Verify</v>
          </cell>
          <cell r="O2307" t="str">
            <v>Verify</v>
          </cell>
          <cell r="Q2307" t="str">
            <v>SITE|41</v>
          </cell>
        </row>
        <row r="2308">
          <cell r="E2308" t="str">
            <v>5. ELECTRICAL / SITE UTILITIES</v>
          </cell>
          <cell r="G2308" t="str">
            <v>Building Tie-ins</v>
          </cell>
          <cell r="H2308" t="str">
            <v>Verify</v>
          </cell>
          <cell r="I2308" t="str">
            <v>Verify</v>
          </cell>
          <cell r="J2308" t="str">
            <v>Verify</v>
          </cell>
          <cell r="K2308" t="str">
            <v>Verify</v>
          </cell>
          <cell r="L2308" t="str">
            <v>Verify</v>
          </cell>
          <cell r="O2308" t="str">
            <v>Verify</v>
          </cell>
          <cell r="Q2308" t="str">
            <v>SITE|42</v>
          </cell>
        </row>
        <row r="2309">
          <cell r="E2309" t="str">
            <v>5. ELECTRICAL / SITE UTILITIES</v>
          </cell>
          <cell r="G2309">
            <v>0</v>
          </cell>
          <cell r="H2309">
            <v>0</v>
          </cell>
          <cell r="I2309">
            <v>0</v>
          </cell>
          <cell r="J2309">
            <v>0</v>
          </cell>
          <cell r="K2309">
            <v>0</v>
          </cell>
          <cell r="L2309">
            <v>0</v>
          </cell>
          <cell r="O2309">
            <v>0</v>
          </cell>
          <cell r="Q2309" t="str">
            <v>SITE|43</v>
          </cell>
        </row>
        <row r="2310">
          <cell r="E2310" t="str">
            <v>6. TELECOMMUNICATIONS / FIBER</v>
          </cell>
          <cell r="G2310" t="str">
            <v>6. TELECOMMUNICATIONS / FIBER</v>
          </cell>
          <cell r="H2310">
            <v>0</v>
          </cell>
          <cell r="I2310">
            <v>0</v>
          </cell>
          <cell r="J2310">
            <v>0</v>
          </cell>
          <cell r="K2310">
            <v>0</v>
          </cell>
          <cell r="L2310">
            <v>0</v>
          </cell>
          <cell r="O2310">
            <v>0</v>
          </cell>
          <cell r="Q2310" t="str">
            <v>SITE|44</v>
          </cell>
        </row>
        <row r="2311">
          <cell r="E2311" t="str">
            <v>6. TELECOMMUNICATIONS / FIBER</v>
          </cell>
          <cell r="G2311" t="str">
            <v>Scope</v>
          </cell>
          <cell r="H2311" t="str">
            <v>Path A</v>
          </cell>
          <cell r="I2311" t="str">
            <v>Path B</v>
          </cell>
          <cell r="J2311" t="str">
            <v>Fiber Type</v>
          </cell>
          <cell r="K2311" t="str">
            <v>Conduit Separation</v>
          </cell>
          <cell r="L2311" t="str">
            <v>Riser / Continuation</v>
          </cell>
          <cell r="O2311" t="str">
            <v>Overall</v>
          </cell>
          <cell r="Q2311" t="str">
            <v>SITE|45</v>
          </cell>
        </row>
        <row r="2312">
          <cell r="E2312" t="str">
            <v>6. TELECOMMUNICATIONS / FIBER</v>
          </cell>
          <cell r="G2312" t="str">
            <v>Campus Backbone</v>
          </cell>
          <cell r="H2312" t="str">
            <v>Verify</v>
          </cell>
          <cell r="I2312" t="str">
            <v>Verify</v>
          </cell>
          <cell r="J2312" t="str">
            <v>24F OS2 10GB to each TR/building</v>
          </cell>
          <cell r="K2312" t="str">
            <v>Separate conduit where common ductbank shown</v>
          </cell>
          <cell r="L2312" t="str">
            <v>T-601 / building T-101 sheets</v>
          </cell>
          <cell r="O2312" t="str">
            <v>Verify</v>
          </cell>
          <cell r="Q2312" t="str">
            <v>SITE|46</v>
          </cell>
        </row>
        <row r="2313">
          <cell r="E2313" t="str">
            <v>6. TELECOMMUNICATIONS / FIBER</v>
          </cell>
          <cell r="G2313" t="str">
            <v>MCR Provider / WAN</v>
          </cell>
          <cell r="H2313" t="str">
            <v>Verify</v>
          </cell>
          <cell r="I2313" t="str">
            <v>Verify</v>
          </cell>
          <cell r="J2313" t="str">
            <v>48F OS2 temporary and provider extension noted</v>
          </cell>
          <cell r="K2313" t="str">
            <v>Verify</v>
          </cell>
          <cell r="L2313" t="str">
            <v>T-601 / MCR sheets</v>
          </cell>
          <cell r="O2313" t="str">
            <v>Verify</v>
          </cell>
          <cell r="Q2313" t="str">
            <v>SITE|47</v>
          </cell>
        </row>
        <row r="2314">
          <cell r="E2314" t="str">
            <v>6. TELECOMMUNICATIONS / FIBER</v>
          </cell>
          <cell r="G2314" t="str">
            <v>Building Drops</v>
          </cell>
          <cell r="H2314" t="str">
            <v>Verify</v>
          </cell>
          <cell r="I2314" t="str">
            <v>Verify</v>
          </cell>
          <cell r="J2314" t="str">
            <v>24F OS2 to each TR in each building</v>
          </cell>
          <cell r="K2314" t="str">
            <v>Verify</v>
          </cell>
          <cell r="L2314" t="str">
            <v>Building T-101 and T-601</v>
          </cell>
          <cell r="O2314" t="str">
            <v>Verify</v>
          </cell>
          <cell r="Q2314" t="str">
            <v>SITE|48</v>
          </cell>
        </row>
        <row r="2315">
          <cell r="E2315" t="str">
            <v>6. TELECOMMUNICATIONS / FIBER</v>
          </cell>
          <cell r="G2315" t="str">
            <v>THH Network</v>
          </cell>
          <cell r="H2315" t="str">
            <v>Verify</v>
          </cell>
          <cell r="I2315" t="str">
            <v>Verify</v>
          </cell>
          <cell r="J2315" t="str">
            <v>Varies by segment</v>
          </cell>
          <cell r="K2315" t="str">
            <v>Verify</v>
          </cell>
          <cell r="L2315" t="str">
            <v>T-601</v>
          </cell>
          <cell r="O2315" t="str">
            <v>Verify</v>
          </cell>
          <cell r="Q2315" t="str">
            <v>SITE|49</v>
          </cell>
        </row>
        <row r="2316">
          <cell r="E2316" t="str">
            <v>6. TELECOMMUNICATIONS / FIBER</v>
          </cell>
          <cell r="G2316">
            <v>0</v>
          </cell>
          <cell r="H2316">
            <v>0</v>
          </cell>
          <cell r="I2316">
            <v>0</v>
          </cell>
          <cell r="J2316">
            <v>0</v>
          </cell>
          <cell r="K2316">
            <v>0</v>
          </cell>
          <cell r="L2316">
            <v>0</v>
          </cell>
          <cell r="O2316">
            <v>0</v>
          </cell>
          <cell r="Q2316" t="str">
            <v>SITE|50</v>
          </cell>
        </row>
        <row r="2317">
          <cell r="E2317" t="str">
            <v>7. SECURITY / SITE CONTROL</v>
          </cell>
          <cell r="G2317" t="str">
            <v>7. SECURITY / SITE CONTROL</v>
          </cell>
          <cell r="H2317">
            <v>0</v>
          </cell>
          <cell r="I2317">
            <v>0</v>
          </cell>
          <cell r="J2317">
            <v>0</v>
          </cell>
          <cell r="K2317">
            <v>0</v>
          </cell>
          <cell r="L2317">
            <v>0</v>
          </cell>
          <cell r="O2317">
            <v>0</v>
          </cell>
          <cell r="Q2317" t="str">
            <v>SITE|51</v>
          </cell>
        </row>
        <row r="2318">
          <cell r="E2318" t="str">
            <v>7. SECURITY / SITE CONTROL</v>
          </cell>
          <cell r="G2318" t="str">
            <v>Area</v>
          </cell>
          <cell r="H2318" t="str">
            <v>Access Control</v>
          </cell>
          <cell r="I2318" t="str">
            <v>Barricades</v>
          </cell>
          <cell r="J2318" t="str">
            <v>Traffic Control</v>
          </cell>
          <cell r="K2318" t="str">
            <v>Pedestrian Control</v>
          </cell>
          <cell r="L2318" t="str">
            <v>After-hours Work</v>
          </cell>
          <cell r="O2318" t="str">
            <v>Overall</v>
          </cell>
          <cell r="Q2318" t="str">
            <v>SITE|52</v>
          </cell>
        </row>
        <row r="2319">
          <cell r="E2319" t="str">
            <v>7. SECURITY / SITE CONTROL</v>
          </cell>
          <cell r="G2319" t="str">
            <v>Campus Site Work</v>
          </cell>
          <cell r="H2319" t="str">
            <v>Verify</v>
          </cell>
          <cell r="I2319" t="str">
            <v>Verify</v>
          </cell>
          <cell r="J2319" t="str">
            <v>Verify</v>
          </cell>
          <cell r="K2319" t="str">
            <v>Verify</v>
          </cell>
          <cell r="L2319" t="str">
            <v>Verify</v>
          </cell>
          <cell r="O2319" t="str">
            <v>Verify</v>
          </cell>
          <cell r="Q2319" t="str">
            <v>SITE|53</v>
          </cell>
        </row>
        <row r="2320">
          <cell r="E2320" t="str">
            <v>7. SECURITY / SITE CONTROL</v>
          </cell>
          <cell r="G2320" t="str">
            <v>Road / Parking Impacts</v>
          </cell>
          <cell r="H2320" t="str">
            <v>Verify</v>
          </cell>
          <cell r="I2320" t="str">
            <v>Verify</v>
          </cell>
          <cell r="J2320" t="str">
            <v>Verify</v>
          </cell>
          <cell r="K2320" t="str">
            <v>Verify</v>
          </cell>
          <cell r="L2320" t="str">
            <v>Verify</v>
          </cell>
          <cell r="O2320" t="str">
            <v>Verify</v>
          </cell>
          <cell r="Q2320" t="str">
            <v>SITE|54</v>
          </cell>
        </row>
        <row r="2321">
          <cell r="E2321" t="str">
            <v>7. SECURITY / SITE CONTROL</v>
          </cell>
          <cell r="G2321" t="str">
            <v>Critical Utility Crossings</v>
          </cell>
          <cell r="H2321" t="str">
            <v>Verify</v>
          </cell>
          <cell r="I2321" t="str">
            <v>Verify</v>
          </cell>
          <cell r="J2321" t="str">
            <v>Verify</v>
          </cell>
          <cell r="K2321" t="str">
            <v>Verify</v>
          </cell>
          <cell r="L2321" t="str">
            <v>Verify</v>
          </cell>
          <cell r="O2321" t="str">
            <v>Verify</v>
          </cell>
          <cell r="Q2321" t="str">
            <v>SITE|55</v>
          </cell>
        </row>
        <row r="2322">
          <cell r="E2322" t="str">
            <v>7. SECURITY / SITE CONTROL</v>
          </cell>
          <cell r="G2322">
            <v>0</v>
          </cell>
          <cell r="H2322">
            <v>0</v>
          </cell>
          <cell r="I2322">
            <v>0</v>
          </cell>
          <cell r="J2322">
            <v>0</v>
          </cell>
          <cell r="K2322">
            <v>0</v>
          </cell>
          <cell r="L2322">
            <v>0</v>
          </cell>
          <cell r="O2322">
            <v>0</v>
          </cell>
          <cell r="Q2322" t="str">
            <v>SITE|56</v>
          </cell>
        </row>
        <row r="2323">
          <cell r="E2323" t="str">
            <v>8. OWNER RISKS</v>
          </cell>
          <cell r="G2323" t="str">
            <v>8. OWNER RISKS</v>
          </cell>
          <cell r="H2323">
            <v>0</v>
          </cell>
          <cell r="I2323">
            <v>0</v>
          </cell>
          <cell r="J2323">
            <v>0</v>
          </cell>
          <cell r="K2323">
            <v>0</v>
          </cell>
          <cell r="L2323">
            <v>0</v>
          </cell>
          <cell r="O2323">
            <v>0</v>
          </cell>
          <cell r="Q2323" t="str">
            <v>SITE|57</v>
          </cell>
        </row>
        <row r="2324">
          <cell r="E2324" t="str">
            <v>8. OWNER RISKS</v>
          </cell>
          <cell r="G2324" t="str">
            <v>Risk ID</v>
          </cell>
          <cell r="H2324" t="str">
            <v>Area</v>
          </cell>
          <cell r="I2324" t="str">
            <v>Risk</v>
          </cell>
          <cell r="J2324" t="str">
            <v>Impact</v>
          </cell>
          <cell r="K2324" t="str">
            <v>Probability</v>
          </cell>
          <cell r="L2324" t="str">
            <v>Score</v>
          </cell>
          <cell r="O2324" t="str">
            <v>Status</v>
          </cell>
          <cell r="Q2324" t="str">
            <v>SITE|58</v>
          </cell>
        </row>
        <row r="2325">
          <cell r="E2325" t="str">
            <v>8. OWNER RISKS</v>
          </cell>
          <cell r="G2325" t="str">
            <v>SITE-R1</v>
          </cell>
          <cell r="H2325" t="str">
            <v>All</v>
          </cell>
          <cell r="I2325" t="str">
            <v>Existing utility locations are approximate and field conditions may vary from survey</v>
          </cell>
          <cell r="J2325" t="str">
            <v>Critical</v>
          </cell>
          <cell r="K2325" t="str">
            <v>High</v>
          </cell>
          <cell r="L2325">
            <v>9</v>
          </cell>
          <cell r="O2325" t="str">
            <v>Open</v>
          </cell>
          <cell r="Q2325" t="str">
            <v>SITE|59</v>
          </cell>
        </row>
        <row r="2326">
          <cell r="E2326" t="str">
            <v>8. OWNER RISKS</v>
          </cell>
          <cell r="G2326" t="str">
            <v>SITE-R2</v>
          </cell>
          <cell r="H2326" t="str">
            <v>All</v>
          </cell>
          <cell r="I2326" t="str">
            <v>A/B fiber path separation may not be maintained through common ductbank or congested areas</v>
          </cell>
          <cell r="J2326" t="str">
            <v>Critical</v>
          </cell>
          <cell r="K2326" t="str">
            <v>Medium</v>
          </cell>
          <cell r="L2326">
            <v>8</v>
          </cell>
          <cell r="O2326" t="str">
            <v>Open</v>
          </cell>
          <cell r="Q2326" t="str">
            <v>SITE|60</v>
          </cell>
        </row>
        <row r="2327">
          <cell r="E2327" t="str">
            <v>8. OWNER RISKS</v>
          </cell>
          <cell r="G2327" t="str">
            <v>SITE-R3</v>
          </cell>
          <cell r="H2327" t="str">
            <v>All</v>
          </cell>
          <cell r="I2327" t="str">
            <v>Concrete ductbank could be backfilled before inspection</v>
          </cell>
          <cell r="J2327" t="str">
            <v>High</v>
          </cell>
          <cell r="K2327" t="str">
            <v>Medium</v>
          </cell>
          <cell r="L2327">
            <v>6</v>
          </cell>
          <cell r="O2327" t="str">
            <v>Open</v>
          </cell>
          <cell r="Q2327" t="str">
            <v>SITE|61</v>
          </cell>
        </row>
        <row r="2328">
          <cell r="E2328" t="str">
            <v>8. OWNER RISKS</v>
          </cell>
          <cell r="G2328" t="str">
            <v>SITE-R4</v>
          </cell>
          <cell r="H2328" t="str">
            <v>MCR / Provider</v>
          </cell>
          <cell r="I2328" t="str">
            <v>WAN/provider fiber and MCR activation sequence could delay campus cutover</v>
          </cell>
          <cell r="J2328" t="str">
            <v>Critical</v>
          </cell>
          <cell r="K2328" t="str">
            <v>Medium</v>
          </cell>
          <cell r="L2328">
            <v>8</v>
          </cell>
          <cell r="O2328" t="str">
            <v>Open</v>
          </cell>
          <cell r="Q2328" t="str">
            <v>SITE|62</v>
          </cell>
        </row>
        <row r="2329">
          <cell r="E2329" t="str">
            <v>8. OWNER RISKS</v>
          </cell>
          <cell r="G2329" t="str">
            <v>SITE-R5</v>
          </cell>
          <cell r="H2329" t="str">
            <v>Roads / Parking / Pedestrian Areas</v>
          </cell>
          <cell r="I2329" t="str">
            <v>Trenching/restoration may disrupt accessible parking, fire lanes, public access and campus traffic</v>
          </cell>
          <cell r="J2329" t="str">
            <v>High</v>
          </cell>
          <cell r="K2329" t="str">
            <v>Medium</v>
          </cell>
          <cell r="L2329">
            <v>6</v>
          </cell>
          <cell r="O2329" t="str">
            <v>Open</v>
          </cell>
          <cell r="Q2329" t="str">
            <v>SITE|63</v>
          </cell>
        </row>
        <row r="2330">
          <cell r="E2330" t="str">
            <v>8. OWNER RISKS</v>
          </cell>
          <cell r="G2330" t="str">
            <v>SITE-R6</v>
          </cell>
          <cell r="H2330" t="str">
            <v>All Building Tie-ins</v>
          </cell>
          <cell r="I2330" t="str">
            <v>Building entry penetrations/firestopping may not align with building PMIS packages</v>
          </cell>
          <cell r="J2330" t="str">
            <v>High</v>
          </cell>
          <cell r="K2330" t="str">
            <v>Medium</v>
          </cell>
          <cell r="L2330">
            <v>6</v>
          </cell>
          <cell r="O2330" t="str">
            <v>Open</v>
          </cell>
          <cell r="Q2330" t="str">
            <v>SITE|64</v>
          </cell>
        </row>
        <row r="2331">
          <cell r="E2331" t="str">
            <v>8. OWNER RISKS</v>
          </cell>
          <cell r="G2331" t="str">
            <v>SITE-R7</v>
          </cell>
          <cell r="H2331" t="str">
            <v>Civil Restoration</v>
          </cell>
          <cell r="I2331" t="str">
            <v>Asphalt/concrete/landscape restoration quantities and limits may be underestimated</v>
          </cell>
          <cell r="J2331" t="str">
            <v>Medium</v>
          </cell>
          <cell r="K2331" t="str">
            <v>Medium</v>
          </cell>
          <cell r="L2331">
            <v>4</v>
          </cell>
          <cell r="O2331" t="str">
            <v>Open</v>
          </cell>
          <cell r="Q2331" t="str">
            <v>SITE|65</v>
          </cell>
        </row>
        <row r="2332">
          <cell r="E2332" t="str">
            <v>8. OWNER RISKS</v>
          </cell>
          <cell r="G2332" t="str">
            <v>SITE-R8</v>
          </cell>
          <cell r="H2332" t="str">
            <v>Commissioning / Turnover</v>
          </cell>
          <cell r="I2332" t="str">
            <v>Fiber testing, labels, as-builts and site utility commissioning may be incomplete</v>
          </cell>
          <cell r="J2332" t="str">
            <v>High</v>
          </cell>
          <cell r="K2332" t="str">
            <v>Medium</v>
          </cell>
          <cell r="L2332">
            <v>6</v>
          </cell>
          <cell r="O2332" t="str">
            <v>Open</v>
          </cell>
          <cell r="Q2332" t="str">
            <v>SITE|66</v>
          </cell>
        </row>
        <row r="2333">
          <cell r="E2333" t="str">
            <v>8. OWNER RISKS</v>
          </cell>
          <cell r="G2333">
            <v>0</v>
          </cell>
          <cell r="H2333">
            <v>0</v>
          </cell>
          <cell r="I2333">
            <v>0</v>
          </cell>
          <cell r="J2333">
            <v>0</v>
          </cell>
          <cell r="K2333">
            <v>0</v>
          </cell>
          <cell r="L2333">
            <v>0</v>
          </cell>
          <cell r="O2333">
            <v>0</v>
          </cell>
          <cell r="Q2333" t="str">
            <v>SITE|67</v>
          </cell>
        </row>
        <row r="2334">
          <cell r="E2334" t="str">
            <v>9. OPEN QUESTIONS</v>
          </cell>
          <cell r="G2334" t="str">
            <v>9. OPEN QUESTIONS</v>
          </cell>
          <cell r="H2334">
            <v>0</v>
          </cell>
          <cell r="I2334">
            <v>0</v>
          </cell>
          <cell r="J2334">
            <v>0</v>
          </cell>
          <cell r="K2334">
            <v>0</v>
          </cell>
          <cell r="L2334">
            <v>0</v>
          </cell>
          <cell r="O2334">
            <v>0</v>
          </cell>
          <cell r="Q2334" t="str">
            <v>SITE|68</v>
          </cell>
        </row>
        <row r="2335">
          <cell r="E2335" t="str">
            <v>9. OPEN QUESTIONS</v>
          </cell>
          <cell r="G2335" t="str">
            <v>Question ID</v>
          </cell>
          <cell r="H2335" t="str">
            <v>Question</v>
          </cell>
          <cell r="I2335" t="str">
            <v>Assigned To</v>
          </cell>
          <cell r="J2335" t="str">
            <v>Status</v>
          </cell>
          <cell r="K2335" t="str">
            <v>Needed By</v>
          </cell>
          <cell r="L2335" t="str">
            <v>Answer / Resolution</v>
          </cell>
          <cell r="O2335" t="str">
            <v>Date Closed</v>
          </cell>
          <cell r="Q2335" t="str">
            <v>SITE|69</v>
          </cell>
        </row>
        <row r="2336">
          <cell r="E2336" t="str">
            <v>9. OPEN QUESTIONS</v>
          </cell>
          <cell r="G2336" t="str">
            <v>SITE-Q1</v>
          </cell>
          <cell r="H2336" t="str">
            <v>Confirm final list of all site fiber buildings and whether Buildings 1-22, 33, 61, 62, 70, 78/78A, 80, 81, 82, Crescent House and MCR are included in one site backbone turnover package.</v>
          </cell>
          <cell r="I2336" t="str">
            <v>VA / OIT / Designer</v>
          </cell>
          <cell r="J2336" t="str">
            <v>Open</v>
          </cell>
          <cell r="K2336">
            <v>0</v>
          </cell>
          <cell r="L2336">
            <v>0</v>
          </cell>
          <cell r="O2336">
            <v>0</v>
          </cell>
          <cell r="Q2336" t="str">
            <v>SITE|70</v>
          </cell>
        </row>
        <row r="2337">
          <cell r="E2337" t="str">
            <v>9. OPEN QUESTIONS</v>
          </cell>
          <cell r="G2337" t="str">
            <v>SITE-Q2</v>
          </cell>
          <cell r="H2337" t="str">
            <v>Which THH/manhole numbers are new versus existing, and which require locking cover replacement only?</v>
          </cell>
          <cell r="I2337" t="str">
            <v>Telecom / Civil</v>
          </cell>
          <cell r="J2337" t="str">
            <v>Open</v>
          </cell>
          <cell r="K2337">
            <v>0</v>
          </cell>
          <cell r="L2337">
            <v>0</v>
          </cell>
          <cell r="O2337">
            <v>0</v>
          </cell>
          <cell r="Q2337" t="str">
            <v>SITE|71</v>
          </cell>
        </row>
        <row r="2338">
          <cell r="E2338" t="str">
            <v>9. OPEN QUESTIONS</v>
          </cell>
          <cell r="G2338" t="str">
            <v>SITE-Q3</v>
          </cell>
          <cell r="H2338" t="str">
            <v>Are all A and B routes physically diverse enough and in separate conduit wherever common ductbank is used?</v>
          </cell>
          <cell r="I2338" t="str">
            <v>OIT / Designer</v>
          </cell>
          <cell r="J2338" t="str">
            <v>Open</v>
          </cell>
          <cell r="K2338">
            <v>0</v>
          </cell>
          <cell r="L2338">
            <v>0</v>
          </cell>
          <cell r="O2338">
            <v>0</v>
          </cell>
          <cell r="Q2338" t="str">
            <v>SITE|72</v>
          </cell>
        </row>
        <row r="2339">
          <cell r="E2339" t="str">
            <v>9. OPEN QUESTIONS</v>
          </cell>
          <cell r="G2339" t="str">
            <v>SITE-Q4</v>
          </cell>
          <cell r="H2339" t="str">
            <v>What are the approved utility-locate/potholing requirements before excavation at each crossing?</v>
          </cell>
          <cell r="I2339" t="str">
            <v>GC / VA / Civil</v>
          </cell>
          <cell r="J2339" t="str">
            <v>Open</v>
          </cell>
          <cell r="K2339">
            <v>0</v>
          </cell>
          <cell r="L2339">
            <v>0</v>
          </cell>
          <cell r="O2339">
            <v>0</v>
          </cell>
          <cell r="Q2339" t="str">
            <v>SITE|73</v>
          </cell>
        </row>
        <row r="2340">
          <cell r="E2340" t="str">
            <v>9. OPEN QUESTIONS</v>
          </cell>
          <cell r="G2340" t="str">
            <v>SITE-Q5</v>
          </cell>
          <cell r="H2340" t="str">
            <v>What inspection hold points are required for ductbank forms, conduit placement, concrete pour, pull string, mandrel and backfill?</v>
          </cell>
          <cell r="I2340" t="str">
            <v>QA / COR / Civil</v>
          </cell>
          <cell r="J2340" t="str">
            <v>Open</v>
          </cell>
          <cell r="K2340">
            <v>0</v>
          </cell>
          <cell r="L2340">
            <v>0</v>
          </cell>
          <cell r="O2340">
            <v>0</v>
          </cell>
          <cell r="Q2340" t="str">
            <v>SITE|74</v>
          </cell>
        </row>
        <row r="2341">
          <cell r="E2341" t="str">
            <v>9. OPEN QUESTIONS</v>
          </cell>
          <cell r="G2341" t="str">
            <v>SITE-Q6</v>
          </cell>
          <cell r="H2341" t="str">
            <v>Are directional boring alternatives allowed anywhere, or is all base-bid work trenching unless separately approved by Government?</v>
          </cell>
          <cell r="I2341" t="str">
            <v>VA / COR</v>
          </cell>
          <cell r="J2341" t="str">
            <v>Open</v>
          </cell>
          <cell r="K2341">
            <v>0</v>
          </cell>
          <cell r="L2341">
            <v>0</v>
          </cell>
          <cell r="O2341">
            <v>0</v>
          </cell>
          <cell r="Q2341" t="str">
            <v>SITE|75</v>
          </cell>
        </row>
        <row r="2342">
          <cell r="E2342" t="str">
            <v>9. OPEN QUESTIONS</v>
          </cell>
          <cell r="G2342" t="str">
            <v>SITE-Q7</v>
          </cell>
          <cell r="H2342" t="str">
            <v>What exact fiber test package is required for each path and building tie-in before connection to active operations?</v>
          </cell>
          <cell r="I2342" t="str">
            <v>OIT / Telecom / Cx</v>
          </cell>
          <cell r="J2342" t="str">
            <v>Open</v>
          </cell>
          <cell r="K2342">
            <v>0</v>
          </cell>
          <cell r="L2342">
            <v>0</v>
          </cell>
          <cell r="O2342">
            <v>0</v>
          </cell>
          <cell r="Q2342" t="str">
            <v>SITE|76</v>
          </cell>
        </row>
        <row r="2343">
          <cell r="E2343" t="str">
            <v>9. OPEN QUESTIONS</v>
          </cell>
          <cell r="G2343" t="str">
            <v>SITE-Q8</v>
          </cell>
          <cell r="H2343" t="str">
            <v>How will MCR/provider temporary fiber, new fiber and campus building activation be sequenced to limit shutdowns to one at a time?</v>
          </cell>
          <cell r="I2343" t="str">
            <v>OIT / GC / COR</v>
          </cell>
          <cell r="J2343" t="str">
            <v>Open</v>
          </cell>
          <cell r="K2343">
            <v>0</v>
          </cell>
          <cell r="L2343">
            <v>0</v>
          </cell>
          <cell r="O2343">
            <v>0</v>
          </cell>
          <cell r="Q2343" t="str">
            <v>SITE|77</v>
          </cell>
        </row>
        <row r="2344">
          <cell r="E2344" t="str">
            <v>9. OPEN QUESTIONS</v>
          </cell>
          <cell r="G2344">
            <v>0</v>
          </cell>
          <cell r="H2344">
            <v>0</v>
          </cell>
          <cell r="I2344">
            <v>0</v>
          </cell>
          <cell r="J2344">
            <v>0</v>
          </cell>
          <cell r="K2344">
            <v>0</v>
          </cell>
          <cell r="L2344">
            <v>0</v>
          </cell>
          <cell r="O2344">
            <v>0</v>
          </cell>
          <cell r="Q2344" t="str">
            <v>SITE|78</v>
          </cell>
        </row>
        <row r="2345">
          <cell r="E2345" t="str">
            <v>10. PHOTO LOG</v>
          </cell>
          <cell r="G2345" t="str">
            <v>10. PHOTO LOG</v>
          </cell>
          <cell r="H2345">
            <v>0</v>
          </cell>
          <cell r="I2345">
            <v>0</v>
          </cell>
          <cell r="J2345">
            <v>0</v>
          </cell>
          <cell r="K2345">
            <v>0</v>
          </cell>
          <cell r="L2345">
            <v>0</v>
          </cell>
          <cell r="O2345">
            <v>0</v>
          </cell>
          <cell r="Q2345" t="str">
            <v>SITE|79</v>
          </cell>
        </row>
        <row r="2346">
          <cell r="E2346" t="str">
            <v>10. PHOTO LOG</v>
          </cell>
          <cell r="G2346" t="str">
            <v>Photo ID</v>
          </cell>
          <cell r="H2346" t="str">
            <v>Area</v>
          </cell>
          <cell r="I2346" t="str">
            <v>Category</v>
          </cell>
          <cell r="J2346" t="str">
            <v>Description</v>
          </cell>
          <cell r="K2346" t="str">
            <v>Date</v>
          </cell>
          <cell r="L2346" t="str">
            <v>Taken By</v>
          </cell>
          <cell r="O2346" t="str">
            <v>Status</v>
          </cell>
          <cell r="Q2346" t="str">
            <v>SITE|80</v>
          </cell>
        </row>
        <row r="2347">
          <cell r="E2347" t="str">
            <v>10. PHOTO LOG</v>
          </cell>
          <cell r="G2347" t="str">
            <v>SITE-P001</v>
          </cell>
          <cell r="H2347" t="str">
            <v>Overall Site</v>
          </cell>
          <cell r="I2347" t="str">
            <v>Existing Conditions</v>
          </cell>
          <cell r="J2347" t="str">
            <v>Campus-wide route photos before excavation, including pavement, sidewalks, landscaping, parking, fire lanes and building entry areas</v>
          </cell>
          <cell r="K2347">
            <v>0</v>
          </cell>
          <cell r="L2347">
            <v>0</v>
          </cell>
          <cell r="O2347" t="str">
            <v>Closed</v>
          </cell>
          <cell r="Q2347" t="str">
            <v>SITE|81</v>
          </cell>
        </row>
        <row r="2348">
          <cell r="E2348" t="str">
            <v>10. PHOTO LOG</v>
          </cell>
          <cell r="G2348" t="str">
            <v>SITE-P002</v>
          </cell>
          <cell r="H2348" t="str">
            <v>THH #1-#19</v>
          </cell>
          <cell r="I2348" t="str">
            <v>Structures</v>
          </cell>
          <cell r="J2348" t="str">
            <v>Each handhole/manhole/pullbox location, cover, label, depth, drainage, conduit entry, and final installed condition</v>
          </cell>
          <cell r="K2348">
            <v>0</v>
          </cell>
          <cell r="L2348">
            <v>0</v>
          </cell>
          <cell r="O2348" t="str">
            <v>Closed</v>
          </cell>
          <cell r="Q2348" t="str">
            <v>SITE|82</v>
          </cell>
        </row>
        <row r="2349">
          <cell r="E2349" t="str">
            <v>10. PHOTO LOG</v>
          </cell>
          <cell r="G2349" t="str">
            <v>SITE-P003</v>
          </cell>
          <cell r="H2349" t="str">
            <v>Ductbank</v>
          </cell>
          <cell r="I2349" t="str">
            <v>Pre-pour Inspection</v>
          </cell>
          <cell r="J2349" t="str">
            <v>Conduit count, separation, supports/spacers, depth, utility crossings, warning tape, pull strings and concrete encasement before pour</v>
          </cell>
          <cell r="K2349">
            <v>0</v>
          </cell>
          <cell r="L2349">
            <v>0</v>
          </cell>
          <cell r="O2349" t="str">
            <v>Closed</v>
          </cell>
          <cell r="Q2349" t="str">
            <v>SITE|83</v>
          </cell>
        </row>
        <row r="2350">
          <cell r="E2350" t="str">
            <v>10. PHOTO LOG</v>
          </cell>
          <cell r="G2350" t="str">
            <v>SITE-P004</v>
          </cell>
          <cell r="H2350" t="str">
            <v>Utility Crossings</v>
          </cell>
          <cell r="I2350" t="str">
            <v>Existing Utilities</v>
          </cell>
          <cell r="J2350" t="str">
            <v>Potholing/hand-dig photos showing electric, storm, sanitary, water, gas/unknown utilities and clearance to new ductbank</v>
          </cell>
          <cell r="K2350">
            <v>0</v>
          </cell>
          <cell r="L2350">
            <v>0</v>
          </cell>
          <cell r="O2350" t="str">
            <v>Closed</v>
          </cell>
          <cell r="Q2350" t="str">
            <v>SITE|84</v>
          </cell>
        </row>
        <row r="2351">
          <cell r="E2351" t="str">
            <v>10. PHOTO LOG</v>
          </cell>
          <cell r="G2351" t="str">
            <v>SITE-P005</v>
          </cell>
          <cell r="H2351" t="str">
            <v>Building Tie-ins</v>
          </cell>
          <cell r="I2351" t="str">
            <v>Penetrations / Firestop</v>
          </cell>
          <cell r="J2351" t="str">
            <v>Exterior entry points, wall/floor penetrations, sleeves, firestop, weatherproofing and interior continuation to building TR/TE</v>
          </cell>
          <cell r="K2351">
            <v>0</v>
          </cell>
          <cell r="L2351">
            <v>0</v>
          </cell>
          <cell r="O2351" t="str">
            <v>Closed</v>
          </cell>
          <cell r="Q2351" t="str">
            <v>SITE|85</v>
          </cell>
        </row>
        <row r="2352">
          <cell r="E2352" t="str">
            <v>10. PHOTO LOG</v>
          </cell>
          <cell r="G2352" t="str">
            <v>SITE-P006</v>
          </cell>
          <cell r="H2352" t="str">
            <v>Fiber Pull / Testing</v>
          </cell>
          <cell r="I2352" t="str">
            <v>Telecom</v>
          </cell>
          <cell r="J2352" t="str">
            <v>Fiber reels, pull setup, mandrel/rope, splice/termination points, labels, OTDR/power meter screenshots and OIT acceptance</v>
          </cell>
          <cell r="K2352">
            <v>0</v>
          </cell>
          <cell r="L2352">
            <v>0</v>
          </cell>
          <cell r="O2352" t="str">
            <v>Closed</v>
          </cell>
          <cell r="Q2352" t="str">
            <v>SITE|86</v>
          </cell>
        </row>
        <row r="2353">
          <cell r="E2353" t="str">
            <v>10. PHOTO LOG</v>
          </cell>
          <cell r="G2353" t="str">
            <v>SITE-P007</v>
          </cell>
          <cell r="H2353" t="str">
            <v>Restoration</v>
          </cell>
          <cell r="I2353" t="str">
            <v>Civil</v>
          </cell>
          <cell r="J2353" t="str">
            <v>Asphalt/concrete trench patches, sidewalk panels, landscaping, turf, drainage, curb/edge details and final cleanup</v>
          </cell>
          <cell r="K2353">
            <v>0</v>
          </cell>
          <cell r="L2353">
            <v>0</v>
          </cell>
          <cell r="O2353" t="str">
            <v>Closed</v>
          </cell>
          <cell r="Q2353" t="str">
            <v>SITE|87</v>
          </cell>
        </row>
        <row r="2354">
          <cell r="E2354" t="str">
            <v>10. PHOTO LOG</v>
          </cell>
          <cell r="G2354" t="str">
            <v>SITE-P008</v>
          </cell>
          <cell r="H2354" t="str">
            <v>MCR / Provider Entrance</v>
          </cell>
          <cell r="I2354" t="str">
            <v>Critical Cutover</v>
          </cell>
          <cell r="J2354" t="str">
            <v>Provider handoff, WAN fiber route, temporary fiber, Path A/B into MCR and activation/cutover coordination photos</v>
          </cell>
          <cell r="K2354">
            <v>0</v>
          </cell>
          <cell r="L2354">
            <v>0</v>
          </cell>
          <cell r="O2354" t="str">
            <v>Closed</v>
          </cell>
          <cell r="Q2354" t="str">
            <v>SITE|88</v>
          </cell>
        </row>
        <row r="2355">
          <cell r="E2355" t="str">
            <v>10. PHOTO LOG</v>
          </cell>
          <cell r="G2355">
            <v>0</v>
          </cell>
          <cell r="H2355">
            <v>0</v>
          </cell>
          <cell r="I2355">
            <v>0</v>
          </cell>
          <cell r="J2355">
            <v>0</v>
          </cell>
          <cell r="K2355">
            <v>0</v>
          </cell>
          <cell r="L2355">
            <v>0</v>
          </cell>
          <cell r="O2355">
            <v>0</v>
          </cell>
          <cell r="Q2355" t="str">
            <v>SITE|89</v>
          </cell>
        </row>
      </sheetData>
      <sheetData sheetId="60"/>
      <sheetData sheetId="61">
        <row r="4">
          <cell r="A4">
            <v>30</v>
          </cell>
          <cell r="B4" t="str">
            <v>01</v>
          </cell>
        </row>
        <row r="5">
          <cell r="A5">
            <v>20</v>
          </cell>
          <cell r="B5" t="str">
            <v>02</v>
          </cell>
        </row>
        <row r="6">
          <cell r="A6">
            <v>21</v>
          </cell>
          <cell r="B6" t="str">
            <v>03</v>
          </cell>
        </row>
        <row r="7">
          <cell r="A7">
            <v>22</v>
          </cell>
          <cell r="B7" t="str">
            <v>04</v>
          </cell>
        </row>
        <row r="8">
          <cell r="A8">
            <v>25</v>
          </cell>
          <cell r="B8" t="str">
            <v>05</v>
          </cell>
        </row>
        <row r="9">
          <cell r="A9">
            <v>1</v>
          </cell>
          <cell r="B9" t="str">
            <v>06</v>
          </cell>
        </row>
        <row r="10">
          <cell r="A10">
            <v>19</v>
          </cell>
          <cell r="B10" t="str">
            <v>07</v>
          </cell>
        </row>
        <row r="11">
          <cell r="A11">
            <v>2</v>
          </cell>
          <cell r="B11" t="str">
            <v>08</v>
          </cell>
        </row>
        <row r="12">
          <cell r="A12">
            <v>3</v>
          </cell>
          <cell r="B12" t="str">
            <v>09</v>
          </cell>
        </row>
        <row r="13">
          <cell r="A13">
            <v>4</v>
          </cell>
          <cell r="B13" t="str">
            <v>10</v>
          </cell>
        </row>
        <row r="14">
          <cell r="A14">
            <v>26</v>
          </cell>
          <cell r="B14" t="str">
            <v>12</v>
          </cell>
        </row>
        <row r="15">
          <cell r="A15">
            <v>5</v>
          </cell>
          <cell r="B15" t="str">
            <v>13</v>
          </cell>
        </row>
        <row r="16">
          <cell r="A16">
            <v>6</v>
          </cell>
          <cell r="B16" t="str">
            <v>14</v>
          </cell>
        </row>
        <row r="17">
          <cell r="A17">
            <v>7</v>
          </cell>
          <cell r="B17" t="str">
            <v>15</v>
          </cell>
        </row>
        <row r="18">
          <cell r="A18">
            <v>8</v>
          </cell>
          <cell r="B18" t="str">
            <v>16</v>
          </cell>
        </row>
        <row r="19">
          <cell r="A19">
            <v>9</v>
          </cell>
          <cell r="B19" t="str">
            <v>17</v>
          </cell>
        </row>
        <row r="20">
          <cell r="A20">
            <v>10</v>
          </cell>
          <cell r="B20" t="str">
            <v>18</v>
          </cell>
        </row>
        <row r="21">
          <cell r="A21">
            <v>11</v>
          </cell>
          <cell r="B21" t="str">
            <v>20</v>
          </cell>
        </row>
        <row r="22">
          <cell r="A22">
            <v>12</v>
          </cell>
          <cell r="B22" t="str">
            <v>21</v>
          </cell>
        </row>
        <row r="23">
          <cell r="A23">
            <v>13</v>
          </cell>
          <cell r="B23" t="str">
            <v>22</v>
          </cell>
        </row>
        <row r="24">
          <cell r="A24">
            <v>14</v>
          </cell>
          <cell r="B24" t="str">
            <v>33</v>
          </cell>
        </row>
        <row r="25">
          <cell r="A25">
            <v>29</v>
          </cell>
          <cell r="B25" t="str">
            <v>61</v>
          </cell>
        </row>
        <row r="26">
          <cell r="A26">
            <v>27</v>
          </cell>
          <cell r="B26" t="str">
            <v>62</v>
          </cell>
        </row>
        <row r="27">
          <cell r="A27">
            <v>28</v>
          </cell>
          <cell r="B27" t="str">
            <v>70</v>
          </cell>
        </row>
        <row r="28">
          <cell r="A28">
            <v>24</v>
          </cell>
          <cell r="B28" t="str">
            <v>78</v>
          </cell>
        </row>
        <row r="29">
          <cell r="A29">
            <v>15</v>
          </cell>
          <cell r="B29" t="str">
            <v>80</v>
          </cell>
        </row>
        <row r="30">
          <cell r="A30">
            <v>16</v>
          </cell>
          <cell r="B30" t="str">
            <v>82</v>
          </cell>
        </row>
        <row r="31">
          <cell r="A31">
            <v>17</v>
          </cell>
          <cell r="B31" t="str">
            <v>BCH</v>
          </cell>
        </row>
        <row r="32">
          <cell r="A32">
            <v>18</v>
          </cell>
          <cell r="B32" t="str">
            <v>MCR</v>
          </cell>
        </row>
        <row r="33">
          <cell r="A33">
            <v>23</v>
          </cell>
          <cell r="B33" t="str">
            <v>SITE</v>
          </cell>
        </row>
      </sheetData>
      <sheetData sheetId="62">
        <row r="1">
          <cell r="A1" t="str">
            <v>Building_ID</v>
          </cell>
          <cell r="B1" t="str">
            <v>Fire / Life Safety</v>
          </cell>
          <cell r="C1" t="str">
            <v>HVAC / Cooling</v>
          </cell>
          <cell r="D1" t="str">
            <v>Electrical / UPS</v>
          </cell>
          <cell r="E1" t="str">
            <v>Telecom / Fiber</v>
          </cell>
          <cell r="G1" t="str">
            <v>Owner Risks</v>
          </cell>
          <cell r="H1" t="str">
            <v>Open Questions</v>
          </cell>
        </row>
        <row r="2">
          <cell r="A2" t="str">
            <v>01</v>
          </cell>
          <cell r="B2" t="str">
            <v>• Full fire protection scope included. Verify sprinkler head modifications, fire alarm devices, clean-agent/CO2 2A:10B:C FEC within 75 ft, rated wall/floor penetrations, temporary firestopping and final UL firestop systems.
• Existing telecom room; verify FP/FA protection-in-place and seal penetrations after cable removal/reuse.
• Existing telecom room; verify fire alarm/sprinkler impacts, protection-in-place and final firestop at cable changes.
• Existing second-level telecom room; verify riser penetrations, firestopping and protection-in-place.</v>
          </cell>
          <cell r="C2" t="str">
            <v>• Mechanical drawings show IU-1-01 split-system indoor unit and CU-1-01 outdoor unit for Room 107. Notes call for condensate pump, pumped condensate line, BACnet adapter adjacent to unit, FMS integration, room temperature/humidity points and alarms. Confirm capacity, emergency source, condensate path, controls and startup.
• Existing basement telecom equipment may remain active during cutover. Verify environmental conditions and whether active equipment remains after migration.
• Existing first-level equipment may remain active during transfer; verify temperature, ventilation and protection of active gear.
• Existing second-level equipment may remain active until cutover; verify existing cooling/ambient conditions and no overheating.</v>
          </cell>
          <cell r="D2" t="str">
            <v>• Electrical plans/schedules identify B01-TR107A and B01-TR107B, rack receptacles, normal/emergency receptacles, redundant vertical PDUs, CU-1-01, access controller, lighting/receptacle circuits, SPDs integral to new telecom panels, and 30-day load measurement requirements before panel renovation.
• Existing B02 rack elevations show UPS on floor and Tripp Lite Smart Pro UPS; verify active source circuits and transfer requirements.
• Existing 138 rack elevation shows APC UPS floor and patch panels; verify active source circuits and transition.
• Existing Room 282 equipment includes active rack gear and patch panels; verify source circuits, UPS/PDU condition and final decommission/retain scope.</v>
          </cell>
          <cell r="E2" t="str">
            <v>• 01T-701 identifies RM107 with 96 WAO total, 88 active ports per survey, 146 total ports per schedule, and 161 total ports with 10% allowance. Cable tray schedule totals 394 ft: 58 ft basement, 212 ft first level and 124 ft second level. Rack ID TR01-107-1.
• Existing B02 racks/TE support active services and legacy equipment. Contractor must field verify equipment to be demolished or transferred and provide phasing plan.
• Existing Room 138 racks and patch panels act as transition/legacy equipment point. Verify active service labels and transfer sequence.
• Existing Room 282 racks and patch panels act as second-level transition point. Verify all active services, WAP/camera cabling, and riser pathway.</v>
          </cell>
          <cell r="G2" t="str">
            <v>• High: Existing conditions for Room 107 and transition rooms B02/138/282 not field verified — Perform existing conditions survey with photos and active-service inventory before mobilization
• Critical: Existing equipment may remain active during transfer to Room 107 — Document active services, protect in place, identify OIT cutover windows, phasing, rollback path and temporary utilities
• Critical: Dedicated cooling emergency power, condensate, BACnet and alarms not verified — Confirm IU-1-01/CU-1-01 power source, condensate route, controls, BACnet adapter, thermostat, humidity and high-temp alarms
• High: B01-TR107A/B UPS/PDU and panel source coordination could delay energization — Verify panels, breakers, receptacles, SPD, labels, 30-day load measurement and LOTO needs
• High: 394 feet of cable tray/pathway requires coordination and firestop tracking — Verify route, supports, seismic bracing, 40% fill, penetrations, lighting/HVAC conflicts and firestop assemblies
• Critical: Telecom/fiber cutover could affect active hospital communications across basement/first/second levels — Require cutover plan, test records, labels, as-builts, OIT coordination and VA acceptance before active connection</v>
          </cell>
          <cell r="H2" t="str">
            <v>• B01-Q1 — Confirm final telecom scope: new Room 107 with existing B02, 138 and 282 transition/transfer points? [Closed] Impact: Room inventory could miss scope
• B01-Q2 — What active services are currently fed from existing Rooms B02, 138 and 282? [Closed] Impact: Potential communications/security outage
• B01-Q3 — What equipment from existing racks transfers to new Room 107 versus remains/decommissions? [Closed] Impact: Cutover and rack elevation risk
• B01-Q4 — Is IU-1-01/CU-1-01 on emergency/backup power and dedicated to Room 107? [Closed] Impact: Cooling continuity unclear
• B01-Q5 — Where is the clean-agent/CO2 extinguisher cabinet located within 75 ft of Room 107? [Closed] Impact: Life-safety acceptance risk
• B01-Q6 — Are B01-TR107A/B sources, rack receptacles, SPDs, labels and 30-day load measurements approved? [Closed] Impact: Electrical readiness unknown</v>
          </cell>
        </row>
        <row r="3">
          <cell r="A3" t="str">
            <v>02</v>
          </cell>
          <cell r="B3" t="str">
            <v>• Full fire protection scope included. Verify sprinkler modifications, fire alarm devices, clean-agent/CO2 2A:10B:C FEC within 75 ft, rated wall/floor penetrations, temporary firestopping and final UL systems.
• Verify second-level TR sprinkler/fire alarm modifications, FEC location, cable tray penetrations, and temporary/final firestopping.
• Verify third-level TR sprinkler/fire alarm modifications, FEC location, riser penetrations and firestopping.
• Existing telecom rooms; verify FP/FA protection-in-place and seal penetrations after cable removal/reuse.</v>
          </cell>
          <cell r="C3" t="str">
            <v>• Electrical schedule references CU-1-01, CU-2-01 and CU-3-01 on B02-TR141B; mechanical sheets include dedicated TR cooling. Confirm which indoor/outdoor unit serves Room 141, capacity, emergency power, condensate, controls/BACnet and alarms.
• Confirm dedicated cooling equipment serving Room 236, condensate route, 24/7 operation, emergency source and FMS/BACnet high-temperature alarm.
• Confirm dedicated cooling equipment serving Room 342, condensate route, controls, emergency source and alarm integration.
• Existing telecom equipment may remain active during cutover. Verify ambient temperature/cooling protection until migration complete.</v>
          </cell>
          <cell r="D3" t="str">
            <v>• Electrical one-line/schedules identify B02-TR141A/B with rack receptacles, lighting/receptacles, SPDs integral to new telecom panelboards and cooling equipment references. Verify source, 30-day load measurement, LOTO and labels.
• Electrical one-line/schedules identify B02-TR236A/B with rack receptacles, lighting/receptacles, SPDs and normal/emergency power requirements. Verify source and rack PDU mapping.
• Electrical one-line/schedules identify B02-TR342A/B with rack receptacles, lighting/receptacles and SPDs. Verify source panels and UPS/PDU circuits.
• Existing racks/panels remain active during transfer; verify power source, UPS status and temporary power needs.</v>
          </cell>
          <cell r="E3" t="str">
            <v>• 02T-701 identifies RM141 with 211 WAO total, 215 active ports, 322 scheduled ports, 354 ports with allowance. Rack IDs TR01-141-01/02. Cable tray schedule total includes 1,069 ft first-level cable tray.
• 02T-702 identifies RM236 with 179 WAO total, 178 active ports, 314 scheduled ports and approx. 345 with allowance. Rack IDs TR01-236-01/02. Verify second-level cable tray, riser and cutover from existing 282/236 scope.
• 02T-703 identifies RM342 with 274 WAO total, 96 active ports, 353 scheduled ports, 388 with allowance. Rack IDs TR01-342-01/02. Verify third-level cable tray and high outlet count.
• Existing B-06/141/236 racks support legacy services. Field verify all active circuits, existing patch panels, labels, and transfer plan before cutover.</v>
          </cell>
          <cell r="G3" t="str">
            <v>• High: Existing conditions for Rooms 141/236/342 and existing B-06/141/236 not field verified — Perform existing conditions survey with photos and active-service inventory before mobilization
• Critical: Existing equipment may remain active during transfer to new TRs — Document active services, protect in place, identify OIT cutover windows, phasing, rollback path and temporary utilities
• Critical: Dedicated cooling assignment, emergency power, condensate, BACnet and alarms not verified — Confirm each IU/CU serving each TR, power source, condensate route, controls, BACnet, thermostat and high-temp alarms
• High: B02-TR141/236/342 A/B UPS/PDU and panel source coordination could delay energization — Verify panels, breakers, receptacles, SPDs, labels, 30-day load measurement and LOTO needs
• High: 2,560 feet of cable tray/pathway requires coordination and firestop tracking — Verify route, supports, seismic bracing, 40% fill, penetrations, lighting/HVAC conflicts and firestop assemblies
• Critical: Telecom/fiber cutover could affect active hospital communications across several floors — Require cutover plan, test records, labels, as-builts, OIT coordination and VA acceptance before active connection</v>
          </cell>
          <cell r="H3" t="str">
            <v>• B02-Q1 — Confirm final telecom scope: new Rooms 141, 236 and 342 with existing B-06/141/236 transition points? [Open] Impact: Room inventory could miss scope
• B02-Q2 — What active services are currently fed from existing Rooms B-06, 141 and 236? [Open] Impact: Potential communications/security outage
• B02-Q3 — What existing equipment is transferred, relocated, removed or protected in Rooms 141 and 236? [Open] Impact: Cutover and rack elevation risk
• B02-Q4 — Which IU/CU pair serves each TR and are they on emergency/backup power? [Open] Impact: Cooling continuity unclear
• B02-Q5 — Where are clean-agent/CO2 extinguisher cabinets located within 75 ft of Rooms 141, 236 and 342? [Open] Impact: Life-safety acceptance risk
• B02-Q6 — Are B02-TR141/236/342 A/B sources, rack receptacles, SPDs, labels and 30-day load measurements approved? [Open] Impact: Electrical readiness unknown</v>
          </cell>
        </row>
        <row r="4">
          <cell r="A4" t="str">
            <v>03</v>
          </cell>
          <cell r="B4" t="str">
            <v>• Full fire protection scope included. Verify sprinkler modifications, fire alarm devices, clean-agent/CO2 2A:10B:C FEC within 75 ft, rated wall/floor penetrations, temporary firestopping and final UL systems.
• Existing telecom room; verify fire alarm/sprinkler protection-in-place and seal penetrations after fiber/cable transfer or reuse.
• Existing DMARC/telecom room; fire alarm/sprinkler and firestopping must remain in service during transfer.
• Coordinate ceiling removal, temporary barriers/upright sprinklers if ceiling tiles remain open, and firestopping at all rated penetrations.</v>
          </cell>
          <cell r="C4" t="str">
            <v>• Electrical schedule references CU-01 on B03-TR101CB and mechanical package includes dedicated TR cooling. Confirm indoor/outdoor unit serving Room 101E, capacity, emergency source, condensate route, controls/BACnet and high-temperature alarm.
• Existing basement telecom equipment may remain active during transfer. Verify ambient temperature/cooling protection until migration is complete.
• Existing DMARC/fiber services may remain active during cutover; verify existing environmental conditions and heat load if equipment remains.
• No dedicated HVAC for WAO areas; maintain infection control/IAQ and ceiling restoration requirements.</v>
          </cell>
          <cell r="D4" t="str">
            <v>• Electrical one-line/schedules identify B03-TR101CA/B with rack receptacles, TR receptacles, access controller, CU-01 on B03-TR101CB, SPDs integral to telecom panels, PXR20 trip units, and 30-day load measurement requirements.
• Existing Room 107 rack elevation shows UPS on floor and legacy telecom equipment. Verify active source circuits and transfer requirements.
• Existing DMARC plan shows existing branch panel and patch panel removal/relocation scope. Verify source circuits before demolition or transfer.
• Verify power/data coordination at outlets, cameras, WAPs, Centrak/clock devices and hard-lid ceiling locations.</v>
          </cell>
          <cell r="E4" t="str">
            <v>• 03T-701 identifies RM101E with 143 WAO total, 213 active ports, 187 scheduled ports and 206 total ports with 10% allowance. Cable tray schedule totals 961 ft: 615 ft basement level and 346 ft first level. Rack IDs TR01-101E-1 and TR01-101E-2.
• Existing Room 107 rack supports legacy active services; verify B3-LB-B13-TC-FIBER equipment inventory, fiber LIU, patch panels, Cisco switch and UPS before cutover.
• Existing DMARC/telecom room 101C includes patch panels/cabinet/branch panel and 101C-CAM-01; protect active provider/fiber/DMARC services until new fiber/rack work is accepted.
• Existing ports replaced; 3- and 4-port outlets reduced to two Cat6A ports where coordinated. WAPs remain protected in place while cabling/faceplate/jack are replaced.</v>
          </cell>
          <cell r="G4" t="str">
            <v>• High: Existing conditions for Room 101E and transition rooms 107/101C not field verified — Perform existing conditions survey with photos and active-service inventory before mobilization
• Critical: Existing DMARC/fiber/telecom equipment may remain active during transfer to Room 101E — Document active services, protect in place, identify OIT/provider cutover windows, phasing, rollback path and temporary utilities
• Critical: Dedicated cooling assignment, emergency power, condensate, BACnet and alarms not verified — Confirm CU-01/IU serving Room 101E, power source, condensate, controls, BACnet, thermostat and high-temp alarms
• High: B03-TR101CA/B UPS/PDU and panel source coordination could delay energization — Verify panels, breakers, receptacles, SPDs, PXR20 trip units, labels, 30-day load measurement and LOTO needs
• High: 961 feet of cable tray/pathway requires coordination and firestop tracking — Verify route, supports, seismic bracing, 40% fill, penetrations, lighting/HVAC conflicts and firestop assemblies
• Critical: Telecom/fiber cutover could affect active hospital communications and provider/DMARC services — Require cutover plan, test records, labels, as-builts, OIT/provider coordination and VA acceptance before active connection</v>
          </cell>
          <cell r="H4" t="str">
            <v>• B03-Q1 — Confirm final telecom scope: new Room 101E with existing Basement Room 107 and existing DMARC Room 101C transition points? [Open] Impact: Room inventory could miss scope
• B03-Q2 — What active services are currently fed from existing Room 107 and DMARC Room 101C? [Open] Impact: Potential communications/provider outage
• B03-Q3 — What existing equipment transfers to new Room 101E versus remains/decommissions? [Open] Impact: Cutover and rack elevation risk
• B03-Q4 — Which IU/CU pair serves Room 101E and is it on emergency/backup power? [Open] Impact: Cooling continuity unclear
• B03-Q5 — Where is the clean-agent/CO2 extinguisher cabinet located within 75 ft of Room 101E? [Open] Impact: Life-safety acceptance risk
• B03-Q6 — Are B03-TR101CA/B sources, rack receptacles, SPDs, labels and 30-day load measurements approved? [Open] Impact: Electrical readiness unknown</v>
          </cell>
        </row>
        <row r="5">
          <cell r="A5" t="str">
            <v>04</v>
          </cell>
          <cell r="B5" t="str">
            <v>• Fully sprinklered building; basement TR requires verification of sprinkler coverage and impairment planning.
• FEC with clean-agent 2A:10B:C extinguisher within 75 ft; TR open to deck; maintain rated assemblies.
• Verify sprinkler/fire alarm device locations and firestop for riser/pathway penetrations.</v>
          </cell>
          <cell r="C5" t="str">
            <v>• Verify dedicated cooling for two-rack basement TR and whether unit/controls/condensate are backed up.
• Verify dedicated cooling and coordination with open-to-deck room, racks, cable tray, and access control.
• Verify cooling unit, routing, condensate, controls, and emergency/backup power path.</v>
          </cell>
          <cell r="D5" t="str">
            <v>• Panel schedule shows B04-NPA-TR in Telecom Room B05, feeding B04-TRB05A/B; TRB05A includes rack receptacle and branch circuits.
• Panel schedule identifies B04-TR141A 60A 3-pole load; verify rack/UPS/PDU circuiting.
• Panel schedule identifies B04-TR244A 60A 3-pole load; confirm panel/circuit locations and source.</v>
          </cell>
          <cell r="E5" t="str">
            <v>• New rack elevations show two 4-post floor racks with UPS, Zone PDU, cable managers, network switches, Cat6A patch panels, Cat5E patch panel, and Fiber LIU.
• New rack elevation shows one 4-post rack plus future rack; includes UPS, future Zone PDU, switches, cable managers, Cat6A patch panels, Cat5E patch panel, and Fiber LIU.
• TR/panel identified; verify rack elevation and pathway details against 04T sheets.</v>
          </cell>
          <cell r="G5" t="str">
            <v>• High: Existing conditions across basement/first/second TR areas not verified — Perform existing conditions survey with photos before mobilization
• High: Basement TR routing may conflict with existing utilities / abatement areas — Coordinate hazardous material survey, utility locations, penetrations, and pathway routing
• High: 1-hour fire/smoke-rated envelope and 45-minute door not field verified — Inspect rated walls, door/frame, ceiling/open-to-deck conditions, and penetrations
• Critical: Cooling emergency power / 24/7 continuity not verified — Confirm source power for indoor/outdoor units, controls, condensate pumps, and alarms
• High: UPS/PDU/rack electrical source and load coordination unresolved — Verify panel schedules, source, SPD, breaker sizes, labeling, and load measurements
• Critical: Telecom/fiber cutover could affect active hospital communications — Require phasing plan, test results, and VA/OIT acceptance before cutover</v>
          </cell>
          <cell r="H5" t="str">
            <v>• B04-Q1 — Confirm final TR room list: B05, 141, and 244A; are there additional served-from rooms? [Open] Impact: Incomplete room inventory / missed scope
• B04-Q2 — Are B05, 141, and 244A cooling systems on emergency/backup power? [Open] Impact: Cooling continuity not confirmed
• B04-Q3 — Where are clean-agent/CO2 extinguisher cabinets located within 75 ft of each TR? [Open] Impact: Life safety acceptance risk
• B04-Q4 — What is the approved migration and cutover sequence for active Building 04 services? [Open] Impact: Potential communications outage
• B04-Q5 — Are hazardous/abatement impacts cleared for basement and first-level penetrations/floor work? [Open] Impact: Work stoppage or exposure risk
• B04-Q6 — Are all B04 panelboards/feeders/breakers/SPDs/load measurements approved before renovation? [Open] Impact: Electrical delay or overload risk</v>
          </cell>
        </row>
        <row r="6">
          <cell r="A6" t="str">
            <v>05</v>
          </cell>
          <cell r="B6" t="str">
            <v>• Cover sheet note states mechanical and fire protection scope excluded; still verify firestopping and existing fire alarm/life safety impacts.
• Existing conditions only; verify protection-in-place and no unsealed penetrations after cabling.</v>
          </cell>
          <cell r="C6" t="str">
            <v>• Mechanical scope is excluded for Building 05; verify TE heat load is acceptable in existing space and does not require added cooling.
• Existing wall/wall-mount TE area; verify existing environmental conditions during field survey.</v>
          </cell>
          <cell r="D6" t="str">
            <v>• 05T-604 shows APC UPS, two PDU L-530 input / NEMA 5-20 output units, 1200V outlet UPS, and 1200V outlet PDU; verify actual electrical schedule/panel/circuit source.
• Existing elevation shows floor UPS and legacy wall-mounted TE equipment; protect active equipment until cutover.</v>
          </cell>
          <cell r="E6" t="str">
            <v>• New Room 150 Telecom Enclosure: 12RU TE with APC UPS, PDUs, cable managers, 48-port angled patch panels, 48-port Cat6A patch panel, and Fiber LIU.
• Existing Room 153-A wall/wall-mount TE contains Cisco switches and legacy 24-port patch panels; confirm cutover, reuse, demo, and records.</v>
          </cell>
          <cell r="G6" t="str">
            <v>• High: Telecom Enclosure installation details not field verified — Survey wall/backing, clearances, power, conduit/wireway, and access path before installation
• Critical: Existing legacy equipment/cabling may remain active during cutover — Document active services, create cutover plan, protect-in-place until new TE is operational
• Medium: Mechanical/fire protection scope excluded may hide interface risks — Confirm no added cooling/sprinkler work is required and document basis for N/A
• High: Electrical panel/circuit source for TE equipment not confirmed — Verify 05E-401/501/601/701 schedules, UPS/PDU receptacles, labels, and emergency power source
• High: Firestopping/penetration sealing still required despite fire protection scope exclusion — Inspect all new and reused conduits, sleeves, wall/floor penetrations, and temporary firestop
• Medium: Commissioning / acceptance documentation may be treated as minor due to TE scope — Track testing, labeling, OIT acceptance, third-party inspections, and as-builts</v>
          </cell>
          <cell r="H6" t="str">
            <v>• B05-Q1 — Confirm final TE room/location: Room 150 new TE and Room 153-A existing TE transition point? [Open] Impact: Room inventory could be wrong
• B05-Q2 — What active services are currently fed from the existing 153-A TE/legacy patch panels? [Open] Impact: Potential communications outage
• B05-Q3 — What is the approved cutover sequence from existing 153-A equipment to new Room 150 TE? [Open] Impact: Cutover risk
• B05-Q4 — Which electrical panel/circuit serves the Room 150 UPS/PDU outlets? [Open] Impact: Power source cannot be verified
• B05-Q5 — Is emergency/backup power required or provided for the TE UPS/PDU source? [Open] Impact: Continuity requirement unclear
• B05-Q6 — Are firestopping locations and surface raceway/conduit routes shown and coordinated? [Open] Impact: Rated assembly/firestop risk</v>
          </cell>
        </row>
        <row r="7">
          <cell r="A7" t="str">
            <v>06</v>
          </cell>
          <cell r="B7" t="str">
            <v>• Existing equipment area; verify no cabling penetrations are left unsealed.
• Fully sprinklered building; verify sprinkler modifications, fire alarm devices, FEC location, and impairment/fire watch needs.
• Architectural enlarged views call for 1-hour fire/smoke-rated walls, 45-minute door/frame, and FEC within 75 ft.</v>
          </cell>
          <cell r="C7" t="str">
            <v>• Verify basement equipment environmental condition and any heat/load issues during cutover.
• Mechanical enlarged plan shows new indoor unit IU-1-01 and outdoor CU-1-01; confirm 208V emergency power, BACnet adapter, thermostat, condensate route.
• Mechanical enlarged plan shows new indoor unit IU-2-01 and outdoor CU-2-01; confirm 208V emergency power, condensate and controls.</v>
          </cell>
          <cell r="D7" t="str">
            <v>• Existing UPS on floor shown at B-01; protect active service and confirm any transition/demo requirements.
• Panel schedule shows B06-EP-TR in Telecom Room 178; B06-TR178A/B panels and SPD requirements; load measurement required prior to panel renovation.
• Panel schedule identifies B06-TR233A/B in Telecom Room 233; verify source, circuits, rack receptacles and emergency power.</v>
          </cell>
          <cell r="E7" t="str">
            <v>• Existing Cisco switches, legacy 48-port patch panels, wall/wall-mount TE and floor UPS.
• Existing Room 178 rack elevations show multiple existing 2-post racks; new electrical, cable path, grounding and cutover require verification.
• Room 233 future new rack elevation shows UPS, network switches, cable managers, Cat6A patch panels, Cat5E patch panel and Fiber LIU.</v>
          </cell>
          <cell r="G7" t="str">
            <v>• High: Existing conditions across B-01, 178 and 233 not field verified — Perform existing conditions survey with photos before mobilization
• Critical: Existing basement equipment may remain active during cutover — Document active services and protect in place until new system is tested and accepted
• Critical: Electrical panel replacement/new telecom power could interrupt active systems — Coordinate load measurement, panel renovation, shutdowns and temporary power plan
• High: Room 233 conversion/rated wall and door work may impact adjacent patient toilet/private bath areas — Verify phasing, barriers, infection control and temporary life-safety provisions
• Critical: Dedicated cooling emergency power, controls, condensate and BACnet interface not verified — Confirm emergency power source, disconnects, condensate routes, BACnet adapter and high-temp alarms
• Critical: Fire alarm/sprinkler impairments and penetrations may affect occupied operations — Track impairments, fire watch, temporary firestop and third-party reports</v>
          </cell>
          <cell r="H7" t="str">
            <v>• B06-Q1 — Confirm final TR/TE scope: B-01 existing equipment, Room 178, and Room 233? [Open] Impact: Room inventory could miss scope
• B06-Q2 — What active services are fed from existing B-01 and Room 178 legacy equipment? [Open] Impact: Potential communications outage
• B06-Q3 — What is the approved cutover sequence for B-01, 178 and 233? [Open] Impact: Cutover risk
• B06-Q4 — Are IU-1-01/CU-1-01 and IU-2-01/CU-2-01 on emergency/backup power? [Open] Impact: Cooling continuity unclear
• B06-Q5 — Where are clean-agent/CO2 extinguisher cabinets located within 75 ft of each TR? [Open] Impact: Life safety acceptance risk
• B06-Q6 — Are all panel load measurements, replacement panels, breakers, SPDs and labels approved? [Open] Impact: Electrical readiness unknown</v>
          </cell>
        </row>
        <row r="8">
          <cell r="A8" t="str">
            <v>07</v>
          </cell>
          <cell r="B8" t="str">
            <v>• Fully sprinklered building; basement TR requires sprinkler coverage verification, firestop at cabling/sleeves and impairment coordination.
• Architectural notes require clean-agent 2A:10B:C extinguisher within 75 ft, 45-minute rated door/frame and rated wall construction; verify FA/FP modifications.</v>
          </cell>
          <cell r="C8" t="str">
            <v>• Mechanical schedule lists 18,000 BTUH wall-mounted IU-0-01 and CU-0-01; verify exact room assignment, emergency power, condensate, controls and high-temp alarm.
• Mechanical schedule lists 36,000 BTUH wall-mounted IU-2-01 and CU-2-01; electrical enlarged plan shows IU-2-01 at TR 228A; verify emergency power and condensate route.</v>
          </cell>
          <cell r="D8" t="str">
            <v>• Electrical enlarged plans identify B07-TRB18A/B circuits serving basement TR equipment; verify panel source, receptacles, SPD, emergency source and load measurement.
• Electrical enlarged plans identify B07-TR228A/B circuits serving TR 228A equipment and IU-2-01; verify rack receptacles, cooling power, SPD and labels.</v>
          </cell>
          <cell r="E8" t="str">
            <v>• 07T-604 rack elevation: 1 rack plus future; includes UPS, future Zone PDU, cable managers, network switches, three 48-port Cat6A angled patch panels, 24-port Cat5E patch panel and Fiber LIU.
• TR 228A is shown on second-level telecom/electrical enlarged plans; verify rack elevation, fiber paths, Cat6A replacement, labeling/testing and VA acceptance before cutover.</v>
          </cell>
          <cell r="G8" t="str">
            <v>• High: Existing conditions for B-18 and 228A not field verified — Perform existing conditions survey with photos before mobilization
• High: Basement TR conversion may conflict with existing utilities, office finishes or active pathways — Verify routing, clearances, penetrations, existing conduit and access before work
• High: Second-floor rated wall/door work and exterior furring wall/window enclosure could affect schedule — Coordinate architectural work, door/frame, wall rating, furring wall, finishes and infection control barriers
• Critical: Dedicated cooling emergency power, controls, condensate and high-temp alarms not verified — Confirm IU/CU assignments, emergency source, BACnet/interface, condensate pump routing and alarm points
• High: Electrical panel/circuit source and rack load coordination unresolved — Verify B07-TRB18A/B and B07-TR228A/B panel schedules, circuit labels, SPDs and load measurements
• Critical: Telecom/fiber cutover may affect active hospital communications — Require cutover plan, test results, OIT coordination and VA acceptance before active connection</v>
          </cell>
          <cell r="H8" t="str">
            <v>• B07-Q1 — Confirm final TR scope: B-18 basement and 228A second floor only? [Open] Impact: Room inventory could miss scope
• B07-Q2 — Are IU-0-01/CU-0-01 assigned to B-18 and IU-2-01/CU-2-01 assigned to 228A? [Open] Impact: Cooling scope unclear
• B07-Q3 — Are cooling units and controls on emergency/backup power? [Open] Impact: Cooling continuity not confirmed
• B07-Q4 — Where are clean-agent/CO2 extinguisher cabinets located within 75 ft of each TR? [Open] Impact: Life safety acceptance risk
• B07-Q5 — What active services are currently fed from B-18 and/or existing pathways serving 228A? [Open] Impact: Potential communications outage
• B07-Q6 — Are all B07 panelboard sources, circuits, SPDs, labels and load measurements approved? [Open] Impact: Electrical readiness unknown</v>
          </cell>
        </row>
        <row r="9">
          <cell r="A9" t="str">
            <v>08</v>
          </cell>
          <cell r="B9" t="str">
            <v>• Existing equipment area; verify no new penetrations are left unsealed and active systems remain protected.
• Door schedule shows 45-minute door; verify fire/smoke requirements, FEC requirement applicability, firestopping and temporary barriers.
• Architectural notes require new 45-minute door, clean-agent 2A:10B:C extinguisher within 75 ft, open-to-deck telecom room and 1-hour fire/smoke-rated existing wall upgrades.</v>
          </cell>
          <cell r="C9" t="str">
            <v>• Verify existing environmental conditions and whether active legacy equipment remains during cutover.
• Field verify whether TE equipment load requires cooling or if served by existing building HVAC.
• Mechanical schedule lists IU-2-01/CU-2-01 at 36,000 BTUH; verify room assignment, emergency power, condensate pump/route, BACnet controller and controls.</v>
          </cell>
          <cell r="D9" t="str">
            <v>• Existing rack elevation shows floor UPS and legacy equipment; protect active service and verify transition/demo requirements.
• Electrical schedule includes TE receptacle Room B12B; confirm panel/circuit source and if B12B is served from telecom panel.
• Electrical schedule identifies B08-TR2065AB in Telecom Room 2065A with TR receptacles, rack receptacles, lighting, access controller, CU-2-01 and SPD notes; verify B08-TR2065AA source/scope.</v>
          </cell>
          <cell r="E9" t="str">
            <v>• Existing Room B-15 rack elevations show wall/wall-mounted TE, legacy 24/48-port patch panels, legacy Fiber LIU and UPS.
• Telecom schedule uses Rack ID TE01-B12B-1; 80 WAO total, 159 active ports per survey, 116 total ports per schedule, and 128 total ports with 10% allowance.
• New Room 2065A rack elevations show two 4-post floor racks; Rack 1 includes Fiber LIU, 24-port Cat5E patch panel, four 48-port Cat6A patch panels, network switches, Zone PDU and UPS; Rack 2 includes future switches and UPS.</v>
          </cell>
          <cell r="G9" t="str">
            <v>• High: Existing conditions for B-15, B12B and 2065A not field verified — Perform existing conditions survey with photos before mobilization
• Critical: Existing basement legacy equipment may remain active during cutover — Document active services, protect in place and define cutover/demo sequence
• High: Basement B12B appears as Office in architectural schedule but TE in telecom/electrical schedules — Field verify actual TE location, room name, door/wall rating and panel/cable routing
• High: Second-floor Telecom Room conversion includes rated wall/door/open-to-deck work and possible hazardous material impacts — Coordinate architectural work, dust barriers, floor abatement, FEC and rated assemblies before construction
• Critical: Dedicated cooling emergency power, controls, condensate and high-temp alarms not verified — Confirm IU/CU assignment, emergency source, BACnet/interface, condensate routing and alarm points
• High: Electrical panel/circuit source and rack load coordination unresolved — Verify B08-TR2065AA/AB panel schedules, rack receptacles, SPD, labels and load measurement requirements</v>
          </cell>
          <cell r="H9" t="str">
            <v>• B08-Q1 — Confirm final scope: existing B-15 equipment, B12B TE/cabling area, and new TR 2065A? [Open] Impact: Room inventory may miss scope
• B08-Q2 — What active services are currently fed from existing B-15 equipment? [Open] Impact: Potential communications outage
• B08-Q3 — Is B12B truly a TE/equipment location or only a cabling pathway/service area? [Open] Impact: Scope ambiguity
• B08-Q4 — Is IU-2-01/CU-2-01 dedicated to TR 2065A and on emergency/backup power? [Open] Impact: Cooling continuity unclear
• B08-Q5 — Where are clean-agent/CO2 extinguisher cabinets located within 75 ft of each TR/TE? [Open] Impact: Life safety acceptance risk
• B08-Q6 — Are all B08 panelboard sources, circuits, SPDs, rack receptacles and load measurements approved? [Open] Impact: Electrical readiness unknown</v>
          </cell>
        </row>
        <row r="10">
          <cell r="A10" t="str">
            <v>09</v>
          </cell>
          <cell r="B10" t="str">
            <v>• Fully sprinklered building; verify sprinkler head coverage, rated penetrations, temporary firestopping, and FEC location for basement TR.
• Fire protection enlarged plan shows Telecom Room 104B and rated wall legend; verify sprinkler/fire alarm modifications and clean-agent extinguisher within 75 ft.
• Fire protection enlarged plan shows Telecom Room 206A; verify sprinkler cage/coverage, fire alarm device relocation/additions, and rated penetrations.</v>
          </cell>
          <cell r="C10" t="str">
            <v>• Electrical enlarged/panel data identifies CU-0-1 serving basement work; verify mechanical schedule, emergency source, condensate, controls and alarms.
• Electrical enlarged plan identifies IU-1-01 in Telecom Room 104B and CU-1-1; verify dedicated 24/7 cooling and emergency power.
• Electrical enlarged plan identifies IU-2-01 in Telecom Room 206A and CU-2-1; verify dedicated 24/7 cooling and emergency power.</v>
          </cell>
          <cell r="D10" t="str">
            <v>• Panel schedule lists B09-TRB01A/B in Telecom Room B01 with 208Y/120V panels, rack receptacles, access controller, mechanical equipment, lighting and SPD notes.
• Electrical enlarged plan shows panel references B09-TR104BA/B, IU-1-01, security devices, lighting and receptacle/rack circuits.
• Electrical enlarged plan shows panel references B09-TR206AA/B, IU-2-01, security devices, lighting and receptacle/rack circuits.</v>
          </cell>
          <cell r="E10" t="str">
            <v>• Fiber riser identifies Building 09 basement B01 with two-rack TR; verify rack elevations, fiber Path A/B, Cat6A replacement, LIU, bonding and cutover.
• Fiber riser identifies first-level Room 104B with two-rack TR; verify rack elevation details, patch panels, UPS/PDU, fiber LIU, grounding and test records.
• Fiber riser identifies second-level Room 206A with two-rack TR; verify rack elevation details, patch panels, UPS/PDU, fiber LIU, grounding and test records.</v>
          </cell>
          <cell r="G10" t="str">
            <v>• High: Existing conditions for B01, 104B and 206A not field verified — Perform existing conditions survey with photos before mobilization
• Critical: Basement TR includes existing equipment and could remain active during cutover — Document active services, protect-in-place and define cutover/demo sequence
• High: Hazardous material abatement plans exist for basement, first and second levels — Coordinate ACM/lead/abatement review before penetrations, flooring removal or ceiling/wall work
• High: Rated wall/door work and fire/smoke assemblies could affect schedule and acceptance — Verify wall ratings, door/frame rating, penetrations, smoke/fire barriers and access control hardware
• Critical: Dedicated cooling emergency power, controls, condensate and high-temp alarms not verified — Confirm IU/CU assignments, emergency source, BACnet/interface, condensate routing and alarms
• High: Electrical panel/circuit source and rack load coordination unresolved — Verify B09-TRB01A/B, B09-TR104BA/B, B09-TR206AA/B schedules, SPDs, labels and load measurements</v>
          </cell>
          <cell r="H10" t="str">
            <v>• B09-Q1 — Confirm final TR scope: B01 basement, 104B first level, and 206A second level? [Open] Impact: Room inventory may miss scope
• B09-Q2 — What active services are currently fed from B01 existing equipment/security/network devices? [Open] Impact: Potential communications/security outage
• B09-Q3 — What hazardous/abatement steps apply to B01, 104B and 206A work areas? [Open] Impact: Work delay or exposure risk
• B09-Q4 — Are IU-0-01/CU-0-1, IU-1-01/CU-1-1 and IU-2-01/CU-2-1 on emergency/backup power? [Open] Impact: Cooling continuity unclear
• B09-Q5 — Where are clean-agent/CO2 extinguisher cabinets located within 75 ft of each TR? [Open] Impact: Life safety acceptance risk
• B09-Q6 — Are all B09 panelboard sources, circuits, SPDs, rack receptacles and load measurements approved? [Open] Impact: Electrical readiness unknown</v>
          </cell>
        </row>
        <row r="11">
          <cell r="A11" t="str">
            <v>10</v>
          </cell>
          <cell r="B11" t="str">
            <v>• Attic-level TR requires verification of sprinkler/fire alarm modifications, clean-agent 2A:10B:C FEC within 75 ft, rated penetrations and temporary firestopping.
• Electrical work may require penetrations or shutdowns; verify firestopping and protection-in-place.
• Emergency electrical room coordination; verify no unsealed penetrations or life-safety impairment.</v>
          </cell>
          <cell r="C11" t="str">
            <v>• Mechanical/electrical drawings identify IU-1-01 in Telecom Room 200A and CU-1-01 outdoor unit; verify capacity, emergency power, condensate route, BACnet adapter and high-temp alarm.
• No dedicated TR cooling scope; verify electrical room ventilation is not impacted by new work.
• No dedicated TR cooling scope; verify emergency electrical room ventilation is not impacted.</v>
          </cell>
          <cell r="D11" t="str">
            <v>• Electrical schedule identifies B10-TR200AA/AB in Telecom Room 200A with rack receptacles, TR receptacles, lighting, access controller, CU-1-01 and SPD requirements; verify source and labels.
• Basement normal electrical source; verify load measurement, new breakers/feeders, panel access, LOTO and shutdown sequencing.
• Emergency source coordination; verify generator/ATS feed to TR critical loads and cooling where required.</v>
          </cell>
          <cell r="E11" t="str">
            <v>• 10T sheets show attic telecom plan/rack elevations; provide 4-post racks, UPS, redundant PDUs, switches, Cat6A patch panels, Fiber LIU, bonding/grounding, labeling, testing and VA acceptance before cutover.
• Coordinate telecom power pathways through/source from basement electrical room if applicable.
• Coordinate emergency source/backup power pathways for telecom equipment and cooling.</v>
          </cell>
          <cell r="G11" t="str">
            <v>• High: Attic Telecom Room existing conditions and access not field verified — Survey Room 200A, attic access route, existing rack/equipment, floor/deck conditions, clearances and utilities
• High: Hazardous material abatement plan exists for attic level — Coordinate attic abatement/IH review before penetrations, ceiling/floor work, cabling or HVAC/electrical installation
• Critical: Existing wall-mounted rack/equipment may remain active during cutover — Document active services, protect in place and develop night-shift cutover/temporary rack plan
• Critical: Dedicated cooling emergency power, condensate, BACnet and alarms not verified — Confirm IU-1-01/CU-1-01 capacity, power source, condensate routing, BACnet adapter, thermostat and high-temp alarm
• Critical: Panel source, generator/ATS path and shutdown sequencing unclear — Verify B10-MDP, B10-L10-E, ATS-B10-LSD, panel feeders, load measurement and LOTO before electrical work
• Critical: Fire alarm/sprinkler/firestopping work in attic TR could affect occupied operations — Track impairments, fire watch, sprinkler/head changes, FA device work, rated penetrations and temporary firestopping</v>
          </cell>
          <cell r="H11" t="str">
            <v>• B10-Q1 — Confirm final scope: attic Telecom Room 200A only, with basement electrical source coordination in B24/B25? [Open] Impact: Room inventory could miss scope
• B10-Q2 — What active services are currently fed from the existing wall-mounted rack/equipment in Room 200A? [Open] Impact: Potential communications outage
• B10-Q3 — What attic hazardous material/abatement steps apply before cabling, penetrations, HVAC or electrical work? [Open] Impact: Work delay/exposure risk
• B10-Q4 — Is IU-1-01/CU-1-01 on emergency/backup power and does it serve Room 200A only? [Open] Impact: Cooling continuity unclear
• B10-Q5 — Where is the clean-agent/CO2 extinguisher cabinet located within 75 ft of Room 200A? [Open] Impact: Life-safety acceptance risk
• B10-Q6 — Are B10-TR200AA/AB, B10-MDP, B10-L10-E and ATS-B10-LSD source circuits/load measurements approved? [Open] Impact: Electrical readiness unknown</v>
          </cell>
        </row>
        <row r="12">
          <cell r="A12" t="str">
            <v>12</v>
          </cell>
          <cell r="B12" t="str">
            <v>• No fire protection drawing package beyond general notes; verify penetrations/firestopping for fiber pull-through route.
• No new TR/FEC shown; verify no rated assemblies are compromised by fiber pathway work.</v>
          </cell>
          <cell r="C12" t="str">
            <v>• No HVAC drawing package for Building 12; fiber-only scope does not indicate new cooling equipment.
• Field verify existing environmental conditions only if existing service point/equipment is accessed.</v>
          </cell>
          <cell r="D12" t="str">
            <v>• No electrical drawing package for Building 12; no new panel/UPS/PDU/rack receptacle scope shown.
• Confirm whether any existing equipment is touched. Scope appears limited to fiber pull-through and testing/labeling.</v>
          </cell>
          <cell r="E12" t="str">
            <v>• Building 12 receives fiber only. Verify pull-through path on basement/first/second telecom plans, redundant Path A/B fiber, pathway capacity, grounding/bonding where applicable, labeling and testing.
• 12T-604 shows rack number 00/room 00 and notes fiber-only with no mounting type; verify existing service/termination point and whether fiber passes through only.</v>
          </cell>
          <cell r="G12" t="str">
            <v>• High: Fiber-only scope could be mistaken for full TR scope or skipped as minor work — Clearly tag Building 12 as fiber-only and verify required fiber path, testing, labels and acceptance deliverables
• High: Existing pull-through pathway not field verified — Trace basement/first/second level pathway, conduit/cable tray capacity, pull points and access before scheduled pull
• Critical: Existing service continuity during fiber pull/cutover may not be defined — Coordinate with VA OIT, submit phasing/cutover plan, and maintain legacy service until new fiber is tested and accepted
• High: Pathway penetrations/firestopping may be overlooked because there is no architectural/FP package — Inspect all new/reused penetrations and require permanent or temporary firestopping at end of shift
• Medium: Existing termination/demarc location and ownership unclear — Field document existing rack/demarc/serving closet and confirm where new fiber terminates or passes through
• High: Test reports, labels and as-builts may be incomplete for fiber-only work — Track fiber OTDR/certification, labeling, route documentation and VA/OIT acceptance before closeout</v>
          </cell>
          <cell r="H12" t="str">
            <v>• B12-Q1 — Confirm Building 12 scope is fiber-only with no new TR, no new rack, no new electrical, HVAC, fire protection, PACS or CCTV work? [Open] Impact: Scope misunderstanding
• B12-Q2 — What exact pathway does the Building 12 fiber take through basement, first and second levels? [Open] Impact: Fiber pull and access risk
• B12-Q3 — Where does the Building 12 fiber terminate, and is the existing rack/demarc/closet to be touched? [Open] Impact: Termination and ownership unclear
• B12-Q4 — Are existing conduits/cable trays available and below fill limits for the new fiber? [Open] Impact: Pathway capacity risk
• B12-Q5 — Are there any floor/rated wall penetrations requiring firestop or temporary firestop during cable pull? [Open] Impact: Life safety/firestop risk
• B12-Q6 — What is the approved cutover/testing/acceptance sequence for Building 12 fiber? [Open] Impact: Possible outage or acceptance delay</v>
          </cell>
        </row>
        <row r="13">
          <cell r="A13" t="str">
            <v>13</v>
          </cell>
          <cell r="B13" t="str">
            <v>• Fully sprinklered building; confirm sprinkler/fire alarm modifications, clean-agent 2A:10B:C extinguisher within 75 ft, rated wall/ceiling penetrations, and temporary firestopping during cable pulls.
• Existing tel room; verify fire alarm/sprinkler protection-in-place and seal any removed/reused penetration after cutover.</v>
          </cell>
          <cell r="C13" t="str">
            <v>• Mechanical/electrical drawings show IU-1-01 in Telecom Room 124 and CU-1-01 outdoor unit. Confirm capacity, emergency/standby source, BACnet adapter, thermostat/control point, condensate path, disconnects, and high-temperature alarm.
• Existing Tel Room 222 photo/reference notes show existing indoor AC unit; verify whether it remains active, is abandoned, or needs protection during cutover.</v>
          </cell>
          <cell r="D13" t="str">
            <v>• Electrical enlarged plans and schedules identify B13-TR124AA/AB, 240V 1-phase UPS circuits, normal/emergency rack power, rack receptacles, TR receptacles, access/security devices, lighting, CU-1-01, and SPD requirements.
• Existing rack/equipment area; verify power source, active equipment, UPS status, and transition requirements before disconnect or removal.</v>
          </cell>
          <cell r="E13" t="str">
            <v>• 13T-701 identifies Room 124 schedule: 58 WAO total, 65 active ports per survey, 91 total ports per schedule, and 100 total ports with 10% allowance. New Rack ID TR01-124-1 serves first and second level outlets with Fiber Path A/B.
• Existing Room 222 equipment includes wall-mounted rack, telco patch, plywood backboard, patch panel, security cabinet, and existing AC; verify active services and transfer plan to Room 124.</v>
          </cell>
          <cell r="G13" t="str">
            <v>• High: Existing conditions for Room 124 and existing Tel Room 222 not field verified — Perform existing conditions survey with photos before mobilization
• High: First-level hazardous material abatement plan exists — Coordinate IH/abatement review before wall, floor, ceiling, conduit, or penetration work
• Critical: Existing Tel Room 222 equipment may remain active during cutover — Document active services, protect in place, identify owner/OIT cutover windows, and preserve rollback path
• Critical: Dedicated cooling emergency power, condensate, BACnet and alarms not verified — Confirm IU-1-01/CU-1-01 power source, condensate route, controls, BACnet adapter, thermostat and high-temp alarm
• High: 240V UPS/PDU and panel source coordination could delay energization — Verify B13-TR124AA/AB schedules, breakers, receptacles, SPD, labels, load measurement, normal/emergency source and LOTO needs
• High: Rated wall/door/firestop scope may affect life-safety acceptance — Inspect 1-hour wall/smoke barrier conditions, rated door/frame, penetrations, FEC location, temporary firestopping and final UL systems</v>
          </cell>
          <cell r="H13" t="str">
            <v>• B13-Q1 — Confirm final telecom scope: new Room 124 and existing Tel Room 222 transition only? [Open] Impact: Room inventory could miss scope
• B13-Q2 — What active services are currently fed from existing Tel Room 222 equipment? [Open] Impact: Potential communications/security outage
• B13-Q3 — What hazardous/abatement steps apply to first-level Room 124 work? [Open] Impact: Work delay or exposure risk
• B13-Q4 — Is IU-1-01/CU-1-01 on emergency/backup power and dedicated to Room 124? [Open] Impact: Cooling continuity unclear
• B13-Q5 — Where is the clean-agent/CO2 extinguisher cabinet located within 75 ft of Room 124? [Open] Impact: Life-safety acceptance risk
• B13-Q6 — Are B13-TR124AA/AB sources, rack receptacles, SPDs, circuit labels and load measurements approved? [Open] Impact: Electrical readiness unknown</v>
          </cell>
        </row>
        <row r="14">
          <cell r="A14" t="str">
            <v>14</v>
          </cell>
          <cell r="B14" t="str">
            <v>• Fully sprinklered building; confirm sprinkler/fire alarm modifications, clean-agent 2A:10B:C extinguisher within 75 ft, rated wall/ceiling penetrations, and temporary firestopping during cable pulls.
• Existing basement tel room; verify fire alarm/sprinkler protection-in-place and seal any removed/reused penetration after cutover.
• Existing basement telecom room; verify no unsealed penetrations remain after cable transfer or reuse.</v>
          </cell>
          <cell r="C14" t="str">
            <v>• Mechanical/electrical drawings show IU-1-01 in Telecom Room 119 and CU-1-01 outdoor unit. Confirm capacity, emergency/standby source, BACnet adapter, thermostat/control point, condensate path, disconnects, and high-temperature alarm.
• Existing Tel/F Panel room; verify existing environmental conditions during cutover and whether legacy equipment remains active.
• Existing telecom room reference; field verify cooling/ventilation and active equipment condition.</v>
          </cell>
          <cell r="D14" t="str">
            <v>• Electrical plan/schedules identify B14-TR119A/B, 240V rack UPS requirements, normal/emergency rack power, rack receptacles, TR receptacles, lighting, CU-1-01, SPD requirements, and panel load measurement requirements.
• Existing basement wall-mounted TE/equipment area; verify power source, active equipment, UPS/PDU status, and transition requirements before disconnect or removal.
• Existing telecom room photo reference; confirm power sources and any cutover requirements.</v>
          </cell>
          <cell r="E14" t="str">
            <v>• 14T-701 identifies Room 119 schedule: 44 WAO total, 29 active ports per survey, 76 total ports per schedule, and 84 total ports with 10% allowance. New Rack ID TR01-119-1 serves first and second level outlets with Fiber Path A/B.
• Existing Room B.01 equipment includes wall-mounted TE, Cisco switch/legacy patch panel, telco patch, plywood backboards, and legacy Fiber LIU; verify active services and transfer plan to Room 119.
• Existing basement telecom room B2 is identified by photo reference; verify active devices, routing, and relation to B.01.</v>
          </cell>
          <cell r="G14" t="str">
            <v>• High: Existing conditions for Room 119 and existing basement telecom rooms B.01/B2 not field verified — Perform existing conditions survey with photos before mobilization
• High: First-level hazardous material abatement plan exists — Coordinate IH/abatement review before wall, floor, ceiling, conduit, or penetration work
• Critical: Existing basement telecom equipment may remain active during cutover — Document active services, protect in place, identify owner/OIT cutover windows, and preserve rollback path
• Critical: Dedicated cooling emergency power, condensate, BACnet and alarms not verified — Confirm IU-1-01/CU-1-01 power source, condensate route, controls, BACnet adapter, thermostat and high-temp alarm
• High: 240V UPS/PDU and panel source coordination could delay energization — Verify B14-TR119A/B schedules, breakers, receptacles, SPD, labels, load measurement, normal/emergency source and LOTO needs
• High: Rated wall/door/firestop scope may affect life-safety acceptance — Inspect 1-hour wall/smoke barrier conditions, rated door/frame, penetrations, FEC location, temporary firestopping and final UL systems</v>
          </cell>
          <cell r="H14" t="str">
            <v>• B14-Q1 — Confirm final telecom scope: new Room 119 and existing basement B.01/B2 transition only? [Open] Impact: Room inventory could miss scope
• B14-Q2 — What active services are currently fed from existing B.01/B2 equipment? [Open] Impact: Potential communications/security outage
• B14-Q3 — What hazardous/abatement steps apply to first-level Room 119 work? [Open] Impact: Work delay or exposure risk
• B14-Q4 — Is IU-1-01/CU-1-01 on emergency/backup power and dedicated to Room 119? [Open] Impact: Cooling continuity unclear
• B14-Q5 — Where is the clean-agent/CO2 extinguisher cabinet located within 75 ft of Room 119? [Open] Impact: Life-safety acceptance risk
• B14-Q6 — Are B14-TR119A/B sources, rack receptacles, SPDs, circuit labels and load measurements approved? [Open] Impact: Electrical readiness unknown</v>
          </cell>
        </row>
        <row r="15">
          <cell r="A15" t="str">
            <v>15</v>
          </cell>
          <cell r="B15" t="str">
            <v>• Fully sprinklered building; confirm sprinkler/fire alarm modifications, clean-agent 2A:10B:C extinguisher within 75 ft, rated wall/ceiling penetrations, and temporary firestopping during cable pulls.
• Existing tel room; verify fire alarm/sprinkler protection-in-place and seal any removed/reused penetration after cutover.
• Existing basement telecom/crossover room; verify no unsealed penetrations remain after cable transfer or reuse.</v>
          </cell>
          <cell r="C15" t="str">
            <v>• Mechanical/electrical drawings show IU-1-01 in Telecom Room 124A and CU-1-01 outdoor heat-pump/A/C unit. Confirm capacity, emergency/standby source, BACnet adapter, thermostat/control point, condensate path, disconnects, and high-temperature alarm.
• Existing Tel Room 222 is shown with existing/remain indoor AC unit; verify whether it remains active, is abandoned, or needs protection during cutover.
• Existing basement telecom/crossover space; verify environmental conditions and whether active equipment remains during cutover.</v>
          </cell>
          <cell r="D15" t="str">
            <v>• Electrical enlarged plans and schedules identify B15-TR124AA/AB, 240V rack UPS requirements, normal/emergency rack power, rack receptacles, TR receptacles, lighting, CU-1-01, SPD requirements, and 30-day load measurement requirements.
• Existing rack/equipment area; verify power source, active equipment, APC floor UPS status, and transition requirements before disconnect or removal.
• Existing B-01 crossover; verify power sources and cutover needs for legacy patch panel/crossover.</v>
          </cell>
          <cell r="E15" t="str">
            <v>• 15T-701 identifies Room 109A schedule but field plan/electrical room callouts identify Telecom Room 124A; schedule has 62 WAO total, 76 active ports per survey, 101 total ports per schedule, and 111 total ports with 10% allowance. New Rack ID TR15-109A-01 serves basement, first and second level outlets.
• Existing Room 222 equipment includes wall/wall-mounted TE, Cisco switches, legacy 48-port patch panels, ground bar, plywood backboard, security cabinet, and floor UPS; verify active services and transfer plan to Room 124A.
• Existing B-01 crossover includes legacy 24-port patch panel; verify active devices, routing, and relation to Room 222 and Room 124A.</v>
          </cell>
          <cell r="G15" t="str">
            <v>• High: Existing conditions for Room 124A and existing telecom rooms 222/B01 not field verified — Perform existing conditions survey with photos before mobilization
• High: First-level hazardous material abatement plan exists — Coordinate IH/abatement review before wall, floor, ceiling, conduit, or penetration work
• Critical: Existing telecom equipment may remain active during cutover — Document active services, protect in place, identify owner/OIT cutover windows, and preserve rollback path
• Critical: Dedicated cooling emergency power, condensate, BACnet and alarms not verified — Confirm IU-1-01/CU-1-01 power source, condensate route, controls, BACnet adapter, thermostat and high-temp alarm
• High: 240V UPS/PDU and panel source coordination could delay energization — Verify B15-TR124AA/AB schedules, breakers, receptacles, SPD, labels, load measurement, normal/emergency source and LOTO needs
• High: Rated wall/door/firestop scope may affect life-safety acceptance — Inspect 1-hour wall/smoke barrier conditions, rated door/frame, penetrations, FEC location, temporary firestopping and final UL systems</v>
          </cell>
          <cell r="H15" t="str">
            <v>• B15-Q1 — Confirm final telecom scope: new Room 124A and existing Rooms 222/B01 transition only? [Open] Impact: Room inventory could miss scope
• B15-Q2 — Why does 15T-701 reference RM 109A while plans and electrical schedules identify Telecom Room 124A? [Open] Impact: Room naming mismatch could affect PMIS tracking
• B15-Q3 — What active services are currently fed from existing Room 222 and B01 equipment? [Open] Impact: Potential communications/security outage
• B15-Q4 — What hazardous/abatement steps apply to first-level Room 124A work? [Open] Impact: Work delay or exposure risk
• B15-Q5 — Is IU-1-01/CU-1-01 on emergency/backup power and dedicated to Room 124A? [Open] Impact: Cooling continuity unclear
• B15-Q6 — Where is the clean-agent/CO2 extinguisher cabinet located within 75 ft of Room 124A? [Open] Impact: Life-safety acceptance risk</v>
          </cell>
        </row>
        <row r="16">
          <cell r="A16" t="str">
            <v>16</v>
          </cell>
          <cell r="B16" t="str">
            <v>• Fully sprinklered building; confirm sprinkler/fire alarm modifications, clean-agent 2A:10B:C extinguisher within 75 ft, rated wall/ceiling/floor penetrations, and temporary firestopping during cable pulls.
• Existing telecom room; verify fire alarm/sprinkler protection-in-place and seal any removed/reused penetration after cutover.</v>
          </cell>
          <cell r="C16" t="str">
            <v>• Mechanical/electrical drawings show IU-1-01 in Telecom Room 015 and CU-1-01 outdoor unit. Confirm capacity, emergency/standby source, BACnet adapter, thermostat/control point, condensate path, disconnects, and high-temperature alarm.
• Existing Telecom Room 014; verify existing environmental conditions during cutover and whether legacy equipment remains active.</v>
          </cell>
          <cell r="D16" t="str">
            <v>• Electrical plans/schedules identify B16-TR015A/B, 240V rack UPS requirements, rack receptacles, TR receptacles, lighting, access controller, CU-1-01, SPD requirements, existing panel demolition/replacement, and 30-day load measurement requirements.
• Existing rack/equipment area; verify power source, active equipment, UPS status, and transition requirements before disconnect or removal.</v>
          </cell>
          <cell r="E16" t="str">
            <v>• 16T-701 identifies Room 015-A schedule: 25 WAO total, 25 active ports per survey, 36 total ports per schedule, and 40 total ports with 10% allowance. New Rack ID TR01-015-A-1 serves basement, first, second and attic level outlets.
• Existing Room 014 equipment includes wall/TE rack, floor-mounted UPS, Cisco switch, legacy 12-port modular patch panel and Fiber LIU; verify active services and transfer plan to Room 015.</v>
          </cell>
          <cell r="G16" t="str">
            <v>• High: Existing conditions for Room 015 and existing Telecom Room 014 not field verified — Perform existing conditions survey with photos before mobilization
• Critical: Existing telecom equipment may remain active during cutover — Document active services, protect in place, identify owner/OIT cutover windows, and preserve rollback path
• High: Basement TR buildout may conflict with existing utilities, water heater/stair/storage conditions and pathway routing — Survey adjacent Water Heater 010, Vacant 011/012/013, Stair 014, pathway/ductbank routing, and constructability constraints
• Critical: Dedicated cooling emergency power, condensate, BACnet and alarms not verified — Confirm IU-1-01/CU-1-01 power source, condensate route, controls, BACnet adapter, thermostat and high-temp alarm
• High: 240V UPS/PDU and panel source coordination could delay energization — Verify B16-TR015A/B schedules, breakers, receptacles, SPD, labels, load measurement, normal/emergency source and LOTO needs
• High: Rated wall/door/firestop scope may affect life-safety acceptance — Inspect 1-hour wall/smoke barrier conditions, rated door/frame, penetrations, FEC location, temporary firestopping and final UL systems</v>
          </cell>
          <cell r="H16" t="str">
            <v>• B16-Q1 — Confirm final telecom scope: new Room 015 and existing Room 014 transition only? [Open] Impact: Room inventory could miss scope
• B16-Q2 — What active services are currently fed from existing Room 014 equipment? [Open] Impact: Potential communications/security outage
• B16-Q3 — Is IU-1-01/CU-1-01 on emergency/backup power and dedicated to Room 015? [Open] Impact: Cooling continuity unclear
• B16-Q4 — Where is the clean-agent/CO2 extinguisher cabinet located within 75 ft of Room 015? [Open] Impact: Life-safety acceptance risk
• B16-Q5 — Are B16-TR015A/B sources, rack receptacles, SPDs, circuit labels and load measurements approved? [Open] Impact: Electrical readiness unknown
• B16-Q6 — Which existing panel/circuit breaker/feeder demolition and replacement affects Room 015 telecom power? [Open] Impact: Panel outage/cutover risk</v>
          </cell>
        </row>
        <row r="17">
          <cell r="A17" t="str">
            <v>17</v>
          </cell>
          <cell r="B17" t="str">
            <v>• Fully sprinklered building; confirm sprinkler/fire alarm modifications, clean-agent 2A:10B:C extinguisher within 75 ft, rated wall/ceiling/floor penetrations, and temporary firestopping during cable pulls.
• Existing telecom closet; verify fire alarm/sprinkler protection-in-place and seal any removed/reused penetration after cutover.
• Verify firestopping at pathway penetrations between Building 17 and Building 29 and any rated floor/wall assemblies.</v>
          </cell>
          <cell r="C17" t="str">
            <v>• Mechanical/electrical drawings show IU-1-01 in Telecom Room 118 and CU-1-01 outdoor unit. Confirm capacity, emergency/standby source, BACnet adapter, thermostat/control point, condensate path, disconnects, and high-temperature alarm.
• Existing B35A is shown with existing indoor AC unit; verify whether it remains active, is abandoned, or needs temporary protection during cutover.
• No dedicated cooling expected for pathway; verify any equipment cabinets or active service locations in Building 29 if applicable.</v>
          </cell>
          <cell r="D17" t="str">
            <v>• Electrical plans/schedules identify B17-TR118A fed from BUS-B17-NPB1-R and B17-TR118B fed from BUS-B17-EQDP, with TR RM118 rack receptacles, 208V UPS/PDU equipment, CU-1-01, SPD requirements, and 30-day load measurement requirements.
• Existing rack/equipment area; verify active equipment, floor UPS status, source circuits, and transfer requirements before disconnect/removal.
• Verify whether any Building 29 equipment or extension path requires power, grounding, bonding, or labeling tied back to B17 TR 118.</v>
          </cell>
          <cell r="E17" t="str">
            <v>• 17_29T-701 identifies Room 118 schedule: 113 WAO total, 67 active ports per survey, 154 total ports per schedule, and 169 total ports with 10% allowance. Rack ID TR17-118-1 serves basement, first, second-level outlets and Building 29 path.
• Existing Room B35A equipment includes SERTEX utility service ports, legacy Ortronics patch panels, Cisco switches, wall-mounted TE, Fiber/legacy equipment, security cabinet, and floor UPS; verify active services and transfer plan to Room 118.
• Building 29 is shown served from B17; verify fiber from Building 17 to Building 29, path to B29 4-inch PVC, outlet labels, test records and as-builts.</v>
          </cell>
          <cell r="G17" t="str">
            <v>• High: Existing conditions for Room 118, B35A and Building 29 service path not field verified — Perform existing conditions survey with photos before mobilization
• High: First-level hazardous material abatement plan exists — Coordinate IH/abatement review before wall, floor, ceiling, conduit, or penetration work
• Critical: Existing telecom equipment may remain active during cutover — Document active services, protect in place, identify owner/OIT cutover windows, and preserve rollback path
• Critical: Dedicated cooling emergency power, condensate, BACnet and alarms not verified — Confirm IU-1-01/CU-1-01 power source, condensate route, controls, BACnet adapter, thermostat and high-temp alarm
• High: 208V UPS/PDU and panel source coordination could delay energization — Verify B17-TR118A/B schedules, BUS-B17-EQDP, BUS-B17-NPB1-R, rack receptacles, SPD, labels, load measurement and LOTO needs
• High: Cable tray and pathway scope is large and crosses multiple levels/building service boundary — Verify 517 ft cable tray, supports, seismic bracing, 40% fill, path to B29 4-inch PVC, penetrations and labeling before install</v>
          </cell>
          <cell r="H17" t="str">
            <v>• B17-Q1 — Confirm final telecom scope: new Room 118, existing B35A, and Building 29 served from B17? [Open] Impact: Room inventory or PMIS mapping could miss scope
• B17-Q2 — What active services are currently fed from existing B35A equipment? [Open] Impact: Potential communications/security outage
• B17-Q3 — What exact Building 29 outlets/devices are served through TR17-118-1? [Open] Impact: Building 29 scope boundary unclear
• B17-Q4 — Is IU-1-01/CU-1-01 on emergency/backup power and dedicated to Room 118? [Open] Impact: Cooling continuity unclear
• B17-Q5 — Where is the clean-agent/CO2 extinguisher cabinet located within 75 ft of Room 118? [Open] Impact: Life-safety acceptance risk
• B17-Q6 — Are B17-TR118A/B sources, rack receptacles, SPDs, circuit labels and load measurements approved? [Open] Impact: Electrical readiness unknown</v>
          </cell>
        </row>
        <row r="18">
          <cell r="A18" t="str">
            <v>18</v>
          </cell>
          <cell r="B18" t="str">
            <v>• Fully sprinklered building; confirm sprinkler/fire alarm modifications, clean-agent 2A:10B:C extinguisher within 75 ft, rated wall/ceiling/floor penetrations, and temporary firestopping during cable pulls.
• Existing TE room; verify fire alarm/sprinkler protection-in-place and seal removed/reused penetrations after cutover.
• Existing second-level closet; verify protection-in-place and firestopping after transfer or abandonment.</v>
          </cell>
          <cell r="C18" t="str">
            <v>• Mechanical/electrical drawings show IU-1-01 in Telecom Room 110 and CU-1-01 outdoor unit. Confirm capacity, emergency/standby source, BACnet adapter, thermostat/control point, condensate path, disconnects, and high-temperature alarm.
• Existing TE 111B; verify existing environmental conditions during cutover and whether legacy equipment remains active.
• Existing Closet 213; verify existing environmental conditions during cutover and whether legacy equipment remains active.</v>
          </cell>
          <cell r="D18" t="str">
            <v>• Electrical plans/schedules identify B18-TR110A/B, 208V rack UPS requirements, rack receptacles, TR receptacles, lighting, CU-1-01, SPD requirements, and telecom panelboard schedule requirements.
• Existing rack/equipment area; verify active equipment, floor UPS status, source circuits, and transfer requirements before disconnect/removal.
• Existing rack/equipment area; verify active equipment, APC UPS status, source circuits, SERTEX utility service and transfer requirements before disconnect/removal.</v>
          </cell>
          <cell r="E18" t="str">
            <v>• 18T-701 identifies RM 111A schedule: 86 WAO total, 61 active ports per survey, 122 ports per schedule, and 134 total ports with 10% allowance. New rack elevation is Room 110, 1 rack plus future, with UPS, Future Zone PDU, switches, Cat6A patch panels, Cat5E patch panel and Fiber LIU.
• Existing Room 111B equipment includes wall-mounted rack, plywood backboard, patch panel, security cabinet, floor UPS and 5RU fiber optic housing; verify active services and transfer plan to Room 110.
• Existing Room 213 equipment includes SERTEX utility service ports, Cisco switch, multiple legacy Ortronics patch panels, wall/wall-mount TE and APC floor UPS; verify active services and transfer plan to Room 110.</v>
          </cell>
          <cell r="G18" t="str">
            <v>• High: Existing conditions for Room 110, Room 111B and Room 213 not field verified — Perform existing conditions survey with photos before mobilization
• High: First-level hazardous material / lead-based paint abatement plan exists — Coordinate IH/abatement review before wall, floor, ceiling, conduit, or penetration work
• Critical: Existing telecom equipment may remain active during cutover — Document active services, protect in place, identify owner/OIT cutover windows, and preserve rollback path
• Critical: Dedicated cooling emergency power, condensate, BACnet and alarms not verified — Confirm IU-1-01/CU-1-01 power source, condensate route, controls, BACnet adapter, thermostat and high-temp alarm
• High: 208V UPS/PDU and panel source coordination could delay energization — Verify B18-TR110A/B schedules, rack receptacles, SPD, labels, source circuits and LOTO needs
• High: Cable tray and pathway scope crosses first and second levels — Verify 315 ft cable tray, supports, seismic bracing, 40% fill, penetrations, coordination with lighting/HVAC and labeling before install</v>
          </cell>
          <cell r="H18" t="str">
            <v>• B18-Q1 — Confirm final telecom scope: new Room 110 with existing 111B and 213 transition only? [Open] Impact: Room inventory or PMIS mapping could miss scope
• B18-Q2 — Why does 18T-701 reference RM 111A while new rack/electrical plans identify Telecom Room 110? [Open] Impact: Room naming mismatch could affect PMIS tracking
• B18-Q3 — What active services are currently fed from existing 111B and 213 equipment? [Open] Impact: Potential communications/security outage
• B18-Q4 — Is IU-1-01/CU-1-01 on emergency/backup power and dedicated to Room 110? [Open] Impact: Cooling continuity unclear
• B18-Q5 — Where is the clean-agent/CO2 extinguisher cabinet located within 75 ft of Room 110? [Open] Impact: Life-safety acceptance risk
• B18-Q6 — Are B18-TR110A/B sources, rack receptacles, SPDs, circuit labels and load measurements approved? [Open] Impact: Electrical readiness unknown</v>
          </cell>
        </row>
        <row r="19">
          <cell r="A19" t="str">
            <v>20</v>
          </cell>
          <cell r="B19" t="str">
            <v>• Cover sheet states Building 20 receives a Telecom Enclosure and mechanical/fire protection scope is excluded. Still verify firestopping of rated penetrations, 4-inch sleeve, wall/floor openings, and any life-safety device impacts.
• Existing closet; verify protection-in-place and firestopping after cable transfer or reuse.</v>
          </cell>
          <cell r="C19" t="str">
            <v>• Cover sheet states mechanical scope is excluded. Verify whether Office 1B ambient conditions are acceptable for wall-mount TE/UPS/PDU/network equipment.
• Existing Tel/Data Closet 8A includes indoor AC unit to remain/protect in place; verify operation during cutover and whether equipment remains after transition.</v>
          </cell>
          <cell r="D19" t="str">
            <v>• 20T-701 new enclosure elevation shows APC UPS, two PDU L5-30 input / NEMA 5-20 output units, 120V outlet UPS, 120V outlet PDU, network switch, 48-port Cat6A patch panel and Fiber LIU. Verify circuit source, receptacle type, grounding/bonding and labels.
• Existing 8A elevation shows UPS on ground, legacy patch equipment and Fiber LIU on wall; verify source circuits, UPS status, and transition requirements before disconnect/removal.</v>
          </cell>
          <cell r="E19" t="str">
            <v>• 20T-701 identifies TE01-1B-1: 21 WAO total, 24 active ports per survey, 30 ports per schedule, 33 total ports with 10% allowance. Provide new wall-mount TE cabinet and 10 new Cat6A cross-connect cables from existing TE to new TE location.
• Existing Tel/Data Closet 8A contains open TE cabinet, ground bar, patch panel, equipment box, indoor AC unit, plywood backboard, BIX blocks, Cisco switch, legacy 48-port patch panel and Fiber LIU. Field verify all active services.</v>
          </cell>
          <cell r="G19" t="str">
            <v>• High: Existing conditions for new Office 1B TE and existing Tel/Data Closet 8A not field verified — Perform existing conditions survey with photos before mobilization
• Critical: Existing equipment in 8A may remain active during transfer to new TE in 1B — Document active services, protect in place, identify OIT cutover windows, phasing, rollback path and temporary utilities
• Medium: Room naming and TE designation could cause PMIS mapping confusion — Track as Building 20 / Office 1B / TE01-1B-1 and link existing Room 8A as transition point
• High: No mechanical scope, but TE/UPS/network equipment may add heat load to Office 1B — Verify heat load, office ventilation, equipment clearances and owner acceptance before energizing enclosure
• High: UPS/PDU/receptacle source and grounding/bonding not verified — Verify circuit source, receptacle type, UPS/PDU load, grounding bar, bonding and labels
• High: 459 feet of cable tray/pathway requires coordination despite small port count — Verify route, supports, seismic bracing, 40% fill, penetrations, light fixtures and coordination drawings before install</v>
          </cell>
          <cell r="H19" t="str">
            <v>• B20-Q1 — Confirm final scope: new wall-mount TE enclosure in Office 1B and existing Tel/Data Closet 8A transition only? [Open] Impact: Room inventory or PMIS mapping could miss scope
• B20-Q2 — What active services are currently fed from existing 8A open TE cabinet and related equipment? [Open] Impact: Potential communications/security outage
• B20-Q3 — What is the approved power source, receptacle type and circuit capacity for the new APC UPS/PDU in Office 1B? [Open] Impact: Electrical readiness unknown
• B20-Q4 — Is Office 1B HVAC/ambient condition acceptable for a wall-mount TE with UPS/PDU/network switch? [Open] Impact: Heat/load risk after mechanical scope excluded
• B20-Q5 — Are existing cameras/security devices in Building 20 protected and retained with no VMS/PACS changes? [Open] Impact: Security continuity unclear
• B20-Q6 — Are all 459 feet of cable tray route, sleeves, supports and firestopping details field verified? [Open] Impact: Install delay or firestop gap</v>
          </cell>
        </row>
        <row r="20">
          <cell r="A20" t="str">
            <v>21</v>
          </cell>
          <cell r="B20" t="str">
            <v>• Cover sheet states Building 21_19 receives a Telecom Enclosure and fire protection scope is excluded. Still verify firestopping of rated penetrations, 4-inch sleeve, wall/floor openings, and any life-safety device impacts.
• Existing B21 basement TR; verify protection-in-place and firestopping after cable transfer or reuse.
• Existing B19 B05TR; verify protection-in-place and firestopping after cable transfer or reuse.</v>
          </cell>
          <cell r="C20" t="str">
            <v>• Mechanical sheets exist in index. Verify whether new TE heat load in Office 100A is supported by existing/new HVAC and whether any mechanical scope applies despite TE designation.
• Existing B21 B1.TR; verify environmental conditions during cutover and whether legacy equipment remains active.
• Existing B19 B05TR; verify environmental conditions and whether equipment remains active during/after Building 21 transfer.</v>
          </cell>
          <cell r="D20" t="str">
            <v>• 21_19T-604 new enclosure elevation shows APC UPS, two PDU L5-30 input / NEMA 5-20 output units, 120V outlet UPS, 120V outlet PDU, network switches, 48-port Cat6A patch panel and Fiber LIU. Verify circuit source, receptacle type, grounding/bonding and labels.
• Existing B21 B1.TR elevation shows UPS on ground, Cisco switch, legacy patch panels and Fiber LIU; verify source circuits, UPS status, and transition requirements.
• Existing B19 B05TR elevations show APC floor UPS, legacy patch panels, Cisco switch and Fiber LIU; verify power source, active equipment and transfer/retention requirements.</v>
          </cell>
          <cell r="E20" t="str">
            <v>• 21_19T-701 identifies RM 104 schedule: 90 WAO total, 67 active ports per survey, 119 ports per schedule, and 131 total ports with 10% allowance. 659 ft cable tray total: 63 ft basement and 596 ft first level.
• Existing B21 B1.TR equipment includes multiple legacy patch panels, Cisco switch, UPS on ground, Fiber LIU and APC floor UPS; verify active services and transfer plan to new TE.
• Existing B19 B05TR equipment includes legacy Ortronics patch panels, Cisco switch, Fiber LIU and APC floor UPS; verify active services and whether B19/B21 devices are served from new enclosure.</v>
          </cell>
          <cell r="G20" t="str">
            <v>• High: Existing conditions for new 100A TE, B21 B1.TR and B19 B05TR not field verified — Perform existing conditions survey with photos before mobilization
• Critical: Existing equipment may remain active during transfer to new TE enclosure — Document active services, protect in place, identify OIT cutover windows, phasing, rollback path and temporary utilities
• High: Room naming mismatch: schedule says RM 104 / TR01-104-1 while plan/enlarged view identifies Room 100A — Track PMIS as Building 21 / Room 100A / Schedule RM 104 / Rack ID TR01-104-1 and confirm with designer
• High: B19/B21 combined package may blur scope boundary and ownership of ports — Separate Building 21 work, Building 19 transition work, and shared service/cross-connect items in PMIS notes
• High: UPS/PDU/receptacle source and grounding/bonding not verified — Verify circuit source, receptacle type, UPS/PDU load, grounding bar, bonding and labels
• High: 659 feet of cable tray/pathway requires coordination and firestop tracking — Verify route, supports, seismic bracing, 40% fill, penetrations, light fixtures and coordination drawings before install</v>
          </cell>
          <cell r="H20" t="str">
            <v>• B21-Q1 — Confirm final scope: new TE enclosure at Room 100A/RM 104 and existing B21 B1.TR plus B19 B05TR transition? [Open] Impact: Room inventory or PMIS mapping could miss scope
• B21-Q2 — Why does 21_19T-701 list RM 104 / TR01-104-1 while enlarged plan identifies Room 100A? [Open] Impact: Room naming mismatch could affect PMIS tracking
• B21-Q3 — What active services are currently fed from existing B21 B1.TR and B19 B05TR equipment? [Open] Impact: Potential communications/security outage
• B21-Q4 — What exactly is meant by '19 serving 21' on the new TE enclosure elevation? [Open] Impact: Building 19/21 boundary unclear
• B21-Q5 — What is the approved power source, receptacle type and circuit capacity for the new APC UPS/PDU in 100A? [Open] Impact: Electrical readiness unknown
• B21-Q6 — Are all 659 ft of cable tray route, sleeves, supports and firestopping details field verified? [Open] Impact: Install delay or firestop gap</v>
          </cell>
        </row>
        <row r="21">
          <cell r="A21" t="str">
            <v>22</v>
          </cell>
          <cell r="B21" t="str">
            <v>• Cover sheet states Building 22 receives a Telecom Enclosure and mechanical/fire protection scope is excluded. Still verify firestopping of rated penetrations, 4-inch sleeve, wall/floor openings, and life-safety device impacts.
• Existing TE room; verify protection-in-place and firestopping after cable transfer or reuse.</v>
          </cell>
          <cell r="C21" t="str">
            <v>• Cover sheet states mechanical scope is excluded. Verify whether Break Room 102 ambient conditions are acceptable for wall-mount TE/UPS/PDU/network equipment.
• Existing Room 103 equipment area; verify existing environmental conditions during cutover and whether legacy equipment remains active.</v>
          </cell>
          <cell r="D21" t="str">
            <v>• 22T-701 new enclosure elevation shows APC UPS, two PDU L5-30 input / NEMA 5-20 output units, 120V outlet UPS, 120V outlet PDU, network switch, 48-port Cat6A patch panel and Fiber LIU. Verify circuit source, receptacle type, grounding/bonding and labels.
• Existing 103 elevation shows APC UPS, Cisco switch, SERTEX utility service, legacy patch equipment and Fiber LIU on wall; verify source circuits, UPS status, and transition requirements before disconnect/removal.</v>
          </cell>
          <cell r="E21" t="str">
            <v>• 22T-701 identifies TR01-102-1: 6 WAO total, 96 WAO available, 93% expansion capacity, 7 total port quantities, and 8 total ports with 10% allowance. Provide new wall-mount 12RU TE cabinet and 10 new Cat6A cross-connect cables from existing TE to new TE location.
• Existing Room 103 contains APC UPS, Cisco switch, SERTEX utility service, legacy Ortronics 24-port patch panel, Fiber LIU on wall and ports 1-24 to Bldg 19 ports 73-96. Field verify all active services and B19 handoff.</v>
          </cell>
          <cell r="G21" t="str">
            <v>• High: Existing conditions for new Break Room 102 TE and existing Room 103 TE not field verified — Perform existing conditions survey with photos before mobilization
• Critical: Existing equipment in 103 may remain active during transfer to new TE in 102 — Document active services, protect in place, identify OIT cutover windows, phasing, rollback path and temporary utilities
• Medium: Break Room 102 use may conflict with wall-mount TE access and clearances — Verify wall backing, enclosure clearances, working space, furniture/occupant impacts and owner acceptance
• High: No mechanical scope, but TE/UPS/network equipment may add heat load to Break Room 102 — Verify heat load, room ventilation, equipment clearances and owner acceptance before energizing enclosure
• High: UPS/PDU/receptacle source and grounding/bonding not verified — Verify circuit source, receptacle type, UPS/PDU load, grounding bar, bonding and labels
• High: 139 feet of cable tray/pathway requires coordination despite small port count — Verify route, supports, seismic bracing, 40% fill, penetrations, light fixtures and coordination drawings before install</v>
          </cell>
          <cell r="H21" t="str">
            <v>• B22-Q1 — Confirm final scope: new wall-mount TE enclosure in Break Room 102 and existing Room 103 transition only? [Open] Impact: Room inventory or PMIS mapping could miss scope
• B22-Q2 — What active services are currently fed from existing Room 103 equipment? [Open] Impact: Potential communications/security outage
• B22-Q3 — What is the approved power source, receptacle type and circuit capacity for the new APC UPS/PDU in Room 102? [Open] Impact: Electrical readiness unknown
• B22-Q4 — Is Break Room 102 HVAC/ambient condition acceptable for a wall-mount TE with UPS/PDU/network switch? [Open] Impact: Heat/load risk after mechanical scope excluded
• B22-Q5 — Are existing cameras/security devices in Building 22 protected and retained with no VMS/PACS changes? [Open] Impact: Security continuity unclear
• B22-Q6 — Are all 139 feet of cable tray route, sleeves, supports and firestopping details field verified? [Open] Impact: Install delay or firestop gap</v>
          </cell>
        </row>
        <row r="22">
          <cell r="A22" t="str">
            <v>33</v>
          </cell>
          <cell r="B22" t="str">
            <v>• Cover sheet states Building 33 receives a Telecom Enclosure and mechanical/fire protection scope is excluded. Still verify firestopping of rated penetrations, 4-inch sleeve, wall/floor openings, and life-safety device impacts.
• Existing Tel Closet; verify protection-in-place and firestopping after cable transfer or reuse.</v>
          </cell>
          <cell r="C22" t="str">
            <v>• Cover sheet states mechanical scope is excluded. Verify whether Office B23 ambient conditions are acceptable for wall-mount TE/UPS/PDU/network equipment.
• Existing B17 enlarged plan identifies an existing indoor AC unit. Verify operation during cutover and determine whether active legacy equipment remains after transfer to B23.</v>
          </cell>
          <cell r="D22" t="str">
            <v>• 33T-604 new enclosure elevation shows APC UPS, two PDU L5-30 input / NEMA 5-20 output units, 120V outlet UPS, 120V outlet PDU, network switch, 48-port Cat6A patch panel and Fiber LIU. Verify circuit source, receptacle type, grounding/bonding and labels.
• Existing B17 elevations show UPS on floor, Cisco switches, SERTEX utility service, legacy patch panels and Fiber LIU; verify source circuits, UPS status, and transition requirements before disconnect/removal.</v>
          </cell>
          <cell r="E22" t="str">
            <v>• 33T-701 identifies TE01-B23-1: 55 WAO total, 34 active ports per survey, 88 total ports per schedule, and 97 total ports with 10% allowance. Basement cable tray schedule totals 102 ft. Provide 10 new Cat6A cross-connect cables from existing TE to new TE location.
• Existing B17 rack elevations include Cisco switches, legacy 24/48-port patch panels, SERTEX utility service, legacy Fiber LIU, passive Fiber LIU/wall mount, UPS on floor and cross-building port references to Bldgs 3, 80 and 82.</v>
          </cell>
          <cell r="G22" t="str">
            <v>• High: Existing conditions for new B23 TE and existing B17 Tel Closet not field verified — Perform existing conditions survey with photos before mobilization
• Critical: Existing equipment in B17 may remain active during transfer to new TE in B23 — Document active services, protect in place, identify OIT cutover windows, phasing, rollback path and temporary utilities
• Medium: Office B23 use may conflict with wall-mount TE access and clearances — Verify wall backing, enclosure clearances, working space, furniture/occupant impacts and owner acceptance
• High: No mechanical scope, but TE/UPS/network equipment may add heat load to Office B23 — Verify heat load, room ventilation, equipment clearances and owner acceptance before energizing enclosure
• High: UPS/PDU/receptacle source and grounding/bonding not verified — Verify circuit source, receptacle type, UPS/PDU load, grounding bar, bonding and labels
• High: 102 feet of basement cable tray/pathway requires coordination and firestop tracking — Verify route, supports, seismic bracing, 40% fill, penetrations, light fixtures and coordination drawings before install</v>
          </cell>
          <cell r="H22" t="str">
            <v>• B33-Q1 — Confirm final scope: new wall-mount TE enclosure in B23 and existing B17 transition only? [Open] Impact: Room inventory or PMIS mapping could miss scope
• B33-Q2 — What active services are currently fed from existing B17 equipment? [Open] Impact: Potential communications/security outage
• B33-Q3 — What is the approved power source, receptacle type and circuit capacity for the new APC UPS/PDU in B23? [Open] Impact: Electrical readiness unknown
• B33-Q4 — Is Office B23 HVAC/ambient condition acceptable for a wall-mount TE with UPS/PDU/network switch? [Open] Impact: Heat/load risk after mechanical scope excluded
• B33-Q5 — Are existing cameras/security devices in Building 33 protected and retained with no VMS/PACS disruption? [Open] Impact: Security continuity unclear
• B33-Q6 — Are all 102 feet of cable tray route, sleeves, supports and firestopping details field verified? [Open] Impact: Install delay or firestop gap</v>
          </cell>
        </row>
        <row r="23">
          <cell r="A23" t="str">
            <v>61</v>
          </cell>
          <cell r="B23" t="str">
            <v>• Dedicated TR scope includes fire protection drawings. Verify sprinkler modifications, fire alarm devices, clean-agent 2A:10B:C FEC within 75 ft, rated penetrations, and temporary firestopping.
• Verify sprinkler/fire alarm modifications, clean-agent FEC location, penetrations, cable tray/riser openings, and final UL firestop systems.
• Verify second-level TR sprinkler/fire alarm modifications, clean-agent FEC location, vertical riser penetrations, and firestopping.
• Existing demarc/server rooms may remain active; verify protection-in-place, FA/FP continuity, and no unsealed penetrations after cabling work.</v>
          </cell>
          <cell r="C23" t="str">
            <v>• Mechanical sheets identify dedicated split-system cooling with BACnet adapter mounted adjacent to unit in telecom room. Confirm capacity, emergency source, condensate, disconnect, controls, and alarms.
• Mechanical/electrical plans identify IU-1-01/CU-1-01 for first-level TR. Confirm 24/7 operation, emergency/standby source and high-temp alarm.
• Mechanical/electrical plans identify IU-2-01/CU-2-01 for second-level TR. Confirm refrigerant route, condensate route, controls and alarm tie-in.
• Existing demarc/server equipment likely has existing cooling dependencies. Verify active equipment heat load, airflow, operational temperatures and whether any existing cooling is modified or protected.</v>
          </cell>
          <cell r="D23" t="str">
            <v>• Electrical enlarged plans and schedules identify rack receptacles, UPS circuits, PDUs, panelboards, SPD devices and dedicated cooling power for B13H-A. Verify B61-TRB13A/B source, LOTO and labels.
• Electrical schedules identify B61-TR124A/B and rack receptacles. Verify apparent room-name mismatch with RM137B rack receptacles in schedules.
• Electrical schedules identify B61-TR226A/B, rack receptacles, CU-2-01 and SPD requirements. Verify source circuits and labels.
• Existing rack inventory includes APC UPS/PDU and server/demarc equipment. Electrical one-line/schedules list B61-TR137AA/AB and PD-B61-TR137 panels; verify active sources and transition impact.</v>
          </cell>
          <cell r="E23" t="str">
            <v>• 61T-701: 88 WAO total, 74 active ports, 129 scheduled ports, 142 with 10% allowance. Rack ID TR01-B13H-A-1. Basement cable tray included in 890 ft basement total.
• 61T-701: first-level Room 124 / Rack ID TR01-124-1. Schedule data runs across first-level outlets. Include labels, Fiber LIU, Cat6A patch panels, UPS/PDU and VA/OIT acceptance.
• 61T-702: 109 WAO total, 126 active ports, 156 scheduled ports, 172 with 10% allowance. Rack ID TR01-226-1. Verify second-level cable tray and riser penetrations.
• 61T-402/606/607 inventory existing demarc/server racks and equipment. Protect active systems, coordinate cutover, preserve labels, document equipment remaining in service.</v>
          </cell>
          <cell r="G23" t="str">
            <v>• High: Existing conditions and active equipment across B13H-A, 124, 226 and 137/137A not field verified — Perform existing conditions survey with photos and active-service inventory before mobilization
• High: Hazardous material abatement plans exist for first and second levels — Coordinate IH/abatement review before penetrations, wall/ceiling work, cabling or mechanical/electrical installation
• Critical: Existing server/demarc equipment may remain active during cutover — Document active services, service provider circuits, rack inventory, OIT windows, temporary utilities and rollback path
• Critical: Dedicated cooling sequence, emergency power, condensate, BACnet and alarms not verified — Confirm IU/CU-0/1/2 power source, condensate, controls, BACnet adapter, thermostat and high-temp alarm
• Critical: Panel source, UPS/PDU and rack receptacle coordination could delay energization — Verify B61-TRB13A/B, B61-TR124A/B, B61-TR226A/B, B61-TR137AA/AB, PD panels, SPDs and load measurements
• High: Large cable tray scope creates coordination and firestop risk — Verify 1,966 ft cable tray route, supports, seismic bracing, 40% fill, MEP conflicts, sleeves and final firestop assemblies</v>
          </cell>
          <cell r="H23" t="str">
            <v>• B61-Q1 — Confirm final telecom room list and PMIS mapping: B13H-A, 124, 226 and existing 137/137A demarc/server rooms? [Open] Impact: Room inventory could miss scope
• B61-Q2 — What active services and circuits are currently housed in Room 137/137A? [Open] Impact: Potential outage/cutover risk
• B61-Q3 — Are B61-TR137AA/AB panel references tied to Room 137 or a schedule naming mismatch for Room 124? [Open] Impact: Electrical PMIS mapping risk
• B61-Q4 — Are IU/CU-0-01, 1-01 and 2-01 on emergency/backup power and dedicated to the TRs they serve? [Open] Impact: Cooling continuity unclear
• B61-Q5 — Where are clean-agent/CO2 FEC cabinets located within 75 ft of each new TR? [Open] Impact: Life-safety acceptance risk
• B61-Q6 — Are rack UPS/PDU circuits, SPDs, labels, load measurements and LOTO requirements approved for all TR panelboards? [Open] Impact: Electrical readiness unknown</v>
          </cell>
        </row>
        <row r="24">
          <cell r="A24" t="str">
            <v>62</v>
          </cell>
          <cell r="B24" t="str">
            <v>• Verify</v>
          </cell>
          <cell r="C24" t="str">
            <v>• Verify</v>
          </cell>
          <cell r="D24" t="str">
            <v>• Verify</v>
          </cell>
          <cell r="E24" t="str">
            <v>• Verify</v>
          </cell>
          <cell r="G24" t="str">
            <v>• High: Cooling redundancy / emergency power not verified — Confirm power path for cooling, controls, condensate pump
• High: Firestopping condition unknown — Survey penetrations and temporary/permanent firestop plan
• Medium: Existing room conditions undocumented — Create photo record before construction begins
• High: Condensate leak risk near IT equipment — Verify condensate routing and alarms</v>
          </cell>
          <cell r="H24" t="str">
            <v>• B62-Q1 — Are cooling units emergency powered? [Open] Impact: Cannot confirm continuity of operations
• B62-Q2 — Are future rack loads included in HVAC sizing? [Open] Impact: Cooling may be undersized after expansion
• B62-Q3 — Is extinguisher location identified within 75 feet? [Open] Impact: Life safety / acceptance risk
• B62-Q4 — Are all penetrations fully documented and firestopped? [Open] Impact: Fire/smoke spread risk</v>
          </cell>
        </row>
        <row r="25">
          <cell r="A25" t="str">
            <v>70</v>
          </cell>
          <cell r="B25" t="str">
            <v>• Verify</v>
          </cell>
          <cell r="C25" t="str">
            <v>• Verify</v>
          </cell>
          <cell r="D25" t="str">
            <v>• Verify</v>
          </cell>
          <cell r="E25" t="str">
            <v>• Verify</v>
          </cell>
          <cell r="G25" t="str">
            <v>• High: Cooling emergency power / continuity not verified — Confirm power path for cooling, controls, BACnet adapter, and condensate pump
• High: 1-hour rated/smoke-rated TR envelope and penetrations not field verified — Survey walls, doors, sleeves, trays, firestop, and head-of-wall conditions
• Medium: Existing basement service conditions may constrain routing and access — Document existing utilities, clearances, and phasing around active systems
• High: Existing TR/service equipment transfer could affect active operations — Require phasing plan and maintain analog/low-voltage systems operational
• High: Condensate leak risk near IT equipment — Verify condensate routing, insulation, pump power, and alarms</v>
          </cell>
          <cell r="H25" t="str">
            <v>• B70-Q1 — Are cooling units and controls on emergency/backup power? [Open] Impact: Cannot confirm continuity of operations
• B70-Q2 — Are future rack loads included in HVAC sizing for B27, 125A, and 262A? [Open] Impact: Cooling may be undersized after expansion
• B70-Q3 — Are extinguisher cabinet locations identified within 75 feet of each TR? [Open] Impact: Acceptance / life safety risk
• B70-Q4 — Are all wall/floor penetrations and speed sleeves shown and firestopped? [Open] Impact: Fire/smoke spread risk
• B70-Q5 — What phasing is required to keep existing low-voltage/analog systems operational? [Open] Impact: Potential communications interruption</v>
          </cell>
        </row>
        <row r="26">
          <cell r="A26" t="str">
            <v>78</v>
          </cell>
          <cell r="B26" t="str">
            <v>• Full fire protection scope included. Verify sprinkler modifications, fire alarm devices, clean-agent 2A:10B:C FEC within 75 ft, and rated penetrations.
• Verify FP/FA modifications, FEC location, temporary firestopping and final UL systems.
• Verify first-level TR sprinkler/FA work, FEC location and cable tray penetrations.
• Verify second-level TR sprinkler/FA work, FEC location, vertical riser penetrations and firestopping.
• Verify third-level TR fire protection/fire alarm coordination and firestop work.</v>
          </cell>
          <cell r="C26" t="str">
            <v>• Mechanical sheets included for basement. Verify dedicated cooling equipment, capacity, condensate, emergency source, controls/BACnet and high-temperature alarm.
• Verify dedicated cooling and relationship to B30/B35 telecom buildout.
• Verify first-level TR cooling, controls, emergency power and alarm tie-in.
• Verify second-level TR cooling, condensate route and 24/7 operation.
• Verify third-level TR cooling and control/alarm integration.</v>
          </cell>
          <cell r="D26" t="str">
            <v>• Rack elevations identify new rack UPS/PDU and future rack. Verify panelboard/source, SPD, rack receptacles, PDU feeds, labels, load measurement and LOTO.
• Verify rack UPS/PDU source, spare/future rack provisions and grounding/bonding.
• Verify first-level rack receptacles, UPS/PDU, panel sources, SPDs and labeling.
• Verify second-level rack receptacles, UPS/PDU, panel sources, SPDs and labeling.
• Verify third-level rack receptacles for two racks, UPS/PDU, panel sources and labels.</v>
          </cell>
          <cell r="E26" t="str">
            <v>• 78_78AT-701: 210 WAO total, 23 active ports, 311 scheduled ports, 342 with allowance; rack IDs TR01-B30-1/-2. Basement cable tray total 1,702 ft.
• 78_78AT-702: 53 WAO total, 23 active ports, 64 scheduled ports, 70 with allowance. Confirm rack ID/room relation and active services.
• 78_78AT-702/703: 301 WAO total, 388 active ports, 404 scheduled ports, 444 with allowance. Large active port count; high cutover risk.
• 78_78AT-703/704: 256 WAO total, 153 active ports, 348 scheduled ports, 383 with allowance. Verify second-level test records and riser labels.
• 78_78AT-704: 158 WAO total, 163 active ports, 289 scheduled ports, 318 with allowance. Rack IDs TR01-342-1/-2.</v>
          </cell>
          <cell r="G26" t="str">
            <v>• High: Existing conditions and active equipment across six TRs and existing telecom rooms not field verified — Perform detailed room-by-room existing condition survey with photos and active-service inventory
• High: Hazardous material abatement plans exist for basement and third level — Coordinate IH/abatement review before penetrations, wall/ceiling work, cabling or MEP installation
• Critical: Existing telecom equipment may remain active during cutover — Document active services, OIT windows, rack inventory, temporary utilities and rollback plan
• Critical: Dedicated cooling sequence, emergency power, condensate and alarms not verified — Confirm HVAC equipment serving each TR, emergency source, condensate, controls/BACnet and high-temp alarms
• Critical: Panel source, UPS/PDU and rack receptacle coordination could delay energization — Verify telecom panelboards, breakers, rack receptacles, UPS/PDU sources, SPDs, labels and LOTO requirements
• High: Large cable tray scope creates coordination and firestop risk — Verify 4,849 ft cable tray route, supports, seismic bracing, 40% fill, MEP conflicts, sleeves and final firestop assemblies</v>
          </cell>
          <cell r="H26" t="str">
            <v>• B78-Q1 — Confirm final telecom room list and PMIS mapping: B30, B35, 1232, 227A, 342, 401 plus existing rooms 15E/1234/353/308A/408A? [Open] Impact: Room inventory could miss scope
• B78-Q2 — What active services currently remain in each existing telecom room/photo reference location? [Open] Impact: Potential outage/cutover risk
• B78-Q3 — Are Room 1232 and existing Room 1234 separate rooms or naming/mapping references for the same telecom space? [Open] Impact: PMIS mapping risk
• B78-Q4 — Which dedicated cooling units serve each TR and are they on emergency/backup power? [Open] Impact: Cooling continuity unclear
• B78-Q5 — Where are clean-agent/CO2 FEC cabinets located within 75 ft of each new TR? [Open] Impact: Life-safety acceptance risk
• B78-Q6 — Are rack UPS/PDU circuits, SPDs, labels, load measurements and LOTO requirements approved for all TR panelboards? [Open] Impact: Electrical readiness unknown</v>
          </cell>
        </row>
        <row r="27">
          <cell r="A27" t="str">
            <v>80</v>
          </cell>
          <cell r="B27" t="str">
            <v>• Full fire protection scope included. Verify sprinkler modifications, fire alarm devices, clean-agent 2A:10B:C FEC within 75 ft, rated wall/floor penetrations, and temporary firestopping during cable pulls.
• Existing telecom closet/room; verify fire alarm/sprinkler protection-in-place and seal removed/reused penetrations after cutover.</v>
          </cell>
          <cell r="C27" t="str">
            <v>• Mechanical/electrical drawings show IU-1-01 in Telecom Room 102 and CU-1-01 outdoor unit. Confirm capacity, emergency/standby source, BACnet interface, thermostat/control point, condensate pump/path, disconnects, and high-temperature alarm.
• Existing telecom room/closet may remain active during cutover. Verify existing environmental condition and whether any active equipment remains after migration to Room 102.</v>
          </cell>
          <cell r="D27" t="str">
            <v>• Electrical plans/schedules identify B80-TR102A fed from BUS-B80-MDP and B80-TR102B fed from BUS-B80-E1, with rack receptacles, normal/emergency circuits, CU-1-01, SPD requirements and 30-day load measurement requirements.
• Existing rack/equipment area includes APC floor UPS and legacy telecom power. Verify source circuits, active equipment, UPS status, and transfer requirements before disconnect/removal.</v>
          </cell>
          <cell r="E27" t="str">
            <v>• 80T-701 identifies RM102 with 117 WAO total, 98 active ports per survey, 195 total ports per schedule, and 215 total ports with 10% allowance. Rack IDs include TR01-102-1 and TR01-102-2; rack elevation shows 1 new rack plus future rack with switches, Cat6A patch panels, Cat5e patch panel, Fiber LIU, UPS and PDU.
• Existing rack elevation shows Cisco switches, legacy optical Fiber LIU on wall, multiple legacy Ortronics 24/48-port patch panels, legacy Cat5e 24-port patch panel, and APC floor UPS. Contractor must transfer existing devices to new rack and protect active services.</v>
          </cell>
          <cell r="G27" t="str">
            <v>• High: Existing conditions for Room 102 and existing 127A/126 not field verified — Perform existing conditions survey with photos before mobilization
• Critical: Existing telecom equipment may remain active during transfer to Room 102 — Document active services, protect in place, identify OIT cutover windows, phasing and rollback plan
• High: Room-number mismatch between Tel Closet 127A and photo/rack reference Room 126/127-A — Track both IDs in PMIS and confirm field room signage/owner mapping before punch list and turnover
• Critical: Dedicated cooling emergency power, condensate, BACnet and alarms not verified — Confirm IU-1-01/CU-1-01 power source, condensate route, controls, BACnet adapter, thermostat and high-temp alarm
• High: B80-TR102A/B UPS/PDU and panel source coordination could delay energization — Verify panel sources BUS-B80-MDP and BUS-B80-E1, breakers, receptacles, SPD, labels, load measurement and LOTO needs
• High: 811 feet of cable tray/pathway requires coordination and firestop tracking — Verify route, supports, seismic bracing, 40% fill, penetrations, lighting/HVAC conflicts and firestop assemblies</v>
          </cell>
          <cell r="H27" t="str">
            <v>• B80-Q1 — Confirm final telecom scope: new Room 102 with existing 127A/126 transition only? [Open] Impact: Room inventory could miss scope
• B80-Q2 — What active services are currently fed from existing Room 127A/126 equipment? [Open] Impact: Potential communications/security outage
• B80-Q3 — Are Room 127A and Room 126 the same telecom room, or separate locations? [Open] Impact: PMIS mapping and turnover risk
• B80-Q4 — Is IU-1-01/CU-1-01 on emergency/backup power and dedicated to Room 102? [Open] Impact: Cooling continuity unclear
• B80-Q5 — Where is the clean-agent/CO2 extinguisher cabinet located within 75 ft of Room 102? [Open] Impact: Life-safety acceptance risk
• B80-Q6 — Are B80-TR102A/B sources, rack receptacles, SPDs, circuit labels and load measurements approved? [Open] Impact: Electrical readiness unknown</v>
          </cell>
        </row>
        <row r="28">
          <cell r="A28" t="str">
            <v>82</v>
          </cell>
          <cell r="B28" t="str">
            <v>• Cover sheet states Building 82 receives a Telecom Enclosure and fire protection scope is excluded. Still verify rated penetrations, 4-inch sleeve, wall/floor openings, temporary firestopping, and life-safety device impacts.
• Existing telecom room; verify protection-in-place and firestopping after cable transfer or reuse.</v>
          </cell>
          <cell r="C28" t="str">
            <v>• Mechanical and electrical drawings show IU-1-01 in/near Telecom Room 102 and CU-1-01 outdoor unit. Mechanical notes call for BACnet adapter mounted adjacent to unit in telecom room. Confirm capacity, emergency/standby source, condensate pump/path, disconnects, controls, and high-temp alarm.
• Existing telecom room may remain active during cutover. Verify existing environmental conditions and whether active equipment remains after transfer to Room 102.</v>
          </cell>
          <cell r="D28" t="str">
            <v>• Electrical plans/schedules identify TE receptacle, CU-1-01, B82-MDP and B82-P-EMER sources, with SPD devices integral to new telecom panelboards. Verify receptacle type, grounding/bonding, emergency source, labels, and circuit loading.
• Existing rack/equipment area includes APC floor UPS and legacy telecom power. Verify source circuits, active equipment, UPS status, and transfer requirements before disconnect/removal.</v>
          </cell>
          <cell r="E28" t="str">
            <v>• 82T-701 identifies RM102 with 26 WAO total, 31 active ports per survey, 36 total ports per schedule, and 40 total ports with 10% allowance. Rack ID TR01-102-01. Cable tray schedule totals 278 ft on first level. New enclosure includes APC UPS, two PDUs, network switch, Cat6A patch panel and Fiber LIU.
• Existing B01-A elevations identify Cisco switches, cable management, two Ortronics 24-port patch panels with 11 and 6 used, existing patch panels and APC floor UPS. Field verify active services and transfer plan to new TE.</v>
          </cell>
          <cell r="G28" t="str">
            <v>• High: Existing conditions for new Room 102 TE and existing B01-A not field verified — Perform existing conditions survey with photos before mobilization
• Critical: Existing equipment in B01-A may remain active during transfer to new TE in 102 — Document active services, protect in place, identify OIT cutover windows, phasing, rollback path and temporary utilities
• High: Cover sheet says TE, but mechanical cooling is included for Room 102 — Confirm scope interpretation with VA/AE and ensure cooling is commissioned if it serves active TE equipment
• Critical: Dedicated cooling emergency power, condensate, BACnet and alarms not verified — Confirm IU-1-01/CU-1-01 power source, condensate, controls, BACnet adapter, thermostat and high-temp alarm
• High: UPS/PDU/receptacle source and grounding/bonding not verified — Verify circuit source, receptacle type, UPS/PDU load, grounding bar, bonding, SPD and labels
• High: 278 feet of first-level cable tray/pathway requires coordination and firestop tracking — Verify route, supports, seismic bracing, 40% fill, penetrations, light/HVAC conflicts and firestop assemblies</v>
          </cell>
          <cell r="H28" t="str">
            <v>• B82-Q1 — Confirm final scope: new 12RU wall-mount TE enclosure in Room 102 and existing B01-A transition only? [Open] Impact: Room inventory or PMIS mapping could miss scope
• B82-Q2 — What active services are currently fed from existing B01-A equipment? [Open] Impact: Potential communications/security outage
• B82-Q3 — Is Room 102 officially a TE-only scope or a conditioned telecom room with mechanical support? [Open] Impact: Scope and commissioning responsibility unclear
• B82-Q4 — Is IU-1-01/CU-1-01 on emergency/backup power and dedicated to Room 102? [Open] Impact: Cooling continuity unclear
• B82-Q5 — What is the approved power source, receptacle type and circuit capacity for the new APC UPS/PDU in Room 102? [Open] Impact: Electrical readiness unknown
• B82-Q6 — Are all 278 feet of cable tray route, sleeves, supports and firestopping details field verified? [Open] Impact: Install delay or firestop gap</v>
          </cell>
        </row>
        <row r="29">
          <cell r="A29" t="str">
            <v>BCH</v>
          </cell>
          <cell r="B29" t="str">
            <v>• Cover sheet states BCH receives a Telecom Enclosure and mechanical/fire protection scope has been excluded. Still verify existing life-safety protection, rated penetrations, 4-inch sleeve fire caulk, temporary firestopping and abandoned penetration patching.
• TE-only scope does not appear to require new FEC/fire sprinkler work, but all wall/floor/ceiling penetrations must be sealed and rated assemblies maintained.</v>
          </cell>
          <cell r="C29" t="str">
            <v>• Cover sheet explicitly excludes mechanical scope. Verify existing room ambient conditions are acceptable for TE equipment and that no active network equipment will overheat.
• If the final scope is a 45RU new telecom room rather than a small TE, HVAC exclusion should be confirmed with VA/AE because telecom-room heat load may differ from TE assumptions.</v>
          </cell>
          <cell r="D29" t="str">
            <v>• Electrical plan includes first-level electrical work and notes for new wall-mount telecom enclosure, grounding/bonding and camera. Verify circuit source, receptacle type, UPS/PDU load, emergency source if required, grounding/bonding and labels.
• BCHT-604 shows 12RU TE equipment with APC UPS and PDUs and also a BCH 45RU new telecom room elevation. Confirm exact UPS/PDU/rack power requirement before acceptance.</v>
          </cell>
          <cell r="E29" t="str">
            <v>• BCHT-101 identifies telecom plan first level and enlarged Room 107. BCHT-604 identifies new telecom room/no existing elevations. There is no BCHT-701 schedule in the drawing index, so WAO/cable-tray totals must be field verified from plans and contractor coordination drawings.
• BCHT-604 identifies a 12RU TE elevation: APC UPS, two PDUs, network switch, 48-port Cat6A patch panel and Fiber LIU. Also shows BCH Crescent House Room 107 new telecom room elevation. Confirm governing rack/enclosure and labeling.</v>
          </cell>
          <cell r="G29" t="str">
            <v>• High: Existing conditions for Crescent House Room 107 not field verified — Perform existing conditions survey with photos before mobilization
• High: Mechanical and fire protection are excluded despite telecom/electronics installation — Verify existing environmental and life-safety conditions support TE equipment; confirm no dedicated HVAC/FP requirement applies
• High: Rack/elevation conflict: TE 12RU enclosure versus BCH Room 107 new telecom room elevation — Submit RFI/confirm with AE which elevation governs and map room/equipment in PMIS
• Critical: Active services and existing devices may require phasing/temporary service — Document active services, maintain existing service, use phasing plan, temporary utilities and OIT cutover windows
• High: UPS/PDU/receptacle source and grounding/bonding not verified — Verify circuit source, receptacle type, UPS/PDU load, grounding bar, bonding and labels
• High: Cable tray, sleeve and pathway quantities not scheduled in a BCHT-701 sheet — Require coordination drawings showing route, supports, fill, penetrations, sleeves and cable counts</v>
          </cell>
          <cell r="H29" t="str">
            <v>• BCH-Q1 — Confirm final BCH scope: Room 107 TE enclosure only, or a new telecom room/rack buildout? [Open] Impact: PMIS scope and acceptance criteria unclear
• BCH-Q2 — Why does BCHT-604 show a T78 12RU TE enclosure and a separate BCH Crescent House Room 107 new telecom room elevation? [Open] Impact: Rack/equipment mapping conflict
• BCH-Q3 — What active services currently serve Crescent House and where are existing terminations located? [Open] Impact: Cutover/outage risk
• BCH-Q4 — What is the approved power source, receptacle type and circuit capacity for the new UPS/PDU? [Open] Impact: Electrical readiness unknown
• BCH-Q5 — Is existing HVAC/ambient condition acceptable for TE/network equipment since mechanical scope is excluded? [Open] Impact: Heat/load risk
• BCH-Q6 — Are cable tray route, sleeve locations, supports and firestopping details shown/field verified without a BCHT-701 schedule? [Open] Impact: Install delay or firestop gap</v>
          </cell>
        </row>
        <row r="30">
          <cell r="A30" t="str">
            <v>MCR</v>
          </cell>
          <cell r="B30" t="str">
            <v>• MCR has full fire protection scope including wet pipe and clean-agent fire suppression system. Verify preaction/clean-agent design, agent release interface, fire alarm matrix, detection, abort/release stations, room integrity and acceptance testing.
• Verify fiber entrance room protection, rated penetrations, firestopping, detector/strobe coverage and no gaps after cable tray installation.
• Verify sprinkler/clean-agent coverage around MDA equipment, fire alarm devices, rack clearance and final firestop assemblies.
• Verify clean-agent coverage, detector placement, alarm interfaces, and open cabinet airflow protection.
• Existing systems must remain protected during temporary fiber, umbilical cord and core relocation work. Verify no impairment without approved fire watch/impairment plan.</v>
          </cell>
          <cell r="C30" t="str">
            <v>• Telecom notes call for indoor computer room air conditioner (CRAC) units tied to building management system. Mechanical sheets included; verify redundant capacity, setpoints, humidity, condensate, controls, alarms and emergency power.
• UPS rooms/equipment require thermal load validation, ventilation, emergency power and alarm integration. Verify battery/UPS environmental requirements.
• Verify airflow/cold aisle/hot aisle assumptions, blanking panels, floor/ceiling distribution and temperature monitoring.
• Server cabinets and patch fields require stable 24/7 cooling and monitoring. Confirm no local hot spots at dense LIU/patch panel zones.
• During split-core temporary phase, existing MCR/server equipment remains active. Verify existing cooling remains in service until cutover and decommissioning are complete.</v>
          </cell>
          <cell r="D30" t="str">
            <v>• Electrical set includes site plan, enlarged MCR plans, one-lines and schedules. Verify switchboard/service, ATS/generator integration, normal/emergency/UPS distribution, grounding, lightning protection, SPD, load measurements and commissioning.
• MDA rack elevations include new 4-post floor cabinets, LIUs and network elements. Verify redundant A/B power feeds and PDU arrangements.
• HDA cabinets include server cabinet front/rear elevations with patch panels and active equipment. Confirm A/B feed separation, PDU mounting, load capacity and labels.
• Existing rack elevations identify multiple APC/Chatsworth/HP PDUs, APC Smart UPS and Eaton 9PX units. Verify what transfers, what stays, and temporary power during migration.
• New MCR is standalone critical infrastructure. Verify utility service, generator/ATS paths, emergency distribution, grounding electrode and ductbank/site electrical coordination.</v>
          </cell>
          <cell r="E30" t="str">
            <v>• MCRT-101 shows new MCR with MDA-A/B, HDA-A/B, UPS-A/B, cameras and fiber path legend. MCRT-701 shows 10 WAO total, 720 WAO available, 98.1% expansion capacity, 10 total ports with 20% allowance and 359 ft cable tray.
• MCRT-701 Data Device and Circuit Schedule - Fiber Entrance Room 1: outlets 31-A/B/C/D plus security devices 07-CAM-03/04/07/08/11; Rack ID TR01-031-1.
• MCRT-607: MDA A/B racks contain horizontal distribution LIUs, hybrid FOC, 48x Cat6A to HDA, and reserved LAN/spine/aggregation elements. Maintain A/B path separation.
• MCRT-608/609: HDA A/B include 48-port Cat6A patch panels, HD fiber LIUs, backbone side A/B LIU and server cabinet arrangements.
• Existing MCR rows 1-3 and B61 server cabinet transfer references are extensive. Maintain service using temporary fiber/umbilical cords and phased core relocation.</v>
          </cell>
          <cell r="G30" t="str">
            <v>• Critical: MCR is a new standalone critical facility with 120-sheet multi-discipline scope — Use discipline-by-discipline pre-install checklist, coordination drawings, third-party inspections and commissioning tracker
• Critical: Existing MCR/server/core equipment transfer may interrupt hospital network operations — Require detailed OIT cutover plan, temporary fiber/umbilicals, rollback plan, VA activation windows and after-hours phasing
• Critical: A/B fiber path diversity and backbone commissioning not verified — Verify OSP/ISP Path A/B routing, no intermediate splices, test results, labeling and geographic diversity
• Critical: UPS-A/B, ATS/generator, panel source and PDU coordination could delay activation — Verify one-line, load banks, breaker settings, panel labels, generator/ATS tests, UPS start-up and A/B power mapping
• Critical: CRAC capacity, redundancy, condensate, BMS/FMS alarms and emergency power not verified — Confirm mechanical schedules, CRAC start-up, controls, alarm points, emergency source, environmental monitoring and hot/cold aisle performance
• Critical: Clean-agent/preaction/fire alarm interface and room integrity acceptance risk — Track clean-agent calculations, room integrity test, release/abort stations, FA matrix, sprinkler/preaction tests and AHJ/third-party acceptance</v>
          </cell>
          <cell r="H30" t="str">
            <v>• MCR-Q1 — Confirm final room naming and PMIS mapping: MCR Room 107, Fiber Entrance Room 031, Existing 107/137 server/MCR references. [Open] Impact: Room inventory and turnover mapping could be wrong
• MCR-Q2 — What existing core/server/rack equipment is being relocated from the existing MCR/server rooms, and what remains? [Open] Impact: Cutover and outage risk
• MCR-Q3 — What is the approved MCR activation sequence and required VA/OIT hold points? [Open] Impact: Schedule/cutover impact
• MCR-Q4 — Are UPS-A/B, generator/ATS and emergency power paths commissioned and mapped to each rack/PDU? [Open] Impact: Electrical readiness unknown
• MCR-Q5 — Are CRAC units fully commissioned with BMS/FMS alarms, redundancy and emergency power? [Open] Impact: Cooling continuity risk
• MCR-Q6 — Are clean-agent/preaction/fire alarm systems fully designed, tested and accepted? [Open] Impact: Life-safety acceptance risk</v>
          </cell>
        </row>
        <row r="31">
          <cell r="A31" t="str">
            <v>SPEC</v>
          </cell>
          <cell r="B31" t="str">
            <v>• No fire / life safety items captured for this building.</v>
          </cell>
          <cell r="C31" t="str">
            <v>• No hvac / cooling items captured for this building.</v>
          </cell>
          <cell r="D31" t="str">
            <v>• No electrical / ups items captured for this building.</v>
          </cell>
          <cell r="E31" t="str">
            <v>• No telecom / fiber items captured for this building.</v>
          </cell>
          <cell r="G31" t="str">
            <v>• No owner risks items captured for this building.</v>
          </cell>
          <cell r="H31" t="str">
            <v>• No open questions items captured for this building.</v>
          </cell>
        </row>
        <row r="32">
          <cell r="A32" t="str">
            <v>Campus</v>
          </cell>
          <cell r="B32" t="str">
            <v>• No fire / life safety items captured for this building.</v>
          </cell>
          <cell r="C32" t="str">
            <v>• No hvac / cooling items captured for this building.</v>
          </cell>
          <cell r="D32" t="str">
            <v>• No electrical / ups items captured for this building.</v>
          </cell>
          <cell r="E32" t="str">
            <v>• No telecom / fiber items captured for this building.</v>
          </cell>
          <cell r="G32" t="str">
            <v>• No owner risks items captured for this building.</v>
          </cell>
          <cell r="H32" t="str">
            <v>• No open questions items captured for this building.</v>
          </cell>
        </row>
        <row r="33">
          <cell r="A33" t="str">
            <v>SITE</v>
          </cell>
          <cell r="B33" t="str">
            <v>• General notes require fire lanes, hydrants and fire department access roads operational at all times; maintain egress and provide fire watch/temporary protection when required.
• Trench barricades, accessible parking/public access and right-of-way impacts must be coordinated with owner prior to construction.
• Rated wall/floor penetrations must be firestopped; temporary firestopping required if penetrations remain open between shifts.
• Backbone work affects facility operations. Any required shutdowns must be limited to one at a time and coordinated with approved phasing plan.</v>
          </cell>
          <cell r="C33" t="str">
            <v>• No hvac / cooling items captured for this building.</v>
          </cell>
          <cell r="D33" t="str">
            <v>• Electrical site plans ES101/ES401 are included. Existing utility locations are approximate; coordinate electrical vaults, underground electrical, storm drain manholes and sanitary manholes.
• Locking covers and handhole/manhole locations must be field verified. Confirm bonding/grounding requirements where metallic components are present.
• T-601 shows WAN/provider fiber entrances and new fiber Path A/B to the MCR. Coordinate with Century Link/service provider and MCR activation.
• Coordinate conduit penetrations with building electrical/telecom/firestop scope and avoid conflicts with existing services.</v>
          </cell>
          <cell r="E33" t="str">
            <v>• Legend identifies new fiber in A route, B route, and A+B routes in separate conduits. Confirm no cross-connect gaps at THHs/manholes.
• Site one-line shows WAN fiber from service provider and temporary/provider extension pathways. Coordinate with MCR activation and OIT.
• Each building tie-in must be tested, labeled, and accepted before connection to active operations.
• T-601 one-line lists THH #1-#19 and path counts such as 6 Path A + 4 Path B, 6 Path A + 6 Path B, 7 Path A + 7 Path B, 5 Path A + 4 Path B, and 9 Path A + 7 Path B.</v>
          </cell>
          <cell r="G33" t="str">
            <v>• Critical: Existing utility locations are approximate and field conditions may vary from survey — Complete utility locate, GPR review, potholing/hand-digging at crossings and VA utility coordination before excavation
• Critical: A/B fiber path separation may not be maintained through common ductbank or congested areas — Verify separate conduits, route diversity, THH labels, T-601 path counts and as-built documentation
• High: Concrete ductbank could be backfilled before inspection — Establish inspection hold point; trench remains open until concrete duct inspection and photos are accepted
• Critical: WAN/provider fiber and MCR activation sequence could delay campus cutover — Coordinate Century Link/service provider, temporary fiber, provider extension, MCR readiness and OIT activation plan
• High: Trenching/restoration may disrupt accessible parking, fire lanes, public access and campus traffic — Submit traffic/pedestrian/staging plan, maintain fire lanes/hydrants and restore surfaces to match existing
• High: Building entry penetrations/firestopping may not align with building PMIS packages — Cross-check every site tie-in against building assessment, T-101 continuation sheets and firestop photos</v>
          </cell>
          <cell r="H33" t="str">
            <v>• SITE-Q1 — Confirm final list of all site fiber buildings and whether Buildings 1-22, 33, 61, 62, 70, 78/78A, 80, 81, 82, Crescent House and MCR are included in one site backbone turnover package. [Open] Impact: Scope and turnover package mapping unclear
• SITE-Q2 — Which THH/manhole numbers are new versus existing, and which require locking cover replacement only? [Open] Impact: Structure inventory and inspection scope unclear
• SITE-Q3 — Are all A and B routes physically diverse enough and in separate conduit wherever common ductbank is used? [Open] Impact: Redundancy risk
• SITE-Q4 — What are the approved utility-locate/potholing requirements before excavation at each crossing? [Open] Impact: Utility strike risk
• SITE-Q5 — What inspection hold points are required for ductbank forms, conduit placement, concrete pour, pull string, mandrel and backfill? [Open] Impact: QA acceptance risk
• SITE-Q6 — Are directional boring alternatives allowed anywhere, or is all base-bid work trenching unless separately approved by Government? [Open] Impact: Means/methods and cost/schedule risk</v>
          </cell>
        </row>
      </sheetData>
      <sheetData sheetId="63"/>
      <sheetData sheetId="6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MIS_Config"/>
      <sheetName val="Data_Health"/>
      <sheetName val="README_ARCHITECTURE"/>
      <sheetName val="V4_Mission_Control"/>
      <sheetName val="Dashboard"/>
      <sheetName val="Building_View"/>
      <sheetName val="Command_Center"/>
      <sheetName val="Command_Tile_Copy_Block"/>
      <sheetName val="Executive Brief"/>
      <sheetName val="Pilot"/>
      <sheetName val="Shutdown_Tracker"/>
      <sheetName val="Building_Register"/>
      <sheetName val="Stakeholders"/>
      <sheetName val="_Command_Lists"/>
      <sheetName val="_PMIS_Config"/>
      <sheetName val="Lookup_Lists"/>
      <sheetName val="System_Map"/>
      <sheetName val="PMIS_Home"/>
      <sheetName val="Lists"/>
      <sheetName val="Telecom_Rooms"/>
      <sheetName val="Building_Stakeholders"/>
      <sheetName val="Existing_Conditions"/>
      <sheetName val="Doc_Register"/>
      <sheetName val="Documentation"/>
      <sheetName val="PMIS_Data (2)"/>
      <sheetName val="PMIS_Data"/>
      <sheetName val="B01_Assessment"/>
      <sheetName val="B02_Assessment"/>
      <sheetName val="B03_Assessment"/>
      <sheetName val="B04_Assessment"/>
      <sheetName val="B05_Assessment"/>
      <sheetName val="B06_Assessment"/>
      <sheetName val="B07_Assessment"/>
      <sheetName val="B08_Assessment"/>
      <sheetName val="B09_Assessment"/>
      <sheetName val="B10_Assessment"/>
      <sheetName val="B12_Assessment"/>
      <sheetName val="B13_Assessment"/>
      <sheetName val="B14_Assessment"/>
      <sheetName val="B15_Assessment"/>
      <sheetName val="B16_Assessment"/>
      <sheetName val="B17_Assessment"/>
      <sheetName val="B18_Assessment"/>
      <sheetName val="B20_Assessment"/>
      <sheetName val="B21_Assessment"/>
      <sheetName val="B22_Assessment"/>
      <sheetName val="B33_Assessment"/>
      <sheetName val="B61_Assessment"/>
      <sheetName val="B62_TR_Assessment"/>
      <sheetName val="B70_TR_Assessment"/>
      <sheetName val="B78_Assessment"/>
      <sheetName val="B80_Assessment"/>
      <sheetName val="B82_Assessment"/>
      <sheetName val="BCH_Assessment"/>
      <sheetName val="MCR_Assessment"/>
      <sheetName val="SITE_Assesment"/>
      <sheetName val="SPEC_Assessment"/>
      <sheetName val="_Command_Source"/>
      <sheetName val="_Assessment_Full_View"/>
      <sheetName val="V4_Architecture_Map"/>
      <sheetName val="_V4_ActionQueue"/>
      <sheetName val="_Command_Trade_Notes"/>
      <sheetName val="PMIS_Trade_Notes"/>
      <sheetName val="Today's_Focu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ow r="1">
          <cell r="E1" t="str">
            <v>Section</v>
          </cell>
          <cell r="G1" t="str">
            <v>Col_A</v>
          </cell>
          <cell r="H1" t="str">
            <v>Col_B</v>
          </cell>
          <cell r="I1" t="str">
            <v>Col_C</v>
          </cell>
          <cell r="J1" t="str">
            <v>Col_D</v>
          </cell>
          <cell r="K1" t="str">
            <v>Col_E</v>
          </cell>
          <cell r="L1" t="str">
            <v>Col_F</v>
          </cell>
          <cell r="O1" t="str">
            <v>Col_I</v>
          </cell>
          <cell r="P1" t="str">
            <v>Col_J</v>
          </cell>
          <cell r="Q1" t="str">
            <v>Key</v>
          </cell>
        </row>
        <row r="2">
          <cell r="E2" t="str">
            <v>1. ROOM INVENTORY</v>
          </cell>
          <cell r="G2" t="str">
            <v>1. ROOM INVENTORY</v>
          </cell>
          <cell r="H2">
            <v>0</v>
          </cell>
          <cell r="I2">
            <v>0</v>
          </cell>
          <cell r="J2">
            <v>0</v>
          </cell>
          <cell r="K2">
            <v>0</v>
          </cell>
          <cell r="L2">
            <v>0</v>
          </cell>
          <cell r="O2">
            <v>0</v>
          </cell>
          <cell r="P2">
            <v>0</v>
          </cell>
          <cell r="Q2" t="str">
            <v>01|1</v>
          </cell>
        </row>
        <row r="3">
          <cell r="E3" t="str">
            <v>1. ROOM INVENTORY</v>
          </cell>
          <cell r="G3" t="str">
            <v>Building</v>
          </cell>
          <cell r="H3" t="str">
            <v>Room</v>
          </cell>
          <cell r="I3" t="str">
            <v>Floor</v>
          </cell>
          <cell r="J3" t="str">
            <v>Existing Use</v>
          </cell>
          <cell r="K3" t="str">
            <v>New Use</v>
          </cell>
          <cell r="L3" t="str">
            <v>Rack Count</v>
          </cell>
          <cell r="O3" t="str">
            <v>Drawing Ref</v>
          </cell>
          <cell r="P3" t="str">
            <v>Notes</v>
          </cell>
          <cell r="Q3" t="str">
            <v>01|2</v>
          </cell>
        </row>
        <row r="4">
          <cell r="E4" t="str">
            <v>1. ROOM INVENTORY</v>
          </cell>
          <cell r="G4" t="str">
            <v>01</v>
          </cell>
          <cell r="H4" t="str">
            <v>107</v>
          </cell>
          <cell r="I4" t="str">
            <v>First</v>
          </cell>
          <cell r="J4" t="str">
            <v>New Telecom Room build area</v>
          </cell>
          <cell r="K4" t="str">
            <v>Telecom Room</v>
          </cell>
          <cell r="L4">
            <v>1</v>
          </cell>
          <cell r="O4" t="str">
            <v>01A-401 / 01E-101 / 01E-601 / 01E-701 / 01T-101 / 01T-604 / 01T-605 / 01T-701</v>
          </cell>
          <cell r="P4" t="str">
            <v>Primary Building 01 TR. Plans identify Room 107 as new TR with Rack ID TR01-107-1, one new 4-post rack plus future rack, 5kW UPS, future/zone PDU, network switches, 48-port Cat6A patch panels, 24-port Cat5e patch panel, Fiber LIU, panels B01-TR107A/B, IU-1-01/CU-1-01 cooling, camera 107-CAM-1, and 161 total ports with 10% allowance.</v>
          </cell>
          <cell r="Q4" t="str">
            <v>01|3</v>
          </cell>
        </row>
        <row r="5">
          <cell r="E5" t="str">
            <v>1. ROOM INVENTORY</v>
          </cell>
          <cell r="G5" t="str">
            <v>01</v>
          </cell>
          <cell r="H5" t="str">
            <v>B02</v>
          </cell>
          <cell r="I5" t="str">
            <v>Basement</v>
          </cell>
          <cell r="J5" t="str">
            <v>Existing telecom room / racks</v>
          </cell>
          <cell r="K5" t="str">
            <v>Existing telecom transition point</v>
          </cell>
          <cell r="L5">
            <v>3</v>
          </cell>
          <cell r="O5" t="str">
            <v>01T-100 / 01T-604 / 01R-900</v>
          </cell>
          <cell r="P5" t="str">
            <v>Existing Basement Telecom Room B02 with two 2-post floor racks and one wall TE. Existing equipment includes open rack, UPS on floor, Tripp Lite Smart Pro UPS, Tera Max/Nokia/Baseband/IRU equipment, Corning LANscape, Cisco, and Ortronics 24-port patch panels. Protect active services and transfer devices as required.</v>
          </cell>
          <cell r="Q5" t="str">
            <v>01|4</v>
          </cell>
        </row>
        <row r="6">
          <cell r="E6" t="str">
            <v>1. ROOM INVENTORY</v>
          </cell>
          <cell r="G6" t="str">
            <v>01</v>
          </cell>
          <cell r="H6" t="str">
            <v>138</v>
          </cell>
          <cell r="I6" t="str">
            <v>First</v>
          </cell>
          <cell r="J6" t="str">
            <v>Existing telecom room / patch panels</v>
          </cell>
          <cell r="K6" t="str">
            <v>Existing telecom transition point</v>
          </cell>
          <cell r="L6">
            <v>3</v>
          </cell>
          <cell r="O6" t="str">
            <v>01T-101 / 01T-604 / 01R-900</v>
          </cell>
          <cell r="P6" t="str">
            <v>Existing First-Level Telecom Room 138 with existing patch panels, APC UPS floor, Cisco, Corning LANscape and Ortronics 24/48-port patch panels. Protect active services and verify migration to Room 107.</v>
          </cell>
          <cell r="Q6" t="str">
            <v>01|5</v>
          </cell>
        </row>
        <row r="7">
          <cell r="E7" t="str">
            <v>1. ROOM INVENTORY</v>
          </cell>
          <cell r="G7" t="str">
            <v>01</v>
          </cell>
          <cell r="H7" t="str">
            <v>282</v>
          </cell>
          <cell r="I7" t="str">
            <v>Second</v>
          </cell>
          <cell r="J7" t="str">
            <v>Existing telecom room / racks</v>
          </cell>
          <cell r="K7" t="str">
            <v>Existing telecom transition point</v>
          </cell>
          <cell r="L7">
            <v>2</v>
          </cell>
          <cell r="O7" t="str">
            <v>01T-101 / 01T-605 / 01R-900</v>
          </cell>
          <cell r="P7" t="str">
            <v>Existing Second-Level Telecom Room 282 with two 2-post floor racks, Cisco switches, cable managers, legacy Ortronics 24/48-port patch panels, Corning LANscape and APC 12-port equipment. Protect active services during Room 107 cutover.</v>
          </cell>
          <cell r="Q7" t="str">
            <v>01|6</v>
          </cell>
        </row>
        <row r="8">
          <cell r="E8" t="str">
            <v>1. ROOM INVENTORY</v>
          </cell>
          <cell r="G8">
            <v>0</v>
          </cell>
          <cell r="H8">
            <v>0</v>
          </cell>
          <cell r="I8">
            <v>0</v>
          </cell>
          <cell r="J8">
            <v>0</v>
          </cell>
          <cell r="K8">
            <v>0</v>
          </cell>
          <cell r="L8">
            <v>0</v>
          </cell>
          <cell r="O8">
            <v>0</v>
          </cell>
          <cell r="P8">
            <v>0</v>
          </cell>
          <cell r="Q8" t="str">
            <v>01|7</v>
          </cell>
        </row>
        <row r="9">
          <cell r="E9" t="str">
            <v>2. ROOM READINESS</v>
          </cell>
          <cell r="G9" t="str">
            <v>2. ROOM READINESS</v>
          </cell>
          <cell r="H9">
            <v>0</v>
          </cell>
          <cell r="I9">
            <v>0</v>
          </cell>
          <cell r="J9">
            <v>0</v>
          </cell>
          <cell r="K9">
            <v>0</v>
          </cell>
          <cell r="L9">
            <v>0</v>
          </cell>
          <cell r="O9">
            <v>0</v>
          </cell>
          <cell r="P9">
            <v>0</v>
          </cell>
          <cell r="Q9" t="str">
            <v>01|8</v>
          </cell>
        </row>
        <row r="10">
          <cell r="E10" t="str">
            <v>2. ROOM READINESS</v>
          </cell>
          <cell r="G10" t="str">
            <v>Room</v>
          </cell>
          <cell r="H10" t="str">
            <v>Walls / 1-hr Rating</v>
          </cell>
          <cell r="I10" t="str">
            <v>Ceiling</v>
          </cell>
          <cell r="J10" t="str">
            <v>Floor / SDC</v>
          </cell>
          <cell r="K10" t="str">
            <v>Penetrations</v>
          </cell>
          <cell r="L10" t="str">
            <v>Access Control</v>
          </cell>
          <cell r="O10" t="str">
            <v>Overall</v>
          </cell>
          <cell r="P10" t="str">
            <v>Comments</v>
          </cell>
          <cell r="Q10" t="str">
            <v>01|9</v>
          </cell>
        </row>
        <row r="11">
          <cell r="E11" t="str">
            <v>2. ROOM READINESS</v>
          </cell>
          <cell r="G11" t="str">
            <v>107</v>
          </cell>
          <cell r="H11" t="str">
            <v>Verify</v>
          </cell>
          <cell r="I11" t="str">
            <v>Verify</v>
          </cell>
          <cell r="J11" t="str">
            <v>Verify</v>
          </cell>
          <cell r="K11" t="str">
            <v>Verify</v>
          </cell>
          <cell r="L11" t="str">
            <v>Verify</v>
          </cell>
          <cell r="O11" t="str">
            <v>Verify</v>
          </cell>
          <cell r="P11" t="str">
            <v>New TR. Verify rated wall/smoke barrier conditions, door/access-control hardware, ceiling/deck, floor sealer, rack/future rack clearances, wall backing, cable tray, fiber path A/B, and working clearances around rack, panels and IU.</v>
          </cell>
          <cell r="Q11" t="str">
            <v>01|10</v>
          </cell>
        </row>
        <row r="12">
          <cell r="E12" t="str">
            <v>2. ROOM READINESS</v>
          </cell>
          <cell r="G12" t="str">
            <v>B02</v>
          </cell>
          <cell r="H12" t="str">
            <v>Existing / Verify</v>
          </cell>
          <cell r="I12" t="str">
            <v>Existing / Verify</v>
          </cell>
          <cell r="J12" t="str">
            <v>Existing / Verify</v>
          </cell>
          <cell r="K12" t="str">
            <v>Verify</v>
          </cell>
          <cell r="L12" t="str">
            <v>Verify Existing</v>
          </cell>
          <cell r="O12" t="str">
            <v>Verify</v>
          </cell>
          <cell r="P12" t="str">
            <v>Existing basement telecom room. Verify active equipment, rack access, existing UPS power, wall TE, pathway and transfer/abandonment scope.</v>
          </cell>
          <cell r="Q12" t="str">
            <v>01|11</v>
          </cell>
        </row>
        <row r="13">
          <cell r="E13" t="str">
            <v>2. ROOM READINESS</v>
          </cell>
          <cell r="G13" t="str">
            <v>138</v>
          </cell>
          <cell r="H13" t="str">
            <v>Existing / Verify</v>
          </cell>
          <cell r="I13" t="str">
            <v>Existing / Verify</v>
          </cell>
          <cell r="J13" t="str">
            <v>Existing / Verify</v>
          </cell>
          <cell r="K13" t="str">
            <v>Verify</v>
          </cell>
          <cell r="L13" t="str">
            <v>Verify Existing</v>
          </cell>
          <cell r="O13" t="str">
            <v>Verify</v>
          </cell>
          <cell r="P13" t="str">
            <v>Existing first-level telecom transition point. Verify rack/panel condition, active services, UPS, patching and cable transfer scope.</v>
          </cell>
          <cell r="Q13" t="str">
            <v>01|12</v>
          </cell>
        </row>
        <row r="14">
          <cell r="E14" t="str">
            <v>2. ROOM READINESS</v>
          </cell>
          <cell r="G14" t="str">
            <v>282</v>
          </cell>
          <cell r="H14" t="str">
            <v>Existing / Verify</v>
          </cell>
          <cell r="I14" t="str">
            <v>Existing / Verify</v>
          </cell>
          <cell r="J14" t="str">
            <v>Existing / Verify</v>
          </cell>
          <cell r="K14" t="str">
            <v>Verify</v>
          </cell>
          <cell r="L14" t="str">
            <v>Verify Existing</v>
          </cell>
          <cell r="O14" t="str">
            <v>Verify</v>
          </cell>
          <cell r="P14" t="str">
            <v>Existing second-level telecom transition point. Verify rack access, active services, pathway/riser and final condition after cutover.</v>
          </cell>
          <cell r="Q14" t="str">
            <v>01|13</v>
          </cell>
        </row>
        <row r="15">
          <cell r="E15" t="str">
            <v>2. ROOM READINESS</v>
          </cell>
          <cell r="G15">
            <v>0</v>
          </cell>
          <cell r="H15">
            <v>0</v>
          </cell>
          <cell r="I15">
            <v>0</v>
          </cell>
          <cell r="J15">
            <v>0</v>
          </cell>
          <cell r="K15">
            <v>0</v>
          </cell>
          <cell r="L15">
            <v>0</v>
          </cell>
          <cell r="O15">
            <v>0</v>
          </cell>
          <cell r="P15">
            <v>0</v>
          </cell>
          <cell r="Q15" t="str">
            <v>01|14</v>
          </cell>
        </row>
        <row r="16">
          <cell r="E16" t="str">
            <v>3. FIRE PROTECTION</v>
          </cell>
          <cell r="G16" t="str">
            <v>3. FIRE PROTECTION</v>
          </cell>
          <cell r="H16">
            <v>0</v>
          </cell>
          <cell r="I16">
            <v>0</v>
          </cell>
          <cell r="J16">
            <v>0</v>
          </cell>
          <cell r="K16">
            <v>0</v>
          </cell>
          <cell r="L16">
            <v>0</v>
          </cell>
          <cell r="O16">
            <v>0</v>
          </cell>
          <cell r="P16">
            <v>0</v>
          </cell>
          <cell r="Q16" t="str">
            <v>01|15</v>
          </cell>
        </row>
        <row r="17">
          <cell r="E17" t="str">
            <v>3. FIRE PROTECTION</v>
          </cell>
          <cell r="G17" t="str">
            <v>Room</v>
          </cell>
          <cell r="H17" t="str">
            <v>Sprinkler</v>
          </cell>
          <cell r="I17" t="str">
            <v>Cage</v>
          </cell>
          <cell r="J17" t="str">
            <v>Detector</v>
          </cell>
          <cell r="K17" t="str">
            <v>Horn/Strobe</v>
          </cell>
          <cell r="L17" t="str">
            <v>Extinguisher &lt;75 ft</v>
          </cell>
          <cell r="O17" t="str">
            <v>Overall</v>
          </cell>
          <cell r="P17" t="str">
            <v>Risk / Notes</v>
          </cell>
          <cell r="Q17" t="str">
            <v>01|16</v>
          </cell>
        </row>
        <row r="18">
          <cell r="E18" t="str">
            <v>3. FIRE PROTECTION</v>
          </cell>
          <cell r="G18" t="str">
            <v>107</v>
          </cell>
          <cell r="H18" t="str">
            <v>Verify</v>
          </cell>
          <cell r="I18" t="str">
            <v>Verify</v>
          </cell>
          <cell r="J18" t="str">
            <v>Verify</v>
          </cell>
          <cell r="K18" t="str">
            <v>Verify</v>
          </cell>
          <cell r="L18" t="str">
            <v>Verify</v>
          </cell>
          <cell r="O18" t="str">
            <v>Verify</v>
          </cell>
          <cell r="P18" t="str">
            <v>Full fire protection scope included. Verify sprinkler head modifications, fire alarm devices, clean-agent/CO2 2A:10B:C FEC within 75 ft, rated wall/floor penetrations, temporary firestopping and final UL firestop systems.</v>
          </cell>
          <cell r="Q18" t="str">
            <v>01|17</v>
          </cell>
        </row>
        <row r="19">
          <cell r="E19" t="str">
            <v>3. FIRE PROTECTION</v>
          </cell>
          <cell r="G19" t="str">
            <v>B02</v>
          </cell>
          <cell r="H19" t="str">
            <v>Existing / Verify</v>
          </cell>
          <cell r="I19" t="str">
            <v>N/A</v>
          </cell>
          <cell r="J19" t="str">
            <v>Verify Existing</v>
          </cell>
          <cell r="K19" t="str">
            <v>Verify Existing</v>
          </cell>
          <cell r="L19" t="str">
            <v>Verify</v>
          </cell>
          <cell r="O19" t="str">
            <v>Verify</v>
          </cell>
          <cell r="P19" t="str">
            <v>Existing telecom room; verify FP/FA protection-in-place and seal penetrations after cable removal/reuse.</v>
          </cell>
          <cell r="Q19" t="str">
            <v>01|18</v>
          </cell>
        </row>
        <row r="20">
          <cell r="E20" t="str">
            <v>3. FIRE PROTECTION</v>
          </cell>
          <cell r="G20" t="str">
            <v>138</v>
          </cell>
          <cell r="H20" t="str">
            <v>Existing / Verify</v>
          </cell>
          <cell r="I20" t="str">
            <v>N/A</v>
          </cell>
          <cell r="J20" t="str">
            <v>Verify Existing</v>
          </cell>
          <cell r="K20" t="str">
            <v>Verify Existing</v>
          </cell>
          <cell r="L20" t="str">
            <v>Verify</v>
          </cell>
          <cell r="O20" t="str">
            <v>Verify</v>
          </cell>
          <cell r="P20" t="str">
            <v>Existing telecom room; verify fire alarm/sprinkler impacts, protection-in-place and final firestop at cable changes.</v>
          </cell>
          <cell r="Q20" t="str">
            <v>01|19</v>
          </cell>
        </row>
        <row r="21">
          <cell r="E21" t="str">
            <v>3. FIRE PROTECTION</v>
          </cell>
          <cell r="G21" t="str">
            <v>282</v>
          </cell>
          <cell r="H21" t="str">
            <v>Existing / Verify</v>
          </cell>
          <cell r="I21" t="str">
            <v>N/A</v>
          </cell>
          <cell r="J21" t="str">
            <v>Verify Existing</v>
          </cell>
          <cell r="K21" t="str">
            <v>Verify Existing</v>
          </cell>
          <cell r="L21" t="str">
            <v>Verify</v>
          </cell>
          <cell r="O21" t="str">
            <v>Verify</v>
          </cell>
          <cell r="P21" t="str">
            <v>Existing second-level telecom room; verify riser penetrations, firestopping and protection-in-place.</v>
          </cell>
          <cell r="Q21" t="str">
            <v>01|20</v>
          </cell>
        </row>
        <row r="22">
          <cell r="E22" t="str">
            <v>3. FIRE PROTECTION</v>
          </cell>
          <cell r="G22">
            <v>0</v>
          </cell>
          <cell r="H22">
            <v>0</v>
          </cell>
          <cell r="I22">
            <v>0</v>
          </cell>
          <cell r="J22">
            <v>0</v>
          </cell>
          <cell r="K22">
            <v>0</v>
          </cell>
          <cell r="L22">
            <v>0</v>
          </cell>
          <cell r="O22">
            <v>0</v>
          </cell>
          <cell r="P22">
            <v>0</v>
          </cell>
          <cell r="Q22" t="str">
            <v>01|21</v>
          </cell>
        </row>
        <row r="23">
          <cell r="E23" t="str">
            <v>4. HVAC / COOLING</v>
          </cell>
          <cell r="G23" t="str">
            <v>4. HVAC / COOLING</v>
          </cell>
          <cell r="H23">
            <v>0</v>
          </cell>
          <cell r="I23">
            <v>0</v>
          </cell>
          <cell r="J23">
            <v>0</v>
          </cell>
          <cell r="K23">
            <v>0</v>
          </cell>
          <cell r="L23">
            <v>0</v>
          </cell>
          <cell r="O23">
            <v>0</v>
          </cell>
          <cell r="P23">
            <v>0</v>
          </cell>
          <cell r="Q23" t="str">
            <v>01|22</v>
          </cell>
        </row>
        <row r="24">
          <cell r="E24" t="str">
            <v>4. HVAC / COOLING</v>
          </cell>
          <cell r="G24" t="str">
            <v>Room</v>
          </cell>
          <cell r="H24" t="str">
            <v>Dedicated Unit</v>
          </cell>
          <cell r="I24" t="str">
            <v>Capacity Verified</v>
          </cell>
          <cell r="J24" t="str">
            <v>Emergency Power</v>
          </cell>
          <cell r="K24" t="str">
            <v>Controls / BACnet</v>
          </cell>
          <cell r="L24" t="str">
            <v>Condensate Routed</v>
          </cell>
          <cell r="O24" t="str">
            <v>Overall</v>
          </cell>
          <cell r="P24" t="str">
            <v>Risk / Notes</v>
          </cell>
          <cell r="Q24" t="str">
            <v>01|23</v>
          </cell>
        </row>
        <row r="25">
          <cell r="E25" t="str">
            <v>4. HVAC / COOLING</v>
          </cell>
          <cell r="G25" t="str">
            <v>107</v>
          </cell>
          <cell r="H25" t="str">
            <v>IU-1-01 / CU-1-01</v>
          </cell>
          <cell r="I25" t="str">
            <v>Verify</v>
          </cell>
          <cell r="J25" t="str">
            <v>Verify</v>
          </cell>
          <cell r="K25" t="str">
            <v>Verify</v>
          </cell>
          <cell r="L25" t="str">
            <v>Verify</v>
          </cell>
          <cell r="O25" t="str">
            <v>Verify</v>
          </cell>
          <cell r="P25" t="str">
            <v>Mechanical drawings show IU-1-01 split-system indoor unit and CU-1-01 outdoor unit for Room 107. Notes call for condensate pump, pumped condensate line, BACnet adapter adjacent to unit, FMS integration, room temperature/humidity points and alarms. Confirm capacity, emergency source, condensate path, controls and startup.</v>
          </cell>
          <cell r="Q25" t="str">
            <v>01|24</v>
          </cell>
        </row>
        <row r="26">
          <cell r="E26" t="str">
            <v>4. HVAC / COOLING</v>
          </cell>
          <cell r="G26" t="str">
            <v>B02</v>
          </cell>
          <cell r="H26" t="str">
            <v>Existing / Verify</v>
          </cell>
          <cell r="I26" t="str">
            <v>Verify</v>
          </cell>
          <cell r="J26" t="str">
            <v>Verify</v>
          </cell>
          <cell r="K26" t="str">
            <v>Verify</v>
          </cell>
          <cell r="L26" t="str">
            <v>Verify</v>
          </cell>
          <cell r="O26" t="str">
            <v>Verify</v>
          </cell>
          <cell r="P26" t="str">
            <v>Existing basement telecom equipment may remain active during cutover. Verify environmental conditions and whether active equipment remains after migration.</v>
          </cell>
          <cell r="Q26" t="str">
            <v>01|25</v>
          </cell>
        </row>
        <row r="27">
          <cell r="E27" t="str">
            <v>4. HVAC / COOLING</v>
          </cell>
          <cell r="G27" t="str">
            <v>138</v>
          </cell>
          <cell r="H27" t="str">
            <v>Existing / Verify</v>
          </cell>
          <cell r="I27" t="str">
            <v>Verify</v>
          </cell>
          <cell r="J27" t="str">
            <v>Verify</v>
          </cell>
          <cell r="K27" t="str">
            <v>Verify</v>
          </cell>
          <cell r="L27" t="str">
            <v>Verify</v>
          </cell>
          <cell r="O27" t="str">
            <v>Verify</v>
          </cell>
          <cell r="P27" t="str">
            <v>Existing first-level equipment may remain active during transfer; verify temperature, ventilation and protection of active gear.</v>
          </cell>
          <cell r="Q27" t="str">
            <v>01|26</v>
          </cell>
        </row>
        <row r="28">
          <cell r="E28" t="str">
            <v>4. HVAC / COOLING</v>
          </cell>
          <cell r="G28" t="str">
            <v>282</v>
          </cell>
          <cell r="H28" t="str">
            <v>Existing / Verify</v>
          </cell>
          <cell r="I28" t="str">
            <v>Verify</v>
          </cell>
          <cell r="J28" t="str">
            <v>Verify</v>
          </cell>
          <cell r="K28" t="str">
            <v>Verify</v>
          </cell>
          <cell r="L28" t="str">
            <v>Verify</v>
          </cell>
          <cell r="O28" t="str">
            <v>Verify</v>
          </cell>
          <cell r="P28" t="str">
            <v>Existing second-level equipment may remain active until cutover; verify existing cooling/ambient conditions and no overheating.</v>
          </cell>
          <cell r="Q28" t="str">
            <v>01|27</v>
          </cell>
        </row>
        <row r="29">
          <cell r="E29" t="str">
            <v>4. HVAC / COOLING</v>
          </cell>
          <cell r="G29">
            <v>0</v>
          </cell>
          <cell r="H29">
            <v>0</v>
          </cell>
          <cell r="I29">
            <v>0</v>
          </cell>
          <cell r="J29">
            <v>0</v>
          </cell>
          <cell r="K29">
            <v>0</v>
          </cell>
          <cell r="L29">
            <v>0</v>
          </cell>
          <cell r="O29">
            <v>0</v>
          </cell>
          <cell r="P29">
            <v>0</v>
          </cell>
          <cell r="Q29" t="str">
            <v>01|28</v>
          </cell>
        </row>
        <row r="30">
          <cell r="E30" t="str">
            <v>5. ELECTRICAL / UPS</v>
          </cell>
          <cell r="G30" t="str">
            <v>5. ELECTRICAL / UPS</v>
          </cell>
          <cell r="H30">
            <v>0</v>
          </cell>
          <cell r="I30">
            <v>0</v>
          </cell>
          <cell r="J30">
            <v>0</v>
          </cell>
          <cell r="K30">
            <v>0</v>
          </cell>
          <cell r="L30">
            <v>0</v>
          </cell>
          <cell r="O30">
            <v>0</v>
          </cell>
          <cell r="P30">
            <v>0</v>
          </cell>
          <cell r="Q30" t="str">
            <v>01|29</v>
          </cell>
        </row>
        <row r="31">
          <cell r="E31" t="str">
            <v>5. ELECTRICAL / UPS</v>
          </cell>
          <cell r="G31" t="str">
            <v>Room</v>
          </cell>
          <cell r="H31" t="str">
            <v>UPS Installed</v>
          </cell>
          <cell r="I31" t="str">
            <v>UPS Size</v>
          </cell>
          <cell r="J31" t="str">
            <v>PDU Installed</v>
          </cell>
          <cell r="K31" t="str">
            <v>Rack Receptacles</v>
          </cell>
          <cell r="L31" t="str">
            <v>Panel Assigned</v>
          </cell>
          <cell r="O31" t="str">
            <v>Overall</v>
          </cell>
          <cell r="P31" t="str">
            <v>Notes</v>
          </cell>
          <cell r="Q31" t="str">
            <v>01|30</v>
          </cell>
        </row>
        <row r="32">
          <cell r="E32" t="str">
            <v>5. ELECTRICAL / UPS</v>
          </cell>
          <cell r="G32" t="str">
            <v>107</v>
          </cell>
          <cell r="H32" t="str">
            <v>Verify</v>
          </cell>
          <cell r="I32" t="str">
            <v>5 kW / 208V rack UPS</v>
          </cell>
          <cell r="J32" t="str">
            <v>Verify</v>
          </cell>
          <cell r="K32" t="str">
            <v>Verify</v>
          </cell>
          <cell r="L32" t="str">
            <v>B01-TR107A / B01-TR107B</v>
          </cell>
          <cell r="O32" t="str">
            <v>Verify</v>
          </cell>
          <cell r="P32" t="str">
            <v>Electrical plans/schedules identify B01-TR107A and B01-TR107B, rack receptacles, normal/emergency receptacles, redundant vertical PDUs, CU-1-01, access controller, lighting/receptacle circuits, SPDs integral to new telecom panels, and 30-day load measurement requirements before panel renovation.</v>
          </cell>
          <cell r="Q32" t="str">
            <v>01|31</v>
          </cell>
        </row>
        <row r="33">
          <cell r="E33" t="str">
            <v>5. ELECTRICAL / UPS</v>
          </cell>
          <cell r="G33" t="str">
            <v>B02</v>
          </cell>
          <cell r="H33" t="str">
            <v>Existing</v>
          </cell>
          <cell r="I33" t="str">
            <v>Existing UPS on floor / Tripp Lite Smart Pro UPS</v>
          </cell>
          <cell r="J33" t="str">
            <v>Existing / Verify</v>
          </cell>
          <cell r="K33" t="str">
            <v>Verify</v>
          </cell>
          <cell r="L33" t="str">
            <v>Existing / Verify</v>
          </cell>
          <cell r="O33" t="str">
            <v>Verify</v>
          </cell>
          <cell r="P33" t="str">
            <v>Existing B02 rack elevations show UPS on floor and Tripp Lite Smart Pro UPS; verify active source circuits and transfer requirements.</v>
          </cell>
          <cell r="Q33" t="str">
            <v>01|32</v>
          </cell>
        </row>
        <row r="34">
          <cell r="E34" t="str">
            <v>5. ELECTRICAL / UPS</v>
          </cell>
          <cell r="G34" t="str">
            <v>138</v>
          </cell>
          <cell r="H34" t="str">
            <v>Existing</v>
          </cell>
          <cell r="I34" t="str">
            <v>Existing APC UPS floor</v>
          </cell>
          <cell r="J34" t="str">
            <v>Existing / Verify</v>
          </cell>
          <cell r="K34" t="str">
            <v>Verify</v>
          </cell>
          <cell r="L34" t="str">
            <v>Existing / Verify</v>
          </cell>
          <cell r="O34" t="str">
            <v>Verify</v>
          </cell>
          <cell r="P34" t="str">
            <v>Existing 138 rack elevation shows APC UPS floor and patch panels; verify active source circuits and transition.</v>
          </cell>
          <cell r="Q34" t="str">
            <v>01|33</v>
          </cell>
        </row>
        <row r="35">
          <cell r="E35" t="str">
            <v>5. ELECTRICAL / UPS</v>
          </cell>
          <cell r="G35" t="str">
            <v>282</v>
          </cell>
          <cell r="H35" t="str">
            <v>Existing</v>
          </cell>
          <cell r="I35" t="str">
            <v>Existing / Verify</v>
          </cell>
          <cell r="J35" t="str">
            <v>Existing / Verify</v>
          </cell>
          <cell r="K35" t="str">
            <v>Verify</v>
          </cell>
          <cell r="L35" t="str">
            <v>Existing / Verify</v>
          </cell>
          <cell r="O35" t="str">
            <v>Verify</v>
          </cell>
          <cell r="P35" t="str">
            <v>Existing Room 282 equipment includes active rack gear and patch panels; verify source circuits, UPS/PDU condition and final decommission/retain scope.</v>
          </cell>
          <cell r="Q35" t="str">
            <v>01|34</v>
          </cell>
        </row>
        <row r="36">
          <cell r="E36" t="str">
            <v>5. ELECTRICAL / UPS</v>
          </cell>
          <cell r="G36">
            <v>0</v>
          </cell>
          <cell r="H36">
            <v>0</v>
          </cell>
          <cell r="I36">
            <v>0</v>
          </cell>
          <cell r="J36">
            <v>0</v>
          </cell>
          <cell r="K36">
            <v>0</v>
          </cell>
          <cell r="L36">
            <v>0</v>
          </cell>
          <cell r="O36">
            <v>0</v>
          </cell>
          <cell r="P36">
            <v>0</v>
          </cell>
          <cell r="Q36" t="str">
            <v>01|35</v>
          </cell>
        </row>
        <row r="37">
          <cell r="E37" t="str">
            <v>6. TELECOMMUNICATIONS</v>
          </cell>
          <cell r="G37" t="str">
            <v>6. TELECOMMUNICATIONS</v>
          </cell>
          <cell r="H37">
            <v>0</v>
          </cell>
          <cell r="I37">
            <v>0</v>
          </cell>
          <cell r="J37">
            <v>0</v>
          </cell>
          <cell r="K37">
            <v>0</v>
          </cell>
          <cell r="L37">
            <v>0</v>
          </cell>
          <cell r="O37">
            <v>0</v>
          </cell>
          <cell r="P37">
            <v>0</v>
          </cell>
          <cell r="Q37" t="str">
            <v>01|36</v>
          </cell>
        </row>
        <row r="38">
          <cell r="E38" t="str">
            <v>6. TELECOMMUNICATIONS</v>
          </cell>
          <cell r="G38" t="str">
            <v>Room</v>
          </cell>
          <cell r="H38" t="str">
            <v>Rack Installed</v>
          </cell>
          <cell r="I38" t="str">
            <v>Ladder Tray</v>
          </cell>
          <cell r="J38" t="str">
            <v>Fiber Installed</v>
          </cell>
          <cell r="K38" t="str">
            <v>Grounding</v>
          </cell>
          <cell r="L38" t="str">
            <v>Labeling</v>
          </cell>
          <cell r="O38" t="str">
            <v>Overall</v>
          </cell>
          <cell r="P38" t="str">
            <v>Notes</v>
          </cell>
          <cell r="Q38" t="str">
            <v>01|37</v>
          </cell>
        </row>
        <row r="39">
          <cell r="E39" t="str">
            <v>6. TELECOMMUNICATIONS</v>
          </cell>
          <cell r="G39" t="str">
            <v>107</v>
          </cell>
          <cell r="H39" t="str">
            <v>Verify</v>
          </cell>
          <cell r="I39" t="str">
            <v>Verify</v>
          </cell>
          <cell r="J39" t="str">
            <v>Verify</v>
          </cell>
          <cell r="K39" t="str">
            <v>Verify</v>
          </cell>
          <cell r="L39" t="str">
            <v>Verify</v>
          </cell>
          <cell r="O39" t="str">
            <v>Verify</v>
          </cell>
          <cell r="P39" t="str">
            <v>01T-701 identifies RM107 with 96 WAO total, 88 active ports per survey, 146 total ports per schedule, and 161 total ports with 10% allowance. Cable tray schedule totals 394 ft: 58 ft basement, 212 ft first level and 124 ft second level. Rack ID TR01-107-1.</v>
          </cell>
          <cell r="Q39" t="str">
            <v>01|38</v>
          </cell>
        </row>
        <row r="40">
          <cell r="E40" t="str">
            <v>6. TELECOMMUNICATIONS</v>
          </cell>
          <cell r="G40" t="str">
            <v>B02</v>
          </cell>
          <cell r="H40" t="str">
            <v>Existing / Transfer</v>
          </cell>
          <cell r="I40" t="str">
            <v>Existing</v>
          </cell>
          <cell r="J40" t="str">
            <v>Existing</v>
          </cell>
          <cell r="K40" t="str">
            <v>Verify</v>
          </cell>
          <cell r="L40" t="str">
            <v>Verify</v>
          </cell>
          <cell r="O40" t="str">
            <v>Verify</v>
          </cell>
          <cell r="P40" t="str">
            <v>Existing B02 racks/TE support active services and legacy equipment. Contractor must field verify equipment to be demolished or transferred and provide phasing plan.</v>
          </cell>
          <cell r="Q40" t="str">
            <v>01|39</v>
          </cell>
        </row>
        <row r="41">
          <cell r="E41" t="str">
            <v>6. TELECOMMUNICATIONS</v>
          </cell>
          <cell r="G41" t="str">
            <v>138</v>
          </cell>
          <cell r="H41" t="str">
            <v>Existing / Transfer</v>
          </cell>
          <cell r="I41" t="str">
            <v>Existing</v>
          </cell>
          <cell r="J41" t="str">
            <v>Existing</v>
          </cell>
          <cell r="K41" t="str">
            <v>Verify</v>
          </cell>
          <cell r="L41" t="str">
            <v>Verify</v>
          </cell>
          <cell r="O41" t="str">
            <v>Verify</v>
          </cell>
          <cell r="P41" t="str">
            <v>Existing Room 138 racks and patch panels act as transition/legacy equipment point. Verify active service labels and transfer sequence.</v>
          </cell>
          <cell r="Q41" t="str">
            <v>01|40</v>
          </cell>
        </row>
        <row r="42">
          <cell r="E42" t="str">
            <v>6. TELECOMMUNICATIONS</v>
          </cell>
          <cell r="G42" t="str">
            <v>282</v>
          </cell>
          <cell r="H42" t="str">
            <v>Existing / Transfer</v>
          </cell>
          <cell r="I42" t="str">
            <v>Existing</v>
          </cell>
          <cell r="J42" t="str">
            <v>Existing</v>
          </cell>
          <cell r="K42" t="str">
            <v>Verify</v>
          </cell>
          <cell r="L42" t="str">
            <v>Verify</v>
          </cell>
          <cell r="O42" t="str">
            <v>Verify</v>
          </cell>
          <cell r="P42" t="str">
            <v>Existing Room 282 racks and patch panels act as second-level transition point. Verify all active services, WAP/camera cabling, and riser pathway.</v>
          </cell>
          <cell r="Q42" t="str">
            <v>01|41</v>
          </cell>
        </row>
        <row r="43">
          <cell r="E43" t="str">
            <v>6. TELECOMMUNICATIONS</v>
          </cell>
          <cell r="G43">
            <v>0</v>
          </cell>
          <cell r="H43">
            <v>0</v>
          </cell>
          <cell r="I43">
            <v>0</v>
          </cell>
          <cell r="J43">
            <v>0</v>
          </cell>
          <cell r="K43">
            <v>0</v>
          </cell>
          <cell r="L43">
            <v>0</v>
          </cell>
          <cell r="O43">
            <v>0</v>
          </cell>
          <cell r="P43">
            <v>0</v>
          </cell>
          <cell r="Q43" t="str">
            <v>01|42</v>
          </cell>
        </row>
        <row r="44">
          <cell r="E44" t="str">
            <v>7. SECURITY / PACS / CCTV</v>
          </cell>
          <cell r="G44" t="str">
            <v>7. SECURITY / PACS / CCTV</v>
          </cell>
          <cell r="H44">
            <v>0</v>
          </cell>
          <cell r="I44">
            <v>0</v>
          </cell>
          <cell r="J44">
            <v>0</v>
          </cell>
          <cell r="K44">
            <v>0</v>
          </cell>
          <cell r="L44">
            <v>0</v>
          </cell>
          <cell r="O44">
            <v>0</v>
          </cell>
          <cell r="P44">
            <v>0</v>
          </cell>
          <cell r="Q44" t="str">
            <v>01|43</v>
          </cell>
        </row>
        <row r="45">
          <cell r="E45" t="str">
            <v>7. SECURITY / PACS / CCTV</v>
          </cell>
          <cell r="G45" t="str">
            <v>Room</v>
          </cell>
          <cell r="H45" t="str">
            <v>PACS</v>
          </cell>
          <cell r="I45" t="str">
            <v>Card Reader</v>
          </cell>
          <cell r="J45" t="str">
            <v>Door Position</v>
          </cell>
          <cell r="K45" t="str">
            <v>Electric Strike</v>
          </cell>
          <cell r="L45" t="str">
            <v>CCTV</v>
          </cell>
          <cell r="O45" t="str">
            <v>Overall</v>
          </cell>
          <cell r="P45" t="str">
            <v>Notes</v>
          </cell>
          <cell r="Q45" t="str">
            <v>01|44</v>
          </cell>
        </row>
        <row r="46">
          <cell r="E46" t="str">
            <v>7. SECURITY / PACS / CCTV</v>
          </cell>
          <cell r="G46" t="str">
            <v>107</v>
          </cell>
          <cell r="H46" t="str">
            <v>Verify</v>
          </cell>
          <cell r="I46" t="str">
            <v>Verify</v>
          </cell>
          <cell r="J46" t="str">
            <v>Verify</v>
          </cell>
          <cell r="K46" t="str">
            <v>Verify</v>
          </cell>
          <cell r="L46" t="str">
            <v>Verify</v>
          </cell>
          <cell r="O46" t="str">
            <v>Verify</v>
          </cell>
          <cell r="P46" t="str">
            <v>Electrical/telecom plans show new access control, power supply/battery backup for PACS, HDP12/FIPS-compliant PIV-ready card reader with PIN pad, and camera 107-CAM-1. Verify CR/RX/DC/ES/MD devices, controller, camera/VMS integration and door hardware coordination.</v>
          </cell>
          <cell r="Q46" t="str">
            <v>01|45</v>
          </cell>
        </row>
        <row r="47">
          <cell r="E47" t="str">
            <v>7. SECURITY / PACS / CCTV</v>
          </cell>
          <cell r="G47" t="str">
            <v>B02</v>
          </cell>
          <cell r="H47" t="str">
            <v>Existing / Verify</v>
          </cell>
          <cell r="I47" t="str">
            <v>Existing / Verify</v>
          </cell>
          <cell r="J47" t="str">
            <v>Existing / Verify</v>
          </cell>
          <cell r="K47" t="str">
            <v>Existing / Verify</v>
          </cell>
          <cell r="L47" t="str">
            <v>Verify Existing</v>
          </cell>
          <cell r="O47" t="str">
            <v>Verify</v>
          </cell>
          <cell r="P47" t="str">
            <v>Verify existing security/CCTV equipment and any retained cameras. Maintain camera angles where existing security cameras are recabled.</v>
          </cell>
          <cell r="Q47" t="str">
            <v>01|46</v>
          </cell>
        </row>
        <row r="48">
          <cell r="E48" t="str">
            <v>7. SECURITY / PACS / CCTV</v>
          </cell>
          <cell r="G48" t="str">
            <v>138</v>
          </cell>
          <cell r="H48" t="str">
            <v>Existing / Verify</v>
          </cell>
          <cell r="I48" t="str">
            <v>Existing / Verify</v>
          </cell>
          <cell r="J48" t="str">
            <v>Existing / Verify</v>
          </cell>
          <cell r="K48" t="str">
            <v>Existing / Verify</v>
          </cell>
          <cell r="L48" t="str">
            <v>Verify Existing</v>
          </cell>
          <cell r="O48" t="str">
            <v>Verify</v>
          </cell>
          <cell r="P48" t="str">
            <v>Verify existing security/access conditions and protection-in-place during rack transfer.</v>
          </cell>
          <cell r="Q48" t="str">
            <v>01|47</v>
          </cell>
        </row>
        <row r="49">
          <cell r="E49" t="str">
            <v>7. SECURITY / PACS / CCTV</v>
          </cell>
          <cell r="G49" t="str">
            <v>282</v>
          </cell>
          <cell r="H49" t="str">
            <v>Existing / Verify</v>
          </cell>
          <cell r="I49" t="str">
            <v>Existing / Verify</v>
          </cell>
          <cell r="J49" t="str">
            <v>Existing / Verify</v>
          </cell>
          <cell r="K49" t="str">
            <v>Existing / Verify</v>
          </cell>
          <cell r="L49" t="str">
            <v>Verify Existing</v>
          </cell>
          <cell r="O49" t="str">
            <v>Verify</v>
          </cell>
          <cell r="P49" t="str">
            <v>Verify second-level existing security/CCTV impacts during cabling and equipment transfer.</v>
          </cell>
          <cell r="Q49" t="str">
            <v>01|48</v>
          </cell>
        </row>
        <row r="50">
          <cell r="E50" t="str">
            <v>7. SECURITY / PACS / CCTV</v>
          </cell>
          <cell r="G50">
            <v>0</v>
          </cell>
          <cell r="H50">
            <v>0</v>
          </cell>
          <cell r="I50">
            <v>0</v>
          </cell>
          <cell r="J50">
            <v>0</v>
          </cell>
          <cell r="K50">
            <v>0</v>
          </cell>
          <cell r="L50">
            <v>0</v>
          </cell>
          <cell r="O50">
            <v>0</v>
          </cell>
          <cell r="P50">
            <v>0</v>
          </cell>
          <cell r="Q50" t="str">
            <v>01|49</v>
          </cell>
        </row>
        <row r="51">
          <cell r="E51" t="str">
            <v>8. OWNER RISKS</v>
          </cell>
          <cell r="G51" t="str">
            <v>8. OWNER RISKS</v>
          </cell>
          <cell r="H51">
            <v>0</v>
          </cell>
          <cell r="I51">
            <v>0</v>
          </cell>
          <cell r="J51">
            <v>0</v>
          </cell>
          <cell r="K51">
            <v>0</v>
          </cell>
          <cell r="L51">
            <v>0</v>
          </cell>
          <cell r="O51">
            <v>0</v>
          </cell>
          <cell r="P51">
            <v>0</v>
          </cell>
          <cell r="Q51" t="str">
            <v>01|50</v>
          </cell>
        </row>
        <row r="52">
          <cell r="E52" t="str">
            <v>8. OWNER RISKS</v>
          </cell>
          <cell r="G52" t="str">
            <v>Risk ID</v>
          </cell>
          <cell r="H52" t="str">
            <v>Room</v>
          </cell>
          <cell r="I52" t="str">
            <v>Risk</v>
          </cell>
          <cell r="J52" t="str">
            <v>Impact</v>
          </cell>
          <cell r="K52" t="str">
            <v>Probability</v>
          </cell>
          <cell r="L52" t="str">
            <v>Score</v>
          </cell>
          <cell r="O52" t="str">
            <v>Status</v>
          </cell>
          <cell r="P52" t="str">
            <v>Notes</v>
          </cell>
          <cell r="Q52" t="str">
            <v>01|51</v>
          </cell>
        </row>
        <row r="53">
          <cell r="E53" t="str">
            <v>8. OWNER RISKS</v>
          </cell>
          <cell r="G53" t="str">
            <v>B01-R1</v>
          </cell>
          <cell r="H53" t="str">
            <v>All</v>
          </cell>
          <cell r="I53" t="str">
            <v>Existing conditions for Room 107 and transition rooms B02/138/282 not field verified</v>
          </cell>
          <cell r="J53" t="str">
            <v>High</v>
          </cell>
          <cell r="K53" t="str">
            <v>Medium</v>
          </cell>
          <cell r="L53">
            <v>6</v>
          </cell>
          <cell r="O53" t="str">
            <v>Pass</v>
          </cell>
          <cell r="P53" t="str">
            <v>B01 has multiple existing telecom rooms and a new TR buildout.</v>
          </cell>
          <cell r="Q53" t="str">
            <v>01|52</v>
          </cell>
        </row>
        <row r="54">
          <cell r="E54" t="str">
            <v>8. OWNER RISKS</v>
          </cell>
          <cell r="G54" t="str">
            <v>B01-R2</v>
          </cell>
          <cell r="H54" t="str">
            <v>B02/138/282</v>
          </cell>
          <cell r="I54" t="str">
            <v>Existing equipment may remain active during transfer to Room 107</v>
          </cell>
          <cell r="J54" t="str">
            <v>Critical</v>
          </cell>
          <cell r="K54" t="str">
            <v>Medium</v>
          </cell>
          <cell r="L54">
            <v>8</v>
          </cell>
          <cell r="O54" t="str">
            <v>Pass</v>
          </cell>
          <cell r="P54" t="str">
            <v>Existing rack elevations show multiple active switches, LIUs, patch panels and UPS equipment.</v>
          </cell>
          <cell r="Q54" t="str">
            <v>01|53</v>
          </cell>
        </row>
        <row r="55">
          <cell r="E55" t="str">
            <v>8. OWNER RISKS</v>
          </cell>
          <cell r="G55" t="str">
            <v>B01-R3</v>
          </cell>
          <cell r="H55" t="str">
            <v>107</v>
          </cell>
          <cell r="I55" t="str">
            <v>Dedicated cooling emergency power, condensate, BACnet and alarms not verified</v>
          </cell>
          <cell r="J55" t="str">
            <v>Critical</v>
          </cell>
          <cell r="K55" t="str">
            <v>Medium</v>
          </cell>
          <cell r="L55">
            <v>8</v>
          </cell>
          <cell r="O55" t="str">
            <v>Pass</v>
          </cell>
          <cell r="P55" t="str">
            <v>Cooling is central to TR readiness.</v>
          </cell>
          <cell r="Q55" t="str">
            <v>01|54</v>
          </cell>
        </row>
        <row r="56">
          <cell r="E56" t="str">
            <v>8. OWNER RISKS</v>
          </cell>
          <cell r="G56" t="str">
            <v>B01-R4</v>
          </cell>
          <cell r="H56" t="str">
            <v>107</v>
          </cell>
          <cell r="I56" t="str">
            <v>B01-TR107A/B UPS/PDU and panel source coordination could delay energization</v>
          </cell>
          <cell r="J56" t="str">
            <v>High</v>
          </cell>
          <cell r="K56" t="str">
            <v>Medium</v>
          </cell>
          <cell r="L56">
            <v>6</v>
          </cell>
          <cell r="O56" t="str">
            <v>Pass</v>
          </cell>
          <cell r="P56" t="str">
            <v>Electrical schedules call for new panels and 30-day load measurement prior to panel work.</v>
          </cell>
          <cell r="Q56" t="str">
            <v>01|55</v>
          </cell>
        </row>
        <row r="57">
          <cell r="E57" t="str">
            <v>8. OWNER RISKS</v>
          </cell>
          <cell r="G57" t="str">
            <v>B01-R5</v>
          </cell>
          <cell r="H57" t="str">
            <v>All</v>
          </cell>
          <cell r="I57" t="str">
            <v>394 feet of cable tray/pathway requires coordination and firestop tracking</v>
          </cell>
          <cell r="J57" t="str">
            <v>High</v>
          </cell>
          <cell r="K57" t="str">
            <v>Medium</v>
          </cell>
          <cell r="L57">
            <v>6</v>
          </cell>
          <cell r="O57" t="str">
            <v>Pass</v>
          </cell>
          <cell r="P57" t="str">
            <v>Cable tray schedule: basement 58 ft, first 212 ft, second 124 ft.</v>
          </cell>
          <cell r="Q57" t="str">
            <v>01|56</v>
          </cell>
        </row>
        <row r="58">
          <cell r="E58" t="str">
            <v>8. OWNER RISKS</v>
          </cell>
          <cell r="G58" t="str">
            <v>B01-R6</v>
          </cell>
          <cell r="H58" t="str">
            <v>All</v>
          </cell>
          <cell r="I58" t="str">
            <v>Telecom/fiber cutover could affect active hospital communications across basement/first/second levels</v>
          </cell>
          <cell r="J58" t="str">
            <v>Critical</v>
          </cell>
          <cell r="K58" t="str">
            <v>Medium</v>
          </cell>
          <cell r="L58">
            <v>8</v>
          </cell>
          <cell r="O58" t="str">
            <v>Pass</v>
          </cell>
          <cell r="P58" t="str">
            <v>RM107 supports 161 total ports including allowance and transfer from multiple existing rooms.</v>
          </cell>
          <cell r="Q58" t="str">
            <v>01|57</v>
          </cell>
        </row>
        <row r="59">
          <cell r="E59" t="str">
            <v>8. OWNER RISKS</v>
          </cell>
          <cell r="G59" t="str">
            <v>B01-R7</v>
          </cell>
          <cell r="H59" t="str">
            <v>107</v>
          </cell>
          <cell r="I59" t="str">
            <v>PACS/CCTV/door hardware coordination may not be ready at room acceptance</v>
          </cell>
          <cell r="J59" t="str">
            <v>High</v>
          </cell>
          <cell r="K59" t="str">
            <v>Medium</v>
          </cell>
          <cell r="L59">
            <v>6</v>
          </cell>
          <cell r="O59" t="str">
            <v>Pass</v>
          </cell>
          <cell r="P59" t="str">
            <v>Plans include new PACS and 107-CAM-1.</v>
          </cell>
          <cell r="Q59" t="str">
            <v>01|58</v>
          </cell>
        </row>
        <row r="60">
          <cell r="E60" t="str">
            <v>8. OWNER RISKS</v>
          </cell>
          <cell r="G60" t="str">
            <v>B01-R8</v>
          </cell>
          <cell r="H60" t="str">
            <v>All</v>
          </cell>
          <cell r="I60" t="str">
            <v>Commissioning/third-party inspection reports may not be complete at turnover</v>
          </cell>
          <cell r="J60" t="str">
            <v>High</v>
          </cell>
          <cell r="K60" t="str">
            <v>Medium</v>
          </cell>
          <cell r="L60">
            <v>6</v>
          </cell>
          <cell r="O60" t="str">
            <v>Pass</v>
          </cell>
          <cell r="P60" t="str">
            <v>50-sheet IFC package includes full discipline scope and third-party inspections requirement.</v>
          </cell>
          <cell r="Q60" t="str">
            <v>01|59</v>
          </cell>
        </row>
        <row r="61">
          <cell r="E61" t="str">
            <v>8. OWNER RISKS</v>
          </cell>
          <cell r="G61">
            <v>0</v>
          </cell>
          <cell r="H61">
            <v>0</v>
          </cell>
          <cell r="I61">
            <v>0</v>
          </cell>
          <cell r="J61">
            <v>0</v>
          </cell>
          <cell r="K61">
            <v>0</v>
          </cell>
          <cell r="L61">
            <v>0</v>
          </cell>
          <cell r="O61">
            <v>0</v>
          </cell>
          <cell r="P61">
            <v>0</v>
          </cell>
          <cell r="Q61" t="str">
            <v>01|60</v>
          </cell>
        </row>
        <row r="62">
          <cell r="E62" t="str">
            <v>9. OPEN QUESTIONS</v>
          </cell>
          <cell r="G62" t="str">
            <v>9. OPEN QUESTIONS</v>
          </cell>
          <cell r="H62">
            <v>0</v>
          </cell>
          <cell r="I62">
            <v>0</v>
          </cell>
          <cell r="J62">
            <v>0</v>
          </cell>
          <cell r="K62">
            <v>0</v>
          </cell>
          <cell r="L62">
            <v>0</v>
          </cell>
          <cell r="O62">
            <v>0</v>
          </cell>
          <cell r="P62">
            <v>0</v>
          </cell>
          <cell r="Q62" t="str">
            <v>01|61</v>
          </cell>
        </row>
        <row r="63">
          <cell r="E63" t="str">
            <v>9. OPEN QUESTIONS</v>
          </cell>
          <cell r="G63" t="str">
            <v>Question ID</v>
          </cell>
          <cell r="H63" t="str">
            <v>Question</v>
          </cell>
          <cell r="I63" t="str">
            <v>Assigned To</v>
          </cell>
          <cell r="J63" t="str">
            <v>Status</v>
          </cell>
          <cell r="K63" t="str">
            <v>Needed By</v>
          </cell>
          <cell r="L63" t="str">
            <v>Answer / Resolution</v>
          </cell>
          <cell r="O63" t="str">
            <v>Date Closed</v>
          </cell>
          <cell r="P63" t="str">
            <v>Notes</v>
          </cell>
          <cell r="Q63" t="str">
            <v>01|62</v>
          </cell>
        </row>
        <row r="64">
          <cell r="E64" t="str">
            <v>9. OPEN QUESTIONS</v>
          </cell>
          <cell r="G64" t="str">
            <v>B01-Q1</v>
          </cell>
          <cell r="H64" t="str">
            <v>Confirm final telecom scope: new Room 107 with existing B02, 138 and 282 transition/transfer points?</v>
          </cell>
          <cell r="I64" t="str">
            <v>VA / OIT / Designer</v>
          </cell>
          <cell r="J64" t="str">
            <v>Closed</v>
          </cell>
          <cell r="K64">
            <v>0</v>
          </cell>
          <cell r="L64">
            <v>0</v>
          </cell>
          <cell r="O64">
            <v>0</v>
          </cell>
          <cell r="P64">
            <v>0</v>
          </cell>
          <cell r="Q64" t="str">
            <v>01|63</v>
          </cell>
        </row>
        <row r="65">
          <cell r="E65" t="str">
            <v>9. OPEN QUESTIONS</v>
          </cell>
          <cell r="G65" t="str">
            <v>B01-Q2</v>
          </cell>
          <cell r="H65" t="str">
            <v>What active services are currently fed from existing Rooms B02, 138 and 282?</v>
          </cell>
          <cell r="I65" t="str">
            <v>OIT / Contractor</v>
          </cell>
          <cell r="J65" t="str">
            <v>Closed</v>
          </cell>
          <cell r="K65">
            <v>0</v>
          </cell>
          <cell r="L65">
            <v>0</v>
          </cell>
          <cell r="O65">
            <v>0</v>
          </cell>
          <cell r="P65">
            <v>0</v>
          </cell>
          <cell r="Q65" t="str">
            <v>01|64</v>
          </cell>
        </row>
        <row r="66">
          <cell r="E66" t="str">
            <v>9. OPEN QUESTIONS</v>
          </cell>
          <cell r="G66" t="str">
            <v>B01-Q3</v>
          </cell>
          <cell r="H66" t="str">
            <v>What equipment from existing racks transfers to new Room 107 versus remains/decommissions?</v>
          </cell>
          <cell r="I66" t="str">
            <v>OIT / Telecom</v>
          </cell>
          <cell r="J66" t="str">
            <v>Closed</v>
          </cell>
          <cell r="K66">
            <v>0</v>
          </cell>
          <cell r="L66">
            <v>0</v>
          </cell>
          <cell r="O66">
            <v>0</v>
          </cell>
          <cell r="P66">
            <v>0</v>
          </cell>
          <cell r="Q66" t="str">
            <v>01|65</v>
          </cell>
        </row>
        <row r="67">
          <cell r="E67" t="str">
            <v>9. OPEN QUESTIONS</v>
          </cell>
          <cell r="G67" t="str">
            <v>B01-Q4</v>
          </cell>
          <cell r="H67" t="str">
            <v>Is IU-1-01/CU-1-01 on emergency/backup power and dedicated to Room 107?</v>
          </cell>
          <cell r="I67" t="str">
            <v>Mechanical / Electrical / VA</v>
          </cell>
          <cell r="J67" t="str">
            <v>Closed</v>
          </cell>
          <cell r="K67">
            <v>0</v>
          </cell>
          <cell r="L67">
            <v>0</v>
          </cell>
          <cell r="O67">
            <v>0</v>
          </cell>
          <cell r="P67">
            <v>0</v>
          </cell>
          <cell r="Q67" t="str">
            <v>01|66</v>
          </cell>
        </row>
        <row r="68">
          <cell r="E68" t="str">
            <v>9. OPEN QUESTIONS</v>
          </cell>
          <cell r="G68" t="str">
            <v>B01-Q5</v>
          </cell>
          <cell r="H68" t="str">
            <v>Where is the clean-agent/CO2 extinguisher cabinet located within 75 ft of Room 107?</v>
          </cell>
          <cell r="I68" t="str">
            <v>GC / COR</v>
          </cell>
          <cell r="J68" t="str">
            <v>Closed</v>
          </cell>
          <cell r="K68">
            <v>0</v>
          </cell>
          <cell r="L68">
            <v>0</v>
          </cell>
          <cell r="O68">
            <v>0</v>
          </cell>
          <cell r="P68">
            <v>0</v>
          </cell>
          <cell r="Q68" t="str">
            <v>01|67</v>
          </cell>
        </row>
        <row r="69">
          <cell r="E69" t="str">
            <v>9. OPEN QUESTIONS</v>
          </cell>
          <cell r="G69" t="str">
            <v>B01-Q6</v>
          </cell>
          <cell r="H69" t="str">
            <v>Are B01-TR107A/B sources, rack receptacles, SPDs, labels and 30-day load measurements approved?</v>
          </cell>
          <cell r="I69" t="str">
            <v>Electrical / Designer</v>
          </cell>
          <cell r="J69" t="str">
            <v>Closed</v>
          </cell>
          <cell r="K69">
            <v>0</v>
          </cell>
          <cell r="L69">
            <v>0</v>
          </cell>
          <cell r="O69">
            <v>0</v>
          </cell>
          <cell r="P69">
            <v>0</v>
          </cell>
          <cell r="Q69" t="str">
            <v>01|68</v>
          </cell>
        </row>
        <row r="70">
          <cell r="E70" t="str">
            <v>9. OPEN QUESTIONS</v>
          </cell>
          <cell r="G70" t="str">
            <v>B01-Q7</v>
          </cell>
          <cell r="H70" t="str">
            <v>Are all rated wall/floor penetrations, sleeves, cable tray entries and firestopping details identified?</v>
          </cell>
          <cell r="I70" t="str">
            <v>GC / Firestop</v>
          </cell>
          <cell r="J70" t="str">
            <v>Closed</v>
          </cell>
          <cell r="K70">
            <v>0</v>
          </cell>
          <cell r="L70">
            <v>0</v>
          </cell>
          <cell r="O70">
            <v>0</v>
          </cell>
          <cell r="P70">
            <v>0</v>
          </cell>
          <cell r="Q70" t="str">
            <v>01|69</v>
          </cell>
        </row>
        <row r="71">
          <cell r="E71" t="str">
            <v>9. OPEN QUESTIONS</v>
          </cell>
          <cell r="G71" t="str">
            <v>B01-Q8</v>
          </cell>
          <cell r="H71" t="str">
            <v>Which third-party inspections and commissioning forms are required before VA/OIT acceptance?</v>
          </cell>
          <cell r="I71" t="str">
            <v>GC / Cx Manager / OIT</v>
          </cell>
          <cell r="J71" t="str">
            <v>Closed</v>
          </cell>
          <cell r="K71">
            <v>0</v>
          </cell>
          <cell r="L71">
            <v>0</v>
          </cell>
          <cell r="O71">
            <v>0</v>
          </cell>
          <cell r="P71">
            <v>0</v>
          </cell>
          <cell r="Q71" t="str">
            <v>01|70</v>
          </cell>
        </row>
        <row r="72">
          <cell r="E72" t="str">
            <v>9. OPEN QUESTIONS</v>
          </cell>
          <cell r="G72">
            <v>0</v>
          </cell>
          <cell r="H72">
            <v>0</v>
          </cell>
          <cell r="I72">
            <v>0</v>
          </cell>
          <cell r="J72">
            <v>0</v>
          </cell>
          <cell r="K72">
            <v>0</v>
          </cell>
          <cell r="L72">
            <v>0</v>
          </cell>
          <cell r="O72">
            <v>0</v>
          </cell>
          <cell r="P72">
            <v>0</v>
          </cell>
          <cell r="Q72" t="str">
            <v>01|71</v>
          </cell>
        </row>
        <row r="73">
          <cell r="E73" t="str">
            <v>10. PHOTO LOG</v>
          </cell>
          <cell r="G73" t="str">
            <v>10. PHOTO LOG</v>
          </cell>
          <cell r="H73">
            <v>0</v>
          </cell>
          <cell r="I73">
            <v>0</v>
          </cell>
          <cell r="J73">
            <v>0</v>
          </cell>
          <cell r="K73">
            <v>0</v>
          </cell>
          <cell r="L73">
            <v>0</v>
          </cell>
          <cell r="O73">
            <v>0</v>
          </cell>
          <cell r="P73">
            <v>0</v>
          </cell>
          <cell r="Q73" t="str">
            <v>01|72</v>
          </cell>
        </row>
        <row r="74">
          <cell r="E74" t="str">
            <v>10. PHOTO LOG</v>
          </cell>
          <cell r="G74" t="str">
            <v>Photo ID</v>
          </cell>
          <cell r="H74" t="str">
            <v>Room</v>
          </cell>
          <cell r="I74" t="str">
            <v>Category</v>
          </cell>
          <cell r="J74" t="str">
            <v>Description</v>
          </cell>
          <cell r="K74" t="str">
            <v>Date</v>
          </cell>
          <cell r="L74" t="str">
            <v>Taken By</v>
          </cell>
          <cell r="O74" t="str">
            <v>Status</v>
          </cell>
          <cell r="P74" t="str">
            <v>Notes</v>
          </cell>
          <cell r="Q74" t="str">
            <v>01|73</v>
          </cell>
        </row>
        <row r="75">
          <cell r="E75" t="str">
            <v>10. PHOTO LOG</v>
          </cell>
          <cell r="G75" t="str">
            <v>B01-P001</v>
          </cell>
          <cell r="H75" t="str">
            <v>107</v>
          </cell>
          <cell r="I75" t="str">
            <v>Existing / New Condition</v>
          </cell>
          <cell r="J75" t="str">
            <v>Room 107 walls, ceiling/deck, floor, door, rack/future rack, power, HVAC, fiber path A/B, cable tray and penetrations</v>
          </cell>
          <cell r="K75">
            <v>0</v>
          </cell>
          <cell r="L75" t="str">
            <v>Paul</v>
          </cell>
          <cell r="O75" t="str">
            <v>Closed</v>
          </cell>
          <cell r="P75">
            <v>0</v>
          </cell>
          <cell r="Q75" t="str">
            <v>01|74</v>
          </cell>
        </row>
        <row r="76">
          <cell r="E76" t="str">
            <v>10. PHOTO LOG</v>
          </cell>
          <cell r="G76" t="str">
            <v>B01-P002</v>
          </cell>
          <cell r="H76" t="str">
            <v>B02</v>
          </cell>
          <cell r="I76" t="str">
            <v>Existing Equipment</v>
          </cell>
          <cell r="J76" t="str">
            <v>Basement existing telecom room B02 racks, wall TE, Cisco/Nokia/Baseband/IRU/Corning/Ortronics equipment, UPS and cable entries</v>
          </cell>
          <cell r="K76">
            <v>0</v>
          </cell>
          <cell r="L76" t="str">
            <v>Paul</v>
          </cell>
          <cell r="O76" t="str">
            <v>Closed</v>
          </cell>
          <cell r="P76">
            <v>0</v>
          </cell>
          <cell r="Q76" t="str">
            <v>01|75</v>
          </cell>
        </row>
        <row r="77">
          <cell r="E77" t="str">
            <v>10. PHOTO LOG</v>
          </cell>
          <cell r="G77" t="str">
            <v>B01-P003</v>
          </cell>
          <cell r="H77" t="str">
            <v>138</v>
          </cell>
          <cell r="I77" t="str">
            <v>Existing Equipment</v>
          </cell>
          <cell r="J77" t="str">
            <v>First-level existing telecom room 138 racks, patch panels, Cisco, Corning, APC UPS and active service labels</v>
          </cell>
          <cell r="K77">
            <v>0</v>
          </cell>
          <cell r="L77" t="str">
            <v>Paul</v>
          </cell>
          <cell r="O77" t="str">
            <v>Closed</v>
          </cell>
          <cell r="P77">
            <v>0</v>
          </cell>
          <cell r="Q77" t="str">
            <v>01|76</v>
          </cell>
        </row>
        <row r="78">
          <cell r="E78" t="str">
            <v>10. PHOTO LOG</v>
          </cell>
          <cell r="G78" t="str">
            <v>B01-P004</v>
          </cell>
          <cell r="H78" t="str">
            <v>282</v>
          </cell>
          <cell r="I78" t="str">
            <v>Existing Equipment</v>
          </cell>
          <cell r="J78" t="str">
            <v>Second-level existing telecom room 282 racks, Cisco switches, Ortronics patch panels, cable managers and active service labels</v>
          </cell>
          <cell r="K78">
            <v>0</v>
          </cell>
          <cell r="L78" t="str">
            <v>Paul</v>
          </cell>
          <cell r="O78" t="str">
            <v>Closed</v>
          </cell>
          <cell r="P78">
            <v>0</v>
          </cell>
          <cell r="Q78" t="str">
            <v>01|77</v>
          </cell>
        </row>
        <row r="79">
          <cell r="E79" t="str">
            <v>10. PHOTO LOG</v>
          </cell>
          <cell r="G79" t="str">
            <v>B01-P005</v>
          </cell>
          <cell r="H79" t="str">
            <v>107</v>
          </cell>
          <cell r="I79" t="str">
            <v>HVAC</v>
          </cell>
          <cell r="J79" t="str">
            <v>IU-1-01/CU-1-01, condensate pump/line, thermostat, BACnet adapter, disconnects, FMS alarm points and power source</v>
          </cell>
          <cell r="K79">
            <v>0</v>
          </cell>
          <cell r="L79" t="str">
            <v>Paul</v>
          </cell>
          <cell r="O79" t="str">
            <v>Closed</v>
          </cell>
          <cell r="P79">
            <v>0</v>
          </cell>
          <cell r="Q79" t="str">
            <v>01|78</v>
          </cell>
        </row>
        <row r="80">
          <cell r="E80" t="str">
            <v>10. PHOTO LOG</v>
          </cell>
          <cell r="G80" t="str">
            <v>B01-P006</v>
          </cell>
          <cell r="H80" t="str">
            <v>107</v>
          </cell>
          <cell r="I80" t="str">
            <v>Electrical</v>
          </cell>
          <cell r="J80" t="str">
            <v>B01-TR107A/B panels, rack receptacles, breakers, SPD, PACS power supply, access controller, lighting, CU-1-01 and labels</v>
          </cell>
          <cell r="K80">
            <v>0</v>
          </cell>
          <cell r="L80" t="str">
            <v>Paul</v>
          </cell>
          <cell r="O80" t="str">
            <v>Closed</v>
          </cell>
          <cell r="P80">
            <v>0</v>
          </cell>
          <cell r="Q80" t="str">
            <v>01|79</v>
          </cell>
        </row>
        <row r="81">
          <cell r="E81" t="str">
            <v>10. PHOTO LOG</v>
          </cell>
          <cell r="G81" t="str">
            <v>B01-P007</v>
          </cell>
          <cell r="H81" t="str">
            <v>All</v>
          </cell>
          <cell r="I81" t="str">
            <v>Cable Tray / Firestop</v>
          </cell>
          <cell r="J81" t="str">
            <v>Basement/first/second cable tray route, supports, seismic bracing, 40% fill, penetrations and before/after firestopping</v>
          </cell>
          <cell r="K81">
            <v>0</v>
          </cell>
          <cell r="L81" t="str">
            <v>Paul</v>
          </cell>
          <cell r="O81" t="str">
            <v>Closed</v>
          </cell>
          <cell r="P81">
            <v>0</v>
          </cell>
          <cell r="Q81" t="str">
            <v>01|80</v>
          </cell>
        </row>
        <row r="82">
          <cell r="E82" t="str">
            <v>10. PHOTO LOG</v>
          </cell>
          <cell r="G82" t="str">
            <v>B01-P008</v>
          </cell>
          <cell r="H82" t="str">
            <v>107 / Existing Rooms</v>
          </cell>
          <cell r="I82" t="str">
            <v>Telecom / Security</v>
          </cell>
          <cell r="J82" t="str">
            <v>New rack/future rack, Fiber LIU, Cat6A, patch panels, labels/test records, 107-CAM-1, PACS and existing rack transfer work</v>
          </cell>
          <cell r="K82">
            <v>0</v>
          </cell>
          <cell r="L82" t="str">
            <v>Paul</v>
          </cell>
          <cell r="O82" t="str">
            <v>Closed</v>
          </cell>
          <cell r="P82">
            <v>0</v>
          </cell>
          <cell r="Q82" t="str">
            <v>01|81</v>
          </cell>
        </row>
        <row r="83">
          <cell r="E83" t="str">
            <v>10. PHOTO LOG</v>
          </cell>
          <cell r="G83">
            <v>0</v>
          </cell>
          <cell r="H83">
            <v>0</v>
          </cell>
          <cell r="I83">
            <v>0</v>
          </cell>
          <cell r="J83">
            <v>0</v>
          </cell>
          <cell r="K83">
            <v>0</v>
          </cell>
          <cell r="L83">
            <v>0</v>
          </cell>
          <cell r="O83">
            <v>0</v>
          </cell>
          <cell r="P83">
            <v>0</v>
          </cell>
          <cell r="Q83" t="str">
            <v>01|82</v>
          </cell>
        </row>
        <row r="84">
          <cell r="E84" t="str">
            <v>1. ROOM INVENTORY</v>
          </cell>
          <cell r="G84" t="str">
            <v>1. ROOM INVENTORY</v>
          </cell>
          <cell r="H84">
            <v>0</v>
          </cell>
          <cell r="I84">
            <v>0</v>
          </cell>
          <cell r="J84">
            <v>0</v>
          </cell>
          <cell r="K84">
            <v>0</v>
          </cell>
          <cell r="L84">
            <v>0</v>
          </cell>
          <cell r="O84">
            <v>0</v>
          </cell>
          <cell r="P84">
            <v>0</v>
          </cell>
          <cell r="Q84" t="str">
            <v>02|1</v>
          </cell>
        </row>
        <row r="85">
          <cell r="E85" t="str">
            <v>1. ROOM INVENTORY</v>
          </cell>
          <cell r="G85" t="str">
            <v>Building</v>
          </cell>
          <cell r="H85" t="str">
            <v>Room</v>
          </cell>
          <cell r="I85" t="str">
            <v>Floor</v>
          </cell>
          <cell r="J85" t="str">
            <v>Existing Use</v>
          </cell>
          <cell r="K85" t="str">
            <v>New Use</v>
          </cell>
          <cell r="L85" t="str">
            <v>Rack Count</v>
          </cell>
          <cell r="O85" t="str">
            <v>Drawing Ref</v>
          </cell>
          <cell r="P85" t="str">
            <v>Notes</v>
          </cell>
          <cell r="Q85" t="str">
            <v>02|2</v>
          </cell>
        </row>
        <row r="86">
          <cell r="E86" t="str">
            <v>1. ROOM INVENTORY</v>
          </cell>
          <cell r="G86" t="str">
            <v>02</v>
          </cell>
          <cell r="H86" t="str">
            <v>141</v>
          </cell>
          <cell r="I86" t="str">
            <v>First</v>
          </cell>
          <cell r="J86" t="str">
            <v>Existing first-level telecom room / expanded TR work area</v>
          </cell>
          <cell r="K86" t="str">
            <v>Telecom Room</v>
          </cell>
          <cell r="L86">
            <v>2</v>
          </cell>
          <cell r="O86" t="str">
            <v>02A-401 / 02E-101 / 02E-401 / 02E-601 / 02E-701 / 02T-101 / 02T-401 / 02T-604 / 02T-701</v>
          </cell>
          <cell r="P86" t="str">
            <v>Primary first-level TR. Schedules identify RM141 with 211 WAO total, 215 active ports, 322 scheduled ports and 354 total ports with 10% allowance. Rack IDs TR01-141-01/02. Enlarged plan shows Room 141 new and demo scope, 174-CAM-01, existing patch panels/fire alarm cabinet relocated to RM141 and future rack space.</v>
          </cell>
          <cell r="Q86" t="str">
            <v>02|3</v>
          </cell>
        </row>
        <row r="87">
          <cell r="E87" t="str">
            <v>1. ROOM INVENTORY</v>
          </cell>
          <cell r="G87" t="str">
            <v>02</v>
          </cell>
          <cell r="H87" t="str">
            <v>236</v>
          </cell>
          <cell r="I87" t="str">
            <v>Second</v>
          </cell>
          <cell r="J87" t="str">
            <v>Existing second-level telecom room / expanded TR work area</v>
          </cell>
          <cell r="K87" t="str">
            <v>Telecom Room</v>
          </cell>
          <cell r="L87">
            <v>2</v>
          </cell>
          <cell r="O87" t="str">
            <v>02A-401 / 02E-102 / 02E-402 / 02E-701 / 02T-102 / 02T-401 / 02T-604 / 02T-702</v>
          </cell>
          <cell r="P87" t="str">
            <v>Second-level TR. Schedules identify RM236 with 179 WAO total, 178 active ports, 314 scheduled ports and approximately 345 ports with 10% allowance. Rack IDs TR01-236-01/02. Enlarged plans show 236-CAM-01 and new/demolition work at Room 236 / existing Room 282.</v>
          </cell>
          <cell r="Q87" t="str">
            <v>02|4</v>
          </cell>
        </row>
        <row r="88">
          <cell r="E88" t="str">
            <v>1. ROOM INVENTORY</v>
          </cell>
          <cell r="G88" t="str">
            <v>02</v>
          </cell>
          <cell r="H88" t="str">
            <v>342</v>
          </cell>
          <cell r="I88" t="str">
            <v>Third</v>
          </cell>
          <cell r="J88" t="str">
            <v>Third-level telecom room / expanded TR work area</v>
          </cell>
          <cell r="K88" t="str">
            <v>Telecom Room</v>
          </cell>
          <cell r="L88">
            <v>2</v>
          </cell>
          <cell r="O88" t="str">
            <v>02A-402 / 02E-103 / 02E-402 / 02E-701 / 02T-103 / 02T-401 / 02T-604 / 02T-703</v>
          </cell>
          <cell r="P88" t="str">
            <v>Third-level TR. Schedules identify RM342 with 274 WAO total, 96 active ports, 353 scheduled ports and 388 total ports with 10% allowance. Rack IDs TR01-342-01/02. Enlarged plans show 342-CAM-01, 342A-CK-A and new rack scope.</v>
          </cell>
          <cell r="Q88" t="str">
            <v>02|5</v>
          </cell>
        </row>
        <row r="89">
          <cell r="E89" t="str">
            <v>1. ROOM INVENTORY</v>
          </cell>
          <cell r="G89" t="str">
            <v>02</v>
          </cell>
          <cell r="H89" t="str">
            <v>B-06</v>
          </cell>
          <cell r="I89" t="str">
            <v>Basement</v>
          </cell>
          <cell r="J89" t="str">
            <v>Existing telecom room / legacy rack equipment</v>
          </cell>
          <cell r="K89" t="str">
            <v>Existing telecom transition point</v>
          </cell>
          <cell r="L89">
            <v>1</v>
          </cell>
          <cell r="O89" t="str">
            <v>02T-100 / 02T-604 / 02R-900</v>
          </cell>
          <cell r="P89" t="str">
            <v>Existing Basement Telecom Room B-06 with legacy Ortronics 48-port patch panels. Photo reference identifies B-06 existing telecom room. Protect active services and verify transfer/abandonment scope.</v>
          </cell>
          <cell r="Q89" t="str">
            <v>02|6</v>
          </cell>
        </row>
        <row r="90">
          <cell r="E90" t="str">
            <v>1. ROOM INVENTORY</v>
          </cell>
          <cell r="G90" t="str">
            <v>02</v>
          </cell>
          <cell r="H90" t="str">
            <v>Existing 141 / 236</v>
          </cell>
          <cell r="I90" t="str">
            <v>First / Second</v>
          </cell>
          <cell r="J90" t="str">
            <v>Existing telecom room equipment / transition points</v>
          </cell>
          <cell r="K90" t="str">
            <v>Existing telecom transition points</v>
          </cell>
          <cell r="L90">
            <v>4</v>
          </cell>
          <cell r="O90" t="str">
            <v>02T-604 / 02R-900</v>
          </cell>
          <cell r="P90" t="str">
            <v>Existing First-Level Telecom Room 141 and Second-Level Existing Telecom Room 236 shown in photo references/rack elevations. Existing devices and racks are to be protected or transferred per notes.</v>
          </cell>
          <cell r="Q90" t="str">
            <v>02|7</v>
          </cell>
        </row>
        <row r="91">
          <cell r="E91" t="str">
            <v>1. ROOM INVENTORY</v>
          </cell>
          <cell r="G91">
            <v>0</v>
          </cell>
          <cell r="H91">
            <v>0</v>
          </cell>
          <cell r="I91">
            <v>0</v>
          </cell>
          <cell r="J91">
            <v>0</v>
          </cell>
          <cell r="K91">
            <v>0</v>
          </cell>
          <cell r="L91">
            <v>0</v>
          </cell>
          <cell r="O91">
            <v>0</v>
          </cell>
          <cell r="P91">
            <v>0</v>
          </cell>
          <cell r="Q91" t="str">
            <v>02|8</v>
          </cell>
        </row>
        <row r="92">
          <cell r="E92" t="str">
            <v>2. ROOM READINESS</v>
          </cell>
          <cell r="G92" t="str">
            <v>2. ROOM READINESS</v>
          </cell>
          <cell r="H92">
            <v>0</v>
          </cell>
          <cell r="I92">
            <v>0</v>
          </cell>
          <cell r="J92">
            <v>0</v>
          </cell>
          <cell r="K92">
            <v>0</v>
          </cell>
          <cell r="L92">
            <v>0</v>
          </cell>
          <cell r="O92">
            <v>0</v>
          </cell>
          <cell r="P92">
            <v>0</v>
          </cell>
          <cell r="Q92" t="str">
            <v>02|9</v>
          </cell>
        </row>
        <row r="93">
          <cell r="E93" t="str">
            <v>2. ROOM READINESS</v>
          </cell>
          <cell r="G93" t="str">
            <v>Room</v>
          </cell>
          <cell r="H93" t="str">
            <v>Walls / 1-hr Rating</v>
          </cell>
          <cell r="I93" t="str">
            <v>Ceiling</v>
          </cell>
          <cell r="J93" t="str">
            <v>Floor / SDC</v>
          </cell>
          <cell r="K93" t="str">
            <v>Penetrations</v>
          </cell>
          <cell r="L93" t="str">
            <v>Access Control</v>
          </cell>
          <cell r="O93" t="str">
            <v>Overall</v>
          </cell>
          <cell r="P93" t="str">
            <v>Comments</v>
          </cell>
          <cell r="Q93" t="str">
            <v>02|10</v>
          </cell>
        </row>
        <row r="94">
          <cell r="E94" t="str">
            <v>2. ROOM READINESS</v>
          </cell>
          <cell r="G94" t="str">
            <v>141</v>
          </cell>
          <cell r="H94" t="str">
            <v>Verify</v>
          </cell>
          <cell r="I94" t="str">
            <v>Verify</v>
          </cell>
          <cell r="J94" t="str">
            <v>Verify</v>
          </cell>
          <cell r="K94" t="str">
            <v>Verify</v>
          </cell>
          <cell r="L94" t="str">
            <v>Verify</v>
          </cell>
          <cell r="O94" t="str">
            <v>Verify</v>
          </cell>
          <cell r="P94" t="str">
            <v>First-level TR; verify rated walls/smoke barriers, door/access-control hardware, ceiling/deck, floor finish, rack/future rack clearance, wall backing, cable tray, fiber path A/B, and working clearances around racks/panels/IU.</v>
          </cell>
          <cell r="Q94" t="str">
            <v>02|11</v>
          </cell>
        </row>
        <row r="95">
          <cell r="E95" t="str">
            <v>2. ROOM READINESS</v>
          </cell>
          <cell r="G95" t="str">
            <v>236</v>
          </cell>
          <cell r="H95" t="str">
            <v>Verify</v>
          </cell>
          <cell r="I95" t="str">
            <v>Verify</v>
          </cell>
          <cell r="J95" t="str">
            <v>Verify</v>
          </cell>
          <cell r="K95" t="str">
            <v>Verify</v>
          </cell>
          <cell r="L95" t="str">
            <v>Verify</v>
          </cell>
          <cell r="O95" t="str">
            <v>Verify</v>
          </cell>
          <cell r="P95" t="str">
            <v>Second-level TR; verify rated construction, door/PACS, rack clearances, riser penetrations, cable tray conflicts and final room layout around existing/demo conditions.</v>
          </cell>
          <cell r="Q95" t="str">
            <v>02|12</v>
          </cell>
        </row>
        <row r="96">
          <cell r="E96" t="str">
            <v>2. ROOM READINESS</v>
          </cell>
          <cell r="G96" t="str">
            <v>342</v>
          </cell>
          <cell r="H96" t="str">
            <v>Verify</v>
          </cell>
          <cell r="I96" t="str">
            <v>Verify</v>
          </cell>
          <cell r="J96" t="str">
            <v>Verify</v>
          </cell>
          <cell r="K96" t="str">
            <v>Verify</v>
          </cell>
          <cell r="L96" t="str">
            <v>Verify</v>
          </cell>
          <cell r="O96" t="str">
            <v>Verify</v>
          </cell>
          <cell r="P96" t="str">
            <v>Third-level TR; verify rated construction, door/PACS, rack clearances, cable tray, firestop, ceiling coordination and future rack space.</v>
          </cell>
          <cell r="Q96" t="str">
            <v>02|13</v>
          </cell>
        </row>
        <row r="97">
          <cell r="E97" t="str">
            <v>2. ROOM READINESS</v>
          </cell>
          <cell r="G97" t="str">
            <v>B-06 / existing rooms</v>
          </cell>
          <cell r="H97" t="str">
            <v>Existing / Verify</v>
          </cell>
          <cell r="I97" t="str">
            <v>Existing / Verify</v>
          </cell>
          <cell r="J97" t="str">
            <v>Existing / Verify</v>
          </cell>
          <cell r="K97" t="str">
            <v>Verify</v>
          </cell>
          <cell r="L97" t="str">
            <v>Verify Existing</v>
          </cell>
          <cell r="O97" t="str">
            <v>Verify</v>
          </cell>
          <cell r="P97" t="str">
            <v>Existing telecom transition rooms must remain operational until cutover. Verify active equipment inventory, labels, access and final transfer/decommission scope.</v>
          </cell>
          <cell r="Q97" t="str">
            <v>02|14</v>
          </cell>
        </row>
        <row r="98">
          <cell r="E98" t="str">
            <v>2. ROOM READINESS</v>
          </cell>
          <cell r="G98">
            <v>0</v>
          </cell>
          <cell r="H98">
            <v>0</v>
          </cell>
          <cell r="I98">
            <v>0</v>
          </cell>
          <cell r="J98">
            <v>0</v>
          </cell>
          <cell r="K98">
            <v>0</v>
          </cell>
          <cell r="L98">
            <v>0</v>
          </cell>
          <cell r="O98">
            <v>0</v>
          </cell>
          <cell r="P98">
            <v>0</v>
          </cell>
          <cell r="Q98" t="str">
            <v>02|15</v>
          </cell>
        </row>
        <row r="99">
          <cell r="E99" t="str">
            <v>3. FIRE PROTECTION</v>
          </cell>
          <cell r="G99" t="str">
            <v>3. FIRE PROTECTION</v>
          </cell>
          <cell r="H99">
            <v>0</v>
          </cell>
          <cell r="I99">
            <v>0</v>
          </cell>
          <cell r="J99">
            <v>0</v>
          </cell>
          <cell r="K99">
            <v>0</v>
          </cell>
          <cell r="L99">
            <v>0</v>
          </cell>
          <cell r="O99">
            <v>0</v>
          </cell>
          <cell r="P99">
            <v>0</v>
          </cell>
          <cell r="Q99" t="str">
            <v>02|16</v>
          </cell>
        </row>
        <row r="100">
          <cell r="E100" t="str">
            <v>3. FIRE PROTECTION</v>
          </cell>
          <cell r="G100" t="str">
            <v>Room</v>
          </cell>
          <cell r="H100" t="str">
            <v>Sprinkler</v>
          </cell>
          <cell r="I100" t="str">
            <v>Cage</v>
          </cell>
          <cell r="J100" t="str">
            <v>Detector</v>
          </cell>
          <cell r="K100" t="str">
            <v>Horn/Strobe</v>
          </cell>
          <cell r="L100" t="str">
            <v>Extinguisher &lt;75 ft</v>
          </cell>
          <cell r="O100" t="str">
            <v>Overall</v>
          </cell>
          <cell r="P100" t="str">
            <v>Risk / Notes</v>
          </cell>
          <cell r="Q100" t="str">
            <v>02|17</v>
          </cell>
        </row>
        <row r="101">
          <cell r="E101" t="str">
            <v>3. FIRE PROTECTION</v>
          </cell>
          <cell r="G101" t="str">
            <v>141</v>
          </cell>
          <cell r="H101" t="str">
            <v>Verify</v>
          </cell>
          <cell r="I101" t="str">
            <v>Verify</v>
          </cell>
          <cell r="J101" t="str">
            <v>Verify</v>
          </cell>
          <cell r="K101" t="str">
            <v>Verify</v>
          </cell>
          <cell r="L101" t="str">
            <v>Verify</v>
          </cell>
          <cell r="O101" t="str">
            <v>Verify</v>
          </cell>
          <cell r="P101" t="str">
            <v>Full fire protection scope included. Verify sprinkler modifications, fire alarm devices, clean-agent/CO2 2A:10B:C FEC within 75 ft, rated wall/floor penetrations, temporary firestopping and final UL systems.</v>
          </cell>
          <cell r="Q101" t="str">
            <v>02|18</v>
          </cell>
        </row>
        <row r="102">
          <cell r="E102" t="str">
            <v>3. FIRE PROTECTION</v>
          </cell>
          <cell r="G102" t="str">
            <v>236</v>
          </cell>
          <cell r="H102" t="str">
            <v>Verify</v>
          </cell>
          <cell r="I102" t="str">
            <v>Verify</v>
          </cell>
          <cell r="J102" t="str">
            <v>Verify</v>
          </cell>
          <cell r="K102" t="str">
            <v>Verify</v>
          </cell>
          <cell r="L102" t="str">
            <v>Verify</v>
          </cell>
          <cell r="O102" t="str">
            <v>Verify</v>
          </cell>
          <cell r="P102" t="str">
            <v>Verify second-level TR sprinkler/fire alarm modifications, FEC location, cable tray penetrations, and temporary/final firestopping.</v>
          </cell>
          <cell r="Q102" t="str">
            <v>02|19</v>
          </cell>
        </row>
        <row r="103">
          <cell r="E103" t="str">
            <v>3. FIRE PROTECTION</v>
          </cell>
          <cell r="G103" t="str">
            <v>342</v>
          </cell>
          <cell r="H103" t="str">
            <v>Verify</v>
          </cell>
          <cell r="I103" t="str">
            <v>Verify</v>
          </cell>
          <cell r="J103" t="str">
            <v>Verify</v>
          </cell>
          <cell r="K103" t="str">
            <v>Verify</v>
          </cell>
          <cell r="L103" t="str">
            <v>Verify</v>
          </cell>
          <cell r="O103" t="str">
            <v>Verify</v>
          </cell>
          <cell r="P103" t="str">
            <v>Verify third-level TR sprinkler/fire alarm modifications, FEC location, riser penetrations and firestopping.</v>
          </cell>
          <cell r="Q103" t="str">
            <v>02|20</v>
          </cell>
        </row>
        <row r="104">
          <cell r="E104" t="str">
            <v>3. FIRE PROTECTION</v>
          </cell>
          <cell r="G104" t="str">
            <v>B-06 / existing rooms</v>
          </cell>
          <cell r="H104" t="str">
            <v>Existing / Verify</v>
          </cell>
          <cell r="I104" t="str">
            <v>N/A</v>
          </cell>
          <cell r="J104" t="str">
            <v>Verify Existing</v>
          </cell>
          <cell r="K104" t="str">
            <v>Verify Existing</v>
          </cell>
          <cell r="L104" t="str">
            <v>Verify</v>
          </cell>
          <cell r="O104" t="str">
            <v>Verify</v>
          </cell>
          <cell r="P104" t="str">
            <v>Existing telecom rooms; verify FP/FA protection-in-place and seal penetrations after cable removal/reuse.</v>
          </cell>
          <cell r="Q104" t="str">
            <v>02|21</v>
          </cell>
        </row>
        <row r="105">
          <cell r="E105" t="str">
            <v>3. FIRE PROTECTION</v>
          </cell>
          <cell r="G105">
            <v>0</v>
          </cell>
          <cell r="H105">
            <v>0</v>
          </cell>
          <cell r="I105">
            <v>0</v>
          </cell>
          <cell r="J105">
            <v>0</v>
          </cell>
          <cell r="K105">
            <v>0</v>
          </cell>
          <cell r="L105">
            <v>0</v>
          </cell>
          <cell r="O105">
            <v>0</v>
          </cell>
          <cell r="P105">
            <v>0</v>
          </cell>
          <cell r="Q105" t="str">
            <v>02|22</v>
          </cell>
        </row>
        <row r="106">
          <cell r="E106" t="str">
            <v>4. HVAC / COOLING</v>
          </cell>
          <cell r="G106" t="str">
            <v>4. HVAC / COOLING</v>
          </cell>
          <cell r="H106">
            <v>0</v>
          </cell>
          <cell r="I106">
            <v>0</v>
          </cell>
          <cell r="J106">
            <v>0</v>
          </cell>
          <cell r="K106">
            <v>0</v>
          </cell>
          <cell r="L106">
            <v>0</v>
          </cell>
          <cell r="O106">
            <v>0</v>
          </cell>
          <cell r="P106">
            <v>0</v>
          </cell>
          <cell r="Q106" t="str">
            <v>02|23</v>
          </cell>
        </row>
        <row r="107">
          <cell r="E107" t="str">
            <v>4. HVAC / COOLING</v>
          </cell>
          <cell r="G107" t="str">
            <v>Room</v>
          </cell>
          <cell r="H107" t="str">
            <v>Dedicated Unit</v>
          </cell>
          <cell r="I107" t="str">
            <v>Capacity Verified</v>
          </cell>
          <cell r="J107" t="str">
            <v>Emergency Power</v>
          </cell>
          <cell r="K107" t="str">
            <v>Controls / BACnet</v>
          </cell>
          <cell r="L107" t="str">
            <v>Condensate Routed</v>
          </cell>
          <cell r="O107" t="str">
            <v>Overall</v>
          </cell>
          <cell r="P107" t="str">
            <v>Risk / Notes</v>
          </cell>
          <cell r="Q107" t="str">
            <v>02|24</v>
          </cell>
        </row>
        <row r="108">
          <cell r="E108" t="str">
            <v>4. HVAC / COOLING</v>
          </cell>
          <cell r="G108" t="str">
            <v>141</v>
          </cell>
          <cell r="H108" t="str">
            <v>CU-1-01 / TR cooling assignment verify</v>
          </cell>
          <cell r="I108" t="str">
            <v>Verify</v>
          </cell>
          <cell r="J108" t="str">
            <v>Verify</v>
          </cell>
          <cell r="K108" t="str">
            <v>Verify</v>
          </cell>
          <cell r="L108" t="str">
            <v>Verify</v>
          </cell>
          <cell r="O108" t="str">
            <v>Verify</v>
          </cell>
          <cell r="P108" t="str">
            <v>Electrical schedule references CU-1-01, CU-2-01 and CU-3-01 on B02-TR141B; mechanical sheets include dedicated TR cooling. Confirm which indoor/outdoor unit serves Room 141, capacity, emergency power, condensate, controls/BACnet and alarms.</v>
          </cell>
          <cell r="Q108" t="str">
            <v>02|25</v>
          </cell>
        </row>
        <row r="109">
          <cell r="E109" t="str">
            <v>4. HVAC / COOLING</v>
          </cell>
          <cell r="G109" t="str">
            <v>236</v>
          </cell>
          <cell r="H109" t="str">
            <v>CU-2-01 / TR cooling assignment verify</v>
          </cell>
          <cell r="I109" t="str">
            <v>Verify</v>
          </cell>
          <cell r="J109" t="str">
            <v>Verify</v>
          </cell>
          <cell r="K109" t="str">
            <v>Verify</v>
          </cell>
          <cell r="L109" t="str">
            <v>Verify</v>
          </cell>
          <cell r="O109" t="str">
            <v>Verify</v>
          </cell>
          <cell r="P109" t="str">
            <v>Confirm dedicated cooling equipment serving Room 236, condensate route, 24/7 operation, emergency source and FMS/BACnet high-temperature alarm.</v>
          </cell>
          <cell r="Q109" t="str">
            <v>02|26</v>
          </cell>
        </row>
        <row r="110">
          <cell r="E110" t="str">
            <v>4. HVAC / COOLING</v>
          </cell>
          <cell r="G110" t="str">
            <v>342</v>
          </cell>
          <cell r="H110" t="str">
            <v>CU-3-01 / TR cooling assignment verify</v>
          </cell>
          <cell r="I110" t="str">
            <v>Verify</v>
          </cell>
          <cell r="J110" t="str">
            <v>Verify</v>
          </cell>
          <cell r="K110" t="str">
            <v>Verify</v>
          </cell>
          <cell r="L110" t="str">
            <v>Verify</v>
          </cell>
          <cell r="O110" t="str">
            <v>Verify</v>
          </cell>
          <cell r="P110" t="str">
            <v>Confirm dedicated cooling equipment serving Room 342, condensate route, controls, emergency source and alarm integration.</v>
          </cell>
          <cell r="Q110" t="str">
            <v>02|27</v>
          </cell>
        </row>
        <row r="111">
          <cell r="E111" t="str">
            <v>4. HVAC / COOLING</v>
          </cell>
          <cell r="G111" t="str">
            <v>B-06 / existing rooms</v>
          </cell>
          <cell r="H111" t="str">
            <v>Existing / Verify</v>
          </cell>
          <cell r="I111" t="str">
            <v>Verify</v>
          </cell>
          <cell r="J111" t="str">
            <v>Verify</v>
          </cell>
          <cell r="K111" t="str">
            <v>Verify</v>
          </cell>
          <cell r="L111" t="str">
            <v>Verify</v>
          </cell>
          <cell r="O111" t="str">
            <v>Verify</v>
          </cell>
          <cell r="P111" t="str">
            <v>Existing telecom equipment may remain active during cutover. Verify ambient temperature/cooling protection until migration complete.</v>
          </cell>
          <cell r="Q111" t="str">
            <v>02|28</v>
          </cell>
        </row>
        <row r="112">
          <cell r="E112" t="str">
            <v>4. HVAC / COOLING</v>
          </cell>
          <cell r="G112">
            <v>0</v>
          </cell>
          <cell r="H112">
            <v>0</v>
          </cell>
          <cell r="I112">
            <v>0</v>
          </cell>
          <cell r="J112">
            <v>0</v>
          </cell>
          <cell r="K112">
            <v>0</v>
          </cell>
          <cell r="L112">
            <v>0</v>
          </cell>
          <cell r="O112">
            <v>0</v>
          </cell>
          <cell r="P112">
            <v>0</v>
          </cell>
          <cell r="Q112" t="str">
            <v>02|29</v>
          </cell>
        </row>
        <row r="113">
          <cell r="E113" t="str">
            <v>5. ELECTRICAL / UPS</v>
          </cell>
          <cell r="G113" t="str">
            <v>5. ELECTRICAL / UPS</v>
          </cell>
          <cell r="H113">
            <v>0</v>
          </cell>
          <cell r="I113">
            <v>0</v>
          </cell>
          <cell r="J113">
            <v>0</v>
          </cell>
          <cell r="K113">
            <v>0</v>
          </cell>
          <cell r="L113">
            <v>0</v>
          </cell>
          <cell r="O113">
            <v>0</v>
          </cell>
          <cell r="P113">
            <v>0</v>
          </cell>
          <cell r="Q113" t="str">
            <v>02|30</v>
          </cell>
        </row>
        <row r="114">
          <cell r="E114" t="str">
            <v>5. ELECTRICAL / UPS</v>
          </cell>
          <cell r="G114" t="str">
            <v>Room</v>
          </cell>
          <cell r="H114" t="str">
            <v>UPS Installed</v>
          </cell>
          <cell r="I114" t="str">
            <v>UPS Size</v>
          </cell>
          <cell r="J114" t="str">
            <v>PDU Installed</v>
          </cell>
          <cell r="K114" t="str">
            <v>Rack Receptacles</v>
          </cell>
          <cell r="L114" t="str">
            <v>Panel Assigned</v>
          </cell>
          <cell r="O114" t="str">
            <v>Overall</v>
          </cell>
          <cell r="P114" t="str">
            <v>Notes</v>
          </cell>
          <cell r="Q114" t="str">
            <v>02|31</v>
          </cell>
        </row>
        <row r="115">
          <cell r="E115" t="str">
            <v>5. ELECTRICAL / UPS</v>
          </cell>
          <cell r="G115" t="str">
            <v>141</v>
          </cell>
          <cell r="H115" t="str">
            <v>Verify</v>
          </cell>
          <cell r="I115" t="str">
            <v>5 kW / 208V rack UPS</v>
          </cell>
          <cell r="J115" t="str">
            <v>Verify</v>
          </cell>
          <cell r="K115" t="str">
            <v>Verify</v>
          </cell>
          <cell r="L115" t="str">
            <v>B02-TR141A / B02-TR141B</v>
          </cell>
          <cell r="O115" t="str">
            <v>Verify</v>
          </cell>
          <cell r="P115" t="str">
            <v>Electrical one-line/schedules identify B02-TR141A/B with rack receptacles, lighting/receptacles, SPDs integral to new telecom panelboards and cooling equipment references. Verify source, 30-day load measurement, LOTO and labels.</v>
          </cell>
          <cell r="Q115" t="str">
            <v>02|32</v>
          </cell>
        </row>
        <row r="116">
          <cell r="E116" t="str">
            <v>5. ELECTRICAL / UPS</v>
          </cell>
          <cell r="G116" t="str">
            <v>236</v>
          </cell>
          <cell r="H116" t="str">
            <v>Verify</v>
          </cell>
          <cell r="I116" t="str">
            <v>5 kW / 208V rack UPS</v>
          </cell>
          <cell r="J116" t="str">
            <v>Verify</v>
          </cell>
          <cell r="K116" t="str">
            <v>Verify</v>
          </cell>
          <cell r="L116" t="str">
            <v>B02-TR236A / B02-TR236B</v>
          </cell>
          <cell r="O116" t="str">
            <v>Verify</v>
          </cell>
          <cell r="P116" t="str">
            <v>Electrical one-line/schedules identify B02-TR236A/B with rack receptacles, lighting/receptacles, SPDs and normal/emergency power requirements. Verify source and rack PDU mapping.</v>
          </cell>
          <cell r="Q116" t="str">
            <v>02|33</v>
          </cell>
        </row>
        <row r="117">
          <cell r="E117" t="str">
            <v>5. ELECTRICAL / UPS</v>
          </cell>
          <cell r="G117" t="str">
            <v>342</v>
          </cell>
          <cell r="H117" t="str">
            <v>Verify</v>
          </cell>
          <cell r="I117" t="str">
            <v>5 kW / 208V rack UPS</v>
          </cell>
          <cell r="J117" t="str">
            <v>Verify</v>
          </cell>
          <cell r="K117" t="str">
            <v>Verify</v>
          </cell>
          <cell r="L117" t="str">
            <v>B02-TR342A / B02-TR342B</v>
          </cell>
          <cell r="O117" t="str">
            <v>Verify</v>
          </cell>
          <cell r="P117" t="str">
            <v>Electrical one-line/schedules identify B02-TR342A/B with rack receptacles, lighting/receptacles and SPDs. Verify source panels and UPS/PDU circuits.</v>
          </cell>
          <cell r="Q117" t="str">
            <v>02|34</v>
          </cell>
        </row>
        <row r="118">
          <cell r="E118" t="str">
            <v>5. ELECTRICAL / UPS</v>
          </cell>
          <cell r="G118" t="str">
            <v>B-06 / existing rooms</v>
          </cell>
          <cell r="H118" t="str">
            <v>Existing / Verify</v>
          </cell>
          <cell r="I118" t="str">
            <v>Existing / Verify</v>
          </cell>
          <cell r="J118" t="str">
            <v>Existing / Verify</v>
          </cell>
          <cell r="K118" t="str">
            <v>Verify</v>
          </cell>
          <cell r="L118" t="str">
            <v>Existing / Verify</v>
          </cell>
          <cell r="O118" t="str">
            <v>Verify</v>
          </cell>
          <cell r="P118" t="str">
            <v>Existing racks/panels remain active during transfer; verify power source, UPS status and temporary power needs.</v>
          </cell>
          <cell r="Q118" t="str">
            <v>02|35</v>
          </cell>
        </row>
        <row r="119">
          <cell r="E119" t="str">
            <v>5. ELECTRICAL / UPS</v>
          </cell>
          <cell r="G119">
            <v>0</v>
          </cell>
          <cell r="H119">
            <v>0</v>
          </cell>
          <cell r="I119">
            <v>0</v>
          </cell>
          <cell r="J119">
            <v>0</v>
          </cell>
          <cell r="K119">
            <v>0</v>
          </cell>
          <cell r="L119">
            <v>0</v>
          </cell>
          <cell r="O119">
            <v>0</v>
          </cell>
          <cell r="P119">
            <v>0</v>
          </cell>
          <cell r="Q119" t="str">
            <v>02|36</v>
          </cell>
        </row>
        <row r="120">
          <cell r="E120" t="str">
            <v>6. TELECOMMUNICATIONS</v>
          </cell>
          <cell r="G120" t="str">
            <v>6. TELECOMMUNICATIONS</v>
          </cell>
          <cell r="H120">
            <v>0</v>
          </cell>
          <cell r="I120">
            <v>0</v>
          </cell>
          <cell r="J120">
            <v>0</v>
          </cell>
          <cell r="K120">
            <v>0</v>
          </cell>
          <cell r="L120">
            <v>0</v>
          </cell>
          <cell r="O120">
            <v>0</v>
          </cell>
          <cell r="P120">
            <v>0</v>
          </cell>
          <cell r="Q120" t="str">
            <v>02|37</v>
          </cell>
        </row>
        <row r="121">
          <cell r="E121" t="str">
            <v>6. TELECOMMUNICATIONS</v>
          </cell>
          <cell r="G121" t="str">
            <v>Room</v>
          </cell>
          <cell r="H121" t="str">
            <v>Rack Installed</v>
          </cell>
          <cell r="I121" t="str">
            <v>Ladder Tray</v>
          </cell>
          <cell r="J121" t="str">
            <v>Fiber Installed</v>
          </cell>
          <cell r="K121" t="str">
            <v>Grounding</v>
          </cell>
          <cell r="L121" t="str">
            <v>Labeling</v>
          </cell>
          <cell r="O121" t="str">
            <v>Overall</v>
          </cell>
          <cell r="P121" t="str">
            <v>Notes</v>
          </cell>
          <cell r="Q121" t="str">
            <v>02|38</v>
          </cell>
        </row>
        <row r="122">
          <cell r="E122" t="str">
            <v>6. TELECOMMUNICATIONS</v>
          </cell>
          <cell r="G122" t="str">
            <v>141</v>
          </cell>
          <cell r="H122" t="str">
            <v>Verify</v>
          </cell>
          <cell r="I122" t="str">
            <v>Verify</v>
          </cell>
          <cell r="J122" t="str">
            <v>Verify</v>
          </cell>
          <cell r="K122" t="str">
            <v>Verify</v>
          </cell>
          <cell r="L122" t="str">
            <v>Verify</v>
          </cell>
          <cell r="O122" t="str">
            <v>Verify</v>
          </cell>
          <cell r="P122" t="str">
            <v>02T-701 identifies RM141 with 211 WAO total, 215 active ports, 322 scheduled ports, 354 ports with allowance. Rack IDs TR01-141-01/02. Cable tray schedule total includes 1,069 ft first-level cable tray.</v>
          </cell>
          <cell r="Q122" t="str">
            <v>02|39</v>
          </cell>
        </row>
        <row r="123">
          <cell r="E123" t="str">
            <v>6. TELECOMMUNICATIONS</v>
          </cell>
          <cell r="G123" t="str">
            <v>236</v>
          </cell>
          <cell r="H123" t="str">
            <v>Verify</v>
          </cell>
          <cell r="I123" t="str">
            <v>Verify</v>
          </cell>
          <cell r="J123" t="str">
            <v>Verify</v>
          </cell>
          <cell r="K123" t="str">
            <v>Verify</v>
          </cell>
          <cell r="L123" t="str">
            <v>Verify</v>
          </cell>
          <cell r="O123" t="str">
            <v>Verify</v>
          </cell>
          <cell r="P123" t="str">
            <v>02T-702 identifies RM236 with 179 WAO total, 178 active ports, 314 scheduled ports and approx. 345 with allowance. Rack IDs TR01-236-01/02. Verify second-level cable tray, riser and cutover from existing 282/236 scope.</v>
          </cell>
          <cell r="Q123" t="str">
            <v>02|40</v>
          </cell>
        </row>
        <row r="124">
          <cell r="E124" t="str">
            <v>6. TELECOMMUNICATIONS</v>
          </cell>
          <cell r="G124" t="str">
            <v>342</v>
          </cell>
          <cell r="H124" t="str">
            <v>Verify</v>
          </cell>
          <cell r="I124" t="str">
            <v>Verify</v>
          </cell>
          <cell r="J124" t="str">
            <v>Verify</v>
          </cell>
          <cell r="K124" t="str">
            <v>Verify</v>
          </cell>
          <cell r="L124" t="str">
            <v>Verify</v>
          </cell>
          <cell r="O124" t="str">
            <v>Verify</v>
          </cell>
          <cell r="P124" t="str">
            <v>02T-703 identifies RM342 with 274 WAO total, 96 active ports, 353 scheduled ports, 388 with allowance. Rack IDs TR01-342-01/02. Verify third-level cable tray and high outlet count.</v>
          </cell>
          <cell r="Q124" t="str">
            <v>02|41</v>
          </cell>
        </row>
        <row r="125">
          <cell r="E125" t="str">
            <v>6. TELECOMMUNICATIONS</v>
          </cell>
          <cell r="G125" t="str">
            <v>B-06 / existing rooms</v>
          </cell>
          <cell r="H125" t="str">
            <v>Existing / Transfer</v>
          </cell>
          <cell r="I125" t="str">
            <v>Existing</v>
          </cell>
          <cell r="J125" t="str">
            <v>Existing</v>
          </cell>
          <cell r="K125" t="str">
            <v>Verify</v>
          </cell>
          <cell r="L125" t="str">
            <v>Verify</v>
          </cell>
          <cell r="O125" t="str">
            <v>Verify</v>
          </cell>
          <cell r="P125" t="str">
            <v>Existing B-06/141/236 racks support legacy services. Field verify all active circuits, existing patch panels, labels, and transfer plan before cutover.</v>
          </cell>
          <cell r="Q125" t="str">
            <v>02|42</v>
          </cell>
        </row>
        <row r="126">
          <cell r="E126" t="str">
            <v>6. TELECOMMUNICATIONS</v>
          </cell>
          <cell r="G126">
            <v>0</v>
          </cell>
          <cell r="H126">
            <v>0</v>
          </cell>
          <cell r="I126">
            <v>0</v>
          </cell>
          <cell r="J126">
            <v>0</v>
          </cell>
          <cell r="K126">
            <v>0</v>
          </cell>
          <cell r="L126">
            <v>0</v>
          </cell>
          <cell r="O126">
            <v>0</v>
          </cell>
          <cell r="P126">
            <v>0</v>
          </cell>
          <cell r="Q126" t="str">
            <v>02|43</v>
          </cell>
        </row>
        <row r="127">
          <cell r="E127" t="str">
            <v>7. SECURITY / PACS / CCTV</v>
          </cell>
          <cell r="G127" t="str">
            <v>7. SECURITY / PACS / CCTV</v>
          </cell>
          <cell r="H127">
            <v>0</v>
          </cell>
          <cell r="I127">
            <v>0</v>
          </cell>
          <cell r="J127">
            <v>0</v>
          </cell>
          <cell r="K127">
            <v>0</v>
          </cell>
          <cell r="L127">
            <v>0</v>
          </cell>
          <cell r="O127">
            <v>0</v>
          </cell>
          <cell r="P127">
            <v>0</v>
          </cell>
          <cell r="Q127" t="str">
            <v>02|44</v>
          </cell>
        </row>
        <row r="128">
          <cell r="E128" t="str">
            <v>7. SECURITY / PACS / CCTV</v>
          </cell>
          <cell r="G128" t="str">
            <v>Room</v>
          </cell>
          <cell r="H128" t="str">
            <v>PACS</v>
          </cell>
          <cell r="I128" t="str">
            <v>Card Reader</v>
          </cell>
          <cell r="J128" t="str">
            <v>Door Position</v>
          </cell>
          <cell r="K128" t="str">
            <v>Electric Strike</v>
          </cell>
          <cell r="L128" t="str">
            <v>CCTV</v>
          </cell>
          <cell r="O128" t="str">
            <v>Overall</v>
          </cell>
          <cell r="P128" t="str">
            <v>Notes</v>
          </cell>
          <cell r="Q128" t="str">
            <v>02|45</v>
          </cell>
        </row>
        <row r="129">
          <cell r="E129" t="str">
            <v>7. SECURITY / PACS / CCTV</v>
          </cell>
          <cell r="G129" t="str">
            <v>141</v>
          </cell>
          <cell r="H129" t="str">
            <v>Verify</v>
          </cell>
          <cell r="I129" t="str">
            <v>Verify</v>
          </cell>
          <cell r="J129" t="str">
            <v>Verify</v>
          </cell>
          <cell r="K129" t="str">
            <v>Verify</v>
          </cell>
          <cell r="L129" t="str">
            <v>Verify</v>
          </cell>
          <cell r="O129" t="str">
            <v>Verify</v>
          </cell>
          <cell r="P129" t="str">
            <v>Plans show 174-CAM-01 associated with the first-level TR area and PACS/security requirements. Verify camera/VMS integration, access controller/power supply, CR/RX/DC/ES/MD and door hardware.</v>
          </cell>
          <cell r="Q129" t="str">
            <v>02|46</v>
          </cell>
        </row>
        <row r="130">
          <cell r="E130" t="str">
            <v>7. SECURITY / PACS / CCTV</v>
          </cell>
          <cell r="G130" t="str">
            <v>236</v>
          </cell>
          <cell r="H130" t="str">
            <v>Verify</v>
          </cell>
          <cell r="I130" t="str">
            <v>Verify</v>
          </cell>
          <cell r="J130" t="str">
            <v>Verify</v>
          </cell>
          <cell r="K130" t="str">
            <v>Verify</v>
          </cell>
          <cell r="L130" t="str">
            <v>Verify</v>
          </cell>
          <cell r="O130" t="str">
            <v>Verify</v>
          </cell>
          <cell r="P130" t="str">
            <v>Plans show 236-CAM-01. Verify camera/VMS integration, access control, door hardware, motion/detection devices and power.</v>
          </cell>
          <cell r="Q130" t="str">
            <v>02|47</v>
          </cell>
        </row>
        <row r="131">
          <cell r="E131" t="str">
            <v>7. SECURITY / PACS / CCTV</v>
          </cell>
          <cell r="G131" t="str">
            <v>342</v>
          </cell>
          <cell r="H131" t="str">
            <v>Verify</v>
          </cell>
          <cell r="I131" t="str">
            <v>Verify</v>
          </cell>
          <cell r="J131" t="str">
            <v>Verify</v>
          </cell>
          <cell r="K131" t="str">
            <v>Verify</v>
          </cell>
          <cell r="L131" t="str">
            <v>Verify</v>
          </cell>
          <cell r="O131" t="str">
            <v>Verify</v>
          </cell>
          <cell r="P131" t="str">
            <v>Plans show 342-CAM-01 and 342A-CK-A. Verify camera/VMS integration and access control/security rough-in.</v>
          </cell>
          <cell r="Q131" t="str">
            <v>02|48</v>
          </cell>
        </row>
        <row r="132">
          <cell r="E132" t="str">
            <v>7. SECURITY / PACS / CCTV</v>
          </cell>
          <cell r="G132" t="str">
            <v>B-06 / existing rooms</v>
          </cell>
          <cell r="H132" t="str">
            <v>Existing / Verify</v>
          </cell>
          <cell r="I132" t="str">
            <v>Existing / Verify</v>
          </cell>
          <cell r="J132" t="str">
            <v>Existing / Verify</v>
          </cell>
          <cell r="K132" t="str">
            <v>Existing / Verify</v>
          </cell>
          <cell r="L132" t="str">
            <v>Verify Existing</v>
          </cell>
          <cell r="O132" t="str">
            <v>Verify</v>
          </cell>
          <cell r="P132" t="str">
            <v>Maintain existing camera angles when re-cabling and protect existing PACS/equipment racks during transfer.</v>
          </cell>
          <cell r="Q132" t="str">
            <v>02|49</v>
          </cell>
        </row>
        <row r="133">
          <cell r="E133" t="str">
            <v>7. SECURITY / PACS / CCTV</v>
          </cell>
          <cell r="G133">
            <v>0</v>
          </cell>
          <cell r="H133">
            <v>0</v>
          </cell>
          <cell r="I133">
            <v>0</v>
          </cell>
          <cell r="J133">
            <v>0</v>
          </cell>
          <cell r="K133">
            <v>0</v>
          </cell>
          <cell r="L133">
            <v>0</v>
          </cell>
          <cell r="O133">
            <v>0</v>
          </cell>
          <cell r="P133">
            <v>0</v>
          </cell>
          <cell r="Q133" t="str">
            <v>02|50</v>
          </cell>
        </row>
        <row r="134">
          <cell r="E134" t="str">
            <v>8. OWNER RISKS</v>
          </cell>
          <cell r="G134" t="str">
            <v>8. OWNER RISKS</v>
          </cell>
          <cell r="H134">
            <v>0</v>
          </cell>
          <cell r="I134">
            <v>0</v>
          </cell>
          <cell r="J134">
            <v>0</v>
          </cell>
          <cell r="K134">
            <v>0</v>
          </cell>
          <cell r="L134">
            <v>0</v>
          </cell>
          <cell r="O134">
            <v>0</v>
          </cell>
          <cell r="P134">
            <v>0</v>
          </cell>
          <cell r="Q134" t="str">
            <v>02|51</v>
          </cell>
        </row>
        <row r="135">
          <cell r="E135" t="str">
            <v>8. OWNER RISKS</v>
          </cell>
          <cell r="G135" t="str">
            <v>Risk ID</v>
          </cell>
          <cell r="H135" t="str">
            <v>Room</v>
          </cell>
          <cell r="I135" t="str">
            <v>Risk</v>
          </cell>
          <cell r="J135" t="str">
            <v>Impact</v>
          </cell>
          <cell r="K135" t="str">
            <v>Probability</v>
          </cell>
          <cell r="L135" t="str">
            <v>Score</v>
          </cell>
          <cell r="O135" t="str">
            <v>Status</v>
          </cell>
          <cell r="P135" t="str">
            <v>Notes</v>
          </cell>
          <cell r="Q135" t="str">
            <v>02|52</v>
          </cell>
        </row>
        <row r="136">
          <cell r="E136" t="str">
            <v>8. OWNER RISKS</v>
          </cell>
          <cell r="G136" t="str">
            <v>B02-R1</v>
          </cell>
          <cell r="H136" t="str">
            <v>All</v>
          </cell>
          <cell r="I136" t="str">
            <v>Existing conditions for Rooms 141/236/342 and existing B-06/141/236 not field verified</v>
          </cell>
          <cell r="J136" t="str">
            <v>High</v>
          </cell>
          <cell r="K136" t="str">
            <v>Medium</v>
          </cell>
          <cell r="L136">
            <v>6</v>
          </cell>
          <cell r="O136" t="str">
            <v>Open</v>
          </cell>
          <cell r="P136" t="str">
            <v>B02 has multiple new TRs and existing transition rooms.</v>
          </cell>
          <cell r="Q136" t="str">
            <v>02|53</v>
          </cell>
        </row>
        <row r="137">
          <cell r="E137" t="str">
            <v>8. OWNER RISKS</v>
          </cell>
          <cell r="G137" t="str">
            <v>B02-R2</v>
          </cell>
          <cell r="H137" t="str">
            <v>Existing rooms</v>
          </cell>
          <cell r="I137" t="str">
            <v>Existing equipment may remain active during transfer to new TRs</v>
          </cell>
          <cell r="J137" t="str">
            <v>Critical</v>
          </cell>
          <cell r="K137" t="str">
            <v>Medium</v>
          </cell>
          <cell r="L137">
            <v>8</v>
          </cell>
          <cell r="O137" t="str">
            <v>Open</v>
          </cell>
          <cell r="P137" t="str">
            <v>Existing rack elevations/photos show active legacy rack/patch equipment.</v>
          </cell>
          <cell r="Q137" t="str">
            <v>02|54</v>
          </cell>
        </row>
        <row r="138">
          <cell r="E138" t="str">
            <v>8. OWNER RISKS</v>
          </cell>
          <cell r="G138" t="str">
            <v>B02-R3</v>
          </cell>
          <cell r="H138" t="str">
            <v>141/236/342</v>
          </cell>
          <cell r="I138" t="str">
            <v>Dedicated cooling assignment, emergency power, condensate, BACnet and alarms not verified</v>
          </cell>
          <cell r="J138" t="str">
            <v>Critical</v>
          </cell>
          <cell r="K138" t="str">
            <v>Medium</v>
          </cell>
          <cell r="L138">
            <v>8</v>
          </cell>
          <cell r="O138" t="str">
            <v>Open</v>
          </cell>
          <cell r="P138" t="str">
            <v>Electrical schedule references CU-1/2/3-01; assignments must be field verified.</v>
          </cell>
          <cell r="Q138" t="str">
            <v>02|55</v>
          </cell>
        </row>
        <row r="139">
          <cell r="E139" t="str">
            <v>8. OWNER RISKS</v>
          </cell>
          <cell r="G139" t="str">
            <v>B02-R4</v>
          </cell>
          <cell r="H139" t="str">
            <v>All TRs</v>
          </cell>
          <cell r="I139" t="str">
            <v>B02-TR141/236/342 A/B UPS/PDU and panel source coordination could delay energization</v>
          </cell>
          <cell r="J139" t="str">
            <v>High</v>
          </cell>
          <cell r="K139" t="str">
            <v>Medium</v>
          </cell>
          <cell r="L139">
            <v>6</v>
          </cell>
          <cell r="O139" t="str">
            <v>Open</v>
          </cell>
          <cell r="P139" t="str">
            <v>Multiple new telecom panels and rack circuits.</v>
          </cell>
          <cell r="Q139" t="str">
            <v>02|56</v>
          </cell>
        </row>
        <row r="140">
          <cell r="E140" t="str">
            <v>8. OWNER RISKS</v>
          </cell>
          <cell r="G140" t="str">
            <v>B02-R5</v>
          </cell>
          <cell r="H140" t="str">
            <v>All</v>
          </cell>
          <cell r="I140" t="str">
            <v>2,560 feet of cable tray/pathway requires coordination and firestop tracking</v>
          </cell>
          <cell r="J140" t="str">
            <v>High</v>
          </cell>
          <cell r="K140" t="str">
            <v>Medium</v>
          </cell>
          <cell r="L140">
            <v>6</v>
          </cell>
          <cell r="O140" t="str">
            <v>Open</v>
          </cell>
          <cell r="P140" t="str">
            <v>Cable tray schedule: basement 303 ft, first 1,069 ft, second 544 ft, third 583 ft, fourth 59 ft.</v>
          </cell>
          <cell r="Q140" t="str">
            <v>02|57</v>
          </cell>
        </row>
        <row r="141">
          <cell r="E141" t="str">
            <v>8. OWNER RISKS</v>
          </cell>
          <cell r="G141" t="str">
            <v>B02-R6</v>
          </cell>
          <cell r="H141" t="str">
            <v>All</v>
          </cell>
          <cell r="I141" t="str">
            <v>Telecom/fiber cutover could affect active hospital communications across several floors</v>
          </cell>
          <cell r="J141" t="str">
            <v>Critical</v>
          </cell>
          <cell r="K141" t="str">
            <v>Medium</v>
          </cell>
          <cell r="L141">
            <v>8</v>
          </cell>
          <cell r="O141" t="str">
            <v>Open</v>
          </cell>
          <cell r="P141" t="str">
            <v>High WAO counts: 211/179/274 WAO across Rooms 141/236/342.</v>
          </cell>
          <cell r="Q141" t="str">
            <v>02|58</v>
          </cell>
        </row>
        <row r="142">
          <cell r="E142" t="str">
            <v>8. OWNER RISKS</v>
          </cell>
          <cell r="G142" t="str">
            <v>B02-R7</v>
          </cell>
          <cell r="H142" t="str">
            <v>141/236/342</v>
          </cell>
          <cell r="I142" t="str">
            <v>PACS/CCTV/door hardware coordination may not be ready at room acceptance</v>
          </cell>
          <cell r="J142" t="str">
            <v>High</v>
          </cell>
          <cell r="K142" t="str">
            <v>Medium</v>
          </cell>
          <cell r="L142">
            <v>6</v>
          </cell>
          <cell r="O142" t="str">
            <v>Open</v>
          </cell>
          <cell r="P142" t="str">
            <v>Plans include 174-CAM-01, 236-CAM-01, 342-CAM-01.</v>
          </cell>
          <cell r="Q142" t="str">
            <v>02|59</v>
          </cell>
        </row>
        <row r="143">
          <cell r="E143" t="str">
            <v>8. OWNER RISKS</v>
          </cell>
          <cell r="G143" t="str">
            <v>B02-R8</v>
          </cell>
          <cell r="H143" t="str">
            <v>All</v>
          </cell>
          <cell r="I143" t="str">
            <v>Commissioning/third-party inspection reports may not be complete at turnover</v>
          </cell>
          <cell r="J143" t="str">
            <v>High</v>
          </cell>
          <cell r="K143" t="str">
            <v>Medium</v>
          </cell>
          <cell r="L143">
            <v>6</v>
          </cell>
          <cell r="O143" t="str">
            <v>Open</v>
          </cell>
          <cell r="P143" t="str">
            <v>66-sheet IFC package with full discipline scope and third-party inspection requirements.</v>
          </cell>
          <cell r="Q143" t="str">
            <v>02|60</v>
          </cell>
        </row>
        <row r="144">
          <cell r="E144" t="str">
            <v>8. OWNER RISKS</v>
          </cell>
          <cell r="G144">
            <v>0</v>
          </cell>
          <cell r="H144">
            <v>0</v>
          </cell>
          <cell r="I144">
            <v>0</v>
          </cell>
          <cell r="J144">
            <v>0</v>
          </cell>
          <cell r="K144">
            <v>0</v>
          </cell>
          <cell r="L144">
            <v>0</v>
          </cell>
          <cell r="O144">
            <v>0</v>
          </cell>
          <cell r="P144">
            <v>0</v>
          </cell>
          <cell r="Q144" t="str">
            <v>02|61</v>
          </cell>
        </row>
        <row r="145">
          <cell r="E145" t="str">
            <v>9. OPEN QUESTIONS</v>
          </cell>
          <cell r="G145" t="str">
            <v>9. OPEN QUESTIONS</v>
          </cell>
          <cell r="H145">
            <v>0</v>
          </cell>
          <cell r="I145">
            <v>0</v>
          </cell>
          <cell r="J145">
            <v>0</v>
          </cell>
          <cell r="K145">
            <v>0</v>
          </cell>
          <cell r="L145">
            <v>0</v>
          </cell>
          <cell r="O145">
            <v>0</v>
          </cell>
          <cell r="P145">
            <v>0</v>
          </cell>
          <cell r="Q145" t="str">
            <v>02|62</v>
          </cell>
        </row>
        <row r="146">
          <cell r="E146" t="str">
            <v>9. OPEN QUESTIONS</v>
          </cell>
          <cell r="G146" t="str">
            <v>Question ID</v>
          </cell>
          <cell r="H146" t="str">
            <v>Question</v>
          </cell>
          <cell r="I146" t="str">
            <v>Assigned To</v>
          </cell>
          <cell r="J146" t="str">
            <v>Status</v>
          </cell>
          <cell r="K146" t="str">
            <v>Needed By</v>
          </cell>
          <cell r="L146" t="str">
            <v>Answer / Resolution</v>
          </cell>
          <cell r="O146" t="str">
            <v>Date Closed</v>
          </cell>
          <cell r="P146" t="str">
            <v>Notes</v>
          </cell>
          <cell r="Q146" t="str">
            <v>02|63</v>
          </cell>
        </row>
        <row r="147">
          <cell r="E147" t="str">
            <v>9. OPEN QUESTIONS</v>
          </cell>
          <cell r="G147" t="str">
            <v>B02-Q1</v>
          </cell>
          <cell r="H147" t="str">
            <v>Confirm final telecom scope: new Rooms 141, 236 and 342 with existing B-06/141/236 transition points?</v>
          </cell>
          <cell r="I147" t="str">
            <v>VA / OIT / Designer</v>
          </cell>
          <cell r="J147" t="str">
            <v>Open</v>
          </cell>
          <cell r="K147">
            <v>0</v>
          </cell>
          <cell r="L147">
            <v>0</v>
          </cell>
          <cell r="O147">
            <v>0</v>
          </cell>
          <cell r="P147">
            <v>0</v>
          </cell>
          <cell r="Q147" t="str">
            <v>02|64</v>
          </cell>
        </row>
        <row r="148">
          <cell r="E148" t="str">
            <v>9. OPEN QUESTIONS</v>
          </cell>
          <cell r="G148" t="str">
            <v>B02-Q2</v>
          </cell>
          <cell r="H148" t="str">
            <v>What active services are currently fed from existing Rooms B-06, 141 and 236?</v>
          </cell>
          <cell r="I148" t="str">
            <v>OIT / Contractor</v>
          </cell>
          <cell r="J148" t="str">
            <v>Open</v>
          </cell>
          <cell r="K148">
            <v>0</v>
          </cell>
          <cell r="L148">
            <v>0</v>
          </cell>
          <cell r="O148">
            <v>0</v>
          </cell>
          <cell r="P148">
            <v>0</v>
          </cell>
          <cell r="Q148" t="str">
            <v>02|65</v>
          </cell>
        </row>
        <row r="149">
          <cell r="E149" t="str">
            <v>9. OPEN QUESTIONS</v>
          </cell>
          <cell r="G149" t="str">
            <v>B02-Q3</v>
          </cell>
          <cell r="H149" t="str">
            <v>What existing equipment is transferred, relocated, removed or protected in Rooms 141 and 236?</v>
          </cell>
          <cell r="I149" t="str">
            <v>OIT / Telecom</v>
          </cell>
          <cell r="J149" t="str">
            <v>Open</v>
          </cell>
          <cell r="K149">
            <v>0</v>
          </cell>
          <cell r="L149">
            <v>0</v>
          </cell>
          <cell r="O149">
            <v>0</v>
          </cell>
          <cell r="P149">
            <v>0</v>
          </cell>
          <cell r="Q149" t="str">
            <v>02|66</v>
          </cell>
        </row>
        <row r="150">
          <cell r="E150" t="str">
            <v>9. OPEN QUESTIONS</v>
          </cell>
          <cell r="G150" t="str">
            <v>B02-Q4</v>
          </cell>
          <cell r="H150" t="str">
            <v>Which IU/CU pair serves each TR and are they on emergency/backup power?</v>
          </cell>
          <cell r="I150" t="str">
            <v>Mechanical / Electrical / VA</v>
          </cell>
          <cell r="J150" t="str">
            <v>Open</v>
          </cell>
          <cell r="K150">
            <v>0</v>
          </cell>
          <cell r="L150">
            <v>0</v>
          </cell>
          <cell r="O150">
            <v>0</v>
          </cell>
          <cell r="P150">
            <v>0</v>
          </cell>
          <cell r="Q150" t="str">
            <v>02|67</v>
          </cell>
        </row>
        <row r="151">
          <cell r="E151" t="str">
            <v>9. OPEN QUESTIONS</v>
          </cell>
          <cell r="G151" t="str">
            <v>B02-Q5</v>
          </cell>
          <cell r="H151" t="str">
            <v>Where are clean-agent/CO2 extinguisher cabinets located within 75 ft of Rooms 141, 236 and 342?</v>
          </cell>
          <cell r="I151" t="str">
            <v>GC / COR</v>
          </cell>
          <cell r="J151" t="str">
            <v>Open</v>
          </cell>
          <cell r="K151">
            <v>0</v>
          </cell>
          <cell r="L151">
            <v>0</v>
          </cell>
          <cell r="O151">
            <v>0</v>
          </cell>
          <cell r="P151">
            <v>0</v>
          </cell>
          <cell r="Q151" t="str">
            <v>02|68</v>
          </cell>
        </row>
        <row r="152">
          <cell r="E152" t="str">
            <v>9. OPEN QUESTIONS</v>
          </cell>
          <cell r="G152" t="str">
            <v>B02-Q6</v>
          </cell>
          <cell r="H152" t="str">
            <v>Are B02-TR141/236/342 A/B sources, rack receptacles, SPDs, labels and 30-day load measurements approved?</v>
          </cell>
          <cell r="I152" t="str">
            <v>Electrical / Designer</v>
          </cell>
          <cell r="J152" t="str">
            <v>Open</v>
          </cell>
          <cell r="K152">
            <v>0</v>
          </cell>
          <cell r="L152">
            <v>0</v>
          </cell>
          <cell r="O152">
            <v>0</v>
          </cell>
          <cell r="P152">
            <v>0</v>
          </cell>
          <cell r="Q152" t="str">
            <v>02|69</v>
          </cell>
        </row>
        <row r="153">
          <cell r="E153" t="str">
            <v>9. OPEN QUESTIONS</v>
          </cell>
          <cell r="G153" t="str">
            <v>B02-Q7</v>
          </cell>
          <cell r="H153" t="str">
            <v>Are all rated wall/floor penetrations, sleeves, cable tray entries and firestopping details identified?</v>
          </cell>
          <cell r="I153" t="str">
            <v>GC / Firestop</v>
          </cell>
          <cell r="J153" t="str">
            <v>Open</v>
          </cell>
          <cell r="K153">
            <v>0</v>
          </cell>
          <cell r="L153">
            <v>0</v>
          </cell>
          <cell r="O153">
            <v>0</v>
          </cell>
          <cell r="P153">
            <v>0</v>
          </cell>
          <cell r="Q153" t="str">
            <v>02|70</v>
          </cell>
        </row>
        <row r="154">
          <cell r="E154" t="str">
            <v>9. OPEN QUESTIONS</v>
          </cell>
          <cell r="G154" t="str">
            <v>B02-Q8</v>
          </cell>
          <cell r="H154" t="str">
            <v>Which third-party inspections and commissioning forms are required before VA/OIT acceptance?</v>
          </cell>
          <cell r="I154" t="str">
            <v>GC / Cx Manager / OIT</v>
          </cell>
          <cell r="J154" t="str">
            <v>Open</v>
          </cell>
          <cell r="K154">
            <v>0</v>
          </cell>
          <cell r="L154">
            <v>0</v>
          </cell>
          <cell r="O154">
            <v>0</v>
          </cell>
          <cell r="P154">
            <v>0</v>
          </cell>
          <cell r="Q154" t="str">
            <v>02|71</v>
          </cell>
        </row>
        <row r="155">
          <cell r="E155" t="str">
            <v>9. OPEN QUESTIONS</v>
          </cell>
          <cell r="G155">
            <v>0</v>
          </cell>
          <cell r="H155">
            <v>0</v>
          </cell>
          <cell r="I155">
            <v>0</v>
          </cell>
          <cell r="J155">
            <v>0</v>
          </cell>
          <cell r="K155">
            <v>0</v>
          </cell>
          <cell r="L155">
            <v>0</v>
          </cell>
          <cell r="O155">
            <v>0</v>
          </cell>
          <cell r="P155">
            <v>0</v>
          </cell>
          <cell r="Q155" t="str">
            <v>02|72</v>
          </cell>
        </row>
        <row r="156">
          <cell r="E156" t="str">
            <v>10. PHOTO LOG</v>
          </cell>
          <cell r="G156" t="str">
            <v>10. PHOTO LOG</v>
          </cell>
          <cell r="H156">
            <v>0</v>
          </cell>
          <cell r="I156">
            <v>0</v>
          </cell>
          <cell r="J156">
            <v>0</v>
          </cell>
          <cell r="K156">
            <v>0</v>
          </cell>
          <cell r="L156">
            <v>0</v>
          </cell>
          <cell r="O156">
            <v>0</v>
          </cell>
          <cell r="P156">
            <v>0</v>
          </cell>
          <cell r="Q156" t="str">
            <v>02|73</v>
          </cell>
        </row>
        <row r="157">
          <cell r="E157" t="str">
            <v>10. PHOTO LOG</v>
          </cell>
          <cell r="G157" t="str">
            <v>Photo ID</v>
          </cell>
          <cell r="H157" t="str">
            <v>Room</v>
          </cell>
          <cell r="I157" t="str">
            <v>Category</v>
          </cell>
          <cell r="J157" t="str">
            <v>Description</v>
          </cell>
          <cell r="K157" t="str">
            <v>Date</v>
          </cell>
          <cell r="L157" t="str">
            <v>Taken By</v>
          </cell>
          <cell r="O157" t="str">
            <v>Status</v>
          </cell>
          <cell r="P157" t="str">
            <v>Notes</v>
          </cell>
          <cell r="Q157" t="str">
            <v>02|74</v>
          </cell>
        </row>
        <row r="158">
          <cell r="E158" t="str">
            <v>10. PHOTO LOG</v>
          </cell>
          <cell r="G158" t="str">
            <v>B02-P001</v>
          </cell>
          <cell r="H158" t="str">
            <v>141</v>
          </cell>
          <cell r="I158" t="str">
            <v>Existing / New Condition</v>
          </cell>
          <cell r="J158" t="str">
            <v>Room 141 walls, ceiling/deck, floor, door, racks/future rack, panels, HVAC, cable tray, 174-CAM-01, penetrations and demo/relocation conditions</v>
          </cell>
          <cell r="K158">
            <v>0</v>
          </cell>
          <cell r="L158" t="str">
            <v>Paul</v>
          </cell>
          <cell r="O158" t="str">
            <v>Closed</v>
          </cell>
          <cell r="P158">
            <v>0</v>
          </cell>
          <cell r="Q158" t="str">
            <v>02|75</v>
          </cell>
        </row>
        <row r="159">
          <cell r="E159" t="str">
            <v>10. PHOTO LOG</v>
          </cell>
          <cell r="G159" t="str">
            <v>B02-P002</v>
          </cell>
          <cell r="H159" t="str">
            <v>236</v>
          </cell>
          <cell r="I159" t="str">
            <v>Existing / New Condition</v>
          </cell>
          <cell r="J159" t="str">
            <v>Room 236 walls, ceiling/deck, floor, door, racks/future rack, panels, HVAC, cable tray, 236-CAM-01, penetrations and existing transfer conditions</v>
          </cell>
          <cell r="K159">
            <v>0</v>
          </cell>
          <cell r="L159" t="str">
            <v>Paul</v>
          </cell>
          <cell r="O159" t="str">
            <v>Closed</v>
          </cell>
          <cell r="P159">
            <v>0</v>
          </cell>
          <cell r="Q159" t="str">
            <v>02|76</v>
          </cell>
        </row>
        <row r="160">
          <cell r="E160" t="str">
            <v>10. PHOTO LOG</v>
          </cell>
          <cell r="G160" t="str">
            <v>B02-P003</v>
          </cell>
          <cell r="H160" t="str">
            <v>342</v>
          </cell>
          <cell r="I160" t="str">
            <v>Existing / New Condition</v>
          </cell>
          <cell r="J160" t="str">
            <v>Room 342 walls, ceiling/deck, floor, door, racks/future rack, panels, HVAC, cable tray, 342-CAM-01, penetrations and 342A-CK-A</v>
          </cell>
          <cell r="K160">
            <v>0</v>
          </cell>
          <cell r="L160" t="str">
            <v>Paul</v>
          </cell>
          <cell r="O160" t="str">
            <v>Closed</v>
          </cell>
          <cell r="P160">
            <v>0</v>
          </cell>
          <cell r="Q160" t="str">
            <v>02|77</v>
          </cell>
        </row>
        <row r="161">
          <cell r="E161" t="str">
            <v>10. PHOTO LOG</v>
          </cell>
          <cell r="G161" t="str">
            <v>B02-P004</v>
          </cell>
          <cell r="H161" t="str">
            <v>B-06</v>
          </cell>
          <cell r="I161" t="str">
            <v>Existing Equipment</v>
          </cell>
          <cell r="J161" t="str">
            <v>Basement existing telecom room B-06 legacy rack/patch panels, active service labels and cable entries</v>
          </cell>
          <cell r="K161">
            <v>0</v>
          </cell>
          <cell r="L161" t="str">
            <v>Paul</v>
          </cell>
          <cell r="O161" t="str">
            <v>Closed</v>
          </cell>
          <cell r="P161">
            <v>0</v>
          </cell>
          <cell r="Q161" t="str">
            <v>02|78</v>
          </cell>
        </row>
        <row r="162">
          <cell r="E162" t="str">
            <v>10. PHOTO LOG</v>
          </cell>
          <cell r="G162" t="str">
            <v>B02-P005</v>
          </cell>
          <cell r="H162" t="str">
            <v>Existing 141 / 236</v>
          </cell>
          <cell r="I162" t="str">
            <v>Existing Equipment</v>
          </cell>
          <cell r="J162" t="str">
            <v>Existing first/second-level telecom rooms 141 and 236, existing patch panels, relocated/removed equipment and fire alarm cabinet conditions</v>
          </cell>
          <cell r="K162">
            <v>0</v>
          </cell>
          <cell r="L162" t="str">
            <v>Paul</v>
          </cell>
          <cell r="O162" t="str">
            <v>Closed</v>
          </cell>
          <cell r="P162">
            <v>0</v>
          </cell>
          <cell r="Q162" t="str">
            <v>02|79</v>
          </cell>
        </row>
        <row r="163">
          <cell r="E163" t="str">
            <v>10. PHOTO LOG</v>
          </cell>
          <cell r="G163" t="str">
            <v>B02-P006</v>
          </cell>
          <cell r="H163" t="str">
            <v>All TRs</v>
          </cell>
          <cell r="I163" t="str">
            <v>Electrical / HVAC</v>
          </cell>
          <cell r="J163" t="str">
            <v>B02-TR141/236/342 A/B panels, rack receptacles, breakers, SPD, UPS/PDU, CU/IU equipment, condensate, disconnects and labels</v>
          </cell>
          <cell r="K163">
            <v>0</v>
          </cell>
          <cell r="L163" t="str">
            <v>Paul</v>
          </cell>
          <cell r="O163" t="str">
            <v>Closed</v>
          </cell>
          <cell r="P163">
            <v>0</v>
          </cell>
          <cell r="Q163" t="str">
            <v>02|80</v>
          </cell>
        </row>
        <row r="164">
          <cell r="E164" t="str">
            <v>10. PHOTO LOG</v>
          </cell>
          <cell r="G164" t="str">
            <v>B02-P007</v>
          </cell>
          <cell r="H164" t="str">
            <v>All</v>
          </cell>
          <cell r="I164" t="str">
            <v>Cable Tray / Firestop</v>
          </cell>
          <cell r="J164" t="str">
            <v>Basement/first/second/third/fourth cable tray route, supports, seismic bracing, 40% fill, penetrations and before/after firestopping</v>
          </cell>
          <cell r="K164">
            <v>0</v>
          </cell>
          <cell r="L164" t="str">
            <v>Paul</v>
          </cell>
          <cell r="O164" t="str">
            <v>Closed</v>
          </cell>
          <cell r="P164">
            <v>0</v>
          </cell>
          <cell r="Q164" t="str">
            <v>02|81</v>
          </cell>
        </row>
        <row r="165">
          <cell r="E165" t="str">
            <v>10. PHOTO LOG</v>
          </cell>
          <cell r="G165" t="str">
            <v>B02-P008</v>
          </cell>
          <cell r="H165" t="str">
            <v>All TRs</v>
          </cell>
          <cell r="I165" t="str">
            <v>Telecom / Security</v>
          </cell>
          <cell r="J165" t="str">
            <v>Racks, Fiber LIU, Cat6A, patch panels, labels/test records, cameras, PACS and existing rack transfer work</v>
          </cell>
          <cell r="K165">
            <v>0</v>
          </cell>
          <cell r="L165" t="str">
            <v>Paul</v>
          </cell>
          <cell r="O165" t="str">
            <v>Closed</v>
          </cell>
          <cell r="P165">
            <v>0</v>
          </cell>
          <cell r="Q165" t="str">
            <v>02|82</v>
          </cell>
        </row>
        <row r="166">
          <cell r="E166" t="str">
            <v>10. PHOTO LOG</v>
          </cell>
          <cell r="G166">
            <v>0</v>
          </cell>
          <cell r="H166">
            <v>0</v>
          </cell>
          <cell r="I166">
            <v>0</v>
          </cell>
          <cell r="J166">
            <v>0</v>
          </cell>
          <cell r="K166">
            <v>0</v>
          </cell>
          <cell r="L166">
            <v>0</v>
          </cell>
          <cell r="O166">
            <v>0</v>
          </cell>
          <cell r="P166">
            <v>0</v>
          </cell>
          <cell r="Q166" t="str">
            <v>02|83</v>
          </cell>
        </row>
        <row r="167">
          <cell r="E167" t="str">
            <v>1. ROOM INVENTORY</v>
          </cell>
          <cell r="G167" t="str">
            <v>1. ROOM INVENTORY</v>
          </cell>
          <cell r="H167">
            <v>0</v>
          </cell>
          <cell r="I167">
            <v>0</v>
          </cell>
          <cell r="J167">
            <v>0</v>
          </cell>
          <cell r="K167">
            <v>0</v>
          </cell>
          <cell r="L167">
            <v>0</v>
          </cell>
          <cell r="O167">
            <v>0</v>
          </cell>
          <cell r="P167">
            <v>0</v>
          </cell>
          <cell r="Q167" t="str">
            <v>03|1</v>
          </cell>
        </row>
        <row r="168">
          <cell r="E168" t="str">
            <v>1. ROOM INVENTORY</v>
          </cell>
          <cell r="G168" t="str">
            <v>Building</v>
          </cell>
          <cell r="H168" t="str">
            <v>Room</v>
          </cell>
          <cell r="I168" t="str">
            <v>Floor</v>
          </cell>
          <cell r="J168" t="str">
            <v>Existing Use</v>
          </cell>
          <cell r="K168" t="str">
            <v>New Use</v>
          </cell>
          <cell r="L168" t="str">
            <v>Rack Count</v>
          </cell>
          <cell r="O168" t="str">
            <v>Drawing Ref</v>
          </cell>
          <cell r="P168" t="str">
            <v>Notes</v>
          </cell>
          <cell r="Q168" t="str">
            <v>03|2</v>
          </cell>
        </row>
        <row r="169">
          <cell r="E169" t="str">
            <v>1. ROOM INVENTORY</v>
          </cell>
          <cell r="G169" t="str">
            <v>03</v>
          </cell>
          <cell r="H169" t="str">
            <v>101E</v>
          </cell>
          <cell r="I169" t="str">
            <v>First</v>
          </cell>
          <cell r="J169" t="str">
            <v>New telecom room buildout / relocated TR function</v>
          </cell>
          <cell r="K169" t="str">
            <v>Telecom Room</v>
          </cell>
          <cell r="L169">
            <v>2</v>
          </cell>
          <cell r="O169" t="str">
            <v>03A-401 / 03E-101 / 03E-401 / 03E-601 / 03E-701 / 03T-101 / 03T-401 / 03T-604 / 03T-701</v>
          </cell>
          <cell r="P169" t="str">
            <v>Primary Building 03 TR. Schedules identify RM101E with 143 WAO total, 213 active ports, 187 scheduled ports, 206 total ports with 10% allowance, Rack IDs TR01-101E-1 and TR01-101E-2, 5kW UPS, Zone PDU, fiber LIU, Cat6A patch panels, and future rack/switch capacity.</v>
          </cell>
          <cell r="Q169" t="str">
            <v>03|3</v>
          </cell>
        </row>
        <row r="170">
          <cell r="E170" t="str">
            <v>1. ROOM INVENTORY</v>
          </cell>
          <cell r="G170" t="str">
            <v>03</v>
          </cell>
          <cell r="H170" t="str">
            <v>107</v>
          </cell>
          <cell r="I170" t="str">
            <v>Basement</v>
          </cell>
          <cell r="J170" t="str">
            <v>Existing telecom room / legacy rack equipment</v>
          </cell>
          <cell r="K170" t="str">
            <v>Existing telecom transition point</v>
          </cell>
          <cell r="L170">
            <v>1</v>
          </cell>
          <cell r="O170" t="str">
            <v>03T-100 / 03T-403 / 03T-604 / 03R-900</v>
          </cell>
          <cell r="P170" t="str">
            <v>Existing Basement Telecom Room 107. Rack elevation identifies Building 3 existing B3-LB-B13-TC-FIBER rack with UPS on floor, Cisco switch, legacy 48-port patch panels, and fiber LIU wall-mounted. 03T-403 provides Room 107 inventory list for reference.</v>
          </cell>
          <cell r="Q170" t="str">
            <v>03|4</v>
          </cell>
        </row>
        <row r="171">
          <cell r="E171" t="str">
            <v>1. ROOM INVENTORY</v>
          </cell>
          <cell r="G171" t="str">
            <v>03</v>
          </cell>
          <cell r="H171" t="str">
            <v>101C</v>
          </cell>
          <cell r="I171" t="str">
            <v>First</v>
          </cell>
          <cell r="J171" t="str">
            <v>Existing DMARC / telecom room</v>
          </cell>
          <cell r="K171" t="str">
            <v>Existing DMARC transition point</v>
          </cell>
          <cell r="L171">
            <v>1</v>
          </cell>
          <cell r="O171" t="str">
            <v>03T-101 / 03T-401 / 03T-604 / 03R-900</v>
          </cell>
          <cell r="P171" t="str">
            <v>First-floor existing DMARC Room 101C / telecom room. Enlarged plan shows existing/removal patch panels, existing branch panel, telecom cabinet, 101C-CAM-01, 101C-CK-A, 101C-A/B/C/D and AP locations. Protect active DMARC/fiber until new service is operational.</v>
          </cell>
          <cell r="Q171" t="str">
            <v>03|5</v>
          </cell>
        </row>
        <row r="172">
          <cell r="E172" t="str">
            <v>1. ROOM INVENTORY</v>
          </cell>
          <cell r="G172" t="str">
            <v>03</v>
          </cell>
          <cell r="H172" t="str">
            <v>108 / 107A / 101C related WAO areas</v>
          </cell>
          <cell r="I172" t="str">
            <v>First</v>
          </cell>
          <cell r="J172" t="str">
            <v>Work area outlets and WAP/camera locations</v>
          </cell>
          <cell r="K172" t="str">
            <v>WAO recabling / device support</v>
          </cell>
          <cell r="L172">
            <v>0</v>
          </cell>
          <cell r="O172" t="str">
            <v>03T-101 / 03T-701</v>
          </cell>
          <cell r="P172" t="str">
            <v>WAO schedule includes first-level outlets such as 108-A/B/C, 108-CK-A, 108-AP-A, 107A-AP-A, 101C-CAM-01, 101C-A/B/C/D and AP locations served from TR01-101E-1/2.</v>
          </cell>
          <cell r="Q172" t="str">
            <v>03|6</v>
          </cell>
        </row>
        <row r="173">
          <cell r="E173" t="str">
            <v>1. ROOM INVENTORY</v>
          </cell>
          <cell r="G173">
            <v>0</v>
          </cell>
          <cell r="H173">
            <v>0</v>
          </cell>
          <cell r="I173">
            <v>0</v>
          </cell>
          <cell r="J173">
            <v>0</v>
          </cell>
          <cell r="K173">
            <v>0</v>
          </cell>
          <cell r="L173">
            <v>0</v>
          </cell>
          <cell r="O173">
            <v>0</v>
          </cell>
          <cell r="P173">
            <v>0</v>
          </cell>
          <cell r="Q173" t="str">
            <v>03|7</v>
          </cell>
        </row>
        <row r="174">
          <cell r="E174" t="str">
            <v>2. ROOM READINESS</v>
          </cell>
          <cell r="G174" t="str">
            <v>2. ROOM READINESS</v>
          </cell>
          <cell r="H174">
            <v>0</v>
          </cell>
          <cell r="I174">
            <v>0</v>
          </cell>
          <cell r="J174">
            <v>0</v>
          </cell>
          <cell r="K174">
            <v>0</v>
          </cell>
          <cell r="L174">
            <v>0</v>
          </cell>
          <cell r="O174">
            <v>0</v>
          </cell>
          <cell r="P174">
            <v>0</v>
          </cell>
          <cell r="Q174" t="str">
            <v>03|8</v>
          </cell>
        </row>
        <row r="175">
          <cell r="E175" t="str">
            <v>2. ROOM READINESS</v>
          </cell>
          <cell r="G175" t="str">
            <v>Room</v>
          </cell>
          <cell r="H175" t="str">
            <v>Walls / 1-hr Rating</v>
          </cell>
          <cell r="I175" t="str">
            <v>Ceiling</v>
          </cell>
          <cell r="J175" t="str">
            <v>Floor / SDC</v>
          </cell>
          <cell r="K175" t="str">
            <v>Penetrations</v>
          </cell>
          <cell r="L175" t="str">
            <v>Access Control</v>
          </cell>
          <cell r="O175" t="str">
            <v>Overall</v>
          </cell>
          <cell r="P175" t="str">
            <v>Comments</v>
          </cell>
          <cell r="Q175" t="str">
            <v>03|9</v>
          </cell>
        </row>
        <row r="176">
          <cell r="E176" t="str">
            <v>2. ROOM READINESS</v>
          </cell>
          <cell r="G176" t="str">
            <v>101E</v>
          </cell>
          <cell r="H176" t="str">
            <v>Verify</v>
          </cell>
          <cell r="I176" t="str">
            <v>Verify</v>
          </cell>
          <cell r="J176" t="str">
            <v>Verify</v>
          </cell>
          <cell r="K176" t="str">
            <v>Verify</v>
          </cell>
          <cell r="L176" t="str">
            <v>Verify</v>
          </cell>
          <cell r="O176" t="str">
            <v>Verify</v>
          </cell>
          <cell r="P176" t="str">
            <v>New/renovated TR. Verify rated walls/smoke barriers, door/access-control hardware, ceiling/deck, floor finish, rack/future rack clearances, wall backing, cable tray, fiber path A/B, and working clearances around rack, panels and cooling equipment.</v>
          </cell>
          <cell r="Q176" t="str">
            <v>03|10</v>
          </cell>
        </row>
        <row r="177">
          <cell r="E177" t="str">
            <v>2. ROOM READINESS</v>
          </cell>
          <cell r="G177" t="str">
            <v>107</v>
          </cell>
          <cell r="H177" t="str">
            <v>Existing / Verify</v>
          </cell>
          <cell r="I177" t="str">
            <v>Existing / Verify</v>
          </cell>
          <cell r="J177" t="str">
            <v>Existing / Verify</v>
          </cell>
          <cell r="K177" t="str">
            <v>Verify</v>
          </cell>
          <cell r="L177" t="str">
            <v>Verify Existing</v>
          </cell>
          <cell r="O177" t="str">
            <v>Verify</v>
          </cell>
          <cell r="P177" t="str">
            <v>Existing basement telecom room must remain operational until cutover. Verify active equipment, rack access, existing UPS on floor, wall/floor rack conditions, and transfer/abandonment scope.</v>
          </cell>
          <cell r="Q177" t="str">
            <v>03|11</v>
          </cell>
        </row>
        <row r="178">
          <cell r="E178" t="str">
            <v>2. ROOM READINESS</v>
          </cell>
          <cell r="G178" t="str">
            <v>101C</v>
          </cell>
          <cell r="H178" t="str">
            <v>Existing / Verify</v>
          </cell>
          <cell r="I178" t="str">
            <v>Existing / Verify</v>
          </cell>
          <cell r="J178" t="str">
            <v>Existing / Verify</v>
          </cell>
          <cell r="K178" t="str">
            <v>Verify</v>
          </cell>
          <cell r="L178" t="str">
            <v>Verify Existing</v>
          </cell>
          <cell r="O178" t="str">
            <v>Verify</v>
          </cell>
          <cell r="P178" t="str">
            <v>Existing DMARC/telecom transition point; verify active provider/fiber/DMARC services, branch panel, patch panels, cabinet and protection-in-place.</v>
          </cell>
          <cell r="Q178" t="str">
            <v>03|12</v>
          </cell>
        </row>
        <row r="179">
          <cell r="E179" t="str">
            <v>2. ROOM READINESS</v>
          </cell>
          <cell r="G179" t="str">
            <v>WAO Areas</v>
          </cell>
          <cell r="H179" t="str">
            <v>Existing / Verify</v>
          </cell>
          <cell r="I179" t="str">
            <v>Existing / Verify</v>
          </cell>
          <cell r="J179" t="str">
            <v>Existing / Verify</v>
          </cell>
          <cell r="K179" t="str">
            <v>Verify</v>
          </cell>
          <cell r="L179" t="str">
            <v>N/A / Verify</v>
          </cell>
          <cell r="O179" t="str">
            <v>Verify</v>
          </cell>
          <cell r="P179" t="str">
            <v>Verify existing conduit reuse, surface raceway where needed, 40% fill, WAP protection-in-place, access above ceilings, and infection-control controls.</v>
          </cell>
          <cell r="Q179" t="str">
            <v>03|13</v>
          </cell>
        </row>
        <row r="180">
          <cell r="E180" t="str">
            <v>2. ROOM READINESS</v>
          </cell>
          <cell r="G180">
            <v>0</v>
          </cell>
          <cell r="H180">
            <v>0</v>
          </cell>
          <cell r="I180">
            <v>0</v>
          </cell>
          <cell r="J180">
            <v>0</v>
          </cell>
          <cell r="K180">
            <v>0</v>
          </cell>
          <cell r="L180">
            <v>0</v>
          </cell>
          <cell r="O180">
            <v>0</v>
          </cell>
          <cell r="P180">
            <v>0</v>
          </cell>
          <cell r="Q180" t="str">
            <v>03|14</v>
          </cell>
        </row>
        <row r="181">
          <cell r="E181" t="str">
            <v>3. FIRE PROTECTION</v>
          </cell>
          <cell r="G181" t="str">
            <v>3. FIRE PROTECTION</v>
          </cell>
          <cell r="H181">
            <v>0</v>
          </cell>
          <cell r="I181">
            <v>0</v>
          </cell>
          <cell r="J181">
            <v>0</v>
          </cell>
          <cell r="K181">
            <v>0</v>
          </cell>
          <cell r="L181">
            <v>0</v>
          </cell>
          <cell r="O181">
            <v>0</v>
          </cell>
          <cell r="P181">
            <v>0</v>
          </cell>
          <cell r="Q181" t="str">
            <v>03|15</v>
          </cell>
        </row>
        <row r="182">
          <cell r="E182" t="str">
            <v>3. FIRE PROTECTION</v>
          </cell>
          <cell r="G182" t="str">
            <v>Room</v>
          </cell>
          <cell r="H182" t="str">
            <v>Sprinkler</v>
          </cell>
          <cell r="I182" t="str">
            <v>Cage</v>
          </cell>
          <cell r="J182" t="str">
            <v>Detector</v>
          </cell>
          <cell r="K182" t="str">
            <v>Horn/Strobe</v>
          </cell>
          <cell r="L182" t="str">
            <v>Extinguisher &lt;75 ft</v>
          </cell>
          <cell r="O182" t="str">
            <v>Overall</v>
          </cell>
          <cell r="P182" t="str">
            <v>Risk / Notes</v>
          </cell>
          <cell r="Q182" t="str">
            <v>03|16</v>
          </cell>
        </row>
        <row r="183">
          <cell r="E183" t="str">
            <v>3. FIRE PROTECTION</v>
          </cell>
          <cell r="G183" t="str">
            <v>101E</v>
          </cell>
          <cell r="H183" t="str">
            <v>Verify</v>
          </cell>
          <cell r="I183" t="str">
            <v>Verify</v>
          </cell>
          <cell r="J183" t="str">
            <v>Verify</v>
          </cell>
          <cell r="K183" t="str">
            <v>Verify</v>
          </cell>
          <cell r="L183" t="str">
            <v>Verify</v>
          </cell>
          <cell r="O183" t="str">
            <v>Verify</v>
          </cell>
          <cell r="P183" t="str">
            <v>Full fire protection scope included. Verify sprinkler modifications, fire alarm devices, clean-agent/CO2 2A:10B:C FEC within 75 ft, rated wall/floor penetrations, temporary firestopping and final UL systems.</v>
          </cell>
          <cell r="Q183" t="str">
            <v>03|17</v>
          </cell>
        </row>
        <row r="184">
          <cell r="E184" t="str">
            <v>3. FIRE PROTECTION</v>
          </cell>
          <cell r="G184" t="str">
            <v>107</v>
          </cell>
          <cell r="H184" t="str">
            <v>Existing / Verify</v>
          </cell>
          <cell r="I184" t="str">
            <v>N/A</v>
          </cell>
          <cell r="J184" t="str">
            <v>Verify Existing</v>
          </cell>
          <cell r="K184" t="str">
            <v>Verify Existing</v>
          </cell>
          <cell r="L184" t="str">
            <v>Verify</v>
          </cell>
          <cell r="O184" t="str">
            <v>Verify</v>
          </cell>
          <cell r="P184" t="str">
            <v>Existing telecom room; verify fire alarm/sprinkler protection-in-place and seal penetrations after fiber/cable transfer or reuse.</v>
          </cell>
          <cell r="Q184" t="str">
            <v>03|18</v>
          </cell>
        </row>
        <row r="185">
          <cell r="E185" t="str">
            <v>3. FIRE PROTECTION</v>
          </cell>
          <cell r="G185" t="str">
            <v>101C</v>
          </cell>
          <cell r="H185" t="str">
            <v>Existing / Verify</v>
          </cell>
          <cell r="I185" t="str">
            <v>N/A</v>
          </cell>
          <cell r="J185" t="str">
            <v>Verify Existing</v>
          </cell>
          <cell r="K185" t="str">
            <v>Verify Existing</v>
          </cell>
          <cell r="L185" t="str">
            <v>Verify</v>
          </cell>
          <cell r="O185" t="str">
            <v>Verify</v>
          </cell>
          <cell r="P185" t="str">
            <v>Existing DMARC/telecom room; fire alarm/sprinkler and firestopping must remain in service during transfer.</v>
          </cell>
          <cell r="Q185" t="str">
            <v>03|19</v>
          </cell>
        </row>
        <row r="186">
          <cell r="E186" t="str">
            <v>3. FIRE PROTECTION</v>
          </cell>
          <cell r="G186" t="str">
            <v>WAO Areas</v>
          </cell>
          <cell r="H186" t="str">
            <v>Existing / Verify</v>
          </cell>
          <cell r="I186" t="str">
            <v>N/A</v>
          </cell>
          <cell r="J186" t="str">
            <v>Verify Existing</v>
          </cell>
          <cell r="K186" t="str">
            <v>Verify Existing</v>
          </cell>
          <cell r="L186" t="str">
            <v>N/A</v>
          </cell>
          <cell r="O186" t="str">
            <v>Verify</v>
          </cell>
          <cell r="P186" t="str">
            <v>Coordinate ceiling removal, temporary barriers/upright sprinklers if ceiling tiles remain open, and firestopping at all rated penetrations.</v>
          </cell>
          <cell r="Q186" t="str">
            <v>03|20</v>
          </cell>
        </row>
        <row r="187">
          <cell r="E187" t="str">
            <v>3. FIRE PROTECTION</v>
          </cell>
          <cell r="G187">
            <v>0</v>
          </cell>
          <cell r="H187">
            <v>0</v>
          </cell>
          <cell r="I187">
            <v>0</v>
          </cell>
          <cell r="J187">
            <v>0</v>
          </cell>
          <cell r="K187">
            <v>0</v>
          </cell>
          <cell r="L187">
            <v>0</v>
          </cell>
          <cell r="O187">
            <v>0</v>
          </cell>
          <cell r="P187">
            <v>0</v>
          </cell>
          <cell r="Q187" t="str">
            <v>03|21</v>
          </cell>
        </row>
        <row r="188">
          <cell r="E188" t="str">
            <v>4. HVAC / COOLING</v>
          </cell>
          <cell r="G188" t="str">
            <v>4. HVAC / COOLING</v>
          </cell>
          <cell r="H188">
            <v>0</v>
          </cell>
          <cell r="I188">
            <v>0</v>
          </cell>
          <cell r="J188">
            <v>0</v>
          </cell>
          <cell r="K188">
            <v>0</v>
          </cell>
          <cell r="L188">
            <v>0</v>
          </cell>
          <cell r="O188">
            <v>0</v>
          </cell>
          <cell r="P188">
            <v>0</v>
          </cell>
          <cell r="Q188" t="str">
            <v>03|22</v>
          </cell>
        </row>
        <row r="189">
          <cell r="E189" t="str">
            <v>4. HVAC / COOLING</v>
          </cell>
          <cell r="G189" t="str">
            <v>Room</v>
          </cell>
          <cell r="H189" t="str">
            <v>Dedicated Unit</v>
          </cell>
          <cell r="I189" t="str">
            <v>Capacity Verified</v>
          </cell>
          <cell r="J189" t="str">
            <v>Emergency Power</v>
          </cell>
          <cell r="K189" t="str">
            <v>Controls / BACnet</v>
          </cell>
          <cell r="L189" t="str">
            <v>Condensate Routed</v>
          </cell>
          <cell r="O189" t="str">
            <v>Overall</v>
          </cell>
          <cell r="P189" t="str">
            <v>Risk / Notes</v>
          </cell>
          <cell r="Q189" t="str">
            <v>03|23</v>
          </cell>
        </row>
        <row r="190">
          <cell r="E190" t="str">
            <v>4. HVAC / COOLING</v>
          </cell>
          <cell r="G190" t="str">
            <v>101E</v>
          </cell>
          <cell r="H190" t="str">
            <v>CU-01 / TR cooling assignment verify</v>
          </cell>
          <cell r="I190" t="str">
            <v>Verify</v>
          </cell>
          <cell r="J190" t="str">
            <v>Verify</v>
          </cell>
          <cell r="K190" t="str">
            <v>Verify</v>
          </cell>
          <cell r="L190" t="str">
            <v>Verify</v>
          </cell>
          <cell r="O190" t="str">
            <v>Verify</v>
          </cell>
          <cell r="P190" t="str">
            <v>Electrical schedule references CU-01 on B03-TR101CB and mechanical package includes dedicated TR cooling. Confirm indoor/outdoor unit serving Room 101E, capacity, emergency source, condensate route, controls/BACnet and high-temperature alarm.</v>
          </cell>
          <cell r="Q190" t="str">
            <v>03|24</v>
          </cell>
        </row>
        <row r="191">
          <cell r="E191" t="str">
            <v>4. HVAC / COOLING</v>
          </cell>
          <cell r="G191" t="str">
            <v>107</v>
          </cell>
          <cell r="H191" t="str">
            <v>Existing / Verify</v>
          </cell>
          <cell r="I191" t="str">
            <v>Verify</v>
          </cell>
          <cell r="J191" t="str">
            <v>Verify</v>
          </cell>
          <cell r="K191" t="str">
            <v>Verify</v>
          </cell>
          <cell r="L191" t="str">
            <v>Verify</v>
          </cell>
          <cell r="O191" t="str">
            <v>Verify</v>
          </cell>
          <cell r="P191" t="str">
            <v>Existing basement telecom equipment may remain active during transfer. Verify ambient temperature/cooling protection until migration is complete.</v>
          </cell>
          <cell r="Q191" t="str">
            <v>03|25</v>
          </cell>
        </row>
        <row r="192">
          <cell r="E192" t="str">
            <v>4. HVAC / COOLING</v>
          </cell>
          <cell r="G192" t="str">
            <v>101C</v>
          </cell>
          <cell r="H192" t="str">
            <v>Existing / Verify</v>
          </cell>
          <cell r="I192" t="str">
            <v>Verify</v>
          </cell>
          <cell r="J192" t="str">
            <v>Verify</v>
          </cell>
          <cell r="K192" t="str">
            <v>Verify</v>
          </cell>
          <cell r="L192" t="str">
            <v>Verify</v>
          </cell>
          <cell r="O192" t="str">
            <v>Verify</v>
          </cell>
          <cell r="P192" t="str">
            <v>Existing DMARC/fiber services may remain active during cutover; verify existing environmental conditions and heat load if equipment remains.</v>
          </cell>
          <cell r="Q192" t="str">
            <v>03|26</v>
          </cell>
        </row>
        <row r="193">
          <cell r="E193" t="str">
            <v>4. HVAC / COOLING</v>
          </cell>
          <cell r="G193" t="str">
            <v>WAO Areas</v>
          </cell>
          <cell r="H193" t="str">
            <v>N/A</v>
          </cell>
          <cell r="I193" t="str">
            <v>N/A</v>
          </cell>
          <cell r="J193" t="str">
            <v>N/A</v>
          </cell>
          <cell r="K193" t="str">
            <v>N/A</v>
          </cell>
          <cell r="L193" t="str">
            <v>N/A</v>
          </cell>
          <cell r="O193" t="str">
            <v>N/A</v>
          </cell>
          <cell r="P193" t="str">
            <v>No dedicated HVAC for WAO areas; maintain infection control/IAQ and ceiling restoration requirements.</v>
          </cell>
          <cell r="Q193" t="str">
            <v>03|27</v>
          </cell>
        </row>
        <row r="194">
          <cell r="E194" t="str">
            <v>4. HVAC / COOLING</v>
          </cell>
          <cell r="G194">
            <v>0</v>
          </cell>
          <cell r="H194">
            <v>0</v>
          </cell>
          <cell r="I194">
            <v>0</v>
          </cell>
          <cell r="J194">
            <v>0</v>
          </cell>
          <cell r="K194">
            <v>0</v>
          </cell>
          <cell r="L194">
            <v>0</v>
          </cell>
          <cell r="O194">
            <v>0</v>
          </cell>
          <cell r="P194">
            <v>0</v>
          </cell>
          <cell r="Q194" t="str">
            <v>03|28</v>
          </cell>
        </row>
        <row r="195">
          <cell r="E195" t="str">
            <v>5. ELECTRICAL / UPS</v>
          </cell>
          <cell r="G195" t="str">
            <v>5. ELECTRICAL / UPS</v>
          </cell>
          <cell r="H195">
            <v>0</v>
          </cell>
          <cell r="I195">
            <v>0</v>
          </cell>
          <cell r="J195">
            <v>0</v>
          </cell>
          <cell r="K195">
            <v>0</v>
          </cell>
          <cell r="L195">
            <v>0</v>
          </cell>
          <cell r="O195">
            <v>0</v>
          </cell>
          <cell r="P195">
            <v>0</v>
          </cell>
          <cell r="Q195" t="str">
            <v>03|29</v>
          </cell>
        </row>
        <row r="196">
          <cell r="E196" t="str">
            <v>5. ELECTRICAL / UPS</v>
          </cell>
          <cell r="G196" t="str">
            <v>Room</v>
          </cell>
          <cell r="H196" t="str">
            <v>UPS Installed</v>
          </cell>
          <cell r="I196" t="str">
            <v>UPS Size</v>
          </cell>
          <cell r="J196" t="str">
            <v>PDU Installed</v>
          </cell>
          <cell r="K196" t="str">
            <v>Rack Receptacles</v>
          </cell>
          <cell r="L196" t="str">
            <v>Panel Assigned</v>
          </cell>
          <cell r="O196" t="str">
            <v>Overall</v>
          </cell>
          <cell r="P196" t="str">
            <v>Notes</v>
          </cell>
          <cell r="Q196" t="str">
            <v>03|30</v>
          </cell>
        </row>
        <row r="197">
          <cell r="E197" t="str">
            <v>5. ELECTRICAL / UPS</v>
          </cell>
          <cell r="G197" t="str">
            <v>101E</v>
          </cell>
          <cell r="H197" t="str">
            <v>Verify</v>
          </cell>
          <cell r="I197" t="str">
            <v>5 kW / 208V rack UPS</v>
          </cell>
          <cell r="J197" t="str">
            <v>Verify</v>
          </cell>
          <cell r="K197" t="str">
            <v>Verify</v>
          </cell>
          <cell r="L197" t="str">
            <v>B03-TR101CA / B03-TR101CB</v>
          </cell>
          <cell r="O197" t="str">
            <v>Verify</v>
          </cell>
          <cell r="P197" t="str">
            <v>Electrical one-line/schedules identify B03-TR101CA/B with rack receptacles, TR receptacles, access controller, CU-01 on B03-TR101CB, SPDs integral to telecom panels, PXR20 trip units, and 30-day load measurement requirements.</v>
          </cell>
          <cell r="Q197" t="str">
            <v>03|31</v>
          </cell>
        </row>
        <row r="198">
          <cell r="E198" t="str">
            <v>5. ELECTRICAL / UPS</v>
          </cell>
          <cell r="G198" t="str">
            <v>107</v>
          </cell>
          <cell r="H198" t="str">
            <v>Existing</v>
          </cell>
          <cell r="I198" t="str">
            <v>UPS on floor</v>
          </cell>
          <cell r="J198" t="str">
            <v>Existing / Verify</v>
          </cell>
          <cell r="K198" t="str">
            <v>Verify</v>
          </cell>
          <cell r="L198" t="str">
            <v>Existing / Verify</v>
          </cell>
          <cell r="O198" t="str">
            <v>Verify</v>
          </cell>
          <cell r="P198" t="str">
            <v>Existing Room 107 rack elevation shows UPS on floor and legacy telecom equipment. Verify active source circuits and transfer requirements.</v>
          </cell>
          <cell r="Q198" t="str">
            <v>03|32</v>
          </cell>
        </row>
        <row r="199">
          <cell r="E199" t="str">
            <v>5. ELECTRICAL / UPS</v>
          </cell>
          <cell r="G199" t="str">
            <v>101C</v>
          </cell>
          <cell r="H199" t="str">
            <v>Existing / Verify</v>
          </cell>
          <cell r="I199" t="str">
            <v>Existing / Verify</v>
          </cell>
          <cell r="J199" t="str">
            <v>Existing / Verify</v>
          </cell>
          <cell r="K199" t="str">
            <v>Verify</v>
          </cell>
          <cell r="L199" t="str">
            <v>Existing branch panel / B03-TR101CA/B transition</v>
          </cell>
          <cell r="O199" t="str">
            <v>Verify</v>
          </cell>
          <cell r="P199" t="str">
            <v>Existing DMARC plan shows existing branch panel and patch panel removal/relocation scope. Verify source circuits before demolition or transfer.</v>
          </cell>
          <cell r="Q199" t="str">
            <v>03|33</v>
          </cell>
        </row>
        <row r="200">
          <cell r="E200" t="str">
            <v>5. ELECTRICAL / UPS</v>
          </cell>
          <cell r="G200" t="str">
            <v>WAO Areas</v>
          </cell>
          <cell r="H200" t="str">
            <v>N/A</v>
          </cell>
          <cell r="I200" t="str">
            <v>N/A</v>
          </cell>
          <cell r="J200" t="str">
            <v>N/A</v>
          </cell>
          <cell r="K200" t="str">
            <v>N/A</v>
          </cell>
          <cell r="L200" t="str">
            <v>Existing / new outlet circuits as needed</v>
          </cell>
          <cell r="O200" t="str">
            <v>Verify</v>
          </cell>
          <cell r="P200" t="str">
            <v>Verify power/data coordination at outlets, cameras, WAPs, Centrak/clock devices and hard-lid ceiling locations.</v>
          </cell>
          <cell r="Q200" t="str">
            <v>03|34</v>
          </cell>
        </row>
        <row r="201">
          <cell r="E201" t="str">
            <v>5. ELECTRICAL / UPS</v>
          </cell>
          <cell r="G201">
            <v>0</v>
          </cell>
          <cell r="H201">
            <v>0</v>
          </cell>
          <cell r="I201">
            <v>0</v>
          </cell>
          <cell r="J201">
            <v>0</v>
          </cell>
          <cell r="K201">
            <v>0</v>
          </cell>
          <cell r="L201">
            <v>0</v>
          </cell>
          <cell r="O201">
            <v>0</v>
          </cell>
          <cell r="P201">
            <v>0</v>
          </cell>
          <cell r="Q201" t="str">
            <v>03|35</v>
          </cell>
        </row>
        <row r="202">
          <cell r="E202" t="str">
            <v>6. TELECOMMUNICATIONS</v>
          </cell>
          <cell r="G202" t="str">
            <v>6. TELECOMMUNICATIONS</v>
          </cell>
          <cell r="H202">
            <v>0</v>
          </cell>
          <cell r="I202">
            <v>0</v>
          </cell>
          <cell r="J202">
            <v>0</v>
          </cell>
          <cell r="K202">
            <v>0</v>
          </cell>
          <cell r="L202">
            <v>0</v>
          </cell>
          <cell r="O202">
            <v>0</v>
          </cell>
          <cell r="P202">
            <v>0</v>
          </cell>
          <cell r="Q202" t="str">
            <v>03|36</v>
          </cell>
        </row>
        <row r="203">
          <cell r="E203" t="str">
            <v>6. TELECOMMUNICATIONS</v>
          </cell>
          <cell r="G203" t="str">
            <v>Room</v>
          </cell>
          <cell r="H203" t="str">
            <v>Rack Installed</v>
          </cell>
          <cell r="I203" t="str">
            <v>Ladder Tray</v>
          </cell>
          <cell r="J203" t="str">
            <v>Fiber Installed</v>
          </cell>
          <cell r="K203" t="str">
            <v>Grounding</v>
          </cell>
          <cell r="L203" t="str">
            <v>Labeling</v>
          </cell>
          <cell r="O203" t="str">
            <v>Overall</v>
          </cell>
          <cell r="P203" t="str">
            <v>Notes</v>
          </cell>
          <cell r="Q203" t="str">
            <v>03|37</v>
          </cell>
        </row>
        <row r="204">
          <cell r="E204" t="str">
            <v>6. TELECOMMUNICATIONS</v>
          </cell>
          <cell r="G204" t="str">
            <v>101E</v>
          </cell>
          <cell r="H204" t="str">
            <v>Verify</v>
          </cell>
          <cell r="I204" t="str">
            <v>Verify</v>
          </cell>
          <cell r="J204" t="str">
            <v>Verify</v>
          </cell>
          <cell r="K204" t="str">
            <v>Verify</v>
          </cell>
          <cell r="L204" t="str">
            <v>Verify</v>
          </cell>
          <cell r="O204" t="str">
            <v>Verify</v>
          </cell>
          <cell r="P204" t="str">
            <v>03T-701 identifies RM101E with 143 WAO total, 213 active ports, 187 scheduled ports and 206 total ports with 10% allowance. Cable tray schedule totals 961 ft: 615 ft basement level and 346 ft first level. Rack IDs TR01-101E-1 and TR01-101E-2.</v>
          </cell>
          <cell r="Q204" t="str">
            <v>03|38</v>
          </cell>
        </row>
        <row r="205">
          <cell r="E205" t="str">
            <v>6. TELECOMMUNICATIONS</v>
          </cell>
          <cell r="G205" t="str">
            <v>107</v>
          </cell>
          <cell r="H205" t="str">
            <v>Existing / Transfer</v>
          </cell>
          <cell r="I205" t="str">
            <v>Existing</v>
          </cell>
          <cell r="J205" t="str">
            <v>Existing</v>
          </cell>
          <cell r="K205" t="str">
            <v>Verify</v>
          </cell>
          <cell r="L205" t="str">
            <v>Verify</v>
          </cell>
          <cell r="O205" t="str">
            <v>Verify</v>
          </cell>
          <cell r="P205" t="str">
            <v>Existing Room 107 rack supports legacy active services; verify B3-LB-B13-TC-FIBER equipment inventory, fiber LIU, patch panels, Cisco switch and UPS before cutover.</v>
          </cell>
          <cell r="Q205" t="str">
            <v>03|39</v>
          </cell>
        </row>
        <row r="206">
          <cell r="E206" t="str">
            <v>6. TELECOMMUNICATIONS</v>
          </cell>
          <cell r="G206" t="str">
            <v>101C</v>
          </cell>
          <cell r="H206" t="str">
            <v>Existing / Transfer</v>
          </cell>
          <cell r="I206" t="str">
            <v>Existing</v>
          </cell>
          <cell r="J206" t="str">
            <v>Existing</v>
          </cell>
          <cell r="K206" t="str">
            <v>Verify</v>
          </cell>
          <cell r="L206" t="str">
            <v>Verify</v>
          </cell>
          <cell r="O206" t="str">
            <v>Verify</v>
          </cell>
          <cell r="P206" t="str">
            <v>Existing DMARC/telecom room 101C includes patch panels/cabinet/branch panel and 101C-CAM-01; protect active provider/fiber/DMARC services until new fiber/rack work is accepted.</v>
          </cell>
          <cell r="Q206" t="str">
            <v>03|40</v>
          </cell>
        </row>
        <row r="207">
          <cell r="E207" t="str">
            <v>6. TELECOMMUNICATIONS</v>
          </cell>
          <cell r="G207" t="str">
            <v>WAO Areas</v>
          </cell>
          <cell r="H207" t="str">
            <v>N/A</v>
          </cell>
          <cell r="I207" t="str">
            <v>Verify route</v>
          </cell>
          <cell r="J207" t="str">
            <v>N/A</v>
          </cell>
          <cell r="K207" t="str">
            <v>N/A</v>
          </cell>
          <cell r="L207" t="str">
            <v>Verify</v>
          </cell>
          <cell r="O207" t="str">
            <v>Verify</v>
          </cell>
          <cell r="P207" t="str">
            <v>Existing ports replaced; 3- and 4-port outlets reduced to two Cat6A ports where coordinated. WAPs remain protected in place while cabling/faceplate/jack are replaced.</v>
          </cell>
          <cell r="Q207" t="str">
            <v>03|41</v>
          </cell>
        </row>
        <row r="208">
          <cell r="E208" t="str">
            <v>6. TELECOMMUNICATIONS</v>
          </cell>
          <cell r="G208">
            <v>0</v>
          </cell>
          <cell r="H208">
            <v>0</v>
          </cell>
          <cell r="I208">
            <v>0</v>
          </cell>
          <cell r="J208">
            <v>0</v>
          </cell>
          <cell r="K208">
            <v>0</v>
          </cell>
          <cell r="L208">
            <v>0</v>
          </cell>
          <cell r="O208">
            <v>0</v>
          </cell>
          <cell r="P208">
            <v>0</v>
          </cell>
          <cell r="Q208" t="str">
            <v>03|42</v>
          </cell>
        </row>
        <row r="209">
          <cell r="E209" t="str">
            <v>7. SECURITY / PACS / CCTV</v>
          </cell>
          <cell r="G209" t="str">
            <v>7. SECURITY / PACS / CCTV</v>
          </cell>
          <cell r="H209">
            <v>0</v>
          </cell>
          <cell r="I209">
            <v>0</v>
          </cell>
          <cell r="J209">
            <v>0</v>
          </cell>
          <cell r="K209">
            <v>0</v>
          </cell>
          <cell r="L209">
            <v>0</v>
          </cell>
          <cell r="O209">
            <v>0</v>
          </cell>
          <cell r="P209">
            <v>0</v>
          </cell>
          <cell r="Q209" t="str">
            <v>03|43</v>
          </cell>
        </row>
        <row r="210">
          <cell r="E210" t="str">
            <v>7. SECURITY / PACS / CCTV</v>
          </cell>
          <cell r="G210" t="str">
            <v>Room</v>
          </cell>
          <cell r="H210" t="str">
            <v>PACS</v>
          </cell>
          <cell r="I210" t="str">
            <v>Card Reader</v>
          </cell>
          <cell r="J210" t="str">
            <v>Door Position</v>
          </cell>
          <cell r="K210" t="str">
            <v>Electric Strike</v>
          </cell>
          <cell r="L210" t="str">
            <v>CCTV</v>
          </cell>
          <cell r="O210" t="str">
            <v>Overall</v>
          </cell>
          <cell r="P210" t="str">
            <v>Notes</v>
          </cell>
          <cell r="Q210" t="str">
            <v>03|44</v>
          </cell>
        </row>
        <row r="211">
          <cell r="E211" t="str">
            <v>7. SECURITY / PACS / CCTV</v>
          </cell>
          <cell r="G211" t="str">
            <v>101E</v>
          </cell>
          <cell r="H211" t="str">
            <v>Verify</v>
          </cell>
          <cell r="I211" t="str">
            <v>Verify</v>
          </cell>
          <cell r="J211" t="str">
            <v>Verify</v>
          </cell>
          <cell r="K211" t="str">
            <v>Verify</v>
          </cell>
          <cell r="L211" t="str">
            <v>Verify</v>
          </cell>
          <cell r="O211" t="str">
            <v>Verify</v>
          </cell>
          <cell r="P211" t="str">
            <v>Plans require PACS for TR doors and electrical details include access-controlled door rough-in. Verify access controller, power supply/battery backup, CR/RX/DC/ES/MD devices, reader, strike and door hardware coordination.</v>
          </cell>
          <cell r="Q211" t="str">
            <v>03|45</v>
          </cell>
        </row>
        <row r="212">
          <cell r="E212" t="str">
            <v>7. SECURITY / PACS / CCTV</v>
          </cell>
          <cell r="G212" t="str">
            <v>101C</v>
          </cell>
          <cell r="H212" t="str">
            <v>Existing / Verify</v>
          </cell>
          <cell r="I212" t="str">
            <v>Existing / Verify</v>
          </cell>
          <cell r="J212" t="str">
            <v>Existing / Verify</v>
          </cell>
          <cell r="K212" t="str">
            <v>Existing / Verify</v>
          </cell>
          <cell r="L212" t="str">
            <v>101C-CAM-01 Verify</v>
          </cell>
          <cell r="O212" t="str">
            <v>Verify</v>
          </cell>
          <cell r="P212" t="str">
            <v>Enlarged plan and schedule identify 101C-CAM-01 and 101C-CK-A. Verify camera/VMS integration, existing camera angles and protection-in-place.</v>
          </cell>
          <cell r="Q212" t="str">
            <v>03|46</v>
          </cell>
        </row>
        <row r="213">
          <cell r="E213" t="str">
            <v>7. SECURITY / PACS / CCTV</v>
          </cell>
          <cell r="G213" t="str">
            <v>107</v>
          </cell>
          <cell r="H213" t="str">
            <v>Existing / Verify</v>
          </cell>
          <cell r="I213" t="str">
            <v>Existing / Verify</v>
          </cell>
          <cell r="J213" t="str">
            <v>Existing / Verify</v>
          </cell>
          <cell r="K213" t="str">
            <v>Existing / Verify</v>
          </cell>
          <cell r="L213" t="str">
            <v>Verify Existing</v>
          </cell>
          <cell r="O213" t="str">
            <v>Verify</v>
          </cell>
          <cell r="P213" t="str">
            <v>Verify existing security/CCTV/PACS impacts during basement telecom room transfer.</v>
          </cell>
          <cell r="Q213" t="str">
            <v>03|47</v>
          </cell>
        </row>
        <row r="214">
          <cell r="E214" t="str">
            <v>7. SECURITY / PACS / CCTV</v>
          </cell>
          <cell r="G214" t="str">
            <v>WAO Areas</v>
          </cell>
          <cell r="H214" t="str">
            <v>N/A / Verify</v>
          </cell>
          <cell r="I214" t="str">
            <v>N/A / Verify</v>
          </cell>
          <cell r="J214" t="str">
            <v>N/A / Verify</v>
          </cell>
          <cell r="K214" t="str">
            <v>N/A / Verify</v>
          </cell>
          <cell r="L214" t="str">
            <v>Verify Existing</v>
          </cell>
          <cell r="O214" t="str">
            <v>Verify</v>
          </cell>
          <cell r="P214" t="str">
            <v>Maintain existing camera angles when re-cabling; verify WAP/security/clock/Centrak devices are relabeled and tested.</v>
          </cell>
          <cell r="Q214" t="str">
            <v>03|48</v>
          </cell>
        </row>
        <row r="215">
          <cell r="E215" t="str">
            <v>7. SECURITY / PACS / CCTV</v>
          </cell>
          <cell r="G215">
            <v>0</v>
          </cell>
          <cell r="H215">
            <v>0</v>
          </cell>
          <cell r="I215">
            <v>0</v>
          </cell>
          <cell r="J215">
            <v>0</v>
          </cell>
          <cell r="K215">
            <v>0</v>
          </cell>
          <cell r="L215">
            <v>0</v>
          </cell>
          <cell r="O215">
            <v>0</v>
          </cell>
          <cell r="P215">
            <v>0</v>
          </cell>
          <cell r="Q215" t="str">
            <v>03|49</v>
          </cell>
        </row>
        <row r="216">
          <cell r="E216" t="str">
            <v>8. OWNER RISKS</v>
          </cell>
          <cell r="G216" t="str">
            <v>8. OWNER RISKS</v>
          </cell>
          <cell r="H216">
            <v>0</v>
          </cell>
          <cell r="I216">
            <v>0</v>
          </cell>
          <cell r="J216">
            <v>0</v>
          </cell>
          <cell r="K216">
            <v>0</v>
          </cell>
          <cell r="L216">
            <v>0</v>
          </cell>
          <cell r="O216">
            <v>0</v>
          </cell>
          <cell r="P216">
            <v>0</v>
          </cell>
          <cell r="Q216" t="str">
            <v>03|50</v>
          </cell>
        </row>
        <row r="217">
          <cell r="E217" t="str">
            <v>8. OWNER RISKS</v>
          </cell>
          <cell r="G217" t="str">
            <v>Risk ID</v>
          </cell>
          <cell r="H217" t="str">
            <v>Room</v>
          </cell>
          <cell r="I217" t="str">
            <v>Risk</v>
          </cell>
          <cell r="J217" t="str">
            <v>Impact</v>
          </cell>
          <cell r="K217" t="str">
            <v>Probability</v>
          </cell>
          <cell r="L217" t="str">
            <v>Score</v>
          </cell>
          <cell r="O217" t="str">
            <v>Status</v>
          </cell>
          <cell r="P217" t="str">
            <v>Notes</v>
          </cell>
          <cell r="Q217" t="str">
            <v>03|51</v>
          </cell>
        </row>
        <row r="218">
          <cell r="E218" t="str">
            <v>8. OWNER RISKS</v>
          </cell>
          <cell r="G218" t="str">
            <v>B03-R1</v>
          </cell>
          <cell r="H218" t="str">
            <v>All</v>
          </cell>
          <cell r="I218" t="str">
            <v>Existing conditions for Room 101E and transition rooms 107/101C not field verified</v>
          </cell>
          <cell r="J218" t="str">
            <v>High</v>
          </cell>
          <cell r="K218" t="str">
            <v>Medium</v>
          </cell>
          <cell r="L218">
            <v>6</v>
          </cell>
          <cell r="O218" t="str">
            <v>Open</v>
          </cell>
          <cell r="P218" t="str">
            <v>B03 has new TR work tied to existing basement telecom and first-floor DMARC.</v>
          </cell>
          <cell r="Q218" t="str">
            <v>03|52</v>
          </cell>
        </row>
        <row r="219">
          <cell r="E219" t="str">
            <v>8. OWNER RISKS</v>
          </cell>
          <cell r="G219" t="str">
            <v>B03-R2</v>
          </cell>
          <cell r="H219" t="str">
            <v>107 / 101C</v>
          </cell>
          <cell r="I219" t="str">
            <v>Existing DMARC/fiber/telecom equipment may remain active during transfer to Room 101E</v>
          </cell>
          <cell r="J219" t="str">
            <v>Critical</v>
          </cell>
          <cell r="K219" t="str">
            <v>Medium</v>
          </cell>
          <cell r="L219">
            <v>8</v>
          </cell>
          <cell r="O219" t="str">
            <v>Open</v>
          </cell>
          <cell r="P219" t="str">
            <v>Existing 107 rack and 101C DMARC/patch panels must not be disrupted before new services are operational.</v>
          </cell>
          <cell r="Q219" t="str">
            <v>03|53</v>
          </cell>
        </row>
        <row r="220">
          <cell r="E220" t="str">
            <v>8. OWNER RISKS</v>
          </cell>
          <cell r="G220" t="str">
            <v>B03-R3</v>
          </cell>
          <cell r="H220" t="str">
            <v>101E</v>
          </cell>
          <cell r="I220" t="str">
            <v>Dedicated cooling assignment, emergency power, condensate, BACnet and alarms not verified</v>
          </cell>
          <cell r="J220" t="str">
            <v>Critical</v>
          </cell>
          <cell r="K220" t="str">
            <v>Medium</v>
          </cell>
          <cell r="L220">
            <v>8</v>
          </cell>
          <cell r="O220" t="str">
            <v>Open</v>
          </cell>
          <cell r="P220" t="str">
            <v>CU-01 is referenced in electrical schedules; mechanical assignment must be verified.</v>
          </cell>
          <cell r="Q220" t="str">
            <v>03|54</v>
          </cell>
        </row>
        <row r="221">
          <cell r="E221" t="str">
            <v>8. OWNER RISKS</v>
          </cell>
          <cell r="G221" t="str">
            <v>B03-R4</v>
          </cell>
          <cell r="H221" t="str">
            <v>101E</v>
          </cell>
          <cell r="I221" t="str">
            <v>B03-TR101CA/B UPS/PDU and panel source coordination could delay energization</v>
          </cell>
          <cell r="J221" t="str">
            <v>High</v>
          </cell>
          <cell r="K221" t="str">
            <v>Medium</v>
          </cell>
          <cell r="L221">
            <v>6</v>
          </cell>
          <cell r="O221" t="str">
            <v>Open</v>
          </cell>
          <cell r="P221" t="str">
            <v>New telecom panels and rack circuits must be proven before acceptance.</v>
          </cell>
          <cell r="Q221" t="str">
            <v>03|55</v>
          </cell>
        </row>
        <row r="222">
          <cell r="E222" t="str">
            <v>8. OWNER RISKS</v>
          </cell>
          <cell r="G222" t="str">
            <v>B03-R5</v>
          </cell>
          <cell r="H222" t="str">
            <v>All</v>
          </cell>
          <cell r="I222" t="str">
            <v>961 feet of cable tray/pathway requires coordination and firestop tracking</v>
          </cell>
          <cell r="J222" t="str">
            <v>High</v>
          </cell>
          <cell r="K222" t="str">
            <v>Medium</v>
          </cell>
          <cell r="L222">
            <v>6</v>
          </cell>
          <cell r="O222" t="str">
            <v>Open</v>
          </cell>
          <cell r="P222" t="str">
            <v>Cable tray schedule: basement 615 ft and first level 346 ft.</v>
          </cell>
          <cell r="Q222" t="str">
            <v>03|56</v>
          </cell>
        </row>
        <row r="223">
          <cell r="E223" t="str">
            <v>8. OWNER RISKS</v>
          </cell>
          <cell r="G223" t="str">
            <v>B03-R6</v>
          </cell>
          <cell r="H223" t="str">
            <v>All</v>
          </cell>
          <cell r="I223" t="str">
            <v>Telecom/fiber cutover could affect active hospital communications and provider/DMARC services</v>
          </cell>
          <cell r="J223" t="str">
            <v>Critical</v>
          </cell>
          <cell r="K223" t="str">
            <v>Medium</v>
          </cell>
          <cell r="L223">
            <v>8</v>
          </cell>
          <cell r="O223" t="str">
            <v>Open</v>
          </cell>
          <cell r="P223" t="str">
            <v>Room 101E supports 206 total ports with allowance and replacement of basement/first-level WAOs.</v>
          </cell>
          <cell r="Q223" t="str">
            <v>03|57</v>
          </cell>
        </row>
        <row r="224">
          <cell r="E224" t="str">
            <v>8. OWNER RISKS</v>
          </cell>
          <cell r="G224" t="str">
            <v>B03-R7</v>
          </cell>
          <cell r="H224" t="str">
            <v>101E / 101C</v>
          </cell>
          <cell r="I224" t="str">
            <v>PACS/CCTV/door hardware coordination may not be ready at room acceptance</v>
          </cell>
          <cell r="J224" t="str">
            <v>High</v>
          </cell>
          <cell r="K224" t="str">
            <v>Medium</v>
          </cell>
          <cell r="L224">
            <v>6</v>
          </cell>
          <cell r="O224" t="str">
            <v>Open</v>
          </cell>
          <cell r="P224" t="str">
            <v>Plans identify 101C-CAM-01 and PACS/access control requirements.</v>
          </cell>
          <cell r="Q224" t="str">
            <v>03|58</v>
          </cell>
        </row>
        <row r="225">
          <cell r="E225" t="str">
            <v>8. OWNER RISKS</v>
          </cell>
          <cell r="G225" t="str">
            <v>B03-R8</v>
          </cell>
          <cell r="H225" t="str">
            <v>All</v>
          </cell>
          <cell r="I225" t="str">
            <v>Commissioning/third-party inspection reports may not be complete at turnover</v>
          </cell>
          <cell r="J225" t="str">
            <v>High</v>
          </cell>
          <cell r="K225" t="str">
            <v>Medium</v>
          </cell>
          <cell r="L225">
            <v>6</v>
          </cell>
          <cell r="O225" t="str">
            <v>Open</v>
          </cell>
          <cell r="P225" t="str">
            <v>50-sheet IFC package with full discipline scope and third-party inspection requirements.</v>
          </cell>
          <cell r="Q225" t="str">
            <v>03|59</v>
          </cell>
        </row>
        <row r="226">
          <cell r="E226" t="str">
            <v>8. OWNER RISKS</v>
          </cell>
          <cell r="G226">
            <v>0</v>
          </cell>
          <cell r="H226">
            <v>0</v>
          </cell>
          <cell r="I226">
            <v>0</v>
          </cell>
          <cell r="J226">
            <v>0</v>
          </cell>
          <cell r="K226">
            <v>0</v>
          </cell>
          <cell r="L226">
            <v>0</v>
          </cell>
          <cell r="O226">
            <v>0</v>
          </cell>
          <cell r="P226">
            <v>0</v>
          </cell>
          <cell r="Q226" t="str">
            <v>03|60</v>
          </cell>
        </row>
        <row r="227">
          <cell r="E227" t="str">
            <v>9. OPEN QUESTIONS</v>
          </cell>
          <cell r="G227" t="str">
            <v>9. OPEN QUESTIONS</v>
          </cell>
          <cell r="H227">
            <v>0</v>
          </cell>
          <cell r="I227">
            <v>0</v>
          </cell>
          <cell r="J227">
            <v>0</v>
          </cell>
          <cell r="K227">
            <v>0</v>
          </cell>
          <cell r="L227">
            <v>0</v>
          </cell>
          <cell r="O227">
            <v>0</v>
          </cell>
          <cell r="P227">
            <v>0</v>
          </cell>
          <cell r="Q227" t="str">
            <v>03|61</v>
          </cell>
        </row>
        <row r="228">
          <cell r="E228" t="str">
            <v>9. OPEN QUESTIONS</v>
          </cell>
          <cell r="G228" t="str">
            <v>Question ID</v>
          </cell>
          <cell r="H228" t="str">
            <v>Question</v>
          </cell>
          <cell r="I228" t="str">
            <v>Assigned To</v>
          </cell>
          <cell r="J228" t="str">
            <v>Status</v>
          </cell>
          <cell r="K228" t="str">
            <v>Needed By</v>
          </cell>
          <cell r="L228" t="str">
            <v>Answer / Resolution</v>
          </cell>
          <cell r="O228" t="str">
            <v>Date Closed</v>
          </cell>
          <cell r="P228" t="str">
            <v>Notes</v>
          </cell>
          <cell r="Q228" t="str">
            <v>03|62</v>
          </cell>
        </row>
        <row r="229">
          <cell r="E229" t="str">
            <v>9. OPEN QUESTIONS</v>
          </cell>
          <cell r="G229" t="str">
            <v>B03-Q1</v>
          </cell>
          <cell r="H229" t="str">
            <v>Confirm final telecom scope: new Room 101E with existing Basement Room 107 and existing DMARC Room 101C transition points?</v>
          </cell>
          <cell r="I229" t="str">
            <v>VA / OIT / Designer</v>
          </cell>
          <cell r="J229" t="str">
            <v>Open</v>
          </cell>
          <cell r="K229">
            <v>0</v>
          </cell>
          <cell r="L229">
            <v>0</v>
          </cell>
          <cell r="O229">
            <v>0</v>
          </cell>
          <cell r="P229">
            <v>0</v>
          </cell>
          <cell r="Q229" t="str">
            <v>03|63</v>
          </cell>
        </row>
        <row r="230">
          <cell r="E230" t="str">
            <v>9. OPEN QUESTIONS</v>
          </cell>
          <cell r="G230" t="str">
            <v>B03-Q2</v>
          </cell>
          <cell r="H230" t="str">
            <v>What active services are currently fed from existing Room 107 and DMARC Room 101C?</v>
          </cell>
          <cell r="I230" t="str">
            <v>OIT / Contractor / Provider</v>
          </cell>
          <cell r="J230" t="str">
            <v>Open</v>
          </cell>
          <cell r="K230">
            <v>0</v>
          </cell>
          <cell r="L230">
            <v>0</v>
          </cell>
          <cell r="O230">
            <v>0</v>
          </cell>
          <cell r="P230">
            <v>0</v>
          </cell>
          <cell r="Q230" t="str">
            <v>03|64</v>
          </cell>
        </row>
        <row r="231">
          <cell r="E231" t="str">
            <v>9. OPEN QUESTIONS</v>
          </cell>
          <cell r="G231" t="str">
            <v>B03-Q3</v>
          </cell>
          <cell r="H231" t="str">
            <v>What existing equipment transfers to new Room 101E versus remains/decommissions?</v>
          </cell>
          <cell r="I231" t="str">
            <v>OIT / Telecom</v>
          </cell>
          <cell r="J231" t="str">
            <v>Open</v>
          </cell>
          <cell r="K231">
            <v>0</v>
          </cell>
          <cell r="L231">
            <v>0</v>
          </cell>
          <cell r="O231">
            <v>0</v>
          </cell>
          <cell r="P231">
            <v>0</v>
          </cell>
          <cell r="Q231" t="str">
            <v>03|65</v>
          </cell>
        </row>
        <row r="232">
          <cell r="E232" t="str">
            <v>9. OPEN QUESTIONS</v>
          </cell>
          <cell r="G232" t="str">
            <v>B03-Q4</v>
          </cell>
          <cell r="H232" t="str">
            <v>Which IU/CU pair serves Room 101E and is it on emergency/backup power?</v>
          </cell>
          <cell r="I232" t="str">
            <v>Mechanical / Electrical / VA</v>
          </cell>
          <cell r="J232" t="str">
            <v>Open</v>
          </cell>
          <cell r="K232">
            <v>0</v>
          </cell>
          <cell r="L232">
            <v>0</v>
          </cell>
          <cell r="O232">
            <v>0</v>
          </cell>
          <cell r="P232">
            <v>0</v>
          </cell>
          <cell r="Q232" t="str">
            <v>03|66</v>
          </cell>
        </row>
        <row r="233">
          <cell r="E233" t="str">
            <v>9. OPEN QUESTIONS</v>
          </cell>
          <cell r="G233" t="str">
            <v>B03-Q5</v>
          </cell>
          <cell r="H233" t="str">
            <v>Where is the clean-agent/CO2 extinguisher cabinet located within 75 ft of Room 101E?</v>
          </cell>
          <cell r="I233" t="str">
            <v>GC / COR</v>
          </cell>
          <cell r="J233" t="str">
            <v>Open</v>
          </cell>
          <cell r="K233">
            <v>0</v>
          </cell>
          <cell r="L233">
            <v>0</v>
          </cell>
          <cell r="O233">
            <v>0</v>
          </cell>
          <cell r="P233">
            <v>0</v>
          </cell>
          <cell r="Q233" t="str">
            <v>03|67</v>
          </cell>
        </row>
        <row r="234">
          <cell r="E234" t="str">
            <v>9. OPEN QUESTIONS</v>
          </cell>
          <cell r="G234" t="str">
            <v>B03-Q6</v>
          </cell>
          <cell r="H234" t="str">
            <v>Are B03-TR101CA/B sources, rack receptacles, SPDs, labels and 30-day load measurements approved?</v>
          </cell>
          <cell r="I234" t="str">
            <v>Electrical / Designer</v>
          </cell>
          <cell r="J234" t="str">
            <v>Open</v>
          </cell>
          <cell r="K234">
            <v>0</v>
          </cell>
          <cell r="L234">
            <v>0</v>
          </cell>
          <cell r="O234">
            <v>0</v>
          </cell>
          <cell r="P234">
            <v>0</v>
          </cell>
          <cell r="Q234" t="str">
            <v>03|68</v>
          </cell>
        </row>
        <row r="235">
          <cell r="E235" t="str">
            <v>9. OPEN QUESTIONS</v>
          </cell>
          <cell r="G235" t="str">
            <v>B03-Q7</v>
          </cell>
          <cell r="H235" t="str">
            <v>Are all rated wall/floor penetrations, sleeves, cable tray entries and firestopping details identified?</v>
          </cell>
          <cell r="I235" t="str">
            <v>GC / Firestop</v>
          </cell>
          <cell r="J235" t="str">
            <v>Open</v>
          </cell>
          <cell r="K235">
            <v>0</v>
          </cell>
          <cell r="L235">
            <v>0</v>
          </cell>
          <cell r="O235">
            <v>0</v>
          </cell>
          <cell r="P235">
            <v>0</v>
          </cell>
          <cell r="Q235" t="str">
            <v>03|69</v>
          </cell>
        </row>
        <row r="236">
          <cell r="E236" t="str">
            <v>9. OPEN QUESTIONS</v>
          </cell>
          <cell r="G236" t="str">
            <v>B03-Q8</v>
          </cell>
          <cell r="H236" t="str">
            <v>Which third-party inspections and commissioning forms are required before VA/OIT acceptance?</v>
          </cell>
          <cell r="I236" t="str">
            <v>GC / Cx Manager / OIT</v>
          </cell>
          <cell r="J236" t="str">
            <v>Open</v>
          </cell>
          <cell r="K236">
            <v>0</v>
          </cell>
          <cell r="L236">
            <v>0</v>
          </cell>
          <cell r="O236">
            <v>0</v>
          </cell>
          <cell r="P236">
            <v>0</v>
          </cell>
          <cell r="Q236" t="str">
            <v>03|70</v>
          </cell>
        </row>
        <row r="237">
          <cell r="E237" t="str">
            <v>9. OPEN QUESTIONS</v>
          </cell>
          <cell r="G237">
            <v>0</v>
          </cell>
          <cell r="H237">
            <v>0</v>
          </cell>
          <cell r="I237">
            <v>0</v>
          </cell>
          <cell r="J237">
            <v>0</v>
          </cell>
          <cell r="K237">
            <v>0</v>
          </cell>
          <cell r="L237">
            <v>0</v>
          </cell>
          <cell r="O237">
            <v>0</v>
          </cell>
          <cell r="P237">
            <v>0</v>
          </cell>
          <cell r="Q237" t="str">
            <v>03|71</v>
          </cell>
        </row>
        <row r="238">
          <cell r="E238" t="str">
            <v>10. PHOTO LOG</v>
          </cell>
          <cell r="G238" t="str">
            <v>10. PHOTO LOG</v>
          </cell>
          <cell r="H238">
            <v>0</v>
          </cell>
          <cell r="I238">
            <v>0</v>
          </cell>
          <cell r="J238">
            <v>0</v>
          </cell>
          <cell r="K238">
            <v>0</v>
          </cell>
          <cell r="L238">
            <v>0</v>
          </cell>
          <cell r="O238">
            <v>0</v>
          </cell>
          <cell r="P238">
            <v>0</v>
          </cell>
          <cell r="Q238" t="str">
            <v>03|72</v>
          </cell>
        </row>
        <row r="239">
          <cell r="E239" t="str">
            <v>10. PHOTO LOG</v>
          </cell>
          <cell r="G239" t="str">
            <v>Photo ID</v>
          </cell>
          <cell r="H239" t="str">
            <v>Room</v>
          </cell>
          <cell r="I239" t="str">
            <v>Category</v>
          </cell>
          <cell r="J239" t="str">
            <v>Description</v>
          </cell>
          <cell r="K239" t="str">
            <v>Date</v>
          </cell>
          <cell r="L239" t="str">
            <v>Taken By</v>
          </cell>
          <cell r="O239" t="str">
            <v>Status</v>
          </cell>
          <cell r="P239" t="str">
            <v>Notes</v>
          </cell>
          <cell r="Q239" t="str">
            <v>03|73</v>
          </cell>
        </row>
        <row r="240">
          <cell r="E240" t="str">
            <v>10. PHOTO LOG</v>
          </cell>
          <cell r="G240" t="str">
            <v>B03-P001</v>
          </cell>
          <cell r="H240" t="str">
            <v>101E</v>
          </cell>
          <cell r="I240" t="str">
            <v>Existing / New Condition</v>
          </cell>
          <cell r="J240" t="str">
            <v>Room 101E walls, ceiling/deck, floor, door, racks/future rack, panels, HVAC, cable tray, penetrations, PACS and final TR layout</v>
          </cell>
          <cell r="K240">
            <v>0</v>
          </cell>
          <cell r="L240" t="str">
            <v>Paul</v>
          </cell>
          <cell r="O240" t="str">
            <v>Closed</v>
          </cell>
          <cell r="P240">
            <v>0</v>
          </cell>
          <cell r="Q240" t="str">
            <v>03|74</v>
          </cell>
        </row>
        <row r="241">
          <cell r="E241" t="str">
            <v>10. PHOTO LOG</v>
          </cell>
          <cell r="G241" t="str">
            <v>B03-P002</v>
          </cell>
          <cell r="H241" t="str">
            <v>107</v>
          </cell>
          <cell r="I241" t="str">
            <v>Existing Equipment</v>
          </cell>
          <cell r="J241" t="str">
            <v>Basement existing telecom room 107 rack, UPS on floor, Cisco switch, legacy patch panels, fiber LIU, active service labels and cable entries</v>
          </cell>
          <cell r="K241">
            <v>0</v>
          </cell>
          <cell r="L241" t="str">
            <v>Paul</v>
          </cell>
          <cell r="O241" t="str">
            <v>Closed</v>
          </cell>
          <cell r="P241">
            <v>0</v>
          </cell>
          <cell r="Q241" t="str">
            <v>03|75</v>
          </cell>
        </row>
        <row r="242">
          <cell r="E242" t="str">
            <v>10. PHOTO LOG</v>
          </cell>
          <cell r="G242" t="str">
            <v>B03-P003</v>
          </cell>
          <cell r="H242" t="str">
            <v>101C</v>
          </cell>
          <cell r="I242" t="str">
            <v>Existing DMARC</v>
          </cell>
          <cell r="J242" t="str">
            <v>First-floor existing DMARC Room 101C, patch panels, telecom cabinet, branch panel, provider/fiber equipment, 101C-CAM-01 and active service labels</v>
          </cell>
          <cell r="K242">
            <v>0</v>
          </cell>
          <cell r="L242" t="str">
            <v>Paul</v>
          </cell>
          <cell r="O242" t="str">
            <v>Closed</v>
          </cell>
          <cell r="P242">
            <v>0</v>
          </cell>
          <cell r="Q242" t="str">
            <v>03|76</v>
          </cell>
        </row>
        <row r="243">
          <cell r="E243" t="str">
            <v>10. PHOTO LOG</v>
          </cell>
          <cell r="G243" t="str">
            <v>B03-P004</v>
          </cell>
          <cell r="H243" t="str">
            <v>101E / 101C</v>
          </cell>
          <cell r="I243" t="str">
            <v>Electrical / Security</v>
          </cell>
          <cell r="J243" t="str">
            <v>B03-TR101CA/B panels, rack receptacles, breakers, SPD, UPS/PDU, access controller, CU-01, 101C-CAM-01 and labels</v>
          </cell>
          <cell r="K243">
            <v>0</v>
          </cell>
          <cell r="L243" t="str">
            <v>Paul</v>
          </cell>
          <cell r="O243" t="str">
            <v>Closed</v>
          </cell>
          <cell r="P243">
            <v>0</v>
          </cell>
          <cell r="Q243" t="str">
            <v>03|77</v>
          </cell>
        </row>
        <row r="244">
          <cell r="E244" t="str">
            <v>10. PHOTO LOG</v>
          </cell>
          <cell r="G244" t="str">
            <v>B03-P005</v>
          </cell>
          <cell r="H244" t="str">
            <v>101E</v>
          </cell>
          <cell r="I244" t="str">
            <v>HVAC</v>
          </cell>
          <cell r="J244" t="str">
            <v>IU/CU-01, condensate route, thermostat, BACnet adapter, disconnects, alarm points and emergency power source</v>
          </cell>
          <cell r="K244">
            <v>0</v>
          </cell>
          <cell r="L244" t="str">
            <v>Paul</v>
          </cell>
          <cell r="O244" t="str">
            <v>Closed</v>
          </cell>
          <cell r="P244">
            <v>0</v>
          </cell>
          <cell r="Q244" t="str">
            <v>03|78</v>
          </cell>
        </row>
        <row r="245">
          <cell r="E245" t="str">
            <v>10. PHOTO LOG</v>
          </cell>
          <cell r="G245" t="str">
            <v>B03-P006</v>
          </cell>
          <cell r="H245" t="str">
            <v>All</v>
          </cell>
          <cell r="I245" t="str">
            <v>Cable Tray / Firestop</v>
          </cell>
          <cell r="J245" t="str">
            <v>Basement and first-level cable tray route, supports, seismic bracing, 40% fill, penetrations and before/after firestopping</v>
          </cell>
          <cell r="K245">
            <v>0</v>
          </cell>
          <cell r="L245" t="str">
            <v>Paul</v>
          </cell>
          <cell r="O245" t="str">
            <v>Closed</v>
          </cell>
          <cell r="P245">
            <v>0</v>
          </cell>
          <cell r="Q245" t="str">
            <v>03|79</v>
          </cell>
        </row>
        <row r="246">
          <cell r="E246" t="str">
            <v>10. PHOTO LOG</v>
          </cell>
          <cell r="G246" t="str">
            <v>B03-P007</v>
          </cell>
          <cell r="H246" t="str">
            <v>WAO Areas</v>
          </cell>
          <cell r="I246" t="str">
            <v>Telecom Devices</v>
          </cell>
          <cell r="J246" t="str">
            <v>Representative outlets/WAPs/Centrak/clock/camera locations including 108-A/B/C, 108-CK-A, 107A-AP-A, 101C-CAM-01 and related labels</v>
          </cell>
          <cell r="K246">
            <v>0</v>
          </cell>
          <cell r="L246" t="str">
            <v>Paul</v>
          </cell>
          <cell r="O246" t="str">
            <v>Closed</v>
          </cell>
          <cell r="P246">
            <v>0</v>
          </cell>
          <cell r="Q246" t="str">
            <v>03|80</v>
          </cell>
        </row>
        <row r="247">
          <cell r="E247" t="str">
            <v>10. PHOTO LOG</v>
          </cell>
          <cell r="G247" t="str">
            <v>B03-P008</v>
          </cell>
          <cell r="H247" t="str">
            <v>101E / Existing Rooms</v>
          </cell>
          <cell r="I247" t="str">
            <v>Telecom Acceptance</v>
          </cell>
          <cell r="J247" t="str">
            <v>New racks TR01-101E-1/2, Fiber LIU, Cat6A, patch panels, labels/test records and existing rack transfer work</v>
          </cell>
          <cell r="K247">
            <v>0</v>
          </cell>
          <cell r="L247" t="str">
            <v>Paul</v>
          </cell>
          <cell r="O247" t="str">
            <v>Closed</v>
          </cell>
          <cell r="P247">
            <v>0</v>
          </cell>
          <cell r="Q247" t="str">
            <v>03|81</v>
          </cell>
        </row>
        <row r="248">
          <cell r="E248" t="str">
            <v>10. PHOTO LOG</v>
          </cell>
          <cell r="G248">
            <v>0</v>
          </cell>
          <cell r="H248">
            <v>0</v>
          </cell>
          <cell r="I248">
            <v>0</v>
          </cell>
          <cell r="J248">
            <v>0</v>
          </cell>
          <cell r="K248">
            <v>0</v>
          </cell>
          <cell r="L248">
            <v>0</v>
          </cell>
          <cell r="O248">
            <v>0</v>
          </cell>
          <cell r="P248">
            <v>0</v>
          </cell>
          <cell r="Q248" t="str">
            <v>03|82</v>
          </cell>
        </row>
        <row r="249">
          <cell r="E249" t="str">
            <v>1. ROOM INVENTORY</v>
          </cell>
          <cell r="G249" t="str">
            <v>1. ROOM INVENTORY</v>
          </cell>
          <cell r="H249">
            <v>0</v>
          </cell>
          <cell r="I249">
            <v>0</v>
          </cell>
          <cell r="J249">
            <v>0</v>
          </cell>
          <cell r="K249">
            <v>0</v>
          </cell>
          <cell r="L249">
            <v>0</v>
          </cell>
          <cell r="O249">
            <v>0</v>
          </cell>
          <cell r="P249">
            <v>0</v>
          </cell>
          <cell r="Q249" t="str">
            <v>04|1</v>
          </cell>
        </row>
        <row r="250">
          <cell r="E250" t="str">
            <v>1. ROOM INVENTORY</v>
          </cell>
          <cell r="G250" t="str">
            <v>Building</v>
          </cell>
          <cell r="H250" t="str">
            <v>Room</v>
          </cell>
          <cell r="I250" t="str">
            <v>Floor</v>
          </cell>
          <cell r="J250" t="str">
            <v>Existing Use</v>
          </cell>
          <cell r="K250" t="str">
            <v>New Use</v>
          </cell>
          <cell r="L250" t="str">
            <v>Rack Count</v>
          </cell>
          <cell r="O250" t="str">
            <v>Drawing Ref</v>
          </cell>
          <cell r="P250" t="str">
            <v>Notes</v>
          </cell>
          <cell r="Q250" t="str">
            <v>04|2</v>
          </cell>
        </row>
        <row r="251">
          <cell r="E251" t="str">
            <v>1. ROOM INVENTORY</v>
          </cell>
          <cell r="G251" t="str">
            <v>04</v>
          </cell>
          <cell r="H251" t="str">
            <v>B05</v>
          </cell>
          <cell r="I251" t="str">
            <v>Basement</v>
          </cell>
          <cell r="J251" t="str">
            <v>Existing telecom / service area</v>
          </cell>
          <cell r="K251" t="str">
            <v>TR</v>
          </cell>
          <cell r="L251">
            <v>2</v>
          </cell>
          <cell r="O251" t="str">
            <v>04A-400 / 04T-604 / 04E-701</v>
          </cell>
          <cell r="P251" t="str">
            <v>Rack elevations show B05 with Rack 1 of 2 and Rack 2 of 2; new B04-TRB05A/B panels and NPA-TR feed shown.</v>
          </cell>
          <cell r="Q251" t="str">
            <v>04|3</v>
          </cell>
        </row>
        <row r="252">
          <cell r="E252" t="str">
            <v>1. ROOM INVENTORY</v>
          </cell>
          <cell r="G252" t="str">
            <v>04</v>
          </cell>
          <cell r="H252" t="str">
            <v>141</v>
          </cell>
          <cell r="I252" t="str">
            <v>First</v>
          </cell>
          <cell r="J252" t="str">
            <v>Existing room to be converted / upgraded</v>
          </cell>
          <cell r="K252" t="str">
            <v>TR</v>
          </cell>
          <cell r="L252">
            <v>1</v>
          </cell>
          <cell r="O252" t="str">
            <v>04A-401 / 04T-604 / 04E-701</v>
          </cell>
          <cell r="P252" t="str">
            <v>Architectural enlarged views identify Room 141; new 45-minute rated door/frame, 1-hour/smoke-rated envelope, open-to-deck TR, and future rack.</v>
          </cell>
          <cell r="Q252" t="str">
            <v>04|4</v>
          </cell>
        </row>
        <row r="253">
          <cell r="E253" t="str">
            <v>1. ROOM INVENTORY</v>
          </cell>
          <cell r="G253" t="str">
            <v>04</v>
          </cell>
          <cell r="H253" t="str">
            <v>244A</v>
          </cell>
          <cell r="I253" t="str">
            <v>Second</v>
          </cell>
          <cell r="J253" t="str">
            <v>Existing or renovated telecom area</v>
          </cell>
          <cell r="K253" t="str">
            <v>TR</v>
          </cell>
          <cell r="L253">
            <v>1</v>
          </cell>
          <cell r="O253" t="str">
            <v>04T / 04E-701</v>
          </cell>
          <cell r="P253" t="str">
            <v>Panel schedule identifies B04-TR244A; room requires field verification of rack count, cooling, pathways, fire protection, and PACS/CCTV requirements.</v>
          </cell>
          <cell r="Q253" t="str">
            <v>04|5</v>
          </cell>
        </row>
        <row r="254">
          <cell r="E254" t="str">
            <v>1. ROOM INVENTORY</v>
          </cell>
          <cell r="G254">
            <v>0</v>
          </cell>
          <cell r="H254">
            <v>0</v>
          </cell>
          <cell r="I254">
            <v>0</v>
          </cell>
          <cell r="J254">
            <v>0</v>
          </cell>
          <cell r="K254">
            <v>0</v>
          </cell>
          <cell r="L254">
            <v>0</v>
          </cell>
          <cell r="O254">
            <v>0</v>
          </cell>
          <cell r="P254">
            <v>0</v>
          </cell>
          <cell r="Q254" t="str">
            <v>04|6</v>
          </cell>
        </row>
        <row r="255">
          <cell r="E255" t="str">
            <v>2. ROOM READINESS</v>
          </cell>
          <cell r="G255" t="str">
            <v>2. ROOM READINESS</v>
          </cell>
          <cell r="H255">
            <v>0</v>
          </cell>
          <cell r="I255">
            <v>0</v>
          </cell>
          <cell r="J255">
            <v>0</v>
          </cell>
          <cell r="K255">
            <v>0</v>
          </cell>
          <cell r="L255">
            <v>0</v>
          </cell>
          <cell r="O255">
            <v>0</v>
          </cell>
          <cell r="P255">
            <v>0</v>
          </cell>
          <cell r="Q255" t="str">
            <v>04|7</v>
          </cell>
        </row>
        <row r="256">
          <cell r="E256" t="str">
            <v>2. ROOM READINESS</v>
          </cell>
          <cell r="G256" t="str">
            <v>Room</v>
          </cell>
          <cell r="H256" t="str">
            <v>Walls / 1-hr Rating</v>
          </cell>
          <cell r="I256" t="str">
            <v>Ceiling</v>
          </cell>
          <cell r="J256" t="str">
            <v>Floor / SDC</v>
          </cell>
          <cell r="K256" t="str">
            <v>Penetrations</v>
          </cell>
          <cell r="L256" t="str">
            <v>Access Control</v>
          </cell>
          <cell r="O256" t="str">
            <v>Overall</v>
          </cell>
          <cell r="P256" t="str">
            <v>Comments</v>
          </cell>
          <cell r="Q256" t="str">
            <v>04|8</v>
          </cell>
        </row>
        <row r="257">
          <cell r="E257" t="str">
            <v>2. ROOM READINESS</v>
          </cell>
          <cell r="G257" t="str">
            <v>B05</v>
          </cell>
          <cell r="H257" t="str">
            <v>Verify</v>
          </cell>
          <cell r="I257" t="str">
            <v>Verify</v>
          </cell>
          <cell r="J257" t="str">
            <v>Verify</v>
          </cell>
          <cell r="K257" t="str">
            <v>Verify</v>
          </cell>
          <cell r="L257" t="str">
            <v>Verify</v>
          </cell>
          <cell r="O257" t="str">
            <v>Verify</v>
          </cell>
          <cell r="P257" t="str">
            <v>Basement TR; verify existing utilities, abatement, wall/firestop conditions, and two-rack layout.</v>
          </cell>
          <cell r="Q257" t="str">
            <v>04|9</v>
          </cell>
        </row>
        <row r="258">
          <cell r="E258" t="str">
            <v>2. ROOM READINESS</v>
          </cell>
          <cell r="G258" t="str">
            <v>141</v>
          </cell>
          <cell r="H258" t="str">
            <v>Verify</v>
          </cell>
          <cell r="I258" t="str">
            <v>Verify</v>
          </cell>
          <cell r="J258" t="str">
            <v>Verify</v>
          </cell>
          <cell r="K258" t="str">
            <v>Verify</v>
          </cell>
          <cell r="L258" t="str">
            <v>Verify</v>
          </cell>
          <cell r="O258" t="str">
            <v>Verify</v>
          </cell>
          <cell r="P258" t="str">
            <v>Existing wall to become 1-hour fire/smoke rated; open to deck; new 45-minute rated door and access-control hardware coordination.</v>
          </cell>
          <cell r="Q258" t="str">
            <v>04|10</v>
          </cell>
        </row>
        <row r="259">
          <cell r="E259" t="str">
            <v>2. ROOM READINESS</v>
          </cell>
          <cell r="G259" t="str">
            <v>244A</v>
          </cell>
          <cell r="H259" t="str">
            <v>Verify</v>
          </cell>
          <cell r="I259" t="str">
            <v>Verify</v>
          </cell>
          <cell r="J259" t="str">
            <v>Verify</v>
          </cell>
          <cell r="K259" t="str">
            <v>Verify</v>
          </cell>
          <cell r="L259" t="str">
            <v>Verify</v>
          </cell>
          <cell r="O259" t="str">
            <v>Verify</v>
          </cell>
          <cell r="P259" t="str">
            <v>Second-floor TR referenced by electrical panel schedule; field verify room conditions and plan locations.</v>
          </cell>
          <cell r="Q259" t="str">
            <v>04|11</v>
          </cell>
        </row>
        <row r="260">
          <cell r="E260" t="str">
            <v>2. ROOM READINESS</v>
          </cell>
          <cell r="G260">
            <v>0</v>
          </cell>
          <cell r="H260">
            <v>0</v>
          </cell>
          <cell r="I260">
            <v>0</v>
          </cell>
          <cell r="J260">
            <v>0</v>
          </cell>
          <cell r="K260">
            <v>0</v>
          </cell>
          <cell r="L260">
            <v>0</v>
          </cell>
          <cell r="O260">
            <v>0</v>
          </cell>
          <cell r="P260">
            <v>0</v>
          </cell>
          <cell r="Q260" t="str">
            <v>04|12</v>
          </cell>
        </row>
        <row r="261">
          <cell r="E261" t="str">
            <v>3. FIRE PROTECTION</v>
          </cell>
          <cell r="G261" t="str">
            <v>3. FIRE PROTECTION</v>
          </cell>
          <cell r="H261">
            <v>0</v>
          </cell>
          <cell r="I261">
            <v>0</v>
          </cell>
          <cell r="J261">
            <v>0</v>
          </cell>
          <cell r="K261">
            <v>0</v>
          </cell>
          <cell r="L261">
            <v>0</v>
          </cell>
          <cell r="O261">
            <v>0</v>
          </cell>
          <cell r="P261">
            <v>0</v>
          </cell>
          <cell r="Q261" t="str">
            <v>04|13</v>
          </cell>
        </row>
        <row r="262">
          <cell r="E262" t="str">
            <v>3. FIRE PROTECTION</v>
          </cell>
          <cell r="G262" t="str">
            <v>Room</v>
          </cell>
          <cell r="H262" t="str">
            <v>Sprinkler</v>
          </cell>
          <cell r="I262" t="str">
            <v>Cage</v>
          </cell>
          <cell r="J262" t="str">
            <v>Detector</v>
          </cell>
          <cell r="K262" t="str">
            <v>Horn/Strobe</v>
          </cell>
          <cell r="L262" t="str">
            <v>Extinguisher &lt;75 ft</v>
          </cell>
          <cell r="O262" t="str">
            <v>Overall</v>
          </cell>
          <cell r="P262" t="str">
            <v>Risk / Notes</v>
          </cell>
          <cell r="Q262" t="str">
            <v>04|14</v>
          </cell>
        </row>
        <row r="263">
          <cell r="E263" t="str">
            <v>3. FIRE PROTECTION</v>
          </cell>
          <cell r="G263" t="str">
            <v>B05</v>
          </cell>
          <cell r="H263" t="str">
            <v>Verify</v>
          </cell>
          <cell r="I263" t="str">
            <v>Verify</v>
          </cell>
          <cell r="J263" t="str">
            <v>Verify</v>
          </cell>
          <cell r="K263" t="str">
            <v>Verify</v>
          </cell>
          <cell r="L263" t="str">
            <v>Verify</v>
          </cell>
          <cell r="O263" t="str">
            <v>Verify</v>
          </cell>
          <cell r="P263" t="str">
            <v>Fully sprinklered building; basement TR requires verification of sprinkler coverage and impairment planning.</v>
          </cell>
          <cell r="Q263" t="str">
            <v>04|15</v>
          </cell>
        </row>
        <row r="264">
          <cell r="E264" t="str">
            <v>3. FIRE PROTECTION</v>
          </cell>
          <cell r="G264" t="str">
            <v>141</v>
          </cell>
          <cell r="H264" t="str">
            <v>Verify</v>
          </cell>
          <cell r="I264" t="str">
            <v>Verify</v>
          </cell>
          <cell r="J264" t="str">
            <v>Verify</v>
          </cell>
          <cell r="K264" t="str">
            <v>Verify</v>
          </cell>
          <cell r="L264" t="str">
            <v>Verify</v>
          </cell>
          <cell r="O264" t="str">
            <v>Verify</v>
          </cell>
          <cell r="P264" t="str">
            <v>FEC with clean-agent 2A:10B:C extinguisher within 75 ft; TR open to deck; maintain rated assemblies.</v>
          </cell>
          <cell r="Q264" t="str">
            <v>04|16</v>
          </cell>
        </row>
        <row r="265">
          <cell r="E265" t="str">
            <v>3. FIRE PROTECTION</v>
          </cell>
          <cell r="G265" t="str">
            <v>244A</v>
          </cell>
          <cell r="H265" t="str">
            <v>Verify</v>
          </cell>
          <cell r="I265" t="str">
            <v>Verify</v>
          </cell>
          <cell r="J265" t="str">
            <v>Verify</v>
          </cell>
          <cell r="K265" t="str">
            <v>Verify</v>
          </cell>
          <cell r="L265" t="str">
            <v>Verify</v>
          </cell>
          <cell r="O265" t="str">
            <v>Verify</v>
          </cell>
          <cell r="P265" t="str">
            <v>Verify sprinkler/fire alarm device locations and firestop for riser/pathway penetrations.</v>
          </cell>
          <cell r="Q265" t="str">
            <v>04|17</v>
          </cell>
        </row>
        <row r="266">
          <cell r="E266" t="str">
            <v>3. FIRE PROTECTION</v>
          </cell>
          <cell r="G266">
            <v>0</v>
          </cell>
          <cell r="H266">
            <v>0</v>
          </cell>
          <cell r="I266">
            <v>0</v>
          </cell>
          <cell r="J266">
            <v>0</v>
          </cell>
          <cell r="K266">
            <v>0</v>
          </cell>
          <cell r="L266">
            <v>0</v>
          </cell>
          <cell r="O266">
            <v>0</v>
          </cell>
          <cell r="P266">
            <v>0</v>
          </cell>
          <cell r="Q266" t="str">
            <v>04|18</v>
          </cell>
        </row>
        <row r="267">
          <cell r="E267" t="str">
            <v>4. HVAC / COOLING</v>
          </cell>
          <cell r="G267" t="str">
            <v>4. HVAC / COOLING</v>
          </cell>
          <cell r="H267">
            <v>0</v>
          </cell>
          <cell r="I267">
            <v>0</v>
          </cell>
          <cell r="J267">
            <v>0</v>
          </cell>
          <cell r="K267">
            <v>0</v>
          </cell>
          <cell r="L267">
            <v>0</v>
          </cell>
          <cell r="O267">
            <v>0</v>
          </cell>
          <cell r="P267">
            <v>0</v>
          </cell>
          <cell r="Q267" t="str">
            <v>04|19</v>
          </cell>
        </row>
        <row r="268">
          <cell r="E268" t="str">
            <v>4. HVAC / COOLING</v>
          </cell>
          <cell r="G268" t="str">
            <v>Room</v>
          </cell>
          <cell r="H268" t="str">
            <v>Dedicated Unit</v>
          </cell>
          <cell r="I268" t="str">
            <v>Capacity Verified</v>
          </cell>
          <cell r="J268" t="str">
            <v>Emergency Power</v>
          </cell>
          <cell r="K268" t="str">
            <v>Controls / BACnet</v>
          </cell>
          <cell r="L268" t="str">
            <v>Condensate Routed</v>
          </cell>
          <cell r="O268" t="str">
            <v>Overall</v>
          </cell>
          <cell r="P268" t="str">
            <v>Risk / Notes</v>
          </cell>
          <cell r="Q268" t="str">
            <v>04|20</v>
          </cell>
        </row>
        <row r="269">
          <cell r="E269" t="str">
            <v>4. HVAC / COOLING</v>
          </cell>
          <cell r="G269" t="str">
            <v>B05</v>
          </cell>
          <cell r="H269" t="str">
            <v>Verify</v>
          </cell>
          <cell r="I269" t="str">
            <v>Verify</v>
          </cell>
          <cell r="J269" t="str">
            <v>Verify</v>
          </cell>
          <cell r="K269" t="str">
            <v>Verify</v>
          </cell>
          <cell r="L269" t="str">
            <v>Verify</v>
          </cell>
          <cell r="O269" t="str">
            <v>Verify</v>
          </cell>
          <cell r="P269" t="str">
            <v>Verify dedicated cooling for two-rack basement TR and whether unit/controls/condensate are backed up.</v>
          </cell>
          <cell r="Q269" t="str">
            <v>04|21</v>
          </cell>
        </row>
        <row r="270">
          <cell r="E270" t="str">
            <v>4. HVAC / COOLING</v>
          </cell>
          <cell r="G270" t="str">
            <v>141</v>
          </cell>
          <cell r="H270" t="str">
            <v>Verify</v>
          </cell>
          <cell r="I270" t="str">
            <v>Verify</v>
          </cell>
          <cell r="J270" t="str">
            <v>Verify</v>
          </cell>
          <cell r="K270" t="str">
            <v>Verify</v>
          </cell>
          <cell r="L270" t="str">
            <v>Verify</v>
          </cell>
          <cell r="O270" t="str">
            <v>Verify</v>
          </cell>
          <cell r="P270" t="str">
            <v>Verify dedicated cooling and coordination with open-to-deck room, racks, cable tray, and access control.</v>
          </cell>
          <cell r="Q270" t="str">
            <v>04|22</v>
          </cell>
        </row>
        <row r="271">
          <cell r="E271" t="str">
            <v>4. HVAC / COOLING</v>
          </cell>
          <cell r="G271" t="str">
            <v>244A</v>
          </cell>
          <cell r="H271" t="str">
            <v>Verify</v>
          </cell>
          <cell r="I271" t="str">
            <v>Verify</v>
          </cell>
          <cell r="J271" t="str">
            <v>Verify</v>
          </cell>
          <cell r="K271" t="str">
            <v>Verify</v>
          </cell>
          <cell r="L271" t="str">
            <v>Verify</v>
          </cell>
          <cell r="O271" t="str">
            <v>Verify</v>
          </cell>
          <cell r="P271" t="str">
            <v>Verify cooling unit, routing, condensate, controls, and emergency/backup power path.</v>
          </cell>
          <cell r="Q271" t="str">
            <v>04|23</v>
          </cell>
        </row>
        <row r="272">
          <cell r="E272" t="str">
            <v>4. HVAC / COOLING</v>
          </cell>
          <cell r="G272">
            <v>0</v>
          </cell>
          <cell r="H272">
            <v>0</v>
          </cell>
          <cell r="I272">
            <v>0</v>
          </cell>
          <cell r="J272">
            <v>0</v>
          </cell>
          <cell r="K272">
            <v>0</v>
          </cell>
          <cell r="L272">
            <v>0</v>
          </cell>
          <cell r="O272">
            <v>0</v>
          </cell>
          <cell r="P272">
            <v>0</v>
          </cell>
          <cell r="Q272" t="str">
            <v>04|24</v>
          </cell>
        </row>
        <row r="273">
          <cell r="E273" t="str">
            <v>5. ELECTRICAL / UPS</v>
          </cell>
          <cell r="G273" t="str">
            <v>5. ELECTRICAL / UPS</v>
          </cell>
          <cell r="H273">
            <v>0</v>
          </cell>
          <cell r="I273">
            <v>0</v>
          </cell>
          <cell r="J273">
            <v>0</v>
          </cell>
          <cell r="K273">
            <v>0</v>
          </cell>
          <cell r="L273">
            <v>0</v>
          </cell>
          <cell r="O273">
            <v>0</v>
          </cell>
          <cell r="P273">
            <v>0</v>
          </cell>
          <cell r="Q273" t="str">
            <v>04|25</v>
          </cell>
        </row>
        <row r="274">
          <cell r="E274" t="str">
            <v>5. ELECTRICAL / UPS</v>
          </cell>
          <cell r="G274" t="str">
            <v>Room</v>
          </cell>
          <cell r="H274" t="str">
            <v>UPS Installed</v>
          </cell>
          <cell r="I274" t="str">
            <v>UPS Size</v>
          </cell>
          <cell r="J274" t="str">
            <v>PDU Installed</v>
          </cell>
          <cell r="K274" t="str">
            <v>Rack Receptacles</v>
          </cell>
          <cell r="L274" t="str">
            <v>Panel Assigned</v>
          </cell>
          <cell r="O274" t="str">
            <v>Overall</v>
          </cell>
          <cell r="P274" t="str">
            <v>Notes</v>
          </cell>
          <cell r="Q274" t="str">
            <v>04|26</v>
          </cell>
        </row>
        <row r="275">
          <cell r="E275" t="str">
            <v>5. ELECTRICAL / UPS</v>
          </cell>
          <cell r="G275" t="str">
            <v>B05</v>
          </cell>
          <cell r="H275" t="str">
            <v>Verify</v>
          </cell>
          <cell r="I275" t="str">
            <v>5 kW</v>
          </cell>
          <cell r="J275" t="str">
            <v>Verify</v>
          </cell>
          <cell r="K275" t="str">
            <v>Verify</v>
          </cell>
          <cell r="L275" t="str">
            <v>B04-NPA-TR / B04-TRB05A / B04-TRB05B</v>
          </cell>
          <cell r="O275" t="str">
            <v>Verify</v>
          </cell>
          <cell r="P275" t="str">
            <v>Panel schedule shows B04-NPA-TR in Telecom Room B05, feeding B04-TRB05A/B; TRB05A includes rack receptacle and branch circuits.</v>
          </cell>
          <cell r="Q275" t="str">
            <v>04|27</v>
          </cell>
        </row>
        <row r="276">
          <cell r="E276" t="str">
            <v>5. ELECTRICAL / UPS</v>
          </cell>
          <cell r="G276" t="str">
            <v>141</v>
          </cell>
          <cell r="H276" t="str">
            <v>Verify</v>
          </cell>
          <cell r="I276" t="str">
            <v>5 kW</v>
          </cell>
          <cell r="J276" t="str">
            <v>Verify</v>
          </cell>
          <cell r="K276" t="str">
            <v>Verify</v>
          </cell>
          <cell r="L276" t="str">
            <v>B04-TR141A</v>
          </cell>
          <cell r="O276" t="str">
            <v>Verify</v>
          </cell>
          <cell r="P276" t="str">
            <v>Panel schedule identifies B04-TR141A 60A 3-pole load; verify rack/UPS/PDU circuiting.</v>
          </cell>
          <cell r="Q276" t="str">
            <v>04|28</v>
          </cell>
        </row>
        <row r="277">
          <cell r="E277" t="str">
            <v>5. ELECTRICAL / UPS</v>
          </cell>
          <cell r="G277" t="str">
            <v>244A</v>
          </cell>
          <cell r="H277" t="str">
            <v>Verify</v>
          </cell>
          <cell r="I277" t="str">
            <v>5 kW</v>
          </cell>
          <cell r="J277" t="str">
            <v>Verify</v>
          </cell>
          <cell r="K277" t="str">
            <v>Verify</v>
          </cell>
          <cell r="L277" t="str">
            <v>B04-TR244A</v>
          </cell>
          <cell r="O277" t="str">
            <v>Verify</v>
          </cell>
          <cell r="P277" t="str">
            <v>Panel schedule identifies B04-TR244A 60A 3-pole load; confirm panel/circuit locations and source.</v>
          </cell>
          <cell r="Q277" t="str">
            <v>04|29</v>
          </cell>
        </row>
        <row r="278">
          <cell r="E278" t="str">
            <v>5. ELECTRICAL / UPS</v>
          </cell>
          <cell r="G278">
            <v>0</v>
          </cell>
          <cell r="H278">
            <v>0</v>
          </cell>
          <cell r="I278">
            <v>0</v>
          </cell>
          <cell r="J278">
            <v>0</v>
          </cell>
          <cell r="K278">
            <v>0</v>
          </cell>
          <cell r="L278">
            <v>0</v>
          </cell>
          <cell r="O278">
            <v>0</v>
          </cell>
          <cell r="P278">
            <v>0</v>
          </cell>
          <cell r="Q278" t="str">
            <v>04|30</v>
          </cell>
        </row>
        <row r="279">
          <cell r="E279" t="str">
            <v>6. TELECOMMUNICATIONS</v>
          </cell>
          <cell r="G279" t="str">
            <v>6. TELECOMMUNICATIONS</v>
          </cell>
          <cell r="H279">
            <v>0</v>
          </cell>
          <cell r="I279">
            <v>0</v>
          </cell>
          <cell r="J279">
            <v>0</v>
          </cell>
          <cell r="K279">
            <v>0</v>
          </cell>
          <cell r="L279">
            <v>0</v>
          </cell>
          <cell r="O279">
            <v>0</v>
          </cell>
          <cell r="P279">
            <v>0</v>
          </cell>
          <cell r="Q279" t="str">
            <v>04|31</v>
          </cell>
        </row>
        <row r="280">
          <cell r="E280" t="str">
            <v>6. TELECOMMUNICATIONS</v>
          </cell>
          <cell r="G280" t="str">
            <v>Room</v>
          </cell>
          <cell r="H280" t="str">
            <v>Rack Installed</v>
          </cell>
          <cell r="I280" t="str">
            <v>Ladder Tray</v>
          </cell>
          <cell r="J280" t="str">
            <v>Fiber Installed</v>
          </cell>
          <cell r="K280" t="str">
            <v>Grounding</v>
          </cell>
          <cell r="L280" t="str">
            <v>Labeling</v>
          </cell>
          <cell r="O280" t="str">
            <v>Overall</v>
          </cell>
          <cell r="P280" t="str">
            <v>Notes</v>
          </cell>
          <cell r="Q280" t="str">
            <v>04|32</v>
          </cell>
        </row>
        <row r="281">
          <cell r="E281" t="str">
            <v>6. TELECOMMUNICATIONS</v>
          </cell>
          <cell r="G281" t="str">
            <v>B05</v>
          </cell>
          <cell r="H281" t="str">
            <v>Verify</v>
          </cell>
          <cell r="I281" t="str">
            <v>Verify</v>
          </cell>
          <cell r="J281" t="str">
            <v>Verify</v>
          </cell>
          <cell r="K281" t="str">
            <v>Verify</v>
          </cell>
          <cell r="L281" t="str">
            <v>Verify</v>
          </cell>
          <cell r="O281" t="str">
            <v>Verify</v>
          </cell>
          <cell r="P281" t="str">
            <v>New rack elevations show two 4-post floor racks with UPS, Zone PDU, cable managers, network switches, Cat6A patch panels, Cat5E patch panel, and Fiber LIU.</v>
          </cell>
          <cell r="Q281" t="str">
            <v>04|33</v>
          </cell>
        </row>
        <row r="282">
          <cell r="E282" t="str">
            <v>6. TELECOMMUNICATIONS</v>
          </cell>
          <cell r="G282" t="str">
            <v>141</v>
          </cell>
          <cell r="H282" t="str">
            <v>Verify</v>
          </cell>
          <cell r="I282" t="str">
            <v>Verify</v>
          </cell>
          <cell r="J282" t="str">
            <v>Verify</v>
          </cell>
          <cell r="K282" t="str">
            <v>Verify</v>
          </cell>
          <cell r="L282" t="str">
            <v>Verify</v>
          </cell>
          <cell r="O282" t="str">
            <v>Verify</v>
          </cell>
          <cell r="P282" t="str">
            <v>New rack elevation shows one 4-post rack plus future rack; includes UPS, future Zone PDU, switches, cable managers, Cat6A patch panels, Cat5E patch panel, and Fiber LIU.</v>
          </cell>
          <cell r="Q282" t="str">
            <v>04|34</v>
          </cell>
        </row>
        <row r="283">
          <cell r="E283" t="str">
            <v>6. TELECOMMUNICATIONS</v>
          </cell>
          <cell r="G283" t="str">
            <v>244A</v>
          </cell>
          <cell r="H283" t="str">
            <v>Verify</v>
          </cell>
          <cell r="I283" t="str">
            <v>Verify</v>
          </cell>
          <cell r="J283" t="str">
            <v>Verify</v>
          </cell>
          <cell r="K283" t="str">
            <v>Verify</v>
          </cell>
          <cell r="L283" t="str">
            <v>Verify</v>
          </cell>
          <cell r="O283" t="str">
            <v>Verify</v>
          </cell>
          <cell r="P283" t="str">
            <v>TR/panel identified; verify rack elevation and pathway details against 04T sheets.</v>
          </cell>
          <cell r="Q283" t="str">
            <v>04|35</v>
          </cell>
        </row>
        <row r="284">
          <cell r="E284" t="str">
            <v>6. TELECOMMUNICATIONS</v>
          </cell>
          <cell r="G284">
            <v>0</v>
          </cell>
          <cell r="H284">
            <v>0</v>
          </cell>
          <cell r="I284">
            <v>0</v>
          </cell>
          <cell r="J284">
            <v>0</v>
          </cell>
          <cell r="K284">
            <v>0</v>
          </cell>
          <cell r="L284">
            <v>0</v>
          </cell>
          <cell r="O284">
            <v>0</v>
          </cell>
          <cell r="P284">
            <v>0</v>
          </cell>
          <cell r="Q284" t="str">
            <v>04|36</v>
          </cell>
        </row>
        <row r="285">
          <cell r="E285" t="str">
            <v>7. SECURITY / PACS / CCTV</v>
          </cell>
          <cell r="G285" t="str">
            <v>7. SECURITY / PACS / CCTV</v>
          </cell>
          <cell r="H285">
            <v>0</v>
          </cell>
          <cell r="I285">
            <v>0</v>
          </cell>
          <cell r="J285">
            <v>0</v>
          </cell>
          <cell r="K285">
            <v>0</v>
          </cell>
          <cell r="L285">
            <v>0</v>
          </cell>
          <cell r="O285">
            <v>0</v>
          </cell>
          <cell r="P285">
            <v>0</v>
          </cell>
          <cell r="Q285" t="str">
            <v>04|37</v>
          </cell>
        </row>
        <row r="286">
          <cell r="E286" t="str">
            <v>7. SECURITY / PACS / CCTV</v>
          </cell>
          <cell r="G286" t="str">
            <v>Room</v>
          </cell>
          <cell r="H286" t="str">
            <v>PACS</v>
          </cell>
          <cell r="I286" t="str">
            <v>Card Reader</v>
          </cell>
          <cell r="J286" t="str">
            <v>Door Position</v>
          </cell>
          <cell r="K286" t="str">
            <v>Electric Strike</v>
          </cell>
          <cell r="L286" t="str">
            <v>CCTV</v>
          </cell>
          <cell r="O286" t="str">
            <v>Overall</v>
          </cell>
          <cell r="P286" t="str">
            <v>Notes</v>
          </cell>
          <cell r="Q286" t="str">
            <v>04|38</v>
          </cell>
        </row>
        <row r="287">
          <cell r="E287" t="str">
            <v>7. SECURITY / PACS / CCTV</v>
          </cell>
          <cell r="G287" t="str">
            <v>B05</v>
          </cell>
          <cell r="H287" t="str">
            <v>Verify</v>
          </cell>
          <cell r="I287" t="str">
            <v>Verify</v>
          </cell>
          <cell r="J287" t="str">
            <v>Verify</v>
          </cell>
          <cell r="K287" t="str">
            <v>Verify</v>
          </cell>
          <cell r="L287" t="str">
            <v>Verify</v>
          </cell>
          <cell r="O287" t="str">
            <v>Verify</v>
          </cell>
          <cell r="P287" t="str">
            <v>Verify access-controlled TR door, camera, and VMS/PACS integration.</v>
          </cell>
          <cell r="Q287" t="str">
            <v>04|39</v>
          </cell>
        </row>
        <row r="288">
          <cell r="E288" t="str">
            <v>7. SECURITY / PACS / CCTV</v>
          </cell>
          <cell r="G288" t="str">
            <v>141</v>
          </cell>
          <cell r="H288" t="str">
            <v>Verify</v>
          </cell>
          <cell r="I288" t="str">
            <v>Verify</v>
          </cell>
          <cell r="J288" t="str">
            <v>Verify</v>
          </cell>
          <cell r="K288" t="str">
            <v>Verify</v>
          </cell>
          <cell r="L288" t="str">
            <v>Verify</v>
          </cell>
          <cell r="O288" t="str">
            <v>Verify</v>
          </cell>
          <cell r="P288" t="str">
            <v>Architectural notes require door/access control coordination; verify card reader/electric strike rough-in.</v>
          </cell>
          <cell r="Q288" t="str">
            <v>04|40</v>
          </cell>
        </row>
        <row r="289">
          <cell r="E289" t="str">
            <v>7. SECURITY / PACS / CCTV</v>
          </cell>
          <cell r="G289" t="str">
            <v>244A</v>
          </cell>
          <cell r="H289" t="str">
            <v>Verify</v>
          </cell>
          <cell r="I289" t="str">
            <v>Verify</v>
          </cell>
          <cell r="J289" t="str">
            <v>Verify</v>
          </cell>
          <cell r="K289" t="str">
            <v>Verify</v>
          </cell>
          <cell r="L289" t="str">
            <v>Verify</v>
          </cell>
          <cell r="O289" t="str">
            <v>Verify</v>
          </cell>
          <cell r="P289" t="str">
            <v>Verify room security details and device integration with VA systems.</v>
          </cell>
          <cell r="Q289" t="str">
            <v>04|41</v>
          </cell>
        </row>
        <row r="290">
          <cell r="E290" t="str">
            <v>7. SECURITY / PACS / CCTV</v>
          </cell>
          <cell r="G290">
            <v>0</v>
          </cell>
          <cell r="H290">
            <v>0</v>
          </cell>
          <cell r="I290">
            <v>0</v>
          </cell>
          <cell r="J290">
            <v>0</v>
          </cell>
          <cell r="K290">
            <v>0</v>
          </cell>
          <cell r="L290">
            <v>0</v>
          </cell>
          <cell r="O290">
            <v>0</v>
          </cell>
          <cell r="P290">
            <v>0</v>
          </cell>
          <cell r="Q290" t="str">
            <v>04|42</v>
          </cell>
        </row>
        <row r="291">
          <cell r="E291" t="str">
            <v>8. OWNER RISKS</v>
          </cell>
          <cell r="G291" t="str">
            <v>8. OWNER RISKS</v>
          </cell>
          <cell r="H291">
            <v>0</v>
          </cell>
          <cell r="I291">
            <v>0</v>
          </cell>
          <cell r="J291">
            <v>0</v>
          </cell>
          <cell r="K291">
            <v>0</v>
          </cell>
          <cell r="L291">
            <v>0</v>
          </cell>
          <cell r="O291">
            <v>0</v>
          </cell>
          <cell r="P291">
            <v>0</v>
          </cell>
          <cell r="Q291" t="str">
            <v>04|43</v>
          </cell>
        </row>
        <row r="292">
          <cell r="E292" t="str">
            <v>8. OWNER RISKS</v>
          </cell>
          <cell r="G292" t="str">
            <v>Risk ID</v>
          </cell>
          <cell r="H292" t="str">
            <v>Room</v>
          </cell>
          <cell r="I292" t="str">
            <v>Risk</v>
          </cell>
          <cell r="J292" t="str">
            <v>Impact</v>
          </cell>
          <cell r="K292" t="str">
            <v>Probability</v>
          </cell>
          <cell r="L292" t="str">
            <v>Score</v>
          </cell>
          <cell r="O292" t="str">
            <v>Status</v>
          </cell>
          <cell r="P292" t="str">
            <v>Notes</v>
          </cell>
          <cell r="Q292" t="str">
            <v>04|44</v>
          </cell>
        </row>
        <row r="293">
          <cell r="E293" t="str">
            <v>8. OWNER RISKS</v>
          </cell>
          <cell r="G293" t="str">
            <v>B04-R1</v>
          </cell>
          <cell r="H293" t="str">
            <v>All</v>
          </cell>
          <cell r="I293" t="str">
            <v>Existing conditions across basement/first/second TR areas not verified</v>
          </cell>
          <cell r="J293" t="str">
            <v>High</v>
          </cell>
          <cell r="K293" t="str">
            <v>Medium</v>
          </cell>
          <cell r="L293">
            <v>6</v>
          </cell>
          <cell r="O293" t="str">
            <v>Open</v>
          </cell>
          <cell r="P293" t="str">
            <v>B04 has multiple TR work areas.</v>
          </cell>
          <cell r="Q293" t="str">
            <v>04|45</v>
          </cell>
        </row>
        <row r="294">
          <cell r="E294" t="str">
            <v>8. OWNER RISKS</v>
          </cell>
          <cell r="G294" t="str">
            <v>B04-R2</v>
          </cell>
          <cell r="H294" t="str">
            <v>B05</v>
          </cell>
          <cell r="I294" t="str">
            <v>Basement TR routing may conflict with existing utilities / abatement areas</v>
          </cell>
          <cell r="J294" t="str">
            <v>High</v>
          </cell>
          <cell r="K294" t="str">
            <v>Medium</v>
          </cell>
          <cell r="L294">
            <v>6</v>
          </cell>
          <cell r="O294" t="str">
            <v>Open</v>
          </cell>
          <cell r="P294" t="str">
            <v>Hazardous drawings included for basement and first levels.</v>
          </cell>
          <cell r="Q294" t="str">
            <v>04|46</v>
          </cell>
        </row>
        <row r="295">
          <cell r="E295" t="str">
            <v>8. OWNER RISKS</v>
          </cell>
          <cell r="G295" t="str">
            <v>B04-R3</v>
          </cell>
          <cell r="H295" t="str">
            <v>141</v>
          </cell>
          <cell r="I295" t="str">
            <v>1-hour fire/smoke-rated envelope and 45-minute door not field verified</v>
          </cell>
          <cell r="J295" t="str">
            <v>High</v>
          </cell>
          <cell r="K295" t="str">
            <v>Medium</v>
          </cell>
          <cell r="L295">
            <v>6</v>
          </cell>
          <cell r="O295" t="str">
            <v>Open</v>
          </cell>
          <cell r="P295" t="str">
            <v>Architectural notes identify new 45-minute door/frame and rated wall work.</v>
          </cell>
          <cell r="Q295" t="str">
            <v>04|47</v>
          </cell>
        </row>
        <row r="296">
          <cell r="E296" t="str">
            <v>8. OWNER RISKS</v>
          </cell>
          <cell r="G296" t="str">
            <v>B04-R4</v>
          </cell>
          <cell r="H296" t="str">
            <v>All</v>
          </cell>
          <cell r="I296" t="str">
            <v>Cooling emergency power / 24/7 continuity not verified</v>
          </cell>
          <cell r="J296" t="str">
            <v>Critical</v>
          </cell>
          <cell r="K296" t="str">
            <v>Medium</v>
          </cell>
          <cell r="L296">
            <v>8</v>
          </cell>
          <cell r="O296" t="str">
            <v>Open</v>
          </cell>
          <cell r="P296" t="str">
            <v>Owner continuity item.</v>
          </cell>
          <cell r="Q296" t="str">
            <v>04|48</v>
          </cell>
        </row>
        <row r="297">
          <cell r="E297" t="str">
            <v>8. OWNER RISKS</v>
          </cell>
          <cell r="G297" t="str">
            <v>B04-R5</v>
          </cell>
          <cell r="H297" t="str">
            <v>All</v>
          </cell>
          <cell r="I297" t="str">
            <v>UPS/PDU/rack electrical source and load coordination unresolved</v>
          </cell>
          <cell r="J297" t="str">
            <v>High</v>
          </cell>
          <cell r="K297" t="str">
            <v>Medium</v>
          </cell>
          <cell r="L297">
            <v>6</v>
          </cell>
          <cell r="O297" t="str">
            <v>Open</v>
          </cell>
          <cell r="P297" t="str">
            <v>Panel schedule shows B04-NPA-TR, TRB05A/B, TR141A, TR244A.</v>
          </cell>
          <cell r="Q297" t="str">
            <v>04|49</v>
          </cell>
        </row>
        <row r="298">
          <cell r="E298" t="str">
            <v>8. OWNER RISKS</v>
          </cell>
          <cell r="G298" t="str">
            <v>B04-R6</v>
          </cell>
          <cell r="H298" t="str">
            <v>All</v>
          </cell>
          <cell r="I298" t="str">
            <v>Telecom/fiber cutover could affect active hospital communications</v>
          </cell>
          <cell r="J298" t="str">
            <v>Critical</v>
          </cell>
          <cell r="K298" t="str">
            <v>Medium</v>
          </cell>
          <cell r="L298">
            <v>8</v>
          </cell>
          <cell r="O298" t="str">
            <v>Open</v>
          </cell>
          <cell r="P298" t="str">
            <v>All telecom equipment/cabling must be tested and accepted before connecting active operations.</v>
          </cell>
          <cell r="Q298" t="str">
            <v>04|50</v>
          </cell>
        </row>
        <row r="299">
          <cell r="E299" t="str">
            <v>8. OWNER RISKS</v>
          </cell>
          <cell r="G299" t="str">
            <v>B04-R7</v>
          </cell>
          <cell r="H299" t="str">
            <v>All</v>
          </cell>
          <cell r="I299" t="str">
            <v>Fire alarm/sprinkler impairments during construction could affect occupied operations</v>
          </cell>
          <cell r="J299" t="str">
            <v>Critical</v>
          </cell>
          <cell r="K299" t="str">
            <v>Medium</v>
          </cell>
          <cell r="L299">
            <v>8</v>
          </cell>
          <cell r="O299" t="str">
            <v>Open</v>
          </cell>
          <cell r="P299" t="str">
            <v>Shutdowns limited to one at a time campus-wide.</v>
          </cell>
          <cell r="Q299" t="str">
            <v>04|51</v>
          </cell>
        </row>
        <row r="300">
          <cell r="E300" t="str">
            <v>8. OWNER RISKS</v>
          </cell>
          <cell r="G300" t="str">
            <v>B04-R8</v>
          </cell>
          <cell r="H300" t="str">
            <v>All</v>
          </cell>
          <cell r="I300" t="str">
            <v>Commissioning and third-party inspection reports incomplete before turnover</v>
          </cell>
          <cell r="J300" t="str">
            <v>High</v>
          </cell>
          <cell r="K300" t="str">
            <v>Medium</v>
          </cell>
          <cell r="L300">
            <v>6</v>
          </cell>
          <cell r="O300" t="str">
            <v>Open</v>
          </cell>
          <cell r="P300" t="str">
            <v>Required by cover sheet and commissioning scope.</v>
          </cell>
          <cell r="Q300" t="str">
            <v>04|52</v>
          </cell>
        </row>
        <row r="301">
          <cell r="E301" t="str">
            <v>8. OWNER RISKS</v>
          </cell>
          <cell r="G301">
            <v>0</v>
          </cell>
          <cell r="H301">
            <v>0</v>
          </cell>
          <cell r="I301">
            <v>0</v>
          </cell>
          <cell r="J301">
            <v>0</v>
          </cell>
          <cell r="K301">
            <v>0</v>
          </cell>
          <cell r="L301">
            <v>0</v>
          </cell>
          <cell r="O301">
            <v>0</v>
          </cell>
          <cell r="P301">
            <v>0</v>
          </cell>
          <cell r="Q301" t="str">
            <v>04|53</v>
          </cell>
        </row>
        <row r="302">
          <cell r="E302" t="str">
            <v>9. OPEN QUESTIONS</v>
          </cell>
          <cell r="G302" t="str">
            <v>9. OPEN QUESTIONS</v>
          </cell>
          <cell r="H302">
            <v>0</v>
          </cell>
          <cell r="I302">
            <v>0</v>
          </cell>
          <cell r="J302">
            <v>0</v>
          </cell>
          <cell r="K302">
            <v>0</v>
          </cell>
          <cell r="L302">
            <v>0</v>
          </cell>
          <cell r="O302">
            <v>0</v>
          </cell>
          <cell r="P302">
            <v>0</v>
          </cell>
          <cell r="Q302" t="str">
            <v>04|54</v>
          </cell>
        </row>
        <row r="303">
          <cell r="E303" t="str">
            <v>9. OPEN QUESTIONS</v>
          </cell>
          <cell r="G303" t="str">
            <v>Question ID</v>
          </cell>
          <cell r="H303" t="str">
            <v>Question</v>
          </cell>
          <cell r="I303" t="str">
            <v>Assigned To</v>
          </cell>
          <cell r="J303" t="str">
            <v>Status</v>
          </cell>
          <cell r="K303" t="str">
            <v>Needed By</v>
          </cell>
          <cell r="L303" t="str">
            <v>Answer / Resolution</v>
          </cell>
          <cell r="O303" t="str">
            <v>Date Closed</v>
          </cell>
          <cell r="P303" t="str">
            <v>Notes</v>
          </cell>
          <cell r="Q303" t="str">
            <v>04|55</v>
          </cell>
        </row>
        <row r="304">
          <cell r="E304" t="str">
            <v>9. OPEN QUESTIONS</v>
          </cell>
          <cell r="G304" t="str">
            <v>B04-Q1</v>
          </cell>
          <cell r="H304" t="str">
            <v>Confirm final TR room list: B05, 141, and 244A; are there additional served-from rooms?</v>
          </cell>
          <cell r="I304" t="str">
            <v>VA / OIT / Designer</v>
          </cell>
          <cell r="J304" t="str">
            <v>Open</v>
          </cell>
          <cell r="K304">
            <v>0</v>
          </cell>
          <cell r="L304">
            <v>0</v>
          </cell>
          <cell r="O304">
            <v>0</v>
          </cell>
          <cell r="P304">
            <v>0</v>
          </cell>
          <cell r="Q304" t="str">
            <v>04|56</v>
          </cell>
        </row>
        <row r="305">
          <cell r="E305" t="str">
            <v>9. OPEN QUESTIONS</v>
          </cell>
          <cell r="G305" t="str">
            <v>B04-Q2</v>
          </cell>
          <cell r="H305" t="str">
            <v>Are B05, 141, and 244A cooling systems on emergency/backup power?</v>
          </cell>
          <cell r="I305" t="str">
            <v>VA / Electrical / Mechanical</v>
          </cell>
          <cell r="J305" t="str">
            <v>Open</v>
          </cell>
          <cell r="K305">
            <v>0</v>
          </cell>
          <cell r="L305">
            <v>0</v>
          </cell>
          <cell r="O305">
            <v>0</v>
          </cell>
          <cell r="P305">
            <v>0</v>
          </cell>
          <cell r="Q305" t="str">
            <v>04|57</v>
          </cell>
        </row>
        <row r="306">
          <cell r="E306" t="str">
            <v>9. OPEN QUESTIONS</v>
          </cell>
          <cell r="G306" t="str">
            <v>B04-Q3</v>
          </cell>
          <cell r="H306" t="str">
            <v>Where are clean-agent/CO2 extinguisher cabinets located within 75 ft of each TR?</v>
          </cell>
          <cell r="I306" t="str">
            <v>GC / COR</v>
          </cell>
          <cell r="J306" t="str">
            <v>Open</v>
          </cell>
          <cell r="K306">
            <v>0</v>
          </cell>
          <cell r="L306">
            <v>0</v>
          </cell>
          <cell r="O306">
            <v>0</v>
          </cell>
          <cell r="P306">
            <v>0</v>
          </cell>
          <cell r="Q306" t="str">
            <v>04|58</v>
          </cell>
        </row>
        <row r="307">
          <cell r="E307" t="str">
            <v>9. OPEN QUESTIONS</v>
          </cell>
          <cell r="G307" t="str">
            <v>B04-Q4</v>
          </cell>
          <cell r="H307" t="str">
            <v>What is the approved migration and cutover sequence for active Building 04 services?</v>
          </cell>
          <cell r="I307" t="str">
            <v>OIT / Contractor</v>
          </cell>
          <cell r="J307" t="str">
            <v>Open</v>
          </cell>
          <cell r="K307">
            <v>0</v>
          </cell>
          <cell r="L307">
            <v>0</v>
          </cell>
          <cell r="O307">
            <v>0</v>
          </cell>
          <cell r="P307">
            <v>0</v>
          </cell>
          <cell r="Q307" t="str">
            <v>04|59</v>
          </cell>
        </row>
        <row r="308">
          <cell r="E308" t="str">
            <v>9. OPEN QUESTIONS</v>
          </cell>
          <cell r="G308" t="str">
            <v>B04-Q5</v>
          </cell>
          <cell r="H308" t="str">
            <v>Are hazardous/abatement impacts cleared for basement and first-level penetrations/floor work?</v>
          </cell>
          <cell r="I308" t="str">
            <v>GC / COR</v>
          </cell>
          <cell r="J308" t="str">
            <v>Open</v>
          </cell>
          <cell r="K308">
            <v>0</v>
          </cell>
          <cell r="L308">
            <v>0</v>
          </cell>
          <cell r="O308">
            <v>0</v>
          </cell>
          <cell r="P308">
            <v>0</v>
          </cell>
          <cell r="Q308" t="str">
            <v>04|60</v>
          </cell>
        </row>
        <row r="309">
          <cell r="E309" t="str">
            <v>9. OPEN QUESTIONS</v>
          </cell>
          <cell r="G309" t="str">
            <v>B04-Q6</v>
          </cell>
          <cell r="H309" t="str">
            <v>Are all B04 panelboards/feeders/breakers/SPDs/load measurements approved before renovation?</v>
          </cell>
          <cell r="I309" t="str">
            <v>Electrical / Designer</v>
          </cell>
          <cell r="J309" t="str">
            <v>Open</v>
          </cell>
          <cell r="K309">
            <v>0</v>
          </cell>
          <cell r="L309">
            <v>0</v>
          </cell>
          <cell r="O309">
            <v>0</v>
          </cell>
          <cell r="P309">
            <v>0</v>
          </cell>
          <cell r="Q309" t="str">
            <v>04|61</v>
          </cell>
        </row>
        <row r="310">
          <cell r="E310" t="str">
            <v>9. OPEN QUESTIONS</v>
          </cell>
          <cell r="G310" t="str">
            <v>B04-Q7</v>
          </cell>
          <cell r="H310" t="str">
            <v>Are all rated wall/floor penetrations and speed sleeves identified and firestopped?</v>
          </cell>
          <cell r="I310" t="str">
            <v>GC / Designer</v>
          </cell>
          <cell r="J310" t="str">
            <v>Open</v>
          </cell>
          <cell r="K310">
            <v>0</v>
          </cell>
          <cell r="L310">
            <v>0</v>
          </cell>
          <cell r="O310">
            <v>0</v>
          </cell>
          <cell r="P310">
            <v>0</v>
          </cell>
          <cell r="Q310" t="str">
            <v>04|62</v>
          </cell>
        </row>
        <row r="311">
          <cell r="E311" t="str">
            <v>9. OPEN QUESTIONS</v>
          </cell>
          <cell r="G311" t="str">
            <v>B04-Q8</v>
          </cell>
          <cell r="H311" t="str">
            <v>Which third-party tests, commissioning forms, and acceptance documents are required before VA turnover?</v>
          </cell>
          <cell r="I311" t="str">
            <v>GC / Cx Manager</v>
          </cell>
          <cell r="J311" t="str">
            <v>Open</v>
          </cell>
          <cell r="K311">
            <v>0</v>
          </cell>
          <cell r="L311">
            <v>0</v>
          </cell>
          <cell r="O311">
            <v>0</v>
          </cell>
          <cell r="P311">
            <v>0</v>
          </cell>
          <cell r="Q311" t="str">
            <v>04|63</v>
          </cell>
        </row>
        <row r="312">
          <cell r="E312" t="str">
            <v>9. OPEN QUESTIONS</v>
          </cell>
          <cell r="G312">
            <v>0</v>
          </cell>
          <cell r="H312">
            <v>0</v>
          </cell>
          <cell r="I312">
            <v>0</v>
          </cell>
          <cell r="J312">
            <v>0</v>
          </cell>
          <cell r="K312">
            <v>0</v>
          </cell>
          <cell r="L312">
            <v>0</v>
          </cell>
          <cell r="O312">
            <v>0</v>
          </cell>
          <cell r="P312">
            <v>0</v>
          </cell>
          <cell r="Q312" t="str">
            <v>04|64</v>
          </cell>
        </row>
        <row r="313">
          <cell r="E313" t="str">
            <v>10. PHOTO LOG</v>
          </cell>
          <cell r="G313" t="str">
            <v>10. PHOTO LOG</v>
          </cell>
          <cell r="H313">
            <v>0</v>
          </cell>
          <cell r="I313">
            <v>0</v>
          </cell>
          <cell r="J313">
            <v>0</v>
          </cell>
          <cell r="K313">
            <v>0</v>
          </cell>
          <cell r="L313">
            <v>0</v>
          </cell>
          <cell r="O313">
            <v>0</v>
          </cell>
          <cell r="P313">
            <v>0</v>
          </cell>
          <cell r="Q313" t="str">
            <v>04|65</v>
          </cell>
        </row>
        <row r="314">
          <cell r="E314" t="str">
            <v>10. PHOTO LOG</v>
          </cell>
          <cell r="G314" t="str">
            <v>Photo ID</v>
          </cell>
          <cell r="H314" t="str">
            <v>Room</v>
          </cell>
          <cell r="I314" t="str">
            <v>Category</v>
          </cell>
          <cell r="J314" t="str">
            <v>Description</v>
          </cell>
          <cell r="K314" t="str">
            <v>Date</v>
          </cell>
          <cell r="L314" t="str">
            <v>Taken By</v>
          </cell>
          <cell r="O314" t="str">
            <v>Status</v>
          </cell>
          <cell r="P314" t="str">
            <v>Notes</v>
          </cell>
          <cell r="Q314" t="str">
            <v>04|66</v>
          </cell>
        </row>
        <row r="315">
          <cell r="E315" t="str">
            <v>10. PHOTO LOG</v>
          </cell>
          <cell r="G315" t="str">
            <v>B04-P001</v>
          </cell>
          <cell r="H315" t="str">
            <v>B05</v>
          </cell>
          <cell r="I315" t="str">
            <v>Existing Condition</v>
          </cell>
          <cell r="J315" t="str">
            <v>Basement TR B05 existing conditions, racks, utilities, penetrations, panels</v>
          </cell>
          <cell r="K315">
            <v>0</v>
          </cell>
          <cell r="L315" t="str">
            <v>Paul</v>
          </cell>
          <cell r="O315" t="str">
            <v>Closed</v>
          </cell>
          <cell r="P315">
            <v>0</v>
          </cell>
          <cell r="Q315" t="str">
            <v>04|67</v>
          </cell>
        </row>
        <row r="316">
          <cell r="E316" t="str">
            <v>10. PHOTO LOG</v>
          </cell>
          <cell r="G316" t="str">
            <v>B04-P002</v>
          </cell>
          <cell r="H316" t="str">
            <v>141</v>
          </cell>
          <cell r="I316" t="str">
            <v>Existing Condition</v>
          </cell>
          <cell r="J316" t="str">
            <v>Room 141 existing conditions, door/walls/ceiling/window/floor conditions</v>
          </cell>
          <cell r="K316">
            <v>0</v>
          </cell>
          <cell r="L316" t="str">
            <v>Paul</v>
          </cell>
          <cell r="O316" t="str">
            <v>Closed</v>
          </cell>
          <cell r="P316">
            <v>0</v>
          </cell>
          <cell r="Q316" t="str">
            <v>04|68</v>
          </cell>
        </row>
        <row r="317">
          <cell r="E317" t="str">
            <v>10. PHOTO LOG</v>
          </cell>
          <cell r="G317" t="str">
            <v>B04-P003</v>
          </cell>
          <cell r="H317" t="str">
            <v>244A</v>
          </cell>
          <cell r="I317" t="str">
            <v>Existing Condition</v>
          </cell>
          <cell r="J317" t="str">
            <v>Room 244A TR existing condition and panel/rack area</v>
          </cell>
          <cell r="K317">
            <v>0</v>
          </cell>
          <cell r="L317" t="str">
            <v>Paul</v>
          </cell>
          <cell r="O317" t="str">
            <v>Closed</v>
          </cell>
          <cell r="P317">
            <v>0</v>
          </cell>
          <cell r="Q317" t="str">
            <v>04|69</v>
          </cell>
        </row>
        <row r="318">
          <cell r="E318" t="str">
            <v>10. PHOTO LOG</v>
          </cell>
          <cell r="G318" t="str">
            <v>B04-P004</v>
          </cell>
          <cell r="H318" t="str">
            <v>All</v>
          </cell>
          <cell r="I318" t="str">
            <v>Firestop</v>
          </cell>
          <cell r="J318" t="str">
            <v>All floor/wall/sleeve/tray penetrations before and after firestop</v>
          </cell>
          <cell r="K318">
            <v>0</v>
          </cell>
          <cell r="L318" t="str">
            <v>Paul</v>
          </cell>
          <cell r="O318" t="str">
            <v>Closed</v>
          </cell>
          <cell r="P318">
            <v>0</v>
          </cell>
          <cell r="Q318" t="str">
            <v>04|70</v>
          </cell>
        </row>
        <row r="319">
          <cell r="E319" t="str">
            <v>10. PHOTO LOG</v>
          </cell>
          <cell r="G319" t="str">
            <v>B04-P005</v>
          </cell>
          <cell r="H319" t="str">
            <v>All</v>
          </cell>
          <cell r="I319" t="str">
            <v>HVAC</v>
          </cell>
          <cell r="J319" t="str">
            <v>Cooling units, condensate routing, controls, high-temp alarms</v>
          </cell>
          <cell r="K319">
            <v>0</v>
          </cell>
          <cell r="L319" t="str">
            <v>Paul</v>
          </cell>
          <cell r="O319" t="str">
            <v>Closed</v>
          </cell>
          <cell r="P319">
            <v>0</v>
          </cell>
          <cell r="Q319" t="str">
            <v>04|71</v>
          </cell>
        </row>
        <row r="320">
          <cell r="E320" t="str">
            <v>10. PHOTO LOG</v>
          </cell>
          <cell r="G320" t="str">
            <v>B04-P006</v>
          </cell>
          <cell r="H320" t="str">
            <v>All</v>
          </cell>
          <cell r="I320" t="str">
            <v>Electrical</v>
          </cell>
          <cell r="J320" t="str">
            <v>Panels, breakers, UPS/PDU receptacles, SPD, grounding/bonding</v>
          </cell>
          <cell r="K320">
            <v>0</v>
          </cell>
          <cell r="L320" t="str">
            <v>Paul</v>
          </cell>
          <cell r="O320" t="str">
            <v>Closed</v>
          </cell>
          <cell r="P320">
            <v>0</v>
          </cell>
          <cell r="Q320" t="str">
            <v>04|72</v>
          </cell>
        </row>
        <row r="321">
          <cell r="E321" t="str">
            <v>10. PHOTO LOG</v>
          </cell>
          <cell r="G321" t="str">
            <v>B04-P007</v>
          </cell>
          <cell r="H321" t="str">
            <v>All</v>
          </cell>
          <cell r="I321" t="str">
            <v>Telecom</v>
          </cell>
          <cell r="J321" t="str">
            <v>Racks, ladder tray, fiber, Cat6A, labels, LIU, cable managers</v>
          </cell>
          <cell r="K321">
            <v>0</v>
          </cell>
          <cell r="L321" t="str">
            <v>Paul</v>
          </cell>
          <cell r="O321" t="str">
            <v>Closed</v>
          </cell>
          <cell r="P321">
            <v>0</v>
          </cell>
          <cell r="Q321" t="str">
            <v>04|73</v>
          </cell>
        </row>
        <row r="322">
          <cell r="E322" t="str">
            <v>10. PHOTO LOG</v>
          </cell>
          <cell r="G322" t="str">
            <v>B04-P008</v>
          </cell>
          <cell r="H322" t="str">
            <v>All</v>
          </cell>
          <cell r="I322" t="str">
            <v>Security</v>
          </cell>
          <cell r="J322" t="str">
            <v>PACS, card reader, electric strike, camera, motion sensor rough-in</v>
          </cell>
          <cell r="K322">
            <v>0</v>
          </cell>
          <cell r="L322" t="str">
            <v>Paul</v>
          </cell>
          <cell r="O322" t="str">
            <v>Closed</v>
          </cell>
          <cell r="P322">
            <v>0</v>
          </cell>
          <cell r="Q322" t="str">
            <v>04|74</v>
          </cell>
        </row>
        <row r="323">
          <cell r="E323" t="str">
            <v>10. PHOTO LOG</v>
          </cell>
          <cell r="G323">
            <v>0</v>
          </cell>
          <cell r="H323">
            <v>0</v>
          </cell>
          <cell r="I323">
            <v>0</v>
          </cell>
          <cell r="J323">
            <v>0</v>
          </cell>
          <cell r="K323">
            <v>0</v>
          </cell>
          <cell r="L323">
            <v>0</v>
          </cell>
          <cell r="O323">
            <v>0</v>
          </cell>
          <cell r="P323">
            <v>0</v>
          </cell>
          <cell r="Q323" t="str">
            <v>04|75</v>
          </cell>
        </row>
        <row r="324">
          <cell r="E324" t="str">
            <v>1. ROOM INVENTORY</v>
          </cell>
          <cell r="G324" t="str">
            <v>1. ROOM INVENTORY</v>
          </cell>
          <cell r="H324">
            <v>0</v>
          </cell>
          <cell r="I324">
            <v>0</v>
          </cell>
          <cell r="J324">
            <v>0</v>
          </cell>
          <cell r="K324">
            <v>0</v>
          </cell>
          <cell r="L324">
            <v>0</v>
          </cell>
          <cell r="O324">
            <v>0</v>
          </cell>
          <cell r="P324">
            <v>0</v>
          </cell>
          <cell r="Q324" t="str">
            <v>05|1</v>
          </cell>
        </row>
        <row r="325">
          <cell r="E325" t="str">
            <v>1. ROOM INVENTORY</v>
          </cell>
          <cell r="G325" t="str">
            <v>Building</v>
          </cell>
          <cell r="H325" t="str">
            <v>Room</v>
          </cell>
          <cell r="I325" t="str">
            <v>Floor</v>
          </cell>
          <cell r="J325" t="str">
            <v>Existing Use</v>
          </cell>
          <cell r="K325" t="str">
            <v>New Use</v>
          </cell>
          <cell r="L325" t="str">
            <v>Rack Count</v>
          </cell>
          <cell r="O325" t="str">
            <v>Drawing Ref</v>
          </cell>
          <cell r="P325" t="str">
            <v>Notes</v>
          </cell>
          <cell r="Q325" t="str">
            <v>05|2</v>
          </cell>
        </row>
        <row r="326">
          <cell r="E326" t="str">
            <v>1. ROOM INVENTORY</v>
          </cell>
          <cell r="G326" t="str">
            <v>05</v>
          </cell>
          <cell r="H326" t="str">
            <v>150</v>
          </cell>
          <cell r="I326" t="str">
            <v>First</v>
          </cell>
          <cell r="J326" t="str">
            <v>Telecom / equipment location</v>
          </cell>
          <cell r="K326" t="str">
            <v>Telecom Enclosure (TE)</v>
          </cell>
          <cell r="L326">
            <v>1</v>
          </cell>
          <cell r="O326" t="str">
            <v>05T-604 / 05T-401 / 05E-401</v>
          </cell>
          <cell r="P326" t="str">
            <v>New elevation identifies Room 150 with one 12RU Telecom Enclosure; includes APC UPS, PDUs, cable managers, 48-port patch panels, Cat6A patch panel, and Fiber LIU.</v>
          </cell>
          <cell r="Q326" t="str">
            <v>05|3</v>
          </cell>
        </row>
        <row r="327">
          <cell r="E327" t="str">
            <v>1. ROOM INVENTORY</v>
          </cell>
          <cell r="G327" t="str">
            <v>05</v>
          </cell>
          <cell r="H327" t="str">
            <v>153-A</v>
          </cell>
          <cell r="I327" t="str">
            <v>First</v>
          </cell>
          <cell r="J327" t="str">
            <v>Existing wall-mounted TE / existing rack area</v>
          </cell>
          <cell r="K327" t="str">
            <v>Existing equipment / transition point</v>
          </cell>
          <cell r="L327">
            <v>1</v>
          </cell>
          <cell r="O327" t="str">
            <v>05T-604</v>
          </cell>
          <cell r="P327" t="str">
            <v>Existing elevation shows wall or wall-mount TE at Room 153-A with Cisco switches and multiple legacy 24-port patch panels; existing floor UPS shown.</v>
          </cell>
          <cell r="Q327" t="str">
            <v>05|4</v>
          </cell>
        </row>
        <row r="328">
          <cell r="E328" t="str">
            <v>1. ROOM INVENTORY</v>
          </cell>
          <cell r="G328">
            <v>0</v>
          </cell>
          <cell r="H328">
            <v>0</v>
          </cell>
          <cell r="I328">
            <v>0</v>
          </cell>
          <cell r="J328">
            <v>0</v>
          </cell>
          <cell r="K328">
            <v>0</v>
          </cell>
          <cell r="L328">
            <v>0</v>
          </cell>
          <cell r="O328">
            <v>0</v>
          </cell>
          <cell r="P328">
            <v>0</v>
          </cell>
          <cell r="Q328" t="str">
            <v>05|5</v>
          </cell>
        </row>
        <row r="329">
          <cell r="E329" t="str">
            <v>2. ROOM READINESS</v>
          </cell>
          <cell r="G329" t="str">
            <v>2. ROOM READINESS</v>
          </cell>
          <cell r="H329">
            <v>0</v>
          </cell>
          <cell r="I329">
            <v>0</v>
          </cell>
          <cell r="J329">
            <v>0</v>
          </cell>
          <cell r="K329">
            <v>0</v>
          </cell>
          <cell r="L329">
            <v>0</v>
          </cell>
          <cell r="O329">
            <v>0</v>
          </cell>
          <cell r="P329" t="str">
            <v>Existing active telecommunications equipment remains in Room 153-A. Environmental conditioning supporting this equipment was not identified. Contractor shall verify that operating conditions comply with equipment manufacturer requirements for all active equipment remaining in service.</v>
          </cell>
          <cell r="Q329" t="str">
            <v>05|6</v>
          </cell>
        </row>
        <row r="330">
          <cell r="E330" t="str">
            <v>2. ROOM READINESS</v>
          </cell>
          <cell r="G330" t="str">
            <v>Room</v>
          </cell>
          <cell r="H330" t="str">
            <v>Walls / 1-hr Rating</v>
          </cell>
          <cell r="I330" t="str">
            <v>Ceiling</v>
          </cell>
          <cell r="J330" t="str">
            <v>Floor / SDC</v>
          </cell>
          <cell r="K330" t="str">
            <v>Penetrations</v>
          </cell>
          <cell r="L330" t="str">
            <v>Access Control</v>
          </cell>
          <cell r="O330" t="str">
            <v>Overall</v>
          </cell>
          <cell r="P330" t="str">
            <v>Comments</v>
          </cell>
          <cell r="Q330" t="str">
            <v>05|7</v>
          </cell>
        </row>
        <row r="331">
          <cell r="E331" t="str">
            <v>2. ROOM READINESS</v>
          </cell>
          <cell r="G331" t="str">
            <v>150</v>
          </cell>
          <cell r="H331" t="str">
            <v>Verify</v>
          </cell>
          <cell r="I331" t="str">
            <v>Verify</v>
          </cell>
          <cell r="J331" t="str">
            <v>Verify</v>
          </cell>
          <cell r="K331" t="str">
            <v>Verify</v>
          </cell>
          <cell r="L331" t="str">
            <v>Verify</v>
          </cell>
          <cell r="O331" t="str">
            <v>Verify</v>
          </cell>
          <cell r="P331" t="str">
            <v>TE installation; verify mounting wall/backing, access clearance, power location, pathway/firestop, and room readiness.</v>
          </cell>
          <cell r="Q331" t="str">
            <v>05|8</v>
          </cell>
        </row>
        <row r="332">
          <cell r="E332" t="str">
            <v>2. ROOM READINESS</v>
          </cell>
          <cell r="G332" t="str">
            <v>153-A</v>
          </cell>
          <cell r="H332" t="str">
            <v>Verify</v>
          </cell>
          <cell r="I332" t="str">
            <v>Verify</v>
          </cell>
          <cell r="J332" t="str">
            <v>Verify</v>
          </cell>
          <cell r="K332" t="str">
            <v>Verify</v>
          </cell>
          <cell r="L332" t="str">
            <v>Verify</v>
          </cell>
          <cell r="O332" t="str">
            <v>Verify</v>
          </cell>
          <cell r="P332" t="str">
            <v>Existing equipment area; verify what remains operational and how legacy equipment transitions to new TE.</v>
          </cell>
          <cell r="Q332" t="str">
            <v>05|9</v>
          </cell>
        </row>
        <row r="333">
          <cell r="E333" t="str">
            <v>2. ROOM READINESS</v>
          </cell>
          <cell r="G333">
            <v>0</v>
          </cell>
          <cell r="H333">
            <v>0</v>
          </cell>
          <cell r="I333">
            <v>0</v>
          </cell>
          <cell r="J333">
            <v>0</v>
          </cell>
          <cell r="K333">
            <v>0</v>
          </cell>
          <cell r="L333">
            <v>0</v>
          </cell>
          <cell r="O333">
            <v>0</v>
          </cell>
          <cell r="P333">
            <v>0</v>
          </cell>
          <cell r="Q333" t="str">
            <v>05|10</v>
          </cell>
        </row>
        <row r="334">
          <cell r="E334" t="str">
            <v>3. FIRE PROTECTION</v>
          </cell>
          <cell r="G334" t="str">
            <v>3. FIRE PROTECTION</v>
          </cell>
          <cell r="H334">
            <v>0</v>
          </cell>
          <cell r="I334">
            <v>0</v>
          </cell>
          <cell r="J334">
            <v>0</v>
          </cell>
          <cell r="K334">
            <v>0</v>
          </cell>
          <cell r="L334">
            <v>0</v>
          </cell>
          <cell r="O334">
            <v>0</v>
          </cell>
          <cell r="P334">
            <v>0</v>
          </cell>
          <cell r="Q334" t="str">
            <v>05|11</v>
          </cell>
        </row>
        <row r="335">
          <cell r="E335" t="str">
            <v>3. FIRE PROTECTION</v>
          </cell>
          <cell r="G335" t="str">
            <v>Room</v>
          </cell>
          <cell r="H335" t="str">
            <v>Sprinkler</v>
          </cell>
          <cell r="I335" t="str">
            <v>Cage</v>
          </cell>
          <cell r="J335" t="str">
            <v>Detector</v>
          </cell>
          <cell r="K335" t="str">
            <v>Horn/Strobe</v>
          </cell>
          <cell r="L335" t="str">
            <v>Extinguisher &lt;75 ft</v>
          </cell>
          <cell r="O335" t="str">
            <v>Overall</v>
          </cell>
          <cell r="P335" t="str">
            <v>Risk / Notes</v>
          </cell>
          <cell r="Q335" t="str">
            <v>05|12</v>
          </cell>
        </row>
        <row r="336">
          <cell r="E336" t="str">
            <v>3. FIRE PROTECTION</v>
          </cell>
          <cell r="G336" t="str">
            <v>150</v>
          </cell>
          <cell r="H336" t="str">
            <v>N/A</v>
          </cell>
          <cell r="I336" t="str">
            <v>N/A</v>
          </cell>
          <cell r="J336" t="str">
            <v>Verify</v>
          </cell>
          <cell r="K336" t="str">
            <v>Verify</v>
          </cell>
          <cell r="L336" t="str">
            <v>Verify</v>
          </cell>
          <cell r="O336" t="str">
            <v>Verify</v>
          </cell>
          <cell r="P336" t="str">
            <v>Cover sheet note states mechanical and fire protection scope excluded; still verify firestopping and existing fire alarm/life safety impacts.</v>
          </cell>
          <cell r="Q336" t="str">
            <v>05|13</v>
          </cell>
        </row>
        <row r="337">
          <cell r="E337" t="str">
            <v>3. FIRE PROTECTION</v>
          </cell>
          <cell r="G337" t="str">
            <v>153-A</v>
          </cell>
          <cell r="H337" t="str">
            <v>N/A</v>
          </cell>
          <cell r="I337" t="str">
            <v>N/A</v>
          </cell>
          <cell r="J337" t="str">
            <v>Verify</v>
          </cell>
          <cell r="K337" t="str">
            <v>Verify</v>
          </cell>
          <cell r="L337" t="str">
            <v>Verify</v>
          </cell>
          <cell r="O337" t="str">
            <v>Verify</v>
          </cell>
          <cell r="P337" t="str">
            <v>Existing conditions only; verify protection-in-place and no unsealed penetrations after cabling.</v>
          </cell>
          <cell r="Q337" t="str">
            <v>05|14</v>
          </cell>
        </row>
        <row r="338">
          <cell r="E338" t="str">
            <v>3. FIRE PROTECTION</v>
          </cell>
          <cell r="G338">
            <v>0</v>
          </cell>
          <cell r="H338">
            <v>0</v>
          </cell>
          <cell r="I338">
            <v>0</v>
          </cell>
          <cell r="J338">
            <v>0</v>
          </cell>
          <cell r="K338">
            <v>0</v>
          </cell>
          <cell r="L338">
            <v>0</v>
          </cell>
          <cell r="O338">
            <v>0</v>
          </cell>
          <cell r="P338">
            <v>0</v>
          </cell>
          <cell r="Q338" t="str">
            <v>05|15</v>
          </cell>
        </row>
        <row r="339">
          <cell r="E339" t="str">
            <v>4. HVAC / COOLING</v>
          </cell>
          <cell r="G339" t="str">
            <v>4. HVAC / COOLING</v>
          </cell>
          <cell r="H339">
            <v>0</v>
          </cell>
          <cell r="I339">
            <v>0</v>
          </cell>
          <cell r="J339">
            <v>0</v>
          </cell>
          <cell r="K339">
            <v>0</v>
          </cell>
          <cell r="L339">
            <v>0</v>
          </cell>
          <cell r="O339">
            <v>0</v>
          </cell>
          <cell r="P339">
            <v>0</v>
          </cell>
          <cell r="Q339" t="str">
            <v>05|16</v>
          </cell>
        </row>
        <row r="340">
          <cell r="E340" t="str">
            <v>4. HVAC / COOLING</v>
          </cell>
          <cell r="G340" t="str">
            <v>Room</v>
          </cell>
          <cell r="H340" t="str">
            <v>Dedicated Unit</v>
          </cell>
          <cell r="I340" t="str">
            <v>Capacity Verified</v>
          </cell>
          <cell r="J340" t="str">
            <v>Emergency Power</v>
          </cell>
          <cell r="K340" t="str">
            <v>Controls / BACnet</v>
          </cell>
          <cell r="L340" t="str">
            <v>Condensate Routed</v>
          </cell>
          <cell r="O340" t="str">
            <v>Overall</v>
          </cell>
          <cell r="P340" t="str">
            <v>Risk / Notes</v>
          </cell>
          <cell r="Q340" t="str">
            <v>05|17</v>
          </cell>
        </row>
        <row r="341">
          <cell r="E341" t="str">
            <v>4. HVAC / COOLING</v>
          </cell>
          <cell r="G341" t="str">
            <v>150</v>
          </cell>
          <cell r="H341" t="str">
            <v>N/A</v>
          </cell>
          <cell r="I341" t="str">
            <v>N/A</v>
          </cell>
          <cell r="J341" t="str">
            <v>N/A</v>
          </cell>
          <cell r="K341" t="str">
            <v>N/A</v>
          </cell>
          <cell r="L341" t="str">
            <v>N/A</v>
          </cell>
          <cell r="O341" t="str">
            <v>N/A</v>
          </cell>
          <cell r="P341" t="str">
            <v>Mechanical scope is excluded for Building 05; verify TE heat load is acceptable in existing space and does not require added cooling.</v>
          </cell>
          <cell r="Q341" t="str">
            <v>05|18</v>
          </cell>
        </row>
        <row r="342">
          <cell r="E342" t="str">
            <v>4. HVAC / COOLING</v>
          </cell>
          <cell r="G342" t="str">
            <v>153-A</v>
          </cell>
          <cell r="H342" t="str">
            <v>N/A</v>
          </cell>
          <cell r="I342" t="str">
            <v>N/A</v>
          </cell>
          <cell r="J342" t="str">
            <v>N/A</v>
          </cell>
          <cell r="K342" t="str">
            <v>N/A</v>
          </cell>
          <cell r="L342" t="str">
            <v>N/A</v>
          </cell>
          <cell r="O342" t="str">
            <v>N/A</v>
          </cell>
          <cell r="P342" t="str">
            <v>Existing wall/wall-mount TE area; verify existing environmental conditions during field survey.</v>
          </cell>
          <cell r="Q342" t="str">
            <v>05|19</v>
          </cell>
        </row>
        <row r="343">
          <cell r="E343" t="str">
            <v>4. HVAC / COOLING</v>
          </cell>
          <cell r="G343">
            <v>0</v>
          </cell>
          <cell r="H343">
            <v>0</v>
          </cell>
          <cell r="I343">
            <v>0</v>
          </cell>
          <cell r="J343">
            <v>0</v>
          </cell>
          <cell r="K343">
            <v>0</v>
          </cell>
          <cell r="L343">
            <v>0</v>
          </cell>
          <cell r="O343">
            <v>0</v>
          </cell>
          <cell r="P343">
            <v>0</v>
          </cell>
          <cell r="Q343" t="str">
            <v>05|20</v>
          </cell>
        </row>
        <row r="344">
          <cell r="E344" t="str">
            <v>5. ELECTRICAL / UPS</v>
          </cell>
          <cell r="G344" t="str">
            <v>5. ELECTRICAL / UPS</v>
          </cell>
          <cell r="H344">
            <v>0</v>
          </cell>
          <cell r="I344">
            <v>0</v>
          </cell>
          <cell r="J344">
            <v>0</v>
          </cell>
          <cell r="K344">
            <v>0</v>
          </cell>
          <cell r="L344">
            <v>0</v>
          </cell>
          <cell r="O344">
            <v>0</v>
          </cell>
          <cell r="P344">
            <v>0</v>
          </cell>
          <cell r="Q344" t="str">
            <v>05|21</v>
          </cell>
        </row>
        <row r="345">
          <cell r="E345" t="str">
            <v>5. ELECTRICAL / UPS</v>
          </cell>
          <cell r="G345" t="str">
            <v>Room</v>
          </cell>
          <cell r="H345" t="str">
            <v>UPS Installed</v>
          </cell>
          <cell r="I345" t="str">
            <v>UPS Size</v>
          </cell>
          <cell r="J345" t="str">
            <v>PDU Installed</v>
          </cell>
          <cell r="K345" t="str">
            <v>Rack Receptacles</v>
          </cell>
          <cell r="L345" t="str">
            <v>Panel Assigned</v>
          </cell>
          <cell r="O345" t="str">
            <v>Overall</v>
          </cell>
          <cell r="P345" t="str">
            <v>Notes</v>
          </cell>
          <cell r="Q345" t="str">
            <v>05|22</v>
          </cell>
        </row>
        <row r="346">
          <cell r="E346" t="str">
            <v>5. ELECTRICAL / UPS</v>
          </cell>
          <cell r="G346" t="str">
            <v>150</v>
          </cell>
          <cell r="H346" t="str">
            <v>Verify</v>
          </cell>
          <cell r="I346" t="str">
            <v>APC UPS / TE scale</v>
          </cell>
          <cell r="J346" t="str">
            <v>Verify</v>
          </cell>
          <cell r="K346" t="str">
            <v>Verify</v>
          </cell>
          <cell r="L346" t="str">
            <v>Verify</v>
          </cell>
          <cell r="O346" t="str">
            <v>Verify</v>
          </cell>
          <cell r="P346" t="str">
            <v>05T-604 shows APC UPS, two PDU L-530 input / NEMA 5-20 output units, 1200V outlet UPS, and 1200V outlet PDU; verify actual electrical schedule/panel/circuit source.</v>
          </cell>
          <cell r="Q346" t="str">
            <v>05|23</v>
          </cell>
        </row>
        <row r="347">
          <cell r="E347" t="str">
            <v>5. ELECTRICAL / UPS</v>
          </cell>
          <cell r="G347" t="str">
            <v>153-A</v>
          </cell>
          <cell r="H347" t="str">
            <v>Existing</v>
          </cell>
          <cell r="I347" t="str">
            <v>Existing floor UPS</v>
          </cell>
          <cell r="J347" t="str">
            <v>Existing</v>
          </cell>
          <cell r="K347" t="str">
            <v>Verify</v>
          </cell>
          <cell r="L347" t="str">
            <v>Verify</v>
          </cell>
          <cell r="O347" t="str">
            <v>Verify</v>
          </cell>
          <cell r="P347" t="str">
            <v>Existing elevation shows floor UPS and legacy wall-mounted TE equipment; protect active equipment until cutover.</v>
          </cell>
          <cell r="Q347" t="str">
            <v>05|24</v>
          </cell>
        </row>
        <row r="348">
          <cell r="E348" t="str">
            <v>5. ELECTRICAL / UPS</v>
          </cell>
          <cell r="G348">
            <v>0</v>
          </cell>
          <cell r="H348">
            <v>0</v>
          </cell>
          <cell r="I348">
            <v>0</v>
          </cell>
          <cell r="J348">
            <v>0</v>
          </cell>
          <cell r="K348">
            <v>0</v>
          </cell>
          <cell r="L348">
            <v>0</v>
          </cell>
          <cell r="O348">
            <v>0</v>
          </cell>
          <cell r="P348">
            <v>0</v>
          </cell>
          <cell r="Q348" t="str">
            <v>05|25</v>
          </cell>
        </row>
        <row r="349">
          <cell r="E349" t="str">
            <v>6. TELECOMMUNICATIONS</v>
          </cell>
          <cell r="G349" t="str">
            <v>6. TELECOMMUNICATIONS</v>
          </cell>
          <cell r="H349">
            <v>0</v>
          </cell>
          <cell r="I349">
            <v>0</v>
          </cell>
          <cell r="J349">
            <v>0</v>
          </cell>
          <cell r="K349">
            <v>0</v>
          </cell>
          <cell r="L349">
            <v>0</v>
          </cell>
          <cell r="O349">
            <v>0</v>
          </cell>
          <cell r="P349">
            <v>0</v>
          </cell>
          <cell r="Q349" t="str">
            <v>05|26</v>
          </cell>
        </row>
        <row r="350">
          <cell r="E350" t="str">
            <v>6. TELECOMMUNICATIONS</v>
          </cell>
          <cell r="G350" t="str">
            <v>Room</v>
          </cell>
          <cell r="H350" t="str">
            <v>Rack Installed</v>
          </cell>
          <cell r="I350" t="str">
            <v>Ladder Tray</v>
          </cell>
          <cell r="J350" t="str">
            <v>Fiber Installed</v>
          </cell>
          <cell r="K350" t="str">
            <v>Grounding</v>
          </cell>
          <cell r="L350" t="str">
            <v>Labeling</v>
          </cell>
          <cell r="O350" t="str">
            <v>Overall</v>
          </cell>
          <cell r="P350" t="str">
            <v>Notes</v>
          </cell>
          <cell r="Q350" t="str">
            <v>05|27</v>
          </cell>
        </row>
        <row r="351">
          <cell r="E351" t="str">
            <v>6. TELECOMMUNICATIONS</v>
          </cell>
          <cell r="G351" t="str">
            <v>150</v>
          </cell>
          <cell r="H351" t="str">
            <v>Verify</v>
          </cell>
          <cell r="I351" t="str">
            <v>N/A / TE</v>
          </cell>
          <cell r="J351" t="str">
            <v>Verify</v>
          </cell>
          <cell r="K351" t="str">
            <v>Verify</v>
          </cell>
          <cell r="L351" t="str">
            <v>Verify</v>
          </cell>
          <cell r="O351" t="str">
            <v>Verify</v>
          </cell>
          <cell r="P351" t="str">
            <v>New Room 150 Telecom Enclosure: 12RU TE with APC UPS, PDUs, cable managers, 48-port angled patch panels, 48-port Cat6A patch panel, and Fiber LIU.</v>
          </cell>
          <cell r="Q351" t="str">
            <v>05|28</v>
          </cell>
        </row>
        <row r="352">
          <cell r="E352" t="str">
            <v>6. TELECOMMUNICATIONS</v>
          </cell>
          <cell r="G352" t="str">
            <v>153-A</v>
          </cell>
          <cell r="H352" t="str">
            <v>Existing</v>
          </cell>
          <cell r="I352" t="str">
            <v>N/A / Wall TE</v>
          </cell>
          <cell r="J352" t="str">
            <v>Existing</v>
          </cell>
          <cell r="K352" t="str">
            <v>Verify</v>
          </cell>
          <cell r="L352" t="str">
            <v>Verify</v>
          </cell>
          <cell r="O352" t="str">
            <v>Verify</v>
          </cell>
          <cell r="P352" t="str">
            <v>Existing Room 153-A wall/wall-mount TE contains Cisco switches and legacy 24-port patch panels; confirm cutover, reuse, demo, and records.</v>
          </cell>
          <cell r="Q352" t="str">
            <v>05|29</v>
          </cell>
        </row>
        <row r="353">
          <cell r="E353" t="str">
            <v>6. TELECOMMUNICATIONS</v>
          </cell>
          <cell r="G353">
            <v>0</v>
          </cell>
          <cell r="H353">
            <v>0</v>
          </cell>
          <cell r="I353">
            <v>0</v>
          </cell>
          <cell r="J353">
            <v>0</v>
          </cell>
          <cell r="K353">
            <v>0</v>
          </cell>
          <cell r="L353">
            <v>0</v>
          </cell>
          <cell r="O353">
            <v>0</v>
          </cell>
          <cell r="P353">
            <v>0</v>
          </cell>
          <cell r="Q353" t="str">
            <v>05|30</v>
          </cell>
        </row>
        <row r="354">
          <cell r="E354" t="str">
            <v>7. SECURITY / PACS / CCTV</v>
          </cell>
          <cell r="G354" t="str">
            <v>7. SECURITY / PACS / CCTV</v>
          </cell>
          <cell r="H354">
            <v>0</v>
          </cell>
          <cell r="I354">
            <v>0</v>
          </cell>
          <cell r="J354">
            <v>0</v>
          </cell>
          <cell r="K354">
            <v>0</v>
          </cell>
          <cell r="L354">
            <v>0</v>
          </cell>
          <cell r="O354">
            <v>0</v>
          </cell>
          <cell r="P354">
            <v>0</v>
          </cell>
          <cell r="Q354" t="str">
            <v>05|31</v>
          </cell>
        </row>
        <row r="355">
          <cell r="E355" t="str">
            <v>7. SECURITY / PACS / CCTV</v>
          </cell>
          <cell r="G355" t="str">
            <v>Room</v>
          </cell>
          <cell r="H355" t="str">
            <v>PACS</v>
          </cell>
          <cell r="I355" t="str">
            <v>Card Reader</v>
          </cell>
          <cell r="J355" t="str">
            <v>Door Position</v>
          </cell>
          <cell r="K355" t="str">
            <v>Electric Strike</v>
          </cell>
          <cell r="L355" t="str">
            <v>CCTV</v>
          </cell>
          <cell r="O355" t="str">
            <v>Overall</v>
          </cell>
          <cell r="P355" t="str">
            <v>Notes</v>
          </cell>
          <cell r="Q355" t="str">
            <v>05|32</v>
          </cell>
        </row>
        <row r="356">
          <cell r="E356" t="str">
            <v>7. SECURITY / PACS / CCTV</v>
          </cell>
          <cell r="G356" t="str">
            <v>150</v>
          </cell>
          <cell r="H356" t="str">
            <v>Verify</v>
          </cell>
          <cell r="I356" t="str">
            <v>Verify</v>
          </cell>
          <cell r="J356" t="str">
            <v>Verify</v>
          </cell>
          <cell r="K356" t="str">
            <v>Verify</v>
          </cell>
          <cell r="L356" t="str">
            <v>Verify</v>
          </cell>
          <cell r="O356" t="str">
            <v>Verify</v>
          </cell>
          <cell r="P356" t="str">
            <v>Project general scope includes CCTV and PACS for telecom spaces; verify whether TE location receives camera/access control or is served by existing room controls.</v>
          </cell>
          <cell r="Q356" t="str">
            <v>05|33</v>
          </cell>
        </row>
        <row r="357">
          <cell r="E357" t="str">
            <v>7. SECURITY / PACS / CCTV</v>
          </cell>
          <cell r="G357" t="str">
            <v>153-A</v>
          </cell>
          <cell r="H357" t="str">
            <v>Verify</v>
          </cell>
          <cell r="I357" t="str">
            <v>Verify</v>
          </cell>
          <cell r="J357" t="str">
            <v>Verify</v>
          </cell>
          <cell r="K357" t="str">
            <v>Verify</v>
          </cell>
          <cell r="L357" t="str">
            <v>Verify</v>
          </cell>
          <cell r="O357" t="str">
            <v>Verify</v>
          </cell>
          <cell r="P357" t="str">
            <v>Verify existing security protection and whether access-control work is needed for existing TE area.</v>
          </cell>
          <cell r="Q357" t="str">
            <v>05|34</v>
          </cell>
        </row>
        <row r="358">
          <cell r="E358" t="str">
            <v>7. SECURITY / PACS / CCTV</v>
          </cell>
          <cell r="G358">
            <v>0</v>
          </cell>
          <cell r="H358">
            <v>0</v>
          </cell>
          <cell r="I358">
            <v>0</v>
          </cell>
          <cell r="J358">
            <v>0</v>
          </cell>
          <cell r="K358">
            <v>0</v>
          </cell>
          <cell r="L358">
            <v>0</v>
          </cell>
          <cell r="O358">
            <v>0</v>
          </cell>
          <cell r="P358">
            <v>0</v>
          </cell>
          <cell r="Q358" t="str">
            <v>05|35</v>
          </cell>
        </row>
        <row r="359">
          <cell r="E359" t="str">
            <v>8. OWNER RISKS</v>
          </cell>
          <cell r="G359" t="str">
            <v>8. OWNER RISKS</v>
          </cell>
          <cell r="H359">
            <v>0</v>
          </cell>
          <cell r="I359">
            <v>0</v>
          </cell>
          <cell r="J359">
            <v>0</v>
          </cell>
          <cell r="K359">
            <v>0</v>
          </cell>
          <cell r="L359">
            <v>0</v>
          </cell>
          <cell r="O359">
            <v>0</v>
          </cell>
          <cell r="P359">
            <v>0</v>
          </cell>
          <cell r="Q359" t="str">
            <v>05|36</v>
          </cell>
        </row>
        <row r="360">
          <cell r="E360" t="str">
            <v>8. OWNER RISKS</v>
          </cell>
          <cell r="G360" t="str">
            <v>Risk ID</v>
          </cell>
          <cell r="H360" t="str">
            <v>Room</v>
          </cell>
          <cell r="I360" t="str">
            <v>Risk</v>
          </cell>
          <cell r="J360" t="str">
            <v>Impact</v>
          </cell>
          <cell r="K360" t="str">
            <v>Probability</v>
          </cell>
          <cell r="L360" t="str">
            <v>Score</v>
          </cell>
          <cell r="O360" t="str">
            <v>Status</v>
          </cell>
          <cell r="P360" t="str">
            <v>Notes</v>
          </cell>
          <cell r="Q360" t="str">
            <v>05|37</v>
          </cell>
        </row>
        <row r="361">
          <cell r="E361" t="str">
            <v>8. OWNER RISKS</v>
          </cell>
          <cell r="G361" t="str">
            <v>B05-R1</v>
          </cell>
          <cell r="H361" t="str">
            <v>150</v>
          </cell>
          <cell r="I361" t="str">
            <v>Telecom Enclosure installation details not field verified</v>
          </cell>
          <cell r="J361" t="str">
            <v>High</v>
          </cell>
          <cell r="K361" t="str">
            <v>Medium</v>
          </cell>
          <cell r="L361">
            <v>6</v>
          </cell>
          <cell r="O361" t="str">
            <v>Open</v>
          </cell>
          <cell r="P361" t="str">
            <v>TE rather than full TR.</v>
          </cell>
          <cell r="Q361" t="str">
            <v>05|38</v>
          </cell>
        </row>
        <row r="362">
          <cell r="E362" t="str">
            <v>8. OWNER RISKS</v>
          </cell>
          <cell r="G362" t="str">
            <v>B05-R2</v>
          </cell>
          <cell r="H362" t="str">
            <v>153-A</v>
          </cell>
          <cell r="I362" t="str">
            <v>Existing legacy equipment/cabling may remain active during cutover</v>
          </cell>
          <cell r="J362" t="str">
            <v>Critical</v>
          </cell>
          <cell r="K362" t="str">
            <v>Medium</v>
          </cell>
          <cell r="L362">
            <v>8</v>
          </cell>
          <cell r="O362" t="str">
            <v>Open</v>
          </cell>
          <cell r="P362" t="str">
            <v>Existing Cisco switches and patch panels shown.</v>
          </cell>
          <cell r="Q362" t="str">
            <v>05|39</v>
          </cell>
        </row>
        <row r="363">
          <cell r="E363" t="str">
            <v>8. OWNER RISKS</v>
          </cell>
          <cell r="G363" t="str">
            <v>B05-R3</v>
          </cell>
          <cell r="H363" t="str">
            <v>All</v>
          </cell>
          <cell r="I363" t="str">
            <v>Mechanical/fire protection scope excluded may hide interface risks</v>
          </cell>
          <cell r="J363" t="str">
            <v>Medium</v>
          </cell>
          <cell r="K363" t="str">
            <v>Medium</v>
          </cell>
          <cell r="L363">
            <v>4</v>
          </cell>
          <cell r="O363" t="str">
            <v>Open</v>
          </cell>
          <cell r="P363" t="str">
            <v>Cover sheet specifically excludes mechanical and fire protection scope.</v>
          </cell>
          <cell r="Q363" t="str">
            <v>05|40</v>
          </cell>
        </row>
        <row r="364">
          <cell r="E364" t="str">
            <v>8. OWNER RISKS</v>
          </cell>
          <cell r="G364" t="str">
            <v>B05-R4</v>
          </cell>
          <cell r="H364" t="str">
            <v>150</v>
          </cell>
          <cell r="I364" t="str">
            <v>Electrical panel/circuit source for TE equipment not confirmed</v>
          </cell>
          <cell r="J364" t="str">
            <v>High</v>
          </cell>
          <cell r="K364" t="str">
            <v>Medium</v>
          </cell>
          <cell r="L364">
            <v>6</v>
          </cell>
          <cell r="O364" t="str">
            <v>Open</v>
          </cell>
          <cell r="P364" t="str">
            <v>UPS/PDU devices shown in rack elevation.</v>
          </cell>
          <cell r="Q364" t="str">
            <v>05|41</v>
          </cell>
        </row>
        <row r="365">
          <cell r="E365" t="str">
            <v>8. OWNER RISKS</v>
          </cell>
          <cell r="G365" t="str">
            <v>B05-R5</v>
          </cell>
          <cell r="H365" t="str">
            <v>All</v>
          </cell>
          <cell r="I365" t="str">
            <v>Firestopping/penetration sealing still required despite fire protection scope exclusion</v>
          </cell>
          <cell r="J365" t="str">
            <v>High</v>
          </cell>
          <cell r="K365" t="str">
            <v>Medium</v>
          </cell>
          <cell r="L365">
            <v>6</v>
          </cell>
          <cell r="O365" t="str">
            <v>Open</v>
          </cell>
          <cell r="P365" t="str">
            <v>Cabling work can create rated assembly risk.</v>
          </cell>
          <cell r="Q365" t="str">
            <v>05|42</v>
          </cell>
        </row>
        <row r="366">
          <cell r="E366" t="str">
            <v>8. OWNER RISKS</v>
          </cell>
          <cell r="G366" t="str">
            <v>B05-R6</v>
          </cell>
          <cell r="H366" t="str">
            <v>All</v>
          </cell>
          <cell r="I366" t="str">
            <v>Commissioning / acceptance documentation may be treated as minor due to TE scope</v>
          </cell>
          <cell r="J366" t="str">
            <v>Medium</v>
          </cell>
          <cell r="K366" t="str">
            <v>Medium</v>
          </cell>
          <cell r="L366">
            <v>4</v>
          </cell>
          <cell r="O366" t="str">
            <v>Open</v>
          </cell>
          <cell r="P366" t="str">
            <v>All telecom cabling must be tested and accepted.</v>
          </cell>
          <cell r="Q366" t="str">
            <v>05|43</v>
          </cell>
        </row>
        <row r="367">
          <cell r="E367" t="str">
            <v>8. OWNER RISKS</v>
          </cell>
          <cell r="G367">
            <v>0</v>
          </cell>
          <cell r="H367">
            <v>0</v>
          </cell>
          <cell r="I367">
            <v>0</v>
          </cell>
          <cell r="J367">
            <v>0</v>
          </cell>
          <cell r="K367">
            <v>0</v>
          </cell>
          <cell r="L367">
            <v>0</v>
          </cell>
          <cell r="O367">
            <v>0</v>
          </cell>
          <cell r="P367">
            <v>0</v>
          </cell>
          <cell r="Q367" t="str">
            <v>05|44</v>
          </cell>
        </row>
        <row r="368">
          <cell r="E368" t="str">
            <v>9. OPEN QUESTIONS</v>
          </cell>
          <cell r="G368" t="str">
            <v>9. OPEN QUESTIONS</v>
          </cell>
          <cell r="H368">
            <v>0</v>
          </cell>
          <cell r="I368">
            <v>0</v>
          </cell>
          <cell r="J368">
            <v>0</v>
          </cell>
          <cell r="K368">
            <v>0</v>
          </cell>
          <cell r="L368">
            <v>0</v>
          </cell>
          <cell r="O368">
            <v>0</v>
          </cell>
          <cell r="P368">
            <v>0</v>
          </cell>
          <cell r="Q368" t="str">
            <v>05|45</v>
          </cell>
        </row>
        <row r="369">
          <cell r="E369" t="str">
            <v>9. OPEN QUESTIONS</v>
          </cell>
          <cell r="G369" t="str">
            <v>Question ID</v>
          </cell>
          <cell r="H369" t="str">
            <v>Question</v>
          </cell>
          <cell r="I369" t="str">
            <v>Assigned To</v>
          </cell>
          <cell r="J369" t="str">
            <v>Status</v>
          </cell>
          <cell r="K369" t="str">
            <v>Needed By</v>
          </cell>
          <cell r="L369" t="str">
            <v>Answer / Resolution</v>
          </cell>
          <cell r="O369" t="str">
            <v>Date Closed</v>
          </cell>
          <cell r="P369" t="str">
            <v>Notes</v>
          </cell>
          <cell r="Q369" t="str">
            <v>05|46</v>
          </cell>
        </row>
        <row r="370">
          <cell r="E370" t="str">
            <v>9. OPEN QUESTIONS</v>
          </cell>
          <cell r="G370" t="str">
            <v>B05-Q1</v>
          </cell>
          <cell r="H370" t="str">
            <v>Confirm final TE room/location: Room 150 new TE and Room 153-A existing TE transition point?</v>
          </cell>
          <cell r="I370" t="str">
            <v>VA / OIT / Designer</v>
          </cell>
          <cell r="J370" t="str">
            <v>Open</v>
          </cell>
          <cell r="K370">
            <v>0</v>
          </cell>
          <cell r="L370">
            <v>0</v>
          </cell>
          <cell r="O370">
            <v>0</v>
          </cell>
          <cell r="P370">
            <v>0</v>
          </cell>
          <cell r="Q370" t="str">
            <v>05|47</v>
          </cell>
        </row>
        <row r="371">
          <cell r="E371" t="str">
            <v>9. OPEN QUESTIONS</v>
          </cell>
          <cell r="G371" t="str">
            <v>B05-Q2</v>
          </cell>
          <cell r="H371" t="str">
            <v>What active services are currently fed from the existing 153-A TE/legacy patch panels?</v>
          </cell>
          <cell r="I371" t="str">
            <v>OIT / Contractor</v>
          </cell>
          <cell r="J371" t="str">
            <v>Open</v>
          </cell>
          <cell r="K371">
            <v>0</v>
          </cell>
          <cell r="L371">
            <v>0</v>
          </cell>
          <cell r="O371">
            <v>0</v>
          </cell>
          <cell r="P371">
            <v>0</v>
          </cell>
          <cell r="Q371" t="str">
            <v>05|48</v>
          </cell>
        </row>
        <row r="372">
          <cell r="E372" t="str">
            <v>9. OPEN QUESTIONS</v>
          </cell>
          <cell r="G372" t="str">
            <v>B05-Q3</v>
          </cell>
          <cell r="H372" t="str">
            <v>What is the approved cutover sequence from existing 153-A equipment to new Room 150 TE?</v>
          </cell>
          <cell r="I372" t="str">
            <v>OIT / Contractor</v>
          </cell>
          <cell r="J372" t="str">
            <v>Open</v>
          </cell>
          <cell r="K372">
            <v>0</v>
          </cell>
          <cell r="L372">
            <v>0</v>
          </cell>
          <cell r="O372">
            <v>0</v>
          </cell>
          <cell r="P372">
            <v>0</v>
          </cell>
          <cell r="Q372" t="str">
            <v>05|49</v>
          </cell>
        </row>
        <row r="373">
          <cell r="E373" t="str">
            <v>9. OPEN QUESTIONS</v>
          </cell>
          <cell r="G373" t="str">
            <v>B05-Q4</v>
          </cell>
          <cell r="H373" t="str">
            <v>Which electrical panel/circuit serves the Room 150 UPS/PDU outlets?</v>
          </cell>
          <cell r="I373" t="str">
            <v>Electrical / Designer</v>
          </cell>
          <cell r="J373" t="str">
            <v>Open</v>
          </cell>
          <cell r="K373">
            <v>0</v>
          </cell>
          <cell r="L373">
            <v>0</v>
          </cell>
          <cell r="O373">
            <v>0</v>
          </cell>
          <cell r="P373">
            <v>0</v>
          </cell>
          <cell r="Q373" t="str">
            <v>05|50</v>
          </cell>
        </row>
        <row r="374">
          <cell r="E374" t="str">
            <v>9. OPEN QUESTIONS</v>
          </cell>
          <cell r="G374" t="str">
            <v>B05-Q5</v>
          </cell>
          <cell r="H374" t="str">
            <v>Is emergency/backup power required or provided for the TE UPS/PDU source?</v>
          </cell>
          <cell r="I374" t="str">
            <v>VA / Electrical</v>
          </cell>
          <cell r="J374" t="str">
            <v>Open</v>
          </cell>
          <cell r="K374">
            <v>0</v>
          </cell>
          <cell r="L374">
            <v>0</v>
          </cell>
          <cell r="O374">
            <v>0</v>
          </cell>
          <cell r="P374">
            <v>0</v>
          </cell>
          <cell r="Q374" t="str">
            <v>05|51</v>
          </cell>
        </row>
        <row r="375">
          <cell r="E375" t="str">
            <v>9. OPEN QUESTIONS</v>
          </cell>
          <cell r="G375" t="str">
            <v>B05-Q6</v>
          </cell>
          <cell r="H375" t="str">
            <v>Are firestopping locations and surface raceway/conduit routes shown and coordinated?</v>
          </cell>
          <cell r="I375" t="str">
            <v>GC / Designer</v>
          </cell>
          <cell r="J375" t="str">
            <v>Open</v>
          </cell>
          <cell r="K375">
            <v>0</v>
          </cell>
          <cell r="L375">
            <v>0</v>
          </cell>
          <cell r="O375">
            <v>0</v>
          </cell>
          <cell r="P375">
            <v>0</v>
          </cell>
          <cell r="Q375" t="str">
            <v>05|52</v>
          </cell>
        </row>
        <row r="376">
          <cell r="E376" t="str">
            <v>9. OPEN QUESTIONS</v>
          </cell>
          <cell r="G376" t="str">
            <v>B05-Q7</v>
          </cell>
          <cell r="H376" t="str">
            <v>Does Room 150 or existing Room 153-A require PACS/CCTV modifications, or is existing security adequate?</v>
          </cell>
          <cell r="I376" t="str">
            <v>Security / VA</v>
          </cell>
          <cell r="J376" t="str">
            <v>Open</v>
          </cell>
          <cell r="K376">
            <v>0</v>
          </cell>
          <cell r="L376">
            <v>0</v>
          </cell>
          <cell r="O376">
            <v>0</v>
          </cell>
          <cell r="P376">
            <v>0</v>
          </cell>
          <cell r="Q376" t="str">
            <v>05|53</v>
          </cell>
        </row>
        <row r="377">
          <cell r="E377" t="str">
            <v>9. OPEN QUESTIONS</v>
          </cell>
          <cell r="G377">
            <v>0</v>
          </cell>
          <cell r="H377">
            <v>0</v>
          </cell>
          <cell r="I377">
            <v>0</v>
          </cell>
          <cell r="J377">
            <v>0</v>
          </cell>
          <cell r="K377">
            <v>0</v>
          </cell>
          <cell r="L377">
            <v>0</v>
          </cell>
          <cell r="O377">
            <v>0</v>
          </cell>
          <cell r="P377">
            <v>0</v>
          </cell>
          <cell r="Q377" t="str">
            <v>05|54</v>
          </cell>
        </row>
        <row r="378">
          <cell r="E378" t="str">
            <v>10. PHOTO LOG</v>
          </cell>
          <cell r="G378" t="str">
            <v>10. PHOTO LOG</v>
          </cell>
          <cell r="H378">
            <v>0</v>
          </cell>
          <cell r="I378">
            <v>0</v>
          </cell>
          <cell r="J378">
            <v>0</v>
          </cell>
          <cell r="K378">
            <v>0</v>
          </cell>
          <cell r="L378">
            <v>0</v>
          </cell>
          <cell r="O378">
            <v>0</v>
          </cell>
          <cell r="P378">
            <v>0</v>
          </cell>
          <cell r="Q378" t="str">
            <v>05|55</v>
          </cell>
        </row>
        <row r="379">
          <cell r="E379" t="str">
            <v>10. PHOTO LOG</v>
          </cell>
          <cell r="G379" t="str">
            <v>Photo ID</v>
          </cell>
          <cell r="H379" t="str">
            <v>Room</v>
          </cell>
          <cell r="I379" t="str">
            <v>Category</v>
          </cell>
          <cell r="J379" t="str">
            <v>Description</v>
          </cell>
          <cell r="K379" t="str">
            <v>Date</v>
          </cell>
          <cell r="L379" t="str">
            <v>Taken By</v>
          </cell>
          <cell r="O379" t="str">
            <v>Status</v>
          </cell>
          <cell r="P379" t="str">
            <v>Notes</v>
          </cell>
          <cell r="Q379" t="str">
            <v>05|56</v>
          </cell>
        </row>
        <row r="380">
          <cell r="E380" t="str">
            <v>10. PHOTO LOG</v>
          </cell>
          <cell r="G380" t="str">
            <v>B05-P001</v>
          </cell>
          <cell r="H380" t="str">
            <v>150</v>
          </cell>
          <cell r="I380" t="str">
            <v>Existing Condition</v>
          </cell>
          <cell r="J380" t="str">
            <v>Room 150 wall/TE location, mounting surface, clearances, power, pathway</v>
          </cell>
          <cell r="K380">
            <v>0</v>
          </cell>
          <cell r="L380" t="str">
            <v>Paul</v>
          </cell>
          <cell r="O380" t="str">
            <v>Open</v>
          </cell>
          <cell r="P380">
            <v>0</v>
          </cell>
          <cell r="Q380" t="str">
            <v>05|57</v>
          </cell>
        </row>
        <row r="381">
          <cell r="E381" t="str">
            <v>10. PHOTO LOG</v>
          </cell>
          <cell r="G381" t="str">
            <v>B05-P002</v>
          </cell>
          <cell r="H381" t="str">
            <v>153-A</v>
          </cell>
          <cell r="I381" t="str">
            <v>Existing Condition</v>
          </cell>
          <cell r="J381" t="str">
            <v>Existing wall/wall-mount TE, Cisco switches, legacy patch panels, floor UPS</v>
          </cell>
          <cell r="K381">
            <v>0</v>
          </cell>
          <cell r="L381" t="str">
            <v>Paul</v>
          </cell>
          <cell r="O381" t="str">
            <v>Open</v>
          </cell>
          <cell r="P381">
            <v>0</v>
          </cell>
          <cell r="Q381" t="str">
            <v>05|58</v>
          </cell>
        </row>
        <row r="382">
          <cell r="E382" t="str">
            <v>10. PHOTO LOG</v>
          </cell>
          <cell r="G382" t="str">
            <v>B05-P003</v>
          </cell>
          <cell r="H382" t="str">
            <v>All</v>
          </cell>
          <cell r="I382" t="str">
            <v>Firestop</v>
          </cell>
          <cell r="J382" t="str">
            <v>All new/reused penetrations and surface raceway/conduit routes</v>
          </cell>
          <cell r="K382">
            <v>0</v>
          </cell>
          <cell r="L382" t="str">
            <v>Paul</v>
          </cell>
          <cell r="O382" t="str">
            <v>Open</v>
          </cell>
          <cell r="P382">
            <v>0</v>
          </cell>
          <cell r="Q382" t="str">
            <v>05|59</v>
          </cell>
        </row>
        <row r="383">
          <cell r="E383" t="str">
            <v>10. PHOTO LOG</v>
          </cell>
          <cell r="G383" t="str">
            <v>B05-P004</v>
          </cell>
          <cell r="H383" t="str">
            <v>150</v>
          </cell>
          <cell r="I383" t="str">
            <v>Electrical</v>
          </cell>
          <cell r="J383" t="str">
            <v>UPS/PDU outlet, circuit label, panel source, grounding/bonding</v>
          </cell>
          <cell r="K383">
            <v>0</v>
          </cell>
          <cell r="L383" t="str">
            <v>Paul</v>
          </cell>
          <cell r="O383" t="str">
            <v>Open</v>
          </cell>
          <cell r="P383">
            <v>0</v>
          </cell>
          <cell r="Q383" t="str">
            <v>05|60</v>
          </cell>
        </row>
        <row r="384">
          <cell r="E384" t="str">
            <v>10. PHOTO LOG</v>
          </cell>
          <cell r="G384" t="str">
            <v>B05-P005</v>
          </cell>
          <cell r="H384" t="str">
            <v>All</v>
          </cell>
          <cell r="I384" t="str">
            <v>Telecom</v>
          </cell>
          <cell r="J384" t="str">
            <v>TE, patch panels, Fiber LIU, labels, testing records, as-built conditions</v>
          </cell>
          <cell r="K384">
            <v>0</v>
          </cell>
          <cell r="L384" t="str">
            <v>Paul</v>
          </cell>
          <cell r="O384" t="str">
            <v>Open</v>
          </cell>
          <cell r="P384">
            <v>0</v>
          </cell>
          <cell r="Q384" t="str">
            <v>05|61</v>
          </cell>
        </row>
        <row r="385">
          <cell r="E385" t="str">
            <v>10. PHOTO LOG</v>
          </cell>
          <cell r="G385" t="str">
            <v>B05-P006</v>
          </cell>
          <cell r="H385" t="str">
            <v>All</v>
          </cell>
          <cell r="I385" t="str">
            <v>Security</v>
          </cell>
          <cell r="J385" t="str">
            <v>Door/security/CCTV/PACS conditions at TE location</v>
          </cell>
          <cell r="K385">
            <v>0</v>
          </cell>
          <cell r="L385" t="str">
            <v>Paul</v>
          </cell>
          <cell r="O385" t="str">
            <v>Open</v>
          </cell>
          <cell r="P385">
            <v>0</v>
          </cell>
          <cell r="Q385" t="str">
            <v>05|62</v>
          </cell>
        </row>
        <row r="386">
          <cell r="E386" t="str">
            <v>10. PHOTO LOG</v>
          </cell>
          <cell r="G386">
            <v>0</v>
          </cell>
          <cell r="H386">
            <v>0</v>
          </cell>
          <cell r="I386">
            <v>0</v>
          </cell>
          <cell r="J386">
            <v>0</v>
          </cell>
          <cell r="K386">
            <v>0</v>
          </cell>
          <cell r="L386">
            <v>0</v>
          </cell>
          <cell r="O386">
            <v>0</v>
          </cell>
          <cell r="P386">
            <v>0</v>
          </cell>
          <cell r="Q386" t="str">
            <v>05|63</v>
          </cell>
        </row>
        <row r="387">
          <cell r="E387" t="str">
            <v>1. ROOM INVENTORY</v>
          </cell>
          <cell r="G387" t="str">
            <v>1. ROOM INVENTORY</v>
          </cell>
          <cell r="H387">
            <v>0</v>
          </cell>
          <cell r="I387">
            <v>0</v>
          </cell>
          <cell r="J387">
            <v>0</v>
          </cell>
          <cell r="K387">
            <v>0</v>
          </cell>
          <cell r="L387">
            <v>0</v>
          </cell>
          <cell r="O387">
            <v>0</v>
          </cell>
          <cell r="P387">
            <v>0</v>
          </cell>
          <cell r="Q387" t="str">
            <v>06|1</v>
          </cell>
        </row>
        <row r="388">
          <cell r="E388" t="str">
            <v>1. ROOM INVENTORY</v>
          </cell>
          <cell r="G388" t="str">
            <v>Building</v>
          </cell>
          <cell r="H388" t="str">
            <v>Room</v>
          </cell>
          <cell r="I388" t="str">
            <v>Floor</v>
          </cell>
          <cell r="J388" t="str">
            <v>Existing Use</v>
          </cell>
          <cell r="K388" t="str">
            <v>New Use</v>
          </cell>
          <cell r="L388" t="str">
            <v>Rack Count</v>
          </cell>
          <cell r="O388" t="str">
            <v>Drawing Ref</v>
          </cell>
          <cell r="P388" t="str">
            <v>Notes</v>
          </cell>
          <cell r="Q388" t="str">
            <v>06|2</v>
          </cell>
        </row>
        <row r="389">
          <cell r="E389" t="str">
            <v>1. ROOM INVENTORY</v>
          </cell>
          <cell r="G389" t="str">
            <v>06</v>
          </cell>
          <cell r="H389" t="str">
            <v>B-01</v>
          </cell>
          <cell r="I389" t="str">
            <v>Basement</v>
          </cell>
          <cell r="J389" t="str">
            <v>Existing wall/wall-mount TE and floor UPS</v>
          </cell>
          <cell r="K389" t="str">
            <v>Existing equipment / transition point</v>
          </cell>
          <cell r="L389">
            <v>1</v>
          </cell>
          <cell r="O389" t="str">
            <v>06T-604</v>
          </cell>
          <cell r="P389" t="str">
            <v>Existing basement wall/wall-mount TE with Cisco switches, legacy Ortronics 48-port patch panels, and floor UPS.</v>
          </cell>
          <cell r="Q389" t="str">
            <v>06|3</v>
          </cell>
        </row>
        <row r="390">
          <cell r="E390" t="str">
            <v>1. ROOM INVENTORY</v>
          </cell>
          <cell r="G390" t="str">
            <v>06</v>
          </cell>
          <cell r="H390" t="str">
            <v>178</v>
          </cell>
          <cell r="I390" t="str">
            <v>First</v>
          </cell>
          <cell r="J390" t="str">
            <v>Existing telecom room / group therapy area adjacent</v>
          </cell>
          <cell r="K390" t="str">
            <v>Telecom Room</v>
          </cell>
          <cell r="L390">
            <v>2</v>
          </cell>
          <cell r="O390" t="str">
            <v>06A-401 / 06E-401 / 06T-604 / 06E-701</v>
          </cell>
          <cell r="P390" t="str">
            <v>Room 178 shown as 114 SF Telecom Room; existing 2-post racks and new B06-TR178A/B panel work with IU-1-01 cooling.</v>
          </cell>
          <cell r="Q390" t="str">
            <v>06|4</v>
          </cell>
        </row>
        <row r="391">
          <cell r="E391" t="str">
            <v>1. ROOM INVENTORY</v>
          </cell>
          <cell r="G391" t="str">
            <v>06</v>
          </cell>
          <cell r="H391" t="str">
            <v>233</v>
          </cell>
          <cell r="I391" t="str">
            <v>Second</v>
          </cell>
          <cell r="J391" t="str">
            <v>Data closet / patient toilet area conversion</v>
          </cell>
          <cell r="K391" t="str">
            <v>Telecom Room</v>
          </cell>
          <cell r="L391">
            <v>1</v>
          </cell>
          <cell r="O391" t="str">
            <v>06A-402 / 06E-401 / 06T-604 / 06E-701</v>
          </cell>
          <cell r="P391" t="str">
            <v>Room 233 shown as 119 SF Telecom Room/Data Closet; future rack elevation, B06-TR233A/B panels, and IU-2-01 cooling.</v>
          </cell>
          <cell r="Q391" t="str">
            <v>06|5</v>
          </cell>
        </row>
        <row r="392">
          <cell r="E392" t="str">
            <v>1. ROOM INVENTORY</v>
          </cell>
          <cell r="G392">
            <v>0</v>
          </cell>
          <cell r="H392">
            <v>0</v>
          </cell>
          <cell r="I392">
            <v>0</v>
          </cell>
          <cell r="J392">
            <v>0</v>
          </cell>
          <cell r="K392">
            <v>0</v>
          </cell>
          <cell r="L392">
            <v>0</v>
          </cell>
          <cell r="O392">
            <v>0</v>
          </cell>
          <cell r="P392">
            <v>0</v>
          </cell>
          <cell r="Q392" t="str">
            <v>06|6</v>
          </cell>
        </row>
        <row r="393">
          <cell r="E393" t="str">
            <v>2. ROOM READINESS</v>
          </cell>
          <cell r="G393" t="str">
            <v>2. ROOM READINESS</v>
          </cell>
          <cell r="H393">
            <v>0</v>
          </cell>
          <cell r="I393">
            <v>0</v>
          </cell>
          <cell r="J393">
            <v>0</v>
          </cell>
          <cell r="K393">
            <v>0</v>
          </cell>
          <cell r="L393">
            <v>0</v>
          </cell>
          <cell r="O393">
            <v>0</v>
          </cell>
          <cell r="P393">
            <v>0</v>
          </cell>
          <cell r="Q393" t="str">
            <v>06|7</v>
          </cell>
        </row>
        <row r="394">
          <cell r="E394" t="str">
            <v>2. ROOM READINESS</v>
          </cell>
          <cell r="G394" t="str">
            <v>Room</v>
          </cell>
          <cell r="H394" t="str">
            <v>Walls / 1-hr Rating</v>
          </cell>
          <cell r="I394" t="str">
            <v>Ceiling</v>
          </cell>
          <cell r="J394" t="str">
            <v>Floor / SDC</v>
          </cell>
          <cell r="K394" t="str">
            <v>Penetrations</v>
          </cell>
          <cell r="L394" t="str">
            <v>Access Control</v>
          </cell>
          <cell r="O394" t="str">
            <v>Overall</v>
          </cell>
          <cell r="P394" t="str">
            <v>Comments</v>
          </cell>
          <cell r="Q394" t="str">
            <v>06|8</v>
          </cell>
        </row>
        <row r="395">
          <cell r="E395" t="str">
            <v>2. ROOM READINESS</v>
          </cell>
          <cell r="G395" t="str">
            <v>B-01</v>
          </cell>
          <cell r="H395" t="str">
            <v>Verify</v>
          </cell>
          <cell r="I395" t="str">
            <v>Verify</v>
          </cell>
          <cell r="J395" t="str">
            <v>Verify</v>
          </cell>
          <cell r="K395" t="str">
            <v>Verify</v>
          </cell>
          <cell r="L395" t="str">
            <v>Verify</v>
          </cell>
          <cell r="O395" t="str">
            <v>Verify</v>
          </cell>
          <cell r="P395" t="str">
            <v>Existing basement TE/UPS; protect active services and verify transitions.</v>
          </cell>
          <cell r="Q395" t="str">
            <v>06|9</v>
          </cell>
        </row>
        <row r="396">
          <cell r="E396" t="str">
            <v>2. ROOM READINESS</v>
          </cell>
          <cell r="G396" t="str">
            <v>178</v>
          </cell>
          <cell r="H396" t="str">
            <v>Verify</v>
          </cell>
          <cell r="I396" t="str">
            <v>Verify</v>
          </cell>
          <cell r="J396" t="str">
            <v>Verify</v>
          </cell>
          <cell r="K396" t="str">
            <v>Verify</v>
          </cell>
          <cell r="L396" t="str">
            <v>Verify</v>
          </cell>
          <cell r="O396" t="str">
            <v>Verify</v>
          </cell>
          <cell r="P396" t="str">
            <v>First-level TR; verify rated construction, door/security, equipment clearance, cooling unit, and electrical panels.</v>
          </cell>
          <cell r="Q396" t="str">
            <v>06|10</v>
          </cell>
        </row>
        <row r="397">
          <cell r="E397" t="str">
            <v>2. ROOM READINESS</v>
          </cell>
          <cell r="G397" t="str">
            <v>233</v>
          </cell>
          <cell r="H397" t="str">
            <v>Verify</v>
          </cell>
          <cell r="I397" t="str">
            <v>Verify</v>
          </cell>
          <cell r="J397" t="str">
            <v>Verify</v>
          </cell>
          <cell r="K397" t="str">
            <v>Verify</v>
          </cell>
          <cell r="L397" t="str">
            <v>Verify</v>
          </cell>
          <cell r="O397" t="str">
            <v>Verify</v>
          </cell>
          <cell r="P397" t="str">
            <v>Second-level TR/Data Closet; architectural notes identify rated wall/door work and fire extinguisher requirements.</v>
          </cell>
          <cell r="Q397" t="str">
            <v>06|11</v>
          </cell>
        </row>
        <row r="398">
          <cell r="E398" t="str">
            <v>2. ROOM READINESS</v>
          </cell>
          <cell r="G398">
            <v>0</v>
          </cell>
          <cell r="H398">
            <v>0</v>
          </cell>
          <cell r="I398">
            <v>0</v>
          </cell>
          <cell r="J398">
            <v>0</v>
          </cell>
          <cell r="K398">
            <v>0</v>
          </cell>
          <cell r="L398">
            <v>0</v>
          </cell>
          <cell r="O398">
            <v>0</v>
          </cell>
          <cell r="P398">
            <v>0</v>
          </cell>
          <cell r="Q398" t="str">
            <v>06|12</v>
          </cell>
        </row>
        <row r="399">
          <cell r="E399" t="str">
            <v>3. FIRE PROTECTION</v>
          </cell>
          <cell r="G399" t="str">
            <v>3. FIRE PROTECTION</v>
          </cell>
          <cell r="H399">
            <v>0</v>
          </cell>
          <cell r="I399">
            <v>0</v>
          </cell>
          <cell r="J399">
            <v>0</v>
          </cell>
          <cell r="K399">
            <v>0</v>
          </cell>
          <cell r="L399">
            <v>0</v>
          </cell>
          <cell r="O399">
            <v>0</v>
          </cell>
          <cell r="P399">
            <v>0</v>
          </cell>
          <cell r="Q399" t="str">
            <v>06|13</v>
          </cell>
        </row>
        <row r="400">
          <cell r="E400" t="str">
            <v>3. FIRE PROTECTION</v>
          </cell>
          <cell r="G400" t="str">
            <v>Room</v>
          </cell>
          <cell r="H400" t="str">
            <v>Sprinkler</v>
          </cell>
          <cell r="I400" t="str">
            <v>Cage</v>
          </cell>
          <cell r="J400" t="str">
            <v>Detector</v>
          </cell>
          <cell r="K400" t="str">
            <v>Horn/Strobe</v>
          </cell>
          <cell r="L400" t="str">
            <v>Extinguisher &lt;75 ft</v>
          </cell>
          <cell r="O400" t="str">
            <v>Overall</v>
          </cell>
          <cell r="P400" t="str">
            <v>Risk / Notes</v>
          </cell>
          <cell r="Q400" t="str">
            <v>06|14</v>
          </cell>
        </row>
        <row r="401">
          <cell r="E401" t="str">
            <v>3. FIRE PROTECTION</v>
          </cell>
          <cell r="G401" t="str">
            <v>B-01</v>
          </cell>
          <cell r="H401" t="str">
            <v>Verify</v>
          </cell>
          <cell r="I401" t="str">
            <v>N/A</v>
          </cell>
          <cell r="J401" t="str">
            <v>Verify</v>
          </cell>
          <cell r="K401" t="str">
            <v>Verify</v>
          </cell>
          <cell r="L401" t="str">
            <v>Verify</v>
          </cell>
          <cell r="O401" t="str">
            <v>Verify</v>
          </cell>
          <cell r="P401" t="str">
            <v>Existing equipment area; verify no cabling penetrations are left unsealed.</v>
          </cell>
          <cell r="Q401" t="str">
            <v>06|15</v>
          </cell>
        </row>
        <row r="402">
          <cell r="E402" t="str">
            <v>3. FIRE PROTECTION</v>
          </cell>
          <cell r="G402" t="str">
            <v>178</v>
          </cell>
          <cell r="H402" t="str">
            <v>Verify</v>
          </cell>
          <cell r="I402" t="str">
            <v>Verify</v>
          </cell>
          <cell r="J402" t="str">
            <v>Verify</v>
          </cell>
          <cell r="K402" t="str">
            <v>Verify</v>
          </cell>
          <cell r="L402" t="str">
            <v>Verify</v>
          </cell>
          <cell r="O402" t="str">
            <v>Verify</v>
          </cell>
          <cell r="P402" t="str">
            <v>Fully sprinklered building; verify sprinkler modifications, fire alarm devices, FEC location, and impairment/fire watch needs.</v>
          </cell>
          <cell r="Q402" t="str">
            <v>06|16</v>
          </cell>
        </row>
        <row r="403">
          <cell r="E403" t="str">
            <v>3. FIRE PROTECTION</v>
          </cell>
          <cell r="G403" t="str">
            <v>233</v>
          </cell>
          <cell r="H403" t="str">
            <v>Verify</v>
          </cell>
          <cell r="I403" t="str">
            <v>Verify</v>
          </cell>
          <cell r="J403" t="str">
            <v>Verify</v>
          </cell>
          <cell r="K403" t="str">
            <v>Verify</v>
          </cell>
          <cell r="L403" t="str">
            <v>Verify</v>
          </cell>
          <cell r="O403" t="str">
            <v>Verify</v>
          </cell>
          <cell r="P403" t="str">
            <v>Architectural enlarged views call for 1-hour fire/smoke-rated walls, 45-minute door/frame, and FEC within 75 ft.</v>
          </cell>
          <cell r="Q403" t="str">
            <v>06|17</v>
          </cell>
        </row>
        <row r="404">
          <cell r="E404" t="str">
            <v>3. FIRE PROTECTION</v>
          </cell>
          <cell r="G404">
            <v>0</v>
          </cell>
          <cell r="H404">
            <v>0</v>
          </cell>
          <cell r="I404">
            <v>0</v>
          </cell>
          <cell r="J404">
            <v>0</v>
          </cell>
          <cell r="K404">
            <v>0</v>
          </cell>
          <cell r="L404">
            <v>0</v>
          </cell>
          <cell r="O404">
            <v>0</v>
          </cell>
          <cell r="P404">
            <v>0</v>
          </cell>
          <cell r="Q404" t="str">
            <v>06|18</v>
          </cell>
        </row>
        <row r="405">
          <cell r="E405" t="str">
            <v>4. HVAC / COOLING</v>
          </cell>
          <cell r="G405" t="str">
            <v>4. HVAC / COOLING</v>
          </cell>
          <cell r="H405">
            <v>0</v>
          </cell>
          <cell r="I405">
            <v>0</v>
          </cell>
          <cell r="J405">
            <v>0</v>
          </cell>
          <cell r="K405">
            <v>0</v>
          </cell>
          <cell r="L405">
            <v>0</v>
          </cell>
          <cell r="O405">
            <v>0</v>
          </cell>
          <cell r="P405">
            <v>0</v>
          </cell>
          <cell r="Q405" t="str">
            <v>06|19</v>
          </cell>
        </row>
        <row r="406">
          <cell r="E406" t="str">
            <v>4. HVAC / COOLING</v>
          </cell>
          <cell r="G406" t="str">
            <v>Room</v>
          </cell>
          <cell r="H406" t="str">
            <v>Dedicated Unit</v>
          </cell>
          <cell r="I406" t="str">
            <v>Capacity Verified</v>
          </cell>
          <cell r="J406" t="str">
            <v>Emergency Power</v>
          </cell>
          <cell r="K406" t="str">
            <v>Controls / BACnet</v>
          </cell>
          <cell r="L406" t="str">
            <v>Condensate Routed</v>
          </cell>
          <cell r="O406" t="str">
            <v>Overall</v>
          </cell>
          <cell r="P406" t="str">
            <v>Risk / Notes</v>
          </cell>
          <cell r="Q406" t="str">
            <v>06|20</v>
          </cell>
        </row>
        <row r="407">
          <cell r="E407" t="str">
            <v>4. HVAC / COOLING</v>
          </cell>
          <cell r="G407" t="str">
            <v>B-01</v>
          </cell>
          <cell r="H407" t="str">
            <v>Existing</v>
          </cell>
          <cell r="I407" t="str">
            <v>Verify</v>
          </cell>
          <cell r="J407" t="str">
            <v>Verify</v>
          </cell>
          <cell r="K407" t="str">
            <v>Verify</v>
          </cell>
          <cell r="L407" t="str">
            <v>Verify</v>
          </cell>
          <cell r="O407" t="str">
            <v>Verify</v>
          </cell>
          <cell r="P407" t="str">
            <v>Verify basement equipment environmental condition and any heat/load issues during cutover.</v>
          </cell>
          <cell r="Q407" t="str">
            <v>06|21</v>
          </cell>
        </row>
        <row r="408">
          <cell r="E408" t="str">
            <v>4. HVAC / COOLING</v>
          </cell>
          <cell r="G408" t="str">
            <v>178</v>
          </cell>
          <cell r="H408" t="str">
            <v>IU-1-01 / CU-1-01</v>
          </cell>
          <cell r="I408" t="str">
            <v>Verify</v>
          </cell>
          <cell r="J408" t="str">
            <v>Verify</v>
          </cell>
          <cell r="K408" t="str">
            <v>Verify</v>
          </cell>
          <cell r="L408" t="str">
            <v>Verify</v>
          </cell>
          <cell r="O408" t="str">
            <v>Verify</v>
          </cell>
          <cell r="P408" t="str">
            <v>Mechanical enlarged plan shows new indoor unit IU-1-01 and outdoor CU-1-01; confirm 208V emergency power, BACnet adapter, thermostat, condensate route.</v>
          </cell>
          <cell r="Q408" t="str">
            <v>06|22</v>
          </cell>
        </row>
        <row r="409">
          <cell r="E409" t="str">
            <v>4. HVAC / COOLING</v>
          </cell>
          <cell r="G409" t="str">
            <v>233</v>
          </cell>
          <cell r="H409" t="str">
            <v>IU-2-01 / CU-2-01</v>
          </cell>
          <cell r="I409" t="str">
            <v>Verify</v>
          </cell>
          <cell r="J409" t="str">
            <v>Verify</v>
          </cell>
          <cell r="K409" t="str">
            <v>Verify</v>
          </cell>
          <cell r="L409" t="str">
            <v>Verify</v>
          </cell>
          <cell r="O409" t="str">
            <v>Verify</v>
          </cell>
          <cell r="P409" t="str">
            <v>Mechanical enlarged plan shows new indoor unit IU-2-01 and outdoor CU-2-01; confirm 208V emergency power, condensate and controls.</v>
          </cell>
          <cell r="Q409" t="str">
            <v>06|23</v>
          </cell>
        </row>
        <row r="410">
          <cell r="E410" t="str">
            <v>4. HVAC / COOLING</v>
          </cell>
          <cell r="G410">
            <v>0</v>
          </cell>
          <cell r="H410">
            <v>0</v>
          </cell>
          <cell r="I410">
            <v>0</v>
          </cell>
          <cell r="J410">
            <v>0</v>
          </cell>
          <cell r="K410">
            <v>0</v>
          </cell>
          <cell r="L410">
            <v>0</v>
          </cell>
          <cell r="O410">
            <v>0</v>
          </cell>
          <cell r="P410">
            <v>0</v>
          </cell>
          <cell r="Q410" t="str">
            <v>06|24</v>
          </cell>
        </row>
        <row r="411">
          <cell r="E411" t="str">
            <v>5. ELECTRICAL / UPS</v>
          </cell>
          <cell r="G411" t="str">
            <v>5. ELECTRICAL / UPS</v>
          </cell>
          <cell r="H411">
            <v>0</v>
          </cell>
          <cell r="I411">
            <v>0</v>
          </cell>
          <cell r="J411">
            <v>0</v>
          </cell>
          <cell r="K411">
            <v>0</v>
          </cell>
          <cell r="L411">
            <v>0</v>
          </cell>
          <cell r="O411">
            <v>0</v>
          </cell>
          <cell r="P411">
            <v>0</v>
          </cell>
          <cell r="Q411" t="str">
            <v>06|25</v>
          </cell>
        </row>
        <row r="412">
          <cell r="E412" t="str">
            <v>5. ELECTRICAL / UPS</v>
          </cell>
          <cell r="G412" t="str">
            <v>Room</v>
          </cell>
          <cell r="H412" t="str">
            <v>UPS Installed</v>
          </cell>
          <cell r="I412" t="str">
            <v>UPS Size</v>
          </cell>
          <cell r="J412" t="str">
            <v>PDU Installed</v>
          </cell>
          <cell r="K412" t="str">
            <v>Rack Receptacles</v>
          </cell>
          <cell r="L412" t="str">
            <v>Panel Assigned</v>
          </cell>
          <cell r="O412" t="str">
            <v>Overall</v>
          </cell>
          <cell r="P412" t="str">
            <v>Notes</v>
          </cell>
          <cell r="Q412" t="str">
            <v>06|26</v>
          </cell>
        </row>
        <row r="413">
          <cell r="E413" t="str">
            <v>5. ELECTRICAL / UPS</v>
          </cell>
          <cell r="G413" t="str">
            <v>B-01</v>
          </cell>
          <cell r="H413" t="str">
            <v>Existing</v>
          </cell>
          <cell r="I413" t="str">
            <v>Existing floor UPS</v>
          </cell>
          <cell r="J413" t="str">
            <v>Existing</v>
          </cell>
          <cell r="K413" t="str">
            <v>Verify</v>
          </cell>
          <cell r="L413" t="str">
            <v>Verify</v>
          </cell>
          <cell r="O413" t="str">
            <v>Verify</v>
          </cell>
          <cell r="P413" t="str">
            <v>Existing UPS on floor shown at B-01; protect active service and confirm any transition/demo requirements.</v>
          </cell>
          <cell r="Q413" t="str">
            <v>06|27</v>
          </cell>
        </row>
        <row r="414">
          <cell r="E414" t="str">
            <v>5. ELECTRICAL / UPS</v>
          </cell>
          <cell r="G414" t="str">
            <v>178</v>
          </cell>
          <cell r="H414" t="str">
            <v>Verify</v>
          </cell>
          <cell r="I414" t="str">
            <v>5 kW / rack equipment</v>
          </cell>
          <cell r="J414" t="str">
            <v>Verify</v>
          </cell>
          <cell r="K414" t="str">
            <v>Verify</v>
          </cell>
          <cell r="L414" t="str">
            <v>B06-NP-TR / B06-EP-TR / B06-TR178A / B06-TR178B</v>
          </cell>
          <cell r="O414" t="str">
            <v>Verify</v>
          </cell>
          <cell r="P414" t="str">
            <v>Panel schedule shows B06-EP-TR in Telecom Room 178; B06-TR178A/B panels and SPD requirements; load measurement required prior to panel renovation.</v>
          </cell>
          <cell r="Q414" t="str">
            <v>06|28</v>
          </cell>
        </row>
        <row r="415">
          <cell r="E415" t="str">
            <v>5. ELECTRICAL / UPS</v>
          </cell>
          <cell r="G415" t="str">
            <v>233</v>
          </cell>
          <cell r="H415" t="str">
            <v>Verify</v>
          </cell>
          <cell r="I415" t="str">
            <v>5 kW / rack equipment</v>
          </cell>
          <cell r="J415" t="str">
            <v>Verify</v>
          </cell>
          <cell r="K415" t="str">
            <v>Verify</v>
          </cell>
          <cell r="L415" t="str">
            <v>B06-TR233A / B06-TR233B</v>
          </cell>
          <cell r="O415" t="str">
            <v>Verify</v>
          </cell>
          <cell r="P415" t="str">
            <v>Panel schedule identifies B06-TR233A/B in Telecom Room 233; verify source, circuits, rack receptacles and emergency power.</v>
          </cell>
          <cell r="Q415" t="str">
            <v>06|29</v>
          </cell>
        </row>
        <row r="416">
          <cell r="E416" t="str">
            <v>5. ELECTRICAL / UPS</v>
          </cell>
          <cell r="G416">
            <v>0</v>
          </cell>
          <cell r="H416">
            <v>0</v>
          </cell>
          <cell r="I416">
            <v>0</v>
          </cell>
          <cell r="J416">
            <v>0</v>
          </cell>
          <cell r="K416">
            <v>0</v>
          </cell>
          <cell r="L416">
            <v>0</v>
          </cell>
          <cell r="O416">
            <v>0</v>
          </cell>
          <cell r="P416">
            <v>0</v>
          </cell>
          <cell r="Q416" t="str">
            <v>06|30</v>
          </cell>
        </row>
        <row r="417">
          <cell r="E417" t="str">
            <v>6. TELECOMMUNICATIONS</v>
          </cell>
          <cell r="G417" t="str">
            <v>6. TELECOMMUNICATIONS</v>
          </cell>
          <cell r="H417">
            <v>0</v>
          </cell>
          <cell r="I417">
            <v>0</v>
          </cell>
          <cell r="J417">
            <v>0</v>
          </cell>
          <cell r="K417">
            <v>0</v>
          </cell>
          <cell r="L417">
            <v>0</v>
          </cell>
          <cell r="O417">
            <v>0</v>
          </cell>
          <cell r="P417">
            <v>0</v>
          </cell>
          <cell r="Q417" t="str">
            <v>06|31</v>
          </cell>
        </row>
        <row r="418">
          <cell r="E418" t="str">
            <v>6. TELECOMMUNICATIONS</v>
          </cell>
          <cell r="G418" t="str">
            <v>Room</v>
          </cell>
          <cell r="H418" t="str">
            <v>Rack Installed</v>
          </cell>
          <cell r="I418" t="str">
            <v>Ladder Tray</v>
          </cell>
          <cell r="J418" t="str">
            <v>Fiber Installed</v>
          </cell>
          <cell r="K418" t="str">
            <v>Grounding</v>
          </cell>
          <cell r="L418" t="str">
            <v>Labeling</v>
          </cell>
          <cell r="O418" t="str">
            <v>Overall</v>
          </cell>
          <cell r="P418" t="str">
            <v>Notes</v>
          </cell>
          <cell r="Q418" t="str">
            <v>06|32</v>
          </cell>
        </row>
        <row r="419">
          <cell r="E419" t="str">
            <v>6. TELECOMMUNICATIONS</v>
          </cell>
          <cell r="G419" t="str">
            <v>B-01</v>
          </cell>
          <cell r="H419" t="str">
            <v>Existing</v>
          </cell>
          <cell r="I419" t="str">
            <v>N/A / TE</v>
          </cell>
          <cell r="J419" t="str">
            <v>Existing</v>
          </cell>
          <cell r="K419" t="str">
            <v>Verify</v>
          </cell>
          <cell r="L419" t="str">
            <v>Verify</v>
          </cell>
          <cell r="O419" t="str">
            <v>Verify</v>
          </cell>
          <cell r="P419" t="str">
            <v>Existing Cisco switches, legacy 48-port patch panels, wall/wall-mount TE and floor UPS.</v>
          </cell>
          <cell r="Q419" t="str">
            <v>06|33</v>
          </cell>
        </row>
        <row r="420">
          <cell r="E420" t="str">
            <v>6. TELECOMMUNICATIONS</v>
          </cell>
          <cell r="G420" t="str">
            <v>178</v>
          </cell>
          <cell r="H420" t="str">
            <v>Verify</v>
          </cell>
          <cell r="I420" t="str">
            <v>Verify</v>
          </cell>
          <cell r="J420" t="str">
            <v>Verify</v>
          </cell>
          <cell r="K420" t="str">
            <v>Verify</v>
          </cell>
          <cell r="L420" t="str">
            <v>Verify</v>
          </cell>
          <cell r="O420" t="str">
            <v>Verify</v>
          </cell>
          <cell r="P420" t="str">
            <v>Existing Room 178 rack elevations show multiple existing 2-post racks; new electrical, cable path, grounding and cutover require verification.</v>
          </cell>
          <cell r="Q420" t="str">
            <v>06|34</v>
          </cell>
        </row>
        <row r="421">
          <cell r="E421" t="str">
            <v>6. TELECOMMUNICATIONS</v>
          </cell>
          <cell r="G421" t="str">
            <v>233</v>
          </cell>
          <cell r="H421" t="str">
            <v>Verify</v>
          </cell>
          <cell r="I421" t="str">
            <v>Verify</v>
          </cell>
          <cell r="J421" t="str">
            <v>Verify</v>
          </cell>
          <cell r="K421" t="str">
            <v>Verify</v>
          </cell>
          <cell r="L421" t="str">
            <v>Verify</v>
          </cell>
          <cell r="O421" t="str">
            <v>Verify</v>
          </cell>
          <cell r="P421" t="str">
            <v>Room 233 future new rack elevation shows UPS, network switches, cable managers, Cat6A patch panels, Cat5E patch panel and Fiber LIU.</v>
          </cell>
          <cell r="Q421" t="str">
            <v>06|35</v>
          </cell>
        </row>
        <row r="422">
          <cell r="E422" t="str">
            <v>6. TELECOMMUNICATIONS</v>
          </cell>
          <cell r="G422">
            <v>0</v>
          </cell>
          <cell r="H422">
            <v>0</v>
          </cell>
          <cell r="I422">
            <v>0</v>
          </cell>
          <cell r="J422">
            <v>0</v>
          </cell>
          <cell r="K422">
            <v>0</v>
          </cell>
          <cell r="L422">
            <v>0</v>
          </cell>
          <cell r="O422">
            <v>0</v>
          </cell>
          <cell r="P422">
            <v>0</v>
          </cell>
          <cell r="Q422" t="str">
            <v>06|36</v>
          </cell>
        </row>
        <row r="423">
          <cell r="E423" t="str">
            <v>7. SECURITY / PACS / CCTV</v>
          </cell>
          <cell r="G423" t="str">
            <v>7. SECURITY / PACS / CCTV</v>
          </cell>
          <cell r="H423">
            <v>0</v>
          </cell>
          <cell r="I423">
            <v>0</v>
          </cell>
          <cell r="J423">
            <v>0</v>
          </cell>
          <cell r="K423">
            <v>0</v>
          </cell>
          <cell r="L423">
            <v>0</v>
          </cell>
          <cell r="O423">
            <v>0</v>
          </cell>
          <cell r="P423">
            <v>0</v>
          </cell>
          <cell r="Q423" t="str">
            <v>06|37</v>
          </cell>
        </row>
        <row r="424">
          <cell r="E424" t="str">
            <v>7. SECURITY / PACS / CCTV</v>
          </cell>
          <cell r="G424" t="str">
            <v>Room</v>
          </cell>
          <cell r="H424" t="str">
            <v>PACS</v>
          </cell>
          <cell r="I424" t="str">
            <v>Card Reader</v>
          </cell>
          <cell r="J424" t="str">
            <v>Door Position</v>
          </cell>
          <cell r="K424" t="str">
            <v>Electric Strike</v>
          </cell>
          <cell r="L424" t="str">
            <v>CCTV</v>
          </cell>
          <cell r="O424" t="str">
            <v>Overall</v>
          </cell>
          <cell r="P424" t="str">
            <v>Notes</v>
          </cell>
          <cell r="Q424" t="str">
            <v>06|38</v>
          </cell>
        </row>
        <row r="425">
          <cell r="E425" t="str">
            <v>7. SECURITY / PACS / CCTV</v>
          </cell>
          <cell r="G425" t="str">
            <v>B-01</v>
          </cell>
          <cell r="H425" t="str">
            <v>Verify</v>
          </cell>
          <cell r="I425" t="str">
            <v>Verify</v>
          </cell>
          <cell r="J425" t="str">
            <v>Verify</v>
          </cell>
          <cell r="K425" t="str">
            <v>Verify</v>
          </cell>
          <cell r="L425" t="str">
            <v>Verify</v>
          </cell>
          <cell r="O425" t="str">
            <v>Verify</v>
          </cell>
          <cell r="P425" t="str">
            <v>Verify existing basement access/security while protecting active equipment.</v>
          </cell>
          <cell r="Q425" t="str">
            <v>06|39</v>
          </cell>
        </row>
        <row r="426">
          <cell r="E426" t="str">
            <v>7. SECURITY / PACS / CCTV</v>
          </cell>
          <cell r="G426" t="str">
            <v>178</v>
          </cell>
          <cell r="H426" t="str">
            <v>Verify</v>
          </cell>
          <cell r="I426" t="str">
            <v>Verify</v>
          </cell>
          <cell r="J426" t="str">
            <v>Verify</v>
          </cell>
          <cell r="K426" t="str">
            <v>Verify</v>
          </cell>
          <cell r="L426" t="str">
            <v>Verify</v>
          </cell>
          <cell r="O426" t="str">
            <v>Verify</v>
          </cell>
          <cell r="P426" t="str">
            <v>Electrical enlarged plan references existing card reader to remain/protect in place and new tri-tech motion sensor; verify PACS/CCTV integration.</v>
          </cell>
          <cell r="Q426" t="str">
            <v>06|40</v>
          </cell>
        </row>
        <row r="427">
          <cell r="E427" t="str">
            <v>7. SECURITY / PACS / CCTV</v>
          </cell>
          <cell r="G427" t="str">
            <v>233</v>
          </cell>
          <cell r="H427" t="str">
            <v>Verify</v>
          </cell>
          <cell r="I427" t="str">
            <v>Verify</v>
          </cell>
          <cell r="J427" t="str">
            <v>Verify</v>
          </cell>
          <cell r="K427" t="str">
            <v>Verify</v>
          </cell>
          <cell r="L427" t="str">
            <v>Verify</v>
          </cell>
          <cell r="O427" t="str">
            <v>Verify</v>
          </cell>
          <cell r="P427" t="str">
            <v>Verify door hardware/access control, motion sensor, camera, and VA security integration.</v>
          </cell>
          <cell r="Q427" t="str">
            <v>06|41</v>
          </cell>
        </row>
        <row r="428">
          <cell r="E428" t="str">
            <v>7. SECURITY / PACS / CCTV</v>
          </cell>
          <cell r="G428">
            <v>0</v>
          </cell>
          <cell r="H428">
            <v>0</v>
          </cell>
          <cell r="I428">
            <v>0</v>
          </cell>
          <cell r="J428">
            <v>0</v>
          </cell>
          <cell r="K428">
            <v>0</v>
          </cell>
          <cell r="L428">
            <v>0</v>
          </cell>
          <cell r="O428">
            <v>0</v>
          </cell>
          <cell r="P428">
            <v>0</v>
          </cell>
          <cell r="Q428" t="str">
            <v>06|42</v>
          </cell>
        </row>
        <row r="429">
          <cell r="E429" t="str">
            <v>8. OWNER RISKS</v>
          </cell>
          <cell r="G429" t="str">
            <v>8. OWNER RISKS</v>
          </cell>
          <cell r="H429">
            <v>0</v>
          </cell>
          <cell r="I429">
            <v>0</v>
          </cell>
          <cell r="J429">
            <v>0</v>
          </cell>
          <cell r="K429">
            <v>0</v>
          </cell>
          <cell r="L429">
            <v>0</v>
          </cell>
          <cell r="O429">
            <v>0</v>
          </cell>
          <cell r="P429">
            <v>0</v>
          </cell>
          <cell r="Q429" t="str">
            <v>06|43</v>
          </cell>
        </row>
        <row r="430">
          <cell r="E430" t="str">
            <v>8. OWNER RISKS</v>
          </cell>
          <cell r="G430" t="str">
            <v>Risk ID</v>
          </cell>
          <cell r="H430" t="str">
            <v>Room</v>
          </cell>
          <cell r="I430" t="str">
            <v>Risk</v>
          </cell>
          <cell r="J430" t="str">
            <v>Impact</v>
          </cell>
          <cell r="K430" t="str">
            <v>Probability</v>
          </cell>
          <cell r="L430" t="str">
            <v>Score</v>
          </cell>
          <cell r="O430" t="str">
            <v>Status</v>
          </cell>
          <cell r="P430" t="str">
            <v>Notes</v>
          </cell>
          <cell r="Q430" t="str">
            <v>06|44</v>
          </cell>
        </row>
        <row r="431">
          <cell r="E431" t="str">
            <v>8. OWNER RISKS</v>
          </cell>
          <cell r="G431" t="str">
            <v>B06-R1</v>
          </cell>
          <cell r="H431" t="str">
            <v>All</v>
          </cell>
          <cell r="I431" t="str">
            <v>Existing conditions across B-01, 178 and 233 not field verified</v>
          </cell>
          <cell r="J431" t="str">
            <v>High</v>
          </cell>
          <cell r="K431" t="str">
            <v>Medium</v>
          </cell>
          <cell r="L431">
            <v>6</v>
          </cell>
          <cell r="O431" t="str">
            <v>Open</v>
          </cell>
          <cell r="P431" t="str">
            <v>Building 06 includes basement, first and second level work.</v>
          </cell>
          <cell r="Q431" t="str">
            <v>06|45</v>
          </cell>
        </row>
        <row r="432">
          <cell r="E432" t="str">
            <v>8. OWNER RISKS</v>
          </cell>
          <cell r="G432" t="str">
            <v>B06-R2</v>
          </cell>
          <cell r="H432" t="str">
            <v>B-01</v>
          </cell>
          <cell r="I432" t="str">
            <v>Existing basement equipment may remain active during cutover</v>
          </cell>
          <cell r="J432" t="str">
            <v>Critical</v>
          </cell>
          <cell r="K432" t="str">
            <v>Medium</v>
          </cell>
          <cell r="L432">
            <v>8</v>
          </cell>
          <cell r="O432" t="str">
            <v>Open</v>
          </cell>
          <cell r="P432" t="str">
            <v>Existing Cisco/legacy patch panels and UPS shown.</v>
          </cell>
          <cell r="Q432" t="str">
            <v>06|46</v>
          </cell>
        </row>
        <row r="433">
          <cell r="E433" t="str">
            <v>8. OWNER RISKS</v>
          </cell>
          <cell r="G433" t="str">
            <v>B06-R3</v>
          </cell>
          <cell r="H433" t="str">
            <v>178</v>
          </cell>
          <cell r="I433" t="str">
            <v>Electrical panel replacement/new telecom power could interrupt active systems</v>
          </cell>
          <cell r="J433" t="str">
            <v>Critical</v>
          </cell>
          <cell r="K433" t="str">
            <v>Medium</v>
          </cell>
          <cell r="L433">
            <v>8</v>
          </cell>
          <cell r="O433" t="str">
            <v>Open</v>
          </cell>
          <cell r="P433" t="str">
            <v>B06-EP-TR and B06-TR178A/B panel work.</v>
          </cell>
          <cell r="Q433" t="str">
            <v>06|47</v>
          </cell>
        </row>
        <row r="434">
          <cell r="E434" t="str">
            <v>8. OWNER RISKS</v>
          </cell>
          <cell r="G434" t="str">
            <v>B06-R4</v>
          </cell>
          <cell r="H434" t="str">
            <v>233</v>
          </cell>
          <cell r="I434" t="str">
            <v>Room 233 conversion/rated wall and door work may impact adjacent patient toilet/private bath areas</v>
          </cell>
          <cell r="J434" t="str">
            <v>High</v>
          </cell>
          <cell r="K434" t="str">
            <v>Medium</v>
          </cell>
          <cell r="L434">
            <v>6</v>
          </cell>
          <cell r="O434" t="str">
            <v>Open</v>
          </cell>
          <cell r="P434" t="str">
            <v>Architectural enlarged views show TR 233 adjacent to patient toilet/private bath.</v>
          </cell>
          <cell r="Q434" t="str">
            <v>06|48</v>
          </cell>
        </row>
        <row r="435">
          <cell r="E435" t="str">
            <v>8. OWNER RISKS</v>
          </cell>
          <cell r="G435" t="str">
            <v>B06-R5</v>
          </cell>
          <cell r="H435" t="str">
            <v>178/233</v>
          </cell>
          <cell r="I435" t="str">
            <v>Dedicated cooling emergency power, controls, condensate and BACnet interface not verified</v>
          </cell>
          <cell r="J435" t="str">
            <v>Critical</v>
          </cell>
          <cell r="K435" t="str">
            <v>Medium</v>
          </cell>
          <cell r="L435">
            <v>8</v>
          </cell>
          <cell r="O435" t="str">
            <v>Open</v>
          </cell>
          <cell r="P435" t="str">
            <v>IU-1-01/CU-1-01 and IU-2-01/CU-2-01.</v>
          </cell>
          <cell r="Q435" t="str">
            <v>06|49</v>
          </cell>
        </row>
        <row r="436">
          <cell r="E436" t="str">
            <v>8. OWNER RISKS</v>
          </cell>
          <cell r="G436" t="str">
            <v>B06-R6</v>
          </cell>
          <cell r="H436" t="str">
            <v>All</v>
          </cell>
          <cell r="I436" t="str">
            <v>Fire alarm/sprinkler impairments and penetrations may affect occupied operations</v>
          </cell>
          <cell r="J436" t="str">
            <v>Critical</v>
          </cell>
          <cell r="K436" t="str">
            <v>Medium</v>
          </cell>
          <cell r="L436">
            <v>8</v>
          </cell>
          <cell r="O436" t="str">
            <v>Open</v>
          </cell>
          <cell r="P436" t="str">
            <v>Shutdowns limited one at a time campus-wide.</v>
          </cell>
          <cell r="Q436" t="str">
            <v>06|50</v>
          </cell>
        </row>
        <row r="437">
          <cell r="E437" t="str">
            <v>8. OWNER RISKS</v>
          </cell>
          <cell r="G437" t="str">
            <v>B06-R7</v>
          </cell>
          <cell r="H437" t="str">
            <v>All</v>
          </cell>
          <cell r="I437" t="str">
            <v>Telecom/fiber cutover could affect active hospital communications</v>
          </cell>
          <cell r="J437" t="str">
            <v>Critical</v>
          </cell>
          <cell r="K437" t="str">
            <v>Medium</v>
          </cell>
          <cell r="L437">
            <v>8</v>
          </cell>
          <cell r="O437" t="str">
            <v>Open</v>
          </cell>
          <cell r="P437" t="str">
            <v>All cabling must be tested, approved and accepted.</v>
          </cell>
          <cell r="Q437" t="str">
            <v>06|51</v>
          </cell>
        </row>
        <row r="438">
          <cell r="E438" t="str">
            <v>8. OWNER RISKS</v>
          </cell>
          <cell r="G438" t="str">
            <v>B06-R8</v>
          </cell>
          <cell r="H438" t="str">
            <v>All</v>
          </cell>
          <cell r="I438" t="str">
            <v>Commissioning/third-party inspection reports may not be ready at turnover</v>
          </cell>
          <cell r="J438" t="str">
            <v>High</v>
          </cell>
          <cell r="K438" t="str">
            <v>Medium</v>
          </cell>
          <cell r="L438">
            <v>6</v>
          </cell>
          <cell r="O438" t="str">
            <v>Open</v>
          </cell>
          <cell r="P438" t="str">
            <v>Required by cover sheet and commissioning sections.</v>
          </cell>
          <cell r="Q438" t="str">
            <v>06|52</v>
          </cell>
        </row>
        <row r="439">
          <cell r="E439" t="str">
            <v>8. OWNER RISKS</v>
          </cell>
          <cell r="G439">
            <v>0</v>
          </cell>
          <cell r="H439">
            <v>0</v>
          </cell>
          <cell r="I439">
            <v>0</v>
          </cell>
          <cell r="J439">
            <v>0</v>
          </cell>
          <cell r="K439">
            <v>0</v>
          </cell>
          <cell r="L439">
            <v>0</v>
          </cell>
          <cell r="O439">
            <v>0</v>
          </cell>
          <cell r="P439">
            <v>0</v>
          </cell>
          <cell r="Q439" t="str">
            <v>06|53</v>
          </cell>
        </row>
        <row r="440">
          <cell r="E440" t="str">
            <v>9. OPEN QUESTIONS</v>
          </cell>
          <cell r="G440" t="str">
            <v>9. OPEN QUESTIONS</v>
          </cell>
          <cell r="H440">
            <v>0</v>
          </cell>
          <cell r="I440">
            <v>0</v>
          </cell>
          <cell r="J440">
            <v>0</v>
          </cell>
          <cell r="K440">
            <v>0</v>
          </cell>
          <cell r="L440">
            <v>0</v>
          </cell>
          <cell r="O440">
            <v>0</v>
          </cell>
          <cell r="P440">
            <v>0</v>
          </cell>
          <cell r="Q440" t="str">
            <v>06|54</v>
          </cell>
        </row>
        <row r="441">
          <cell r="E441" t="str">
            <v>9. OPEN QUESTIONS</v>
          </cell>
          <cell r="G441" t="str">
            <v>Question ID</v>
          </cell>
          <cell r="H441" t="str">
            <v>Question</v>
          </cell>
          <cell r="I441" t="str">
            <v>Assigned To</v>
          </cell>
          <cell r="J441" t="str">
            <v>Status</v>
          </cell>
          <cell r="K441" t="str">
            <v>Needed By</v>
          </cell>
          <cell r="L441" t="str">
            <v>Answer / Resolution</v>
          </cell>
          <cell r="O441" t="str">
            <v>Date Closed</v>
          </cell>
          <cell r="P441" t="str">
            <v>Notes</v>
          </cell>
          <cell r="Q441" t="str">
            <v>06|55</v>
          </cell>
        </row>
        <row r="442">
          <cell r="E442" t="str">
            <v>9. OPEN QUESTIONS</v>
          </cell>
          <cell r="G442" t="str">
            <v>B06-Q1</v>
          </cell>
          <cell r="H442" t="str">
            <v>Confirm final TR/TE scope: B-01 existing equipment, Room 178, and Room 233?</v>
          </cell>
          <cell r="I442" t="str">
            <v>VA / OIT / Designer</v>
          </cell>
          <cell r="J442" t="str">
            <v>Open</v>
          </cell>
          <cell r="K442">
            <v>0</v>
          </cell>
          <cell r="L442">
            <v>0</v>
          </cell>
          <cell r="O442">
            <v>0</v>
          </cell>
          <cell r="P442">
            <v>0</v>
          </cell>
          <cell r="Q442" t="str">
            <v>06|56</v>
          </cell>
        </row>
        <row r="443">
          <cell r="E443" t="str">
            <v>9. OPEN QUESTIONS</v>
          </cell>
          <cell r="G443" t="str">
            <v>B06-Q2</v>
          </cell>
          <cell r="H443" t="str">
            <v>What active services are fed from existing B-01 and Room 178 legacy equipment?</v>
          </cell>
          <cell r="I443" t="str">
            <v>OIT / Contractor</v>
          </cell>
          <cell r="J443" t="str">
            <v>Open</v>
          </cell>
          <cell r="K443">
            <v>0</v>
          </cell>
          <cell r="L443">
            <v>0</v>
          </cell>
          <cell r="O443">
            <v>0</v>
          </cell>
          <cell r="P443">
            <v>0</v>
          </cell>
          <cell r="Q443" t="str">
            <v>06|57</v>
          </cell>
        </row>
        <row r="444">
          <cell r="E444" t="str">
            <v>9. OPEN QUESTIONS</v>
          </cell>
          <cell r="G444" t="str">
            <v>B06-Q3</v>
          </cell>
          <cell r="H444" t="str">
            <v>What is the approved cutover sequence for B-01, 178 and 233?</v>
          </cell>
          <cell r="I444" t="str">
            <v>OIT / Contractor</v>
          </cell>
          <cell r="J444" t="str">
            <v>Open</v>
          </cell>
          <cell r="K444">
            <v>0</v>
          </cell>
          <cell r="L444">
            <v>0</v>
          </cell>
          <cell r="O444">
            <v>0</v>
          </cell>
          <cell r="P444">
            <v>0</v>
          </cell>
          <cell r="Q444" t="str">
            <v>06|58</v>
          </cell>
        </row>
        <row r="445">
          <cell r="E445" t="str">
            <v>9. OPEN QUESTIONS</v>
          </cell>
          <cell r="G445" t="str">
            <v>B06-Q4</v>
          </cell>
          <cell r="H445" t="str">
            <v>Are IU-1-01/CU-1-01 and IU-2-01/CU-2-01 on emergency/backup power?</v>
          </cell>
          <cell r="I445" t="str">
            <v>Mechanical / Electrical / VA</v>
          </cell>
          <cell r="J445" t="str">
            <v>Open</v>
          </cell>
          <cell r="K445">
            <v>0</v>
          </cell>
          <cell r="L445">
            <v>0</v>
          </cell>
          <cell r="O445">
            <v>0</v>
          </cell>
          <cell r="P445">
            <v>0</v>
          </cell>
          <cell r="Q445" t="str">
            <v>06|59</v>
          </cell>
        </row>
        <row r="446">
          <cell r="E446" t="str">
            <v>9. OPEN QUESTIONS</v>
          </cell>
          <cell r="G446" t="str">
            <v>B06-Q5</v>
          </cell>
          <cell r="H446" t="str">
            <v>Where are clean-agent/CO2 extinguisher cabinets located within 75 ft of each TR?</v>
          </cell>
          <cell r="I446" t="str">
            <v>GC / COR</v>
          </cell>
          <cell r="J446" t="str">
            <v>Open</v>
          </cell>
          <cell r="K446">
            <v>0</v>
          </cell>
          <cell r="L446">
            <v>0</v>
          </cell>
          <cell r="O446">
            <v>0</v>
          </cell>
          <cell r="P446">
            <v>0</v>
          </cell>
          <cell r="Q446" t="str">
            <v>06|60</v>
          </cell>
        </row>
        <row r="447">
          <cell r="E447" t="str">
            <v>9. OPEN QUESTIONS</v>
          </cell>
          <cell r="G447" t="str">
            <v>B06-Q6</v>
          </cell>
          <cell r="H447" t="str">
            <v>Are all panel load measurements, replacement panels, breakers, SPDs and labels approved?</v>
          </cell>
          <cell r="I447" t="str">
            <v>Electrical / Designer</v>
          </cell>
          <cell r="J447" t="str">
            <v>Open</v>
          </cell>
          <cell r="K447">
            <v>0</v>
          </cell>
          <cell r="L447">
            <v>0</v>
          </cell>
          <cell r="O447">
            <v>0</v>
          </cell>
          <cell r="P447">
            <v>0</v>
          </cell>
          <cell r="Q447" t="str">
            <v>06|61</v>
          </cell>
        </row>
        <row r="448">
          <cell r="E448" t="str">
            <v>9. OPEN QUESTIONS</v>
          </cell>
          <cell r="G448" t="str">
            <v>B06-Q7</v>
          </cell>
          <cell r="H448" t="str">
            <v>Are all rated wall/floor penetrations, sleeves and firestopping identified?</v>
          </cell>
          <cell r="I448" t="str">
            <v>GC / Firestop</v>
          </cell>
          <cell r="J448" t="str">
            <v>Open</v>
          </cell>
          <cell r="K448">
            <v>0</v>
          </cell>
          <cell r="L448">
            <v>0</v>
          </cell>
          <cell r="O448">
            <v>0</v>
          </cell>
          <cell r="P448">
            <v>0</v>
          </cell>
          <cell r="Q448" t="str">
            <v>06|62</v>
          </cell>
        </row>
        <row r="449">
          <cell r="E449" t="str">
            <v>9. OPEN QUESTIONS</v>
          </cell>
          <cell r="G449" t="str">
            <v>B06-Q8</v>
          </cell>
          <cell r="H449" t="str">
            <v>Which commissioning/third-party tests must be complete before VA acceptance?</v>
          </cell>
          <cell r="I449" t="str">
            <v>GC / Cx Manager</v>
          </cell>
          <cell r="J449" t="str">
            <v>Open</v>
          </cell>
          <cell r="K449">
            <v>0</v>
          </cell>
          <cell r="L449">
            <v>0</v>
          </cell>
          <cell r="O449">
            <v>0</v>
          </cell>
          <cell r="P449">
            <v>0</v>
          </cell>
          <cell r="Q449" t="str">
            <v>06|63</v>
          </cell>
        </row>
        <row r="450">
          <cell r="E450" t="str">
            <v>9. OPEN QUESTIONS</v>
          </cell>
          <cell r="G450">
            <v>0</v>
          </cell>
          <cell r="H450">
            <v>0</v>
          </cell>
          <cell r="I450">
            <v>0</v>
          </cell>
          <cell r="J450">
            <v>0</v>
          </cell>
          <cell r="K450">
            <v>0</v>
          </cell>
          <cell r="L450">
            <v>0</v>
          </cell>
          <cell r="O450">
            <v>0</v>
          </cell>
          <cell r="P450">
            <v>0</v>
          </cell>
          <cell r="Q450" t="str">
            <v>06|64</v>
          </cell>
        </row>
        <row r="451">
          <cell r="E451" t="str">
            <v>10. PHOTO LOG</v>
          </cell>
          <cell r="G451" t="str">
            <v>10. PHOTO LOG</v>
          </cell>
          <cell r="H451">
            <v>0</v>
          </cell>
          <cell r="I451">
            <v>0</v>
          </cell>
          <cell r="J451">
            <v>0</v>
          </cell>
          <cell r="K451">
            <v>0</v>
          </cell>
          <cell r="L451">
            <v>0</v>
          </cell>
          <cell r="O451">
            <v>0</v>
          </cell>
          <cell r="P451">
            <v>0</v>
          </cell>
          <cell r="Q451" t="str">
            <v>06|65</v>
          </cell>
        </row>
        <row r="452">
          <cell r="E452" t="str">
            <v>10. PHOTO LOG</v>
          </cell>
          <cell r="G452" t="str">
            <v>Photo ID</v>
          </cell>
          <cell r="H452" t="str">
            <v>Room</v>
          </cell>
          <cell r="I452" t="str">
            <v>Category</v>
          </cell>
          <cell r="J452" t="str">
            <v>Description</v>
          </cell>
          <cell r="K452" t="str">
            <v>Date</v>
          </cell>
          <cell r="L452" t="str">
            <v>Taken By</v>
          </cell>
          <cell r="O452" t="str">
            <v>Status</v>
          </cell>
          <cell r="P452" t="str">
            <v>Notes</v>
          </cell>
          <cell r="Q452" t="str">
            <v>06|66</v>
          </cell>
        </row>
        <row r="453">
          <cell r="E453" t="str">
            <v>10. PHOTO LOG</v>
          </cell>
          <cell r="G453" t="str">
            <v>B06-P001</v>
          </cell>
          <cell r="H453" t="str">
            <v>B-01</v>
          </cell>
          <cell r="I453" t="str">
            <v>Existing Condition</v>
          </cell>
          <cell r="J453" t="str">
            <v>Existing basement wall/wall-mount TE, Cisco switches, legacy patch panels, floor UPS</v>
          </cell>
          <cell r="K453">
            <v>0</v>
          </cell>
          <cell r="L453" t="str">
            <v>Paul</v>
          </cell>
          <cell r="O453" t="str">
            <v>Open</v>
          </cell>
          <cell r="P453">
            <v>0</v>
          </cell>
          <cell r="Q453" t="str">
            <v>06|67</v>
          </cell>
        </row>
        <row r="454">
          <cell r="E454" t="str">
            <v>10. PHOTO LOG</v>
          </cell>
          <cell r="G454" t="str">
            <v>B06-P002</v>
          </cell>
          <cell r="H454" t="str">
            <v>178</v>
          </cell>
          <cell r="I454" t="str">
            <v>Existing Condition</v>
          </cell>
          <cell r="J454" t="str">
            <v>Room 178 TR, existing 2-post racks, panels, card reader/security, HVAC location</v>
          </cell>
          <cell r="K454">
            <v>0</v>
          </cell>
          <cell r="L454" t="str">
            <v>Paul</v>
          </cell>
          <cell r="O454" t="str">
            <v>Open</v>
          </cell>
          <cell r="P454">
            <v>0</v>
          </cell>
          <cell r="Q454" t="str">
            <v>06|68</v>
          </cell>
        </row>
        <row r="455">
          <cell r="E455" t="str">
            <v>10. PHOTO LOG</v>
          </cell>
          <cell r="G455" t="str">
            <v>B06-P003</v>
          </cell>
          <cell r="H455" t="str">
            <v>233</v>
          </cell>
          <cell r="I455" t="str">
            <v>Existing Condition</v>
          </cell>
          <cell r="J455" t="str">
            <v>Room 233/Data Closet, adjacent toilet/bath areas, walls/door/ceiling/penetrations</v>
          </cell>
          <cell r="K455">
            <v>0</v>
          </cell>
          <cell r="L455" t="str">
            <v>Paul</v>
          </cell>
          <cell r="O455" t="str">
            <v>Open</v>
          </cell>
          <cell r="P455">
            <v>0</v>
          </cell>
          <cell r="Q455" t="str">
            <v>06|69</v>
          </cell>
        </row>
        <row r="456">
          <cell r="E456" t="str">
            <v>10. PHOTO LOG</v>
          </cell>
          <cell r="G456" t="str">
            <v>B06-P004</v>
          </cell>
          <cell r="H456" t="str">
            <v>All</v>
          </cell>
          <cell r="I456" t="str">
            <v>Firestop</v>
          </cell>
          <cell r="J456" t="str">
            <v>All wall/floor/sleeve/tray penetrations before and after firestop</v>
          </cell>
          <cell r="K456">
            <v>0</v>
          </cell>
          <cell r="L456" t="str">
            <v>Paul</v>
          </cell>
          <cell r="O456" t="str">
            <v>Open</v>
          </cell>
          <cell r="P456">
            <v>0</v>
          </cell>
          <cell r="Q456" t="str">
            <v>06|70</v>
          </cell>
        </row>
        <row r="457">
          <cell r="E457" t="str">
            <v>10. PHOTO LOG</v>
          </cell>
          <cell r="G457" t="str">
            <v>B06-P005</v>
          </cell>
          <cell r="H457" t="str">
            <v>178/233</v>
          </cell>
          <cell r="I457" t="str">
            <v>HVAC</v>
          </cell>
          <cell r="J457" t="str">
            <v>IU/CU equipment, condensate, thermostat, BACnet adapter, disconnects, high-temp alarm</v>
          </cell>
          <cell r="K457">
            <v>0</v>
          </cell>
          <cell r="L457" t="str">
            <v>Paul</v>
          </cell>
          <cell r="O457" t="str">
            <v>Open</v>
          </cell>
          <cell r="P457">
            <v>0</v>
          </cell>
          <cell r="Q457" t="str">
            <v>06|71</v>
          </cell>
        </row>
        <row r="458">
          <cell r="E458" t="str">
            <v>10. PHOTO LOG</v>
          </cell>
          <cell r="G458" t="str">
            <v>B06-P006</v>
          </cell>
          <cell r="H458" t="str">
            <v>All</v>
          </cell>
          <cell r="I458" t="str">
            <v>Electrical</v>
          </cell>
          <cell r="J458" t="str">
            <v>B06-NP-TR, B06-EP-TR, B06-TR178A/B, B06-TR233A/B, breakers, SPD, labels</v>
          </cell>
          <cell r="K458">
            <v>0</v>
          </cell>
          <cell r="L458" t="str">
            <v>Paul</v>
          </cell>
          <cell r="O458" t="str">
            <v>Open</v>
          </cell>
          <cell r="P458">
            <v>0</v>
          </cell>
          <cell r="Q458" t="str">
            <v>06|72</v>
          </cell>
        </row>
        <row r="459">
          <cell r="E459" t="str">
            <v>10. PHOTO LOG</v>
          </cell>
          <cell r="G459" t="str">
            <v>B06-P007</v>
          </cell>
          <cell r="H459" t="str">
            <v>All</v>
          </cell>
          <cell r="I459" t="str">
            <v>Telecom</v>
          </cell>
          <cell r="J459" t="str">
            <v>Racks, ladder tray, fiber, Cat6A, LIU, patch panels, labels, test records</v>
          </cell>
          <cell r="K459">
            <v>0</v>
          </cell>
          <cell r="L459" t="str">
            <v>Paul</v>
          </cell>
          <cell r="O459" t="str">
            <v>Open</v>
          </cell>
          <cell r="P459">
            <v>0</v>
          </cell>
          <cell r="Q459" t="str">
            <v>06|73</v>
          </cell>
        </row>
        <row r="460">
          <cell r="E460" t="str">
            <v>10. PHOTO LOG</v>
          </cell>
          <cell r="G460" t="str">
            <v>B06-P008</v>
          </cell>
          <cell r="H460" t="str">
            <v>All</v>
          </cell>
          <cell r="I460" t="str">
            <v>Security</v>
          </cell>
          <cell r="J460" t="str">
            <v>Card readers, electric strikes, door position, motion sensors, CCTV/PACS integration</v>
          </cell>
          <cell r="K460">
            <v>0</v>
          </cell>
          <cell r="L460" t="str">
            <v>Paul</v>
          </cell>
          <cell r="O460" t="str">
            <v>Open</v>
          </cell>
          <cell r="P460">
            <v>0</v>
          </cell>
          <cell r="Q460" t="str">
            <v>06|74</v>
          </cell>
        </row>
        <row r="461">
          <cell r="E461" t="str">
            <v>10. PHOTO LOG</v>
          </cell>
          <cell r="G461">
            <v>0</v>
          </cell>
          <cell r="H461">
            <v>0</v>
          </cell>
          <cell r="I461">
            <v>0</v>
          </cell>
          <cell r="J461">
            <v>0</v>
          </cell>
          <cell r="K461">
            <v>0</v>
          </cell>
          <cell r="L461">
            <v>0</v>
          </cell>
          <cell r="O461">
            <v>0</v>
          </cell>
          <cell r="P461">
            <v>0</v>
          </cell>
          <cell r="Q461" t="str">
            <v>06|75</v>
          </cell>
        </row>
        <row r="462">
          <cell r="E462" t="str">
            <v>1. ROOM INVENTORY</v>
          </cell>
          <cell r="G462" t="str">
            <v>1. ROOM INVENTORY</v>
          </cell>
          <cell r="H462">
            <v>0</v>
          </cell>
          <cell r="I462">
            <v>0</v>
          </cell>
          <cell r="J462">
            <v>0</v>
          </cell>
          <cell r="K462">
            <v>0</v>
          </cell>
          <cell r="L462">
            <v>0</v>
          </cell>
          <cell r="O462">
            <v>0</v>
          </cell>
          <cell r="P462">
            <v>0</v>
          </cell>
          <cell r="Q462" t="str">
            <v>07|1</v>
          </cell>
        </row>
        <row r="463">
          <cell r="E463" t="str">
            <v>1. ROOM INVENTORY</v>
          </cell>
          <cell r="G463" t="str">
            <v>Building</v>
          </cell>
          <cell r="H463" t="str">
            <v>Room</v>
          </cell>
          <cell r="I463" t="str">
            <v>Floor</v>
          </cell>
          <cell r="J463" t="str">
            <v>Existing Use</v>
          </cell>
          <cell r="K463" t="str">
            <v>New Use</v>
          </cell>
          <cell r="L463" t="str">
            <v>Rack Count</v>
          </cell>
          <cell r="O463" t="str">
            <v>Drawing Ref</v>
          </cell>
          <cell r="P463" t="str">
            <v>Notes</v>
          </cell>
          <cell r="Q463" t="str">
            <v>07|2</v>
          </cell>
        </row>
        <row r="464">
          <cell r="E464" t="str">
            <v>1. ROOM INVENTORY</v>
          </cell>
          <cell r="G464" t="str">
            <v>07</v>
          </cell>
          <cell r="H464" t="str">
            <v>B-18</v>
          </cell>
          <cell r="I464" t="str">
            <v>Basement</v>
          </cell>
          <cell r="J464" t="str">
            <v>Existing office / telecom-service area</v>
          </cell>
          <cell r="K464" t="str">
            <v>Telecom Room</v>
          </cell>
          <cell r="L464">
            <v>1</v>
          </cell>
          <cell r="O464" t="str">
            <v>07A-400 / 07E-401 / 07T-604 / 07M-701</v>
          </cell>
          <cell r="P464" t="str">
            <v>Rack elevation shows B-18 as 1 of 1 + future, 4-post floor rack, UPS, future Zone PDU, network switches, Cat6A patch panels, Cat5E patch panel and Fiber LIU.</v>
          </cell>
          <cell r="Q464" t="str">
            <v>07|3</v>
          </cell>
        </row>
        <row r="465">
          <cell r="E465" t="str">
            <v>1. ROOM INVENTORY</v>
          </cell>
          <cell r="G465" t="str">
            <v>07</v>
          </cell>
          <cell r="H465" t="str">
            <v>228A</v>
          </cell>
          <cell r="I465" t="str">
            <v>Second</v>
          </cell>
          <cell r="J465" t="str">
            <v>Social worker shared / adjacent OPM storage and DOM MSA area</v>
          </cell>
          <cell r="K465" t="str">
            <v>Telecom Room</v>
          </cell>
          <cell r="L465">
            <v>1</v>
          </cell>
          <cell r="O465" t="str">
            <v>07A-401 / 07E-401 / 07T-604 / 07M-701</v>
          </cell>
          <cell r="P465" t="str">
            <v>Architectural enlarged view identifies Telecom Room 228A at 236 SF; includes fire-rated door/wall work, FEC requirement, exterior furring wall/window enclosure and temporary dust barrier.</v>
          </cell>
          <cell r="Q465" t="str">
            <v>07|4</v>
          </cell>
        </row>
        <row r="466">
          <cell r="E466" t="str">
            <v>1. ROOM INVENTORY</v>
          </cell>
          <cell r="G466">
            <v>0</v>
          </cell>
          <cell r="H466">
            <v>0</v>
          </cell>
          <cell r="I466">
            <v>0</v>
          </cell>
          <cell r="J466">
            <v>0</v>
          </cell>
          <cell r="K466">
            <v>0</v>
          </cell>
          <cell r="L466">
            <v>0</v>
          </cell>
          <cell r="O466">
            <v>0</v>
          </cell>
          <cell r="P466">
            <v>0</v>
          </cell>
          <cell r="Q466" t="str">
            <v>07|5</v>
          </cell>
        </row>
        <row r="467">
          <cell r="E467" t="str">
            <v>2. ROOM READINESS</v>
          </cell>
          <cell r="G467" t="str">
            <v>2. ROOM READINESS</v>
          </cell>
          <cell r="H467">
            <v>0</v>
          </cell>
          <cell r="I467">
            <v>0</v>
          </cell>
          <cell r="J467">
            <v>0</v>
          </cell>
          <cell r="K467">
            <v>0</v>
          </cell>
          <cell r="L467">
            <v>0</v>
          </cell>
          <cell r="O467">
            <v>0</v>
          </cell>
          <cell r="P467">
            <v>0</v>
          </cell>
          <cell r="Q467" t="str">
            <v>07|6</v>
          </cell>
        </row>
        <row r="468">
          <cell r="E468" t="str">
            <v>2. ROOM READINESS</v>
          </cell>
          <cell r="G468" t="str">
            <v>Room</v>
          </cell>
          <cell r="H468" t="str">
            <v>Walls / 1-hr Rating</v>
          </cell>
          <cell r="I468" t="str">
            <v>Ceiling</v>
          </cell>
          <cell r="J468" t="str">
            <v>Floor / SDC</v>
          </cell>
          <cell r="K468" t="str">
            <v>Penetrations</v>
          </cell>
          <cell r="L468" t="str">
            <v>Access Control</v>
          </cell>
          <cell r="O468" t="str">
            <v>Overall</v>
          </cell>
          <cell r="P468" t="str">
            <v>Comments</v>
          </cell>
          <cell r="Q468" t="str">
            <v>07|7</v>
          </cell>
        </row>
        <row r="469">
          <cell r="E469" t="str">
            <v>2. ROOM READINESS</v>
          </cell>
          <cell r="G469" t="str">
            <v>B-18</v>
          </cell>
          <cell r="H469" t="str">
            <v>Verify</v>
          </cell>
          <cell r="I469" t="str">
            <v>Verify</v>
          </cell>
          <cell r="J469" t="str">
            <v>Verify</v>
          </cell>
          <cell r="K469" t="str">
            <v>Verify</v>
          </cell>
          <cell r="L469" t="str">
            <v>Verify</v>
          </cell>
          <cell r="O469" t="str">
            <v>Verify</v>
          </cell>
          <cell r="P469" t="str">
            <v>Basement TR; verify office-to-TR conversion conditions, existing utilities, wall/ceiling/firestop conditions and future rack clearance.</v>
          </cell>
          <cell r="Q469" t="str">
            <v>07|8</v>
          </cell>
        </row>
        <row r="470">
          <cell r="E470" t="str">
            <v>2. ROOM READINESS</v>
          </cell>
          <cell r="G470" t="str">
            <v>228A</v>
          </cell>
          <cell r="H470" t="str">
            <v>Verify</v>
          </cell>
          <cell r="I470" t="str">
            <v>Verify</v>
          </cell>
          <cell r="J470" t="str">
            <v>Verify</v>
          </cell>
          <cell r="K470" t="str">
            <v>Verify</v>
          </cell>
          <cell r="L470" t="str">
            <v>Verify</v>
          </cell>
          <cell r="O470" t="str">
            <v>Verify</v>
          </cell>
          <cell r="P470" t="str">
            <v>Second-floor TR; verify 1-hour fire/smoke-rated wall, 45-minute door/frame, open-to-deck/furring wall details, access control and equipment clearances.</v>
          </cell>
          <cell r="Q470" t="str">
            <v>07|9</v>
          </cell>
        </row>
        <row r="471">
          <cell r="E471" t="str">
            <v>2. ROOM READINESS</v>
          </cell>
          <cell r="G471">
            <v>0</v>
          </cell>
          <cell r="H471">
            <v>0</v>
          </cell>
          <cell r="I471">
            <v>0</v>
          </cell>
          <cell r="J471">
            <v>0</v>
          </cell>
          <cell r="K471">
            <v>0</v>
          </cell>
          <cell r="L471">
            <v>0</v>
          </cell>
          <cell r="O471">
            <v>0</v>
          </cell>
          <cell r="P471">
            <v>0</v>
          </cell>
          <cell r="Q471" t="str">
            <v>07|10</v>
          </cell>
        </row>
        <row r="472">
          <cell r="E472" t="str">
            <v>3. FIRE PROTECTION</v>
          </cell>
          <cell r="G472" t="str">
            <v>3. FIRE PROTECTION</v>
          </cell>
          <cell r="H472">
            <v>0</v>
          </cell>
          <cell r="I472">
            <v>0</v>
          </cell>
          <cell r="J472">
            <v>0</v>
          </cell>
          <cell r="K472">
            <v>0</v>
          </cell>
          <cell r="L472">
            <v>0</v>
          </cell>
          <cell r="O472">
            <v>0</v>
          </cell>
          <cell r="P472">
            <v>0</v>
          </cell>
          <cell r="Q472" t="str">
            <v>07|11</v>
          </cell>
        </row>
        <row r="473">
          <cell r="E473" t="str">
            <v>3. FIRE PROTECTION</v>
          </cell>
          <cell r="G473" t="str">
            <v>Room</v>
          </cell>
          <cell r="H473" t="str">
            <v>Sprinkler</v>
          </cell>
          <cell r="I473" t="str">
            <v>Cage</v>
          </cell>
          <cell r="J473" t="str">
            <v>Detector</v>
          </cell>
          <cell r="K473" t="str">
            <v>Horn/Strobe</v>
          </cell>
          <cell r="L473" t="str">
            <v>Extinguisher &lt;75 ft</v>
          </cell>
          <cell r="O473" t="str">
            <v>Overall</v>
          </cell>
          <cell r="P473" t="str">
            <v>Risk / Notes</v>
          </cell>
          <cell r="Q473" t="str">
            <v>07|12</v>
          </cell>
        </row>
        <row r="474">
          <cell r="E474" t="str">
            <v>3. FIRE PROTECTION</v>
          </cell>
          <cell r="G474" t="str">
            <v>B-18</v>
          </cell>
          <cell r="H474" t="str">
            <v>Verify</v>
          </cell>
          <cell r="I474" t="str">
            <v>Verify</v>
          </cell>
          <cell r="J474" t="str">
            <v>Verify</v>
          </cell>
          <cell r="K474" t="str">
            <v>Verify</v>
          </cell>
          <cell r="L474" t="str">
            <v>Verify</v>
          </cell>
          <cell r="O474" t="str">
            <v>Verify</v>
          </cell>
          <cell r="P474" t="str">
            <v>Fully sprinklered building; basement TR requires sprinkler coverage verification, firestop at cabling/sleeves and impairment coordination.</v>
          </cell>
          <cell r="Q474" t="str">
            <v>07|13</v>
          </cell>
        </row>
        <row r="475">
          <cell r="E475" t="str">
            <v>3. FIRE PROTECTION</v>
          </cell>
          <cell r="G475" t="str">
            <v>228A</v>
          </cell>
          <cell r="H475" t="str">
            <v>Verify</v>
          </cell>
          <cell r="I475" t="str">
            <v>Verify</v>
          </cell>
          <cell r="J475" t="str">
            <v>Verify</v>
          </cell>
          <cell r="K475" t="str">
            <v>Verify</v>
          </cell>
          <cell r="L475" t="str">
            <v>Verify</v>
          </cell>
          <cell r="O475" t="str">
            <v>Verify</v>
          </cell>
          <cell r="P475" t="str">
            <v>Architectural notes require clean-agent 2A:10B:C extinguisher within 75 ft, 45-minute rated door/frame and rated wall construction; verify FA/FP modifications.</v>
          </cell>
          <cell r="Q475" t="str">
            <v>07|14</v>
          </cell>
        </row>
        <row r="476">
          <cell r="E476" t="str">
            <v>3. FIRE PROTECTION</v>
          </cell>
          <cell r="G476">
            <v>0</v>
          </cell>
          <cell r="H476">
            <v>0</v>
          </cell>
          <cell r="I476">
            <v>0</v>
          </cell>
          <cell r="J476">
            <v>0</v>
          </cell>
          <cell r="K476">
            <v>0</v>
          </cell>
          <cell r="L476">
            <v>0</v>
          </cell>
          <cell r="O476">
            <v>0</v>
          </cell>
          <cell r="P476">
            <v>0</v>
          </cell>
          <cell r="Q476" t="str">
            <v>07|15</v>
          </cell>
        </row>
        <row r="477">
          <cell r="E477" t="str">
            <v>4. HVAC / COOLING</v>
          </cell>
          <cell r="G477" t="str">
            <v>4. HVAC / COOLING</v>
          </cell>
          <cell r="H477">
            <v>0</v>
          </cell>
          <cell r="I477">
            <v>0</v>
          </cell>
          <cell r="J477">
            <v>0</v>
          </cell>
          <cell r="K477">
            <v>0</v>
          </cell>
          <cell r="L477">
            <v>0</v>
          </cell>
          <cell r="O477">
            <v>0</v>
          </cell>
          <cell r="P477">
            <v>0</v>
          </cell>
          <cell r="Q477" t="str">
            <v>07|16</v>
          </cell>
        </row>
        <row r="478">
          <cell r="E478" t="str">
            <v>4. HVAC / COOLING</v>
          </cell>
          <cell r="G478" t="str">
            <v>Room</v>
          </cell>
          <cell r="H478" t="str">
            <v>Dedicated Unit</v>
          </cell>
          <cell r="I478" t="str">
            <v>Capacity Verified</v>
          </cell>
          <cell r="J478" t="str">
            <v>Emergency Power</v>
          </cell>
          <cell r="K478" t="str">
            <v>Controls / BACnet</v>
          </cell>
          <cell r="L478" t="str">
            <v>Condensate Routed</v>
          </cell>
          <cell r="O478" t="str">
            <v>Overall</v>
          </cell>
          <cell r="P478" t="str">
            <v>Risk / Notes</v>
          </cell>
          <cell r="Q478" t="str">
            <v>07|17</v>
          </cell>
        </row>
        <row r="479">
          <cell r="E479" t="str">
            <v>4. HVAC / COOLING</v>
          </cell>
          <cell r="G479" t="str">
            <v>B-18</v>
          </cell>
          <cell r="H479" t="str">
            <v>IU-0-01 / CU-0-01</v>
          </cell>
          <cell r="I479" t="str">
            <v>Verify</v>
          </cell>
          <cell r="J479" t="str">
            <v>Verify</v>
          </cell>
          <cell r="K479" t="str">
            <v>Verify</v>
          </cell>
          <cell r="L479" t="str">
            <v>Verify</v>
          </cell>
          <cell r="O479" t="str">
            <v>Verify</v>
          </cell>
          <cell r="P479" t="str">
            <v>Mechanical schedule lists 18,000 BTUH wall-mounted IU-0-01 and CU-0-01; verify exact room assignment, emergency power, condensate, controls and high-temp alarm.</v>
          </cell>
          <cell r="Q479" t="str">
            <v>07|18</v>
          </cell>
        </row>
        <row r="480">
          <cell r="E480" t="str">
            <v>4. HVAC / COOLING</v>
          </cell>
          <cell r="G480" t="str">
            <v>228A</v>
          </cell>
          <cell r="H480" t="str">
            <v>IU-2-01 / CU-2-01</v>
          </cell>
          <cell r="I480" t="str">
            <v>Verify</v>
          </cell>
          <cell r="J480" t="str">
            <v>Verify</v>
          </cell>
          <cell r="K480" t="str">
            <v>Verify</v>
          </cell>
          <cell r="L480" t="str">
            <v>Verify</v>
          </cell>
          <cell r="O480" t="str">
            <v>Verify</v>
          </cell>
          <cell r="P480" t="str">
            <v>Mechanical schedule lists 36,000 BTUH wall-mounted IU-2-01 and CU-2-01; electrical enlarged plan shows IU-2-01 at TR 228A; verify emergency power and condensate route.</v>
          </cell>
          <cell r="Q480" t="str">
            <v>07|19</v>
          </cell>
        </row>
        <row r="481">
          <cell r="E481" t="str">
            <v>4. HVAC / COOLING</v>
          </cell>
          <cell r="G481">
            <v>0</v>
          </cell>
          <cell r="H481">
            <v>0</v>
          </cell>
          <cell r="I481">
            <v>0</v>
          </cell>
          <cell r="J481">
            <v>0</v>
          </cell>
          <cell r="K481">
            <v>0</v>
          </cell>
          <cell r="L481">
            <v>0</v>
          </cell>
          <cell r="O481">
            <v>0</v>
          </cell>
          <cell r="P481">
            <v>0</v>
          </cell>
          <cell r="Q481" t="str">
            <v>07|20</v>
          </cell>
        </row>
        <row r="482">
          <cell r="E482" t="str">
            <v>5. ELECTRICAL / UPS</v>
          </cell>
          <cell r="G482" t="str">
            <v>5. ELECTRICAL / UPS</v>
          </cell>
          <cell r="H482">
            <v>0</v>
          </cell>
          <cell r="I482">
            <v>0</v>
          </cell>
          <cell r="J482">
            <v>0</v>
          </cell>
          <cell r="K482">
            <v>0</v>
          </cell>
          <cell r="L482">
            <v>0</v>
          </cell>
          <cell r="O482">
            <v>0</v>
          </cell>
          <cell r="P482">
            <v>0</v>
          </cell>
          <cell r="Q482" t="str">
            <v>07|21</v>
          </cell>
        </row>
        <row r="483">
          <cell r="E483" t="str">
            <v>5. ELECTRICAL / UPS</v>
          </cell>
          <cell r="G483" t="str">
            <v>Room</v>
          </cell>
          <cell r="H483" t="str">
            <v>UPS Installed</v>
          </cell>
          <cell r="I483" t="str">
            <v>UPS Size</v>
          </cell>
          <cell r="J483" t="str">
            <v>PDU Installed</v>
          </cell>
          <cell r="K483" t="str">
            <v>Rack Receptacles</v>
          </cell>
          <cell r="L483" t="str">
            <v>Panel Assigned</v>
          </cell>
          <cell r="O483" t="str">
            <v>Overall</v>
          </cell>
          <cell r="P483" t="str">
            <v>Notes</v>
          </cell>
          <cell r="Q483" t="str">
            <v>07|22</v>
          </cell>
        </row>
        <row r="484">
          <cell r="E484" t="str">
            <v>5. ELECTRICAL / UPS</v>
          </cell>
          <cell r="G484" t="str">
            <v>B-18</v>
          </cell>
          <cell r="H484" t="str">
            <v>Verify</v>
          </cell>
          <cell r="I484" t="str">
            <v>5 kW / rack equipment</v>
          </cell>
          <cell r="J484" t="str">
            <v>Verify</v>
          </cell>
          <cell r="K484" t="str">
            <v>Verify</v>
          </cell>
          <cell r="L484" t="str">
            <v>B07-TRB18A / B07-TRB18B</v>
          </cell>
          <cell r="O484" t="str">
            <v>Verify</v>
          </cell>
          <cell r="P484" t="str">
            <v>Electrical enlarged plans identify B07-TRB18A/B circuits serving basement TR equipment; verify panel source, receptacles, SPD, emergency source and load measurement.</v>
          </cell>
          <cell r="Q484" t="str">
            <v>07|23</v>
          </cell>
        </row>
        <row r="485">
          <cell r="E485" t="str">
            <v>5. ELECTRICAL / UPS</v>
          </cell>
          <cell r="G485" t="str">
            <v>228A</v>
          </cell>
          <cell r="H485" t="str">
            <v>Verify</v>
          </cell>
          <cell r="I485" t="str">
            <v>5 kW / rack equipment</v>
          </cell>
          <cell r="J485" t="str">
            <v>Verify</v>
          </cell>
          <cell r="K485" t="str">
            <v>Verify</v>
          </cell>
          <cell r="L485" t="str">
            <v>B07-TR228A / B07-TR228B</v>
          </cell>
          <cell r="O485" t="str">
            <v>Verify</v>
          </cell>
          <cell r="P485" t="str">
            <v>Electrical enlarged plans identify B07-TR228A/B circuits serving TR 228A equipment and IU-2-01; verify rack receptacles, cooling power, SPD and labels.</v>
          </cell>
          <cell r="Q485" t="str">
            <v>07|24</v>
          </cell>
        </row>
        <row r="486">
          <cell r="E486" t="str">
            <v>5. ELECTRICAL / UPS</v>
          </cell>
          <cell r="G486">
            <v>0</v>
          </cell>
          <cell r="H486">
            <v>0</v>
          </cell>
          <cell r="I486">
            <v>0</v>
          </cell>
          <cell r="J486">
            <v>0</v>
          </cell>
          <cell r="K486">
            <v>0</v>
          </cell>
          <cell r="L486">
            <v>0</v>
          </cell>
          <cell r="O486">
            <v>0</v>
          </cell>
          <cell r="P486">
            <v>0</v>
          </cell>
          <cell r="Q486" t="str">
            <v>07|25</v>
          </cell>
        </row>
        <row r="487">
          <cell r="E487" t="str">
            <v>6. TELECOMMUNICATIONS</v>
          </cell>
          <cell r="G487" t="str">
            <v>6. TELECOMMUNICATIONS</v>
          </cell>
          <cell r="H487">
            <v>0</v>
          </cell>
          <cell r="I487">
            <v>0</v>
          </cell>
          <cell r="J487">
            <v>0</v>
          </cell>
          <cell r="K487">
            <v>0</v>
          </cell>
          <cell r="L487">
            <v>0</v>
          </cell>
          <cell r="O487">
            <v>0</v>
          </cell>
          <cell r="P487">
            <v>0</v>
          </cell>
          <cell r="Q487" t="str">
            <v>07|26</v>
          </cell>
        </row>
        <row r="488">
          <cell r="E488" t="str">
            <v>6. TELECOMMUNICATIONS</v>
          </cell>
          <cell r="G488" t="str">
            <v>Room</v>
          </cell>
          <cell r="H488" t="str">
            <v>Rack Installed</v>
          </cell>
          <cell r="I488" t="str">
            <v>Ladder Tray</v>
          </cell>
          <cell r="J488" t="str">
            <v>Fiber Installed</v>
          </cell>
          <cell r="K488" t="str">
            <v>Grounding</v>
          </cell>
          <cell r="L488" t="str">
            <v>Labeling</v>
          </cell>
          <cell r="O488" t="str">
            <v>Overall</v>
          </cell>
          <cell r="P488" t="str">
            <v>Notes</v>
          </cell>
          <cell r="Q488" t="str">
            <v>07|27</v>
          </cell>
        </row>
        <row r="489">
          <cell r="E489" t="str">
            <v>6. TELECOMMUNICATIONS</v>
          </cell>
          <cell r="G489" t="str">
            <v>B-18</v>
          </cell>
          <cell r="H489" t="str">
            <v>Verify</v>
          </cell>
          <cell r="I489" t="str">
            <v>Verify</v>
          </cell>
          <cell r="J489" t="str">
            <v>Verify</v>
          </cell>
          <cell r="K489" t="str">
            <v>Verify</v>
          </cell>
          <cell r="L489" t="str">
            <v>Verify</v>
          </cell>
          <cell r="O489" t="str">
            <v>Verify</v>
          </cell>
          <cell r="P489" t="str">
            <v>07T-604 rack elevation: 1 rack plus future; includes UPS, future Zone PDU, cable managers, network switches, three 48-port Cat6A angled patch panels, 24-port Cat5E patch panel and Fiber LIU.</v>
          </cell>
          <cell r="Q489" t="str">
            <v>07|28</v>
          </cell>
        </row>
        <row r="490">
          <cell r="E490" t="str">
            <v>6. TELECOMMUNICATIONS</v>
          </cell>
          <cell r="G490" t="str">
            <v>228A</v>
          </cell>
          <cell r="H490" t="str">
            <v>Verify</v>
          </cell>
          <cell r="I490" t="str">
            <v>Verify</v>
          </cell>
          <cell r="J490" t="str">
            <v>Verify</v>
          </cell>
          <cell r="K490" t="str">
            <v>Verify</v>
          </cell>
          <cell r="L490" t="str">
            <v>Verify</v>
          </cell>
          <cell r="O490" t="str">
            <v>Verify</v>
          </cell>
          <cell r="P490" t="str">
            <v>TR 228A is shown on second-level telecom/electrical enlarged plans; verify rack elevation, fiber paths, Cat6A replacement, labeling/testing and VA acceptance before cutover.</v>
          </cell>
          <cell r="Q490" t="str">
            <v>07|29</v>
          </cell>
        </row>
        <row r="491">
          <cell r="E491" t="str">
            <v>6. TELECOMMUNICATIONS</v>
          </cell>
          <cell r="G491">
            <v>0</v>
          </cell>
          <cell r="H491">
            <v>0</v>
          </cell>
          <cell r="I491">
            <v>0</v>
          </cell>
          <cell r="J491">
            <v>0</v>
          </cell>
          <cell r="K491">
            <v>0</v>
          </cell>
          <cell r="L491">
            <v>0</v>
          </cell>
          <cell r="O491">
            <v>0</v>
          </cell>
          <cell r="P491">
            <v>0</v>
          </cell>
          <cell r="Q491" t="str">
            <v>07|30</v>
          </cell>
        </row>
        <row r="492">
          <cell r="E492" t="str">
            <v>7. SECURITY / PACS / CCTV</v>
          </cell>
          <cell r="G492" t="str">
            <v>7. SECURITY / PACS / CCTV</v>
          </cell>
          <cell r="H492">
            <v>0</v>
          </cell>
          <cell r="I492">
            <v>0</v>
          </cell>
          <cell r="J492">
            <v>0</v>
          </cell>
          <cell r="K492">
            <v>0</v>
          </cell>
          <cell r="L492">
            <v>0</v>
          </cell>
          <cell r="O492">
            <v>0</v>
          </cell>
          <cell r="P492">
            <v>0</v>
          </cell>
          <cell r="Q492" t="str">
            <v>07|31</v>
          </cell>
        </row>
        <row r="493">
          <cell r="E493" t="str">
            <v>7. SECURITY / PACS / CCTV</v>
          </cell>
          <cell r="G493" t="str">
            <v>Room</v>
          </cell>
          <cell r="H493" t="str">
            <v>PACS</v>
          </cell>
          <cell r="I493" t="str">
            <v>Card Reader</v>
          </cell>
          <cell r="J493" t="str">
            <v>Door Position</v>
          </cell>
          <cell r="K493" t="str">
            <v>Electric Strike</v>
          </cell>
          <cell r="L493" t="str">
            <v>CCTV</v>
          </cell>
          <cell r="O493" t="str">
            <v>Overall</v>
          </cell>
          <cell r="P493" t="str">
            <v>Notes</v>
          </cell>
          <cell r="Q493" t="str">
            <v>07|32</v>
          </cell>
        </row>
        <row r="494">
          <cell r="E494" t="str">
            <v>7. SECURITY / PACS / CCTV</v>
          </cell>
          <cell r="G494" t="str">
            <v>B-18</v>
          </cell>
          <cell r="H494" t="str">
            <v>Verify</v>
          </cell>
          <cell r="I494" t="str">
            <v>Verify</v>
          </cell>
          <cell r="J494" t="str">
            <v>Verify</v>
          </cell>
          <cell r="K494" t="str">
            <v>Verify</v>
          </cell>
          <cell r="L494" t="str">
            <v>Verify</v>
          </cell>
          <cell r="O494" t="str">
            <v>Verify</v>
          </cell>
          <cell r="P494" t="str">
            <v>Verify access control, door hardware and CCTV/PACS integration for basement TR.</v>
          </cell>
          <cell r="Q494" t="str">
            <v>07|33</v>
          </cell>
        </row>
        <row r="495">
          <cell r="E495" t="str">
            <v>7. SECURITY / PACS / CCTV</v>
          </cell>
          <cell r="G495" t="str">
            <v>228A</v>
          </cell>
          <cell r="H495" t="str">
            <v>Verify</v>
          </cell>
          <cell r="I495" t="str">
            <v>Verify</v>
          </cell>
          <cell r="J495" t="str">
            <v>Verify</v>
          </cell>
          <cell r="K495" t="str">
            <v>Verify</v>
          </cell>
          <cell r="L495" t="str">
            <v>Verify</v>
          </cell>
          <cell r="O495" t="str">
            <v>Verify</v>
          </cell>
          <cell r="P495" t="str">
            <v>Architectural notes require access control hardware modifications at new rated door; verify card reader, electric strike, door position switch, motion sensor and camera.</v>
          </cell>
          <cell r="Q495" t="str">
            <v>07|34</v>
          </cell>
        </row>
        <row r="496">
          <cell r="E496" t="str">
            <v>7. SECURITY / PACS / CCTV</v>
          </cell>
          <cell r="G496">
            <v>0</v>
          </cell>
          <cell r="H496">
            <v>0</v>
          </cell>
          <cell r="I496">
            <v>0</v>
          </cell>
          <cell r="J496">
            <v>0</v>
          </cell>
          <cell r="K496">
            <v>0</v>
          </cell>
          <cell r="L496">
            <v>0</v>
          </cell>
          <cell r="O496">
            <v>0</v>
          </cell>
          <cell r="P496">
            <v>0</v>
          </cell>
          <cell r="Q496" t="str">
            <v>07|35</v>
          </cell>
        </row>
        <row r="497">
          <cell r="E497" t="str">
            <v>8. OWNER RISKS</v>
          </cell>
          <cell r="G497" t="str">
            <v>8. OWNER RISKS</v>
          </cell>
          <cell r="H497">
            <v>0</v>
          </cell>
          <cell r="I497">
            <v>0</v>
          </cell>
          <cell r="J497">
            <v>0</v>
          </cell>
          <cell r="K497">
            <v>0</v>
          </cell>
          <cell r="L497">
            <v>0</v>
          </cell>
          <cell r="O497">
            <v>0</v>
          </cell>
          <cell r="P497">
            <v>0</v>
          </cell>
          <cell r="Q497" t="str">
            <v>07|36</v>
          </cell>
        </row>
        <row r="498">
          <cell r="E498" t="str">
            <v>8. OWNER RISKS</v>
          </cell>
          <cell r="G498" t="str">
            <v>Risk ID</v>
          </cell>
          <cell r="H498" t="str">
            <v>Room</v>
          </cell>
          <cell r="I498" t="str">
            <v>Risk</v>
          </cell>
          <cell r="J498" t="str">
            <v>Impact</v>
          </cell>
          <cell r="K498" t="str">
            <v>Probability</v>
          </cell>
          <cell r="L498" t="str">
            <v>Score</v>
          </cell>
          <cell r="O498" t="str">
            <v>Status</v>
          </cell>
          <cell r="P498" t="str">
            <v>Notes</v>
          </cell>
          <cell r="Q498" t="str">
            <v>07|37</v>
          </cell>
        </row>
        <row r="499">
          <cell r="E499" t="str">
            <v>8. OWNER RISKS</v>
          </cell>
          <cell r="G499" t="str">
            <v>B07-R1</v>
          </cell>
          <cell r="H499" t="str">
            <v>All</v>
          </cell>
          <cell r="I499" t="str">
            <v>Existing conditions for B-18 and 228A not field verified</v>
          </cell>
          <cell r="J499" t="str">
            <v>High</v>
          </cell>
          <cell r="K499" t="str">
            <v>Medium</v>
          </cell>
          <cell r="L499">
            <v>6</v>
          </cell>
          <cell r="O499" t="str">
            <v>Open</v>
          </cell>
          <cell r="P499" t="str">
            <v>B07 includes basement and second-floor TR scope.</v>
          </cell>
          <cell r="Q499" t="str">
            <v>07|38</v>
          </cell>
        </row>
        <row r="500">
          <cell r="E500" t="str">
            <v>8. OWNER RISKS</v>
          </cell>
          <cell r="G500" t="str">
            <v>B07-R2</v>
          </cell>
          <cell r="H500" t="str">
            <v>B-18</v>
          </cell>
          <cell r="I500" t="str">
            <v>Basement TR conversion may conflict with existing utilities, office finishes or active pathways</v>
          </cell>
          <cell r="J500" t="str">
            <v>High</v>
          </cell>
          <cell r="K500" t="str">
            <v>Medium</v>
          </cell>
          <cell r="L500">
            <v>6</v>
          </cell>
          <cell r="O500" t="str">
            <v>Open</v>
          </cell>
          <cell r="P500" t="str">
            <v>Basement B-18 shown on rack elevation and electrical enlarged plans.</v>
          </cell>
          <cell r="Q500" t="str">
            <v>07|39</v>
          </cell>
        </row>
        <row r="501">
          <cell r="E501" t="str">
            <v>8. OWNER RISKS</v>
          </cell>
          <cell r="G501" t="str">
            <v>B07-R3</v>
          </cell>
          <cell r="H501" t="str">
            <v>228A</v>
          </cell>
          <cell r="I501" t="str">
            <v>Second-floor rated wall/door work and exterior furring wall/window enclosure could affect schedule</v>
          </cell>
          <cell r="J501" t="str">
            <v>High</v>
          </cell>
          <cell r="K501" t="str">
            <v>Medium</v>
          </cell>
          <cell r="L501">
            <v>6</v>
          </cell>
          <cell r="O501" t="str">
            <v>Open</v>
          </cell>
          <cell r="P501" t="str">
            <v>07A-401 notes include 45-minute rated door and new furring wall at exterior wall.</v>
          </cell>
          <cell r="Q501" t="str">
            <v>07|40</v>
          </cell>
        </row>
        <row r="502">
          <cell r="E502" t="str">
            <v>8. OWNER RISKS</v>
          </cell>
          <cell r="G502" t="str">
            <v>B07-R4</v>
          </cell>
          <cell r="H502" t="str">
            <v>B-18/228A</v>
          </cell>
          <cell r="I502" t="str">
            <v>Dedicated cooling emergency power, controls, condensate and high-temp alarms not verified</v>
          </cell>
          <cell r="J502" t="str">
            <v>Critical</v>
          </cell>
          <cell r="K502" t="str">
            <v>Medium</v>
          </cell>
          <cell r="L502">
            <v>8</v>
          </cell>
          <cell r="O502" t="str">
            <v>Open</v>
          </cell>
          <cell r="P502" t="str">
            <v>IU-0-01/CU-0-01 and IU-2-01/CU-2-01 schedules.</v>
          </cell>
          <cell r="Q502" t="str">
            <v>07|41</v>
          </cell>
        </row>
        <row r="503">
          <cell r="E503" t="str">
            <v>8. OWNER RISKS</v>
          </cell>
          <cell r="G503" t="str">
            <v>B07-R5</v>
          </cell>
          <cell r="H503" t="str">
            <v>All</v>
          </cell>
          <cell r="I503" t="str">
            <v>Electrical panel/circuit source and rack load coordination unresolved</v>
          </cell>
          <cell r="J503" t="str">
            <v>High</v>
          </cell>
          <cell r="K503" t="str">
            <v>Medium</v>
          </cell>
          <cell r="L503">
            <v>6</v>
          </cell>
          <cell r="O503" t="str">
            <v>Open</v>
          </cell>
          <cell r="P503" t="str">
            <v>Electrical enlarged plans identify panel/circuit references.</v>
          </cell>
          <cell r="Q503" t="str">
            <v>07|42</v>
          </cell>
        </row>
        <row r="504">
          <cell r="E504" t="str">
            <v>8. OWNER RISKS</v>
          </cell>
          <cell r="G504" t="str">
            <v>B07-R6</v>
          </cell>
          <cell r="H504" t="str">
            <v>All</v>
          </cell>
          <cell r="I504" t="str">
            <v>Telecom/fiber cutover may affect active hospital communications</v>
          </cell>
          <cell r="J504" t="str">
            <v>Critical</v>
          </cell>
          <cell r="K504" t="str">
            <v>Medium</v>
          </cell>
          <cell r="L504">
            <v>8</v>
          </cell>
          <cell r="O504" t="str">
            <v>Open</v>
          </cell>
          <cell r="P504" t="str">
            <v>All cabling must be tested, approved and accepted before connecting to active operations.</v>
          </cell>
          <cell r="Q504" t="str">
            <v>07|43</v>
          </cell>
        </row>
        <row r="505">
          <cell r="E505" t="str">
            <v>8. OWNER RISKS</v>
          </cell>
          <cell r="G505" t="str">
            <v>B07-R7</v>
          </cell>
          <cell r="H505" t="str">
            <v>All</v>
          </cell>
          <cell r="I505" t="str">
            <v>Fire alarm/sprinkler impairments and firestopping could affect occupied operations</v>
          </cell>
          <cell r="J505" t="str">
            <v>Critical</v>
          </cell>
          <cell r="K505" t="str">
            <v>Medium</v>
          </cell>
          <cell r="L505">
            <v>8</v>
          </cell>
          <cell r="O505" t="str">
            <v>Open</v>
          </cell>
          <cell r="P505" t="str">
            <v>Shutdowns limited one at a time campus-wide.</v>
          </cell>
          <cell r="Q505" t="str">
            <v>07|44</v>
          </cell>
        </row>
        <row r="506">
          <cell r="E506" t="str">
            <v>8. OWNER RISKS</v>
          </cell>
          <cell r="G506" t="str">
            <v>B07-R8</v>
          </cell>
          <cell r="H506" t="str">
            <v>All</v>
          </cell>
          <cell r="I506" t="str">
            <v>Commissioning/third-party inspection reports may not be complete at turnover</v>
          </cell>
          <cell r="J506" t="str">
            <v>High</v>
          </cell>
          <cell r="K506" t="str">
            <v>Medium</v>
          </cell>
          <cell r="L506">
            <v>6</v>
          </cell>
          <cell r="O506" t="str">
            <v>Open</v>
          </cell>
          <cell r="P506" t="str">
            <v>Required by cover/general notes.</v>
          </cell>
          <cell r="Q506" t="str">
            <v>07|45</v>
          </cell>
        </row>
        <row r="507">
          <cell r="E507" t="str">
            <v>8. OWNER RISKS</v>
          </cell>
          <cell r="G507">
            <v>0</v>
          </cell>
          <cell r="H507">
            <v>0</v>
          </cell>
          <cell r="I507">
            <v>0</v>
          </cell>
          <cell r="J507">
            <v>0</v>
          </cell>
          <cell r="K507">
            <v>0</v>
          </cell>
          <cell r="L507">
            <v>0</v>
          </cell>
          <cell r="O507">
            <v>0</v>
          </cell>
          <cell r="P507">
            <v>0</v>
          </cell>
          <cell r="Q507" t="str">
            <v>07|46</v>
          </cell>
        </row>
        <row r="508">
          <cell r="E508" t="str">
            <v>9. OPEN QUESTIONS</v>
          </cell>
          <cell r="G508" t="str">
            <v>9. OPEN QUESTIONS</v>
          </cell>
          <cell r="H508">
            <v>0</v>
          </cell>
          <cell r="I508">
            <v>0</v>
          </cell>
          <cell r="J508">
            <v>0</v>
          </cell>
          <cell r="K508">
            <v>0</v>
          </cell>
          <cell r="L508">
            <v>0</v>
          </cell>
          <cell r="O508">
            <v>0</v>
          </cell>
          <cell r="P508">
            <v>0</v>
          </cell>
          <cell r="Q508" t="str">
            <v>07|47</v>
          </cell>
        </row>
        <row r="509">
          <cell r="E509" t="str">
            <v>9. OPEN QUESTIONS</v>
          </cell>
          <cell r="G509" t="str">
            <v>Question ID</v>
          </cell>
          <cell r="H509" t="str">
            <v>Question</v>
          </cell>
          <cell r="I509" t="str">
            <v>Assigned To</v>
          </cell>
          <cell r="J509" t="str">
            <v>Status</v>
          </cell>
          <cell r="K509" t="str">
            <v>Needed By</v>
          </cell>
          <cell r="L509" t="str">
            <v>Answer / Resolution</v>
          </cell>
          <cell r="O509" t="str">
            <v>Date Closed</v>
          </cell>
          <cell r="P509" t="str">
            <v>Notes</v>
          </cell>
          <cell r="Q509" t="str">
            <v>07|48</v>
          </cell>
        </row>
        <row r="510">
          <cell r="E510" t="str">
            <v>9. OPEN QUESTIONS</v>
          </cell>
          <cell r="G510" t="str">
            <v>B07-Q1</v>
          </cell>
          <cell r="H510" t="str">
            <v>Confirm final TR scope: B-18 basement and 228A second floor only?</v>
          </cell>
          <cell r="I510" t="str">
            <v>VA / OIT / Designer</v>
          </cell>
          <cell r="J510" t="str">
            <v>Open</v>
          </cell>
          <cell r="K510">
            <v>0</v>
          </cell>
          <cell r="L510">
            <v>0</v>
          </cell>
          <cell r="O510">
            <v>0</v>
          </cell>
          <cell r="P510">
            <v>0</v>
          </cell>
          <cell r="Q510" t="str">
            <v>07|49</v>
          </cell>
        </row>
        <row r="511">
          <cell r="E511" t="str">
            <v>9. OPEN QUESTIONS</v>
          </cell>
          <cell r="G511" t="str">
            <v>B07-Q2</v>
          </cell>
          <cell r="H511" t="str">
            <v>Are IU-0-01/CU-0-01 assigned to B-18 and IU-2-01/CU-2-01 assigned to 228A?</v>
          </cell>
          <cell r="I511" t="str">
            <v>Mechanical / Designer</v>
          </cell>
          <cell r="J511" t="str">
            <v>Open</v>
          </cell>
          <cell r="K511">
            <v>0</v>
          </cell>
          <cell r="L511">
            <v>0</v>
          </cell>
          <cell r="O511">
            <v>0</v>
          </cell>
          <cell r="P511">
            <v>0</v>
          </cell>
          <cell r="Q511" t="str">
            <v>07|50</v>
          </cell>
        </row>
        <row r="512">
          <cell r="E512" t="str">
            <v>9. OPEN QUESTIONS</v>
          </cell>
          <cell r="G512" t="str">
            <v>B07-Q3</v>
          </cell>
          <cell r="H512" t="str">
            <v>Are cooling units and controls on emergency/backup power?</v>
          </cell>
          <cell r="I512" t="str">
            <v>Mechanical / Electrical / VA</v>
          </cell>
          <cell r="J512" t="str">
            <v>Open</v>
          </cell>
          <cell r="K512">
            <v>0</v>
          </cell>
          <cell r="L512">
            <v>0</v>
          </cell>
          <cell r="O512">
            <v>0</v>
          </cell>
          <cell r="P512">
            <v>0</v>
          </cell>
          <cell r="Q512" t="str">
            <v>07|51</v>
          </cell>
        </row>
        <row r="513">
          <cell r="E513" t="str">
            <v>9. OPEN QUESTIONS</v>
          </cell>
          <cell r="G513" t="str">
            <v>B07-Q4</v>
          </cell>
          <cell r="H513" t="str">
            <v>Where are clean-agent/CO2 extinguisher cabinets located within 75 ft of each TR?</v>
          </cell>
          <cell r="I513" t="str">
            <v>GC / COR</v>
          </cell>
          <cell r="J513" t="str">
            <v>Open</v>
          </cell>
          <cell r="K513">
            <v>0</v>
          </cell>
          <cell r="L513">
            <v>0</v>
          </cell>
          <cell r="O513">
            <v>0</v>
          </cell>
          <cell r="P513">
            <v>0</v>
          </cell>
          <cell r="Q513" t="str">
            <v>07|52</v>
          </cell>
        </row>
        <row r="514">
          <cell r="E514" t="str">
            <v>9. OPEN QUESTIONS</v>
          </cell>
          <cell r="G514" t="str">
            <v>B07-Q5</v>
          </cell>
          <cell r="H514" t="str">
            <v>What active services are currently fed from B-18 and/or existing pathways serving 228A?</v>
          </cell>
          <cell r="I514" t="str">
            <v>OIT / Contractor</v>
          </cell>
          <cell r="J514" t="str">
            <v>Open</v>
          </cell>
          <cell r="K514">
            <v>0</v>
          </cell>
          <cell r="L514">
            <v>0</v>
          </cell>
          <cell r="O514">
            <v>0</v>
          </cell>
          <cell r="P514">
            <v>0</v>
          </cell>
          <cell r="Q514" t="str">
            <v>07|53</v>
          </cell>
        </row>
        <row r="515">
          <cell r="E515" t="str">
            <v>9. OPEN QUESTIONS</v>
          </cell>
          <cell r="G515" t="str">
            <v>B07-Q6</v>
          </cell>
          <cell r="H515" t="str">
            <v>Are all B07 panelboard sources, circuits, SPDs, labels and load measurements approved?</v>
          </cell>
          <cell r="I515" t="str">
            <v>Electrical / Designer</v>
          </cell>
          <cell r="J515" t="str">
            <v>Open</v>
          </cell>
          <cell r="K515">
            <v>0</v>
          </cell>
          <cell r="L515">
            <v>0</v>
          </cell>
          <cell r="O515">
            <v>0</v>
          </cell>
          <cell r="P515">
            <v>0</v>
          </cell>
          <cell r="Q515" t="str">
            <v>07|54</v>
          </cell>
        </row>
        <row r="516">
          <cell r="E516" t="str">
            <v>9. OPEN QUESTIONS</v>
          </cell>
          <cell r="G516" t="str">
            <v>B07-Q7</v>
          </cell>
          <cell r="H516" t="str">
            <v>Are all rated wall/floor penetrations, sleeves and firestopping identified?</v>
          </cell>
          <cell r="I516" t="str">
            <v>GC / Firestop</v>
          </cell>
          <cell r="J516" t="str">
            <v>Open</v>
          </cell>
          <cell r="K516">
            <v>0</v>
          </cell>
          <cell r="L516">
            <v>0</v>
          </cell>
          <cell r="O516">
            <v>0</v>
          </cell>
          <cell r="P516">
            <v>0</v>
          </cell>
          <cell r="Q516" t="str">
            <v>07|55</v>
          </cell>
        </row>
        <row r="517">
          <cell r="E517" t="str">
            <v>9. OPEN QUESTIONS</v>
          </cell>
          <cell r="G517" t="str">
            <v>B07-Q8</v>
          </cell>
          <cell r="H517" t="str">
            <v>Which third-party inspections and commissioning forms are required before VA acceptance?</v>
          </cell>
          <cell r="I517" t="str">
            <v>GC / Cx Manager</v>
          </cell>
          <cell r="J517" t="str">
            <v>Open</v>
          </cell>
          <cell r="K517">
            <v>0</v>
          </cell>
          <cell r="L517">
            <v>0</v>
          </cell>
          <cell r="O517">
            <v>0</v>
          </cell>
          <cell r="P517">
            <v>0</v>
          </cell>
          <cell r="Q517" t="str">
            <v>07|56</v>
          </cell>
        </row>
        <row r="518">
          <cell r="E518" t="str">
            <v>9. OPEN QUESTIONS</v>
          </cell>
          <cell r="G518">
            <v>0</v>
          </cell>
          <cell r="H518">
            <v>0</v>
          </cell>
          <cell r="I518">
            <v>0</v>
          </cell>
          <cell r="J518">
            <v>0</v>
          </cell>
          <cell r="K518">
            <v>0</v>
          </cell>
          <cell r="L518">
            <v>0</v>
          </cell>
          <cell r="O518">
            <v>0</v>
          </cell>
          <cell r="P518">
            <v>0</v>
          </cell>
          <cell r="Q518" t="str">
            <v>07|57</v>
          </cell>
        </row>
        <row r="519">
          <cell r="E519" t="str">
            <v>10. PHOTO LOG</v>
          </cell>
          <cell r="G519" t="str">
            <v>10. PHOTO LOG</v>
          </cell>
          <cell r="H519">
            <v>0</v>
          </cell>
          <cell r="I519">
            <v>0</v>
          </cell>
          <cell r="J519">
            <v>0</v>
          </cell>
          <cell r="K519">
            <v>0</v>
          </cell>
          <cell r="L519">
            <v>0</v>
          </cell>
          <cell r="O519">
            <v>0</v>
          </cell>
          <cell r="P519">
            <v>0</v>
          </cell>
          <cell r="Q519" t="str">
            <v>07|58</v>
          </cell>
        </row>
        <row r="520">
          <cell r="E520" t="str">
            <v>10. PHOTO LOG</v>
          </cell>
          <cell r="G520" t="str">
            <v>Photo ID</v>
          </cell>
          <cell r="H520" t="str">
            <v>Room</v>
          </cell>
          <cell r="I520" t="str">
            <v>Category</v>
          </cell>
          <cell r="J520" t="str">
            <v>Description</v>
          </cell>
          <cell r="K520" t="str">
            <v>Date</v>
          </cell>
          <cell r="L520" t="str">
            <v>Taken By</v>
          </cell>
          <cell r="O520" t="str">
            <v>Status</v>
          </cell>
          <cell r="P520" t="str">
            <v>Notes</v>
          </cell>
          <cell r="Q520" t="str">
            <v>07|59</v>
          </cell>
        </row>
        <row r="521">
          <cell r="E521" t="str">
            <v>10. PHOTO LOG</v>
          </cell>
          <cell r="G521" t="str">
            <v>B07-P001</v>
          </cell>
          <cell r="H521" t="str">
            <v>B-18</v>
          </cell>
          <cell r="I521" t="str">
            <v>Existing Condition</v>
          </cell>
          <cell r="J521" t="str">
            <v>Basement TR B-18 existing room, walls, ceiling, floor, utilities, penetrations and pathway</v>
          </cell>
          <cell r="K521">
            <v>0</v>
          </cell>
          <cell r="L521" t="str">
            <v>Paul</v>
          </cell>
          <cell r="O521" t="str">
            <v>Open</v>
          </cell>
          <cell r="P521">
            <v>0</v>
          </cell>
          <cell r="Q521" t="str">
            <v>07|60</v>
          </cell>
        </row>
        <row r="522">
          <cell r="E522" t="str">
            <v>10. PHOTO LOG</v>
          </cell>
          <cell r="G522" t="str">
            <v>B07-P002</v>
          </cell>
          <cell r="H522" t="str">
            <v>228A</v>
          </cell>
          <cell r="I522" t="str">
            <v>Existing Condition</v>
          </cell>
          <cell r="J522" t="str">
            <v>Second-floor TR 228A, door/wall/furring/window conditions, adjacent spaces and pathway</v>
          </cell>
          <cell r="K522">
            <v>0</v>
          </cell>
          <cell r="L522" t="str">
            <v>Paul</v>
          </cell>
          <cell r="O522" t="str">
            <v>Open</v>
          </cell>
          <cell r="P522">
            <v>0</v>
          </cell>
          <cell r="Q522" t="str">
            <v>07|61</v>
          </cell>
        </row>
        <row r="523">
          <cell r="E523" t="str">
            <v>10. PHOTO LOG</v>
          </cell>
          <cell r="G523" t="str">
            <v>B07-P003</v>
          </cell>
          <cell r="H523" t="str">
            <v>All</v>
          </cell>
          <cell r="I523" t="str">
            <v>Firestop</v>
          </cell>
          <cell r="J523" t="str">
            <v>All wall/floor/sleeve/tray penetrations before and after firestop</v>
          </cell>
          <cell r="K523">
            <v>0</v>
          </cell>
          <cell r="L523" t="str">
            <v>Paul</v>
          </cell>
          <cell r="O523" t="str">
            <v>Open</v>
          </cell>
          <cell r="P523">
            <v>0</v>
          </cell>
          <cell r="Q523" t="str">
            <v>07|62</v>
          </cell>
        </row>
        <row r="524">
          <cell r="E524" t="str">
            <v>10. PHOTO LOG</v>
          </cell>
          <cell r="G524" t="str">
            <v>B07-P004</v>
          </cell>
          <cell r="H524" t="str">
            <v>B-18/228A</v>
          </cell>
          <cell r="I524" t="str">
            <v>HVAC</v>
          </cell>
          <cell r="J524" t="str">
            <v>IU/CU units, condensate, thermostat, BACnet adapter, disconnects, high-temp alarm and power source</v>
          </cell>
          <cell r="K524">
            <v>0</v>
          </cell>
          <cell r="L524" t="str">
            <v>Paul</v>
          </cell>
          <cell r="O524" t="str">
            <v>Open</v>
          </cell>
          <cell r="P524">
            <v>0</v>
          </cell>
          <cell r="Q524" t="str">
            <v>07|63</v>
          </cell>
        </row>
        <row r="525">
          <cell r="E525" t="str">
            <v>10. PHOTO LOG</v>
          </cell>
          <cell r="G525" t="str">
            <v>B07-P005</v>
          </cell>
          <cell r="H525" t="str">
            <v>All</v>
          </cell>
          <cell r="I525" t="str">
            <v>Electrical</v>
          </cell>
          <cell r="J525" t="str">
            <v>B07-TRB18A/B and B07-TR228A/B panels, breakers, SPD, rack receptacles and labels</v>
          </cell>
          <cell r="K525">
            <v>0</v>
          </cell>
          <cell r="L525" t="str">
            <v>Paul</v>
          </cell>
          <cell r="O525" t="str">
            <v>Open</v>
          </cell>
          <cell r="P525">
            <v>0</v>
          </cell>
          <cell r="Q525" t="str">
            <v>07|64</v>
          </cell>
        </row>
        <row r="526">
          <cell r="E526" t="str">
            <v>10. PHOTO LOG</v>
          </cell>
          <cell r="G526" t="str">
            <v>B07-P006</v>
          </cell>
          <cell r="H526" t="str">
            <v>All</v>
          </cell>
          <cell r="I526" t="str">
            <v>Telecom</v>
          </cell>
          <cell r="J526" t="str">
            <v>Racks, ladder tray, fiber, Cat6A, patch panels, LIU, labels and test records</v>
          </cell>
          <cell r="K526">
            <v>0</v>
          </cell>
          <cell r="L526" t="str">
            <v>Paul</v>
          </cell>
          <cell r="O526" t="str">
            <v>Open</v>
          </cell>
          <cell r="P526">
            <v>0</v>
          </cell>
          <cell r="Q526" t="str">
            <v>07|65</v>
          </cell>
        </row>
        <row r="527">
          <cell r="E527" t="str">
            <v>10. PHOTO LOG</v>
          </cell>
          <cell r="G527" t="str">
            <v>B07-P007</v>
          </cell>
          <cell r="H527" t="str">
            <v>All</v>
          </cell>
          <cell r="I527" t="str">
            <v>Security</v>
          </cell>
          <cell r="J527" t="str">
            <v>Card reader, electric strike, door position, CCTV/PACS and motion sensors</v>
          </cell>
          <cell r="K527">
            <v>0</v>
          </cell>
          <cell r="L527" t="str">
            <v>Paul</v>
          </cell>
          <cell r="O527" t="str">
            <v>Open</v>
          </cell>
          <cell r="P527">
            <v>0</v>
          </cell>
          <cell r="Q527" t="str">
            <v>07|66</v>
          </cell>
        </row>
        <row r="528">
          <cell r="E528" t="str">
            <v>10. PHOTO LOG</v>
          </cell>
          <cell r="G528">
            <v>0</v>
          </cell>
          <cell r="H528">
            <v>0</v>
          </cell>
          <cell r="I528">
            <v>0</v>
          </cell>
          <cell r="J528">
            <v>0</v>
          </cell>
          <cell r="K528">
            <v>0</v>
          </cell>
          <cell r="L528">
            <v>0</v>
          </cell>
          <cell r="O528">
            <v>0</v>
          </cell>
          <cell r="P528">
            <v>0</v>
          </cell>
          <cell r="Q528" t="str">
            <v>07|67</v>
          </cell>
        </row>
        <row r="529">
          <cell r="E529" t="str">
            <v>1. ROOM INVENTORY</v>
          </cell>
          <cell r="G529" t="str">
            <v>1. ROOM INVENTORY</v>
          </cell>
          <cell r="H529">
            <v>0</v>
          </cell>
          <cell r="I529">
            <v>0</v>
          </cell>
          <cell r="J529">
            <v>0</v>
          </cell>
          <cell r="K529">
            <v>0</v>
          </cell>
          <cell r="L529">
            <v>0</v>
          </cell>
          <cell r="O529">
            <v>0</v>
          </cell>
          <cell r="P529">
            <v>0</v>
          </cell>
          <cell r="Q529" t="str">
            <v>08|1</v>
          </cell>
        </row>
        <row r="530">
          <cell r="E530" t="str">
            <v>1. ROOM INVENTORY</v>
          </cell>
          <cell r="G530" t="str">
            <v>Building</v>
          </cell>
          <cell r="H530" t="str">
            <v>Room</v>
          </cell>
          <cell r="I530" t="str">
            <v>Floor</v>
          </cell>
          <cell r="J530" t="str">
            <v>Existing Use</v>
          </cell>
          <cell r="K530" t="str">
            <v>New Use</v>
          </cell>
          <cell r="L530" t="str">
            <v>Rack Count</v>
          </cell>
          <cell r="O530" t="str">
            <v>Drawing Ref</v>
          </cell>
          <cell r="P530" t="str">
            <v>Notes</v>
          </cell>
          <cell r="Q530" t="str">
            <v>08|2</v>
          </cell>
        </row>
        <row r="531">
          <cell r="E531" t="str">
            <v>1. ROOM INVENTORY</v>
          </cell>
          <cell r="G531" t="str">
            <v>08</v>
          </cell>
          <cell r="H531" t="str">
            <v>B-15</v>
          </cell>
          <cell r="I531" t="str">
            <v>Basement</v>
          </cell>
          <cell r="J531" t="str">
            <v>Existing wall/wall-mounted TE and floor UPS</v>
          </cell>
          <cell r="K531" t="str">
            <v>Existing equipment / transition point</v>
          </cell>
          <cell r="L531">
            <v>2</v>
          </cell>
          <cell r="O531" t="str">
            <v>08T-604</v>
          </cell>
          <cell r="P531" t="str">
            <v>Existing rack elevation identifies Building 08 basement Room B-15 with wall/wall-mounted TE, legacy patch panels, legacy Fiber LIU, and floor UPS.</v>
          </cell>
          <cell r="Q531" t="str">
            <v>08|3</v>
          </cell>
        </row>
        <row r="532">
          <cell r="E532" t="str">
            <v>1. ROOM INVENTORY</v>
          </cell>
          <cell r="G532" t="str">
            <v>08</v>
          </cell>
          <cell r="H532" t="str">
            <v>B12B</v>
          </cell>
          <cell r="I532" t="str">
            <v>Basement</v>
          </cell>
          <cell r="J532" t="str">
            <v>Office / basement cabling area</v>
          </cell>
          <cell r="K532" t="str">
            <v>Telecom enclosure / TE cabling service area</v>
          </cell>
          <cell r="L532">
            <v>1</v>
          </cell>
          <cell r="O532" t="str">
            <v>08A-401 / 08E-701 / 08T-701</v>
          </cell>
          <cell r="P532" t="str">
            <v>Door schedule identifies B12B as Office with 45-minute door; telecom schedule and electrical schedule reference TE01-B12B-1 and TE receptacle Room B12B. Field verify actual TE/equipment scope.</v>
          </cell>
          <cell r="Q532" t="str">
            <v>08|4</v>
          </cell>
        </row>
        <row r="533">
          <cell r="E533" t="str">
            <v>1. ROOM INVENTORY</v>
          </cell>
          <cell r="G533" t="str">
            <v>08</v>
          </cell>
          <cell r="H533" t="str">
            <v>2065A</v>
          </cell>
          <cell r="I533" t="str">
            <v>Second</v>
          </cell>
          <cell r="J533" t="str">
            <v>Existing copy/office/storage area converted</v>
          </cell>
          <cell r="K533" t="str">
            <v>Telecom Room</v>
          </cell>
          <cell r="L533">
            <v>2</v>
          </cell>
          <cell r="O533" t="str">
            <v>08A-401 / 08E-701 / 08T-604 / 08M-701</v>
          </cell>
          <cell r="P533" t="str">
            <v>Telecom Room 2065A, 127 SF; new rack elevation shows two 4-post floor racks, UPS, Zone PDU, network switches, Cat6A patch panels, Cat5E patch panel and Fiber LIU.</v>
          </cell>
          <cell r="Q533" t="str">
            <v>08|5</v>
          </cell>
        </row>
        <row r="534">
          <cell r="E534" t="str">
            <v>1. ROOM INVENTORY</v>
          </cell>
          <cell r="G534">
            <v>0</v>
          </cell>
          <cell r="H534">
            <v>0</v>
          </cell>
          <cell r="I534">
            <v>0</v>
          </cell>
          <cell r="J534">
            <v>0</v>
          </cell>
          <cell r="K534">
            <v>0</v>
          </cell>
          <cell r="L534">
            <v>0</v>
          </cell>
          <cell r="O534">
            <v>0</v>
          </cell>
          <cell r="P534">
            <v>0</v>
          </cell>
          <cell r="Q534" t="str">
            <v>08|6</v>
          </cell>
        </row>
        <row r="535">
          <cell r="E535" t="str">
            <v>2. ROOM READINESS</v>
          </cell>
          <cell r="G535" t="str">
            <v>2. ROOM READINESS</v>
          </cell>
          <cell r="H535">
            <v>0</v>
          </cell>
          <cell r="I535">
            <v>0</v>
          </cell>
          <cell r="J535">
            <v>0</v>
          </cell>
          <cell r="K535">
            <v>0</v>
          </cell>
          <cell r="L535">
            <v>0</v>
          </cell>
          <cell r="O535">
            <v>0</v>
          </cell>
          <cell r="P535">
            <v>0</v>
          </cell>
          <cell r="Q535" t="str">
            <v>08|7</v>
          </cell>
        </row>
        <row r="536">
          <cell r="E536" t="str">
            <v>2. ROOM READINESS</v>
          </cell>
          <cell r="G536" t="str">
            <v>Room</v>
          </cell>
          <cell r="H536" t="str">
            <v>Walls / 1-hr Rating</v>
          </cell>
          <cell r="I536" t="str">
            <v>Ceiling</v>
          </cell>
          <cell r="J536" t="str">
            <v>Floor / SDC</v>
          </cell>
          <cell r="K536" t="str">
            <v>Penetrations</v>
          </cell>
          <cell r="L536" t="str">
            <v>Access Control</v>
          </cell>
          <cell r="O536" t="str">
            <v>Overall</v>
          </cell>
          <cell r="P536" t="str">
            <v>Comments</v>
          </cell>
          <cell r="Q536" t="str">
            <v>08|8</v>
          </cell>
        </row>
        <row r="537">
          <cell r="E537" t="str">
            <v>2. ROOM READINESS</v>
          </cell>
          <cell r="G537" t="str">
            <v>B-15</v>
          </cell>
          <cell r="H537" t="str">
            <v>Verify</v>
          </cell>
          <cell r="I537" t="str">
            <v>Verify</v>
          </cell>
          <cell r="J537" t="str">
            <v>Verify</v>
          </cell>
          <cell r="K537" t="str">
            <v>Verify</v>
          </cell>
          <cell r="L537" t="str">
            <v>Verify</v>
          </cell>
          <cell r="O537" t="str">
            <v>Verify</v>
          </cell>
          <cell r="P537" t="str">
            <v>Existing basement telecom equipment; protect active services and verify legacy equipment status.</v>
          </cell>
          <cell r="Q537" t="str">
            <v>08|9</v>
          </cell>
        </row>
        <row r="538">
          <cell r="E538" t="str">
            <v>2. ROOM READINESS</v>
          </cell>
          <cell r="G538" t="str">
            <v>B12B</v>
          </cell>
          <cell r="H538" t="str">
            <v>Verify</v>
          </cell>
          <cell r="I538" t="str">
            <v>Verify</v>
          </cell>
          <cell r="J538" t="str">
            <v>Verify</v>
          </cell>
          <cell r="K538" t="str">
            <v>Verify</v>
          </cell>
          <cell r="L538" t="str">
            <v>Verify</v>
          </cell>
          <cell r="O538" t="str">
            <v>Verify</v>
          </cell>
          <cell r="P538" t="str">
            <v>Basement Office/TE area; verify wall/door rating, pathways, outlet/panel scope, firestopping and actual TE location.</v>
          </cell>
          <cell r="Q538" t="str">
            <v>08|10</v>
          </cell>
        </row>
        <row r="539">
          <cell r="E539" t="str">
            <v>2. ROOM READINESS</v>
          </cell>
          <cell r="G539" t="str">
            <v>2065A</v>
          </cell>
          <cell r="H539" t="str">
            <v>Verify</v>
          </cell>
          <cell r="I539" t="str">
            <v>Verify</v>
          </cell>
          <cell r="J539" t="str">
            <v>Verify</v>
          </cell>
          <cell r="K539" t="str">
            <v>Verify</v>
          </cell>
          <cell r="L539" t="str">
            <v>Verify</v>
          </cell>
          <cell r="O539" t="str">
            <v>Verify</v>
          </cell>
          <cell r="P539" t="str">
            <v>New Telecom Room; verify 1-hour fire/smoke-rated room, 45-minute door/frame, open-to-deck construction, static-dissipative floor sealer, clearances and equipment layout.</v>
          </cell>
          <cell r="Q539" t="str">
            <v>08|11</v>
          </cell>
        </row>
        <row r="540">
          <cell r="E540" t="str">
            <v>2. ROOM READINESS</v>
          </cell>
          <cell r="G540">
            <v>0</v>
          </cell>
          <cell r="H540">
            <v>0</v>
          </cell>
          <cell r="I540">
            <v>0</v>
          </cell>
          <cell r="J540">
            <v>0</v>
          </cell>
          <cell r="K540">
            <v>0</v>
          </cell>
          <cell r="L540">
            <v>0</v>
          </cell>
          <cell r="O540">
            <v>0</v>
          </cell>
          <cell r="P540">
            <v>0</v>
          </cell>
          <cell r="Q540" t="str">
            <v>08|12</v>
          </cell>
        </row>
        <row r="541">
          <cell r="E541" t="str">
            <v>3. FIRE PROTECTION</v>
          </cell>
          <cell r="G541" t="str">
            <v>3. FIRE PROTECTION</v>
          </cell>
          <cell r="H541">
            <v>0</v>
          </cell>
          <cell r="I541">
            <v>0</v>
          </cell>
          <cell r="J541">
            <v>0</v>
          </cell>
          <cell r="K541">
            <v>0</v>
          </cell>
          <cell r="L541">
            <v>0</v>
          </cell>
          <cell r="O541">
            <v>0</v>
          </cell>
          <cell r="P541">
            <v>0</v>
          </cell>
          <cell r="Q541" t="str">
            <v>08|13</v>
          </cell>
        </row>
        <row r="542">
          <cell r="E542" t="str">
            <v>3. FIRE PROTECTION</v>
          </cell>
          <cell r="G542" t="str">
            <v>Room</v>
          </cell>
          <cell r="H542" t="str">
            <v>Sprinkler</v>
          </cell>
          <cell r="I542" t="str">
            <v>Cage</v>
          </cell>
          <cell r="J542" t="str">
            <v>Detector</v>
          </cell>
          <cell r="K542" t="str">
            <v>Horn/Strobe</v>
          </cell>
          <cell r="L542" t="str">
            <v>Extinguisher &lt;75 ft</v>
          </cell>
          <cell r="O542" t="str">
            <v>Overall</v>
          </cell>
          <cell r="P542" t="str">
            <v>Risk / Notes</v>
          </cell>
          <cell r="Q542" t="str">
            <v>08|14</v>
          </cell>
        </row>
        <row r="543">
          <cell r="E543" t="str">
            <v>3. FIRE PROTECTION</v>
          </cell>
          <cell r="G543" t="str">
            <v>B-15</v>
          </cell>
          <cell r="H543" t="str">
            <v>Verify</v>
          </cell>
          <cell r="I543" t="str">
            <v>N/A</v>
          </cell>
          <cell r="J543" t="str">
            <v>Verify</v>
          </cell>
          <cell r="K543" t="str">
            <v>Verify</v>
          </cell>
          <cell r="L543" t="str">
            <v>Verify</v>
          </cell>
          <cell r="O543" t="str">
            <v>Verify</v>
          </cell>
          <cell r="P543" t="str">
            <v>Existing equipment area; verify no new penetrations are left unsealed and active systems remain protected.</v>
          </cell>
          <cell r="Q543" t="str">
            <v>08|15</v>
          </cell>
        </row>
        <row r="544">
          <cell r="E544" t="str">
            <v>3. FIRE PROTECTION</v>
          </cell>
          <cell r="G544" t="str">
            <v>B12B</v>
          </cell>
          <cell r="H544" t="str">
            <v>Verify</v>
          </cell>
          <cell r="I544" t="str">
            <v>Verify</v>
          </cell>
          <cell r="J544" t="str">
            <v>Verify</v>
          </cell>
          <cell r="K544" t="str">
            <v>Verify</v>
          </cell>
          <cell r="L544" t="str">
            <v>Verify</v>
          </cell>
          <cell r="O544" t="str">
            <v>Verify</v>
          </cell>
          <cell r="P544" t="str">
            <v>Door schedule shows 45-minute door; verify fire/smoke requirements, FEC requirement applicability, firestopping and temporary barriers.</v>
          </cell>
          <cell r="Q544" t="str">
            <v>08|16</v>
          </cell>
        </row>
        <row r="545">
          <cell r="E545" t="str">
            <v>3. FIRE PROTECTION</v>
          </cell>
          <cell r="G545" t="str">
            <v>2065A</v>
          </cell>
          <cell r="H545" t="str">
            <v>Verify</v>
          </cell>
          <cell r="I545" t="str">
            <v>Verify</v>
          </cell>
          <cell r="J545" t="str">
            <v>Verify</v>
          </cell>
          <cell r="K545" t="str">
            <v>Verify</v>
          </cell>
          <cell r="L545" t="str">
            <v>Verify</v>
          </cell>
          <cell r="O545" t="str">
            <v>Verify</v>
          </cell>
          <cell r="P545" t="str">
            <v>Architectural notes require new 45-minute door, clean-agent 2A:10B:C extinguisher within 75 ft, open-to-deck telecom room and 1-hour fire/smoke-rated existing wall upgrades.</v>
          </cell>
          <cell r="Q545" t="str">
            <v>08|17</v>
          </cell>
        </row>
        <row r="546">
          <cell r="E546" t="str">
            <v>3. FIRE PROTECTION</v>
          </cell>
          <cell r="G546">
            <v>0</v>
          </cell>
          <cell r="H546">
            <v>0</v>
          </cell>
          <cell r="I546">
            <v>0</v>
          </cell>
          <cell r="J546">
            <v>0</v>
          </cell>
          <cell r="K546">
            <v>0</v>
          </cell>
          <cell r="L546">
            <v>0</v>
          </cell>
          <cell r="O546">
            <v>0</v>
          </cell>
          <cell r="P546">
            <v>0</v>
          </cell>
          <cell r="Q546" t="str">
            <v>08|18</v>
          </cell>
        </row>
        <row r="547">
          <cell r="E547" t="str">
            <v>4. HVAC / COOLING</v>
          </cell>
          <cell r="G547" t="str">
            <v>4. HVAC / COOLING</v>
          </cell>
          <cell r="H547">
            <v>0</v>
          </cell>
          <cell r="I547">
            <v>0</v>
          </cell>
          <cell r="J547">
            <v>0</v>
          </cell>
          <cell r="K547">
            <v>0</v>
          </cell>
          <cell r="L547">
            <v>0</v>
          </cell>
          <cell r="O547">
            <v>0</v>
          </cell>
          <cell r="P547">
            <v>0</v>
          </cell>
          <cell r="Q547" t="str">
            <v>08|19</v>
          </cell>
        </row>
        <row r="548">
          <cell r="E548" t="str">
            <v>4. HVAC / COOLING</v>
          </cell>
          <cell r="G548" t="str">
            <v>Room</v>
          </cell>
          <cell r="H548" t="str">
            <v>Dedicated Unit</v>
          </cell>
          <cell r="I548" t="str">
            <v>Capacity Verified</v>
          </cell>
          <cell r="J548" t="str">
            <v>Emergency Power</v>
          </cell>
          <cell r="K548" t="str">
            <v>Controls / BACnet</v>
          </cell>
          <cell r="L548" t="str">
            <v>Condensate Routed</v>
          </cell>
          <cell r="O548" t="str">
            <v>Overall</v>
          </cell>
          <cell r="P548" t="str">
            <v>Risk / Notes</v>
          </cell>
          <cell r="Q548" t="str">
            <v>08|20</v>
          </cell>
        </row>
        <row r="549">
          <cell r="E549" t="str">
            <v>4. HVAC / COOLING</v>
          </cell>
          <cell r="G549" t="str">
            <v>B-15</v>
          </cell>
          <cell r="H549" t="str">
            <v>Existing</v>
          </cell>
          <cell r="I549" t="str">
            <v>Verify</v>
          </cell>
          <cell r="J549" t="str">
            <v>Verify</v>
          </cell>
          <cell r="K549" t="str">
            <v>Verify</v>
          </cell>
          <cell r="L549" t="str">
            <v>Verify</v>
          </cell>
          <cell r="O549" t="str">
            <v>Verify</v>
          </cell>
          <cell r="P549" t="str">
            <v>Verify existing environmental conditions and whether active legacy equipment remains during cutover.</v>
          </cell>
          <cell r="Q549" t="str">
            <v>08|21</v>
          </cell>
        </row>
        <row r="550">
          <cell r="E550" t="str">
            <v>4. HVAC / COOLING</v>
          </cell>
          <cell r="G550" t="str">
            <v>B12B</v>
          </cell>
          <cell r="H550" t="str">
            <v>N/A / Verify</v>
          </cell>
          <cell r="I550" t="str">
            <v>Verify</v>
          </cell>
          <cell r="J550" t="str">
            <v>Verify</v>
          </cell>
          <cell r="K550" t="str">
            <v>Verify</v>
          </cell>
          <cell r="L550" t="str">
            <v>Verify</v>
          </cell>
          <cell r="O550" t="str">
            <v>Verify</v>
          </cell>
          <cell r="P550" t="str">
            <v>Field verify whether TE equipment load requires cooling or if served by existing building HVAC.</v>
          </cell>
          <cell r="Q550" t="str">
            <v>08|22</v>
          </cell>
        </row>
        <row r="551">
          <cell r="E551" t="str">
            <v>4. HVAC / COOLING</v>
          </cell>
          <cell r="G551" t="str">
            <v>2065A</v>
          </cell>
          <cell r="H551" t="str">
            <v>IU-2-01 / CU-2-01</v>
          </cell>
          <cell r="I551" t="str">
            <v>Verify</v>
          </cell>
          <cell r="J551" t="str">
            <v>Verify</v>
          </cell>
          <cell r="K551" t="str">
            <v>Verify</v>
          </cell>
          <cell r="L551" t="str">
            <v>Verify</v>
          </cell>
          <cell r="O551" t="str">
            <v>Verify</v>
          </cell>
          <cell r="P551" t="str">
            <v>Mechanical schedule lists IU-2-01/CU-2-01 at 36,000 BTUH; verify room assignment, emergency power, condensate pump/route, BACnet controller and controls.</v>
          </cell>
          <cell r="Q551" t="str">
            <v>08|23</v>
          </cell>
        </row>
        <row r="552">
          <cell r="E552" t="str">
            <v>4. HVAC / COOLING</v>
          </cell>
          <cell r="G552">
            <v>0</v>
          </cell>
          <cell r="H552">
            <v>0</v>
          </cell>
          <cell r="I552">
            <v>0</v>
          </cell>
          <cell r="J552">
            <v>0</v>
          </cell>
          <cell r="K552">
            <v>0</v>
          </cell>
          <cell r="L552">
            <v>0</v>
          </cell>
          <cell r="O552">
            <v>0</v>
          </cell>
          <cell r="P552">
            <v>0</v>
          </cell>
          <cell r="Q552" t="str">
            <v>08|24</v>
          </cell>
        </row>
        <row r="553">
          <cell r="E553" t="str">
            <v>5. ELECTRICAL / UPS</v>
          </cell>
          <cell r="G553" t="str">
            <v>5. ELECTRICAL / UPS</v>
          </cell>
          <cell r="H553">
            <v>0</v>
          </cell>
          <cell r="I553">
            <v>0</v>
          </cell>
          <cell r="J553">
            <v>0</v>
          </cell>
          <cell r="K553">
            <v>0</v>
          </cell>
          <cell r="L553">
            <v>0</v>
          </cell>
          <cell r="O553">
            <v>0</v>
          </cell>
          <cell r="P553">
            <v>0</v>
          </cell>
          <cell r="Q553" t="str">
            <v>08|25</v>
          </cell>
        </row>
        <row r="554">
          <cell r="E554" t="str">
            <v>5. ELECTRICAL / UPS</v>
          </cell>
          <cell r="G554" t="str">
            <v>Room</v>
          </cell>
          <cell r="H554" t="str">
            <v>UPS Installed</v>
          </cell>
          <cell r="I554" t="str">
            <v>UPS Size</v>
          </cell>
          <cell r="J554" t="str">
            <v>PDU Installed</v>
          </cell>
          <cell r="K554" t="str">
            <v>Rack Receptacles</v>
          </cell>
          <cell r="L554" t="str">
            <v>Panel Assigned</v>
          </cell>
          <cell r="O554" t="str">
            <v>Overall</v>
          </cell>
          <cell r="P554" t="str">
            <v>Notes</v>
          </cell>
          <cell r="Q554" t="str">
            <v>08|26</v>
          </cell>
        </row>
        <row r="555">
          <cell r="E555" t="str">
            <v>5. ELECTRICAL / UPS</v>
          </cell>
          <cell r="G555" t="str">
            <v>B-15</v>
          </cell>
          <cell r="H555" t="str">
            <v>Existing</v>
          </cell>
          <cell r="I555" t="str">
            <v>Existing floor UPS</v>
          </cell>
          <cell r="J555" t="str">
            <v>Existing</v>
          </cell>
          <cell r="K555" t="str">
            <v>Verify</v>
          </cell>
          <cell r="L555" t="str">
            <v>Verify</v>
          </cell>
          <cell r="O555" t="str">
            <v>Verify</v>
          </cell>
          <cell r="P555" t="str">
            <v>Existing rack elevation shows floor UPS and legacy equipment; protect active service and verify transition/demo requirements.</v>
          </cell>
          <cell r="Q555" t="str">
            <v>08|27</v>
          </cell>
        </row>
        <row r="556">
          <cell r="E556" t="str">
            <v>5. ELECTRICAL / UPS</v>
          </cell>
          <cell r="G556" t="str">
            <v>B12B</v>
          </cell>
          <cell r="H556" t="str">
            <v>Verify</v>
          </cell>
          <cell r="I556" t="str">
            <v>TE scale</v>
          </cell>
          <cell r="J556" t="str">
            <v>Verify</v>
          </cell>
          <cell r="K556" t="str">
            <v>Verify</v>
          </cell>
          <cell r="L556" t="str">
            <v>TE receptacle Room B12B / B08-TR2065AB reference</v>
          </cell>
          <cell r="O556" t="str">
            <v>Verify</v>
          </cell>
          <cell r="P556" t="str">
            <v>Electrical schedule includes TE receptacle Room B12B; confirm panel/circuit source and if B12B is served from telecom panel.</v>
          </cell>
          <cell r="Q556" t="str">
            <v>08|28</v>
          </cell>
        </row>
        <row r="557">
          <cell r="E557" t="str">
            <v>5. ELECTRICAL / UPS</v>
          </cell>
          <cell r="G557" t="str">
            <v>2065A</v>
          </cell>
          <cell r="H557" t="str">
            <v>Verify</v>
          </cell>
          <cell r="I557" t="str">
            <v>5 kW / rack equipment</v>
          </cell>
          <cell r="J557" t="str">
            <v>Verify</v>
          </cell>
          <cell r="K557" t="str">
            <v>Verify</v>
          </cell>
          <cell r="L557" t="str">
            <v>B08-TR2065AA / B08-TR2065AB</v>
          </cell>
          <cell r="O557" t="str">
            <v>Verify</v>
          </cell>
          <cell r="P557" t="str">
            <v>Electrical schedule identifies B08-TR2065AB in Telecom Room 2065A with TR receptacles, rack receptacles, lighting, access controller, CU-2-01 and SPD notes; verify B08-TR2065AA source/scope.</v>
          </cell>
          <cell r="Q557" t="str">
            <v>08|29</v>
          </cell>
        </row>
        <row r="558">
          <cell r="E558" t="str">
            <v>5. ELECTRICAL / UPS</v>
          </cell>
          <cell r="G558">
            <v>0</v>
          </cell>
          <cell r="H558">
            <v>0</v>
          </cell>
          <cell r="I558">
            <v>0</v>
          </cell>
          <cell r="J558">
            <v>0</v>
          </cell>
          <cell r="K558">
            <v>0</v>
          </cell>
          <cell r="L558">
            <v>0</v>
          </cell>
          <cell r="O558">
            <v>0</v>
          </cell>
          <cell r="P558">
            <v>0</v>
          </cell>
          <cell r="Q558" t="str">
            <v>08|30</v>
          </cell>
        </row>
        <row r="559">
          <cell r="E559" t="str">
            <v>6. TELECOMMUNICATIONS</v>
          </cell>
          <cell r="G559" t="str">
            <v>6. TELECOMMUNICATIONS</v>
          </cell>
          <cell r="H559">
            <v>0</v>
          </cell>
          <cell r="I559">
            <v>0</v>
          </cell>
          <cell r="J559">
            <v>0</v>
          </cell>
          <cell r="K559">
            <v>0</v>
          </cell>
          <cell r="L559">
            <v>0</v>
          </cell>
          <cell r="O559">
            <v>0</v>
          </cell>
          <cell r="P559">
            <v>0</v>
          </cell>
          <cell r="Q559" t="str">
            <v>08|31</v>
          </cell>
        </row>
        <row r="560">
          <cell r="E560" t="str">
            <v>6. TELECOMMUNICATIONS</v>
          </cell>
          <cell r="G560" t="str">
            <v>Room</v>
          </cell>
          <cell r="H560" t="str">
            <v>Rack Installed</v>
          </cell>
          <cell r="I560" t="str">
            <v>Ladder Tray</v>
          </cell>
          <cell r="J560" t="str">
            <v>Fiber Installed</v>
          </cell>
          <cell r="K560" t="str">
            <v>Grounding</v>
          </cell>
          <cell r="L560" t="str">
            <v>Labeling</v>
          </cell>
          <cell r="O560" t="str">
            <v>Overall</v>
          </cell>
          <cell r="P560" t="str">
            <v>Notes</v>
          </cell>
          <cell r="Q560" t="str">
            <v>08|32</v>
          </cell>
        </row>
        <row r="561">
          <cell r="E561" t="str">
            <v>6. TELECOMMUNICATIONS</v>
          </cell>
          <cell r="G561" t="str">
            <v>B-15</v>
          </cell>
          <cell r="H561" t="str">
            <v>Existing</v>
          </cell>
          <cell r="I561" t="str">
            <v>N/A / TE</v>
          </cell>
          <cell r="J561" t="str">
            <v>Existing</v>
          </cell>
          <cell r="K561" t="str">
            <v>Verify</v>
          </cell>
          <cell r="L561" t="str">
            <v>Verify</v>
          </cell>
          <cell r="O561" t="str">
            <v>Verify</v>
          </cell>
          <cell r="P561" t="str">
            <v>Existing Room B-15 rack elevations show wall/wall-mounted TE, legacy 24/48-port patch panels, legacy Fiber LIU and UPS.</v>
          </cell>
          <cell r="Q561" t="str">
            <v>08|33</v>
          </cell>
        </row>
        <row r="562">
          <cell r="E562" t="str">
            <v>6. TELECOMMUNICATIONS</v>
          </cell>
          <cell r="G562" t="str">
            <v>B12B</v>
          </cell>
          <cell r="H562" t="str">
            <v>Verify</v>
          </cell>
          <cell r="I562" t="str">
            <v>N/A / TE</v>
          </cell>
          <cell r="J562" t="str">
            <v>Verify</v>
          </cell>
          <cell r="K562" t="str">
            <v>Verify</v>
          </cell>
          <cell r="L562" t="str">
            <v>Verify</v>
          </cell>
          <cell r="O562" t="str">
            <v>Verify</v>
          </cell>
          <cell r="P562" t="str">
            <v>Telecom schedule uses Rack ID TE01-B12B-1; 80 WAO total, 159 active ports per survey, 116 total ports per schedule, and 128 total ports with 10% allowance.</v>
          </cell>
          <cell r="Q562" t="str">
            <v>08|34</v>
          </cell>
        </row>
        <row r="563">
          <cell r="E563" t="str">
            <v>6. TELECOMMUNICATIONS</v>
          </cell>
          <cell r="G563" t="str">
            <v>2065A</v>
          </cell>
          <cell r="H563" t="str">
            <v>Verify</v>
          </cell>
          <cell r="I563" t="str">
            <v>Verify</v>
          </cell>
          <cell r="J563" t="str">
            <v>Verify</v>
          </cell>
          <cell r="K563" t="str">
            <v>Verify</v>
          </cell>
          <cell r="L563" t="str">
            <v>Verify</v>
          </cell>
          <cell r="O563" t="str">
            <v>Verify</v>
          </cell>
          <cell r="P563" t="str">
            <v>New Room 2065A rack elevations show two 4-post floor racks; Rack 1 includes Fiber LIU, 24-port Cat5E patch panel, four 48-port Cat6A patch panels, network switches, Zone PDU and UPS; Rack 2 includes future switches and UPS.</v>
          </cell>
          <cell r="Q563" t="str">
            <v>08|35</v>
          </cell>
        </row>
        <row r="564">
          <cell r="E564" t="str">
            <v>6. TELECOMMUNICATIONS</v>
          </cell>
          <cell r="G564">
            <v>0</v>
          </cell>
          <cell r="H564">
            <v>0</v>
          </cell>
          <cell r="I564">
            <v>0</v>
          </cell>
          <cell r="J564">
            <v>0</v>
          </cell>
          <cell r="K564">
            <v>0</v>
          </cell>
          <cell r="L564">
            <v>0</v>
          </cell>
          <cell r="O564">
            <v>0</v>
          </cell>
          <cell r="P564">
            <v>0</v>
          </cell>
          <cell r="Q564" t="str">
            <v>08|36</v>
          </cell>
        </row>
        <row r="565">
          <cell r="E565" t="str">
            <v>7. SECURITY / PACS / CCTV</v>
          </cell>
          <cell r="G565" t="str">
            <v>7. SECURITY / PACS / CCTV</v>
          </cell>
          <cell r="H565">
            <v>0</v>
          </cell>
          <cell r="I565">
            <v>0</v>
          </cell>
          <cell r="J565">
            <v>0</v>
          </cell>
          <cell r="K565">
            <v>0</v>
          </cell>
          <cell r="L565">
            <v>0</v>
          </cell>
          <cell r="O565">
            <v>0</v>
          </cell>
          <cell r="P565">
            <v>0</v>
          </cell>
          <cell r="Q565" t="str">
            <v>08|37</v>
          </cell>
        </row>
        <row r="566">
          <cell r="E566" t="str">
            <v>7. SECURITY / PACS / CCTV</v>
          </cell>
          <cell r="G566" t="str">
            <v>Room</v>
          </cell>
          <cell r="H566" t="str">
            <v>PACS</v>
          </cell>
          <cell r="I566" t="str">
            <v>Card Reader</v>
          </cell>
          <cell r="J566" t="str">
            <v>Door Position</v>
          </cell>
          <cell r="K566" t="str">
            <v>Electric Strike</v>
          </cell>
          <cell r="L566" t="str">
            <v>CCTV</v>
          </cell>
          <cell r="O566" t="str">
            <v>Overall</v>
          </cell>
          <cell r="P566" t="str">
            <v>Notes</v>
          </cell>
          <cell r="Q566" t="str">
            <v>08|38</v>
          </cell>
        </row>
        <row r="567">
          <cell r="E567" t="str">
            <v>7. SECURITY / PACS / CCTV</v>
          </cell>
          <cell r="G567" t="str">
            <v>B-15</v>
          </cell>
          <cell r="H567" t="str">
            <v>Verify</v>
          </cell>
          <cell r="I567" t="str">
            <v>Verify</v>
          </cell>
          <cell r="J567" t="str">
            <v>Verify</v>
          </cell>
          <cell r="K567" t="str">
            <v>Verify</v>
          </cell>
          <cell r="L567" t="str">
            <v>Verify</v>
          </cell>
          <cell r="O567" t="str">
            <v>Verify</v>
          </cell>
          <cell r="P567" t="str">
            <v>Verify existing basement access/security while protecting active equipment.</v>
          </cell>
          <cell r="Q567" t="str">
            <v>08|39</v>
          </cell>
        </row>
        <row r="568">
          <cell r="E568" t="str">
            <v>7. SECURITY / PACS / CCTV</v>
          </cell>
          <cell r="G568" t="str">
            <v>B12B</v>
          </cell>
          <cell r="H568" t="str">
            <v>Verify</v>
          </cell>
          <cell r="I568" t="str">
            <v>Verify</v>
          </cell>
          <cell r="J568" t="str">
            <v>Verify</v>
          </cell>
          <cell r="K568" t="str">
            <v>Verify</v>
          </cell>
          <cell r="L568" t="str">
            <v>Verify</v>
          </cell>
          <cell r="O568" t="str">
            <v>Verify</v>
          </cell>
          <cell r="P568" t="str">
            <v>45-minute door shown; verify access-control hardware applicability and whether TE is secured.</v>
          </cell>
          <cell r="Q568" t="str">
            <v>08|40</v>
          </cell>
        </row>
        <row r="569">
          <cell r="E569" t="str">
            <v>7. SECURITY / PACS / CCTV</v>
          </cell>
          <cell r="G569" t="str">
            <v>2065A</v>
          </cell>
          <cell r="H569" t="str">
            <v>Verify</v>
          </cell>
          <cell r="I569" t="str">
            <v>Verify</v>
          </cell>
          <cell r="J569" t="str">
            <v>Verify</v>
          </cell>
          <cell r="K569" t="str">
            <v>Verify</v>
          </cell>
          <cell r="L569" t="str">
            <v>Verify</v>
          </cell>
          <cell r="O569" t="str">
            <v>Verify</v>
          </cell>
          <cell r="P569" t="str">
            <v>Door schedule/hardware note requires coordination with electrical/access control; verify card reader, electric strike, door position, motion sensor, camera and VA integration.</v>
          </cell>
          <cell r="Q569" t="str">
            <v>08|41</v>
          </cell>
        </row>
        <row r="570">
          <cell r="E570" t="str">
            <v>7. SECURITY / PACS / CCTV</v>
          </cell>
          <cell r="G570">
            <v>0</v>
          </cell>
          <cell r="H570">
            <v>0</v>
          </cell>
          <cell r="I570">
            <v>0</v>
          </cell>
          <cell r="J570">
            <v>0</v>
          </cell>
          <cell r="K570">
            <v>0</v>
          </cell>
          <cell r="L570">
            <v>0</v>
          </cell>
          <cell r="O570">
            <v>0</v>
          </cell>
          <cell r="P570">
            <v>0</v>
          </cell>
          <cell r="Q570" t="str">
            <v>08|42</v>
          </cell>
        </row>
        <row r="571">
          <cell r="E571" t="str">
            <v>8. OWNER RISKS</v>
          </cell>
          <cell r="G571" t="str">
            <v>8. OWNER RISKS</v>
          </cell>
          <cell r="H571">
            <v>0</v>
          </cell>
          <cell r="I571">
            <v>0</v>
          </cell>
          <cell r="J571">
            <v>0</v>
          </cell>
          <cell r="K571">
            <v>0</v>
          </cell>
          <cell r="L571">
            <v>0</v>
          </cell>
          <cell r="O571">
            <v>0</v>
          </cell>
          <cell r="P571">
            <v>0</v>
          </cell>
          <cell r="Q571" t="str">
            <v>08|43</v>
          </cell>
        </row>
        <row r="572">
          <cell r="E572" t="str">
            <v>8. OWNER RISKS</v>
          </cell>
          <cell r="G572" t="str">
            <v>Risk ID</v>
          </cell>
          <cell r="H572" t="str">
            <v>Room</v>
          </cell>
          <cell r="I572" t="str">
            <v>Risk</v>
          </cell>
          <cell r="J572" t="str">
            <v>Impact</v>
          </cell>
          <cell r="K572" t="str">
            <v>Probability</v>
          </cell>
          <cell r="L572" t="str">
            <v>Score</v>
          </cell>
          <cell r="O572" t="str">
            <v>Status</v>
          </cell>
          <cell r="P572" t="str">
            <v>Notes</v>
          </cell>
          <cell r="Q572" t="str">
            <v>08|44</v>
          </cell>
        </row>
        <row r="573">
          <cell r="E573" t="str">
            <v>8. OWNER RISKS</v>
          </cell>
          <cell r="G573" t="str">
            <v>B08-R1</v>
          </cell>
          <cell r="H573" t="str">
            <v>All</v>
          </cell>
          <cell r="I573" t="str">
            <v>Existing conditions for B-15, B12B and 2065A not field verified</v>
          </cell>
          <cell r="J573" t="str">
            <v>High</v>
          </cell>
          <cell r="K573" t="str">
            <v>Medium</v>
          </cell>
          <cell r="L573">
            <v>6</v>
          </cell>
          <cell r="O573" t="str">
            <v>Open</v>
          </cell>
          <cell r="P573" t="str">
            <v>B08 includes existing equipment, TE/cabling area and new TR scope.</v>
          </cell>
          <cell r="Q573" t="str">
            <v>08|45</v>
          </cell>
        </row>
        <row r="574">
          <cell r="E574" t="str">
            <v>8. OWNER RISKS</v>
          </cell>
          <cell r="G574" t="str">
            <v>B08-R2</v>
          </cell>
          <cell r="H574" t="str">
            <v>B-15</v>
          </cell>
          <cell r="I574" t="str">
            <v>Existing basement legacy equipment may remain active during cutover</v>
          </cell>
          <cell r="J574" t="str">
            <v>Critical</v>
          </cell>
          <cell r="K574" t="str">
            <v>Medium</v>
          </cell>
          <cell r="L574">
            <v>8</v>
          </cell>
          <cell r="O574" t="str">
            <v>Open</v>
          </cell>
          <cell r="P574" t="str">
            <v>Existing TE, patch panels, Fiber LIU and UPS shown.</v>
          </cell>
          <cell r="Q574" t="str">
            <v>08|46</v>
          </cell>
        </row>
        <row r="575">
          <cell r="E575" t="str">
            <v>8. OWNER RISKS</v>
          </cell>
          <cell r="G575" t="str">
            <v>B08-R3</v>
          </cell>
          <cell r="H575" t="str">
            <v>B12B</v>
          </cell>
          <cell r="I575" t="str">
            <v>Basement B12B appears as Office in architectural schedule but TE in telecom/electrical schedules</v>
          </cell>
          <cell r="J575" t="str">
            <v>High</v>
          </cell>
          <cell r="K575" t="str">
            <v>Medium</v>
          </cell>
          <cell r="L575">
            <v>6</v>
          </cell>
          <cell r="O575" t="str">
            <v>Open</v>
          </cell>
          <cell r="P575" t="str">
            <v>Potential room/scope mismatch.</v>
          </cell>
          <cell r="Q575" t="str">
            <v>08|47</v>
          </cell>
        </row>
        <row r="576">
          <cell r="E576" t="str">
            <v>8. OWNER RISKS</v>
          </cell>
          <cell r="G576" t="str">
            <v>B08-R4</v>
          </cell>
          <cell r="H576" t="str">
            <v>2065A</v>
          </cell>
          <cell r="I576" t="str">
            <v>Second-floor Telecom Room conversion includes rated wall/door/open-to-deck work and possible hazardous material impacts</v>
          </cell>
          <cell r="J576" t="str">
            <v>High</v>
          </cell>
          <cell r="K576" t="str">
            <v>Medium</v>
          </cell>
          <cell r="L576">
            <v>6</v>
          </cell>
          <cell r="O576" t="str">
            <v>Open</v>
          </cell>
          <cell r="P576" t="str">
            <v>Hazardous material abatement plan included for Level 2.</v>
          </cell>
          <cell r="Q576" t="str">
            <v>08|48</v>
          </cell>
        </row>
        <row r="577">
          <cell r="E577" t="str">
            <v>8. OWNER RISKS</v>
          </cell>
          <cell r="G577" t="str">
            <v>B08-R5</v>
          </cell>
          <cell r="H577" t="str">
            <v>2065A</v>
          </cell>
          <cell r="I577" t="str">
            <v>Dedicated cooling emergency power, controls, condensate and high-temp alarms not verified</v>
          </cell>
          <cell r="J577" t="str">
            <v>Critical</v>
          </cell>
          <cell r="K577" t="str">
            <v>Medium</v>
          </cell>
          <cell r="L577">
            <v>8</v>
          </cell>
          <cell r="O577" t="str">
            <v>Open</v>
          </cell>
          <cell r="P577" t="str">
            <v>IU-2-01/CU-2-01 scheduled at 36,000 BTUH.</v>
          </cell>
          <cell r="Q577" t="str">
            <v>08|49</v>
          </cell>
        </row>
        <row r="578">
          <cell r="E578" t="str">
            <v>8. OWNER RISKS</v>
          </cell>
          <cell r="G578" t="str">
            <v>B08-R6</v>
          </cell>
          <cell r="H578" t="str">
            <v>All</v>
          </cell>
          <cell r="I578" t="str">
            <v>Electrical panel/circuit source and rack load coordination unresolved</v>
          </cell>
          <cell r="J578" t="str">
            <v>High</v>
          </cell>
          <cell r="K578" t="str">
            <v>Medium</v>
          </cell>
          <cell r="L578">
            <v>6</v>
          </cell>
          <cell r="O578" t="str">
            <v>Open</v>
          </cell>
          <cell r="P578" t="str">
            <v>Panel schedule includes telecom panelboard notes and 30-day load measurement requirements.</v>
          </cell>
          <cell r="Q578" t="str">
            <v>08|50</v>
          </cell>
        </row>
        <row r="579">
          <cell r="E579" t="str">
            <v>8. OWNER RISKS</v>
          </cell>
          <cell r="G579" t="str">
            <v>B08-R7</v>
          </cell>
          <cell r="H579" t="str">
            <v>All</v>
          </cell>
          <cell r="I579" t="str">
            <v>Fire alarm/sprinkler impairments and firestopping could affect occupied operations</v>
          </cell>
          <cell r="J579" t="str">
            <v>Critical</v>
          </cell>
          <cell r="K579" t="str">
            <v>Medium</v>
          </cell>
          <cell r="L579">
            <v>8</v>
          </cell>
          <cell r="O579" t="str">
            <v>Open</v>
          </cell>
          <cell r="P579" t="str">
            <v>Shutdowns limited one at a time campus-wide.</v>
          </cell>
          <cell r="Q579" t="str">
            <v>08|51</v>
          </cell>
        </row>
        <row r="580">
          <cell r="E580" t="str">
            <v>8. OWNER RISKS</v>
          </cell>
          <cell r="G580" t="str">
            <v>B08-R8</v>
          </cell>
          <cell r="H580" t="str">
            <v>All</v>
          </cell>
          <cell r="I580" t="str">
            <v>Commissioning/third-party inspection reports may not be complete at turnover</v>
          </cell>
          <cell r="J580" t="str">
            <v>High</v>
          </cell>
          <cell r="K580" t="str">
            <v>Medium</v>
          </cell>
          <cell r="L580">
            <v>6</v>
          </cell>
          <cell r="O580" t="str">
            <v>Open</v>
          </cell>
          <cell r="P580" t="str">
            <v>Required by cover/general notes.</v>
          </cell>
          <cell r="Q580" t="str">
            <v>08|52</v>
          </cell>
        </row>
        <row r="581">
          <cell r="E581" t="str">
            <v>8. OWNER RISKS</v>
          </cell>
          <cell r="G581">
            <v>0</v>
          </cell>
          <cell r="H581">
            <v>0</v>
          </cell>
          <cell r="I581">
            <v>0</v>
          </cell>
          <cell r="J581">
            <v>0</v>
          </cell>
          <cell r="K581">
            <v>0</v>
          </cell>
          <cell r="L581">
            <v>0</v>
          </cell>
          <cell r="O581">
            <v>0</v>
          </cell>
          <cell r="P581">
            <v>0</v>
          </cell>
          <cell r="Q581" t="str">
            <v>08|53</v>
          </cell>
        </row>
        <row r="582">
          <cell r="E582" t="str">
            <v>9. OPEN QUESTIONS</v>
          </cell>
          <cell r="G582" t="str">
            <v>9. OPEN QUESTIONS</v>
          </cell>
          <cell r="H582">
            <v>0</v>
          </cell>
          <cell r="I582">
            <v>0</v>
          </cell>
          <cell r="J582">
            <v>0</v>
          </cell>
          <cell r="K582">
            <v>0</v>
          </cell>
          <cell r="L582">
            <v>0</v>
          </cell>
          <cell r="O582">
            <v>0</v>
          </cell>
          <cell r="P582">
            <v>0</v>
          </cell>
          <cell r="Q582" t="str">
            <v>08|54</v>
          </cell>
        </row>
        <row r="583">
          <cell r="E583" t="str">
            <v>9. OPEN QUESTIONS</v>
          </cell>
          <cell r="G583" t="str">
            <v>Question ID</v>
          </cell>
          <cell r="H583" t="str">
            <v>Question</v>
          </cell>
          <cell r="I583" t="str">
            <v>Assigned To</v>
          </cell>
          <cell r="J583" t="str">
            <v>Status</v>
          </cell>
          <cell r="K583" t="str">
            <v>Needed By</v>
          </cell>
          <cell r="L583" t="str">
            <v>Answer / Resolution</v>
          </cell>
          <cell r="O583" t="str">
            <v>Date Closed</v>
          </cell>
          <cell r="P583" t="str">
            <v>Notes</v>
          </cell>
          <cell r="Q583" t="str">
            <v>08|55</v>
          </cell>
        </row>
        <row r="584">
          <cell r="E584" t="str">
            <v>9. OPEN QUESTIONS</v>
          </cell>
          <cell r="G584" t="str">
            <v>B08-Q1</v>
          </cell>
          <cell r="H584" t="str">
            <v>Confirm final scope: existing B-15 equipment, B12B TE/cabling area, and new TR 2065A?</v>
          </cell>
          <cell r="I584" t="str">
            <v>VA / OIT / Designer</v>
          </cell>
          <cell r="J584" t="str">
            <v>Open</v>
          </cell>
          <cell r="K584">
            <v>0</v>
          </cell>
          <cell r="L584">
            <v>0</v>
          </cell>
          <cell r="O584">
            <v>0</v>
          </cell>
          <cell r="P584">
            <v>0</v>
          </cell>
          <cell r="Q584" t="str">
            <v>08|56</v>
          </cell>
        </row>
        <row r="585">
          <cell r="E585" t="str">
            <v>9. OPEN QUESTIONS</v>
          </cell>
          <cell r="G585" t="str">
            <v>B08-Q2</v>
          </cell>
          <cell r="H585" t="str">
            <v>What active services are currently fed from existing B-15 equipment?</v>
          </cell>
          <cell r="I585" t="str">
            <v>OIT / Contractor</v>
          </cell>
          <cell r="J585" t="str">
            <v>Open</v>
          </cell>
          <cell r="K585">
            <v>0</v>
          </cell>
          <cell r="L585">
            <v>0</v>
          </cell>
          <cell r="O585">
            <v>0</v>
          </cell>
          <cell r="P585">
            <v>0</v>
          </cell>
          <cell r="Q585" t="str">
            <v>08|57</v>
          </cell>
        </row>
        <row r="586">
          <cell r="E586" t="str">
            <v>9. OPEN QUESTIONS</v>
          </cell>
          <cell r="G586" t="str">
            <v>B08-Q3</v>
          </cell>
          <cell r="H586" t="str">
            <v>Is B12B truly a TE/equipment location or only a cabling pathway/service area?</v>
          </cell>
          <cell r="I586" t="str">
            <v>VA / Designer / Contractor</v>
          </cell>
          <cell r="J586" t="str">
            <v>Open</v>
          </cell>
          <cell r="K586">
            <v>0</v>
          </cell>
          <cell r="L586">
            <v>0</v>
          </cell>
          <cell r="O586">
            <v>0</v>
          </cell>
          <cell r="P586">
            <v>0</v>
          </cell>
          <cell r="Q586" t="str">
            <v>08|58</v>
          </cell>
        </row>
        <row r="587">
          <cell r="E587" t="str">
            <v>9. OPEN QUESTIONS</v>
          </cell>
          <cell r="G587" t="str">
            <v>B08-Q4</v>
          </cell>
          <cell r="H587" t="str">
            <v>Is IU-2-01/CU-2-01 dedicated to TR 2065A and on emergency/backup power?</v>
          </cell>
          <cell r="I587" t="str">
            <v>Mechanical / Electrical / VA</v>
          </cell>
          <cell r="J587" t="str">
            <v>Open</v>
          </cell>
          <cell r="K587">
            <v>0</v>
          </cell>
          <cell r="L587">
            <v>0</v>
          </cell>
          <cell r="O587">
            <v>0</v>
          </cell>
          <cell r="P587">
            <v>0</v>
          </cell>
          <cell r="Q587" t="str">
            <v>08|59</v>
          </cell>
        </row>
        <row r="588">
          <cell r="E588" t="str">
            <v>9. OPEN QUESTIONS</v>
          </cell>
          <cell r="G588" t="str">
            <v>B08-Q5</v>
          </cell>
          <cell r="H588" t="str">
            <v>Where are clean-agent/CO2 extinguisher cabinets located within 75 ft of each TR/TE?</v>
          </cell>
          <cell r="I588" t="str">
            <v>GC / COR</v>
          </cell>
          <cell r="J588" t="str">
            <v>Open</v>
          </cell>
          <cell r="K588">
            <v>0</v>
          </cell>
          <cell r="L588">
            <v>0</v>
          </cell>
          <cell r="O588">
            <v>0</v>
          </cell>
          <cell r="P588">
            <v>0</v>
          </cell>
          <cell r="Q588" t="str">
            <v>08|60</v>
          </cell>
        </row>
        <row r="589">
          <cell r="E589" t="str">
            <v>9. OPEN QUESTIONS</v>
          </cell>
          <cell r="G589" t="str">
            <v>B08-Q6</v>
          </cell>
          <cell r="H589" t="str">
            <v>Are all B08 panelboard sources, circuits, SPDs, rack receptacles and load measurements approved?</v>
          </cell>
          <cell r="I589" t="str">
            <v>Electrical / Designer</v>
          </cell>
          <cell r="J589" t="str">
            <v>Open</v>
          </cell>
          <cell r="K589">
            <v>0</v>
          </cell>
          <cell r="L589">
            <v>0</v>
          </cell>
          <cell r="O589">
            <v>0</v>
          </cell>
          <cell r="P589">
            <v>0</v>
          </cell>
          <cell r="Q589" t="str">
            <v>08|61</v>
          </cell>
        </row>
        <row r="590">
          <cell r="E590" t="str">
            <v>9. OPEN QUESTIONS</v>
          </cell>
          <cell r="G590" t="str">
            <v>B08-Q7</v>
          </cell>
          <cell r="H590" t="str">
            <v>Are all rated wall/floor penetrations, sleeves and firestopping identified?</v>
          </cell>
          <cell r="I590" t="str">
            <v>GC / Firestop</v>
          </cell>
          <cell r="J590" t="str">
            <v>Open</v>
          </cell>
          <cell r="K590">
            <v>0</v>
          </cell>
          <cell r="L590">
            <v>0</v>
          </cell>
          <cell r="O590">
            <v>0</v>
          </cell>
          <cell r="P590">
            <v>0</v>
          </cell>
          <cell r="Q590" t="str">
            <v>08|62</v>
          </cell>
        </row>
        <row r="591">
          <cell r="E591" t="str">
            <v>9. OPEN QUESTIONS</v>
          </cell>
          <cell r="G591" t="str">
            <v>B08-Q8</v>
          </cell>
          <cell r="H591" t="str">
            <v>Which hazardous material/abatement steps apply to Level 2 floor penetrations and flooring removal?</v>
          </cell>
          <cell r="I591" t="str">
            <v>GC / IH / COR</v>
          </cell>
          <cell r="J591" t="str">
            <v>Open</v>
          </cell>
          <cell r="K591">
            <v>0</v>
          </cell>
          <cell r="L591">
            <v>0</v>
          </cell>
          <cell r="O591">
            <v>0</v>
          </cell>
          <cell r="P591">
            <v>0</v>
          </cell>
          <cell r="Q591" t="str">
            <v>08|63</v>
          </cell>
        </row>
        <row r="592">
          <cell r="E592" t="str">
            <v>9. OPEN QUESTIONS</v>
          </cell>
          <cell r="G592">
            <v>0</v>
          </cell>
          <cell r="H592">
            <v>0</v>
          </cell>
          <cell r="I592">
            <v>0</v>
          </cell>
          <cell r="J592">
            <v>0</v>
          </cell>
          <cell r="K592">
            <v>0</v>
          </cell>
          <cell r="L592">
            <v>0</v>
          </cell>
          <cell r="O592">
            <v>0</v>
          </cell>
          <cell r="P592">
            <v>0</v>
          </cell>
          <cell r="Q592" t="str">
            <v>08|64</v>
          </cell>
        </row>
        <row r="593">
          <cell r="E593" t="str">
            <v>10. PHOTO LOG</v>
          </cell>
          <cell r="G593" t="str">
            <v>10. PHOTO LOG</v>
          </cell>
          <cell r="H593">
            <v>0</v>
          </cell>
          <cell r="I593">
            <v>0</v>
          </cell>
          <cell r="J593">
            <v>0</v>
          </cell>
          <cell r="K593">
            <v>0</v>
          </cell>
          <cell r="L593">
            <v>0</v>
          </cell>
          <cell r="O593">
            <v>0</v>
          </cell>
          <cell r="P593">
            <v>0</v>
          </cell>
          <cell r="Q593" t="str">
            <v>08|65</v>
          </cell>
        </row>
        <row r="594">
          <cell r="E594" t="str">
            <v>10. PHOTO LOG</v>
          </cell>
          <cell r="G594" t="str">
            <v>Photo ID</v>
          </cell>
          <cell r="H594" t="str">
            <v>Room</v>
          </cell>
          <cell r="I594" t="str">
            <v>Category</v>
          </cell>
          <cell r="J594" t="str">
            <v>Description</v>
          </cell>
          <cell r="K594" t="str">
            <v>Date</v>
          </cell>
          <cell r="L594" t="str">
            <v>Taken By</v>
          </cell>
          <cell r="O594" t="str">
            <v>Status</v>
          </cell>
          <cell r="P594" t="str">
            <v>Notes</v>
          </cell>
          <cell r="Q594" t="str">
            <v>08|66</v>
          </cell>
        </row>
        <row r="595">
          <cell r="E595" t="str">
            <v>10. PHOTO LOG</v>
          </cell>
          <cell r="G595" t="str">
            <v>B08-P001</v>
          </cell>
          <cell r="H595" t="str">
            <v>B-15</v>
          </cell>
          <cell r="I595" t="str">
            <v>Existing Condition</v>
          </cell>
          <cell r="J595" t="str">
            <v>Existing basement TE, legacy patch panels, Fiber LIU, floor UPS and pathways</v>
          </cell>
          <cell r="K595">
            <v>0</v>
          </cell>
          <cell r="L595" t="str">
            <v>Paul</v>
          </cell>
          <cell r="O595" t="str">
            <v>Open</v>
          </cell>
          <cell r="P595">
            <v>0</v>
          </cell>
          <cell r="Q595" t="str">
            <v>08|67</v>
          </cell>
        </row>
        <row r="596">
          <cell r="E596" t="str">
            <v>10. PHOTO LOG</v>
          </cell>
          <cell r="G596" t="str">
            <v>B08-P002</v>
          </cell>
          <cell r="H596" t="str">
            <v>B12B</v>
          </cell>
          <cell r="I596" t="str">
            <v>Existing Condition</v>
          </cell>
          <cell r="J596" t="str">
            <v>Basement B12B office/TE location, door, pathways, receptacles, panel source and penetrations</v>
          </cell>
          <cell r="K596">
            <v>0</v>
          </cell>
          <cell r="L596" t="str">
            <v>Paul</v>
          </cell>
          <cell r="O596" t="str">
            <v>Open</v>
          </cell>
          <cell r="P596">
            <v>0</v>
          </cell>
          <cell r="Q596" t="str">
            <v>08|68</v>
          </cell>
        </row>
        <row r="597">
          <cell r="E597" t="str">
            <v>10. PHOTO LOG</v>
          </cell>
          <cell r="G597" t="str">
            <v>B08-P003</v>
          </cell>
          <cell r="H597" t="str">
            <v>2065A</v>
          </cell>
          <cell r="I597" t="str">
            <v>Existing Condition</v>
          </cell>
          <cell r="J597" t="str">
            <v>Second-floor TR 2065A room, door/walls/ceiling/floor, exterior furring/window, penetrations</v>
          </cell>
          <cell r="K597">
            <v>0</v>
          </cell>
          <cell r="L597" t="str">
            <v>Paul</v>
          </cell>
          <cell r="O597" t="str">
            <v>Open</v>
          </cell>
          <cell r="P597">
            <v>0</v>
          </cell>
          <cell r="Q597" t="str">
            <v>08|69</v>
          </cell>
        </row>
        <row r="598">
          <cell r="E598" t="str">
            <v>10. PHOTO LOG</v>
          </cell>
          <cell r="G598" t="str">
            <v>B08-P004</v>
          </cell>
          <cell r="H598" t="str">
            <v>All</v>
          </cell>
          <cell r="I598" t="str">
            <v>Firestop</v>
          </cell>
          <cell r="J598" t="str">
            <v>All wall/floor/sleeve/tray penetrations before and after firestop</v>
          </cell>
          <cell r="K598">
            <v>0</v>
          </cell>
          <cell r="L598" t="str">
            <v>Paul</v>
          </cell>
          <cell r="O598" t="str">
            <v>Open</v>
          </cell>
          <cell r="P598">
            <v>0</v>
          </cell>
          <cell r="Q598" t="str">
            <v>08|70</v>
          </cell>
        </row>
        <row r="599">
          <cell r="E599" t="str">
            <v>10. PHOTO LOG</v>
          </cell>
          <cell r="G599" t="str">
            <v>B08-P005</v>
          </cell>
          <cell r="H599" t="str">
            <v>2065A</v>
          </cell>
          <cell r="I599" t="str">
            <v>HVAC</v>
          </cell>
          <cell r="J599" t="str">
            <v>IU-2-01/CU-2-01, condensate, thermostat, BACnet adapter, disconnects, high-temp alarm and power</v>
          </cell>
          <cell r="K599">
            <v>0</v>
          </cell>
          <cell r="L599" t="str">
            <v>Paul</v>
          </cell>
          <cell r="O599" t="str">
            <v>Open</v>
          </cell>
          <cell r="P599">
            <v>0</v>
          </cell>
          <cell r="Q599" t="str">
            <v>08|71</v>
          </cell>
        </row>
        <row r="600">
          <cell r="E600" t="str">
            <v>10. PHOTO LOG</v>
          </cell>
          <cell r="G600" t="str">
            <v>B08-P006</v>
          </cell>
          <cell r="H600" t="str">
            <v>All</v>
          </cell>
          <cell r="I600" t="str">
            <v>Electrical</v>
          </cell>
          <cell r="J600" t="str">
            <v>B08-TR2065AA/AB panels, breakers, SPD, rack receptacles, TE receptacle B12B and labels</v>
          </cell>
          <cell r="K600">
            <v>0</v>
          </cell>
          <cell r="L600" t="str">
            <v>Paul</v>
          </cell>
          <cell r="O600" t="str">
            <v>Open</v>
          </cell>
          <cell r="P600">
            <v>0</v>
          </cell>
          <cell r="Q600" t="str">
            <v>08|72</v>
          </cell>
        </row>
        <row r="601">
          <cell r="E601" t="str">
            <v>10. PHOTO LOG</v>
          </cell>
          <cell r="G601" t="str">
            <v>B08-P007</v>
          </cell>
          <cell r="H601" t="str">
            <v>All</v>
          </cell>
          <cell r="I601" t="str">
            <v>Telecom</v>
          </cell>
          <cell r="J601" t="str">
            <v>B-15 legacy equipment, B12B TE schedule, 2065A racks, fiber, Cat6A, patch panels, LIU, labels and test records</v>
          </cell>
          <cell r="K601">
            <v>0</v>
          </cell>
          <cell r="L601" t="str">
            <v>Paul</v>
          </cell>
          <cell r="O601" t="str">
            <v>Open</v>
          </cell>
          <cell r="P601">
            <v>0</v>
          </cell>
          <cell r="Q601" t="str">
            <v>08|73</v>
          </cell>
        </row>
        <row r="602">
          <cell r="E602" t="str">
            <v>10. PHOTO LOG</v>
          </cell>
          <cell r="G602" t="str">
            <v>B08-P008</v>
          </cell>
          <cell r="H602" t="str">
            <v>All</v>
          </cell>
          <cell r="I602" t="str">
            <v>Security</v>
          </cell>
          <cell r="J602" t="str">
            <v>Card reader, electric strike, door position, CCTV/PACS and motion sensors</v>
          </cell>
          <cell r="K602">
            <v>0</v>
          </cell>
          <cell r="L602" t="str">
            <v>Paul</v>
          </cell>
          <cell r="O602" t="str">
            <v>Open</v>
          </cell>
          <cell r="P602">
            <v>0</v>
          </cell>
          <cell r="Q602" t="str">
            <v>08|74</v>
          </cell>
        </row>
        <row r="603">
          <cell r="E603" t="str">
            <v>10. PHOTO LOG</v>
          </cell>
          <cell r="G603">
            <v>0</v>
          </cell>
          <cell r="H603">
            <v>0</v>
          </cell>
          <cell r="I603">
            <v>0</v>
          </cell>
          <cell r="J603">
            <v>0</v>
          </cell>
          <cell r="K603">
            <v>0</v>
          </cell>
          <cell r="L603">
            <v>0</v>
          </cell>
          <cell r="O603">
            <v>0</v>
          </cell>
          <cell r="P603">
            <v>0</v>
          </cell>
          <cell r="Q603" t="str">
            <v>08|75</v>
          </cell>
        </row>
        <row r="604">
          <cell r="E604" t="str">
            <v>1. ROOM INVENTORY</v>
          </cell>
          <cell r="G604" t="str">
            <v>1. ROOM INVENTORY</v>
          </cell>
          <cell r="H604">
            <v>0</v>
          </cell>
          <cell r="I604">
            <v>0</v>
          </cell>
          <cell r="J604">
            <v>0</v>
          </cell>
          <cell r="K604">
            <v>0</v>
          </cell>
          <cell r="L604">
            <v>0</v>
          </cell>
          <cell r="O604">
            <v>0</v>
          </cell>
          <cell r="P604">
            <v>0</v>
          </cell>
          <cell r="Q604" t="str">
            <v>09|1</v>
          </cell>
        </row>
        <row r="605">
          <cell r="E605" t="str">
            <v>1. ROOM INVENTORY</v>
          </cell>
          <cell r="G605" t="str">
            <v>Building</v>
          </cell>
          <cell r="H605" t="str">
            <v>Room</v>
          </cell>
          <cell r="I605" t="str">
            <v>Floor</v>
          </cell>
          <cell r="J605" t="str">
            <v>Existing Use</v>
          </cell>
          <cell r="K605" t="str">
            <v>New Use</v>
          </cell>
          <cell r="L605" t="str">
            <v>Rack Count</v>
          </cell>
          <cell r="O605" t="str">
            <v>Drawing Ref</v>
          </cell>
          <cell r="P605" t="str">
            <v>Notes</v>
          </cell>
          <cell r="Q605" t="str">
            <v>09|2</v>
          </cell>
        </row>
        <row r="606">
          <cell r="E606" t="str">
            <v>1. ROOM INVENTORY</v>
          </cell>
          <cell r="G606" t="str">
            <v>09</v>
          </cell>
          <cell r="H606" t="str">
            <v>B01</v>
          </cell>
          <cell r="I606" t="str">
            <v>Basement</v>
          </cell>
          <cell r="J606" t="str">
            <v>Storage / existing telecom equipment area</v>
          </cell>
          <cell r="K606" t="str">
            <v>Telecom Room</v>
          </cell>
          <cell r="L606">
            <v>2</v>
          </cell>
          <cell r="O606" t="str">
            <v>09A-400 / 09E-402 / 09T-604 / 09E-701</v>
          </cell>
          <cell r="P606" t="str">
            <v>Telecom Room B01, 200 SF; existing/new telecom equipment shown with panels B09-TRB01A/B and cooling circuits CU-0-1, CU-1-1, CU-2-1 in electrical schedule/enlarged plans.</v>
          </cell>
          <cell r="Q606" t="str">
            <v>09|3</v>
          </cell>
        </row>
        <row r="607">
          <cell r="E607" t="str">
            <v>1. ROOM INVENTORY</v>
          </cell>
          <cell r="G607" t="str">
            <v>09</v>
          </cell>
          <cell r="H607" t="str">
            <v>104B</v>
          </cell>
          <cell r="I607" t="str">
            <v>First</v>
          </cell>
          <cell r="J607" t="str">
            <v>Interview room / existing area converted</v>
          </cell>
          <cell r="K607" t="str">
            <v>Telecom Room</v>
          </cell>
          <cell r="L607">
            <v>2</v>
          </cell>
          <cell r="O607" t="str">
            <v>09A-401 / 09E-401 / 09T-604 / 09E-701</v>
          </cell>
          <cell r="P607" t="str">
            <v>Telecom Room 104B, 85 SF; panels B09-TR104BA/B shown; first-level enlarged plans identify access control/security devices, IU-1-01, and TR receptacle/rack circuiting.</v>
          </cell>
          <cell r="Q607" t="str">
            <v>09|4</v>
          </cell>
        </row>
        <row r="608">
          <cell r="E608" t="str">
            <v>1. ROOM INVENTORY</v>
          </cell>
          <cell r="G608" t="str">
            <v>09</v>
          </cell>
          <cell r="H608" t="str">
            <v>206A</v>
          </cell>
          <cell r="I608" t="str">
            <v>Second</v>
          </cell>
          <cell r="J608" t="str">
            <v>Nursing service / adjacent office area</v>
          </cell>
          <cell r="K608" t="str">
            <v>Telecom Room</v>
          </cell>
          <cell r="L608">
            <v>2</v>
          </cell>
          <cell r="O608" t="str">
            <v>09A-401 / 09E-401 / 09T-604 / 09E-701</v>
          </cell>
          <cell r="P608" t="str">
            <v>Telecom Room 206A, 120 SF; panels B09-TR206AA/B shown; second-level enlarged plans identify IU-2-01, TR circuits, security devices, and room layout adjacent to Nursing Service 206.</v>
          </cell>
          <cell r="Q608" t="str">
            <v>09|5</v>
          </cell>
        </row>
        <row r="609">
          <cell r="E609" t="str">
            <v>1. ROOM INVENTORY</v>
          </cell>
          <cell r="G609">
            <v>0</v>
          </cell>
          <cell r="H609">
            <v>0</v>
          </cell>
          <cell r="I609">
            <v>0</v>
          </cell>
          <cell r="J609">
            <v>0</v>
          </cell>
          <cell r="K609">
            <v>0</v>
          </cell>
          <cell r="L609">
            <v>0</v>
          </cell>
          <cell r="O609">
            <v>0</v>
          </cell>
          <cell r="P609">
            <v>0</v>
          </cell>
          <cell r="Q609" t="str">
            <v>09|6</v>
          </cell>
        </row>
        <row r="610">
          <cell r="E610" t="str">
            <v>2. ROOM READINESS</v>
          </cell>
          <cell r="G610" t="str">
            <v>2. ROOM READINESS</v>
          </cell>
          <cell r="H610">
            <v>0</v>
          </cell>
          <cell r="I610">
            <v>0</v>
          </cell>
          <cell r="J610">
            <v>0</v>
          </cell>
          <cell r="K610">
            <v>0</v>
          </cell>
          <cell r="L610">
            <v>0</v>
          </cell>
          <cell r="O610">
            <v>0</v>
          </cell>
          <cell r="P610">
            <v>0</v>
          </cell>
          <cell r="Q610" t="str">
            <v>09|7</v>
          </cell>
        </row>
        <row r="611">
          <cell r="E611" t="str">
            <v>2. ROOM READINESS</v>
          </cell>
          <cell r="G611" t="str">
            <v>Room</v>
          </cell>
          <cell r="H611" t="str">
            <v>Walls / 1-hr Rating</v>
          </cell>
          <cell r="I611" t="str">
            <v>Ceiling</v>
          </cell>
          <cell r="J611" t="str">
            <v>Floor / SDC</v>
          </cell>
          <cell r="K611" t="str">
            <v>Penetrations</v>
          </cell>
          <cell r="L611" t="str">
            <v>Access Control</v>
          </cell>
          <cell r="O611" t="str">
            <v>Overall</v>
          </cell>
          <cell r="P611" t="str">
            <v>Comments</v>
          </cell>
          <cell r="Q611" t="str">
            <v>09|8</v>
          </cell>
        </row>
        <row r="612">
          <cell r="E612" t="str">
            <v>2. ROOM READINESS</v>
          </cell>
          <cell r="G612" t="str">
            <v>B01</v>
          </cell>
          <cell r="H612" t="str">
            <v>Verify</v>
          </cell>
          <cell r="I612" t="str">
            <v>Verify</v>
          </cell>
          <cell r="J612" t="str">
            <v>Verify</v>
          </cell>
          <cell r="K612" t="str">
            <v>Verify</v>
          </cell>
          <cell r="L612" t="str">
            <v>Verify</v>
          </cell>
          <cell r="O612" t="str">
            <v>Verify</v>
          </cell>
          <cell r="P612" t="str">
            <v>Basement TR; verify existing storage-to-TR conversion, wall/ceiling/floor condition, active equipment, pathways, and clearances.</v>
          </cell>
          <cell r="Q612" t="str">
            <v>09|9</v>
          </cell>
        </row>
        <row r="613">
          <cell r="E613" t="str">
            <v>2. ROOM READINESS</v>
          </cell>
          <cell r="G613" t="str">
            <v>104B</v>
          </cell>
          <cell r="H613" t="str">
            <v>Verify</v>
          </cell>
          <cell r="I613" t="str">
            <v>Verify</v>
          </cell>
          <cell r="J613" t="str">
            <v>Verify</v>
          </cell>
          <cell r="K613" t="str">
            <v>Verify</v>
          </cell>
          <cell r="L613" t="str">
            <v>Verify</v>
          </cell>
          <cell r="O613" t="str">
            <v>Verify</v>
          </cell>
          <cell r="P613" t="str">
            <v>First-level TR; verify 1-hour fire/smoke-rated wall requirements, 45-minute door/frame, access control, security devices, and equipment clearance.</v>
          </cell>
          <cell r="Q613" t="str">
            <v>09|10</v>
          </cell>
        </row>
        <row r="614">
          <cell r="E614" t="str">
            <v>2. ROOM READINESS</v>
          </cell>
          <cell r="G614" t="str">
            <v>206A</v>
          </cell>
          <cell r="H614" t="str">
            <v>Verify</v>
          </cell>
          <cell r="I614" t="str">
            <v>Verify</v>
          </cell>
          <cell r="J614" t="str">
            <v>Verify</v>
          </cell>
          <cell r="K614" t="str">
            <v>Verify</v>
          </cell>
          <cell r="L614" t="str">
            <v>Verify</v>
          </cell>
          <cell r="O614" t="str">
            <v>Verify</v>
          </cell>
          <cell r="P614" t="str">
            <v>Second-level TR; verify rated wall/door, open-to-deck conditions, penetrations, cooling unit, and rack/service clearance.</v>
          </cell>
          <cell r="Q614" t="str">
            <v>09|11</v>
          </cell>
        </row>
        <row r="615">
          <cell r="E615" t="str">
            <v>2. ROOM READINESS</v>
          </cell>
          <cell r="G615">
            <v>0</v>
          </cell>
          <cell r="H615">
            <v>0</v>
          </cell>
          <cell r="I615">
            <v>0</v>
          </cell>
          <cell r="J615">
            <v>0</v>
          </cell>
          <cell r="K615">
            <v>0</v>
          </cell>
          <cell r="L615">
            <v>0</v>
          </cell>
          <cell r="O615">
            <v>0</v>
          </cell>
          <cell r="P615">
            <v>0</v>
          </cell>
          <cell r="Q615" t="str">
            <v>09|12</v>
          </cell>
        </row>
        <row r="616">
          <cell r="E616" t="str">
            <v>3. FIRE PROTECTION</v>
          </cell>
          <cell r="G616" t="str">
            <v>3. FIRE PROTECTION</v>
          </cell>
          <cell r="H616">
            <v>0</v>
          </cell>
          <cell r="I616">
            <v>0</v>
          </cell>
          <cell r="J616">
            <v>0</v>
          </cell>
          <cell r="K616">
            <v>0</v>
          </cell>
          <cell r="L616">
            <v>0</v>
          </cell>
          <cell r="O616">
            <v>0</v>
          </cell>
          <cell r="P616">
            <v>0</v>
          </cell>
          <cell r="Q616" t="str">
            <v>09|13</v>
          </cell>
        </row>
        <row r="617">
          <cell r="E617" t="str">
            <v>3. FIRE PROTECTION</v>
          </cell>
          <cell r="G617" t="str">
            <v>Room</v>
          </cell>
          <cell r="H617" t="str">
            <v>Sprinkler</v>
          </cell>
          <cell r="I617" t="str">
            <v>Cage</v>
          </cell>
          <cell r="J617" t="str">
            <v>Detector</v>
          </cell>
          <cell r="K617" t="str">
            <v>Horn/Strobe</v>
          </cell>
          <cell r="L617" t="str">
            <v>Extinguisher &lt;75 ft</v>
          </cell>
          <cell r="O617" t="str">
            <v>Overall</v>
          </cell>
          <cell r="P617" t="str">
            <v>Risk / Notes</v>
          </cell>
          <cell r="Q617" t="str">
            <v>09|14</v>
          </cell>
        </row>
        <row r="618">
          <cell r="E618" t="str">
            <v>3. FIRE PROTECTION</v>
          </cell>
          <cell r="G618" t="str">
            <v>B01</v>
          </cell>
          <cell r="H618" t="str">
            <v>Verify</v>
          </cell>
          <cell r="I618" t="str">
            <v>Verify</v>
          </cell>
          <cell r="J618" t="str">
            <v>Verify</v>
          </cell>
          <cell r="K618" t="str">
            <v>Verify</v>
          </cell>
          <cell r="L618" t="str">
            <v>Verify</v>
          </cell>
          <cell r="O618" t="str">
            <v>Verify</v>
          </cell>
          <cell r="P618" t="str">
            <v>Fully sprinklered building; verify sprinkler head coverage, rated penetrations, temporary firestopping, and FEC location for basement TR.</v>
          </cell>
          <cell r="Q618" t="str">
            <v>09|15</v>
          </cell>
        </row>
        <row r="619">
          <cell r="E619" t="str">
            <v>3. FIRE PROTECTION</v>
          </cell>
          <cell r="G619" t="str">
            <v>104B</v>
          </cell>
          <cell r="H619" t="str">
            <v>Verify</v>
          </cell>
          <cell r="I619" t="str">
            <v>Verify</v>
          </cell>
          <cell r="J619" t="str">
            <v>Verify</v>
          </cell>
          <cell r="K619" t="str">
            <v>Verify</v>
          </cell>
          <cell r="L619" t="str">
            <v>Verify</v>
          </cell>
          <cell r="O619" t="str">
            <v>Verify</v>
          </cell>
          <cell r="P619" t="str">
            <v>Fire protection enlarged plan shows Telecom Room 104B and rated wall legend; verify sprinkler/fire alarm modifications and clean-agent extinguisher within 75 ft.</v>
          </cell>
          <cell r="Q619" t="str">
            <v>09|16</v>
          </cell>
        </row>
        <row r="620">
          <cell r="E620" t="str">
            <v>3. FIRE PROTECTION</v>
          </cell>
          <cell r="G620" t="str">
            <v>206A</v>
          </cell>
          <cell r="H620" t="str">
            <v>Verify</v>
          </cell>
          <cell r="I620" t="str">
            <v>Verify</v>
          </cell>
          <cell r="J620" t="str">
            <v>Verify</v>
          </cell>
          <cell r="K620" t="str">
            <v>Verify</v>
          </cell>
          <cell r="L620" t="str">
            <v>Verify</v>
          </cell>
          <cell r="O620" t="str">
            <v>Verify</v>
          </cell>
          <cell r="P620" t="str">
            <v>Fire protection enlarged plan shows Telecom Room 206A; verify sprinkler cage/coverage, fire alarm device relocation/additions, and rated penetrations.</v>
          </cell>
          <cell r="Q620" t="str">
            <v>09|17</v>
          </cell>
        </row>
        <row r="621">
          <cell r="E621" t="str">
            <v>3. FIRE PROTECTION</v>
          </cell>
          <cell r="G621">
            <v>0</v>
          </cell>
          <cell r="H621">
            <v>0</v>
          </cell>
          <cell r="I621">
            <v>0</v>
          </cell>
          <cell r="J621">
            <v>0</v>
          </cell>
          <cell r="K621">
            <v>0</v>
          </cell>
          <cell r="L621">
            <v>0</v>
          </cell>
          <cell r="O621">
            <v>0</v>
          </cell>
          <cell r="P621">
            <v>0</v>
          </cell>
          <cell r="Q621" t="str">
            <v>09|18</v>
          </cell>
        </row>
        <row r="622">
          <cell r="E622" t="str">
            <v>4. HVAC / COOLING</v>
          </cell>
          <cell r="G622" t="str">
            <v>4. HVAC / COOLING</v>
          </cell>
          <cell r="H622">
            <v>0</v>
          </cell>
          <cell r="I622">
            <v>0</v>
          </cell>
          <cell r="J622">
            <v>0</v>
          </cell>
          <cell r="K622">
            <v>0</v>
          </cell>
          <cell r="L622">
            <v>0</v>
          </cell>
          <cell r="O622">
            <v>0</v>
          </cell>
          <cell r="P622">
            <v>0</v>
          </cell>
          <cell r="Q622" t="str">
            <v>09|19</v>
          </cell>
        </row>
        <row r="623">
          <cell r="E623" t="str">
            <v>4. HVAC / COOLING</v>
          </cell>
          <cell r="G623" t="str">
            <v>Room</v>
          </cell>
          <cell r="H623" t="str">
            <v>Dedicated Unit</v>
          </cell>
          <cell r="I623" t="str">
            <v>Capacity Verified</v>
          </cell>
          <cell r="J623" t="str">
            <v>Emergency Power</v>
          </cell>
          <cell r="K623" t="str">
            <v>Controls / BACnet</v>
          </cell>
          <cell r="L623" t="str">
            <v>Condensate Routed</v>
          </cell>
          <cell r="O623" t="str">
            <v>Overall</v>
          </cell>
          <cell r="P623" t="str">
            <v>Risk / Notes</v>
          </cell>
          <cell r="Q623" t="str">
            <v>09|20</v>
          </cell>
        </row>
        <row r="624">
          <cell r="E624" t="str">
            <v>4. HVAC / COOLING</v>
          </cell>
          <cell r="G624" t="str">
            <v>B01</v>
          </cell>
          <cell r="H624" t="str">
            <v>IU-0-01 / CU-0-1</v>
          </cell>
          <cell r="I624" t="str">
            <v>Verify</v>
          </cell>
          <cell r="J624" t="str">
            <v>Verify</v>
          </cell>
          <cell r="K624" t="str">
            <v>Verify</v>
          </cell>
          <cell r="L624" t="str">
            <v>Verify</v>
          </cell>
          <cell r="O624" t="str">
            <v>Verify</v>
          </cell>
          <cell r="P624" t="str">
            <v>Electrical enlarged/panel data identifies CU-0-1 serving basement work; verify mechanical schedule, emergency source, condensate, controls and alarms.</v>
          </cell>
          <cell r="Q624" t="str">
            <v>09|21</v>
          </cell>
        </row>
        <row r="625">
          <cell r="E625" t="str">
            <v>4. HVAC / COOLING</v>
          </cell>
          <cell r="G625" t="str">
            <v>104B</v>
          </cell>
          <cell r="H625" t="str">
            <v>IU-1-01 / CU-1-1</v>
          </cell>
          <cell r="I625" t="str">
            <v>Verify</v>
          </cell>
          <cell r="J625" t="str">
            <v>Verify</v>
          </cell>
          <cell r="K625" t="str">
            <v>Verify</v>
          </cell>
          <cell r="L625" t="str">
            <v>Verify</v>
          </cell>
          <cell r="O625" t="str">
            <v>Verify</v>
          </cell>
          <cell r="P625" t="str">
            <v>Electrical enlarged plan identifies IU-1-01 in Telecom Room 104B and CU-1-1; verify dedicated 24/7 cooling and emergency power.</v>
          </cell>
          <cell r="Q625" t="str">
            <v>09|22</v>
          </cell>
        </row>
        <row r="626">
          <cell r="E626" t="str">
            <v>4. HVAC / COOLING</v>
          </cell>
          <cell r="G626" t="str">
            <v>206A</v>
          </cell>
          <cell r="H626" t="str">
            <v>IU-2-01 / CU-2-1</v>
          </cell>
          <cell r="I626" t="str">
            <v>Verify</v>
          </cell>
          <cell r="J626" t="str">
            <v>Verify</v>
          </cell>
          <cell r="K626" t="str">
            <v>Verify</v>
          </cell>
          <cell r="L626" t="str">
            <v>Verify</v>
          </cell>
          <cell r="O626" t="str">
            <v>Verify</v>
          </cell>
          <cell r="P626" t="str">
            <v>Electrical enlarged plan identifies IU-2-01 in Telecom Room 206A and CU-2-1; verify dedicated 24/7 cooling and emergency power.</v>
          </cell>
          <cell r="Q626" t="str">
            <v>09|23</v>
          </cell>
        </row>
        <row r="627">
          <cell r="E627" t="str">
            <v>4. HVAC / COOLING</v>
          </cell>
          <cell r="G627">
            <v>0</v>
          </cell>
          <cell r="H627">
            <v>0</v>
          </cell>
          <cell r="I627">
            <v>0</v>
          </cell>
          <cell r="J627">
            <v>0</v>
          </cell>
          <cell r="K627">
            <v>0</v>
          </cell>
          <cell r="L627">
            <v>0</v>
          </cell>
          <cell r="O627">
            <v>0</v>
          </cell>
          <cell r="P627">
            <v>0</v>
          </cell>
          <cell r="Q627" t="str">
            <v>09|24</v>
          </cell>
        </row>
        <row r="628">
          <cell r="E628" t="str">
            <v>5. ELECTRICAL / UPS</v>
          </cell>
          <cell r="G628" t="str">
            <v>5. ELECTRICAL / UPS</v>
          </cell>
          <cell r="H628">
            <v>0</v>
          </cell>
          <cell r="I628">
            <v>0</v>
          </cell>
          <cell r="J628">
            <v>0</v>
          </cell>
          <cell r="K628">
            <v>0</v>
          </cell>
          <cell r="L628">
            <v>0</v>
          </cell>
          <cell r="O628">
            <v>0</v>
          </cell>
          <cell r="P628">
            <v>0</v>
          </cell>
          <cell r="Q628" t="str">
            <v>09|25</v>
          </cell>
        </row>
        <row r="629">
          <cell r="E629" t="str">
            <v>5. ELECTRICAL / UPS</v>
          </cell>
          <cell r="G629" t="str">
            <v>Room</v>
          </cell>
          <cell r="H629" t="str">
            <v>UPS Installed</v>
          </cell>
          <cell r="I629" t="str">
            <v>UPS Size</v>
          </cell>
          <cell r="J629" t="str">
            <v>PDU Installed</v>
          </cell>
          <cell r="K629" t="str">
            <v>Rack Receptacles</v>
          </cell>
          <cell r="L629" t="str">
            <v>Panel Assigned</v>
          </cell>
          <cell r="O629" t="str">
            <v>Overall</v>
          </cell>
          <cell r="P629" t="str">
            <v>Notes</v>
          </cell>
          <cell r="Q629" t="str">
            <v>09|26</v>
          </cell>
        </row>
        <row r="630">
          <cell r="E630" t="str">
            <v>5. ELECTRICAL / UPS</v>
          </cell>
          <cell r="G630" t="str">
            <v>B01</v>
          </cell>
          <cell r="H630" t="str">
            <v>Verify</v>
          </cell>
          <cell r="I630" t="str">
            <v>5 kW / rack equipment</v>
          </cell>
          <cell r="J630" t="str">
            <v>Verify</v>
          </cell>
          <cell r="K630" t="str">
            <v>Verify</v>
          </cell>
          <cell r="L630" t="str">
            <v>B09-TRB01A / B09-TRB01B / B09-EP-TR</v>
          </cell>
          <cell r="O630" t="str">
            <v>Verify</v>
          </cell>
          <cell r="P630" t="str">
            <v>Panel schedule lists B09-TRB01A/B in Telecom Room B01 with 208Y/120V panels, rack receptacles, access controller, mechanical equipment, lighting and SPD notes.</v>
          </cell>
          <cell r="Q630" t="str">
            <v>09|27</v>
          </cell>
        </row>
        <row r="631">
          <cell r="E631" t="str">
            <v>5. ELECTRICAL / UPS</v>
          </cell>
          <cell r="G631" t="str">
            <v>104B</v>
          </cell>
          <cell r="H631" t="str">
            <v>Verify</v>
          </cell>
          <cell r="I631" t="str">
            <v>5 kW / rack equipment</v>
          </cell>
          <cell r="J631" t="str">
            <v>Verify</v>
          </cell>
          <cell r="K631" t="str">
            <v>Verify</v>
          </cell>
          <cell r="L631" t="str">
            <v>B09-TR104BA / B09-TR104BB</v>
          </cell>
          <cell r="O631" t="str">
            <v>Verify</v>
          </cell>
          <cell r="P631" t="str">
            <v>Electrical enlarged plan shows panel references B09-TR104BA/B, IU-1-01, security devices, lighting and receptacle/rack circuits.</v>
          </cell>
          <cell r="Q631" t="str">
            <v>09|28</v>
          </cell>
        </row>
        <row r="632">
          <cell r="E632" t="str">
            <v>5. ELECTRICAL / UPS</v>
          </cell>
          <cell r="G632" t="str">
            <v>206A</v>
          </cell>
          <cell r="H632" t="str">
            <v>Verify</v>
          </cell>
          <cell r="I632" t="str">
            <v>5 kW / rack equipment</v>
          </cell>
          <cell r="J632" t="str">
            <v>Verify</v>
          </cell>
          <cell r="K632" t="str">
            <v>Verify</v>
          </cell>
          <cell r="L632" t="str">
            <v>B09-TR206AA / B09-TR206AB</v>
          </cell>
          <cell r="O632" t="str">
            <v>Verify</v>
          </cell>
          <cell r="P632" t="str">
            <v>Electrical enlarged plan shows panel references B09-TR206AA/B, IU-2-01, security devices, lighting and receptacle/rack circuits.</v>
          </cell>
          <cell r="Q632" t="str">
            <v>09|29</v>
          </cell>
        </row>
        <row r="633">
          <cell r="E633" t="str">
            <v>5. ELECTRICAL / UPS</v>
          </cell>
          <cell r="G633">
            <v>0</v>
          </cell>
          <cell r="H633">
            <v>0</v>
          </cell>
          <cell r="I633">
            <v>0</v>
          </cell>
          <cell r="J633">
            <v>0</v>
          </cell>
          <cell r="K633">
            <v>0</v>
          </cell>
          <cell r="L633">
            <v>0</v>
          </cell>
          <cell r="O633">
            <v>0</v>
          </cell>
          <cell r="P633">
            <v>0</v>
          </cell>
          <cell r="Q633" t="str">
            <v>09|30</v>
          </cell>
        </row>
        <row r="634">
          <cell r="E634" t="str">
            <v>6. TELECOMMUNICATIONS</v>
          </cell>
          <cell r="G634" t="str">
            <v>6. TELECOMMUNICATIONS</v>
          </cell>
          <cell r="H634">
            <v>0</v>
          </cell>
          <cell r="I634">
            <v>0</v>
          </cell>
          <cell r="J634">
            <v>0</v>
          </cell>
          <cell r="K634">
            <v>0</v>
          </cell>
          <cell r="L634">
            <v>0</v>
          </cell>
          <cell r="O634">
            <v>0</v>
          </cell>
          <cell r="P634">
            <v>0</v>
          </cell>
          <cell r="Q634" t="str">
            <v>09|31</v>
          </cell>
        </row>
        <row r="635">
          <cell r="E635" t="str">
            <v>6. TELECOMMUNICATIONS</v>
          </cell>
          <cell r="G635" t="str">
            <v>Room</v>
          </cell>
          <cell r="H635" t="str">
            <v>Rack Installed</v>
          </cell>
          <cell r="I635" t="str">
            <v>Ladder Tray</v>
          </cell>
          <cell r="J635" t="str">
            <v>Fiber Installed</v>
          </cell>
          <cell r="K635" t="str">
            <v>Grounding</v>
          </cell>
          <cell r="L635" t="str">
            <v>Labeling</v>
          </cell>
          <cell r="O635" t="str">
            <v>Overall</v>
          </cell>
          <cell r="P635" t="str">
            <v>Notes</v>
          </cell>
          <cell r="Q635" t="str">
            <v>09|32</v>
          </cell>
        </row>
        <row r="636">
          <cell r="E636" t="str">
            <v>6. TELECOMMUNICATIONS</v>
          </cell>
          <cell r="G636" t="str">
            <v>B01</v>
          </cell>
          <cell r="H636" t="str">
            <v>Verify</v>
          </cell>
          <cell r="I636" t="str">
            <v>Verify</v>
          </cell>
          <cell r="J636" t="str">
            <v>Verify</v>
          </cell>
          <cell r="K636" t="str">
            <v>Verify</v>
          </cell>
          <cell r="L636" t="str">
            <v>Verify</v>
          </cell>
          <cell r="O636" t="str">
            <v>Verify</v>
          </cell>
          <cell r="P636" t="str">
            <v>Fiber riser identifies Building 09 basement B01 with two-rack TR; verify rack elevations, fiber Path A/B, Cat6A replacement, LIU, bonding and cutover.</v>
          </cell>
          <cell r="Q636" t="str">
            <v>09|33</v>
          </cell>
        </row>
        <row r="637">
          <cell r="E637" t="str">
            <v>6. TELECOMMUNICATIONS</v>
          </cell>
          <cell r="G637" t="str">
            <v>104B</v>
          </cell>
          <cell r="H637" t="str">
            <v>Verify</v>
          </cell>
          <cell r="I637" t="str">
            <v>Verify</v>
          </cell>
          <cell r="J637" t="str">
            <v>Verify</v>
          </cell>
          <cell r="K637" t="str">
            <v>Verify</v>
          </cell>
          <cell r="L637" t="str">
            <v>Verify</v>
          </cell>
          <cell r="O637" t="str">
            <v>Verify</v>
          </cell>
          <cell r="P637" t="str">
            <v>Fiber riser identifies first-level Room 104B with two-rack TR; verify rack elevation details, patch panels, UPS/PDU, fiber LIU, grounding and test records.</v>
          </cell>
          <cell r="Q637" t="str">
            <v>09|34</v>
          </cell>
        </row>
        <row r="638">
          <cell r="E638" t="str">
            <v>6. TELECOMMUNICATIONS</v>
          </cell>
          <cell r="G638" t="str">
            <v>206A</v>
          </cell>
          <cell r="H638" t="str">
            <v>Verify</v>
          </cell>
          <cell r="I638" t="str">
            <v>Verify</v>
          </cell>
          <cell r="J638" t="str">
            <v>Verify</v>
          </cell>
          <cell r="K638" t="str">
            <v>Verify</v>
          </cell>
          <cell r="L638" t="str">
            <v>Verify</v>
          </cell>
          <cell r="O638" t="str">
            <v>Verify</v>
          </cell>
          <cell r="P638" t="str">
            <v>Fiber riser identifies second-level Room 206A with two-rack TR; verify rack elevation details, patch panels, UPS/PDU, fiber LIU, grounding and test records.</v>
          </cell>
          <cell r="Q638" t="str">
            <v>09|35</v>
          </cell>
        </row>
        <row r="639">
          <cell r="E639" t="str">
            <v>6. TELECOMMUNICATIONS</v>
          </cell>
          <cell r="G639">
            <v>0</v>
          </cell>
          <cell r="H639">
            <v>0</v>
          </cell>
          <cell r="I639">
            <v>0</v>
          </cell>
          <cell r="J639">
            <v>0</v>
          </cell>
          <cell r="K639">
            <v>0</v>
          </cell>
          <cell r="L639">
            <v>0</v>
          </cell>
          <cell r="O639">
            <v>0</v>
          </cell>
          <cell r="P639">
            <v>0</v>
          </cell>
          <cell r="Q639" t="str">
            <v>09|36</v>
          </cell>
        </row>
        <row r="640">
          <cell r="E640" t="str">
            <v>7. SECURITY / PACS / CCTV</v>
          </cell>
          <cell r="G640" t="str">
            <v>7. SECURITY / PACS / CCTV</v>
          </cell>
          <cell r="H640">
            <v>0</v>
          </cell>
          <cell r="I640">
            <v>0</v>
          </cell>
          <cell r="J640">
            <v>0</v>
          </cell>
          <cell r="K640">
            <v>0</v>
          </cell>
          <cell r="L640">
            <v>0</v>
          </cell>
          <cell r="O640">
            <v>0</v>
          </cell>
          <cell r="P640">
            <v>0</v>
          </cell>
          <cell r="Q640" t="str">
            <v>09|37</v>
          </cell>
        </row>
        <row r="641">
          <cell r="E641" t="str">
            <v>7. SECURITY / PACS / CCTV</v>
          </cell>
          <cell r="G641" t="str">
            <v>Room</v>
          </cell>
          <cell r="H641" t="str">
            <v>PACS</v>
          </cell>
          <cell r="I641" t="str">
            <v>Card Reader</v>
          </cell>
          <cell r="J641" t="str">
            <v>Door Position</v>
          </cell>
          <cell r="K641" t="str">
            <v>Electric Strike</v>
          </cell>
          <cell r="L641" t="str">
            <v>CCTV</v>
          </cell>
          <cell r="O641" t="str">
            <v>Overall</v>
          </cell>
          <cell r="P641" t="str">
            <v>Notes</v>
          </cell>
          <cell r="Q641" t="str">
            <v>09|38</v>
          </cell>
        </row>
        <row r="642">
          <cell r="E642" t="str">
            <v>7. SECURITY / PACS / CCTV</v>
          </cell>
          <cell r="G642" t="str">
            <v>B01</v>
          </cell>
          <cell r="H642" t="str">
            <v>Verify</v>
          </cell>
          <cell r="I642" t="str">
            <v>Verify</v>
          </cell>
          <cell r="J642" t="str">
            <v>Verify</v>
          </cell>
          <cell r="K642" t="str">
            <v>Verify</v>
          </cell>
          <cell r="L642" t="str">
            <v>Verify</v>
          </cell>
          <cell r="O642" t="str">
            <v>Verify</v>
          </cell>
          <cell r="P642" t="str">
            <v>Enlarged plans show existing/new security boxes, network door controller, camera/security scope; verify PACS/CCTV integration and protection of active security systems.</v>
          </cell>
          <cell r="Q642" t="str">
            <v>09|39</v>
          </cell>
        </row>
        <row r="643">
          <cell r="E643" t="str">
            <v>7. SECURITY / PACS / CCTV</v>
          </cell>
          <cell r="G643" t="str">
            <v>104B</v>
          </cell>
          <cell r="H643" t="str">
            <v>Verify</v>
          </cell>
          <cell r="I643" t="str">
            <v>Verify</v>
          </cell>
          <cell r="J643" t="str">
            <v>Verify</v>
          </cell>
          <cell r="K643" t="str">
            <v>Verify</v>
          </cell>
          <cell r="L643" t="str">
            <v>Verify</v>
          </cell>
          <cell r="O643" t="str">
            <v>Verify</v>
          </cell>
          <cell r="P643" t="str">
            <v>First-level enlarged plan shows CR/RX/DC/ES/MD-type device symbols and 104B camera designation; verify card reader, electric strike, door contact, motion and camera.</v>
          </cell>
          <cell r="Q643" t="str">
            <v>09|40</v>
          </cell>
        </row>
        <row r="644">
          <cell r="E644" t="str">
            <v>7. SECURITY / PACS / CCTV</v>
          </cell>
          <cell r="G644" t="str">
            <v>206A</v>
          </cell>
          <cell r="H644" t="str">
            <v>Verify</v>
          </cell>
          <cell r="I644" t="str">
            <v>Verify</v>
          </cell>
          <cell r="J644" t="str">
            <v>Verify</v>
          </cell>
          <cell r="K644" t="str">
            <v>Verify</v>
          </cell>
          <cell r="L644" t="str">
            <v>Verify</v>
          </cell>
          <cell r="O644" t="str">
            <v>Verify</v>
          </cell>
          <cell r="P644" t="str">
            <v>Second-level enlarged plan shows CR/RX/DC/ES/MD-type device symbols and 206A camera designation; verify PACS/VMS integration and commissioning.</v>
          </cell>
          <cell r="Q644" t="str">
            <v>09|41</v>
          </cell>
        </row>
        <row r="645">
          <cell r="E645" t="str">
            <v>7. SECURITY / PACS / CCTV</v>
          </cell>
          <cell r="G645">
            <v>0</v>
          </cell>
          <cell r="H645">
            <v>0</v>
          </cell>
          <cell r="I645">
            <v>0</v>
          </cell>
          <cell r="J645">
            <v>0</v>
          </cell>
          <cell r="K645">
            <v>0</v>
          </cell>
          <cell r="L645">
            <v>0</v>
          </cell>
          <cell r="O645">
            <v>0</v>
          </cell>
          <cell r="P645">
            <v>0</v>
          </cell>
          <cell r="Q645" t="str">
            <v>09|42</v>
          </cell>
        </row>
        <row r="646">
          <cell r="E646" t="str">
            <v>8. OWNER RISKS</v>
          </cell>
          <cell r="G646" t="str">
            <v>8. OWNER RISKS</v>
          </cell>
          <cell r="H646">
            <v>0</v>
          </cell>
          <cell r="I646">
            <v>0</v>
          </cell>
          <cell r="J646">
            <v>0</v>
          </cell>
          <cell r="K646">
            <v>0</v>
          </cell>
          <cell r="L646">
            <v>0</v>
          </cell>
          <cell r="O646">
            <v>0</v>
          </cell>
          <cell r="P646">
            <v>0</v>
          </cell>
          <cell r="Q646" t="str">
            <v>09|43</v>
          </cell>
        </row>
        <row r="647">
          <cell r="E647" t="str">
            <v>8. OWNER RISKS</v>
          </cell>
          <cell r="G647" t="str">
            <v>Risk ID</v>
          </cell>
          <cell r="H647" t="str">
            <v>Room</v>
          </cell>
          <cell r="I647" t="str">
            <v>Risk</v>
          </cell>
          <cell r="J647" t="str">
            <v>Impact</v>
          </cell>
          <cell r="K647" t="str">
            <v>Probability</v>
          </cell>
          <cell r="L647" t="str">
            <v>Score</v>
          </cell>
          <cell r="O647" t="str">
            <v>Status</v>
          </cell>
          <cell r="P647" t="str">
            <v>Notes</v>
          </cell>
          <cell r="Q647" t="str">
            <v>09|44</v>
          </cell>
        </row>
        <row r="648">
          <cell r="E648" t="str">
            <v>8. OWNER RISKS</v>
          </cell>
          <cell r="G648" t="str">
            <v>B09-R1</v>
          </cell>
          <cell r="H648" t="str">
            <v>All</v>
          </cell>
          <cell r="I648" t="str">
            <v>Existing conditions for B01, 104B and 206A not field verified</v>
          </cell>
          <cell r="J648" t="str">
            <v>High</v>
          </cell>
          <cell r="K648" t="str">
            <v>Medium</v>
          </cell>
          <cell r="L648">
            <v>6</v>
          </cell>
          <cell r="O648" t="str">
            <v>Open</v>
          </cell>
          <cell r="P648" t="str">
            <v>B09 includes basement, first and second level TR work.</v>
          </cell>
          <cell r="Q648" t="str">
            <v>09|45</v>
          </cell>
        </row>
        <row r="649">
          <cell r="E649" t="str">
            <v>8. OWNER RISKS</v>
          </cell>
          <cell r="G649" t="str">
            <v>B09-R2</v>
          </cell>
          <cell r="H649" t="str">
            <v>B01</v>
          </cell>
          <cell r="I649" t="str">
            <v>Basement TR includes existing equipment and could remain active during cutover</v>
          </cell>
          <cell r="J649" t="str">
            <v>Critical</v>
          </cell>
          <cell r="K649" t="str">
            <v>Medium</v>
          </cell>
          <cell r="L649">
            <v>8</v>
          </cell>
          <cell r="O649" t="str">
            <v>Open</v>
          </cell>
          <cell r="P649" t="str">
            <v>B01 shows existing security/network/telecom equipment and panel work.</v>
          </cell>
          <cell r="Q649" t="str">
            <v>09|46</v>
          </cell>
        </row>
        <row r="650">
          <cell r="E650" t="str">
            <v>8. OWNER RISKS</v>
          </cell>
          <cell r="G650" t="str">
            <v>B09-R3</v>
          </cell>
          <cell r="H650" t="str">
            <v>All</v>
          </cell>
          <cell r="I650" t="str">
            <v>Hazardous material abatement plans exist for basement, first and second levels</v>
          </cell>
          <cell r="J650" t="str">
            <v>High</v>
          </cell>
          <cell r="K650" t="str">
            <v>Medium</v>
          </cell>
          <cell r="L650">
            <v>6</v>
          </cell>
          <cell r="O650" t="str">
            <v>Open</v>
          </cell>
          <cell r="P650" t="str">
            <v>B09 drawing index includes 09H-100, 09H-101 and 09H-102.</v>
          </cell>
          <cell r="Q650" t="str">
            <v>09|47</v>
          </cell>
        </row>
        <row r="651">
          <cell r="E651" t="str">
            <v>8. OWNER RISKS</v>
          </cell>
          <cell r="G651" t="str">
            <v>B09-R4</v>
          </cell>
          <cell r="H651" t="str">
            <v>104B/206A</v>
          </cell>
          <cell r="I651" t="str">
            <v>Rated wall/door work and fire/smoke assemblies could affect schedule and acceptance</v>
          </cell>
          <cell r="J651" t="str">
            <v>High</v>
          </cell>
          <cell r="K651" t="str">
            <v>Medium</v>
          </cell>
          <cell r="L651">
            <v>6</v>
          </cell>
          <cell r="O651" t="str">
            <v>Open</v>
          </cell>
          <cell r="P651" t="str">
            <v>Fire protection/architectural enlarged plans show rated wall legends and TR layouts.</v>
          </cell>
          <cell r="Q651" t="str">
            <v>09|48</v>
          </cell>
        </row>
        <row r="652">
          <cell r="E652" t="str">
            <v>8. OWNER RISKS</v>
          </cell>
          <cell r="G652" t="str">
            <v>B09-R5</v>
          </cell>
          <cell r="H652" t="str">
            <v>All</v>
          </cell>
          <cell r="I652" t="str">
            <v>Dedicated cooling emergency power, controls, condensate and high-temp alarms not verified</v>
          </cell>
          <cell r="J652" t="str">
            <v>Critical</v>
          </cell>
          <cell r="K652" t="str">
            <v>Medium</v>
          </cell>
          <cell r="L652">
            <v>8</v>
          </cell>
          <cell r="O652" t="str">
            <v>Open</v>
          </cell>
          <cell r="P652" t="str">
            <v>IU-0/1/2 and CU-0/1/2 appear in electrical/enlarged data.</v>
          </cell>
          <cell r="Q652" t="str">
            <v>09|49</v>
          </cell>
        </row>
        <row r="653">
          <cell r="E653" t="str">
            <v>8. OWNER RISKS</v>
          </cell>
          <cell r="G653" t="str">
            <v>B09-R6</v>
          </cell>
          <cell r="H653" t="str">
            <v>All</v>
          </cell>
          <cell r="I653" t="str">
            <v>Electrical panel/circuit source and rack load coordination unresolved</v>
          </cell>
          <cell r="J653" t="str">
            <v>High</v>
          </cell>
          <cell r="K653" t="str">
            <v>Medium</v>
          </cell>
          <cell r="L653">
            <v>6</v>
          </cell>
          <cell r="O653" t="str">
            <v>Open</v>
          </cell>
          <cell r="P653" t="str">
            <v>B09 has multiple TR panels across all three levels.</v>
          </cell>
          <cell r="Q653" t="str">
            <v>09|50</v>
          </cell>
        </row>
        <row r="654">
          <cell r="E654" t="str">
            <v>8. OWNER RISKS</v>
          </cell>
          <cell r="G654" t="str">
            <v>B09-R7</v>
          </cell>
          <cell r="H654" t="str">
            <v>All</v>
          </cell>
          <cell r="I654" t="str">
            <v>Fire alarm/sprinkler impairments and firestopping could affect occupied operations</v>
          </cell>
          <cell r="J654" t="str">
            <v>Critical</v>
          </cell>
          <cell r="K654" t="str">
            <v>Medium</v>
          </cell>
          <cell r="L654">
            <v>8</v>
          </cell>
          <cell r="O654" t="str">
            <v>Open</v>
          </cell>
          <cell r="P654" t="str">
            <v>Shutdowns limited one at a time campus-wide.</v>
          </cell>
          <cell r="Q654" t="str">
            <v>09|51</v>
          </cell>
        </row>
        <row r="655">
          <cell r="E655" t="str">
            <v>8. OWNER RISKS</v>
          </cell>
          <cell r="G655" t="str">
            <v>B09-R8</v>
          </cell>
          <cell r="H655" t="str">
            <v>All</v>
          </cell>
          <cell r="I655" t="str">
            <v>Commissioning/third-party inspection reports may not be complete at turnover</v>
          </cell>
          <cell r="J655" t="str">
            <v>High</v>
          </cell>
          <cell r="K655" t="str">
            <v>Medium</v>
          </cell>
          <cell r="L655">
            <v>6</v>
          </cell>
          <cell r="O655" t="str">
            <v>Open</v>
          </cell>
          <cell r="P655" t="str">
            <v>Required by cover/general notes.</v>
          </cell>
          <cell r="Q655" t="str">
            <v>09|52</v>
          </cell>
        </row>
        <row r="656">
          <cell r="E656" t="str">
            <v>8. OWNER RISKS</v>
          </cell>
          <cell r="G656">
            <v>0</v>
          </cell>
          <cell r="H656">
            <v>0</v>
          </cell>
          <cell r="I656">
            <v>0</v>
          </cell>
          <cell r="J656">
            <v>0</v>
          </cell>
          <cell r="K656">
            <v>0</v>
          </cell>
          <cell r="L656">
            <v>0</v>
          </cell>
          <cell r="O656">
            <v>0</v>
          </cell>
          <cell r="P656">
            <v>0</v>
          </cell>
          <cell r="Q656" t="str">
            <v>09|53</v>
          </cell>
        </row>
        <row r="657">
          <cell r="E657" t="str">
            <v>9. OPEN QUESTIONS</v>
          </cell>
          <cell r="G657" t="str">
            <v>9. OPEN QUESTIONS</v>
          </cell>
          <cell r="H657">
            <v>0</v>
          </cell>
          <cell r="I657">
            <v>0</v>
          </cell>
          <cell r="J657">
            <v>0</v>
          </cell>
          <cell r="K657">
            <v>0</v>
          </cell>
          <cell r="L657">
            <v>0</v>
          </cell>
          <cell r="O657">
            <v>0</v>
          </cell>
          <cell r="P657">
            <v>0</v>
          </cell>
          <cell r="Q657" t="str">
            <v>09|54</v>
          </cell>
        </row>
        <row r="658">
          <cell r="E658" t="str">
            <v>9. OPEN QUESTIONS</v>
          </cell>
          <cell r="G658" t="str">
            <v>Question ID</v>
          </cell>
          <cell r="H658" t="str">
            <v>Question</v>
          </cell>
          <cell r="I658" t="str">
            <v>Assigned To</v>
          </cell>
          <cell r="J658" t="str">
            <v>Status</v>
          </cell>
          <cell r="K658" t="str">
            <v>Needed By</v>
          </cell>
          <cell r="L658" t="str">
            <v>Answer / Resolution</v>
          </cell>
          <cell r="O658" t="str">
            <v>Date Closed</v>
          </cell>
          <cell r="P658" t="str">
            <v>Notes</v>
          </cell>
          <cell r="Q658" t="str">
            <v>09|55</v>
          </cell>
        </row>
        <row r="659">
          <cell r="E659" t="str">
            <v>9. OPEN QUESTIONS</v>
          </cell>
          <cell r="G659" t="str">
            <v>B09-Q1</v>
          </cell>
          <cell r="H659" t="str">
            <v>Confirm final TR scope: B01 basement, 104B first level, and 206A second level?</v>
          </cell>
          <cell r="I659" t="str">
            <v>VA / OIT / Designer</v>
          </cell>
          <cell r="J659" t="str">
            <v>Open</v>
          </cell>
          <cell r="K659">
            <v>0</v>
          </cell>
          <cell r="L659">
            <v>0</v>
          </cell>
          <cell r="O659">
            <v>0</v>
          </cell>
          <cell r="P659">
            <v>0</v>
          </cell>
          <cell r="Q659" t="str">
            <v>09|56</v>
          </cell>
        </row>
        <row r="660">
          <cell r="E660" t="str">
            <v>9. OPEN QUESTIONS</v>
          </cell>
          <cell r="G660" t="str">
            <v>B09-Q2</v>
          </cell>
          <cell r="H660" t="str">
            <v>What active services are currently fed from B01 existing equipment/security/network devices?</v>
          </cell>
          <cell r="I660" t="str">
            <v>OIT / Contractor</v>
          </cell>
          <cell r="J660" t="str">
            <v>Open</v>
          </cell>
          <cell r="K660">
            <v>0</v>
          </cell>
          <cell r="L660">
            <v>0</v>
          </cell>
          <cell r="O660">
            <v>0</v>
          </cell>
          <cell r="P660">
            <v>0</v>
          </cell>
          <cell r="Q660" t="str">
            <v>09|57</v>
          </cell>
        </row>
        <row r="661">
          <cell r="E661" t="str">
            <v>9. OPEN QUESTIONS</v>
          </cell>
          <cell r="G661" t="str">
            <v>B09-Q3</v>
          </cell>
          <cell r="H661" t="str">
            <v>What hazardous/abatement steps apply to B01, 104B and 206A work areas?</v>
          </cell>
          <cell r="I661" t="str">
            <v>GC / IH / COR</v>
          </cell>
          <cell r="J661" t="str">
            <v>Open</v>
          </cell>
          <cell r="K661">
            <v>0</v>
          </cell>
          <cell r="L661">
            <v>0</v>
          </cell>
          <cell r="O661">
            <v>0</v>
          </cell>
          <cell r="P661">
            <v>0</v>
          </cell>
          <cell r="Q661" t="str">
            <v>09|58</v>
          </cell>
        </row>
        <row r="662">
          <cell r="E662" t="str">
            <v>9. OPEN QUESTIONS</v>
          </cell>
          <cell r="G662" t="str">
            <v>B09-Q4</v>
          </cell>
          <cell r="H662" t="str">
            <v>Are IU-0-01/CU-0-1, IU-1-01/CU-1-1 and IU-2-01/CU-2-1 on emergency/backup power?</v>
          </cell>
          <cell r="I662" t="str">
            <v>Mechanical / Electrical / VA</v>
          </cell>
          <cell r="J662" t="str">
            <v>Open</v>
          </cell>
          <cell r="K662">
            <v>0</v>
          </cell>
          <cell r="L662">
            <v>0</v>
          </cell>
          <cell r="O662">
            <v>0</v>
          </cell>
          <cell r="P662">
            <v>0</v>
          </cell>
          <cell r="Q662" t="str">
            <v>09|59</v>
          </cell>
        </row>
        <row r="663">
          <cell r="E663" t="str">
            <v>9. OPEN QUESTIONS</v>
          </cell>
          <cell r="G663" t="str">
            <v>B09-Q5</v>
          </cell>
          <cell r="H663" t="str">
            <v>Where are clean-agent/CO2 extinguisher cabinets located within 75 ft of each TR?</v>
          </cell>
          <cell r="I663" t="str">
            <v>GC / COR</v>
          </cell>
          <cell r="J663" t="str">
            <v>Open</v>
          </cell>
          <cell r="K663">
            <v>0</v>
          </cell>
          <cell r="L663">
            <v>0</v>
          </cell>
          <cell r="O663">
            <v>0</v>
          </cell>
          <cell r="P663">
            <v>0</v>
          </cell>
          <cell r="Q663" t="str">
            <v>09|60</v>
          </cell>
        </row>
        <row r="664">
          <cell r="E664" t="str">
            <v>9. OPEN QUESTIONS</v>
          </cell>
          <cell r="G664" t="str">
            <v>B09-Q6</v>
          </cell>
          <cell r="H664" t="str">
            <v>Are all B09 panelboard sources, circuits, SPDs, rack receptacles and load measurements approved?</v>
          </cell>
          <cell r="I664" t="str">
            <v>Electrical / Designer</v>
          </cell>
          <cell r="J664" t="str">
            <v>Open</v>
          </cell>
          <cell r="K664">
            <v>0</v>
          </cell>
          <cell r="L664">
            <v>0</v>
          </cell>
          <cell r="O664">
            <v>0</v>
          </cell>
          <cell r="P664">
            <v>0</v>
          </cell>
          <cell r="Q664" t="str">
            <v>09|61</v>
          </cell>
        </row>
        <row r="665">
          <cell r="E665" t="str">
            <v>9. OPEN QUESTIONS</v>
          </cell>
          <cell r="G665" t="str">
            <v>B09-Q7</v>
          </cell>
          <cell r="H665" t="str">
            <v>Are all rated wall/floor penetrations, sleeves and firestopping identified?</v>
          </cell>
          <cell r="I665" t="str">
            <v>GC / Firestop</v>
          </cell>
          <cell r="J665" t="str">
            <v>Open</v>
          </cell>
          <cell r="K665">
            <v>0</v>
          </cell>
          <cell r="L665">
            <v>0</v>
          </cell>
          <cell r="O665">
            <v>0</v>
          </cell>
          <cell r="P665">
            <v>0</v>
          </cell>
          <cell r="Q665" t="str">
            <v>09|62</v>
          </cell>
        </row>
        <row r="666">
          <cell r="E666" t="str">
            <v>9. OPEN QUESTIONS</v>
          </cell>
          <cell r="G666" t="str">
            <v>B09-Q8</v>
          </cell>
          <cell r="H666" t="str">
            <v>Which third-party inspections and commissioning forms are required before VA acceptance?</v>
          </cell>
          <cell r="I666" t="str">
            <v>GC / Cx Manager</v>
          </cell>
          <cell r="J666" t="str">
            <v>Open</v>
          </cell>
          <cell r="K666">
            <v>0</v>
          </cell>
          <cell r="L666">
            <v>0</v>
          </cell>
          <cell r="O666">
            <v>0</v>
          </cell>
          <cell r="P666">
            <v>0</v>
          </cell>
          <cell r="Q666" t="str">
            <v>09|63</v>
          </cell>
        </row>
        <row r="667">
          <cell r="E667" t="str">
            <v>9. OPEN QUESTIONS</v>
          </cell>
          <cell r="G667">
            <v>0</v>
          </cell>
          <cell r="H667">
            <v>0</v>
          </cell>
          <cell r="I667">
            <v>0</v>
          </cell>
          <cell r="J667">
            <v>0</v>
          </cell>
          <cell r="K667">
            <v>0</v>
          </cell>
          <cell r="L667">
            <v>0</v>
          </cell>
          <cell r="O667">
            <v>0</v>
          </cell>
          <cell r="P667">
            <v>0</v>
          </cell>
          <cell r="Q667" t="str">
            <v>09|64</v>
          </cell>
        </row>
        <row r="668">
          <cell r="E668" t="str">
            <v>10. PHOTO LOG</v>
          </cell>
          <cell r="G668" t="str">
            <v>10. PHOTO LOG</v>
          </cell>
          <cell r="H668">
            <v>0</v>
          </cell>
          <cell r="I668">
            <v>0</v>
          </cell>
          <cell r="J668">
            <v>0</v>
          </cell>
          <cell r="K668">
            <v>0</v>
          </cell>
          <cell r="L668">
            <v>0</v>
          </cell>
          <cell r="O668">
            <v>0</v>
          </cell>
          <cell r="P668">
            <v>0</v>
          </cell>
          <cell r="Q668" t="str">
            <v>09|65</v>
          </cell>
        </row>
        <row r="669">
          <cell r="E669" t="str">
            <v>10. PHOTO LOG</v>
          </cell>
          <cell r="G669" t="str">
            <v>Photo ID</v>
          </cell>
          <cell r="H669" t="str">
            <v>Room</v>
          </cell>
          <cell r="I669" t="str">
            <v>Category</v>
          </cell>
          <cell r="J669" t="str">
            <v>Description</v>
          </cell>
          <cell r="K669" t="str">
            <v>Date</v>
          </cell>
          <cell r="L669" t="str">
            <v>Taken By</v>
          </cell>
          <cell r="O669" t="str">
            <v>Status</v>
          </cell>
          <cell r="P669" t="str">
            <v>Notes</v>
          </cell>
          <cell r="Q669" t="str">
            <v>09|66</v>
          </cell>
        </row>
        <row r="670">
          <cell r="E670" t="str">
            <v>10. PHOTO LOG</v>
          </cell>
          <cell r="G670" t="str">
            <v>B09-P001</v>
          </cell>
          <cell r="H670" t="str">
            <v>B01</v>
          </cell>
          <cell r="I670" t="str">
            <v>Existing Condition</v>
          </cell>
          <cell r="J670" t="str">
            <v>Basement TR B01 existing telecom/security/network equipment, storage conditions, panels, ceiling, walls and pathways</v>
          </cell>
          <cell r="K670">
            <v>0</v>
          </cell>
          <cell r="L670" t="str">
            <v>Paul</v>
          </cell>
          <cell r="O670" t="str">
            <v>Open</v>
          </cell>
          <cell r="P670">
            <v>0</v>
          </cell>
          <cell r="Q670" t="str">
            <v>09|67</v>
          </cell>
        </row>
        <row r="671">
          <cell r="E671" t="str">
            <v>10. PHOTO LOG</v>
          </cell>
          <cell r="G671" t="str">
            <v>B09-P002</v>
          </cell>
          <cell r="H671" t="str">
            <v>104B</v>
          </cell>
          <cell r="I671" t="str">
            <v>Existing Condition</v>
          </cell>
          <cell r="J671" t="str">
            <v>First-level TR 104B, walls/door/ceiling/floor, security devices, IU-1-01 location and pathways</v>
          </cell>
          <cell r="K671">
            <v>0</v>
          </cell>
          <cell r="L671" t="str">
            <v>Paul</v>
          </cell>
          <cell r="O671" t="str">
            <v>Open</v>
          </cell>
          <cell r="P671">
            <v>0</v>
          </cell>
          <cell r="Q671" t="str">
            <v>09|68</v>
          </cell>
        </row>
        <row r="672">
          <cell r="E672" t="str">
            <v>10. PHOTO LOG</v>
          </cell>
          <cell r="G672" t="str">
            <v>B09-P003</v>
          </cell>
          <cell r="H672" t="str">
            <v>206A</v>
          </cell>
          <cell r="I672" t="str">
            <v>Existing Condition</v>
          </cell>
          <cell r="J672" t="str">
            <v>Second-level TR 206A, walls/door/ceiling/floor, adjacent Nursing Service 206, IU-2-01 location and pathways</v>
          </cell>
          <cell r="K672">
            <v>0</v>
          </cell>
          <cell r="L672" t="str">
            <v>Paul</v>
          </cell>
          <cell r="O672" t="str">
            <v>Open</v>
          </cell>
          <cell r="P672">
            <v>0</v>
          </cell>
          <cell r="Q672" t="str">
            <v>09|69</v>
          </cell>
        </row>
        <row r="673">
          <cell r="E673" t="str">
            <v>10. PHOTO LOG</v>
          </cell>
          <cell r="G673" t="str">
            <v>B09-P004</v>
          </cell>
          <cell r="H673" t="str">
            <v>All</v>
          </cell>
          <cell r="I673" t="str">
            <v>Hazardous Materials</v>
          </cell>
          <cell r="J673" t="str">
            <v>Flooring, ceilings, pipe insulation, penetrations and abatement-related locations before disturbance</v>
          </cell>
          <cell r="K673">
            <v>0</v>
          </cell>
          <cell r="L673" t="str">
            <v>Paul</v>
          </cell>
          <cell r="O673" t="str">
            <v>Open</v>
          </cell>
          <cell r="P673">
            <v>0</v>
          </cell>
          <cell r="Q673" t="str">
            <v>09|70</v>
          </cell>
        </row>
        <row r="674">
          <cell r="E674" t="str">
            <v>10. PHOTO LOG</v>
          </cell>
          <cell r="G674" t="str">
            <v>B09-P005</v>
          </cell>
          <cell r="H674" t="str">
            <v>All</v>
          </cell>
          <cell r="I674" t="str">
            <v>Firestop</v>
          </cell>
          <cell r="J674" t="str">
            <v>All wall/floor/sleeve/tray penetrations before and after firestop</v>
          </cell>
          <cell r="K674">
            <v>0</v>
          </cell>
          <cell r="L674" t="str">
            <v>Paul</v>
          </cell>
          <cell r="O674" t="str">
            <v>Open</v>
          </cell>
          <cell r="P674">
            <v>0</v>
          </cell>
          <cell r="Q674" t="str">
            <v>09|71</v>
          </cell>
        </row>
        <row r="675">
          <cell r="E675" t="str">
            <v>10. PHOTO LOG</v>
          </cell>
          <cell r="G675" t="str">
            <v>B09-P006</v>
          </cell>
          <cell r="H675" t="str">
            <v>All</v>
          </cell>
          <cell r="I675" t="str">
            <v>HVAC</v>
          </cell>
          <cell r="J675" t="str">
            <v>IU/CU equipment, condensate, thermostat, BACnet adapter, disconnects, high-temp alarm and power source</v>
          </cell>
          <cell r="K675">
            <v>0</v>
          </cell>
          <cell r="L675" t="str">
            <v>Paul</v>
          </cell>
          <cell r="O675" t="str">
            <v>Open</v>
          </cell>
          <cell r="P675">
            <v>0</v>
          </cell>
          <cell r="Q675" t="str">
            <v>09|72</v>
          </cell>
        </row>
        <row r="676">
          <cell r="E676" t="str">
            <v>10. PHOTO LOG</v>
          </cell>
          <cell r="G676" t="str">
            <v>B09-P007</v>
          </cell>
          <cell r="H676" t="str">
            <v>All</v>
          </cell>
          <cell r="I676" t="str">
            <v>Electrical</v>
          </cell>
          <cell r="J676" t="str">
            <v>B09 TR panels, breakers, SPD, rack receptacles, access controllers, lighting and labels</v>
          </cell>
          <cell r="K676">
            <v>0</v>
          </cell>
          <cell r="L676" t="str">
            <v>Paul</v>
          </cell>
          <cell r="O676" t="str">
            <v>Open</v>
          </cell>
          <cell r="P676">
            <v>0</v>
          </cell>
          <cell r="Q676" t="str">
            <v>09|73</v>
          </cell>
        </row>
        <row r="677">
          <cell r="E677" t="str">
            <v>10. PHOTO LOG</v>
          </cell>
          <cell r="G677" t="str">
            <v>B09-P008</v>
          </cell>
          <cell r="H677" t="str">
            <v>All</v>
          </cell>
          <cell r="I677" t="str">
            <v>Telecom/Security</v>
          </cell>
          <cell r="J677" t="str">
            <v>Racks, fiber, Cat6A, LIU, patch panels, labeling/testing, cameras, access control and VMS/PACS integration</v>
          </cell>
          <cell r="K677">
            <v>0</v>
          </cell>
          <cell r="L677" t="str">
            <v>Paul</v>
          </cell>
          <cell r="O677" t="str">
            <v>Open</v>
          </cell>
          <cell r="P677">
            <v>0</v>
          </cell>
          <cell r="Q677" t="str">
            <v>09|74</v>
          </cell>
        </row>
        <row r="678">
          <cell r="E678" t="str">
            <v>10. PHOTO LOG</v>
          </cell>
          <cell r="G678">
            <v>0</v>
          </cell>
          <cell r="H678">
            <v>0</v>
          </cell>
          <cell r="I678">
            <v>0</v>
          </cell>
          <cell r="J678">
            <v>0</v>
          </cell>
          <cell r="K678">
            <v>0</v>
          </cell>
          <cell r="L678">
            <v>0</v>
          </cell>
          <cell r="O678">
            <v>0</v>
          </cell>
          <cell r="P678">
            <v>0</v>
          </cell>
          <cell r="Q678" t="str">
            <v>09|75</v>
          </cell>
        </row>
        <row r="679">
          <cell r="E679" t="str">
            <v>1. ROOM INVENTORY</v>
          </cell>
          <cell r="G679" t="str">
            <v>1. ROOM INVENTORY</v>
          </cell>
          <cell r="H679">
            <v>0</v>
          </cell>
          <cell r="I679">
            <v>0</v>
          </cell>
          <cell r="J679">
            <v>0</v>
          </cell>
          <cell r="K679">
            <v>0</v>
          </cell>
          <cell r="L679">
            <v>0</v>
          </cell>
          <cell r="O679">
            <v>0</v>
          </cell>
          <cell r="P679">
            <v>0</v>
          </cell>
          <cell r="Q679" t="str">
            <v>10|1</v>
          </cell>
        </row>
        <row r="680">
          <cell r="E680" t="str">
            <v>1. ROOM INVENTORY</v>
          </cell>
          <cell r="G680" t="str">
            <v>Building</v>
          </cell>
          <cell r="H680" t="str">
            <v>Room</v>
          </cell>
          <cell r="I680" t="str">
            <v>Floor</v>
          </cell>
          <cell r="J680" t="str">
            <v>Existing Use</v>
          </cell>
          <cell r="K680" t="str">
            <v>New Use</v>
          </cell>
          <cell r="L680" t="str">
            <v>Rack Count</v>
          </cell>
          <cell r="O680" t="str">
            <v>Drawing Ref</v>
          </cell>
          <cell r="P680" t="str">
            <v>Notes</v>
          </cell>
          <cell r="Q680" t="str">
            <v>10|2</v>
          </cell>
        </row>
        <row r="681">
          <cell r="E681" t="str">
            <v>1. ROOM INVENTORY</v>
          </cell>
          <cell r="G681" t="str">
            <v>10</v>
          </cell>
          <cell r="H681" t="str">
            <v>200A</v>
          </cell>
          <cell r="I681" t="str">
            <v>Attic</v>
          </cell>
          <cell r="J681" t="str">
            <v>Existing attic telecom/equipment area</v>
          </cell>
          <cell r="K681" t="str">
            <v>Telecom Room</v>
          </cell>
          <cell r="L681">
            <v>2</v>
          </cell>
          <cell r="O681" t="str">
            <v>10A-401 / 10E-401 / 10T-604 / 10M-701</v>
          </cell>
          <cell r="P681" t="str">
            <v>Primary Building 10 TR. Drawings identify attic-level Room 200A with existing wall-mounted rack/equipment, new telecom rack equipment, panels B10-TR200AA/AB, IU-1-01, CU-1-01, rack receptacles and future rack space.</v>
          </cell>
          <cell r="Q681" t="str">
            <v>10|3</v>
          </cell>
        </row>
        <row r="682">
          <cell r="E682" t="str">
            <v>1. ROOM INVENTORY</v>
          </cell>
          <cell r="G682" t="str">
            <v>10</v>
          </cell>
          <cell r="H682" t="str">
            <v>B24</v>
          </cell>
          <cell r="I682" t="str">
            <v>Basement</v>
          </cell>
          <cell r="J682" t="str">
            <v>Existing electrical room - normal power</v>
          </cell>
          <cell r="K682" t="str">
            <v>Electrical source / coordination room</v>
          </cell>
          <cell r="L682">
            <v>0</v>
          </cell>
          <cell r="O682" t="str">
            <v>10E-401 / 10E-701</v>
          </cell>
          <cell r="P682" t="str">
            <v>Basement existing electrical room normal power referenced on electrical enlarged plan; coordinate B10-MDP/B10-L10-E feeders and load measurement.</v>
          </cell>
          <cell r="Q682" t="str">
            <v>10|4</v>
          </cell>
        </row>
        <row r="683">
          <cell r="E683" t="str">
            <v>1. ROOM INVENTORY</v>
          </cell>
          <cell r="G683" t="str">
            <v>10</v>
          </cell>
          <cell r="H683" t="str">
            <v>B25</v>
          </cell>
          <cell r="I683" t="str">
            <v>Basement</v>
          </cell>
          <cell r="J683" t="str">
            <v>Existing electrical room - emergency power</v>
          </cell>
          <cell r="K683" t="str">
            <v>Emergency electrical source / coordination room</v>
          </cell>
          <cell r="L683">
            <v>0</v>
          </cell>
          <cell r="O683" t="str">
            <v>10E-401 / 10E-601 / 10E-701</v>
          </cell>
          <cell r="P683" t="str">
            <v>Basement existing electrical room emergency power referenced on electrical enlarged plan; coordinate ATS-B10-LSD, emergency source and TR equipment continuity.</v>
          </cell>
          <cell r="Q683" t="str">
            <v>10|5</v>
          </cell>
        </row>
        <row r="684">
          <cell r="E684" t="str">
            <v>1. ROOM INVENTORY</v>
          </cell>
          <cell r="G684">
            <v>0</v>
          </cell>
          <cell r="H684">
            <v>0</v>
          </cell>
          <cell r="I684">
            <v>0</v>
          </cell>
          <cell r="J684">
            <v>0</v>
          </cell>
          <cell r="K684">
            <v>0</v>
          </cell>
          <cell r="L684">
            <v>0</v>
          </cell>
          <cell r="O684">
            <v>0</v>
          </cell>
          <cell r="P684">
            <v>0</v>
          </cell>
          <cell r="Q684" t="str">
            <v>10|6</v>
          </cell>
        </row>
        <row r="685">
          <cell r="E685" t="str">
            <v>2. ROOM READINESS</v>
          </cell>
          <cell r="G685" t="str">
            <v>2. ROOM READINESS</v>
          </cell>
          <cell r="H685">
            <v>0</v>
          </cell>
          <cell r="I685">
            <v>0</v>
          </cell>
          <cell r="J685">
            <v>0</v>
          </cell>
          <cell r="K685">
            <v>0</v>
          </cell>
          <cell r="L685">
            <v>0</v>
          </cell>
          <cell r="O685">
            <v>0</v>
          </cell>
          <cell r="P685">
            <v>0</v>
          </cell>
          <cell r="Q685" t="str">
            <v>10|7</v>
          </cell>
        </row>
        <row r="686">
          <cell r="E686" t="str">
            <v>2. ROOM READINESS</v>
          </cell>
          <cell r="G686" t="str">
            <v>Room</v>
          </cell>
          <cell r="H686" t="str">
            <v>Walls / 1-hr Rating</v>
          </cell>
          <cell r="I686" t="str">
            <v>Ceiling</v>
          </cell>
          <cell r="J686" t="str">
            <v>Floor / SDC</v>
          </cell>
          <cell r="K686" t="str">
            <v>Penetrations</v>
          </cell>
          <cell r="L686" t="str">
            <v>Access Control</v>
          </cell>
          <cell r="O686" t="str">
            <v>Overall</v>
          </cell>
          <cell r="P686" t="str">
            <v>Comments</v>
          </cell>
          <cell r="Q686" t="str">
            <v>10|8</v>
          </cell>
        </row>
        <row r="687">
          <cell r="E687" t="str">
            <v>2. ROOM READINESS</v>
          </cell>
          <cell r="G687" t="str">
            <v>200A</v>
          </cell>
          <cell r="H687" t="str">
            <v>Verify</v>
          </cell>
          <cell r="I687" t="str">
            <v>Verify</v>
          </cell>
          <cell r="J687" t="str">
            <v>Verify</v>
          </cell>
          <cell r="K687" t="str">
            <v>Verify</v>
          </cell>
          <cell r="L687" t="str">
            <v>Verify</v>
          </cell>
          <cell r="O687" t="str">
            <v>Verify</v>
          </cell>
          <cell r="P687" t="str">
            <v>Attic TR; verify room enclosure, open-to-deck/rated wall requirements, existing rack/equipment, attic access, structural/pathway clearance, future rack clearance and housekeeping.</v>
          </cell>
          <cell r="Q687" t="str">
            <v>10|9</v>
          </cell>
        </row>
        <row r="688">
          <cell r="E688" t="str">
            <v>2. ROOM READINESS</v>
          </cell>
          <cell r="G688" t="str">
            <v>B24</v>
          </cell>
          <cell r="H688" t="str">
            <v>N/A</v>
          </cell>
          <cell r="I688" t="str">
            <v>N/A</v>
          </cell>
          <cell r="J688" t="str">
            <v>N/A</v>
          </cell>
          <cell r="K688" t="str">
            <v>Verify</v>
          </cell>
          <cell r="L688" t="str">
            <v>N/A</v>
          </cell>
          <cell r="O688" t="str">
            <v>Verify</v>
          </cell>
          <cell r="P688" t="str">
            <v>Electrical source room; verify panel access, breaker/feeder routes, lockout/tagout needs and working clearances.</v>
          </cell>
          <cell r="Q688" t="str">
            <v>10|10</v>
          </cell>
        </row>
        <row r="689">
          <cell r="E689" t="str">
            <v>2. ROOM READINESS</v>
          </cell>
          <cell r="G689" t="str">
            <v>B25</v>
          </cell>
          <cell r="H689" t="str">
            <v>N/A</v>
          </cell>
          <cell r="I689" t="str">
            <v>N/A</v>
          </cell>
          <cell r="J689" t="str">
            <v>N/A</v>
          </cell>
          <cell r="K689" t="str">
            <v>Verify</v>
          </cell>
          <cell r="L689" t="str">
            <v>N/A</v>
          </cell>
          <cell r="O689" t="str">
            <v>Verify</v>
          </cell>
          <cell r="P689" t="str">
            <v>Emergency electrical source room; verify ATS/emergency panel access, shutdown constraints and power continuity.</v>
          </cell>
          <cell r="Q689" t="str">
            <v>10|11</v>
          </cell>
        </row>
        <row r="690">
          <cell r="E690" t="str">
            <v>2. ROOM READINESS</v>
          </cell>
          <cell r="G690">
            <v>0</v>
          </cell>
          <cell r="H690">
            <v>0</v>
          </cell>
          <cell r="I690">
            <v>0</v>
          </cell>
          <cell r="J690">
            <v>0</v>
          </cell>
          <cell r="K690">
            <v>0</v>
          </cell>
          <cell r="L690">
            <v>0</v>
          </cell>
          <cell r="O690">
            <v>0</v>
          </cell>
          <cell r="P690">
            <v>0</v>
          </cell>
          <cell r="Q690" t="str">
            <v>10|12</v>
          </cell>
        </row>
        <row r="691">
          <cell r="E691" t="str">
            <v>3. FIRE PROTECTION</v>
          </cell>
          <cell r="G691" t="str">
            <v>3. FIRE PROTECTION</v>
          </cell>
          <cell r="H691">
            <v>0</v>
          </cell>
          <cell r="I691">
            <v>0</v>
          </cell>
          <cell r="J691">
            <v>0</v>
          </cell>
          <cell r="K691">
            <v>0</v>
          </cell>
          <cell r="L691">
            <v>0</v>
          </cell>
          <cell r="O691">
            <v>0</v>
          </cell>
          <cell r="P691">
            <v>0</v>
          </cell>
          <cell r="Q691" t="str">
            <v>10|13</v>
          </cell>
        </row>
        <row r="692">
          <cell r="E692" t="str">
            <v>3. FIRE PROTECTION</v>
          </cell>
          <cell r="G692" t="str">
            <v>Room</v>
          </cell>
          <cell r="H692" t="str">
            <v>Sprinkler</v>
          </cell>
          <cell r="I692" t="str">
            <v>Cage</v>
          </cell>
          <cell r="J692" t="str">
            <v>Detector</v>
          </cell>
          <cell r="K692" t="str">
            <v>Horn/Strobe</v>
          </cell>
          <cell r="L692" t="str">
            <v>Extinguisher &lt;75 ft</v>
          </cell>
          <cell r="O692" t="str">
            <v>Overall</v>
          </cell>
          <cell r="P692" t="str">
            <v>Risk / Notes</v>
          </cell>
          <cell r="Q692" t="str">
            <v>10|14</v>
          </cell>
        </row>
        <row r="693">
          <cell r="E693" t="str">
            <v>3. FIRE PROTECTION</v>
          </cell>
          <cell r="G693" t="str">
            <v>200A</v>
          </cell>
          <cell r="H693" t="str">
            <v>Verify</v>
          </cell>
          <cell r="I693" t="str">
            <v>Verify</v>
          </cell>
          <cell r="J693" t="str">
            <v>Verify</v>
          </cell>
          <cell r="K693" t="str">
            <v>Verify</v>
          </cell>
          <cell r="L693" t="str">
            <v>Verify</v>
          </cell>
          <cell r="O693" t="str">
            <v>Verify</v>
          </cell>
          <cell r="P693" t="str">
            <v>Attic-level TR requires verification of sprinkler/fire alarm modifications, clean-agent 2A:10B:C FEC within 75 ft, rated penetrations and temporary firestopping.</v>
          </cell>
          <cell r="Q693" t="str">
            <v>10|15</v>
          </cell>
        </row>
        <row r="694">
          <cell r="E694" t="str">
            <v>3. FIRE PROTECTION</v>
          </cell>
          <cell r="G694" t="str">
            <v>B24</v>
          </cell>
          <cell r="H694" t="str">
            <v>Verify</v>
          </cell>
          <cell r="I694" t="str">
            <v>N/A</v>
          </cell>
          <cell r="J694" t="str">
            <v>Verify</v>
          </cell>
          <cell r="K694" t="str">
            <v>Verify</v>
          </cell>
          <cell r="L694" t="str">
            <v>Verify</v>
          </cell>
          <cell r="O694" t="str">
            <v>Verify</v>
          </cell>
          <cell r="P694" t="str">
            <v>Electrical work may require penetrations or shutdowns; verify firestopping and protection-in-place.</v>
          </cell>
          <cell r="Q694" t="str">
            <v>10|16</v>
          </cell>
        </row>
        <row r="695">
          <cell r="E695" t="str">
            <v>3. FIRE PROTECTION</v>
          </cell>
          <cell r="G695" t="str">
            <v>B25</v>
          </cell>
          <cell r="H695" t="str">
            <v>Verify</v>
          </cell>
          <cell r="I695" t="str">
            <v>N/A</v>
          </cell>
          <cell r="J695" t="str">
            <v>Verify</v>
          </cell>
          <cell r="K695" t="str">
            <v>Verify</v>
          </cell>
          <cell r="L695" t="str">
            <v>Verify</v>
          </cell>
          <cell r="O695" t="str">
            <v>Verify</v>
          </cell>
          <cell r="P695" t="str">
            <v>Emergency electrical room coordination; verify no unsealed penetrations or life-safety impairment.</v>
          </cell>
          <cell r="Q695" t="str">
            <v>10|17</v>
          </cell>
        </row>
        <row r="696">
          <cell r="E696" t="str">
            <v>3. FIRE PROTECTION</v>
          </cell>
          <cell r="G696">
            <v>0</v>
          </cell>
          <cell r="H696">
            <v>0</v>
          </cell>
          <cell r="I696">
            <v>0</v>
          </cell>
          <cell r="J696">
            <v>0</v>
          </cell>
          <cell r="K696">
            <v>0</v>
          </cell>
          <cell r="L696">
            <v>0</v>
          </cell>
          <cell r="O696">
            <v>0</v>
          </cell>
          <cell r="P696">
            <v>0</v>
          </cell>
          <cell r="Q696" t="str">
            <v>10|18</v>
          </cell>
        </row>
        <row r="697">
          <cell r="E697" t="str">
            <v>4. HVAC / COOLING</v>
          </cell>
          <cell r="G697" t="str">
            <v>4. HVAC / COOLING</v>
          </cell>
          <cell r="H697">
            <v>0</v>
          </cell>
          <cell r="I697">
            <v>0</v>
          </cell>
          <cell r="J697">
            <v>0</v>
          </cell>
          <cell r="K697">
            <v>0</v>
          </cell>
          <cell r="L697">
            <v>0</v>
          </cell>
          <cell r="O697">
            <v>0</v>
          </cell>
          <cell r="P697">
            <v>0</v>
          </cell>
          <cell r="Q697" t="str">
            <v>10|19</v>
          </cell>
        </row>
        <row r="698">
          <cell r="E698" t="str">
            <v>4. HVAC / COOLING</v>
          </cell>
          <cell r="G698" t="str">
            <v>Room</v>
          </cell>
          <cell r="H698" t="str">
            <v>Dedicated Unit</v>
          </cell>
          <cell r="I698" t="str">
            <v>Capacity Verified</v>
          </cell>
          <cell r="J698" t="str">
            <v>Emergency Power</v>
          </cell>
          <cell r="K698" t="str">
            <v>Controls / BACnet</v>
          </cell>
          <cell r="L698" t="str">
            <v>Condensate Routed</v>
          </cell>
          <cell r="O698" t="str">
            <v>Overall</v>
          </cell>
          <cell r="P698" t="str">
            <v>Risk / Notes</v>
          </cell>
          <cell r="Q698" t="str">
            <v>10|20</v>
          </cell>
        </row>
        <row r="699">
          <cell r="E699" t="str">
            <v>4. HVAC / COOLING</v>
          </cell>
          <cell r="G699" t="str">
            <v>200A</v>
          </cell>
          <cell r="H699" t="str">
            <v>IU-1-01 / CU-1-01</v>
          </cell>
          <cell r="I699" t="str">
            <v>Verify</v>
          </cell>
          <cell r="J699" t="str">
            <v>Verify</v>
          </cell>
          <cell r="K699" t="str">
            <v>Verify</v>
          </cell>
          <cell r="L699" t="str">
            <v>Verify</v>
          </cell>
          <cell r="O699" t="str">
            <v>Verify</v>
          </cell>
          <cell r="P699" t="str">
            <v>Mechanical/electrical drawings identify IU-1-01 in Telecom Room 200A and CU-1-01 outdoor unit; verify capacity, emergency power, condensate route, BACnet adapter and high-temp alarm.</v>
          </cell>
          <cell r="Q699" t="str">
            <v>10|21</v>
          </cell>
        </row>
        <row r="700">
          <cell r="E700" t="str">
            <v>4. HVAC / COOLING</v>
          </cell>
          <cell r="G700" t="str">
            <v>B24</v>
          </cell>
          <cell r="H700" t="str">
            <v>N/A</v>
          </cell>
          <cell r="I700" t="str">
            <v>N/A</v>
          </cell>
          <cell r="J700" t="str">
            <v>N/A</v>
          </cell>
          <cell r="K700" t="str">
            <v>N/A</v>
          </cell>
          <cell r="L700" t="str">
            <v>N/A</v>
          </cell>
          <cell r="O700" t="str">
            <v>N/A</v>
          </cell>
          <cell r="P700" t="str">
            <v>No dedicated TR cooling scope; verify electrical room ventilation is not impacted by new work.</v>
          </cell>
          <cell r="Q700" t="str">
            <v>10|22</v>
          </cell>
        </row>
        <row r="701">
          <cell r="E701" t="str">
            <v>4. HVAC / COOLING</v>
          </cell>
          <cell r="G701" t="str">
            <v>B25</v>
          </cell>
          <cell r="H701" t="str">
            <v>N/A</v>
          </cell>
          <cell r="I701" t="str">
            <v>N/A</v>
          </cell>
          <cell r="J701" t="str">
            <v>N/A</v>
          </cell>
          <cell r="K701" t="str">
            <v>N/A</v>
          </cell>
          <cell r="L701" t="str">
            <v>N/A</v>
          </cell>
          <cell r="O701" t="str">
            <v>N/A</v>
          </cell>
          <cell r="P701" t="str">
            <v>No dedicated TR cooling scope; verify emergency electrical room ventilation is not impacted.</v>
          </cell>
          <cell r="Q701" t="str">
            <v>10|23</v>
          </cell>
        </row>
        <row r="702">
          <cell r="E702" t="str">
            <v>4. HVAC / COOLING</v>
          </cell>
          <cell r="G702">
            <v>0</v>
          </cell>
          <cell r="H702">
            <v>0</v>
          </cell>
          <cell r="I702">
            <v>0</v>
          </cell>
          <cell r="J702">
            <v>0</v>
          </cell>
          <cell r="K702">
            <v>0</v>
          </cell>
          <cell r="L702">
            <v>0</v>
          </cell>
          <cell r="O702">
            <v>0</v>
          </cell>
          <cell r="P702">
            <v>0</v>
          </cell>
          <cell r="Q702" t="str">
            <v>10|24</v>
          </cell>
        </row>
        <row r="703">
          <cell r="E703" t="str">
            <v>5. ELECTRICAL / UPS</v>
          </cell>
          <cell r="G703" t="str">
            <v>5. ELECTRICAL / UPS</v>
          </cell>
          <cell r="H703">
            <v>0</v>
          </cell>
          <cell r="I703">
            <v>0</v>
          </cell>
          <cell r="J703">
            <v>0</v>
          </cell>
          <cell r="K703">
            <v>0</v>
          </cell>
          <cell r="L703">
            <v>0</v>
          </cell>
          <cell r="O703">
            <v>0</v>
          </cell>
          <cell r="P703">
            <v>0</v>
          </cell>
          <cell r="Q703" t="str">
            <v>10|25</v>
          </cell>
        </row>
        <row r="704">
          <cell r="E704" t="str">
            <v>5. ELECTRICAL / UPS</v>
          </cell>
          <cell r="G704" t="str">
            <v>Room</v>
          </cell>
          <cell r="H704" t="str">
            <v>UPS Installed</v>
          </cell>
          <cell r="I704" t="str">
            <v>UPS Size</v>
          </cell>
          <cell r="J704" t="str">
            <v>PDU Installed</v>
          </cell>
          <cell r="K704" t="str">
            <v>Rack Receptacles</v>
          </cell>
          <cell r="L704" t="str">
            <v>Panel Assigned</v>
          </cell>
          <cell r="O704" t="str">
            <v>Overall</v>
          </cell>
          <cell r="P704" t="str">
            <v>Notes</v>
          </cell>
          <cell r="Q704" t="str">
            <v>10|26</v>
          </cell>
        </row>
        <row r="705">
          <cell r="E705" t="str">
            <v>5. ELECTRICAL / UPS</v>
          </cell>
          <cell r="G705" t="str">
            <v>200A</v>
          </cell>
          <cell r="H705" t="str">
            <v>Verify</v>
          </cell>
          <cell r="I705" t="str">
            <v>5 kW / rack equipment</v>
          </cell>
          <cell r="J705" t="str">
            <v>Verify</v>
          </cell>
          <cell r="K705" t="str">
            <v>Verify</v>
          </cell>
          <cell r="L705" t="str">
            <v>B10-TR200AA / B10-TR200AB</v>
          </cell>
          <cell r="O705" t="str">
            <v>Verify</v>
          </cell>
          <cell r="P705" t="str">
            <v>Electrical schedule identifies B10-TR200AA/AB in Telecom Room 200A with rack receptacles, TR receptacles, lighting, access controller, CU-1-01 and SPD requirements; verify source and labels.</v>
          </cell>
          <cell r="Q705" t="str">
            <v>10|27</v>
          </cell>
        </row>
        <row r="706">
          <cell r="E706" t="str">
            <v>5. ELECTRICAL / UPS</v>
          </cell>
          <cell r="G706" t="str">
            <v>B24</v>
          </cell>
          <cell r="H706" t="str">
            <v>N/A</v>
          </cell>
          <cell r="I706" t="str">
            <v>N/A</v>
          </cell>
          <cell r="J706" t="str">
            <v>N/A</v>
          </cell>
          <cell r="K706" t="str">
            <v>N/A</v>
          </cell>
          <cell r="L706" t="str">
            <v>B10-MDP / B10-L10-E</v>
          </cell>
          <cell r="O706" t="str">
            <v>Verify</v>
          </cell>
          <cell r="P706" t="str">
            <v>Basement normal electrical source; verify load measurement, new breakers/feeders, panel access, LOTO and shutdown sequencing.</v>
          </cell>
          <cell r="Q706" t="str">
            <v>10|28</v>
          </cell>
        </row>
        <row r="707">
          <cell r="E707" t="str">
            <v>5. ELECTRICAL / UPS</v>
          </cell>
          <cell r="G707" t="str">
            <v>B25</v>
          </cell>
          <cell r="H707" t="str">
            <v>N/A</v>
          </cell>
          <cell r="I707" t="str">
            <v>N/A</v>
          </cell>
          <cell r="J707" t="str">
            <v>N/A</v>
          </cell>
          <cell r="K707" t="str">
            <v>N/A</v>
          </cell>
          <cell r="L707" t="str">
            <v>ATS-B10-LSD / emergency distribution</v>
          </cell>
          <cell r="O707" t="str">
            <v>Verify</v>
          </cell>
          <cell r="P707" t="str">
            <v>Emergency source coordination; verify generator/ATS feed to TR critical loads and cooling where required.</v>
          </cell>
          <cell r="Q707" t="str">
            <v>10|29</v>
          </cell>
        </row>
        <row r="708">
          <cell r="E708" t="str">
            <v>5. ELECTRICAL / UPS</v>
          </cell>
          <cell r="G708">
            <v>0</v>
          </cell>
          <cell r="H708">
            <v>0</v>
          </cell>
          <cell r="I708">
            <v>0</v>
          </cell>
          <cell r="J708">
            <v>0</v>
          </cell>
          <cell r="K708">
            <v>0</v>
          </cell>
          <cell r="L708">
            <v>0</v>
          </cell>
          <cell r="O708">
            <v>0</v>
          </cell>
          <cell r="P708">
            <v>0</v>
          </cell>
          <cell r="Q708" t="str">
            <v>10|30</v>
          </cell>
        </row>
        <row r="709">
          <cell r="E709" t="str">
            <v>6. TELECOMMUNICATIONS</v>
          </cell>
          <cell r="G709" t="str">
            <v>6. TELECOMMUNICATIONS</v>
          </cell>
          <cell r="H709">
            <v>0</v>
          </cell>
          <cell r="I709">
            <v>0</v>
          </cell>
          <cell r="J709">
            <v>0</v>
          </cell>
          <cell r="K709">
            <v>0</v>
          </cell>
          <cell r="L709">
            <v>0</v>
          </cell>
          <cell r="O709">
            <v>0</v>
          </cell>
          <cell r="P709">
            <v>0</v>
          </cell>
          <cell r="Q709" t="str">
            <v>10|31</v>
          </cell>
        </row>
        <row r="710">
          <cell r="E710" t="str">
            <v>6. TELECOMMUNICATIONS</v>
          </cell>
          <cell r="G710" t="str">
            <v>Room</v>
          </cell>
          <cell r="H710" t="str">
            <v>Rack Installed</v>
          </cell>
          <cell r="I710" t="str">
            <v>Ladder Tray</v>
          </cell>
          <cell r="J710" t="str">
            <v>Fiber Installed</v>
          </cell>
          <cell r="K710" t="str">
            <v>Grounding</v>
          </cell>
          <cell r="L710" t="str">
            <v>Labeling</v>
          </cell>
          <cell r="O710" t="str">
            <v>Overall</v>
          </cell>
          <cell r="P710" t="str">
            <v>Notes</v>
          </cell>
          <cell r="Q710" t="str">
            <v>10|32</v>
          </cell>
        </row>
        <row r="711">
          <cell r="E711" t="str">
            <v>6. TELECOMMUNICATIONS</v>
          </cell>
          <cell r="G711" t="str">
            <v>200A</v>
          </cell>
          <cell r="H711" t="str">
            <v>Verify</v>
          </cell>
          <cell r="I711" t="str">
            <v>Verify</v>
          </cell>
          <cell r="J711" t="str">
            <v>Verify</v>
          </cell>
          <cell r="K711" t="str">
            <v>Verify</v>
          </cell>
          <cell r="L711" t="str">
            <v>Verify</v>
          </cell>
          <cell r="O711" t="str">
            <v>Verify</v>
          </cell>
          <cell r="P711" t="str">
            <v>10T sheets show attic telecom plan/rack elevations; provide 4-post racks, UPS, redundant PDUs, switches, Cat6A patch panels, Fiber LIU, bonding/grounding, labeling, testing and VA acceptance before cutover.</v>
          </cell>
          <cell r="Q711" t="str">
            <v>10|33</v>
          </cell>
        </row>
        <row r="712">
          <cell r="E712" t="str">
            <v>6. TELECOMMUNICATIONS</v>
          </cell>
          <cell r="G712" t="str">
            <v>B24</v>
          </cell>
          <cell r="H712" t="str">
            <v>N/A</v>
          </cell>
          <cell r="I712" t="str">
            <v>N/A</v>
          </cell>
          <cell r="J712" t="str">
            <v>N/A</v>
          </cell>
          <cell r="K712" t="str">
            <v>Verify</v>
          </cell>
          <cell r="L712" t="str">
            <v>N/A</v>
          </cell>
          <cell r="O712" t="str">
            <v>Verify</v>
          </cell>
          <cell r="P712" t="str">
            <v>Coordinate telecom power pathways through/source from basement electrical room if applicable.</v>
          </cell>
          <cell r="Q712" t="str">
            <v>10|34</v>
          </cell>
        </row>
        <row r="713">
          <cell r="E713" t="str">
            <v>6. TELECOMMUNICATIONS</v>
          </cell>
          <cell r="G713" t="str">
            <v>B25</v>
          </cell>
          <cell r="H713" t="str">
            <v>N/A</v>
          </cell>
          <cell r="I713" t="str">
            <v>N/A</v>
          </cell>
          <cell r="J713" t="str">
            <v>N/A</v>
          </cell>
          <cell r="K713" t="str">
            <v>Verify</v>
          </cell>
          <cell r="L713" t="str">
            <v>N/A</v>
          </cell>
          <cell r="O713" t="str">
            <v>Verify</v>
          </cell>
          <cell r="P713" t="str">
            <v>Coordinate emergency source/backup power pathways for telecom equipment and cooling.</v>
          </cell>
          <cell r="Q713" t="str">
            <v>10|35</v>
          </cell>
        </row>
        <row r="714">
          <cell r="E714" t="str">
            <v>6. TELECOMMUNICATIONS</v>
          </cell>
          <cell r="G714">
            <v>0</v>
          </cell>
          <cell r="H714">
            <v>0</v>
          </cell>
          <cell r="I714">
            <v>0</v>
          </cell>
          <cell r="J714">
            <v>0</v>
          </cell>
          <cell r="K714">
            <v>0</v>
          </cell>
          <cell r="L714">
            <v>0</v>
          </cell>
          <cell r="O714">
            <v>0</v>
          </cell>
          <cell r="P714">
            <v>0</v>
          </cell>
          <cell r="Q714" t="str">
            <v>10|36</v>
          </cell>
        </row>
        <row r="715">
          <cell r="E715" t="str">
            <v>7. SECURITY / PACS / CCTV</v>
          </cell>
          <cell r="G715" t="str">
            <v>7. SECURITY / PACS / CCTV</v>
          </cell>
          <cell r="H715">
            <v>0</v>
          </cell>
          <cell r="I715">
            <v>0</v>
          </cell>
          <cell r="J715">
            <v>0</v>
          </cell>
          <cell r="K715">
            <v>0</v>
          </cell>
          <cell r="L715">
            <v>0</v>
          </cell>
          <cell r="O715">
            <v>0</v>
          </cell>
          <cell r="P715">
            <v>0</v>
          </cell>
          <cell r="Q715" t="str">
            <v>10|37</v>
          </cell>
        </row>
        <row r="716">
          <cell r="E716" t="str">
            <v>7. SECURITY / PACS / CCTV</v>
          </cell>
          <cell r="G716" t="str">
            <v>Room</v>
          </cell>
          <cell r="H716" t="str">
            <v>PACS</v>
          </cell>
          <cell r="I716" t="str">
            <v>Card Reader</v>
          </cell>
          <cell r="J716" t="str">
            <v>Door Position</v>
          </cell>
          <cell r="K716" t="str">
            <v>Electric Strike</v>
          </cell>
          <cell r="L716" t="str">
            <v>CCTV</v>
          </cell>
          <cell r="O716" t="str">
            <v>Overall</v>
          </cell>
          <cell r="P716" t="str">
            <v>Notes</v>
          </cell>
          <cell r="Q716" t="str">
            <v>10|38</v>
          </cell>
        </row>
        <row r="717">
          <cell r="E717" t="str">
            <v>7. SECURITY / PACS / CCTV</v>
          </cell>
          <cell r="G717" t="str">
            <v>200A</v>
          </cell>
          <cell r="H717" t="str">
            <v>Verify</v>
          </cell>
          <cell r="I717" t="str">
            <v>Verify</v>
          </cell>
          <cell r="J717" t="str">
            <v>Verify</v>
          </cell>
          <cell r="K717" t="str">
            <v>Verify</v>
          </cell>
          <cell r="L717" t="str">
            <v>Verify</v>
          </cell>
          <cell r="O717" t="str">
            <v>Verify</v>
          </cell>
          <cell r="P717" t="str">
            <v>General scope requires PACS/CCTV for TR doors; verify door hardware, access controller, camera/VMS integration and any existing attic access/security constraints.</v>
          </cell>
          <cell r="Q717" t="str">
            <v>10|39</v>
          </cell>
        </row>
        <row r="718">
          <cell r="E718" t="str">
            <v>7. SECURITY / PACS / CCTV</v>
          </cell>
          <cell r="G718" t="str">
            <v>B24</v>
          </cell>
          <cell r="H718" t="str">
            <v>N/A</v>
          </cell>
          <cell r="I718" t="str">
            <v>N/A</v>
          </cell>
          <cell r="J718" t="str">
            <v>N/A</v>
          </cell>
          <cell r="K718" t="str">
            <v>N/A</v>
          </cell>
          <cell r="L718" t="str">
            <v>Verify</v>
          </cell>
          <cell r="O718" t="str">
            <v>Verify</v>
          </cell>
          <cell r="P718" t="str">
            <v>Verify security impact only if electrical source room access or devices are modified.</v>
          </cell>
          <cell r="Q718" t="str">
            <v>10|40</v>
          </cell>
        </row>
        <row r="719">
          <cell r="E719" t="str">
            <v>7. SECURITY / PACS / CCTV</v>
          </cell>
          <cell r="G719" t="str">
            <v>B25</v>
          </cell>
          <cell r="H719" t="str">
            <v>N/A</v>
          </cell>
          <cell r="I719" t="str">
            <v>N/A</v>
          </cell>
          <cell r="J719" t="str">
            <v>N/A</v>
          </cell>
          <cell r="K719" t="str">
            <v>N/A</v>
          </cell>
          <cell r="L719" t="str">
            <v>Verify</v>
          </cell>
          <cell r="O719" t="str">
            <v>Verify</v>
          </cell>
          <cell r="P719" t="str">
            <v>Verify emergency electrical room security impact if work requires access control changes.</v>
          </cell>
          <cell r="Q719" t="str">
            <v>10|41</v>
          </cell>
        </row>
        <row r="720">
          <cell r="E720" t="str">
            <v>7. SECURITY / PACS / CCTV</v>
          </cell>
          <cell r="G720">
            <v>0</v>
          </cell>
          <cell r="H720">
            <v>0</v>
          </cell>
          <cell r="I720">
            <v>0</v>
          </cell>
          <cell r="J720">
            <v>0</v>
          </cell>
          <cell r="K720">
            <v>0</v>
          </cell>
          <cell r="L720">
            <v>0</v>
          </cell>
          <cell r="O720">
            <v>0</v>
          </cell>
          <cell r="P720">
            <v>0</v>
          </cell>
          <cell r="Q720" t="str">
            <v>10|42</v>
          </cell>
        </row>
        <row r="721">
          <cell r="E721" t="str">
            <v>8. OWNER RISKS</v>
          </cell>
          <cell r="G721" t="str">
            <v>8. OWNER RISKS</v>
          </cell>
          <cell r="H721">
            <v>0</v>
          </cell>
          <cell r="I721">
            <v>0</v>
          </cell>
          <cell r="J721">
            <v>0</v>
          </cell>
          <cell r="K721">
            <v>0</v>
          </cell>
          <cell r="L721">
            <v>0</v>
          </cell>
          <cell r="O721">
            <v>0</v>
          </cell>
          <cell r="P721">
            <v>0</v>
          </cell>
          <cell r="Q721" t="str">
            <v>10|43</v>
          </cell>
        </row>
        <row r="722">
          <cell r="E722" t="str">
            <v>8. OWNER RISKS</v>
          </cell>
          <cell r="G722" t="str">
            <v>Risk ID</v>
          </cell>
          <cell r="H722" t="str">
            <v>Room</v>
          </cell>
          <cell r="I722" t="str">
            <v>Risk</v>
          </cell>
          <cell r="J722" t="str">
            <v>Impact</v>
          </cell>
          <cell r="K722" t="str">
            <v>Probability</v>
          </cell>
          <cell r="L722" t="str">
            <v>Score</v>
          </cell>
          <cell r="O722" t="str">
            <v>Status</v>
          </cell>
          <cell r="P722" t="str">
            <v>Notes</v>
          </cell>
          <cell r="Q722" t="str">
            <v>10|44</v>
          </cell>
        </row>
        <row r="723">
          <cell r="E723" t="str">
            <v>8. OWNER RISKS</v>
          </cell>
          <cell r="G723" t="str">
            <v>B10-R1</v>
          </cell>
          <cell r="H723" t="str">
            <v>200A</v>
          </cell>
          <cell r="I723" t="str">
            <v>Attic Telecom Room existing conditions and access not field verified</v>
          </cell>
          <cell r="J723" t="str">
            <v>High</v>
          </cell>
          <cell r="K723" t="str">
            <v>Medium</v>
          </cell>
          <cell r="L723">
            <v>6</v>
          </cell>
          <cell r="O723" t="str">
            <v>Open</v>
          </cell>
          <cell r="P723" t="str">
            <v>Attic work may have access and staging constraints.</v>
          </cell>
          <cell r="Q723" t="str">
            <v>10|45</v>
          </cell>
        </row>
        <row r="724">
          <cell r="E724" t="str">
            <v>8. OWNER RISKS</v>
          </cell>
          <cell r="G724" t="str">
            <v>B10-R2</v>
          </cell>
          <cell r="H724" t="str">
            <v>200A</v>
          </cell>
          <cell r="I724" t="str">
            <v>Hazardous material abatement plan exists for attic level</v>
          </cell>
          <cell r="J724" t="str">
            <v>High</v>
          </cell>
          <cell r="K724" t="str">
            <v>Medium</v>
          </cell>
          <cell r="L724">
            <v>6</v>
          </cell>
          <cell r="O724" t="str">
            <v>Open</v>
          </cell>
          <cell r="P724" t="str">
            <v>Drawing index includes 10H-102 hazardous material abatement plan - attic.</v>
          </cell>
          <cell r="Q724" t="str">
            <v>10|46</v>
          </cell>
        </row>
        <row r="725">
          <cell r="E725" t="str">
            <v>8. OWNER RISKS</v>
          </cell>
          <cell r="G725" t="str">
            <v>B10-R3</v>
          </cell>
          <cell r="H725" t="str">
            <v>200A</v>
          </cell>
          <cell r="I725" t="str">
            <v>Existing wall-mounted rack/equipment may remain active during cutover</v>
          </cell>
          <cell r="J725" t="str">
            <v>Critical</v>
          </cell>
          <cell r="K725" t="str">
            <v>Medium</v>
          </cell>
          <cell r="L725">
            <v>8</v>
          </cell>
          <cell r="O725" t="str">
            <v>Open</v>
          </cell>
          <cell r="P725" t="str">
            <v>Telecom drawings reference existing wall-mounted rack/equipment to be replaced/transferred.</v>
          </cell>
          <cell r="Q725" t="str">
            <v>10|47</v>
          </cell>
        </row>
        <row r="726">
          <cell r="E726" t="str">
            <v>8. OWNER RISKS</v>
          </cell>
          <cell r="G726" t="str">
            <v>B10-R4</v>
          </cell>
          <cell r="H726" t="str">
            <v>200A</v>
          </cell>
          <cell r="I726" t="str">
            <v>Dedicated cooling emergency power, condensate, BACnet and alarms not verified</v>
          </cell>
          <cell r="J726" t="str">
            <v>Critical</v>
          </cell>
          <cell r="K726" t="str">
            <v>Medium</v>
          </cell>
          <cell r="L726">
            <v>8</v>
          </cell>
          <cell r="O726" t="str">
            <v>Open</v>
          </cell>
          <cell r="P726" t="str">
            <v>Cooling is central to TR readiness.</v>
          </cell>
          <cell r="Q726" t="str">
            <v>10|48</v>
          </cell>
        </row>
        <row r="727">
          <cell r="E727" t="str">
            <v>8. OWNER RISKS</v>
          </cell>
          <cell r="G727" t="str">
            <v>B10-R5</v>
          </cell>
          <cell r="H727" t="str">
            <v>B24/B25</v>
          </cell>
          <cell r="I727" t="str">
            <v>Panel source, generator/ATS path and shutdown sequencing unclear</v>
          </cell>
          <cell r="J727" t="str">
            <v>Critical</v>
          </cell>
          <cell r="K727" t="str">
            <v>Medium</v>
          </cell>
          <cell r="L727">
            <v>8</v>
          </cell>
          <cell r="O727" t="str">
            <v>Open</v>
          </cell>
          <cell r="P727" t="str">
            <v>Basement normal/emergency electrical rooms are source coordination points.</v>
          </cell>
          <cell r="Q727" t="str">
            <v>10|49</v>
          </cell>
        </row>
        <row r="728">
          <cell r="E728" t="str">
            <v>8. OWNER RISKS</v>
          </cell>
          <cell r="G728" t="str">
            <v>B10-R6</v>
          </cell>
          <cell r="H728" t="str">
            <v>200A</v>
          </cell>
          <cell r="I728" t="str">
            <v>Fire alarm/sprinkler/firestopping work in attic TR could affect occupied operations</v>
          </cell>
          <cell r="J728" t="str">
            <v>Critical</v>
          </cell>
          <cell r="K728" t="str">
            <v>Medium</v>
          </cell>
          <cell r="L728">
            <v>8</v>
          </cell>
          <cell r="O728" t="str">
            <v>Open</v>
          </cell>
          <cell r="P728" t="str">
            <v>Shutdowns limited one at a time campus-wide.</v>
          </cell>
          <cell r="Q728" t="str">
            <v>10|50</v>
          </cell>
        </row>
        <row r="729">
          <cell r="E729" t="str">
            <v>8. OWNER RISKS</v>
          </cell>
          <cell r="G729" t="str">
            <v>B10-R7</v>
          </cell>
          <cell r="H729" t="str">
            <v>200A</v>
          </cell>
          <cell r="I729" t="str">
            <v>Telecom/fiber cutover could affect active hospital communications</v>
          </cell>
          <cell r="J729" t="str">
            <v>Critical</v>
          </cell>
          <cell r="K729" t="str">
            <v>Medium</v>
          </cell>
          <cell r="L729">
            <v>8</v>
          </cell>
          <cell r="O729" t="str">
            <v>Open</v>
          </cell>
          <cell r="P729" t="str">
            <v>All telecom cabling must be tested, approved and accepted before connecting to active operations.</v>
          </cell>
          <cell r="Q729" t="str">
            <v>10|51</v>
          </cell>
        </row>
        <row r="730">
          <cell r="E730" t="str">
            <v>8. OWNER RISKS</v>
          </cell>
          <cell r="G730" t="str">
            <v>B10-R8</v>
          </cell>
          <cell r="H730" t="str">
            <v>All</v>
          </cell>
          <cell r="I730" t="str">
            <v>Commissioning/third-party inspection reports may not be complete at turnover</v>
          </cell>
          <cell r="J730" t="str">
            <v>High</v>
          </cell>
          <cell r="K730" t="str">
            <v>Medium</v>
          </cell>
          <cell r="L730">
            <v>6</v>
          </cell>
          <cell r="O730" t="str">
            <v>Open</v>
          </cell>
          <cell r="P730" t="str">
            <v>Required by cover/general notes.</v>
          </cell>
          <cell r="Q730" t="str">
            <v>10|52</v>
          </cell>
        </row>
        <row r="731">
          <cell r="E731" t="str">
            <v>8. OWNER RISKS</v>
          </cell>
          <cell r="G731">
            <v>0</v>
          </cell>
          <cell r="H731">
            <v>0</v>
          </cell>
          <cell r="I731">
            <v>0</v>
          </cell>
          <cell r="J731">
            <v>0</v>
          </cell>
          <cell r="K731">
            <v>0</v>
          </cell>
          <cell r="L731">
            <v>0</v>
          </cell>
          <cell r="O731">
            <v>0</v>
          </cell>
          <cell r="P731">
            <v>0</v>
          </cell>
          <cell r="Q731" t="str">
            <v>10|53</v>
          </cell>
        </row>
        <row r="732">
          <cell r="E732" t="str">
            <v>9. OPEN QUESTIONS</v>
          </cell>
          <cell r="G732" t="str">
            <v>9. OPEN QUESTIONS</v>
          </cell>
          <cell r="H732">
            <v>0</v>
          </cell>
          <cell r="I732">
            <v>0</v>
          </cell>
          <cell r="J732">
            <v>0</v>
          </cell>
          <cell r="K732">
            <v>0</v>
          </cell>
          <cell r="L732">
            <v>0</v>
          </cell>
          <cell r="O732">
            <v>0</v>
          </cell>
          <cell r="P732">
            <v>0</v>
          </cell>
          <cell r="Q732" t="str">
            <v>10|54</v>
          </cell>
        </row>
        <row r="733">
          <cell r="E733" t="str">
            <v>9. OPEN QUESTIONS</v>
          </cell>
          <cell r="G733" t="str">
            <v>Question ID</v>
          </cell>
          <cell r="H733" t="str">
            <v>Question</v>
          </cell>
          <cell r="I733" t="str">
            <v>Assigned To</v>
          </cell>
          <cell r="J733" t="str">
            <v>Status</v>
          </cell>
          <cell r="K733" t="str">
            <v>Needed By</v>
          </cell>
          <cell r="L733" t="str">
            <v>Answer / Resolution</v>
          </cell>
          <cell r="O733" t="str">
            <v>Date Closed</v>
          </cell>
          <cell r="P733" t="str">
            <v>Notes</v>
          </cell>
          <cell r="Q733" t="str">
            <v>10|55</v>
          </cell>
        </row>
        <row r="734">
          <cell r="E734" t="str">
            <v>9. OPEN QUESTIONS</v>
          </cell>
          <cell r="G734" t="str">
            <v>B10-Q1</v>
          </cell>
          <cell r="H734" t="str">
            <v>Confirm final scope: attic Telecom Room 200A only, with basement electrical source coordination in B24/B25?</v>
          </cell>
          <cell r="I734" t="str">
            <v>VA / OIT / Designer</v>
          </cell>
          <cell r="J734" t="str">
            <v>Open</v>
          </cell>
          <cell r="K734">
            <v>0</v>
          </cell>
          <cell r="L734">
            <v>0</v>
          </cell>
          <cell r="O734">
            <v>0</v>
          </cell>
          <cell r="P734">
            <v>0</v>
          </cell>
          <cell r="Q734" t="str">
            <v>10|56</v>
          </cell>
        </row>
        <row r="735">
          <cell r="E735" t="str">
            <v>9. OPEN QUESTIONS</v>
          </cell>
          <cell r="G735" t="str">
            <v>B10-Q2</v>
          </cell>
          <cell r="H735" t="str">
            <v>What active services are currently fed from the existing wall-mounted rack/equipment in Room 200A?</v>
          </cell>
          <cell r="I735" t="str">
            <v>OIT / Contractor</v>
          </cell>
          <cell r="J735" t="str">
            <v>Open</v>
          </cell>
          <cell r="K735">
            <v>0</v>
          </cell>
          <cell r="L735">
            <v>0</v>
          </cell>
          <cell r="O735">
            <v>0</v>
          </cell>
          <cell r="P735">
            <v>0</v>
          </cell>
          <cell r="Q735" t="str">
            <v>10|57</v>
          </cell>
        </row>
        <row r="736">
          <cell r="E736" t="str">
            <v>9. OPEN QUESTIONS</v>
          </cell>
          <cell r="G736" t="str">
            <v>B10-Q3</v>
          </cell>
          <cell r="H736" t="str">
            <v>What attic hazardous material/abatement steps apply before cabling, penetrations, HVAC or electrical work?</v>
          </cell>
          <cell r="I736" t="str">
            <v>GC / IH / COR</v>
          </cell>
          <cell r="J736" t="str">
            <v>Open</v>
          </cell>
          <cell r="K736">
            <v>0</v>
          </cell>
          <cell r="L736">
            <v>0</v>
          </cell>
          <cell r="O736">
            <v>0</v>
          </cell>
          <cell r="P736">
            <v>0</v>
          </cell>
          <cell r="Q736" t="str">
            <v>10|58</v>
          </cell>
        </row>
        <row r="737">
          <cell r="E737" t="str">
            <v>9. OPEN QUESTIONS</v>
          </cell>
          <cell r="G737" t="str">
            <v>B10-Q4</v>
          </cell>
          <cell r="H737" t="str">
            <v>Is IU-1-01/CU-1-01 on emergency/backup power and does it serve Room 200A only?</v>
          </cell>
          <cell r="I737" t="str">
            <v>Mechanical / Electrical / VA</v>
          </cell>
          <cell r="J737" t="str">
            <v>Open</v>
          </cell>
          <cell r="K737">
            <v>0</v>
          </cell>
          <cell r="L737">
            <v>0</v>
          </cell>
          <cell r="O737">
            <v>0</v>
          </cell>
          <cell r="P737">
            <v>0</v>
          </cell>
          <cell r="Q737" t="str">
            <v>10|59</v>
          </cell>
        </row>
        <row r="738">
          <cell r="E738" t="str">
            <v>9. OPEN QUESTIONS</v>
          </cell>
          <cell r="G738" t="str">
            <v>B10-Q5</v>
          </cell>
          <cell r="H738" t="str">
            <v>Where is the clean-agent/CO2 extinguisher cabinet located within 75 ft of Room 200A?</v>
          </cell>
          <cell r="I738" t="str">
            <v>GC / COR</v>
          </cell>
          <cell r="J738" t="str">
            <v>Open</v>
          </cell>
          <cell r="K738">
            <v>0</v>
          </cell>
          <cell r="L738">
            <v>0</v>
          </cell>
          <cell r="O738">
            <v>0</v>
          </cell>
          <cell r="P738">
            <v>0</v>
          </cell>
          <cell r="Q738" t="str">
            <v>10|60</v>
          </cell>
        </row>
        <row r="739">
          <cell r="E739" t="str">
            <v>9. OPEN QUESTIONS</v>
          </cell>
          <cell r="G739" t="str">
            <v>B10-Q6</v>
          </cell>
          <cell r="H739" t="str">
            <v>Are B10-TR200AA/AB, B10-MDP, B10-L10-E and ATS-B10-LSD source circuits/load measurements approved?</v>
          </cell>
          <cell r="I739" t="str">
            <v>Electrical / Designer</v>
          </cell>
          <cell r="J739" t="str">
            <v>Open</v>
          </cell>
          <cell r="K739">
            <v>0</v>
          </cell>
          <cell r="L739">
            <v>0</v>
          </cell>
          <cell r="O739">
            <v>0</v>
          </cell>
          <cell r="P739">
            <v>0</v>
          </cell>
          <cell r="Q739" t="str">
            <v>10|61</v>
          </cell>
        </row>
        <row r="740">
          <cell r="E740" t="str">
            <v>9. OPEN QUESTIONS</v>
          </cell>
          <cell r="G740" t="str">
            <v>B10-Q7</v>
          </cell>
          <cell r="H740" t="str">
            <v>Are all attic wall/floor/ceiling penetrations, sleeves and firestopping details identified?</v>
          </cell>
          <cell r="I740" t="str">
            <v>GC / Firestop</v>
          </cell>
          <cell r="J740" t="str">
            <v>Open</v>
          </cell>
          <cell r="K740">
            <v>0</v>
          </cell>
          <cell r="L740">
            <v>0</v>
          </cell>
          <cell r="O740">
            <v>0</v>
          </cell>
          <cell r="P740">
            <v>0</v>
          </cell>
          <cell r="Q740" t="str">
            <v>10|62</v>
          </cell>
        </row>
        <row r="741">
          <cell r="E741" t="str">
            <v>9. OPEN QUESTIONS</v>
          </cell>
          <cell r="G741" t="str">
            <v>B10-Q8</v>
          </cell>
          <cell r="H741" t="str">
            <v>Which third-party inspections and commissioning forms are required before VA acceptance?</v>
          </cell>
          <cell r="I741" t="str">
            <v>GC / Cx Manager</v>
          </cell>
          <cell r="J741" t="str">
            <v>Open</v>
          </cell>
          <cell r="K741">
            <v>0</v>
          </cell>
          <cell r="L741">
            <v>0</v>
          </cell>
          <cell r="O741">
            <v>0</v>
          </cell>
          <cell r="P741">
            <v>0</v>
          </cell>
          <cell r="Q741" t="str">
            <v>10|63</v>
          </cell>
        </row>
        <row r="742">
          <cell r="E742" t="str">
            <v>9. OPEN QUESTIONS</v>
          </cell>
          <cell r="G742">
            <v>0</v>
          </cell>
          <cell r="H742">
            <v>0</v>
          </cell>
          <cell r="I742">
            <v>0</v>
          </cell>
          <cell r="J742">
            <v>0</v>
          </cell>
          <cell r="K742">
            <v>0</v>
          </cell>
          <cell r="L742">
            <v>0</v>
          </cell>
          <cell r="O742">
            <v>0</v>
          </cell>
          <cell r="P742">
            <v>0</v>
          </cell>
          <cell r="Q742" t="str">
            <v>10|64</v>
          </cell>
        </row>
        <row r="743">
          <cell r="E743" t="str">
            <v>10. PHOTO LOG</v>
          </cell>
          <cell r="G743" t="str">
            <v>10. PHOTO LOG</v>
          </cell>
          <cell r="H743">
            <v>0</v>
          </cell>
          <cell r="I743">
            <v>0</v>
          </cell>
          <cell r="J743">
            <v>0</v>
          </cell>
          <cell r="K743">
            <v>0</v>
          </cell>
          <cell r="L743">
            <v>0</v>
          </cell>
          <cell r="O743">
            <v>0</v>
          </cell>
          <cell r="P743">
            <v>0</v>
          </cell>
          <cell r="Q743" t="str">
            <v>10|65</v>
          </cell>
        </row>
        <row r="744">
          <cell r="E744" t="str">
            <v>10. PHOTO LOG</v>
          </cell>
          <cell r="G744" t="str">
            <v>Photo ID</v>
          </cell>
          <cell r="H744" t="str">
            <v>Room</v>
          </cell>
          <cell r="I744" t="str">
            <v>Category</v>
          </cell>
          <cell r="J744" t="str">
            <v>Description</v>
          </cell>
          <cell r="K744" t="str">
            <v>Date</v>
          </cell>
          <cell r="L744" t="str">
            <v>Taken By</v>
          </cell>
          <cell r="O744" t="str">
            <v>Status</v>
          </cell>
          <cell r="P744" t="str">
            <v>Notes</v>
          </cell>
          <cell r="Q744" t="str">
            <v>10|66</v>
          </cell>
        </row>
        <row r="745">
          <cell r="E745" t="str">
            <v>10. PHOTO LOG</v>
          </cell>
          <cell r="G745" t="str">
            <v>B10-P001</v>
          </cell>
          <cell r="H745" t="str">
            <v>200A</v>
          </cell>
          <cell r="I745" t="str">
            <v>Existing Condition</v>
          </cell>
          <cell r="J745" t="str">
            <v>Attic TR 200A existing rack/equipment, floor/deck, walls, access route, pathways and clearances</v>
          </cell>
          <cell r="K745">
            <v>0</v>
          </cell>
          <cell r="L745" t="str">
            <v>Paul</v>
          </cell>
          <cell r="O745" t="str">
            <v>Open</v>
          </cell>
          <cell r="P745">
            <v>0</v>
          </cell>
          <cell r="Q745" t="str">
            <v>10|67</v>
          </cell>
        </row>
        <row r="746">
          <cell r="E746" t="str">
            <v>10. PHOTO LOG</v>
          </cell>
          <cell r="G746" t="str">
            <v>B10-P002</v>
          </cell>
          <cell r="H746" t="str">
            <v>200A</v>
          </cell>
          <cell r="I746" t="str">
            <v>Hazardous Materials</v>
          </cell>
          <cell r="J746" t="str">
            <v>Attic abatement-related materials, flooring/penetrations, ceiling/deck and disturbance areas</v>
          </cell>
          <cell r="K746">
            <v>0</v>
          </cell>
          <cell r="L746" t="str">
            <v>Paul</v>
          </cell>
          <cell r="O746" t="str">
            <v>Open</v>
          </cell>
          <cell r="P746">
            <v>0</v>
          </cell>
          <cell r="Q746" t="str">
            <v>10|68</v>
          </cell>
        </row>
        <row r="747">
          <cell r="E747" t="str">
            <v>10. PHOTO LOG</v>
          </cell>
          <cell r="G747" t="str">
            <v>B10-P003</v>
          </cell>
          <cell r="H747" t="str">
            <v>B24</v>
          </cell>
          <cell r="I747" t="str">
            <v>Electrical</v>
          </cell>
          <cell r="J747" t="str">
            <v>Existing normal electrical room panels, B10-MDP/B10-L10-E, feeder route and working clearances</v>
          </cell>
          <cell r="K747">
            <v>0</v>
          </cell>
          <cell r="L747" t="str">
            <v>Paul</v>
          </cell>
          <cell r="O747" t="str">
            <v>Open</v>
          </cell>
          <cell r="P747">
            <v>0</v>
          </cell>
          <cell r="Q747" t="str">
            <v>10|69</v>
          </cell>
        </row>
        <row r="748">
          <cell r="E748" t="str">
            <v>10. PHOTO LOG</v>
          </cell>
          <cell r="G748" t="str">
            <v>B10-P004</v>
          </cell>
          <cell r="H748" t="str">
            <v>B25</v>
          </cell>
          <cell r="I748" t="str">
            <v>Electrical</v>
          </cell>
          <cell r="J748" t="str">
            <v>Existing emergency electrical room, ATS-B10-LSD/emergency distribution and access constraints</v>
          </cell>
          <cell r="K748">
            <v>0</v>
          </cell>
          <cell r="L748" t="str">
            <v>Paul</v>
          </cell>
          <cell r="O748" t="str">
            <v>Open</v>
          </cell>
          <cell r="P748">
            <v>0</v>
          </cell>
          <cell r="Q748" t="str">
            <v>10|70</v>
          </cell>
        </row>
        <row r="749">
          <cell r="E749" t="str">
            <v>10. PHOTO LOG</v>
          </cell>
          <cell r="G749" t="str">
            <v>B10-P005</v>
          </cell>
          <cell r="H749" t="str">
            <v>200A</v>
          </cell>
          <cell r="I749" t="str">
            <v>Firestop</v>
          </cell>
          <cell r="J749" t="str">
            <v>All attic wall/floor/sleeve/tray penetrations before and after firestop</v>
          </cell>
          <cell r="K749">
            <v>0</v>
          </cell>
          <cell r="L749" t="str">
            <v>Paul</v>
          </cell>
          <cell r="O749" t="str">
            <v>Open</v>
          </cell>
          <cell r="P749">
            <v>0</v>
          </cell>
          <cell r="Q749" t="str">
            <v>10|71</v>
          </cell>
        </row>
        <row r="750">
          <cell r="E750" t="str">
            <v>10. PHOTO LOG</v>
          </cell>
          <cell r="G750" t="str">
            <v>B10-P006</v>
          </cell>
          <cell r="H750" t="str">
            <v>200A</v>
          </cell>
          <cell r="I750" t="str">
            <v>HVAC</v>
          </cell>
          <cell r="J750" t="str">
            <v>IU-1-01/CU-1-01, condensate, thermostat, BACnet adapter, disconnects, high-temp alarm and power source</v>
          </cell>
          <cell r="K750">
            <v>0</v>
          </cell>
          <cell r="L750" t="str">
            <v>Paul</v>
          </cell>
          <cell r="O750" t="str">
            <v>Open</v>
          </cell>
          <cell r="P750">
            <v>0</v>
          </cell>
          <cell r="Q750" t="str">
            <v>10|72</v>
          </cell>
        </row>
        <row r="751">
          <cell r="E751" t="str">
            <v>10. PHOTO LOG</v>
          </cell>
          <cell r="G751" t="str">
            <v>B10-P007</v>
          </cell>
          <cell r="H751" t="str">
            <v>200A</v>
          </cell>
          <cell r="I751" t="str">
            <v>Telecom</v>
          </cell>
          <cell r="J751" t="str">
            <v>Racks, UPS/PDU, fiber, Cat6A, patch panels, LIU, bonding, labels and test records</v>
          </cell>
          <cell r="K751">
            <v>0</v>
          </cell>
          <cell r="L751" t="str">
            <v>Paul</v>
          </cell>
          <cell r="O751" t="str">
            <v>Open</v>
          </cell>
          <cell r="P751">
            <v>0</v>
          </cell>
          <cell r="Q751" t="str">
            <v>10|73</v>
          </cell>
        </row>
        <row r="752">
          <cell r="E752" t="str">
            <v>10. PHOTO LOG</v>
          </cell>
          <cell r="G752" t="str">
            <v>B10-P008</v>
          </cell>
          <cell r="H752" t="str">
            <v>200A</v>
          </cell>
          <cell r="I752" t="str">
            <v>Security</v>
          </cell>
          <cell r="J752" t="str">
            <v>Card reader, electric strike, door position, CCTV/PACS, motion sensor and VMS/PACS integration</v>
          </cell>
          <cell r="K752">
            <v>0</v>
          </cell>
          <cell r="L752" t="str">
            <v>Paul</v>
          </cell>
          <cell r="O752" t="str">
            <v>Open</v>
          </cell>
          <cell r="P752">
            <v>0</v>
          </cell>
          <cell r="Q752" t="str">
            <v>10|74</v>
          </cell>
        </row>
        <row r="753">
          <cell r="E753" t="str">
            <v>10. PHOTO LOG</v>
          </cell>
          <cell r="G753">
            <v>0</v>
          </cell>
          <cell r="H753">
            <v>0</v>
          </cell>
          <cell r="I753">
            <v>0</v>
          </cell>
          <cell r="J753">
            <v>0</v>
          </cell>
          <cell r="K753">
            <v>0</v>
          </cell>
          <cell r="L753">
            <v>0</v>
          </cell>
          <cell r="O753">
            <v>0</v>
          </cell>
          <cell r="P753">
            <v>0</v>
          </cell>
          <cell r="Q753" t="str">
            <v>10|75</v>
          </cell>
        </row>
        <row r="754">
          <cell r="E754" t="str">
            <v>1. ROOM INVENTORY</v>
          </cell>
          <cell r="G754" t="str">
            <v>1. ROOM INVENTORY</v>
          </cell>
          <cell r="H754">
            <v>0</v>
          </cell>
          <cell r="I754">
            <v>0</v>
          </cell>
          <cell r="J754">
            <v>0</v>
          </cell>
          <cell r="K754">
            <v>0</v>
          </cell>
          <cell r="L754">
            <v>0</v>
          </cell>
          <cell r="O754">
            <v>0</v>
          </cell>
          <cell r="P754">
            <v>0</v>
          </cell>
          <cell r="Q754" t="str">
            <v>12|1</v>
          </cell>
        </row>
        <row r="755">
          <cell r="E755" t="str">
            <v>1. ROOM INVENTORY</v>
          </cell>
          <cell r="G755" t="str">
            <v>Building</v>
          </cell>
          <cell r="H755" t="str">
            <v>Room</v>
          </cell>
          <cell r="I755" t="str">
            <v>Floor</v>
          </cell>
          <cell r="J755" t="str">
            <v>Existing Use</v>
          </cell>
          <cell r="K755" t="str">
            <v>New Use</v>
          </cell>
          <cell r="L755" t="str">
            <v>Rack Count</v>
          </cell>
          <cell r="O755" t="str">
            <v>Drawing Ref</v>
          </cell>
          <cell r="P755" t="str">
            <v>Notes</v>
          </cell>
          <cell r="Q755" t="str">
            <v>12|2</v>
          </cell>
        </row>
        <row r="756">
          <cell r="E756" t="str">
            <v>1. ROOM INVENTORY</v>
          </cell>
          <cell r="G756" t="str">
            <v>12</v>
          </cell>
          <cell r="H756" t="str">
            <v>00 / existing fiber path</v>
          </cell>
          <cell r="I756" t="str">
            <v>B/1/2</v>
          </cell>
          <cell r="J756" t="str">
            <v>Existing building fiber pathway / pull-through route</v>
          </cell>
          <cell r="K756" t="str">
            <v>Fiber-only pull-through scope</v>
          </cell>
          <cell r="L756">
            <v>0</v>
          </cell>
          <cell r="O756" t="str">
            <v>12G-000 / 12T-100 / 12T-101 / 12T-604</v>
          </cell>
          <cell r="P756" t="str">
            <v>Cover sheet states Building 12 receives fiber only. Rack elevation sheet identifies Building 12 as existing rack elevation/fiber only with no rack mounting and no new TR buildout.</v>
          </cell>
          <cell r="Q756" t="str">
            <v>12|3</v>
          </cell>
        </row>
        <row r="757">
          <cell r="E757" t="str">
            <v>1. ROOM INVENTORY</v>
          </cell>
          <cell r="G757" t="str">
            <v>12</v>
          </cell>
          <cell r="H757" t="str">
            <v>Existing rack/demarc - field verify</v>
          </cell>
          <cell r="I757" t="str">
            <v>Field verify</v>
          </cell>
          <cell r="J757" t="str">
            <v>Existing service point / serving closet</v>
          </cell>
          <cell r="K757" t="str">
            <v>Protect-in-place / fiber transition point</v>
          </cell>
          <cell r="L757">
            <v>0</v>
          </cell>
          <cell r="O757" t="str">
            <v>12T-604 / 12T-601 / 12T-602 / 12T-603A/B</v>
          </cell>
          <cell r="P757" t="str">
            <v>12T-604 identifies building level B/1/2 and mounting type NONE/FIBER ONLY. Field verification required to document where fiber enters, passes through, and terminates.</v>
          </cell>
          <cell r="Q757" t="str">
            <v>12|4</v>
          </cell>
        </row>
        <row r="758">
          <cell r="E758" t="str">
            <v>1. ROOM INVENTORY</v>
          </cell>
          <cell r="G758">
            <v>0</v>
          </cell>
          <cell r="H758">
            <v>0</v>
          </cell>
          <cell r="I758">
            <v>0</v>
          </cell>
          <cell r="J758">
            <v>0</v>
          </cell>
          <cell r="K758">
            <v>0</v>
          </cell>
          <cell r="L758">
            <v>0</v>
          </cell>
          <cell r="O758">
            <v>0</v>
          </cell>
          <cell r="P758">
            <v>0</v>
          </cell>
          <cell r="Q758" t="str">
            <v>12|5</v>
          </cell>
        </row>
        <row r="759">
          <cell r="E759" t="str">
            <v>2. ROOM READINESS</v>
          </cell>
          <cell r="G759" t="str">
            <v>2. ROOM READINESS</v>
          </cell>
          <cell r="H759">
            <v>0</v>
          </cell>
          <cell r="I759">
            <v>0</v>
          </cell>
          <cell r="J759">
            <v>0</v>
          </cell>
          <cell r="K759">
            <v>0</v>
          </cell>
          <cell r="L759">
            <v>0</v>
          </cell>
          <cell r="O759">
            <v>0</v>
          </cell>
          <cell r="P759">
            <v>0</v>
          </cell>
          <cell r="Q759" t="str">
            <v>12|6</v>
          </cell>
        </row>
        <row r="760">
          <cell r="E760" t="str">
            <v>2. ROOM READINESS</v>
          </cell>
          <cell r="G760" t="str">
            <v>Room</v>
          </cell>
          <cell r="H760" t="str">
            <v>Walls / 1-hr Rating</v>
          </cell>
          <cell r="I760" t="str">
            <v>Ceiling</v>
          </cell>
          <cell r="J760" t="str">
            <v>Floor / SDC</v>
          </cell>
          <cell r="K760" t="str">
            <v>Penetrations</v>
          </cell>
          <cell r="L760" t="str">
            <v>Access Control</v>
          </cell>
          <cell r="O760" t="str">
            <v>Overall</v>
          </cell>
          <cell r="P760" t="str">
            <v>Comments</v>
          </cell>
          <cell r="Q760" t="str">
            <v>12|7</v>
          </cell>
        </row>
        <row r="761">
          <cell r="E761" t="str">
            <v>2. ROOM READINESS</v>
          </cell>
          <cell r="G761" t="str">
            <v>Fiber path B/1/2</v>
          </cell>
          <cell r="H761" t="str">
            <v>N/A / Verify</v>
          </cell>
          <cell r="I761" t="str">
            <v>N/A / Verify</v>
          </cell>
          <cell r="J761" t="str">
            <v>N/A</v>
          </cell>
          <cell r="K761" t="str">
            <v>Verify</v>
          </cell>
          <cell r="L761" t="str">
            <v>N/A</v>
          </cell>
          <cell r="O761" t="str">
            <v>Verify</v>
          </cell>
          <cell r="P761" t="str">
            <v>No new TR room indicated; focus is route readiness, penetrations, cable tray/conduit capacity, and access to existing pathway.</v>
          </cell>
          <cell r="Q761" t="str">
            <v>12|8</v>
          </cell>
        </row>
        <row r="762">
          <cell r="E762" t="str">
            <v>2. ROOM READINESS</v>
          </cell>
          <cell r="G762" t="str">
            <v>Existing rack/demarc - field verify</v>
          </cell>
          <cell r="H762" t="str">
            <v>N/A / Verify</v>
          </cell>
          <cell r="I762" t="str">
            <v>N/A / Verify</v>
          </cell>
          <cell r="J762" t="str">
            <v>N/A</v>
          </cell>
          <cell r="K762" t="str">
            <v>Verify</v>
          </cell>
          <cell r="L762" t="str">
            <v>N/A / Verify</v>
          </cell>
          <cell r="O762" t="str">
            <v>Verify</v>
          </cell>
          <cell r="P762" t="str">
            <v>Confirm existing equipment, demarc, or closet location; protect active services and confirm no new rack required.</v>
          </cell>
          <cell r="Q762" t="str">
            <v>12|9</v>
          </cell>
        </row>
        <row r="763">
          <cell r="E763" t="str">
            <v>2. ROOM READINESS</v>
          </cell>
          <cell r="G763">
            <v>0</v>
          </cell>
          <cell r="H763">
            <v>0</v>
          </cell>
          <cell r="I763">
            <v>0</v>
          </cell>
          <cell r="J763">
            <v>0</v>
          </cell>
          <cell r="K763">
            <v>0</v>
          </cell>
          <cell r="L763">
            <v>0</v>
          </cell>
          <cell r="O763">
            <v>0</v>
          </cell>
          <cell r="P763">
            <v>0</v>
          </cell>
          <cell r="Q763" t="str">
            <v>12|10</v>
          </cell>
        </row>
        <row r="764">
          <cell r="E764" t="str">
            <v>3. FIRE PROTECTION</v>
          </cell>
          <cell r="G764" t="str">
            <v>3. FIRE PROTECTION</v>
          </cell>
          <cell r="H764">
            <v>0</v>
          </cell>
          <cell r="I764">
            <v>0</v>
          </cell>
          <cell r="J764">
            <v>0</v>
          </cell>
          <cell r="K764">
            <v>0</v>
          </cell>
          <cell r="L764">
            <v>0</v>
          </cell>
          <cell r="O764">
            <v>0</v>
          </cell>
          <cell r="P764">
            <v>0</v>
          </cell>
          <cell r="Q764" t="str">
            <v>12|11</v>
          </cell>
        </row>
        <row r="765">
          <cell r="E765" t="str">
            <v>3. FIRE PROTECTION</v>
          </cell>
          <cell r="G765" t="str">
            <v>Room</v>
          </cell>
          <cell r="H765" t="str">
            <v>Sprinkler</v>
          </cell>
          <cell r="I765" t="str">
            <v>Cage</v>
          </cell>
          <cell r="J765" t="str">
            <v>Detector</v>
          </cell>
          <cell r="K765" t="str">
            <v>Horn/Strobe</v>
          </cell>
          <cell r="L765" t="str">
            <v>Extinguisher &lt;75 ft</v>
          </cell>
          <cell r="O765" t="str">
            <v>Overall</v>
          </cell>
          <cell r="P765" t="str">
            <v>Risk / Notes</v>
          </cell>
          <cell r="Q765" t="str">
            <v>12|12</v>
          </cell>
        </row>
        <row r="766">
          <cell r="E766" t="str">
            <v>3. FIRE PROTECTION</v>
          </cell>
          <cell r="G766" t="str">
            <v>Fiber path B/1/2</v>
          </cell>
          <cell r="H766" t="str">
            <v>N/A</v>
          </cell>
          <cell r="I766" t="str">
            <v>N/A</v>
          </cell>
          <cell r="J766" t="str">
            <v>N/A / Verify</v>
          </cell>
          <cell r="K766" t="str">
            <v>N/A / Verify</v>
          </cell>
          <cell r="L766" t="str">
            <v>N/A</v>
          </cell>
          <cell r="O766" t="str">
            <v>Verify</v>
          </cell>
          <cell r="P766" t="str">
            <v>No fire protection drawing package beyond general notes; verify penetrations/firestopping for fiber pull-through route.</v>
          </cell>
          <cell r="Q766" t="str">
            <v>12|13</v>
          </cell>
        </row>
        <row r="767">
          <cell r="E767" t="str">
            <v>3. FIRE PROTECTION</v>
          </cell>
          <cell r="G767" t="str">
            <v>Existing rack/demarc - field verify</v>
          </cell>
          <cell r="H767" t="str">
            <v>N/A</v>
          </cell>
          <cell r="I767" t="str">
            <v>N/A</v>
          </cell>
          <cell r="J767" t="str">
            <v>N/A / Verify</v>
          </cell>
          <cell r="K767" t="str">
            <v>N/A / Verify</v>
          </cell>
          <cell r="L767" t="str">
            <v>N/A</v>
          </cell>
          <cell r="O767" t="str">
            <v>Verify</v>
          </cell>
          <cell r="P767" t="str">
            <v>No new TR/FEC shown; verify no rated assemblies are compromised by fiber pathway work.</v>
          </cell>
          <cell r="Q767" t="str">
            <v>12|14</v>
          </cell>
        </row>
        <row r="768">
          <cell r="E768" t="str">
            <v>3. FIRE PROTECTION</v>
          </cell>
          <cell r="G768">
            <v>0</v>
          </cell>
          <cell r="H768">
            <v>0</v>
          </cell>
          <cell r="I768">
            <v>0</v>
          </cell>
          <cell r="J768">
            <v>0</v>
          </cell>
          <cell r="K768">
            <v>0</v>
          </cell>
          <cell r="L768">
            <v>0</v>
          </cell>
          <cell r="O768">
            <v>0</v>
          </cell>
          <cell r="P768">
            <v>0</v>
          </cell>
          <cell r="Q768" t="str">
            <v>12|15</v>
          </cell>
        </row>
        <row r="769">
          <cell r="E769" t="str">
            <v>4. HVAC / COOLING</v>
          </cell>
          <cell r="G769" t="str">
            <v>4. HVAC / COOLING</v>
          </cell>
          <cell r="H769">
            <v>0</v>
          </cell>
          <cell r="I769">
            <v>0</v>
          </cell>
          <cell r="J769">
            <v>0</v>
          </cell>
          <cell r="K769">
            <v>0</v>
          </cell>
          <cell r="L769">
            <v>0</v>
          </cell>
          <cell r="O769">
            <v>0</v>
          </cell>
          <cell r="P769">
            <v>0</v>
          </cell>
          <cell r="Q769" t="str">
            <v>12|16</v>
          </cell>
        </row>
        <row r="770">
          <cell r="E770" t="str">
            <v>4. HVAC / COOLING</v>
          </cell>
          <cell r="G770" t="str">
            <v>Room</v>
          </cell>
          <cell r="H770" t="str">
            <v>Dedicated Unit</v>
          </cell>
          <cell r="I770" t="str">
            <v>Capacity Verified</v>
          </cell>
          <cell r="J770" t="str">
            <v>Emergency Power</v>
          </cell>
          <cell r="K770" t="str">
            <v>Controls / BACnet</v>
          </cell>
          <cell r="L770" t="str">
            <v>Condensate Routed</v>
          </cell>
          <cell r="O770" t="str">
            <v>Overall</v>
          </cell>
          <cell r="P770" t="str">
            <v>Risk / Notes</v>
          </cell>
          <cell r="Q770" t="str">
            <v>12|17</v>
          </cell>
        </row>
        <row r="771">
          <cell r="E771" t="str">
            <v>4. HVAC / COOLING</v>
          </cell>
          <cell r="G771" t="str">
            <v>Fiber path B/1/2</v>
          </cell>
          <cell r="H771" t="str">
            <v>N/A</v>
          </cell>
          <cell r="I771" t="str">
            <v>N/A</v>
          </cell>
          <cell r="J771" t="str">
            <v>N/A</v>
          </cell>
          <cell r="K771" t="str">
            <v>N/A</v>
          </cell>
          <cell r="L771" t="str">
            <v>N/A</v>
          </cell>
          <cell r="O771" t="str">
            <v>N/A</v>
          </cell>
          <cell r="P771" t="str">
            <v>No HVAC drawing package for Building 12; fiber-only scope does not indicate new cooling equipment.</v>
          </cell>
          <cell r="Q771" t="str">
            <v>12|18</v>
          </cell>
        </row>
        <row r="772">
          <cell r="E772" t="str">
            <v>4. HVAC / COOLING</v>
          </cell>
          <cell r="G772" t="str">
            <v>Existing rack/demarc - field verify</v>
          </cell>
          <cell r="H772" t="str">
            <v>Existing / N/A</v>
          </cell>
          <cell r="I772" t="str">
            <v>N/A</v>
          </cell>
          <cell r="J772" t="str">
            <v>N/A</v>
          </cell>
          <cell r="K772" t="str">
            <v>N/A</v>
          </cell>
          <cell r="L772" t="str">
            <v>N/A</v>
          </cell>
          <cell r="O772" t="str">
            <v>N/A</v>
          </cell>
          <cell r="P772" t="str">
            <v>Field verify existing environmental conditions only if existing service point/equipment is accessed.</v>
          </cell>
          <cell r="Q772" t="str">
            <v>12|19</v>
          </cell>
        </row>
        <row r="773">
          <cell r="E773" t="str">
            <v>4. HVAC / COOLING</v>
          </cell>
          <cell r="G773">
            <v>0</v>
          </cell>
          <cell r="H773">
            <v>0</v>
          </cell>
          <cell r="I773">
            <v>0</v>
          </cell>
          <cell r="J773">
            <v>0</v>
          </cell>
          <cell r="K773">
            <v>0</v>
          </cell>
          <cell r="L773">
            <v>0</v>
          </cell>
          <cell r="O773">
            <v>0</v>
          </cell>
          <cell r="P773">
            <v>0</v>
          </cell>
          <cell r="Q773" t="str">
            <v>12|20</v>
          </cell>
        </row>
        <row r="774">
          <cell r="E774" t="str">
            <v>5. ELECTRICAL / UPS</v>
          </cell>
          <cell r="G774" t="str">
            <v>5. ELECTRICAL / UPS</v>
          </cell>
          <cell r="H774">
            <v>0</v>
          </cell>
          <cell r="I774">
            <v>0</v>
          </cell>
          <cell r="J774">
            <v>0</v>
          </cell>
          <cell r="K774">
            <v>0</v>
          </cell>
          <cell r="L774">
            <v>0</v>
          </cell>
          <cell r="O774">
            <v>0</v>
          </cell>
          <cell r="P774">
            <v>0</v>
          </cell>
          <cell r="Q774" t="str">
            <v>12|21</v>
          </cell>
        </row>
        <row r="775">
          <cell r="E775" t="str">
            <v>5. ELECTRICAL / UPS</v>
          </cell>
          <cell r="G775" t="str">
            <v>Room</v>
          </cell>
          <cell r="H775" t="str">
            <v>UPS Installed</v>
          </cell>
          <cell r="I775" t="str">
            <v>UPS Size</v>
          </cell>
          <cell r="J775" t="str">
            <v>PDU Installed</v>
          </cell>
          <cell r="K775" t="str">
            <v>Rack Receptacles</v>
          </cell>
          <cell r="L775" t="str">
            <v>Panel Assigned</v>
          </cell>
          <cell r="O775" t="str">
            <v>Overall</v>
          </cell>
          <cell r="P775" t="str">
            <v>Notes</v>
          </cell>
          <cell r="Q775" t="str">
            <v>12|22</v>
          </cell>
        </row>
        <row r="776">
          <cell r="E776" t="str">
            <v>5. ELECTRICAL / UPS</v>
          </cell>
          <cell r="G776" t="str">
            <v>Fiber path B/1/2</v>
          </cell>
          <cell r="H776" t="str">
            <v>N/A</v>
          </cell>
          <cell r="I776" t="str">
            <v>N/A</v>
          </cell>
          <cell r="J776" t="str">
            <v>N/A</v>
          </cell>
          <cell r="K776" t="str">
            <v>N/A</v>
          </cell>
          <cell r="L776" t="str">
            <v>N/A</v>
          </cell>
          <cell r="O776" t="str">
            <v>Verify</v>
          </cell>
          <cell r="P776" t="str">
            <v>No electrical drawing package for Building 12; no new panel/UPS/PDU/rack receptacle scope shown.</v>
          </cell>
          <cell r="Q776" t="str">
            <v>12|23</v>
          </cell>
        </row>
        <row r="777">
          <cell r="E777" t="str">
            <v>5. ELECTRICAL / UPS</v>
          </cell>
          <cell r="G777" t="str">
            <v>Existing rack/demarc - field verify</v>
          </cell>
          <cell r="H777" t="str">
            <v>Existing / N/A</v>
          </cell>
          <cell r="I777" t="str">
            <v>N/A</v>
          </cell>
          <cell r="J777" t="str">
            <v>N/A</v>
          </cell>
          <cell r="K777" t="str">
            <v>N/A</v>
          </cell>
          <cell r="L777" t="str">
            <v>N/A</v>
          </cell>
          <cell r="O777" t="str">
            <v>Verify</v>
          </cell>
          <cell r="P777" t="str">
            <v>Confirm whether any existing equipment is touched. Scope appears limited to fiber pull-through and testing/labeling.</v>
          </cell>
          <cell r="Q777" t="str">
            <v>12|24</v>
          </cell>
        </row>
        <row r="778">
          <cell r="E778" t="str">
            <v>5. ELECTRICAL / UPS</v>
          </cell>
          <cell r="G778">
            <v>0</v>
          </cell>
          <cell r="H778">
            <v>0</v>
          </cell>
          <cell r="I778">
            <v>0</v>
          </cell>
          <cell r="J778">
            <v>0</v>
          </cell>
          <cell r="K778">
            <v>0</v>
          </cell>
          <cell r="L778">
            <v>0</v>
          </cell>
          <cell r="O778">
            <v>0</v>
          </cell>
          <cell r="P778">
            <v>0</v>
          </cell>
          <cell r="Q778" t="str">
            <v>12|25</v>
          </cell>
        </row>
        <row r="779">
          <cell r="E779" t="str">
            <v>6. TELECOMMUNICATIONS</v>
          </cell>
          <cell r="G779" t="str">
            <v>6. TELECOMMUNICATIONS</v>
          </cell>
          <cell r="H779">
            <v>0</v>
          </cell>
          <cell r="I779">
            <v>0</v>
          </cell>
          <cell r="J779">
            <v>0</v>
          </cell>
          <cell r="K779">
            <v>0</v>
          </cell>
          <cell r="L779">
            <v>0</v>
          </cell>
          <cell r="O779">
            <v>0</v>
          </cell>
          <cell r="P779">
            <v>0</v>
          </cell>
          <cell r="Q779" t="str">
            <v>12|26</v>
          </cell>
        </row>
        <row r="780">
          <cell r="E780" t="str">
            <v>6. TELECOMMUNICATIONS</v>
          </cell>
          <cell r="G780" t="str">
            <v>Room</v>
          </cell>
          <cell r="H780" t="str">
            <v>Rack Installed</v>
          </cell>
          <cell r="I780" t="str">
            <v>Ladder Tray</v>
          </cell>
          <cell r="J780" t="str">
            <v>Fiber Installed</v>
          </cell>
          <cell r="K780" t="str">
            <v>Grounding</v>
          </cell>
          <cell r="L780" t="str">
            <v>Labeling</v>
          </cell>
          <cell r="O780" t="str">
            <v>Overall</v>
          </cell>
          <cell r="P780" t="str">
            <v>Notes</v>
          </cell>
          <cell r="Q780" t="str">
            <v>12|27</v>
          </cell>
        </row>
        <row r="781">
          <cell r="E781" t="str">
            <v>6. TELECOMMUNICATIONS</v>
          </cell>
          <cell r="G781" t="str">
            <v>Fiber path B/1/2</v>
          </cell>
          <cell r="H781" t="str">
            <v>N/A</v>
          </cell>
          <cell r="I781" t="str">
            <v>Verify</v>
          </cell>
          <cell r="J781" t="str">
            <v>Verify</v>
          </cell>
          <cell r="K781" t="str">
            <v>Verify</v>
          </cell>
          <cell r="L781" t="str">
            <v>Verify</v>
          </cell>
          <cell r="O781" t="str">
            <v>Verify</v>
          </cell>
          <cell r="P781" t="str">
            <v>Building 12 receives fiber only. Verify pull-through path on basement/first/second telecom plans, redundant Path A/B fiber, pathway capacity, grounding/bonding where applicable, labeling and testing.</v>
          </cell>
          <cell r="Q781" t="str">
            <v>12|28</v>
          </cell>
        </row>
        <row r="782">
          <cell r="E782" t="str">
            <v>6. TELECOMMUNICATIONS</v>
          </cell>
          <cell r="G782" t="str">
            <v>Existing rack/demarc - field verify</v>
          </cell>
          <cell r="H782" t="str">
            <v>Existing / none new</v>
          </cell>
          <cell r="I782" t="str">
            <v>N/A / Verify</v>
          </cell>
          <cell r="J782" t="str">
            <v>Verify</v>
          </cell>
          <cell r="K782" t="str">
            <v>Verify</v>
          </cell>
          <cell r="L782" t="str">
            <v>Verify</v>
          </cell>
          <cell r="O782" t="str">
            <v>Verify</v>
          </cell>
          <cell r="P782" t="str">
            <v>12T-604 shows rack number 00/room 00 and notes fiber-only with no mounting type; verify existing service/termination point and whether fiber passes through only.</v>
          </cell>
          <cell r="Q782" t="str">
            <v>12|29</v>
          </cell>
        </row>
        <row r="783">
          <cell r="E783" t="str">
            <v>6. TELECOMMUNICATIONS</v>
          </cell>
          <cell r="G783">
            <v>0</v>
          </cell>
          <cell r="H783">
            <v>0</v>
          </cell>
          <cell r="I783">
            <v>0</v>
          </cell>
          <cell r="J783">
            <v>0</v>
          </cell>
          <cell r="K783">
            <v>0</v>
          </cell>
          <cell r="L783">
            <v>0</v>
          </cell>
          <cell r="O783">
            <v>0</v>
          </cell>
          <cell r="P783">
            <v>0</v>
          </cell>
          <cell r="Q783" t="str">
            <v>12|30</v>
          </cell>
        </row>
        <row r="784">
          <cell r="E784" t="str">
            <v>7. SECURITY / PACS / CCTV</v>
          </cell>
          <cell r="G784" t="str">
            <v>7. SECURITY / PACS / CCTV</v>
          </cell>
          <cell r="H784">
            <v>0</v>
          </cell>
          <cell r="I784">
            <v>0</v>
          </cell>
          <cell r="J784">
            <v>0</v>
          </cell>
          <cell r="K784">
            <v>0</v>
          </cell>
          <cell r="L784">
            <v>0</v>
          </cell>
          <cell r="O784">
            <v>0</v>
          </cell>
          <cell r="P784">
            <v>0</v>
          </cell>
          <cell r="Q784" t="str">
            <v>12|31</v>
          </cell>
        </row>
        <row r="785">
          <cell r="E785" t="str">
            <v>7. SECURITY / PACS / CCTV</v>
          </cell>
          <cell r="G785" t="str">
            <v>Room</v>
          </cell>
          <cell r="H785" t="str">
            <v>PACS</v>
          </cell>
          <cell r="I785" t="str">
            <v>Card Reader</v>
          </cell>
          <cell r="J785" t="str">
            <v>Door Position</v>
          </cell>
          <cell r="K785" t="str">
            <v>Electric Strike</v>
          </cell>
          <cell r="L785" t="str">
            <v>CCTV</v>
          </cell>
          <cell r="O785" t="str">
            <v>Overall</v>
          </cell>
          <cell r="P785" t="str">
            <v>Notes</v>
          </cell>
          <cell r="Q785" t="str">
            <v>12|32</v>
          </cell>
        </row>
        <row r="786">
          <cell r="E786" t="str">
            <v>7. SECURITY / PACS / CCTV</v>
          </cell>
          <cell r="G786" t="str">
            <v>Fiber path B/1/2</v>
          </cell>
          <cell r="H786" t="str">
            <v>N/A</v>
          </cell>
          <cell r="I786" t="str">
            <v>N/A</v>
          </cell>
          <cell r="J786" t="str">
            <v>N/A</v>
          </cell>
          <cell r="K786" t="str">
            <v>N/A</v>
          </cell>
          <cell r="L786" t="str">
            <v>N/A / Verify</v>
          </cell>
          <cell r="O786" t="str">
            <v>N/A / Verify</v>
          </cell>
          <cell r="P786" t="str">
            <v>No new TR door or PACS/CCTV package shown for Building 12; verify security access only for work areas and existing equipment rooms.</v>
          </cell>
          <cell r="Q786" t="str">
            <v>12|33</v>
          </cell>
        </row>
        <row r="787">
          <cell r="E787" t="str">
            <v>7. SECURITY / PACS / CCTV</v>
          </cell>
          <cell r="G787" t="str">
            <v>Existing rack/demarc - field verify</v>
          </cell>
          <cell r="H787" t="str">
            <v>N/A / Verify</v>
          </cell>
          <cell r="I787" t="str">
            <v>N/A / Verify</v>
          </cell>
          <cell r="J787" t="str">
            <v>N/A</v>
          </cell>
          <cell r="K787" t="str">
            <v>N/A</v>
          </cell>
          <cell r="L787" t="str">
            <v>N/A / Verify</v>
          </cell>
          <cell r="O787" t="str">
            <v>N/A / Verify</v>
          </cell>
          <cell r="P787" t="str">
            <v>Confirm access requirements to existing closet/demarc while protecting active operations.</v>
          </cell>
          <cell r="Q787" t="str">
            <v>12|34</v>
          </cell>
        </row>
        <row r="788">
          <cell r="E788" t="str">
            <v>7. SECURITY / PACS / CCTV</v>
          </cell>
          <cell r="G788">
            <v>0</v>
          </cell>
          <cell r="H788">
            <v>0</v>
          </cell>
          <cell r="I788">
            <v>0</v>
          </cell>
          <cell r="J788">
            <v>0</v>
          </cell>
          <cell r="K788">
            <v>0</v>
          </cell>
          <cell r="L788">
            <v>0</v>
          </cell>
          <cell r="O788">
            <v>0</v>
          </cell>
          <cell r="P788">
            <v>0</v>
          </cell>
          <cell r="Q788" t="str">
            <v>12|35</v>
          </cell>
        </row>
        <row r="789">
          <cell r="E789" t="str">
            <v>8. OWNER RISKS</v>
          </cell>
          <cell r="G789" t="str">
            <v>8. OWNER RISKS</v>
          </cell>
          <cell r="H789">
            <v>0</v>
          </cell>
          <cell r="I789">
            <v>0</v>
          </cell>
          <cell r="J789">
            <v>0</v>
          </cell>
          <cell r="K789">
            <v>0</v>
          </cell>
          <cell r="L789">
            <v>0</v>
          </cell>
          <cell r="O789">
            <v>0</v>
          </cell>
          <cell r="P789">
            <v>0</v>
          </cell>
          <cell r="Q789" t="str">
            <v>12|36</v>
          </cell>
        </row>
        <row r="790">
          <cell r="E790" t="str">
            <v>8. OWNER RISKS</v>
          </cell>
          <cell r="G790" t="str">
            <v>Risk ID</v>
          </cell>
          <cell r="H790" t="str">
            <v>Room</v>
          </cell>
          <cell r="I790" t="str">
            <v>Risk</v>
          </cell>
          <cell r="J790" t="str">
            <v>Impact</v>
          </cell>
          <cell r="K790" t="str">
            <v>Probability</v>
          </cell>
          <cell r="L790" t="str">
            <v>Score</v>
          </cell>
          <cell r="O790" t="str">
            <v>Status</v>
          </cell>
          <cell r="P790" t="str">
            <v>Notes</v>
          </cell>
          <cell r="Q790" t="str">
            <v>12|37</v>
          </cell>
        </row>
        <row r="791">
          <cell r="E791" t="str">
            <v>8. OWNER RISKS</v>
          </cell>
          <cell r="G791" t="str">
            <v>B12-R1</v>
          </cell>
          <cell r="H791" t="str">
            <v>All</v>
          </cell>
          <cell r="I791" t="str">
            <v>Fiber-only scope could be mistaken for full TR scope or skipped as minor work</v>
          </cell>
          <cell r="J791" t="str">
            <v>High</v>
          </cell>
          <cell r="K791" t="str">
            <v>Medium</v>
          </cell>
          <cell r="L791">
            <v>6</v>
          </cell>
          <cell r="O791" t="str">
            <v>Open</v>
          </cell>
          <cell r="P791" t="str">
            <v>Cover sheet note says this building is to receive fiber only.</v>
          </cell>
          <cell r="Q791" t="str">
            <v>12|38</v>
          </cell>
        </row>
        <row r="792">
          <cell r="E792" t="str">
            <v>8. OWNER RISKS</v>
          </cell>
          <cell r="G792" t="str">
            <v>B12-R2</v>
          </cell>
          <cell r="H792" t="str">
            <v>Fiber path B/1/2</v>
          </cell>
          <cell r="I792" t="str">
            <v>Existing pull-through pathway not field verified</v>
          </cell>
          <cell r="J792" t="str">
            <v>High</v>
          </cell>
          <cell r="K792" t="str">
            <v>Medium</v>
          </cell>
          <cell r="L792">
            <v>6</v>
          </cell>
          <cell r="O792" t="str">
            <v>Open</v>
          </cell>
          <cell r="P792" t="str">
            <v>12T-100/101 plan sheets and 12T-604 identify fiber-only B/1/2 scope.</v>
          </cell>
          <cell r="Q792" t="str">
            <v>12|39</v>
          </cell>
        </row>
        <row r="793">
          <cell r="E793" t="str">
            <v>8. OWNER RISKS</v>
          </cell>
          <cell r="G793" t="str">
            <v>B12-R3</v>
          </cell>
          <cell r="H793" t="str">
            <v>All</v>
          </cell>
          <cell r="I793" t="str">
            <v>Existing service continuity during fiber pull/cutover may not be defined</v>
          </cell>
          <cell r="J793" t="str">
            <v>Critical</v>
          </cell>
          <cell r="K793" t="str">
            <v>Medium</v>
          </cell>
          <cell r="L793">
            <v>8</v>
          </cell>
          <cell r="O793" t="str">
            <v>Open</v>
          </cell>
          <cell r="P793" t="str">
            <v>All telecom cabling must be tested, approved and accepted before active connection.</v>
          </cell>
          <cell r="Q793" t="str">
            <v>12|40</v>
          </cell>
        </row>
        <row r="794">
          <cell r="E794" t="str">
            <v>8. OWNER RISKS</v>
          </cell>
          <cell r="G794" t="str">
            <v>B12-R4</v>
          </cell>
          <cell r="H794" t="str">
            <v>All</v>
          </cell>
          <cell r="I794" t="str">
            <v>Pathway penetrations/firestopping may be overlooked because there is no architectural/FP package</v>
          </cell>
          <cell r="J794" t="str">
            <v>High</v>
          </cell>
          <cell r="K794" t="str">
            <v>Medium</v>
          </cell>
          <cell r="L794">
            <v>6</v>
          </cell>
          <cell r="O794" t="str">
            <v>Open</v>
          </cell>
          <cell r="P794" t="str">
            <v>General notes still require firestopping for floor/rated wall penetrations.</v>
          </cell>
          <cell r="Q794" t="str">
            <v>12|41</v>
          </cell>
        </row>
        <row r="795">
          <cell r="E795" t="str">
            <v>8. OWNER RISKS</v>
          </cell>
          <cell r="G795" t="str">
            <v>B12-R5</v>
          </cell>
          <cell r="H795" t="str">
            <v>Existing rack/demarc - field verify</v>
          </cell>
          <cell r="I795" t="str">
            <v>Existing termination/demarc location and ownership unclear</v>
          </cell>
          <cell r="J795" t="str">
            <v>Medium</v>
          </cell>
          <cell r="K795" t="str">
            <v>Medium</v>
          </cell>
          <cell r="L795">
            <v>4</v>
          </cell>
          <cell r="O795" t="str">
            <v>Open</v>
          </cell>
          <cell r="P795" t="str">
            <v>12T-604 shows room/rack as 00; actual field condition must be documented.</v>
          </cell>
          <cell r="Q795" t="str">
            <v>12|42</v>
          </cell>
        </row>
        <row r="796">
          <cell r="E796" t="str">
            <v>8. OWNER RISKS</v>
          </cell>
          <cell r="G796" t="str">
            <v>B12-R6</v>
          </cell>
          <cell r="H796" t="str">
            <v>All</v>
          </cell>
          <cell r="I796" t="str">
            <v>Test reports, labels and as-builts may be incomplete for fiber-only work</v>
          </cell>
          <cell r="J796" t="str">
            <v>High</v>
          </cell>
          <cell r="K796" t="str">
            <v>Medium</v>
          </cell>
          <cell r="L796">
            <v>6</v>
          </cell>
          <cell r="O796" t="str">
            <v>Open</v>
          </cell>
          <cell r="P796" t="str">
            <v>Fiber-only work still requires record drawings and acceptance.</v>
          </cell>
          <cell r="Q796" t="str">
            <v>12|43</v>
          </cell>
        </row>
        <row r="797">
          <cell r="E797" t="str">
            <v>8. OWNER RISKS</v>
          </cell>
          <cell r="G797">
            <v>0</v>
          </cell>
          <cell r="H797">
            <v>0</v>
          </cell>
          <cell r="I797">
            <v>0</v>
          </cell>
          <cell r="J797">
            <v>0</v>
          </cell>
          <cell r="K797">
            <v>0</v>
          </cell>
          <cell r="L797">
            <v>0</v>
          </cell>
          <cell r="O797">
            <v>0</v>
          </cell>
          <cell r="P797">
            <v>0</v>
          </cell>
          <cell r="Q797" t="str">
            <v>12|44</v>
          </cell>
        </row>
        <row r="798">
          <cell r="E798" t="str">
            <v>9. OPEN QUESTIONS</v>
          </cell>
          <cell r="G798" t="str">
            <v>9. OPEN QUESTIONS</v>
          </cell>
          <cell r="H798">
            <v>0</v>
          </cell>
          <cell r="I798">
            <v>0</v>
          </cell>
          <cell r="J798">
            <v>0</v>
          </cell>
          <cell r="K798">
            <v>0</v>
          </cell>
          <cell r="L798">
            <v>0</v>
          </cell>
          <cell r="O798">
            <v>0</v>
          </cell>
          <cell r="P798">
            <v>0</v>
          </cell>
          <cell r="Q798" t="str">
            <v>12|45</v>
          </cell>
        </row>
        <row r="799">
          <cell r="E799" t="str">
            <v>9. OPEN QUESTIONS</v>
          </cell>
          <cell r="G799" t="str">
            <v>Question ID</v>
          </cell>
          <cell r="H799" t="str">
            <v>Question</v>
          </cell>
          <cell r="I799" t="str">
            <v>Assigned To</v>
          </cell>
          <cell r="J799" t="str">
            <v>Status</v>
          </cell>
          <cell r="K799" t="str">
            <v>Needed By</v>
          </cell>
          <cell r="L799" t="str">
            <v>Answer / Resolution</v>
          </cell>
          <cell r="O799" t="str">
            <v>Date Closed</v>
          </cell>
          <cell r="P799" t="str">
            <v>Notes</v>
          </cell>
          <cell r="Q799" t="str">
            <v>12|46</v>
          </cell>
        </row>
        <row r="800">
          <cell r="E800" t="str">
            <v>9. OPEN QUESTIONS</v>
          </cell>
          <cell r="G800" t="str">
            <v>B12-Q1</v>
          </cell>
          <cell r="H800" t="str">
            <v>Confirm Building 12 scope is fiber-only with no new TR, no new rack, no new electrical, HVAC, fire protection, PACS or CCTV work?</v>
          </cell>
          <cell r="I800" t="str">
            <v>VA / OIT / Designer</v>
          </cell>
          <cell r="J800" t="str">
            <v>Open</v>
          </cell>
          <cell r="K800">
            <v>0</v>
          </cell>
          <cell r="L800">
            <v>0</v>
          </cell>
          <cell r="O800">
            <v>0</v>
          </cell>
          <cell r="P800">
            <v>0</v>
          </cell>
          <cell r="Q800" t="str">
            <v>12|47</v>
          </cell>
        </row>
        <row r="801">
          <cell r="E801" t="str">
            <v>9. OPEN QUESTIONS</v>
          </cell>
          <cell r="G801" t="str">
            <v>B12-Q2</v>
          </cell>
          <cell r="H801" t="str">
            <v>What exact pathway does the Building 12 fiber take through basement, first and second levels?</v>
          </cell>
          <cell r="I801" t="str">
            <v>Telecom Contractor / OIT</v>
          </cell>
          <cell r="J801" t="str">
            <v>Open</v>
          </cell>
          <cell r="K801">
            <v>0</v>
          </cell>
          <cell r="L801">
            <v>0</v>
          </cell>
          <cell r="O801">
            <v>0</v>
          </cell>
          <cell r="P801">
            <v>0</v>
          </cell>
          <cell r="Q801" t="str">
            <v>12|48</v>
          </cell>
        </row>
        <row r="802">
          <cell r="E802" t="str">
            <v>9. OPEN QUESTIONS</v>
          </cell>
          <cell r="G802" t="str">
            <v>B12-Q3</v>
          </cell>
          <cell r="H802" t="str">
            <v>Where does the Building 12 fiber terminate, and is the existing rack/demarc/closet to be touched?</v>
          </cell>
          <cell r="I802" t="str">
            <v>OIT / Contractor</v>
          </cell>
          <cell r="J802" t="str">
            <v>Open</v>
          </cell>
          <cell r="K802">
            <v>0</v>
          </cell>
          <cell r="L802">
            <v>0</v>
          </cell>
          <cell r="O802">
            <v>0</v>
          </cell>
          <cell r="P802">
            <v>0</v>
          </cell>
          <cell r="Q802" t="str">
            <v>12|49</v>
          </cell>
        </row>
        <row r="803">
          <cell r="E803" t="str">
            <v>9. OPEN QUESTIONS</v>
          </cell>
          <cell r="G803" t="str">
            <v>B12-Q4</v>
          </cell>
          <cell r="H803" t="str">
            <v>Are existing conduits/cable trays available and below fill limits for the new fiber?</v>
          </cell>
          <cell r="I803" t="str">
            <v>Telecom Contractor</v>
          </cell>
          <cell r="J803" t="str">
            <v>Open</v>
          </cell>
          <cell r="K803">
            <v>0</v>
          </cell>
          <cell r="L803">
            <v>0</v>
          </cell>
          <cell r="O803">
            <v>0</v>
          </cell>
          <cell r="P803">
            <v>0</v>
          </cell>
          <cell r="Q803" t="str">
            <v>12|50</v>
          </cell>
        </row>
        <row r="804">
          <cell r="E804" t="str">
            <v>9. OPEN QUESTIONS</v>
          </cell>
          <cell r="G804" t="str">
            <v>B12-Q5</v>
          </cell>
          <cell r="H804" t="str">
            <v>Are there any floor/rated wall penetrations requiring firestop or temporary firestop during cable pull?</v>
          </cell>
          <cell r="I804" t="str">
            <v>GC / Firestop</v>
          </cell>
          <cell r="J804" t="str">
            <v>Open</v>
          </cell>
          <cell r="K804">
            <v>0</v>
          </cell>
          <cell r="L804">
            <v>0</v>
          </cell>
          <cell r="O804">
            <v>0</v>
          </cell>
          <cell r="P804">
            <v>0</v>
          </cell>
          <cell r="Q804" t="str">
            <v>12|51</v>
          </cell>
        </row>
        <row r="805">
          <cell r="E805" t="str">
            <v>9. OPEN QUESTIONS</v>
          </cell>
          <cell r="G805" t="str">
            <v>B12-Q6</v>
          </cell>
          <cell r="H805" t="str">
            <v>What is the approved cutover/testing/acceptance sequence for Building 12 fiber?</v>
          </cell>
          <cell r="I805" t="str">
            <v>OIT / COR / Contractor</v>
          </cell>
          <cell r="J805" t="str">
            <v>Open</v>
          </cell>
          <cell r="K805">
            <v>0</v>
          </cell>
          <cell r="L805">
            <v>0</v>
          </cell>
          <cell r="O805">
            <v>0</v>
          </cell>
          <cell r="P805">
            <v>0</v>
          </cell>
          <cell r="Q805" t="str">
            <v>12|52</v>
          </cell>
        </row>
        <row r="806">
          <cell r="E806" t="str">
            <v>9. OPEN QUESTIONS</v>
          </cell>
          <cell r="G806" t="str">
            <v>B12-Q7</v>
          </cell>
          <cell r="H806" t="str">
            <v>Which fiber test reports, labels, route documentation and as-builts are required for closeout?</v>
          </cell>
          <cell r="I806" t="str">
            <v>Telecom / GCC</v>
          </cell>
          <cell r="J806" t="str">
            <v>Open</v>
          </cell>
          <cell r="K806">
            <v>0</v>
          </cell>
          <cell r="L806">
            <v>0</v>
          </cell>
          <cell r="O806">
            <v>0</v>
          </cell>
          <cell r="P806">
            <v>0</v>
          </cell>
          <cell r="Q806" t="str">
            <v>12|53</v>
          </cell>
        </row>
        <row r="807">
          <cell r="E807" t="str">
            <v>9. OPEN QUESTIONS</v>
          </cell>
          <cell r="G807">
            <v>0</v>
          </cell>
          <cell r="H807">
            <v>0</v>
          </cell>
          <cell r="I807">
            <v>0</v>
          </cell>
          <cell r="J807">
            <v>0</v>
          </cell>
          <cell r="K807">
            <v>0</v>
          </cell>
          <cell r="L807">
            <v>0</v>
          </cell>
          <cell r="O807">
            <v>0</v>
          </cell>
          <cell r="P807">
            <v>0</v>
          </cell>
          <cell r="Q807" t="str">
            <v>12|54</v>
          </cell>
        </row>
        <row r="808">
          <cell r="E808" t="str">
            <v>10. PHOTO LOG</v>
          </cell>
          <cell r="G808" t="str">
            <v>10. PHOTO LOG</v>
          </cell>
          <cell r="H808">
            <v>0</v>
          </cell>
          <cell r="I808">
            <v>0</v>
          </cell>
          <cell r="J808">
            <v>0</v>
          </cell>
          <cell r="K808">
            <v>0</v>
          </cell>
          <cell r="L808">
            <v>0</v>
          </cell>
          <cell r="O808">
            <v>0</v>
          </cell>
          <cell r="P808">
            <v>0</v>
          </cell>
          <cell r="Q808" t="str">
            <v>12|55</v>
          </cell>
        </row>
        <row r="809">
          <cell r="E809" t="str">
            <v>10. PHOTO LOG</v>
          </cell>
          <cell r="G809" t="str">
            <v>Photo ID</v>
          </cell>
          <cell r="H809" t="str">
            <v>Room</v>
          </cell>
          <cell r="I809" t="str">
            <v>Category</v>
          </cell>
          <cell r="J809" t="str">
            <v>Description</v>
          </cell>
          <cell r="K809" t="str">
            <v>Date</v>
          </cell>
          <cell r="L809" t="str">
            <v>Taken By</v>
          </cell>
          <cell r="O809" t="str">
            <v>Status</v>
          </cell>
          <cell r="P809" t="str">
            <v>Notes</v>
          </cell>
          <cell r="Q809" t="str">
            <v>12|56</v>
          </cell>
        </row>
        <row r="810">
          <cell r="E810" t="str">
            <v>10. PHOTO LOG</v>
          </cell>
          <cell r="G810" t="str">
            <v>B12-P001</v>
          </cell>
          <cell r="H810" t="str">
            <v>Fiber path B/1/2</v>
          </cell>
          <cell r="I810" t="str">
            <v>Existing Condition</v>
          </cell>
          <cell r="J810" t="str">
            <v>Existing conduit/cable tray/pathway from entry through basement/first/second levels</v>
          </cell>
          <cell r="K810">
            <v>0</v>
          </cell>
          <cell r="L810" t="str">
            <v>Paul</v>
          </cell>
          <cell r="O810" t="str">
            <v>Open</v>
          </cell>
          <cell r="P810">
            <v>0</v>
          </cell>
          <cell r="Q810" t="str">
            <v>12|57</v>
          </cell>
        </row>
        <row r="811">
          <cell r="E811" t="str">
            <v>10. PHOTO LOG</v>
          </cell>
          <cell r="G811" t="str">
            <v>B12-P002</v>
          </cell>
          <cell r="H811" t="str">
            <v>Existing rack/demarc - field verify</v>
          </cell>
          <cell r="I811" t="str">
            <v>Existing Condition</v>
          </cell>
          <cell r="J811" t="str">
            <v>Existing rack, demarc, serving closet or fiber termination/pass-through point</v>
          </cell>
          <cell r="K811">
            <v>0</v>
          </cell>
          <cell r="L811" t="str">
            <v>Paul</v>
          </cell>
          <cell r="O811" t="str">
            <v>Open</v>
          </cell>
          <cell r="P811">
            <v>0</v>
          </cell>
          <cell r="Q811" t="str">
            <v>12|58</v>
          </cell>
        </row>
        <row r="812">
          <cell r="E812" t="str">
            <v>10. PHOTO LOG</v>
          </cell>
          <cell r="G812" t="str">
            <v>B12-P003</v>
          </cell>
          <cell r="H812" t="str">
            <v>All</v>
          </cell>
          <cell r="I812" t="str">
            <v>Firestop</v>
          </cell>
          <cell r="J812" t="str">
            <v>All floor/wall/sleeve penetrations before pull, during work, and after permanent firestop</v>
          </cell>
          <cell r="K812">
            <v>0</v>
          </cell>
          <cell r="L812" t="str">
            <v>Paul</v>
          </cell>
          <cell r="O812" t="str">
            <v>Open</v>
          </cell>
          <cell r="P812">
            <v>0</v>
          </cell>
          <cell r="Q812" t="str">
            <v>12|59</v>
          </cell>
        </row>
        <row r="813">
          <cell r="E813" t="str">
            <v>10. PHOTO LOG</v>
          </cell>
          <cell r="G813" t="str">
            <v>B12-P004</v>
          </cell>
          <cell r="H813" t="str">
            <v>All</v>
          </cell>
          <cell r="I813" t="str">
            <v>Telecom</v>
          </cell>
          <cell r="J813" t="str">
            <v>Fiber reels, pull route, pull boxes, labels, slack loops, termination points and test records</v>
          </cell>
          <cell r="K813">
            <v>0</v>
          </cell>
          <cell r="L813" t="str">
            <v>Paul</v>
          </cell>
          <cell r="O813" t="str">
            <v>Open</v>
          </cell>
          <cell r="P813">
            <v>0</v>
          </cell>
          <cell r="Q813" t="str">
            <v>12|60</v>
          </cell>
        </row>
        <row r="814">
          <cell r="E814" t="str">
            <v>10. PHOTO LOG</v>
          </cell>
          <cell r="G814" t="str">
            <v>B12-P005</v>
          </cell>
          <cell r="H814" t="str">
            <v>All</v>
          </cell>
          <cell r="I814" t="str">
            <v>Closeout</v>
          </cell>
          <cell r="J814" t="str">
            <v>Fiber certification/OTDR screenshots, labeling, as-built route and VA/OIT acceptance evidence</v>
          </cell>
          <cell r="K814">
            <v>0</v>
          </cell>
          <cell r="L814" t="str">
            <v>Paul</v>
          </cell>
          <cell r="O814" t="str">
            <v>Open</v>
          </cell>
          <cell r="P814">
            <v>0</v>
          </cell>
          <cell r="Q814" t="str">
            <v>12|61</v>
          </cell>
        </row>
        <row r="815">
          <cell r="E815" t="str">
            <v>10. PHOTO LOG</v>
          </cell>
          <cell r="G815">
            <v>0</v>
          </cell>
          <cell r="H815">
            <v>0</v>
          </cell>
          <cell r="I815">
            <v>0</v>
          </cell>
          <cell r="J815">
            <v>0</v>
          </cell>
          <cell r="K815">
            <v>0</v>
          </cell>
          <cell r="L815">
            <v>0</v>
          </cell>
          <cell r="O815">
            <v>0</v>
          </cell>
          <cell r="P815">
            <v>0</v>
          </cell>
          <cell r="Q815" t="str">
            <v>12|62</v>
          </cell>
        </row>
        <row r="816">
          <cell r="E816" t="str">
            <v>1. ROOM INVENTORY</v>
          </cell>
          <cell r="G816" t="str">
            <v>1. ROOM INVENTORY</v>
          </cell>
          <cell r="H816">
            <v>0</v>
          </cell>
          <cell r="I816">
            <v>0</v>
          </cell>
          <cell r="J816">
            <v>0</v>
          </cell>
          <cell r="K816">
            <v>0</v>
          </cell>
          <cell r="L816">
            <v>0</v>
          </cell>
          <cell r="O816">
            <v>0</v>
          </cell>
          <cell r="P816">
            <v>0</v>
          </cell>
          <cell r="Q816" t="str">
            <v>13|1</v>
          </cell>
        </row>
        <row r="817">
          <cell r="E817" t="str">
            <v>1. ROOM INVENTORY</v>
          </cell>
          <cell r="G817" t="str">
            <v>Building</v>
          </cell>
          <cell r="H817" t="str">
            <v>Room</v>
          </cell>
          <cell r="I817" t="str">
            <v>Floor</v>
          </cell>
          <cell r="J817" t="str">
            <v>Existing Use</v>
          </cell>
          <cell r="K817" t="str">
            <v>New Use</v>
          </cell>
          <cell r="L817" t="str">
            <v>Rack Count</v>
          </cell>
          <cell r="O817" t="str">
            <v>Drawing Ref</v>
          </cell>
          <cell r="P817" t="str">
            <v>Notes</v>
          </cell>
          <cell r="Q817" t="str">
            <v>13|2</v>
          </cell>
        </row>
        <row r="818">
          <cell r="E818" t="str">
            <v>1. ROOM INVENTORY</v>
          </cell>
          <cell r="G818" t="str">
            <v>13</v>
          </cell>
          <cell r="H818" t="str">
            <v>124</v>
          </cell>
          <cell r="I818" t="str">
            <v>First</v>
          </cell>
          <cell r="J818" t="str">
            <v>Telecom Room / new TR build area</v>
          </cell>
          <cell r="K818" t="str">
            <v>Telecom Room</v>
          </cell>
          <cell r="L818">
            <v>2</v>
          </cell>
          <cell r="O818" t="str">
            <v>13A-401 / 13E-401 / 13T-100 / 13T-701</v>
          </cell>
          <cell r="P818" t="str">
            <v>Primary Building 13 TR. Plans identify Telecom Room 124 at 119 SF, served by Rack ID TR01-124-1, panels B13-TR124AA/AB, 240V UPS/PDU rack power, IU-1-01/CU-1-01 cooling, and a future rack allowance.</v>
          </cell>
          <cell r="Q818" t="str">
            <v>13|3</v>
          </cell>
        </row>
        <row r="819">
          <cell r="E819" t="str">
            <v>1. ROOM INVENTORY</v>
          </cell>
          <cell r="G819" t="str">
            <v>13</v>
          </cell>
          <cell r="H819" t="str">
            <v>222</v>
          </cell>
          <cell r="I819" t="str">
            <v>Second</v>
          </cell>
          <cell r="J819" t="str">
            <v>Existing Tel Room / existing rack and patching area</v>
          </cell>
          <cell r="K819" t="str">
            <v>Existing telecom transition point</v>
          </cell>
          <cell r="L819">
            <v>1</v>
          </cell>
          <cell r="O819" t="str">
            <v>13T-100 / 13R-900</v>
          </cell>
          <cell r="P819" t="str">
            <v>Existing second-level Tel Room 222 shown with existing telco patch, plywood backboard, indoor AC unit, wall-mounted rack, patch panel, and security cabinet. Protect active services and verify what is transferred to Room 124.</v>
          </cell>
          <cell r="Q819" t="str">
            <v>13|4</v>
          </cell>
        </row>
        <row r="820">
          <cell r="E820" t="str">
            <v>1. ROOM INVENTORY</v>
          </cell>
          <cell r="G820">
            <v>0</v>
          </cell>
          <cell r="H820">
            <v>0</v>
          </cell>
          <cell r="I820">
            <v>0</v>
          </cell>
          <cell r="J820">
            <v>0</v>
          </cell>
          <cell r="K820">
            <v>0</v>
          </cell>
          <cell r="L820">
            <v>0</v>
          </cell>
          <cell r="O820">
            <v>0</v>
          </cell>
          <cell r="P820">
            <v>0</v>
          </cell>
          <cell r="Q820" t="str">
            <v>13|5</v>
          </cell>
        </row>
        <row r="821">
          <cell r="E821" t="str">
            <v>2. ROOM READINESS</v>
          </cell>
          <cell r="G821" t="str">
            <v>2. ROOM READINESS</v>
          </cell>
          <cell r="H821">
            <v>0</v>
          </cell>
          <cell r="I821">
            <v>0</v>
          </cell>
          <cell r="J821">
            <v>0</v>
          </cell>
          <cell r="K821">
            <v>0</v>
          </cell>
          <cell r="L821">
            <v>0</v>
          </cell>
          <cell r="O821">
            <v>0</v>
          </cell>
          <cell r="P821">
            <v>0</v>
          </cell>
          <cell r="Q821" t="str">
            <v>13|6</v>
          </cell>
        </row>
        <row r="822">
          <cell r="E822" t="str">
            <v>2. ROOM READINESS</v>
          </cell>
          <cell r="G822" t="str">
            <v>Room</v>
          </cell>
          <cell r="H822" t="str">
            <v>Walls / 1-hr Rating</v>
          </cell>
          <cell r="I822" t="str">
            <v>Ceiling</v>
          </cell>
          <cell r="J822" t="str">
            <v>Floor / SDC</v>
          </cell>
          <cell r="K822" t="str">
            <v>Penetrations</v>
          </cell>
          <cell r="L822" t="str">
            <v>Access Control</v>
          </cell>
          <cell r="O822" t="str">
            <v>Overall</v>
          </cell>
          <cell r="P822" t="str">
            <v>Comments</v>
          </cell>
          <cell r="Q822" t="str">
            <v>13|7</v>
          </cell>
        </row>
        <row r="823">
          <cell r="E823" t="str">
            <v>2. ROOM READINESS</v>
          </cell>
          <cell r="G823" t="str">
            <v>124</v>
          </cell>
          <cell r="H823" t="str">
            <v>Verify</v>
          </cell>
          <cell r="I823" t="str">
            <v>Verify</v>
          </cell>
          <cell r="J823" t="str">
            <v>Verify</v>
          </cell>
          <cell r="K823" t="str">
            <v>Verify</v>
          </cell>
          <cell r="L823" t="str">
            <v>Verify</v>
          </cell>
          <cell r="O823" t="str">
            <v>Verify</v>
          </cell>
          <cell r="P823" t="str">
            <v>First-level TR; verify 1-hour fire/smoke-rated enclosure, open-to-deck conditions, door hardware/access control, static-control floor sealer, rack clearances, wall backing, and pathway entry points.</v>
          </cell>
          <cell r="Q823" t="str">
            <v>13|8</v>
          </cell>
        </row>
        <row r="824">
          <cell r="E824" t="str">
            <v>2. ROOM READINESS</v>
          </cell>
          <cell r="G824" t="str">
            <v>222</v>
          </cell>
          <cell r="H824" t="str">
            <v>Existing / Verify</v>
          </cell>
          <cell r="I824" t="str">
            <v>Existing / Verify</v>
          </cell>
          <cell r="J824" t="str">
            <v>Existing / Verify</v>
          </cell>
          <cell r="K824" t="str">
            <v>Verify</v>
          </cell>
          <cell r="L824" t="str">
            <v>Verify</v>
          </cell>
          <cell r="O824" t="str">
            <v>Verify</v>
          </cell>
          <cell r="P824" t="str">
            <v>Existing second-floor tel room; verify existing equipment status, pathway, AC unit, backboard, and transition/abandonment scope.</v>
          </cell>
          <cell r="Q824" t="str">
            <v>13|9</v>
          </cell>
        </row>
        <row r="825">
          <cell r="E825" t="str">
            <v>2. ROOM READINESS</v>
          </cell>
          <cell r="G825">
            <v>0</v>
          </cell>
          <cell r="H825">
            <v>0</v>
          </cell>
          <cell r="I825">
            <v>0</v>
          </cell>
          <cell r="J825">
            <v>0</v>
          </cell>
          <cell r="K825">
            <v>0</v>
          </cell>
          <cell r="L825">
            <v>0</v>
          </cell>
          <cell r="O825">
            <v>0</v>
          </cell>
          <cell r="P825">
            <v>0</v>
          </cell>
          <cell r="Q825" t="str">
            <v>13|10</v>
          </cell>
        </row>
        <row r="826">
          <cell r="E826" t="str">
            <v>3. FIRE PROTECTION</v>
          </cell>
          <cell r="G826" t="str">
            <v>3. FIRE PROTECTION</v>
          </cell>
          <cell r="H826">
            <v>0</v>
          </cell>
          <cell r="I826">
            <v>0</v>
          </cell>
          <cell r="J826">
            <v>0</v>
          </cell>
          <cell r="K826">
            <v>0</v>
          </cell>
          <cell r="L826">
            <v>0</v>
          </cell>
          <cell r="O826">
            <v>0</v>
          </cell>
          <cell r="P826">
            <v>0</v>
          </cell>
          <cell r="Q826" t="str">
            <v>13|11</v>
          </cell>
        </row>
        <row r="827">
          <cell r="E827" t="str">
            <v>3. FIRE PROTECTION</v>
          </cell>
          <cell r="G827" t="str">
            <v>Room</v>
          </cell>
          <cell r="H827" t="str">
            <v>Sprinkler</v>
          </cell>
          <cell r="I827" t="str">
            <v>Cage</v>
          </cell>
          <cell r="J827" t="str">
            <v>Detector</v>
          </cell>
          <cell r="K827" t="str">
            <v>Horn/Strobe</v>
          </cell>
          <cell r="L827" t="str">
            <v>Extinguisher &lt;75 ft</v>
          </cell>
          <cell r="O827" t="str">
            <v>Overall</v>
          </cell>
          <cell r="P827" t="str">
            <v>Risk / Notes</v>
          </cell>
          <cell r="Q827" t="str">
            <v>13|12</v>
          </cell>
        </row>
        <row r="828">
          <cell r="E828" t="str">
            <v>3. FIRE PROTECTION</v>
          </cell>
          <cell r="G828" t="str">
            <v>124</v>
          </cell>
          <cell r="H828" t="str">
            <v>Verify</v>
          </cell>
          <cell r="I828" t="str">
            <v>Verify</v>
          </cell>
          <cell r="J828" t="str">
            <v>Verify</v>
          </cell>
          <cell r="K828" t="str">
            <v>Verify</v>
          </cell>
          <cell r="L828" t="str">
            <v>Verify</v>
          </cell>
          <cell r="O828" t="str">
            <v>Verify</v>
          </cell>
          <cell r="P828" t="str">
            <v>Fully sprinklered building; confirm sprinkler/fire alarm modifications, clean-agent 2A:10B:C extinguisher within 75 ft, rated wall/ceiling penetrations, and temporary firestopping during cable pulls.</v>
          </cell>
          <cell r="Q828" t="str">
            <v>13|13</v>
          </cell>
        </row>
        <row r="829">
          <cell r="E829" t="str">
            <v>3. FIRE PROTECTION</v>
          </cell>
          <cell r="G829" t="str">
            <v>222</v>
          </cell>
          <cell r="H829" t="str">
            <v>Verify</v>
          </cell>
          <cell r="I829" t="str">
            <v>N/A</v>
          </cell>
          <cell r="J829" t="str">
            <v>Verify</v>
          </cell>
          <cell r="K829" t="str">
            <v>Verify</v>
          </cell>
          <cell r="L829" t="str">
            <v>Verify</v>
          </cell>
          <cell r="O829" t="str">
            <v>Verify</v>
          </cell>
          <cell r="P829" t="str">
            <v>Existing tel room; verify fire alarm/sprinkler protection-in-place and seal any removed/reused penetration after cutover.</v>
          </cell>
          <cell r="Q829" t="str">
            <v>13|14</v>
          </cell>
        </row>
        <row r="830">
          <cell r="E830" t="str">
            <v>3. FIRE PROTECTION</v>
          </cell>
          <cell r="G830">
            <v>0</v>
          </cell>
          <cell r="H830">
            <v>0</v>
          </cell>
          <cell r="I830">
            <v>0</v>
          </cell>
          <cell r="J830">
            <v>0</v>
          </cell>
          <cell r="K830">
            <v>0</v>
          </cell>
          <cell r="L830">
            <v>0</v>
          </cell>
          <cell r="O830">
            <v>0</v>
          </cell>
          <cell r="P830">
            <v>0</v>
          </cell>
          <cell r="Q830" t="str">
            <v>13|15</v>
          </cell>
        </row>
        <row r="831">
          <cell r="E831" t="str">
            <v>4. HVAC / COOLING</v>
          </cell>
          <cell r="G831" t="str">
            <v>4. HVAC / COOLING</v>
          </cell>
          <cell r="H831">
            <v>0</v>
          </cell>
          <cell r="I831">
            <v>0</v>
          </cell>
          <cell r="J831">
            <v>0</v>
          </cell>
          <cell r="K831">
            <v>0</v>
          </cell>
          <cell r="L831">
            <v>0</v>
          </cell>
          <cell r="O831">
            <v>0</v>
          </cell>
          <cell r="P831">
            <v>0</v>
          </cell>
          <cell r="Q831" t="str">
            <v>13|16</v>
          </cell>
        </row>
        <row r="832">
          <cell r="E832" t="str">
            <v>4. HVAC / COOLING</v>
          </cell>
          <cell r="G832" t="str">
            <v>Room</v>
          </cell>
          <cell r="H832" t="str">
            <v>Dedicated Unit</v>
          </cell>
          <cell r="I832" t="str">
            <v>Capacity Verified</v>
          </cell>
          <cell r="J832" t="str">
            <v>Emergency Power</v>
          </cell>
          <cell r="K832" t="str">
            <v>Controls / BACnet</v>
          </cell>
          <cell r="L832" t="str">
            <v>Condensate Routed</v>
          </cell>
          <cell r="O832" t="str">
            <v>Overall</v>
          </cell>
          <cell r="P832" t="str">
            <v>Risk / Notes</v>
          </cell>
          <cell r="Q832" t="str">
            <v>13|17</v>
          </cell>
        </row>
        <row r="833">
          <cell r="E833" t="str">
            <v>4. HVAC / COOLING</v>
          </cell>
          <cell r="G833" t="str">
            <v>124</v>
          </cell>
          <cell r="H833" t="str">
            <v>IU-1-01 / CU-1-01</v>
          </cell>
          <cell r="I833" t="str">
            <v>Verify</v>
          </cell>
          <cell r="J833" t="str">
            <v>Verify</v>
          </cell>
          <cell r="K833" t="str">
            <v>Verify</v>
          </cell>
          <cell r="L833" t="str">
            <v>Verify</v>
          </cell>
          <cell r="O833" t="str">
            <v>Verify</v>
          </cell>
          <cell r="P833" t="str">
            <v>Mechanical/electrical drawings show IU-1-01 in Telecom Room 124 and CU-1-01 outdoor unit. Confirm capacity, emergency/standby source, BACnet adapter, thermostat/control point, condensate path, disconnects, and high-temperature alarm.</v>
          </cell>
          <cell r="Q833" t="str">
            <v>13|18</v>
          </cell>
        </row>
        <row r="834">
          <cell r="E834" t="str">
            <v>4. HVAC / COOLING</v>
          </cell>
          <cell r="G834" t="str">
            <v>222</v>
          </cell>
          <cell r="H834" t="str">
            <v>Existing indoor AC unit</v>
          </cell>
          <cell r="I834" t="str">
            <v>Verify</v>
          </cell>
          <cell r="J834" t="str">
            <v>Verify</v>
          </cell>
          <cell r="K834" t="str">
            <v>Verify</v>
          </cell>
          <cell r="L834" t="str">
            <v>Verify</v>
          </cell>
          <cell r="O834" t="str">
            <v>Verify</v>
          </cell>
          <cell r="P834" t="str">
            <v>Existing Tel Room 222 photo/reference notes show existing indoor AC unit; verify whether it remains active, is abandoned, or needs protection during cutover.</v>
          </cell>
          <cell r="Q834" t="str">
            <v>13|19</v>
          </cell>
        </row>
        <row r="835">
          <cell r="E835" t="str">
            <v>4. HVAC / COOLING</v>
          </cell>
          <cell r="G835">
            <v>0</v>
          </cell>
          <cell r="H835">
            <v>0</v>
          </cell>
          <cell r="I835">
            <v>0</v>
          </cell>
          <cell r="J835">
            <v>0</v>
          </cell>
          <cell r="K835">
            <v>0</v>
          </cell>
          <cell r="L835">
            <v>0</v>
          </cell>
          <cell r="O835">
            <v>0</v>
          </cell>
          <cell r="P835">
            <v>0</v>
          </cell>
          <cell r="Q835" t="str">
            <v>13|20</v>
          </cell>
        </row>
        <row r="836">
          <cell r="E836" t="str">
            <v>5. ELECTRICAL / UPS</v>
          </cell>
          <cell r="G836" t="str">
            <v>5. ELECTRICAL / UPS</v>
          </cell>
          <cell r="H836">
            <v>0</v>
          </cell>
          <cell r="I836">
            <v>0</v>
          </cell>
          <cell r="J836">
            <v>0</v>
          </cell>
          <cell r="K836">
            <v>0</v>
          </cell>
          <cell r="L836">
            <v>0</v>
          </cell>
          <cell r="O836">
            <v>0</v>
          </cell>
          <cell r="P836">
            <v>0</v>
          </cell>
          <cell r="Q836" t="str">
            <v>13|21</v>
          </cell>
        </row>
        <row r="837">
          <cell r="E837" t="str">
            <v>5. ELECTRICAL / UPS</v>
          </cell>
          <cell r="G837" t="str">
            <v>Room</v>
          </cell>
          <cell r="H837" t="str">
            <v>UPS Installed</v>
          </cell>
          <cell r="I837" t="str">
            <v>UPS Size</v>
          </cell>
          <cell r="J837" t="str">
            <v>PDU Installed</v>
          </cell>
          <cell r="K837" t="str">
            <v>Rack Receptacles</v>
          </cell>
          <cell r="L837" t="str">
            <v>Panel Assigned</v>
          </cell>
          <cell r="O837" t="str">
            <v>Overall</v>
          </cell>
          <cell r="P837" t="str">
            <v>Notes</v>
          </cell>
          <cell r="Q837" t="str">
            <v>13|22</v>
          </cell>
        </row>
        <row r="838">
          <cell r="E838" t="str">
            <v>5. ELECTRICAL / UPS</v>
          </cell>
          <cell r="G838" t="str">
            <v>124</v>
          </cell>
          <cell r="H838" t="str">
            <v>Verify</v>
          </cell>
          <cell r="I838" t="str">
            <v>5 kW / 240V rack UPS</v>
          </cell>
          <cell r="J838" t="str">
            <v>Verify</v>
          </cell>
          <cell r="K838" t="str">
            <v>Verify</v>
          </cell>
          <cell r="L838" t="str">
            <v>B13-TR124AA / B13-TR124AB</v>
          </cell>
          <cell r="O838" t="str">
            <v>Verify</v>
          </cell>
          <cell r="P838" t="str">
            <v>Electrical enlarged plans and schedules identify B13-TR124AA/AB, 240V 1-phase UPS circuits, normal/emergency rack power, rack receptacles, TR receptacles, access/security devices, lighting, CU-1-01, and SPD requirements.</v>
          </cell>
          <cell r="Q838" t="str">
            <v>13|23</v>
          </cell>
        </row>
        <row r="839">
          <cell r="E839" t="str">
            <v>5. ELECTRICAL / UPS</v>
          </cell>
          <cell r="G839" t="str">
            <v>222</v>
          </cell>
          <cell r="H839" t="str">
            <v>Existing</v>
          </cell>
          <cell r="I839" t="str">
            <v>Existing</v>
          </cell>
          <cell r="J839" t="str">
            <v>Existing</v>
          </cell>
          <cell r="K839" t="str">
            <v>Verify</v>
          </cell>
          <cell r="L839" t="str">
            <v>Existing / Verify</v>
          </cell>
          <cell r="O839" t="str">
            <v>Verify</v>
          </cell>
          <cell r="P839" t="str">
            <v>Existing rack/equipment area; verify power source, active equipment, UPS status, and transition requirements before disconnect or removal.</v>
          </cell>
          <cell r="Q839" t="str">
            <v>13|24</v>
          </cell>
        </row>
        <row r="840">
          <cell r="E840" t="str">
            <v>5. ELECTRICAL / UPS</v>
          </cell>
          <cell r="G840">
            <v>0</v>
          </cell>
          <cell r="H840">
            <v>0</v>
          </cell>
          <cell r="I840">
            <v>0</v>
          </cell>
          <cell r="J840">
            <v>0</v>
          </cell>
          <cell r="K840">
            <v>0</v>
          </cell>
          <cell r="L840">
            <v>0</v>
          </cell>
          <cell r="O840">
            <v>0</v>
          </cell>
          <cell r="P840">
            <v>0</v>
          </cell>
          <cell r="Q840" t="str">
            <v>13|25</v>
          </cell>
        </row>
        <row r="841">
          <cell r="E841" t="str">
            <v>6. TELECOMMUNICATIONS</v>
          </cell>
          <cell r="G841" t="str">
            <v>6. TELECOMMUNICATIONS</v>
          </cell>
          <cell r="H841">
            <v>0</v>
          </cell>
          <cell r="I841">
            <v>0</v>
          </cell>
          <cell r="J841">
            <v>0</v>
          </cell>
          <cell r="K841">
            <v>0</v>
          </cell>
          <cell r="L841">
            <v>0</v>
          </cell>
          <cell r="O841">
            <v>0</v>
          </cell>
          <cell r="P841">
            <v>0</v>
          </cell>
          <cell r="Q841" t="str">
            <v>13|26</v>
          </cell>
        </row>
        <row r="842">
          <cell r="E842" t="str">
            <v>6. TELECOMMUNICATIONS</v>
          </cell>
          <cell r="G842" t="str">
            <v>Room</v>
          </cell>
          <cell r="H842" t="str">
            <v>Rack Installed</v>
          </cell>
          <cell r="I842" t="str">
            <v>Ladder Tray</v>
          </cell>
          <cell r="J842" t="str">
            <v>Fiber Installed</v>
          </cell>
          <cell r="K842" t="str">
            <v>Grounding</v>
          </cell>
          <cell r="L842" t="str">
            <v>Labeling</v>
          </cell>
          <cell r="O842" t="str">
            <v>Overall</v>
          </cell>
          <cell r="P842" t="str">
            <v>Notes</v>
          </cell>
          <cell r="Q842" t="str">
            <v>13|27</v>
          </cell>
        </row>
        <row r="843">
          <cell r="E843" t="str">
            <v>6. TELECOMMUNICATIONS</v>
          </cell>
          <cell r="G843" t="str">
            <v>124</v>
          </cell>
          <cell r="H843" t="str">
            <v>Verify</v>
          </cell>
          <cell r="I843" t="str">
            <v>Verify</v>
          </cell>
          <cell r="J843" t="str">
            <v>Verify</v>
          </cell>
          <cell r="K843" t="str">
            <v>Verify</v>
          </cell>
          <cell r="L843" t="str">
            <v>Verify</v>
          </cell>
          <cell r="O843" t="str">
            <v>Verify</v>
          </cell>
          <cell r="P843" t="str">
            <v>13T-701 identifies Room 124 schedule: 58 WAO total, 65 active ports per survey, 91 total ports per schedule, and 100 total ports with 10% allowance. New Rack ID TR01-124-1 serves first and second level outlets with Fiber Path A/B.</v>
          </cell>
          <cell r="Q843" t="str">
            <v>13|28</v>
          </cell>
        </row>
        <row r="844">
          <cell r="E844" t="str">
            <v>6. TELECOMMUNICATIONS</v>
          </cell>
          <cell r="G844" t="str">
            <v>222</v>
          </cell>
          <cell r="H844" t="str">
            <v>Existing</v>
          </cell>
          <cell r="I844" t="str">
            <v>Existing</v>
          </cell>
          <cell r="J844" t="str">
            <v>Existing</v>
          </cell>
          <cell r="K844" t="str">
            <v>Verify</v>
          </cell>
          <cell r="L844" t="str">
            <v>Verify</v>
          </cell>
          <cell r="O844" t="str">
            <v>Verify</v>
          </cell>
          <cell r="P844" t="str">
            <v>Existing Room 222 equipment includes wall-mounted rack, telco patch, plywood backboard, patch panel, security cabinet, and existing AC; verify active services and transfer plan to Room 124.</v>
          </cell>
          <cell r="Q844" t="str">
            <v>13|29</v>
          </cell>
        </row>
        <row r="845">
          <cell r="E845" t="str">
            <v>6. TELECOMMUNICATIONS</v>
          </cell>
          <cell r="G845">
            <v>0</v>
          </cell>
          <cell r="H845">
            <v>0</v>
          </cell>
          <cell r="I845">
            <v>0</v>
          </cell>
          <cell r="J845">
            <v>0</v>
          </cell>
          <cell r="K845">
            <v>0</v>
          </cell>
          <cell r="L845">
            <v>0</v>
          </cell>
          <cell r="O845">
            <v>0</v>
          </cell>
          <cell r="P845">
            <v>0</v>
          </cell>
          <cell r="Q845" t="str">
            <v>13|30</v>
          </cell>
        </row>
        <row r="846">
          <cell r="E846" t="str">
            <v>7. SECURITY / PACS / CCTV</v>
          </cell>
          <cell r="G846" t="str">
            <v>7. SECURITY / PACS / CCTV</v>
          </cell>
          <cell r="H846">
            <v>0</v>
          </cell>
          <cell r="I846">
            <v>0</v>
          </cell>
          <cell r="J846">
            <v>0</v>
          </cell>
          <cell r="K846">
            <v>0</v>
          </cell>
          <cell r="L846">
            <v>0</v>
          </cell>
          <cell r="O846">
            <v>0</v>
          </cell>
          <cell r="P846">
            <v>0</v>
          </cell>
          <cell r="Q846" t="str">
            <v>13|31</v>
          </cell>
        </row>
        <row r="847">
          <cell r="E847" t="str">
            <v>7. SECURITY / PACS / CCTV</v>
          </cell>
          <cell r="G847" t="str">
            <v>Room</v>
          </cell>
          <cell r="H847" t="str">
            <v>PACS</v>
          </cell>
          <cell r="I847" t="str">
            <v>Card Reader</v>
          </cell>
          <cell r="J847" t="str">
            <v>Door Position</v>
          </cell>
          <cell r="K847" t="str">
            <v>Electric Strike</v>
          </cell>
          <cell r="L847" t="str">
            <v>CCTV</v>
          </cell>
          <cell r="O847" t="str">
            <v>Overall</v>
          </cell>
          <cell r="P847" t="str">
            <v>Notes</v>
          </cell>
          <cell r="Q847" t="str">
            <v>13|32</v>
          </cell>
        </row>
        <row r="848">
          <cell r="E848" t="str">
            <v>7. SECURITY / PACS / CCTV</v>
          </cell>
          <cell r="G848" t="str">
            <v>124</v>
          </cell>
          <cell r="H848" t="str">
            <v>Verify</v>
          </cell>
          <cell r="I848" t="str">
            <v>Verify</v>
          </cell>
          <cell r="J848" t="str">
            <v>Verify</v>
          </cell>
          <cell r="K848" t="str">
            <v>Verify</v>
          </cell>
          <cell r="L848" t="str">
            <v>Verify</v>
          </cell>
          <cell r="O848" t="str">
            <v>Verify</v>
          </cell>
          <cell r="P848" t="str">
            <v>Electrical enlarged plan shows security/access-control device callouts at Room 124 and 124-CAM-01 camera designation; verify CR/RX/DC/ES/MD devices, controller, camera/VMS integration, and door hardware coordination.</v>
          </cell>
          <cell r="Q848" t="str">
            <v>13|33</v>
          </cell>
        </row>
        <row r="849">
          <cell r="E849" t="str">
            <v>7. SECURITY / PACS / CCTV</v>
          </cell>
          <cell r="G849" t="str">
            <v>222</v>
          </cell>
          <cell r="H849" t="str">
            <v>Verify</v>
          </cell>
          <cell r="I849" t="str">
            <v>Verify</v>
          </cell>
          <cell r="J849" t="str">
            <v>Verify</v>
          </cell>
          <cell r="K849" t="str">
            <v>Verify</v>
          </cell>
          <cell r="L849" t="str">
            <v>Verify</v>
          </cell>
          <cell r="O849" t="str">
            <v>Verify</v>
          </cell>
          <cell r="P849" t="str">
            <v>Existing security cabinet shown in Tel Room 222; verify whether security equipment remains, is relocated, or requires temporary protection during cutover.</v>
          </cell>
          <cell r="Q849" t="str">
            <v>13|34</v>
          </cell>
        </row>
        <row r="850">
          <cell r="E850" t="str">
            <v>7. SECURITY / PACS / CCTV</v>
          </cell>
          <cell r="G850">
            <v>0</v>
          </cell>
          <cell r="H850">
            <v>0</v>
          </cell>
          <cell r="I850">
            <v>0</v>
          </cell>
          <cell r="J850">
            <v>0</v>
          </cell>
          <cell r="K850">
            <v>0</v>
          </cell>
          <cell r="L850">
            <v>0</v>
          </cell>
          <cell r="O850">
            <v>0</v>
          </cell>
          <cell r="P850">
            <v>0</v>
          </cell>
          <cell r="Q850" t="str">
            <v>13|35</v>
          </cell>
        </row>
        <row r="851">
          <cell r="E851" t="str">
            <v>8. OWNER RISKS</v>
          </cell>
          <cell r="G851" t="str">
            <v>8. OWNER RISKS</v>
          </cell>
          <cell r="H851">
            <v>0</v>
          </cell>
          <cell r="I851">
            <v>0</v>
          </cell>
          <cell r="J851">
            <v>0</v>
          </cell>
          <cell r="K851">
            <v>0</v>
          </cell>
          <cell r="L851">
            <v>0</v>
          </cell>
          <cell r="O851">
            <v>0</v>
          </cell>
          <cell r="P851">
            <v>0</v>
          </cell>
          <cell r="Q851" t="str">
            <v>13|36</v>
          </cell>
        </row>
        <row r="852">
          <cell r="E852" t="str">
            <v>8. OWNER RISKS</v>
          </cell>
          <cell r="G852" t="str">
            <v>Risk ID</v>
          </cell>
          <cell r="H852" t="str">
            <v>Room</v>
          </cell>
          <cell r="I852" t="str">
            <v>Risk</v>
          </cell>
          <cell r="J852" t="str">
            <v>Impact</v>
          </cell>
          <cell r="K852" t="str">
            <v>Probability</v>
          </cell>
          <cell r="L852" t="str">
            <v>Score</v>
          </cell>
          <cell r="O852" t="str">
            <v>Status</v>
          </cell>
          <cell r="P852" t="str">
            <v>Notes</v>
          </cell>
          <cell r="Q852" t="str">
            <v>13|37</v>
          </cell>
        </row>
        <row r="853">
          <cell r="E853" t="str">
            <v>8. OWNER RISKS</v>
          </cell>
          <cell r="G853" t="str">
            <v>B13-R1</v>
          </cell>
          <cell r="H853" t="str">
            <v>All</v>
          </cell>
          <cell r="I853" t="str">
            <v>Existing conditions for Room 124 and existing Tel Room 222 not field verified</v>
          </cell>
          <cell r="J853" t="str">
            <v>High</v>
          </cell>
          <cell r="K853" t="str">
            <v>Medium</v>
          </cell>
          <cell r="L853">
            <v>6</v>
          </cell>
          <cell r="O853" t="str">
            <v>Open</v>
          </cell>
          <cell r="P853" t="str">
            <v>B13 includes new TR plus existing second-level tel transition point.</v>
          </cell>
          <cell r="Q853" t="str">
            <v>13|38</v>
          </cell>
        </row>
        <row r="854">
          <cell r="E854" t="str">
            <v>8. OWNER RISKS</v>
          </cell>
          <cell r="G854" t="str">
            <v>B13-R2</v>
          </cell>
          <cell r="H854" t="str">
            <v>124</v>
          </cell>
          <cell r="I854" t="str">
            <v>First-level hazardous material abatement plan exists</v>
          </cell>
          <cell r="J854" t="str">
            <v>High</v>
          </cell>
          <cell r="K854" t="str">
            <v>Medium</v>
          </cell>
          <cell r="L854">
            <v>6</v>
          </cell>
          <cell r="O854" t="str">
            <v>Open</v>
          </cell>
          <cell r="P854" t="str">
            <v>Drawing index includes 13H-101 hazardous material abatement plan - first level.</v>
          </cell>
          <cell r="Q854" t="str">
            <v>13|39</v>
          </cell>
        </row>
        <row r="855">
          <cell r="E855" t="str">
            <v>8. OWNER RISKS</v>
          </cell>
          <cell r="G855" t="str">
            <v>B13-R3</v>
          </cell>
          <cell r="H855" t="str">
            <v>222</v>
          </cell>
          <cell r="I855" t="str">
            <v>Existing Tel Room 222 equipment may remain active during cutover</v>
          </cell>
          <cell r="J855" t="str">
            <v>Critical</v>
          </cell>
          <cell r="K855" t="str">
            <v>Medium</v>
          </cell>
          <cell r="L855">
            <v>8</v>
          </cell>
          <cell r="O855" t="str">
            <v>Open</v>
          </cell>
          <cell r="P855" t="str">
            <v>Existing rack/backboard/security/patch equipment shown.</v>
          </cell>
          <cell r="Q855" t="str">
            <v>13|40</v>
          </cell>
        </row>
        <row r="856">
          <cell r="E856" t="str">
            <v>8. OWNER RISKS</v>
          </cell>
          <cell r="G856" t="str">
            <v>B13-R4</v>
          </cell>
          <cell r="H856" t="str">
            <v>124</v>
          </cell>
          <cell r="I856" t="str">
            <v>Dedicated cooling emergency power, condensate, BACnet and alarms not verified</v>
          </cell>
          <cell r="J856" t="str">
            <v>Critical</v>
          </cell>
          <cell r="K856" t="str">
            <v>Medium</v>
          </cell>
          <cell r="L856">
            <v>8</v>
          </cell>
          <cell r="O856" t="str">
            <v>Open</v>
          </cell>
          <cell r="P856" t="str">
            <v>Cooling is central to TR readiness.</v>
          </cell>
          <cell r="Q856" t="str">
            <v>13|41</v>
          </cell>
        </row>
        <row r="857">
          <cell r="E857" t="str">
            <v>8. OWNER RISKS</v>
          </cell>
          <cell r="G857" t="str">
            <v>B13-R5</v>
          </cell>
          <cell r="H857" t="str">
            <v>124</v>
          </cell>
          <cell r="I857" t="str">
            <v>240V UPS/PDU and panel source coordination could delay energization</v>
          </cell>
          <cell r="J857" t="str">
            <v>High</v>
          </cell>
          <cell r="K857" t="str">
            <v>Medium</v>
          </cell>
          <cell r="L857">
            <v>6</v>
          </cell>
          <cell r="O857" t="str">
            <v>Open</v>
          </cell>
          <cell r="P857" t="str">
            <v>Panel and circuit references are concentrated at Room 124.</v>
          </cell>
          <cell r="Q857" t="str">
            <v>13|42</v>
          </cell>
        </row>
        <row r="858">
          <cell r="E858" t="str">
            <v>8. OWNER RISKS</v>
          </cell>
          <cell r="G858" t="str">
            <v>B13-R6</v>
          </cell>
          <cell r="H858" t="str">
            <v>124</v>
          </cell>
          <cell r="I858" t="str">
            <v>Rated wall/door/firestop scope may affect life-safety acceptance</v>
          </cell>
          <cell r="J858" t="str">
            <v>High</v>
          </cell>
          <cell r="K858" t="str">
            <v>Medium</v>
          </cell>
          <cell r="L858">
            <v>6</v>
          </cell>
          <cell r="O858" t="str">
            <v>Open</v>
          </cell>
          <cell r="P858" t="str">
            <v>New TRs must be 1-hour fire/smoke rated.</v>
          </cell>
          <cell r="Q858" t="str">
            <v>13|43</v>
          </cell>
        </row>
        <row r="859">
          <cell r="E859" t="str">
            <v>8. OWNER RISKS</v>
          </cell>
          <cell r="G859" t="str">
            <v>B13-R7</v>
          </cell>
          <cell r="H859" t="str">
            <v>All</v>
          </cell>
          <cell r="I859" t="str">
            <v>Telecom/fiber cutover could affect active hospital communications across first and second levels</v>
          </cell>
          <cell r="J859" t="str">
            <v>Critical</v>
          </cell>
          <cell r="K859" t="str">
            <v>Medium</v>
          </cell>
          <cell r="L859">
            <v>8</v>
          </cell>
          <cell r="O859" t="str">
            <v>Open</v>
          </cell>
          <cell r="P859" t="str">
            <v>13T-701 shows Room 124 serving large port count and Level 2 outlets.</v>
          </cell>
          <cell r="Q859" t="str">
            <v>13|44</v>
          </cell>
        </row>
        <row r="860">
          <cell r="E860" t="str">
            <v>8. OWNER RISKS</v>
          </cell>
          <cell r="G860" t="str">
            <v>B13-R8</v>
          </cell>
          <cell r="H860" t="str">
            <v>All</v>
          </cell>
          <cell r="I860" t="str">
            <v>Commissioning/third-party inspection reports may not be complete at turnover</v>
          </cell>
          <cell r="J860" t="str">
            <v>High</v>
          </cell>
          <cell r="K860" t="str">
            <v>Medium</v>
          </cell>
          <cell r="L860">
            <v>6</v>
          </cell>
          <cell r="O860" t="str">
            <v>Open</v>
          </cell>
          <cell r="P860" t="str">
            <v>Required by cover/general notes.</v>
          </cell>
          <cell r="Q860" t="str">
            <v>13|45</v>
          </cell>
        </row>
        <row r="861">
          <cell r="E861" t="str">
            <v>8. OWNER RISKS</v>
          </cell>
          <cell r="G861">
            <v>0</v>
          </cell>
          <cell r="H861">
            <v>0</v>
          </cell>
          <cell r="I861">
            <v>0</v>
          </cell>
          <cell r="J861">
            <v>0</v>
          </cell>
          <cell r="K861">
            <v>0</v>
          </cell>
          <cell r="L861">
            <v>0</v>
          </cell>
          <cell r="O861">
            <v>0</v>
          </cell>
          <cell r="P861">
            <v>0</v>
          </cell>
          <cell r="Q861" t="str">
            <v>13|46</v>
          </cell>
        </row>
        <row r="862">
          <cell r="E862" t="str">
            <v>9. OPEN QUESTIONS</v>
          </cell>
          <cell r="G862" t="str">
            <v>9. OPEN QUESTIONS</v>
          </cell>
          <cell r="H862">
            <v>0</v>
          </cell>
          <cell r="I862">
            <v>0</v>
          </cell>
          <cell r="J862">
            <v>0</v>
          </cell>
          <cell r="K862">
            <v>0</v>
          </cell>
          <cell r="L862">
            <v>0</v>
          </cell>
          <cell r="O862">
            <v>0</v>
          </cell>
          <cell r="P862">
            <v>0</v>
          </cell>
          <cell r="Q862" t="str">
            <v>13|47</v>
          </cell>
        </row>
        <row r="863">
          <cell r="E863" t="str">
            <v>9. OPEN QUESTIONS</v>
          </cell>
          <cell r="G863" t="str">
            <v>Question ID</v>
          </cell>
          <cell r="H863" t="str">
            <v>Question</v>
          </cell>
          <cell r="I863" t="str">
            <v>Assigned To</v>
          </cell>
          <cell r="J863" t="str">
            <v>Status</v>
          </cell>
          <cell r="K863" t="str">
            <v>Needed By</v>
          </cell>
          <cell r="L863" t="str">
            <v>Answer / Resolution</v>
          </cell>
          <cell r="O863" t="str">
            <v>Date Closed</v>
          </cell>
          <cell r="P863" t="str">
            <v>Notes</v>
          </cell>
          <cell r="Q863" t="str">
            <v>13|48</v>
          </cell>
        </row>
        <row r="864">
          <cell r="E864" t="str">
            <v>9. OPEN QUESTIONS</v>
          </cell>
          <cell r="G864" t="str">
            <v>B13-Q1</v>
          </cell>
          <cell r="H864" t="str">
            <v>Confirm final telecom scope: new Room 124 and existing Tel Room 222 transition only?</v>
          </cell>
          <cell r="I864" t="str">
            <v>VA / OIT / Designer</v>
          </cell>
          <cell r="J864" t="str">
            <v>Open</v>
          </cell>
          <cell r="K864">
            <v>0</v>
          </cell>
          <cell r="L864">
            <v>0</v>
          </cell>
          <cell r="O864">
            <v>0</v>
          </cell>
          <cell r="P864">
            <v>0</v>
          </cell>
          <cell r="Q864" t="str">
            <v>13|49</v>
          </cell>
        </row>
        <row r="865">
          <cell r="E865" t="str">
            <v>9. OPEN QUESTIONS</v>
          </cell>
          <cell r="G865" t="str">
            <v>B13-Q2</v>
          </cell>
          <cell r="H865" t="str">
            <v>What active services are currently fed from existing Tel Room 222 equipment?</v>
          </cell>
          <cell r="I865" t="str">
            <v>OIT / Contractor</v>
          </cell>
          <cell r="J865" t="str">
            <v>Open</v>
          </cell>
          <cell r="K865">
            <v>0</v>
          </cell>
          <cell r="L865">
            <v>0</v>
          </cell>
          <cell r="O865">
            <v>0</v>
          </cell>
          <cell r="P865">
            <v>0</v>
          </cell>
          <cell r="Q865" t="str">
            <v>13|50</v>
          </cell>
        </row>
        <row r="866">
          <cell r="E866" t="str">
            <v>9. OPEN QUESTIONS</v>
          </cell>
          <cell r="G866" t="str">
            <v>B13-Q3</v>
          </cell>
          <cell r="H866" t="str">
            <v>What hazardous/abatement steps apply to first-level Room 124 work?</v>
          </cell>
          <cell r="I866" t="str">
            <v>GC / IH / COR</v>
          </cell>
          <cell r="J866" t="str">
            <v>Open</v>
          </cell>
          <cell r="K866">
            <v>0</v>
          </cell>
          <cell r="L866">
            <v>0</v>
          </cell>
          <cell r="O866">
            <v>0</v>
          </cell>
          <cell r="P866">
            <v>0</v>
          </cell>
          <cell r="Q866" t="str">
            <v>13|51</v>
          </cell>
        </row>
        <row r="867">
          <cell r="E867" t="str">
            <v>9. OPEN QUESTIONS</v>
          </cell>
          <cell r="G867" t="str">
            <v>B13-Q4</v>
          </cell>
          <cell r="H867" t="str">
            <v>Is IU-1-01/CU-1-01 on emergency/backup power and dedicated to Room 124?</v>
          </cell>
          <cell r="I867" t="str">
            <v>Mechanical / Electrical / VA</v>
          </cell>
          <cell r="J867" t="str">
            <v>Open</v>
          </cell>
          <cell r="K867">
            <v>0</v>
          </cell>
          <cell r="L867">
            <v>0</v>
          </cell>
          <cell r="O867">
            <v>0</v>
          </cell>
          <cell r="P867">
            <v>0</v>
          </cell>
          <cell r="Q867" t="str">
            <v>13|52</v>
          </cell>
        </row>
        <row r="868">
          <cell r="E868" t="str">
            <v>9. OPEN QUESTIONS</v>
          </cell>
          <cell r="G868" t="str">
            <v>B13-Q5</v>
          </cell>
          <cell r="H868" t="str">
            <v>Where is the clean-agent/CO2 extinguisher cabinet located within 75 ft of Room 124?</v>
          </cell>
          <cell r="I868" t="str">
            <v>GC / COR</v>
          </cell>
          <cell r="J868" t="str">
            <v>Open</v>
          </cell>
          <cell r="K868">
            <v>0</v>
          </cell>
          <cell r="L868">
            <v>0</v>
          </cell>
          <cell r="O868">
            <v>0</v>
          </cell>
          <cell r="P868">
            <v>0</v>
          </cell>
          <cell r="Q868" t="str">
            <v>13|53</v>
          </cell>
        </row>
        <row r="869">
          <cell r="E869" t="str">
            <v>9. OPEN QUESTIONS</v>
          </cell>
          <cell r="G869" t="str">
            <v>B13-Q6</v>
          </cell>
          <cell r="H869" t="str">
            <v>Are B13-TR124AA/AB sources, rack receptacles, SPDs, circuit labels and load measurements approved?</v>
          </cell>
          <cell r="I869" t="str">
            <v>Electrical / Designer</v>
          </cell>
          <cell r="J869" t="str">
            <v>Open</v>
          </cell>
          <cell r="K869">
            <v>0</v>
          </cell>
          <cell r="L869">
            <v>0</v>
          </cell>
          <cell r="O869">
            <v>0</v>
          </cell>
          <cell r="P869">
            <v>0</v>
          </cell>
          <cell r="Q869" t="str">
            <v>13|54</v>
          </cell>
        </row>
        <row r="870">
          <cell r="E870" t="str">
            <v>9. OPEN QUESTIONS</v>
          </cell>
          <cell r="G870" t="str">
            <v>B13-Q7</v>
          </cell>
          <cell r="H870" t="str">
            <v>Are all rated wall/floor penetrations, sleeves, cable tray entries and firestopping details identified?</v>
          </cell>
          <cell r="I870" t="str">
            <v>GC / Firestop</v>
          </cell>
          <cell r="J870" t="str">
            <v>Open</v>
          </cell>
          <cell r="K870">
            <v>0</v>
          </cell>
          <cell r="L870">
            <v>0</v>
          </cell>
          <cell r="O870">
            <v>0</v>
          </cell>
          <cell r="P870">
            <v>0</v>
          </cell>
          <cell r="Q870" t="str">
            <v>13|55</v>
          </cell>
        </row>
        <row r="871">
          <cell r="E871" t="str">
            <v>9. OPEN QUESTIONS</v>
          </cell>
          <cell r="G871" t="str">
            <v>B13-Q8</v>
          </cell>
          <cell r="H871" t="str">
            <v>Which third-party inspections and commissioning forms are required before VA acceptance?</v>
          </cell>
          <cell r="I871" t="str">
            <v>GC / Cx Manager</v>
          </cell>
          <cell r="J871" t="str">
            <v>Open</v>
          </cell>
          <cell r="K871">
            <v>0</v>
          </cell>
          <cell r="L871">
            <v>0</v>
          </cell>
          <cell r="O871">
            <v>0</v>
          </cell>
          <cell r="P871">
            <v>0</v>
          </cell>
          <cell r="Q871" t="str">
            <v>13|56</v>
          </cell>
        </row>
        <row r="872">
          <cell r="E872" t="str">
            <v>9. OPEN QUESTIONS</v>
          </cell>
          <cell r="G872">
            <v>0</v>
          </cell>
          <cell r="H872">
            <v>0</v>
          </cell>
          <cell r="I872">
            <v>0</v>
          </cell>
          <cell r="J872">
            <v>0</v>
          </cell>
          <cell r="K872">
            <v>0</v>
          </cell>
          <cell r="L872">
            <v>0</v>
          </cell>
          <cell r="O872">
            <v>0</v>
          </cell>
          <cell r="P872">
            <v>0</v>
          </cell>
          <cell r="Q872" t="str">
            <v>13|57</v>
          </cell>
        </row>
        <row r="873">
          <cell r="E873" t="str">
            <v>10. PHOTO LOG</v>
          </cell>
          <cell r="G873" t="str">
            <v>10. PHOTO LOG</v>
          </cell>
          <cell r="H873">
            <v>0</v>
          </cell>
          <cell r="I873">
            <v>0</v>
          </cell>
          <cell r="J873">
            <v>0</v>
          </cell>
          <cell r="K873">
            <v>0</v>
          </cell>
          <cell r="L873">
            <v>0</v>
          </cell>
          <cell r="O873">
            <v>0</v>
          </cell>
          <cell r="P873">
            <v>0</v>
          </cell>
          <cell r="Q873" t="str">
            <v>13|58</v>
          </cell>
        </row>
        <row r="874">
          <cell r="E874" t="str">
            <v>10. PHOTO LOG</v>
          </cell>
          <cell r="G874" t="str">
            <v>Photo ID</v>
          </cell>
          <cell r="H874" t="str">
            <v>Room</v>
          </cell>
          <cell r="I874" t="str">
            <v>Category</v>
          </cell>
          <cell r="J874" t="str">
            <v>Description</v>
          </cell>
          <cell r="K874" t="str">
            <v>Date</v>
          </cell>
          <cell r="L874" t="str">
            <v>Taken By</v>
          </cell>
          <cell r="O874" t="str">
            <v>Status</v>
          </cell>
          <cell r="P874" t="str">
            <v>Notes</v>
          </cell>
          <cell r="Q874" t="str">
            <v>13|59</v>
          </cell>
        </row>
        <row r="875">
          <cell r="E875" t="str">
            <v>10. PHOTO LOG</v>
          </cell>
          <cell r="G875" t="str">
            <v>B13-P001</v>
          </cell>
          <cell r="H875" t="str">
            <v>124</v>
          </cell>
          <cell r="I875" t="str">
            <v>Existing Condition</v>
          </cell>
          <cell r="J875" t="str">
            <v>Room 124 walls, ceiling/deck, floor, door, adjacent Telehealth 124A/109, rack location, pathways and penetrations</v>
          </cell>
          <cell r="K875">
            <v>0</v>
          </cell>
          <cell r="L875" t="str">
            <v>Paul</v>
          </cell>
          <cell r="O875" t="str">
            <v>Open</v>
          </cell>
          <cell r="P875">
            <v>0</v>
          </cell>
          <cell r="Q875" t="str">
            <v>13|60</v>
          </cell>
        </row>
        <row r="876">
          <cell r="E876" t="str">
            <v>10. PHOTO LOG</v>
          </cell>
          <cell r="G876" t="str">
            <v>B13-P002</v>
          </cell>
          <cell r="H876" t="str">
            <v>222</v>
          </cell>
          <cell r="I876" t="str">
            <v>Existing Condition</v>
          </cell>
          <cell r="J876" t="str">
            <v>Existing Tel Room 222 wall rack, telco patch, plywood backboard, AC unit, patch panel and security cabinet</v>
          </cell>
          <cell r="K876">
            <v>0</v>
          </cell>
          <cell r="L876" t="str">
            <v>Paul</v>
          </cell>
          <cell r="O876" t="str">
            <v>Open</v>
          </cell>
          <cell r="P876">
            <v>0</v>
          </cell>
          <cell r="Q876" t="str">
            <v>13|61</v>
          </cell>
        </row>
        <row r="877">
          <cell r="E877" t="str">
            <v>10. PHOTO LOG</v>
          </cell>
          <cell r="G877" t="str">
            <v>B13-P003</v>
          </cell>
          <cell r="H877" t="str">
            <v>124</v>
          </cell>
          <cell r="I877" t="str">
            <v>Hazardous Materials</v>
          </cell>
          <cell r="J877" t="str">
            <v>First-level abatement-related materials, flooring, walls, ceiling/penetrations, and disturbance areas</v>
          </cell>
          <cell r="K877">
            <v>0</v>
          </cell>
          <cell r="L877" t="str">
            <v>Paul</v>
          </cell>
          <cell r="O877" t="str">
            <v>Open</v>
          </cell>
          <cell r="P877">
            <v>0</v>
          </cell>
          <cell r="Q877" t="str">
            <v>13|62</v>
          </cell>
        </row>
        <row r="878">
          <cell r="E878" t="str">
            <v>10. PHOTO LOG</v>
          </cell>
          <cell r="G878" t="str">
            <v>B13-P004</v>
          </cell>
          <cell r="H878" t="str">
            <v>124</v>
          </cell>
          <cell r="I878" t="str">
            <v>Firestop</v>
          </cell>
          <cell r="J878" t="str">
            <v>All wall/floor/sleeve/tray penetrations before and after firestop</v>
          </cell>
          <cell r="K878">
            <v>0</v>
          </cell>
          <cell r="L878" t="str">
            <v>Paul</v>
          </cell>
          <cell r="O878" t="str">
            <v>Open</v>
          </cell>
          <cell r="P878">
            <v>0</v>
          </cell>
          <cell r="Q878" t="str">
            <v>13|63</v>
          </cell>
        </row>
        <row r="879">
          <cell r="E879" t="str">
            <v>10. PHOTO LOG</v>
          </cell>
          <cell r="G879" t="str">
            <v>B13-P005</v>
          </cell>
          <cell r="H879" t="str">
            <v>124</v>
          </cell>
          <cell r="I879" t="str">
            <v>HVAC</v>
          </cell>
          <cell r="J879" t="str">
            <v>IU-1-01/CU-1-01, condensate, thermostat, BACnet adapter, disconnects, high-temp alarm and power source</v>
          </cell>
          <cell r="K879">
            <v>0</v>
          </cell>
          <cell r="L879" t="str">
            <v>Paul</v>
          </cell>
          <cell r="O879" t="str">
            <v>Open</v>
          </cell>
          <cell r="P879">
            <v>0</v>
          </cell>
          <cell r="Q879" t="str">
            <v>13|64</v>
          </cell>
        </row>
        <row r="880">
          <cell r="E880" t="str">
            <v>10. PHOTO LOG</v>
          </cell>
          <cell r="G880" t="str">
            <v>B13-P006</v>
          </cell>
          <cell r="H880" t="str">
            <v>124</v>
          </cell>
          <cell r="I880" t="str">
            <v>Electrical</v>
          </cell>
          <cell r="J880" t="str">
            <v>B13-TR124AA/AB panels, rack receptacles, breakers, SPD, access controller, lighting and labels</v>
          </cell>
          <cell r="K880">
            <v>0</v>
          </cell>
          <cell r="L880" t="str">
            <v>Paul</v>
          </cell>
          <cell r="O880" t="str">
            <v>Open</v>
          </cell>
          <cell r="P880">
            <v>0</v>
          </cell>
          <cell r="Q880" t="str">
            <v>13|65</v>
          </cell>
        </row>
        <row r="881">
          <cell r="E881" t="str">
            <v>10. PHOTO LOG</v>
          </cell>
          <cell r="G881" t="str">
            <v>B13-P007</v>
          </cell>
          <cell r="H881" t="str">
            <v>124/222</v>
          </cell>
          <cell r="I881" t="str">
            <v>Telecom</v>
          </cell>
          <cell r="J881" t="str">
            <v>New racks, fiber path A/B, Cat6A, patch panels, LIU, labels/test records and existing Room 222 transfer work</v>
          </cell>
          <cell r="K881">
            <v>0</v>
          </cell>
          <cell r="L881" t="str">
            <v>Paul</v>
          </cell>
          <cell r="O881" t="str">
            <v>Open</v>
          </cell>
          <cell r="P881">
            <v>0</v>
          </cell>
          <cell r="Q881" t="str">
            <v>13|66</v>
          </cell>
        </row>
        <row r="882">
          <cell r="E882" t="str">
            <v>10. PHOTO LOG</v>
          </cell>
          <cell r="G882" t="str">
            <v>B13-P008</v>
          </cell>
          <cell r="H882" t="str">
            <v>124/222</v>
          </cell>
          <cell r="I882" t="str">
            <v>Security</v>
          </cell>
          <cell r="J882" t="str">
            <v>124-CAM-01, card reader, electric strike, door position, motion sensor, existing security cabinet and VMS/PACS integration</v>
          </cell>
          <cell r="K882">
            <v>0</v>
          </cell>
          <cell r="L882" t="str">
            <v>Paul</v>
          </cell>
          <cell r="O882" t="str">
            <v>Open</v>
          </cell>
          <cell r="P882">
            <v>0</v>
          </cell>
          <cell r="Q882" t="str">
            <v>13|67</v>
          </cell>
        </row>
        <row r="883">
          <cell r="E883" t="str">
            <v>10. PHOTO LOG</v>
          </cell>
          <cell r="G883">
            <v>0</v>
          </cell>
          <cell r="H883">
            <v>0</v>
          </cell>
          <cell r="I883">
            <v>0</v>
          </cell>
          <cell r="J883">
            <v>0</v>
          </cell>
          <cell r="K883">
            <v>0</v>
          </cell>
          <cell r="L883">
            <v>0</v>
          </cell>
          <cell r="O883">
            <v>0</v>
          </cell>
          <cell r="P883">
            <v>0</v>
          </cell>
          <cell r="Q883" t="str">
            <v>13|68</v>
          </cell>
        </row>
        <row r="884">
          <cell r="E884" t="str">
            <v>1. ROOM INVENTORY</v>
          </cell>
          <cell r="G884" t="str">
            <v>1. ROOM INVENTORY</v>
          </cell>
          <cell r="H884">
            <v>0</v>
          </cell>
          <cell r="I884">
            <v>0</v>
          </cell>
          <cell r="J884">
            <v>0</v>
          </cell>
          <cell r="K884">
            <v>0</v>
          </cell>
          <cell r="L884">
            <v>0</v>
          </cell>
          <cell r="O884">
            <v>0</v>
          </cell>
          <cell r="P884">
            <v>0</v>
          </cell>
          <cell r="Q884" t="str">
            <v>14|1</v>
          </cell>
        </row>
        <row r="885">
          <cell r="E885" t="str">
            <v>1. ROOM INVENTORY</v>
          </cell>
          <cell r="G885" t="str">
            <v>Building</v>
          </cell>
          <cell r="H885" t="str">
            <v>Room</v>
          </cell>
          <cell r="I885" t="str">
            <v>Floor</v>
          </cell>
          <cell r="J885" t="str">
            <v>Existing Use</v>
          </cell>
          <cell r="K885" t="str">
            <v>New Use</v>
          </cell>
          <cell r="L885" t="str">
            <v>Rack Count</v>
          </cell>
          <cell r="O885" t="str">
            <v>Drawing Ref</v>
          </cell>
          <cell r="P885" t="str">
            <v>Notes</v>
          </cell>
          <cell r="Q885" t="str">
            <v>14|2</v>
          </cell>
        </row>
        <row r="886">
          <cell r="E886" t="str">
            <v>1. ROOM INVENTORY</v>
          </cell>
          <cell r="G886" t="str">
            <v>14</v>
          </cell>
          <cell r="H886" t="str">
            <v>119</v>
          </cell>
          <cell r="I886" t="str">
            <v>First</v>
          </cell>
          <cell r="J886" t="str">
            <v>Telecom Room / new TR build area</v>
          </cell>
          <cell r="K886" t="str">
            <v>Telecom Room</v>
          </cell>
          <cell r="L886">
            <v>1</v>
          </cell>
          <cell r="O886" t="str">
            <v>14A-401 / 14E-100 / 14T-100 / 14T-604 / 14T-701</v>
          </cell>
          <cell r="P886" t="str">
            <v>Primary Building 14 TR. Plans identify Telecom Room 119 at 124 SF, served by Rack ID TR01-119-1, panels B14-TR119A/B, 240V UPS/PDU rack power, IU-1-01/CU-1-01 cooling, 56 feet of first-level cable tray, and a future rack allowance.</v>
          </cell>
          <cell r="Q886" t="str">
            <v>14|3</v>
          </cell>
        </row>
        <row r="887">
          <cell r="E887" t="str">
            <v>1. ROOM INVENTORY</v>
          </cell>
          <cell r="G887" t="str">
            <v>14</v>
          </cell>
          <cell r="H887" t="str">
            <v>B.01</v>
          </cell>
          <cell r="I887" t="str">
            <v>Basement</v>
          </cell>
          <cell r="J887" t="str">
            <v>Existing Tel/F Panel room / telecom equipment area</v>
          </cell>
          <cell r="K887" t="str">
            <v>Existing telecom transition point</v>
          </cell>
          <cell r="L887">
            <v>1</v>
          </cell>
          <cell r="O887" t="str">
            <v>14T-100 / 14T-604 / 14R-900</v>
          </cell>
          <cell r="P887" t="str">
            <v>Existing basement Tel/F Panel B.01 shown at 165 SF with existing wall-mounted TE, patch panels, telco patch, plywood backboards, and legacy fiber/equipment. Protect active services and verify what transfers to Room 119.</v>
          </cell>
          <cell r="Q887" t="str">
            <v>14|4</v>
          </cell>
        </row>
        <row r="888">
          <cell r="E888" t="str">
            <v>1. ROOM INVENTORY</v>
          </cell>
          <cell r="G888" t="str">
            <v>14</v>
          </cell>
          <cell r="H888" t="str">
            <v>B2</v>
          </cell>
          <cell r="I888" t="str">
            <v>Basement</v>
          </cell>
          <cell r="J888" t="str">
            <v>Existing telecom room reference</v>
          </cell>
          <cell r="K888" t="str">
            <v>Existing telecom transition point</v>
          </cell>
          <cell r="L888">
            <v>1</v>
          </cell>
          <cell r="O888" t="str">
            <v>14R-900</v>
          </cell>
          <cell r="P888" t="str">
            <v>Photo reference sheet identifies basement existing telecom room B2. Field verify whether B2 is same/related to B.01 or separate legacy telecom space.</v>
          </cell>
          <cell r="Q888" t="str">
            <v>14|5</v>
          </cell>
        </row>
        <row r="889">
          <cell r="E889" t="str">
            <v>1. ROOM INVENTORY</v>
          </cell>
          <cell r="G889">
            <v>0</v>
          </cell>
          <cell r="H889">
            <v>0</v>
          </cell>
          <cell r="I889">
            <v>0</v>
          </cell>
          <cell r="J889">
            <v>0</v>
          </cell>
          <cell r="K889">
            <v>0</v>
          </cell>
          <cell r="L889">
            <v>0</v>
          </cell>
          <cell r="O889">
            <v>0</v>
          </cell>
          <cell r="P889">
            <v>0</v>
          </cell>
          <cell r="Q889" t="str">
            <v>14|6</v>
          </cell>
        </row>
        <row r="890">
          <cell r="E890" t="str">
            <v>2. ROOM READINESS</v>
          </cell>
          <cell r="G890" t="str">
            <v>2. ROOM READINESS</v>
          </cell>
          <cell r="H890">
            <v>0</v>
          </cell>
          <cell r="I890">
            <v>0</v>
          </cell>
          <cell r="J890">
            <v>0</v>
          </cell>
          <cell r="K890">
            <v>0</v>
          </cell>
          <cell r="L890">
            <v>0</v>
          </cell>
          <cell r="O890">
            <v>0</v>
          </cell>
          <cell r="P890">
            <v>0</v>
          </cell>
          <cell r="Q890" t="str">
            <v>14|7</v>
          </cell>
        </row>
        <row r="891">
          <cell r="E891" t="str">
            <v>2. ROOM READINESS</v>
          </cell>
          <cell r="G891" t="str">
            <v>Room</v>
          </cell>
          <cell r="H891" t="str">
            <v>Walls / 1-hr Rating</v>
          </cell>
          <cell r="I891" t="str">
            <v>Ceiling</v>
          </cell>
          <cell r="J891" t="str">
            <v>Floor / SDC</v>
          </cell>
          <cell r="K891" t="str">
            <v>Penetrations</v>
          </cell>
          <cell r="L891" t="str">
            <v>Access Control</v>
          </cell>
          <cell r="O891" t="str">
            <v>Overall</v>
          </cell>
          <cell r="P891" t="str">
            <v>Comments</v>
          </cell>
          <cell r="Q891" t="str">
            <v>14|8</v>
          </cell>
        </row>
        <row r="892">
          <cell r="E892" t="str">
            <v>2. ROOM READINESS</v>
          </cell>
          <cell r="G892" t="str">
            <v>119</v>
          </cell>
          <cell r="H892" t="str">
            <v>Verify</v>
          </cell>
          <cell r="I892" t="str">
            <v>Verify</v>
          </cell>
          <cell r="J892" t="str">
            <v>Verify</v>
          </cell>
          <cell r="K892" t="str">
            <v>Verify</v>
          </cell>
          <cell r="L892" t="str">
            <v>Verify</v>
          </cell>
          <cell r="O892" t="str">
            <v>Verify</v>
          </cell>
          <cell r="P892" t="str">
            <v>First-level TR; verify 1-hour fire/smoke-rated enclosure, open-to-deck conditions, door hardware/access control, static-control floor sealer, rack/future rack clearances, wall backing, and pathway entry points.</v>
          </cell>
          <cell r="Q892" t="str">
            <v>14|9</v>
          </cell>
        </row>
        <row r="893">
          <cell r="E893" t="str">
            <v>2. ROOM READINESS</v>
          </cell>
          <cell r="G893" t="str">
            <v>B.01</v>
          </cell>
          <cell r="H893" t="str">
            <v>Existing / Verify</v>
          </cell>
          <cell r="I893" t="str">
            <v>Existing / Verify</v>
          </cell>
          <cell r="J893" t="str">
            <v>Existing / Verify</v>
          </cell>
          <cell r="K893" t="str">
            <v>Verify</v>
          </cell>
          <cell r="L893" t="str">
            <v>Verify</v>
          </cell>
          <cell r="O893" t="str">
            <v>Verify</v>
          </cell>
          <cell r="P893" t="str">
            <v>Existing basement telecom room; verify active equipment status, pathway, backboards, wall-mounted TE, and transition/abandonment scope.</v>
          </cell>
          <cell r="Q893" t="str">
            <v>14|10</v>
          </cell>
        </row>
        <row r="894">
          <cell r="E894" t="str">
            <v>2. ROOM READINESS</v>
          </cell>
          <cell r="G894" t="str">
            <v>B2</v>
          </cell>
          <cell r="H894" t="str">
            <v>Existing / Verify</v>
          </cell>
          <cell r="I894" t="str">
            <v>Existing / Verify</v>
          </cell>
          <cell r="J894" t="str">
            <v>Existing / Verify</v>
          </cell>
          <cell r="K894" t="str">
            <v>Verify</v>
          </cell>
          <cell r="L894" t="str">
            <v>Verify</v>
          </cell>
          <cell r="O894" t="str">
            <v>Verify</v>
          </cell>
          <cell r="P894" t="str">
            <v>Existing basement telecom room photo reference; verify whether active services/equipment remain and confirm relationship to B.01.</v>
          </cell>
          <cell r="Q894" t="str">
            <v>14|11</v>
          </cell>
        </row>
        <row r="895">
          <cell r="E895" t="str">
            <v>2. ROOM READINESS</v>
          </cell>
          <cell r="G895">
            <v>0</v>
          </cell>
          <cell r="H895">
            <v>0</v>
          </cell>
          <cell r="I895">
            <v>0</v>
          </cell>
          <cell r="J895">
            <v>0</v>
          </cell>
          <cell r="K895">
            <v>0</v>
          </cell>
          <cell r="L895">
            <v>0</v>
          </cell>
          <cell r="O895">
            <v>0</v>
          </cell>
          <cell r="P895">
            <v>0</v>
          </cell>
          <cell r="Q895" t="str">
            <v>14|12</v>
          </cell>
        </row>
        <row r="896">
          <cell r="E896" t="str">
            <v>3. FIRE PROTECTION</v>
          </cell>
          <cell r="G896" t="str">
            <v>3. FIRE PROTECTION</v>
          </cell>
          <cell r="H896">
            <v>0</v>
          </cell>
          <cell r="I896">
            <v>0</v>
          </cell>
          <cell r="J896">
            <v>0</v>
          </cell>
          <cell r="K896">
            <v>0</v>
          </cell>
          <cell r="L896">
            <v>0</v>
          </cell>
          <cell r="O896">
            <v>0</v>
          </cell>
          <cell r="P896">
            <v>0</v>
          </cell>
          <cell r="Q896" t="str">
            <v>14|13</v>
          </cell>
        </row>
        <row r="897">
          <cell r="E897" t="str">
            <v>3. FIRE PROTECTION</v>
          </cell>
          <cell r="G897" t="str">
            <v>Room</v>
          </cell>
          <cell r="H897" t="str">
            <v>Sprinkler</v>
          </cell>
          <cell r="I897" t="str">
            <v>Cage</v>
          </cell>
          <cell r="J897" t="str">
            <v>Detector</v>
          </cell>
          <cell r="K897" t="str">
            <v>Horn/Strobe</v>
          </cell>
          <cell r="L897" t="str">
            <v>Extinguisher &lt;75 ft</v>
          </cell>
          <cell r="O897" t="str">
            <v>Overall</v>
          </cell>
          <cell r="P897" t="str">
            <v>Risk / Notes</v>
          </cell>
          <cell r="Q897" t="str">
            <v>14|14</v>
          </cell>
        </row>
        <row r="898">
          <cell r="E898" t="str">
            <v>3. FIRE PROTECTION</v>
          </cell>
          <cell r="G898" t="str">
            <v>119</v>
          </cell>
          <cell r="H898" t="str">
            <v>Verify</v>
          </cell>
          <cell r="I898" t="str">
            <v>Verify</v>
          </cell>
          <cell r="J898" t="str">
            <v>Verify</v>
          </cell>
          <cell r="K898" t="str">
            <v>Verify</v>
          </cell>
          <cell r="L898" t="str">
            <v>Verify</v>
          </cell>
          <cell r="O898" t="str">
            <v>Verify</v>
          </cell>
          <cell r="P898" t="str">
            <v>Fully sprinklered building; confirm sprinkler/fire alarm modifications, clean-agent 2A:10B:C extinguisher within 75 ft, rated wall/ceiling penetrations, and temporary firestopping during cable pulls.</v>
          </cell>
          <cell r="Q898" t="str">
            <v>14|15</v>
          </cell>
        </row>
        <row r="899">
          <cell r="E899" t="str">
            <v>3. FIRE PROTECTION</v>
          </cell>
          <cell r="G899" t="str">
            <v>B.01</v>
          </cell>
          <cell r="H899" t="str">
            <v>Verify</v>
          </cell>
          <cell r="I899" t="str">
            <v>N/A</v>
          </cell>
          <cell r="J899" t="str">
            <v>Verify</v>
          </cell>
          <cell r="K899" t="str">
            <v>Verify</v>
          </cell>
          <cell r="L899" t="str">
            <v>Verify</v>
          </cell>
          <cell r="O899" t="str">
            <v>Verify</v>
          </cell>
          <cell r="P899" t="str">
            <v>Existing basement tel room; verify fire alarm/sprinkler protection-in-place and seal any removed/reused penetration after cutover.</v>
          </cell>
          <cell r="Q899" t="str">
            <v>14|16</v>
          </cell>
        </row>
        <row r="900">
          <cell r="E900" t="str">
            <v>3. FIRE PROTECTION</v>
          </cell>
          <cell r="G900" t="str">
            <v>B2</v>
          </cell>
          <cell r="H900" t="str">
            <v>Verify</v>
          </cell>
          <cell r="I900" t="str">
            <v>N/A</v>
          </cell>
          <cell r="J900" t="str">
            <v>Verify</v>
          </cell>
          <cell r="K900" t="str">
            <v>Verify</v>
          </cell>
          <cell r="L900" t="str">
            <v>Verify</v>
          </cell>
          <cell r="O900" t="str">
            <v>Verify</v>
          </cell>
          <cell r="P900" t="str">
            <v>Existing basement telecom room; verify no unsealed penetrations remain after cable transfer or reuse.</v>
          </cell>
          <cell r="Q900" t="str">
            <v>14|17</v>
          </cell>
        </row>
        <row r="901">
          <cell r="E901" t="str">
            <v>3. FIRE PROTECTION</v>
          </cell>
          <cell r="G901">
            <v>0</v>
          </cell>
          <cell r="H901">
            <v>0</v>
          </cell>
          <cell r="I901">
            <v>0</v>
          </cell>
          <cell r="J901">
            <v>0</v>
          </cell>
          <cell r="K901">
            <v>0</v>
          </cell>
          <cell r="L901">
            <v>0</v>
          </cell>
          <cell r="O901">
            <v>0</v>
          </cell>
          <cell r="P901">
            <v>0</v>
          </cell>
          <cell r="Q901" t="str">
            <v>14|18</v>
          </cell>
        </row>
        <row r="902">
          <cell r="E902" t="str">
            <v>4. HVAC / COOLING</v>
          </cell>
          <cell r="G902" t="str">
            <v>4. HVAC / COOLING</v>
          </cell>
          <cell r="H902">
            <v>0</v>
          </cell>
          <cell r="I902">
            <v>0</v>
          </cell>
          <cell r="J902">
            <v>0</v>
          </cell>
          <cell r="K902">
            <v>0</v>
          </cell>
          <cell r="L902">
            <v>0</v>
          </cell>
          <cell r="O902">
            <v>0</v>
          </cell>
          <cell r="P902">
            <v>0</v>
          </cell>
          <cell r="Q902" t="str">
            <v>14|19</v>
          </cell>
        </row>
        <row r="903">
          <cell r="E903" t="str">
            <v>4. HVAC / COOLING</v>
          </cell>
          <cell r="G903" t="str">
            <v>Room</v>
          </cell>
          <cell r="H903" t="str">
            <v>Dedicated Unit</v>
          </cell>
          <cell r="I903" t="str">
            <v>Capacity Verified</v>
          </cell>
          <cell r="J903" t="str">
            <v>Emergency Power</v>
          </cell>
          <cell r="K903" t="str">
            <v>Controls / BACnet</v>
          </cell>
          <cell r="L903" t="str">
            <v>Condensate Routed</v>
          </cell>
          <cell r="O903" t="str">
            <v>Overall</v>
          </cell>
          <cell r="P903" t="str">
            <v>Risk / Notes</v>
          </cell>
          <cell r="Q903" t="str">
            <v>14|20</v>
          </cell>
        </row>
        <row r="904">
          <cell r="E904" t="str">
            <v>4. HVAC / COOLING</v>
          </cell>
          <cell r="G904" t="str">
            <v>119</v>
          </cell>
          <cell r="H904" t="str">
            <v>IU-1-01 / CU-1-01</v>
          </cell>
          <cell r="I904" t="str">
            <v>Verify</v>
          </cell>
          <cell r="J904" t="str">
            <v>Verify</v>
          </cell>
          <cell r="K904" t="str">
            <v>Verify</v>
          </cell>
          <cell r="L904" t="str">
            <v>Verify</v>
          </cell>
          <cell r="O904" t="str">
            <v>Verify</v>
          </cell>
          <cell r="P904" t="str">
            <v>Mechanical/electrical drawings show IU-1-01 in Telecom Room 119 and CU-1-01 outdoor unit. Confirm capacity, emergency/standby source, BACnet adapter, thermostat/control point, condensate path, disconnects, and high-temperature alarm.</v>
          </cell>
          <cell r="Q904" t="str">
            <v>14|21</v>
          </cell>
        </row>
        <row r="905">
          <cell r="E905" t="str">
            <v>4. HVAC / COOLING</v>
          </cell>
          <cell r="G905" t="str">
            <v>B.01</v>
          </cell>
          <cell r="H905" t="str">
            <v>Existing / Verify</v>
          </cell>
          <cell r="I905" t="str">
            <v>Verify</v>
          </cell>
          <cell r="J905" t="str">
            <v>Verify</v>
          </cell>
          <cell r="K905" t="str">
            <v>Verify</v>
          </cell>
          <cell r="L905" t="str">
            <v>Verify</v>
          </cell>
          <cell r="O905" t="str">
            <v>Verify</v>
          </cell>
          <cell r="P905" t="str">
            <v>Existing Tel/F Panel room; verify existing environmental conditions during cutover and whether legacy equipment remains active.</v>
          </cell>
          <cell r="Q905" t="str">
            <v>14|22</v>
          </cell>
        </row>
        <row r="906">
          <cell r="E906" t="str">
            <v>4. HVAC / COOLING</v>
          </cell>
          <cell r="G906" t="str">
            <v>B2</v>
          </cell>
          <cell r="H906" t="str">
            <v>Existing / Verify</v>
          </cell>
          <cell r="I906" t="str">
            <v>Verify</v>
          </cell>
          <cell r="J906" t="str">
            <v>Verify</v>
          </cell>
          <cell r="K906" t="str">
            <v>Verify</v>
          </cell>
          <cell r="L906" t="str">
            <v>Verify</v>
          </cell>
          <cell r="O906" t="str">
            <v>Verify</v>
          </cell>
          <cell r="P906" t="str">
            <v>Existing telecom room reference; field verify cooling/ventilation and active equipment condition.</v>
          </cell>
          <cell r="Q906" t="str">
            <v>14|23</v>
          </cell>
        </row>
        <row r="907">
          <cell r="E907" t="str">
            <v>4. HVAC / COOLING</v>
          </cell>
          <cell r="G907">
            <v>0</v>
          </cell>
          <cell r="H907">
            <v>0</v>
          </cell>
          <cell r="I907">
            <v>0</v>
          </cell>
          <cell r="J907">
            <v>0</v>
          </cell>
          <cell r="K907">
            <v>0</v>
          </cell>
          <cell r="L907">
            <v>0</v>
          </cell>
          <cell r="O907">
            <v>0</v>
          </cell>
          <cell r="P907">
            <v>0</v>
          </cell>
          <cell r="Q907" t="str">
            <v>14|24</v>
          </cell>
        </row>
        <row r="908">
          <cell r="E908" t="str">
            <v>5. ELECTRICAL / UPS</v>
          </cell>
          <cell r="G908" t="str">
            <v>5. ELECTRICAL / UPS</v>
          </cell>
          <cell r="H908">
            <v>0</v>
          </cell>
          <cell r="I908">
            <v>0</v>
          </cell>
          <cell r="J908">
            <v>0</v>
          </cell>
          <cell r="K908">
            <v>0</v>
          </cell>
          <cell r="L908">
            <v>0</v>
          </cell>
          <cell r="O908">
            <v>0</v>
          </cell>
          <cell r="P908">
            <v>0</v>
          </cell>
          <cell r="Q908" t="str">
            <v>14|25</v>
          </cell>
        </row>
        <row r="909">
          <cell r="E909" t="str">
            <v>5. ELECTRICAL / UPS</v>
          </cell>
          <cell r="G909" t="str">
            <v>Room</v>
          </cell>
          <cell r="H909" t="str">
            <v>UPS Installed</v>
          </cell>
          <cell r="I909" t="str">
            <v>UPS Size</v>
          </cell>
          <cell r="J909" t="str">
            <v>PDU Installed</v>
          </cell>
          <cell r="K909" t="str">
            <v>Rack Receptacles</v>
          </cell>
          <cell r="L909" t="str">
            <v>Panel Assigned</v>
          </cell>
          <cell r="O909" t="str">
            <v>Overall</v>
          </cell>
          <cell r="P909" t="str">
            <v>Notes</v>
          </cell>
          <cell r="Q909" t="str">
            <v>14|26</v>
          </cell>
        </row>
        <row r="910">
          <cell r="E910" t="str">
            <v>5. ELECTRICAL / UPS</v>
          </cell>
          <cell r="G910" t="str">
            <v>119</v>
          </cell>
          <cell r="H910" t="str">
            <v>Verify</v>
          </cell>
          <cell r="I910" t="str">
            <v>5 kW / 240V rack UPS</v>
          </cell>
          <cell r="J910" t="str">
            <v>Verify</v>
          </cell>
          <cell r="K910" t="str">
            <v>Verify</v>
          </cell>
          <cell r="L910" t="str">
            <v>B14-TR119A / B14-TR119B</v>
          </cell>
          <cell r="O910" t="str">
            <v>Verify</v>
          </cell>
          <cell r="P910" t="str">
            <v>Electrical plan/schedules identify B14-TR119A/B, 240V rack UPS requirements, normal/emergency rack power, rack receptacles, TR receptacles, lighting, CU-1-01, SPD requirements, and panel load measurement requirements.</v>
          </cell>
          <cell r="Q910" t="str">
            <v>14|27</v>
          </cell>
        </row>
        <row r="911">
          <cell r="E911" t="str">
            <v>5. ELECTRICAL / UPS</v>
          </cell>
          <cell r="G911" t="str">
            <v>B.01</v>
          </cell>
          <cell r="H911" t="str">
            <v>Existing</v>
          </cell>
          <cell r="I911" t="str">
            <v>Existing</v>
          </cell>
          <cell r="J911" t="str">
            <v>Existing</v>
          </cell>
          <cell r="K911" t="str">
            <v>Verify</v>
          </cell>
          <cell r="L911" t="str">
            <v>Existing / Verify</v>
          </cell>
          <cell r="O911" t="str">
            <v>Verify</v>
          </cell>
          <cell r="P911" t="str">
            <v>Existing basement wall-mounted TE/equipment area; verify power source, active equipment, UPS/PDU status, and transition requirements before disconnect or removal.</v>
          </cell>
          <cell r="Q911" t="str">
            <v>14|28</v>
          </cell>
        </row>
        <row r="912">
          <cell r="E912" t="str">
            <v>5. ELECTRICAL / UPS</v>
          </cell>
          <cell r="G912" t="str">
            <v>B2</v>
          </cell>
          <cell r="H912" t="str">
            <v>Existing / Verify</v>
          </cell>
          <cell r="I912" t="str">
            <v>Existing / Verify</v>
          </cell>
          <cell r="J912" t="str">
            <v>Existing / Verify</v>
          </cell>
          <cell r="K912" t="str">
            <v>Verify</v>
          </cell>
          <cell r="L912" t="str">
            <v>Existing / Verify</v>
          </cell>
          <cell r="O912" t="str">
            <v>Verify</v>
          </cell>
          <cell r="P912" t="str">
            <v>Existing telecom room photo reference; confirm power sources and any cutover requirements.</v>
          </cell>
          <cell r="Q912" t="str">
            <v>14|29</v>
          </cell>
        </row>
        <row r="913">
          <cell r="E913" t="str">
            <v>5. ELECTRICAL / UPS</v>
          </cell>
          <cell r="G913">
            <v>0</v>
          </cell>
          <cell r="H913">
            <v>0</v>
          </cell>
          <cell r="I913">
            <v>0</v>
          </cell>
          <cell r="J913">
            <v>0</v>
          </cell>
          <cell r="K913">
            <v>0</v>
          </cell>
          <cell r="L913">
            <v>0</v>
          </cell>
          <cell r="O913">
            <v>0</v>
          </cell>
          <cell r="P913">
            <v>0</v>
          </cell>
          <cell r="Q913" t="str">
            <v>14|30</v>
          </cell>
        </row>
        <row r="914">
          <cell r="E914" t="str">
            <v>6. TELECOMMUNICATIONS</v>
          </cell>
          <cell r="G914" t="str">
            <v>6. TELECOMMUNICATIONS</v>
          </cell>
          <cell r="H914">
            <v>0</v>
          </cell>
          <cell r="I914">
            <v>0</v>
          </cell>
          <cell r="J914">
            <v>0</v>
          </cell>
          <cell r="K914">
            <v>0</v>
          </cell>
          <cell r="L914">
            <v>0</v>
          </cell>
          <cell r="O914">
            <v>0</v>
          </cell>
          <cell r="P914">
            <v>0</v>
          </cell>
          <cell r="Q914" t="str">
            <v>14|31</v>
          </cell>
        </row>
        <row r="915">
          <cell r="E915" t="str">
            <v>6. TELECOMMUNICATIONS</v>
          </cell>
          <cell r="G915" t="str">
            <v>Room</v>
          </cell>
          <cell r="H915" t="str">
            <v>Rack Installed</v>
          </cell>
          <cell r="I915" t="str">
            <v>Ladder Tray</v>
          </cell>
          <cell r="J915" t="str">
            <v>Fiber Installed</v>
          </cell>
          <cell r="K915" t="str">
            <v>Grounding</v>
          </cell>
          <cell r="L915" t="str">
            <v>Labeling</v>
          </cell>
          <cell r="O915" t="str">
            <v>Overall</v>
          </cell>
          <cell r="P915" t="str">
            <v>Notes</v>
          </cell>
          <cell r="Q915" t="str">
            <v>14|32</v>
          </cell>
        </row>
        <row r="916">
          <cell r="E916" t="str">
            <v>6. TELECOMMUNICATIONS</v>
          </cell>
          <cell r="G916" t="str">
            <v>119</v>
          </cell>
          <cell r="H916" t="str">
            <v>Verify</v>
          </cell>
          <cell r="I916" t="str">
            <v>Verify</v>
          </cell>
          <cell r="J916" t="str">
            <v>Verify</v>
          </cell>
          <cell r="K916" t="str">
            <v>Verify</v>
          </cell>
          <cell r="L916" t="str">
            <v>Verify</v>
          </cell>
          <cell r="O916" t="str">
            <v>Verify</v>
          </cell>
          <cell r="P916" t="str">
            <v>14T-701 identifies Room 119 schedule: 44 WAO total, 29 active ports per survey, 76 total ports per schedule, and 84 total ports with 10% allowance. New Rack ID TR01-119-1 serves first and second level outlets with Fiber Path A/B.</v>
          </cell>
          <cell r="Q916" t="str">
            <v>14|33</v>
          </cell>
        </row>
        <row r="917">
          <cell r="E917" t="str">
            <v>6. TELECOMMUNICATIONS</v>
          </cell>
          <cell r="G917" t="str">
            <v>B.01</v>
          </cell>
          <cell r="H917" t="str">
            <v>Existing</v>
          </cell>
          <cell r="I917" t="str">
            <v>Existing</v>
          </cell>
          <cell r="J917" t="str">
            <v>Existing</v>
          </cell>
          <cell r="K917" t="str">
            <v>Verify</v>
          </cell>
          <cell r="L917" t="str">
            <v>Verify</v>
          </cell>
          <cell r="O917" t="str">
            <v>Verify</v>
          </cell>
          <cell r="P917" t="str">
            <v>Existing Room B.01 equipment includes wall-mounted TE, Cisco switch/legacy patch panel, telco patch, plywood backboards, and legacy Fiber LIU; verify active services and transfer plan to Room 119.</v>
          </cell>
          <cell r="Q917" t="str">
            <v>14|34</v>
          </cell>
        </row>
        <row r="918">
          <cell r="E918" t="str">
            <v>6. TELECOMMUNICATIONS</v>
          </cell>
          <cell r="G918" t="str">
            <v>B2</v>
          </cell>
          <cell r="H918" t="str">
            <v>Existing</v>
          </cell>
          <cell r="I918" t="str">
            <v>Existing</v>
          </cell>
          <cell r="J918" t="str">
            <v>Existing</v>
          </cell>
          <cell r="K918" t="str">
            <v>Verify</v>
          </cell>
          <cell r="L918" t="str">
            <v>Verify</v>
          </cell>
          <cell r="O918" t="str">
            <v>Verify</v>
          </cell>
          <cell r="P918" t="str">
            <v>Existing basement telecom room B2 is identified by photo reference; verify active devices, routing, and relation to B.01.</v>
          </cell>
          <cell r="Q918" t="str">
            <v>14|35</v>
          </cell>
        </row>
        <row r="919">
          <cell r="E919" t="str">
            <v>6. TELECOMMUNICATIONS</v>
          </cell>
          <cell r="G919">
            <v>0</v>
          </cell>
          <cell r="H919">
            <v>0</v>
          </cell>
          <cell r="I919">
            <v>0</v>
          </cell>
          <cell r="J919">
            <v>0</v>
          </cell>
          <cell r="K919">
            <v>0</v>
          </cell>
          <cell r="L919">
            <v>0</v>
          </cell>
          <cell r="O919">
            <v>0</v>
          </cell>
          <cell r="P919">
            <v>0</v>
          </cell>
          <cell r="Q919" t="str">
            <v>14|36</v>
          </cell>
        </row>
        <row r="920">
          <cell r="E920" t="str">
            <v>7. SECURITY / PACS / CCTV</v>
          </cell>
          <cell r="G920" t="str">
            <v>7. SECURITY / PACS / CCTV</v>
          </cell>
          <cell r="H920">
            <v>0</v>
          </cell>
          <cell r="I920">
            <v>0</v>
          </cell>
          <cell r="J920">
            <v>0</v>
          </cell>
          <cell r="K920">
            <v>0</v>
          </cell>
          <cell r="L920">
            <v>0</v>
          </cell>
          <cell r="O920">
            <v>0</v>
          </cell>
          <cell r="P920">
            <v>0</v>
          </cell>
          <cell r="Q920" t="str">
            <v>14|37</v>
          </cell>
        </row>
        <row r="921">
          <cell r="E921" t="str">
            <v>7. SECURITY / PACS / CCTV</v>
          </cell>
          <cell r="G921" t="str">
            <v>Room</v>
          </cell>
          <cell r="H921" t="str">
            <v>PACS</v>
          </cell>
          <cell r="I921" t="str">
            <v>Card Reader</v>
          </cell>
          <cell r="J921" t="str">
            <v>Door Position</v>
          </cell>
          <cell r="K921" t="str">
            <v>Electric Strike</v>
          </cell>
          <cell r="L921" t="str">
            <v>CCTV</v>
          </cell>
          <cell r="O921" t="str">
            <v>Overall</v>
          </cell>
          <cell r="P921" t="str">
            <v>Notes</v>
          </cell>
          <cell r="Q921" t="str">
            <v>14|38</v>
          </cell>
        </row>
        <row r="922">
          <cell r="E922" t="str">
            <v>7. SECURITY / PACS / CCTV</v>
          </cell>
          <cell r="G922" t="str">
            <v>119</v>
          </cell>
          <cell r="H922" t="str">
            <v>Verify</v>
          </cell>
          <cell r="I922" t="str">
            <v>Verify</v>
          </cell>
          <cell r="J922" t="str">
            <v>Verify</v>
          </cell>
          <cell r="K922" t="str">
            <v>Verify</v>
          </cell>
          <cell r="L922" t="str">
            <v>Verify</v>
          </cell>
          <cell r="O922" t="str">
            <v>Verify</v>
          </cell>
          <cell r="P922" t="str">
            <v>Telecom/electrical plans show 119-CAM-01 and security/access-control scope for Room 119; verify CR/RX/DC/ES/MD devices, controller, camera/VMS integration, and door hardware coordination.</v>
          </cell>
          <cell r="Q922" t="str">
            <v>14|39</v>
          </cell>
        </row>
        <row r="923">
          <cell r="E923" t="str">
            <v>7. SECURITY / PACS / CCTV</v>
          </cell>
          <cell r="G923" t="str">
            <v>B.01</v>
          </cell>
          <cell r="H923" t="str">
            <v>Verify</v>
          </cell>
          <cell r="I923" t="str">
            <v>Verify</v>
          </cell>
          <cell r="J923" t="str">
            <v>Verify</v>
          </cell>
          <cell r="K923" t="str">
            <v>Verify</v>
          </cell>
          <cell r="L923" t="str">
            <v>Verify</v>
          </cell>
          <cell r="O923" t="str">
            <v>Verify</v>
          </cell>
          <cell r="P923" t="str">
            <v>Verify whether existing security equipment remains, is relocated, or requires temporary protection during cutover.</v>
          </cell>
          <cell r="Q923" t="str">
            <v>14|40</v>
          </cell>
        </row>
        <row r="924">
          <cell r="E924" t="str">
            <v>7. SECURITY / PACS / CCTV</v>
          </cell>
          <cell r="G924" t="str">
            <v>B2</v>
          </cell>
          <cell r="H924" t="str">
            <v>Verify</v>
          </cell>
          <cell r="I924" t="str">
            <v>Verify</v>
          </cell>
          <cell r="J924" t="str">
            <v>Verify</v>
          </cell>
          <cell r="K924" t="str">
            <v>Verify</v>
          </cell>
          <cell r="L924" t="str">
            <v>Verify</v>
          </cell>
          <cell r="O924" t="str">
            <v>Verify</v>
          </cell>
          <cell r="P924" t="str">
            <v>Verify security/access conditions and whether any legacy security equipment is present.</v>
          </cell>
          <cell r="Q924" t="str">
            <v>14|41</v>
          </cell>
        </row>
        <row r="925">
          <cell r="E925" t="str">
            <v>7. SECURITY / PACS / CCTV</v>
          </cell>
          <cell r="G925">
            <v>0</v>
          </cell>
          <cell r="H925">
            <v>0</v>
          </cell>
          <cell r="I925">
            <v>0</v>
          </cell>
          <cell r="J925">
            <v>0</v>
          </cell>
          <cell r="K925">
            <v>0</v>
          </cell>
          <cell r="L925">
            <v>0</v>
          </cell>
          <cell r="O925">
            <v>0</v>
          </cell>
          <cell r="P925">
            <v>0</v>
          </cell>
          <cell r="Q925" t="str">
            <v>14|42</v>
          </cell>
        </row>
        <row r="926">
          <cell r="E926" t="str">
            <v>8. OWNER RISKS</v>
          </cell>
          <cell r="G926" t="str">
            <v>8. OWNER RISKS</v>
          </cell>
          <cell r="H926">
            <v>0</v>
          </cell>
          <cell r="I926">
            <v>0</v>
          </cell>
          <cell r="J926">
            <v>0</v>
          </cell>
          <cell r="K926">
            <v>0</v>
          </cell>
          <cell r="L926">
            <v>0</v>
          </cell>
          <cell r="O926">
            <v>0</v>
          </cell>
          <cell r="P926">
            <v>0</v>
          </cell>
          <cell r="Q926" t="str">
            <v>14|43</v>
          </cell>
        </row>
        <row r="927">
          <cell r="E927" t="str">
            <v>8. OWNER RISKS</v>
          </cell>
          <cell r="G927" t="str">
            <v>Risk ID</v>
          </cell>
          <cell r="H927" t="str">
            <v>Room</v>
          </cell>
          <cell r="I927" t="str">
            <v>Risk</v>
          </cell>
          <cell r="J927" t="str">
            <v>Impact</v>
          </cell>
          <cell r="K927" t="str">
            <v>Probability</v>
          </cell>
          <cell r="L927" t="str">
            <v>Score</v>
          </cell>
          <cell r="O927" t="str">
            <v>Status</v>
          </cell>
          <cell r="P927" t="str">
            <v>Notes</v>
          </cell>
          <cell r="Q927" t="str">
            <v>14|44</v>
          </cell>
        </row>
        <row r="928">
          <cell r="E928" t="str">
            <v>8. OWNER RISKS</v>
          </cell>
          <cell r="G928" t="str">
            <v>B14-R1</v>
          </cell>
          <cell r="H928" t="str">
            <v>All</v>
          </cell>
          <cell r="I928" t="str">
            <v>Existing conditions for Room 119 and existing basement telecom rooms B.01/B2 not field verified</v>
          </cell>
          <cell r="J928" t="str">
            <v>High</v>
          </cell>
          <cell r="K928" t="str">
            <v>Medium</v>
          </cell>
          <cell r="L928">
            <v>6</v>
          </cell>
          <cell r="O928" t="str">
            <v>Open</v>
          </cell>
          <cell r="P928" t="str">
            <v>B14 includes new TR plus existing basement telecom transition points.</v>
          </cell>
          <cell r="Q928" t="str">
            <v>14|45</v>
          </cell>
        </row>
        <row r="929">
          <cell r="E929" t="str">
            <v>8. OWNER RISKS</v>
          </cell>
          <cell r="G929" t="str">
            <v>B14-R2</v>
          </cell>
          <cell r="H929" t="str">
            <v>119</v>
          </cell>
          <cell r="I929" t="str">
            <v>First-level hazardous material abatement plan exists</v>
          </cell>
          <cell r="J929" t="str">
            <v>High</v>
          </cell>
          <cell r="K929" t="str">
            <v>Medium</v>
          </cell>
          <cell r="L929">
            <v>6</v>
          </cell>
          <cell r="O929" t="str">
            <v>Open</v>
          </cell>
          <cell r="P929" t="str">
            <v>Drawing index includes 14H-101 hazardous material abatement plan - first level; page 6 notes lead-based paint abatement in room/restroom context.</v>
          </cell>
          <cell r="Q929" t="str">
            <v>14|46</v>
          </cell>
        </row>
        <row r="930">
          <cell r="E930" t="str">
            <v>8. OWNER RISKS</v>
          </cell>
          <cell r="G930" t="str">
            <v>B14-R3</v>
          </cell>
          <cell r="H930" t="str">
            <v>B.01/B2</v>
          </cell>
          <cell r="I930" t="str">
            <v>Existing basement telecom equipment may remain active during cutover</v>
          </cell>
          <cell r="J930" t="str">
            <v>Critical</v>
          </cell>
          <cell r="K930" t="str">
            <v>Medium</v>
          </cell>
          <cell r="L930">
            <v>8</v>
          </cell>
          <cell r="O930" t="str">
            <v>Open</v>
          </cell>
          <cell r="P930" t="str">
            <v>Existing wall-mounted TE, patch panels, telco patch and legacy Fiber LIU shown.</v>
          </cell>
          <cell r="Q930" t="str">
            <v>14|47</v>
          </cell>
        </row>
        <row r="931">
          <cell r="E931" t="str">
            <v>8. OWNER RISKS</v>
          </cell>
          <cell r="G931" t="str">
            <v>B14-R4</v>
          </cell>
          <cell r="H931" t="str">
            <v>119</v>
          </cell>
          <cell r="I931" t="str">
            <v>Dedicated cooling emergency power, condensate, BACnet and alarms not verified</v>
          </cell>
          <cell r="J931" t="str">
            <v>Critical</v>
          </cell>
          <cell r="K931" t="str">
            <v>Medium</v>
          </cell>
          <cell r="L931">
            <v>8</v>
          </cell>
          <cell r="O931" t="str">
            <v>Open</v>
          </cell>
          <cell r="P931" t="str">
            <v>Cooling is central to TR readiness.</v>
          </cell>
          <cell r="Q931" t="str">
            <v>14|48</v>
          </cell>
        </row>
        <row r="932">
          <cell r="E932" t="str">
            <v>8. OWNER RISKS</v>
          </cell>
          <cell r="G932" t="str">
            <v>B14-R5</v>
          </cell>
          <cell r="H932" t="str">
            <v>119</v>
          </cell>
          <cell r="I932" t="str">
            <v>240V UPS/PDU and panel source coordination could delay energization</v>
          </cell>
          <cell r="J932" t="str">
            <v>High</v>
          </cell>
          <cell r="K932" t="str">
            <v>Medium</v>
          </cell>
          <cell r="L932">
            <v>6</v>
          </cell>
          <cell r="O932" t="str">
            <v>Open</v>
          </cell>
          <cell r="P932" t="str">
            <v>Panel and circuit references are concentrated at Room 119.</v>
          </cell>
          <cell r="Q932" t="str">
            <v>14|49</v>
          </cell>
        </row>
        <row r="933">
          <cell r="E933" t="str">
            <v>8. OWNER RISKS</v>
          </cell>
          <cell r="G933" t="str">
            <v>B14-R6</v>
          </cell>
          <cell r="H933" t="str">
            <v>119</v>
          </cell>
          <cell r="I933" t="str">
            <v>Rated wall/door/firestop scope may affect life-safety acceptance</v>
          </cell>
          <cell r="J933" t="str">
            <v>High</v>
          </cell>
          <cell r="K933" t="str">
            <v>Medium</v>
          </cell>
          <cell r="L933">
            <v>6</v>
          </cell>
          <cell r="O933" t="str">
            <v>Open</v>
          </cell>
          <cell r="P933" t="str">
            <v>New TRs must be 1-hour fire/smoke rated.</v>
          </cell>
          <cell r="Q933" t="str">
            <v>14|50</v>
          </cell>
        </row>
        <row r="934">
          <cell r="E934" t="str">
            <v>8. OWNER RISKS</v>
          </cell>
          <cell r="G934" t="str">
            <v>B14-R7</v>
          </cell>
          <cell r="H934" t="str">
            <v>All</v>
          </cell>
          <cell r="I934" t="str">
            <v>Telecom/fiber cutover could affect active hospital communications across basement, first and second levels</v>
          </cell>
          <cell r="J934" t="str">
            <v>Critical</v>
          </cell>
          <cell r="K934" t="str">
            <v>Medium</v>
          </cell>
          <cell r="L934">
            <v>8</v>
          </cell>
          <cell r="O934" t="str">
            <v>Open</v>
          </cell>
          <cell r="P934" t="str">
            <v>14T-701 shows Room 119 serving Level 1 and Level 2 outlets with 84 total ports including allowance.</v>
          </cell>
          <cell r="Q934" t="str">
            <v>14|51</v>
          </cell>
        </row>
        <row r="935">
          <cell r="E935" t="str">
            <v>8. OWNER RISKS</v>
          </cell>
          <cell r="G935" t="str">
            <v>B14-R8</v>
          </cell>
          <cell r="H935" t="str">
            <v>All</v>
          </cell>
          <cell r="I935" t="str">
            <v>Commissioning/third-party inspection reports may not be complete at turnover</v>
          </cell>
          <cell r="J935" t="str">
            <v>High</v>
          </cell>
          <cell r="K935" t="str">
            <v>Medium</v>
          </cell>
          <cell r="L935">
            <v>6</v>
          </cell>
          <cell r="O935" t="str">
            <v>Open</v>
          </cell>
          <cell r="P935" t="str">
            <v>Required by cover/general notes.</v>
          </cell>
          <cell r="Q935" t="str">
            <v>14|52</v>
          </cell>
        </row>
        <row r="936">
          <cell r="E936" t="str">
            <v>8. OWNER RISKS</v>
          </cell>
          <cell r="G936">
            <v>0</v>
          </cell>
          <cell r="H936">
            <v>0</v>
          </cell>
          <cell r="I936">
            <v>0</v>
          </cell>
          <cell r="J936">
            <v>0</v>
          </cell>
          <cell r="K936">
            <v>0</v>
          </cell>
          <cell r="L936">
            <v>0</v>
          </cell>
          <cell r="O936">
            <v>0</v>
          </cell>
          <cell r="P936">
            <v>0</v>
          </cell>
          <cell r="Q936" t="str">
            <v>14|53</v>
          </cell>
        </row>
        <row r="937">
          <cell r="E937" t="str">
            <v>9. OPEN QUESTIONS</v>
          </cell>
          <cell r="G937" t="str">
            <v>9. OPEN QUESTIONS</v>
          </cell>
          <cell r="H937">
            <v>0</v>
          </cell>
          <cell r="I937">
            <v>0</v>
          </cell>
          <cell r="J937">
            <v>0</v>
          </cell>
          <cell r="K937">
            <v>0</v>
          </cell>
          <cell r="L937">
            <v>0</v>
          </cell>
          <cell r="O937">
            <v>0</v>
          </cell>
          <cell r="P937">
            <v>0</v>
          </cell>
          <cell r="Q937" t="str">
            <v>14|54</v>
          </cell>
        </row>
        <row r="938">
          <cell r="E938" t="str">
            <v>9. OPEN QUESTIONS</v>
          </cell>
          <cell r="G938" t="str">
            <v>Question ID</v>
          </cell>
          <cell r="H938" t="str">
            <v>Question</v>
          </cell>
          <cell r="I938" t="str">
            <v>Assigned To</v>
          </cell>
          <cell r="J938" t="str">
            <v>Status</v>
          </cell>
          <cell r="K938" t="str">
            <v>Needed By</v>
          </cell>
          <cell r="L938" t="str">
            <v>Answer / Resolution</v>
          </cell>
          <cell r="O938" t="str">
            <v>Date Closed</v>
          </cell>
          <cell r="P938" t="str">
            <v>Notes</v>
          </cell>
          <cell r="Q938" t="str">
            <v>14|55</v>
          </cell>
        </row>
        <row r="939">
          <cell r="E939" t="str">
            <v>9. OPEN QUESTIONS</v>
          </cell>
          <cell r="G939" t="str">
            <v>B14-Q1</v>
          </cell>
          <cell r="H939" t="str">
            <v>Confirm final telecom scope: new Room 119 and existing basement B.01/B2 transition only?</v>
          </cell>
          <cell r="I939" t="str">
            <v>VA / OIT / Designer</v>
          </cell>
          <cell r="J939" t="str">
            <v>Open</v>
          </cell>
          <cell r="K939">
            <v>0</v>
          </cell>
          <cell r="L939">
            <v>0</v>
          </cell>
          <cell r="O939">
            <v>0</v>
          </cell>
          <cell r="P939">
            <v>0</v>
          </cell>
          <cell r="Q939" t="str">
            <v>14|56</v>
          </cell>
        </row>
        <row r="940">
          <cell r="E940" t="str">
            <v>9. OPEN QUESTIONS</v>
          </cell>
          <cell r="G940" t="str">
            <v>B14-Q2</v>
          </cell>
          <cell r="H940" t="str">
            <v>What active services are currently fed from existing B.01/B2 equipment?</v>
          </cell>
          <cell r="I940" t="str">
            <v>OIT / Contractor</v>
          </cell>
          <cell r="J940" t="str">
            <v>Open</v>
          </cell>
          <cell r="K940">
            <v>0</v>
          </cell>
          <cell r="L940">
            <v>0</v>
          </cell>
          <cell r="O940">
            <v>0</v>
          </cell>
          <cell r="P940">
            <v>0</v>
          </cell>
          <cell r="Q940" t="str">
            <v>14|57</v>
          </cell>
        </row>
        <row r="941">
          <cell r="E941" t="str">
            <v>9. OPEN QUESTIONS</v>
          </cell>
          <cell r="G941" t="str">
            <v>B14-Q3</v>
          </cell>
          <cell r="H941" t="str">
            <v>What hazardous/abatement steps apply to first-level Room 119 work?</v>
          </cell>
          <cell r="I941" t="str">
            <v>GC / IH / COR</v>
          </cell>
          <cell r="J941" t="str">
            <v>Open</v>
          </cell>
          <cell r="K941">
            <v>0</v>
          </cell>
          <cell r="L941">
            <v>0</v>
          </cell>
          <cell r="O941">
            <v>0</v>
          </cell>
          <cell r="P941">
            <v>0</v>
          </cell>
          <cell r="Q941" t="str">
            <v>14|58</v>
          </cell>
        </row>
        <row r="942">
          <cell r="E942" t="str">
            <v>9. OPEN QUESTIONS</v>
          </cell>
          <cell r="G942" t="str">
            <v>B14-Q4</v>
          </cell>
          <cell r="H942" t="str">
            <v>Is IU-1-01/CU-1-01 on emergency/backup power and dedicated to Room 119?</v>
          </cell>
          <cell r="I942" t="str">
            <v>Mechanical / Electrical / VA</v>
          </cell>
          <cell r="J942" t="str">
            <v>Open</v>
          </cell>
          <cell r="K942">
            <v>0</v>
          </cell>
          <cell r="L942">
            <v>0</v>
          </cell>
          <cell r="O942">
            <v>0</v>
          </cell>
          <cell r="P942">
            <v>0</v>
          </cell>
          <cell r="Q942" t="str">
            <v>14|59</v>
          </cell>
        </row>
        <row r="943">
          <cell r="E943" t="str">
            <v>9. OPEN QUESTIONS</v>
          </cell>
          <cell r="G943" t="str">
            <v>B14-Q5</v>
          </cell>
          <cell r="H943" t="str">
            <v>Where is the clean-agent/CO2 extinguisher cabinet located within 75 ft of Room 119?</v>
          </cell>
          <cell r="I943" t="str">
            <v>GC / COR</v>
          </cell>
          <cell r="J943" t="str">
            <v>Open</v>
          </cell>
          <cell r="K943">
            <v>0</v>
          </cell>
          <cell r="L943">
            <v>0</v>
          </cell>
          <cell r="O943">
            <v>0</v>
          </cell>
          <cell r="P943">
            <v>0</v>
          </cell>
          <cell r="Q943" t="str">
            <v>14|60</v>
          </cell>
        </row>
        <row r="944">
          <cell r="E944" t="str">
            <v>9. OPEN QUESTIONS</v>
          </cell>
          <cell r="G944" t="str">
            <v>B14-Q6</v>
          </cell>
          <cell r="H944" t="str">
            <v>Are B14-TR119A/B sources, rack receptacles, SPDs, circuit labels and load measurements approved?</v>
          </cell>
          <cell r="I944" t="str">
            <v>Electrical / Designer</v>
          </cell>
          <cell r="J944" t="str">
            <v>Open</v>
          </cell>
          <cell r="K944">
            <v>0</v>
          </cell>
          <cell r="L944">
            <v>0</v>
          </cell>
          <cell r="O944">
            <v>0</v>
          </cell>
          <cell r="P944">
            <v>0</v>
          </cell>
          <cell r="Q944" t="str">
            <v>14|61</v>
          </cell>
        </row>
        <row r="945">
          <cell r="E945" t="str">
            <v>9. OPEN QUESTIONS</v>
          </cell>
          <cell r="G945" t="str">
            <v>B14-Q7</v>
          </cell>
          <cell r="H945" t="str">
            <v>Are all rated wall/floor penetrations, sleeves, cable tray entries and firestopping details identified?</v>
          </cell>
          <cell r="I945" t="str">
            <v>GC / Firestop</v>
          </cell>
          <cell r="J945" t="str">
            <v>Open</v>
          </cell>
          <cell r="K945">
            <v>0</v>
          </cell>
          <cell r="L945">
            <v>0</v>
          </cell>
          <cell r="O945">
            <v>0</v>
          </cell>
          <cell r="P945">
            <v>0</v>
          </cell>
          <cell r="Q945" t="str">
            <v>14|62</v>
          </cell>
        </row>
        <row r="946">
          <cell r="E946" t="str">
            <v>9. OPEN QUESTIONS</v>
          </cell>
          <cell r="G946" t="str">
            <v>B14-Q8</v>
          </cell>
          <cell r="H946" t="str">
            <v>Which third-party inspections and commissioning forms are required before VA acceptance?</v>
          </cell>
          <cell r="I946" t="str">
            <v>GC / Cx Manager</v>
          </cell>
          <cell r="J946" t="str">
            <v>Open</v>
          </cell>
          <cell r="K946">
            <v>0</v>
          </cell>
          <cell r="L946">
            <v>0</v>
          </cell>
          <cell r="O946">
            <v>0</v>
          </cell>
          <cell r="P946">
            <v>0</v>
          </cell>
          <cell r="Q946" t="str">
            <v>14|63</v>
          </cell>
        </row>
        <row r="947">
          <cell r="E947" t="str">
            <v>9. OPEN QUESTIONS</v>
          </cell>
          <cell r="G947">
            <v>0</v>
          </cell>
          <cell r="H947">
            <v>0</v>
          </cell>
          <cell r="I947">
            <v>0</v>
          </cell>
          <cell r="J947">
            <v>0</v>
          </cell>
          <cell r="K947">
            <v>0</v>
          </cell>
          <cell r="L947">
            <v>0</v>
          </cell>
          <cell r="O947">
            <v>0</v>
          </cell>
          <cell r="P947">
            <v>0</v>
          </cell>
          <cell r="Q947" t="str">
            <v>14|64</v>
          </cell>
        </row>
        <row r="948">
          <cell r="E948" t="str">
            <v>10. PHOTO LOG</v>
          </cell>
          <cell r="G948" t="str">
            <v>10. PHOTO LOG</v>
          </cell>
          <cell r="H948">
            <v>0</v>
          </cell>
          <cell r="I948">
            <v>0</v>
          </cell>
          <cell r="J948">
            <v>0</v>
          </cell>
          <cell r="K948">
            <v>0</v>
          </cell>
          <cell r="L948">
            <v>0</v>
          </cell>
          <cell r="O948">
            <v>0</v>
          </cell>
          <cell r="P948">
            <v>0</v>
          </cell>
          <cell r="Q948" t="str">
            <v>14|65</v>
          </cell>
        </row>
        <row r="949">
          <cell r="E949" t="str">
            <v>10. PHOTO LOG</v>
          </cell>
          <cell r="G949" t="str">
            <v>Photo ID</v>
          </cell>
          <cell r="H949" t="str">
            <v>Room</v>
          </cell>
          <cell r="I949" t="str">
            <v>Category</v>
          </cell>
          <cell r="J949" t="str">
            <v>Description</v>
          </cell>
          <cell r="K949" t="str">
            <v>Date</v>
          </cell>
          <cell r="L949" t="str">
            <v>Taken By</v>
          </cell>
          <cell r="O949" t="str">
            <v>Status</v>
          </cell>
          <cell r="P949" t="str">
            <v>Notes</v>
          </cell>
          <cell r="Q949" t="str">
            <v>14|66</v>
          </cell>
        </row>
        <row r="950">
          <cell r="E950" t="str">
            <v>10. PHOTO LOG</v>
          </cell>
          <cell r="G950" t="str">
            <v>B14-P001</v>
          </cell>
          <cell r="H950" t="str">
            <v>119</v>
          </cell>
          <cell r="I950" t="str">
            <v>Existing Condition</v>
          </cell>
          <cell r="J950" t="str">
            <v>Room 119 walls, ceiling/deck, floor, door, adjacent conference/restroom/office spaces, rack location, pathways and penetrations</v>
          </cell>
          <cell r="K950">
            <v>0</v>
          </cell>
          <cell r="L950" t="str">
            <v>Paul</v>
          </cell>
          <cell r="O950" t="str">
            <v>Open</v>
          </cell>
          <cell r="P950">
            <v>0</v>
          </cell>
          <cell r="Q950" t="str">
            <v>14|67</v>
          </cell>
        </row>
        <row r="951">
          <cell r="E951" t="str">
            <v>10. PHOTO LOG</v>
          </cell>
          <cell r="G951" t="str">
            <v>B14-P002</v>
          </cell>
          <cell r="H951" t="str">
            <v>B.01</v>
          </cell>
          <cell r="I951" t="str">
            <v>Existing Condition</v>
          </cell>
          <cell r="J951" t="str">
            <v>Existing basement Tel/F Panel B.01, wall-mounted TE, patch panels, telco patch, plywood backboards, legacy Fiber LIU and pathways</v>
          </cell>
          <cell r="K951">
            <v>0</v>
          </cell>
          <cell r="L951" t="str">
            <v>Paul</v>
          </cell>
          <cell r="O951" t="str">
            <v>Open</v>
          </cell>
          <cell r="P951">
            <v>0</v>
          </cell>
          <cell r="Q951" t="str">
            <v>14|68</v>
          </cell>
        </row>
        <row r="952">
          <cell r="E952" t="str">
            <v>10. PHOTO LOG</v>
          </cell>
          <cell r="G952" t="str">
            <v>B14-P003</v>
          </cell>
          <cell r="H952" t="str">
            <v>B2</v>
          </cell>
          <cell r="I952" t="str">
            <v>Existing Condition</v>
          </cell>
          <cell r="J952" t="str">
            <v>Existing basement telecom room B2 photo reference, equipment, pathways, power and protection-in-place needs</v>
          </cell>
          <cell r="K952">
            <v>0</v>
          </cell>
          <cell r="L952" t="str">
            <v>Paul</v>
          </cell>
          <cell r="O952" t="str">
            <v>Open</v>
          </cell>
          <cell r="P952">
            <v>0</v>
          </cell>
          <cell r="Q952" t="str">
            <v>14|69</v>
          </cell>
        </row>
        <row r="953">
          <cell r="E953" t="str">
            <v>10. PHOTO LOG</v>
          </cell>
          <cell r="G953" t="str">
            <v>B14-P004</v>
          </cell>
          <cell r="H953" t="str">
            <v>119</v>
          </cell>
          <cell r="I953" t="str">
            <v>Hazardous Materials</v>
          </cell>
          <cell r="J953" t="str">
            <v>First-level abatement-related materials, flooring, walls, ceiling/penetrations, and disturbance areas</v>
          </cell>
          <cell r="K953">
            <v>0</v>
          </cell>
          <cell r="L953" t="str">
            <v>Paul</v>
          </cell>
          <cell r="O953" t="str">
            <v>Open</v>
          </cell>
          <cell r="P953">
            <v>0</v>
          </cell>
          <cell r="Q953" t="str">
            <v>14|70</v>
          </cell>
        </row>
        <row r="954">
          <cell r="E954" t="str">
            <v>10. PHOTO LOG</v>
          </cell>
          <cell r="G954" t="str">
            <v>B14-P005</v>
          </cell>
          <cell r="H954" t="str">
            <v>119</v>
          </cell>
          <cell r="I954" t="str">
            <v>Firestop</v>
          </cell>
          <cell r="J954" t="str">
            <v>All wall/floor/sleeve/tray penetrations before and after firestop</v>
          </cell>
          <cell r="K954">
            <v>0</v>
          </cell>
          <cell r="L954" t="str">
            <v>Paul</v>
          </cell>
          <cell r="O954" t="str">
            <v>Open</v>
          </cell>
          <cell r="P954">
            <v>0</v>
          </cell>
          <cell r="Q954" t="str">
            <v>14|71</v>
          </cell>
        </row>
        <row r="955">
          <cell r="E955" t="str">
            <v>10. PHOTO LOG</v>
          </cell>
          <cell r="G955" t="str">
            <v>B14-P006</v>
          </cell>
          <cell r="H955" t="str">
            <v>119</v>
          </cell>
          <cell r="I955" t="str">
            <v>HVAC</v>
          </cell>
          <cell r="J955" t="str">
            <v>IU-1-01/CU-1-01, condensate, thermostat, BACnet adapter, disconnects, high-temp alarm and power source</v>
          </cell>
          <cell r="K955">
            <v>0</v>
          </cell>
          <cell r="L955" t="str">
            <v>Paul</v>
          </cell>
          <cell r="O955" t="str">
            <v>Open</v>
          </cell>
          <cell r="P955">
            <v>0</v>
          </cell>
          <cell r="Q955" t="str">
            <v>14|72</v>
          </cell>
        </row>
        <row r="956">
          <cell r="E956" t="str">
            <v>10. PHOTO LOG</v>
          </cell>
          <cell r="G956" t="str">
            <v>B14-P007</v>
          </cell>
          <cell r="H956" t="str">
            <v>119</v>
          </cell>
          <cell r="I956" t="str">
            <v>Electrical</v>
          </cell>
          <cell r="J956" t="str">
            <v>B14-TR119A/B panels, rack receptacles, breakers, SPD, access controller, lighting, CU-1-01 and labels</v>
          </cell>
          <cell r="K956">
            <v>0</v>
          </cell>
          <cell r="L956" t="str">
            <v>Paul</v>
          </cell>
          <cell r="O956" t="str">
            <v>Open</v>
          </cell>
          <cell r="P956">
            <v>0</v>
          </cell>
          <cell r="Q956" t="str">
            <v>14|73</v>
          </cell>
        </row>
        <row r="957">
          <cell r="E957" t="str">
            <v>10. PHOTO LOG</v>
          </cell>
          <cell r="G957" t="str">
            <v>B14-P008</v>
          </cell>
          <cell r="H957" t="str">
            <v>119/B.01</v>
          </cell>
          <cell r="I957" t="str">
            <v>Telecom/Security</v>
          </cell>
          <cell r="J957" t="str">
            <v>New rack/future rack, fiber path A/B, Cat6A, patch panels, LIU, labels/test records, 119-CAM-01 and existing B.01/B2 transfer work</v>
          </cell>
          <cell r="K957">
            <v>0</v>
          </cell>
          <cell r="L957" t="str">
            <v>Paul</v>
          </cell>
          <cell r="O957" t="str">
            <v>Open</v>
          </cell>
          <cell r="P957">
            <v>0</v>
          </cell>
          <cell r="Q957" t="str">
            <v>14|74</v>
          </cell>
        </row>
        <row r="958">
          <cell r="E958" t="str">
            <v>10. PHOTO LOG</v>
          </cell>
          <cell r="G958">
            <v>0</v>
          </cell>
          <cell r="H958">
            <v>0</v>
          </cell>
          <cell r="I958">
            <v>0</v>
          </cell>
          <cell r="J958">
            <v>0</v>
          </cell>
          <cell r="K958">
            <v>0</v>
          </cell>
          <cell r="L958">
            <v>0</v>
          </cell>
          <cell r="O958">
            <v>0</v>
          </cell>
          <cell r="P958">
            <v>0</v>
          </cell>
          <cell r="Q958" t="str">
            <v>14|75</v>
          </cell>
        </row>
        <row r="959">
          <cell r="E959" t="str">
            <v>1. ROOM INVENTORY</v>
          </cell>
          <cell r="G959" t="str">
            <v>1. ROOM INVENTORY</v>
          </cell>
          <cell r="H959">
            <v>0</v>
          </cell>
          <cell r="I959">
            <v>0</v>
          </cell>
          <cell r="J959">
            <v>0</v>
          </cell>
          <cell r="K959">
            <v>0</v>
          </cell>
          <cell r="L959">
            <v>0</v>
          </cell>
          <cell r="O959">
            <v>0</v>
          </cell>
          <cell r="P959">
            <v>0</v>
          </cell>
          <cell r="Q959" t="str">
            <v>15|1</v>
          </cell>
        </row>
        <row r="960">
          <cell r="E960" t="str">
            <v>1. ROOM INVENTORY</v>
          </cell>
          <cell r="G960" t="str">
            <v>Building</v>
          </cell>
          <cell r="H960" t="str">
            <v>Room</v>
          </cell>
          <cell r="I960" t="str">
            <v>Floor</v>
          </cell>
          <cell r="J960" t="str">
            <v>Existing Use</v>
          </cell>
          <cell r="K960" t="str">
            <v>New Use</v>
          </cell>
          <cell r="L960" t="str">
            <v>Rack Count</v>
          </cell>
          <cell r="O960" t="str">
            <v>Drawing Ref</v>
          </cell>
          <cell r="P960" t="str">
            <v>Notes</v>
          </cell>
          <cell r="Q960" t="str">
            <v>15|2</v>
          </cell>
        </row>
        <row r="961">
          <cell r="E961" t="str">
            <v>1. ROOM INVENTORY</v>
          </cell>
          <cell r="G961" t="str">
            <v>15</v>
          </cell>
          <cell r="H961" t="str">
            <v>124A</v>
          </cell>
          <cell r="I961" t="str">
            <v>First</v>
          </cell>
          <cell r="J961" t="str">
            <v>Office/room converted to Telecom Room</v>
          </cell>
          <cell r="K961" t="str">
            <v>Telecom Room</v>
          </cell>
          <cell r="L961">
            <v>1</v>
          </cell>
          <cell r="O961" t="str">
            <v>15A-401 / 15E-401 / 15T-100 / 15T-604 / 15T-701</v>
          </cell>
          <cell r="P961" t="str">
            <v>Primary Building 15 TR. Plans identify Telecom Room 124A at 121 SF, served by Rack ID TR15-109A-01, panels B15-TR124AA/AB, 240V UPS/PDU rack power, IU-1-01/CU-1-01 cooling, and a future rack allowance.</v>
          </cell>
          <cell r="Q961" t="str">
            <v>15|3</v>
          </cell>
        </row>
        <row r="962">
          <cell r="E962" t="str">
            <v>1. ROOM INVENTORY</v>
          </cell>
          <cell r="G962" t="str">
            <v>15</v>
          </cell>
          <cell r="H962" t="str">
            <v>222</v>
          </cell>
          <cell r="I962" t="str">
            <v>Second</v>
          </cell>
          <cell r="J962" t="str">
            <v>Existing Tel Room / wall-mounted rack and support equipment</v>
          </cell>
          <cell r="K962" t="str">
            <v>Existing telecom transition point</v>
          </cell>
          <cell r="L962">
            <v>1</v>
          </cell>
          <cell r="O962" t="str">
            <v>15T-100 / 15T-604 / 15R-900</v>
          </cell>
          <cell r="P962" t="str">
            <v>Existing second-level Tel Room 222 shown at 65 SF with existing/remain indoor AC unit, security cabinet, ground bar, plywood backboard, wall-mounted rack, existing Cisco switches, legacy patch panels, and floor UPS; protect active services and verify transfer to Room 124A.</v>
          </cell>
          <cell r="Q962" t="str">
            <v>15|4</v>
          </cell>
        </row>
        <row r="963">
          <cell r="E963" t="str">
            <v>1. ROOM INVENTORY</v>
          </cell>
          <cell r="G963" t="str">
            <v>15</v>
          </cell>
          <cell r="H963" t="str">
            <v>B01</v>
          </cell>
          <cell r="I963" t="str">
            <v>Basement</v>
          </cell>
          <cell r="J963" t="str">
            <v>Existing telecom/crossover area</v>
          </cell>
          <cell r="K963" t="str">
            <v>Existing telecom transition point</v>
          </cell>
          <cell r="L963">
            <v>1</v>
          </cell>
          <cell r="O963" t="str">
            <v>15T-604 / 15R-900</v>
          </cell>
          <cell r="P963" t="str">
            <v>Rack elevations identify existing B-01 crossover wall/wall-mount TE with legacy 24-port patch panel. Photo reference identifies basement existing telecom room B01.</v>
          </cell>
          <cell r="Q963" t="str">
            <v>15|5</v>
          </cell>
        </row>
        <row r="964">
          <cell r="E964" t="str">
            <v>1. ROOM INVENTORY</v>
          </cell>
          <cell r="G964">
            <v>0</v>
          </cell>
          <cell r="H964">
            <v>0</v>
          </cell>
          <cell r="I964">
            <v>0</v>
          </cell>
          <cell r="J964">
            <v>0</v>
          </cell>
          <cell r="K964">
            <v>0</v>
          </cell>
          <cell r="L964">
            <v>0</v>
          </cell>
          <cell r="O964">
            <v>0</v>
          </cell>
          <cell r="P964">
            <v>0</v>
          </cell>
          <cell r="Q964" t="str">
            <v>15|6</v>
          </cell>
        </row>
        <row r="965">
          <cell r="E965" t="str">
            <v>2. ROOM READINESS</v>
          </cell>
          <cell r="G965" t="str">
            <v>2. ROOM READINESS</v>
          </cell>
          <cell r="H965">
            <v>0</v>
          </cell>
          <cell r="I965">
            <v>0</v>
          </cell>
          <cell r="J965">
            <v>0</v>
          </cell>
          <cell r="K965">
            <v>0</v>
          </cell>
          <cell r="L965">
            <v>0</v>
          </cell>
          <cell r="O965">
            <v>0</v>
          </cell>
          <cell r="P965">
            <v>0</v>
          </cell>
          <cell r="Q965" t="str">
            <v>15|7</v>
          </cell>
        </row>
        <row r="966">
          <cell r="E966" t="str">
            <v>2. ROOM READINESS</v>
          </cell>
          <cell r="G966" t="str">
            <v>Room</v>
          </cell>
          <cell r="H966" t="str">
            <v>Walls / 1-hr Rating</v>
          </cell>
          <cell r="I966" t="str">
            <v>Ceiling</v>
          </cell>
          <cell r="J966" t="str">
            <v>Floor / SDC</v>
          </cell>
          <cell r="K966" t="str">
            <v>Penetrations</v>
          </cell>
          <cell r="L966" t="str">
            <v>Access Control</v>
          </cell>
          <cell r="O966" t="str">
            <v>Overall</v>
          </cell>
          <cell r="P966" t="str">
            <v>Comments</v>
          </cell>
          <cell r="Q966" t="str">
            <v>15|8</v>
          </cell>
        </row>
        <row r="967">
          <cell r="E967" t="str">
            <v>2. ROOM READINESS</v>
          </cell>
          <cell r="G967" t="str">
            <v>124A</v>
          </cell>
          <cell r="H967" t="str">
            <v>Verify</v>
          </cell>
          <cell r="I967" t="str">
            <v>Verify</v>
          </cell>
          <cell r="J967" t="str">
            <v>Verify</v>
          </cell>
          <cell r="K967" t="str">
            <v>Verify</v>
          </cell>
          <cell r="L967" t="str">
            <v>Verify</v>
          </cell>
          <cell r="O967" t="str">
            <v>Verify</v>
          </cell>
          <cell r="P967" t="str">
            <v>First-level TR; verify 1-hour fire/smoke-rated enclosure, open-to-deck conditions, door hardware/access control, static-control floor sealer, rack/future rack clearances, wall backing, and pathway entry points.</v>
          </cell>
          <cell r="Q967" t="str">
            <v>15|9</v>
          </cell>
        </row>
        <row r="968">
          <cell r="E968" t="str">
            <v>2. ROOM READINESS</v>
          </cell>
          <cell r="G968" t="str">
            <v>222</v>
          </cell>
          <cell r="H968" t="str">
            <v>Existing / Verify</v>
          </cell>
          <cell r="I968" t="str">
            <v>Existing / Verify</v>
          </cell>
          <cell r="J968" t="str">
            <v>Existing / Verify</v>
          </cell>
          <cell r="K968" t="str">
            <v>Verify</v>
          </cell>
          <cell r="L968" t="str">
            <v>Verify</v>
          </cell>
          <cell r="O968" t="str">
            <v>Verify</v>
          </cell>
          <cell r="P968" t="str">
            <v>Existing second-level tel room; verify active equipment status, pathway, indoor AC unit, ground bar, backboard, wall rack, UPS, and transition/abandonment scope.</v>
          </cell>
          <cell r="Q968" t="str">
            <v>15|10</v>
          </cell>
        </row>
        <row r="969">
          <cell r="E969" t="str">
            <v>2. ROOM READINESS</v>
          </cell>
          <cell r="G969" t="str">
            <v>B01</v>
          </cell>
          <cell r="H969" t="str">
            <v>Existing / Verify</v>
          </cell>
          <cell r="I969" t="str">
            <v>Existing / Verify</v>
          </cell>
          <cell r="J969" t="str">
            <v>Existing / Verify</v>
          </cell>
          <cell r="K969" t="str">
            <v>Verify</v>
          </cell>
          <cell r="L969" t="str">
            <v>Verify</v>
          </cell>
          <cell r="O969" t="str">
            <v>Verify</v>
          </cell>
          <cell r="P969" t="str">
            <v>Existing basement telecom/crossover room; verify active equipment status, pathway, legacy 24-port patch panel, power, and relationship to Room 222/124A transfer.</v>
          </cell>
          <cell r="Q969" t="str">
            <v>15|11</v>
          </cell>
        </row>
        <row r="970">
          <cell r="E970" t="str">
            <v>2. ROOM READINESS</v>
          </cell>
          <cell r="G970">
            <v>0</v>
          </cell>
          <cell r="H970">
            <v>0</v>
          </cell>
          <cell r="I970">
            <v>0</v>
          </cell>
          <cell r="J970">
            <v>0</v>
          </cell>
          <cell r="K970">
            <v>0</v>
          </cell>
          <cell r="L970">
            <v>0</v>
          </cell>
          <cell r="O970">
            <v>0</v>
          </cell>
          <cell r="P970">
            <v>0</v>
          </cell>
          <cell r="Q970" t="str">
            <v>15|12</v>
          </cell>
        </row>
        <row r="971">
          <cell r="E971" t="str">
            <v>3. FIRE PROTECTION</v>
          </cell>
          <cell r="G971" t="str">
            <v>3. FIRE PROTECTION</v>
          </cell>
          <cell r="H971">
            <v>0</v>
          </cell>
          <cell r="I971">
            <v>0</v>
          </cell>
          <cell r="J971">
            <v>0</v>
          </cell>
          <cell r="K971">
            <v>0</v>
          </cell>
          <cell r="L971">
            <v>0</v>
          </cell>
          <cell r="O971">
            <v>0</v>
          </cell>
          <cell r="P971">
            <v>0</v>
          </cell>
          <cell r="Q971" t="str">
            <v>15|13</v>
          </cell>
        </row>
        <row r="972">
          <cell r="E972" t="str">
            <v>3. FIRE PROTECTION</v>
          </cell>
          <cell r="G972" t="str">
            <v>Room</v>
          </cell>
          <cell r="H972" t="str">
            <v>Sprinkler</v>
          </cell>
          <cell r="I972" t="str">
            <v>Cage</v>
          </cell>
          <cell r="J972" t="str">
            <v>Detector</v>
          </cell>
          <cell r="K972" t="str">
            <v>Horn/Strobe</v>
          </cell>
          <cell r="L972" t="str">
            <v>Extinguisher &lt;75 ft</v>
          </cell>
          <cell r="O972" t="str">
            <v>Overall</v>
          </cell>
          <cell r="P972" t="str">
            <v>Risk / Notes</v>
          </cell>
          <cell r="Q972" t="str">
            <v>15|14</v>
          </cell>
        </row>
        <row r="973">
          <cell r="E973" t="str">
            <v>3. FIRE PROTECTION</v>
          </cell>
          <cell r="G973" t="str">
            <v>124A</v>
          </cell>
          <cell r="H973" t="str">
            <v>Verify</v>
          </cell>
          <cell r="I973" t="str">
            <v>Verify</v>
          </cell>
          <cell r="J973" t="str">
            <v>Verify</v>
          </cell>
          <cell r="K973" t="str">
            <v>Verify</v>
          </cell>
          <cell r="L973" t="str">
            <v>Verify</v>
          </cell>
          <cell r="O973" t="str">
            <v>Verify</v>
          </cell>
          <cell r="P973" t="str">
            <v>Fully sprinklered building; confirm sprinkler/fire alarm modifications, clean-agent 2A:10B:C extinguisher within 75 ft, rated wall/ceiling penetrations, and temporary firestopping during cable pulls.</v>
          </cell>
          <cell r="Q973" t="str">
            <v>15|15</v>
          </cell>
        </row>
        <row r="974">
          <cell r="E974" t="str">
            <v>3. FIRE PROTECTION</v>
          </cell>
          <cell r="G974" t="str">
            <v>222</v>
          </cell>
          <cell r="H974" t="str">
            <v>Verify</v>
          </cell>
          <cell r="I974" t="str">
            <v>N/A</v>
          </cell>
          <cell r="J974" t="str">
            <v>Verify</v>
          </cell>
          <cell r="K974" t="str">
            <v>Verify</v>
          </cell>
          <cell r="L974" t="str">
            <v>Verify</v>
          </cell>
          <cell r="O974" t="str">
            <v>Verify</v>
          </cell>
          <cell r="P974" t="str">
            <v>Existing tel room; verify fire alarm/sprinkler protection-in-place and seal any removed/reused penetration after cutover.</v>
          </cell>
          <cell r="Q974" t="str">
            <v>15|16</v>
          </cell>
        </row>
        <row r="975">
          <cell r="E975" t="str">
            <v>3. FIRE PROTECTION</v>
          </cell>
          <cell r="G975" t="str">
            <v>B01</v>
          </cell>
          <cell r="H975" t="str">
            <v>Verify</v>
          </cell>
          <cell r="I975" t="str">
            <v>N/A</v>
          </cell>
          <cell r="J975" t="str">
            <v>Verify</v>
          </cell>
          <cell r="K975" t="str">
            <v>Verify</v>
          </cell>
          <cell r="L975" t="str">
            <v>Verify</v>
          </cell>
          <cell r="O975" t="str">
            <v>Verify</v>
          </cell>
          <cell r="P975" t="str">
            <v>Existing basement telecom/crossover room; verify no unsealed penetrations remain after cable transfer or reuse.</v>
          </cell>
          <cell r="Q975" t="str">
            <v>15|17</v>
          </cell>
        </row>
        <row r="976">
          <cell r="E976" t="str">
            <v>3. FIRE PROTECTION</v>
          </cell>
          <cell r="G976">
            <v>0</v>
          </cell>
          <cell r="H976">
            <v>0</v>
          </cell>
          <cell r="I976">
            <v>0</v>
          </cell>
          <cell r="J976">
            <v>0</v>
          </cell>
          <cell r="K976">
            <v>0</v>
          </cell>
          <cell r="L976">
            <v>0</v>
          </cell>
          <cell r="O976">
            <v>0</v>
          </cell>
          <cell r="P976">
            <v>0</v>
          </cell>
          <cell r="Q976" t="str">
            <v>15|18</v>
          </cell>
        </row>
        <row r="977">
          <cell r="E977" t="str">
            <v>4. HVAC / COOLING</v>
          </cell>
          <cell r="G977" t="str">
            <v>4. HVAC / COOLING</v>
          </cell>
          <cell r="H977">
            <v>0</v>
          </cell>
          <cell r="I977">
            <v>0</v>
          </cell>
          <cell r="J977">
            <v>0</v>
          </cell>
          <cell r="K977">
            <v>0</v>
          </cell>
          <cell r="L977">
            <v>0</v>
          </cell>
          <cell r="O977">
            <v>0</v>
          </cell>
          <cell r="P977">
            <v>0</v>
          </cell>
          <cell r="Q977" t="str">
            <v>15|19</v>
          </cell>
        </row>
        <row r="978">
          <cell r="E978" t="str">
            <v>4. HVAC / COOLING</v>
          </cell>
          <cell r="G978" t="str">
            <v>Room</v>
          </cell>
          <cell r="H978" t="str">
            <v>Dedicated Unit</v>
          </cell>
          <cell r="I978" t="str">
            <v>Capacity Verified</v>
          </cell>
          <cell r="J978" t="str">
            <v>Emergency Power</v>
          </cell>
          <cell r="K978" t="str">
            <v>Controls / BACnet</v>
          </cell>
          <cell r="L978" t="str">
            <v>Condensate Routed</v>
          </cell>
          <cell r="O978" t="str">
            <v>Overall</v>
          </cell>
          <cell r="P978" t="str">
            <v>Risk / Notes</v>
          </cell>
          <cell r="Q978" t="str">
            <v>15|20</v>
          </cell>
        </row>
        <row r="979">
          <cell r="E979" t="str">
            <v>4. HVAC / COOLING</v>
          </cell>
          <cell r="G979" t="str">
            <v>124A</v>
          </cell>
          <cell r="H979" t="str">
            <v>IU-1-01 / CU-1-01</v>
          </cell>
          <cell r="I979" t="str">
            <v>Verify</v>
          </cell>
          <cell r="J979" t="str">
            <v>Verify</v>
          </cell>
          <cell r="K979" t="str">
            <v>Verify</v>
          </cell>
          <cell r="L979" t="str">
            <v>Verify</v>
          </cell>
          <cell r="O979" t="str">
            <v>Verify</v>
          </cell>
          <cell r="P979" t="str">
            <v>Mechanical/electrical drawings show IU-1-01 in Telecom Room 124A and CU-1-01 outdoor heat-pump/A/C unit. Confirm capacity, emergency/standby source, BACnet adapter, thermostat/control point, condensate path, disconnects, and high-temperature alarm.</v>
          </cell>
          <cell r="Q979" t="str">
            <v>15|21</v>
          </cell>
        </row>
        <row r="980">
          <cell r="E980" t="str">
            <v>4. HVAC / COOLING</v>
          </cell>
          <cell r="G980" t="str">
            <v>222</v>
          </cell>
          <cell r="H980" t="str">
            <v>Existing/remain indoor AC unit</v>
          </cell>
          <cell r="I980" t="str">
            <v>Verify</v>
          </cell>
          <cell r="J980" t="str">
            <v>Verify</v>
          </cell>
          <cell r="K980" t="str">
            <v>Verify</v>
          </cell>
          <cell r="L980" t="str">
            <v>Verify</v>
          </cell>
          <cell r="O980" t="str">
            <v>Verify</v>
          </cell>
          <cell r="P980" t="str">
            <v>Existing Tel Room 222 is shown with existing/remain indoor AC unit; verify whether it remains active, is abandoned, or needs protection during cutover.</v>
          </cell>
          <cell r="Q980" t="str">
            <v>15|22</v>
          </cell>
        </row>
        <row r="981">
          <cell r="E981" t="str">
            <v>4. HVAC / COOLING</v>
          </cell>
          <cell r="G981" t="str">
            <v>B01</v>
          </cell>
          <cell r="H981" t="str">
            <v>Existing / Verify</v>
          </cell>
          <cell r="I981" t="str">
            <v>Verify</v>
          </cell>
          <cell r="J981" t="str">
            <v>Verify</v>
          </cell>
          <cell r="K981" t="str">
            <v>Verify</v>
          </cell>
          <cell r="L981" t="str">
            <v>Verify</v>
          </cell>
          <cell r="O981" t="str">
            <v>Verify</v>
          </cell>
          <cell r="P981" t="str">
            <v>Existing basement telecom/crossover space; verify environmental conditions and whether active equipment remains during cutover.</v>
          </cell>
          <cell r="Q981" t="str">
            <v>15|23</v>
          </cell>
        </row>
        <row r="982">
          <cell r="E982" t="str">
            <v>4. HVAC / COOLING</v>
          </cell>
          <cell r="G982">
            <v>0</v>
          </cell>
          <cell r="H982">
            <v>0</v>
          </cell>
          <cell r="I982">
            <v>0</v>
          </cell>
          <cell r="J982">
            <v>0</v>
          </cell>
          <cell r="K982">
            <v>0</v>
          </cell>
          <cell r="L982">
            <v>0</v>
          </cell>
          <cell r="O982">
            <v>0</v>
          </cell>
          <cell r="P982">
            <v>0</v>
          </cell>
          <cell r="Q982" t="str">
            <v>15|24</v>
          </cell>
        </row>
        <row r="983">
          <cell r="E983" t="str">
            <v>5. ELECTRICAL / UPS</v>
          </cell>
          <cell r="G983" t="str">
            <v>5. ELECTRICAL / UPS</v>
          </cell>
          <cell r="H983">
            <v>0</v>
          </cell>
          <cell r="I983">
            <v>0</v>
          </cell>
          <cell r="J983">
            <v>0</v>
          </cell>
          <cell r="K983">
            <v>0</v>
          </cell>
          <cell r="L983">
            <v>0</v>
          </cell>
          <cell r="O983">
            <v>0</v>
          </cell>
          <cell r="P983">
            <v>0</v>
          </cell>
          <cell r="Q983" t="str">
            <v>15|25</v>
          </cell>
        </row>
        <row r="984">
          <cell r="E984" t="str">
            <v>5. ELECTRICAL / UPS</v>
          </cell>
          <cell r="G984" t="str">
            <v>Room</v>
          </cell>
          <cell r="H984" t="str">
            <v>UPS Installed</v>
          </cell>
          <cell r="I984" t="str">
            <v>UPS Size</v>
          </cell>
          <cell r="J984" t="str">
            <v>PDU Installed</v>
          </cell>
          <cell r="K984" t="str">
            <v>Rack Receptacles</v>
          </cell>
          <cell r="L984" t="str">
            <v>Panel Assigned</v>
          </cell>
          <cell r="O984" t="str">
            <v>Overall</v>
          </cell>
          <cell r="P984" t="str">
            <v>Notes</v>
          </cell>
          <cell r="Q984" t="str">
            <v>15|26</v>
          </cell>
        </row>
        <row r="985">
          <cell r="E985" t="str">
            <v>5. ELECTRICAL / UPS</v>
          </cell>
          <cell r="G985" t="str">
            <v>124A</v>
          </cell>
          <cell r="H985" t="str">
            <v>Verify</v>
          </cell>
          <cell r="I985" t="str">
            <v>5 kW / 240V rack UPS</v>
          </cell>
          <cell r="J985" t="str">
            <v>Verify</v>
          </cell>
          <cell r="K985" t="str">
            <v>Verify</v>
          </cell>
          <cell r="L985" t="str">
            <v>B15-TR124AA / B15-TR124AB</v>
          </cell>
          <cell r="O985" t="str">
            <v>Verify</v>
          </cell>
          <cell r="P985" t="str">
            <v>Electrical enlarged plans and schedules identify B15-TR124AA/AB, 240V rack UPS requirements, normal/emergency rack power, rack receptacles, TR receptacles, lighting, CU-1-01, SPD requirements, and 30-day load measurement requirements.</v>
          </cell>
          <cell r="Q985" t="str">
            <v>15|27</v>
          </cell>
        </row>
        <row r="986">
          <cell r="E986" t="str">
            <v>5. ELECTRICAL / UPS</v>
          </cell>
          <cell r="G986" t="str">
            <v>222</v>
          </cell>
          <cell r="H986" t="str">
            <v>Existing</v>
          </cell>
          <cell r="I986" t="str">
            <v>Existing floor UPS</v>
          </cell>
          <cell r="J986" t="str">
            <v>Existing</v>
          </cell>
          <cell r="K986" t="str">
            <v>Verify</v>
          </cell>
          <cell r="L986" t="str">
            <v>Existing / Verify</v>
          </cell>
          <cell r="O986" t="str">
            <v>Verify</v>
          </cell>
          <cell r="P986" t="str">
            <v>Existing rack/equipment area; verify power source, active equipment, APC floor UPS status, and transition requirements before disconnect or removal.</v>
          </cell>
          <cell r="Q986" t="str">
            <v>15|28</v>
          </cell>
        </row>
        <row r="987">
          <cell r="E987" t="str">
            <v>5. ELECTRICAL / UPS</v>
          </cell>
          <cell r="G987" t="str">
            <v>B01</v>
          </cell>
          <cell r="H987" t="str">
            <v>Existing / Verify</v>
          </cell>
          <cell r="I987" t="str">
            <v>Existing / Verify</v>
          </cell>
          <cell r="J987" t="str">
            <v>Existing / Verify</v>
          </cell>
          <cell r="K987" t="str">
            <v>Verify</v>
          </cell>
          <cell r="L987" t="str">
            <v>Existing / Verify</v>
          </cell>
          <cell r="O987" t="str">
            <v>Verify</v>
          </cell>
          <cell r="P987" t="str">
            <v>Existing B-01 crossover; verify power sources and cutover needs for legacy patch panel/crossover.</v>
          </cell>
          <cell r="Q987" t="str">
            <v>15|29</v>
          </cell>
        </row>
        <row r="988">
          <cell r="E988" t="str">
            <v>5. ELECTRICAL / UPS</v>
          </cell>
          <cell r="G988">
            <v>0</v>
          </cell>
          <cell r="H988">
            <v>0</v>
          </cell>
          <cell r="I988">
            <v>0</v>
          </cell>
          <cell r="J988">
            <v>0</v>
          </cell>
          <cell r="K988">
            <v>0</v>
          </cell>
          <cell r="L988">
            <v>0</v>
          </cell>
          <cell r="O988">
            <v>0</v>
          </cell>
          <cell r="P988">
            <v>0</v>
          </cell>
          <cell r="Q988" t="str">
            <v>15|30</v>
          </cell>
        </row>
        <row r="989">
          <cell r="E989" t="str">
            <v>6. TELECOMMUNICATIONS</v>
          </cell>
          <cell r="G989" t="str">
            <v>6. TELECOMMUNICATIONS</v>
          </cell>
          <cell r="H989">
            <v>0</v>
          </cell>
          <cell r="I989">
            <v>0</v>
          </cell>
          <cell r="J989">
            <v>0</v>
          </cell>
          <cell r="K989">
            <v>0</v>
          </cell>
          <cell r="L989">
            <v>0</v>
          </cell>
          <cell r="O989">
            <v>0</v>
          </cell>
          <cell r="P989">
            <v>0</v>
          </cell>
          <cell r="Q989" t="str">
            <v>15|31</v>
          </cell>
        </row>
        <row r="990">
          <cell r="E990" t="str">
            <v>6. TELECOMMUNICATIONS</v>
          </cell>
          <cell r="G990" t="str">
            <v>Room</v>
          </cell>
          <cell r="H990" t="str">
            <v>Rack Installed</v>
          </cell>
          <cell r="I990" t="str">
            <v>Ladder Tray</v>
          </cell>
          <cell r="J990" t="str">
            <v>Fiber Installed</v>
          </cell>
          <cell r="K990" t="str">
            <v>Grounding</v>
          </cell>
          <cell r="L990" t="str">
            <v>Labeling</v>
          </cell>
          <cell r="O990" t="str">
            <v>Overall</v>
          </cell>
          <cell r="P990" t="str">
            <v>Notes</v>
          </cell>
          <cell r="Q990" t="str">
            <v>15|32</v>
          </cell>
        </row>
        <row r="991">
          <cell r="E991" t="str">
            <v>6. TELECOMMUNICATIONS</v>
          </cell>
          <cell r="G991" t="str">
            <v>124A</v>
          </cell>
          <cell r="H991" t="str">
            <v>Verify</v>
          </cell>
          <cell r="I991" t="str">
            <v>Verify</v>
          </cell>
          <cell r="J991" t="str">
            <v>Verify</v>
          </cell>
          <cell r="K991" t="str">
            <v>Verify</v>
          </cell>
          <cell r="L991" t="str">
            <v>Verify</v>
          </cell>
          <cell r="O991" t="str">
            <v>Verify</v>
          </cell>
          <cell r="P991" t="str">
            <v>15T-701 identifies Room 109A schedule but field plan/electrical room callouts identify Telecom Room 124A; schedule has 62 WAO total, 76 active ports per survey, 101 total ports per schedule, and 111 total ports with 10% allowance. New Rack ID TR15-109A-01 serves basement, first and second level outlets.</v>
          </cell>
          <cell r="Q991" t="str">
            <v>15|33</v>
          </cell>
        </row>
        <row r="992">
          <cell r="E992" t="str">
            <v>6. TELECOMMUNICATIONS</v>
          </cell>
          <cell r="G992" t="str">
            <v>222</v>
          </cell>
          <cell r="H992" t="str">
            <v>Existing</v>
          </cell>
          <cell r="I992" t="str">
            <v>Existing</v>
          </cell>
          <cell r="J992" t="str">
            <v>Existing</v>
          </cell>
          <cell r="K992" t="str">
            <v>Verify</v>
          </cell>
          <cell r="L992" t="str">
            <v>Verify</v>
          </cell>
          <cell r="O992" t="str">
            <v>Verify</v>
          </cell>
          <cell r="P992" t="str">
            <v>Existing Room 222 equipment includes wall/wall-mounted TE, Cisco switches, legacy 48-port patch panels, ground bar, plywood backboard, security cabinet, and floor UPS; verify active services and transfer plan to Room 124A.</v>
          </cell>
          <cell r="Q992" t="str">
            <v>15|34</v>
          </cell>
        </row>
        <row r="993">
          <cell r="E993" t="str">
            <v>6. TELECOMMUNICATIONS</v>
          </cell>
          <cell r="G993" t="str">
            <v>B01</v>
          </cell>
          <cell r="H993" t="str">
            <v>Existing</v>
          </cell>
          <cell r="I993" t="str">
            <v>Existing</v>
          </cell>
          <cell r="J993" t="str">
            <v>Existing</v>
          </cell>
          <cell r="K993" t="str">
            <v>Verify</v>
          </cell>
          <cell r="L993" t="str">
            <v>Verify</v>
          </cell>
          <cell r="O993" t="str">
            <v>Verify</v>
          </cell>
          <cell r="P993" t="str">
            <v>Existing B-01 crossover includes legacy 24-port patch panel; verify active devices, routing, and relation to Room 222 and Room 124A.</v>
          </cell>
          <cell r="Q993" t="str">
            <v>15|35</v>
          </cell>
        </row>
        <row r="994">
          <cell r="E994" t="str">
            <v>6. TELECOMMUNICATIONS</v>
          </cell>
          <cell r="G994">
            <v>0</v>
          </cell>
          <cell r="H994">
            <v>0</v>
          </cell>
          <cell r="I994">
            <v>0</v>
          </cell>
          <cell r="J994">
            <v>0</v>
          </cell>
          <cell r="K994">
            <v>0</v>
          </cell>
          <cell r="L994">
            <v>0</v>
          </cell>
          <cell r="O994">
            <v>0</v>
          </cell>
          <cell r="P994">
            <v>0</v>
          </cell>
          <cell r="Q994" t="str">
            <v>15|36</v>
          </cell>
        </row>
        <row r="995">
          <cell r="E995" t="str">
            <v>7. SECURITY / PACS / CCTV</v>
          </cell>
          <cell r="G995" t="str">
            <v>7. SECURITY / PACS / CCTV</v>
          </cell>
          <cell r="H995">
            <v>0</v>
          </cell>
          <cell r="I995">
            <v>0</v>
          </cell>
          <cell r="J995">
            <v>0</v>
          </cell>
          <cell r="K995">
            <v>0</v>
          </cell>
          <cell r="L995">
            <v>0</v>
          </cell>
          <cell r="O995">
            <v>0</v>
          </cell>
          <cell r="P995">
            <v>0</v>
          </cell>
          <cell r="Q995" t="str">
            <v>15|37</v>
          </cell>
        </row>
        <row r="996">
          <cell r="E996" t="str">
            <v>7. SECURITY / PACS / CCTV</v>
          </cell>
          <cell r="G996" t="str">
            <v>Room</v>
          </cell>
          <cell r="H996" t="str">
            <v>PACS</v>
          </cell>
          <cell r="I996" t="str">
            <v>Card Reader</v>
          </cell>
          <cell r="J996" t="str">
            <v>Door Position</v>
          </cell>
          <cell r="K996" t="str">
            <v>Electric Strike</v>
          </cell>
          <cell r="L996" t="str">
            <v>CCTV</v>
          </cell>
          <cell r="O996" t="str">
            <v>Overall</v>
          </cell>
          <cell r="P996" t="str">
            <v>Notes</v>
          </cell>
          <cell r="Q996" t="str">
            <v>15|38</v>
          </cell>
        </row>
        <row r="997">
          <cell r="E997" t="str">
            <v>7. SECURITY / PACS / CCTV</v>
          </cell>
          <cell r="G997" t="str">
            <v>124A</v>
          </cell>
          <cell r="H997" t="str">
            <v>Verify</v>
          </cell>
          <cell r="I997" t="str">
            <v>Verify</v>
          </cell>
          <cell r="J997" t="str">
            <v>Verify</v>
          </cell>
          <cell r="K997" t="str">
            <v>Verify</v>
          </cell>
          <cell r="L997" t="str">
            <v>Verify</v>
          </cell>
          <cell r="O997" t="str">
            <v>Verify</v>
          </cell>
          <cell r="P997" t="str">
            <v>Telecom/electrical plans show 124A-CAM-1 and security/access-control scope for Room 124A; verify CR/RX/DC/ES/MD devices, controller, camera/VMS integration, and door hardware coordination.</v>
          </cell>
          <cell r="Q997" t="str">
            <v>15|39</v>
          </cell>
        </row>
        <row r="998">
          <cell r="E998" t="str">
            <v>7. SECURITY / PACS / CCTV</v>
          </cell>
          <cell r="G998" t="str">
            <v>222</v>
          </cell>
          <cell r="H998" t="str">
            <v>Verify</v>
          </cell>
          <cell r="I998" t="str">
            <v>Verify</v>
          </cell>
          <cell r="J998" t="str">
            <v>Verify</v>
          </cell>
          <cell r="K998" t="str">
            <v>Verify</v>
          </cell>
          <cell r="L998" t="str">
            <v>Verify</v>
          </cell>
          <cell r="O998" t="str">
            <v>Verify</v>
          </cell>
          <cell r="P998" t="str">
            <v>Existing security cabinet shown in Tel Room 222; verify whether security equipment remains, is relocated, or requires temporary protection during cutover.</v>
          </cell>
          <cell r="Q998" t="str">
            <v>15|40</v>
          </cell>
        </row>
        <row r="999">
          <cell r="E999" t="str">
            <v>7. SECURITY / PACS / CCTV</v>
          </cell>
          <cell r="G999" t="str">
            <v>B01</v>
          </cell>
          <cell r="H999" t="str">
            <v>Verify</v>
          </cell>
          <cell r="I999" t="str">
            <v>Verify</v>
          </cell>
          <cell r="J999" t="str">
            <v>Verify</v>
          </cell>
          <cell r="K999" t="str">
            <v>Verify</v>
          </cell>
          <cell r="L999" t="str">
            <v>Verify</v>
          </cell>
          <cell r="O999" t="str">
            <v>Verify</v>
          </cell>
          <cell r="P999" t="str">
            <v>Verify security/access conditions and whether any legacy security equipment is present.</v>
          </cell>
          <cell r="Q999" t="str">
            <v>15|41</v>
          </cell>
        </row>
        <row r="1000">
          <cell r="E1000" t="str">
            <v>7. SECURITY / PACS / CCTV</v>
          </cell>
          <cell r="G1000">
            <v>0</v>
          </cell>
          <cell r="H1000">
            <v>0</v>
          </cell>
          <cell r="I1000">
            <v>0</v>
          </cell>
          <cell r="J1000">
            <v>0</v>
          </cell>
          <cell r="K1000">
            <v>0</v>
          </cell>
          <cell r="L1000">
            <v>0</v>
          </cell>
          <cell r="O1000">
            <v>0</v>
          </cell>
          <cell r="P1000">
            <v>0</v>
          </cell>
          <cell r="Q1000" t="str">
            <v>15|42</v>
          </cell>
        </row>
        <row r="1001">
          <cell r="E1001" t="str">
            <v>8. OWNER RISKS</v>
          </cell>
          <cell r="G1001" t="str">
            <v>8. OWNER RISKS</v>
          </cell>
          <cell r="H1001">
            <v>0</v>
          </cell>
          <cell r="I1001">
            <v>0</v>
          </cell>
          <cell r="J1001">
            <v>0</v>
          </cell>
          <cell r="K1001">
            <v>0</v>
          </cell>
          <cell r="L1001">
            <v>0</v>
          </cell>
          <cell r="O1001">
            <v>0</v>
          </cell>
          <cell r="P1001">
            <v>0</v>
          </cell>
          <cell r="Q1001" t="str">
            <v>15|43</v>
          </cell>
        </row>
        <row r="1002">
          <cell r="E1002" t="str">
            <v>8. OWNER RISKS</v>
          </cell>
          <cell r="G1002" t="str">
            <v>Risk ID</v>
          </cell>
          <cell r="H1002" t="str">
            <v>Room</v>
          </cell>
          <cell r="I1002" t="str">
            <v>Risk</v>
          </cell>
          <cell r="J1002" t="str">
            <v>Impact</v>
          </cell>
          <cell r="K1002" t="str">
            <v>Probability</v>
          </cell>
          <cell r="L1002" t="str">
            <v>Score</v>
          </cell>
          <cell r="O1002" t="str">
            <v>Status</v>
          </cell>
          <cell r="P1002" t="str">
            <v>Notes</v>
          </cell>
          <cell r="Q1002" t="str">
            <v>15|44</v>
          </cell>
        </row>
        <row r="1003">
          <cell r="E1003" t="str">
            <v>8. OWNER RISKS</v>
          </cell>
          <cell r="G1003" t="str">
            <v>B15-R1</v>
          </cell>
          <cell r="H1003" t="str">
            <v>All</v>
          </cell>
          <cell r="I1003" t="str">
            <v>Existing conditions for Room 124A and existing telecom rooms 222/B01 not field verified</v>
          </cell>
          <cell r="J1003" t="str">
            <v>High</v>
          </cell>
          <cell r="K1003" t="str">
            <v>Medium</v>
          </cell>
          <cell r="L1003">
            <v>6</v>
          </cell>
          <cell r="O1003" t="str">
            <v>Open</v>
          </cell>
          <cell r="P1003" t="str">
            <v>B15 includes new TR plus existing second-level and basement telecom transition points.</v>
          </cell>
          <cell r="Q1003" t="str">
            <v>15|45</v>
          </cell>
        </row>
        <row r="1004">
          <cell r="E1004" t="str">
            <v>8. OWNER RISKS</v>
          </cell>
          <cell r="G1004" t="str">
            <v>B15-R2</v>
          </cell>
          <cell r="H1004" t="str">
            <v>124A</v>
          </cell>
          <cell r="I1004" t="str">
            <v>First-level hazardous material abatement plan exists</v>
          </cell>
          <cell r="J1004" t="str">
            <v>High</v>
          </cell>
          <cell r="K1004" t="str">
            <v>Medium</v>
          </cell>
          <cell r="L1004">
            <v>6</v>
          </cell>
          <cell r="O1004" t="str">
            <v>Open</v>
          </cell>
          <cell r="P1004" t="str">
            <v>Drawing index includes 15H-101 hazardous material abatement plan - first level; page 6 notes lead-based paint abatement through entire room/door frames.</v>
          </cell>
          <cell r="Q1004" t="str">
            <v>15|46</v>
          </cell>
        </row>
        <row r="1005">
          <cell r="E1005" t="str">
            <v>8. OWNER RISKS</v>
          </cell>
          <cell r="G1005" t="str">
            <v>B15-R3</v>
          </cell>
          <cell r="H1005" t="str">
            <v>222/B01</v>
          </cell>
          <cell r="I1005" t="str">
            <v>Existing telecom equipment may remain active during cutover</v>
          </cell>
          <cell r="J1005" t="str">
            <v>Critical</v>
          </cell>
          <cell r="K1005" t="str">
            <v>Medium</v>
          </cell>
          <cell r="L1005">
            <v>8</v>
          </cell>
          <cell r="O1005" t="str">
            <v>Open</v>
          </cell>
          <cell r="P1005" t="str">
            <v>Existing wall-mounted rack, Cisco switches, patch panels, security cabinet, ground bar and UPS shown.</v>
          </cell>
          <cell r="Q1005" t="str">
            <v>15|47</v>
          </cell>
        </row>
        <row r="1006">
          <cell r="E1006" t="str">
            <v>8. OWNER RISKS</v>
          </cell>
          <cell r="G1006" t="str">
            <v>B15-R4</v>
          </cell>
          <cell r="H1006" t="str">
            <v>124A</v>
          </cell>
          <cell r="I1006" t="str">
            <v>Dedicated cooling emergency power, condensate, BACnet and alarms not verified</v>
          </cell>
          <cell r="J1006" t="str">
            <v>Critical</v>
          </cell>
          <cell r="K1006" t="str">
            <v>Medium</v>
          </cell>
          <cell r="L1006">
            <v>8</v>
          </cell>
          <cell r="O1006" t="str">
            <v>Open</v>
          </cell>
          <cell r="P1006" t="str">
            <v>Cooling is central to TR readiness.</v>
          </cell>
          <cell r="Q1006" t="str">
            <v>15|48</v>
          </cell>
        </row>
        <row r="1007">
          <cell r="E1007" t="str">
            <v>8. OWNER RISKS</v>
          </cell>
          <cell r="G1007" t="str">
            <v>B15-R5</v>
          </cell>
          <cell r="H1007" t="str">
            <v>124A</v>
          </cell>
          <cell r="I1007" t="str">
            <v>240V UPS/PDU and panel source coordination could delay energization</v>
          </cell>
          <cell r="J1007" t="str">
            <v>High</v>
          </cell>
          <cell r="K1007" t="str">
            <v>Medium</v>
          </cell>
          <cell r="L1007">
            <v>6</v>
          </cell>
          <cell r="O1007" t="str">
            <v>Open</v>
          </cell>
          <cell r="P1007" t="str">
            <v>Panel and circuit references are concentrated at Room 124A.</v>
          </cell>
          <cell r="Q1007" t="str">
            <v>15|49</v>
          </cell>
        </row>
        <row r="1008">
          <cell r="E1008" t="str">
            <v>8. OWNER RISKS</v>
          </cell>
          <cell r="G1008" t="str">
            <v>B15-R6</v>
          </cell>
          <cell r="H1008" t="str">
            <v>124A</v>
          </cell>
          <cell r="I1008" t="str">
            <v>Rated wall/door/firestop scope may affect life-safety acceptance</v>
          </cell>
          <cell r="J1008" t="str">
            <v>High</v>
          </cell>
          <cell r="K1008" t="str">
            <v>Medium</v>
          </cell>
          <cell r="L1008">
            <v>6</v>
          </cell>
          <cell r="O1008" t="str">
            <v>Open</v>
          </cell>
          <cell r="P1008" t="str">
            <v>New TRs must be 1-hour fire/smoke rated.</v>
          </cell>
          <cell r="Q1008" t="str">
            <v>15|50</v>
          </cell>
        </row>
        <row r="1009">
          <cell r="E1009" t="str">
            <v>8. OWNER RISKS</v>
          </cell>
          <cell r="G1009" t="str">
            <v>B15-R7</v>
          </cell>
          <cell r="H1009" t="str">
            <v>All</v>
          </cell>
          <cell r="I1009" t="str">
            <v>Telecom/fiber cutover could affect active hospital communications across basement, first and second levels</v>
          </cell>
          <cell r="J1009" t="str">
            <v>Critical</v>
          </cell>
          <cell r="K1009" t="str">
            <v>Medium</v>
          </cell>
          <cell r="L1009">
            <v>8</v>
          </cell>
          <cell r="O1009" t="str">
            <v>Open</v>
          </cell>
          <cell r="P1009" t="str">
            <v>15T-701 shows Room 124A/109A serving 111 total ports including allowance.</v>
          </cell>
          <cell r="Q1009" t="str">
            <v>15|51</v>
          </cell>
        </row>
        <row r="1010">
          <cell r="E1010" t="str">
            <v>8. OWNER RISKS</v>
          </cell>
          <cell r="G1010" t="str">
            <v>B15-R8</v>
          </cell>
          <cell r="H1010" t="str">
            <v>All</v>
          </cell>
          <cell r="I1010" t="str">
            <v>Commissioning/third-party inspection reports may not be complete at turnover</v>
          </cell>
          <cell r="J1010" t="str">
            <v>High</v>
          </cell>
          <cell r="K1010" t="str">
            <v>Medium</v>
          </cell>
          <cell r="L1010">
            <v>6</v>
          </cell>
          <cell r="O1010" t="str">
            <v>Open</v>
          </cell>
          <cell r="P1010" t="str">
            <v>Required by cover/general notes.</v>
          </cell>
          <cell r="Q1010" t="str">
            <v>15|52</v>
          </cell>
        </row>
        <row r="1011">
          <cell r="E1011" t="str">
            <v>8. OWNER RISKS</v>
          </cell>
          <cell r="G1011">
            <v>0</v>
          </cell>
          <cell r="H1011">
            <v>0</v>
          </cell>
          <cell r="I1011">
            <v>0</v>
          </cell>
          <cell r="J1011">
            <v>0</v>
          </cell>
          <cell r="K1011">
            <v>0</v>
          </cell>
          <cell r="L1011">
            <v>0</v>
          </cell>
          <cell r="O1011">
            <v>0</v>
          </cell>
          <cell r="P1011">
            <v>0</v>
          </cell>
          <cell r="Q1011" t="str">
            <v>15|53</v>
          </cell>
        </row>
        <row r="1012">
          <cell r="E1012" t="str">
            <v>9. OPEN QUESTIONS</v>
          </cell>
          <cell r="G1012" t="str">
            <v>9. OPEN QUESTIONS</v>
          </cell>
          <cell r="H1012">
            <v>0</v>
          </cell>
          <cell r="I1012">
            <v>0</v>
          </cell>
          <cell r="J1012">
            <v>0</v>
          </cell>
          <cell r="K1012">
            <v>0</v>
          </cell>
          <cell r="L1012">
            <v>0</v>
          </cell>
          <cell r="O1012">
            <v>0</v>
          </cell>
          <cell r="P1012">
            <v>0</v>
          </cell>
          <cell r="Q1012" t="str">
            <v>15|54</v>
          </cell>
        </row>
        <row r="1013">
          <cell r="E1013" t="str">
            <v>9. OPEN QUESTIONS</v>
          </cell>
          <cell r="G1013" t="str">
            <v>Question ID</v>
          </cell>
          <cell r="H1013" t="str">
            <v>Question</v>
          </cell>
          <cell r="I1013" t="str">
            <v>Assigned To</v>
          </cell>
          <cell r="J1013" t="str">
            <v>Status</v>
          </cell>
          <cell r="K1013" t="str">
            <v>Needed By</v>
          </cell>
          <cell r="L1013" t="str">
            <v>Answer / Resolution</v>
          </cell>
          <cell r="O1013" t="str">
            <v>Date Closed</v>
          </cell>
          <cell r="P1013" t="str">
            <v>Notes</v>
          </cell>
          <cell r="Q1013" t="str">
            <v>15|55</v>
          </cell>
        </row>
        <row r="1014">
          <cell r="E1014" t="str">
            <v>9. OPEN QUESTIONS</v>
          </cell>
          <cell r="G1014" t="str">
            <v>B15-Q1</v>
          </cell>
          <cell r="H1014" t="str">
            <v>Confirm final telecom scope: new Room 124A and existing Rooms 222/B01 transition only?</v>
          </cell>
          <cell r="I1014" t="str">
            <v>VA / OIT / Designer</v>
          </cell>
          <cell r="J1014" t="str">
            <v>Open</v>
          </cell>
          <cell r="K1014">
            <v>0</v>
          </cell>
          <cell r="L1014">
            <v>0</v>
          </cell>
          <cell r="O1014">
            <v>0</v>
          </cell>
          <cell r="P1014">
            <v>0</v>
          </cell>
          <cell r="Q1014" t="str">
            <v>15|56</v>
          </cell>
        </row>
        <row r="1015">
          <cell r="E1015" t="str">
            <v>9. OPEN QUESTIONS</v>
          </cell>
          <cell r="G1015" t="str">
            <v>B15-Q2</v>
          </cell>
          <cell r="H1015" t="str">
            <v>Why does 15T-701 reference RM 109A while plans and electrical schedules identify Telecom Room 124A?</v>
          </cell>
          <cell r="I1015" t="str">
            <v>VA / Designer / OIT</v>
          </cell>
          <cell r="J1015" t="str">
            <v>Open</v>
          </cell>
          <cell r="K1015">
            <v>0</v>
          </cell>
          <cell r="L1015">
            <v>0</v>
          </cell>
          <cell r="O1015">
            <v>0</v>
          </cell>
          <cell r="P1015">
            <v>0</v>
          </cell>
          <cell r="Q1015" t="str">
            <v>15|57</v>
          </cell>
        </row>
        <row r="1016">
          <cell r="E1016" t="str">
            <v>9. OPEN QUESTIONS</v>
          </cell>
          <cell r="G1016" t="str">
            <v>B15-Q3</v>
          </cell>
          <cell r="H1016" t="str">
            <v>What active services are currently fed from existing Room 222 and B01 equipment?</v>
          </cell>
          <cell r="I1016" t="str">
            <v>OIT / Contractor</v>
          </cell>
          <cell r="J1016" t="str">
            <v>Open</v>
          </cell>
          <cell r="K1016">
            <v>0</v>
          </cell>
          <cell r="L1016">
            <v>0</v>
          </cell>
          <cell r="O1016">
            <v>0</v>
          </cell>
          <cell r="P1016">
            <v>0</v>
          </cell>
          <cell r="Q1016" t="str">
            <v>15|58</v>
          </cell>
        </row>
        <row r="1017">
          <cell r="E1017" t="str">
            <v>9. OPEN QUESTIONS</v>
          </cell>
          <cell r="G1017" t="str">
            <v>B15-Q4</v>
          </cell>
          <cell r="H1017" t="str">
            <v>What hazardous/abatement steps apply to first-level Room 124A work?</v>
          </cell>
          <cell r="I1017" t="str">
            <v>GC / IH / COR</v>
          </cell>
          <cell r="J1017" t="str">
            <v>Open</v>
          </cell>
          <cell r="K1017">
            <v>0</v>
          </cell>
          <cell r="L1017">
            <v>0</v>
          </cell>
          <cell r="O1017">
            <v>0</v>
          </cell>
          <cell r="P1017">
            <v>0</v>
          </cell>
          <cell r="Q1017" t="str">
            <v>15|59</v>
          </cell>
        </row>
        <row r="1018">
          <cell r="E1018" t="str">
            <v>9. OPEN QUESTIONS</v>
          </cell>
          <cell r="G1018" t="str">
            <v>B15-Q5</v>
          </cell>
          <cell r="H1018" t="str">
            <v>Is IU-1-01/CU-1-01 on emergency/backup power and dedicated to Room 124A?</v>
          </cell>
          <cell r="I1018" t="str">
            <v>Mechanical / Electrical / VA</v>
          </cell>
          <cell r="J1018" t="str">
            <v>Open</v>
          </cell>
          <cell r="K1018">
            <v>0</v>
          </cell>
          <cell r="L1018">
            <v>0</v>
          </cell>
          <cell r="O1018">
            <v>0</v>
          </cell>
          <cell r="P1018">
            <v>0</v>
          </cell>
          <cell r="Q1018" t="str">
            <v>15|60</v>
          </cell>
        </row>
        <row r="1019">
          <cell r="E1019" t="str">
            <v>9. OPEN QUESTIONS</v>
          </cell>
          <cell r="G1019" t="str">
            <v>B15-Q6</v>
          </cell>
          <cell r="H1019" t="str">
            <v>Where is the clean-agent/CO2 extinguisher cabinet located within 75 ft of Room 124A?</v>
          </cell>
          <cell r="I1019" t="str">
            <v>GC / COR</v>
          </cell>
          <cell r="J1019" t="str">
            <v>Open</v>
          </cell>
          <cell r="K1019">
            <v>0</v>
          </cell>
          <cell r="L1019">
            <v>0</v>
          </cell>
          <cell r="O1019">
            <v>0</v>
          </cell>
          <cell r="P1019">
            <v>0</v>
          </cell>
          <cell r="Q1019" t="str">
            <v>15|61</v>
          </cell>
        </row>
        <row r="1020">
          <cell r="E1020" t="str">
            <v>9. OPEN QUESTIONS</v>
          </cell>
          <cell r="G1020" t="str">
            <v>B15-Q7</v>
          </cell>
          <cell r="H1020" t="str">
            <v>Are B15-TR124AA/AB sources, rack receptacles, SPDs, circuit labels and load measurements approved?</v>
          </cell>
          <cell r="I1020" t="str">
            <v>Electrical / Designer</v>
          </cell>
          <cell r="J1020" t="str">
            <v>Open</v>
          </cell>
          <cell r="K1020">
            <v>0</v>
          </cell>
          <cell r="L1020">
            <v>0</v>
          </cell>
          <cell r="O1020">
            <v>0</v>
          </cell>
          <cell r="P1020">
            <v>0</v>
          </cell>
          <cell r="Q1020" t="str">
            <v>15|62</v>
          </cell>
        </row>
        <row r="1021">
          <cell r="E1021" t="str">
            <v>9. OPEN QUESTIONS</v>
          </cell>
          <cell r="G1021" t="str">
            <v>B15-Q8</v>
          </cell>
          <cell r="H1021" t="str">
            <v>Are all rated wall/floor penetrations, sleeves, cable tray entries and firestopping details identified?</v>
          </cell>
          <cell r="I1021" t="str">
            <v>GC / Firestop</v>
          </cell>
          <cell r="J1021" t="str">
            <v>Open</v>
          </cell>
          <cell r="K1021">
            <v>0</v>
          </cell>
          <cell r="L1021">
            <v>0</v>
          </cell>
          <cell r="O1021">
            <v>0</v>
          </cell>
          <cell r="P1021">
            <v>0</v>
          </cell>
          <cell r="Q1021" t="str">
            <v>15|63</v>
          </cell>
        </row>
        <row r="1022">
          <cell r="E1022" t="str">
            <v>9. OPEN QUESTIONS</v>
          </cell>
          <cell r="G1022">
            <v>0</v>
          </cell>
          <cell r="H1022">
            <v>0</v>
          </cell>
          <cell r="I1022">
            <v>0</v>
          </cell>
          <cell r="J1022">
            <v>0</v>
          </cell>
          <cell r="K1022">
            <v>0</v>
          </cell>
          <cell r="L1022">
            <v>0</v>
          </cell>
          <cell r="O1022">
            <v>0</v>
          </cell>
          <cell r="P1022">
            <v>0</v>
          </cell>
          <cell r="Q1022" t="str">
            <v>15|64</v>
          </cell>
        </row>
        <row r="1023">
          <cell r="E1023" t="str">
            <v>10. PHOTO LOG</v>
          </cell>
          <cell r="G1023" t="str">
            <v>10. PHOTO LOG</v>
          </cell>
          <cell r="H1023">
            <v>0</v>
          </cell>
          <cell r="I1023">
            <v>0</v>
          </cell>
          <cell r="J1023">
            <v>0</v>
          </cell>
          <cell r="K1023">
            <v>0</v>
          </cell>
          <cell r="L1023">
            <v>0</v>
          </cell>
          <cell r="O1023">
            <v>0</v>
          </cell>
          <cell r="P1023">
            <v>0</v>
          </cell>
          <cell r="Q1023" t="str">
            <v>15|65</v>
          </cell>
        </row>
        <row r="1024">
          <cell r="E1024" t="str">
            <v>10. PHOTO LOG</v>
          </cell>
          <cell r="G1024" t="str">
            <v>Photo ID</v>
          </cell>
          <cell r="H1024" t="str">
            <v>Room</v>
          </cell>
          <cell r="I1024" t="str">
            <v>Category</v>
          </cell>
          <cell r="J1024" t="str">
            <v>Description</v>
          </cell>
          <cell r="K1024" t="str">
            <v>Date</v>
          </cell>
          <cell r="L1024" t="str">
            <v>Taken By</v>
          </cell>
          <cell r="O1024" t="str">
            <v>Status</v>
          </cell>
          <cell r="P1024" t="str">
            <v>Notes</v>
          </cell>
          <cell r="Q1024" t="str">
            <v>15|66</v>
          </cell>
        </row>
        <row r="1025">
          <cell r="E1025" t="str">
            <v>10. PHOTO LOG</v>
          </cell>
          <cell r="G1025" t="str">
            <v>B15-P001</v>
          </cell>
          <cell r="H1025" t="str">
            <v>124A</v>
          </cell>
          <cell r="I1025" t="str">
            <v>Existing Condition</v>
          </cell>
          <cell r="J1025" t="str">
            <v>Room 124A walls, ceiling/deck, floor, door, adjacent Office 124/Office 109/HAC 123, rack location, pathways and penetrations</v>
          </cell>
          <cell r="K1025">
            <v>0</v>
          </cell>
          <cell r="L1025" t="str">
            <v>Paul</v>
          </cell>
          <cell r="O1025" t="str">
            <v>Open</v>
          </cell>
          <cell r="P1025">
            <v>0</v>
          </cell>
          <cell r="Q1025" t="str">
            <v>15|67</v>
          </cell>
        </row>
        <row r="1026">
          <cell r="E1026" t="str">
            <v>10. PHOTO LOG</v>
          </cell>
          <cell r="G1026" t="str">
            <v>B15-P002</v>
          </cell>
          <cell r="H1026" t="str">
            <v>222</v>
          </cell>
          <cell r="I1026" t="str">
            <v>Existing Condition</v>
          </cell>
          <cell r="J1026" t="str">
            <v>Existing Tel Room 222 wall rack, Cisco switches, legacy patch panels, indoor AC unit, security cabinet, ground bar, plywood backboard and floor UPS</v>
          </cell>
          <cell r="K1026">
            <v>0</v>
          </cell>
          <cell r="L1026" t="str">
            <v>Paul</v>
          </cell>
          <cell r="O1026" t="str">
            <v>Open</v>
          </cell>
          <cell r="P1026">
            <v>0</v>
          </cell>
          <cell r="Q1026" t="str">
            <v>15|68</v>
          </cell>
        </row>
        <row r="1027">
          <cell r="E1027" t="str">
            <v>10. PHOTO LOG</v>
          </cell>
          <cell r="G1027" t="str">
            <v>B15-P003</v>
          </cell>
          <cell r="H1027" t="str">
            <v>B01</v>
          </cell>
          <cell r="I1027" t="str">
            <v>Existing Condition</v>
          </cell>
          <cell r="J1027" t="str">
            <v>Existing basement telecom/crossover B01, legacy 24-port patch panel, pathway, power and protection-in-place needs</v>
          </cell>
          <cell r="K1027">
            <v>0</v>
          </cell>
          <cell r="L1027" t="str">
            <v>Paul</v>
          </cell>
          <cell r="O1027" t="str">
            <v>Open</v>
          </cell>
          <cell r="P1027">
            <v>0</v>
          </cell>
          <cell r="Q1027" t="str">
            <v>15|69</v>
          </cell>
        </row>
        <row r="1028">
          <cell r="E1028" t="str">
            <v>10. PHOTO LOG</v>
          </cell>
          <cell r="G1028" t="str">
            <v>B15-P004</v>
          </cell>
          <cell r="H1028" t="str">
            <v>124A</v>
          </cell>
          <cell r="I1028" t="str">
            <v>Hazardous Materials</v>
          </cell>
          <cell r="J1028" t="str">
            <v>First-level abatement-related materials, lead-based paint/door frames, flooring, walls, ceiling/penetrations, and disturbance areas</v>
          </cell>
          <cell r="K1028">
            <v>0</v>
          </cell>
          <cell r="L1028" t="str">
            <v>Paul</v>
          </cell>
          <cell r="O1028" t="str">
            <v>Open</v>
          </cell>
          <cell r="P1028">
            <v>0</v>
          </cell>
          <cell r="Q1028" t="str">
            <v>15|70</v>
          </cell>
        </row>
        <row r="1029">
          <cell r="E1029" t="str">
            <v>10. PHOTO LOG</v>
          </cell>
          <cell r="G1029" t="str">
            <v>B15-P005</v>
          </cell>
          <cell r="H1029" t="str">
            <v>124A</v>
          </cell>
          <cell r="I1029" t="str">
            <v>Firestop</v>
          </cell>
          <cell r="J1029" t="str">
            <v>All wall/floor/sleeve/tray penetrations before and after firestop</v>
          </cell>
          <cell r="K1029">
            <v>0</v>
          </cell>
          <cell r="L1029" t="str">
            <v>Paul</v>
          </cell>
          <cell r="O1029" t="str">
            <v>Open</v>
          </cell>
          <cell r="P1029">
            <v>0</v>
          </cell>
          <cell r="Q1029" t="str">
            <v>15|71</v>
          </cell>
        </row>
        <row r="1030">
          <cell r="E1030" t="str">
            <v>10. PHOTO LOG</v>
          </cell>
          <cell r="G1030" t="str">
            <v>B15-P006</v>
          </cell>
          <cell r="H1030" t="str">
            <v>124A</v>
          </cell>
          <cell r="I1030" t="str">
            <v>HVAC</v>
          </cell>
          <cell r="J1030" t="str">
            <v>IU-1-01/CU-1-01, condensate, thermostat, BACnet adapter, disconnects, high-temp alarm and power source</v>
          </cell>
          <cell r="K1030">
            <v>0</v>
          </cell>
          <cell r="L1030" t="str">
            <v>Paul</v>
          </cell>
          <cell r="O1030" t="str">
            <v>Open</v>
          </cell>
          <cell r="P1030">
            <v>0</v>
          </cell>
          <cell r="Q1030" t="str">
            <v>15|72</v>
          </cell>
        </row>
        <row r="1031">
          <cell r="E1031" t="str">
            <v>10. PHOTO LOG</v>
          </cell>
          <cell r="G1031" t="str">
            <v>B15-P007</v>
          </cell>
          <cell r="H1031" t="str">
            <v>124A</v>
          </cell>
          <cell r="I1031" t="str">
            <v>Electrical</v>
          </cell>
          <cell r="J1031" t="str">
            <v>B15-TR124AA/AB panels, rack receptacles, breakers, SPD, access controller, lighting, CU-1-01 and labels</v>
          </cell>
          <cell r="K1031">
            <v>0</v>
          </cell>
          <cell r="L1031" t="str">
            <v>Paul</v>
          </cell>
          <cell r="O1031" t="str">
            <v>Open</v>
          </cell>
          <cell r="P1031">
            <v>0</v>
          </cell>
          <cell r="Q1031" t="str">
            <v>15|73</v>
          </cell>
        </row>
        <row r="1032">
          <cell r="E1032" t="str">
            <v>10. PHOTO LOG</v>
          </cell>
          <cell r="G1032" t="str">
            <v>B15-P008</v>
          </cell>
          <cell r="H1032" t="str">
            <v>124A/222/B01</v>
          </cell>
          <cell r="I1032" t="str">
            <v>Telecom/Security</v>
          </cell>
          <cell r="J1032" t="str">
            <v>New rack/future rack, fiber path A/B, Cat6A, patch panels, LIU, labels/test records, 124A-CAM-1 and existing 222/B01 transfer work</v>
          </cell>
          <cell r="K1032">
            <v>0</v>
          </cell>
          <cell r="L1032" t="str">
            <v>Paul</v>
          </cell>
          <cell r="O1032" t="str">
            <v>Open</v>
          </cell>
          <cell r="P1032">
            <v>0</v>
          </cell>
          <cell r="Q1032" t="str">
            <v>15|74</v>
          </cell>
        </row>
        <row r="1033">
          <cell r="E1033" t="str">
            <v>10. PHOTO LOG</v>
          </cell>
          <cell r="G1033">
            <v>0</v>
          </cell>
          <cell r="H1033">
            <v>0</v>
          </cell>
          <cell r="I1033">
            <v>0</v>
          </cell>
          <cell r="J1033">
            <v>0</v>
          </cell>
          <cell r="K1033">
            <v>0</v>
          </cell>
          <cell r="L1033">
            <v>0</v>
          </cell>
          <cell r="O1033">
            <v>0</v>
          </cell>
          <cell r="P1033">
            <v>0</v>
          </cell>
          <cell r="Q1033" t="str">
            <v>15|75</v>
          </cell>
        </row>
        <row r="1034">
          <cell r="E1034" t="str">
            <v>1. ROOM INVENTORY</v>
          </cell>
          <cell r="G1034" t="str">
            <v>1. ROOM INVENTORY</v>
          </cell>
          <cell r="H1034">
            <v>0</v>
          </cell>
          <cell r="I1034">
            <v>0</v>
          </cell>
          <cell r="J1034">
            <v>0</v>
          </cell>
          <cell r="K1034">
            <v>0</v>
          </cell>
          <cell r="L1034">
            <v>0</v>
          </cell>
          <cell r="O1034">
            <v>0</v>
          </cell>
          <cell r="P1034">
            <v>0</v>
          </cell>
          <cell r="Q1034" t="str">
            <v>16|1</v>
          </cell>
        </row>
        <row r="1035">
          <cell r="E1035" t="str">
            <v>1. ROOM INVENTORY</v>
          </cell>
          <cell r="G1035" t="str">
            <v>Building</v>
          </cell>
          <cell r="H1035" t="str">
            <v>Room</v>
          </cell>
          <cell r="I1035" t="str">
            <v>Floor</v>
          </cell>
          <cell r="J1035" t="str">
            <v>Existing Use</v>
          </cell>
          <cell r="K1035" t="str">
            <v>New Use</v>
          </cell>
          <cell r="L1035" t="str">
            <v>Rack Count</v>
          </cell>
          <cell r="O1035" t="str">
            <v>Drawing Ref</v>
          </cell>
          <cell r="P1035" t="str">
            <v>Notes</v>
          </cell>
          <cell r="Q1035" t="str">
            <v>16|2</v>
          </cell>
        </row>
        <row r="1036">
          <cell r="E1036" t="str">
            <v>1. ROOM INVENTORY</v>
          </cell>
          <cell r="G1036" t="str">
            <v>16</v>
          </cell>
          <cell r="H1036" t="str">
            <v>015</v>
          </cell>
          <cell r="I1036" t="str">
            <v>Basement</v>
          </cell>
          <cell r="J1036" t="str">
            <v>Vacant / new telecom room build area</v>
          </cell>
          <cell r="K1036" t="str">
            <v>Telecom Room</v>
          </cell>
          <cell r="L1036">
            <v>1</v>
          </cell>
          <cell r="O1036" t="str">
            <v>16A-400 / 16E-100 / 16T-100 / 16T-604 / 16T-701</v>
          </cell>
          <cell r="P1036" t="str">
            <v>Primary Building 16 TR. Plans identify Telecom Room 015 at 79 SF, served by Rack ID TR01-015-A-1, panels B16-TR015A/B, 240V UPS/PDU rack power, IU-1-01/CU-1-01 cooling, 96 feet total cable tray, and future rack allowance.</v>
          </cell>
          <cell r="Q1036" t="str">
            <v>16|3</v>
          </cell>
        </row>
        <row r="1037">
          <cell r="E1037" t="str">
            <v>1. ROOM INVENTORY</v>
          </cell>
          <cell r="G1037" t="str">
            <v>16</v>
          </cell>
          <cell r="H1037" t="str">
            <v>014</v>
          </cell>
          <cell r="I1037" t="str">
            <v>Basement</v>
          </cell>
          <cell r="J1037" t="str">
            <v>Existing telecom room / stair-adjacent legacy equipment area</v>
          </cell>
          <cell r="K1037" t="str">
            <v>Existing telecom transition point</v>
          </cell>
          <cell r="L1037">
            <v>1</v>
          </cell>
          <cell r="O1037" t="str">
            <v>16T-100 / 16T-604 / 16R-900</v>
          </cell>
          <cell r="P1037" t="str">
            <v>Existing basement Telecom Room 014 shown with wall-mounted rack, plywood backboard, patch panel, security cabinet, telco patch, existing floor-mounted UPS, Cisco switch, legacy 12-port modular patch panel and Fiber LIU/wall; protect active services and verify transfer to Room 015.</v>
          </cell>
          <cell r="Q1037" t="str">
            <v>16|4</v>
          </cell>
        </row>
        <row r="1038">
          <cell r="E1038" t="str">
            <v>1. ROOM INVENTORY</v>
          </cell>
          <cell r="G1038">
            <v>0</v>
          </cell>
          <cell r="H1038">
            <v>0</v>
          </cell>
          <cell r="I1038">
            <v>0</v>
          </cell>
          <cell r="J1038">
            <v>0</v>
          </cell>
          <cell r="K1038">
            <v>0</v>
          </cell>
          <cell r="L1038">
            <v>0</v>
          </cell>
          <cell r="O1038">
            <v>0</v>
          </cell>
          <cell r="P1038">
            <v>0</v>
          </cell>
          <cell r="Q1038" t="str">
            <v>16|5</v>
          </cell>
        </row>
        <row r="1039">
          <cell r="E1039" t="str">
            <v>2. ROOM READINESS</v>
          </cell>
          <cell r="G1039" t="str">
            <v>2. ROOM READINESS</v>
          </cell>
          <cell r="H1039">
            <v>0</v>
          </cell>
          <cell r="I1039">
            <v>0</v>
          </cell>
          <cell r="J1039">
            <v>0</v>
          </cell>
          <cell r="K1039">
            <v>0</v>
          </cell>
          <cell r="L1039">
            <v>0</v>
          </cell>
          <cell r="O1039">
            <v>0</v>
          </cell>
          <cell r="P1039">
            <v>0</v>
          </cell>
          <cell r="Q1039" t="str">
            <v>16|6</v>
          </cell>
        </row>
        <row r="1040">
          <cell r="E1040" t="str">
            <v>2. ROOM READINESS</v>
          </cell>
          <cell r="G1040" t="str">
            <v>Room</v>
          </cell>
          <cell r="H1040" t="str">
            <v>Walls / 1-hr Rating</v>
          </cell>
          <cell r="I1040" t="str">
            <v>Ceiling</v>
          </cell>
          <cell r="J1040" t="str">
            <v>Floor / SDC</v>
          </cell>
          <cell r="K1040" t="str">
            <v>Penetrations</v>
          </cell>
          <cell r="L1040" t="str">
            <v>Access Control</v>
          </cell>
          <cell r="O1040" t="str">
            <v>Overall</v>
          </cell>
          <cell r="P1040" t="str">
            <v>Comments</v>
          </cell>
          <cell r="Q1040" t="str">
            <v>16|7</v>
          </cell>
        </row>
        <row r="1041">
          <cell r="E1041" t="str">
            <v>2. ROOM READINESS</v>
          </cell>
          <cell r="G1041" t="str">
            <v>015</v>
          </cell>
          <cell r="H1041" t="str">
            <v>Verify</v>
          </cell>
          <cell r="I1041" t="str">
            <v>Verify</v>
          </cell>
          <cell r="J1041" t="str">
            <v>Verify</v>
          </cell>
          <cell r="K1041" t="str">
            <v>Verify</v>
          </cell>
          <cell r="L1041" t="str">
            <v>Verify</v>
          </cell>
          <cell r="O1041" t="str">
            <v>Verify</v>
          </cell>
          <cell r="P1041" t="str">
            <v>Basement TR; verify 1-hour fire/smoke-rated enclosure, open-to-deck conditions, door hardware/access control, static-control floor sealer, rack/future rack clearances, wall backing, and pathway entry points.</v>
          </cell>
          <cell r="Q1041" t="str">
            <v>16|8</v>
          </cell>
        </row>
        <row r="1042">
          <cell r="E1042" t="str">
            <v>2. ROOM READINESS</v>
          </cell>
          <cell r="G1042" t="str">
            <v>014</v>
          </cell>
          <cell r="H1042" t="str">
            <v>Existing / Verify</v>
          </cell>
          <cell r="I1042" t="str">
            <v>Existing / Verify</v>
          </cell>
          <cell r="J1042" t="str">
            <v>Existing / Verify</v>
          </cell>
          <cell r="K1042" t="str">
            <v>Verify</v>
          </cell>
          <cell r="L1042" t="str">
            <v>Verify</v>
          </cell>
          <cell r="O1042" t="str">
            <v>Verify</v>
          </cell>
          <cell r="P1042" t="str">
            <v>Existing basement telecom room; verify active equipment status, pathway, rack/UPS/backboard, security cabinet, and transition/abandonment scope.</v>
          </cell>
          <cell r="Q1042" t="str">
            <v>16|9</v>
          </cell>
        </row>
        <row r="1043">
          <cell r="E1043" t="str">
            <v>2. ROOM READINESS</v>
          </cell>
          <cell r="G1043">
            <v>0</v>
          </cell>
          <cell r="H1043">
            <v>0</v>
          </cell>
          <cell r="I1043">
            <v>0</v>
          </cell>
          <cell r="J1043">
            <v>0</v>
          </cell>
          <cell r="K1043">
            <v>0</v>
          </cell>
          <cell r="L1043">
            <v>0</v>
          </cell>
          <cell r="O1043">
            <v>0</v>
          </cell>
          <cell r="P1043">
            <v>0</v>
          </cell>
          <cell r="Q1043" t="str">
            <v>16|10</v>
          </cell>
        </row>
        <row r="1044">
          <cell r="E1044" t="str">
            <v>3. FIRE PROTECTION</v>
          </cell>
          <cell r="G1044" t="str">
            <v>3. FIRE PROTECTION</v>
          </cell>
          <cell r="H1044">
            <v>0</v>
          </cell>
          <cell r="I1044">
            <v>0</v>
          </cell>
          <cell r="J1044">
            <v>0</v>
          </cell>
          <cell r="K1044">
            <v>0</v>
          </cell>
          <cell r="L1044">
            <v>0</v>
          </cell>
          <cell r="O1044">
            <v>0</v>
          </cell>
          <cell r="P1044">
            <v>0</v>
          </cell>
          <cell r="Q1044" t="str">
            <v>16|11</v>
          </cell>
        </row>
        <row r="1045">
          <cell r="E1045" t="str">
            <v>3. FIRE PROTECTION</v>
          </cell>
          <cell r="G1045" t="str">
            <v>Room</v>
          </cell>
          <cell r="H1045" t="str">
            <v>Sprinkler</v>
          </cell>
          <cell r="I1045" t="str">
            <v>Cage</v>
          </cell>
          <cell r="J1045" t="str">
            <v>Detector</v>
          </cell>
          <cell r="K1045" t="str">
            <v>Horn/Strobe</v>
          </cell>
          <cell r="L1045" t="str">
            <v>Extinguisher &lt;75 ft</v>
          </cell>
          <cell r="O1045" t="str">
            <v>Overall</v>
          </cell>
          <cell r="P1045" t="str">
            <v>Risk / Notes</v>
          </cell>
          <cell r="Q1045" t="str">
            <v>16|12</v>
          </cell>
        </row>
        <row r="1046">
          <cell r="E1046" t="str">
            <v>3. FIRE PROTECTION</v>
          </cell>
          <cell r="G1046" t="str">
            <v>015</v>
          </cell>
          <cell r="H1046" t="str">
            <v>Verify</v>
          </cell>
          <cell r="I1046" t="str">
            <v>Verify</v>
          </cell>
          <cell r="J1046" t="str">
            <v>Verify</v>
          </cell>
          <cell r="K1046" t="str">
            <v>Verify</v>
          </cell>
          <cell r="L1046" t="str">
            <v>Verify</v>
          </cell>
          <cell r="O1046" t="str">
            <v>Verify</v>
          </cell>
          <cell r="P1046" t="str">
            <v>Fully sprinklered building; confirm sprinkler/fire alarm modifications, clean-agent 2A:10B:C extinguisher within 75 ft, rated wall/ceiling/floor penetrations, and temporary firestopping during cable pulls.</v>
          </cell>
          <cell r="Q1046" t="str">
            <v>16|13</v>
          </cell>
        </row>
        <row r="1047">
          <cell r="E1047" t="str">
            <v>3. FIRE PROTECTION</v>
          </cell>
          <cell r="G1047" t="str">
            <v>014</v>
          </cell>
          <cell r="H1047" t="str">
            <v>Verify</v>
          </cell>
          <cell r="I1047" t="str">
            <v>N/A</v>
          </cell>
          <cell r="J1047" t="str">
            <v>Verify</v>
          </cell>
          <cell r="K1047" t="str">
            <v>Verify</v>
          </cell>
          <cell r="L1047" t="str">
            <v>Verify</v>
          </cell>
          <cell r="O1047" t="str">
            <v>Verify</v>
          </cell>
          <cell r="P1047" t="str">
            <v>Existing telecom room; verify fire alarm/sprinkler protection-in-place and seal any removed/reused penetration after cutover.</v>
          </cell>
          <cell r="Q1047" t="str">
            <v>16|14</v>
          </cell>
        </row>
        <row r="1048">
          <cell r="E1048" t="str">
            <v>3. FIRE PROTECTION</v>
          </cell>
          <cell r="G1048">
            <v>0</v>
          </cell>
          <cell r="H1048">
            <v>0</v>
          </cell>
          <cell r="I1048">
            <v>0</v>
          </cell>
          <cell r="J1048">
            <v>0</v>
          </cell>
          <cell r="K1048">
            <v>0</v>
          </cell>
          <cell r="L1048">
            <v>0</v>
          </cell>
          <cell r="O1048">
            <v>0</v>
          </cell>
          <cell r="P1048">
            <v>0</v>
          </cell>
          <cell r="Q1048" t="str">
            <v>16|15</v>
          </cell>
        </row>
        <row r="1049">
          <cell r="E1049" t="str">
            <v>4. HVAC / COOLING</v>
          </cell>
          <cell r="G1049" t="str">
            <v>4. HVAC / COOLING</v>
          </cell>
          <cell r="H1049">
            <v>0</v>
          </cell>
          <cell r="I1049">
            <v>0</v>
          </cell>
          <cell r="J1049">
            <v>0</v>
          </cell>
          <cell r="K1049">
            <v>0</v>
          </cell>
          <cell r="L1049">
            <v>0</v>
          </cell>
          <cell r="O1049">
            <v>0</v>
          </cell>
          <cell r="P1049">
            <v>0</v>
          </cell>
          <cell r="Q1049" t="str">
            <v>16|16</v>
          </cell>
        </row>
        <row r="1050">
          <cell r="E1050" t="str">
            <v>4. HVAC / COOLING</v>
          </cell>
          <cell r="G1050" t="str">
            <v>Room</v>
          </cell>
          <cell r="H1050" t="str">
            <v>Dedicated Unit</v>
          </cell>
          <cell r="I1050" t="str">
            <v>Capacity Verified</v>
          </cell>
          <cell r="J1050" t="str">
            <v>Emergency Power</v>
          </cell>
          <cell r="K1050" t="str">
            <v>Controls / BACnet</v>
          </cell>
          <cell r="L1050" t="str">
            <v>Condensate Routed</v>
          </cell>
          <cell r="O1050" t="str">
            <v>Overall</v>
          </cell>
          <cell r="P1050" t="str">
            <v>Risk / Notes</v>
          </cell>
          <cell r="Q1050" t="str">
            <v>16|17</v>
          </cell>
        </row>
        <row r="1051">
          <cell r="E1051" t="str">
            <v>4. HVAC / COOLING</v>
          </cell>
          <cell r="G1051" t="str">
            <v>015</v>
          </cell>
          <cell r="H1051" t="str">
            <v>IU-1-01 / CU-1-01</v>
          </cell>
          <cell r="I1051" t="str">
            <v>Verify</v>
          </cell>
          <cell r="J1051" t="str">
            <v>Verify</v>
          </cell>
          <cell r="K1051" t="str">
            <v>Verify</v>
          </cell>
          <cell r="L1051" t="str">
            <v>Verify</v>
          </cell>
          <cell r="O1051" t="str">
            <v>Verify</v>
          </cell>
          <cell r="P1051" t="str">
            <v>Mechanical/electrical drawings show IU-1-01 in Telecom Room 015 and CU-1-01 outdoor unit. Confirm capacity, emergency/standby source, BACnet adapter, thermostat/control point, condensate path, disconnects, and high-temperature alarm.</v>
          </cell>
          <cell r="Q1051" t="str">
            <v>16|18</v>
          </cell>
        </row>
        <row r="1052">
          <cell r="E1052" t="str">
            <v>4. HVAC / COOLING</v>
          </cell>
          <cell r="G1052" t="str">
            <v>014</v>
          </cell>
          <cell r="H1052" t="str">
            <v>Existing / Verify</v>
          </cell>
          <cell r="I1052" t="str">
            <v>Verify</v>
          </cell>
          <cell r="J1052" t="str">
            <v>Verify</v>
          </cell>
          <cell r="K1052" t="str">
            <v>Verify</v>
          </cell>
          <cell r="L1052" t="str">
            <v>Verify</v>
          </cell>
          <cell r="O1052" t="str">
            <v>Verify</v>
          </cell>
          <cell r="P1052" t="str">
            <v>Existing Telecom Room 014; verify existing environmental conditions during cutover and whether legacy equipment remains active.</v>
          </cell>
          <cell r="Q1052" t="str">
            <v>16|19</v>
          </cell>
        </row>
        <row r="1053">
          <cell r="E1053" t="str">
            <v>4. HVAC / COOLING</v>
          </cell>
          <cell r="G1053">
            <v>0</v>
          </cell>
          <cell r="H1053">
            <v>0</v>
          </cell>
          <cell r="I1053">
            <v>0</v>
          </cell>
          <cell r="J1053">
            <v>0</v>
          </cell>
          <cell r="K1053">
            <v>0</v>
          </cell>
          <cell r="L1053">
            <v>0</v>
          </cell>
          <cell r="O1053">
            <v>0</v>
          </cell>
          <cell r="P1053">
            <v>0</v>
          </cell>
          <cell r="Q1053" t="str">
            <v>16|20</v>
          </cell>
        </row>
        <row r="1054">
          <cell r="E1054" t="str">
            <v>5. ELECTRICAL / UPS</v>
          </cell>
          <cell r="G1054" t="str">
            <v>5. ELECTRICAL / UPS</v>
          </cell>
          <cell r="H1054">
            <v>0</v>
          </cell>
          <cell r="I1054">
            <v>0</v>
          </cell>
          <cell r="J1054">
            <v>0</v>
          </cell>
          <cell r="K1054">
            <v>0</v>
          </cell>
          <cell r="L1054">
            <v>0</v>
          </cell>
          <cell r="O1054">
            <v>0</v>
          </cell>
          <cell r="P1054">
            <v>0</v>
          </cell>
          <cell r="Q1054" t="str">
            <v>16|21</v>
          </cell>
        </row>
        <row r="1055">
          <cell r="E1055" t="str">
            <v>5. ELECTRICAL / UPS</v>
          </cell>
          <cell r="G1055" t="str">
            <v>Room</v>
          </cell>
          <cell r="H1055" t="str">
            <v>UPS Installed</v>
          </cell>
          <cell r="I1055" t="str">
            <v>UPS Size</v>
          </cell>
          <cell r="J1055" t="str">
            <v>PDU Installed</v>
          </cell>
          <cell r="K1055" t="str">
            <v>Rack Receptacles</v>
          </cell>
          <cell r="L1055" t="str">
            <v>Panel Assigned</v>
          </cell>
          <cell r="O1055" t="str">
            <v>Overall</v>
          </cell>
          <cell r="P1055" t="str">
            <v>Notes</v>
          </cell>
          <cell r="Q1055" t="str">
            <v>16|22</v>
          </cell>
        </row>
        <row r="1056">
          <cell r="E1056" t="str">
            <v>5. ELECTRICAL / UPS</v>
          </cell>
          <cell r="G1056" t="str">
            <v>015</v>
          </cell>
          <cell r="H1056" t="str">
            <v>Verify</v>
          </cell>
          <cell r="I1056" t="str">
            <v>5 kW / 240V rack UPS</v>
          </cell>
          <cell r="J1056" t="str">
            <v>Verify</v>
          </cell>
          <cell r="K1056" t="str">
            <v>Verify</v>
          </cell>
          <cell r="L1056" t="str">
            <v>B16-TR015A / B16-TR015B</v>
          </cell>
          <cell r="O1056" t="str">
            <v>Verify</v>
          </cell>
          <cell r="P1056" t="str">
            <v>Electrical plans/schedules identify B16-TR015A/B, 240V rack UPS requirements, rack receptacles, TR receptacles, lighting, access controller, CU-1-01, SPD requirements, existing panel demolition/replacement, and 30-day load measurement requirements.</v>
          </cell>
          <cell r="Q1056" t="str">
            <v>16|23</v>
          </cell>
        </row>
        <row r="1057">
          <cell r="E1057" t="str">
            <v>5. ELECTRICAL / UPS</v>
          </cell>
          <cell r="G1057" t="str">
            <v>014</v>
          </cell>
          <cell r="H1057" t="str">
            <v>Existing</v>
          </cell>
          <cell r="I1057" t="str">
            <v>Existing floor UPS</v>
          </cell>
          <cell r="J1057" t="str">
            <v>Existing</v>
          </cell>
          <cell r="K1057" t="str">
            <v>Verify</v>
          </cell>
          <cell r="L1057" t="str">
            <v>Existing / Verify</v>
          </cell>
          <cell r="O1057" t="str">
            <v>Verify</v>
          </cell>
          <cell r="P1057" t="str">
            <v>Existing rack/equipment area; verify power source, active equipment, UPS status, and transition requirements before disconnect or removal.</v>
          </cell>
          <cell r="Q1057" t="str">
            <v>16|24</v>
          </cell>
        </row>
        <row r="1058">
          <cell r="E1058" t="str">
            <v>5. ELECTRICAL / UPS</v>
          </cell>
          <cell r="G1058">
            <v>0</v>
          </cell>
          <cell r="H1058">
            <v>0</v>
          </cell>
          <cell r="I1058">
            <v>0</v>
          </cell>
          <cell r="J1058">
            <v>0</v>
          </cell>
          <cell r="K1058">
            <v>0</v>
          </cell>
          <cell r="L1058">
            <v>0</v>
          </cell>
          <cell r="O1058">
            <v>0</v>
          </cell>
          <cell r="P1058">
            <v>0</v>
          </cell>
          <cell r="Q1058" t="str">
            <v>16|25</v>
          </cell>
        </row>
        <row r="1059">
          <cell r="E1059" t="str">
            <v>6. TELECOMMUNICATIONS</v>
          </cell>
          <cell r="G1059" t="str">
            <v>6. TELECOMMUNICATIONS</v>
          </cell>
          <cell r="H1059">
            <v>0</v>
          </cell>
          <cell r="I1059">
            <v>0</v>
          </cell>
          <cell r="J1059">
            <v>0</v>
          </cell>
          <cell r="K1059">
            <v>0</v>
          </cell>
          <cell r="L1059">
            <v>0</v>
          </cell>
          <cell r="O1059">
            <v>0</v>
          </cell>
          <cell r="P1059">
            <v>0</v>
          </cell>
          <cell r="Q1059" t="str">
            <v>16|26</v>
          </cell>
        </row>
        <row r="1060">
          <cell r="E1060" t="str">
            <v>6. TELECOMMUNICATIONS</v>
          </cell>
          <cell r="G1060" t="str">
            <v>Room</v>
          </cell>
          <cell r="H1060" t="str">
            <v>Rack Installed</v>
          </cell>
          <cell r="I1060" t="str">
            <v>Ladder Tray</v>
          </cell>
          <cell r="J1060" t="str">
            <v>Fiber Installed</v>
          </cell>
          <cell r="K1060" t="str">
            <v>Grounding</v>
          </cell>
          <cell r="L1060" t="str">
            <v>Labeling</v>
          </cell>
          <cell r="O1060" t="str">
            <v>Overall</v>
          </cell>
          <cell r="P1060" t="str">
            <v>Notes</v>
          </cell>
          <cell r="Q1060" t="str">
            <v>16|27</v>
          </cell>
        </row>
        <row r="1061">
          <cell r="E1061" t="str">
            <v>6. TELECOMMUNICATIONS</v>
          </cell>
          <cell r="G1061" t="str">
            <v>015</v>
          </cell>
          <cell r="H1061" t="str">
            <v>Verify</v>
          </cell>
          <cell r="I1061" t="str">
            <v>Verify</v>
          </cell>
          <cell r="J1061" t="str">
            <v>Verify</v>
          </cell>
          <cell r="K1061" t="str">
            <v>Verify</v>
          </cell>
          <cell r="L1061" t="str">
            <v>Verify</v>
          </cell>
          <cell r="O1061" t="str">
            <v>Verify</v>
          </cell>
          <cell r="P1061" t="str">
            <v>16T-701 identifies Room 015-A schedule: 25 WAO total, 25 active ports per survey, 36 total ports per schedule, and 40 total ports with 10% allowance. New Rack ID TR01-015-A-1 serves basement, first, second and attic level outlets.</v>
          </cell>
          <cell r="Q1061" t="str">
            <v>16|28</v>
          </cell>
        </row>
        <row r="1062">
          <cell r="E1062" t="str">
            <v>6. TELECOMMUNICATIONS</v>
          </cell>
          <cell r="G1062" t="str">
            <v>014</v>
          </cell>
          <cell r="H1062" t="str">
            <v>Existing</v>
          </cell>
          <cell r="I1062" t="str">
            <v>Existing</v>
          </cell>
          <cell r="J1062" t="str">
            <v>Existing</v>
          </cell>
          <cell r="K1062" t="str">
            <v>Verify</v>
          </cell>
          <cell r="L1062" t="str">
            <v>Verify</v>
          </cell>
          <cell r="O1062" t="str">
            <v>Verify</v>
          </cell>
          <cell r="P1062" t="str">
            <v>Existing Room 014 equipment includes wall/TE rack, floor-mounted UPS, Cisco switch, legacy 12-port modular patch panel and Fiber LIU; verify active services and transfer plan to Room 015.</v>
          </cell>
          <cell r="Q1062" t="str">
            <v>16|29</v>
          </cell>
        </row>
        <row r="1063">
          <cell r="E1063" t="str">
            <v>6. TELECOMMUNICATIONS</v>
          </cell>
          <cell r="G1063">
            <v>0</v>
          </cell>
          <cell r="H1063">
            <v>0</v>
          </cell>
          <cell r="I1063">
            <v>0</v>
          </cell>
          <cell r="J1063">
            <v>0</v>
          </cell>
          <cell r="K1063">
            <v>0</v>
          </cell>
          <cell r="L1063">
            <v>0</v>
          </cell>
          <cell r="O1063">
            <v>0</v>
          </cell>
          <cell r="P1063">
            <v>0</v>
          </cell>
          <cell r="Q1063" t="str">
            <v>16|30</v>
          </cell>
        </row>
        <row r="1064">
          <cell r="E1064" t="str">
            <v>7. SECURITY / PACS / CCTV</v>
          </cell>
          <cell r="G1064" t="str">
            <v>7. SECURITY / PACS / CCTV</v>
          </cell>
          <cell r="H1064">
            <v>0</v>
          </cell>
          <cell r="I1064">
            <v>0</v>
          </cell>
          <cell r="J1064">
            <v>0</v>
          </cell>
          <cell r="K1064">
            <v>0</v>
          </cell>
          <cell r="L1064">
            <v>0</v>
          </cell>
          <cell r="O1064">
            <v>0</v>
          </cell>
          <cell r="P1064">
            <v>0</v>
          </cell>
          <cell r="Q1064" t="str">
            <v>16|31</v>
          </cell>
        </row>
        <row r="1065">
          <cell r="E1065" t="str">
            <v>7. SECURITY / PACS / CCTV</v>
          </cell>
          <cell r="G1065" t="str">
            <v>Room</v>
          </cell>
          <cell r="H1065" t="str">
            <v>PACS</v>
          </cell>
          <cell r="I1065" t="str">
            <v>Card Reader</v>
          </cell>
          <cell r="J1065" t="str">
            <v>Door Position</v>
          </cell>
          <cell r="K1065" t="str">
            <v>Electric Strike</v>
          </cell>
          <cell r="L1065" t="str">
            <v>CCTV</v>
          </cell>
          <cell r="O1065" t="str">
            <v>Overall</v>
          </cell>
          <cell r="P1065" t="str">
            <v>Notes</v>
          </cell>
          <cell r="Q1065" t="str">
            <v>16|32</v>
          </cell>
        </row>
        <row r="1066">
          <cell r="E1066" t="str">
            <v>7. SECURITY / PACS / CCTV</v>
          </cell>
          <cell r="G1066" t="str">
            <v>015</v>
          </cell>
          <cell r="H1066" t="str">
            <v>Verify</v>
          </cell>
          <cell r="I1066" t="str">
            <v>Verify</v>
          </cell>
          <cell r="J1066" t="str">
            <v>Verify</v>
          </cell>
          <cell r="K1066" t="str">
            <v>Verify</v>
          </cell>
          <cell r="L1066" t="str">
            <v>Verify</v>
          </cell>
          <cell r="O1066" t="str">
            <v>Verify</v>
          </cell>
          <cell r="P1066" t="str">
            <v>Telecom/electrical plans show 015-CAM-1 and security/access-control scope for Room 015; verify CR/RX/DC/ES/MD devices, controller, camera/VMS integration, and door hardware coordination.</v>
          </cell>
          <cell r="Q1066" t="str">
            <v>16|33</v>
          </cell>
        </row>
        <row r="1067">
          <cell r="E1067" t="str">
            <v>7. SECURITY / PACS / CCTV</v>
          </cell>
          <cell r="G1067" t="str">
            <v>014</v>
          </cell>
          <cell r="H1067" t="str">
            <v>Verify</v>
          </cell>
          <cell r="I1067" t="str">
            <v>Verify</v>
          </cell>
          <cell r="J1067" t="str">
            <v>Verify</v>
          </cell>
          <cell r="K1067" t="str">
            <v>Verify</v>
          </cell>
          <cell r="L1067" t="str">
            <v>Verify</v>
          </cell>
          <cell r="O1067" t="str">
            <v>Verify</v>
          </cell>
          <cell r="P1067" t="str">
            <v>Existing security cabinet shown in Room 014; verify whether security equipment remains, is relocated, or requires temporary protection during cutover.</v>
          </cell>
          <cell r="Q1067" t="str">
            <v>16|34</v>
          </cell>
        </row>
        <row r="1068">
          <cell r="E1068" t="str">
            <v>7. SECURITY / PACS / CCTV</v>
          </cell>
          <cell r="G1068">
            <v>0</v>
          </cell>
          <cell r="H1068">
            <v>0</v>
          </cell>
          <cell r="I1068">
            <v>0</v>
          </cell>
          <cell r="J1068">
            <v>0</v>
          </cell>
          <cell r="K1068">
            <v>0</v>
          </cell>
          <cell r="L1068">
            <v>0</v>
          </cell>
          <cell r="O1068">
            <v>0</v>
          </cell>
          <cell r="P1068">
            <v>0</v>
          </cell>
          <cell r="Q1068" t="str">
            <v>16|35</v>
          </cell>
        </row>
        <row r="1069">
          <cell r="E1069" t="str">
            <v>8. OWNER RISKS</v>
          </cell>
          <cell r="G1069" t="str">
            <v>8. OWNER RISKS</v>
          </cell>
          <cell r="H1069">
            <v>0</v>
          </cell>
          <cell r="I1069">
            <v>0</v>
          </cell>
          <cell r="J1069">
            <v>0</v>
          </cell>
          <cell r="K1069">
            <v>0</v>
          </cell>
          <cell r="L1069">
            <v>0</v>
          </cell>
          <cell r="O1069">
            <v>0</v>
          </cell>
          <cell r="P1069">
            <v>0</v>
          </cell>
          <cell r="Q1069" t="str">
            <v>16|36</v>
          </cell>
        </row>
        <row r="1070">
          <cell r="E1070" t="str">
            <v>8. OWNER RISKS</v>
          </cell>
          <cell r="G1070" t="str">
            <v>Risk ID</v>
          </cell>
          <cell r="H1070" t="str">
            <v>Room</v>
          </cell>
          <cell r="I1070" t="str">
            <v>Risk</v>
          </cell>
          <cell r="J1070" t="str">
            <v>Impact</v>
          </cell>
          <cell r="K1070" t="str">
            <v>Probability</v>
          </cell>
          <cell r="L1070" t="str">
            <v>Score</v>
          </cell>
          <cell r="O1070" t="str">
            <v>Status</v>
          </cell>
          <cell r="P1070" t="str">
            <v>Notes</v>
          </cell>
          <cell r="Q1070" t="str">
            <v>16|37</v>
          </cell>
        </row>
        <row r="1071">
          <cell r="E1071" t="str">
            <v>8. OWNER RISKS</v>
          </cell>
          <cell r="G1071" t="str">
            <v>B16-R1</v>
          </cell>
          <cell r="H1071" t="str">
            <v>All</v>
          </cell>
          <cell r="I1071" t="str">
            <v>Existing conditions for Room 015 and existing Telecom Room 014 not field verified</v>
          </cell>
          <cell r="J1071" t="str">
            <v>High</v>
          </cell>
          <cell r="K1071" t="str">
            <v>Medium</v>
          </cell>
          <cell r="L1071">
            <v>6</v>
          </cell>
          <cell r="O1071" t="str">
            <v>Open</v>
          </cell>
          <cell r="P1071" t="str">
            <v>B16 includes new basement TR plus existing basement telecom transition point.</v>
          </cell>
          <cell r="Q1071" t="str">
            <v>16|38</v>
          </cell>
        </row>
        <row r="1072">
          <cell r="E1072" t="str">
            <v>8. OWNER RISKS</v>
          </cell>
          <cell r="G1072" t="str">
            <v>B16-R2</v>
          </cell>
          <cell r="H1072" t="str">
            <v>014</v>
          </cell>
          <cell r="I1072" t="str">
            <v>Existing telecom equipment may remain active during cutover</v>
          </cell>
          <cell r="J1072" t="str">
            <v>Critical</v>
          </cell>
          <cell r="K1072" t="str">
            <v>Medium</v>
          </cell>
          <cell r="L1072">
            <v>8</v>
          </cell>
          <cell r="O1072" t="str">
            <v>Open</v>
          </cell>
          <cell r="P1072" t="str">
            <v>Existing wall-mounted rack, Cisco switch, legacy patch panel, security cabinet and UPS shown.</v>
          </cell>
          <cell r="Q1072" t="str">
            <v>16|39</v>
          </cell>
        </row>
        <row r="1073">
          <cell r="E1073" t="str">
            <v>8. OWNER RISKS</v>
          </cell>
          <cell r="G1073" t="str">
            <v>B16-R3</v>
          </cell>
          <cell r="H1073" t="str">
            <v>015</v>
          </cell>
          <cell r="I1073" t="str">
            <v>Basement TR buildout may conflict with existing utilities, water heater/stair/storage conditions and pathway routing</v>
          </cell>
          <cell r="J1073" t="str">
            <v>High</v>
          </cell>
          <cell r="K1073" t="str">
            <v>Medium</v>
          </cell>
          <cell r="L1073">
            <v>6</v>
          </cell>
          <cell r="O1073" t="str">
            <v>Open</v>
          </cell>
          <cell r="P1073" t="str">
            <v>Room 015 is basement level and adjacent to existing utilities/rooms.</v>
          </cell>
          <cell r="Q1073" t="str">
            <v>16|40</v>
          </cell>
        </row>
        <row r="1074">
          <cell r="E1074" t="str">
            <v>8. OWNER RISKS</v>
          </cell>
          <cell r="G1074" t="str">
            <v>B16-R4</v>
          </cell>
          <cell r="H1074" t="str">
            <v>015</v>
          </cell>
          <cell r="I1074" t="str">
            <v>Dedicated cooling emergency power, condensate, BACnet and alarms not verified</v>
          </cell>
          <cell r="J1074" t="str">
            <v>Critical</v>
          </cell>
          <cell r="K1074" t="str">
            <v>Medium</v>
          </cell>
          <cell r="L1074">
            <v>8</v>
          </cell>
          <cell r="O1074" t="str">
            <v>Open</v>
          </cell>
          <cell r="P1074" t="str">
            <v>Cooling is central to TR readiness.</v>
          </cell>
          <cell r="Q1074" t="str">
            <v>16|41</v>
          </cell>
        </row>
        <row r="1075">
          <cell r="E1075" t="str">
            <v>8. OWNER RISKS</v>
          </cell>
          <cell r="G1075" t="str">
            <v>B16-R5</v>
          </cell>
          <cell r="H1075" t="str">
            <v>015</v>
          </cell>
          <cell r="I1075" t="str">
            <v>240V UPS/PDU and panel source coordination could delay energization</v>
          </cell>
          <cell r="J1075" t="str">
            <v>High</v>
          </cell>
          <cell r="K1075" t="str">
            <v>Medium</v>
          </cell>
          <cell r="L1075">
            <v>6</v>
          </cell>
          <cell r="O1075" t="str">
            <v>Open</v>
          </cell>
          <cell r="P1075" t="str">
            <v>Panel schedule includes existing panel replacement/demolition and 30-day load measurement requirements.</v>
          </cell>
          <cell r="Q1075" t="str">
            <v>16|42</v>
          </cell>
        </row>
        <row r="1076">
          <cell r="E1076" t="str">
            <v>8. OWNER RISKS</v>
          </cell>
          <cell r="G1076" t="str">
            <v>B16-R6</v>
          </cell>
          <cell r="H1076" t="str">
            <v>015</v>
          </cell>
          <cell r="I1076" t="str">
            <v>Rated wall/door/firestop scope may affect life-safety acceptance</v>
          </cell>
          <cell r="J1076" t="str">
            <v>High</v>
          </cell>
          <cell r="K1076" t="str">
            <v>Medium</v>
          </cell>
          <cell r="L1076">
            <v>6</v>
          </cell>
          <cell r="O1076" t="str">
            <v>Open</v>
          </cell>
          <cell r="P1076" t="str">
            <v>New TRs must be 1-hour fire/smoke rated.</v>
          </cell>
          <cell r="Q1076" t="str">
            <v>16|43</v>
          </cell>
        </row>
        <row r="1077">
          <cell r="E1077" t="str">
            <v>8. OWNER RISKS</v>
          </cell>
          <cell r="G1077" t="str">
            <v>B16-R7</v>
          </cell>
          <cell r="H1077" t="str">
            <v>All</v>
          </cell>
          <cell r="I1077" t="str">
            <v>Telecom/fiber cutover could affect active hospital communications across basement, first, second and attic levels</v>
          </cell>
          <cell r="J1077" t="str">
            <v>Critical</v>
          </cell>
          <cell r="K1077" t="str">
            <v>Medium</v>
          </cell>
          <cell r="L1077">
            <v>8</v>
          </cell>
          <cell r="O1077" t="str">
            <v>Open</v>
          </cell>
          <cell r="P1077" t="str">
            <v>16T-701 shows Room 015 serving 40 total ports including allowance.</v>
          </cell>
          <cell r="Q1077" t="str">
            <v>16|44</v>
          </cell>
        </row>
        <row r="1078">
          <cell r="E1078" t="str">
            <v>8. OWNER RISKS</v>
          </cell>
          <cell r="G1078" t="str">
            <v>B16-R8</v>
          </cell>
          <cell r="H1078" t="str">
            <v>All</v>
          </cell>
          <cell r="I1078" t="str">
            <v>Commissioning/third-party inspection reports may not be complete at turnover</v>
          </cell>
          <cell r="J1078" t="str">
            <v>High</v>
          </cell>
          <cell r="K1078" t="str">
            <v>Medium</v>
          </cell>
          <cell r="L1078">
            <v>6</v>
          </cell>
          <cell r="O1078" t="str">
            <v>Open</v>
          </cell>
          <cell r="P1078" t="str">
            <v>Required by cover/general notes.</v>
          </cell>
          <cell r="Q1078" t="str">
            <v>16|45</v>
          </cell>
        </row>
        <row r="1079">
          <cell r="E1079" t="str">
            <v>8. OWNER RISKS</v>
          </cell>
          <cell r="G1079">
            <v>0</v>
          </cell>
          <cell r="H1079">
            <v>0</v>
          </cell>
          <cell r="I1079">
            <v>0</v>
          </cell>
          <cell r="J1079">
            <v>0</v>
          </cell>
          <cell r="K1079">
            <v>0</v>
          </cell>
          <cell r="L1079">
            <v>0</v>
          </cell>
          <cell r="O1079">
            <v>0</v>
          </cell>
          <cell r="P1079">
            <v>0</v>
          </cell>
          <cell r="Q1079" t="str">
            <v>16|46</v>
          </cell>
        </row>
        <row r="1080">
          <cell r="E1080" t="str">
            <v>9. OPEN QUESTIONS</v>
          </cell>
          <cell r="G1080" t="str">
            <v>9. OPEN QUESTIONS</v>
          </cell>
          <cell r="H1080">
            <v>0</v>
          </cell>
          <cell r="I1080">
            <v>0</v>
          </cell>
          <cell r="J1080">
            <v>0</v>
          </cell>
          <cell r="K1080">
            <v>0</v>
          </cell>
          <cell r="L1080">
            <v>0</v>
          </cell>
          <cell r="O1080">
            <v>0</v>
          </cell>
          <cell r="P1080">
            <v>0</v>
          </cell>
          <cell r="Q1080" t="str">
            <v>16|47</v>
          </cell>
        </row>
        <row r="1081">
          <cell r="E1081" t="str">
            <v>9. OPEN QUESTIONS</v>
          </cell>
          <cell r="G1081" t="str">
            <v>Question ID</v>
          </cell>
          <cell r="H1081" t="str">
            <v>Question</v>
          </cell>
          <cell r="I1081" t="str">
            <v>Assigned To</v>
          </cell>
          <cell r="J1081" t="str">
            <v>Status</v>
          </cell>
          <cell r="K1081" t="str">
            <v>Needed By</v>
          </cell>
          <cell r="L1081" t="str">
            <v>Answer / Resolution</v>
          </cell>
          <cell r="O1081" t="str">
            <v>Date Closed</v>
          </cell>
          <cell r="P1081" t="str">
            <v>Notes</v>
          </cell>
          <cell r="Q1081" t="str">
            <v>16|48</v>
          </cell>
        </row>
        <row r="1082">
          <cell r="E1082" t="str">
            <v>9. OPEN QUESTIONS</v>
          </cell>
          <cell r="G1082" t="str">
            <v>B16-Q1</v>
          </cell>
          <cell r="H1082" t="str">
            <v>Confirm final telecom scope: new Room 015 and existing Room 014 transition only?</v>
          </cell>
          <cell r="I1082" t="str">
            <v>VA / OIT / Designer</v>
          </cell>
          <cell r="J1082" t="str">
            <v>Open</v>
          </cell>
          <cell r="K1082">
            <v>0</v>
          </cell>
          <cell r="L1082">
            <v>0</v>
          </cell>
          <cell r="O1082">
            <v>0</v>
          </cell>
          <cell r="P1082">
            <v>0</v>
          </cell>
          <cell r="Q1082" t="str">
            <v>16|49</v>
          </cell>
        </row>
        <row r="1083">
          <cell r="E1083" t="str">
            <v>9. OPEN QUESTIONS</v>
          </cell>
          <cell r="G1083" t="str">
            <v>B16-Q2</v>
          </cell>
          <cell r="H1083" t="str">
            <v>What active services are currently fed from existing Room 014 equipment?</v>
          </cell>
          <cell r="I1083" t="str">
            <v>OIT / Contractor</v>
          </cell>
          <cell r="J1083" t="str">
            <v>Open</v>
          </cell>
          <cell r="K1083">
            <v>0</v>
          </cell>
          <cell r="L1083">
            <v>0</v>
          </cell>
          <cell r="O1083">
            <v>0</v>
          </cell>
          <cell r="P1083">
            <v>0</v>
          </cell>
          <cell r="Q1083" t="str">
            <v>16|50</v>
          </cell>
        </row>
        <row r="1084">
          <cell r="E1084" t="str">
            <v>9. OPEN QUESTIONS</v>
          </cell>
          <cell r="G1084" t="str">
            <v>B16-Q3</v>
          </cell>
          <cell r="H1084" t="str">
            <v>Is IU-1-01/CU-1-01 on emergency/backup power and dedicated to Room 015?</v>
          </cell>
          <cell r="I1084" t="str">
            <v>Mechanical / Electrical / VA</v>
          </cell>
          <cell r="J1084" t="str">
            <v>Open</v>
          </cell>
          <cell r="K1084">
            <v>0</v>
          </cell>
          <cell r="L1084">
            <v>0</v>
          </cell>
          <cell r="O1084">
            <v>0</v>
          </cell>
          <cell r="P1084">
            <v>0</v>
          </cell>
          <cell r="Q1084" t="str">
            <v>16|51</v>
          </cell>
        </row>
        <row r="1085">
          <cell r="E1085" t="str">
            <v>9. OPEN QUESTIONS</v>
          </cell>
          <cell r="G1085" t="str">
            <v>B16-Q4</v>
          </cell>
          <cell r="H1085" t="str">
            <v>Where is the clean-agent/CO2 extinguisher cabinet located within 75 ft of Room 015?</v>
          </cell>
          <cell r="I1085" t="str">
            <v>GC / COR</v>
          </cell>
          <cell r="J1085" t="str">
            <v>Open</v>
          </cell>
          <cell r="K1085">
            <v>0</v>
          </cell>
          <cell r="L1085">
            <v>0</v>
          </cell>
          <cell r="O1085">
            <v>0</v>
          </cell>
          <cell r="P1085">
            <v>0</v>
          </cell>
          <cell r="Q1085" t="str">
            <v>16|52</v>
          </cell>
        </row>
        <row r="1086">
          <cell r="E1086" t="str">
            <v>9. OPEN QUESTIONS</v>
          </cell>
          <cell r="G1086" t="str">
            <v>B16-Q5</v>
          </cell>
          <cell r="H1086" t="str">
            <v>Are B16-TR015A/B sources, rack receptacles, SPDs, circuit labels and load measurements approved?</v>
          </cell>
          <cell r="I1086" t="str">
            <v>Electrical / Designer</v>
          </cell>
          <cell r="J1086" t="str">
            <v>Open</v>
          </cell>
          <cell r="K1086">
            <v>0</v>
          </cell>
          <cell r="L1086">
            <v>0</v>
          </cell>
          <cell r="O1086">
            <v>0</v>
          </cell>
          <cell r="P1086">
            <v>0</v>
          </cell>
          <cell r="Q1086" t="str">
            <v>16|53</v>
          </cell>
        </row>
        <row r="1087">
          <cell r="E1087" t="str">
            <v>9. OPEN QUESTIONS</v>
          </cell>
          <cell r="G1087" t="str">
            <v>B16-Q6</v>
          </cell>
          <cell r="H1087" t="str">
            <v>Which existing panel/circuit breaker/feeder demolition and replacement affects Room 015 telecom power?</v>
          </cell>
          <cell r="I1087" t="str">
            <v>Electrical / GCC</v>
          </cell>
          <cell r="J1087" t="str">
            <v>Open</v>
          </cell>
          <cell r="K1087">
            <v>0</v>
          </cell>
          <cell r="L1087">
            <v>0</v>
          </cell>
          <cell r="O1087">
            <v>0</v>
          </cell>
          <cell r="P1087">
            <v>0</v>
          </cell>
          <cell r="Q1087" t="str">
            <v>16|54</v>
          </cell>
        </row>
        <row r="1088">
          <cell r="E1088" t="str">
            <v>9. OPEN QUESTIONS</v>
          </cell>
          <cell r="G1088" t="str">
            <v>B16-Q7</v>
          </cell>
          <cell r="H1088" t="str">
            <v>Are all rated wall/floor penetrations, sleeves, cable tray entries and firestopping details identified?</v>
          </cell>
          <cell r="I1088" t="str">
            <v>GC / Firestop</v>
          </cell>
          <cell r="J1088" t="str">
            <v>Open</v>
          </cell>
          <cell r="K1088">
            <v>0</v>
          </cell>
          <cell r="L1088">
            <v>0</v>
          </cell>
          <cell r="O1088">
            <v>0</v>
          </cell>
          <cell r="P1088">
            <v>0</v>
          </cell>
          <cell r="Q1088" t="str">
            <v>16|55</v>
          </cell>
        </row>
        <row r="1089">
          <cell r="E1089" t="str">
            <v>9. OPEN QUESTIONS</v>
          </cell>
          <cell r="G1089" t="str">
            <v>B16-Q8</v>
          </cell>
          <cell r="H1089" t="str">
            <v>Which third-party inspections and commissioning forms are required before VA acceptance?</v>
          </cell>
          <cell r="I1089" t="str">
            <v>GC / Cx Manager</v>
          </cell>
          <cell r="J1089" t="str">
            <v>Open</v>
          </cell>
          <cell r="K1089">
            <v>0</v>
          </cell>
          <cell r="L1089">
            <v>0</v>
          </cell>
          <cell r="O1089">
            <v>0</v>
          </cell>
          <cell r="P1089">
            <v>0</v>
          </cell>
          <cell r="Q1089" t="str">
            <v>16|56</v>
          </cell>
        </row>
        <row r="1090">
          <cell r="E1090" t="str">
            <v>9. OPEN QUESTIONS</v>
          </cell>
          <cell r="G1090">
            <v>0</v>
          </cell>
          <cell r="H1090">
            <v>0</v>
          </cell>
          <cell r="I1090">
            <v>0</v>
          </cell>
          <cell r="J1090">
            <v>0</v>
          </cell>
          <cell r="K1090">
            <v>0</v>
          </cell>
          <cell r="L1090">
            <v>0</v>
          </cell>
          <cell r="O1090">
            <v>0</v>
          </cell>
          <cell r="P1090">
            <v>0</v>
          </cell>
          <cell r="Q1090" t="str">
            <v>16|57</v>
          </cell>
        </row>
        <row r="1091">
          <cell r="E1091" t="str">
            <v>10. PHOTO LOG</v>
          </cell>
          <cell r="G1091" t="str">
            <v>10. PHOTO LOG</v>
          </cell>
          <cell r="H1091">
            <v>0</v>
          </cell>
          <cell r="I1091">
            <v>0</v>
          </cell>
          <cell r="J1091">
            <v>0</v>
          </cell>
          <cell r="K1091">
            <v>0</v>
          </cell>
          <cell r="L1091">
            <v>0</v>
          </cell>
          <cell r="O1091">
            <v>0</v>
          </cell>
          <cell r="P1091">
            <v>0</v>
          </cell>
          <cell r="Q1091" t="str">
            <v>16|58</v>
          </cell>
        </row>
        <row r="1092">
          <cell r="E1092" t="str">
            <v>10. PHOTO LOG</v>
          </cell>
          <cell r="G1092" t="str">
            <v>Photo ID</v>
          </cell>
          <cell r="H1092" t="str">
            <v>Room</v>
          </cell>
          <cell r="I1092" t="str">
            <v>Category</v>
          </cell>
          <cell r="J1092" t="str">
            <v>Description</v>
          </cell>
          <cell r="K1092" t="str">
            <v>Date</v>
          </cell>
          <cell r="L1092" t="str">
            <v>Taken By</v>
          </cell>
          <cell r="O1092" t="str">
            <v>Status</v>
          </cell>
          <cell r="P1092" t="str">
            <v>Notes</v>
          </cell>
          <cell r="Q1092" t="str">
            <v>16|59</v>
          </cell>
        </row>
        <row r="1093">
          <cell r="E1093" t="str">
            <v>10. PHOTO LOG</v>
          </cell>
          <cell r="G1093" t="str">
            <v>B16-P001</v>
          </cell>
          <cell r="H1093" t="str">
            <v>015</v>
          </cell>
          <cell r="I1093" t="str">
            <v>Existing Condition</v>
          </cell>
          <cell r="J1093" t="str">
            <v>Room 015 walls, ceiling/deck, floor, door, adjacent Vacant 011/012/013, Stair 014, Water Heater 010, rack location, pathways and penetrations</v>
          </cell>
          <cell r="K1093">
            <v>0</v>
          </cell>
          <cell r="L1093" t="str">
            <v>Paul</v>
          </cell>
          <cell r="O1093" t="str">
            <v>Open</v>
          </cell>
          <cell r="P1093">
            <v>0</v>
          </cell>
          <cell r="Q1093" t="str">
            <v>16|60</v>
          </cell>
        </row>
        <row r="1094">
          <cell r="E1094" t="str">
            <v>10. PHOTO LOG</v>
          </cell>
          <cell r="G1094" t="str">
            <v>B16-P002</v>
          </cell>
          <cell r="H1094" t="str">
            <v>014</v>
          </cell>
          <cell r="I1094" t="str">
            <v>Existing Condition</v>
          </cell>
          <cell r="J1094" t="str">
            <v>Existing Telecom Room 014 wall rack/TE, Cisco switch, legacy 12-port patch panel, Fiber LIU, floor UPS, plywood backboard and security cabinet</v>
          </cell>
          <cell r="K1094">
            <v>0</v>
          </cell>
          <cell r="L1094" t="str">
            <v>Paul</v>
          </cell>
          <cell r="O1094" t="str">
            <v>Open</v>
          </cell>
          <cell r="P1094">
            <v>0</v>
          </cell>
          <cell r="Q1094" t="str">
            <v>16|61</v>
          </cell>
        </row>
        <row r="1095">
          <cell r="E1095" t="str">
            <v>10. PHOTO LOG</v>
          </cell>
          <cell r="G1095" t="str">
            <v>B16-P003</v>
          </cell>
          <cell r="H1095" t="str">
            <v>015</v>
          </cell>
          <cell r="I1095" t="str">
            <v>Firestop</v>
          </cell>
          <cell r="J1095" t="str">
            <v>All wall/floor/sleeve/tray penetrations before and after firestop</v>
          </cell>
          <cell r="K1095">
            <v>0</v>
          </cell>
          <cell r="L1095" t="str">
            <v>Paul</v>
          </cell>
          <cell r="O1095" t="str">
            <v>Open</v>
          </cell>
          <cell r="P1095">
            <v>0</v>
          </cell>
          <cell r="Q1095" t="str">
            <v>16|62</v>
          </cell>
        </row>
        <row r="1096">
          <cell r="E1096" t="str">
            <v>10. PHOTO LOG</v>
          </cell>
          <cell r="G1096" t="str">
            <v>B16-P004</v>
          </cell>
          <cell r="H1096" t="str">
            <v>015</v>
          </cell>
          <cell r="I1096" t="str">
            <v>HVAC</v>
          </cell>
          <cell r="J1096" t="str">
            <v>IU-1-01/CU-1-01, condensate, thermostat, BACnet adapter, disconnects, high-temp alarm and power source</v>
          </cell>
          <cell r="K1096">
            <v>0</v>
          </cell>
          <cell r="L1096" t="str">
            <v>Paul</v>
          </cell>
          <cell r="O1096" t="str">
            <v>Open</v>
          </cell>
          <cell r="P1096">
            <v>0</v>
          </cell>
          <cell r="Q1096" t="str">
            <v>16|63</v>
          </cell>
        </row>
        <row r="1097">
          <cell r="E1097" t="str">
            <v>10. PHOTO LOG</v>
          </cell>
          <cell r="G1097" t="str">
            <v>B16-P005</v>
          </cell>
          <cell r="H1097" t="str">
            <v>015</v>
          </cell>
          <cell r="I1097" t="str">
            <v>Electrical</v>
          </cell>
          <cell r="J1097" t="str">
            <v>B16-TR015A/B panels, rack receptacles, breakers, SPD, access controller, lighting, CU-1-01 and labels</v>
          </cell>
          <cell r="K1097">
            <v>0</v>
          </cell>
          <cell r="L1097" t="str">
            <v>Paul</v>
          </cell>
          <cell r="O1097" t="str">
            <v>Open</v>
          </cell>
          <cell r="P1097">
            <v>0</v>
          </cell>
          <cell r="Q1097" t="str">
            <v>16|64</v>
          </cell>
        </row>
        <row r="1098">
          <cell r="E1098" t="str">
            <v>10. PHOTO LOG</v>
          </cell>
          <cell r="G1098" t="str">
            <v>B16-P006</v>
          </cell>
          <cell r="H1098" t="str">
            <v>015/014</v>
          </cell>
          <cell r="I1098" t="str">
            <v>Telecom</v>
          </cell>
          <cell r="J1098" t="str">
            <v>New rack/future rack, fiber path A/B, Cat6A, patch panels, LIU, labels/test records and existing Room 014 transfer work</v>
          </cell>
          <cell r="K1098">
            <v>0</v>
          </cell>
          <cell r="L1098" t="str">
            <v>Paul</v>
          </cell>
          <cell r="O1098" t="str">
            <v>Open</v>
          </cell>
          <cell r="P1098">
            <v>0</v>
          </cell>
          <cell r="Q1098" t="str">
            <v>16|65</v>
          </cell>
        </row>
        <row r="1099">
          <cell r="E1099" t="str">
            <v>10. PHOTO LOG</v>
          </cell>
          <cell r="G1099" t="str">
            <v>B16-P007</v>
          </cell>
          <cell r="H1099" t="str">
            <v>015/014</v>
          </cell>
          <cell r="I1099" t="str">
            <v>Security</v>
          </cell>
          <cell r="J1099" t="str">
            <v>015-CAM-1, card reader, electric strike, door position, motion sensor, existing security cabinet and VMS/PACS integration</v>
          </cell>
          <cell r="K1099">
            <v>0</v>
          </cell>
          <cell r="L1099" t="str">
            <v>Paul</v>
          </cell>
          <cell r="O1099" t="str">
            <v>Open</v>
          </cell>
          <cell r="P1099">
            <v>0</v>
          </cell>
          <cell r="Q1099" t="str">
            <v>16|66</v>
          </cell>
        </row>
        <row r="1100">
          <cell r="E1100" t="str">
            <v>10. PHOTO LOG</v>
          </cell>
          <cell r="G1100" t="str">
            <v>B16-P008</v>
          </cell>
          <cell r="H1100" t="str">
            <v>All</v>
          </cell>
          <cell r="I1100" t="str">
            <v>Cable Tray / Pathway</v>
          </cell>
          <cell r="J1100" t="str">
            <v>Basement and first-level cable tray/pathway route, supports, fill, firestopping and seismic bracing</v>
          </cell>
          <cell r="K1100">
            <v>0</v>
          </cell>
          <cell r="L1100" t="str">
            <v>Paul</v>
          </cell>
          <cell r="O1100" t="str">
            <v>Open</v>
          </cell>
          <cell r="P1100">
            <v>0</v>
          </cell>
          <cell r="Q1100" t="str">
            <v>16|67</v>
          </cell>
        </row>
        <row r="1101">
          <cell r="E1101" t="str">
            <v>10. PHOTO LOG</v>
          </cell>
          <cell r="G1101">
            <v>0</v>
          </cell>
          <cell r="H1101">
            <v>0</v>
          </cell>
          <cell r="I1101">
            <v>0</v>
          </cell>
          <cell r="J1101">
            <v>0</v>
          </cell>
          <cell r="K1101">
            <v>0</v>
          </cell>
          <cell r="L1101">
            <v>0</v>
          </cell>
          <cell r="O1101">
            <v>0</v>
          </cell>
          <cell r="P1101">
            <v>0</v>
          </cell>
          <cell r="Q1101" t="str">
            <v>16|68</v>
          </cell>
        </row>
        <row r="1102">
          <cell r="E1102" t="str">
            <v>1. ROOM INVENTORY</v>
          </cell>
          <cell r="G1102" t="str">
            <v>1. ROOM INVENTORY</v>
          </cell>
          <cell r="H1102">
            <v>0</v>
          </cell>
          <cell r="I1102">
            <v>0</v>
          </cell>
          <cell r="J1102">
            <v>0</v>
          </cell>
          <cell r="K1102">
            <v>0</v>
          </cell>
          <cell r="L1102">
            <v>0</v>
          </cell>
          <cell r="O1102">
            <v>0</v>
          </cell>
          <cell r="P1102">
            <v>0</v>
          </cell>
          <cell r="Q1102" t="str">
            <v>17|1</v>
          </cell>
        </row>
        <row r="1103">
          <cell r="E1103" t="str">
            <v>1. ROOM INVENTORY</v>
          </cell>
          <cell r="G1103" t="str">
            <v>Building</v>
          </cell>
          <cell r="H1103" t="str">
            <v>Room</v>
          </cell>
          <cell r="I1103" t="str">
            <v>Floor</v>
          </cell>
          <cell r="J1103" t="str">
            <v>Existing Use</v>
          </cell>
          <cell r="K1103" t="str">
            <v>New Use</v>
          </cell>
          <cell r="L1103" t="str">
            <v>Rack Count</v>
          </cell>
          <cell r="O1103" t="str">
            <v>Drawing Ref</v>
          </cell>
          <cell r="P1103" t="str">
            <v>Notes</v>
          </cell>
          <cell r="Q1103" t="str">
            <v>17|2</v>
          </cell>
        </row>
        <row r="1104">
          <cell r="E1104" t="str">
            <v>1. ROOM INVENTORY</v>
          </cell>
          <cell r="G1104" t="str">
            <v>17</v>
          </cell>
          <cell r="H1104" t="str">
            <v>118</v>
          </cell>
          <cell r="I1104" t="str">
            <v>First</v>
          </cell>
          <cell r="J1104" t="str">
            <v>New telecom room build area</v>
          </cell>
          <cell r="K1104" t="str">
            <v>Telecom Room</v>
          </cell>
          <cell r="L1104">
            <v>1</v>
          </cell>
          <cell r="O1104" t="str">
            <v>17_29A-401 / 17_29E-401 / 17_29T-100 / 17_29T-604 / 17_29T-701</v>
          </cell>
          <cell r="P1104" t="str">
            <v>Primary Building 17 TR. Plans identify Telecom Room 118 at 157 SF, Rack ID TR17-118-1, panels B17-TR118A/B, 208V rack UPS/PDU equipment, IU-1-01/CU-1-01 cooling, 517 feet total cable tray, and future rack allowance. Rack elevation notes Room 118 serves Building 29.</v>
          </cell>
          <cell r="Q1104" t="str">
            <v>17|3</v>
          </cell>
        </row>
        <row r="1105">
          <cell r="E1105" t="str">
            <v>1. ROOM INVENTORY</v>
          </cell>
          <cell r="G1105" t="str">
            <v>17</v>
          </cell>
          <cell r="H1105" t="str">
            <v>B35A</v>
          </cell>
          <cell r="I1105" t="str">
            <v>Basement</v>
          </cell>
          <cell r="J1105" t="str">
            <v>Existing telecom closet / legacy equipment area</v>
          </cell>
          <cell r="K1105" t="str">
            <v>Existing telecom transition point</v>
          </cell>
          <cell r="L1105">
            <v>1</v>
          </cell>
          <cell r="O1105" t="str">
            <v>17_29T-100 / 17_29T-604 / 17_29R-900</v>
          </cell>
          <cell r="P1105" t="str">
            <v>Existing basement Telecom Closet B35A shown at 12 SF with wall-mounted TE, patch panel, security cabinet, plywood backboard, indoor AC unit, floor UPS, Cisco switches, legacy Ortronics 24/48-port patch panels and SERTEX utility service ports. Protect active services and verify transfer to Room 118.</v>
          </cell>
          <cell r="Q1105" t="str">
            <v>17|4</v>
          </cell>
        </row>
        <row r="1106">
          <cell r="E1106" t="str">
            <v>1. ROOM INVENTORY</v>
          </cell>
          <cell r="G1106" t="str">
            <v>29</v>
          </cell>
          <cell r="H1106" t="str">
            <v>Building 29 path</v>
          </cell>
          <cell r="I1106" t="str">
            <v>First / served from B17</v>
          </cell>
          <cell r="J1106" t="str">
            <v>Building 29 service extension</v>
          </cell>
          <cell r="K1106" t="str">
            <v>Served from B17 TR 118</v>
          </cell>
          <cell r="L1106">
            <v>0</v>
          </cell>
          <cell r="O1106" t="str">
            <v>17_29T-100 / 17_29T-604 / 17_29T-701</v>
          </cell>
          <cell r="P1106" t="str">
            <v>Building 29 is shown served from B17, with path to B29 via 4-inch PVC and fiber extending from Building 17 to Building 29. Field verify pathway, service boundary, and active outlets included in TR17-118-1 schedule.</v>
          </cell>
          <cell r="Q1106" t="str">
            <v>17|5</v>
          </cell>
        </row>
        <row r="1107">
          <cell r="E1107" t="str">
            <v>1. ROOM INVENTORY</v>
          </cell>
          <cell r="G1107">
            <v>0</v>
          </cell>
          <cell r="H1107">
            <v>0</v>
          </cell>
          <cell r="I1107">
            <v>0</v>
          </cell>
          <cell r="J1107">
            <v>0</v>
          </cell>
          <cell r="K1107">
            <v>0</v>
          </cell>
          <cell r="L1107">
            <v>0</v>
          </cell>
          <cell r="O1107">
            <v>0</v>
          </cell>
          <cell r="P1107">
            <v>0</v>
          </cell>
          <cell r="Q1107" t="str">
            <v>17|6</v>
          </cell>
        </row>
        <row r="1108">
          <cell r="E1108" t="str">
            <v>2. ROOM READINESS</v>
          </cell>
          <cell r="G1108" t="str">
            <v>2. ROOM READINESS</v>
          </cell>
          <cell r="H1108">
            <v>0</v>
          </cell>
          <cell r="I1108">
            <v>0</v>
          </cell>
          <cell r="J1108">
            <v>0</v>
          </cell>
          <cell r="K1108">
            <v>0</v>
          </cell>
          <cell r="L1108">
            <v>0</v>
          </cell>
          <cell r="O1108">
            <v>0</v>
          </cell>
          <cell r="P1108">
            <v>0</v>
          </cell>
          <cell r="Q1108" t="str">
            <v>17|7</v>
          </cell>
        </row>
        <row r="1109">
          <cell r="E1109" t="str">
            <v>2. ROOM READINESS</v>
          </cell>
          <cell r="G1109" t="str">
            <v>Room</v>
          </cell>
          <cell r="H1109" t="str">
            <v>Walls / 1-hr Rating</v>
          </cell>
          <cell r="I1109" t="str">
            <v>Ceiling</v>
          </cell>
          <cell r="J1109" t="str">
            <v>Floor / SDC</v>
          </cell>
          <cell r="K1109" t="str">
            <v>Penetrations</v>
          </cell>
          <cell r="L1109" t="str">
            <v>Access Control</v>
          </cell>
          <cell r="O1109" t="str">
            <v>Overall</v>
          </cell>
          <cell r="P1109" t="str">
            <v>Comments</v>
          </cell>
          <cell r="Q1109" t="str">
            <v>17|8</v>
          </cell>
        </row>
        <row r="1110">
          <cell r="E1110" t="str">
            <v>2. ROOM READINESS</v>
          </cell>
          <cell r="G1110" t="str">
            <v>118</v>
          </cell>
          <cell r="H1110" t="str">
            <v>Verify</v>
          </cell>
          <cell r="I1110" t="str">
            <v>Verify</v>
          </cell>
          <cell r="J1110" t="str">
            <v>Verify</v>
          </cell>
          <cell r="K1110" t="str">
            <v>Verify</v>
          </cell>
          <cell r="L1110" t="str">
            <v>Verify</v>
          </cell>
          <cell r="O1110" t="str">
            <v>Verify</v>
          </cell>
          <cell r="P1110" t="str">
            <v>First-level TR; verify 1-hour fire/smoke-rated enclosure, open-to-deck conditions, door hardware/access control, static-control floor sealer, rack/future rack clearances, wall backing, and cable tray/pathway entry points.</v>
          </cell>
          <cell r="Q1110" t="str">
            <v>17|9</v>
          </cell>
        </row>
        <row r="1111">
          <cell r="E1111" t="str">
            <v>2. ROOM READINESS</v>
          </cell>
          <cell r="G1111" t="str">
            <v>B35A</v>
          </cell>
          <cell r="H1111" t="str">
            <v>Existing / Verify</v>
          </cell>
          <cell r="I1111" t="str">
            <v>Existing / Verify</v>
          </cell>
          <cell r="J1111" t="str">
            <v>Existing / Verify</v>
          </cell>
          <cell r="K1111" t="str">
            <v>Verify</v>
          </cell>
          <cell r="L1111" t="str">
            <v>Verify</v>
          </cell>
          <cell r="O1111" t="str">
            <v>Verify</v>
          </cell>
          <cell r="P1111" t="str">
            <v>Existing basement telecom closet; verify active equipment status, pathway, rack/UPS/backboard, indoor AC, security cabinet, and transition/abandonment scope.</v>
          </cell>
          <cell r="Q1111" t="str">
            <v>17|10</v>
          </cell>
        </row>
        <row r="1112">
          <cell r="E1112" t="str">
            <v>2. ROOM READINESS</v>
          </cell>
          <cell r="G1112" t="str">
            <v>B29 Path</v>
          </cell>
          <cell r="H1112" t="str">
            <v>Verify</v>
          </cell>
          <cell r="I1112" t="str">
            <v>Verify</v>
          </cell>
          <cell r="J1112" t="str">
            <v>Verify</v>
          </cell>
          <cell r="K1112" t="str">
            <v>Verify</v>
          </cell>
          <cell r="L1112" t="str">
            <v>Verify</v>
          </cell>
          <cell r="O1112" t="str">
            <v>Verify</v>
          </cell>
          <cell r="P1112" t="str">
            <v>Verify route from Building 17 to Building 29, 4-inch PVC path, fiber handoff, ownership limits, labeling and final test documentation.</v>
          </cell>
          <cell r="Q1112" t="str">
            <v>17|11</v>
          </cell>
        </row>
        <row r="1113">
          <cell r="E1113" t="str">
            <v>2. ROOM READINESS</v>
          </cell>
          <cell r="G1113">
            <v>0</v>
          </cell>
          <cell r="H1113">
            <v>0</v>
          </cell>
          <cell r="I1113">
            <v>0</v>
          </cell>
          <cell r="J1113">
            <v>0</v>
          </cell>
          <cell r="K1113">
            <v>0</v>
          </cell>
          <cell r="L1113">
            <v>0</v>
          </cell>
          <cell r="O1113">
            <v>0</v>
          </cell>
          <cell r="P1113">
            <v>0</v>
          </cell>
          <cell r="Q1113" t="str">
            <v>17|12</v>
          </cell>
        </row>
        <row r="1114">
          <cell r="E1114" t="str">
            <v>3. FIRE PROTECTION</v>
          </cell>
          <cell r="G1114" t="str">
            <v>3. FIRE PROTECTION</v>
          </cell>
          <cell r="H1114">
            <v>0</v>
          </cell>
          <cell r="I1114">
            <v>0</v>
          </cell>
          <cell r="J1114">
            <v>0</v>
          </cell>
          <cell r="K1114">
            <v>0</v>
          </cell>
          <cell r="L1114">
            <v>0</v>
          </cell>
          <cell r="O1114">
            <v>0</v>
          </cell>
          <cell r="P1114">
            <v>0</v>
          </cell>
          <cell r="Q1114" t="str">
            <v>17|13</v>
          </cell>
        </row>
        <row r="1115">
          <cell r="E1115" t="str">
            <v>3. FIRE PROTECTION</v>
          </cell>
          <cell r="G1115" t="str">
            <v>Room</v>
          </cell>
          <cell r="H1115" t="str">
            <v>Sprinkler</v>
          </cell>
          <cell r="I1115" t="str">
            <v>Cage</v>
          </cell>
          <cell r="J1115" t="str">
            <v>Detector</v>
          </cell>
          <cell r="K1115" t="str">
            <v>Horn/Strobe</v>
          </cell>
          <cell r="L1115" t="str">
            <v>Extinguisher &lt;75 ft</v>
          </cell>
          <cell r="O1115" t="str">
            <v>Overall</v>
          </cell>
          <cell r="P1115" t="str">
            <v>Risk / Notes</v>
          </cell>
          <cell r="Q1115" t="str">
            <v>17|14</v>
          </cell>
        </row>
        <row r="1116">
          <cell r="E1116" t="str">
            <v>3. FIRE PROTECTION</v>
          </cell>
          <cell r="G1116" t="str">
            <v>118</v>
          </cell>
          <cell r="H1116" t="str">
            <v>Verify</v>
          </cell>
          <cell r="I1116" t="str">
            <v>Verify</v>
          </cell>
          <cell r="J1116" t="str">
            <v>Verify</v>
          </cell>
          <cell r="K1116" t="str">
            <v>Verify</v>
          </cell>
          <cell r="L1116" t="str">
            <v>Verify</v>
          </cell>
          <cell r="O1116" t="str">
            <v>Verify</v>
          </cell>
          <cell r="P1116" t="str">
            <v>Fully sprinklered building; confirm sprinkler/fire alarm modifications, clean-agent 2A:10B:C extinguisher within 75 ft, rated wall/ceiling/floor penetrations, and temporary firestopping during cable pulls.</v>
          </cell>
          <cell r="Q1116" t="str">
            <v>17|15</v>
          </cell>
        </row>
        <row r="1117">
          <cell r="E1117" t="str">
            <v>3. FIRE PROTECTION</v>
          </cell>
          <cell r="G1117" t="str">
            <v>B35A</v>
          </cell>
          <cell r="H1117" t="str">
            <v>Verify</v>
          </cell>
          <cell r="I1117" t="str">
            <v>N/A</v>
          </cell>
          <cell r="J1117" t="str">
            <v>Verify</v>
          </cell>
          <cell r="K1117" t="str">
            <v>Verify</v>
          </cell>
          <cell r="L1117" t="str">
            <v>Verify</v>
          </cell>
          <cell r="O1117" t="str">
            <v>Verify</v>
          </cell>
          <cell r="P1117" t="str">
            <v>Existing telecom closet; verify fire alarm/sprinkler protection-in-place and seal any removed/reused penetration after cutover.</v>
          </cell>
          <cell r="Q1117" t="str">
            <v>17|16</v>
          </cell>
        </row>
        <row r="1118">
          <cell r="E1118" t="str">
            <v>3. FIRE PROTECTION</v>
          </cell>
          <cell r="G1118" t="str">
            <v>B29 Path</v>
          </cell>
          <cell r="H1118" t="str">
            <v>Verify</v>
          </cell>
          <cell r="I1118" t="str">
            <v>N/A</v>
          </cell>
          <cell r="J1118" t="str">
            <v>Verify</v>
          </cell>
          <cell r="K1118" t="str">
            <v>Verify</v>
          </cell>
          <cell r="L1118" t="str">
            <v>Verify</v>
          </cell>
          <cell r="O1118" t="str">
            <v>Verify</v>
          </cell>
          <cell r="P1118" t="str">
            <v>Verify firestopping at pathway penetrations between Building 17 and Building 29 and any rated floor/wall assemblies.</v>
          </cell>
          <cell r="Q1118" t="str">
            <v>17|17</v>
          </cell>
        </row>
        <row r="1119">
          <cell r="E1119" t="str">
            <v>3. FIRE PROTECTION</v>
          </cell>
          <cell r="G1119">
            <v>0</v>
          </cell>
          <cell r="H1119">
            <v>0</v>
          </cell>
          <cell r="I1119">
            <v>0</v>
          </cell>
          <cell r="J1119">
            <v>0</v>
          </cell>
          <cell r="K1119">
            <v>0</v>
          </cell>
          <cell r="L1119">
            <v>0</v>
          </cell>
          <cell r="O1119">
            <v>0</v>
          </cell>
          <cell r="P1119">
            <v>0</v>
          </cell>
          <cell r="Q1119" t="str">
            <v>17|18</v>
          </cell>
        </row>
        <row r="1120">
          <cell r="E1120" t="str">
            <v>4. HVAC / COOLING</v>
          </cell>
          <cell r="G1120" t="str">
            <v>4. HVAC / COOLING</v>
          </cell>
          <cell r="H1120">
            <v>0</v>
          </cell>
          <cell r="I1120">
            <v>0</v>
          </cell>
          <cell r="J1120">
            <v>0</v>
          </cell>
          <cell r="K1120">
            <v>0</v>
          </cell>
          <cell r="L1120">
            <v>0</v>
          </cell>
          <cell r="O1120">
            <v>0</v>
          </cell>
          <cell r="P1120">
            <v>0</v>
          </cell>
          <cell r="Q1120" t="str">
            <v>17|19</v>
          </cell>
        </row>
        <row r="1121">
          <cell r="E1121" t="str">
            <v>4. HVAC / COOLING</v>
          </cell>
          <cell r="G1121" t="str">
            <v>Room</v>
          </cell>
          <cell r="H1121" t="str">
            <v>Dedicated Unit</v>
          </cell>
          <cell r="I1121" t="str">
            <v>Capacity Verified</v>
          </cell>
          <cell r="J1121" t="str">
            <v>Emergency Power</v>
          </cell>
          <cell r="K1121" t="str">
            <v>Controls / BACnet</v>
          </cell>
          <cell r="L1121" t="str">
            <v>Condensate Routed</v>
          </cell>
          <cell r="O1121" t="str">
            <v>Overall</v>
          </cell>
          <cell r="P1121" t="str">
            <v>Risk / Notes</v>
          </cell>
          <cell r="Q1121" t="str">
            <v>17|20</v>
          </cell>
        </row>
        <row r="1122">
          <cell r="E1122" t="str">
            <v>4. HVAC / COOLING</v>
          </cell>
          <cell r="G1122" t="str">
            <v>118</v>
          </cell>
          <cell r="H1122" t="str">
            <v>IU-1-01 / CU-1-01</v>
          </cell>
          <cell r="I1122" t="str">
            <v>Verify</v>
          </cell>
          <cell r="J1122" t="str">
            <v>Verify</v>
          </cell>
          <cell r="K1122" t="str">
            <v>Verify</v>
          </cell>
          <cell r="L1122" t="str">
            <v>Verify</v>
          </cell>
          <cell r="O1122" t="str">
            <v>Verify</v>
          </cell>
          <cell r="P1122" t="str">
            <v>Mechanical/electrical drawings show IU-1-01 in Telecom Room 118 and CU-1-01 outdoor unit. Confirm capacity, emergency/standby source, BACnet adapter, thermostat/control point, condensate path, disconnects, and high-temperature alarm.</v>
          </cell>
          <cell r="Q1122" t="str">
            <v>17|21</v>
          </cell>
        </row>
        <row r="1123">
          <cell r="E1123" t="str">
            <v>4. HVAC / COOLING</v>
          </cell>
          <cell r="G1123" t="str">
            <v>B35A</v>
          </cell>
          <cell r="H1123" t="str">
            <v>Existing indoor AC unit</v>
          </cell>
          <cell r="I1123" t="str">
            <v>Verify</v>
          </cell>
          <cell r="J1123" t="str">
            <v>Verify</v>
          </cell>
          <cell r="K1123" t="str">
            <v>Verify</v>
          </cell>
          <cell r="L1123" t="str">
            <v>Verify</v>
          </cell>
          <cell r="O1123" t="str">
            <v>Verify</v>
          </cell>
          <cell r="P1123" t="str">
            <v>Existing B35A is shown with existing indoor AC unit; verify whether it remains active, is abandoned, or needs temporary protection during cutover.</v>
          </cell>
          <cell r="Q1123" t="str">
            <v>17|22</v>
          </cell>
        </row>
        <row r="1124">
          <cell r="E1124" t="str">
            <v>4. HVAC / COOLING</v>
          </cell>
          <cell r="G1124" t="str">
            <v>B29 Path</v>
          </cell>
          <cell r="H1124" t="str">
            <v>N/A</v>
          </cell>
          <cell r="I1124" t="str">
            <v>N/A</v>
          </cell>
          <cell r="J1124" t="str">
            <v>N/A</v>
          </cell>
          <cell r="K1124" t="str">
            <v>N/A</v>
          </cell>
          <cell r="L1124" t="str">
            <v>N/A</v>
          </cell>
          <cell r="O1124" t="str">
            <v>N/A</v>
          </cell>
          <cell r="P1124" t="str">
            <v>No dedicated cooling expected for pathway; verify any equipment cabinets or active service locations in Building 29 if applicable.</v>
          </cell>
          <cell r="Q1124" t="str">
            <v>17|23</v>
          </cell>
        </row>
        <row r="1125">
          <cell r="E1125" t="str">
            <v>4. HVAC / COOLING</v>
          </cell>
          <cell r="G1125">
            <v>0</v>
          </cell>
          <cell r="H1125">
            <v>0</v>
          </cell>
          <cell r="I1125">
            <v>0</v>
          </cell>
          <cell r="J1125">
            <v>0</v>
          </cell>
          <cell r="K1125">
            <v>0</v>
          </cell>
          <cell r="L1125">
            <v>0</v>
          </cell>
          <cell r="O1125">
            <v>0</v>
          </cell>
          <cell r="P1125">
            <v>0</v>
          </cell>
          <cell r="Q1125" t="str">
            <v>17|24</v>
          </cell>
        </row>
        <row r="1126">
          <cell r="E1126" t="str">
            <v>5. ELECTRICAL / UPS</v>
          </cell>
          <cell r="G1126" t="str">
            <v>5. ELECTRICAL / UPS</v>
          </cell>
          <cell r="H1126">
            <v>0</v>
          </cell>
          <cell r="I1126">
            <v>0</v>
          </cell>
          <cell r="J1126">
            <v>0</v>
          </cell>
          <cell r="K1126">
            <v>0</v>
          </cell>
          <cell r="L1126">
            <v>0</v>
          </cell>
          <cell r="O1126">
            <v>0</v>
          </cell>
          <cell r="P1126">
            <v>0</v>
          </cell>
          <cell r="Q1126" t="str">
            <v>17|25</v>
          </cell>
        </row>
        <row r="1127">
          <cell r="E1127" t="str">
            <v>5. ELECTRICAL / UPS</v>
          </cell>
          <cell r="G1127" t="str">
            <v>Room</v>
          </cell>
          <cell r="H1127" t="str">
            <v>UPS Installed</v>
          </cell>
          <cell r="I1127" t="str">
            <v>UPS Size</v>
          </cell>
          <cell r="J1127" t="str">
            <v>PDU Installed</v>
          </cell>
          <cell r="K1127" t="str">
            <v>Rack Receptacles</v>
          </cell>
          <cell r="L1127" t="str">
            <v>Panel Assigned</v>
          </cell>
          <cell r="O1127" t="str">
            <v>Overall</v>
          </cell>
          <cell r="P1127" t="str">
            <v>Notes</v>
          </cell>
          <cell r="Q1127" t="str">
            <v>17|26</v>
          </cell>
        </row>
        <row r="1128">
          <cell r="E1128" t="str">
            <v>5. ELECTRICAL / UPS</v>
          </cell>
          <cell r="G1128" t="str">
            <v>118</v>
          </cell>
          <cell r="H1128" t="str">
            <v>Verify</v>
          </cell>
          <cell r="I1128" t="str">
            <v>5 kW / 208V rack UPS</v>
          </cell>
          <cell r="J1128" t="str">
            <v>Verify</v>
          </cell>
          <cell r="K1128" t="str">
            <v>Verify</v>
          </cell>
          <cell r="L1128" t="str">
            <v>B17-TR118A / B17-TR118B</v>
          </cell>
          <cell r="O1128" t="str">
            <v>Verify</v>
          </cell>
          <cell r="P1128" t="str">
            <v>Electrical plans/schedules identify B17-TR118A fed from BUS-B17-NPB1-R and B17-TR118B fed from BUS-B17-EQDP, with TR RM118 rack receptacles, 208V UPS/PDU equipment, CU-1-01, SPD requirements, and 30-day load measurement requirements.</v>
          </cell>
          <cell r="Q1128" t="str">
            <v>17|27</v>
          </cell>
        </row>
        <row r="1129">
          <cell r="E1129" t="str">
            <v>5. ELECTRICAL / UPS</v>
          </cell>
          <cell r="G1129" t="str">
            <v>B35A</v>
          </cell>
          <cell r="H1129" t="str">
            <v>Existing</v>
          </cell>
          <cell r="I1129" t="str">
            <v>Existing floor UPS</v>
          </cell>
          <cell r="J1129" t="str">
            <v>Existing</v>
          </cell>
          <cell r="K1129" t="str">
            <v>Verify</v>
          </cell>
          <cell r="L1129" t="str">
            <v>Existing / Verify</v>
          </cell>
          <cell r="O1129" t="str">
            <v>Verify</v>
          </cell>
          <cell r="P1129" t="str">
            <v>Existing rack/equipment area; verify active equipment, floor UPS status, source circuits, and transfer requirements before disconnect/removal.</v>
          </cell>
          <cell r="Q1129" t="str">
            <v>17|28</v>
          </cell>
        </row>
        <row r="1130">
          <cell r="E1130" t="str">
            <v>5. ELECTRICAL / UPS</v>
          </cell>
          <cell r="G1130" t="str">
            <v>B29 Path</v>
          </cell>
          <cell r="H1130" t="str">
            <v>N/A</v>
          </cell>
          <cell r="I1130" t="str">
            <v>N/A</v>
          </cell>
          <cell r="J1130" t="str">
            <v>N/A</v>
          </cell>
          <cell r="K1130" t="str">
            <v>N/A</v>
          </cell>
          <cell r="L1130" t="str">
            <v>B17 source / verify</v>
          </cell>
          <cell r="O1130" t="str">
            <v>Verify</v>
          </cell>
          <cell r="P1130" t="str">
            <v>Verify whether any Building 29 equipment or extension path requires power, grounding, bonding, or labeling tied back to B17 TR 118.</v>
          </cell>
          <cell r="Q1130" t="str">
            <v>17|29</v>
          </cell>
        </row>
        <row r="1131">
          <cell r="E1131" t="str">
            <v>5. ELECTRICAL / UPS</v>
          </cell>
          <cell r="G1131">
            <v>0</v>
          </cell>
          <cell r="H1131">
            <v>0</v>
          </cell>
          <cell r="I1131">
            <v>0</v>
          </cell>
          <cell r="J1131">
            <v>0</v>
          </cell>
          <cell r="K1131">
            <v>0</v>
          </cell>
          <cell r="L1131">
            <v>0</v>
          </cell>
          <cell r="O1131">
            <v>0</v>
          </cell>
          <cell r="P1131">
            <v>0</v>
          </cell>
          <cell r="Q1131" t="str">
            <v>17|30</v>
          </cell>
        </row>
        <row r="1132">
          <cell r="E1132" t="str">
            <v>6. TELECOMMUNICATIONS</v>
          </cell>
          <cell r="G1132" t="str">
            <v>6. TELECOMMUNICATIONS</v>
          </cell>
          <cell r="H1132">
            <v>0</v>
          </cell>
          <cell r="I1132">
            <v>0</v>
          </cell>
          <cell r="J1132">
            <v>0</v>
          </cell>
          <cell r="K1132">
            <v>0</v>
          </cell>
          <cell r="L1132">
            <v>0</v>
          </cell>
          <cell r="O1132">
            <v>0</v>
          </cell>
          <cell r="P1132">
            <v>0</v>
          </cell>
          <cell r="Q1132" t="str">
            <v>17|31</v>
          </cell>
        </row>
        <row r="1133">
          <cell r="E1133" t="str">
            <v>6. TELECOMMUNICATIONS</v>
          </cell>
          <cell r="G1133" t="str">
            <v>Room</v>
          </cell>
          <cell r="H1133" t="str">
            <v>Rack Installed</v>
          </cell>
          <cell r="I1133" t="str">
            <v>Ladder Tray</v>
          </cell>
          <cell r="J1133" t="str">
            <v>Fiber Installed</v>
          </cell>
          <cell r="K1133" t="str">
            <v>Grounding</v>
          </cell>
          <cell r="L1133" t="str">
            <v>Labeling</v>
          </cell>
          <cell r="O1133" t="str">
            <v>Overall</v>
          </cell>
          <cell r="P1133" t="str">
            <v>Notes</v>
          </cell>
          <cell r="Q1133" t="str">
            <v>17|32</v>
          </cell>
        </row>
        <row r="1134">
          <cell r="E1134" t="str">
            <v>6. TELECOMMUNICATIONS</v>
          </cell>
          <cell r="G1134" t="str">
            <v>118</v>
          </cell>
          <cell r="H1134" t="str">
            <v>Verify</v>
          </cell>
          <cell r="I1134" t="str">
            <v>Verify</v>
          </cell>
          <cell r="J1134" t="str">
            <v>Verify</v>
          </cell>
          <cell r="K1134" t="str">
            <v>Verify</v>
          </cell>
          <cell r="L1134" t="str">
            <v>Verify</v>
          </cell>
          <cell r="O1134" t="str">
            <v>Verify</v>
          </cell>
          <cell r="P1134" t="str">
            <v>17_29T-701 identifies Room 118 schedule: 113 WAO total, 67 active ports per survey, 154 total ports per schedule, and 169 total ports with 10% allowance. Rack ID TR17-118-1 serves basement, first, second-level outlets and Building 29 path.</v>
          </cell>
          <cell r="Q1134" t="str">
            <v>17|33</v>
          </cell>
        </row>
        <row r="1135">
          <cell r="E1135" t="str">
            <v>6. TELECOMMUNICATIONS</v>
          </cell>
          <cell r="G1135" t="str">
            <v>B35A</v>
          </cell>
          <cell r="H1135" t="str">
            <v>Existing</v>
          </cell>
          <cell r="I1135" t="str">
            <v>Existing</v>
          </cell>
          <cell r="J1135" t="str">
            <v>Existing</v>
          </cell>
          <cell r="K1135" t="str">
            <v>Verify</v>
          </cell>
          <cell r="L1135" t="str">
            <v>Verify</v>
          </cell>
          <cell r="O1135" t="str">
            <v>Verify</v>
          </cell>
          <cell r="P1135" t="str">
            <v>Existing Room B35A equipment includes SERTEX utility service ports, legacy Ortronics patch panels, Cisco switches, wall-mounted TE, Fiber/legacy equipment, security cabinet, and floor UPS; verify active services and transfer plan to Room 118.</v>
          </cell>
          <cell r="Q1135" t="str">
            <v>17|34</v>
          </cell>
        </row>
        <row r="1136">
          <cell r="E1136" t="str">
            <v>6. TELECOMMUNICATIONS</v>
          </cell>
          <cell r="G1136" t="str">
            <v>B29 Path</v>
          </cell>
          <cell r="H1136" t="str">
            <v>Verify</v>
          </cell>
          <cell r="I1136" t="str">
            <v>Verify</v>
          </cell>
          <cell r="J1136" t="str">
            <v>Verify</v>
          </cell>
          <cell r="K1136" t="str">
            <v>Verify</v>
          </cell>
          <cell r="L1136" t="str">
            <v>Verify</v>
          </cell>
          <cell r="O1136" t="str">
            <v>Verify</v>
          </cell>
          <cell r="P1136" t="str">
            <v>Building 29 is shown served from B17; verify fiber from Building 17 to Building 29, path to B29 4-inch PVC, outlet labels, test records and as-builts.</v>
          </cell>
          <cell r="Q1136" t="str">
            <v>17|35</v>
          </cell>
        </row>
        <row r="1137">
          <cell r="E1137" t="str">
            <v>6. TELECOMMUNICATIONS</v>
          </cell>
          <cell r="G1137">
            <v>0</v>
          </cell>
          <cell r="H1137">
            <v>0</v>
          </cell>
          <cell r="I1137">
            <v>0</v>
          </cell>
          <cell r="J1137">
            <v>0</v>
          </cell>
          <cell r="K1137">
            <v>0</v>
          </cell>
          <cell r="L1137">
            <v>0</v>
          </cell>
          <cell r="O1137">
            <v>0</v>
          </cell>
          <cell r="P1137">
            <v>0</v>
          </cell>
          <cell r="Q1137" t="str">
            <v>17|36</v>
          </cell>
        </row>
        <row r="1138">
          <cell r="E1138" t="str">
            <v>7. SECURITY / PACS / CCTV</v>
          </cell>
          <cell r="G1138" t="str">
            <v>7. SECURITY / PACS / CCTV</v>
          </cell>
          <cell r="H1138">
            <v>0</v>
          </cell>
          <cell r="I1138">
            <v>0</v>
          </cell>
          <cell r="J1138">
            <v>0</v>
          </cell>
          <cell r="K1138">
            <v>0</v>
          </cell>
          <cell r="L1138">
            <v>0</v>
          </cell>
          <cell r="O1138">
            <v>0</v>
          </cell>
          <cell r="P1138">
            <v>0</v>
          </cell>
          <cell r="Q1138" t="str">
            <v>17|37</v>
          </cell>
        </row>
        <row r="1139">
          <cell r="E1139" t="str">
            <v>7. SECURITY / PACS / CCTV</v>
          </cell>
          <cell r="G1139" t="str">
            <v>Room</v>
          </cell>
          <cell r="H1139" t="str">
            <v>PACS</v>
          </cell>
          <cell r="I1139" t="str">
            <v>Card Reader</v>
          </cell>
          <cell r="J1139" t="str">
            <v>Door Position</v>
          </cell>
          <cell r="K1139" t="str">
            <v>Electric Strike</v>
          </cell>
          <cell r="L1139" t="str">
            <v>CCTV</v>
          </cell>
          <cell r="O1139" t="str">
            <v>Overall</v>
          </cell>
          <cell r="P1139" t="str">
            <v>Notes</v>
          </cell>
          <cell r="Q1139" t="str">
            <v>17|38</v>
          </cell>
        </row>
        <row r="1140">
          <cell r="E1140" t="str">
            <v>7. SECURITY / PACS / CCTV</v>
          </cell>
          <cell r="G1140" t="str">
            <v>118</v>
          </cell>
          <cell r="H1140" t="str">
            <v>Verify</v>
          </cell>
          <cell r="I1140" t="str">
            <v>Verify</v>
          </cell>
          <cell r="J1140" t="str">
            <v>Verify</v>
          </cell>
          <cell r="K1140" t="str">
            <v>Verify</v>
          </cell>
          <cell r="L1140" t="str">
            <v>Verify</v>
          </cell>
          <cell r="O1140" t="str">
            <v>Verify</v>
          </cell>
          <cell r="P1140" t="str">
            <v>Telecom/electrical plans show 118-CAM-01 and security/access-control scope for Room 118; verify CR/RX/DC/ES/MD devices, controller, camera/VMS integration, and door hardware coordination.</v>
          </cell>
          <cell r="Q1140" t="str">
            <v>17|39</v>
          </cell>
        </row>
        <row r="1141">
          <cell r="E1141" t="str">
            <v>7. SECURITY / PACS / CCTV</v>
          </cell>
          <cell r="G1141" t="str">
            <v>B35A</v>
          </cell>
          <cell r="H1141" t="str">
            <v>Verify</v>
          </cell>
          <cell r="I1141" t="str">
            <v>Verify</v>
          </cell>
          <cell r="J1141" t="str">
            <v>Verify</v>
          </cell>
          <cell r="K1141" t="str">
            <v>Verify</v>
          </cell>
          <cell r="L1141" t="str">
            <v>Verify</v>
          </cell>
          <cell r="O1141" t="str">
            <v>Verify</v>
          </cell>
          <cell r="P1141" t="str">
            <v>Existing security cabinet shown in B35A; verify whether security equipment remains, is relocated, or requires temporary protection during cutover.</v>
          </cell>
          <cell r="Q1141" t="str">
            <v>17|40</v>
          </cell>
        </row>
        <row r="1142">
          <cell r="E1142" t="str">
            <v>7. SECURITY / PACS / CCTV</v>
          </cell>
          <cell r="G1142" t="str">
            <v>B29 Path</v>
          </cell>
          <cell r="H1142" t="str">
            <v>Verify</v>
          </cell>
          <cell r="I1142" t="str">
            <v>Verify</v>
          </cell>
          <cell r="J1142" t="str">
            <v>Verify</v>
          </cell>
          <cell r="K1142" t="str">
            <v>Verify</v>
          </cell>
          <cell r="L1142" t="str">
            <v>Verify</v>
          </cell>
          <cell r="O1142" t="str">
            <v>Verify</v>
          </cell>
          <cell r="P1142" t="str">
            <v>Verify Building 29 pathway and any security scope tied into B17 TR 118/VMS/PACS.</v>
          </cell>
          <cell r="Q1142" t="str">
            <v>17|41</v>
          </cell>
        </row>
        <row r="1143">
          <cell r="E1143" t="str">
            <v>7. SECURITY / PACS / CCTV</v>
          </cell>
          <cell r="G1143">
            <v>0</v>
          </cell>
          <cell r="H1143">
            <v>0</v>
          </cell>
          <cell r="I1143">
            <v>0</v>
          </cell>
          <cell r="J1143">
            <v>0</v>
          </cell>
          <cell r="K1143">
            <v>0</v>
          </cell>
          <cell r="L1143">
            <v>0</v>
          </cell>
          <cell r="O1143">
            <v>0</v>
          </cell>
          <cell r="P1143">
            <v>0</v>
          </cell>
          <cell r="Q1143" t="str">
            <v>17|42</v>
          </cell>
        </row>
        <row r="1144">
          <cell r="E1144" t="str">
            <v>8. OWNER RISKS</v>
          </cell>
          <cell r="G1144" t="str">
            <v>8. OWNER RISKS</v>
          </cell>
          <cell r="H1144">
            <v>0</v>
          </cell>
          <cell r="I1144">
            <v>0</v>
          </cell>
          <cell r="J1144">
            <v>0</v>
          </cell>
          <cell r="K1144">
            <v>0</v>
          </cell>
          <cell r="L1144">
            <v>0</v>
          </cell>
          <cell r="O1144">
            <v>0</v>
          </cell>
          <cell r="P1144">
            <v>0</v>
          </cell>
          <cell r="Q1144" t="str">
            <v>17|43</v>
          </cell>
        </row>
        <row r="1145">
          <cell r="E1145" t="str">
            <v>8. OWNER RISKS</v>
          </cell>
          <cell r="G1145" t="str">
            <v>Risk ID</v>
          </cell>
          <cell r="H1145" t="str">
            <v>Room</v>
          </cell>
          <cell r="I1145" t="str">
            <v>Risk</v>
          </cell>
          <cell r="J1145" t="str">
            <v>Impact</v>
          </cell>
          <cell r="K1145" t="str">
            <v>Probability</v>
          </cell>
          <cell r="L1145" t="str">
            <v>Score</v>
          </cell>
          <cell r="O1145" t="str">
            <v>Status</v>
          </cell>
          <cell r="P1145" t="str">
            <v>Notes</v>
          </cell>
          <cell r="Q1145" t="str">
            <v>17|44</v>
          </cell>
        </row>
        <row r="1146">
          <cell r="E1146" t="str">
            <v>8. OWNER RISKS</v>
          </cell>
          <cell r="G1146" t="str">
            <v>B17-R1</v>
          </cell>
          <cell r="H1146" t="str">
            <v>All</v>
          </cell>
          <cell r="I1146" t="str">
            <v>Existing conditions for Room 118, B35A and Building 29 service path not field verified</v>
          </cell>
          <cell r="J1146" t="str">
            <v>High</v>
          </cell>
          <cell r="K1146" t="str">
            <v>Medium</v>
          </cell>
          <cell r="L1146">
            <v>6</v>
          </cell>
          <cell r="O1146" t="str">
            <v>Open</v>
          </cell>
          <cell r="P1146" t="str">
            <v>B17_29 includes new TR plus existing basement telecom transition point and B29 service path.</v>
          </cell>
          <cell r="Q1146" t="str">
            <v>17|45</v>
          </cell>
        </row>
        <row r="1147">
          <cell r="E1147" t="str">
            <v>8. OWNER RISKS</v>
          </cell>
          <cell r="G1147" t="str">
            <v>B17-R2</v>
          </cell>
          <cell r="H1147" t="str">
            <v>118</v>
          </cell>
          <cell r="I1147" t="str">
            <v>First-level hazardous material abatement plan exists</v>
          </cell>
          <cell r="J1147" t="str">
            <v>High</v>
          </cell>
          <cell r="K1147" t="str">
            <v>Medium</v>
          </cell>
          <cell r="L1147">
            <v>6</v>
          </cell>
          <cell r="O1147" t="str">
            <v>Open</v>
          </cell>
          <cell r="P1147" t="str">
            <v>Drawing index includes 17_29H-101 hazardous material abatement plan - first level.</v>
          </cell>
          <cell r="Q1147" t="str">
            <v>17|46</v>
          </cell>
        </row>
        <row r="1148">
          <cell r="E1148" t="str">
            <v>8. OWNER RISKS</v>
          </cell>
          <cell r="G1148" t="str">
            <v>B17-R3</v>
          </cell>
          <cell r="H1148" t="str">
            <v>B35A</v>
          </cell>
          <cell r="I1148" t="str">
            <v>Existing telecom equipment may remain active during cutover</v>
          </cell>
          <cell r="J1148" t="str">
            <v>Critical</v>
          </cell>
          <cell r="K1148" t="str">
            <v>Medium</v>
          </cell>
          <cell r="L1148">
            <v>8</v>
          </cell>
          <cell r="O1148" t="str">
            <v>Open</v>
          </cell>
          <cell r="P1148" t="str">
            <v>Existing SERTEX utility service, Cisco switches, legacy patch panels, security cabinet and UPS shown.</v>
          </cell>
          <cell r="Q1148" t="str">
            <v>17|47</v>
          </cell>
        </row>
        <row r="1149">
          <cell r="E1149" t="str">
            <v>8. OWNER RISKS</v>
          </cell>
          <cell r="G1149" t="str">
            <v>B17-R4</v>
          </cell>
          <cell r="H1149" t="str">
            <v>118</v>
          </cell>
          <cell r="I1149" t="str">
            <v>Dedicated cooling emergency power, condensate, BACnet and alarms not verified</v>
          </cell>
          <cell r="J1149" t="str">
            <v>Critical</v>
          </cell>
          <cell r="K1149" t="str">
            <v>Medium</v>
          </cell>
          <cell r="L1149">
            <v>8</v>
          </cell>
          <cell r="O1149" t="str">
            <v>Open</v>
          </cell>
          <cell r="P1149" t="str">
            <v>Cooling is central to TR readiness.</v>
          </cell>
          <cell r="Q1149" t="str">
            <v>17|48</v>
          </cell>
        </row>
        <row r="1150">
          <cell r="E1150" t="str">
            <v>8. OWNER RISKS</v>
          </cell>
          <cell r="G1150" t="str">
            <v>B17-R5</v>
          </cell>
          <cell r="H1150" t="str">
            <v>118</v>
          </cell>
          <cell r="I1150" t="str">
            <v>208V UPS/PDU and panel source coordination could delay energization</v>
          </cell>
          <cell r="J1150" t="str">
            <v>High</v>
          </cell>
          <cell r="K1150" t="str">
            <v>Medium</v>
          </cell>
          <cell r="L1150">
            <v>6</v>
          </cell>
          <cell r="O1150" t="str">
            <v>Open</v>
          </cell>
          <cell r="P1150" t="str">
            <v>Panel sources include normal and equipment/emergency-side distribution references.</v>
          </cell>
          <cell r="Q1150" t="str">
            <v>17|49</v>
          </cell>
        </row>
        <row r="1151">
          <cell r="E1151" t="str">
            <v>8. OWNER RISKS</v>
          </cell>
          <cell r="G1151" t="str">
            <v>B17-R6</v>
          </cell>
          <cell r="H1151" t="str">
            <v>118/B29 Path</v>
          </cell>
          <cell r="I1151" t="str">
            <v>Cable tray and pathway scope is large and crosses multiple levels/building service boundary</v>
          </cell>
          <cell r="J1151" t="str">
            <v>High</v>
          </cell>
          <cell r="K1151" t="str">
            <v>Medium</v>
          </cell>
          <cell r="L1151">
            <v>6</v>
          </cell>
          <cell r="O1151" t="str">
            <v>Open</v>
          </cell>
          <cell r="P1151" t="str">
            <v>Cable tray schedule: basement 200 ft, first level 202 ft, second level 115 ft.</v>
          </cell>
          <cell r="Q1151" t="str">
            <v>17|50</v>
          </cell>
        </row>
        <row r="1152">
          <cell r="E1152" t="str">
            <v>8. OWNER RISKS</v>
          </cell>
          <cell r="G1152" t="str">
            <v>B17-R7</v>
          </cell>
          <cell r="H1152" t="str">
            <v>All</v>
          </cell>
          <cell r="I1152" t="str">
            <v>Telecom/fiber cutover could affect active hospital communications across B17 and B29</v>
          </cell>
          <cell r="J1152" t="str">
            <v>Critical</v>
          </cell>
          <cell r="K1152" t="str">
            <v>Medium</v>
          </cell>
          <cell r="L1152">
            <v>8</v>
          </cell>
          <cell r="O1152" t="str">
            <v>Open</v>
          </cell>
          <cell r="P1152" t="str">
            <v>Room 118 serves 169 total ports including allowance and B29 path.</v>
          </cell>
          <cell r="Q1152" t="str">
            <v>17|51</v>
          </cell>
        </row>
        <row r="1153">
          <cell r="E1153" t="str">
            <v>8. OWNER RISKS</v>
          </cell>
          <cell r="G1153" t="str">
            <v>B17-R8</v>
          </cell>
          <cell r="H1153" t="str">
            <v>All</v>
          </cell>
          <cell r="I1153" t="str">
            <v>Commissioning/third-party inspection reports may not be complete at turnover</v>
          </cell>
          <cell r="J1153" t="str">
            <v>High</v>
          </cell>
          <cell r="K1153" t="str">
            <v>Medium</v>
          </cell>
          <cell r="L1153">
            <v>6</v>
          </cell>
          <cell r="O1153" t="str">
            <v>Open</v>
          </cell>
          <cell r="P1153" t="str">
            <v>Required by cover/general notes.</v>
          </cell>
          <cell r="Q1153" t="str">
            <v>17|52</v>
          </cell>
        </row>
        <row r="1154">
          <cell r="E1154" t="str">
            <v>8. OWNER RISKS</v>
          </cell>
          <cell r="G1154">
            <v>0</v>
          </cell>
          <cell r="H1154">
            <v>0</v>
          </cell>
          <cell r="I1154">
            <v>0</v>
          </cell>
          <cell r="J1154">
            <v>0</v>
          </cell>
          <cell r="K1154">
            <v>0</v>
          </cell>
          <cell r="L1154">
            <v>0</v>
          </cell>
          <cell r="O1154">
            <v>0</v>
          </cell>
          <cell r="P1154">
            <v>0</v>
          </cell>
          <cell r="Q1154" t="str">
            <v>17|53</v>
          </cell>
        </row>
        <row r="1155">
          <cell r="E1155" t="str">
            <v>9. OPEN QUESTIONS</v>
          </cell>
          <cell r="G1155" t="str">
            <v>9. OPEN QUESTIONS</v>
          </cell>
          <cell r="H1155">
            <v>0</v>
          </cell>
          <cell r="I1155">
            <v>0</v>
          </cell>
          <cell r="J1155">
            <v>0</v>
          </cell>
          <cell r="K1155">
            <v>0</v>
          </cell>
          <cell r="L1155">
            <v>0</v>
          </cell>
          <cell r="O1155">
            <v>0</v>
          </cell>
          <cell r="P1155">
            <v>0</v>
          </cell>
          <cell r="Q1155" t="str">
            <v>17|54</v>
          </cell>
        </row>
        <row r="1156">
          <cell r="E1156" t="str">
            <v>9. OPEN QUESTIONS</v>
          </cell>
          <cell r="G1156" t="str">
            <v>Question ID</v>
          </cell>
          <cell r="H1156" t="str">
            <v>Question</v>
          </cell>
          <cell r="I1156" t="str">
            <v>Assigned To</v>
          </cell>
          <cell r="J1156" t="str">
            <v>Status</v>
          </cell>
          <cell r="K1156" t="str">
            <v>Needed By</v>
          </cell>
          <cell r="L1156" t="str">
            <v>Answer / Resolution</v>
          </cell>
          <cell r="O1156" t="str">
            <v>Date Closed</v>
          </cell>
          <cell r="P1156" t="str">
            <v>Notes</v>
          </cell>
          <cell r="Q1156" t="str">
            <v>17|55</v>
          </cell>
        </row>
        <row r="1157">
          <cell r="E1157" t="str">
            <v>9. OPEN QUESTIONS</v>
          </cell>
          <cell r="G1157" t="str">
            <v>B17-Q1</v>
          </cell>
          <cell r="H1157" t="str">
            <v>Confirm final telecom scope: new Room 118, existing B35A, and Building 29 served from B17?</v>
          </cell>
          <cell r="I1157" t="str">
            <v>VA / OIT / Designer</v>
          </cell>
          <cell r="J1157" t="str">
            <v>Open</v>
          </cell>
          <cell r="K1157">
            <v>0</v>
          </cell>
          <cell r="L1157">
            <v>0</v>
          </cell>
          <cell r="O1157">
            <v>0</v>
          </cell>
          <cell r="P1157">
            <v>0</v>
          </cell>
          <cell r="Q1157" t="str">
            <v>17|56</v>
          </cell>
        </row>
        <row r="1158">
          <cell r="E1158" t="str">
            <v>9. OPEN QUESTIONS</v>
          </cell>
          <cell r="G1158" t="str">
            <v>B17-Q2</v>
          </cell>
          <cell r="H1158" t="str">
            <v>What active services are currently fed from existing B35A equipment?</v>
          </cell>
          <cell r="I1158" t="str">
            <v>OIT / Contractor</v>
          </cell>
          <cell r="J1158" t="str">
            <v>Open</v>
          </cell>
          <cell r="K1158">
            <v>0</v>
          </cell>
          <cell r="L1158">
            <v>0</v>
          </cell>
          <cell r="O1158">
            <v>0</v>
          </cell>
          <cell r="P1158">
            <v>0</v>
          </cell>
          <cell r="Q1158" t="str">
            <v>17|57</v>
          </cell>
        </row>
        <row r="1159">
          <cell r="E1159" t="str">
            <v>9. OPEN QUESTIONS</v>
          </cell>
          <cell r="G1159" t="str">
            <v>B17-Q3</v>
          </cell>
          <cell r="H1159" t="str">
            <v>What exact Building 29 outlets/devices are served through TR17-118-1?</v>
          </cell>
          <cell r="I1159" t="str">
            <v>VA / OIT / Designer</v>
          </cell>
          <cell r="J1159" t="str">
            <v>Open</v>
          </cell>
          <cell r="K1159">
            <v>0</v>
          </cell>
          <cell r="L1159">
            <v>0</v>
          </cell>
          <cell r="O1159">
            <v>0</v>
          </cell>
          <cell r="P1159">
            <v>0</v>
          </cell>
          <cell r="Q1159" t="str">
            <v>17|58</v>
          </cell>
        </row>
        <row r="1160">
          <cell r="E1160" t="str">
            <v>9. OPEN QUESTIONS</v>
          </cell>
          <cell r="G1160" t="str">
            <v>B17-Q4</v>
          </cell>
          <cell r="H1160" t="str">
            <v>Is IU-1-01/CU-1-01 on emergency/backup power and dedicated to Room 118?</v>
          </cell>
          <cell r="I1160" t="str">
            <v>Mechanical / Electrical / VA</v>
          </cell>
          <cell r="J1160" t="str">
            <v>Open</v>
          </cell>
          <cell r="K1160">
            <v>0</v>
          </cell>
          <cell r="L1160">
            <v>0</v>
          </cell>
          <cell r="O1160">
            <v>0</v>
          </cell>
          <cell r="P1160">
            <v>0</v>
          </cell>
          <cell r="Q1160" t="str">
            <v>17|59</v>
          </cell>
        </row>
        <row r="1161">
          <cell r="E1161" t="str">
            <v>9. OPEN QUESTIONS</v>
          </cell>
          <cell r="G1161" t="str">
            <v>B17-Q5</v>
          </cell>
          <cell r="H1161" t="str">
            <v>Where is the clean-agent/CO2 extinguisher cabinet located within 75 ft of Room 118?</v>
          </cell>
          <cell r="I1161" t="str">
            <v>GC / COR</v>
          </cell>
          <cell r="J1161" t="str">
            <v>Open</v>
          </cell>
          <cell r="K1161">
            <v>0</v>
          </cell>
          <cell r="L1161">
            <v>0</v>
          </cell>
          <cell r="O1161">
            <v>0</v>
          </cell>
          <cell r="P1161">
            <v>0</v>
          </cell>
          <cell r="Q1161" t="str">
            <v>17|60</v>
          </cell>
        </row>
        <row r="1162">
          <cell r="E1162" t="str">
            <v>9. OPEN QUESTIONS</v>
          </cell>
          <cell r="G1162" t="str">
            <v>B17-Q6</v>
          </cell>
          <cell r="H1162" t="str">
            <v>Are B17-TR118A/B sources, rack receptacles, SPDs, circuit labels and load measurements approved?</v>
          </cell>
          <cell r="I1162" t="str">
            <v>Electrical / Designer</v>
          </cell>
          <cell r="J1162" t="str">
            <v>Open</v>
          </cell>
          <cell r="K1162">
            <v>0</v>
          </cell>
          <cell r="L1162">
            <v>0</v>
          </cell>
          <cell r="O1162">
            <v>0</v>
          </cell>
          <cell r="P1162">
            <v>0</v>
          </cell>
          <cell r="Q1162" t="str">
            <v>17|61</v>
          </cell>
        </row>
        <row r="1163">
          <cell r="E1163" t="str">
            <v>9. OPEN QUESTIONS</v>
          </cell>
          <cell r="G1163" t="str">
            <v>B17-Q7</v>
          </cell>
          <cell r="H1163" t="str">
            <v>Are all rated wall/floor penetrations, sleeves, cable tray entries and firestopping details identified?</v>
          </cell>
          <cell r="I1163" t="str">
            <v>GC / Firestop</v>
          </cell>
          <cell r="J1163" t="str">
            <v>Open</v>
          </cell>
          <cell r="K1163">
            <v>0</v>
          </cell>
          <cell r="L1163">
            <v>0</v>
          </cell>
          <cell r="O1163">
            <v>0</v>
          </cell>
          <cell r="P1163">
            <v>0</v>
          </cell>
          <cell r="Q1163" t="str">
            <v>17|62</v>
          </cell>
        </row>
        <row r="1164">
          <cell r="E1164" t="str">
            <v>9. OPEN QUESTIONS</v>
          </cell>
          <cell r="G1164" t="str">
            <v>B17-Q8</v>
          </cell>
          <cell r="H1164" t="str">
            <v>Which third-party inspections and commissioning forms are required before VA acceptance?</v>
          </cell>
          <cell r="I1164" t="str">
            <v>GC / Cx Manager</v>
          </cell>
          <cell r="J1164" t="str">
            <v>Open</v>
          </cell>
          <cell r="K1164">
            <v>0</v>
          </cell>
          <cell r="L1164">
            <v>0</v>
          </cell>
          <cell r="O1164">
            <v>0</v>
          </cell>
          <cell r="P1164">
            <v>0</v>
          </cell>
          <cell r="Q1164" t="str">
            <v>17|63</v>
          </cell>
        </row>
        <row r="1165">
          <cell r="E1165" t="str">
            <v>9. OPEN QUESTIONS</v>
          </cell>
          <cell r="G1165">
            <v>0</v>
          </cell>
          <cell r="H1165">
            <v>0</v>
          </cell>
          <cell r="I1165">
            <v>0</v>
          </cell>
          <cell r="J1165">
            <v>0</v>
          </cell>
          <cell r="K1165">
            <v>0</v>
          </cell>
          <cell r="L1165">
            <v>0</v>
          </cell>
          <cell r="O1165">
            <v>0</v>
          </cell>
          <cell r="P1165">
            <v>0</v>
          </cell>
          <cell r="Q1165" t="str">
            <v>17|64</v>
          </cell>
        </row>
        <row r="1166">
          <cell r="E1166" t="str">
            <v>10. PHOTO LOG</v>
          </cell>
          <cell r="G1166" t="str">
            <v>10. PHOTO LOG</v>
          </cell>
          <cell r="H1166">
            <v>0</v>
          </cell>
          <cell r="I1166">
            <v>0</v>
          </cell>
          <cell r="J1166">
            <v>0</v>
          </cell>
          <cell r="K1166">
            <v>0</v>
          </cell>
          <cell r="L1166">
            <v>0</v>
          </cell>
          <cell r="O1166">
            <v>0</v>
          </cell>
          <cell r="P1166">
            <v>0</v>
          </cell>
          <cell r="Q1166" t="str">
            <v>17|65</v>
          </cell>
        </row>
        <row r="1167">
          <cell r="E1167" t="str">
            <v>10. PHOTO LOG</v>
          </cell>
          <cell r="G1167" t="str">
            <v>Photo ID</v>
          </cell>
          <cell r="H1167" t="str">
            <v>Room</v>
          </cell>
          <cell r="I1167" t="str">
            <v>Category</v>
          </cell>
          <cell r="J1167" t="str">
            <v>Description</v>
          </cell>
          <cell r="K1167" t="str">
            <v>Date</v>
          </cell>
          <cell r="L1167" t="str">
            <v>Taken By</v>
          </cell>
          <cell r="O1167" t="str">
            <v>Status</v>
          </cell>
          <cell r="P1167" t="str">
            <v>Notes</v>
          </cell>
          <cell r="Q1167" t="str">
            <v>17|66</v>
          </cell>
        </row>
        <row r="1168">
          <cell r="E1168" t="str">
            <v>10. PHOTO LOG</v>
          </cell>
          <cell r="G1168" t="str">
            <v>B17-P001</v>
          </cell>
          <cell r="H1168" t="str">
            <v>118</v>
          </cell>
          <cell r="I1168" t="str">
            <v>Existing Condition</v>
          </cell>
          <cell r="J1168" t="str">
            <v>Room 118 walls, ceiling/deck, floor, door, adjacent Lab/Freezer/Research/Corridor areas, rack location, pathways and penetrations</v>
          </cell>
          <cell r="K1168">
            <v>0</v>
          </cell>
          <cell r="L1168" t="str">
            <v>Paul</v>
          </cell>
          <cell r="O1168" t="str">
            <v>Open</v>
          </cell>
          <cell r="P1168">
            <v>0</v>
          </cell>
          <cell r="Q1168" t="str">
            <v>17|67</v>
          </cell>
        </row>
        <row r="1169">
          <cell r="E1169" t="str">
            <v>10. PHOTO LOG</v>
          </cell>
          <cell r="G1169" t="str">
            <v>B17-P002</v>
          </cell>
          <cell r="H1169" t="str">
            <v>B35A</v>
          </cell>
          <cell r="I1169" t="str">
            <v>Existing Condition</v>
          </cell>
          <cell r="J1169" t="str">
            <v>Existing Telecom Closet B35A wall TE, SERTEX service ports, legacy patch panels, Cisco switches, security cabinet, plywood backboard, indoor AC and floor UPS</v>
          </cell>
          <cell r="K1169">
            <v>0</v>
          </cell>
          <cell r="L1169" t="str">
            <v>Paul</v>
          </cell>
          <cell r="O1169" t="str">
            <v>Open</v>
          </cell>
          <cell r="P1169">
            <v>0</v>
          </cell>
          <cell r="Q1169" t="str">
            <v>17|68</v>
          </cell>
        </row>
        <row r="1170">
          <cell r="E1170" t="str">
            <v>10. PHOTO LOG</v>
          </cell>
          <cell r="G1170" t="str">
            <v>B17-P003</v>
          </cell>
          <cell r="H1170" t="str">
            <v>B29 Path</v>
          </cell>
          <cell r="I1170" t="str">
            <v>Pathway</v>
          </cell>
          <cell r="J1170" t="str">
            <v>Path to B29 4-inch PVC, fiber route, penetrations, handoff points and labeling</v>
          </cell>
          <cell r="K1170">
            <v>0</v>
          </cell>
          <cell r="L1170" t="str">
            <v>Paul</v>
          </cell>
          <cell r="O1170" t="str">
            <v>Open</v>
          </cell>
          <cell r="P1170">
            <v>0</v>
          </cell>
          <cell r="Q1170" t="str">
            <v>17|69</v>
          </cell>
        </row>
        <row r="1171">
          <cell r="E1171" t="str">
            <v>10. PHOTO LOG</v>
          </cell>
          <cell r="G1171" t="str">
            <v>B17-P004</v>
          </cell>
          <cell r="H1171" t="str">
            <v>118</v>
          </cell>
          <cell r="I1171" t="str">
            <v>Hazardous Materials</v>
          </cell>
          <cell r="J1171" t="str">
            <v>First-level abatement-related materials, flooring, walls, ceiling/penetrations, and disturbance areas</v>
          </cell>
          <cell r="K1171">
            <v>0</v>
          </cell>
          <cell r="L1171" t="str">
            <v>Paul</v>
          </cell>
          <cell r="O1171" t="str">
            <v>Open</v>
          </cell>
          <cell r="P1171">
            <v>0</v>
          </cell>
          <cell r="Q1171" t="str">
            <v>17|70</v>
          </cell>
        </row>
        <row r="1172">
          <cell r="E1172" t="str">
            <v>10. PHOTO LOG</v>
          </cell>
          <cell r="G1172" t="str">
            <v>B17-P005</v>
          </cell>
          <cell r="H1172" t="str">
            <v>118/B29</v>
          </cell>
          <cell r="I1172" t="str">
            <v>Firestop</v>
          </cell>
          <cell r="J1172" t="str">
            <v>All wall/floor/sleeve/tray penetrations before and after firestop, including B29 pathway</v>
          </cell>
          <cell r="K1172">
            <v>0</v>
          </cell>
          <cell r="L1172" t="str">
            <v>Paul</v>
          </cell>
          <cell r="O1172" t="str">
            <v>Open</v>
          </cell>
          <cell r="P1172">
            <v>0</v>
          </cell>
          <cell r="Q1172" t="str">
            <v>17|71</v>
          </cell>
        </row>
        <row r="1173">
          <cell r="E1173" t="str">
            <v>10. PHOTO LOG</v>
          </cell>
          <cell r="G1173" t="str">
            <v>B17-P006</v>
          </cell>
          <cell r="H1173" t="str">
            <v>118</v>
          </cell>
          <cell r="I1173" t="str">
            <v>HVAC</v>
          </cell>
          <cell r="J1173" t="str">
            <v>IU-1-01/CU-1-01, condensate, thermostat, BACnet adapter, disconnects, high-temp alarm and power source</v>
          </cell>
          <cell r="K1173">
            <v>0</v>
          </cell>
          <cell r="L1173" t="str">
            <v>Paul</v>
          </cell>
          <cell r="O1173" t="str">
            <v>Open</v>
          </cell>
          <cell r="P1173">
            <v>0</v>
          </cell>
          <cell r="Q1173" t="str">
            <v>17|72</v>
          </cell>
        </row>
        <row r="1174">
          <cell r="E1174" t="str">
            <v>10. PHOTO LOG</v>
          </cell>
          <cell r="G1174" t="str">
            <v>B17-P007</v>
          </cell>
          <cell r="H1174" t="str">
            <v>118</v>
          </cell>
          <cell r="I1174" t="str">
            <v>Electrical</v>
          </cell>
          <cell r="J1174" t="str">
            <v>B17-TR118A/B panels, BUS-B17-EQDP, BUS-B17-NPB1-R, rack receptacles, breakers, SPD, access controller, lighting, CU-1-01 and labels</v>
          </cell>
          <cell r="K1174">
            <v>0</v>
          </cell>
          <cell r="L1174" t="str">
            <v>Paul</v>
          </cell>
          <cell r="O1174" t="str">
            <v>Open</v>
          </cell>
          <cell r="P1174">
            <v>0</v>
          </cell>
          <cell r="Q1174" t="str">
            <v>17|73</v>
          </cell>
        </row>
        <row r="1175">
          <cell r="E1175" t="str">
            <v>10. PHOTO LOG</v>
          </cell>
          <cell r="G1175" t="str">
            <v>B17-P008</v>
          </cell>
          <cell r="H1175" t="str">
            <v>118/B35A/B29</v>
          </cell>
          <cell r="I1175" t="str">
            <v>Telecom/Security</v>
          </cell>
          <cell r="J1175" t="str">
            <v>New rack/future rack, fiber path A/B, Cat6A, patch panels, LIU, labels/test records, 118-CAM-01 and existing B35A transfer work</v>
          </cell>
          <cell r="K1175">
            <v>0</v>
          </cell>
          <cell r="L1175" t="str">
            <v>Paul</v>
          </cell>
          <cell r="O1175" t="str">
            <v>Open</v>
          </cell>
          <cell r="P1175">
            <v>0</v>
          </cell>
          <cell r="Q1175" t="str">
            <v>17|74</v>
          </cell>
        </row>
        <row r="1176">
          <cell r="E1176" t="str">
            <v>10. PHOTO LOG</v>
          </cell>
          <cell r="G1176">
            <v>0</v>
          </cell>
          <cell r="H1176">
            <v>0</v>
          </cell>
          <cell r="I1176">
            <v>0</v>
          </cell>
          <cell r="J1176">
            <v>0</v>
          </cell>
          <cell r="K1176">
            <v>0</v>
          </cell>
          <cell r="L1176">
            <v>0</v>
          </cell>
          <cell r="O1176">
            <v>0</v>
          </cell>
          <cell r="P1176">
            <v>0</v>
          </cell>
          <cell r="Q1176" t="str">
            <v>17|75</v>
          </cell>
        </row>
        <row r="1177">
          <cell r="E1177" t="str">
            <v>1. ROOM INVENTORY</v>
          </cell>
          <cell r="G1177" t="str">
            <v>1. ROOM INVENTORY</v>
          </cell>
          <cell r="H1177">
            <v>0</v>
          </cell>
          <cell r="I1177">
            <v>0</v>
          </cell>
          <cell r="J1177">
            <v>0</v>
          </cell>
          <cell r="K1177">
            <v>0</v>
          </cell>
          <cell r="L1177">
            <v>0</v>
          </cell>
          <cell r="O1177">
            <v>0</v>
          </cell>
          <cell r="P1177">
            <v>0</v>
          </cell>
          <cell r="Q1177" t="str">
            <v>18|1</v>
          </cell>
        </row>
        <row r="1178">
          <cell r="E1178" t="str">
            <v>1. ROOM INVENTORY</v>
          </cell>
          <cell r="G1178" t="str">
            <v>Building</v>
          </cell>
          <cell r="H1178" t="str">
            <v>Room</v>
          </cell>
          <cell r="I1178" t="str">
            <v>Floor</v>
          </cell>
          <cell r="J1178" t="str">
            <v>Existing Use</v>
          </cell>
          <cell r="K1178" t="str">
            <v>New Use</v>
          </cell>
          <cell r="L1178" t="str">
            <v>Rack Count</v>
          </cell>
          <cell r="O1178" t="str">
            <v>Drawing Ref</v>
          </cell>
          <cell r="P1178" t="str">
            <v>Notes</v>
          </cell>
          <cell r="Q1178" t="str">
            <v>18|2</v>
          </cell>
        </row>
        <row r="1179">
          <cell r="E1179" t="str">
            <v>1. ROOM INVENTORY</v>
          </cell>
          <cell r="G1179" t="str">
            <v>18</v>
          </cell>
          <cell r="H1179" t="str">
            <v>110</v>
          </cell>
          <cell r="I1179" t="str">
            <v>First</v>
          </cell>
          <cell r="J1179" t="str">
            <v>New telecom room build area</v>
          </cell>
          <cell r="K1179" t="str">
            <v>Telecom Room</v>
          </cell>
          <cell r="L1179">
            <v>1</v>
          </cell>
          <cell r="O1179" t="str">
            <v>18A-401 / 18E-101 / 18T-100 / 18T-401 / 18T-604 / 18T-701</v>
          </cell>
          <cell r="P1179" t="str">
            <v>Primary Building 18 TR. Plans identify Telecom Room 110 at 168 SF, Rack ID TR01-111A-1, panels B18-TR110A/B, 208V rack UPS/PDU equipment, IU-1-01/CU-1-01 cooling, 315 feet total cable tray, and future rack allowance. Room 110 is the new rack room even though the schedule labels RM 111A.</v>
          </cell>
          <cell r="Q1179" t="str">
            <v>18|3</v>
          </cell>
        </row>
        <row r="1180">
          <cell r="E1180" t="str">
            <v>1. ROOM INVENTORY</v>
          </cell>
          <cell r="G1180" t="str">
            <v>18</v>
          </cell>
          <cell r="H1180" t="str">
            <v>111B</v>
          </cell>
          <cell r="I1180" t="str">
            <v>First</v>
          </cell>
          <cell r="J1180" t="str">
            <v>Existing TE / stair-adjacent legacy equipment area</v>
          </cell>
          <cell r="K1180" t="str">
            <v>Existing telecom transition point</v>
          </cell>
          <cell r="L1180">
            <v>1</v>
          </cell>
          <cell r="O1180" t="str">
            <v>18T-401 / 18T-604 / 18R-900</v>
          </cell>
          <cell r="P1180" t="str">
            <v>Existing first-level TE 111B shown at 13 SF with wall-mounted rack, plywood backboard, patch panel, security cabinet, existing floor UPS, and 5RU fiber optic housing. Protect active services and verify transfer to Room 110.</v>
          </cell>
          <cell r="Q1180" t="str">
            <v>18|4</v>
          </cell>
        </row>
        <row r="1181">
          <cell r="E1181" t="str">
            <v>1. ROOM INVENTORY</v>
          </cell>
          <cell r="G1181" t="str">
            <v>18</v>
          </cell>
          <cell r="H1181" t="str">
            <v>213</v>
          </cell>
          <cell r="I1181" t="str">
            <v>Second</v>
          </cell>
          <cell r="J1181" t="str">
            <v>Existing telecom closet / legacy equipment area</v>
          </cell>
          <cell r="K1181" t="str">
            <v>Existing telecom transition point</v>
          </cell>
          <cell r="L1181">
            <v>1</v>
          </cell>
          <cell r="O1181" t="str">
            <v>18T-401 / 18T-604 / 18R-900</v>
          </cell>
          <cell r="P1181" t="str">
            <v>Existing second-level Closet 213 shown at 8 SF with wall-mounted rack, plywood backboard, patch panel, security cabinet, APC floor UPS, SERTEX utility service ports, Cisco switch and legacy Ortronics patch panels. Protect active services and verify transfer to Room 110.</v>
          </cell>
          <cell r="Q1181" t="str">
            <v>18|5</v>
          </cell>
        </row>
        <row r="1182">
          <cell r="E1182" t="str">
            <v>1. ROOM INVENTORY</v>
          </cell>
          <cell r="G1182">
            <v>0</v>
          </cell>
          <cell r="H1182">
            <v>0</v>
          </cell>
          <cell r="I1182">
            <v>0</v>
          </cell>
          <cell r="J1182">
            <v>0</v>
          </cell>
          <cell r="K1182">
            <v>0</v>
          </cell>
          <cell r="L1182">
            <v>0</v>
          </cell>
          <cell r="O1182">
            <v>0</v>
          </cell>
          <cell r="P1182">
            <v>0</v>
          </cell>
          <cell r="Q1182" t="str">
            <v>18|6</v>
          </cell>
        </row>
        <row r="1183">
          <cell r="E1183" t="str">
            <v>2. ROOM READINESS</v>
          </cell>
          <cell r="G1183" t="str">
            <v>2. ROOM READINESS</v>
          </cell>
          <cell r="H1183">
            <v>0</v>
          </cell>
          <cell r="I1183">
            <v>0</v>
          </cell>
          <cell r="J1183">
            <v>0</v>
          </cell>
          <cell r="K1183">
            <v>0</v>
          </cell>
          <cell r="L1183">
            <v>0</v>
          </cell>
          <cell r="O1183">
            <v>0</v>
          </cell>
          <cell r="P1183">
            <v>0</v>
          </cell>
          <cell r="Q1183" t="str">
            <v>18|7</v>
          </cell>
        </row>
        <row r="1184">
          <cell r="E1184" t="str">
            <v>2. ROOM READINESS</v>
          </cell>
          <cell r="G1184" t="str">
            <v>Room</v>
          </cell>
          <cell r="H1184" t="str">
            <v>Walls / 1-hr Rating</v>
          </cell>
          <cell r="I1184" t="str">
            <v>Ceiling</v>
          </cell>
          <cell r="J1184" t="str">
            <v>Floor / SDC</v>
          </cell>
          <cell r="K1184" t="str">
            <v>Penetrations</v>
          </cell>
          <cell r="L1184" t="str">
            <v>Access Control</v>
          </cell>
          <cell r="O1184" t="str">
            <v>Overall</v>
          </cell>
          <cell r="P1184" t="str">
            <v>Comments</v>
          </cell>
          <cell r="Q1184" t="str">
            <v>18|8</v>
          </cell>
        </row>
        <row r="1185">
          <cell r="E1185" t="str">
            <v>2. ROOM READINESS</v>
          </cell>
          <cell r="G1185" t="str">
            <v>110</v>
          </cell>
          <cell r="H1185" t="str">
            <v>Verify</v>
          </cell>
          <cell r="I1185" t="str">
            <v>Verify</v>
          </cell>
          <cell r="J1185" t="str">
            <v>Verify</v>
          </cell>
          <cell r="K1185" t="str">
            <v>Verify</v>
          </cell>
          <cell r="L1185" t="str">
            <v>Verify</v>
          </cell>
          <cell r="O1185" t="str">
            <v>Verify</v>
          </cell>
          <cell r="P1185" t="str">
            <v>First-level TR; verify 1-hour fire/smoke-rated enclosure, open-to-deck conditions, 45-minute door/frame, access control, static-control floor sealer, rack/future rack clearances, wall backing, and cable tray/pathway entry points.</v>
          </cell>
          <cell r="Q1185" t="str">
            <v>18|9</v>
          </cell>
        </row>
        <row r="1186">
          <cell r="E1186" t="str">
            <v>2. ROOM READINESS</v>
          </cell>
          <cell r="G1186" t="str">
            <v>111B</v>
          </cell>
          <cell r="H1186" t="str">
            <v>Existing / Verify</v>
          </cell>
          <cell r="I1186" t="str">
            <v>Existing / Verify</v>
          </cell>
          <cell r="J1186" t="str">
            <v>Existing / Verify</v>
          </cell>
          <cell r="K1186" t="str">
            <v>Verify</v>
          </cell>
          <cell r="L1186" t="str">
            <v>Verify</v>
          </cell>
          <cell r="O1186" t="str">
            <v>Verify</v>
          </cell>
          <cell r="P1186" t="str">
            <v>Existing first-level TE; verify active equipment status, pathway, rack/UPS/backboard, security cabinet, fiber housing and transition/abandonment scope.</v>
          </cell>
          <cell r="Q1186" t="str">
            <v>18|10</v>
          </cell>
        </row>
        <row r="1187">
          <cell r="E1187" t="str">
            <v>2. ROOM READINESS</v>
          </cell>
          <cell r="G1187" t="str">
            <v>213</v>
          </cell>
          <cell r="H1187" t="str">
            <v>Existing / Verify</v>
          </cell>
          <cell r="I1187" t="str">
            <v>Existing / Verify</v>
          </cell>
          <cell r="J1187" t="str">
            <v>Existing / Verify</v>
          </cell>
          <cell r="K1187" t="str">
            <v>Verify</v>
          </cell>
          <cell r="L1187" t="str">
            <v>Verify</v>
          </cell>
          <cell r="O1187" t="str">
            <v>Verify</v>
          </cell>
          <cell r="P1187" t="str">
            <v>Existing second-level closet; verify active equipment status, pathway, rack/UPS/backboard, security cabinet and transition/abandonment scope.</v>
          </cell>
          <cell r="Q1187" t="str">
            <v>18|11</v>
          </cell>
        </row>
        <row r="1188">
          <cell r="E1188" t="str">
            <v>2. ROOM READINESS</v>
          </cell>
          <cell r="G1188">
            <v>0</v>
          </cell>
          <cell r="H1188">
            <v>0</v>
          </cell>
          <cell r="I1188">
            <v>0</v>
          </cell>
          <cell r="J1188">
            <v>0</v>
          </cell>
          <cell r="K1188">
            <v>0</v>
          </cell>
          <cell r="L1188">
            <v>0</v>
          </cell>
          <cell r="O1188">
            <v>0</v>
          </cell>
          <cell r="P1188">
            <v>0</v>
          </cell>
          <cell r="Q1188" t="str">
            <v>18|12</v>
          </cell>
        </row>
        <row r="1189">
          <cell r="E1189" t="str">
            <v>3. FIRE PROTECTION</v>
          </cell>
          <cell r="G1189" t="str">
            <v>3. FIRE PROTECTION</v>
          </cell>
          <cell r="H1189">
            <v>0</v>
          </cell>
          <cell r="I1189">
            <v>0</v>
          </cell>
          <cell r="J1189">
            <v>0</v>
          </cell>
          <cell r="K1189">
            <v>0</v>
          </cell>
          <cell r="L1189">
            <v>0</v>
          </cell>
          <cell r="O1189">
            <v>0</v>
          </cell>
          <cell r="P1189">
            <v>0</v>
          </cell>
          <cell r="Q1189" t="str">
            <v>18|13</v>
          </cell>
        </row>
        <row r="1190">
          <cell r="E1190" t="str">
            <v>3. FIRE PROTECTION</v>
          </cell>
          <cell r="G1190" t="str">
            <v>Room</v>
          </cell>
          <cell r="H1190" t="str">
            <v>Sprinkler</v>
          </cell>
          <cell r="I1190" t="str">
            <v>Cage</v>
          </cell>
          <cell r="J1190" t="str">
            <v>Detector</v>
          </cell>
          <cell r="K1190" t="str">
            <v>Horn/Strobe</v>
          </cell>
          <cell r="L1190" t="str">
            <v>Extinguisher &lt;75 ft</v>
          </cell>
          <cell r="O1190" t="str">
            <v>Overall</v>
          </cell>
          <cell r="P1190" t="str">
            <v>Risk / Notes</v>
          </cell>
          <cell r="Q1190" t="str">
            <v>18|14</v>
          </cell>
        </row>
        <row r="1191">
          <cell r="E1191" t="str">
            <v>3. FIRE PROTECTION</v>
          </cell>
          <cell r="G1191" t="str">
            <v>110</v>
          </cell>
          <cell r="H1191" t="str">
            <v>Verify</v>
          </cell>
          <cell r="I1191" t="str">
            <v>Verify</v>
          </cell>
          <cell r="J1191" t="str">
            <v>Verify</v>
          </cell>
          <cell r="K1191" t="str">
            <v>Verify</v>
          </cell>
          <cell r="L1191" t="str">
            <v>Verify</v>
          </cell>
          <cell r="O1191" t="str">
            <v>Verify</v>
          </cell>
          <cell r="P1191" t="str">
            <v>Fully sprinklered building; confirm sprinkler/fire alarm modifications, clean-agent 2A:10B:C extinguisher within 75 ft, rated wall/ceiling/floor penetrations, and temporary firestopping during cable pulls.</v>
          </cell>
          <cell r="Q1191" t="str">
            <v>18|15</v>
          </cell>
        </row>
        <row r="1192">
          <cell r="E1192" t="str">
            <v>3. FIRE PROTECTION</v>
          </cell>
          <cell r="G1192" t="str">
            <v>111B</v>
          </cell>
          <cell r="H1192" t="str">
            <v>Verify</v>
          </cell>
          <cell r="I1192" t="str">
            <v>N/A</v>
          </cell>
          <cell r="J1192" t="str">
            <v>Verify</v>
          </cell>
          <cell r="K1192" t="str">
            <v>Verify</v>
          </cell>
          <cell r="L1192" t="str">
            <v>Verify</v>
          </cell>
          <cell r="O1192" t="str">
            <v>Verify</v>
          </cell>
          <cell r="P1192" t="str">
            <v>Existing TE room; verify fire alarm/sprinkler protection-in-place and seal removed/reused penetrations after cutover.</v>
          </cell>
          <cell r="Q1192" t="str">
            <v>18|16</v>
          </cell>
        </row>
        <row r="1193">
          <cell r="E1193" t="str">
            <v>3. FIRE PROTECTION</v>
          </cell>
          <cell r="G1193" t="str">
            <v>213</v>
          </cell>
          <cell r="H1193" t="str">
            <v>Verify</v>
          </cell>
          <cell r="I1193" t="str">
            <v>N/A</v>
          </cell>
          <cell r="J1193" t="str">
            <v>Verify</v>
          </cell>
          <cell r="K1193" t="str">
            <v>Verify</v>
          </cell>
          <cell r="L1193" t="str">
            <v>Verify</v>
          </cell>
          <cell r="O1193" t="str">
            <v>Verify</v>
          </cell>
          <cell r="P1193" t="str">
            <v>Existing second-level closet; verify protection-in-place and firestopping after transfer or abandonment.</v>
          </cell>
          <cell r="Q1193" t="str">
            <v>18|17</v>
          </cell>
        </row>
        <row r="1194">
          <cell r="E1194" t="str">
            <v>3. FIRE PROTECTION</v>
          </cell>
          <cell r="G1194">
            <v>0</v>
          </cell>
          <cell r="H1194">
            <v>0</v>
          </cell>
          <cell r="I1194">
            <v>0</v>
          </cell>
          <cell r="J1194">
            <v>0</v>
          </cell>
          <cell r="K1194">
            <v>0</v>
          </cell>
          <cell r="L1194">
            <v>0</v>
          </cell>
          <cell r="O1194">
            <v>0</v>
          </cell>
          <cell r="P1194">
            <v>0</v>
          </cell>
          <cell r="Q1194" t="str">
            <v>18|18</v>
          </cell>
        </row>
        <row r="1195">
          <cell r="E1195" t="str">
            <v>4. HVAC / COOLING</v>
          </cell>
          <cell r="G1195" t="str">
            <v>4. HVAC / COOLING</v>
          </cell>
          <cell r="H1195">
            <v>0</v>
          </cell>
          <cell r="I1195">
            <v>0</v>
          </cell>
          <cell r="J1195">
            <v>0</v>
          </cell>
          <cell r="K1195">
            <v>0</v>
          </cell>
          <cell r="L1195">
            <v>0</v>
          </cell>
          <cell r="O1195">
            <v>0</v>
          </cell>
          <cell r="P1195">
            <v>0</v>
          </cell>
          <cell r="Q1195" t="str">
            <v>18|19</v>
          </cell>
        </row>
        <row r="1196">
          <cell r="E1196" t="str">
            <v>4. HVAC / COOLING</v>
          </cell>
          <cell r="G1196" t="str">
            <v>Room</v>
          </cell>
          <cell r="H1196" t="str">
            <v>Dedicated Unit</v>
          </cell>
          <cell r="I1196" t="str">
            <v>Capacity Verified</v>
          </cell>
          <cell r="J1196" t="str">
            <v>Emergency Power</v>
          </cell>
          <cell r="K1196" t="str">
            <v>Controls / BACnet</v>
          </cell>
          <cell r="L1196" t="str">
            <v>Condensate Routed</v>
          </cell>
          <cell r="O1196" t="str">
            <v>Overall</v>
          </cell>
          <cell r="P1196" t="str">
            <v>Risk / Notes</v>
          </cell>
          <cell r="Q1196" t="str">
            <v>18|20</v>
          </cell>
        </row>
        <row r="1197">
          <cell r="E1197" t="str">
            <v>4. HVAC / COOLING</v>
          </cell>
          <cell r="G1197" t="str">
            <v>110</v>
          </cell>
          <cell r="H1197" t="str">
            <v>IU-1-01 / CU-1-01</v>
          </cell>
          <cell r="I1197" t="str">
            <v>Verify</v>
          </cell>
          <cell r="J1197" t="str">
            <v>Verify</v>
          </cell>
          <cell r="K1197" t="str">
            <v>Verify</v>
          </cell>
          <cell r="L1197" t="str">
            <v>Verify</v>
          </cell>
          <cell r="O1197" t="str">
            <v>Verify</v>
          </cell>
          <cell r="P1197" t="str">
            <v>Mechanical/electrical drawings show IU-1-01 in Telecom Room 110 and CU-1-01 outdoor unit. Confirm capacity, emergency/standby source, BACnet adapter, thermostat/control point, condensate path, disconnects, and high-temperature alarm.</v>
          </cell>
          <cell r="Q1197" t="str">
            <v>18|21</v>
          </cell>
        </row>
        <row r="1198">
          <cell r="E1198" t="str">
            <v>4. HVAC / COOLING</v>
          </cell>
          <cell r="G1198" t="str">
            <v>111B</v>
          </cell>
          <cell r="H1198" t="str">
            <v>Existing / Verify</v>
          </cell>
          <cell r="I1198" t="str">
            <v>Verify</v>
          </cell>
          <cell r="J1198" t="str">
            <v>Verify</v>
          </cell>
          <cell r="K1198" t="str">
            <v>Verify</v>
          </cell>
          <cell r="L1198" t="str">
            <v>Verify</v>
          </cell>
          <cell r="O1198" t="str">
            <v>Verify</v>
          </cell>
          <cell r="P1198" t="str">
            <v>Existing TE 111B; verify existing environmental conditions during cutover and whether legacy equipment remains active.</v>
          </cell>
          <cell r="Q1198" t="str">
            <v>18|22</v>
          </cell>
        </row>
        <row r="1199">
          <cell r="E1199" t="str">
            <v>4. HVAC / COOLING</v>
          </cell>
          <cell r="G1199" t="str">
            <v>213</v>
          </cell>
          <cell r="H1199" t="str">
            <v>Existing / Verify</v>
          </cell>
          <cell r="I1199" t="str">
            <v>Verify</v>
          </cell>
          <cell r="J1199" t="str">
            <v>Verify</v>
          </cell>
          <cell r="K1199" t="str">
            <v>Verify</v>
          </cell>
          <cell r="L1199" t="str">
            <v>Verify</v>
          </cell>
          <cell r="O1199" t="str">
            <v>Verify</v>
          </cell>
          <cell r="P1199" t="str">
            <v>Existing Closet 213; verify existing environmental conditions during cutover and whether legacy equipment remains active.</v>
          </cell>
          <cell r="Q1199" t="str">
            <v>18|23</v>
          </cell>
        </row>
        <row r="1200">
          <cell r="E1200" t="str">
            <v>4. HVAC / COOLING</v>
          </cell>
          <cell r="G1200">
            <v>0</v>
          </cell>
          <cell r="H1200">
            <v>0</v>
          </cell>
          <cell r="I1200">
            <v>0</v>
          </cell>
          <cell r="J1200">
            <v>0</v>
          </cell>
          <cell r="K1200">
            <v>0</v>
          </cell>
          <cell r="L1200">
            <v>0</v>
          </cell>
          <cell r="O1200">
            <v>0</v>
          </cell>
          <cell r="P1200">
            <v>0</v>
          </cell>
          <cell r="Q1200" t="str">
            <v>18|24</v>
          </cell>
        </row>
        <row r="1201">
          <cell r="E1201" t="str">
            <v>5. ELECTRICAL / UPS</v>
          </cell>
          <cell r="G1201" t="str">
            <v>5. ELECTRICAL / UPS</v>
          </cell>
          <cell r="H1201">
            <v>0</v>
          </cell>
          <cell r="I1201">
            <v>0</v>
          </cell>
          <cell r="J1201">
            <v>0</v>
          </cell>
          <cell r="K1201">
            <v>0</v>
          </cell>
          <cell r="L1201">
            <v>0</v>
          </cell>
          <cell r="O1201">
            <v>0</v>
          </cell>
          <cell r="P1201">
            <v>0</v>
          </cell>
          <cell r="Q1201" t="str">
            <v>18|25</v>
          </cell>
        </row>
        <row r="1202">
          <cell r="E1202" t="str">
            <v>5. ELECTRICAL / UPS</v>
          </cell>
          <cell r="G1202" t="str">
            <v>Room</v>
          </cell>
          <cell r="H1202" t="str">
            <v>UPS Installed</v>
          </cell>
          <cell r="I1202" t="str">
            <v>UPS Size</v>
          </cell>
          <cell r="J1202" t="str">
            <v>PDU Installed</v>
          </cell>
          <cell r="K1202" t="str">
            <v>Rack Receptacles</v>
          </cell>
          <cell r="L1202" t="str">
            <v>Panel Assigned</v>
          </cell>
          <cell r="O1202" t="str">
            <v>Overall</v>
          </cell>
          <cell r="P1202" t="str">
            <v>Notes</v>
          </cell>
          <cell r="Q1202" t="str">
            <v>18|26</v>
          </cell>
        </row>
        <row r="1203">
          <cell r="E1203" t="str">
            <v>5. ELECTRICAL / UPS</v>
          </cell>
          <cell r="G1203" t="str">
            <v>110</v>
          </cell>
          <cell r="H1203" t="str">
            <v>Verify</v>
          </cell>
          <cell r="I1203" t="str">
            <v>5 kW / 208V rack UPS</v>
          </cell>
          <cell r="J1203" t="str">
            <v>Verify</v>
          </cell>
          <cell r="K1203" t="str">
            <v>Verify</v>
          </cell>
          <cell r="L1203" t="str">
            <v>B18-TR110A / B18-TR110B</v>
          </cell>
          <cell r="O1203" t="str">
            <v>Verify</v>
          </cell>
          <cell r="P1203" t="str">
            <v>Electrical plans/schedules identify B18-TR110A/B, 208V rack UPS requirements, rack receptacles, TR receptacles, lighting, CU-1-01, SPD requirements, and telecom panelboard schedule requirements.</v>
          </cell>
          <cell r="Q1203" t="str">
            <v>18|27</v>
          </cell>
        </row>
        <row r="1204">
          <cell r="E1204" t="str">
            <v>5. ELECTRICAL / UPS</v>
          </cell>
          <cell r="G1204" t="str">
            <v>111B</v>
          </cell>
          <cell r="H1204" t="str">
            <v>Existing</v>
          </cell>
          <cell r="I1204" t="str">
            <v>Existing floor UPS</v>
          </cell>
          <cell r="J1204" t="str">
            <v>Existing</v>
          </cell>
          <cell r="K1204" t="str">
            <v>Verify</v>
          </cell>
          <cell r="L1204" t="str">
            <v>Existing / Verify</v>
          </cell>
          <cell r="O1204" t="str">
            <v>Verify</v>
          </cell>
          <cell r="P1204" t="str">
            <v>Existing rack/equipment area; verify active equipment, floor UPS status, source circuits, and transfer requirements before disconnect/removal.</v>
          </cell>
          <cell r="Q1204" t="str">
            <v>18|28</v>
          </cell>
        </row>
        <row r="1205">
          <cell r="E1205" t="str">
            <v>5. ELECTRICAL / UPS</v>
          </cell>
          <cell r="G1205" t="str">
            <v>213</v>
          </cell>
          <cell r="H1205" t="str">
            <v>Existing</v>
          </cell>
          <cell r="I1205" t="str">
            <v>Existing APC floor UPS</v>
          </cell>
          <cell r="J1205" t="str">
            <v>Existing</v>
          </cell>
          <cell r="K1205" t="str">
            <v>Verify</v>
          </cell>
          <cell r="L1205" t="str">
            <v>Existing / Verify</v>
          </cell>
          <cell r="O1205" t="str">
            <v>Verify</v>
          </cell>
          <cell r="P1205" t="str">
            <v>Existing rack/equipment area; verify active equipment, APC UPS status, source circuits, SERTEX utility service and transfer requirements before disconnect/removal.</v>
          </cell>
          <cell r="Q1205" t="str">
            <v>18|29</v>
          </cell>
        </row>
        <row r="1206">
          <cell r="E1206" t="str">
            <v>5. ELECTRICAL / UPS</v>
          </cell>
          <cell r="G1206">
            <v>0</v>
          </cell>
          <cell r="H1206">
            <v>0</v>
          </cell>
          <cell r="I1206">
            <v>0</v>
          </cell>
          <cell r="J1206">
            <v>0</v>
          </cell>
          <cell r="K1206">
            <v>0</v>
          </cell>
          <cell r="L1206">
            <v>0</v>
          </cell>
          <cell r="O1206">
            <v>0</v>
          </cell>
          <cell r="P1206">
            <v>0</v>
          </cell>
          <cell r="Q1206" t="str">
            <v>18|30</v>
          </cell>
        </row>
        <row r="1207">
          <cell r="E1207" t="str">
            <v>6. TELECOMMUNICATIONS</v>
          </cell>
          <cell r="G1207" t="str">
            <v>6. TELECOMMUNICATIONS</v>
          </cell>
          <cell r="H1207">
            <v>0</v>
          </cell>
          <cell r="I1207">
            <v>0</v>
          </cell>
          <cell r="J1207">
            <v>0</v>
          </cell>
          <cell r="K1207">
            <v>0</v>
          </cell>
          <cell r="L1207">
            <v>0</v>
          </cell>
          <cell r="O1207">
            <v>0</v>
          </cell>
          <cell r="P1207">
            <v>0</v>
          </cell>
          <cell r="Q1207" t="str">
            <v>18|31</v>
          </cell>
        </row>
        <row r="1208">
          <cell r="E1208" t="str">
            <v>6. TELECOMMUNICATIONS</v>
          </cell>
          <cell r="G1208" t="str">
            <v>Room</v>
          </cell>
          <cell r="H1208" t="str">
            <v>Rack Installed</v>
          </cell>
          <cell r="I1208" t="str">
            <v>Ladder Tray</v>
          </cell>
          <cell r="J1208" t="str">
            <v>Fiber Installed</v>
          </cell>
          <cell r="K1208" t="str">
            <v>Grounding</v>
          </cell>
          <cell r="L1208" t="str">
            <v>Labeling</v>
          </cell>
          <cell r="O1208" t="str">
            <v>Overall</v>
          </cell>
          <cell r="P1208" t="str">
            <v>Notes</v>
          </cell>
          <cell r="Q1208" t="str">
            <v>18|32</v>
          </cell>
        </row>
        <row r="1209">
          <cell r="E1209" t="str">
            <v>6. TELECOMMUNICATIONS</v>
          </cell>
          <cell r="G1209" t="str">
            <v>110</v>
          </cell>
          <cell r="H1209" t="str">
            <v>Verify</v>
          </cell>
          <cell r="I1209" t="str">
            <v>Verify</v>
          </cell>
          <cell r="J1209" t="str">
            <v>Verify</v>
          </cell>
          <cell r="K1209" t="str">
            <v>Verify</v>
          </cell>
          <cell r="L1209" t="str">
            <v>Verify</v>
          </cell>
          <cell r="O1209" t="str">
            <v>Verify</v>
          </cell>
          <cell r="P1209" t="str">
            <v>18T-701 identifies RM 111A schedule: 86 WAO total, 61 active ports per survey, 122 ports per schedule, and 134 total ports with 10% allowance. New rack elevation is Room 110, 1 rack plus future, with UPS, Future Zone PDU, switches, Cat6A patch panels, Cat5E patch panel and Fiber LIU.</v>
          </cell>
          <cell r="Q1209" t="str">
            <v>18|33</v>
          </cell>
        </row>
        <row r="1210">
          <cell r="E1210" t="str">
            <v>6. TELECOMMUNICATIONS</v>
          </cell>
          <cell r="G1210" t="str">
            <v>111B</v>
          </cell>
          <cell r="H1210" t="str">
            <v>Existing</v>
          </cell>
          <cell r="I1210" t="str">
            <v>Existing</v>
          </cell>
          <cell r="J1210" t="str">
            <v>Existing</v>
          </cell>
          <cell r="K1210" t="str">
            <v>Verify</v>
          </cell>
          <cell r="L1210" t="str">
            <v>Verify</v>
          </cell>
          <cell r="O1210" t="str">
            <v>Verify</v>
          </cell>
          <cell r="P1210" t="str">
            <v>Existing Room 111B equipment includes wall-mounted rack, plywood backboard, patch panel, security cabinet, floor UPS and 5RU fiber optic housing; verify active services and transfer plan to Room 110.</v>
          </cell>
          <cell r="Q1210" t="str">
            <v>18|34</v>
          </cell>
        </row>
        <row r="1211">
          <cell r="E1211" t="str">
            <v>6. TELECOMMUNICATIONS</v>
          </cell>
          <cell r="G1211" t="str">
            <v>213</v>
          </cell>
          <cell r="H1211" t="str">
            <v>Existing</v>
          </cell>
          <cell r="I1211" t="str">
            <v>Existing</v>
          </cell>
          <cell r="J1211" t="str">
            <v>Existing</v>
          </cell>
          <cell r="K1211" t="str">
            <v>Verify</v>
          </cell>
          <cell r="L1211" t="str">
            <v>Verify</v>
          </cell>
          <cell r="O1211" t="str">
            <v>Verify</v>
          </cell>
          <cell r="P1211" t="str">
            <v>Existing Room 213 equipment includes SERTEX utility service ports, Cisco switch, multiple legacy Ortronics patch panels, wall/wall-mount TE and APC floor UPS; verify active services and transfer plan to Room 110.</v>
          </cell>
          <cell r="Q1211" t="str">
            <v>18|35</v>
          </cell>
        </row>
        <row r="1212">
          <cell r="E1212" t="str">
            <v>6. TELECOMMUNICATIONS</v>
          </cell>
          <cell r="G1212">
            <v>0</v>
          </cell>
          <cell r="H1212">
            <v>0</v>
          </cell>
          <cell r="I1212">
            <v>0</v>
          </cell>
          <cell r="J1212">
            <v>0</v>
          </cell>
          <cell r="K1212">
            <v>0</v>
          </cell>
          <cell r="L1212">
            <v>0</v>
          </cell>
          <cell r="O1212">
            <v>0</v>
          </cell>
          <cell r="P1212">
            <v>0</v>
          </cell>
          <cell r="Q1212" t="str">
            <v>18|36</v>
          </cell>
        </row>
        <row r="1213">
          <cell r="E1213" t="str">
            <v>7. SECURITY / PACS / CCTV</v>
          </cell>
          <cell r="G1213" t="str">
            <v>7. SECURITY / PACS / CCTV</v>
          </cell>
          <cell r="H1213">
            <v>0</v>
          </cell>
          <cell r="I1213">
            <v>0</v>
          </cell>
          <cell r="J1213">
            <v>0</v>
          </cell>
          <cell r="K1213">
            <v>0</v>
          </cell>
          <cell r="L1213">
            <v>0</v>
          </cell>
          <cell r="O1213">
            <v>0</v>
          </cell>
          <cell r="P1213">
            <v>0</v>
          </cell>
          <cell r="Q1213" t="str">
            <v>18|37</v>
          </cell>
        </row>
        <row r="1214">
          <cell r="E1214" t="str">
            <v>7. SECURITY / PACS / CCTV</v>
          </cell>
          <cell r="G1214" t="str">
            <v>Room</v>
          </cell>
          <cell r="H1214" t="str">
            <v>PACS</v>
          </cell>
          <cell r="I1214" t="str">
            <v>Card Reader</v>
          </cell>
          <cell r="J1214" t="str">
            <v>Door Position</v>
          </cell>
          <cell r="K1214" t="str">
            <v>Electric Strike</v>
          </cell>
          <cell r="L1214" t="str">
            <v>CCTV</v>
          </cell>
          <cell r="O1214" t="str">
            <v>Overall</v>
          </cell>
          <cell r="P1214" t="str">
            <v>Notes</v>
          </cell>
          <cell r="Q1214" t="str">
            <v>18|38</v>
          </cell>
        </row>
        <row r="1215">
          <cell r="E1215" t="str">
            <v>7. SECURITY / PACS / CCTV</v>
          </cell>
          <cell r="G1215" t="str">
            <v>110</v>
          </cell>
          <cell r="H1215" t="str">
            <v>Verify</v>
          </cell>
          <cell r="I1215" t="str">
            <v>Verify</v>
          </cell>
          <cell r="J1215" t="str">
            <v>Verify</v>
          </cell>
          <cell r="K1215" t="str">
            <v>Verify</v>
          </cell>
          <cell r="L1215" t="str">
            <v>Verify</v>
          </cell>
          <cell r="O1215" t="str">
            <v>Verify</v>
          </cell>
          <cell r="P1215" t="str">
            <v>Telecom/electrical plans show 111A-CAM-01 and security/access-control scope for the new TR area; verify room naming, CR/RX/DC/ES/MD devices, controller, camera/VMS integration, and door hardware coordination.</v>
          </cell>
          <cell r="Q1215" t="str">
            <v>18|39</v>
          </cell>
        </row>
        <row r="1216">
          <cell r="E1216" t="str">
            <v>7. SECURITY / PACS / CCTV</v>
          </cell>
          <cell r="G1216" t="str">
            <v>111B</v>
          </cell>
          <cell r="H1216" t="str">
            <v>Verify</v>
          </cell>
          <cell r="I1216" t="str">
            <v>Verify</v>
          </cell>
          <cell r="J1216" t="str">
            <v>Verify</v>
          </cell>
          <cell r="K1216" t="str">
            <v>Verify</v>
          </cell>
          <cell r="L1216" t="str">
            <v>Verify</v>
          </cell>
          <cell r="O1216" t="str">
            <v>Verify</v>
          </cell>
          <cell r="P1216" t="str">
            <v>Existing security cabinet shown in 111B; verify whether security equipment remains, is relocated, or requires temporary protection during cutover.</v>
          </cell>
          <cell r="Q1216" t="str">
            <v>18|40</v>
          </cell>
        </row>
        <row r="1217">
          <cell r="E1217" t="str">
            <v>7. SECURITY / PACS / CCTV</v>
          </cell>
          <cell r="G1217" t="str">
            <v>213</v>
          </cell>
          <cell r="H1217" t="str">
            <v>Verify</v>
          </cell>
          <cell r="I1217" t="str">
            <v>Verify</v>
          </cell>
          <cell r="J1217" t="str">
            <v>Verify</v>
          </cell>
          <cell r="K1217" t="str">
            <v>Verify</v>
          </cell>
          <cell r="L1217" t="str">
            <v>Verify</v>
          </cell>
          <cell r="O1217" t="str">
            <v>Verify</v>
          </cell>
          <cell r="P1217" t="str">
            <v>Existing security cabinet shown in 213; verify whether security equipment remains, is relocated, or requires temporary protection during cutover.</v>
          </cell>
          <cell r="Q1217" t="str">
            <v>18|41</v>
          </cell>
        </row>
        <row r="1218">
          <cell r="E1218" t="str">
            <v>7. SECURITY / PACS / CCTV</v>
          </cell>
          <cell r="G1218">
            <v>0</v>
          </cell>
          <cell r="H1218">
            <v>0</v>
          </cell>
          <cell r="I1218">
            <v>0</v>
          </cell>
          <cell r="J1218">
            <v>0</v>
          </cell>
          <cell r="K1218">
            <v>0</v>
          </cell>
          <cell r="L1218">
            <v>0</v>
          </cell>
          <cell r="O1218">
            <v>0</v>
          </cell>
          <cell r="P1218">
            <v>0</v>
          </cell>
          <cell r="Q1218" t="str">
            <v>18|42</v>
          </cell>
        </row>
        <row r="1219">
          <cell r="E1219" t="str">
            <v>8. OWNER RISKS</v>
          </cell>
          <cell r="G1219" t="str">
            <v>8. OWNER RISKS</v>
          </cell>
          <cell r="H1219">
            <v>0</v>
          </cell>
          <cell r="I1219">
            <v>0</v>
          </cell>
          <cell r="J1219">
            <v>0</v>
          </cell>
          <cell r="K1219">
            <v>0</v>
          </cell>
          <cell r="L1219">
            <v>0</v>
          </cell>
          <cell r="O1219">
            <v>0</v>
          </cell>
          <cell r="P1219">
            <v>0</v>
          </cell>
          <cell r="Q1219" t="str">
            <v>18|43</v>
          </cell>
        </row>
        <row r="1220">
          <cell r="E1220" t="str">
            <v>8. OWNER RISKS</v>
          </cell>
          <cell r="G1220" t="str">
            <v>Risk ID</v>
          </cell>
          <cell r="H1220" t="str">
            <v>Room</v>
          </cell>
          <cell r="I1220" t="str">
            <v>Risk</v>
          </cell>
          <cell r="J1220" t="str">
            <v>Impact</v>
          </cell>
          <cell r="K1220" t="str">
            <v>Probability</v>
          </cell>
          <cell r="L1220" t="str">
            <v>Score</v>
          </cell>
          <cell r="O1220" t="str">
            <v>Status</v>
          </cell>
          <cell r="P1220" t="str">
            <v>Notes</v>
          </cell>
          <cell r="Q1220" t="str">
            <v>18|44</v>
          </cell>
        </row>
        <row r="1221">
          <cell r="E1221" t="str">
            <v>8. OWNER RISKS</v>
          </cell>
          <cell r="G1221" t="str">
            <v>B18-R1</v>
          </cell>
          <cell r="H1221" t="str">
            <v>All</v>
          </cell>
          <cell r="I1221" t="str">
            <v>Existing conditions for Room 110, Room 111B and Room 213 not field verified</v>
          </cell>
          <cell r="J1221" t="str">
            <v>High</v>
          </cell>
          <cell r="K1221" t="str">
            <v>Medium</v>
          </cell>
          <cell r="L1221">
            <v>6</v>
          </cell>
          <cell r="O1221" t="str">
            <v>Open</v>
          </cell>
          <cell r="P1221" t="str">
            <v>B18 includes new first-level TR plus existing first and second-level telecom transition points.</v>
          </cell>
          <cell r="Q1221" t="str">
            <v>18|45</v>
          </cell>
        </row>
        <row r="1222">
          <cell r="E1222" t="str">
            <v>8. OWNER RISKS</v>
          </cell>
          <cell r="G1222" t="str">
            <v>B18-R2</v>
          </cell>
          <cell r="H1222" t="str">
            <v>110</v>
          </cell>
          <cell r="I1222" t="str">
            <v>First-level hazardous material / lead-based paint abatement plan exists</v>
          </cell>
          <cell r="J1222" t="str">
            <v>High</v>
          </cell>
          <cell r="K1222" t="str">
            <v>Medium</v>
          </cell>
          <cell r="L1222">
            <v>6</v>
          </cell>
          <cell r="O1222" t="str">
            <v>Open</v>
          </cell>
          <cell r="P1222" t="str">
            <v>18H-101 notes lead-based paint abatement through entire telecom room/door frames.</v>
          </cell>
          <cell r="Q1222" t="str">
            <v>18|46</v>
          </cell>
        </row>
        <row r="1223">
          <cell r="E1223" t="str">
            <v>8. OWNER RISKS</v>
          </cell>
          <cell r="G1223" t="str">
            <v>B18-R3</v>
          </cell>
          <cell r="H1223" t="str">
            <v>111B/213</v>
          </cell>
          <cell r="I1223" t="str">
            <v>Existing telecom equipment may remain active during cutover</v>
          </cell>
          <cell r="J1223" t="str">
            <v>Critical</v>
          </cell>
          <cell r="K1223" t="str">
            <v>Medium</v>
          </cell>
          <cell r="L1223">
            <v>8</v>
          </cell>
          <cell r="O1223" t="str">
            <v>Open</v>
          </cell>
          <cell r="P1223" t="str">
            <v>Existing racks, SERTEX ports, Cisco switch, patch panels, security cabinets and UPS units shown.</v>
          </cell>
          <cell r="Q1223" t="str">
            <v>18|47</v>
          </cell>
        </row>
        <row r="1224">
          <cell r="E1224" t="str">
            <v>8. OWNER RISKS</v>
          </cell>
          <cell r="G1224" t="str">
            <v>B18-R4</v>
          </cell>
          <cell r="H1224" t="str">
            <v>110</v>
          </cell>
          <cell r="I1224" t="str">
            <v>Dedicated cooling emergency power, condensate, BACnet and alarms not verified</v>
          </cell>
          <cell r="J1224" t="str">
            <v>Critical</v>
          </cell>
          <cell r="K1224" t="str">
            <v>Medium</v>
          </cell>
          <cell r="L1224">
            <v>8</v>
          </cell>
          <cell r="O1224" t="str">
            <v>Open</v>
          </cell>
          <cell r="P1224" t="str">
            <v>Cooling is central to TR readiness.</v>
          </cell>
          <cell r="Q1224" t="str">
            <v>18|48</v>
          </cell>
        </row>
        <row r="1225">
          <cell r="E1225" t="str">
            <v>8. OWNER RISKS</v>
          </cell>
          <cell r="G1225" t="str">
            <v>B18-R5</v>
          </cell>
          <cell r="H1225" t="str">
            <v>110</v>
          </cell>
          <cell r="I1225" t="str">
            <v>208V UPS/PDU and panel source coordination could delay energization</v>
          </cell>
          <cell r="J1225" t="str">
            <v>High</v>
          </cell>
          <cell r="K1225" t="str">
            <v>Medium</v>
          </cell>
          <cell r="L1225">
            <v>6</v>
          </cell>
          <cell r="O1225" t="str">
            <v>Open</v>
          </cell>
          <cell r="P1225" t="str">
            <v>Panel references are concentrated at Room 110 with CU-1-01 and rack receptacles.</v>
          </cell>
          <cell r="Q1225" t="str">
            <v>18|49</v>
          </cell>
        </row>
        <row r="1226">
          <cell r="E1226" t="str">
            <v>8. OWNER RISKS</v>
          </cell>
          <cell r="G1226" t="str">
            <v>B18-R6</v>
          </cell>
          <cell r="H1226" t="str">
            <v>110</v>
          </cell>
          <cell r="I1226" t="str">
            <v>Cable tray and pathway scope crosses first and second levels</v>
          </cell>
          <cell r="J1226" t="str">
            <v>High</v>
          </cell>
          <cell r="K1226" t="str">
            <v>Medium</v>
          </cell>
          <cell r="L1226">
            <v>6</v>
          </cell>
          <cell r="O1226" t="str">
            <v>Open</v>
          </cell>
          <cell r="P1226" t="str">
            <v>Cable tray schedule: first level 174 ft, second level 141 ft.</v>
          </cell>
          <cell r="Q1226" t="str">
            <v>18|50</v>
          </cell>
        </row>
        <row r="1227">
          <cell r="E1227" t="str">
            <v>8. OWNER RISKS</v>
          </cell>
          <cell r="G1227" t="str">
            <v>B18-R7</v>
          </cell>
          <cell r="H1227" t="str">
            <v>All</v>
          </cell>
          <cell r="I1227" t="str">
            <v>Telecom/fiber cutover could affect active hospital communications and legacy cross-building service ports</v>
          </cell>
          <cell r="J1227" t="str">
            <v>Critical</v>
          </cell>
          <cell r="K1227" t="str">
            <v>Medium</v>
          </cell>
          <cell r="L1227">
            <v>8</v>
          </cell>
          <cell r="O1227" t="str">
            <v>Open</v>
          </cell>
          <cell r="P1227" t="str">
            <v>Room 213 existing rack elevation references SERTEX utility service ports to B17, B19 and B3.</v>
          </cell>
          <cell r="Q1227" t="str">
            <v>18|51</v>
          </cell>
        </row>
        <row r="1228">
          <cell r="E1228" t="str">
            <v>8. OWNER RISKS</v>
          </cell>
          <cell r="G1228" t="str">
            <v>B18-R8</v>
          </cell>
          <cell r="H1228" t="str">
            <v>All</v>
          </cell>
          <cell r="I1228" t="str">
            <v>Commissioning/third-party inspection reports may not be complete at turnover</v>
          </cell>
          <cell r="J1228" t="str">
            <v>High</v>
          </cell>
          <cell r="K1228" t="str">
            <v>Medium</v>
          </cell>
          <cell r="L1228">
            <v>6</v>
          </cell>
          <cell r="O1228" t="str">
            <v>Open</v>
          </cell>
          <cell r="P1228" t="str">
            <v>Required by cover/general notes.</v>
          </cell>
          <cell r="Q1228" t="str">
            <v>18|52</v>
          </cell>
        </row>
        <row r="1229">
          <cell r="E1229" t="str">
            <v>8. OWNER RISKS</v>
          </cell>
          <cell r="G1229">
            <v>0</v>
          </cell>
          <cell r="H1229">
            <v>0</v>
          </cell>
          <cell r="I1229">
            <v>0</v>
          </cell>
          <cell r="J1229">
            <v>0</v>
          </cell>
          <cell r="K1229">
            <v>0</v>
          </cell>
          <cell r="L1229">
            <v>0</v>
          </cell>
          <cell r="O1229">
            <v>0</v>
          </cell>
          <cell r="P1229">
            <v>0</v>
          </cell>
          <cell r="Q1229" t="str">
            <v>18|53</v>
          </cell>
        </row>
        <row r="1230">
          <cell r="E1230" t="str">
            <v>9. OPEN QUESTIONS</v>
          </cell>
          <cell r="G1230" t="str">
            <v>9. OPEN QUESTIONS</v>
          </cell>
          <cell r="H1230">
            <v>0</v>
          </cell>
          <cell r="I1230">
            <v>0</v>
          </cell>
          <cell r="J1230">
            <v>0</v>
          </cell>
          <cell r="K1230">
            <v>0</v>
          </cell>
          <cell r="L1230">
            <v>0</v>
          </cell>
          <cell r="O1230">
            <v>0</v>
          </cell>
          <cell r="P1230">
            <v>0</v>
          </cell>
          <cell r="Q1230" t="str">
            <v>18|54</v>
          </cell>
        </row>
        <row r="1231">
          <cell r="E1231" t="str">
            <v>9. OPEN QUESTIONS</v>
          </cell>
          <cell r="G1231" t="str">
            <v>Question ID</v>
          </cell>
          <cell r="H1231" t="str">
            <v>Question</v>
          </cell>
          <cell r="I1231" t="str">
            <v>Assigned To</v>
          </cell>
          <cell r="J1231" t="str">
            <v>Status</v>
          </cell>
          <cell r="K1231" t="str">
            <v>Needed By</v>
          </cell>
          <cell r="L1231" t="str">
            <v>Answer / Resolution</v>
          </cell>
          <cell r="O1231" t="str">
            <v>Date Closed</v>
          </cell>
          <cell r="P1231" t="str">
            <v>Notes</v>
          </cell>
          <cell r="Q1231" t="str">
            <v>18|55</v>
          </cell>
        </row>
        <row r="1232">
          <cell r="E1232" t="str">
            <v>9. OPEN QUESTIONS</v>
          </cell>
          <cell r="G1232" t="str">
            <v>B18-Q1</v>
          </cell>
          <cell r="H1232" t="str">
            <v>Confirm final telecom scope: new Room 110 with existing 111B and 213 transition only?</v>
          </cell>
          <cell r="I1232" t="str">
            <v>VA / OIT / Designer</v>
          </cell>
          <cell r="J1232" t="str">
            <v>Open</v>
          </cell>
          <cell r="K1232">
            <v>0</v>
          </cell>
          <cell r="L1232">
            <v>0</v>
          </cell>
          <cell r="O1232">
            <v>0</v>
          </cell>
          <cell r="P1232">
            <v>0</v>
          </cell>
          <cell r="Q1232" t="str">
            <v>18|56</v>
          </cell>
        </row>
        <row r="1233">
          <cell r="E1233" t="str">
            <v>9. OPEN QUESTIONS</v>
          </cell>
          <cell r="G1233" t="str">
            <v>B18-Q2</v>
          </cell>
          <cell r="H1233" t="str">
            <v>Why does 18T-701 reference RM 111A while new rack/electrical plans identify Telecom Room 110?</v>
          </cell>
          <cell r="I1233" t="str">
            <v>VA / Designer / OIT</v>
          </cell>
          <cell r="J1233" t="str">
            <v>Open</v>
          </cell>
          <cell r="K1233">
            <v>0</v>
          </cell>
          <cell r="L1233">
            <v>0</v>
          </cell>
          <cell r="O1233">
            <v>0</v>
          </cell>
          <cell r="P1233">
            <v>0</v>
          </cell>
          <cell r="Q1233" t="str">
            <v>18|57</v>
          </cell>
        </row>
        <row r="1234">
          <cell r="E1234" t="str">
            <v>9. OPEN QUESTIONS</v>
          </cell>
          <cell r="G1234" t="str">
            <v>B18-Q3</v>
          </cell>
          <cell r="H1234" t="str">
            <v>What active services are currently fed from existing 111B and 213 equipment?</v>
          </cell>
          <cell r="I1234" t="str">
            <v>OIT / Contractor</v>
          </cell>
          <cell r="J1234" t="str">
            <v>Open</v>
          </cell>
          <cell r="K1234">
            <v>0</v>
          </cell>
          <cell r="L1234">
            <v>0</v>
          </cell>
          <cell r="O1234">
            <v>0</v>
          </cell>
          <cell r="P1234">
            <v>0</v>
          </cell>
          <cell r="Q1234" t="str">
            <v>18|58</v>
          </cell>
        </row>
        <row r="1235">
          <cell r="E1235" t="str">
            <v>9. OPEN QUESTIONS</v>
          </cell>
          <cell r="G1235" t="str">
            <v>B18-Q4</v>
          </cell>
          <cell r="H1235" t="str">
            <v>Is IU-1-01/CU-1-01 on emergency/backup power and dedicated to Room 110?</v>
          </cell>
          <cell r="I1235" t="str">
            <v>Mechanical / Electrical / VA</v>
          </cell>
          <cell r="J1235" t="str">
            <v>Open</v>
          </cell>
          <cell r="K1235">
            <v>0</v>
          </cell>
          <cell r="L1235">
            <v>0</v>
          </cell>
          <cell r="O1235">
            <v>0</v>
          </cell>
          <cell r="P1235">
            <v>0</v>
          </cell>
          <cell r="Q1235" t="str">
            <v>18|59</v>
          </cell>
        </row>
        <row r="1236">
          <cell r="E1236" t="str">
            <v>9. OPEN QUESTIONS</v>
          </cell>
          <cell r="G1236" t="str">
            <v>B18-Q5</v>
          </cell>
          <cell r="H1236" t="str">
            <v>Where is the clean-agent/CO2 extinguisher cabinet located within 75 ft of Room 110?</v>
          </cell>
          <cell r="I1236" t="str">
            <v>GC / COR</v>
          </cell>
          <cell r="J1236" t="str">
            <v>Open</v>
          </cell>
          <cell r="K1236">
            <v>0</v>
          </cell>
          <cell r="L1236">
            <v>0</v>
          </cell>
          <cell r="O1236">
            <v>0</v>
          </cell>
          <cell r="P1236">
            <v>0</v>
          </cell>
          <cell r="Q1236" t="str">
            <v>18|60</v>
          </cell>
        </row>
        <row r="1237">
          <cell r="E1237" t="str">
            <v>9. OPEN QUESTIONS</v>
          </cell>
          <cell r="G1237" t="str">
            <v>B18-Q6</v>
          </cell>
          <cell r="H1237" t="str">
            <v>Are B18-TR110A/B sources, rack receptacles, SPDs, circuit labels and load measurements approved?</v>
          </cell>
          <cell r="I1237" t="str">
            <v>Electrical / Designer</v>
          </cell>
          <cell r="J1237" t="str">
            <v>Open</v>
          </cell>
          <cell r="K1237">
            <v>0</v>
          </cell>
          <cell r="L1237">
            <v>0</v>
          </cell>
          <cell r="O1237">
            <v>0</v>
          </cell>
          <cell r="P1237">
            <v>0</v>
          </cell>
          <cell r="Q1237" t="str">
            <v>18|61</v>
          </cell>
        </row>
        <row r="1238">
          <cell r="E1238" t="str">
            <v>9. OPEN QUESTIONS</v>
          </cell>
          <cell r="G1238" t="str">
            <v>B18-Q7</v>
          </cell>
          <cell r="H1238" t="str">
            <v>Are all rated wall/floor penetrations, sleeves, cable tray entries and firestopping details identified?</v>
          </cell>
          <cell r="I1238" t="str">
            <v>GC / Firestop</v>
          </cell>
          <cell r="J1238" t="str">
            <v>Open</v>
          </cell>
          <cell r="K1238">
            <v>0</v>
          </cell>
          <cell r="L1238">
            <v>0</v>
          </cell>
          <cell r="O1238">
            <v>0</v>
          </cell>
          <cell r="P1238">
            <v>0</v>
          </cell>
          <cell r="Q1238" t="str">
            <v>18|62</v>
          </cell>
        </row>
        <row r="1239">
          <cell r="E1239" t="str">
            <v>9. OPEN QUESTIONS</v>
          </cell>
          <cell r="G1239" t="str">
            <v>B18-Q8</v>
          </cell>
          <cell r="H1239" t="str">
            <v>Which third-party inspections and commissioning forms are required before VA acceptance?</v>
          </cell>
          <cell r="I1239" t="str">
            <v>GC / Cx Manager</v>
          </cell>
          <cell r="J1239" t="str">
            <v>Open</v>
          </cell>
          <cell r="K1239">
            <v>0</v>
          </cell>
          <cell r="L1239">
            <v>0</v>
          </cell>
          <cell r="O1239">
            <v>0</v>
          </cell>
          <cell r="P1239">
            <v>0</v>
          </cell>
          <cell r="Q1239" t="str">
            <v>18|63</v>
          </cell>
        </row>
        <row r="1240">
          <cell r="E1240" t="str">
            <v>9. OPEN QUESTIONS</v>
          </cell>
          <cell r="G1240">
            <v>0</v>
          </cell>
          <cell r="H1240">
            <v>0</v>
          </cell>
          <cell r="I1240">
            <v>0</v>
          </cell>
          <cell r="J1240">
            <v>0</v>
          </cell>
          <cell r="K1240">
            <v>0</v>
          </cell>
          <cell r="L1240">
            <v>0</v>
          </cell>
          <cell r="O1240">
            <v>0</v>
          </cell>
          <cell r="P1240">
            <v>0</v>
          </cell>
          <cell r="Q1240" t="str">
            <v>18|64</v>
          </cell>
        </row>
        <row r="1241">
          <cell r="E1241" t="str">
            <v>10. PHOTO LOG</v>
          </cell>
          <cell r="G1241" t="str">
            <v>10. PHOTO LOG</v>
          </cell>
          <cell r="H1241">
            <v>0</v>
          </cell>
          <cell r="I1241">
            <v>0</v>
          </cell>
          <cell r="J1241">
            <v>0</v>
          </cell>
          <cell r="K1241">
            <v>0</v>
          </cell>
          <cell r="L1241">
            <v>0</v>
          </cell>
          <cell r="O1241">
            <v>0</v>
          </cell>
          <cell r="P1241">
            <v>0</v>
          </cell>
          <cell r="Q1241" t="str">
            <v>18|65</v>
          </cell>
        </row>
        <row r="1242">
          <cell r="E1242" t="str">
            <v>10. PHOTO LOG</v>
          </cell>
          <cell r="G1242" t="str">
            <v>Photo ID</v>
          </cell>
          <cell r="H1242" t="str">
            <v>Room</v>
          </cell>
          <cell r="I1242" t="str">
            <v>Category</v>
          </cell>
          <cell r="J1242" t="str">
            <v>Description</v>
          </cell>
          <cell r="K1242" t="str">
            <v>Date</v>
          </cell>
          <cell r="L1242" t="str">
            <v>Taken By</v>
          </cell>
          <cell r="O1242" t="str">
            <v>Status</v>
          </cell>
          <cell r="P1242" t="str">
            <v>Notes</v>
          </cell>
          <cell r="Q1242" t="str">
            <v>18|66</v>
          </cell>
        </row>
        <row r="1243">
          <cell r="E1243" t="str">
            <v>10. PHOTO LOG</v>
          </cell>
          <cell r="G1243" t="str">
            <v>B18-P001</v>
          </cell>
          <cell r="H1243" t="str">
            <v>110</v>
          </cell>
          <cell r="I1243" t="str">
            <v>Existing Condition</v>
          </cell>
          <cell r="J1243" t="str">
            <v>Room 110 walls, ceiling/deck, floor, door, adjacent Corridor 121/Stair 122/Office 112, rack location, pathways and penetrations</v>
          </cell>
          <cell r="K1243">
            <v>0</v>
          </cell>
          <cell r="L1243" t="str">
            <v>Paul</v>
          </cell>
          <cell r="O1243" t="str">
            <v>Open</v>
          </cell>
          <cell r="P1243">
            <v>0</v>
          </cell>
          <cell r="Q1243" t="str">
            <v>18|67</v>
          </cell>
        </row>
        <row r="1244">
          <cell r="E1244" t="str">
            <v>10. PHOTO LOG</v>
          </cell>
          <cell r="G1244" t="str">
            <v>B18-P002</v>
          </cell>
          <cell r="H1244" t="str">
            <v>111B</v>
          </cell>
          <cell r="I1244" t="str">
            <v>Existing Condition</v>
          </cell>
          <cell r="J1244" t="str">
            <v>Existing TE 111B wall rack, plywood backboard, patch panel, security cabinet, floor UPS and 5RU fiber housing</v>
          </cell>
          <cell r="K1244">
            <v>0</v>
          </cell>
          <cell r="L1244" t="str">
            <v>Paul</v>
          </cell>
          <cell r="O1244" t="str">
            <v>Open</v>
          </cell>
          <cell r="P1244">
            <v>0</v>
          </cell>
          <cell r="Q1244" t="str">
            <v>18|68</v>
          </cell>
        </row>
        <row r="1245">
          <cell r="E1245" t="str">
            <v>10. PHOTO LOG</v>
          </cell>
          <cell r="G1245" t="str">
            <v>B18-P003</v>
          </cell>
          <cell r="H1245" t="str">
            <v>213</v>
          </cell>
          <cell r="I1245" t="str">
            <v>Existing Condition</v>
          </cell>
          <cell r="J1245" t="str">
            <v>Existing Closet 213 wall rack/TE, SERTEX service ports, Cisco switch, legacy Ortronics patch panels, security cabinet, plywood backboard and APC floor UPS</v>
          </cell>
          <cell r="K1245">
            <v>0</v>
          </cell>
          <cell r="L1245" t="str">
            <v>Paul</v>
          </cell>
          <cell r="O1245" t="str">
            <v>Open</v>
          </cell>
          <cell r="P1245">
            <v>0</v>
          </cell>
          <cell r="Q1245" t="str">
            <v>18|69</v>
          </cell>
        </row>
        <row r="1246">
          <cell r="E1246" t="str">
            <v>10. PHOTO LOG</v>
          </cell>
          <cell r="G1246" t="str">
            <v>B18-P004</v>
          </cell>
          <cell r="H1246" t="str">
            <v>110</v>
          </cell>
          <cell r="I1246" t="str">
            <v>Hazardous Materials</v>
          </cell>
          <cell r="J1246" t="str">
            <v>First-level abatement/lead-paint areas, flooring, walls, ceiling/penetrations, and disturbance areas</v>
          </cell>
          <cell r="K1246">
            <v>0</v>
          </cell>
          <cell r="L1246" t="str">
            <v>Paul</v>
          </cell>
          <cell r="O1246" t="str">
            <v>Open</v>
          </cell>
          <cell r="P1246">
            <v>0</v>
          </cell>
          <cell r="Q1246" t="str">
            <v>18|70</v>
          </cell>
        </row>
        <row r="1247">
          <cell r="E1247" t="str">
            <v>10. PHOTO LOG</v>
          </cell>
          <cell r="G1247" t="str">
            <v>B18-P005</v>
          </cell>
          <cell r="H1247" t="str">
            <v>110</v>
          </cell>
          <cell r="I1247" t="str">
            <v>Firestop</v>
          </cell>
          <cell r="J1247" t="str">
            <v>All wall/floor/sleeve/tray penetrations before and after firestop</v>
          </cell>
          <cell r="K1247">
            <v>0</v>
          </cell>
          <cell r="L1247" t="str">
            <v>Paul</v>
          </cell>
          <cell r="O1247" t="str">
            <v>Open</v>
          </cell>
          <cell r="P1247">
            <v>0</v>
          </cell>
          <cell r="Q1247" t="str">
            <v>18|71</v>
          </cell>
        </row>
        <row r="1248">
          <cell r="E1248" t="str">
            <v>10. PHOTO LOG</v>
          </cell>
          <cell r="G1248" t="str">
            <v>B18-P006</v>
          </cell>
          <cell r="H1248" t="str">
            <v>110</v>
          </cell>
          <cell r="I1248" t="str">
            <v>HVAC</v>
          </cell>
          <cell r="J1248" t="str">
            <v>IU-1-01/CU-1-01, condensate, thermostat, BACnet adapter, disconnects, high-temp alarm and power source</v>
          </cell>
          <cell r="K1248">
            <v>0</v>
          </cell>
          <cell r="L1248" t="str">
            <v>Paul</v>
          </cell>
          <cell r="O1248" t="str">
            <v>Open</v>
          </cell>
          <cell r="P1248">
            <v>0</v>
          </cell>
          <cell r="Q1248" t="str">
            <v>18|72</v>
          </cell>
        </row>
        <row r="1249">
          <cell r="E1249" t="str">
            <v>10. PHOTO LOG</v>
          </cell>
          <cell r="G1249" t="str">
            <v>B18-P007</v>
          </cell>
          <cell r="H1249" t="str">
            <v>110</v>
          </cell>
          <cell r="I1249" t="str">
            <v>Electrical</v>
          </cell>
          <cell r="J1249" t="str">
            <v>B18-TR110A/B panels, rack receptacles, breakers, SPD, access controller, lighting, CU-1-01 and labels</v>
          </cell>
          <cell r="K1249">
            <v>0</v>
          </cell>
          <cell r="L1249" t="str">
            <v>Paul</v>
          </cell>
          <cell r="O1249" t="str">
            <v>Open</v>
          </cell>
          <cell r="P1249">
            <v>0</v>
          </cell>
          <cell r="Q1249" t="str">
            <v>18|73</v>
          </cell>
        </row>
        <row r="1250">
          <cell r="E1250" t="str">
            <v>10. PHOTO LOG</v>
          </cell>
          <cell r="G1250" t="str">
            <v>B18-P008</v>
          </cell>
          <cell r="H1250" t="str">
            <v>110/111B/213</v>
          </cell>
          <cell r="I1250" t="str">
            <v>Telecom/Security</v>
          </cell>
          <cell r="J1250" t="str">
            <v>New rack/future rack, fiber path A/B, Cat6A, patch panels, LIU, labels/test records, 111A-CAM-01 and existing 111B/213 transfer work</v>
          </cell>
          <cell r="K1250">
            <v>0</v>
          </cell>
          <cell r="L1250" t="str">
            <v>Paul</v>
          </cell>
          <cell r="O1250" t="str">
            <v>Open</v>
          </cell>
          <cell r="P1250">
            <v>0</v>
          </cell>
          <cell r="Q1250" t="str">
            <v>18|74</v>
          </cell>
        </row>
        <row r="1251">
          <cell r="E1251" t="str">
            <v>10. PHOTO LOG</v>
          </cell>
          <cell r="G1251">
            <v>0</v>
          </cell>
          <cell r="H1251">
            <v>0</v>
          </cell>
          <cell r="I1251">
            <v>0</v>
          </cell>
          <cell r="J1251">
            <v>0</v>
          </cell>
          <cell r="K1251">
            <v>0</v>
          </cell>
          <cell r="L1251">
            <v>0</v>
          </cell>
          <cell r="O1251">
            <v>0</v>
          </cell>
          <cell r="P1251">
            <v>0</v>
          </cell>
          <cell r="Q1251" t="str">
            <v>18|75</v>
          </cell>
        </row>
        <row r="1252">
          <cell r="E1252" t="str">
            <v>1. ROOM INVENTORY</v>
          </cell>
          <cell r="G1252" t="str">
            <v>1. ROOM INVENTORY</v>
          </cell>
          <cell r="H1252">
            <v>0</v>
          </cell>
          <cell r="I1252">
            <v>0</v>
          </cell>
          <cell r="J1252">
            <v>0</v>
          </cell>
          <cell r="K1252">
            <v>0</v>
          </cell>
          <cell r="L1252">
            <v>0</v>
          </cell>
          <cell r="O1252">
            <v>0</v>
          </cell>
          <cell r="P1252">
            <v>0</v>
          </cell>
          <cell r="Q1252" t="str">
            <v>20|1</v>
          </cell>
        </row>
        <row r="1253">
          <cell r="E1253" t="str">
            <v>1. ROOM INVENTORY</v>
          </cell>
          <cell r="G1253" t="str">
            <v>Building</v>
          </cell>
          <cell r="H1253" t="str">
            <v>Room</v>
          </cell>
          <cell r="I1253" t="str">
            <v>Floor</v>
          </cell>
          <cell r="J1253" t="str">
            <v>Existing Use</v>
          </cell>
          <cell r="K1253" t="str">
            <v>New Use</v>
          </cell>
          <cell r="L1253" t="str">
            <v>Rack Count</v>
          </cell>
          <cell r="O1253" t="str">
            <v>Drawing Ref</v>
          </cell>
          <cell r="P1253" t="str">
            <v>Notes</v>
          </cell>
          <cell r="Q1253" t="str">
            <v>20|2</v>
          </cell>
        </row>
        <row r="1254">
          <cell r="E1254" t="str">
            <v>1. ROOM INVENTORY</v>
          </cell>
          <cell r="G1254" t="str">
            <v>20</v>
          </cell>
          <cell r="H1254" t="str">
            <v>1B</v>
          </cell>
          <cell r="I1254" t="str">
            <v>First</v>
          </cell>
          <cell r="J1254" t="str">
            <v>Office / new TE location</v>
          </cell>
          <cell r="K1254" t="str">
            <v>Telecom Enclosure</v>
          </cell>
          <cell r="L1254">
            <v>1</v>
          </cell>
          <cell r="O1254" t="str">
            <v>20T-101 / 20T-701 / 20E-101 / 20E-601</v>
          </cell>
          <cell r="P1254" t="str">
            <v>Primary Building 20 TE. Plans identify Office 1B at 110 SF with new wall-mount telecom enclosure Rack ID TE01-1B-1, 12RU enclosure, APC UPS, two PDUs, network switch, 48-port Cat6A patch panel, Fiber LIU, and 33 total ports with 10% allowance.</v>
          </cell>
          <cell r="Q1254" t="str">
            <v>20|3</v>
          </cell>
        </row>
        <row r="1255">
          <cell r="E1255" t="str">
            <v>1. ROOM INVENTORY</v>
          </cell>
          <cell r="G1255" t="str">
            <v>20</v>
          </cell>
          <cell r="H1255" t="str">
            <v>8A</v>
          </cell>
          <cell r="I1255" t="str">
            <v>First</v>
          </cell>
          <cell r="J1255" t="str">
            <v>Existing Tel/Data Closet / open TE cabinet</v>
          </cell>
          <cell r="K1255" t="str">
            <v>Existing telecom transition point</v>
          </cell>
          <cell r="L1255">
            <v>2</v>
          </cell>
          <cell r="O1255" t="str">
            <v>20T-101 / 20T-701 / 20R-900</v>
          </cell>
          <cell r="P1255" t="str">
            <v>Existing Tel/Data Closet 8A at 17 SF with existing open TE cabinet, ground bar, patch panel, equipment box, indoor AC unit, plywood backboard, BIX blocks, Cisco switch, legacy Ortronics 48-port patch panel, floor UPS and Fiber LIU. Protect active services and transfer to Office 1B TE.</v>
          </cell>
          <cell r="Q1255" t="str">
            <v>20|4</v>
          </cell>
        </row>
        <row r="1256">
          <cell r="E1256" t="str">
            <v>1. ROOM INVENTORY</v>
          </cell>
          <cell r="G1256">
            <v>0</v>
          </cell>
          <cell r="H1256">
            <v>0</v>
          </cell>
          <cell r="I1256">
            <v>0</v>
          </cell>
          <cell r="J1256">
            <v>0</v>
          </cell>
          <cell r="K1256">
            <v>0</v>
          </cell>
          <cell r="L1256">
            <v>0</v>
          </cell>
          <cell r="O1256">
            <v>0</v>
          </cell>
          <cell r="P1256">
            <v>0</v>
          </cell>
          <cell r="Q1256" t="str">
            <v>20|5</v>
          </cell>
        </row>
        <row r="1257">
          <cell r="E1257" t="str">
            <v>2. ROOM READINESS</v>
          </cell>
          <cell r="G1257" t="str">
            <v>2. ROOM READINESS</v>
          </cell>
          <cell r="H1257">
            <v>0</v>
          </cell>
          <cell r="I1257">
            <v>0</v>
          </cell>
          <cell r="J1257">
            <v>0</v>
          </cell>
          <cell r="K1257">
            <v>0</v>
          </cell>
          <cell r="L1257">
            <v>0</v>
          </cell>
          <cell r="O1257">
            <v>0</v>
          </cell>
          <cell r="P1257">
            <v>0</v>
          </cell>
          <cell r="Q1257" t="str">
            <v>20|6</v>
          </cell>
        </row>
        <row r="1258">
          <cell r="E1258" t="str">
            <v>2. ROOM READINESS</v>
          </cell>
          <cell r="G1258" t="str">
            <v>Room</v>
          </cell>
          <cell r="H1258" t="str">
            <v>Walls / 1-hr Rating</v>
          </cell>
          <cell r="I1258" t="str">
            <v>Ceiling</v>
          </cell>
          <cell r="J1258" t="str">
            <v>Floor / SDC</v>
          </cell>
          <cell r="K1258" t="str">
            <v>Penetrations</v>
          </cell>
          <cell r="L1258" t="str">
            <v>Access Control</v>
          </cell>
          <cell r="O1258" t="str">
            <v>Overall</v>
          </cell>
          <cell r="P1258" t="str">
            <v>Comments</v>
          </cell>
          <cell r="Q1258" t="str">
            <v>20|7</v>
          </cell>
        </row>
        <row r="1259">
          <cell r="E1259" t="str">
            <v>2. ROOM READINESS</v>
          </cell>
          <cell r="G1259" t="str">
            <v>1B</v>
          </cell>
          <cell r="H1259" t="str">
            <v>Verify</v>
          </cell>
          <cell r="I1259" t="str">
            <v>Verify</v>
          </cell>
          <cell r="J1259" t="str">
            <v>N/A / Office</v>
          </cell>
          <cell r="K1259" t="str">
            <v>Verify</v>
          </cell>
          <cell r="L1259" t="str">
            <v>Verify Existing</v>
          </cell>
          <cell r="O1259" t="str">
            <v>Verify</v>
          </cell>
          <cell r="P1259" t="str">
            <v>New TE enclosure location in Office 1B; verify wall backing, mounting height, access clearance, power, fiber/copper path, 4-inch speed sleeve, fire/smoke wall rating, and that office use can remain operational.</v>
          </cell>
          <cell r="Q1259" t="str">
            <v>20|8</v>
          </cell>
        </row>
        <row r="1260">
          <cell r="E1260" t="str">
            <v>2. ROOM READINESS</v>
          </cell>
          <cell r="G1260" t="str">
            <v>8A</v>
          </cell>
          <cell r="H1260" t="str">
            <v>Existing / Verify</v>
          </cell>
          <cell r="I1260" t="str">
            <v>Existing / Verify</v>
          </cell>
          <cell r="J1260" t="str">
            <v>Existing / Verify</v>
          </cell>
          <cell r="K1260" t="str">
            <v>Verify</v>
          </cell>
          <cell r="L1260" t="str">
            <v>Verify Existing</v>
          </cell>
          <cell r="O1260" t="str">
            <v>Verify</v>
          </cell>
          <cell r="P1260" t="str">
            <v>Existing Tel/Data Closet; verify active equipment status, existing open cabinet, indoor AC, ground bar/backboard, floor UPS, pathway and transition/abandonment scope.</v>
          </cell>
          <cell r="Q1260" t="str">
            <v>20|9</v>
          </cell>
        </row>
        <row r="1261">
          <cell r="E1261" t="str">
            <v>2. ROOM READINESS</v>
          </cell>
          <cell r="G1261">
            <v>0</v>
          </cell>
          <cell r="H1261">
            <v>0</v>
          </cell>
          <cell r="I1261">
            <v>0</v>
          </cell>
          <cell r="J1261">
            <v>0</v>
          </cell>
          <cell r="K1261">
            <v>0</v>
          </cell>
          <cell r="L1261">
            <v>0</v>
          </cell>
          <cell r="O1261">
            <v>0</v>
          </cell>
          <cell r="P1261">
            <v>0</v>
          </cell>
          <cell r="Q1261" t="str">
            <v>20|10</v>
          </cell>
        </row>
        <row r="1262">
          <cell r="E1262" t="str">
            <v>3. FIRE PROTECTION</v>
          </cell>
          <cell r="G1262" t="str">
            <v>3. FIRE PROTECTION</v>
          </cell>
          <cell r="H1262">
            <v>0</v>
          </cell>
          <cell r="I1262">
            <v>0</v>
          </cell>
          <cell r="J1262">
            <v>0</v>
          </cell>
          <cell r="K1262">
            <v>0</v>
          </cell>
          <cell r="L1262">
            <v>0</v>
          </cell>
          <cell r="O1262">
            <v>0</v>
          </cell>
          <cell r="P1262">
            <v>0</v>
          </cell>
          <cell r="Q1262" t="str">
            <v>20|11</v>
          </cell>
        </row>
        <row r="1263">
          <cell r="E1263" t="str">
            <v>3. FIRE PROTECTION</v>
          </cell>
          <cell r="G1263" t="str">
            <v>Room</v>
          </cell>
          <cell r="H1263" t="str">
            <v>Sprinkler</v>
          </cell>
          <cell r="I1263" t="str">
            <v>Cage</v>
          </cell>
          <cell r="J1263" t="str">
            <v>Detector</v>
          </cell>
          <cell r="K1263" t="str">
            <v>Horn/Strobe</v>
          </cell>
          <cell r="L1263" t="str">
            <v>Extinguisher &lt;75 ft</v>
          </cell>
          <cell r="O1263" t="str">
            <v>Overall</v>
          </cell>
          <cell r="P1263" t="str">
            <v>Risk / Notes</v>
          </cell>
          <cell r="Q1263" t="str">
            <v>20|12</v>
          </cell>
        </row>
        <row r="1264">
          <cell r="E1264" t="str">
            <v>3. FIRE PROTECTION</v>
          </cell>
          <cell r="G1264" t="str">
            <v>1B</v>
          </cell>
          <cell r="H1264" t="str">
            <v>Excluded / Verify</v>
          </cell>
          <cell r="I1264" t="str">
            <v>N/A</v>
          </cell>
          <cell r="J1264" t="str">
            <v>Verify Existing</v>
          </cell>
          <cell r="K1264" t="str">
            <v>Verify Existing</v>
          </cell>
          <cell r="L1264" t="str">
            <v>N/A / Verify</v>
          </cell>
          <cell r="O1264" t="str">
            <v>Verify</v>
          </cell>
          <cell r="P1264" t="str">
            <v>Cover sheet states Building 20 receives a Telecom Enclosure and mechanical/fire protection scope is excluded. Still verify firestopping of rated penetrations, 4-inch sleeve, wall/floor openings, and any life-safety device impacts.</v>
          </cell>
          <cell r="Q1264" t="str">
            <v>20|13</v>
          </cell>
        </row>
        <row r="1265">
          <cell r="E1265" t="str">
            <v>3. FIRE PROTECTION</v>
          </cell>
          <cell r="G1265" t="str">
            <v>8A</v>
          </cell>
          <cell r="H1265" t="str">
            <v>Existing / Verify</v>
          </cell>
          <cell r="I1265" t="str">
            <v>N/A</v>
          </cell>
          <cell r="J1265" t="str">
            <v>Verify Existing</v>
          </cell>
          <cell r="K1265" t="str">
            <v>Verify Existing</v>
          </cell>
          <cell r="L1265" t="str">
            <v>N/A / Verify</v>
          </cell>
          <cell r="O1265" t="str">
            <v>Verify</v>
          </cell>
          <cell r="P1265" t="str">
            <v>Existing closet; verify protection-in-place and firestopping after cable transfer or reuse.</v>
          </cell>
          <cell r="Q1265" t="str">
            <v>20|14</v>
          </cell>
        </row>
        <row r="1266">
          <cell r="E1266" t="str">
            <v>3. FIRE PROTECTION</v>
          </cell>
          <cell r="G1266">
            <v>0</v>
          </cell>
          <cell r="H1266">
            <v>0</v>
          </cell>
          <cell r="I1266">
            <v>0</v>
          </cell>
          <cell r="J1266">
            <v>0</v>
          </cell>
          <cell r="K1266">
            <v>0</v>
          </cell>
          <cell r="L1266">
            <v>0</v>
          </cell>
          <cell r="O1266">
            <v>0</v>
          </cell>
          <cell r="P1266">
            <v>0</v>
          </cell>
          <cell r="Q1266" t="str">
            <v>20|15</v>
          </cell>
        </row>
        <row r="1267">
          <cell r="E1267" t="str">
            <v>4. HVAC / COOLING</v>
          </cell>
          <cell r="G1267" t="str">
            <v>4. HVAC / COOLING</v>
          </cell>
          <cell r="H1267">
            <v>0</v>
          </cell>
          <cell r="I1267">
            <v>0</v>
          </cell>
          <cell r="J1267">
            <v>0</v>
          </cell>
          <cell r="K1267">
            <v>0</v>
          </cell>
          <cell r="L1267">
            <v>0</v>
          </cell>
          <cell r="O1267">
            <v>0</v>
          </cell>
          <cell r="P1267">
            <v>0</v>
          </cell>
          <cell r="Q1267" t="str">
            <v>20|16</v>
          </cell>
        </row>
        <row r="1268">
          <cell r="E1268" t="str">
            <v>4. HVAC / COOLING</v>
          </cell>
          <cell r="G1268" t="str">
            <v>Room</v>
          </cell>
          <cell r="H1268" t="str">
            <v>Dedicated Unit</v>
          </cell>
          <cell r="I1268" t="str">
            <v>Capacity Verified</v>
          </cell>
          <cell r="J1268" t="str">
            <v>Emergency Power</v>
          </cell>
          <cell r="K1268" t="str">
            <v>Controls / BACnet</v>
          </cell>
          <cell r="L1268" t="str">
            <v>Condensate Routed</v>
          </cell>
          <cell r="O1268" t="str">
            <v>Overall</v>
          </cell>
          <cell r="P1268" t="str">
            <v>Risk / Notes</v>
          </cell>
          <cell r="Q1268" t="str">
            <v>20|17</v>
          </cell>
        </row>
        <row r="1269">
          <cell r="E1269" t="str">
            <v>4. HVAC / COOLING</v>
          </cell>
          <cell r="G1269" t="str">
            <v>1B</v>
          </cell>
          <cell r="H1269" t="str">
            <v>Excluded</v>
          </cell>
          <cell r="I1269" t="str">
            <v>N/A</v>
          </cell>
          <cell r="J1269" t="str">
            <v>N/A</v>
          </cell>
          <cell r="K1269" t="str">
            <v>N/A</v>
          </cell>
          <cell r="L1269" t="str">
            <v>N/A</v>
          </cell>
          <cell r="O1269" t="str">
            <v>N/A</v>
          </cell>
          <cell r="P1269" t="str">
            <v>Cover sheet states mechanical scope is excluded. Verify whether Office 1B ambient conditions are acceptable for wall-mount TE/UPS/PDU/network equipment.</v>
          </cell>
          <cell r="Q1269" t="str">
            <v>20|18</v>
          </cell>
        </row>
        <row r="1270">
          <cell r="E1270" t="str">
            <v>4. HVAC / COOLING</v>
          </cell>
          <cell r="G1270" t="str">
            <v>8A</v>
          </cell>
          <cell r="H1270" t="str">
            <v>Existing indoor AC unit</v>
          </cell>
          <cell r="I1270" t="str">
            <v>Verify</v>
          </cell>
          <cell r="J1270" t="str">
            <v>Verify</v>
          </cell>
          <cell r="K1270" t="str">
            <v>Verify</v>
          </cell>
          <cell r="L1270" t="str">
            <v>Verify</v>
          </cell>
          <cell r="O1270" t="str">
            <v>Verify</v>
          </cell>
          <cell r="P1270" t="str">
            <v>Existing Tel/Data Closet 8A includes indoor AC unit to remain/protect in place; verify operation during cutover and whether equipment remains after transition.</v>
          </cell>
          <cell r="Q1270" t="str">
            <v>20|19</v>
          </cell>
        </row>
        <row r="1271">
          <cell r="E1271" t="str">
            <v>4. HVAC / COOLING</v>
          </cell>
          <cell r="G1271">
            <v>0</v>
          </cell>
          <cell r="H1271">
            <v>0</v>
          </cell>
          <cell r="I1271">
            <v>0</v>
          </cell>
          <cell r="J1271">
            <v>0</v>
          </cell>
          <cell r="K1271">
            <v>0</v>
          </cell>
          <cell r="L1271">
            <v>0</v>
          </cell>
          <cell r="O1271">
            <v>0</v>
          </cell>
          <cell r="P1271">
            <v>0</v>
          </cell>
          <cell r="Q1271" t="str">
            <v>20|20</v>
          </cell>
        </row>
        <row r="1272">
          <cell r="E1272" t="str">
            <v>5. ELECTRICAL / UPS</v>
          </cell>
          <cell r="G1272" t="str">
            <v>5. ELECTRICAL / UPS</v>
          </cell>
          <cell r="H1272">
            <v>0</v>
          </cell>
          <cell r="I1272">
            <v>0</v>
          </cell>
          <cell r="J1272">
            <v>0</v>
          </cell>
          <cell r="K1272">
            <v>0</v>
          </cell>
          <cell r="L1272">
            <v>0</v>
          </cell>
          <cell r="O1272">
            <v>0</v>
          </cell>
          <cell r="P1272">
            <v>0</v>
          </cell>
          <cell r="Q1272" t="str">
            <v>20|21</v>
          </cell>
        </row>
        <row r="1273">
          <cell r="E1273" t="str">
            <v>5. ELECTRICAL / UPS</v>
          </cell>
          <cell r="G1273" t="str">
            <v>Room</v>
          </cell>
          <cell r="H1273" t="str">
            <v>UPS Installed</v>
          </cell>
          <cell r="I1273" t="str">
            <v>UPS Size</v>
          </cell>
          <cell r="J1273" t="str">
            <v>PDU Installed</v>
          </cell>
          <cell r="K1273" t="str">
            <v>Rack Receptacles</v>
          </cell>
          <cell r="L1273" t="str">
            <v>Panel Assigned</v>
          </cell>
          <cell r="O1273" t="str">
            <v>Overall</v>
          </cell>
          <cell r="P1273" t="str">
            <v>Notes</v>
          </cell>
          <cell r="Q1273" t="str">
            <v>20|22</v>
          </cell>
        </row>
        <row r="1274">
          <cell r="E1274" t="str">
            <v>5. ELECTRICAL / UPS</v>
          </cell>
          <cell r="G1274" t="str">
            <v>1B</v>
          </cell>
          <cell r="H1274" t="str">
            <v>Verify</v>
          </cell>
          <cell r="I1274" t="str">
            <v>APC UPS / TE enclosure</v>
          </cell>
          <cell r="J1274" t="str">
            <v>Verify</v>
          </cell>
          <cell r="K1274" t="str">
            <v>Verify</v>
          </cell>
          <cell r="L1274" t="str">
            <v>20E-101 / 20E-601 source to verify</v>
          </cell>
          <cell r="O1274" t="str">
            <v>Verify</v>
          </cell>
          <cell r="P1274" t="str">
            <v>20T-701 new enclosure elevation shows APC UPS, two PDU L5-30 input / NEMA 5-20 output units, 120V outlet UPS, 120V outlet PDU, network switch, 48-port Cat6A patch panel and Fiber LIU. Verify circuit source, receptacle type, grounding/bonding and labels.</v>
          </cell>
          <cell r="Q1274" t="str">
            <v>20|23</v>
          </cell>
        </row>
        <row r="1275">
          <cell r="E1275" t="str">
            <v>5. ELECTRICAL / UPS</v>
          </cell>
          <cell r="G1275" t="str">
            <v>8A</v>
          </cell>
          <cell r="H1275" t="str">
            <v>Existing</v>
          </cell>
          <cell r="I1275" t="str">
            <v>Existing floor UPS</v>
          </cell>
          <cell r="J1275" t="str">
            <v>Existing</v>
          </cell>
          <cell r="K1275" t="str">
            <v>Verify</v>
          </cell>
          <cell r="L1275" t="str">
            <v>Existing / Verify</v>
          </cell>
          <cell r="O1275" t="str">
            <v>Verify</v>
          </cell>
          <cell r="P1275" t="str">
            <v>Existing 8A elevation shows UPS on ground, legacy patch equipment and Fiber LIU on wall; verify source circuits, UPS status, and transition requirements before disconnect/removal.</v>
          </cell>
          <cell r="Q1275" t="str">
            <v>20|24</v>
          </cell>
        </row>
        <row r="1276">
          <cell r="E1276" t="str">
            <v>5. ELECTRICAL / UPS</v>
          </cell>
          <cell r="G1276">
            <v>0</v>
          </cell>
          <cell r="H1276">
            <v>0</v>
          </cell>
          <cell r="I1276">
            <v>0</v>
          </cell>
          <cell r="J1276">
            <v>0</v>
          </cell>
          <cell r="K1276">
            <v>0</v>
          </cell>
          <cell r="L1276">
            <v>0</v>
          </cell>
          <cell r="O1276">
            <v>0</v>
          </cell>
          <cell r="P1276">
            <v>0</v>
          </cell>
          <cell r="Q1276" t="str">
            <v>20|25</v>
          </cell>
        </row>
        <row r="1277">
          <cell r="E1277" t="str">
            <v>6. TELECOMMUNICATIONS</v>
          </cell>
          <cell r="G1277" t="str">
            <v>6. TELECOMMUNICATIONS</v>
          </cell>
          <cell r="H1277">
            <v>0</v>
          </cell>
          <cell r="I1277">
            <v>0</v>
          </cell>
          <cell r="J1277">
            <v>0</v>
          </cell>
          <cell r="K1277">
            <v>0</v>
          </cell>
          <cell r="L1277">
            <v>0</v>
          </cell>
          <cell r="O1277">
            <v>0</v>
          </cell>
          <cell r="P1277">
            <v>0</v>
          </cell>
          <cell r="Q1277" t="str">
            <v>20|26</v>
          </cell>
        </row>
        <row r="1278">
          <cell r="E1278" t="str">
            <v>6. TELECOMMUNICATIONS</v>
          </cell>
          <cell r="G1278" t="str">
            <v>Room</v>
          </cell>
          <cell r="H1278" t="str">
            <v>Rack Installed</v>
          </cell>
          <cell r="I1278" t="str">
            <v>Ladder Tray</v>
          </cell>
          <cell r="J1278" t="str">
            <v>Fiber Installed</v>
          </cell>
          <cell r="K1278" t="str">
            <v>Grounding</v>
          </cell>
          <cell r="L1278" t="str">
            <v>Labeling</v>
          </cell>
          <cell r="O1278" t="str">
            <v>Overall</v>
          </cell>
          <cell r="P1278" t="str">
            <v>Notes</v>
          </cell>
          <cell r="Q1278" t="str">
            <v>20|27</v>
          </cell>
        </row>
        <row r="1279">
          <cell r="E1279" t="str">
            <v>6. TELECOMMUNICATIONS</v>
          </cell>
          <cell r="G1279" t="str">
            <v>1B</v>
          </cell>
          <cell r="H1279" t="str">
            <v>Verify</v>
          </cell>
          <cell r="I1279" t="str">
            <v>Verify</v>
          </cell>
          <cell r="J1279" t="str">
            <v>Verify</v>
          </cell>
          <cell r="K1279" t="str">
            <v>Verify</v>
          </cell>
          <cell r="L1279" t="str">
            <v>Verify</v>
          </cell>
          <cell r="O1279" t="str">
            <v>Verify</v>
          </cell>
          <cell r="P1279" t="str">
            <v>20T-701 identifies TE01-1B-1: 21 WAO total, 24 active ports per survey, 30 ports per schedule, 33 total ports with 10% allowance. Provide new wall-mount TE cabinet and 10 new Cat6A cross-connect cables from existing TE to new TE location.</v>
          </cell>
          <cell r="Q1279" t="str">
            <v>20|28</v>
          </cell>
        </row>
        <row r="1280">
          <cell r="E1280" t="str">
            <v>6. TELECOMMUNICATIONS</v>
          </cell>
          <cell r="G1280" t="str">
            <v>8A</v>
          </cell>
          <cell r="H1280" t="str">
            <v>Existing</v>
          </cell>
          <cell r="I1280" t="str">
            <v>Existing</v>
          </cell>
          <cell r="J1280" t="str">
            <v>Existing</v>
          </cell>
          <cell r="K1280" t="str">
            <v>Verify</v>
          </cell>
          <cell r="L1280" t="str">
            <v>Verify</v>
          </cell>
          <cell r="O1280" t="str">
            <v>Verify</v>
          </cell>
          <cell r="P1280" t="str">
            <v>Existing Tel/Data Closet 8A contains open TE cabinet, ground bar, patch panel, equipment box, indoor AC unit, plywood backboard, BIX blocks, Cisco switch, legacy 48-port patch panel and Fiber LIU. Field verify all active services.</v>
          </cell>
          <cell r="Q1280" t="str">
            <v>20|29</v>
          </cell>
        </row>
        <row r="1281">
          <cell r="E1281" t="str">
            <v>6. TELECOMMUNICATIONS</v>
          </cell>
          <cell r="G1281">
            <v>0</v>
          </cell>
          <cell r="H1281">
            <v>0</v>
          </cell>
          <cell r="I1281">
            <v>0</v>
          </cell>
          <cell r="J1281">
            <v>0</v>
          </cell>
          <cell r="K1281">
            <v>0</v>
          </cell>
          <cell r="L1281">
            <v>0</v>
          </cell>
          <cell r="O1281">
            <v>0</v>
          </cell>
          <cell r="P1281">
            <v>0</v>
          </cell>
          <cell r="Q1281" t="str">
            <v>20|30</v>
          </cell>
        </row>
        <row r="1282">
          <cell r="E1282" t="str">
            <v>7. SECURITY / PACS / CCTV</v>
          </cell>
          <cell r="G1282" t="str">
            <v>7. SECURITY / PACS / CCTV</v>
          </cell>
          <cell r="H1282">
            <v>0</v>
          </cell>
          <cell r="I1282">
            <v>0</v>
          </cell>
          <cell r="J1282">
            <v>0</v>
          </cell>
          <cell r="K1282">
            <v>0</v>
          </cell>
          <cell r="L1282">
            <v>0</v>
          </cell>
          <cell r="O1282">
            <v>0</v>
          </cell>
          <cell r="P1282">
            <v>0</v>
          </cell>
          <cell r="Q1282" t="str">
            <v>20|31</v>
          </cell>
        </row>
        <row r="1283">
          <cell r="E1283" t="str">
            <v>7. SECURITY / PACS / CCTV</v>
          </cell>
          <cell r="G1283" t="str">
            <v>Room</v>
          </cell>
          <cell r="H1283" t="str">
            <v>PACS</v>
          </cell>
          <cell r="I1283" t="str">
            <v>Card Reader</v>
          </cell>
          <cell r="J1283" t="str">
            <v>Door Position</v>
          </cell>
          <cell r="K1283" t="str">
            <v>Electric Strike</v>
          </cell>
          <cell r="L1283" t="str">
            <v>CCTV</v>
          </cell>
          <cell r="O1283" t="str">
            <v>Overall</v>
          </cell>
          <cell r="P1283" t="str">
            <v>Notes</v>
          </cell>
          <cell r="Q1283" t="str">
            <v>20|32</v>
          </cell>
        </row>
        <row r="1284">
          <cell r="E1284" t="str">
            <v>7. SECURITY / PACS / CCTV</v>
          </cell>
          <cell r="G1284" t="str">
            <v>1B</v>
          </cell>
          <cell r="H1284" t="str">
            <v>N/A / Verify</v>
          </cell>
          <cell r="I1284" t="str">
            <v>N/A / Verify</v>
          </cell>
          <cell r="J1284" t="str">
            <v>N/A / Verify</v>
          </cell>
          <cell r="K1284" t="str">
            <v>N/A / Verify</v>
          </cell>
          <cell r="L1284" t="str">
            <v>Verify Existing</v>
          </cell>
          <cell r="O1284" t="str">
            <v>Verify</v>
          </cell>
          <cell r="P1284" t="str">
            <v>Building 20 does not appear to create a new TR door/PACS package. Verify any existing cameras/security devices in Office 1B and ensure no camera angle or VMS integration is disrupted.</v>
          </cell>
          <cell r="Q1284" t="str">
            <v>20|33</v>
          </cell>
        </row>
        <row r="1285">
          <cell r="E1285" t="str">
            <v>7. SECURITY / PACS / CCTV</v>
          </cell>
          <cell r="G1285" t="str">
            <v>8A</v>
          </cell>
          <cell r="H1285" t="str">
            <v>N/A / Verify</v>
          </cell>
          <cell r="I1285" t="str">
            <v>N/A / Verify</v>
          </cell>
          <cell r="J1285" t="str">
            <v>N/A / Verify</v>
          </cell>
          <cell r="K1285" t="str">
            <v>N/A / Verify</v>
          </cell>
          <cell r="L1285" t="str">
            <v>Verify Existing</v>
          </cell>
          <cell r="O1285" t="str">
            <v>Verify</v>
          </cell>
          <cell r="P1285" t="str">
            <v>Keynotes indicate existing cameras are to be retained and re-used/protected in place; verify existing security equipment and cabinet impacts during cutover.</v>
          </cell>
          <cell r="Q1285" t="str">
            <v>20|34</v>
          </cell>
        </row>
        <row r="1286">
          <cell r="E1286" t="str">
            <v>7. SECURITY / PACS / CCTV</v>
          </cell>
          <cell r="G1286">
            <v>0</v>
          </cell>
          <cell r="H1286">
            <v>0</v>
          </cell>
          <cell r="I1286">
            <v>0</v>
          </cell>
          <cell r="J1286">
            <v>0</v>
          </cell>
          <cell r="K1286">
            <v>0</v>
          </cell>
          <cell r="L1286">
            <v>0</v>
          </cell>
          <cell r="O1286">
            <v>0</v>
          </cell>
          <cell r="P1286">
            <v>0</v>
          </cell>
          <cell r="Q1286" t="str">
            <v>20|35</v>
          </cell>
        </row>
        <row r="1287">
          <cell r="E1287" t="str">
            <v>8. OWNER RISKS</v>
          </cell>
          <cell r="G1287" t="str">
            <v>8. OWNER RISKS</v>
          </cell>
          <cell r="H1287">
            <v>0</v>
          </cell>
          <cell r="I1287">
            <v>0</v>
          </cell>
          <cell r="J1287">
            <v>0</v>
          </cell>
          <cell r="K1287">
            <v>0</v>
          </cell>
          <cell r="L1287">
            <v>0</v>
          </cell>
          <cell r="O1287">
            <v>0</v>
          </cell>
          <cell r="P1287">
            <v>0</v>
          </cell>
          <cell r="Q1287" t="str">
            <v>20|36</v>
          </cell>
        </row>
        <row r="1288">
          <cell r="E1288" t="str">
            <v>8. OWNER RISKS</v>
          </cell>
          <cell r="G1288" t="str">
            <v>Risk ID</v>
          </cell>
          <cell r="H1288" t="str">
            <v>Room</v>
          </cell>
          <cell r="I1288" t="str">
            <v>Risk</v>
          </cell>
          <cell r="J1288" t="str">
            <v>Impact</v>
          </cell>
          <cell r="K1288" t="str">
            <v>Probability</v>
          </cell>
          <cell r="L1288" t="str">
            <v>Score</v>
          </cell>
          <cell r="O1288" t="str">
            <v>Status</v>
          </cell>
          <cell r="P1288" t="str">
            <v>Notes</v>
          </cell>
          <cell r="Q1288" t="str">
            <v>20|37</v>
          </cell>
        </row>
        <row r="1289">
          <cell r="E1289" t="str">
            <v>8. OWNER RISKS</v>
          </cell>
          <cell r="G1289" t="str">
            <v>B20-R1</v>
          </cell>
          <cell r="H1289" t="str">
            <v>All</v>
          </cell>
          <cell r="I1289" t="str">
            <v>Existing conditions for new Office 1B TE and existing Tel/Data Closet 8A not field verified</v>
          </cell>
          <cell r="J1289" t="str">
            <v>High</v>
          </cell>
          <cell r="K1289" t="str">
            <v>Medium</v>
          </cell>
          <cell r="L1289">
            <v>6</v>
          </cell>
          <cell r="O1289" t="str">
            <v>Open</v>
          </cell>
          <cell r="P1289" t="str">
            <v>B20 has a compact TE scope but still depends on field conditions and existing equipment transfer.</v>
          </cell>
          <cell r="Q1289" t="str">
            <v>20|38</v>
          </cell>
        </row>
        <row r="1290">
          <cell r="E1290" t="str">
            <v>8. OWNER RISKS</v>
          </cell>
          <cell r="G1290" t="str">
            <v>B20-R2</v>
          </cell>
          <cell r="H1290" t="str">
            <v>1B/8A</v>
          </cell>
          <cell r="I1290" t="str">
            <v>Existing equipment in 8A may remain active during transfer to new TE in 1B</v>
          </cell>
          <cell r="J1290" t="str">
            <v>Critical</v>
          </cell>
          <cell r="K1290" t="str">
            <v>Medium</v>
          </cell>
          <cell r="L1290">
            <v>8</v>
          </cell>
          <cell r="O1290" t="str">
            <v>Open</v>
          </cell>
          <cell r="P1290" t="str">
            <v>20T-101 keynotes require transfer of existing devices and phasing plan.</v>
          </cell>
          <cell r="Q1290" t="str">
            <v>20|39</v>
          </cell>
        </row>
        <row r="1291">
          <cell r="E1291" t="str">
            <v>8. OWNER RISKS</v>
          </cell>
          <cell r="G1291" t="str">
            <v>B20-R3</v>
          </cell>
          <cell r="H1291" t="str">
            <v>1B</v>
          </cell>
          <cell r="I1291" t="str">
            <v>Room naming and TE designation could cause PMIS mapping confusion</v>
          </cell>
          <cell r="J1291" t="str">
            <v>Medium</v>
          </cell>
          <cell r="K1291" t="str">
            <v>Medium</v>
          </cell>
          <cell r="L1291">
            <v>4</v>
          </cell>
          <cell r="O1291" t="str">
            <v>Open</v>
          </cell>
          <cell r="P1291" t="str">
            <v>Schedule is Office 1B and rack ID TE01-1B-1; existing telecom room is 8A.</v>
          </cell>
          <cell r="Q1291" t="str">
            <v>20|40</v>
          </cell>
        </row>
        <row r="1292">
          <cell r="E1292" t="str">
            <v>8. OWNER RISKS</v>
          </cell>
          <cell r="G1292" t="str">
            <v>B20-R4</v>
          </cell>
          <cell r="H1292" t="str">
            <v>1B</v>
          </cell>
          <cell r="I1292" t="str">
            <v>No mechanical scope, but TE/UPS/network equipment may add heat load to Office 1B</v>
          </cell>
          <cell r="J1292" t="str">
            <v>High</v>
          </cell>
          <cell r="K1292" t="str">
            <v>Medium</v>
          </cell>
          <cell r="L1292">
            <v>6</v>
          </cell>
          <cell r="O1292" t="str">
            <v>Open</v>
          </cell>
          <cell r="P1292" t="str">
            <v>Cover excludes mechanical/fire protection; existing HVAC may be relied on.</v>
          </cell>
          <cell r="Q1292" t="str">
            <v>20|41</v>
          </cell>
        </row>
        <row r="1293">
          <cell r="E1293" t="str">
            <v>8. OWNER RISKS</v>
          </cell>
          <cell r="G1293" t="str">
            <v>B20-R5</v>
          </cell>
          <cell r="H1293" t="str">
            <v>1B</v>
          </cell>
          <cell r="I1293" t="str">
            <v>UPS/PDU/receptacle source and grounding/bonding not verified</v>
          </cell>
          <cell r="J1293" t="str">
            <v>High</v>
          </cell>
          <cell r="K1293" t="str">
            <v>Medium</v>
          </cell>
          <cell r="L1293">
            <v>6</v>
          </cell>
          <cell r="O1293" t="str">
            <v>Open</v>
          </cell>
          <cell r="P1293" t="str">
            <v>New TE enclosure includes APC UPS and two PDUs.</v>
          </cell>
          <cell r="Q1293" t="str">
            <v>20|42</v>
          </cell>
        </row>
        <row r="1294">
          <cell r="E1294" t="str">
            <v>8. OWNER RISKS</v>
          </cell>
          <cell r="G1294" t="str">
            <v>B20-R6</v>
          </cell>
          <cell r="H1294" t="str">
            <v>All</v>
          </cell>
          <cell r="I1294" t="str">
            <v>459 feet of cable tray/pathway requires coordination despite small port count</v>
          </cell>
          <cell r="J1294" t="str">
            <v>High</v>
          </cell>
          <cell r="K1294" t="str">
            <v>Medium</v>
          </cell>
          <cell r="L1294">
            <v>6</v>
          </cell>
          <cell r="O1294" t="str">
            <v>Open</v>
          </cell>
          <cell r="P1294" t="str">
            <v>20T-701 cable tray schedule lists Level 1 estimated length of 459 ft.</v>
          </cell>
          <cell r="Q1294" t="str">
            <v>20|43</v>
          </cell>
        </row>
        <row r="1295">
          <cell r="E1295" t="str">
            <v>8. OWNER RISKS</v>
          </cell>
          <cell r="G1295" t="str">
            <v>B20-R7</v>
          </cell>
          <cell r="H1295" t="str">
            <v>All</v>
          </cell>
          <cell r="I1295" t="str">
            <v>Firestopping/rated sleeve work could be missed because FP scope is excluded</v>
          </cell>
          <cell r="J1295" t="str">
            <v>High</v>
          </cell>
          <cell r="K1295" t="str">
            <v>Medium</v>
          </cell>
          <cell r="L1295">
            <v>6</v>
          </cell>
          <cell r="O1295" t="str">
            <v>Open</v>
          </cell>
          <cell r="P1295" t="str">
            <v>20T-101 requires fire caulk at sleeves and rated penetration protection.</v>
          </cell>
          <cell r="Q1295" t="str">
            <v>20|44</v>
          </cell>
        </row>
        <row r="1296">
          <cell r="E1296" t="str">
            <v>8. OWNER RISKS</v>
          </cell>
          <cell r="G1296" t="str">
            <v>B20-R8</v>
          </cell>
          <cell r="H1296" t="str">
            <v>All</v>
          </cell>
          <cell r="I1296" t="str">
            <v>Commissioning/test documentation may be overlooked due to TE-only scope</v>
          </cell>
          <cell r="J1296" t="str">
            <v>High</v>
          </cell>
          <cell r="K1296" t="str">
            <v>Medium</v>
          </cell>
          <cell r="L1296">
            <v>6</v>
          </cell>
          <cell r="O1296" t="str">
            <v>Open</v>
          </cell>
          <cell r="P1296" t="str">
            <v>Cover/general notes still require testing, acceptance and documentation.</v>
          </cell>
          <cell r="Q1296" t="str">
            <v>20|45</v>
          </cell>
        </row>
        <row r="1297">
          <cell r="E1297" t="str">
            <v>8. OWNER RISKS</v>
          </cell>
          <cell r="G1297">
            <v>0</v>
          </cell>
          <cell r="H1297">
            <v>0</v>
          </cell>
          <cell r="I1297">
            <v>0</v>
          </cell>
          <cell r="J1297">
            <v>0</v>
          </cell>
          <cell r="K1297">
            <v>0</v>
          </cell>
          <cell r="L1297">
            <v>0</v>
          </cell>
          <cell r="O1297">
            <v>0</v>
          </cell>
          <cell r="P1297">
            <v>0</v>
          </cell>
          <cell r="Q1297" t="str">
            <v>20|46</v>
          </cell>
        </row>
        <row r="1298">
          <cell r="E1298" t="str">
            <v>9. OPEN QUESTIONS</v>
          </cell>
          <cell r="G1298" t="str">
            <v>9. OPEN QUESTIONS</v>
          </cell>
          <cell r="H1298">
            <v>0</v>
          </cell>
          <cell r="I1298">
            <v>0</v>
          </cell>
          <cell r="J1298">
            <v>0</v>
          </cell>
          <cell r="K1298">
            <v>0</v>
          </cell>
          <cell r="L1298">
            <v>0</v>
          </cell>
          <cell r="O1298">
            <v>0</v>
          </cell>
          <cell r="P1298">
            <v>0</v>
          </cell>
          <cell r="Q1298" t="str">
            <v>20|47</v>
          </cell>
        </row>
        <row r="1299">
          <cell r="E1299" t="str">
            <v>9. OPEN QUESTIONS</v>
          </cell>
          <cell r="G1299" t="str">
            <v>Question ID</v>
          </cell>
          <cell r="H1299" t="str">
            <v>Question</v>
          </cell>
          <cell r="I1299" t="str">
            <v>Assigned To</v>
          </cell>
          <cell r="J1299" t="str">
            <v>Status</v>
          </cell>
          <cell r="K1299" t="str">
            <v>Needed By</v>
          </cell>
          <cell r="L1299" t="str">
            <v>Answer / Resolution</v>
          </cell>
          <cell r="O1299" t="str">
            <v>Date Closed</v>
          </cell>
          <cell r="P1299" t="str">
            <v>Notes</v>
          </cell>
          <cell r="Q1299" t="str">
            <v>20|48</v>
          </cell>
        </row>
        <row r="1300">
          <cell r="E1300" t="str">
            <v>9. OPEN QUESTIONS</v>
          </cell>
          <cell r="G1300" t="str">
            <v>B20-Q1</v>
          </cell>
          <cell r="H1300" t="str">
            <v>Confirm final scope: new wall-mount TE enclosure in Office 1B and existing Tel/Data Closet 8A transition only?</v>
          </cell>
          <cell r="I1300" t="str">
            <v>VA / OIT / Designer</v>
          </cell>
          <cell r="J1300" t="str">
            <v>Open</v>
          </cell>
          <cell r="K1300">
            <v>0</v>
          </cell>
          <cell r="L1300">
            <v>0</v>
          </cell>
          <cell r="O1300">
            <v>0</v>
          </cell>
          <cell r="P1300">
            <v>0</v>
          </cell>
          <cell r="Q1300" t="str">
            <v>20|49</v>
          </cell>
        </row>
        <row r="1301">
          <cell r="E1301" t="str">
            <v>9. OPEN QUESTIONS</v>
          </cell>
          <cell r="G1301" t="str">
            <v>B20-Q2</v>
          </cell>
          <cell r="H1301" t="str">
            <v>What active services are currently fed from existing 8A open TE cabinet and related equipment?</v>
          </cell>
          <cell r="I1301" t="str">
            <v>OIT / Contractor</v>
          </cell>
          <cell r="J1301" t="str">
            <v>Open</v>
          </cell>
          <cell r="K1301">
            <v>0</v>
          </cell>
          <cell r="L1301">
            <v>0</v>
          </cell>
          <cell r="O1301">
            <v>0</v>
          </cell>
          <cell r="P1301">
            <v>0</v>
          </cell>
          <cell r="Q1301" t="str">
            <v>20|50</v>
          </cell>
        </row>
        <row r="1302">
          <cell r="E1302" t="str">
            <v>9. OPEN QUESTIONS</v>
          </cell>
          <cell r="G1302" t="str">
            <v>B20-Q3</v>
          </cell>
          <cell r="H1302" t="str">
            <v>What is the approved power source, receptacle type and circuit capacity for the new APC UPS/PDU in Office 1B?</v>
          </cell>
          <cell r="I1302" t="str">
            <v>Electrical / Designer</v>
          </cell>
          <cell r="J1302" t="str">
            <v>Open</v>
          </cell>
          <cell r="K1302">
            <v>0</v>
          </cell>
          <cell r="L1302">
            <v>0</v>
          </cell>
          <cell r="O1302">
            <v>0</v>
          </cell>
          <cell r="P1302">
            <v>0</v>
          </cell>
          <cell r="Q1302" t="str">
            <v>20|51</v>
          </cell>
        </row>
        <row r="1303">
          <cell r="E1303" t="str">
            <v>9. OPEN QUESTIONS</v>
          </cell>
          <cell r="G1303" t="str">
            <v>B20-Q4</v>
          </cell>
          <cell r="H1303" t="str">
            <v>Is Office 1B HVAC/ambient condition acceptable for a wall-mount TE with UPS/PDU/network switch?</v>
          </cell>
          <cell r="I1303" t="str">
            <v>VA / OIT / Facilities</v>
          </cell>
          <cell r="J1303" t="str">
            <v>Open</v>
          </cell>
          <cell r="K1303">
            <v>0</v>
          </cell>
          <cell r="L1303">
            <v>0</v>
          </cell>
          <cell r="O1303">
            <v>0</v>
          </cell>
          <cell r="P1303">
            <v>0</v>
          </cell>
          <cell r="Q1303" t="str">
            <v>20|52</v>
          </cell>
        </row>
        <row r="1304">
          <cell r="E1304" t="str">
            <v>9. OPEN QUESTIONS</v>
          </cell>
          <cell r="G1304" t="str">
            <v>B20-Q5</v>
          </cell>
          <cell r="H1304" t="str">
            <v>Are existing cameras/security devices in Building 20 protected and retained with no VMS/PACS changes?</v>
          </cell>
          <cell r="I1304" t="str">
            <v>Security / OIT</v>
          </cell>
          <cell r="J1304" t="str">
            <v>Open</v>
          </cell>
          <cell r="K1304">
            <v>0</v>
          </cell>
          <cell r="L1304">
            <v>0</v>
          </cell>
          <cell r="O1304">
            <v>0</v>
          </cell>
          <cell r="P1304">
            <v>0</v>
          </cell>
          <cell r="Q1304" t="str">
            <v>20|53</v>
          </cell>
        </row>
        <row r="1305">
          <cell r="E1305" t="str">
            <v>9. OPEN QUESTIONS</v>
          </cell>
          <cell r="G1305" t="str">
            <v>B20-Q6</v>
          </cell>
          <cell r="H1305" t="str">
            <v>Are all 459 feet of cable tray route, sleeves, supports and firestopping details field verified?</v>
          </cell>
          <cell r="I1305" t="str">
            <v>Telecom / GC / Firestop</v>
          </cell>
          <cell r="J1305" t="str">
            <v>Open</v>
          </cell>
          <cell r="K1305">
            <v>0</v>
          </cell>
          <cell r="L1305">
            <v>0</v>
          </cell>
          <cell r="O1305">
            <v>0</v>
          </cell>
          <cell r="P1305">
            <v>0</v>
          </cell>
          <cell r="Q1305" t="str">
            <v>20|54</v>
          </cell>
        </row>
        <row r="1306">
          <cell r="E1306" t="str">
            <v>9. OPEN QUESTIONS</v>
          </cell>
          <cell r="G1306" t="str">
            <v>B20-Q7</v>
          </cell>
          <cell r="H1306" t="str">
            <v>Are the 10 new Cat6A cross-connect cables from existing TE to new TE location coordinated and labeled?</v>
          </cell>
          <cell r="I1306" t="str">
            <v>Telecom / OIT</v>
          </cell>
          <cell r="J1306" t="str">
            <v>Open</v>
          </cell>
          <cell r="K1306">
            <v>0</v>
          </cell>
          <cell r="L1306">
            <v>0</v>
          </cell>
          <cell r="O1306">
            <v>0</v>
          </cell>
          <cell r="P1306">
            <v>0</v>
          </cell>
          <cell r="Q1306" t="str">
            <v>20|55</v>
          </cell>
        </row>
        <row r="1307">
          <cell r="E1307" t="str">
            <v>9. OPEN QUESTIONS</v>
          </cell>
          <cell r="G1307" t="str">
            <v>B20-Q8</v>
          </cell>
          <cell r="H1307" t="str">
            <v>Which test records and turnover documents are required for TE-only acceptance?</v>
          </cell>
          <cell r="I1307" t="str">
            <v>GC / Cx Manager / OIT</v>
          </cell>
          <cell r="J1307" t="str">
            <v>Open</v>
          </cell>
          <cell r="K1307">
            <v>0</v>
          </cell>
          <cell r="L1307">
            <v>0</v>
          </cell>
          <cell r="O1307">
            <v>0</v>
          </cell>
          <cell r="P1307">
            <v>0</v>
          </cell>
          <cell r="Q1307" t="str">
            <v>20|56</v>
          </cell>
        </row>
        <row r="1308">
          <cell r="E1308" t="str">
            <v>9. OPEN QUESTIONS</v>
          </cell>
          <cell r="G1308">
            <v>0</v>
          </cell>
          <cell r="H1308">
            <v>0</v>
          </cell>
          <cell r="I1308">
            <v>0</v>
          </cell>
          <cell r="J1308">
            <v>0</v>
          </cell>
          <cell r="K1308">
            <v>0</v>
          </cell>
          <cell r="L1308">
            <v>0</v>
          </cell>
          <cell r="O1308">
            <v>0</v>
          </cell>
          <cell r="P1308">
            <v>0</v>
          </cell>
          <cell r="Q1308" t="str">
            <v>20|57</v>
          </cell>
        </row>
        <row r="1309">
          <cell r="E1309" t="str">
            <v>10. PHOTO LOG</v>
          </cell>
          <cell r="G1309" t="str">
            <v>10. PHOTO LOG</v>
          </cell>
          <cell r="H1309">
            <v>0</v>
          </cell>
          <cell r="I1309">
            <v>0</v>
          </cell>
          <cell r="J1309">
            <v>0</v>
          </cell>
          <cell r="K1309">
            <v>0</v>
          </cell>
          <cell r="L1309">
            <v>0</v>
          </cell>
          <cell r="O1309">
            <v>0</v>
          </cell>
          <cell r="P1309">
            <v>0</v>
          </cell>
          <cell r="Q1309" t="str">
            <v>20|58</v>
          </cell>
        </row>
        <row r="1310">
          <cell r="E1310" t="str">
            <v>10. PHOTO LOG</v>
          </cell>
          <cell r="G1310" t="str">
            <v>Photo ID</v>
          </cell>
          <cell r="H1310" t="str">
            <v>Room</v>
          </cell>
          <cell r="I1310" t="str">
            <v>Category</v>
          </cell>
          <cell r="J1310" t="str">
            <v>Description</v>
          </cell>
          <cell r="K1310" t="str">
            <v>Date</v>
          </cell>
          <cell r="L1310" t="str">
            <v>Taken By</v>
          </cell>
          <cell r="O1310" t="str">
            <v>Status</v>
          </cell>
          <cell r="P1310" t="str">
            <v>Notes</v>
          </cell>
          <cell r="Q1310" t="str">
            <v>20|59</v>
          </cell>
        </row>
        <row r="1311">
          <cell r="E1311" t="str">
            <v>10. PHOTO LOG</v>
          </cell>
          <cell r="G1311" t="str">
            <v>B20-P001</v>
          </cell>
          <cell r="H1311" t="str">
            <v>1B</v>
          </cell>
          <cell r="I1311" t="str">
            <v>Existing Condition</v>
          </cell>
          <cell r="J1311" t="str">
            <v>Office 1B wall location, wall backing, clearances, ceiling, power source, cable path, fiber path A/B and new TE enclosure location</v>
          </cell>
          <cell r="K1311">
            <v>0</v>
          </cell>
          <cell r="L1311" t="str">
            <v>Paul</v>
          </cell>
          <cell r="O1311" t="str">
            <v>Open</v>
          </cell>
          <cell r="P1311">
            <v>0</v>
          </cell>
          <cell r="Q1311" t="str">
            <v>20|60</v>
          </cell>
        </row>
        <row r="1312">
          <cell r="E1312" t="str">
            <v>10. PHOTO LOG</v>
          </cell>
          <cell r="G1312" t="str">
            <v>B20-P002</v>
          </cell>
          <cell r="H1312" t="str">
            <v>8A</v>
          </cell>
          <cell r="I1312" t="str">
            <v>Existing Condition</v>
          </cell>
          <cell r="J1312" t="str">
            <v>Existing Tel/Data Closet 8A open TE cabinet, ground bar, patch panel, equipment box, indoor AC unit, plywood backboard and cable entries</v>
          </cell>
          <cell r="K1312">
            <v>0</v>
          </cell>
          <cell r="L1312" t="str">
            <v>Paul</v>
          </cell>
          <cell r="O1312" t="str">
            <v>Open</v>
          </cell>
          <cell r="P1312">
            <v>0</v>
          </cell>
          <cell r="Q1312" t="str">
            <v>20|61</v>
          </cell>
        </row>
        <row r="1313">
          <cell r="E1313" t="str">
            <v>10. PHOTO LOG</v>
          </cell>
          <cell r="G1313" t="str">
            <v>B20-P003</v>
          </cell>
          <cell r="H1313" t="str">
            <v>8A</v>
          </cell>
          <cell r="I1313" t="str">
            <v>Existing Equipment</v>
          </cell>
          <cell r="J1313" t="str">
            <v>BIX blocks, Cisco switch, legacy Ortronics 48-port patch panel, UPS on ground and Fiber LIU on wall</v>
          </cell>
          <cell r="K1313">
            <v>0</v>
          </cell>
          <cell r="L1313" t="str">
            <v>Paul</v>
          </cell>
          <cell r="O1313" t="str">
            <v>Open</v>
          </cell>
          <cell r="P1313">
            <v>0</v>
          </cell>
          <cell r="Q1313" t="str">
            <v>20|62</v>
          </cell>
        </row>
        <row r="1314">
          <cell r="E1314" t="str">
            <v>10. PHOTO LOG</v>
          </cell>
          <cell r="G1314" t="str">
            <v>B20-P004</v>
          </cell>
          <cell r="H1314" t="str">
            <v>1B/8A</v>
          </cell>
          <cell r="I1314" t="str">
            <v>Pathway</v>
          </cell>
          <cell r="J1314" t="str">
            <v>459 ft Level 1 cable tray route, sleeves, wall penetrations, support points, light/HVAC conflicts and 40% fill concerns</v>
          </cell>
          <cell r="K1314">
            <v>0</v>
          </cell>
          <cell r="L1314" t="str">
            <v>Paul</v>
          </cell>
          <cell r="O1314" t="str">
            <v>Open</v>
          </cell>
          <cell r="P1314">
            <v>0</v>
          </cell>
          <cell r="Q1314" t="str">
            <v>20|63</v>
          </cell>
        </row>
        <row r="1315">
          <cell r="E1315" t="str">
            <v>10. PHOTO LOG</v>
          </cell>
          <cell r="G1315" t="str">
            <v>B20-P005</v>
          </cell>
          <cell r="H1315" t="str">
            <v>1B</v>
          </cell>
          <cell r="I1315" t="str">
            <v>Electrical</v>
          </cell>
          <cell r="J1315" t="str">
            <v>New TE enclosure UPS/PDU receptacles, circuit source, grounding/bonding, labels and disconnect/access</v>
          </cell>
          <cell r="K1315">
            <v>0</v>
          </cell>
          <cell r="L1315" t="str">
            <v>Paul</v>
          </cell>
          <cell r="O1315" t="str">
            <v>Open</v>
          </cell>
          <cell r="P1315">
            <v>0</v>
          </cell>
          <cell r="Q1315" t="str">
            <v>20|64</v>
          </cell>
        </row>
        <row r="1316">
          <cell r="E1316" t="str">
            <v>10. PHOTO LOG</v>
          </cell>
          <cell r="G1316" t="str">
            <v>B20-P006</v>
          </cell>
          <cell r="H1316" t="str">
            <v>1B/8A</v>
          </cell>
          <cell r="I1316" t="str">
            <v>Telecom</v>
          </cell>
          <cell r="J1316" t="str">
            <v>TE01-1B-1 enclosure, cross-connect cables, Fiber LIU, patch panels, labels, test results and existing equipment transfer</v>
          </cell>
          <cell r="K1316">
            <v>0</v>
          </cell>
          <cell r="L1316" t="str">
            <v>Paul</v>
          </cell>
          <cell r="O1316" t="str">
            <v>Open</v>
          </cell>
          <cell r="P1316">
            <v>0</v>
          </cell>
          <cell r="Q1316" t="str">
            <v>20|65</v>
          </cell>
        </row>
        <row r="1317">
          <cell r="E1317" t="str">
            <v>10. PHOTO LOG</v>
          </cell>
          <cell r="G1317" t="str">
            <v>B20-P007</v>
          </cell>
          <cell r="H1317" t="str">
            <v>All</v>
          </cell>
          <cell r="I1317" t="str">
            <v>Firestop</v>
          </cell>
          <cell r="J1317" t="str">
            <v>4-inch speed sleeve, wall penetrations and fire caulk before/after photos</v>
          </cell>
          <cell r="K1317">
            <v>0</v>
          </cell>
          <cell r="L1317" t="str">
            <v>Paul</v>
          </cell>
          <cell r="O1317" t="str">
            <v>Open</v>
          </cell>
          <cell r="P1317">
            <v>0</v>
          </cell>
          <cell r="Q1317" t="str">
            <v>20|66</v>
          </cell>
        </row>
        <row r="1318">
          <cell r="E1318" t="str">
            <v>10. PHOTO LOG</v>
          </cell>
          <cell r="G1318" t="str">
            <v>B20-P008</v>
          </cell>
          <cell r="H1318" t="str">
            <v>All</v>
          </cell>
          <cell r="I1318" t="str">
            <v>Security / Existing Devices</v>
          </cell>
          <cell r="J1318" t="str">
            <v>Existing cameras/security devices to remain, protection-in-place and final operating condition</v>
          </cell>
          <cell r="K1318">
            <v>0</v>
          </cell>
          <cell r="L1318" t="str">
            <v>Paul</v>
          </cell>
          <cell r="O1318" t="str">
            <v>Open</v>
          </cell>
          <cell r="P1318">
            <v>0</v>
          </cell>
          <cell r="Q1318" t="str">
            <v>20|67</v>
          </cell>
        </row>
        <row r="1319">
          <cell r="E1319" t="str">
            <v>10. PHOTO LOG</v>
          </cell>
          <cell r="G1319">
            <v>0</v>
          </cell>
          <cell r="H1319">
            <v>0</v>
          </cell>
          <cell r="I1319">
            <v>0</v>
          </cell>
          <cell r="J1319">
            <v>0</v>
          </cell>
          <cell r="K1319">
            <v>0</v>
          </cell>
          <cell r="L1319">
            <v>0</v>
          </cell>
          <cell r="O1319">
            <v>0</v>
          </cell>
          <cell r="P1319">
            <v>0</v>
          </cell>
          <cell r="Q1319" t="str">
            <v>20|68</v>
          </cell>
        </row>
        <row r="1320">
          <cell r="E1320" t="str">
            <v>1. ROOM INVENTORY</v>
          </cell>
          <cell r="G1320" t="str">
            <v>1. ROOM INVENTORY</v>
          </cell>
          <cell r="H1320">
            <v>0</v>
          </cell>
          <cell r="I1320">
            <v>0</v>
          </cell>
          <cell r="J1320">
            <v>0</v>
          </cell>
          <cell r="K1320">
            <v>0</v>
          </cell>
          <cell r="L1320">
            <v>0</v>
          </cell>
          <cell r="O1320">
            <v>0</v>
          </cell>
          <cell r="P1320">
            <v>0</v>
          </cell>
          <cell r="Q1320" t="str">
            <v>21|1</v>
          </cell>
        </row>
        <row r="1321">
          <cell r="E1321" t="str">
            <v>1. ROOM INVENTORY</v>
          </cell>
          <cell r="G1321" t="str">
            <v>Building</v>
          </cell>
          <cell r="H1321" t="str">
            <v>Room</v>
          </cell>
          <cell r="I1321" t="str">
            <v>Floor</v>
          </cell>
          <cell r="J1321" t="str">
            <v>Existing Use</v>
          </cell>
          <cell r="K1321" t="str">
            <v>New Use</v>
          </cell>
          <cell r="L1321" t="str">
            <v>Rack Count</v>
          </cell>
          <cell r="O1321" t="str">
            <v>Drawing Ref</v>
          </cell>
          <cell r="P1321" t="str">
            <v>Notes</v>
          </cell>
          <cell r="Q1321" t="str">
            <v>21|2</v>
          </cell>
        </row>
        <row r="1322">
          <cell r="E1322" t="str">
            <v>1. ROOM INVENTORY</v>
          </cell>
          <cell r="G1322" t="str">
            <v>21</v>
          </cell>
          <cell r="H1322" t="str">
            <v>100A</v>
          </cell>
          <cell r="I1322" t="str">
            <v>First</v>
          </cell>
          <cell r="J1322" t="str">
            <v>M&amp;O Foreman Office / new TE location</v>
          </cell>
          <cell r="K1322" t="str">
            <v>Telecom Enclosure</v>
          </cell>
          <cell r="L1322">
            <v>1</v>
          </cell>
          <cell r="O1322" t="str">
            <v>21_19T-101 / 21_19T-604 / 21_19T-701 / 21_19E-101</v>
          </cell>
          <cell r="P1322" t="str">
            <v>Primary Building 21/B19 TE. Plans identify M&amp;O Foreman Office 100A at 202 SF with new 12RU telecom enclosure, shown as 19 serving 21, Room 100-A, and schedule Rack ID TR01-104-1 / RM 104. Includes APC UPS, two PDUs, network switches B20 and B19, 48-port Cat6A patch panel, Fiber LIU, and 131 total ports with 10% allowance.</v>
          </cell>
          <cell r="Q1322" t="str">
            <v>21|3</v>
          </cell>
        </row>
        <row r="1323">
          <cell r="E1323" t="str">
            <v>1. ROOM INVENTORY</v>
          </cell>
          <cell r="G1323" t="str">
            <v>21</v>
          </cell>
          <cell r="H1323" t="str">
            <v>B1.TR</v>
          </cell>
          <cell r="I1323" t="str">
            <v>Basement</v>
          </cell>
          <cell r="J1323" t="str">
            <v>Existing telecom room / wall-mount TE</v>
          </cell>
          <cell r="K1323" t="str">
            <v>Existing telecom transition point</v>
          </cell>
          <cell r="L1323">
            <v>1</v>
          </cell>
          <cell r="O1323" t="str">
            <v>21_19T-100 / 21_19T-604</v>
          </cell>
          <cell r="P1323" t="str">
            <v>Existing Building 21 basement B1.TR shown with legacy Ortronics 24/48-port patch panels, UPS on ground, Cisco switch, multiple legacy 24-port patch panels, Fiber LIU, and APC floor UPS. Protect active services and verify transfer/cutover to new TE.</v>
          </cell>
          <cell r="Q1323" t="str">
            <v>21|4</v>
          </cell>
        </row>
        <row r="1324">
          <cell r="E1324" t="str">
            <v>1. ROOM INVENTORY</v>
          </cell>
          <cell r="G1324" t="str">
            <v>19</v>
          </cell>
          <cell r="H1324" t="str">
            <v>B05TR</v>
          </cell>
          <cell r="I1324" t="str">
            <v>Basement / First</v>
          </cell>
          <cell r="J1324" t="str">
            <v>Existing telecom room / wall-mount TE</v>
          </cell>
          <cell r="K1324" t="str">
            <v>Existing telecom transition point serving B19/B21</v>
          </cell>
          <cell r="L1324">
            <v>2</v>
          </cell>
          <cell r="O1324" t="str">
            <v>21_19T-100 / 21_19T-604 / 21_19R-900</v>
          </cell>
          <cell r="P1324" t="str">
            <v>Existing Building 19 B05TR shown with basement and first-level existing elevations, legacy Ortronics patch panels, Cisco switch, Fiber LIU, APC floor UPS, and photo reference for basement B05. New enclosure is marked '19 serving 21'.</v>
          </cell>
          <cell r="Q1324" t="str">
            <v>21|5</v>
          </cell>
        </row>
        <row r="1325">
          <cell r="E1325" t="str">
            <v>1. ROOM INVENTORY</v>
          </cell>
          <cell r="G1325">
            <v>0</v>
          </cell>
          <cell r="H1325">
            <v>0</v>
          </cell>
          <cell r="I1325">
            <v>0</v>
          </cell>
          <cell r="J1325">
            <v>0</v>
          </cell>
          <cell r="K1325">
            <v>0</v>
          </cell>
          <cell r="L1325">
            <v>0</v>
          </cell>
          <cell r="O1325">
            <v>0</v>
          </cell>
          <cell r="P1325">
            <v>0</v>
          </cell>
          <cell r="Q1325" t="str">
            <v>21|6</v>
          </cell>
        </row>
        <row r="1326">
          <cell r="E1326" t="str">
            <v>2. ROOM READINESS</v>
          </cell>
          <cell r="G1326" t="str">
            <v>2. ROOM READINESS</v>
          </cell>
          <cell r="H1326">
            <v>0</v>
          </cell>
          <cell r="I1326">
            <v>0</v>
          </cell>
          <cell r="J1326">
            <v>0</v>
          </cell>
          <cell r="K1326">
            <v>0</v>
          </cell>
          <cell r="L1326">
            <v>0</v>
          </cell>
          <cell r="O1326">
            <v>0</v>
          </cell>
          <cell r="P1326">
            <v>0</v>
          </cell>
          <cell r="Q1326" t="str">
            <v>21|7</v>
          </cell>
        </row>
        <row r="1327">
          <cell r="E1327" t="str">
            <v>2. ROOM READINESS</v>
          </cell>
          <cell r="G1327" t="str">
            <v>Room</v>
          </cell>
          <cell r="H1327" t="str">
            <v>Walls / 1-hr Rating</v>
          </cell>
          <cell r="I1327" t="str">
            <v>Ceiling</v>
          </cell>
          <cell r="J1327" t="str">
            <v>Floor / SDC</v>
          </cell>
          <cell r="K1327" t="str">
            <v>Penetrations</v>
          </cell>
          <cell r="L1327" t="str">
            <v>Access Control</v>
          </cell>
          <cell r="O1327" t="str">
            <v>Overall</v>
          </cell>
          <cell r="P1327" t="str">
            <v>Comments</v>
          </cell>
          <cell r="Q1327" t="str">
            <v>21|8</v>
          </cell>
        </row>
        <row r="1328">
          <cell r="E1328" t="str">
            <v>2. ROOM READINESS</v>
          </cell>
          <cell r="G1328" t="str">
            <v>100A</v>
          </cell>
          <cell r="H1328" t="str">
            <v>Verify</v>
          </cell>
          <cell r="I1328" t="str">
            <v>Verify</v>
          </cell>
          <cell r="J1328" t="str">
            <v>N/A / Office</v>
          </cell>
          <cell r="K1328" t="str">
            <v>Verify</v>
          </cell>
          <cell r="L1328" t="str">
            <v>Verify Existing</v>
          </cell>
          <cell r="O1328" t="str">
            <v>Verify</v>
          </cell>
          <cell r="P1328" t="str">
            <v>New TE enclosure location in M&amp;O Foreman Office 100A; verify wall backing, mounting height, access clearance, power, fiber/copper path, 4-inch speed sleeve, fire/smoke wall rating, and that office use can remain operational.</v>
          </cell>
          <cell r="Q1328" t="str">
            <v>21|9</v>
          </cell>
        </row>
        <row r="1329">
          <cell r="E1329" t="str">
            <v>2. ROOM READINESS</v>
          </cell>
          <cell r="G1329" t="str">
            <v>B1.TR</v>
          </cell>
          <cell r="H1329" t="str">
            <v>Existing / Verify</v>
          </cell>
          <cell r="I1329" t="str">
            <v>Existing / Verify</v>
          </cell>
          <cell r="J1329" t="str">
            <v>Existing / Verify</v>
          </cell>
          <cell r="K1329" t="str">
            <v>Verify</v>
          </cell>
          <cell r="L1329" t="str">
            <v>Verify Existing</v>
          </cell>
          <cell r="O1329" t="str">
            <v>Verify</v>
          </cell>
          <cell r="P1329" t="str">
            <v>Existing B21 basement telecom room; verify active equipment status, pathway, UPS/backboard, Fiber LIU, and transition/abandonment scope.</v>
          </cell>
          <cell r="Q1329" t="str">
            <v>21|10</v>
          </cell>
        </row>
        <row r="1330">
          <cell r="E1330" t="str">
            <v>2. ROOM READINESS</v>
          </cell>
          <cell r="G1330" t="str">
            <v>B05TR</v>
          </cell>
          <cell r="H1330" t="str">
            <v>Existing / Verify</v>
          </cell>
          <cell r="I1330" t="str">
            <v>Existing / Verify</v>
          </cell>
          <cell r="J1330" t="str">
            <v>Existing / Verify</v>
          </cell>
          <cell r="K1330" t="str">
            <v>Verify</v>
          </cell>
          <cell r="L1330" t="str">
            <v>Verify Existing</v>
          </cell>
          <cell r="O1330" t="str">
            <v>Verify</v>
          </cell>
          <cell r="P1330" t="str">
            <v>Existing B19 telecom room/equipment; verify active services, B19/B21 service boundary, path to new TE, and transition scope.</v>
          </cell>
          <cell r="Q1330" t="str">
            <v>21|11</v>
          </cell>
        </row>
        <row r="1331">
          <cell r="E1331" t="str">
            <v>2. ROOM READINESS</v>
          </cell>
          <cell r="G1331">
            <v>0</v>
          </cell>
          <cell r="H1331">
            <v>0</v>
          </cell>
          <cell r="I1331">
            <v>0</v>
          </cell>
          <cell r="J1331">
            <v>0</v>
          </cell>
          <cell r="K1331">
            <v>0</v>
          </cell>
          <cell r="L1331">
            <v>0</v>
          </cell>
          <cell r="O1331">
            <v>0</v>
          </cell>
          <cell r="P1331">
            <v>0</v>
          </cell>
          <cell r="Q1331" t="str">
            <v>21|12</v>
          </cell>
        </row>
        <row r="1332">
          <cell r="E1332" t="str">
            <v>3. FIRE PROTECTION</v>
          </cell>
          <cell r="G1332" t="str">
            <v>3. FIRE PROTECTION</v>
          </cell>
          <cell r="H1332">
            <v>0</v>
          </cell>
          <cell r="I1332">
            <v>0</v>
          </cell>
          <cell r="J1332">
            <v>0</v>
          </cell>
          <cell r="K1332">
            <v>0</v>
          </cell>
          <cell r="L1332">
            <v>0</v>
          </cell>
          <cell r="O1332">
            <v>0</v>
          </cell>
          <cell r="P1332">
            <v>0</v>
          </cell>
          <cell r="Q1332" t="str">
            <v>21|13</v>
          </cell>
        </row>
        <row r="1333">
          <cell r="E1333" t="str">
            <v>3. FIRE PROTECTION</v>
          </cell>
          <cell r="G1333" t="str">
            <v>Room</v>
          </cell>
          <cell r="H1333" t="str">
            <v>Sprinkler</v>
          </cell>
          <cell r="I1333" t="str">
            <v>Cage</v>
          </cell>
          <cell r="J1333" t="str">
            <v>Detector</v>
          </cell>
          <cell r="K1333" t="str">
            <v>Horn/Strobe</v>
          </cell>
          <cell r="L1333" t="str">
            <v>Extinguisher &lt;75 ft</v>
          </cell>
          <cell r="O1333" t="str">
            <v>Overall</v>
          </cell>
          <cell r="P1333" t="str">
            <v>Risk / Notes</v>
          </cell>
          <cell r="Q1333" t="str">
            <v>21|14</v>
          </cell>
        </row>
        <row r="1334">
          <cell r="E1334" t="str">
            <v>3. FIRE PROTECTION</v>
          </cell>
          <cell r="G1334" t="str">
            <v>100A</v>
          </cell>
          <cell r="H1334" t="str">
            <v>Excluded / Verify</v>
          </cell>
          <cell r="I1334" t="str">
            <v>N/A</v>
          </cell>
          <cell r="J1334" t="str">
            <v>Verify Existing</v>
          </cell>
          <cell r="K1334" t="str">
            <v>Verify Existing</v>
          </cell>
          <cell r="L1334" t="str">
            <v>N/A / Verify</v>
          </cell>
          <cell r="O1334" t="str">
            <v>Verify</v>
          </cell>
          <cell r="P1334" t="str">
            <v>Cover sheet states Building 21_19 receives a Telecom Enclosure and fire protection scope is excluded. Still verify firestopping of rated penetrations, 4-inch sleeve, wall/floor openings, and any life-safety device impacts.</v>
          </cell>
          <cell r="Q1334" t="str">
            <v>21|15</v>
          </cell>
        </row>
        <row r="1335">
          <cell r="E1335" t="str">
            <v>3. FIRE PROTECTION</v>
          </cell>
          <cell r="G1335" t="str">
            <v>B1.TR</v>
          </cell>
          <cell r="H1335" t="str">
            <v>Existing / Verify</v>
          </cell>
          <cell r="I1335" t="str">
            <v>N/A</v>
          </cell>
          <cell r="J1335" t="str">
            <v>Verify Existing</v>
          </cell>
          <cell r="K1335" t="str">
            <v>Verify Existing</v>
          </cell>
          <cell r="L1335" t="str">
            <v>N/A / Verify</v>
          </cell>
          <cell r="O1335" t="str">
            <v>Verify</v>
          </cell>
          <cell r="P1335" t="str">
            <v>Existing B21 basement TR; verify protection-in-place and firestopping after cable transfer or reuse.</v>
          </cell>
          <cell r="Q1335" t="str">
            <v>21|16</v>
          </cell>
        </row>
        <row r="1336">
          <cell r="E1336" t="str">
            <v>3. FIRE PROTECTION</v>
          </cell>
          <cell r="G1336" t="str">
            <v>B05TR</v>
          </cell>
          <cell r="H1336" t="str">
            <v>Existing / Verify</v>
          </cell>
          <cell r="I1336" t="str">
            <v>N/A</v>
          </cell>
          <cell r="J1336" t="str">
            <v>Verify Existing</v>
          </cell>
          <cell r="K1336" t="str">
            <v>Verify Existing</v>
          </cell>
          <cell r="L1336" t="str">
            <v>N/A / Verify</v>
          </cell>
          <cell r="O1336" t="str">
            <v>Verify</v>
          </cell>
          <cell r="P1336" t="str">
            <v>Existing B19 B05TR; verify protection-in-place and firestopping after cable transfer or reuse.</v>
          </cell>
          <cell r="Q1336" t="str">
            <v>21|17</v>
          </cell>
        </row>
        <row r="1337">
          <cell r="E1337" t="str">
            <v>3. FIRE PROTECTION</v>
          </cell>
          <cell r="G1337">
            <v>0</v>
          </cell>
          <cell r="H1337">
            <v>0</v>
          </cell>
          <cell r="I1337">
            <v>0</v>
          </cell>
          <cell r="J1337">
            <v>0</v>
          </cell>
          <cell r="K1337">
            <v>0</v>
          </cell>
          <cell r="L1337">
            <v>0</v>
          </cell>
          <cell r="O1337">
            <v>0</v>
          </cell>
          <cell r="P1337">
            <v>0</v>
          </cell>
          <cell r="Q1337" t="str">
            <v>21|18</v>
          </cell>
        </row>
        <row r="1338">
          <cell r="E1338" t="str">
            <v>4. HVAC / COOLING</v>
          </cell>
          <cell r="G1338" t="str">
            <v>4. HVAC / COOLING</v>
          </cell>
          <cell r="H1338">
            <v>0</v>
          </cell>
          <cell r="I1338">
            <v>0</v>
          </cell>
          <cell r="J1338">
            <v>0</v>
          </cell>
          <cell r="K1338">
            <v>0</v>
          </cell>
          <cell r="L1338">
            <v>0</v>
          </cell>
          <cell r="O1338">
            <v>0</v>
          </cell>
          <cell r="P1338">
            <v>0</v>
          </cell>
          <cell r="Q1338" t="str">
            <v>21|19</v>
          </cell>
        </row>
        <row r="1339">
          <cell r="E1339" t="str">
            <v>4. HVAC / COOLING</v>
          </cell>
          <cell r="G1339" t="str">
            <v>Room</v>
          </cell>
          <cell r="H1339" t="str">
            <v>Dedicated Unit</v>
          </cell>
          <cell r="I1339" t="str">
            <v>Capacity Verified</v>
          </cell>
          <cell r="J1339" t="str">
            <v>Emergency Power</v>
          </cell>
          <cell r="K1339" t="str">
            <v>Controls / BACnet</v>
          </cell>
          <cell r="L1339" t="str">
            <v>Condensate Routed</v>
          </cell>
          <cell r="O1339" t="str">
            <v>Overall</v>
          </cell>
          <cell r="P1339" t="str">
            <v>Risk / Notes</v>
          </cell>
          <cell r="Q1339" t="str">
            <v>21|20</v>
          </cell>
        </row>
        <row r="1340">
          <cell r="E1340" t="str">
            <v>4. HVAC / COOLING</v>
          </cell>
          <cell r="G1340" t="str">
            <v>100A</v>
          </cell>
          <cell r="H1340" t="str">
            <v>Verify / Existing HVAC</v>
          </cell>
          <cell r="I1340" t="str">
            <v>Verify</v>
          </cell>
          <cell r="J1340" t="str">
            <v>Verify</v>
          </cell>
          <cell r="K1340" t="str">
            <v>Verify</v>
          </cell>
          <cell r="L1340" t="str">
            <v>Verify</v>
          </cell>
          <cell r="O1340" t="str">
            <v>Verify</v>
          </cell>
          <cell r="P1340" t="str">
            <v>Mechanical sheets exist in index. Verify whether new TE heat load in Office 100A is supported by existing/new HVAC and whether any mechanical scope applies despite TE designation.</v>
          </cell>
          <cell r="Q1340" t="str">
            <v>21|21</v>
          </cell>
        </row>
        <row r="1341">
          <cell r="E1341" t="str">
            <v>4. HVAC / COOLING</v>
          </cell>
          <cell r="G1341" t="str">
            <v>B1.TR</v>
          </cell>
          <cell r="H1341" t="str">
            <v>Existing / Verify</v>
          </cell>
          <cell r="I1341" t="str">
            <v>Verify</v>
          </cell>
          <cell r="J1341" t="str">
            <v>Verify</v>
          </cell>
          <cell r="K1341" t="str">
            <v>Verify</v>
          </cell>
          <cell r="L1341" t="str">
            <v>Verify</v>
          </cell>
          <cell r="O1341" t="str">
            <v>Verify</v>
          </cell>
          <cell r="P1341" t="str">
            <v>Existing B21 B1.TR; verify environmental conditions during cutover and whether legacy equipment remains active.</v>
          </cell>
          <cell r="Q1341" t="str">
            <v>21|22</v>
          </cell>
        </row>
        <row r="1342">
          <cell r="E1342" t="str">
            <v>4. HVAC / COOLING</v>
          </cell>
          <cell r="G1342" t="str">
            <v>B05TR</v>
          </cell>
          <cell r="H1342" t="str">
            <v>Existing / Verify</v>
          </cell>
          <cell r="I1342" t="str">
            <v>Verify</v>
          </cell>
          <cell r="J1342" t="str">
            <v>Verify</v>
          </cell>
          <cell r="K1342" t="str">
            <v>Verify</v>
          </cell>
          <cell r="L1342" t="str">
            <v>Verify</v>
          </cell>
          <cell r="O1342" t="str">
            <v>Verify</v>
          </cell>
          <cell r="P1342" t="str">
            <v>Existing B19 B05TR; verify environmental conditions and whether equipment remains active during/after Building 21 transfer.</v>
          </cell>
          <cell r="Q1342" t="str">
            <v>21|23</v>
          </cell>
        </row>
        <row r="1343">
          <cell r="E1343" t="str">
            <v>4. HVAC / COOLING</v>
          </cell>
          <cell r="G1343">
            <v>0</v>
          </cell>
          <cell r="H1343">
            <v>0</v>
          </cell>
          <cell r="I1343">
            <v>0</v>
          </cell>
          <cell r="J1343">
            <v>0</v>
          </cell>
          <cell r="K1343">
            <v>0</v>
          </cell>
          <cell r="L1343">
            <v>0</v>
          </cell>
          <cell r="O1343">
            <v>0</v>
          </cell>
          <cell r="P1343">
            <v>0</v>
          </cell>
          <cell r="Q1343" t="str">
            <v>21|24</v>
          </cell>
        </row>
        <row r="1344">
          <cell r="E1344" t="str">
            <v>5. ELECTRICAL / UPS</v>
          </cell>
          <cell r="G1344" t="str">
            <v>5. ELECTRICAL / UPS</v>
          </cell>
          <cell r="H1344">
            <v>0</v>
          </cell>
          <cell r="I1344">
            <v>0</v>
          </cell>
          <cell r="J1344">
            <v>0</v>
          </cell>
          <cell r="K1344">
            <v>0</v>
          </cell>
          <cell r="L1344">
            <v>0</v>
          </cell>
          <cell r="O1344">
            <v>0</v>
          </cell>
          <cell r="P1344">
            <v>0</v>
          </cell>
          <cell r="Q1344" t="str">
            <v>21|25</v>
          </cell>
        </row>
        <row r="1345">
          <cell r="E1345" t="str">
            <v>5. ELECTRICAL / UPS</v>
          </cell>
          <cell r="G1345" t="str">
            <v>Room</v>
          </cell>
          <cell r="H1345" t="str">
            <v>UPS Installed</v>
          </cell>
          <cell r="I1345" t="str">
            <v>UPS Size</v>
          </cell>
          <cell r="J1345" t="str">
            <v>PDU Installed</v>
          </cell>
          <cell r="K1345" t="str">
            <v>Rack Receptacles</v>
          </cell>
          <cell r="L1345" t="str">
            <v>Panel Assigned</v>
          </cell>
          <cell r="O1345" t="str">
            <v>Overall</v>
          </cell>
          <cell r="P1345" t="str">
            <v>Notes</v>
          </cell>
          <cell r="Q1345" t="str">
            <v>21|26</v>
          </cell>
        </row>
        <row r="1346">
          <cell r="E1346" t="str">
            <v>5. ELECTRICAL / UPS</v>
          </cell>
          <cell r="G1346" t="str">
            <v>100A</v>
          </cell>
          <cell r="H1346" t="str">
            <v>Verify</v>
          </cell>
          <cell r="I1346" t="str">
            <v>APC UPS / TE enclosure</v>
          </cell>
          <cell r="J1346" t="str">
            <v>Verify</v>
          </cell>
          <cell r="K1346" t="str">
            <v>Verify</v>
          </cell>
          <cell r="L1346" t="str">
            <v>21_19E-101 / 21_19E-701 source to verify</v>
          </cell>
          <cell r="O1346" t="str">
            <v>Verify</v>
          </cell>
          <cell r="P1346" t="str">
            <v>21_19T-604 new enclosure elevation shows APC UPS, two PDU L5-30 input / NEMA 5-20 output units, 120V outlet UPS, 120V outlet PDU, network switches, 48-port Cat6A patch panel and Fiber LIU. Verify circuit source, receptacle type, grounding/bonding and labels.</v>
          </cell>
          <cell r="Q1346" t="str">
            <v>21|27</v>
          </cell>
        </row>
        <row r="1347">
          <cell r="E1347" t="str">
            <v>5. ELECTRICAL / UPS</v>
          </cell>
          <cell r="G1347" t="str">
            <v>B1.TR</v>
          </cell>
          <cell r="H1347" t="str">
            <v>Existing</v>
          </cell>
          <cell r="I1347" t="str">
            <v>Existing APC floor UPS</v>
          </cell>
          <cell r="J1347" t="str">
            <v>Existing</v>
          </cell>
          <cell r="K1347" t="str">
            <v>Verify</v>
          </cell>
          <cell r="L1347" t="str">
            <v>Existing / Verify</v>
          </cell>
          <cell r="O1347" t="str">
            <v>Verify</v>
          </cell>
          <cell r="P1347" t="str">
            <v>Existing B21 B1.TR elevation shows UPS on ground, Cisco switch, legacy patch panels and Fiber LIU; verify source circuits, UPS status, and transition requirements.</v>
          </cell>
          <cell r="Q1347" t="str">
            <v>21|28</v>
          </cell>
        </row>
        <row r="1348">
          <cell r="E1348" t="str">
            <v>5. ELECTRICAL / UPS</v>
          </cell>
          <cell r="G1348" t="str">
            <v>B05TR</v>
          </cell>
          <cell r="H1348" t="str">
            <v>Existing</v>
          </cell>
          <cell r="I1348" t="str">
            <v>Existing APC floor UPS</v>
          </cell>
          <cell r="J1348" t="str">
            <v>Existing</v>
          </cell>
          <cell r="K1348" t="str">
            <v>Verify</v>
          </cell>
          <cell r="L1348" t="str">
            <v>Existing / Verify</v>
          </cell>
          <cell r="O1348" t="str">
            <v>Verify</v>
          </cell>
          <cell r="P1348" t="str">
            <v>Existing B19 B05TR elevations show APC floor UPS, legacy patch panels, Cisco switch and Fiber LIU; verify power source, active equipment and transfer/retention requirements.</v>
          </cell>
          <cell r="Q1348" t="str">
            <v>21|29</v>
          </cell>
        </row>
        <row r="1349">
          <cell r="E1349" t="str">
            <v>5. ELECTRICAL / UPS</v>
          </cell>
          <cell r="G1349">
            <v>0</v>
          </cell>
          <cell r="H1349">
            <v>0</v>
          </cell>
          <cell r="I1349">
            <v>0</v>
          </cell>
          <cell r="J1349">
            <v>0</v>
          </cell>
          <cell r="K1349">
            <v>0</v>
          </cell>
          <cell r="L1349">
            <v>0</v>
          </cell>
          <cell r="O1349">
            <v>0</v>
          </cell>
          <cell r="P1349">
            <v>0</v>
          </cell>
          <cell r="Q1349" t="str">
            <v>21|30</v>
          </cell>
        </row>
        <row r="1350">
          <cell r="E1350" t="str">
            <v>6. TELECOMMUNICATIONS</v>
          </cell>
          <cell r="G1350" t="str">
            <v>6. TELECOMMUNICATIONS</v>
          </cell>
          <cell r="H1350">
            <v>0</v>
          </cell>
          <cell r="I1350">
            <v>0</v>
          </cell>
          <cell r="J1350">
            <v>0</v>
          </cell>
          <cell r="K1350">
            <v>0</v>
          </cell>
          <cell r="L1350">
            <v>0</v>
          </cell>
          <cell r="O1350">
            <v>0</v>
          </cell>
          <cell r="P1350">
            <v>0</v>
          </cell>
          <cell r="Q1350" t="str">
            <v>21|31</v>
          </cell>
        </row>
        <row r="1351">
          <cell r="E1351" t="str">
            <v>6. TELECOMMUNICATIONS</v>
          </cell>
          <cell r="G1351" t="str">
            <v>Room</v>
          </cell>
          <cell r="H1351" t="str">
            <v>Rack Installed</v>
          </cell>
          <cell r="I1351" t="str">
            <v>Ladder Tray</v>
          </cell>
          <cell r="J1351" t="str">
            <v>Fiber Installed</v>
          </cell>
          <cell r="K1351" t="str">
            <v>Grounding</v>
          </cell>
          <cell r="L1351" t="str">
            <v>Labeling</v>
          </cell>
          <cell r="O1351" t="str">
            <v>Overall</v>
          </cell>
          <cell r="P1351" t="str">
            <v>Notes</v>
          </cell>
          <cell r="Q1351" t="str">
            <v>21|32</v>
          </cell>
        </row>
        <row r="1352">
          <cell r="E1352" t="str">
            <v>6. TELECOMMUNICATIONS</v>
          </cell>
          <cell r="G1352" t="str">
            <v>100A</v>
          </cell>
          <cell r="H1352" t="str">
            <v>Verify</v>
          </cell>
          <cell r="I1352" t="str">
            <v>Verify</v>
          </cell>
          <cell r="J1352" t="str">
            <v>Verify</v>
          </cell>
          <cell r="K1352" t="str">
            <v>Verify</v>
          </cell>
          <cell r="L1352" t="str">
            <v>Verify</v>
          </cell>
          <cell r="O1352" t="str">
            <v>Verify</v>
          </cell>
          <cell r="P1352" t="str">
            <v>21_19T-701 identifies RM 104 schedule: 90 WAO total, 67 active ports per survey, 119 ports per schedule, and 131 total ports with 10% allowance. 659 ft cable tray total: 63 ft basement and 596 ft first level.</v>
          </cell>
          <cell r="Q1352" t="str">
            <v>21|33</v>
          </cell>
        </row>
        <row r="1353">
          <cell r="E1353" t="str">
            <v>6. TELECOMMUNICATIONS</v>
          </cell>
          <cell r="G1353" t="str">
            <v>B1.TR</v>
          </cell>
          <cell r="H1353" t="str">
            <v>Existing</v>
          </cell>
          <cell r="I1353" t="str">
            <v>Existing</v>
          </cell>
          <cell r="J1353" t="str">
            <v>Existing</v>
          </cell>
          <cell r="K1353" t="str">
            <v>Verify</v>
          </cell>
          <cell r="L1353" t="str">
            <v>Verify</v>
          </cell>
          <cell r="O1353" t="str">
            <v>Verify</v>
          </cell>
          <cell r="P1353" t="str">
            <v>Existing B21 B1.TR equipment includes multiple legacy patch panels, Cisco switch, UPS on ground, Fiber LIU and APC floor UPS; verify active services and transfer plan to new TE.</v>
          </cell>
          <cell r="Q1353" t="str">
            <v>21|34</v>
          </cell>
        </row>
        <row r="1354">
          <cell r="E1354" t="str">
            <v>6. TELECOMMUNICATIONS</v>
          </cell>
          <cell r="G1354" t="str">
            <v>B05TR</v>
          </cell>
          <cell r="H1354" t="str">
            <v>Existing</v>
          </cell>
          <cell r="I1354" t="str">
            <v>Existing</v>
          </cell>
          <cell r="J1354" t="str">
            <v>Existing</v>
          </cell>
          <cell r="K1354" t="str">
            <v>Verify</v>
          </cell>
          <cell r="L1354" t="str">
            <v>Verify</v>
          </cell>
          <cell r="O1354" t="str">
            <v>Verify</v>
          </cell>
          <cell r="P1354" t="str">
            <v>Existing B19 B05TR equipment includes legacy Ortronics patch panels, Cisco switch, Fiber LIU and APC floor UPS; verify active services and whether B19/B21 devices are served from new enclosure.</v>
          </cell>
          <cell r="Q1354" t="str">
            <v>21|35</v>
          </cell>
        </row>
        <row r="1355">
          <cell r="E1355" t="str">
            <v>6. TELECOMMUNICATIONS</v>
          </cell>
          <cell r="G1355">
            <v>0</v>
          </cell>
          <cell r="H1355">
            <v>0</v>
          </cell>
          <cell r="I1355">
            <v>0</v>
          </cell>
          <cell r="J1355">
            <v>0</v>
          </cell>
          <cell r="K1355">
            <v>0</v>
          </cell>
          <cell r="L1355">
            <v>0</v>
          </cell>
          <cell r="O1355">
            <v>0</v>
          </cell>
          <cell r="P1355">
            <v>0</v>
          </cell>
          <cell r="Q1355" t="str">
            <v>21|36</v>
          </cell>
        </row>
        <row r="1356">
          <cell r="E1356" t="str">
            <v>7. SECURITY / PACS / CCTV</v>
          </cell>
          <cell r="G1356" t="str">
            <v>7. SECURITY / PACS / CCTV</v>
          </cell>
          <cell r="H1356">
            <v>0</v>
          </cell>
          <cell r="I1356">
            <v>0</v>
          </cell>
          <cell r="J1356">
            <v>0</v>
          </cell>
          <cell r="K1356">
            <v>0</v>
          </cell>
          <cell r="L1356">
            <v>0</v>
          </cell>
          <cell r="O1356">
            <v>0</v>
          </cell>
          <cell r="P1356">
            <v>0</v>
          </cell>
          <cell r="Q1356" t="str">
            <v>21|37</v>
          </cell>
        </row>
        <row r="1357">
          <cell r="E1357" t="str">
            <v>7. SECURITY / PACS / CCTV</v>
          </cell>
          <cell r="G1357" t="str">
            <v>Room</v>
          </cell>
          <cell r="H1357" t="str">
            <v>PACS</v>
          </cell>
          <cell r="I1357" t="str">
            <v>Card Reader</v>
          </cell>
          <cell r="J1357" t="str">
            <v>Door Position</v>
          </cell>
          <cell r="K1357" t="str">
            <v>Electric Strike</v>
          </cell>
          <cell r="L1357" t="str">
            <v>CCTV</v>
          </cell>
          <cell r="O1357" t="str">
            <v>Overall</v>
          </cell>
          <cell r="P1357" t="str">
            <v>Notes</v>
          </cell>
          <cell r="Q1357" t="str">
            <v>21|38</v>
          </cell>
        </row>
        <row r="1358">
          <cell r="E1358" t="str">
            <v>7. SECURITY / PACS / CCTV</v>
          </cell>
          <cell r="G1358" t="str">
            <v>100A</v>
          </cell>
          <cell r="H1358" t="str">
            <v>N/A / Verify</v>
          </cell>
          <cell r="I1358" t="str">
            <v>N/A / Verify</v>
          </cell>
          <cell r="J1358" t="str">
            <v>N/A / Verify</v>
          </cell>
          <cell r="K1358" t="str">
            <v>N/A / Verify</v>
          </cell>
          <cell r="L1358" t="str">
            <v>Verify Existing</v>
          </cell>
          <cell r="O1358" t="str">
            <v>Verify</v>
          </cell>
          <cell r="P1358" t="str">
            <v>Building 21_19 appears to create a TE enclosure rather than a full TR door/PACS package. Verify any existing cameras/security devices in Room 100A and ensure no camera angle or VMS integration is disrupted.</v>
          </cell>
          <cell r="Q1358" t="str">
            <v>21|39</v>
          </cell>
        </row>
        <row r="1359">
          <cell r="E1359" t="str">
            <v>7. SECURITY / PACS / CCTV</v>
          </cell>
          <cell r="G1359" t="str">
            <v>B1.TR</v>
          </cell>
          <cell r="H1359" t="str">
            <v>N/A / Verify</v>
          </cell>
          <cell r="I1359" t="str">
            <v>N/A / Verify</v>
          </cell>
          <cell r="J1359" t="str">
            <v>N/A / Verify</v>
          </cell>
          <cell r="K1359" t="str">
            <v>N/A / Verify</v>
          </cell>
          <cell r="L1359" t="str">
            <v>Verify Existing</v>
          </cell>
          <cell r="O1359" t="str">
            <v>Verify</v>
          </cell>
          <cell r="P1359" t="str">
            <v>Verify any existing security device/cabinet impacts during cutover.</v>
          </cell>
          <cell r="Q1359" t="str">
            <v>21|40</v>
          </cell>
        </row>
        <row r="1360">
          <cell r="E1360" t="str">
            <v>7. SECURITY / PACS / CCTV</v>
          </cell>
          <cell r="G1360" t="str">
            <v>B05TR</v>
          </cell>
          <cell r="H1360" t="str">
            <v>N/A / Verify</v>
          </cell>
          <cell r="I1360" t="str">
            <v>N/A / Verify</v>
          </cell>
          <cell r="J1360" t="str">
            <v>N/A / Verify</v>
          </cell>
          <cell r="K1360" t="str">
            <v>N/A / Verify</v>
          </cell>
          <cell r="L1360" t="str">
            <v>Verify Existing</v>
          </cell>
          <cell r="O1360" t="str">
            <v>Verify</v>
          </cell>
          <cell r="P1360" t="str">
            <v>Verify existing security/camera protection-in-place and any impact from B19/B21 shared telecom equipment.</v>
          </cell>
          <cell r="Q1360" t="str">
            <v>21|41</v>
          </cell>
        </row>
        <row r="1361">
          <cell r="E1361" t="str">
            <v>7. SECURITY / PACS / CCTV</v>
          </cell>
          <cell r="G1361">
            <v>0</v>
          </cell>
          <cell r="H1361">
            <v>0</v>
          </cell>
          <cell r="I1361">
            <v>0</v>
          </cell>
          <cell r="J1361">
            <v>0</v>
          </cell>
          <cell r="K1361">
            <v>0</v>
          </cell>
          <cell r="L1361">
            <v>0</v>
          </cell>
          <cell r="O1361">
            <v>0</v>
          </cell>
          <cell r="P1361">
            <v>0</v>
          </cell>
          <cell r="Q1361" t="str">
            <v>21|42</v>
          </cell>
        </row>
        <row r="1362">
          <cell r="E1362" t="str">
            <v>8. OWNER RISKS</v>
          </cell>
          <cell r="G1362" t="str">
            <v>8. OWNER RISKS</v>
          </cell>
          <cell r="H1362">
            <v>0</v>
          </cell>
          <cell r="I1362">
            <v>0</v>
          </cell>
          <cell r="J1362">
            <v>0</v>
          </cell>
          <cell r="K1362">
            <v>0</v>
          </cell>
          <cell r="L1362">
            <v>0</v>
          </cell>
          <cell r="O1362">
            <v>0</v>
          </cell>
          <cell r="P1362">
            <v>0</v>
          </cell>
          <cell r="Q1362" t="str">
            <v>21|43</v>
          </cell>
        </row>
        <row r="1363">
          <cell r="E1363" t="str">
            <v>8. OWNER RISKS</v>
          </cell>
          <cell r="G1363" t="str">
            <v>Risk ID</v>
          </cell>
          <cell r="H1363" t="str">
            <v>Room</v>
          </cell>
          <cell r="I1363" t="str">
            <v>Risk</v>
          </cell>
          <cell r="J1363" t="str">
            <v>Impact</v>
          </cell>
          <cell r="K1363" t="str">
            <v>Probability</v>
          </cell>
          <cell r="L1363" t="str">
            <v>Score</v>
          </cell>
          <cell r="O1363" t="str">
            <v>Status</v>
          </cell>
          <cell r="P1363" t="str">
            <v>Notes</v>
          </cell>
          <cell r="Q1363" t="str">
            <v>21|44</v>
          </cell>
        </row>
        <row r="1364">
          <cell r="E1364" t="str">
            <v>8. OWNER RISKS</v>
          </cell>
          <cell r="G1364" t="str">
            <v>B21-R1</v>
          </cell>
          <cell r="H1364" t="str">
            <v>All</v>
          </cell>
          <cell r="I1364" t="str">
            <v>Existing conditions for new 100A TE, B21 B1.TR and B19 B05TR not field verified</v>
          </cell>
          <cell r="J1364" t="str">
            <v>High</v>
          </cell>
          <cell r="K1364" t="str">
            <v>Medium</v>
          </cell>
          <cell r="L1364">
            <v>6</v>
          </cell>
          <cell r="O1364" t="str">
            <v>Open</v>
          </cell>
          <cell r="P1364" t="str">
            <v>B21 is combined with B19 and has multiple transition points.</v>
          </cell>
          <cell r="Q1364" t="str">
            <v>21|45</v>
          </cell>
        </row>
        <row r="1365">
          <cell r="E1365" t="str">
            <v>8. OWNER RISKS</v>
          </cell>
          <cell r="G1365" t="str">
            <v>B21-R2</v>
          </cell>
          <cell r="H1365" t="str">
            <v>100A/B1.TR/B05TR</v>
          </cell>
          <cell r="I1365" t="str">
            <v>Existing equipment may remain active during transfer to new TE enclosure</v>
          </cell>
          <cell r="J1365" t="str">
            <v>Critical</v>
          </cell>
          <cell r="K1365" t="str">
            <v>Medium</v>
          </cell>
          <cell r="L1365">
            <v>8</v>
          </cell>
          <cell r="O1365" t="str">
            <v>Open</v>
          </cell>
          <cell r="P1365" t="str">
            <v>Rack elevations show existing B21 and B19 equipment and new 19-serving-21 enclosure.</v>
          </cell>
          <cell r="Q1365" t="str">
            <v>21|46</v>
          </cell>
        </row>
        <row r="1366">
          <cell r="E1366" t="str">
            <v>8. OWNER RISKS</v>
          </cell>
          <cell r="G1366" t="str">
            <v>B21-R3</v>
          </cell>
          <cell r="H1366" t="str">
            <v>100A</v>
          </cell>
          <cell r="I1366" t="str">
            <v>Room naming mismatch: schedule says RM 104 / TR01-104-1 while plan/enlarged view identifies Room 100A</v>
          </cell>
          <cell r="J1366" t="str">
            <v>High</v>
          </cell>
          <cell r="K1366" t="str">
            <v>Medium</v>
          </cell>
          <cell r="L1366">
            <v>6</v>
          </cell>
          <cell r="O1366" t="str">
            <v>Open</v>
          </cell>
          <cell r="P1366" t="str">
            <v>Important for PMIS mapping and field punch list.</v>
          </cell>
          <cell r="Q1366" t="str">
            <v>21|47</v>
          </cell>
        </row>
        <row r="1367">
          <cell r="E1367" t="str">
            <v>8. OWNER RISKS</v>
          </cell>
          <cell r="G1367" t="str">
            <v>B21-R4</v>
          </cell>
          <cell r="H1367" t="str">
            <v>All</v>
          </cell>
          <cell r="I1367" t="str">
            <v>B19/B21 combined package may blur scope boundary and ownership of ports</v>
          </cell>
          <cell r="J1367" t="str">
            <v>High</v>
          </cell>
          <cell r="K1367" t="str">
            <v>Medium</v>
          </cell>
          <cell r="L1367">
            <v>6</v>
          </cell>
          <cell r="O1367" t="str">
            <v>Open</v>
          </cell>
          <cell r="P1367" t="str">
            <v>Sheet package is 21_19 and new enclosure is labeled 19 serving 21.</v>
          </cell>
          <cell r="Q1367" t="str">
            <v>21|48</v>
          </cell>
        </row>
        <row r="1368">
          <cell r="E1368" t="str">
            <v>8. OWNER RISKS</v>
          </cell>
          <cell r="G1368" t="str">
            <v>B21-R5</v>
          </cell>
          <cell r="H1368" t="str">
            <v>100A</v>
          </cell>
          <cell r="I1368" t="str">
            <v>UPS/PDU/receptacle source and grounding/bonding not verified</v>
          </cell>
          <cell r="J1368" t="str">
            <v>High</v>
          </cell>
          <cell r="K1368" t="str">
            <v>Medium</v>
          </cell>
          <cell r="L1368">
            <v>6</v>
          </cell>
          <cell r="O1368" t="str">
            <v>Open</v>
          </cell>
          <cell r="P1368" t="str">
            <v>New TE enclosure includes APC UPS and PDUs.</v>
          </cell>
          <cell r="Q1368" t="str">
            <v>21|49</v>
          </cell>
        </row>
        <row r="1369">
          <cell r="E1369" t="str">
            <v>8. OWNER RISKS</v>
          </cell>
          <cell r="G1369" t="str">
            <v>B21-R6</v>
          </cell>
          <cell r="H1369" t="str">
            <v>All</v>
          </cell>
          <cell r="I1369" t="str">
            <v>659 feet of cable tray/pathway requires coordination and firestop tracking</v>
          </cell>
          <cell r="J1369" t="str">
            <v>High</v>
          </cell>
          <cell r="K1369" t="str">
            <v>Medium</v>
          </cell>
          <cell r="L1369">
            <v>6</v>
          </cell>
          <cell r="O1369" t="str">
            <v>Open</v>
          </cell>
          <cell r="P1369" t="str">
            <v>21_19T-701 cable tray schedule lists 63 ft basement and 596 ft first level.</v>
          </cell>
          <cell r="Q1369" t="str">
            <v>21|50</v>
          </cell>
        </row>
        <row r="1370">
          <cell r="E1370" t="str">
            <v>8. OWNER RISKS</v>
          </cell>
          <cell r="G1370" t="str">
            <v>B21-R7</v>
          </cell>
          <cell r="H1370" t="str">
            <v>All</v>
          </cell>
          <cell r="I1370" t="str">
            <v>Fire protection scope excluded, but rated penetrations and temporary firestopping still apply</v>
          </cell>
          <cell r="J1370" t="str">
            <v>High</v>
          </cell>
          <cell r="K1370" t="str">
            <v>Medium</v>
          </cell>
          <cell r="L1370">
            <v>6</v>
          </cell>
          <cell r="O1370" t="str">
            <v>Open</v>
          </cell>
          <cell r="P1370" t="str">
            <v>Cover excludes fire protection; telecom notes require fire caulk and rated penetrations.</v>
          </cell>
          <cell r="Q1370" t="str">
            <v>21|51</v>
          </cell>
        </row>
        <row r="1371">
          <cell r="E1371" t="str">
            <v>8. OWNER RISKS</v>
          </cell>
          <cell r="G1371" t="str">
            <v>B21-R8</v>
          </cell>
          <cell r="H1371" t="str">
            <v>All</v>
          </cell>
          <cell r="I1371" t="str">
            <v>Commissioning/test documentation may be overlooked due to TE-only scope</v>
          </cell>
          <cell r="J1371" t="str">
            <v>High</v>
          </cell>
          <cell r="K1371" t="str">
            <v>Medium</v>
          </cell>
          <cell r="L1371">
            <v>6</v>
          </cell>
          <cell r="O1371" t="str">
            <v>Open</v>
          </cell>
          <cell r="P1371" t="str">
            <v>General notes still require testing, acceptance and documentation.</v>
          </cell>
          <cell r="Q1371" t="str">
            <v>21|52</v>
          </cell>
        </row>
        <row r="1372">
          <cell r="E1372" t="str">
            <v>8. OWNER RISKS</v>
          </cell>
          <cell r="G1372">
            <v>0</v>
          </cell>
          <cell r="H1372">
            <v>0</v>
          </cell>
          <cell r="I1372">
            <v>0</v>
          </cell>
          <cell r="J1372">
            <v>0</v>
          </cell>
          <cell r="K1372">
            <v>0</v>
          </cell>
          <cell r="L1372">
            <v>0</v>
          </cell>
          <cell r="O1372">
            <v>0</v>
          </cell>
          <cell r="P1372">
            <v>0</v>
          </cell>
          <cell r="Q1372" t="str">
            <v>21|53</v>
          </cell>
        </row>
        <row r="1373">
          <cell r="E1373" t="str">
            <v>9. OPEN QUESTIONS</v>
          </cell>
          <cell r="G1373" t="str">
            <v>9. OPEN QUESTIONS</v>
          </cell>
          <cell r="H1373">
            <v>0</v>
          </cell>
          <cell r="I1373">
            <v>0</v>
          </cell>
          <cell r="J1373">
            <v>0</v>
          </cell>
          <cell r="K1373">
            <v>0</v>
          </cell>
          <cell r="L1373">
            <v>0</v>
          </cell>
          <cell r="O1373">
            <v>0</v>
          </cell>
          <cell r="P1373">
            <v>0</v>
          </cell>
          <cell r="Q1373" t="str">
            <v>21|54</v>
          </cell>
        </row>
        <row r="1374">
          <cell r="E1374" t="str">
            <v>9. OPEN QUESTIONS</v>
          </cell>
          <cell r="G1374" t="str">
            <v>Question ID</v>
          </cell>
          <cell r="H1374" t="str">
            <v>Question</v>
          </cell>
          <cell r="I1374" t="str">
            <v>Assigned To</v>
          </cell>
          <cell r="J1374" t="str">
            <v>Status</v>
          </cell>
          <cell r="K1374" t="str">
            <v>Needed By</v>
          </cell>
          <cell r="L1374" t="str">
            <v>Answer / Resolution</v>
          </cell>
          <cell r="O1374" t="str">
            <v>Date Closed</v>
          </cell>
          <cell r="P1374" t="str">
            <v>Notes</v>
          </cell>
          <cell r="Q1374" t="str">
            <v>21|55</v>
          </cell>
        </row>
        <row r="1375">
          <cell r="E1375" t="str">
            <v>9. OPEN QUESTIONS</v>
          </cell>
          <cell r="G1375" t="str">
            <v>B21-Q1</v>
          </cell>
          <cell r="H1375" t="str">
            <v>Confirm final scope: new TE enclosure at Room 100A/RM 104 and existing B21 B1.TR plus B19 B05TR transition?</v>
          </cell>
          <cell r="I1375" t="str">
            <v>VA / OIT / Designer</v>
          </cell>
          <cell r="J1375" t="str">
            <v>Open</v>
          </cell>
          <cell r="K1375">
            <v>0</v>
          </cell>
          <cell r="L1375">
            <v>0</v>
          </cell>
          <cell r="O1375">
            <v>0</v>
          </cell>
          <cell r="P1375">
            <v>0</v>
          </cell>
          <cell r="Q1375" t="str">
            <v>21|56</v>
          </cell>
        </row>
        <row r="1376">
          <cell r="E1376" t="str">
            <v>9. OPEN QUESTIONS</v>
          </cell>
          <cell r="G1376" t="str">
            <v>B21-Q2</v>
          </cell>
          <cell r="H1376" t="str">
            <v>Why does 21_19T-701 list RM 104 / TR01-104-1 while enlarged plan identifies Room 100A?</v>
          </cell>
          <cell r="I1376" t="str">
            <v>VA / Designer / OIT</v>
          </cell>
          <cell r="J1376" t="str">
            <v>Open</v>
          </cell>
          <cell r="K1376">
            <v>0</v>
          </cell>
          <cell r="L1376">
            <v>0</v>
          </cell>
          <cell r="O1376">
            <v>0</v>
          </cell>
          <cell r="P1376">
            <v>0</v>
          </cell>
          <cell r="Q1376" t="str">
            <v>21|57</v>
          </cell>
        </row>
        <row r="1377">
          <cell r="E1377" t="str">
            <v>9. OPEN QUESTIONS</v>
          </cell>
          <cell r="G1377" t="str">
            <v>B21-Q3</v>
          </cell>
          <cell r="H1377" t="str">
            <v>What active services are currently fed from existing B21 B1.TR and B19 B05TR equipment?</v>
          </cell>
          <cell r="I1377" t="str">
            <v>OIT / Contractor</v>
          </cell>
          <cell r="J1377" t="str">
            <v>Open</v>
          </cell>
          <cell r="K1377">
            <v>0</v>
          </cell>
          <cell r="L1377">
            <v>0</v>
          </cell>
          <cell r="O1377">
            <v>0</v>
          </cell>
          <cell r="P1377">
            <v>0</v>
          </cell>
          <cell r="Q1377" t="str">
            <v>21|58</v>
          </cell>
        </row>
        <row r="1378">
          <cell r="E1378" t="str">
            <v>9. OPEN QUESTIONS</v>
          </cell>
          <cell r="G1378" t="str">
            <v>B21-Q4</v>
          </cell>
          <cell r="H1378" t="str">
            <v>What exactly is meant by '19 serving 21' on the new TE enclosure elevation?</v>
          </cell>
          <cell r="I1378" t="str">
            <v>VA / OIT / Designer</v>
          </cell>
          <cell r="J1378" t="str">
            <v>Open</v>
          </cell>
          <cell r="K1378">
            <v>0</v>
          </cell>
          <cell r="L1378">
            <v>0</v>
          </cell>
          <cell r="O1378">
            <v>0</v>
          </cell>
          <cell r="P1378">
            <v>0</v>
          </cell>
          <cell r="Q1378" t="str">
            <v>21|59</v>
          </cell>
        </row>
        <row r="1379">
          <cell r="E1379" t="str">
            <v>9. OPEN QUESTIONS</v>
          </cell>
          <cell r="G1379" t="str">
            <v>B21-Q5</v>
          </cell>
          <cell r="H1379" t="str">
            <v>What is the approved power source, receptacle type and circuit capacity for the new APC UPS/PDU in 100A?</v>
          </cell>
          <cell r="I1379" t="str">
            <v>Electrical / Designer</v>
          </cell>
          <cell r="J1379" t="str">
            <v>Open</v>
          </cell>
          <cell r="K1379">
            <v>0</v>
          </cell>
          <cell r="L1379">
            <v>0</v>
          </cell>
          <cell r="O1379">
            <v>0</v>
          </cell>
          <cell r="P1379">
            <v>0</v>
          </cell>
          <cell r="Q1379" t="str">
            <v>21|60</v>
          </cell>
        </row>
        <row r="1380">
          <cell r="E1380" t="str">
            <v>9. OPEN QUESTIONS</v>
          </cell>
          <cell r="G1380" t="str">
            <v>B21-Q6</v>
          </cell>
          <cell r="H1380" t="str">
            <v>Are all 659 ft of cable tray route, sleeves, supports and firestopping details field verified?</v>
          </cell>
          <cell r="I1380" t="str">
            <v>Telecom / GC / Firestop</v>
          </cell>
          <cell r="J1380" t="str">
            <v>Open</v>
          </cell>
          <cell r="K1380">
            <v>0</v>
          </cell>
          <cell r="L1380">
            <v>0</v>
          </cell>
          <cell r="O1380">
            <v>0</v>
          </cell>
          <cell r="P1380">
            <v>0</v>
          </cell>
          <cell r="Q1380" t="str">
            <v>21|61</v>
          </cell>
        </row>
        <row r="1381">
          <cell r="E1381" t="str">
            <v>9. OPEN QUESTIONS</v>
          </cell>
          <cell r="G1381" t="str">
            <v>B21-Q7</v>
          </cell>
          <cell r="H1381" t="str">
            <v>Are the 10 new Cat6A cross-connect cables from existing TE to new TE location coordinated and labeled?</v>
          </cell>
          <cell r="I1381" t="str">
            <v>Telecom / OIT</v>
          </cell>
          <cell r="J1381" t="str">
            <v>Open</v>
          </cell>
          <cell r="K1381">
            <v>0</v>
          </cell>
          <cell r="L1381">
            <v>0</v>
          </cell>
          <cell r="O1381">
            <v>0</v>
          </cell>
          <cell r="P1381">
            <v>0</v>
          </cell>
          <cell r="Q1381" t="str">
            <v>21|62</v>
          </cell>
        </row>
        <row r="1382">
          <cell r="E1382" t="str">
            <v>9. OPEN QUESTIONS</v>
          </cell>
          <cell r="G1382" t="str">
            <v>B21-Q8</v>
          </cell>
          <cell r="H1382" t="str">
            <v>Which test records and turnover documents are required for TE-only acceptance?</v>
          </cell>
          <cell r="I1382" t="str">
            <v>GC / Cx Manager / OIT</v>
          </cell>
          <cell r="J1382" t="str">
            <v>Open</v>
          </cell>
          <cell r="K1382">
            <v>0</v>
          </cell>
          <cell r="L1382">
            <v>0</v>
          </cell>
          <cell r="O1382">
            <v>0</v>
          </cell>
          <cell r="P1382">
            <v>0</v>
          </cell>
          <cell r="Q1382" t="str">
            <v>21|63</v>
          </cell>
        </row>
        <row r="1383">
          <cell r="E1383" t="str">
            <v>9. OPEN QUESTIONS</v>
          </cell>
          <cell r="G1383">
            <v>0</v>
          </cell>
          <cell r="H1383">
            <v>0</v>
          </cell>
          <cell r="I1383">
            <v>0</v>
          </cell>
          <cell r="J1383">
            <v>0</v>
          </cell>
          <cell r="K1383">
            <v>0</v>
          </cell>
          <cell r="L1383">
            <v>0</v>
          </cell>
          <cell r="O1383">
            <v>0</v>
          </cell>
          <cell r="P1383">
            <v>0</v>
          </cell>
          <cell r="Q1383" t="str">
            <v>21|64</v>
          </cell>
        </row>
        <row r="1384">
          <cell r="E1384" t="str">
            <v>10. PHOTO LOG</v>
          </cell>
          <cell r="G1384" t="str">
            <v>10. PHOTO LOG</v>
          </cell>
          <cell r="H1384">
            <v>0</v>
          </cell>
          <cell r="I1384">
            <v>0</v>
          </cell>
          <cell r="J1384">
            <v>0</v>
          </cell>
          <cell r="K1384">
            <v>0</v>
          </cell>
          <cell r="L1384">
            <v>0</v>
          </cell>
          <cell r="O1384">
            <v>0</v>
          </cell>
          <cell r="P1384">
            <v>0</v>
          </cell>
          <cell r="Q1384" t="str">
            <v>21|65</v>
          </cell>
        </row>
        <row r="1385">
          <cell r="E1385" t="str">
            <v>10. PHOTO LOG</v>
          </cell>
          <cell r="G1385" t="str">
            <v>Photo ID</v>
          </cell>
          <cell r="H1385" t="str">
            <v>Room</v>
          </cell>
          <cell r="I1385" t="str">
            <v>Category</v>
          </cell>
          <cell r="J1385" t="str">
            <v>Description</v>
          </cell>
          <cell r="K1385" t="str">
            <v>Date</v>
          </cell>
          <cell r="L1385" t="str">
            <v>Taken By</v>
          </cell>
          <cell r="O1385" t="str">
            <v>Status</v>
          </cell>
          <cell r="P1385" t="str">
            <v>Notes</v>
          </cell>
          <cell r="Q1385" t="str">
            <v>21|66</v>
          </cell>
        </row>
        <row r="1386">
          <cell r="E1386" t="str">
            <v>10. PHOTO LOG</v>
          </cell>
          <cell r="G1386" t="str">
            <v>B21-P001</v>
          </cell>
          <cell r="H1386" t="str">
            <v>100A</v>
          </cell>
          <cell r="I1386" t="str">
            <v>Existing Condition</v>
          </cell>
          <cell r="J1386" t="str">
            <v>M&amp;O Foreman Office 100A wall location, wall backing, clearances, ceiling, power source, cable path, fiber path A/B and new TE enclosure location</v>
          </cell>
          <cell r="K1386">
            <v>0</v>
          </cell>
          <cell r="L1386" t="str">
            <v>Paul</v>
          </cell>
          <cell r="O1386" t="str">
            <v>Open</v>
          </cell>
          <cell r="P1386">
            <v>0</v>
          </cell>
          <cell r="Q1386" t="str">
            <v>21|67</v>
          </cell>
        </row>
        <row r="1387">
          <cell r="E1387" t="str">
            <v>10. PHOTO LOG</v>
          </cell>
          <cell r="G1387" t="str">
            <v>B21-P002</v>
          </cell>
          <cell r="H1387" t="str">
            <v>B1.TR</v>
          </cell>
          <cell r="I1387" t="str">
            <v>Existing Condition</v>
          </cell>
          <cell r="J1387" t="str">
            <v>Existing B21 basement B1.TR wall TE, legacy patch panels, Cisco switch, Fiber LIU, UPS on ground and cable entries</v>
          </cell>
          <cell r="K1387">
            <v>0</v>
          </cell>
          <cell r="L1387" t="str">
            <v>Paul</v>
          </cell>
          <cell r="O1387" t="str">
            <v>Open</v>
          </cell>
          <cell r="P1387">
            <v>0</v>
          </cell>
          <cell r="Q1387" t="str">
            <v>21|68</v>
          </cell>
        </row>
        <row r="1388">
          <cell r="E1388" t="str">
            <v>10. PHOTO LOG</v>
          </cell>
          <cell r="G1388" t="str">
            <v>B21-P003</v>
          </cell>
          <cell r="H1388" t="str">
            <v>B05TR</v>
          </cell>
          <cell r="I1388" t="str">
            <v>Existing Condition</v>
          </cell>
          <cell r="J1388" t="str">
            <v>Existing B19 B05TR basement and first-level TE/equipment, APC floor UPS, Cisco switch, patch panels, Fiber LIU and pathways</v>
          </cell>
          <cell r="K1388">
            <v>0</v>
          </cell>
          <cell r="L1388" t="str">
            <v>Paul</v>
          </cell>
          <cell r="O1388" t="str">
            <v>Open</v>
          </cell>
          <cell r="P1388">
            <v>0</v>
          </cell>
          <cell r="Q1388" t="str">
            <v>21|69</v>
          </cell>
        </row>
        <row r="1389">
          <cell r="E1389" t="str">
            <v>10. PHOTO LOG</v>
          </cell>
          <cell r="G1389" t="str">
            <v>B21-P004</v>
          </cell>
          <cell r="H1389" t="str">
            <v>100A/B05TR/B1.TR</v>
          </cell>
          <cell r="I1389" t="str">
            <v>Pathway</v>
          </cell>
          <cell r="J1389" t="str">
            <v>659 ft cable tray route, sleeves, wall/floor penetrations, support points, light/HVAC conflicts and 40% fill concerns</v>
          </cell>
          <cell r="K1389">
            <v>0</v>
          </cell>
          <cell r="L1389" t="str">
            <v>Paul</v>
          </cell>
          <cell r="O1389" t="str">
            <v>Open</v>
          </cell>
          <cell r="P1389">
            <v>0</v>
          </cell>
          <cell r="Q1389" t="str">
            <v>21|70</v>
          </cell>
        </row>
        <row r="1390">
          <cell r="E1390" t="str">
            <v>10. PHOTO LOG</v>
          </cell>
          <cell r="G1390" t="str">
            <v>B21-P005</v>
          </cell>
          <cell r="H1390" t="str">
            <v>100A</v>
          </cell>
          <cell r="I1390" t="str">
            <v>Electrical</v>
          </cell>
          <cell r="J1390" t="str">
            <v>New TE enclosure UPS/PDU receptacles, circuit source, grounding/bonding, labels and access</v>
          </cell>
          <cell r="K1390">
            <v>0</v>
          </cell>
          <cell r="L1390" t="str">
            <v>Paul</v>
          </cell>
          <cell r="O1390" t="str">
            <v>Open</v>
          </cell>
          <cell r="P1390">
            <v>0</v>
          </cell>
          <cell r="Q1390" t="str">
            <v>21|71</v>
          </cell>
        </row>
        <row r="1391">
          <cell r="E1391" t="str">
            <v>10. PHOTO LOG</v>
          </cell>
          <cell r="G1391" t="str">
            <v>B21-P006</v>
          </cell>
          <cell r="H1391" t="str">
            <v>100A/B1.TR/B05TR</v>
          </cell>
          <cell r="I1391" t="str">
            <v>Telecom</v>
          </cell>
          <cell r="J1391" t="str">
            <v>TR01-104-1 enclosure, cross-connect cables, Fiber LIU, patch panels, labels, test results and existing equipment transfer</v>
          </cell>
          <cell r="K1391">
            <v>0</v>
          </cell>
          <cell r="L1391" t="str">
            <v>Paul</v>
          </cell>
          <cell r="O1391" t="str">
            <v>Open</v>
          </cell>
          <cell r="P1391">
            <v>0</v>
          </cell>
          <cell r="Q1391" t="str">
            <v>21|72</v>
          </cell>
        </row>
        <row r="1392">
          <cell r="E1392" t="str">
            <v>10. PHOTO LOG</v>
          </cell>
          <cell r="G1392" t="str">
            <v>B21-P007</v>
          </cell>
          <cell r="H1392" t="str">
            <v>All</v>
          </cell>
          <cell r="I1392" t="str">
            <v>Firestop</v>
          </cell>
          <cell r="J1392" t="str">
            <v>4-inch speed sleeve, wall/floor penetrations and fire caulk before/after photos</v>
          </cell>
          <cell r="K1392">
            <v>0</v>
          </cell>
          <cell r="L1392" t="str">
            <v>Paul</v>
          </cell>
          <cell r="O1392" t="str">
            <v>Open</v>
          </cell>
          <cell r="P1392">
            <v>0</v>
          </cell>
          <cell r="Q1392" t="str">
            <v>21|73</v>
          </cell>
        </row>
        <row r="1393">
          <cell r="E1393" t="str">
            <v>10. PHOTO LOG</v>
          </cell>
          <cell r="G1393" t="str">
            <v>B21-P008</v>
          </cell>
          <cell r="H1393" t="str">
            <v>All</v>
          </cell>
          <cell r="I1393" t="str">
            <v>Security / Existing Devices</v>
          </cell>
          <cell r="J1393" t="str">
            <v>Existing cameras/security devices to remain, protection-in-place and final operating condition</v>
          </cell>
          <cell r="K1393">
            <v>0</v>
          </cell>
          <cell r="L1393" t="str">
            <v>Paul</v>
          </cell>
          <cell r="O1393" t="str">
            <v>Open</v>
          </cell>
          <cell r="P1393">
            <v>0</v>
          </cell>
          <cell r="Q1393" t="str">
            <v>21|74</v>
          </cell>
        </row>
        <row r="1394">
          <cell r="E1394" t="str">
            <v>10. PHOTO LOG</v>
          </cell>
          <cell r="G1394">
            <v>0</v>
          </cell>
          <cell r="H1394">
            <v>0</v>
          </cell>
          <cell r="I1394">
            <v>0</v>
          </cell>
          <cell r="J1394">
            <v>0</v>
          </cell>
          <cell r="K1394">
            <v>0</v>
          </cell>
          <cell r="L1394">
            <v>0</v>
          </cell>
          <cell r="O1394">
            <v>0</v>
          </cell>
          <cell r="P1394">
            <v>0</v>
          </cell>
          <cell r="Q1394" t="str">
            <v>21|75</v>
          </cell>
        </row>
        <row r="1395">
          <cell r="E1395" t="str">
            <v>1. ROOM INVENTORY</v>
          </cell>
          <cell r="G1395" t="str">
            <v>1. ROOM INVENTORY</v>
          </cell>
          <cell r="H1395">
            <v>0</v>
          </cell>
          <cell r="I1395">
            <v>0</v>
          </cell>
          <cell r="J1395">
            <v>0</v>
          </cell>
          <cell r="K1395">
            <v>0</v>
          </cell>
          <cell r="L1395">
            <v>0</v>
          </cell>
          <cell r="O1395">
            <v>0</v>
          </cell>
          <cell r="P1395">
            <v>0</v>
          </cell>
          <cell r="Q1395" t="str">
            <v>22|1</v>
          </cell>
        </row>
        <row r="1396">
          <cell r="E1396" t="str">
            <v>1. ROOM INVENTORY</v>
          </cell>
          <cell r="G1396" t="str">
            <v>Building</v>
          </cell>
          <cell r="H1396" t="str">
            <v>Room</v>
          </cell>
          <cell r="I1396" t="str">
            <v>Floor</v>
          </cell>
          <cell r="J1396" t="str">
            <v>Existing Use</v>
          </cell>
          <cell r="K1396" t="str">
            <v>New Use</v>
          </cell>
          <cell r="L1396" t="str">
            <v>Rack Count</v>
          </cell>
          <cell r="O1396" t="str">
            <v>Drawing Ref</v>
          </cell>
          <cell r="P1396" t="str">
            <v>Notes</v>
          </cell>
          <cell r="Q1396" t="str">
            <v>22|2</v>
          </cell>
        </row>
        <row r="1397">
          <cell r="E1397" t="str">
            <v>1. ROOM INVENTORY</v>
          </cell>
          <cell r="G1397" t="str">
            <v>22</v>
          </cell>
          <cell r="H1397" t="str">
            <v>102</v>
          </cell>
          <cell r="I1397" t="str">
            <v>First</v>
          </cell>
          <cell r="J1397" t="str">
            <v>Break Room / new TE location</v>
          </cell>
          <cell r="K1397" t="str">
            <v>Telecom Enclosure</v>
          </cell>
          <cell r="L1397">
            <v>1</v>
          </cell>
          <cell r="O1397" t="str">
            <v>22T-101 / 22T-701 / 22E-101 / 22E-701</v>
          </cell>
          <cell r="P1397" t="str">
            <v>Primary Building 22 TE. Plans identify Break Room 102 at 358 SF with new 12RU telecom enclosure Rack ID TR01-102-1, APC UPS, two PDUs, network switch, 48-port Cat6A patch panel, Fiber LIU, and 8 total ports with 10% allowance.</v>
          </cell>
          <cell r="Q1397" t="str">
            <v>22|3</v>
          </cell>
        </row>
        <row r="1398">
          <cell r="E1398" t="str">
            <v>1. ROOM INVENTORY</v>
          </cell>
          <cell r="G1398" t="str">
            <v>22</v>
          </cell>
          <cell r="H1398" t="str">
            <v>103</v>
          </cell>
          <cell r="I1398" t="str">
            <v>First</v>
          </cell>
          <cell r="J1398" t="str">
            <v>Existing wall/wall-mount TE / legacy equipment area</v>
          </cell>
          <cell r="K1398" t="str">
            <v>Existing telecom transition point</v>
          </cell>
          <cell r="L1398">
            <v>1</v>
          </cell>
          <cell r="O1398" t="str">
            <v>22T-101 / 22T-701 / 22R-900</v>
          </cell>
          <cell r="P1398" t="str">
            <v>Existing Room 103 first-level wall/wall-mount TE shown with APC UPS, Cisco switch, SERTEX utility service, legacy Ortronics 24-port patch panel, Fiber LIU on wall, and ports 1-24 to Building 19 ports 73-96. Protect active services and transfer to Room 102 TE.</v>
          </cell>
          <cell r="Q1398" t="str">
            <v>22|4</v>
          </cell>
        </row>
        <row r="1399">
          <cell r="E1399" t="str">
            <v>1. ROOM INVENTORY</v>
          </cell>
          <cell r="G1399">
            <v>0</v>
          </cell>
          <cell r="H1399">
            <v>0</v>
          </cell>
          <cell r="I1399">
            <v>0</v>
          </cell>
          <cell r="J1399">
            <v>0</v>
          </cell>
          <cell r="K1399">
            <v>0</v>
          </cell>
          <cell r="L1399">
            <v>0</v>
          </cell>
          <cell r="O1399">
            <v>0</v>
          </cell>
          <cell r="P1399">
            <v>0</v>
          </cell>
          <cell r="Q1399" t="str">
            <v>22|5</v>
          </cell>
        </row>
        <row r="1400">
          <cell r="E1400" t="str">
            <v>2. ROOM READINESS</v>
          </cell>
          <cell r="G1400" t="str">
            <v>2. ROOM READINESS</v>
          </cell>
          <cell r="H1400">
            <v>0</v>
          </cell>
          <cell r="I1400">
            <v>0</v>
          </cell>
          <cell r="J1400">
            <v>0</v>
          </cell>
          <cell r="K1400">
            <v>0</v>
          </cell>
          <cell r="L1400">
            <v>0</v>
          </cell>
          <cell r="O1400">
            <v>0</v>
          </cell>
          <cell r="P1400">
            <v>0</v>
          </cell>
          <cell r="Q1400" t="str">
            <v>22|6</v>
          </cell>
        </row>
        <row r="1401">
          <cell r="E1401" t="str">
            <v>2. ROOM READINESS</v>
          </cell>
          <cell r="G1401" t="str">
            <v>Room</v>
          </cell>
          <cell r="H1401" t="str">
            <v>Walls / 1-hr Rating</v>
          </cell>
          <cell r="I1401" t="str">
            <v>Ceiling</v>
          </cell>
          <cell r="J1401" t="str">
            <v>Floor / SDC</v>
          </cell>
          <cell r="K1401" t="str">
            <v>Penetrations</v>
          </cell>
          <cell r="L1401" t="str">
            <v>Access Control</v>
          </cell>
          <cell r="O1401" t="str">
            <v>Overall</v>
          </cell>
          <cell r="P1401" t="str">
            <v>Comments</v>
          </cell>
          <cell r="Q1401" t="str">
            <v>22|7</v>
          </cell>
        </row>
        <row r="1402">
          <cell r="E1402" t="str">
            <v>2. ROOM READINESS</v>
          </cell>
          <cell r="G1402" t="str">
            <v>102</v>
          </cell>
          <cell r="H1402" t="str">
            <v>Verify</v>
          </cell>
          <cell r="I1402" t="str">
            <v>Verify</v>
          </cell>
          <cell r="J1402" t="str">
            <v>N/A / Break Room</v>
          </cell>
          <cell r="K1402" t="str">
            <v>Verify</v>
          </cell>
          <cell r="L1402" t="str">
            <v>Verify Existing</v>
          </cell>
          <cell r="O1402" t="str">
            <v>Verify</v>
          </cell>
          <cell r="P1402" t="str">
            <v>New TE enclosure location in Break Room 102; verify wall backing, mounting height, access clearance, power, fiber/copper path, 4-inch speed sleeve, fire/smoke wall rating, and that break-room use can remain operational.</v>
          </cell>
          <cell r="Q1402" t="str">
            <v>22|8</v>
          </cell>
        </row>
        <row r="1403">
          <cell r="E1403" t="str">
            <v>2. ROOM READINESS</v>
          </cell>
          <cell r="G1403" t="str">
            <v>103</v>
          </cell>
          <cell r="H1403" t="str">
            <v>Existing / Verify</v>
          </cell>
          <cell r="I1403" t="str">
            <v>Existing / Verify</v>
          </cell>
          <cell r="J1403" t="str">
            <v>Existing / Verify</v>
          </cell>
          <cell r="K1403" t="str">
            <v>Verify</v>
          </cell>
          <cell r="L1403" t="str">
            <v>Verify Existing</v>
          </cell>
          <cell r="O1403" t="str">
            <v>Verify</v>
          </cell>
          <cell r="P1403" t="str">
            <v>Existing first-level wall/wall-mount TE; verify active equipment status, UPS, Cisco switch, SERTEX utility service, Fiber LIU, pathway, and transition/abandonment scope.</v>
          </cell>
          <cell r="Q1403" t="str">
            <v>22|9</v>
          </cell>
        </row>
        <row r="1404">
          <cell r="E1404" t="str">
            <v>2. ROOM READINESS</v>
          </cell>
          <cell r="G1404">
            <v>0</v>
          </cell>
          <cell r="H1404">
            <v>0</v>
          </cell>
          <cell r="I1404">
            <v>0</v>
          </cell>
          <cell r="J1404">
            <v>0</v>
          </cell>
          <cell r="K1404">
            <v>0</v>
          </cell>
          <cell r="L1404">
            <v>0</v>
          </cell>
          <cell r="O1404">
            <v>0</v>
          </cell>
          <cell r="P1404">
            <v>0</v>
          </cell>
          <cell r="Q1404" t="str">
            <v>22|10</v>
          </cell>
        </row>
        <row r="1405">
          <cell r="E1405" t="str">
            <v>3. FIRE PROTECTION</v>
          </cell>
          <cell r="G1405" t="str">
            <v>3. FIRE PROTECTION</v>
          </cell>
          <cell r="H1405">
            <v>0</v>
          </cell>
          <cell r="I1405">
            <v>0</v>
          </cell>
          <cell r="J1405">
            <v>0</v>
          </cell>
          <cell r="K1405">
            <v>0</v>
          </cell>
          <cell r="L1405">
            <v>0</v>
          </cell>
          <cell r="O1405">
            <v>0</v>
          </cell>
          <cell r="P1405">
            <v>0</v>
          </cell>
          <cell r="Q1405" t="str">
            <v>22|11</v>
          </cell>
        </row>
        <row r="1406">
          <cell r="E1406" t="str">
            <v>3. FIRE PROTECTION</v>
          </cell>
          <cell r="G1406" t="str">
            <v>Room</v>
          </cell>
          <cell r="H1406" t="str">
            <v>Sprinkler</v>
          </cell>
          <cell r="I1406" t="str">
            <v>Cage</v>
          </cell>
          <cell r="J1406" t="str">
            <v>Detector</v>
          </cell>
          <cell r="K1406" t="str">
            <v>Horn/Strobe</v>
          </cell>
          <cell r="L1406" t="str">
            <v>Extinguisher &lt;75 ft</v>
          </cell>
          <cell r="O1406" t="str">
            <v>Overall</v>
          </cell>
          <cell r="P1406" t="str">
            <v>Risk / Notes</v>
          </cell>
          <cell r="Q1406" t="str">
            <v>22|12</v>
          </cell>
        </row>
        <row r="1407">
          <cell r="E1407" t="str">
            <v>3. FIRE PROTECTION</v>
          </cell>
          <cell r="G1407" t="str">
            <v>102</v>
          </cell>
          <cell r="H1407" t="str">
            <v>Excluded / Verify</v>
          </cell>
          <cell r="I1407" t="str">
            <v>N/A</v>
          </cell>
          <cell r="J1407" t="str">
            <v>Verify Existing</v>
          </cell>
          <cell r="K1407" t="str">
            <v>Verify Existing</v>
          </cell>
          <cell r="L1407" t="str">
            <v>N/A / Verify</v>
          </cell>
          <cell r="O1407" t="str">
            <v>Verify</v>
          </cell>
          <cell r="P1407" t="str">
            <v>Cover sheet states Building 22 receives a Telecom Enclosure and mechanical/fire protection scope is excluded. Still verify firestopping of rated penetrations, 4-inch sleeve, wall/floor openings, and life-safety device impacts.</v>
          </cell>
          <cell r="Q1407" t="str">
            <v>22|13</v>
          </cell>
        </row>
        <row r="1408">
          <cell r="E1408" t="str">
            <v>3. FIRE PROTECTION</v>
          </cell>
          <cell r="G1408" t="str">
            <v>103</v>
          </cell>
          <cell r="H1408" t="str">
            <v>Existing / Verify</v>
          </cell>
          <cell r="I1408" t="str">
            <v>N/A</v>
          </cell>
          <cell r="J1408" t="str">
            <v>Verify Existing</v>
          </cell>
          <cell r="K1408" t="str">
            <v>Verify Existing</v>
          </cell>
          <cell r="L1408" t="str">
            <v>N/A / Verify</v>
          </cell>
          <cell r="O1408" t="str">
            <v>Verify</v>
          </cell>
          <cell r="P1408" t="str">
            <v>Existing TE room; verify protection-in-place and firestopping after cable transfer or reuse.</v>
          </cell>
          <cell r="Q1408" t="str">
            <v>22|14</v>
          </cell>
        </row>
        <row r="1409">
          <cell r="E1409" t="str">
            <v>3. FIRE PROTECTION</v>
          </cell>
          <cell r="G1409">
            <v>0</v>
          </cell>
          <cell r="H1409">
            <v>0</v>
          </cell>
          <cell r="I1409">
            <v>0</v>
          </cell>
          <cell r="J1409">
            <v>0</v>
          </cell>
          <cell r="K1409">
            <v>0</v>
          </cell>
          <cell r="L1409">
            <v>0</v>
          </cell>
          <cell r="O1409">
            <v>0</v>
          </cell>
          <cell r="P1409">
            <v>0</v>
          </cell>
          <cell r="Q1409" t="str">
            <v>22|15</v>
          </cell>
        </row>
        <row r="1410">
          <cell r="E1410" t="str">
            <v>4. HVAC / COOLING</v>
          </cell>
          <cell r="G1410" t="str">
            <v>4. HVAC / COOLING</v>
          </cell>
          <cell r="H1410">
            <v>0</v>
          </cell>
          <cell r="I1410">
            <v>0</v>
          </cell>
          <cell r="J1410">
            <v>0</v>
          </cell>
          <cell r="K1410">
            <v>0</v>
          </cell>
          <cell r="L1410">
            <v>0</v>
          </cell>
          <cell r="O1410">
            <v>0</v>
          </cell>
          <cell r="P1410">
            <v>0</v>
          </cell>
          <cell r="Q1410" t="str">
            <v>22|16</v>
          </cell>
        </row>
        <row r="1411">
          <cell r="E1411" t="str">
            <v>4. HVAC / COOLING</v>
          </cell>
          <cell r="G1411" t="str">
            <v>Room</v>
          </cell>
          <cell r="H1411" t="str">
            <v>Dedicated Unit</v>
          </cell>
          <cell r="I1411" t="str">
            <v>Capacity Verified</v>
          </cell>
          <cell r="J1411" t="str">
            <v>Emergency Power</v>
          </cell>
          <cell r="K1411" t="str">
            <v>Controls / BACnet</v>
          </cell>
          <cell r="L1411" t="str">
            <v>Condensate Routed</v>
          </cell>
          <cell r="O1411" t="str">
            <v>Overall</v>
          </cell>
          <cell r="P1411" t="str">
            <v>Risk / Notes</v>
          </cell>
          <cell r="Q1411" t="str">
            <v>22|17</v>
          </cell>
        </row>
        <row r="1412">
          <cell r="E1412" t="str">
            <v>4. HVAC / COOLING</v>
          </cell>
          <cell r="G1412" t="str">
            <v>102</v>
          </cell>
          <cell r="H1412" t="str">
            <v>Excluded</v>
          </cell>
          <cell r="I1412" t="str">
            <v>N/A</v>
          </cell>
          <cell r="J1412" t="str">
            <v>N/A</v>
          </cell>
          <cell r="K1412" t="str">
            <v>N/A</v>
          </cell>
          <cell r="L1412" t="str">
            <v>N/A</v>
          </cell>
          <cell r="O1412" t="str">
            <v>N/A</v>
          </cell>
          <cell r="P1412" t="str">
            <v>Cover sheet states mechanical scope is excluded. Verify whether Break Room 102 ambient conditions are acceptable for wall-mount TE/UPS/PDU/network equipment.</v>
          </cell>
          <cell r="Q1412" t="str">
            <v>22|18</v>
          </cell>
        </row>
        <row r="1413">
          <cell r="E1413" t="str">
            <v>4. HVAC / COOLING</v>
          </cell>
          <cell r="G1413" t="str">
            <v>103</v>
          </cell>
          <cell r="H1413" t="str">
            <v>Existing / Verify</v>
          </cell>
          <cell r="I1413" t="str">
            <v>Verify</v>
          </cell>
          <cell r="J1413" t="str">
            <v>Verify</v>
          </cell>
          <cell r="K1413" t="str">
            <v>Verify</v>
          </cell>
          <cell r="L1413" t="str">
            <v>Verify</v>
          </cell>
          <cell r="O1413" t="str">
            <v>Verify</v>
          </cell>
          <cell r="P1413" t="str">
            <v>Existing Room 103 equipment area; verify existing environmental conditions during cutover and whether legacy equipment remains active.</v>
          </cell>
          <cell r="Q1413" t="str">
            <v>22|19</v>
          </cell>
        </row>
        <row r="1414">
          <cell r="E1414" t="str">
            <v>4. HVAC / COOLING</v>
          </cell>
          <cell r="G1414">
            <v>0</v>
          </cell>
          <cell r="H1414">
            <v>0</v>
          </cell>
          <cell r="I1414">
            <v>0</v>
          </cell>
          <cell r="J1414">
            <v>0</v>
          </cell>
          <cell r="K1414">
            <v>0</v>
          </cell>
          <cell r="L1414">
            <v>0</v>
          </cell>
          <cell r="O1414">
            <v>0</v>
          </cell>
          <cell r="P1414">
            <v>0</v>
          </cell>
          <cell r="Q1414" t="str">
            <v>22|20</v>
          </cell>
        </row>
        <row r="1415">
          <cell r="E1415" t="str">
            <v>5. ELECTRICAL / UPS</v>
          </cell>
          <cell r="G1415" t="str">
            <v>5. ELECTRICAL / UPS</v>
          </cell>
          <cell r="H1415">
            <v>0</v>
          </cell>
          <cell r="I1415">
            <v>0</v>
          </cell>
          <cell r="J1415">
            <v>0</v>
          </cell>
          <cell r="K1415">
            <v>0</v>
          </cell>
          <cell r="L1415">
            <v>0</v>
          </cell>
          <cell r="O1415">
            <v>0</v>
          </cell>
          <cell r="P1415">
            <v>0</v>
          </cell>
          <cell r="Q1415" t="str">
            <v>22|21</v>
          </cell>
        </row>
        <row r="1416">
          <cell r="E1416" t="str">
            <v>5. ELECTRICAL / UPS</v>
          </cell>
          <cell r="G1416" t="str">
            <v>Room</v>
          </cell>
          <cell r="H1416" t="str">
            <v>UPS Installed</v>
          </cell>
          <cell r="I1416" t="str">
            <v>UPS Size</v>
          </cell>
          <cell r="J1416" t="str">
            <v>PDU Installed</v>
          </cell>
          <cell r="K1416" t="str">
            <v>Rack Receptacles</v>
          </cell>
          <cell r="L1416" t="str">
            <v>Panel Assigned</v>
          </cell>
          <cell r="O1416" t="str">
            <v>Overall</v>
          </cell>
          <cell r="P1416" t="str">
            <v>Notes</v>
          </cell>
          <cell r="Q1416" t="str">
            <v>22|22</v>
          </cell>
        </row>
        <row r="1417">
          <cell r="E1417" t="str">
            <v>5. ELECTRICAL / UPS</v>
          </cell>
          <cell r="G1417" t="str">
            <v>102</v>
          </cell>
          <cell r="H1417" t="str">
            <v>Verify</v>
          </cell>
          <cell r="I1417" t="str">
            <v>APC UPS / TE enclosure</v>
          </cell>
          <cell r="J1417" t="str">
            <v>Verify</v>
          </cell>
          <cell r="K1417" t="str">
            <v>Verify</v>
          </cell>
          <cell r="L1417" t="str">
            <v>22E-101 / 22E-701 source to verify</v>
          </cell>
          <cell r="O1417" t="str">
            <v>Verify</v>
          </cell>
          <cell r="P1417" t="str">
            <v>22T-701 new enclosure elevation shows APC UPS, two PDU L5-30 input / NEMA 5-20 output units, 120V outlet UPS, 120V outlet PDU, network switch, 48-port Cat6A patch panel and Fiber LIU. Verify circuit source, receptacle type, grounding/bonding and labels.</v>
          </cell>
          <cell r="Q1417" t="str">
            <v>22|23</v>
          </cell>
        </row>
        <row r="1418">
          <cell r="E1418" t="str">
            <v>5. ELECTRICAL / UPS</v>
          </cell>
          <cell r="G1418" t="str">
            <v>103</v>
          </cell>
          <cell r="H1418" t="str">
            <v>Existing</v>
          </cell>
          <cell r="I1418" t="str">
            <v>Existing APC UPS</v>
          </cell>
          <cell r="J1418" t="str">
            <v>Existing</v>
          </cell>
          <cell r="K1418" t="str">
            <v>Verify</v>
          </cell>
          <cell r="L1418" t="str">
            <v>Existing / Verify</v>
          </cell>
          <cell r="O1418" t="str">
            <v>Verify</v>
          </cell>
          <cell r="P1418" t="str">
            <v>Existing 103 elevation shows APC UPS, Cisco switch, SERTEX utility service, legacy patch equipment and Fiber LIU on wall; verify source circuits, UPS status, and transition requirements before disconnect/removal.</v>
          </cell>
          <cell r="Q1418" t="str">
            <v>22|24</v>
          </cell>
        </row>
        <row r="1419">
          <cell r="E1419" t="str">
            <v>5. ELECTRICAL / UPS</v>
          </cell>
          <cell r="G1419">
            <v>0</v>
          </cell>
          <cell r="H1419">
            <v>0</v>
          </cell>
          <cell r="I1419">
            <v>0</v>
          </cell>
          <cell r="J1419">
            <v>0</v>
          </cell>
          <cell r="K1419">
            <v>0</v>
          </cell>
          <cell r="L1419">
            <v>0</v>
          </cell>
          <cell r="O1419">
            <v>0</v>
          </cell>
          <cell r="P1419">
            <v>0</v>
          </cell>
          <cell r="Q1419" t="str">
            <v>22|25</v>
          </cell>
        </row>
        <row r="1420">
          <cell r="E1420" t="str">
            <v>6. TELECOMMUNICATIONS</v>
          </cell>
          <cell r="G1420" t="str">
            <v>6. TELECOMMUNICATIONS</v>
          </cell>
          <cell r="H1420">
            <v>0</v>
          </cell>
          <cell r="I1420">
            <v>0</v>
          </cell>
          <cell r="J1420">
            <v>0</v>
          </cell>
          <cell r="K1420">
            <v>0</v>
          </cell>
          <cell r="L1420">
            <v>0</v>
          </cell>
          <cell r="O1420">
            <v>0</v>
          </cell>
          <cell r="P1420">
            <v>0</v>
          </cell>
          <cell r="Q1420" t="str">
            <v>22|26</v>
          </cell>
        </row>
        <row r="1421">
          <cell r="E1421" t="str">
            <v>6. TELECOMMUNICATIONS</v>
          </cell>
          <cell r="G1421" t="str">
            <v>Room</v>
          </cell>
          <cell r="H1421" t="str">
            <v>Rack Installed</v>
          </cell>
          <cell r="I1421" t="str">
            <v>Ladder Tray</v>
          </cell>
          <cell r="J1421" t="str">
            <v>Fiber Installed</v>
          </cell>
          <cell r="K1421" t="str">
            <v>Grounding</v>
          </cell>
          <cell r="L1421" t="str">
            <v>Labeling</v>
          </cell>
          <cell r="O1421" t="str">
            <v>Overall</v>
          </cell>
          <cell r="P1421" t="str">
            <v>Notes</v>
          </cell>
          <cell r="Q1421" t="str">
            <v>22|27</v>
          </cell>
        </row>
        <row r="1422">
          <cell r="E1422" t="str">
            <v>6. TELECOMMUNICATIONS</v>
          </cell>
          <cell r="G1422" t="str">
            <v>102</v>
          </cell>
          <cell r="H1422" t="str">
            <v>Verify</v>
          </cell>
          <cell r="I1422" t="str">
            <v>Verify</v>
          </cell>
          <cell r="J1422" t="str">
            <v>Verify</v>
          </cell>
          <cell r="K1422" t="str">
            <v>Verify</v>
          </cell>
          <cell r="L1422" t="str">
            <v>Verify</v>
          </cell>
          <cell r="O1422" t="str">
            <v>Verify</v>
          </cell>
          <cell r="P1422" t="str">
            <v>22T-701 identifies TR01-102-1: 6 WAO total, 96 WAO available, 93% expansion capacity, 7 total port quantities, and 8 total ports with 10% allowance. Provide new wall-mount 12RU TE cabinet and 10 new Cat6A cross-connect cables from existing TE to new TE location.</v>
          </cell>
          <cell r="Q1422" t="str">
            <v>22|28</v>
          </cell>
        </row>
        <row r="1423">
          <cell r="E1423" t="str">
            <v>6. TELECOMMUNICATIONS</v>
          </cell>
          <cell r="G1423" t="str">
            <v>103</v>
          </cell>
          <cell r="H1423" t="str">
            <v>Existing</v>
          </cell>
          <cell r="I1423" t="str">
            <v>Existing</v>
          </cell>
          <cell r="J1423" t="str">
            <v>Existing</v>
          </cell>
          <cell r="K1423" t="str">
            <v>Verify</v>
          </cell>
          <cell r="L1423" t="str">
            <v>Verify</v>
          </cell>
          <cell r="O1423" t="str">
            <v>Verify</v>
          </cell>
          <cell r="P1423" t="str">
            <v>Existing Room 103 contains APC UPS, Cisco switch, SERTEX utility service, legacy Ortronics 24-port patch panel, Fiber LIU on wall and ports 1-24 to Bldg 19 ports 73-96. Field verify all active services and B19 handoff.</v>
          </cell>
          <cell r="Q1423" t="str">
            <v>22|29</v>
          </cell>
        </row>
        <row r="1424">
          <cell r="E1424" t="str">
            <v>6. TELECOMMUNICATIONS</v>
          </cell>
          <cell r="G1424">
            <v>0</v>
          </cell>
          <cell r="H1424">
            <v>0</v>
          </cell>
          <cell r="I1424">
            <v>0</v>
          </cell>
          <cell r="J1424">
            <v>0</v>
          </cell>
          <cell r="K1424">
            <v>0</v>
          </cell>
          <cell r="L1424">
            <v>0</v>
          </cell>
          <cell r="O1424">
            <v>0</v>
          </cell>
          <cell r="P1424">
            <v>0</v>
          </cell>
          <cell r="Q1424" t="str">
            <v>22|30</v>
          </cell>
        </row>
        <row r="1425">
          <cell r="E1425" t="str">
            <v>7. SECURITY / PACS / CCTV</v>
          </cell>
          <cell r="G1425" t="str">
            <v>7. SECURITY / PACS / CCTV</v>
          </cell>
          <cell r="H1425">
            <v>0</v>
          </cell>
          <cell r="I1425">
            <v>0</v>
          </cell>
          <cell r="J1425">
            <v>0</v>
          </cell>
          <cell r="K1425">
            <v>0</v>
          </cell>
          <cell r="L1425">
            <v>0</v>
          </cell>
          <cell r="O1425">
            <v>0</v>
          </cell>
          <cell r="P1425">
            <v>0</v>
          </cell>
          <cell r="Q1425" t="str">
            <v>22|31</v>
          </cell>
        </row>
        <row r="1426">
          <cell r="E1426" t="str">
            <v>7. SECURITY / PACS / CCTV</v>
          </cell>
          <cell r="G1426" t="str">
            <v>Room</v>
          </cell>
          <cell r="H1426" t="str">
            <v>PACS</v>
          </cell>
          <cell r="I1426" t="str">
            <v>Card Reader</v>
          </cell>
          <cell r="J1426" t="str">
            <v>Door Position</v>
          </cell>
          <cell r="K1426" t="str">
            <v>Electric Strike</v>
          </cell>
          <cell r="L1426" t="str">
            <v>CCTV</v>
          </cell>
          <cell r="O1426" t="str">
            <v>Overall</v>
          </cell>
          <cell r="P1426" t="str">
            <v>Notes</v>
          </cell>
          <cell r="Q1426" t="str">
            <v>22|32</v>
          </cell>
        </row>
        <row r="1427">
          <cell r="E1427" t="str">
            <v>7. SECURITY / PACS / CCTV</v>
          </cell>
          <cell r="G1427" t="str">
            <v>102</v>
          </cell>
          <cell r="H1427" t="str">
            <v>N/A / Verify</v>
          </cell>
          <cell r="I1427" t="str">
            <v>N/A / Verify</v>
          </cell>
          <cell r="J1427" t="str">
            <v>N/A / Verify</v>
          </cell>
          <cell r="K1427" t="str">
            <v>N/A / Verify</v>
          </cell>
          <cell r="L1427" t="str">
            <v>Verify Existing</v>
          </cell>
          <cell r="O1427" t="str">
            <v>Verify</v>
          </cell>
          <cell r="P1427" t="str">
            <v>Building 22 does not appear to create a new full TR door/PACS package. Verify any existing cameras/security devices in Break Room 102 and ensure no camera angle or VMS integration is disrupted.</v>
          </cell>
          <cell r="Q1427" t="str">
            <v>22|33</v>
          </cell>
        </row>
        <row r="1428">
          <cell r="E1428" t="str">
            <v>7. SECURITY / PACS / CCTV</v>
          </cell>
          <cell r="G1428" t="str">
            <v>103</v>
          </cell>
          <cell r="H1428" t="str">
            <v>N/A / Verify</v>
          </cell>
          <cell r="I1428" t="str">
            <v>N/A / Verify</v>
          </cell>
          <cell r="J1428" t="str">
            <v>N/A / Verify</v>
          </cell>
          <cell r="K1428" t="str">
            <v>N/A / Verify</v>
          </cell>
          <cell r="L1428" t="str">
            <v>Verify Existing</v>
          </cell>
          <cell r="O1428" t="str">
            <v>Verify</v>
          </cell>
          <cell r="P1428" t="str">
            <v>Verify security/access conditions and whether any legacy security equipment is present at existing TE location.</v>
          </cell>
          <cell r="Q1428" t="str">
            <v>22|34</v>
          </cell>
        </row>
        <row r="1429">
          <cell r="E1429" t="str">
            <v>7. SECURITY / PACS / CCTV</v>
          </cell>
          <cell r="G1429">
            <v>0</v>
          </cell>
          <cell r="H1429">
            <v>0</v>
          </cell>
          <cell r="I1429">
            <v>0</v>
          </cell>
          <cell r="J1429">
            <v>0</v>
          </cell>
          <cell r="K1429">
            <v>0</v>
          </cell>
          <cell r="L1429">
            <v>0</v>
          </cell>
          <cell r="O1429">
            <v>0</v>
          </cell>
          <cell r="P1429">
            <v>0</v>
          </cell>
          <cell r="Q1429" t="str">
            <v>22|35</v>
          </cell>
        </row>
        <row r="1430">
          <cell r="E1430" t="str">
            <v>8. OWNER RISKS</v>
          </cell>
          <cell r="G1430" t="str">
            <v>8. OWNER RISKS</v>
          </cell>
          <cell r="H1430">
            <v>0</v>
          </cell>
          <cell r="I1430">
            <v>0</v>
          </cell>
          <cell r="J1430">
            <v>0</v>
          </cell>
          <cell r="K1430">
            <v>0</v>
          </cell>
          <cell r="L1430">
            <v>0</v>
          </cell>
          <cell r="O1430">
            <v>0</v>
          </cell>
          <cell r="P1430">
            <v>0</v>
          </cell>
          <cell r="Q1430" t="str">
            <v>22|36</v>
          </cell>
        </row>
        <row r="1431">
          <cell r="E1431" t="str">
            <v>8. OWNER RISKS</v>
          </cell>
          <cell r="G1431" t="str">
            <v>Risk ID</v>
          </cell>
          <cell r="H1431" t="str">
            <v>Room</v>
          </cell>
          <cell r="I1431" t="str">
            <v>Risk</v>
          </cell>
          <cell r="J1431" t="str">
            <v>Impact</v>
          </cell>
          <cell r="K1431" t="str">
            <v>Probability</v>
          </cell>
          <cell r="L1431" t="str">
            <v>Score</v>
          </cell>
          <cell r="O1431" t="str">
            <v>Status</v>
          </cell>
          <cell r="P1431" t="str">
            <v>Notes</v>
          </cell>
          <cell r="Q1431" t="str">
            <v>22|37</v>
          </cell>
        </row>
        <row r="1432">
          <cell r="E1432" t="str">
            <v>8. OWNER RISKS</v>
          </cell>
          <cell r="G1432" t="str">
            <v>B22-R1</v>
          </cell>
          <cell r="H1432" t="str">
            <v>All</v>
          </cell>
          <cell r="I1432" t="str">
            <v>Existing conditions for new Break Room 102 TE and existing Room 103 TE not field verified</v>
          </cell>
          <cell r="J1432" t="str">
            <v>High</v>
          </cell>
          <cell r="K1432" t="str">
            <v>Medium</v>
          </cell>
          <cell r="L1432">
            <v>6</v>
          </cell>
          <cell r="O1432" t="str">
            <v>Open</v>
          </cell>
          <cell r="P1432" t="str">
            <v>B22 has a compact TE scope but still depends on field conditions and existing equipment transfer.</v>
          </cell>
          <cell r="Q1432" t="str">
            <v>22|38</v>
          </cell>
        </row>
        <row r="1433">
          <cell r="E1433" t="str">
            <v>8. OWNER RISKS</v>
          </cell>
          <cell r="G1433" t="str">
            <v>B22-R2</v>
          </cell>
          <cell r="H1433" t="str">
            <v>102/103</v>
          </cell>
          <cell r="I1433" t="str">
            <v>Existing equipment in 103 may remain active during transfer to new TE in 102</v>
          </cell>
          <cell r="J1433" t="str">
            <v>Critical</v>
          </cell>
          <cell r="K1433" t="str">
            <v>Medium</v>
          </cell>
          <cell r="L1433">
            <v>8</v>
          </cell>
          <cell r="O1433" t="str">
            <v>Open</v>
          </cell>
          <cell r="P1433" t="str">
            <v>22T-101 keynotes require transfer of existing devices and phasing plan.</v>
          </cell>
          <cell r="Q1433" t="str">
            <v>22|39</v>
          </cell>
        </row>
        <row r="1434">
          <cell r="E1434" t="str">
            <v>8. OWNER RISKS</v>
          </cell>
          <cell r="G1434" t="str">
            <v>B22-R3</v>
          </cell>
          <cell r="H1434" t="str">
            <v>102</v>
          </cell>
          <cell r="I1434" t="str">
            <v>Break Room 102 use may conflict with wall-mount TE access and clearances</v>
          </cell>
          <cell r="J1434" t="str">
            <v>Medium</v>
          </cell>
          <cell r="K1434" t="str">
            <v>Medium</v>
          </cell>
          <cell r="L1434">
            <v>4</v>
          </cell>
          <cell r="O1434" t="str">
            <v>Open</v>
          </cell>
          <cell r="P1434" t="str">
            <v>New TE is in Break Room 102 rather than a dedicated TR.</v>
          </cell>
          <cell r="Q1434" t="str">
            <v>22|40</v>
          </cell>
        </row>
        <row r="1435">
          <cell r="E1435" t="str">
            <v>8. OWNER RISKS</v>
          </cell>
          <cell r="G1435" t="str">
            <v>B22-R4</v>
          </cell>
          <cell r="H1435" t="str">
            <v>102</v>
          </cell>
          <cell r="I1435" t="str">
            <v>No mechanical scope, but TE/UPS/network equipment may add heat load to Break Room 102</v>
          </cell>
          <cell r="J1435" t="str">
            <v>High</v>
          </cell>
          <cell r="K1435" t="str">
            <v>Medium</v>
          </cell>
          <cell r="L1435">
            <v>6</v>
          </cell>
          <cell r="O1435" t="str">
            <v>Open</v>
          </cell>
          <cell r="P1435" t="str">
            <v>Cover excludes mechanical/fire protection; existing HVAC may be relied on.</v>
          </cell>
          <cell r="Q1435" t="str">
            <v>22|41</v>
          </cell>
        </row>
        <row r="1436">
          <cell r="E1436" t="str">
            <v>8. OWNER RISKS</v>
          </cell>
          <cell r="G1436" t="str">
            <v>B22-R5</v>
          </cell>
          <cell r="H1436" t="str">
            <v>102</v>
          </cell>
          <cell r="I1436" t="str">
            <v>UPS/PDU/receptacle source and grounding/bonding not verified</v>
          </cell>
          <cell r="J1436" t="str">
            <v>High</v>
          </cell>
          <cell r="K1436" t="str">
            <v>Medium</v>
          </cell>
          <cell r="L1436">
            <v>6</v>
          </cell>
          <cell r="O1436" t="str">
            <v>Open</v>
          </cell>
          <cell r="P1436" t="str">
            <v>New TE enclosure includes APC UPS and two PDUs.</v>
          </cell>
          <cell r="Q1436" t="str">
            <v>22|42</v>
          </cell>
        </row>
        <row r="1437">
          <cell r="E1437" t="str">
            <v>8. OWNER RISKS</v>
          </cell>
          <cell r="G1437" t="str">
            <v>B22-R6</v>
          </cell>
          <cell r="H1437" t="str">
            <v>All</v>
          </cell>
          <cell r="I1437" t="str">
            <v>139 feet of cable tray/pathway requires coordination despite small port count</v>
          </cell>
          <cell r="J1437" t="str">
            <v>High</v>
          </cell>
          <cell r="K1437" t="str">
            <v>Medium</v>
          </cell>
          <cell r="L1437">
            <v>6</v>
          </cell>
          <cell r="O1437" t="str">
            <v>Open</v>
          </cell>
          <cell r="P1437" t="str">
            <v>22T-701 cable tray schedule lists first floor estimated length of 139 ft.</v>
          </cell>
          <cell r="Q1437" t="str">
            <v>22|43</v>
          </cell>
        </row>
        <row r="1438">
          <cell r="E1438" t="str">
            <v>8. OWNER RISKS</v>
          </cell>
          <cell r="G1438" t="str">
            <v>B22-R7</v>
          </cell>
          <cell r="H1438" t="str">
            <v>All</v>
          </cell>
          <cell r="I1438" t="str">
            <v>Firestopping/rated sleeve work could be missed because FP scope is excluded</v>
          </cell>
          <cell r="J1438" t="str">
            <v>High</v>
          </cell>
          <cell r="K1438" t="str">
            <v>Medium</v>
          </cell>
          <cell r="L1438">
            <v>6</v>
          </cell>
          <cell r="O1438" t="str">
            <v>Open</v>
          </cell>
          <cell r="P1438" t="str">
            <v>22T-101 requires fire caulk at sleeves and rated penetration protection.</v>
          </cell>
          <cell r="Q1438" t="str">
            <v>22|44</v>
          </cell>
        </row>
        <row r="1439">
          <cell r="E1439" t="str">
            <v>8. OWNER RISKS</v>
          </cell>
          <cell r="G1439" t="str">
            <v>B22-R8</v>
          </cell>
          <cell r="H1439" t="str">
            <v>103 / B19</v>
          </cell>
          <cell r="I1439" t="str">
            <v>Existing SERTEX utility service and B19 port relationship may create cutover dependency</v>
          </cell>
          <cell r="J1439" t="str">
            <v>High</v>
          </cell>
          <cell r="K1439" t="str">
            <v>Medium</v>
          </cell>
          <cell r="L1439">
            <v>6</v>
          </cell>
          <cell r="O1439" t="str">
            <v>Open</v>
          </cell>
          <cell r="P1439" t="str">
            <v>Existing Room 103 elevation identifies ports to Building 19.</v>
          </cell>
          <cell r="Q1439" t="str">
            <v>22|45</v>
          </cell>
        </row>
        <row r="1440">
          <cell r="E1440" t="str">
            <v>8. OWNER RISKS</v>
          </cell>
          <cell r="G1440">
            <v>0</v>
          </cell>
          <cell r="H1440">
            <v>0</v>
          </cell>
          <cell r="I1440">
            <v>0</v>
          </cell>
          <cell r="J1440">
            <v>0</v>
          </cell>
          <cell r="K1440">
            <v>0</v>
          </cell>
          <cell r="L1440">
            <v>0</v>
          </cell>
          <cell r="O1440">
            <v>0</v>
          </cell>
          <cell r="P1440">
            <v>0</v>
          </cell>
          <cell r="Q1440" t="str">
            <v>22|46</v>
          </cell>
        </row>
        <row r="1441">
          <cell r="E1441" t="str">
            <v>9. OPEN QUESTIONS</v>
          </cell>
          <cell r="G1441" t="str">
            <v>9. OPEN QUESTIONS</v>
          </cell>
          <cell r="H1441">
            <v>0</v>
          </cell>
          <cell r="I1441">
            <v>0</v>
          </cell>
          <cell r="J1441">
            <v>0</v>
          </cell>
          <cell r="K1441">
            <v>0</v>
          </cell>
          <cell r="L1441">
            <v>0</v>
          </cell>
          <cell r="O1441">
            <v>0</v>
          </cell>
          <cell r="P1441">
            <v>0</v>
          </cell>
          <cell r="Q1441" t="str">
            <v>22|47</v>
          </cell>
        </row>
        <row r="1442">
          <cell r="E1442" t="str">
            <v>9. OPEN QUESTIONS</v>
          </cell>
          <cell r="G1442" t="str">
            <v>Question ID</v>
          </cell>
          <cell r="H1442" t="str">
            <v>Question</v>
          </cell>
          <cell r="I1442" t="str">
            <v>Assigned To</v>
          </cell>
          <cell r="J1442" t="str">
            <v>Status</v>
          </cell>
          <cell r="K1442" t="str">
            <v>Needed By</v>
          </cell>
          <cell r="L1442" t="str">
            <v>Answer / Resolution</v>
          </cell>
          <cell r="O1442" t="str">
            <v>Date Closed</v>
          </cell>
          <cell r="P1442" t="str">
            <v>Notes</v>
          </cell>
          <cell r="Q1442" t="str">
            <v>22|48</v>
          </cell>
        </row>
        <row r="1443">
          <cell r="E1443" t="str">
            <v>9. OPEN QUESTIONS</v>
          </cell>
          <cell r="G1443" t="str">
            <v>B22-Q1</v>
          </cell>
          <cell r="H1443" t="str">
            <v>Confirm final scope: new wall-mount TE enclosure in Break Room 102 and existing Room 103 transition only?</v>
          </cell>
          <cell r="I1443" t="str">
            <v>VA / OIT / Designer</v>
          </cell>
          <cell r="J1443" t="str">
            <v>Open</v>
          </cell>
          <cell r="K1443">
            <v>0</v>
          </cell>
          <cell r="L1443">
            <v>0</v>
          </cell>
          <cell r="O1443">
            <v>0</v>
          </cell>
          <cell r="P1443">
            <v>0</v>
          </cell>
          <cell r="Q1443" t="str">
            <v>22|49</v>
          </cell>
        </row>
        <row r="1444">
          <cell r="E1444" t="str">
            <v>9. OPEN QUESTIONS</v>
          </cell>
          <cell r="G1444" t="str">
            <v>B22-Q2</v>
          </cell>
          <cell r="H1444" t="str">
            <v>What active services are currently fed from existing Room 103 equipment?</v>
          </cell>
          <cell r="I1444" t="str">
            <v>OIT / Contractor</v>
          </cell>
          <cell r="J1444" t="str">
            <v>Open</v>
          </cell>
          <cell r="K1444">
            <v>0</v>
          </cell>
          <cell r="L1444">
            <v>0</v>
          </cell>
          <cell r="O1444">
            <v>0</v>
          </cell>
          <cell r="P1444">
            <v>0</v>
          </cell>
          <cell r="Q1444" t="str">
            <v>22|50</v>
          </cell>
        </row>
        <row r="1445">
          <cell r="E1445" t="str">
            <v>9. OPEN QUESTIONS</v>
          </cell>
          <cell r="G1445" t="str">
            <v>B22-Q3</v>
          </cell>
          <cell r="H1445" t="str">
            <v>What is the approved power source, receptacle type and circuit capacity for the new APC UPS/PDU in Room 102?</v>
          </cell>
          <cell r="I1445" t="str">
            <v>Electrical / Designer</v>
          </cell>
          <cell r="J1445" t="str">
            <v>Open</v>
          </cell>
          <cell r="K1445">
            <v>0</v>
          </cell>
          <cell r="L1445">
            <v>0</v>
          </cell>
          <cell r="O1445">
            <v>0</v>
          </cell>
          <cell r="P1445">
            <v>0</v>
          </cell>
          <cell r="Q1445" t="str">
            <v>22|51</v>
          </cell>
        </row>
        <row r="1446">
          <cell r="E1446" t="str">
            <v>9. OPEN QUESTIONS</v>
          </cell>
          <cell r="G1446" t="str">
            <v>B22-Q4</v>
          </cell>
          <cell r="H1446" t="str">
            <v>Is Break Room 102 HVAC/ambient condition acceptable for a wall-mount TE with UPS/PDU/network switch?</v>
          </cell>
          <cell r="I1446" t="str">
            <v>VA / OIT / Facilities</v>
          </cell>
          <cell r="J1446" t="str">
            <v>Open</v>
          </cell>
          <cell r="K1446">
            <v>0</v>
          </cell>
          <cell r="L1446">
            <v>0</v>
          </cell>
          <cell r="O1446">
            <v>0</v>
          </cell>
          <cell r="P1446">
            <v>0</v>
          </cell>
          <cell r="Q1446" t="str">
            <v>22|52</v>
          </cell>
        </row>
        <row r="1447">
          <cell r="E1447" t="str">
            <v>9. OPEN QUESTIONS</v>
          </cell>
          <cell r="G1447" t="str">
            <v>B22-Q5</v>
          </cell>
          <cell r="H1447" t="str">
            <v>Are existing cameras/security devices in Building 22 protected and retained with no VMS/PACS changes?</v>
          </cell>
          <cell r="I1447" t="str">
            <v>Security / OIT</v>
          </cell>
          <cell r="J1447" t="str">
            <v>Open</v>
          </cell>
          <cell r="K1447">
            <v>0</v>
          </cell>
          <cell r="L1447">
            <v>0</v>
          </cell>
          <cell r="O1447">
            <v>0</v>
          </cell>
          <cell r="P1447">
            <v>0</v>
          </cell>
          <cell r="Q1447" t="str">
            <v>22|53</v>
          </cell>
        </row>
        <row r="1448">
          <cell r="E1448" t="str">
            <v>9. OPEN QUESTIONS</v>
          </cell>
          <cell r="G1448" t="str">
            <v>B22-Q6</v>
          </cell>
          <cell r="H1448" t="str">
            <v>Are all 139 feet of cable tray route, sleeves, supports and firestopping details field verified?</v>
          </cell>
          <cell r="I1448" t="str">
            <v>Telecom / GC / Firestop</v>
          </cell>
          <cell r="J1448" t="str">
            <v>Open</v>
          </cell>
          <cell r="K1448">
            <v>0</v>
          </cell>
          <cell r="L1448">
            <v>0</v>
          </cell>
          <cell r="O1448">
            <v>0</v>
          </cell>
          <cell r="P1448">
            <v>0</v>
          </cell>
          <cell r="Q1448" t="str">
            <v>22|54</v>
          </cell>
        </row>
        <row r="1449">
          <cell r="E1449" t="str">
            <v>9. OPEN QUESTIONS</v>
          </cell>
          <cell r="G1449" t="str">
            <v>B22-Q7</v>
          </cell>
          <cell r="H1449" t="str">
            <v>Are the 10 new Cat6A cross-connect cables from existing TE to new TE location coordinated and labeled?</v>
          </cell>
          <cell r="I1449" t="str">
            <v>Telecom / OIT</v>
          </cell>
          <cell r="J1449" t="str">
            <v>Open</v>
          </cell>
          <cell r="K1449">
            <v>0</v>
          </cell>
          <cell r="L1449">
            <v>0</v>
          </cell>
          <cell r="O1449">
            <v>0</v>
          </cell>
          <cell r="P1449">
            <v>0</v>
          </cell>
          <cell r="Q1449" t="str">
            <v>22|55</v>
          </cell>
        </row>
        <row r="1450">
          <cell r="E1450" t="str">
            <v>9. OPEN QUESTIONS</v>
          </cell>
          <cell r="G1450" t="str">
            <v>B22-Q8</v>
          </cell>
          <cell r="H1450" t="str">
            <v>What is the operational impact of Room 103 ports 1-24 to Building 19 ports 73-96?</v>
          </cell>
          <cell r="I1450" t="str">
            <v>VA / OIT / Designer</v>
          </cell>
          <cell r="J1450" t="str">
            <v>Open</v>
          </cell>
          <cell r="K1450">
            <v>0</v>
          </cell>
          <cell r="L1450">
            <v>0</v>
          </cell>
          <cell r="O1450">
            <v>0</v>
          </cell>
          <cell r="P1450">
            <v>0</v>
          </cell>
          <cell r="Q1450" t="str">
            <v>22|56</v>
          </cell>
        </row>
        <row r="1451">
          <cell r="E1451" t="str">
            <v>9. OPEN QUESTIONS</v>
          </cell>
          <cell r="G1451">
            <v>0</v>
          </cell>
          <cell r="H1451">
            <v>0</v>
          </cell>
          <cell r="I1451">
            <v>0</v>
          </cell>
          <cell r="J1451">
            <v>0</v>
          </cell>
          <cell r="K1451">
            <v>0</v>
          </cell>
          <cell r="L1451">
            <v>0</v>
          </cell>
          <cell r="O1451">
            <v>0</v>
          </cell>
          <cell r="P1451">
            <v>0</v>
          </cell>
          <cell r="Q1451" t="str">
            <v>22|57</v>
          </cell>
        </row>
        <row r="1452">
          <cell r="E1452" t="str">
            <v>10. PHOTO LOG</v>
          </cell>
          <cell r="G1452" t="str">
            <v>10. PHOTO LOG</v>
          </cell>
          <cell r="H1452">
            <v>0</v>
          </cell>
          <cell r="I1452">
            <v>0</v>
          </cell>
          <cell r="J1452">
            <v>0</v>
          </cell>
          <cell r="K1452">
            <v>0</v>
          </cell>
          <cell r="L1452">
            <v>0</v>
          </cell>
          <cell r="O1452">
            <v>0</v>
          </cell>
          <cell r="P1452">
            <v>0</v>
          </cell>
          <cell r="Q1452" t="str">
            <v>22|58</v>
          </cell>
        </row>
        <row r="1453">
          <cell r="E1453" t="str">
            <v>10. PHOTO LOG</v>
          </cell>
          <cell r="G1453" t="str">
            <v>Photo ID</v>
          </cell>
          <cell r="H1453" t="str">
            <v>Room</v>
          </cell>
          <cell r="I1453" t="str">
            <v>Category</v>
          </cell>
          <cell r="J1453" t="str">
            <v>Description</v>
          </cell>
          <cell r="K1453" t="str">
            <v>Date</v>
          </cell>
          <cell r="L1453" t="str">
            <v>Taken By</v>
          </cell>
          <cell r="O1453" t="str">
            <v>Status</v>
          </cell>
          <cell r="P1453" t="str">
            <v>Notes</v>
          </cell>
          <cell r="Q1453" t="str">
            <v>22|59</v>
          </cell>
        </row>
        <row r="1454">
          <cell r="E1454" t="str">
            <v>10. PHOTO LOG</v>
          </cell>
          <cell r="G1454" t="str">
            <v>B22-P001</v>
          </cell>
          <cell r="H1454" t="str">
            <v>102</v>
          </cell>
          <cell r="I1454" t="str">
            <v>Existing Condition</v>
          </cell>
          <cell r="J1454" t="str">
            <v>Break Room 102 wall location, wall backing, clearances, ceiling, power source, cable path, fiber path A/B and new TE enclosure location</v>
          </cell>
          <cell r="K1454">
            <v>0</v>
          </cell>
          <cell r="L1454" t="str">
            <v>Paul</v>
          </cell>
          <cell r="O1454" t="str">
            <v>Open</v>
          </cell>
          <cell r="P1454">
            <v>0</v>
          </cell>
          <cell r="Q1454" t="str">
            <v>22|60</v>
          </cell>
        </row>
        <row r="1455">
          <cell r="E1455" t="str">
            <v>10. PHOTO LOG</v>
          </cell>
          <cell r="G1455" t="str">
            <v>B22-P002</v>
          </cell>
          <cell r="H1455" t="str">
            <v>103</v>
          </cell>
          <cell r="I1455" t="str">
            <v>Existing Condition</v>
          </cell>
          <cell r="J1455" t="str">
            <v>Existing Room 103 wall/wall-mount TE, APC UPS, Cisco switch, SERTEX utility service, legacy patch panel, Fiber LIU and cable entries</v>
          </cell>
          <cell r="K1455">
            <v>0</v>
          </cell>
          <cell r="L1455" t="str">
            <v>Paul</v>
          </cell>
          <cell r="O1455" t="str">
            <v>Open</v>
          </cell>
          <cell r="P1455">
            <v>0</v>
          </cell>
          <cell r="Q1455" t="str">
            <v>22|61</v>
          </cell>
        </row>
        <row r="1456">
          <cell r="E1456" t="str">
            <v>10. PHOTO LOG</v>
          </cell>
          <cell r="G1456" t="str">
            <v>B22-P003</v>
          </cell>
          <cell r="H1456" t="str">
            <v>103 / B19</v>
          </cell>
          <cell r="I1456" t="str">
            <v>Existing Equipment</v>
          </cell>
          <cell r="J1456" t="str">
            <v>Ports 1-24 to Building 19 ports 73-96, active service labeling, utility service and handoff condition</v>
          </cell>
          <cell r="K1456">
            <v>0</v>
          </cell>
          <cell r="L1456" t="str">
            <v>Paul</v>
          </cell>
          <cell r="O1456" t="str">
            <v>Open</v>
          </cell>
          <cell r="P1456">
            <v>0</v>
          </cell>
          <cell r="Q1456" t="str">
            <v>22|62</v>
          </cell>
        </row>
        <row r="1457">
          <cell r="E1457" t="str">
            <v>10. PHOTO LOG</v>
          </cell>
          <cell r="G1457" t="str">
            <v>B22-P004</v>
          </cell>
          <cell r="H1457" t="str">
            <v>102/103</v>
          </cell>
          <cell r="I1457" t="str">
            <v>Pathway</v>
          </cell>
          <cell r="J1457" t="str">
            <v>139 ft first-floor cable tray route, sleeves, wall penetrations, support points, light/HVAC conflicts and 40% fill concerns</v>
          </cell>
          <cell r="K1457">
            <v>0</v>
          </cell>
          <cell r="L1457" t="str">
            <v>Paul</v>
          </cell>
          <cell r="O1457" t="str">
            <v>Open</v>
          </cell>
          <cell r="P1457">
            <v>0</v>
          </cell>
          <cell r="Q1457" t="str">
            <v>22|63</v>
          </cell>
        </row>
        <row r="1458">
          <cell r="E1458" t="str">
            <v>10. PHOTO LOG</v>
          </cell>
          <cell r="G1458" t="str">
            <v>B22-P005</v>
          </cell>
          <cell r="H1458" t="str">
            <v>102</v>
          </cell>
          <cell r="I1458" t="str">
            <v>Electrical</v>
          </cell>
          <cell r="J1458" t="str">
            <v>New TE enclosure UPS/PDU receptacles, circuit source, grounding/bonding, labels and access</v>
          </cell>
          <cell r="K1458">
            <v>0</v>
          </cell>
          <cell r="L1458" t="str">
            <v>Paul</v>
          </cell>
          <cell r="O1458" t="str">
            <v>Open</v>
          </cell>
          <cell r="P1458">
            <v>0</v>
          </cell>
          <cell r="Q1458" t="str">
            <v>22|64</v>
          </cell>
        </row>
        <row r="1459">
          <cell r="E1459" t="str">
            <v>10. PHOTO LOG</v>
          </cell>
          <cell r="G1459" t="str">
            <v>B22-P006</v>
          </cell>
          <cell r="H1459" t="str">
            <v>102/103</v>
          </cell>
          <cell r="I1459" t="str">
            <v>Telecom</v>
          </cell>
          <cell r="J1459" t="str">
            <v>TR01-102-1 enclosure, cross-connect cables, Fiber LIU, patch panels, labels, test results and existing equipment transfer</v>
          </cell>
          <cell r="K1459">
            <v>0</v>
          </cell>
          <cell r="L1459" t="str">
            <v>Paul</v>
          </cell>
          <cell r="O1459" t="str">
            <v>Open</v>
          </cell>
          <cell r="P1459">
            <v>0</v>
          </cell>
          <cell r="Q1459" t="str">
            <v>22|65</v>
          </cell>
        </row>
        <row r="1460">
          <cell r="E1460" t="str">
            <v>10. PHOTO LOG</v>
          </cell>
          <cell r="G1460" t="str">
            <v>B22-P007</v>
          </cell>
          <cell r="H1460" t="str">
            <v>All</v>
          </cell>
          <cell r="I1460" t="str">
            <v>Firestop</v>
          </cell>
          <cell r="J1460" t="str">
            <v>4-inch speed sleeve, wall/floor penetrations and fire caulk before/after photos</v>
          </cell>
          <cell r="K1460">
            <v>0</v>
          </cell>
          <cell r="L1460" t="str">
            <v>Paul</v>
          </cell>
          <cell r="O1460" t="str">
            <v>Open</v>
          </cell>
          <cell r="P1460">
            <v>0</v>
          </cell>
          <cell r="Q1460" t="str">
            <v>22|66</v>
          </cell>
        </row>
        <row r="1461">
          <cell r="E1461" t="str">
            <v>10. PHOTO LOG</v>
          </cell>
          <cell r="G1461" t="str">
            <v>B22-P008</v>
          </cell>
          <cell r="H1461" t="str">
            <v>All</v>
          </cell>
          <cell r="I1461" t="str">
            <v>Security / Existing Devices</v>
          </cell>
          <cell r="J1461" t="str">
            <v>Existing cameras/security devices to remain, protection-in-place and final operating condition</v>
          </cell>
          <cell r="K1461">
            <v>0</v>
          </cell>
          <cell r="L1461" t="str">
            <v>Paul</v>
          </cell>
          <cell r="O1461" t="str">
            <v>Open</v>
          </cell>
          <cell r="P1461">
            <v>0</v>
          </cell>
          <cell r="Q1461" t="str">
            <v>22|67</v>
          </cell>
        </row>
        <row r="1462">
          <cell r="E1462" t="str">
            <v>10. PHOTO LOG</v>
          </cell>
          <cell r="G1462">
            <v>0</v>
          </cell>
          <cell r="H1462">
            <v>0</v>
          </cell>
          <cell r="I1462">
            <v>0</v>
          </cell>
          <cell r="J1462">
            <v>0</v>
          </cell>
          <cell r="K1462">
            <v>0</v>
          </cell>
          <cell r="L1462">
            <v>0</v>
          </cell>
          <cell r="O1462">
            <v>0</v>
          </cell>
          <cell r="P1462">
            <v>0</v>
          </cell>
          <cell r="Q1462" t="str">
            <v>22|68</v>
          </cell>
        </row>
        <row r="1463">
          <cell r="E1463" t="str">
            <v>1. ROOM INVENTORY</v>
          </cell>
          <cell r="G1463" t="str">
            <v>1. ROOM INVENTORY</v>
          </cell>
          <cell r="H1463">
            <v>0</v>
          </cell>
          <cell r="I1463">
            <v>0</v>
          </cell>
          <cell r="J1463">
            <v>0</v>
          </cell>
          <cell r="K1463">
            <v>0</v>
          </cell>
          <cell r="L1463">
            <v>0</v>
          </cell>
          <cell r="O1463">
            <v>0</v>
          </cell>
          <cell r="P1463">
            <v>0</v>
          </cell>
          <cell r="Q1463" t="str">
            <v>33|1</v>
          </cell>
        </row>
        <row r="1464">
          <cell r="E1464" t="str">
            <v>1. ROOM INVENTORY</v>
          </cell>
          <cell r="G1464" t="str">
            <v>Building</v>
          </cell>
          <cell r="H1464" t="str">
            <v>Room</v>
          </cell>
          <cell r="I1464" t="str">
            <v>Floor</v>
          </cell>
          <cell r="J1464" t="str">
            <v>Existing Use</v>
          </cell>
          <cell r="K1464" t="str">
            <v>New Use</v>
          </cell>
          <cell r="L1464" t="str">
            <v>Rack Count</v>
          </cell>
          <cell r="O1464" t="str">
            <v>Drawing Ref</v>
          </cell>
          <cell r="P1464" t="str">
            <v>Notes</v>
          </cell>
          <cell r="Q1464" t="str">
            <v>33|2</v>
          </cell>
        </row>
        <row r="1465">
          <cell r="E1465" t="str">
            <v>1. ROOM INVENTORY</v>
          </cell>
          <cell r="G1465" t="str">
            <v>33</v>
          </cell>
          <cell r="H1465" t="str">
            <v>B23</v>
          </cell>
          <cell r="I1465" t="str">
            <v>Basement</v>
          </cell>
          <cell r="J1465" t="str">
            <v>EEO Manager Office / new TE location</v>
          </cell>
          <cell r="K1465" t="str">
            <v>Telecom Enclosure</v>
          </cell>
          <cell r="L1465">
            <v>1</v>
          </cell>
          <cell r="O1465" t="str">
            <v>33T-100 / 33T-604 / 33T-701 / 33E-100 / 33E-701</v>
          </cell>
          <cell r="P1465" t="str">
            <v>Primary Building 33 TE. Plans identify EEO Manager Office B23 at 175 SF with new 12RU telecom enclosure Rack ID TE01-B23-1, APC UPS, two PDUs, network switch, 48-port Cat6A patch panel, Fiber LIU, 55 WAO total, and 97 total ports with 10% allowance.</v>
          </cell>
          <cell r="Q1465" t="str">
            <v>33|3</v>
          </cell>
        </row>
        <row r="1466">
          <cell r="E1466" t="str">
            <v>1. ROOM INVENTORY</v>
          </cell>
          <cell r="G1466" t="str">
            <v>33</v>
          </cell>
          <cell r="H1466" t="str">
            <v>B17</v>
          </cell>
          <cell r="I1466" t="str">
            <v>Basement / First photo reference</v>
          </cell>
          <cell r="J1466" t="str">
            <v>Existing Tel Closet / open TE cabinet and legacy equipment</v>
          </cell>
          <cell r="K1466" t="str">
            <v>Existing telecom transition point</v>
          </cell>
          <cell r="L1466">
            <v>2</v>
          </cell>
          <cell r="O1466" t="str">
            <v>33T-100 / 33T-604 / 33R-900</v>
          </cell>
          <cell r="P1466" t="str">
            <v>Existing Tel Closet B17 shown at 13 SF with existing open TE cabinet, network door controller, indoor AC unit, plywood backboard, keypad, patch panel, ground bar, equipment box, Cisco switches, legacy patch panels, Fiber LIU, SERTEX utility service, and UPS on floor. Protect active services and verify transfer to Room B23 TE.</v>
          </cell>
          <cell r="Q1466" t="str">
            <v>33|4</v>
          </cell>
        </row>
        <row r="1467">
          <cell r="E1467" t="str">
            <v>1. ROOM INVENTORY</v>
          </cell>
          <cell r="G1467">
            <v>0</v>
          </cell>
          <cell r="H1467">
            <v>0</v>
          </cell>
          <cell r="I1467">
            <v>0</v>
          </cell>
          <cell r="J1467">
            <v>0</v>
          </cell>
          <cell r="K1467">
            <v>0</v>
          </cell>
          <cell r="L1467">
            <v>0</v>
          </cell>
          <cell r="O1467">
            <v>0</v>
          </cell>
          <cell r="P1467">
            <v>0</v>
          </cell>
          <cell r="Q1467" t="str">
            <v>33|5</v>
          </cell>
        </row>
        <row r="1468">
          <cell r="E1468" t="str">
            <v>2. ROOM READINESS</v>
          </cell>
          <cell r="G1468" t="str">
            <v>2. ROOM READINESS</v>
          </cell>
          <cell r="H1468">
            <v>0</v>
          </cell>
          <cell r="I1468">
            <v>0</v>
          </cell>
          <cell r="J1468">
            <v>0</v>
          </cell>
          <cell r="K1468">
            <v>0</v>
          </cell>
          <cell r="L1468">
            <v>0</v>
          </cell>
          <cell r="O1468">
            <v>0</v>
          </cell>
          <cell r="P1468">
            <v>0</v>
          </cell>
          <cell r="Q1468" t="str">
            <v>33|6</v>
          </cell>
        </row>
        <row r="1469">
          <cell r="E1469" t="str">
            <v>2. ROOM READINESS</v>
          </cell>
          <cell r="G1469" t="str">
            <v>Room</v>
          </cell>
          <cell r="H1469" t="str">
            <v>Walls / 1-hr Rating</v>
          </cell>
          <cell r="I1469" t="str">
            <v>Ceiling</v>
          </cell>
          <cell r="J1469" t="str">
            <v>Floor / SDC</v>
          </cell>
          <cell r="K1469" t="str">
            <v>Penetrations</v>
          </cell>
          <cell r="L1469" t="str">
            <v>Access Control</v>
          </cell>
          <cell r="O1469" t="str">
            <v>Overall</v>
          </cell>
          <cell r="P1469" t="str">
            <v>Comments</v>
          </cell>
          <cell r="Q1469" t="str">
            <v>33|7</v>
          </cell>
        </row>
        <row r="1470">
          <cell r="E1470" t="str">
            <v>2. ROOM READINESS</v>
          </cell>
          <cell r="G1470" t="str">
            <v>B23</v>
          </cell>
          <cell r="H1470" t="str">
            <v>Verify</v>
          </cell>
          <cell r="I1470" t="str">
            <v>Verify</v>
          </cell>
          <cell r="J1470" t="str">
            <v>N/A / Office</v>
          </cell>
          <cell r="K1470" t="str">
            <v>Verify</v>
          </cell>
          <cell r="L1470" t="str">
            <v>Verify Existing</v>
          </cell>
          <cell r="O1470" t="str">
            <v>Verify</v>
          </cell>
          <cell r="P1470" t="str">
            <v>New TE enclosure location in EEO Manager Office B23; verify wall backing, mounting height, access clearance, power, fiber/copper path, 4-inch speed sleeve, fire/smoke wall rating, and office-use impacts.</v>
          </cell>
          <cell r="Q1470" t="str">
            <v>33|8</v>
          </cell>
        </row>
        <row r="1471">
          <cell r="E1471" t="str">
            <v>2. ROOM READINESS</v>
          </cell>
          <cell r="G1471" t="str">
            <v>B17</v>
          </cell>
          <cell r="H1471" t="str">
            <v>Existing / Verify</v>
          </cell>
          <cell r="I1471" t="str">
            <v>Existing / Verify</v>
          </cell>
          <cell r="J1471" t="str">
            <v>Existing / Verify</v>
          </cell>
          <cell r="K1471" t="str">
            <v>Verify</v>
          </cell>
          <cell r="L1471" t="str">
            <v>Verify Existing</v>
          </cell>
          <cell r="O1471" t="str">
            <v>Verify</v>
          </cell>
          <cell r="P1471" t="str">
            <v>Existing Tel Closet; verify active equipment status, open TE cabinet, indoor AC, network door controller, keypad/security devices, UPS, backboard, Fiber LIU, and transition/abandonment scope.</v>
          </cell>
          <cell r="Q1471" t="str">
            <v>33|9</v>
          </cell>
        </row>
        <row r="1472">
          <cell r="E1472" t="str">
            <v>2. ROOM READINESS</v>
          </cell>
          <cell r="G1472">
            <v>0</v>
          </cell>
          <cell r="H1472">
            <v>0</v>
          </cell>
          <cell r="I1472">
            <v>0</v>
          </cell>
          <cell r="J1472">
            <v>0</v>
          </cell>
          <cell r="K1472">
            <v>0</v>
          </cell>
          <cell r="L1472">
            <v>0</v>
          </cell>
          <cell r="O1472">
            <v>0</v>
          </cell>
          <cell r="P1472">
            <v>0</v>
          </cell>
          <cell r="Q1472" t="str">
            <v>33|10</v>
          </cell>
        </row>
        <row r="1473">
          <cell r="E1473" t="str">
            <v>3. FIRE PROTECTION</v>
          </cell>
          <cell r="G1473" t="str">
            <v>3. FIRE PROTECTION</v>
          </cell>
          <cell r="H1473">
            <v>0</v>
          </cell>
          <cell r="I1473">
            <v>0</v>
          </cell>
          <cell r="J1473">
            <v>0</v>
          </cell>
          <cell r="K1473">
            <v>0</v>
          </cell>
          <cell r="L1473">
            <v>0</v>
          </cell>
          <cell r="O1473">
            <v>0</v>
          </cell>
          <cell r="P1473">
            <v>0</v>
          </cell>
          <cell r="Q1473" t="str">
            <v>33|11</v>
          </cell>
        </row>
        <row r="1474">
          <cell r="E1474" t="str">
            <v>3. FIRE PROTECTION</v>
          </cell>
          <cell r="G1474" t="str">
            <v>Room</v>
          </cell>
          <cell r="H1474" t="str">
            <v>Sprinkler</v>
          </cell>
          <cell r="I1474" t="str">
            <v>Cage</v>
          </cell>
          <cell r="J1474" t="str">
            <v>Detector</v>
          </cell>
          <cell r="K1474" t="str">
            <v>Horn/Strobe</v>
          </cell>
          <cell r="L1474" t="str">
            <v>Extinguisher &lt;75 ft</v>
          </cell>
          <cell r="O1474" t="str">
            <v>Overall</v>
          </cell>
          <cell r="P1474" t="str">
            <v>Risk / Notes</v>
          </cell>
          <cell r="Q1474" t="str">
            <v>33|12</v>
          </cell>
        </row>
        <row r="1475">
          <cell r="E1475" t="str">
            <v>3. FIRE PROTECTION</v>
          </cell>
          <cell r="G1475" t="str">
            <v>B23</v>
          </cell>
          <cell r="H1475" t="str">
            <v>Excluded / Verify</v>
          </cell>
          <cell r="I1475" t="str">
            <v>N/A</v>
          </cell>
          <cell r="J1475" t="str">
            <v>Verify Existing</v>
          </cell>
          <cell r="K1475" t="str">
            <v>Verify Existing</v>
          </cell>
          <cell r="L1475" t="str">
            <v>N/A / Verify</v>
          </cell>
          <cell r="O1475" t="str">
            <v>Verify</v>
          </cell>
          <cell r="P1475" t="str">
            <v>Cover sheet states Building 33 receives a Telecom Enclosure and mechanical/fire protection scope is excluded. Still verify firestopping of rated penetrations, 4-inch sleeve, wall/floor openings, and life-safety device impacts.</v>
          </cell>
          <cell r="Q1475" t="str">
            <v>33|13</v>
          </cell>
        </row>
        <row r="1476">
          <cell r="E1476" t="str">
            <v>3. FIRE PROTECTION</v>
          </cell>
          <cell r="G1476" t="str">
            <v>B17</v>
          </cell>
          <cell r="H1476" t="str">
            <v>Existing / Verify</v>
          </cell>
          <cell r="I1476" t="str">
            <v>N/A</v>
          </cell>
          <cell r="J1476" t="str">
            <v>Verify Existing</v>
          </cell>
          <cell r="K1476" t="str">
            <v>Verify Existing</v>
          </cell>
          <cell r="L1476" t="str">
            <v>N/A / Verify</v>
          </cell>
          <cell r="O1476" t="str">
            <v>Verify</v>
          </cell>
          <cell r="P1476" t="str">
            <v>Existing Tel Closet; verify protection-in-place and firestopping after cable transfer or reuse.</v>
          </cell>
          <cell r="Q1476" t="str">
            <v>33|14</v>
          </cell>
        </row>
        <row r="1477">
          <cell r="E1477" t="str">
            <v>3. FIRE PROTECTION</v>
          </cell>
          <cell r="G1477">
            <v>0</v>
          </cell>
          <cell r="H1477">
            <v>0</v>
          </cell>
          <cell r="I1477">
            <v>0</v>
          </cell>
          <cell r="J1477">
            <v>0</v>
          </cell>
          <cell r="K1477">
            <v>0</v>
          </cell>
          <cell r="L1477">
            <v>0</v>
          </cell>
          <cell r="O1477">
            <v>0</v>
          </cell>
          <cell r="P1477">
            <v>0</v>
          </cell>
          <cell r="Q1477" t="str">
            <v>33|15</v>
          </cell>
        </row>
        <row r="1478">
          <cell r="E1478" t="str">
            <v>4. HVAC / COOLING</v>
          </cell>
          <cell r="G1478" t="str">
            <v>4. HVAC / COOLING</v>
          </cell>
          <cell r="H1478">
            <v>0</v>
          </cell>
          <cell r="I1478">
            <v>0</v>
          </cell>
          <cell r="J1478">
            <v>0</v>
          </cell>
          <cell r="K1478">
            <v>0</v>
          </cell>
          <cell r="L1478">
            <v>0</v>
          </cell>
          <cell r="O1478">
            <v>0</v>
          </cell>
          <cell r="P1478">
            <v>0</v>
          </cell>
          <cell r="Q1478" t="str">
            <v>33|16</v>
          </cell>
        </row>
        <row r="1479">
          <cell r="E1479" t="str">
            <v>4. HVAC / COOLING</v>
          </cell>
          <cell r="G1479" t="str">
            <v>Room</v>
          </cell>
          <cell r="H1479" t="str">
            <v>Dedicated Unit</v>
          </cell>
          <cell r="I1479" t="str">
            <v>Capacity Verified</v>
          </cell>
          <cell r="J1479" t="str">
            <v>Emergency Power</v>
          </cell>
          <cell r="K1479" t="str">
            <v>Controls / BACnet</v>
          </cell>
          <cell r="L1479" t="str">
            <v>Condensate Routed</v>
          </cell>
          <cell r="O1479" t="str">
            <v>Overall</v>
          </cell>
          <cell r="P1479" t="str">
            <v>Risk / Notes</v>
          </cell>
          <cell r="Q1479" t="str">
            <v>33|17</v>
          </cell>
        </row>
        <row r="1480">
          <cell r="E1480" t="str">
            <v>4. HVAC / COOLING</v>
          </cell>
          <cell r="G1480" t="str">
            <v>B23</v>
          </cell>
          <cell r="H1480" t="str">
            <v>Excluded</v>
          </cell>
          <cell r="I1480" t="str">
            <v>N/A</v>
          </cell>
          <cell r="J1480" t="str">
            <v>N/A</v>
          </cell>
          <cell r="K1480" t="str">
            <v>N/A</v>
          </cell>
          <cell r="L1480" t="str">
            <v>N/A</v>
          </cell>
          <cell r="O1480" t="str">
            <v>N/A</v>
          </cell>
          <cell r="P1480" t="str">
            <v>Cover sheet states mechanical scope is excluded. Verify whether Office B23 ambient conditions are acceptable for wall-mount TE/UPS/PDU/network equipment.</v>
          </cell>
          <cell r="Q1480" t="str">
            <v>33|18</v>
          </cell>
        </row>
        <row r="1481">
          <cell r="E1481" t="str">
            <v>4. HVAC / COOLING</v>
          </cell>
          <cell r="G1481" t="str">
            <v>B17</v>
          </cell>
          <cell r="H1481" t="str">
            <v>Existing indoor AC unit</v>
          </cell>
          <cell r="I1481" t="str">
            <v>Verify</v>
          </cell>
          <cell r="J1481" t="str">
            <v>Verify</v>
          </cell>
          <cell r="K1481" t="str">
            <v>Verify</v>
          </cell>
          <cell r="L1481" t="str">
            <v>Verify</v>
          </cell>
          <cell r="O1481" t="str">
            <v>Verify</v>
          </cell>
          <cell r="P1481" t="str">
            <v>Existing B17 enlarged plan identifies an existing indoor AC unit. Verify operation during cutover and determine whether active legacy equipment remains after transfer to B23.</v>
          </cell>
          <cell r="Q1481" t="str">
            <v>33|19</v>
          </cell>
        </row>
        <row r="1482">
          <cell r="E1482" t="str">
            <v>4. HVAC / COOLING</v>
          </cell>
          <cell r="G1482">
            <v>0</v>
          </cell>
          <cell r="H1482">
            <v>0</v>
          </cell>
          <cell r="I1482">
            <v>0</v>
          </cell>
          <cell r="J1482">
            <v>0</v>
          </cell>
          <cell r="K1482">
            <v>0</v>
          </cell>
          <cell r="L1482">
            <v>0</v>
          </cell>
          <cell r="O1482">
            <v>0</v>
          </cell>
          <cell r="P1482">
            <v>0</v>
          </cell>
          <cell r="Q1482" t="str">
            <v>33|20</v>
          </cell>
        </row>
        <row r="1483">
          <cell r="E1483" t="str">
            <v>5. ELECTRICAL / UPS</v>
          </cell>
          <cell r="G1483" t="str">
            <v>5. ELECTRICAL / UPS</v>
          </cell>
          <cell r="H1483">
            <v>0</v>
          </cell>
          <cell r="I1483">
            <v>0</v>
          </cell>
          <cell r="J1483">
            <v>0</v>
          </cell>
          <cell r="K1483">
            <v>0</v>
          </cell>
          <cell r="L1483">
            <v>0</v>
          </cell>
          <cell r="O1483">
            <v>0</v>
          </cell>
          <cell r="P1483">
            <v>0</v>
          </cell>
          <cell r="Q1483" t="str">
            <v>33|21</v>
          </cell>
        </row>
        <row r="1484">
          <cell r="E1484" t="str">
            <v>5. ELECTRICAL / UPS</v>
          </cell>
          <cell r="G1484" t="str">
            <v>Room</v>
          </cell>
          <cell r="H1484" t="str">
            <v>UPS Installed</v>
          </cell>
          <cell r="I1484" t="str">
            <v>UPS Size</v>
          </cell>
          <cell r="J1484" t="str">
            <v>PDU Installed</v>
          </cell>
          <cell r="K1484" t="str">
            <v>Rack Receptacles</v>
          </cell>
          <cell r="L1484" t="str">
            <v>Panel Assigned</v>
          </cell>
          <cell r="O1484" t="str">
            <v>Overall</v>
          </cell>
          <cell r="P1484" t="str">
            <v>Notes</v>
          </cell>
          <cell r="Q1484" t="str">
            <v>33|22</v>
          </cell>
        </row>
        <row r="1485">
          <cell r="E1485" t="str">
            <v>5. ELECTRICAL / UPS</v>
          </cell>
          <cell r="G1485" t="str">
            <v>B23</v>
          </cell>
          <cell r="H1485" t="str">
            <v>Verify</v>
          </cell>
          <cell r="I1485" t="str">
            <v>APC UPS / TE enclosure</v>
          </cell>
          <cell r="J1485" t="str">
            <v>Verify</v>
          </cell>
          <cell r="K1485" t="str">
            <v>Verify</v>
          </cell>
          <cell r="L1485" t="str">
            <v>33E-100 / 33E-701 source to verify</v>
          </cell>
          <cell r="O1485" t="str">
            <v>Verify</v>
          </cell>
          <cell r="P1485" t="str">
            <v>33T-604 new enclosure elevation shows APC UPS, two PDU L5-30 input / NEMA 5-20 output units, 120V outlet UPS, 120V outlet PDU, network switch, 48-port Cat6A patch panel and Fiber LIU. Verify circuit source, receptacle type, grounding/bonding and labels.</v>
          </cell>
          <cell r="Q1485" t="str">
            <v>33|23</v>
          </cell>
        </row>
        <row r="1486">
          <cell r="E1486" t="str">
            <v>5. ELECTRICAL / UPS</v>
          </cell>
          <cell r="G1486" t="str">
            <v>B17</v>
          </cell>
          <cell r="H1486" t="str">
            <v>Existing</v>
          </cell>
          <cell r="I1486" t="str">
            <v>Existing UPS on floor</v>
          </cell>
          <cell r="J1486" t="str">
            <v>Existing</v>
          </cell>
          <cell r="K1486" t="str">
            <v>Verify</v>
          </cell>
          <cell r="L1486" t="str">
            <v>Existing / Verify</v>
          </cell>
          <cell r="O1486" t="str">
            <v>Verify</v>
          </cell>
          <cell r="P1486" t="str">
            <v>Existing B17 elevations show UPS on floor, Cisco switches, SERTEX utility service, legacy patch panels and Fiber LIU; verify source circuits, UPS status, and transition requirements before disconnect/removal.</v>
          </cell>
          <cell r="Q1486" t="str">
            <v>33|24</v>
          </cell>
        </row>
        <row r="1487">
          <cell r="E1487" t="str">
            <v>5. ELECTRICAL / UPS</v>
          </cell>
          <cell r="G1487">
            <v>0</v>
          </cell>
          <cell r="H1487">
            <v>0</v>
          </cell>
          <cell r="I1487">
            <v>0</v>
          </cell>
          <cell r="J1487">
            <v>0</v>
          </cell>
          <cell r="K1487">
            <v>0</v>
          </cell>
          <cell r="L1487">
            <v>0</v>
          </cell>
          <cell r="O1487">
            <v>0</v>
          </cell>
          <cell r="P1487">
            <v>0</v>
          </cell>
          <cell r="Q1487" t="str">
            <v>33|25</v>
          </cell>
        </row>
        <row r="1488">
          <cell r="E1488" t="str">
            <v>6. TELECOMMUNICATIONS</v>
          </cell>
          <cell r="G1488" t="str">
            <v>6. TELECOMMUNICATIONS</v>
          </cell>
          <cell r="H1488">
            <v>0</v>
          </cell>
          <cell r="I1488">
            <v>0</v>
          </cell>
          <cell r="J1488">
            <v>0</v>
          </cell>
          <cell r="K1488">
            <v>0</v>
          </cell>
          <cell r="L1488">
            <v>0</v>
          </cell>
          <cell r="O1488">
            <v>0</v>
          </cell>
          <cell r="P1488">
            <v>0</v>
          </cell>
          <cell r="Q1488" t="str">
            <v>33|26</v>
          </cell>
        </row>
        <row r="1489">
          <cell r="E1489" t="str">
            <v>6. TELECOMMUNICATIONS</v>
          </cell>
          <cell r="G1489" t="str">
            <v>Room</v>
          </cell>
          <cell r="H1489" t="str">
            <v>Rack Installed</v>
          </cell>
          <cell r="I1489" t="str">
            <v>Ladder Tray</v>
          </cell>
          <cell r="J1489" t="str">
            <v>Fiber Installed</v>
          </cell>
          <cell r="K1489" t="str">
            <v>Grounding</v>
          </cell>
          <cell r="L1489" t="str">
            <v>Labeling</v>
          </cell>
          <cell r="O1489" t="str">
            <v>Overall</v>
          </cell>
          <cell r="P1489" t="str">
            <v>Notes</v>
          </cell>
          <cell r="Q1489" t="str">
            <v>33|27</v>
          </cell>
        </row>
        <row r="1490">
          <cell r="E1490" t="str">
            <v>6. TELECOMMUNICATIONS</v>
          </cell>
          <cell r="G1490" t="str">
            <v>B23</v>
          </cell>
          <cell r="H1490" t="str">
            <v>Verify</v>
          </cell>
          <cell r="I1490" t="str">
            <v>Verify</v>
          </cell>
          <cell r="J1490" t="str">
            <v>Verify</v>
          </cell>
          <cell r="K1490" t="str">
            <v>Verify</v>
          </cell>
          <cell r="L1490" t="str">
            <v>Verify</v>
          </cell>
          <cell r="O1490" t="str">
            <v>Verify</v>
          </cell>
          <cell r="P1490" t="str">
            <v>33T-701 identifies TE01-B23-1: 55 WAO total, 34 active ports per survey, 88 total ports per schedule, and 97 total ports with 10% allowance. Basement cable tray schedule totals 102 ft. Provide 10 new Cat6A cross-connect cables from existing TE to new TE location.</v>
          </cell>
          <cell r="Q1490" t="str">
            <v>33|28</v>
          </cell>
        </row>
        <row r="1491">
          <cell r="E1491" t="str">
            <v>6. TELECOMMUNICATIONS</v>
          </cell>
          <cell r="G1491" t="str">
            <v>B17</v>
          </cell>
          <cell r="H1491" t="str">
            <v>Existing</v>
          </cell>
          <cell r="I1491" t="str">
            <v>Existing</v>
          </cell>
          <cell r="J1491" t="str">
            <v>Existing</v>
          </cell>
          <cell r="K1491" t="str">
            <v>Verify</v>
          </cell>
          <cell r="L1491" t="str">
            <v>Verify</v>
          </cell>
          <cell r="O1491" t="str">
            <v>Verify</v>
          </cell>
          <cell r="P1491" t="str">
            <v>Existing B17 rack elevations include Cisco switches, legacy 24/48-port patch panels, SERTEX utility service, legacy Fiber LIU, passive Fiber LIU/wall mount, UPS on floor and cross-building port references to Bldgs 3, 80 and 82.</v>
          </cell>
          <cell r="Q1491" t="str">
            <v>33|29</v>
          </cell>
        </row>
        <row r="1492">
          <cell r="E1492" t="str">
            <v>6. TELECOMMUNICATIONS</v>
          </cell>
          <cell r="G1492">
            <v>0</v>
          </cell>
          <cell r="H1492">
            <v>0</v>
          </cell>
          <cell r="I1492">
            <v>0</v>
          </cell>
          <cell r="J1492">
            <v>0</v>
          </cell>
          <cell r="K1492">
            <v>0</v>
          </cell>
          <cell r="L1492">
            <v>0</v>
          </cell>
          <cell r="O1492">
            <v>0</v>
          </cell>
          <cell r="P1492">
            <v>0</v>
          </cell>
          <cell r="Q1492" t="str">
            <v>33|30</v>
          </cell>
        </row>
        <row r="1493">
          <cell r="E1493" t="str">
            <v>7. SECURITY / PACS / CCTV</v>
          </cell>
          <cell r="G1493" t="str">
            <v>7. SECURITY / PACS / CCTV</v>
          </cell>
          <cell r="H1493">
            <v>0</v>
          </cell>
          <cell r="I1493">
            <v>0</v>
          </cell>
          <cell r="J1493">
            <v>0</v>
          </cell>
          <cell r="K1493">
            <v>0</v>
          </cell>
          <cell r="L1493">
            <v>0</v>
          </cell>
          <cell r="O1493">
            <v>0</v>
          </cell>
          <cell r="P1493">
            <v>0</v>
          </cell>
          <cell r="Q1493" t="str">
            <v>33|31</v>
          </cell>
        </row>
        <row r="1494">
          <cell r="E1494" t="str">
            <v>7. SECURITY / PACS / CCTV</v>
          </cell>
          <cell r="G1494" t="str">
            <v>Room</v>
          </cell>
          <cell r="H1494" t="str">
            <v>PACS</v>
          </cell>
          <cell r="I1494" t="str">
            <v>Card Reader</v>
          </cell>
          <cell r="J1494" t="str">
            <v>Door Position</v>
          </cell>
          <cell r="K1494" t="str">
            <v>Electric Strike</v>
          </cell>
          <cell r="L1494" t="str">
            <v>CCTV</v>
          </cell>
          <cell r="O1494" t="str">
            <v>Overall</v>
          </cell>
          <cell r="P1494" t="str">
            <v>Notes</v>
          </cell>
          <cell r="Q1494" t="str">
            <v>33|32</v>
          </cell>
        </row>
        <row r="1495">
          <cell r="E1495" t="str">
            <v>7. SECURITY / PACS / CCTV</v>
          </cell>
          <cell r="G1495" t="str">
            <v>B23</v>
          </cell>
          <cell r="H1495" t="str">
            <v>N/A / Verify</v>
          </cell>
          <cell r="I1495" t="str">
            <v>N/A / Verify</v>
          </cell>
          <cell r="J1495" t="str">
            <v>N/A / Verify</v>
          </cell>
          <cell r="K1495" t="str">
            <v>N/A / Verify</v>
          </cell>
          <cell r="L1495" t="str">
            <v>Verify Existing</v>
          </cell>
          <cell r="O1495" t="str">
            <v>Verify</v>
          </cell>
          <cell r="P1495" t="str">
            <v>Building 33 does not appear to create a new full TR door/PACS package. Verify existing cameras/security devices in B23 and ensure no camera angle or VMS integration is disrupted.</v>
          </cell>
          <cell r="Q1495" t="str">
            <v>33|33</v>
          </cell>
        </row>
        <row r="1496">
          <cell r="E1496" t="str">
            <v>7. SECURITY / PACS / CCTV</v>
          </cell>
          <cell r="G1496" t="str">
            <v>B17</v>
          </cell>
          <cell r="H1496" t="str">
            <v>Verify Existing</v>
          </cell>
          <cell r="I1496" t="str">
            <v>Verify Existing</v>
          </cell>
          <cell r="J1496" t="str">
            <v>Verify Existing</v>
          </cell>
          <cell r="K1496" t="str">
            <v>Verify Existing</v>
          </cell>
          <cell r="L1496" t="str">
            <v>Verify Existing</v>
          </cell>
          <cell r="O1496" t="str">
            <v>Verify</v>
          </cell>
          <cell r="P1496" t="str">
            <v>Existing B17 enlarged plan identifies network door controller, keypad and equipment box; verify protection-in-place and whether any security equipment is relocated or recabled.</v>
          </cell>
          <cell r="Q1496" t="str">
            <v>33|34</v>
          </cell>
        </row>
        <row r="1497">
          <cell r="E1497" t="str">
            <v>7. SECURITY / PACS / CCTV</v>
          </cell>
          <cell r="G1497">
            <v>0</v>
          </cell>
          <cell r="H1497">
            <v>0</v>
          </cell>
          <cell r="I1497">
            <v>0</v>
          </cell>
          <cell r="J1497">
            <v>0</v>
          </cell>
          <cell r="K1497">
            <v>0</v>
          </cell>
          <cell r="L1497">
            <v>0</v>
          </cell>
          <cell r="O1497">
            <v>0</v>
          </cell>
          <cell r="P1497">
            <v>0</v>
          </cell>
          <cell r="Q1497" t="str">
            <v>33|35</v>
          </cell>
        </row>
        <row r="1498">
          <cell r="E1498" t="str">
            <v>8. OWNER RISKS</v>
          </cell>
          <cell r="G1498" t="str">
            <v>8. OWNER RISKS</v>
          </cell>
          <cell r="H1498">
            <v>0</v>
          </cell>
          <cell r="I1498">
            <v>0</v>
          </cell>
          <cell r="J1498">
            <v>0</v>
          </cell>
          <cell r="K1498">
            <v>0</v>
          </cell>
          <cell r="L1498">
            <v>0</v>
          </cell>
          <cell r="O1498">
            <v>0</v>
          </cell>
          <cell r="P1498">
            <v>0</v>
          </cell>
          <cell r="Q1498" t="str">
            <v>33|36</v>
          </cell>
        </row>
        <row r="1499">
          <cell r="E1499" t="str">
            <v>8. OWNER RISKS</v>
          </cell>
          <cell r="G1499" t="str">
            <v>Risk ID</v>
          </cell>
          <cell r="H1499" t="str">
            <v>Room</v>
          </cell>
          <cell r="I1499" t="str">
            <v>Risk</v>
          </cell>
          <cell r="J1499" t="str">
            <v>Impact</v>
          </cell>
          <cell r="K1499" t="str">
            <v>Probability</v>
          </cell>
          <cell r="L1499" t="str">
            <v>Score</v>
          </cell>
          <cell r="O1499" t="str">
            <v>Status</v>
          </cell>
          <cell r="P1499" t="str">
            <v>Notes</v>
          </cell>
          <cell r="Q1499" t="str">
            <v>33|37</v>
          </cell>
        </row>
        <row r="1500">
          <cell r="E1500" t="str">
            <v>8. OWNER RISKS</v>
          </cell>
          <cell r="G1500" t="str">
            <v>B33-R1</v>
          </cell>
          <cell r="H1500" t="str">
            <v>All</v>
          </cell>
          <cell r="I1500" t="str">
            <v>Existing conditions for new B23 TE and existing B17 Tel Closet not field verified</v>
          </cell>
          <cell r="J1500" t="str">
            <v>High</v>
          </cell>
          <cell r="K1500" t="str">
            <v>Medium</v>
          </cell>
          <cell r="L1500">
            <v>6</v>
          </cell>
          <cell r="O1500" t="str">
            <v>Open</v>
          </cell>
          <cell r="P1500" t="str">
            <v>B33 has a compact TE scope but depends on existing equipment transfer and field conditions.</v>
          </cell>
          <cell r="Q1500" t="str">
            <v>33|38</v>
          </cell>
        </row>
        <row r="1501">
          <cell r="E1501" t="str">
            <v>8. OWNER RISKS</v>
          </cell>
          <cell r="G1501" t="str">
            <v>B33-R2</v>
          </cell>
          <cell r="H1501" t="str">
            <v>B23/B17</v>
          </cell>
          <cell r="I1501" t="str">
            <v>Existing equipment in B17 may remain active during transfer to new TE in B23</v>
          </cell>
          <cell r="J1501" t="str">
            <v>Critical</v>
          </cell>
          <cell r="K1501" t="str">
            <v>Medium</v>
          </cell>
          <cell r="L1501">
            <v>8</v>
          </cell>
          <cell r="O1501" t="str">
            <v>Open</v>
          </cell>
          <cell r="P1501" t="str">
            <v>33T-100 keynotes require transfer of existing devices and phasing plan.</v>
          </cell>
          <cell r="Q1501" t="str">
            <v>33|39</v>
          </cell>
        </row>
        <row r="1502">
          <cell r="E1502" t="str">
            <v>8. OWNER RISKS</v>
          </cell>
          <cell r="G1502" t="str">
            <v>B33-R3</v>
          </cell>
          <cell r="H1502" t="str">
            <v>B23</v>
          </cell>
          <cell r="I1502" t="str">
            <v>Office B23 use may conflict with wall-mount TE access and clearances</v>
          </cell>
          <cell r="J1502" t="str">
            <v>Medium</v>
          </cell>
          <cell r="K1502" t="str">
            <v>Medium</v>
          </cell>
          <cell r="L1502">
            <v>4</v>
          </cell>
          <cell r="O1502" t="str">
            <v>Open</v>
          </cell>
          <cell r="P1502" t="str">
            <v>New TE is in EEO Manager Office B23 rather than a dedicated TR.</v>
          </cell>
          <cell r="Q1502" t="str">
            <v>33|40</v>
          </cell>
        </row>
        <row r="1503">
          <cell r="E1503" t="str">
            <v>8. OWNER RISKS</v>
          </cell>
          <cell r="G1503" t="str">
            <v>B33-R4</v>
          </cell>
          <cell r="H1503" t="str">
            <v>B23</v>
          </cell>
          <cell r="I1503" t="str">
            <v>No mechanical scope, but TE/UPS/network equipment may add heat load to Office B23</v>
          </cell>
          <cell r="J1503" t="str">
            <v>High</v>
          </cell>
          <cell r="K1503" t="str">
            <v>Medium</v>
          </cell>
          <cell r="L1503">
            <v>6</v>
          </cell>
          <cell r="O1503" t="str">
            <v>Open</v>
          </cell>
          <cell r="P1503" t="str">
            <v>Cover excludes mechanical/fire protection; existing HVAC may be relied on.</v>
          </cell>
          <cell r="Q1503" t="str">
            <v>33|41</v>
          </cell>
        </row>
        <row r="1504">
          <cell r="E1504" t="str">
            <v>8. OWNER RISKS</v>
          </cell>
          <cell r="G1504" t="str">
            <v>B33-R5</v>
          </cell>
          <cell r="H1504" t="str">
            <v>B23</v>
          </cell>
          <cell r="I1504" t="str">
            <v>UPS/PDU/receptacle source and grounding/bonding not verified</v>
          </cell>
          <cell r="J1504" t="str">
            <v>High</v>
          </cell>
          <cell r="K1504" t="str">
            <v>Medium</v>
          </cell>
          <cell r="L1504">
            <v>6</v>
          </cell>
          <cell r="O1504" t="str">
            <v>Open</v>
          </cell>
          <cell r="P1504" t="str">
            <v>New TE enclosure includes APC UPS and two PDUs.</v>
          </cell>
          <cell r="Q1504" t="str">
            <v>33|42</v>
          </cell>
        </row>
        <row r="1505">
          <cell r="E1505" t="str">
            <v>8. OWNER RISKS</v>
          </cell>
          <cell r="G1505" t="str">
            <v>B33-R6</v>
          </cell>
          <cell r="H1505" t="str">
            <v>All</v>
          </cell>
          <cell r="I1505" t="str">
            <v>102 feet of basement cable tray/pathway requires coordination and firestop tracking</v>
          </cell>
          <cell r="J1505" t="str">
            <v>High</v>
          </cell>
          <cell r="K1505" t="str">
            <v>Medium</v>
          </cell>
          <cell r="L1505">
            <v>6</v>
          </cell>
          <cell r="O1505" t="str">
            <v>Open</v>
          </cell>
          <cell r="P1505" t="str">
            <v>33T-701 cable tray schedule lists basement level estimated length of 102 ft.</v>
          </cell>
          <cell r="Q1505" t="str">
            <v>33|43</v>
          </cell>
        </row>
        <row r="1506">
          <cell r="E1506" t="str">
            <v>8. OWNER RISKS</v>
          </cell>
          <cell r="G1506" t="str">
            <v>B33-R7</v>
          </cell>
          <cell r="H1506" t="str">
            <v>All</v>
          </cell>
          <cell r="I1506" t="str">
            <v>Firestopping/rated sleeve work could be missed because FP scope is excluded</v>
          </cell>
          <cell r="J1506" t="str">
            <v>High</v>
          </cell>
          <cell r="K1506" t="str">
            <v>Medium</v>
          </cell>
          <cell r="L1506">
            <v>6</v>
          </cell>
          <cell r="O1506" t="str">
            <v>Open</v>
          </cell>
          <cell r="P1506" t="str">
            <v>33T-100 requires fire caulk at sleeves and rated penetration protection.</v>
          </cell>
          <cell r="Q1506" t="str">
            <v>33|44</v>
          </cell>
        </row>
        <row r="1507">
          <cell r="E1507" t="str">
            <v>8. OWNER RISKS</v>
          </cell>
          <cell r="G1507" t="str">
            <v>B33-R8</v>
          </cell>
          <cell r="H1507" t="str">
            <v>B17 / Other Bldgs</v>
          </cell>
          <cell r="I1507" t="str">
            <v>Existing B17 cross-building service relationships may create cutover dependency</v>
          </cell>
          <cell r="J1507" t="str">
            <v>High</v>
          </cell>
          <cell r="K1507" t="str">
            <v>Medium</v>
          </cell>
          <cell r="L1507">
            <v>6</v>
          </cell>
          <cell r="O1507" t="str">
            <v>Open</v>
          </cell>
          <cell r="P1507" t="str">
            <v>Existing B17 elevation identifies ports 1-72 to Bldg 3, 73-96 to Bldg 80, 97-120 to Bldg 82, and 121-144 to Bldg 3.</v>
          </cell>
          <cell r="Q1507" t="str">
            <v>33|45</v>
          </cell>
        </row>
        <row r="1508">
          <cell r="E1508" t="str">
            <v>8. OWNER RISKS</v>
          </cell>
          <cell r="G1508">
            <v>0</v>
          </cell>
          <cell r="H1508">
            <v>0</v>
          </cell>
          <cell r="I1508">
            <v>0</v>
          </cell>
          <cell r="J1508">
            <v>0</v>
          </cell>
          <cell r="K1508">
            <v>0</v>
          </cell>
          <cell r="L1508">
            <v>0</v>
          </cell>
          <cell r="O1508">
            <v>0</v>
          </cell>
          <cell r="P1508">
            <v>0</v>
          </cell>
          <cell r="Q1508" t="str">
            <v>33|46</v>
          </cell>
        </row>
        <row r="1509">
          <cell r="E1509" t="str">
            <v>9. OPEN QUESTIONS</v>
          </cell>
          <cell r="G1509" t="str">
            <v>9. OPEN QUESTIONS</v>
          </cell>
          <cell r="H1509">
            <v>0</v>
          </cell>
          <cell r="I1509">
            <v>0</v>
          </cell>
          <cell r="J1509">
            <v>0</v>
          </cell>
          <cell r="K1509">
            <v>0</v>
          </cell>
          <cell r="L1509">
            <v>0</v>
          </cell>
          <cell r="O1509">
            <v>0</v>
          </cell>
          <cell r="P1509">
            <v>0</v>
          </cell>
          <cell r="Q1509" t="str">
            <v>33|47</v>
          </cell>
        </row>
        <row r="1510">
          <cell r="E1510" t="str">
            <v>9. OPEN QUESTIONS</v>
          </cell>
          <cell r="G1510" t="str">
            <v>Question ID</v>
          </cell>
          <cell r="H1510" t="str">
            <v>Question</v>
          </cell>
          <cell r="I1510" t="str">
            <v>Assigned To</v>
          </cell>
          <cell r="J1510" t="str">
            <v>Status</v>
          </cell>
          <cell r="K1510" t="str">
            <v>Needed By</v>
          </cell>
          <cell r="L1510" t="str">
            <v>Answer / Resolution</v>
          </cell>
          <cell r="O1510" t="str">
            <v>Date Closed</v>
          </cell>
          <cell r="P1510" t="str">
            <v>Notes</v>
          </cell>
          <cell r="Q1510" t="str">
            <v>33|48</v>
          </cell>
        </row>
        <row r="1511">
          <cell r="E1511" t="str">
            <v>9. OPEN QUESTIONS</v>
          </cell>
          <cell r="G1511" t="str">
            <v>B33-Q1</v>
          </cell>
          <cell r="H1511" t="str">
            <v>Confirm final scope: new wall-mount TE enclosure in B23 and existing B17 transition only?</v>
          </cell>
          <cell r="I1511" t="str">
            <v>VA / OIT / Designer</v>
          </cell>
          <cell r="J1511" t="str">
            <v>Open</v>
          </cell>
          <cell r="K1511">
            <v>0</v>
          </cell>
          <cell r="L1511">
            <v>0</v>
          </cell>
          <cell r="O1511">
            <v>0</v>
          </cell>
          <cell r="P1511">
            <v>0</v>
          </cell>
          <cell r="Q1511" t="str">
            <v>33|49</v>
          </cell>
        </row>
        <row r="1512">
          <cell r="E1512" t="str">
            <v>9. OPEN QUESTIONS</v>
          </cell>
          <cell r="G1512" t="str">
            <v>B33-Q2</v>
          </cell>
          <cell r="H1512" t="str">
            <v>What active services are currently fed from existing B17 equipment?</v>
          </cell>
          <cell r="I1512" t="str">
            <v>OIT / Contractor</v>
          </cell>
          <cell r="J1512" t="str">
            <v>Open</v>
          </cell>
          <cell r="K1512">
            <v>0</v>
          </cell>
          <cell r="L1512">
            <v>0</v>
          </cell>
          <cell r="O1512">
            <v>0</v>
          </cell>
          <cell r="P1512">
            <v>0</v>
          </cell>
          <cell r="Q1512" t="str">
            <v>33|50</v>
          </cell>
        </row>
        <row r="1513">
          <cell r="E1513" t="str">
            <v>9. OPEN QUESTIONS</v>
          </cell>
          <cell r="G1513" t="str">
            <v>B33-Q3</v>
          </cell>
          <cell r="H1513" t="str">
            <v>What is the approved power source, receptacle type and circuit capacity for the new APC UPS/PDU in B23?</v>
          </cell>
          <cell r="I1513" t="str">
            <v>Electrical / Designer</v>
          </cell>
          <cell r="J1513" t="str">
            <v>Open</v>
          </cell>
          <cell r="K1513">
            <v>0</v>
          </cell>
          <cell r="L1513">
            <v>0</v>
          </cell>
          <cell r="O1513">
            <v>0</v>
          </cell>
          <cell r="P1513">
            <v>0</v>
          </cell>
          <cell r="Q1513" t="str">
            <v>33|51</v>
          </cell>
        </row>
        <row r="1514">
          <cell r="E1514" t="str">
            <v>9. OPEN QUESTIONS</v>
          </cell>
          <cell r="G1514" t="str">
            <v>B33-Q4</v>
          </cell>
          <cell r="H1514" t="str">
            <v>Is Office B23 HVAC/ambient condition acceptable for a wall-mount TE with UPS/PDU/network switch?</v>
          </cell>
          <cell r="I1514" t="str">
            <v>VA / OIT / Facilities</v>
          </cell>
          <cell r="J1514" t="str">
            <v>Open</v>
          </cell>
          <cell r="K1514">
            <v>0</v>
          </cell>
          <cell r="L1514">
            <v>0</v>
          </cell>
          <cell r="O1514">
            <v>0</v>
          </cell>
          <cell r="P1514">
            <v>0</v>
          </cell>
          <cell r="Q1514" t="str">
            <v>33|52</v>
          </cell>
        </row>
        <row r="1515">
          <cell r="E1515" t="str">
            <v>9. OPEN QUESTIONS</v>
          </cell>
          <cell r="G1515" t="str">
            <v>B33-Q5</v>
          </cell>
          <cell r="H1515" t="str">
            <v>Are existing cameras/security devices in Building 33 protected and retained with no VMS/PACS disruption?</v>
          </cell>
          <cell r="I1515" t="str">
            <v>Security / OIT</v>
          </cell>
          <cell r="J1515" t="str">
            <v>Open</v>
          </cell>
          <cell r="K1515">
            <v>0</v>
          </cell>
          <cell r="L1515">
            <v>0</v>
          </cell>
          <cell r="O1515">
            <v>0</v>
          </cell>
          <cell r="P1515">
            <v>0</v>
          </cell>
          <cell r="Q1515" t="str">
            <v>33|53</v>
          </cell>
        </row>
        <row r="1516">
          <cell r="E1516" t="str">
            <v>9. OPEN QUESTIONS</v>
          </cell>
          <cell r="G1516" t="str">
            <v>B33-Q6</v>
          </cell>
          <cell r="H1516" t="str">
            <v>Are all 102 feet of cable tray route, sleeves, supports and firestopping details field verified?</v>
          </cell>
          <cell r="I1516" t="str">
            <v>Telecom / GC / Firestop</v>
          </cell>
          <cell r="J1516" t="str">
            <v>Open</v>
          </cell>
          <cell r="K1516">
            <v>0</v>
          </cell>
          <cell r="L1516">
            <v>0</v>
          </cell>
          <cell r="O1516">
            <v>0</v>
          </cell>
          <cell r="P1516">
            <v>0</v>
          </cell>
          <cell r="Q1516" t="str">
            <v>33|54</v>
          </cell>
        </row>
        <row r="1517">
          <cell r="E1517" t="str">
            <v>9. OPEN QUESTIONS</v>
          </cell>
          <cell r="G1517" t="str">
            <v>B33-Q7</v>
          </cell>
          <cell r="H1517" t="str">
            <v>Are the 10 new Cat6A cross-connect cables from existing TE to new TE location coordinated and labeled?</v>
          </cell>
          <cell r="I1517" t="str">
            <v>Telecom / OIT</v>
          </cell>
          <cell r="J1517" t="str">
            <v>Open</v>
          </cell>
          <cell r="K1517">
            <v>0</v>
          </cell>
          <cell r="L1517">
            <v>0</v>
          </cell>
          <cell r="O1517">
            <v>0</v>
          </cell>
          <cell r="P1517">
            <v>0</v>
          </cell>
          <cell r="Q1517" t="str">
            <v>33|55</v>
          </cell>
        </row>
        <row r="1518">
          <cell r="E1518" t="str">
            <v>9. OPEN QUESTIONS</v>
          </cell>
          <cell r="G1518" t="str">
            <v>B33-Q8</v>
          </cell>
          <cell r="H1518" t="str">
            <v>What is the operational impact of B17 ports serving Buildings 3, 80 and 82?</v>
          </cell>
          <cell r="I1518" t="str">
            <v>VA / OIT / Designer</v>
          </cell>
          <cell r="J1518" t="str">
            <v>Open</v>
          </cell>
          <cell r="K1518">
            <v>0</v>
          </cell>
          <cell r="L1518">
            <v>0</v>
          </cell>
          <cell r="O1518">
            <v>0</v>
          </cell>
          <cell r="P1518">
            <v>0</v>
          </cell>
          <cell r="Q1518" t="str">
            <v>33|56</v>
          </cell>
        </row>
        <row r="1519">
          <cell r="E1519" t="str">
            <v>9. OPEN QUESTIONS</v>
          </cell>
          <cell r="G1519">
            <v>0</v>
          </cell>
          <cell r="H1519">
            <v>0</v>
          </cell>
          <cell r="I1519">
            <v>0</v>
          </cell>
          <cell r="J1519">
            <v>0</v>
          </cell>
          <cell r="K1519">
            <v>0</v>
          </cell>
          <cell r="L1519">
            <v>0</v>
          </cell>
          <cell r="O1519">
            <v>0</v>
          </cell>
          <cell r="P1519">
            <v>0</v>
          </cell>
          <cell r="Q1519" t="str">
            <v>33|57</v>
          </cell>
        </row>
        <row r="1520">
          <cell r="E1520" t="str">
            <v>10. PHOTO LOG</v>
          </cell>
          <cell r="G1520" t="str">
            <v>10. PHOTO LOG</v>
          </cell>
          <cell r="H1520">
            <v>0</v>
          </cell>
          <cell r="I1520">
            <v>0</v>
          </cell>
          <cell r="J1520">
            <v>0</v>
          </cell>
          <cell r="K1520">
            <v>0</v>
          </cell>
          <cell r="L1520">
            <v>0</v>
          </cell>
          <cell r="O1520">
            <v>0</v>
          </cell>
          <cell r="P1520">
            <v>0</v>
          </cell>
          <cell r="Q1520" t="str">
            <v>33|58</v>
          </cell>
        </row>
        <row r="1521">
          <cell r="E1521" t="str">
            <v>10. PHOTO LOG</v>
          </cell>
          <cell r="G1521" t="str">
            <v>Photo ID</v>
          </cell>
          <cell r="H1521" t="str">
            <v>Room</v>
          </cell>
          <cell r="I1521" t="str">
            <v>Category</v>
          </cell>
          <cell r="J1521" t="str">
            <v>Description</v>
          </cell>
          <cell r="K1521" t="str">
            <v>Date</v>
          </cell>
          <cell r="L1521" t="str">
            <v>Taken By</v>
          </cell>
          <cell r="O1521" t="str">
            <v>Status</v>
          </cell>
          <cell r="P1521" t="str">
            <v>Notes</v>
          </cell>
          <cell r="Q1521" t="str">
            <v>33|59</v>
          </cell>
        </row>
        <row r="1522">
          <cell r="E1522" t="str">
            <v>10. PHOTO LOG</v>
          </cell>
          <cell r="G1522" t="str">
            <v>B33-P001</v>
          </cell>
          <cell r="H1522" t="str">
            <v>B23</v>
          </cell>
          <cell r="I1522" t="str">
            <v>Existing Condition</v>
          </cell>
          <cell r="J1522" t="str">
            <v>EEO Manager Office B23 wall location, wall backing, clearances, ceiling, power source, cable path, fiber path A/B and new TE enclosure location</v>
          </cell>
          <cell r="K1522">
            <v>0</v>
          </cell>
          <cell r="L1522" t="str">
            <v>Paul</v>
          </cell>
          <cell r="O1522" t="str">
            <v>Open</v>
          </cell>
          <cell r="P1522">
            <v>0</v>
          </cell>
          <cell r="Q1522" t="str">
            <v>33|60</v>
          </cell>
        </row>
        <row r="1523">
          <cell r="E1523" t="str">
            <v>10. PHOTO LOG</v>
          </cell>
          <cell r="G1523" t="str">
            <v>B33-P002</v>
          </cell>
          <cell r="H1523" t="str">
            <v>B17</v>
          </cell>
          <cell r="I1523" t="str">
            <v>Existing Condition</v>
          </cell>
          <cell r="J1523" t="str">
            <v>Existing Tel Closet B17 open TE cabinet, network door controller, indoor AC unit, plywood backboard, keypad, patch panel, ground bar and equipment box</v>
          </cell>
          <cell r="K1523">
            <v>0</v>
          </cell>
          <cell r="L1523" t="str">
            <v>Paul</v>
          </cell>
          <cell r="O1523" t="str">
            <v>Open</v>
          </cell>
          <cell r="P1523">
            <v>0</v>
          </cell>
          <cell r="Q1523" t="str">
            <v>33|61</v>
          </cell>
        </row>
        <row r="1524">
          <cell r="E1524" t="str">
            <v>10. PHOTO LOG</v>
          </cell>
          <cell r="G1524" t="str">
            <v>B33-P003</v>
          </cell>
          <cell r="H1524" t="str">
            <v>B17</v>
          </cell>
          <cell r="I1524" t="str">
            <v>Existing Equipment</v>
          </cell>
          <cell r="J1524" t="str">
            <v>Cisco switches, legacy 24/48-port patch panels, SERTEX utility service, Fiber LIU, UPS on floor and cross-building port labels</v>
          </cell>
          <cell r="K1524">
            <v>0</v>
          </cell>
          <cell r="L1524" t="str">
            <v>Paul</v>
          </cell>
          <cell r="O1524" t="str">
            <v>Open</v>
          </cell>
          <cell r="P1524">
            <v>0</v>
          </cell>
          <cell r="Q1524" t="str">
            <v>33|62</v>
          </cell>
        </row>
        <row r="1525">
          <cell r="E1525" t="str">
            <v>10. PHOTO LOG</v>
          </cell>
          <cell r="G1525" t="str">
            <v>B33-P004</v>
          </cell>
          <cell r="H1525" t="str">
            <v>B23/B17</v>
          </cell>
          <cell r="I1525" t="str">
            <v>Pathway</v>
          </cell>
          <cell r="J1525" t="str">
            <v>102 ft basement cable tray route, 4-inch sleeve, wall/floor penetrations, support points, light/HVAC conflicts and 40% fill concerns</v>
          </cell>
          <cell r="K1525">
            <v>0</v>
          </cell>
          <cell r="L1525" t="str">
            <v>Paul</v>
          </cell>
          <cell r="O1525" t="str">
            <v>Open</v>
          </cell>
          <cell r="P1525">
            <v>0</v>
          </cell>
          <cell r="Q1525" t="str">
            <v>33|63</v>
          </cell>
        </row>
        <row r="1526">
          <cell r="E1526" t="str">
            <v>10. PHOTO LOG</v>
          </cell>
          <cell r="G1526" t="str">
            <v>B33-P005</v>
          </cell>
          <cell r="H1526" t="str">
            <v>B23</v>
          </cell>
          <cell r="I1526" t="str">
            <v>Electrical</v>
          </cell>
          <cell r="J1526" t="str">
            <v>New TE enclosure UPS/PDU receptacles, circuit source, grounding/bonding, labels and access</v>
          </cell>
          <cell r="K1526">
            <v>0</v>
          </cell>
          <cell r="L1526" t="str">
            <v>Paul</v>
          </cell>
          <cell r="O1526" t="str">
            <v>Open</v>
          </cell>
          <cell r="P1526">
            <v>0</v>
          </cell>
          <cell r="Q1526" t="str">
            <v>33|64</v>
          </cell>
        </row>
        <row r="1527">
          <cell r="E1527" t="str">
            <v>10. PHOTO LOG</v>
          </cell>
          <cell r="G1527" t="str">
            <v>B33-P006</v>
          </cell>
          <cell r="H1527" t="str">
            <v>B23/B17</v>
          </cell>
          <cell r="I1527" t="str">
            <v>Telecom</v>
          </cell>
          <cell r="J1527" t="str">
            <v>TE01-B23-1 enclosure, cross-connect cables, Fiber LIU, patch panels, labels, test results and existing B17 equipment transfer</v>
          </cell>
          <cell r="K1527">
            <v>0</v>
          </cell>
          <cell r="L1527" t="str">
            <v>Paul</v>
          </cell>
          <cell r="O1527" t="str">
            <v>Open</v>
          </cell>
          <cell r="P1527">
            <v>0</v>
          </cell>
          <cell r="Q1527" t="str">
            <v>33|65</v>
          </cell>
        </row>
        <row r="1528">
          <cell r="E1528" t="str">
            <v>10. PHOTO LOG</v>
          </cell>
          <cell r="G1528" t="str">
            <v>B33-P007</v>
          </cell>
          <cell r="H1528" t="str">
            <v>All</v>
          </cell>
          <cell r="I1528" t="str">
            <v>Firestop</v>
          </cell>
          <cell r="J1528" t="str">
            <v>4-inch speed sleeve, wall/floor penetrations and fire caulk before/after photos</v>
          </cell>
          <cell r="K1528">
            <v>0</v>
          </cell>
          <cell r="L1528" t="str">
            <v>Paul</v>
          </cell>
          <cell r="O1528" t="str">
            <v>Open</v>
          </cell>
          <cell r="P1528">
            <v>0</v>
          </cell>
          <cell r="Q1528" t="str">
            <v>33|66</v>
          </cell>
        </row>
        <row r="1529">
          <cell r="E1529" t="str">
            <v>10. PHOTO LOG</v>
          </cell>
          <cell r="G1529" t="str">
            <v>B33-P008</v>
          </cell>
          <cell r="H1529" t="str">
            <v>B17/B23</v>
          </cell>
          <cell r="I1529" t="str">
            <v>Security / Existing Devices</v>
          </cell>
          <cell r="J1529" t="str">
            <v>Existing cameras, network door controller, keypad and equipment box to remain/protect or be recabled</v>
          </cell>
          <cell r="K1529">
            <v>0</v>
          </cell>
          <cell r="L1529" t="str">
            <v>Paul</v>
          </cell>
          <cell r="O1529" t="str">
            <v>Open</v>
          </cell>
          <cell r="P1529">
            <v>0</v>
          </cell>
          <cell r="Q1529" t="str">
            <v>33|67</v>
          </cell>
        </row>
        <row r="1530">
          <cell r="E1530" t="str">
            <v>10. PHOTO LOG</v>
          </cell>
          <cell r="G1530">
            <v>0</v>
          </cell>
          <cell r="H1530">
            <v>0</v>
          </cell>
          <cell r="I1530">
            <v>0</v>
          </cell>
          <cell r="J1530">
            <v>0</v>
          </cell>
          <cell r="K1530">
            <v>0</v>
          </cell>
          <cell r="L1530">
            <v>0</v>
          </cell>
          <cell r="O1530">
            <v>0</v>
          </cell>
          <cell r="P1530">
            <v>0</v>
          </cell>
          <cell r="Q1530" t="str">
            <v>33|68</v>
          </cell>
        </row>
        <row r="1531">
          <cell r="E1531" t="str">
            <v>1. ROOM INVENTORY</v>
          </cell>
          <cell r="G1531" t="str">
            <v>1. ROOM INVENTORY</v>
          </cell>
          <cell r="H1531">
            <v>0</v>
          </cell>
          <cell r="I1531">
            <v>0</v>
          </cell>
          <cell r="J1531">
            <v>0</v>
          </cell>
          <cell r="K1531">
            <v>0</v>
          </cell>
          <cell r="L1531">
            <v>0</v>
          </cell>
          <cell r="O1531">
            <v>0</v>
          </cell>
          <cell r="P1531">
            <v>0</v>
          </cell>
          <cell r="Q1531" t="str">
            <v>61|1</v>
          </cell>
        </row>
        <row r="1532">
          <cell r="E1532" t="str">
            <v>1. ROOM INVENTORY</v>
          </cell>
          <cell r="G1532" t="str">
            <v>Building</v>
          </cell>
          <cell r="H1532" t="str">
            <v>Room</v>
          </cell>
          <cell r="I1532" t="str">
            <v>Floor</v>
          </cell>
          <cell r="J1532" t="str">
            <v>Existing Use</v>
          </cell>
          <cell r="K1532" t="str">
            <v>New Use</v>
          </cell>
          <cell r="L1532" t="str">
            <v>Rack Count</v>
          </cell>
          <cell r="O1532" t="str">
            <v>Drawing Ref</v>
          </cell>
          <cell r="P1532" t="str">
            <v>Notes</v>
          </cell>
          <cell r="Q1532" t="str">
            <v>61|2</v>
          </cell>
        </row>
        <row r="1533">
          <cell r="E1533" t="str">
            <v>1. ROOM INVENTORY</v>
          </cell>
          <cell r="G1533" t="str">
            <v>61</v>
          </cell>
          <cell r="H1533" t="str">
            <v>B13H-A</v>
          </cell>
          <cell r="I1533" t="str">
            <v>Basement</v>
          </cell>
          <cell r="J1533" t="str">
            <v>Basement telecom / support area</v>
          </cell>
          <cell r="K1533" t="str">
            <v>Telecom Room</v>
          </cell>
          <cell r="L1533">
            <v>1</v>
          </cell>
          <cell r="O1533" t="str">
            <v>61A-400 / 61E-401 / 61T-100 / 61T-401 / 61T-604 / 61T-701</v>
          </cell>
          <cell r="P1533" t="str">
            <v>Basement TR identified as RM B13H-A with Rack ID TR01-B13H-A-1. Schedules identify 88 WAO total, 74 active ports, 129 scheduled ports, 142 ports with 10% allowance. Electrical panels include B61-TRB13A/B. Mechanical cooling includes IU-0-01/CU-0-01.</v>
          </cell>
          <cell r="Q1533" t="str">
            <v>61|3</v>
          </cell>
        </row>
        <row r="1534">
          <cell r="E1534" t="str">
            <v>1. ROOM INVENTORY</v>
          </cell>
          <cell r="G1534" t="str">
            <v>61</v>
          </cell>
          <cell r="H1534" t="str">
            <v>124</v>
          </cell>
          <cell r="I1534" t="str">
            <v>First</v>
          </cell>
          <cell r="J1534" t="str">
            <v>First-level telecom area</v>
          </cell>
          <cell r="K1534" t="str">
            <v>Telecom Room</v>
          </cell>
          <cell r="L1534">
            <v>1</v>
          </cell>
          <cell r="O1534" t="str">
            <v>61A-400 / 61E-402 / 61T-101 / 61T-401 / 61T-604 / 61T-701</v>
          </cell>
          <cell r="P1534" t="str">
            <v>First-level TR identified as Room 124 / Rack ID TR01-124-1. Electrical panels include B61-TR124A/B. Mechanical cooling includes IU-1-01/CU-1-01. Verify room naming against electrical schedule references that also call out RM137B rack receptacles.</v>
          </cell>
          <cell r="Q1534" t="str">
            <v>61|4</v>
          </cell>
        </row>
        <row r="1535">
          <cell r="E1535" t="str">
            <v>1. ROOM INVENTORY</v>
          </cell>
          <cell r="G1535" t="str">
            <v>61</v>
          </cell>
          <cell r="H1535" t="str">
            <v>226</v>
          </cell>
          <cell r="I1535" t="str">
            <v>Second</v>
          </cell>
          <cell r="J1535" t="str">
            <v>Second-level telecom area</v>
          </cell>
          <cell r="K1535" t="str">
            <v>Telecom Room</v>
          </cell>
          <cell r="L1535">
            <v>1</v>
          </cell>
          <cell r="O1535" t="str">
            <v>61A-401 / 61E-402 / 61T-102 / 61T-401 / 61T-605 / 61T-702</v>
          </cell>
          <cell r="P1535" t="str">
            <v>Second-level TR identified as Room 226 / Rack ID TR01-226-1. Schedules identify 109 WAO total, 126 active ports, 156 scheduled ports, 172 ports with 10% allowance. Electrical panels include B61-TR226A/B. Mechanical cooling includes IU-2-01/CU-2-01.</v>
          </cell>
          <cell r="Q1535" t="str">
            <v>61|5</v>
          </cell>
        </row>
        <row r="1536">
          <cell r="E1536" t="str">
            <v>1. ROOM INVENTORY</v>
          </cell>
          <cell r="G1536" t="str">
            <v>61</v>
          </cell>
          <cell r="H1536" t="str">
            <v>137 / 137A</v>
          </cell>
          <cell r="I1536" t="str">
            <v>First</v>
          </cell>
          <cell r="J1536" t="str">
            <v>Existing server/demarc/telecom equipment rooms</v>
          </cell>
          <cell r="K1536" t="str">
            <v>Existing demarc / server transition point</v>
          </cell>
          <cell r="L1536">
            <v>11</v>
          </cell>
          <cell r="O1536" t="str">
            <v>61T-402 / 61T-606 / 61T-607 / 61R-900</v>
          </cell>
          <cell r="P1536" t="str">
            <v>Existing Room 137/137A rack inventory and demarc/server equipment include existing 4-post racks, PACS/equipment racks, APC UPS/PDU equipment, Fujitsu FLM equipment, wall-mounted patch panels, and local elevations. Protect active services and verify what remains, transfers, or is modified.</v>
          </cell>
          <cell r="Q1536" t="str">
            <v>61|6</v>
          </cell>
        </row>
        <row r="1537">
          <cell r="E1537" t="str">
            <v>1. ROOM INVENTORY</v>
          </cell>
          <cell r="G1537">
            <v>0</v>
          </cell>
          <cell r="H1537">
            <v>0</v>
          </cell>
          <cell r="I1537">
            <v>0</v>
          </cell>
          <cell r="J1537">
            <v>0</v>
          </cell>
          <cell r="K1537">
            <v>0</v>
          </cell>
          <cell r="L1537">
            <v>0</v>
          </cell>
          <cell r="O1537">
            <v>0</v>
          </cell>
          <cell r="P1537">
            <v>0</v>
          </cell>
          <cell r="Q1537" t="str">
            <v>61|7</v>
          </cell>
        </row>
        <row r="1538">
          <cell r="E1538" t="str">
            <v>2. ROOM READINESS</v>
          </cell>
          <cell r="G1538" t="str">
            <v>2. ROOM READINESS</v>
          </cell>
          <cell r="H1538">
            <v>0</v>
          </cell>
          <cell r="I1538">
            <v>0</v>
          </cell>
          <cell r="J1538">
            <v>0</v>
          </cell>
          <cell r="K1538">
            <v>0</v>
          </cell>
          <cell r="L1538">
            <v>0</v>
          </cell>
          <cell r="O1538">
            <v>0</v>
          </cell>
          <cell r="P1538">
            <v>0</v>
          </cell>
          <cell r="Q1538" t="str">
            <v>61|8</v>
          </cell>
        </row>
        <row r="1539">
          <cell r="E1539" t="str">
            <v>2. ROOM READINESS</v>
          </cell>
          <cell r="G1539" t="str">
            <v>Room</v>
          </cell>
          <cell r="H1539" t="str">
            <v>Walls / 1-hr Rating</v>
          </cell>
          <cell r="I1539" t="str">
            <v>Ceiling</v>
          </cell>
          <cell r="J1539" t="str">
            <v>Floor / SDC</v>
          </cell>
          <cell r="K1539" t="str">
            <v>Penetrations</v>
          </cell>
          <cell r="L1539" t="str">
            <v>Access Control</v>
          </cell>
          <cell r="O1539" t="str">
            <v>Overall</v>
          </cell>
          <cell r="P1539" t="str">
            <v>Comments</v>
          </cell>
          <cell r="Q1539" t="str">
            <v>61|9</v>
          </cell>
        </row>
        <row r="1540">
          <cell r="E1540" t="str">
            <v>2. ROOM READINESS</v>
          </cell>
          <cell r="G1540" t="str">
            <v>B13H-A</v>
          </cell>
          <cell r="H1540" t="str">
            <v>Verify</v>
          </cell>
          <cell r="I1540" t="str">
            <v>Verify</v>
          </cell>
          <cell r="J1540" t="str">
            <v>Verify</v>
          </cell>
          <cell r="K1540" t="str">
            <v>Verify</v>
          </cell>
          <cell r="L1540" t="str">
            <v>Verify</v>
          </cell>
          <cell r="O1540" t="str">
            <v>Verify</v>
          </cell>
          <cell r="P1540" t="str">
            <v>Basement TR; verify rated walls/open-to-deck conditions, door/security, floor finish, ladder rack/cable tray, future rack clearance, wall backing, and pathway entries.</v>
          </cell>
          <cell r="Q1540" t="str">
            <v>61|10</v>
          </cell>
        </row>
        <row r="1541">
          <cell r="E1541" t="str">
            <v>2. ROOM READINESS</v>
          </cell>
          <cell r="G1541" t="str">
            <v>124</v>
          </cell>
          <cell r="H1541" t="str">
            <v>Verify</v>
          </cell>
          <cell r="I1541" t="str">
            <v>Verify</v>
          </cell>
          <cell r="J1541" t="str">
            <v>Verify</v>
          </cell>
          <cell r="K1541" t="str">
            <v>Verify</v>
          </cell>
          <cell r="L1541" t="str">
            <v>Verify</v>
          </cell>
          <cell r="O1541" t="str">
            <v>Verify</v>
          </cell>
          <cell r="P1541" t="str">
            <v>First-level TR; verify rated construction, door hardware, ceiling/deck, rack/future rack clearances, wall backing, and riser/pathway entries.</v>
          </cell>
          <cell r="Q1541" t="str">
            <v>61|11</v>
          </cell>
        </row>
        <row r="1542">
          <cell r="E1542" t="str">
            <v>2. ROOM READINESS</v>
          </cell>
          <cell r="G1542" t="str">
            <v>226</v>
          </cell>
          <cell r="H1542" t="str">
            <v>Verify</v>
          </cell>
          <cell r="I1542" t="str">
            <v>Verify</v>
          </cell>
          <cell r="J1542" t="str">
            <v>Verify</v>
          </cell>
          <cell r="K1542" t="str">
            <v>Verify</v>
          </cell>
          <cell r="L1542" t="str">
            <v>Verify</v>
          </cell>
          <cell r="O1542" t="str">
            <v>Verify</v>
          </cell>
          <cell r="P1542" t="str">
            <v>Second-level TR; verify rated construction, door hardware, ceiling/deck, rack/future rack clearances, wall backing, and riser/pathway entries.</v>
          </cell>
          <cell r="Q1542" t="str">
            <v>61|12</v>
          </cell>
        </row>
        <row r="1543">
          <cell r="E1543" t="str">
            <v>2. ROOM READINESS</v>
          </cell>
          <cell r="G1543" t="str">
            <v>137 / 137A</v>
          </cell>
          <cell r="H1543" t="str">
            <v>Existing / Verify</v>
          </cell>
          <cell r="I1543" t="str">
            <v>Existing / Verify</v>
          </cell>
          <cell r="J1543" t="str">
            <v>Existing / Verify</v>
          </cell>
          <cell r="K1543" t="str">
            <v>Verify</v>
          </cell>
          <cell r="L1543" t="str">
            <v>Verify</v>
          </cell>
          <cell r="O1543" t="str">
            <v>Verify</v>
          </cell>
          <cell r="P1543" t="str">
            <v>Existing demarc/server rooms; verify existing rack inventory, operational continuity, active circuits, access control, airflow and protection-in-place.</v>
          </cell>
          <cell r="Q1543" t="str">
            <v>61|13</v>
          </cell>
        </row>
        <row r="1544">
          <cell r="E1544" t="str">
            <v>2. ROOM READINESS</v>
          </cell>
          <cell r="G1544">
            <v>0</v>
          </cell>
          <cell r="H1544">
            <v>0</v>
          </cell>
          <cell r="I1544">
            <v>0</v>
          </cell>
          <cell r="J1544">
            <v>0</v>
          </cell>
          <cell r="K1544">
            <v>0</v>
          </cell>
          <cell r="L1544">
            <v>0</v>
          </cell>
          <cell r="O1544">
            <v>0</v>
          </cell>
          <cell r="P1544">
            <v>0</v>
          </cell>
          <cell r="Q1544" t="str">
            <v>61|14</v>
          </cell>
        </row>
        <row r="1545">
          <cell r="E1545" t="str">
            <v>3. FIRE PROTECTION</v>
          </cell>
          <cell r="G1545" t="str">
            <v>3. FIRE PROTECTION</v>
          </cell>
          <cell r="H1545">
            <v>0</v>
          </cell>
          <cell r="I1545">
            <v>0</v>
          </cell>
          <cell r="J1545">
            <v>0</v>
          </cell>
          <cell r="K1545">
            <v>0</v>
          </cell>
          <cell r="L1545">
            <v>0</v>
          </cell>
          <cell r="O1545">
            <v>0</v>
          </cell>
          <cell r="P1545">
            <v>0</v>
          </cell>
          <cell r="Q1545" t="str">
            <v>61|15</v>
          </cell>
        </row>
        <row r="1546">
          <cell r="E1546" t="str">
            <v>3. FIRE PROTECTION</v>
          </cell>
          <cell r="G1546" t="str">
            <v>Room</v>
          </cell>
          <cell r="H1546" t="str">
            <v>Sprinkler</v>
          </cell>
          <cell r="I1546" t="str">
            <v>Cage</v>
          </cell>
          <cell r="J1546" t="str">
            <v>Detector</v>
          </cell>
          <cell r="K1546" t="str">
            <v>Horn/Strobe</v>
          </cell>
          <cell r="L1546" t="str">
            <v>Extinguisher &lt;75 ft</v>
          </cell>
          <cell r="O1546" t="str">
            <v>Overall</v>
          </cell>
          <cell r="P1546" t="str">
            <v>Risk / Notes</v>
          </cell>
          <cell r="Q1546" t="str">
            <v>61|16</v>
          </cell>
        </row>
        <row r="1547">
          <cell r="E1547" t="str">
            <v>3. FIRE PROTECTION</v>
          </cell>
          <cell r="G1547" t="str">
            <v>B13H-A</v>
          </cell>
          <cell r="H1547" t="str">
            <v>Verify</v>
          </cell>
          <cell r="I1547" t="str">
            <v>Verify</v>
          </cell>
          <cell r="J1547" t="str">
            <v>Verify</v>
          </cell>
          <cell r="K1547" t="str">
            <v>Verify</v>
          </cell>
          <cell r="L1547" t="str">
            <v>Verify</v>
          </cell>
          <cell r="O1547" t="str">
            <v>Verify</v>
          </cell>
          <cell r="P1547" t="str">
            <v>Dedicated TR scope includes fire protection drawings. Verify sprinkler modifications, fire alarm devices, clean-agent 2A:10B:C FEC within 75 ft, rated penetrations, and temporary firestopping.</v>
          </cell>
          <cell r="Q1547" t="str">
            <v>61|17</v>
          </cell>
        </row>
        <row r="1548">
          <cell r="E1548" t="str">
            <v>3. FIRE PROTECTION</v>
          </cell>
          <cell r="G1548" t="str">
            <v>124</v>
          </cell>
          <cell r="H1548" t="str">
            <v>Verify</v>
          </cell>
          <cell r="I1548" t="str">
            <v>Verify</v>
          </cell>
          <cell r="J1548" t="str">
            <v>Verify</v>
          </cell>
          <cell r="K1548" t="str">
            <v>Verify</v>
          </cell>
          <cell r="L1548" t="str">
            <v>Verify</v>
          </cell>
          <cell r="O1548" t="str">
            <v>Verify</v>
          </cell>
          <cell r="P1548" t="str">
            <v>Verify sprinkler/fire alarm modifications, clean-agent FEC location, penetrations, cable tray/riser openings, and final UL firestop systems.</v>
          </cell>
          <cell r="Q1548" t="str">
            <v>61|18</v>
          </cell>
        </row>
        <row r="1549">
          <cell r="E1549" t="str">
            <v>3. FIRE PROTECTION</v>
          </cell>
          <cell r="G1549" t="str">
            <v>226</v>
          </cell>
          <cell r="H1549" t="str">
            <v>Verify</v>
          </cell>
          <cell r="I1549" t="str">
            <v>Verify</v>
          </cell>
          <cell r="J1549" t="str">
            <v>Verify</v>
          </cell>
          <cell r="K1549" t="str">
            <v>Verify</v>
          </cell>
          <cell r="L1549" t="str">
            <v>Verify</v>
          </cell>
          <cell r="O1549" t="str">
            <v>Verify</v>
          </cell>
          <cell r="P1549" t="str">
            <v>Verify second-level TR sprinkler/fire alarm modifications, clean-agent FEC location, vertical riser penetrations, and firestopping.</v>
          </cell>
          <cell r="Q1549" t="str">
            <v>61|19</v>
          </cell>
        </row>
        <row r="1550">
          <cell r="E1550" t="str">
            <v>3. FIRE PROTECTION</v>
          </cell>
          <cell r="G1550" t="str">
            <v>137 / 137A</v>
          </cell>
          <cell r="H1550" t="str">
            <v>Verify</v>
          </cell>
          <cell r="I1550" t="str">
            <v>N/A</v>
          </cell>
          <cell r="J1550" t="str">
            <v>Verify</v>
          </cell>
          <cell r="K1550" t="str">
            <v>Verify</v>
          </cell>
          <cell r="L1550" t="str">
            <v>Verify</v>
          </cell>
          <cell r="O1550" t="str">
            <v>Verify</v>
          </cell>
          <cell r="P1550" t="str">
            <v>Existing demarc/server rooms may remain active; verify protection-in-place, FA/FP continuity, and no unsealed penetrations after cabling work.</v>
          </cell>
          <cell r="Q1550" t="str">
            <v>61|20</v>
          </cell>
        </row>
        <row r="1551">
          <cell r="E1551" t="str">
            <v>3. FIRE PROTECTION</v>
          </cell>
          <cell r="G1551">
            <v>0</v>
          </cell>
          <cell r="H1551">
            <v>0</v>
          </cell>
          <cell r="I1551">
            <v>0</v>
          </cell>
          <cell r="J1551">
            <v>0</v>
          </cell>
          <cell r="K1551">
            <v>0</v>
          </cell>
          <cell r="L1551">
            <v>0</v>
          </cell>
          <cell r="O1551">
            <v>0</v>
          </cell>
          <cell r="P1551">
            <v>0</v>
          </cell>
          <cell r="Q1551" t="str">
            <v>61|21</v>
          </cell>
        </row>
        <row r="1552">
          <cell r="E1552" t="str">
            <v>4. HVAC / COOLING</v>
          </cell>
          <cell r="G1552" t="str">
            <v>4. HVAC / COOLING</v>
          </cell>
          <cell r="H1552">
            <v>0</v>
          </cell>
          <cell r="I1552">
            <v>0</v>
          </cell>
          <cell r="J1552">
            <v>0</v>
          </cell>
          <cell r="K1552">
            <v>0</v>
          </cell>
          <cell r="L1552">
            <v>0</v>
          </cell>
          <cell r="O1552">
            <v>0</v>
          </cell>
          <cell r="P1552">
            <v>0</v>
          </cell>
          <cell r="Q1552" t="str">
            <v>61|22</v>
          </cell>
        </row>
        <row r="1553">
          <cell r="E1553" t="str">
            <v>4. HVAC / COOLING</v>
          </cell>
          <cell r="G1553" t="str">
            <v>Room</v>
          </cell>
          <cell r="H1553" t="str">
            <v>Dedicated Unit</v>
          </cell>
          <cell r="I1553" t="str">
            <v>Capacity Verified</v>
          </cell>
          <cell r="J1553" t="str">
            <v>Emergency Power</v>
          </cell>
          <cell r="K1553" t="str">
            <v>Controls / BACnet</v>
          </cell>
          <cell r="L1553" t="str">
            <v>Condensate Routed</v>
          </cell>
          <cell r="O1553" t="str">
            <v>Overall</v>
          </cell>
          <cell r="P1553" t="str">
            <v>Risk / Notes</v>
          </cell>
          <cell r="Q1553" t="str">
            <v>61|23</v>
          </cell>
        </row>
        <row r="1554">
          <cell r="E1554" t="str">
            <v>4. HVAC / COOLING</v>
          </cell>
          <cell r="G1554" t="str">
            <v>B13H-A</v>
          </cell>
          <cell r="H1554" t="str">
            <v>IU-0-01 / CU-0-01</v>
          </cell>
          <cell r="I1554" t="str">
            <v>Verify</v>
          </cell>
          <cell r="J1554" t="str">
            <v>Verify</v>
          </cell>
          <cell r="K1554" t="str">
            <v>Verify</v>
          </cell>
          <cell r="L1554" t="str">
            <v>Verify</v>
          </cell>
          <cell r="O1554" t="str">
            <v>Verify</v>
          </cell>
          <cell r="P1554" t="str">
            <v>Mechanical sheets identify dedicated split-system cooling with BACnet adapter mounted adjacent to unit in telecom room. Confirm capacity, emergency source, condensate, disconnect, controls, and alarms.</v>
          </cell>
          <cell r="Q1554" t="str">
            <v>61|24</v>
          </cell>
        </row>
        <row r="1555">
          <cell r="E1555" t="str">
            <v>4. HVAC / COOLING</v>
          </cell>
          <cell r="G1555" t="str">
            <v>124</v>
          </cell>
          <cell r="H1555" t="str">
            <v>IU-1-01 / CU-1-01</v>
          </cell>
          <cell r="I1555" t="str">
            <v>Verify</v>
          </cell>
          <cell r="J1555" t="str">
            <v>Verify</v>
          </cell>
          <cell r="K1555" t="str">
            <v>Verify</v>
          </cell>
          <cell r="L1555" t="str">
            <v>Verify</v>
          </cell>
          <cell r="O1555" t="str">
            <v>Verify</v>
          </cell>
          <cell r="P1555" t="str">
            <v>Mechanical/electrical plans identify IU-1-01/CU-1-01 for first-level TR. Confirm 24/7 operation, emergency/standby source and high-temp alarm.</v>
          </cell>
          <cell r="Q1555" t="str">
            <v>61|25</v>
          </cell>
        </row>
        <row r="1556">
          <cell r="E1556" t="str">
            <v>4. HVAC / COOLING</v>
          </cell>
          <cell r="G1556" t="str">
            <v>226</v>
          </cell>
          <cell r="H1556" t="str">
            <v>IU-2-01 / CU-2-01</v>
          </cell>
          <cell r="I1556" t="str">
            <v>Verify</v>
          </cell>
          <cell r="J1556" t="str">
            <v>Verify</v>
          </cell>
          <cell r="K1556" t="str">
            <v>Verify</v>
          </cell>
          <cell r="L1556" t="str">
            <v>Verify</v>
          </cell>
          <cell r="O1556" t="str">
            <v>Verify</v>
          </cell>
          <cell r="P1556" t="str">
            <v>Mechanical/electrical plans identify IU-2-01/CU-2-01 for second-level TR. Confirm refrigerant route, condensate route, controls and alarm tie-in.</v>
          </cell>
          <cell r="Q1556" t="str">
            <v>61|26</v>
          </cell>
        </row>
        <row r="1557">
          <cell r="E1557" t="str">
            <v>4. HVAC / COOLING</v>
          </cell>
          <cell r="G1557" t="str">
            <v>137 / 137A</v>
          </cell>
          <cell r="H1557" t="str">
            <v>Existing / Verify</v>
          </cell>
          <cell r="I1557" t="str">
            <v>Verify</v>
          </cell>
          <cell r="J1557" t="str">
            <v>Verify</v>
          </cell>
          <cell r="K1557" t="str">
            <v>Verify</v>
          </cell>
          <cell r="L1557" t="str">
            <v>Verify</v>
          </cell>
          <cell r="O1557" t="str">
            <v>Verify</v>
          </cell>
          <cell r="P1557" t="str">
            <v>Existing demarc/server equipment likely has existing cooling dependencies. Verify active equipment heat load, airflow, operational temperatures and whether any existing cooling is modified or protected.</v>
          </cell>
          <cell r="Q1557" t="str">
            <v>61|27</v>
          </cell>
        </row>
        <row r="1558">
          <cell r="E1558" t="str">
            <v>4. HVAC / COOLING</v>
          </cell>
          <cell r="G1558">
            <v>0</v>
          </cell>
          <cell r="H1558">
            <v>0</v>
          </cell>
          <cell r="I1558">
            <v>0</v>
          </cell>
          <cell r="J1558">
            <v>0</v>
          </cell>
          <cell r="K1558">
            <v>0</v>
          </cell>
          <cell r="L1558">
            <v>0</v>
          </cell>
          <cell r="O1558">
            <v>0</v>
          </cell>
          <cell r="P1558">
            <v>0</v>
          </cell>
          <cell r="Q1558" t="str">
            <v>61|28</v>
          </cell>
        </row>
        <row r="1559">
          <cell r="E1559" t="str">
            <v>5. ELECTRICAL / UPS</v>
          </cell>
          <cell r="G1559" t="str">
            <v>5. ELECTRICAL / UPS</v>
          </cell>
          <cell r="H1559">
            <v>0</v>
          </cell>
          <cell r="I1559">
            <v>0</v>
          </cell>
          <cell r="J1559">
            <v>0</v>
          </cell>
          <cell r="K1559">
            <v>0</v>
          </cell>
          <cell r="L1559">
            <v>0</v>
          </cell>
          <cell r="O1559">
            <v>0</v>
          </cell>
          <cell r="P1559">
            <v>0</v>
          </cell>
          <cell r="Q1559" t="str">
            <v>61|29</v>
          </cell>
        </row>
        <row r="1560">
          <cell r="E1560" t="str">
            <v>5. ELECTRICAL / UPS</v>
          </cell>
          <cell r="G1560" t="str">
            <v>Room</v>
          </cell>
          <cell r="H1560" t="str">
            <v>UPS Installed</v>
          </cell>
          <cell r="I1560" t="str">
            <v>UPS Size</v>
          </cell>
          <cell r="J1560" t="str">
            <v>PDU Installed</v>
          </cell>
          <cell r="K1560" t="str">
            <v>Rack Receptacles</v>
          </cell>
          <cell r="L1560" t="str">
            <v>Panel Assigned</v>
          </cell>
          <cell r="O1560" t="str">
            <v>Overall</v>
          </cell>
          <cell r="P1560" t="str">
            <v>Notes</v>
          </cell>
          <cell r="Q1560" t="str">
            <v>61|30</v>
          </cell>
        </row>
        <row r="1561">
          <cell r="E1561" t="str">
            <v>5. ELECTRICAL / UPS</v>
          </cell>
          <cell r="G1561" t="str">
            <v>B13H-A</v>
          </cell>
          <cell r="H1561" t="str">
            <v>Verify</v>
          </cell>
          <cell r="I1561" t="str">
            <v>5 kW / 208V rack UPS</v>
          </cell>
          <cell r="J1561" t="str">
            <v>Verify</v>
          </cell>
          <cell r="K1561" t="str">
            <v>Verify</v>
          </cell>
          <cell r="L1561" t="str">
            <v>B61-TRB13A / B61-TRB13B</v>
          </cell>
          <cell r="O1561" t="str">
            <v>Verify</v>
          </cell>
          <cell r="P1561" t="str">
            <v>Electrical enlarged plans and schedules identify rack receptacles, UPS circuits, PDUs, panelboards, SPD devices and dedicated cooling power for B13H-A. Verify B61-TRB13A/B source, LOTO and labels.</v>
          </cell>
          <cell r="Q1561" t="str">
            <v>61|31</v>
          </cell>
        </row>
        <row r="1562">
          <cell r="E1562" t="str">
            <v>5. ELECTRICAL / UPS</v>
          </cell>
          <cell r="G1562" t="str">
            <v>124</v>
          </cell>
          <cell r="H1562" t="str">
            <v>Verify</v>
          </cell>
          <cell r="I1562" t="str">
            <v>5 kW / 208V rack UPS</v>
          </cell>
          <cell r="J1562" t="str">
            <v>Verify</v>
          </cell>
          <cell r="K1562" t="str">
            <v>Verify</v>
          </cell>
          <cell r="L1562" t="str">
            <v>B61-TR124A / B61-TR124B</v>
          </cell>
          <cell r="O1562" t="str">
            <v>Verify</v>
          </cell>
          <cell r="P1562" t="str">
            <v>Electrical schedules identify B61-TR124A/B and rack receptacles. Verify apparent room-name mismatch with RM137B rack receptacles in schedules.</v>
          </cell>
          <cell r="Q1562" t="str">
            <v>61|32</v>
          </cell>
        </row>
        <row r="1563">
          <cell r="E1563" t="str">
            <v>5. ELECTRICAL / UPS</v>
          </cell>
          <cell r="G1563" t="str">
            <v>226</v>
          </cell>
          <cell r="H1563" t="str">
            <v>Verify</v>
          </cell>
          <cell r="I1563" t="str">
            <v>5 kW / 208V rack UPS</v>
          </cell>
          <cell r="J1563" t="str">
            <v>Verify</v>
          </cell>
          <cell r="K1563" t="str">
            <v>Verify</v>
          </cell>
          <cell r="L1563" t="str">
            <v>B61-TR226A / B61-TR226B</v>
          </cell>
          <cell r="O1563" t="str">
            <v>Verify</v>
          </cell>
          <cell r="P1563" t="str">
            <v>Electrical schedules identify B61-TR226A/B, rack receptacles, CU-2-01 and SPD requirements. Verify source circuits and labels.</v>
          </cell>
          <cell r="Q1563" t="str">
            <v>61|33</v>
          </cell>
        </row>
        <row r="1564">
          <cell r="E1564" t="str">
            <v>5. ELECTRICAL / UPS</v>
          </cell>
          <cell r="G1564" t="str">
            <v>137 / 137A</v>
          </cell>
          <cell r="H1564" t="str">
            <v>Existing / Verify</v>
          </cell>
          <cell r="I1564" t="str">
            <v>Existing APC UPS/PDU</v>
          </cell>
          <cell r="J1564" t="str">
            <v>Existing / Verify</v>
          </cell>
          <cell r="K1564" t="str">
            <v>Verify</v>
          </cell>
          <cell r="L1564" t="str">
            <v>B61-TR137AA / B61-TR137AB / existing</v>
          </cell>
          <cell r="O1564" t="str">
            <v>Verify</v>
          </cell>
          <cell r="P1564" t="str">
            <v>Existing rack inventory includes APC UPS/PDU and server/demarc equipment. Electrical one-line/schedules list B61-TR137AA/AB and PD-B61-TR137 panels; verify active sources and transition impact.</v>
          </cell>
          <cell r="Q1564" t="str">
            <v>61|34</v>
          </cell>
        </row>
        <row r="1565">
          <cell r="E1565" t="str">
            <v>5. ELECTRICAL / UPS</v>
          </cell>
          <cell r="G1565">
            <v>0</v>
          </cell>
          <cell r="H1565">
            <v>0</v>
          </cell>
          <cell r="I1565">
            <v>0</v>
          </cell>
          <cell r="J1565">
            <v>0</v>
          </cell>
          <cell r="K1565">
            <v>0</v>
          </cell>
          <cell r="L1565">
            <v>0</v>
          </cell>
          <cell r="O1565">
            <v>0</v>
          </cell>
          <cell r="P1565">
            <v>0</v>
          </cell>
          <cell r="Q1565" t="str">
            <v>61|35</v>
          </cell>
        </row>
        <row r="1566">
          <cell r="E1566" t="str">
            <v>6. TELECOMMUNICATIONS</v>
          </cell>
          <cell r="G1566" t="str">
            <v>6. TELECOMMUNICATIONS</v>
          </cell>
          <cell r="H1566">
            <v>0</v>
          </cell>
          <cell r="I1566">
            <v>0</v>
          </cell>
          <cell r="J1566">
            <v>0</v>
          </cell>
          <cell r="K1566">
            <v>0</v>
          </cell>
          <cell r="L1566">
            <v>0</v>
          </cell>
          <cell r="O1566">
            <v>0</v>
          </cell>
          <cell r="P1566">
            <v>0</v>
          </cell>
          <cell r="Q1566" t="str">
            <v>61|36</v>
          </cell>
        </row>
        <row r="1567">
          <cell r="E1567" t="str">
            <v>6. TELECOMMUNICATIONS</v>
          </cell>
          <cell r="G1567" t="str">
            <v>Room</v>
          </cell>
          <cell r="H1567" t="str">
            <v>Rack Installed</v>
          </cell>
          <cell r="I1567" t="str">
            <v>Ladder Tray</v>
          </cell>
          <cell r="J1567" t="str">
            <v>Fiber Installed</v>
          </cell>
          <cell r="K1567" t="str">
            <v>Grounding</v>
          </cell>
          <cell r="L1567" t="str">
            <v>Labeling</v>
          </cell>
          <cell r="O1567" t="str">
            <v>Overall</v>
          </cell>
          <cell r="P1567" t="str">
            <v>Notes</v>
          </cell>
          <cell r="Q1567" t="str">
            <v>61|37</v>
          </cell>
        </row>
        <row r="1568">
          <cell r="E1568" t="str">
            <v>6. TELECOMMUNICATIONS</v>
          </cell>
          <cell r="G1568" t="str">
            <v>B13H-A</v>
          </cell>
          <cell r="H1568" t="str">
            <v>Verify</v>
          </cell>
          <cell r="I1568" t="str">
            <v>Verify</v>
          </cell>
          <cell r="J1568" t="str">
            <v>Verify</v>
          </cell>
          <cell r="K1568" t="str">
            <v>Verify</v>
          </cell>
          <cell r="L1568" t="str">
            <v>Verify</v>
          </cell>
          <cell r="O1568" t="str">
            <v>Verify</v>
          </cell>
          <cell r="P1568" t="str">
            <v>61T-701: 88 WAO total, 74 active ports, 129 scheduled ports, 142 with 10% allowance. Rack ID TR01-B13H-A-1. Basement cable tray included in 890 ft basement total.</v>
          </cell>
          <cell r="Q1568" t="str">
            <v>61|38</v>
          </cell>
        </row>
        <row r="1569">
          <cell r="E1569" t="str">
            <v>6. TELECOMMUNICATIONS</v>
          </cell>
          <cell r="G1569" t="str">
            <v>124</v>
          </cell>
          <cell r="H1569" t="str">
            <v>Verify</v>
          </cell>
          <cell r="I1569" t="str">
            <v>Verify</v>
          </cell>
          <cell r="J1569" t="str">
            <v>Verify</v>
          </cell>
          <cell r="K1569" t="str">
            <v>Verify</v>
          </cell>
          <cell r="L1569" t="str">
            <v>Verify</v>
          </cell>
          <cell r="O1569" t="str">
            <v>Verify</v>
          </cell>
          <cell r="P1569" t="str">
            <v>61T-701: first-level Room 124 / Rack ID TR01-124-1. Schedule data runs across first-level outlets. Include labels, Fiber LIU, Cat6A patch panels, UPS/PDU and VA/OIT acceptance.</v>
          </cell>
          <cell r="Q1569" t="str">
            <v>61|39</v>
          </cell>
        </row>
        <row r="1570">
          <cell r="E1570" t="str">
            <v>6. TELECOMMUNICATIONS</v>
          </cell>
          <cell r="G1570" t="str">
            <v>226</v>
          </cell>
          <cell r="H1570" t="str">
            <v>Verify</v>
          </cell>
          <cell r="I1570" t="str">
            <v>Verify</v>
          </cell>
          <cell r="J1570" t="str">
            <v>Verify</v>
          </cell>
          <cell r="K1570" t="str">
            <v>Verify</v>
          </cell>
          <cell r="L1570" t="str">
            <v>Verify</v>
          </cell>
          <cell r="O1570" t="str">
            <v>Verify</v>
          </cell>
          <cell r="P1570" t="str">
            <v>61T-702: 109 WAO total, 126 active ports, 156 scheduled ports, 172 with 10% allowance. Rack ID TR01-226-1. Verify second-level cable tray and riser penetrations.</v>
          </cell>
          <cell r="Q1570" t="str">
            <v>61|40</v>
          </cell>
        </row>
        <row r="1571">
          <cell r="E1571" t="str">
            <v>6. TELECOMMUNICATIONS</v>
          </cell>
          <cell r="G1571" t="str">
            <v>137 / 137A</v>
          </cell>
          <cell r="H1571" t="str">
            <v>Existing / Verify</v>
          </cell>
          <cell r="I1571" t="str">
            <v>Existing / Verify</v>
          </cell>
          <cell r="J1571" t="str">
            <v>Existing / Verify</v>
          </cell>
          <cell r="K1571" t="str">
            <v>Verify</v>
          </cell>
          <cell r="L1571" t="str">
            <v>Verify</v>
          </cell>
          <cell r="O1571" t="str">
            <v>Verify</v>
          </cell>
          <cell r="P1571" t="str">
            <v>61T-402/606/607 inventory existing demarc/server racks and equipment. Protect active systems, coordinate cutover, preserve labels, document equipment remaining in service.</v>
          </cell>
          <cell r="Q1571" t="str">
            <v>61|41</v>
          </cell>
        </row>
        <row r="1572">
          <cell r="E1572" t="str">
            <v>6. TELECOMMUNICATIONS</v>
          </cell>
          <cell r="G1572">
            <v>0</v>
          </cell>
          <cell r="H1572">
            <v>0</v>
          </cell>
          <cell r="I1572">
            <v>0</v>
          </cell>
          <cell r="J1572">
            <v>0</v>
          </cell>
          <cell r="K1572">
            <v>0</v>
          </cell>
          <cell r="L1572">
            <v>0</v>
          </cell>
          <cell r="O1572">
            <v>0</v>
          </cell>
          <cell r="P1572">
            <v>0</v>
          </cell>
          <cell r="Q1572" t="str">
            <v>61|42</v>
          </cell>
        </row>
        <row r="1573">
          <cell r="E1573" t="str">
            <v>7. SECURITY / PACS / CCTV</v>
          </cell>
          <cell r="G1573" t="str">
            <v>7. SECURITY / PACS / CCTV</v>
          </cell>
          <cell r="H1573">
            <v>0</v>
          </cell>
          <cell r="I1573">
            <v>0</v>
          </cell>
          <cell r="J1573">
            <v>0</v>
          </cell>
          <cell r="K1573">
            <v>0</v>
          </cell>
          <cell r="L1573">
            <v>0</v>
          </cell>
          <cell r="O1573">
            <v>0</v>
          </cell>
          <cell r="P1573">
            <v>0</v>
          </cell>
          <cell r="Q1573" t="str">
            <v>61|43</v>
          </cell>
        </row>
        <row r="1574">
          <cell r="E1574" t="str">
            <v>7. SECURITY / PACS / CCTV</v>
          </cell>
          <cell r="G1574" t="str">
            <v>Room</v>
          </cell>
          <cell r="H1574" t="str">
            <v>PACS</v>
          </cell>
          <cell r="I1574" t="str">
            <v>Card Reader</v>
          </cell>
          <cell r="J1574" t="str">
            <v>Door Position</v>
          </cell>
          <cell r="K1574" t="str">
            <v>Electric Strike</v>
          </cell>
          <cell r="L1574" t="str">
            <v>CCTV</v>
          </cell>
          <cell r="O1574" t="str">
            <v>Overall</v>
          </cell>
          <cell r="P1574" t="str">
            <v>Notes</v>
          </cell>
          <cell r="Q1574" t="str">
            <v>61|44</v>
          </cell>
        </row>
        <row r="1575">
          <cell r="E1575" t="str">
            <v>7. SECURITY / PACS / CCTV</v>
          </cell>
          <cell r="G1575" t="str">
            <v>B13H-A</v>
          </cell>
          <cell r="H1575" t="str">
            <v>Verify</v>
          </cell>
          <cell r="I1575" t="str">
            <v>Verify</v>
          </cell>
          <cell r="J1575" t="str">
            <v>Verify</v>
          </cell>
          <cell r="K1575" t="str">
            <v>Verify</v>
          </cell>
          <cell r="L1575" t="str">
            <v>Verify</v>
          </cell>
          <cell r="O1575" t="str">
            <v>Verify</v>
          </cell>
          <cell r="P1575" t="str">
            <v>Telecom plans call for wall-mounted CCTV at TRs and PACS for TR doors. Verify camera, controller, CR/RX/DC/ES/MD, and VMS/PACS integration.</v>
          </cell>
          <cell r="Q1575" t="str">
            <v>61|45</v>
          </cell>
        </row>
        <row r="1576">
          <cell r="E1576" t="str">
            <v>7. SECURITY / PACS / CCTV</v>
          </cell>
          <cell r="G1576" t="str">
            <v>124</v>
          </cell>
          <cell r="H1576" t="str">
            <v>Verify</v>
          </cell>
          <cell r="I1576" t="str">
            <v>Verify</v>
          </cell>
          <cell r="J1576" t="str">
            <v>Verify</v>
          </cell>
          <cell r="K1576" t="str">
            <v>Verify</v>
          </cell>
          <cell r="L1576" t="str">
            <v>Verify</v>
          </cell>
          <cell r="O1576" t="str">
            <v>Verify</v>
          </cell>
          <cell r="P1576" t="str">
            <v>Verify TR door hardware and access control, CCTV camera, network door controller and integration.</v>
          </cell>
          <cell r="Q1576" t="str">
            <v>61|46</v>
          </cell>
        </row>
        <row r="1577">
          <cell r="E1577" t="str">
            <v>7. SECURITY / PACS / CCTV</v>
          </cell>
          <cell r="G1577" t="str">
            <v>226</v>
          </cell>
          <cell r="H1577" t="str">
            <v>Verify</v>
          </cell>
          <cell r="I1577" t="str">
            <v>Verify</v>
          </cell>
          <cell r="J1577" t="str">
            <v>Verify</v>
          </cell>
          <cell r="K1577" t="str">
            <v>Verify</v>
          </cell>
          <cell r="L1577" t="str">
            <v>Verify</v>
          </cell>
          <cell r="O1577" t="str">
            <v>Verify</v>
          </cell>
          <cell r="P1577" t="str">
            <v>Verify second-level TR access control, CCTV camera, door hardware, and VMS/PACS integration.</v>
          </cell>
          <cell r="Q1577" t="str">
            <v>61|47</v>
          </cell>
        </row>
        <row r="1578">
          <cell r="E1578" t="str">
            <v>7. SECURITY / PACS / CCTV</v>
          </cell>
          <cell r="G1578" t="str">
            <v>137 / 137A</v>
          </cell>
          <cell r="H1578" t="str">
            <v>Existing / Verify</v>
          </cell>
          <cell r="I1578" t="str">
            <v>Existing / Verify</v>
          </cell>
          <cell r="J1578" t="str">
            <v>Existing / Verify</v>
          </cell>
          <cell r="K1578" t="str">
            <v>Existing / Verify</v>
          </cell>
          <cell r="L1578" t="str">
            <v>Verify</v>
          </cell>
          <cell r="O1578" t="str">
            <v>Verify</v>
          </cell>
          <cell r="P1578" t="str">
            <v>Existing PACS/equipment racks are referenced. Verify existing security devices protected-in-place and any new recabling or integration scope.</v>
          </cell>
          <cell r="Q1578" t="str">
            <v>61|48</v>
          </cell>
        </row>
        <row r="1579">
          <cell r="E1579" t="str">
            <v>7. SECURITY / PACS / CCTV</v>
          </cell>
          <cell r="G1579">
            <v>0</v>
          </cell>
          <cell r="H1579">
            <v>0</v>
          </cell>
          <cell r="I1579">
            <v>0</v>
          </cell>
          <cell r="J1579">
            <v>0</v>
          </cell>
          <cell r="K1579">
            <v>0</v>
          </cell>
          <cell r="L1579">
            <v>0</v>
          </cell>
          <cell r="O1579">
            <v>0</v>
          </cell>
          <cell r="P1579">
            <v>0</v>
          </cell>
          <cell r="Q1579" t="str">
            <v>61|49</v>
          </cell>
        </row>
        <row r="1580">
          <cell r="E1580" t="str">
            <v>8. OWNER RISKS</v>
          </cell>
          <cell r="G1580" t="str">
            <v>8. OWNER RISKS</v>
          </cell>
          <cell r="H1580">
            <v>0</v>
          </cell>
          <cell r="I1580">
            <v>0</v>
          </cell>
          <cell r="J1580">
            <v>0</v>
          </cell>
          <cell r="K1580">
            <v>0</v>
          </cell>
          <cell r="L1580">
            <v>0</v>
          </cell>
          <cell r="O1580">
            <v>0</v>
          </cell>
          <cell r="P1580">
            <v>0</v>
          </cell>
          <cell r="Q1580" t="str">
            <v>61|50</v>
          </cell>
        </row>
        <row r="1581">
          <cell r="E1581" t="str">
            <v>8. OWNER RISKS</v>
          </cell>
          <cell r="G1581" t="str">
            <v>Risk ID</v>
          </cell>
          <cell r="H1581" t="str">
            <v>Room</v>
          </cell>
          <cell r="I1581" t="str">
            <v>Risk</v>
          </cell>
          <cell r="J1581" t="str">
            <v>Impact</v>
          </cell>
          <cell r="K1581" t="str">
            <v>Probability</v>
          </cell>
          <cell r="L1581" t="str">
            <v>Score</v>
          </cell>
          <cell r="O1581" t="str">
            <v>Status</v>
          </cell>
          <cell r="P1581" t="str">
            <v>Notes</v>
          </cell>
          <cell r="Q1581" t="str">
            <v>61|51</v>
          </cell>
        </row>
        <row r="1582">
          <cell r="E1582" t="str">
            <v>8. OWNER RISKS</v>
          </cell>
          <cell r="G1582" t="str">
            <v>B61-R1</v>
          </cell>
          <cell r="H1582" t="str">
            <v>All</v>
          </cell>
          <cell r="I1582" t="str">
            <v>Existing conditions and active equipment across B13H-A, 124, 226 and 137/137A not field verified</v>
          </cell>
          <cell r="J1582" t="str">
            <v>High</v>
          </cell>
          <cell r="K1582" t="str">
            <v>Medium</v>
          </cell>
          <cell r="L1582">
            <v>6</v>
          </cell>
          <cell r="O1582" t="str">
            <v>Closed</v>
          </cell>
          <cell r="P1582" t="str">
            <v>Large multi-room scope with active demarc/server equipment.</v>
          </cell>
          <cell r="Q1582" t="str">
            <v>61|52</v>
          </cell>
        </row>
        <row r="1583">
          <cell r="E1583" t="str">
            <v>8. OWNER RISKS</v>
          </cell>
          <cell r="G1583" t="str">
            <v>B61-R2</v>
          </cell>
          <cell r="H1583" t="str">
            <v>B13H-A / 124 / 226</v>
          </cell>
          <cell r="I1583" t="str">
            <v>Hazardous material abatement plans exist for first and second levels</v>
          </cell>
          <cell r="J1583" t="str">
            <v>High</v>
          </cell>
          <cell r="K1583" t="str">
            <v>Medium</v>
          </cell>
          <cell r="L1583">
            <v>6</v>
          </cell>
          <cell r="O1583" t="str">
            <v>Closed</v>
          </cell>
          <cell r="P1583" t="str">
            <v>Drawing index includes 61H-101 and 61H-102 hazardous material abatement plans.</v>
          </cell>
          <cell r="Q1583" t="str">
            <v>61|53</v>
          </cell>
        </row>
        <row r="1584">
          <cell r="E1584" t="str">
            <v>8. OWNER RISKS</v>
          </cell>
          <cell r="G1584" t="str">
            <v>B61-R3</v>
          </cell>
          <cell r="H1584" t="str">
            <v>137 / 137A</v>
          </cell>
          <cell r="I1584" t="str">
            <v>Existing server/demarc equipment may remain active during cutover</v>
          </cell>
          <cell r="J1584" t="str">
            <v>Critical</v>
          </cell>
          <cell r="K1584" t="str">
            <v>Medium</v>
          </cell>
          <cell r="L1584">
            <v>8</v>
          </cell>
          <cell r="O1584" t="str">
            <v>Closed</v>
          </cell>
          <cell r="P1584" t="str">
            <v>Existing APC/Fujitsu/rack/patch equipment shown in Room 137 inventory/rack elevations.</v>
          </cell>
          <cell r="Q1584" t="str">
            <v>61|54</v>
          </cell>
        </row>
        <row r="1585">
          <cell r="E1585" t="str">
            <v>8. OWNER RISKS</v>
          </cell>
          <cell r="G1585" t="str">
            <v>B61-R4</v>
          </cell>
          <cell r="H1585" t="str">
            <v>All TRs</v>
          </cell>
          <cell r="I1585" t="str">
            <v>Dedicated cooling sequence, emergency power, condensate, BACnet and alarms not verified</v>
          </cell>
          <cell r="J1585" t="str">
            <v>Critical</v>
          </cell>
          <cell r="K1585" t="str">
            <v>Medium</v>
          </cell>
          <cell r="L1585">
            <v>8</v>
          </cell>
          <cell r="O1585" t="str">
            <v>Closed</v>
          </cell>
          <cell r="P1585" t="str">
            <v>Cooling is central to TR/server readiness.</v>
          </cell>
          <cell r="Q1585" t="str">
            <v>61|55</v>
          </cell>
        </row>
        <row r="1586">
          <cell r="E1586" t="str">
            <v>8. OWNER RISKS</v>
          </cell>
          <cell r="G1586" t="str">
            <v>B61-R5</v>
          </cell>
          <cell r="H1586" t="str">
            <v>All TRs</v>
          </cell>
          <cell r="I1586" t="str">
            <v>Panel source, UPS/PDU and rack receptacle coordination could delay energization</v>
          </cell>
          <cell r="J1586" t="str">
            <v>Critical</v>
          </cell>
          <cell r="K1586" t="str">
            <v>Medium</v>
          </cell>
          <cell r="L1586">
            <v>8</v>
          </cell>
          <cell r="O1586" t="str">
            <v>Closed</v>
          </cell>
          <cell r="P1586" t="str">
            <v>Multiple telecom panelboards and PD panels shown.</v>
          </cell>
          <cell r="Q1586" t="str">
            <v>61|56</v>
          </cell>
        </row>
        <row r="1587">
          <cell r="E1587" t="str">
            <v>8. OWNER RISKS</v>
          </cell>
          <cell r="G1587" t="str">
            <v>B61-R6</v>
          </cell>
          <cell r="H1587" t="str">
            <v>All</v>
          </cell>
          <cell r="I1587" t="str">
            <v>Large cable tray scope creates coordination and firestop risk</v>
          </cell>
          <cell r="J1587" t="str">
            <v>High</v>
          </cell>
          <cell r="K1587" t="str">
            <v>Medium</v>
          </cell>
          <cell r="L1587">
            <v>6</v>
          </cell>
          <cell r="O1587" t="str">
            <v>Closed</v>
          </cell>
          <cell r="P1587" t="str">
            <v>Cable tray schedule: basement 890 ft, first 499 ft, second 578 ft.</v>
          </cell>
          <cell r="Q1587" t="str">
            <v>61|57</v>
          </cell>
        </row>
        <row r="1588">
          <cell r="E1588" t="str">
            <v>8. OWNER RISKS</v>
          </cell>
          <cell r="G1588" t="str">
            <v>B61-R7</v>
          </cell>
          <cell r="H1588" t="str">
            <v>All</v>
          </cell>
          <cell r="I1588" t="str">
            <v>Telecom/fiber cutover could affect active hospital communications and server/demarc services</v>
          </cell>
          <cell r="J1588" t="str">
            <v>Critical</v>
          </cell>
          <cell r="K1588" t="str">
            <v>Medium</v>
          </cell>
          <cell r="L1588">
            <v>8</v>
          </cell>
          <cell r="O1588" t="str">
            <v>Closed</v>
          </cell>
          <cell r="P1588" t="str">
            <v>WAO counts and active ports are substantial across B13H-A, 124 and 226.</v>
          </cell>
          <cell r="Q1588" t="str">
            <v>61|58</v>
          </cell>
        </row>
        <row r="1589">
          <cell r="E1589" t="str">
            <v>8. OWNER RISKS</v>
          </cell>
          <cell r="G1589" t="str">
            <v>B61-R8</v>
          </cell>
          <cell r="H1589" t="str">
            <v>All</v>
          </cell>
          <cell r="I1589" t="str">
            <v>Commissioning/third-party inspection reports may not be complete at turnover</v>
          </cell>
          <cell r="J1589" t="str">
            <v>High</v>
          </cell>
          <cell r="K1589" t="str">
            <v>Medium</v>
          </cell>
          <cell r="L1589">
            <v>6</v>
          </cell>
          <cell r="O1589" t="str">
            <v>Closed</v>
          </cell>
          <cell r="P1589" t="str">
            <v>Full-scope building with multiple divisions.</v>
          </cell>
          <cell r="Q1589" t="str">
            <v>61|59</v>
          </cell>
        </row>
        <row r="1590">
          <cell r="E1590" t="str">
            <v>8. OWNER RISKS</v>
          </cell>
          <cell r="G1590">
            <v>0</v>
          </cell>
          <cell r="H1590">
            <v>0</v>
          </cell>
          <cell r="I1590">
            <v>0</v>
          </cell>
          <cell r="J1590">
            <v>0</v>
          </cell>
          <cell r="K1590">
            <v>0</v>
          </cell>
          <cell r="L1590">
            <v>0</v>
          </cell>
          <cell r="O1590">
            <v>0</v>
          </cell>
          <cell r="P1590">
            <v>0</v>
          </cell>
          <cell r="Q1590" t="str">
            <v>61|60</v>
          </cell>
        </row>
        <row r="1591">
          <cell r="E1591" t="str">
            <v>9. OPEN QUESTIONS</v>
          </cell>
          <cell r="G1591" t="str">
            <v>9. OPEN QUESTIONS</v>
          </cell>
          <cell r="H1591">
            <v>0</v>
          </cell>
          <cell r="I1591">
            <v>0</v>
          </cell>
          <cell r="J1591">
            <v>0</v>
          </cell>
          <cell r="K1591">
            <v>0</v>
          </cell>
          <cell r="L1591">
            <v>0</v>
          </cell>
          <cell r="O1591">
            <v>0</v>
          </cell>
          <cell r="P1591">
            <v>0</v>
          </cell>
          <cell r="Q1591" t="str">
            <v>61|61</v>
          </cell>
        </row>
        <row r="1592">
          <cell r="E1592" t="str">
            <v>9. OPEN QUESTIONS</v>
          </cell>
          <cell r="G1592" t="str">
            <v>Question ID</v>
          </cell>
          <cell r="H1592" t="str">
            <v>Question</v>
          </cell>
          <cell r="I1592" t="str">
            <v>Assigned To</v>
          </cell>
          <cell r="J1592" t="str">
            <v>Status</v>
          </cell>
          <cell r="K1592" t="str">
            <v>Needed By</v>
          </cell>
          <cell r="L1592" t="str">
            <v>Answer / Resolution</v>
          </cell>
          <cell r="O1592" t="str">
            <v>Date Closed</v>
          </cell>
          <cell r="P1592" t="str">
            <v>Notes</v>
          </cell>
          <cell r="Q1592" t="str">
            <v>61|62</v>
          </cell>
        </row>
        <row r="1593">
          <cell r="E1593" t="str">
            <v>9. OPEN QUESTIONS</v>
          </cell>
          <cell r="G1593" t="str">
            <v>B61-Q1</v>
          </cell>
          <cell r="H1593" t="str">
            <v>Confirm final telecom room list and PMIS mapping: B13H-A, 124, 226 and existing 137/137A demarc/server rooms?</v>
          </cell>
          <cell r="I1593" t="str">
            <v>VA / OIT / Designer</v>
          </cell>
          <cell r="J1593" t="str">
            <v>Open</v>
          </cell>
          <cell r="K1593">
            <v>0</v>
          </cell>
          <cell r="L1593">
            <v>0</v>
          </cell>
          <cell r="O1593">
            <v>0</v>
          </cell>
          <cell r="P1593">
            <v>0</v>
          </cell>
          <cell r="Q1593" t="str">
            <v>61|63</v>
          </cell>
        </row>
        <row r="1594">
          <cell r="E1594" t="str">
            <v>9. OPEN QUESTIONS</v>
          </cell>
          <cell r="G1594" t="str">
            <v>B61-Q2</v>
          </cell>
          <cell r="H1594" t="str">
            <v>What active services and circuits are currently housed in Room 137/137A?</v>
          </cell>
          <cell r="I1594" t="str">
            <v>OIT / Contractor</v>
          </cell>
          <cell r="J1594" t="str">
            <v>Closed</v>
          </cell>
          <cell r="K1594">
            <v>0</v>
          </cell>
          <cell r="L1594">
            <v>0</v>
          </cell>
          <cell r="O1594">
            <v>0</v>
          </cell>
          <cell r="P1594">
            <v>0</v>
          </cell>
          <cell r="Q1594" t="str">
            <v>61|64</v>
          </cell>
        </row>
        <row r="1595">
          <cell r="E1595" t="str">
            <v>9. OPEN QUESTIONS</v>
          </cell>
          <cell r="G1595" t="str">
            <v>B61-Q3</v>
          </cell>
          <cell r="H1595" t="str">
            <v>Are B61-TR137AA/AB panel references tied to Room 137 or a schedule naming mismatch for Room 124?</v>
          </cell>
          <cell r="I1595" t="str">
            <v>Electrical / Designer</v>
          </cell>
          <cell r="J1595" t="str">
            <v>Closed</v>
          </cell>
          <cell r="K1595">
            <v>0</v>
          </cell>
          <cell r="L1595">
            <v>0</v>
          </cell>
          <cell r="O1595">
            <v>0</v>
          </cell>
          <cell r="P1595">
            <v>0</v>
          </cell>
          <cell r="Q1595" t="str">
            <v>61|65</v>
          </cell>
        </row>
        <row r="1596">
          <cell r="E1596" t="str">
            <v>9. OPEN QUESTIONS</v>
          </cell>
          <cell r="G1596" t="str">
            <v>B61-Q4</v>
          </cell>
          <cell r="H1596" t="str">
            <v>Are IU/CU-0-01, 1-01 and 2-01 on emergency/backup power and dedicated to the TRs they serve?</v>
          </cell>
          <cell r="I1596" t="str">
            <v>Mechanical / Electrical / VA</v>
          </cell>
          <cell r="J1596" t="str">
            <v>Closed</v>
          </cell>
          <cell r="K1596">
            <v>0</v>
          </cell>
          <cell r="L1596">
            <v>0</v>
          </cell>
          <cell r="O1596">
            <v>0</v>
          </cell>
          <cell r="P1596">
            <v>0</v>
          </cell>
          <cell r="Q1596" t="str">
            <v>61|66</v>
          </cell>
        </row>
        <row r="1597">
          <cell r="E1597" t="str">
            <v>9. OPEN QUESTIONS</v>
          </cell>
          <cell r="G1597" t="str">
            <v>B61-Q5</v>
          </cell>
          <cell r="H1597" t="str">
            <v>Where are clean-agent/CO2 FEC cabinets located within 75 ft of each new TR?</v>
          </cell>
          <cell r="I1597" t="str">
            <v>GC / COR</v>
          </cell>
          <cell r="J1597" t="str">
            <v>Closed</v>
          </cell>
          <cell r="K1597">
            <v>0</v>
          </cell>
          <cell r="L1597">
            <v>0</v>
          </cell>
          <cell r="O1597">
            <v>0</v>
          </cell>
          <cell r="P1597">
            <v>0</v>
          </cell>
          <cell r="Q1597" t="str">
            <v>61|67</v>
          </cell>
        </row>
        <row r="1598">
          <cell r="E1598" t="str">
            <v>9. OPEN QUESTIONS</v>
          </cell>
          <cell r="G1598" t="str">
            <v>B61-Q6</v>
          </cell>
          <cell r="H1598" t="str">
            <v>Are rack UPS/PDU circuits, SPDs, labels, load measurements and LOTO requirements approved for all TR panelboards?</v>
          </cell>
          <cell r="I1598" t="str">
            <v>Electrical / Designer</v>
          </cell>
          <cell r="J1598" t="str">
            <v>Closed</v>
          </cell>
          <cell r="K1598">
            <v>0</v>
          </cell>
          <cell r="L1598">
            <v>0</v>
          </cell>
          <cell r="O1598">
            <v>0</v>
          </cell>
          <cell r="P1598">
            <v>0</v>
          </cell>
          <cell r="Q1598" t="str">
            <v>61|68</v>
          </cell>
        </row>
        <row r="1599">
          <cell r="E1599" t="str">
            <v>9. OPEN QUESTIONS</v>
          </cell>
          <cell r="G1599" t="str">
            <v>B61-Q7</v>
          </cell>
          <cell r="H1599" t="str">
            <v>Are all rated wall/floor penetrations, sleeves, cable tray entries and temporary firestopping details identified?</v>
          </cell>
          <cell r="I1599" t="str">
            <v>GC / Firestop</v>
          </cell>
          <cell r="J1599" t="str">
            <v>Closed</v>
          </cell>
          <cell r="K1599">
            <v>0</v>
          </cell>
          <cell r="L1599">
            <v>0</v>
          </cell>
          <cell r="O1599">
            <v>0</v>
          </cell>
          <cell r="P1599">
            <v>0</v>
          </cell>
          <cell r="Q1599" t="str">
            <v>61|69</v>
          </cell>
        </row>
        <row r="1600">
          <cell r="E1600" t="str">
            <v>9. OPEN QUESTIONS</v>
          </cell>
          <cell r="G1600" t="str">
            <v>B61-Q8</v>
          </cell>
          <cell r="H1600" t="str">
            <v>Which third-party inspections, commissioning forms and OIT acceptance records are required before turnover?</v>
          </cell>
          <cell r="I1600" t="str">
            <v>GC / Cx Manager / OIT</v>
          </cell>
          <cell r="J1600" t="str">
            <v>Closed</v>
          </cell>
          <cell r="K1600">
            <v>0</v>
          </cell>
          <cell r="L1600">
            <v>0</v>
          </cell>
          <cell r="O1600">
            <v>0</v>
          </cell>
          <cell r="P1600">
            <v>0</v>
          </cell>
          <cell r="Q1600" t="str">
            <v>61|70</v>
          </cell>
        </row>
        <row r="1601">
          <cell r="E1601" t="str">
            <v>9. OPEN QUESTIONS</v>
          </cell>
          <cell r="G1601" t="str">
            <v>B61-Q9</v>
          </cell>
          <cell r="H1601" t="str">
            <v xml:space="preserve">How did this sheetget made? </v>
          </cell>
          <cell r="I1601" t="str">
            <v>GC / Cx Manager / OIT</v>
          </cell>
          <cell r="J1601" t="str">
            <v>Closed</v>
          </cell>
          <cell r="K1601">
            <v>0</v>
          </cell>
          <cell r="L1601">
            <v>0</v>
          </cell>
          <cell r="O1601">
            <v>0</v>
          </cell>
          <cell r="P1601">
            <v>0</v>
          </cell>
          <cell r="Q1601" t="str">
            <v>61|71</v>
          </cell>
        </row>
        <row r="1602">
          <cell r="E1602" t="str">
            <v>10. PHOTO LOG</v>
          </cell>
          <cell r="G1602" t="str">
            <v>10. PHOTO LOG</v>
          </cell>
          <cell r="H1602">
            <v>0</v>
          </cell>
          <cell r="I1602">
            <v>0</v>
          </cell>
          <cell r="J1602">
            <v>0</v>
          </cell>
          <cell r="K1602">
            <v>0</v>
          </cell>
          <cell r="L1602">
            <v>0</v>
          </cell>
          <cell r="O1602">
            <v>0</v>
          </cell>
          <cell r="P1602">
            <v>0</v>
          </cell>
          <cell r="Q1602" t="str">
            <v>61|72</v>
          </cell>
        </row>
        <row r="1603">
          <cell r="E1603" t="str">
            <v>10. PHOTO LOG</v>
          </cell>
          <cell r="G1603" t="str">
            <v>Photo ID</v>
          </cell>
          <cell r="H1603" t="str">
            <v>Room</v>
          </cell>
          <cell r="I1603" t="str">
            <v>Category</v>
          </cell>
          <cell r="J1603" t="str">
            <v>Description</v>
          </cell>
          <cell r="K1603" t="str">
            <v>Date</v>
          </cell>
          <cell r="L1603" t="str">
            <v>Taken By</v>
          </cell>
          <cell r="O1603" t="str">
            <v>Status</v>
          </cell>
          <cell r="P1603" t="str">
            <v>Notes</v>
          </cell>
          <cell r="Q1603" t="str">
            <v>61|73</v>
          </cell>
        </row>
        <row r="1604">
          <cell r="E1604" t="str">
            <v>10. PHOTO LOG</v>
          </cell>
          <cell r="G1604" t="str">
            <v>B61-P001</v>
          </cell>
          <cell r="H1604" t="str">
            <v>B13H-A</v>
          </cell>
          <cell r="I1604" t="str">
            <v>Existing Condition</v>
          </cell>
          <cell r="J1604" t="str">
            <v>Basement TR B13H-A walls, ceiling/deck, floor, door, rack/future rack, power, HVAC, cable tray and penetrations</v>
          </cell>
          <cell r="K1604">
            <v>0</v>
          </cell>
          <cell r="L1604" t="str">
            <v>Paul</v>
          </cell>
          <cell r="O1604" t="str">
            <v>Closed</v>
          </cell>
          <cell r="P1604">
            <v>0</v>
          </cell>
          <cell r="Q1604" t="str">
            <v>61|74</v>
          </cell>
        </row>
        <row r="1605">
          <cell r="E1605" t="str">
            <v>10. PHOTO LOG</v>
          </cell>
          <cell r="G1605" t="str">
            <v>B61-P002</v>
          </cell>
          <cell r="H1605" t="str">
            <v>124</v>
          </cell>
          <cell r="I1605" t="str">
            <v>Existing Condition</v>
          </cell>
          <cell r="J1605" t="str">
            <v>First-level TR 124 walls, ceiling/deck, floor, door, rack/future rack, power, HVAC, cable tray and penetrations</v>
          </cell>
          <cell r="K1605">
            <v>0</v>
          </cell>
          <cell r="L1605" t="str">
            <v>Paul</v>
          </cell>
          <cell r="O1605" t="str">
            <v>Closed</v>
          </cell>
          <cell r="P1605">
            <v>0</v>
          </cell>
          <cell r="Q1605" t="str">
            <v>61|75</v>
          </cell>
        </row>
        <row r="1606">
          <cell r="E1606" t="str">
            <v>10. PHOTO LOG</v>
          </cell>
          <cell r="G1606" t="str">
            <v>B61-P003</v>
          </cell>
          <cell r="H1606" t="str">
            <v>226</v>
          </cell>
          <cell r="I1606" t="str">
            <v>Existing Condition</v>
          </cell>
          <cell r="J1606" t="str">
            <v>Second-level TR 226 walls, ceiling/deck, floor, door, rack/future rack, power, HVAC, cable tray and riser penetrations</v>
          </cell>
          <cell r="K1606">
            <v>0</v>
          </cell>
          <cell r="L1606" t="str">
            <v>Paul</v>
          </cell>
          <cell r="O1606" t="str">
            <v>Closed</v>
          </cell>
          <cell r="P1606">
            <v>0</v>
          </cell>
          <cell r="Q1606" t="str">
            <v>61|76</v>
          </cell>
        </row>
        <row r="1607">
          <cell r="E1607" t="str">
            <v>10. PHOTO LOG</v>
          </cell>
          <cell r="G1607" t="str">
            <v>B61-P004</v>
          </cell>
          <cell r="H1607" t="str">
            <v>137 / 137A</v>
          </cell>
          <cell r="I1607" t="str">
            <v>Existing Equipment</v>
          </cell>
          <cell r="J1607" t="str">
            <v>Existing server/demarc racks, APC UPS/PDU, Fujitsu equipment, patch panels, PACS/equipment racks and cable entries</v>
          </cell>
          <cell r="K1607">
            <v>0</v>
          </cell>
          <cell r="L1607" t="str">
            <v>Paul</v>
          </cell>
          <cell r="O1607" t="str">
            <v>Closed</v>
          </cell>
          <cell r="P1607">
            <v>0</v>
          </cell>
          <cell r="Q1607" t="str">
            <v>61|77</v>
          </cell>
        </row>
        <row r="1608">
          <cell r="E1608" t="str">
            <v>10. PHOTO LOG</v>
          </cell>
          <cell r="G1608" t="str">
            <v>B61-P005</v>
          </cell>
          <cell r="H1608" t="str">
            <v>All TRs</v>
          </cell>
          <cell r="I1608" t="str">
            <v>HVAC</v>
          </cell>
          <cell r="J1608" t="str">
            <v>IU/CU-0-01, IU/CU-1-01, IU/CU-2-01, condensate, thermostat, BACnet adapter, disconnects, high-temp alarm and power source</v>
          </cell>
          <cell r="K1608">
            <v>0</v>
          </cell>
          <cell r="L1608" t="str">
            <v>Paul</v>
          </cell>
          <cell r="O1608" t="str">
            <v>Closed</v>
          </cell>
          <cell r="P1608">
            <v>0</v>
          </cell>
          <cell r="Q1608" t="str">
            <v>61|78</v>
          </cell>
        </row>
        <row r="1609">
          <cell r="E1609" t="str">
            <v>10. PHOTO LOG</v>
          </cell>
          <cell r="G1609" t="str">
            <v>B61-P006</v>
          </cell>
          <cell r="H1609" t="str">
            <v>All TRs</v>
          </cell>
          <cell r="I1609" t="str">
            <v>Electrical</v>
          </cell>
          <cell r="J1609" t="str">
            <v>B61 telecom panels, PD panels, rack receptacles, UPS/PDU, breakers, SPDs, labels and grounding/bonding</v>
          </cell>
          <cell r="K1609">
            <v>0</v>
          </cell>
          <cell r="L1609" t="str">
            <v>Paul</v>
          </cell>
          <cell r="O1609" t="str">
            <v>Closed</v>
          </cell>
          <cell r="P1609">
            <v>0</v>
          </cell>
          <cell r="Q1609" t="str">
            <v>61|79</v>
          </cell>
        </row>
        <row r="1610">
          <cell r="E1610" t="str">
            <v>10. PHOTO LOG</v>
          </cell>
          <cell r="G1610" t="str">
            <v>B61-P007</v>
          </cell>
          <cell r="H1610" t="str">
            <v>All</v>
          </cell>
          <cell r="I1610" t="str">
            <v>Cable Tray / Firestop</v>
          </cell>
          <cell r="J1610" t="str">
            <v>Basement/first/second cable tray route, supports, seismic bracing, penetrations and before/after firestopping</v>
          </cell>
          <cell r="K1610">
            <v>0</v>
          </cell>
          <cell r="L1610" t="str">
            <v>Paul</v>
          </cell>
          <cell r="O1610" t="str">
            <v>Closed</v>
          </cell>
          <cell r="P1610">
            <v>0</v>
          </cell>
          <cell r="Q1610" t="str">
            <v>61|80</v>
          </cell>
        </row>
        <row r="1611">
          <cell r="E1611" t="str">
            <v>10. PHOTO LOG</v>
          </cell>
          <cell r="G1611" t="str">
            <v>B61-P008</v>
          </cell>
          <cell r="H1611" t="str">
            <v>All</v>
          </cell>
          <cell r="I1611" t="str">
            <v>Telecom / Security</v>
          </cell>
          <cell r="J1611" t="str">
            <v>Racks, Fiber LIU, Cat6A, patch panels, labels/test records, CCTV, PACS and existing equipment transfer work</v>
          </cell>
          <cell r="K1611">
            <v>0</v>
          </cell>
          <cell r="L1611" t="str">
            <v>Paul</v>
          </cell>
          <cell r="O1611" t="str">
            <v>Closed</v>
          </cell>
          <cell r="P1611">
            <v>0</v>
          </cell>
          <cell r="Q1611" t="str">
            <v>61|81</v>
          </cell>
        </row>
        <row r="1612">
          <cell r="E1612" t="str">
            <v>10. PHOTO LOG</v>
          </cell>
          <cell r="G1612">
            <v>0</v>
          </cell>
          <cell r="H1612">
            <v>0</v>
          </cell>
          <cell r="I1612">
            <v>0</v>
          </cell>
          <cell r="J1612">
            <v>0</v>
          </cell>
          <cell r="K1612">
            <v>0</v>
          </cell>
          <cell r="L1612">
            <v>0</v>
          </cell>
          <cell r="O1612">
            <v>0</v>
          </cell>
          <cell r="P1612">
            <v>0</v>
          </cell>
          <cell r="Q1612" t="str">
            <v>61|82</v>
          </cell>
        </row>
        <row r="1613">
          <cell r="E1613" t="str">
            <v>1. ROOM INVENTORY</v>
          </cell>
          <cell r="G1613" t="str">
            <v>1. ROOM INVENTORY</v>
          </cell>
          <cell r="H1613">
            <v>0</v>
          </cell>
          <cell r="I1613">
            <v>0</v>
          </cell>
          <cell r="J1613">
            <v>0</v>
          </cell>
          <cell r="K1613">
            <v>0</v>
          </cell>
          <cell r="L1613">
            <v>0</v>
          </cell>
          <cell r="O1613">
            <v>0</v>
          </cell>
          <cell r="P1613">
            <v>0</v>
          </cell>
          <cell r="Q1613" t="str">
            <v>62|1</v>
          </cell>
        </row>
        <row r="1614">
          <cell r="E1614" t="str">
            <v>1. ROOM INVENTORY</v>
          </cell>
          <cell r="G1614" t="str">
            <v>Building</v>
          </cell>
          <cell r="H1614" t="str">
            <v>Room</v>
          </cell>
          <cell r="I1614" t="str">
            <v>Floor</v>
          </cell>
          <cell r="J1614" t="str">
            <v>Existing Use</v>
          </cell>
          <cell r="K1614" t="str">
            <v>New Use</v>
          </cell>
          <cell r="L1614" t="str">
            <v>Rack Count</v>
          </cell>
          <cell r="O1614" t="str">
            <v>Drawing Ref</v>
          </cell>
          <cell r="P1614" t="str">
            <v>Notes</v>
          </cell>
          <cell r="Q1614" t="str">
            <v>62|2</v>
          </cell>
        </row>
        <row r="1615">
          <cell r="E1615" t="str">
            <v>1. ROOM INVENTORY</v>
          </cell>
          <cell r="G1615" t="str">
            <v>62</v>
          </cell>
          <cell r="H1615" t="str">
            <v>B24A</v>
          </cell>
          <cell r="I1615" t="str">
            <v>Basement</v>
          </cell>
          <cell r="J1615" t="str">
            <v>Restroom / Storage</v>
          </cell>
          <cell r="K1615" t="str">
            <v>TR</v>
          </cell>
          <cell r="L1615">
            <v>1</v>
          </cell>
          <cell r="O1615" t="str">
            <v>B62 IFC</v>
          </cell>
          <cell r="P1615">
            <v>0</v>
          </cell>
          <cell r="Q1615" t="str">
            <v>62|3</v>
          </cell>
        </row>
        <row r="1616">
          <cell r="E1616" t="str">
            <v>1. ROOM INVENTORY</v>
          </cell>
          <cell r="G1616" t="str">
            <v>62</v>
          </cell>
          <cell r="H1616" t="str">
            <v>125</v>
          </cell>
          <cell r="I1616" t="str">
            <v>First</v>
          </cell>
          <cell r="J1616" t="str">
            <v>Medication Room</v>
          </cell>
          <cell r="K1616" t="str">
            <v>TR</v>
          </cell>
          <cell r="L1616">
            <v>1</v>
          </cell>
          <cell r="O1616" t="str">
            <v>B62 IFC</v>
          </cell>
          <cell r="P1616">
            <v>0</v>
          </cell>
          <cell r="Q1616" t="str">
            <v>62|4</v>
          </cell>
        </row>
        <row r="1617">
          <cell r="E1617" t="str">
            <v>1. ROOM INVENTORY</v>
          </cell>
          <cell r="G1617" t="str">
            <v>62</v>
          </cell>
          <cell r="H1617" t="str">
            <v>225</v>
          </cell>
          <cell r="I1617" t="str">
            <v>Second</v>
          </cell>
          <cell r="J1617" t="str">
            <v>Office</v>
          </cell>
          <cell r="K1617" t="str">
            <v>TR</v>
          </cell>
          <cell r="L1617">
            <v>1</v>
          </cell>
          <cell r="O1617" t="str">
            <v>B62 IFC</v>
          </cell>
          <cell r="P1617">
            <v>0</v>
          </cell>
          <cell r="Q1617" t="str">
            <v>62|5</v>
          </cell>
        </row>
        <row r="1618">
          <cell r="E1618" t="str">
            <v>1. ROOM INVENTORY</v>
          </cell>
          <cell r="G1618">
            <v>0</v>
          </cell>
          <cell r="H1618">
            <v>0</v>
          </cell>
          <cell r="I1618">
            <v>0</v>
          </cell>
          <cell r="J1618">
            <v>0</v>
          </cell>
          <cell r="K1618">
            <v>0</v>
          </cell>
          <cell r="L1618">
            <v>0</v>
          </cell>
          <cell r="O1618">
            <v>0</v>
          </cell>
          <cell r="P1618">
            <v>0</v>
          </cell>
          <cell r="Q1618" t="str">
            <v>62|6</v>
          </cell>
        </row>
        <row r="1619">
          <cell r="E1619" t="str">
            <v>1. ROOM INVENTORY</v>
          </cell>
          <cell r="G1619">
            <v>0</v>
          </cell>
          <cell r="H1619">
            <v>0</v>
          </cell>
          <cell r="I1619">
            <v>0</v>
          </cell>
          <cell r="J1619">
            <v>0</v>
          </cell>
          <cell r="K1619">
            <v>0</v>
          </cell>
          <cell r="L1619">
            <v>0</v>
          </cell>
          <cell r="O1619">
            <v>0</v>
          </cell>
          <cell r="P1619">
            <v>0</v>
          </cell>
          <cell r="Q1619" t="str">
            <v>62|7</v>
          </cell>
        </row>
        <row r="1620">
          <cell r="E1620" t="str">
            <v>2. ROOM READINESS</v>
          </cell>
          <cell r="G1620" t="str">
            <v>2. ROOM READINESS</v>
          </cell>
          <cell r="H1620">
            <v>0</v>
          </cell>
          <cell r="I1620">
            <v>0</v>
          </cell>
          <cell r="J1620">
            <v>0</v>
          </cell>
          <cell r="K1620">
            <v>0</v>
          </cell>
          <cell r="L1620">
            <v>0</v>
          </cell>
          <cell r="O1620">
            <v>0</v>
          </cell>
          <cell r="P1620">
            <v>0</v>
          </cell>
          <cell r="Q1620" t="str">
            <v>62|8</v>
          </cell>
        </row>
        <row r="1621">
          <cell r="E1621" t="str">
            <v>2. ROOM READINESS</v>
          </cell>
          <cell r="G1621" t="str">
            <v>Room</v>
          </cell>
          <cell r="H1621" t="str">
            <v>Walls</v>
          </cell>
          <cell r="I1621" t="str">
            <v>Ceiling</v>
          </cell>
          <cell r="J1621" t="str">
            <v>Floor</v>
          </cell>
          <cell r="K1621" t="str">
            <v>Penetrations</v>
          </cell>
          <cell r="L1621" t="str">
            <v>Access Control</v>
          </cell>
          <cell r="O1621" t="str">
            <v>Overall</v>
          </cell>
          <cell r="P1621" t="str">
            <v>Comments</v>
          </cell>
          <cell r="Q1621" t="str">
            <v>62|9</v>
          </cell>
        </row>
        <row r="1622">
          <cell r="E1622" t="str">
            <v>2. ROOM READINESS</v>
          </cell>
          <cell r="G1622" t="str">
            <v>B24A</v>
          </cell>
          <cell r="H1622" t="str">
            <v>Verify</v>
          </cell>
          <cell r="I1622" t="str">
            <v>Verify</v>
          </cell>
          <cell r="J1622" t="str">
            <v>Verify</v>
          </cell>
          <cell r="K1622" t="str">
            <v>Verify</v>
          </cell>
          <cell r="L1622" t="str">
            <v>Verify</v>
          </cell>
          <cell r="O1622" t="str">
            <v>Verify</v>
          </cell>
          <cell r="P1622">
            <v>0</v>
          </cell>
          <cell r="Q1622" t="str">
            <v>62|10</v>
          </cell>
        </row>
        <row r="1623">
          <cell r="E1623" t="str">
            <v>2. ROOM READINESS</v>
          </cell>
          <cell r="G1623" t="str">
            <v>125</v>
          </cell>
          <cell r="H1623" t="str">
            <v>Verify</v>
          </cell>
          <cell r="I1623" t="str">
            <v>Verify</v>
          </cell>
          <cell r="J1623" t="str">
            <v>Verify</v>
          </cell>
          <cell r="K1623" t="str">
            <v>Verify</v>
          </cell>
          <cell r="L1623" t="str">
            <v>Verify</v>
          </cell>
          <cell r="O1623" t="str">
            <v>Verify</v>
          </cell>
          <cell r="P1623">
            <v>0</v>
          </cell>
          <cell r="Q1623" t="str">
            <v>62|11</v>
          </cell>
        </row>
        <row r="1624">
          <cell r="E1624" t="str">
            <v>2. ROOM READINESS</v>
          </cell>
          <cell r="G1624" t="str">
            <v>225</v>
          </cell>
          <cell r="H1624" t="str">
            <v>Verify</v>
          </cell>
          <cell r="I1624" t="str">
            <v>Verify</v>
          </cell>
          <cell r="J1624" t="str">
            <v>Verify</v>
          </cell>
          <cell r="K1624" t="str">
            <v>Verify</v>
          </cell>
          <cell r="L1624" t="str">
            <v>Verify</v>
          </cell>
          <cell r="O1624" t="str">
            <v>Verify</v>
          </cell>
          <cell r="P1624">
            <v>0</v>
          </cell>
          <cell r="Q1624" t="str">
            <v>62|12</v>
          </cell>
        </row>
        <row r="1625">
          <cell r="E1625" t="str">
            <v>2. ROOM READINESS</v>
          </cell>
          <cell r="G1625">
            <v>0</v>
          </cell>
          <cell r="H1625">
            <v>0</v>
          </cell>
          <cell r="I1625">
            <v>0</v>
          </cell>
          <cell r="J1625">
            <v>0</v>
          </cell>
          <cell r="K1625">
            <v>0</v>
          </cell>
          <cell r="L1625">
            <v>0</v>
          </cell>
          <cell r="O1625">
            <v>0</v>
          </cell>
          <cell r="P1625">
            <v>0</v>
          </cell>
          <cell r="Q1625" t="str">
            <v>62|13</v>
          </cell>
        </row>
        <row r="1626">
          <cell r="E1626" t="str">
            <v>2. ROOM READINESS</v>
          </cell>
          <cell r="G1626">
            <v>0</v>
          </cell>
          <cell r="H1626">
            <v>0</v>
          </cell>
          <cell r="I1626">
            <v>0</v>
          </cell>
          <cell r="J1626">
            <v>0</v>
          </cell>
          <cell r="K1626">
            <v>0</v>
          </cell>
          <cell r="L1626">
            <v>0</v>
          </cell>
          <cell r="O1626">
            <v>0</v>
          </cell>
          <cell r="P1626">
            <v>0</v>
          </cell>
          <cell r="Q1626" t="str">
            <v>62|14</v>
          </cell>
        </row>
        <row r="1627">
          <cell r="E1627" t="str">
            <v>3. FIRE PROTECTION</v>
          </cell>
          <cell r="G1627" t="str">
            <v>3. FIRE PROTECTION</v>
          </cell>
          <cell r="H1627">
            <v>0</v>
          </cell>
          <cell r="I1627">
            <v>0</v>
          </cell>
          <cell r="J1627">
            <v>0</v>
          </cell>
          <cell r="K1627">
            <v>0</v>
          </cell>
          <cell r="L1627">
            <v>0</v>
          </cell>
          <cell r="O1627">
            <v>0</v>
          </cell>
          <cell r="P1627">
            <v>0</v>
          </cell>
          <cell r="Q1627" t="str">
            <v>62|15</v>
          </cell>
        </row>
        <row r="1628">
          <cell r="E1628" t="str">
            <v>3. FIRE PROTECTION</v>
          </cell>
          <cell r="G1628" t="str">
            <v>Room</v>
          </cell>
          <cell r="H1628" t="str">
            <v>Sprinkler</v>
          </cell>
          <cell r="I1628" t="str">
            <v>Cage</v>
          </cell>
          <cell r="J1628" t="str">
            <v>Detector</v>
          </cell>
          <cell r="K1628" t="str">
            <v>Horn/Strobe</v>
          </cell>
          <cell r="L1628" t="str">
            <v>Extinguisher &lt;75 ft</v>
          </cell>
          <cell r="O1628" t="str">
            <v>Overall</v>
          </cell>
          <cell r="P1628" t="str">
            <v>Risk / Notes</v>
          </cell>
          <cell r="Q1628" t="str">
            <v>62|16</v>
          </cell>
        </row>
        <row r="1629">
          <cell r="E1629" t="str">
            <v>3. FIRE PROTECTION</v>
          </cell>
          <cell r="G1629" t="str">
            <v>B24A</v>
          </cell>
          <cell r="H1629" t="str">
            <v>Verify</v>
          </cell>
          <cell r="I1629" t="str">
            <v>Verify</v>
          </cell>
          <cell r="J1629" t="str">
            <v>Verify</v>
          </cell>
          <cell r="K1629" t="str">
            <v>Verify</v>
          </cell>
          <cell r="L1629" t="str">
            <v>Verify</v>
          </cell>
          <cell r="O1629" t="str">
            <v>Verify</v>
          </cell>
          <cell r="P1629">
            <v>0</v>
          </cell>
          <cell r="Q1629" t="str">
            <v>62|17</v>
          </cell>
        </row>
        <row r="1630">
          <cell r="E1630" t="str">
            <v>3. FIRE PROTECTION</v>
          </cell>
          <cell r="G1630" t="str">
            <v>125</v>
          </cell>
          <cell r="H1630" t="str">
            <v>Verify</v>
          </cell>
          <cell r="I1630" t="str">
            <v>Verify</v>
          </cell>
          <cell r="J1630" t="str">
            <v>Verify</v>
          </cell>
          <cell r="K1630" t="str">
            <v>Verify</v>
          </cell>
          <cell r="L1630" t="str">
            <v>Verify</v>
          </cell>
          <cell r="O1630" t="str">
            <v>Verify</v>
          </cell>
          <cell r="P1630">
            <v>0</v>
          </cell>
          <cell r="Q1630" t="str">
            <v>62|18</v>
          </cell>
        </row>
        <row r="1631">
          <cell r="E1631" t="str">
            <v>3. FIRE PROTECTION</v>
          </cell>
          <cell r="G1631" t="str">
            <v>225</v>
          </cell>
          <cell r="H1631" t="str">
            <v>Verify</v>
          </cell>
          <cell r="I1631" t="str">
            <v>Verify</v>
          </cell>
          <cell r="J1631" t="str">
            <v>Verify</v>
          </cell>
          <cell r="K1631" t="str">
            <v>Verify</v>
          </cell>
          <cell r="L1631" t="str">
            <v>Verify</v>
          </cell>
          <cell r="O1631" t="str">
            <v>Verify</v>
          </cell>
          <cell r="P1631">
            <v>0</v>
          </cell>
          <cell r="Q1631" t="str">
            <v>62|19</v>
          </cell>
        </row>
        <row r="1632">
          <cell r="E1632" t="str">
            <v>3. FIRE PROTECTION</v>
          </cell>
          <cell r="G1632">
            <v>0</v>
          </cell>
          <cell r="H1632">
            <v>0</v>
          </cell>
          <cell r="I1632">
            <v>0</v>
          </cell>
          <cell r="J1632">
            <v>0</v>
          </cell>
          <cell r="K1632">
            <v>0</v>
          </cell>
          <cell r="L1632">
            <v>0</v>
          </cell>
          <cell r="O1632">
            <v>0</v>
          </cell>
          <cell r="P1632">
            <v>0</v>
          </cell>
          <cell r="Q1632" t="str">
            <v>62|20</v>
          </cell>
        </row>
        <row r="1633">
          <cell r="E1633" t="str">
            <v>3. FIRE PROTECTION</v>
          </cell>
          <cell r="G1633">
            <v>0</v>
          </cell>
          <cell r="H1633">
            <v>0</v>
          </cell>
          <cell r="I1633">
            <v>0</v>
          </cell>
          <cell r="J1633">
            <v>0</v>
          </cell>
          <cell r="K1633">
            <v>0</v>
          </cell>
          <cell r="L1633">
            <v>0</v>
          </cell>
          <cell r="O1633">
            <v>0</v>
          </cell>
          <cell r="P1633">
            <v>0</v>
          </cell>
          <cell r="Q1633" t="str">
            <v>62|21</v>
          </cell>
        </row>
        <row r="1634">
          <cell r="E1634" t="str">
            <v>4. HVAC / COOLING</v>
          </cell>
          <cell r="G1634" t="str">
            <v>4. HVAC / COOLING</v>
          </cell>
          <cell r="H1634">
            <v>0</v>
          </cell>
          <cell r="I1634">
            <v>0</v>
          </cell>
          <cell r="J1634">
            <v>0</v>
          </cell>
          <cell r="K1634">
            <v>0</v>
          </cell>
          <cell r="L1634">
            <v>0</v>
          </cell>
          <cell r="O1634">
            <v>0</v>
          </cell>
          <cell r="P1634">
            <v>0</v>
          </cell>
          <cell r="Q1634" t="str">
            <v>62|22</v>
          </cell>
        </row>
        <row r="1635">
          <cell r="E1635" t="str">
            <v>4. HVAC / COOLING</v>
          </cell>
          <cell r="G1635" t="str">
            <v>Room</v>
          </cell>
          <cell r="H1635" t="str">
            <v>Dedicated Unit</v>
          </cell>
          <cell r="I1635" t="str">
            <v>Capacity Verified</v>
          </cell>
          <cell r="J1635" t="str">
            <v>Emergency Power</v>
          </cell>
          <cell r="K1635" t="str">
            <v>Controls Tested</v>
          </cell>
          <cell r="L1635" t="str">
            <v>Condensate Routed</v>
          </cell>
          <cell r="O1635" t="str">
            <v>Overall</v>
          </cell>
          <cell r="P1635" t="str">
            <v>Risk / Notes</v>
          </cell>
          <cell r="Q1635" t="str">
            <v>62|23</v>
          </cell>
        </row>
        <row r="1636">
          <cell r="E1636" t="str">
            <v>4. HVAC / COOLING</v>
          </cell>
          <cell r="G1636" t="str">
            <v>B24A</v>
          </cell>
          <cell r="H1636" t="str">
            <v>Verify</v>
          </cell>
          <cell r="I1636" t="str">
            <v>Verify</v>
          </cell>
          <cell r="J1636" t="str">
            <v>Verify</v>
          </cell>
          <cell r="K1636" t="str">
            <v>Verify</v>
          </cell>
          <cell r="L1636" t="str">
            <v>Verify</v>
          </cell>
          <cell r="O1636" t="str">
            <v>Verify</v>
          </cell>
          <cell r="P1636">
            <v>0</v>
          </cell>
          <cell r="Q1636" t="str">
            <v>62|24</v>
          </cell>
        </row>
        <row r="1637">
          <cell r="E1637" t="str">
            <v>4. HVAC / COOLING</v>
          </cell>
          <cell r="G1637" t="str">
            <v>125</v>
          </cell>
          <cell r="H1637" t="str">
            <v>Verify</v>
          </cell>
          <cell r="I1637" t="str">
            <v>Verify</v>
          </cell>
          <cell r="J1637" t="str">
            <v>Verify</v>
          </cell>
          <cell r="K1637" t="str">
            <v>Verify</v>
          </cell>
          <cell r="L1637" t="str">
            <v>Verify</v>
          </cell>
          <cell r="O1637" t="str">
            <v>Verify</v>
          </cell>
          <cell r="P1637">
            <v>0</v>
          </cell>
          <cell r="Q1637" t="str">
            <v>62|25</v>
          </cell>
        </row>
        <row r="1638">
          <cell r="E1638" t="str">
            <v>4. HVAC / COOLING</v>
          </cell>
          <cell r="G1638" t="str">
            <v>225</v>
          </cell>
          <cell r="H1638" t="str">
            <v>Verify</v>
          </cell>
          <cell r="I1638" t="str">
            <v>Verify</v>
          </cell>
          <cell r="J1638" t="str">
            <v>Verify</v>
          </cell>
          <cell r="K1638" t="str">
            <v>Verify</v>
          </cell>
          <cell r="L1638" t="str">
            <v>Verify</v>
          </cell>
          <cell r="O1638" t="str">
            <v>Verify</v>
          </cell>
          <cell r="P1638">
            <v>0</v>
          </cell>
          <cell r="Q1638" t="str">
            <v>62|26</v>
          </cell>
        </row>
        <row r="1639">
          <cell r="E1639" t="str">
            <v>4. HVAC / COOLING</v>
          </cell>
          <cell r="G1639">
            <v>0</v>
          </cell>
          <cell r="H1639">
            <v>0</v>
          </cell>
          <cell r="I1639">
            <v>0</v>
          </cell>
          <cell r="J1639">
            <v>0</v>
          </cell>
          <cell r="K1639">
            <v>0</v>
          </cell>
          <cell r="L1639">
            <v>0</v>
          </cell>
          <cell r="O1639">
            <v>0</v>
          </cell>
          <cell r="P1639">
            <v>0</v>
          </cell>
          <cell r="Q1639" t="str">
            <v>62|27</v>
          </cell>
        </row>
        <row r="1640">
          <cell r="E1640" t="str">
            <v>4. HVAC / COOLING</v>
          </cell>
          <cell r="G1640">
            <v>0</v>
          </cell>
          <cell r="H1640">
            <v>0</v>
          </cell>
          <cell r="I1640">
            <v>0</v>
          </cell>
          <cell r="J1640">
            <v>0</v>
          </cell>
          <cell r="K1640">
            <v>0</v>
          </cell>
          <cell r="L1640">
            <v>0</v>
          </cell>
          <cell r="O1640">
            <v>0</v>
          </cell>
          <cell r="P1640">
            <v>0</v>
          </cell>
          <cell r="Q1640" t="str">
            <v>62|28</v>
          </cell>
        </row>
        <row r="1641">
          <cell r="E1641" t="str">
            <v>5. ELECTRICAL / UPS</v>
          </cell>
          <cell r="G1641" t="str">
            <v>5. ELECTRICAL / UPS</v>
          </cell>
          <cell r="H1641">
            <v>0</v>
          </cell>
          <cell r="I1641">
            <v>0</v>
          </cell>
          <cell r="J1641">
            <v>0</v>
          </cell>
          <cell r="K1641">
            <v>0</v>
          </cell>
          <cell r="L1641">
            <v>0</v>
          </cell>
          <cell r="O1641">
            <v>0</v>
          </cell>
          <cell r="P1641">
            <v>0</v>
          </cell>
          <cell r="Q1641" t="str">
            <v>62|29</v>
          </cell>
        </row>
        <row r="1642">
          <cell r="E1642" t="str">
            <v>5. ELECTRICAL / UPS</v>
          </cell>
          <cell r="G1642" t="str">
            <v>Room</v>
          </cell>
          <cell r="H1642" t="str">
            <v>UPS Installed</v>
          </cell>
          <cell r="I1642" t="str">
            <v>UPS Size</v>
          </cell>
          <cell r="J1642" t="str">
            <v>PDU Installed</v>
          </cell>
          <cell r="K1642" t="str">
            <v>Rack Receptacles</v>
          </cell>
          <cell r="L1642" t="str">
            <v>Panel Assigned</v>
          </cell>
          <cell r="O1642" t="str">
            <v>Overall</v>
          </cell>
          <cell r="P1642" t="str">
            <v>Notes</v>
          </cell>
          <cell r="Q1642" t="str">
            <v>62|30</v>
          </cell>
        </row>
        <row r="1643">
          <cell r="E1643" t="str">
            <v>5. ELECTRICAL / UPS</v>
          </cell>
          <cell r="G1643" t="str">
            <v>B24A</v>
          </cell>
          <cell r="H1643" t="str">
            <v>Verify</v>
          </cell>
          <cell r="I1643" t="str">
            <v>5 kW</v>
          </cell>
          <cell r="J1643" t="str">
            <v>Verify</v>
          </cell>
          <cell r="K1643" t="str">
            <v>Verify</v>
          </cell>
          <cell r="L1643" t="str">
            <v>Verify</v>
          </cell>
          <cell r="O1643" t="str">
            <v>Verify</v>
          </cell>
          <cell r="P1643">
            <v>0</v>
          </cell>
          <cell r="Q1643" t="str">
            <v>62|31</v>
          </cell>
        </row>
        <row r="1644">
          <cell r="E1644" t="str">
            <v>5. ELECTRICAL / UPS</v>
          </cell>
          <cell r="G1644" t="str">
            <v>125</v>
          </cell>
          <cell r="H1644" t="str">
            <v>Verify</v>
          </cell>
          <cell r="I1644" t="str">
            <v>5 kW</v>
          </cell>
          <cell r="J1644" t="str">
            <v>Verify</v>
          </cell>
          <cell r="K1644" t="str">
            <v>Verify</v>
          </cell>
          <cell r="L1644" t="str">
            <v>Verify</v>
          </cell>
          <cell r="O1644" t="str">
            <v>Verify</v>
          </cell>
          <cell r="P1644">
            <v>0</v>
          </cell>
          <cell r="Q1644" t="str">
            <v>62|32</v>
          </cell>
        </row>
        <row r="1645">
          <cell r="E1645" t="str">
            <v>5. ELECTRICAL / UPS</v>
          </cell>
          <cell r="G1645" t="str">
            <v>225</v>
          </cell>
          <cell r="H1645" t="str">
            <v>Verify</v>
          </cell>
          <cell r="I1645" t="str">
            <v>5 kW</v>
          </cell>
          <cell r="J1645" t="str">
            <v>Verify</v>
          </cell>
          <cell r="K1645" t="str">
            <v>Verify</v>
          </cell>
          <cell r="L1645" t="str">
            <v>Verify</v>
          </cell>
          <cell r="O1645" t="str">
            <v>Verify</v>
          </cell>
          <cell r="P1645">
            <v>0</v>
          </cell>
          <cell r="Q1645" t="str">
            <v>62|33</v>
          </cell>
        </row>
        <row r="1646">
          <cell r="E1646" t="str">
            <v>5. ELECTRICAL / UPS</v>
          </cell>
          <cell r="G1646">
            <v>0</v>
          </cell>
          <cell r="H1646">
            <v>0</v>
          </cell>
          <cell r="I1646">
            <v>0</v>
          </cell>
          <cell r="J1646">
            <v>0</v>
          </cell>
          <cell r="K1646">
            <v>0</v>
          </cell>
          <cell r="L1646">
            <v>0</v>
          </cell>
          <cell r="O1646">
            <v>0</v>
          </cell>
          <cell r="P1646">
            <v>0</v>
          </cell>
          <cell r="Q1646" t="str">
            <v>62|34</v>
          </cell>
        </row>
        <row r="1647">
          <cell r="E1647" t="str">
            <v>5. ELECTRICAL / UPS</v>
          </cell>
          <cell r="G1647">
            <v>0</v>
          </cell>
          <cell r="H1647">
            <v>0</v>
          </cell>
          <cell r="I1647">
            <v>0</v>
          </cell>
          <cell r="J1647">
            <v>0</v>
          </cell>
          <cell r="K1647">
            <v>0</v>
          </cell>
          <cell r="L1647">
            <v>0</v>
          </cell>
          <cell r="O1647">
            <v>0</v>
          </cell>
          <cell r="P1647">
            <v>0</v>
          </cell>
          <cell r="Q1647" t="str">
            <v>62|35</v>
          </cell>
        </row>
        <row r="1648">
          <cell r="E1648" t="str">
            <v>6. TELECOM</v>
          </cell>
          <cell r="G1648" t="str">
            <v>6. TELECOM</v>
          </cell>
          <cell r="H1648">
            <v>0</v>
          </cell>
          <cell r="I1648">
            <v>0</v>
          </cell>
          <cell r="J1648">
            <v>0</v>
          </cell>
          <cell r="K1648">
            <v>0</v>
          </cell>
          <cell r="L1648">
            <v>0</v>
          </cell>
          <cell r="O1648">
            <v>0</v>
          </cell>
          <cell r="P1648">
            <v>0</v>
          </cell>
          <cell r="Q1648" t="str">
            <v>62|36</v>
          </cell>
        </row>
        <row r="1649">
          <cell r="E1649" t="str">
            <v>6. TELECOM</v>
          </cell>
          <cell r="G1649" t="str">
            <v>Room</v>
          </cell>
          <cell r="H1649" t="str">
            <v>Rack Installed</v>
          </cell>
          <cell r="I1649" t="str">
            <v>Ladder Tray</v>
          </cell>
          <cell r="J1649" t="str">
            <v>Fiber Installed</v>
          </cell>
          <cell r="K1649" t="str">
            <v>Grounding</v>
          </cell>
          <cell r="L1649" t="str">
            <v>Labeling</v>
          </cell>
          <cell r="O1649" t="str">
            <v>Overall</v>
          </cell>
          <cell r="P1649" t="str">
            <v>Notes</v>
          </cell>
          <cell r="Q1649" t="str">
            <v>62|37</v>
          </cell>
        </row>
        <row r="1650">
          <cell r="E1650" t="str">
            <v>6. TELECOM</v>
          </cell>
          <cell r="G1650" t="str">
            <v>B24A</v>
          </cell>
          <cell r="H1650" t="str">
            <v>Verify</v>
          </cell>
          <cell r="I1650" t="str">
            <v>Verify</v>
          </cell>
          <cell r="J1650" t="str">
            <v>Verify</v>
          </cell>
          <cell r="K1650" t="str">
            <v>Verify</v>
          </cell>
          <cell r="L1650" t="str">
            <v>Verify</v>
          </cell>
          <cell r="O1650" t="str">
            <v>Verify</v>
          </cell>
          <cell r="P1650">
            <v>0</v>
          </cell>
          <cell r="Q1650" t="str">
            <v>62|38</v>
          </cell>
        </row>
        <row r="1651">
          <cell r="E1651" t="str">
            <v>6. TELECOM</v>
          </cell>
          <cell r="G1651" t="str">
            <v>125</v>
          </cell>
          <cell r="H1651" t="str">
            <v>Verify</v>
          </cell>
          <cell r="I1651" t="str">
            <v>Verify</v>
          </cell>
          <cell r="J1651" t="str">
            <v>Verify</v>
          </cell>
          <cell r="K1651" t="str">
            <v>Verify</v>
          </cell>
          <cell r="L1651" t="str">
            <v>Verify</v>
          </cell>
          <cell r="O1651" t="str">
            <v>Verify</v>
          </cell>
          <cell r="P1651">
            <v>0</v>
          </cell>
          <cell r="Q1651" t="str">
            <v>62|39</v>
          </cell>
        </row>
        <row r="1652">
          <cell r="E1652" t="str">
            <v>6. TELECOM</v>
          </cell>
          <cell r="G1652" t="str">
            <v>225</v>
          </cell>
          <cell r="H1652" t="str">
            <v>Verify</v>
          </cell>
          <cell r="I1652" t="str">
            <v>Verify</v>
          </cell>
          <cell r="J1652" t="str">
            <v>Verify</v>
          </cell>
          <cell r="K1652" t="str">
            <v>Verify</v>
          </cell>
          <cell r="L1652" t="str">
            <v>Verify</v>
          </cell>
          <cell r="O1652" t="str">
            <v>Verify</v>
          </cell>
          <cell r="P1652">
            <v>0</v>
          </cell>
          <cell r="Q1652" t="str">
            <v>62|40</v>
          </cell>
        </row>
        <row r="1653">
          <cell r="E1653" t="str">
            <v>6. TELECOM</v>
          </cell>
          <cell r="G1653">
            <v>0</v>
          </cell>
          <cell r="H1653">
            <v>0</v>
          </cell>
          <cell r="I1653">
            <v>0</v>
          </cell>
          <cell r="J1653">
            <v>0</v>
          </cell>
          <cell r="K1653">
            <v>0</v>
          </cell>
          <cell r="L1653">
            <v>0</v>
          </cell>
          <cell r="O1653">
            <v>0</v>
          </cell>
          <cell r="P1653">
            <v>0</v>
          </cell>
          <cell r="Q1653" t="str">
            <v>62|41</v>
          </cell>
        </row>
        <row r="1654">
          <cell r="E1654" t="str">
            <v>6. TELECOM</v>
          </cell>
          <cell r="G1654">
            <v>0</v>
          </cell>
          <cell r="H1654">
            <v>0</v>
          </cell>
          <cell r="I1654">
            <v>0</v>
          </cell>
          <cell r="J1654">
            <v>0</v>
          </cell>
          <cell r="K1654">
            <v>0</v>
          </cell>
          <cell r="L1654">
            <v>0</v>
          </cell>
          <cell r="O1654">
            <v>0</v>
          </cell>
          <cell r="P1654">
            <v>0</v>
          </cell>
          <cell r="Q1654" t="str">
            <v>62|42</v>
          </cell>
        </row>
        <row r="1655">
          <cell r="E1655" t="str">
            <v>7. OWNER RISKS</v>
          </cell>
          <cell r="G1655" t="str">
            <v>7. OWNER RISKS</v>
          </cell>
          <cell r="H1655">
            <v>0</v>
          </cell>
          <cell r="I1655">
            <v>0</v>
          </cell>
          <cell r="J1655">
            <v>0</v>
          </cell>
          <cell r="K1655">
            <v>0</v>
          </cell>
          <cell r="L1655">
            <v>0</v>
          </cell>
          <cell r="O1655">
            <v>0</v>
          </cell>
          <cell r="P1655">
            <v>0</v>
          </cell>
          <cell r="Q1655" t="str">
            <v>62|43</v>
          </cell>
        </row>
        <row r="1656">
          <cell r="E1656" t="str">
            <v>7. OWNER RISKS</v>
          </cell>
          <cell r="G1656" t="str">
            <v>Risk ID</v>
          </cell>
          <cell r="H1656" t="str">
            <v>Room</v>
          </cell>
          <cell r="I1656" t="str">
            <v>Risk</v>
          </cell>
          <cell r="J1656" t="str">
            <v>Impact</v>
          </cell>
          <cell r="K1656" t="str">
            <v>Probability</v>
          </cell>
          <cell r="L1656" t="str">
            <v>Score</v>
          </cell>
          <cell r="O1656" t="str">
            <v>Status</v>
          </cell>
          <cell r="P1656" t="str">
            <v>Notes</v>
          </cell>
          <cell r="Q1656" t="str">
            <v>62|44</v>
          </cell>
        </row>
        <row r="1657">
          <cell r="E1657" t="str">
            <v>7. OWNER RISKS</v>
          </cell>
          <cell r="G1657" t="str">
            <v>B62-R1</v>
          </cell>
          <cell r="H1657" t="str">
            <v>All</v>
          </cell>
          <cell r="I1657" t="str">
            <v>Cooling redundancy / emergency power not verified</v>
          </cell>
          <cell r="J1657" t="str">
            <v>High</v>
          </cell>
          <cell r="K1657" t="str">
            <v>Medium</v>
          </cell>
          <cell r="L1657">
            <v>6</v>
          </cell>
          <cell r="O1657" t="str">
            <v>Open</v>
          </cell>
          <cell r="P1657">
            <v>0</v>
          </cell>
          <cell r="Q1657" t="str">
            <v>62|45</v>
          </cell>
        </row>
        <row r="1658">
          <cell r="E1658" t="str">
            <v>7. OWNER RISKS</v>
          </cell>
          <cell r="G1658" t="str">
            <v>B62-R2</v>
          </cell>
          <cell r="H1658" t="str">
            <v>All</v>
          </cell>
          <cell r="I1658" t="str">
            <v>Firestopping condition unknown</v>
          </cell>
          <cell r="J1658" t="str">
            <v>High</v>
          </cell>
          <cell r="K1658" t="str">
            <v>Medium</v>
          </cell>
          <cell r="L1658">
            <v>6</v>
          </cell>
          <cell r="O1658" t="str">
            <v>Open</v>
          </cell>
          <cell r="P1658">
            <v>0</v>
          </cell>
          <cell r="Q1658" t="str">
            <v>62|46</v>
          </cell>
        </row>
        <row r="1659">
          <cell r="E1659" t="str">
            <v>7. OWNER RISKS</v>
          </cell>
          <cell r="G1659" t="str">
            <v>B62-R3</v>
          </cell>
          <cell r="H1659" t="str">
            <v>All</v>
          </cell>
          <cell r="I1659" t="str">
            <v>Existing room conditions undocumented</v>
          </cell>
          <cell r="J1659" t="str">
            <v>Medium</v>
          </cell>
          <cell r="K1659" t="str">
            <v>High</v>
          </cell>
          <cell r="L1659">
            <v>6</v>
          </cell>
          <cell r="O1659" t="str">
            <v>Open</v>
          </cell>
          <cell r="P1659">
            <v>0</v>
          </cell>
          <cell r="Q1659" t="str">
            <v>62|47</v>
          </cell>
        </row>
        <row r="1660">
          <cell r="E1660" t="str">
            <v>7. OWNER RISKS</v>
          </cell>
          <cell r="G1660" t="str">
            <v>B62-R4</v>
          </cell>
          <cell r="H1660" t="str">
            <v>All</v>
          </cell>
          <cell r="I1660" t="str">
            <v>Condensate leak risk near IT equipment</v>
          </cell>
          <cell r="J1660" t="str">
            <v>High</v>
          </cell>
          <cell r="K1660" t="str">
            <v>Medium</v>
          </cell>
          <cell r="L1660">
            <v>6</v>
          </cell>
          <cell r="O1660" t="str">
            <v>Open</v>
          </cell>
          <cell r="P1660">
            <v>0</v>
          </cell>
          <cell r="Q1660" t="str">
            <v>62|48</v>
          </cell>
        </row>
        <row r="1661">
          <cell r="E1661" t="str">
            <v>7. OWNER RISKS</v>
          </cell>
          <cell r="G1661">
            <v>0</v>
          </cell>
          <cell r="H1661">
            <v>0</v>
          </cell>
          <cell r="I1661">
            <v>0</v>
          </cell>
          <cell r="J1661">
            <v>0</v>
          </cell>
          <cell r="K1661">
            <v>0</v>
          </cell>
          <cell r="L1661">
            <v>0</v>
          </cell>
          <cell r="O1661">
            <v>0</v>
          </cell>
          <cell r="P1661">
            <v>0</v>
          </cell>
          <cell r="Q1661" t="str">
            <v>62|49</v>
          </cell>
        </row>
        <row r="1662">
          <cell r="E1662" t="str">
            <v>7. OWNER RISKS</v>
          </cell>
          <cell r="G1662">
            <v>0</v>
          </cell>
          <cell r="H1662">
            <v>0</v>
          </cell>
          <cell r="I1662">
            <v>0</v>
          </cell>
          <cell r="J1662">
            <v>0</v>
          </cell>
          <cell r="K1662">
            <v>0</v>
          </cell>
          <cell r="L1662">
            <v>0</v>
          </cell>
          <cell r="O1662">
            <v>0</v>
          </cell>
          <cell r="P1662">
            <v>0</v>
          </cell>
          <cell r="Q1662" t="str">
            <v>62|50</v>
          </cell>
        </row>
        <row r="1663">
          <cell r="E1663" t="str">
            <v>8. OPEN QUESTIONS</v>
          </cell>
          <cell r="G1663" t="str">
            <v>8. OPEN QUESTIONS</v>
          </cell>
          <cell r="H1663">
            <v>0</v>
          </cell>
          <cell r="I1663">
            <v>0</v>
          </cell>
          <cell r="J1663">
            <v>0</v>
          </cell>
          <cell r="K1663">
            <v>0</v>
          </cell>
          <cell r="L1663">
            <v>0</v>
          </cell>
          <cell r="O1663">
            <v>0</v>
          </cell>
          <cell r="P1663">
            <v>0</v>
          </cell>
          <cell r="Q1663" t="str">
            <v>62|51</v>
          </cell>
        </row>
        <row r="1664">
          <cell r="E1664" t="str">
            <v>8. OPEN QUESTIONS</v>
          </cell>
          <cell r="G1664" t="str">
            <v>Question ID</v>
          </cell>
          <cell r="H1664" t="str">
            <v>Question</v>
          </cell>
          <cell r="I1664" t="str">
            <v>Assigned To</v>
          </cell>
          <cell r="J1664" t="str">
            <v>Status</v>
          </cell>
          <cell r="K1664" t="str">
            <v>Needed By</v>
          </cell>
          <cell r="L1664" t="str">
            <v>Answer / Resolution</v>
          </cell>
          <cell r="O1664" t="str">
            <v>Date Closed</v>
          </cell>
          <cell r="P1664" t="str">
            <v>Notes</v>
          </cell>
          <cell r="Q1664" t="str">
            <v>62|52</v>
          </cell>
        </row>
        <row r="1665">
          <cell r="E1665" t="str">
            <v>8. OPEN QUESTIONS</v>
          </cell>
          <cell r="G1665" t="str">
            <v>B62-Q1</v>
          </cell>
          <cell r="H1665" t="str">
            <v>Are cooling units emergency powered?</v>
          </cell>
          <cell r="I1665" t="str">
            <v>VA / Designer</v>
          </cell>
          <cell r="J1665" t="str">
            <v>Open</v>
          </cell>
          <cell r="K1665">
            <v>0</v>
          </cell>
          <cell r="L1665">
            <v>0</v>
          </cell>
          <cell r="O1665">
            <v>0</v>
          </cell>
          <cell r="P1665">
            <v>0</v>
          </cell>
          <cell r="Q1665" t="str">
            <v>62|53</v>
          </cell>
        </row>
        <row r="1666">
          <cell r="E1666" t="str">
            <v>8. OPEN QUESTIONS</v>
          </cell>
          <cell r="G1666" t="str">
            <v>B62-Q2</v>
          </cell>
          <cell r="H1666" t="str">
            <v>Are future rack loads included in HVAC sizing?</v>
          </cell>
          <cell r="I1666" t="str">
            <v>Designer</v>
          </cell>
          <cell r="J1666" t="str">
            <v>Open</v>
          </cell>
          <cell r="K1666">
            <v>0</v>
          </cell>
          <cell r="L1666">
            <v>0</v>
          </cell>
          <cell r="O1666">
            <v>0</v>
          </cell>
          <cell r="P1666">
            <v>0</v>
          </cell>
          <cell r="Q1666" t="str">
            <v>62|54</v>
          </cell>
        </row>
        <row r="1667">
          <cell r="E1667" t="str">
            <v>8. OPEN QUESTIONS</v>
          </cell>
          <cell r="G1667" t="str">
            <v>B62-Q3</v>
          </cell>
          <cell r="H1667" t="str">
            <v>Is extinguisher location identified within 75 feet?</v>
          </cell>
          <cell r="I1667" t="str">
            <v>Contractor / COR</v>
          </cell>
          <cell r="J1667" t="str">
            <v>Open</v>
          </cell>
          <cell r="K1667">
            <v>0</v>
          </cell>
          <cell r="L1667">
            <v>0</v>
          </cell>
          <cell r="O1667">
            <v>0</v>
          </cell>
          <cell r="P1667">
            <v>0</v>
          </cell>
          <cell r="Q1667" t="str">
            <v>62|55</v>
          </cell>
        </row>
        <row r="1668">
          <cell r="E1668" t="str">
            <v>8. OPEN QUESTIONS</v>
          </cell>
          <cell r="G1668" t="str">
            <v>B62-Q4</v>
          </cell>
          <cell r="H1668" t="str">
            <v>Are all penetrations fully documented and firestopped?</v>
          </cell>
          <cell r="I1668" t="str">
            <v>Contractor / Designer</v>
          </cell>
          <cell r="J1668" t="str">
            <v>Open</v>
          </cell>
          <cell r="K1668">
            <v>0</v>
          </cell>
          <cell r="L1668">
            <v>0</v>
          </cell>
          <cell r="O1668">
            <v>0</v>
          </cell>
          <cell r="P1668">
            <v>0</v>
          </cell>
          <cell r="Q1668" t="str">
            <v>62|56</v>
          </cell>
        </row>
        <row r="1669">
          <cell r="E1669" t="str">
            <v>8. OPEN QUESTIONS</v>
          </cell>
          <cell r="G1669">
            <v>0</v>
          </cell>
          <cell r="H1669">
            <v>0</v>
          </cell>
          <cell r="I1669">
            <v>0</v>
          </cell>
          <cell r="J1669">
            <v>0</v>
          </cell>
          <cell r="K1669">
            <v>0</v>
          </cell>
          <cell r="L1669">
            <v>0</v>
          </cell>
          <cell r="O1669">
            <v>0</v>
          </cell>
          <cell r="P1669">
            <v>0</v>
          </cell>
          <cell r="Q1669" t="str">
            <v>62|57</v>
          </cell>
        </row>
        <row r="1670">
          <cell r="E1670" t="str">
            <v>8. OPEN QUESTIONS</v>
          </cell>
          <cell r="G1670">
            <v>0</v>
          </cell>
          <cell r="H1670">
            <v>0</v>
          </cell>
          <cell r="I1670">
            <v>0</v>
          </cell>
          <cell r="J1670">
            <v>0</v>
          </cell>
          <cell r="K1670">
            <v>0</v>
          </cell>
          <cell r="L1670">
            <v>0</v>
          </cell>
          <cell r="O1670">
            <v>0</v>
          </cell>
          <cell r="P1670">
            <v>0</v>
          </cell>
          <cell r="Q1670" t="str">
            <v>62|58</v>
          </cell>
        </row>
        <row r="1671">
          <cell r="E1671" t="str">
            <v>9. PHOTO LOG</v>
          </cell>
          <cell r="G1671" t="str">
            <v>9. PHOTO LOG</v>
          </cell>
          <cell r="H1671">
            <v>0</v>
          </cell>
          <cell r="I1671">
            <v>0</v>
          </cell>
          <cell r="J1671">
            <v>0</v>
          </cell>
          <cell r="K1671">
            <v>0</v>
          </cell>
          <cell r="L1671">
            <v>0</v>
          </cell>
          <cell r="O1671">
            <v>0</v>
          </cell>
          <cell r="P1671">
            <v>0</v>
          </cell>
          <cell r="Q1671" t="str">
            <v>62|59</v>
          </cell>
        </row>
        <row r="1672">
          <cell r="E1672" t="str">
            <v>9. PHOTO LOG</v>
          </cell>
          <cell r="G1672" t="str">
            <v>Photo ID</v>
          </cell>
          <cell r="H1672" t="str">
            <v>Room</v>
          </cell>
          <cell r="I1672" t="str">
            <v>Category</v>
          </cell>
          <cell r="J1672" t="str">
            <v>Description</v>
          </cell>
          <cell r="K1672" t="str">
            <v>Date</v>
          </cell>
          <cell r="L1672" t="str">
            <v>Taken By</v>
          </cell>
          <cell r="O1672" t="str">
            <v>Status</v>
          </cell>
          <cell r="P1672" t="str">
            <v>Notes</v>
          </cell>
          <cell r="Q1672" t="str">
            <v>62|60</v>
          </cell>
        </row>
        <row r="1673">
          <cell r="E1673" t="str">
            <v>9. PHOTO LOG</v>
          </cell>
          <cell r="G1673" t="str">
            <v>B62-P001</v>
          </cell>
          <cell r="H1673" t="str">
            <v>B24A</v>
          </cell>
          <cell r="I1673" t="str">
            <v>Existing Condition</v>
          </cell>
          <cell r="J1673" t="str">
            <v>Existing room condition</v>
          </cell>
          <cell r="K1673">
            <v>0</v>
          </cell>
          <cell r="L1673" t="str">
            <v>Paul</v>
          </cell>
          <cell r="O1673" t="str">
            <v>Open</v>
          </cell>
          <cell r="P1673">
            <v>0</v>
          </cell>
          <cell r="Q1673" t="str">
            <v>62|61</v>
          </cell>
        </row>
        <row r="1674">
          <cell r="E1674" t="str">
            <v>9. PHOTO LOG</v>
          </cell>
          <cell r="G1674" t="str">
            <v>B62-P002</v>
          </cell>
          <cell r="H1674" t="str">
            <v>125</v>
          </cell>
          <cell r="I1674" t="str">
            <v>Existing Condition</v>
          </cell>
          <cell r="J1674" t="str">
            <v>Existing room condition</v>
          </cell>
          <cell r="K1674">
            <v>0</v>
          </cell>
          <cell r="L1674" t="str">
            <v>Paul</v>
          </cell>
          <cell r="O1674" t="str">
            <v>Open</v>
          </cell>
          <cell r="P1674">
            <v>0</v>
          </cell>
          <cell r="Q1674" t="str">
            <v>62|62</v>
          </cell>
        </row>
        <row r="1675">
          <cell r="E1675" t="str">
            <v>9. PHOTO LOG</v>
          </cell>
          <cell r="G1675" t="str">
            <v>B62-P003</v>
          </cell>
          <cell r="H1675" t="str">
            <v>225</v>
          </cell>
          <cell r="I1675" t="str">
            <v>Existing Condition</v>
          </cell>
          <cell r="J1675" t="str">
            <v>Existing room condition</v>
          </cell>
          <cell r="K1675">
            <v>0</v>
          </cell>
          <cell r="L1675" t="str">
            <v>Paul</v>
          </cell>
          <cell r="O1675" t="str">
            <v>Open</v>
          </cell>
          <cell r="P1675">
            <v>0</v>
          </cell>
          <cell r="Q1675" t="str">
            <v>62|63</v>
          </cell>
        </row>
        <row r="1676">
          <cell r="E1676" t="str">
            <v>9. PHOTO LOG</v>
          </cell>
          <cell r="G1676" t="str">
            <v>B62-P004</v>
          </cell>
          <cell r="H1676" t="str">
            <v>All</v>
          </cell>
          <cell r="I1676" t="str">
            <v>Firestop</v>
          </cell>
          <cell r="J1676" t="str">
            <v>Penetration/firestopping photo</v>
          </cell>
          <cell r="K1676">
            <v>0</v>
          </cell>
          <cell r="L1676" t="str">
            <v>Paul</v>
          </cell>
          <cell r="O1676" t="str">
            <v>Open</v>
          </cell>
          <cell r="P1676">
            <v>0</v>
          </cell>
          <cell r="Q1676" t="str">
            <v>62|64</v>
          </cell>
        </row>
        <row r="1677">
          <cell r="E1677" t="str">
            <v>9. PHOTO LOG</v>
          </cell>
          <cell r="G1677">
            <v>0</v>
          </cell>
          <cell r="H1677">
            <v>0</v>
          </cell>
          <cell r="I1677">
            <v>0</v>
          </cell>
          <cell r="J1677">
            <v>0</v>
          </cell>
          <cell r="K1677">
            <v>0</v>
          </cell>
          <cell r="L1677">
            <v>0</v>
          </cell>
          <cell r="O1677">
            <v>0</v>
          </cell>
          <cell r="P1677">
            <v>0</v>
          </cell>
          <cell r="Q1677" t="str">
            <v>62|65</v>
          </cell>
        </row>
        <row r="1678">
          <cell r="E1678" t="str">
            <v>9. PHOTO LOG</v>
          </cell>
          <cell r="G1678">
            <v>0</v>
          </cell>
          <cell r="H1678">
            <v>0</v>
          </cell>
          <cell r="I1678">
            <v>0</v>
          </cell>
          <cell r="J1678">
            <v>0</v>
          </cell>
          <cell r="K1678">
            <v>0</v>
          </cell>
          <cell r="L1678">
            <v>0</v>
          </cell>
          <cell r="O1678">
            <v>0</v>
          </cell>
          <cell r="P1678">
            <v>0</v>
          </cell>
          <cell r="Q1678" t="str">
            <v>62|66</v>
          </cell>
        </row>
        <row r="1679">
          <cell r="E1679" t="str">
            <v>10. OWNER READINESS SCORE</v>
          </cell>
          <cell r="G1679" t="str">
            <v>10. OWNER READINESS SCORE</v>
          </cell>
          <cell r="H1679">
            <v>0</v>
          </cell>
          <cell r="I1679">
            <v>0</v>
          </cell>
          <cell r="J1679">
            <v>0</v>
          </cell>
          <cell r="K1679">
            <v>0</v>
          </cell>
          <cell r="L1679">
            <v>0</v>
          </cell>
          <cell r="O1679">
            <v>0</v>
          </cell>
          <cell r="P1679">
            <v>0</v>
          </cell>
          <cell r="Q1679" t="str">
            <v>62|67</v>
          </cell>
        </row>
        <row r="1680">
          <cell r="E1680" t="str">
            <v>10. OWNER READINESS SCORE</v>
          </cell>
          <cell r="G1680" t="str">
            <v>Room</v>
          </cell>
          <cell r="H1680" t="str">
            <v>Room Readiness</v>
          </cell>
          <cell r="I1680" t="str">
            <v>Fire</v>
          </cell>
          <cell r="J1680" t="str">
            <v>HVAC</v>
          </cell>
          <cell r="K1680" t="str">
            <v>Electrical</v>
          </cell>
          <cell r="L1680" t="str">
            <v>Telecom</v>
          </cell>
          <cell r="O1680" t="str">
            <v>Readiness</v>
          </cell>
          <cell r="P1680" t="str">
            <v>Notes</v>
          </cell>
          <cell r="Q1680" t="str">
            <v>62|68</v>
          </cell>
        </row>
        <row r="1681">
          <cell r="E1681" t="str">
            <v>10. OWNER READINESS SCORE</v>
          </cell>
          <cell r="G1681" t="str">
            <v>B24A</v>
          </cell>
          <cell r="H1681">
            <v>0.5</v>
          </cell>
          <cell r="I1681">
            <v>0.5</v>
          </cell>
          <cell r="J1681">
            <v>0.5</v>
          </cell>
          <cell r="K1681">
            <v>0.5</v>
          </cell>
          <cell r="L1681">
            <v>0.5</v>
          </cell>
          <cell r="O1681" t="str">
            <v>Partial / Yellow</v>
          </cell>
          <cell r="P1681">
            <v>0</v>
          </cell>
          <cell r="Q1681" t="str">
            <v>62|69</v>
          </cell>
        </row>
        <row r="1682">
          <cell r="E1682" t="str">
            <v>10. OWNER READINESS SCORE</v>
          </cell>
          <cell r="G1682" t="str">
            <v>125</v>
          </cell>
          <cell r="H1682">
            <v>0.5</v>
          </cell>
          <cell r="I1682">
            <v>0.5</v>
          </cell>
          <cell r="J1682">
            <v>0.5</v>
          </cell>
          <cell r="K1682">
            <v>0.5</v>
          </cell>
          <cell r="L1682">
            <v>0.5</v>
          </cell>
          <cell r="O1682" t="str">
            <v>Partial / Yellow</v>
          </cell>
          <cell r="P1682">
            <v>0</v>
          </cell>
          <cell r="Q1682" t="str">
            <v>62|70</v>
          </cell>
        </row>
        <row r="1683">
          <cell r="E1683" t="str">
            <v>10. OWNER READINESS SCORE</v>
          </cell>
          <cell r="G1683" t="str">
            <v>225</v>
          </cell>
          <cell r="H1683">
            <v>0.5</v>
          </cell>
          <cell r="I1683">
            <v>0.5</v>
          </cell>
          <cell r="J1683">
            <v>0.5</v>
          </cell>
          <cell r="K1683">
            <v>0.5</v>
          </cell>
          <cell r="L1683">
            <v>0.5</v>
          </cell>
          <cell r="O1683" t="str">
            <v>Partial / Yellow</v>
          </cell>
          <cell r="P1683">
            <v>0</v>
          </cell>
          <cell r="Q1683" t="str">
            <v>62|71</v>
          </cell>
        </row>
        <row r="1684">
          <cell r="E1684" t="str">
            <v>10. OWNER READINESS SCORE</v>
          </cell>
          <cell r="G1684">
            <v>0</v>
          </cell>
          <cell r="H1684">
            <v>0</v>
          </cell>
          <cell r="I1684">
            <v>0</v>
          </cell>
          <cell r="J1684">
            <v>0</v>
          </cell>
          <cell r="K1684">
            <v>0</v>
          </cell>
          <cell r="L1684">
            <v>0</v>
          </cell>
          <cell r="O1684">
            <v>0</v>
          </cell>
          <cell r="P1684">
            <v>0</v>
          </cell>
          <cell r="Q1684" t="str">
            <v>62|72</v>
          </cell>
        </row>
        <row r="1685">
          <cell r="E1685" t="str">
            <v>10. OWNER READINESS SCORE</v>
          </cell>
          <cell r="G1685" t="str">
            <v>12. PAYMENT VERIFICATION</v>
          </cell>
          <cell r="H1685">
            <v>0</v>
          </cell>
          <cell r="I1685">
            <v>0</v>
          </cell>
          <cell r="J1685">
            <v>0</v>
          </cell>
          <cell r="K1685">
            <v>0</v>
          </cell>
          <cell r="L1685">
            <v>0</v>
          </cell>
          <cell r="O1685">
            <v>0</v>
          </cell>
          <cell r="P1685">
            <v>0</v>
          </cell>
          <cell r="Q1685" t="str">
            <v>62|73</v>
          </cell>
        </row>
        <row r="1686">
          <cell r="E1686" t="str">
            <v>1. ROOM INVENTORY</v>
          </cell>
          <cell r="G1686" t="str">
            <v>1. ROOM INVENTORY</v>
          </cell>
          <cell r="H1686">
            <v>0</v>
          </cell>
          <cell r="I1686">
            <v>0</v>
          </cell>
          <cell r="J1686">
            <v>0</v>
          </cell>
          <cell r="K1686">
            <v>0</v>
          </cell>
          <cell r="L1686">
            <v>0</v>
          </cell>
          <cell r="O1686">
            <v>0</v>
          </cell>
          <cell r="P1686">
            <v>0</v>
          </cell>
          <cell r="Q1686" t="str">
            <v>70|1</v>
          </cell>
        </row>
        <row r="1687">
          <cell r="E1687" t="str">
            <v>1. ROOM INVENTORY</v>
          </cell>
          <cell r="G1687" t="str">
            <v>Building</v>
          </cell>
          <cell r="H1687" t="str">
            <v>Room</v>
          </cell>
          <cell r="I1687" t="str">
            <v>Floor</v>
          </cell>
          <cell r="J1687" t="str">
            <v>Existing Use</v>
          </cell>
          <cell r="K1687" t="str">
            <v>New Use</v>
          </cell>
          <cell r="L1687" t="str">
            <v>Rack Count</v>
          </cell>
          <cell r="O1687" t="str">
            <v>Drawing Ref</v>
          </cell>
          <cell r="P1687" t="str">
            <v>Notes</v>
          </cell>
          <cell r="Q1687" t="str">
            <v>70|2</v>
          </cell>
        </row>
        <row r="1688">
          <cell r="E1688" t="str">
            <v>1. ROOM INVENTORY</v>
          </cell>
          <cell r="G1688" t="str">
            <v>70</v>
          </cell>
          <cell r="H1688" t="str">
            <v>B27</v>
          </cell>
          <cell r="I1688" t="str">
            <v>Basement</v>
          </cell>
          <cell r="J1688" t="str">
            <v>Telecom Room / existing service area</v>
          </cell>
          <cell r="K1688" t="str">
            <v>TR</v>
          </cell>
          <cell r="L1688">
            <v>1</v>
          </cell>
          <cell r="O1688" t="str">
            <v>70A/70T/70M/70FX</v>
          </cell>
          <cell r="P1688" t="str">
            <v>Shown as Telecom Room B27; rack elevation references B-27 with 1 rack + future.</v>
          </cell>
          <cell r="Q1688" t="str">
            <v>70|3</v>
          </cell>
        </row>
        <row r="1689">
          <cell r="E1689" t="str">
            <v>1. ROOM INVENTORY</v>
          </cell>
          <cell r="G1689" t="str">
            <v>70</v>
          </cell>
          <cell r="H1689" t="str">
            <v>125A</v>
          </cell>
          <cell r="I1689" t="str">
            <v>First</v>
          </cell>
          <cell r="J1689" t="str">
            <v>Telecom Room / existing or renovated space</v>
          </cell>
          <cell r="K1689" t="str">
            <v>TR</v>
          </cell>
          <cell r="L1689">
            <v>1</v>
          </cell>
          <cell r="O1689" t="str">
            <v>70A/70T/70M/70FX</v>
          </cell>
          <cell r="P1689" t="str">
            <v>Shown as Telecom Room 125A; rack elevation references 125-A with 1 rack + future.</v>
          </cell>
          <cell r="Q1689" t="str">
            <v>70|4</v>
          </cell>
        </row>
        <row r="1690">
          <cell r="E1690" t="str">
            <v>1. ROOM INVENTORY</v>
          </cell>
          <cell r="G1690" t="str">
            <v>70</v>
          </cell>
          <cell r="H1690" t="str">
            <v>262A</v>
          </cell>
          <cell r="I1690" t="str">
            <v>Second</v>
          </cell>
          <cell r="J1690" t="str">
            <v>Telecom Room / existing or renovated space</v>
          </cell>
          <cell r="K1690" t="str">
            <v>TR</v>
          </cell>
          <cell r="L1690">
            <v>1</v>
          </cell>
          <cell r="O1690" t="str">
            <v>70A/70T/70M/70FX</v>
          </cell>
          <cell r="P1690" t="str">
            <v>Shown as Telecom Room 262A; rack elevation references 262-A with 1 rack + future.</v>
          </cell>
          <cell r="Q1690" t="str">
            <v>70|5</v>
          </cell>
        </row>
        <row r="1691">
          <cell r="E1691" t="str">
            <v>1. ROOM INVENTORY</v>
          </cell>
          <cell r="G1691">
            <v>0</v>
          </cell>
          <cell r="H1691">
            <v>0</v>
          </cell>
          <cell r="I1691">
            <v>0</v>
          </cell>
          <cell r="J1691">
            <v>0</v>
          </cell>
          <cell r="K1691">
            <v>0</v>
          </cell>
          <cell r="L1691">
            <v>0</v>
          </cell>
          <cell r="O1691">
            <v>0</v>
          </cell>
          <cell r="P1691">
            <v>0</v>
          </cell>
          <cell r="Q1691" t="str">
            <v>70|6</v>
          </cell>
        </row>
        <row r="1692">
          <cell r="E1692" t="str">
            <v>1. ROOM INVENTORY</v>
          </cell>
          <cell r="G1692">
            <v>0</v>
          </cell>
          <cell r="H1692">
            <v>0</v>
          </cell>
          <cell r="I1692">
            <v>0</v>
          </cell>
          <cell r="J1692">
            <v>0</v>
          </cell>
          <cell r="K1692">
            <v>0</v>
          </cell>
          <cell r="L1692">
            <v>0</v>
          </cell>
          <cell r="O1692">
            <v>0</v>
          </cell>
          <cell r="P1692">
            <v>0</v>
          </cell>
          <cell r="Q1692" t="str">
            <v>70|7</v>
          </cell>
        </row>
        <row r="1693">
          <cell r="E1693" t="str">
            <v>2. ROOM READINESS</v>
          </cell>
          <cell r="G1693" t="str">
            <v>2. ROOM READINESS</v>
          </cell>
          <cell r="H1693">
            <v>0</v>
          </cell>
          <cell r="I1693">
            <v>0</v>
          </cell>
          <cell r="J1693">
            <v>0</v>
          </cell>
          <cell r="K1693">
            <v>0</v>
          </cell>
          <cell r="L1693">
            <v>0</v>
          </cell>
          <cell r="O1693">
            <v>0</v>
          </cell>
          <cell r="P1693">
            <v>0</v>
          </cell>
          <cell r="Q1693" t="str">
            <v>70|8</v>
          </cell>
        </row>
        <row r="1694">
          <cell r="E1694" t="str">
            <v>2. ROOM READINESS</v>
          </cell>
          <cell r="G1694" t="str">
            <v>Room</v>
          </cell>
          <cell r="H1694" t="str">
            <v>Walls / 1-hr Rating</v>
          </cell>
          <cell r="I1694" t="str">
            <v>Ceiling</v>
          </cell>
          <cell r="J1694" t="str">
            <v>Floor / SDC</v>
          </cell>
          <cell r="K1694" t="str">
            <v>Penetrations</v>
          </cell>
          <cell r="L1694" t="str">
            <v>Access Control</v>
          </cell>
          <cell r="O1694" t="str">
            <v>Overall</v>
          </cell>
          <cell r="P1694" t="str">
            <v>Comments</v>
          </cell>
          <cell r="Q1694" t="str">
            <v>70|9</v>
          </cell>
        </row>
        <row r="1695">
          <cell r="E1695" t="str">
            <v>2. ROOM READINESS</v>
          </cell>
          <cell r="G1695" t="str">
            <v>B27</v>
          </cell>
          <cell r="H1695" t="str">
            <v>Verify</v>
          </cell>
          <cell r="I1695" t="str">
            <v>Verify</v>
          </cell>
          <cell r="J1695" t="str">
            <v>Verify</v>
          </cell>
          <cell r="K1695" t="str">
            <v>Verify</v>
          </cell>
          <cell r="L1695" t="str">
            <v>Verify</v>
          </cell>
          <cell r="O1695" t="str">
            <v>Verify</v>
          </cell>
          <cell r="P1695">
            <v>0</v>
          </cell>
          <cell r="Q1695" t="str">
            <v>70|10</v>
          </cell>
        </row>
        <row r="1696">
          <cell r="E1696" t="str">
            <v>2. ROOM READINESS</v>
          </cell>
          <cell r="G1696" t="str">
            <v>125A</v>
          </cell>
          <cell r="H1696" t="str">
            <v>Verify</v>
          </cell>
          <cell r="I1696" t="str">
            <v>Verify</v>
          </cell>
          <cell r="J1696" t="str">
            <v>Verify</v>
          </cell>
          <cell r="K1696" t="str">
            <v>Verify</v>
          </cell>
          <cell r="L1696" t="str">
            <v>Verify</v>
          </cell>
          <cell r="O1696" t="str">
            <v>Verify</v>
          </cell>
          <cell r="P1696">
            <v>0</v>
          </cell>
          <cell r="Q1696" t="str">
            <v>70|11</v>
          </cell>
        </row>
        <row r="1697">
          <cell r="E1697" t="str">
            <v>2. ROOM READINESS</v>
          </cell>
          <cell r="G1697" t="str">
            <v>262A</v>
          </cell>
          <cell r="H1697" t="str">
            <v>Verify</v>
          </cell>
          <cell r="I1697" t="str">
            <v>Verify</v>
          </cell>
          <cell r="J1697" t="str">
            <v>Verify</v>
          </cell>
          <cell r="K1697" t="str">
            <v>Verify</v>
          </cell>
          <cell r="L1697" t="str">
            <v>Verify</v>
          </cell>
          <cell r="O1697" t="str">
            <v>Verify</v>
          </cell>
          <cell r="P1697">
            <v>0</v>
          </cell>
          <cell r="Q1697" t="str">
            <v>70|12</v>
          </cell>
        </row>
        <row r="1698">
          <cell r="E1698" t="str">
            <v>2. ROOM READINESS</v>
          </cell>
          <cell r="G1698">
            <v>0</v>
          </cell>
          <cell r="H1698">
            <v>0</v>
          </cell>
          <cell r="I1698">
            <v>0</v>
          </cell>
          <cell r="J1698">
            <v>0</v>
          </cell>
          <cell r="K1698">
            <v>0</v>
          </cell>
          <cell r="L1698">
            <v>0</v>
          </cell>
          <cell r="O1698">
            <v>0</v>
          </cell>
          <cell r="P1698">
            <v>0</v>
          </cell>
          <cell r="Q1698" t="str">
            <v>70|13</v>
          </cell>
        </row>
        <row r="1699">
          <cell r="E1699" t="str">
            <v>2. ROOM READINESS</v>
          </cell>
          <cell r="G1699">
            <v>0</v>
          </cell>
          <cell r="H1699">
            <v>0</v>
          </cell>
          <cell r="I1699">
            <v>0</v>
          </cell>
          <cell r="J1699">
            <v>0</v>
          </cell>
          <cell r="K1699">
            <v>0</v>
          </cell>
          <cell r="L1699">
            <v>0</v>
          </cell>
          <cell r="O1699">
            <v>0</v>
          </cell>
          <cell r="P1699">
            <v>0</v>
          </cell>
          <cell r="Q1699" t="str">
            <v>70|14</v>
          </cell>
        </row>
        <row r="1700">
          <cell r="E1700" t="str">
            <v>3. FIRE PROTECTION</v>
          </cell>
          <cell r="G1700" t="str">
            <v>3. FIRE PROTECTION</v>
          </cell>
          <cell r="H1700">
            <v>0</v>
          </cell>
          <cell r="I1700">
            <v>0</v>
          </cell>
          <cell r="J1700">
            <v>0</v>
          </cell>
          <cell r="K1700">
            <v>0</v>
          </cell>
          <cell r="L1700">
            <v>0</v>
          </cell>
          <cell r="O1700">
            <v>0</v>
          </cell>
          <cell r="P1700">
            <v>0</v>
          </cell>
          <cell r="Q1700" t="str">
            <v>70|15</v>
          </cell>
        </row>
        <row r="1701">
          <cell r="E1701" t="str">
            <v>3. FIRE PROTECTION</v>
          </cell>
          <cell r="G1701" t="str">
            <v>Room</v>
          </cell>
          <cell r="H1701" t="str">
            <v>Sprinkler</v>
          </cell>
          <cell r="I1701" t="str">
            <v>Cage</v>
          </cell>
          <cell r="J1701" t="str">
            <v>Detector</v>
          </cell>
          <cell r="K1701" t="str">
            <v>Horn/Strobe</v>
          </cell>
          <cell r="L1701" t="str">
            <v>Extinguisher &lt;75 ft</v>
          </cell>
          <cell r="O1701" t="str">
            <v>Overall</v>
          </cell>
          <cell r="P1701" t="str">
            <v>Risk / Notes</v>
          </cell>
          <cell r="Q1701" t="str">
            <v>70|16</v>
          </cell>
        </row>
        <row r="1702">
          <cell r="E1702" t="str">
            <v>3. FIRE PROTECTION</v>
          </cell>
          <cell r="G1702" t="str">
            <v>B27</v>
          </cell>
          <cell r="H1702" t="str">
            <v>Verify</v>
          </cell>
          <cell r="I1702" t="str">
            <v>Verify</v>
          </cell>
          <cell r="J1702" t="str">
            <v>Verify</v>
          </cell>
          <cell r="K1702" t="str">
            <v>Verify</v>
          </cell>
          <cell r="L1702" t="str">
            <v>Verify</v>
          </cell>
          <cell r="O1702" t="str">
            <v>Verify</v>
          </cell>
          <cell r="P1702">
            <v>0</v>
          </cell>
          <cell r="Q1702" t="str">
            <v>70|17</v>
          </cell>
        </row>
        <row r="1703">
          <cell r="E1703" t="str">
            <v>3. FIRE PROTECTION</v>
          </cell>
          <cell r="G1703" t="str">
            <v>125A</v>
          </cell>
          <cell r="H1703" t="str">
            <v>Verify</v>
          </cell>
          <cell r="I1703" t="str">
            <v>Verify</v>
          </cell>
          <cell r="J1703" t="str">
            <v>Verify</v>
          </cell>
          <cell r="K1703" t="str">
            <v>Verify</v>
          </cell>
          <cell r="L1703" t="str">
            <v>Verify</v>
          </cell>
          <cell r="O1703" t="str">
            <v>Verify</v>
          </cell>
          <cell r="P1703">
            <v>0</v>
          </cell>
          <cell r="Q1703" t="str">
            <v>70|18</v>
          </cell>
        </row>
        <row r="1704">
          <cell r="E1704" t="str">
            <v>3. FIRE PROTECTION</v>
          </cell>
          <cell r="G1704" t="str">
            <v>262A</v>
          </cell>
          <cell r="H1704" t="str">
            <v>Verify</v>
          </cell>
          <cell r="I1704" t="str">
            <v>Verify</v>
          </cell>
          <cell r="J1704" t="str">
            <v>Verify</v>
          </cell>
          <cell r="K1704" t="str">
            <v>Verify</v>
          </cell>
          <cell r="L1704" t="str">
            <v>Verify</v>
          </cell>
          <cell r="O1704" t="str">
            <v>Verify</v>
          </cell>
          <cell r="P1704">
            <v>0</v>
          </cell>
          <cell r="Q1704" t="str">
            <v>70|19</v>
          </cell>
        </row>
        <row r="1705">
          <cell r="E1705" t="str">
            <v>3. FIRE PROTECTION</v>
          </cell>
          <cell r="G1705">
            <v>0</v>
          </cell>
          <cell r="H1705">
            <v>0</v>
          </cell>
          <cell r="I1705">
            <v>0</v>
          </cell>
          <cell r="J1705">
            <v>0</v>
          </cell>
          <cell r="K1705">
            <v>0</v>
          </cell>
          <cell r="L1705">
            <v>0</v>
          </cell>
          <cell r="O1705">
            <v>0</v>
          </cell>
          <cell r="P1705">
            <v>0</v>
          </cell>
          <cell r="Q1705" t="str">
            <v>70|20</v>
          </cell>
        </row>
        <row r="1706">
          <cell r="E1706" t="str">
            <v>3. FIRE PROTECTION</v>
          </cell>
          <cell r="G1706">
            <v>0</v>
          </cell>
          <cell r="H1706">
            <v>0</v>
          </cell>
          <cell r="I1706">
            <v>0</v>
          </cell>
          <cell r="J1706">
            <v>0</v>
          </cell>
          <cell r="K1706">
            <v>0</v>
          </cell>
          <cell r="L1706">
            <v>0</v>
          </cell>
          <cell r="O1706">
            <v>0</v>
          </cell>
          <cell r="P1706">
            <v>0</v>
          </cell>
          <cell r="Q1706" t="str">
            <v>70|21</v>
          </cell>
        </row>
        <row r="1707">
          <cell r="E1707" t="str">
            <v>4. HVAC / COOLING</v>
          </cell>
          <cell r="G1707" t="str">
            <v>4. HVAC / COOLING</v>
          </cell>
          <cell r="H1707">
            <v>0</v>
          </cell>
          <cell r="I1707">
            <v>0</v>
          </cell>
          <cell r="J1707">
            <v>0</v>
          </cell>
          <cell r="K1707">
            <v>0</v>
          </cell>
          <cell r="L1707">
            <v>0</v>
          </cell>
          <cell r="O1707">
            <v>0</v>
          </cell>
          <cell r="P1707">
            <v>0</v>
          </cell>
          <cell r="Q1707" t="str">
            <v>70|22</v>
          </cell>
        </row>
        <row r="1708">
          <cell r="E1708" t="str">
            <v>4. HVAC / COOLING</v>
          </cell>
          <cell r="G1708" t="str">
            <v>Room</v>
          </cell>
          <cell r="H1708" t="str">
            <v>Dedicated Unit</v>
          </cell>
          <cell r="I1708" t="str">
            <v>Capacity Verified</v>
          </cell>
          <cell r="J1708" t="str">
            <v>Emergency Power</v>
          </cell>
          <cell r="K1708" t="str">
            <v>Controls / BACnet</v>
          </cell>
          <cell r="L1708" t="str">
            <v>Condensate Routed</v>
          </cell>
          <cell r="O1708" t="str">
            <v>Overall</v>
          </cell>
          <cell r="P1708" t="str">
            <v>Risk / Notes</v>
          </cell>
          <cell r="Q1708" t="str">
            <v>70|23</v>
          </cell>
        </row>
        <row r="1709">
          <cell r="E1709" t="str">
            <v>4. HVAC / COOLING</v>
          </cell>
          <cell r="G1709" t="str">
            <v>B27</v>
          </cell>
          <cell r="H1709" t="str">
            <v>Verify</v>
          </cell>
          <cell r="I1709" t="str">
            <v>Verify</v>
          </cell>
          <cell r="J1709" t="str">
            <v>Verify</v>
          </cell>
          <cell r="K1709" t="str">
            <v>Verify</v>
          </cell>
          <cell r="L1709" t="str">
            <v>Verify</v>
          </cell>
          <cell r="O1709" t="str">
            <v>Verify</v>
          </cell>
          <cell r="P1709">
            <v>0</v>
          </cell>
          <cell r="Q1709" t="str">
            <v>70|24</v>
          </cell>
        </row>
        <row r="1710">
          <cell r="E1710" t="str">
            <v>4. HVAC / COOLING</v>
          </cell>
          <cell r="G1710" t="str">
            <v>125A</v>
          </cell>
          <cell r="H1710" t="str">
            <v>Verify</v>
          </cell>
          <cell r="I1710" t="str">
            <v>Verify</v>
          </cell>
          <cell r="J1710" t="str">
            <v>Verify</v>
          </cell>
          <cell r="K1710" t="str">
            <v>Verify</v>
          </cell>
          <cell r="L1710" t="str">
            <v>Verify</v>
          </cell>
          <cell r="O1710" t="str">
            <v>Verify</v>
          </cell>
          <cell r="P1710">
            <v>0</v>
          </cell>
          <cell r="Q1710" t="str">
            <v>70|25</v>
          </cell>
        </row>
        <row r="1711">
          <cell r="E1711" t="str">
            <v>4. HVAC / COOLING</v>
          </cell>
          <cell r="G1711" t="str">
            <v>262A</v>
          </cell>
          <cell r="H1711" t="str">
            <v>Verify</v>
          </cell>
          <cell r="I1711" t="str">
            <v>Verify</v>
          </cell>
          <cell r="J1711" t="str">
            <v>Verify</v>
          </cell>
          <cell r="K1711" t="str">
            <v>Verify</v>
          </cell>
          <cell r="L1711" t="str">
            <v>Verify</v>
          </cell>
          <cell r="O1711" t="str">
            <v>Verify</v>
          </cell>
          <cell r="P1711">
            <v>0</v>
          </cell>
          <cell r="Q1711" t="str">
            <v>70|26</v>
          </cell>
        </row>
        <row r="1712">
          <cell r="E1712" t="str">
            <v>4. HVAC / COOLING</v>
          </cell>
          <cell r="G1712">
            <v>0</v>
          </cell>
          <cell r="H1712">
            <v>0</v>
          </cell>
          <cell r="I1712">
            <v>0</v>
          </cell>
          <cell r="J1712">
            <v>0</v>
          </cell>
          <cell r="K1712">
            <v>0</v>
          </cell>
          <cell r="L1712">
            <v>0</v>
          </cell>
          <cell r="O1712">
            <v>0</v>
          </cell>
          <cell r="P1712">
            <v>0</v>
          </cell>
          <cell r="Q1712" t="str">
            <v>70|27</v>
          </cell>
        </row>
        <row r="1713">
          <cell r="E1713" t="str">
            <v>4. HVAC / COOLING</v>
          </cell>
          <cell r="G1713">
            <v>0</v>
          </cell>
          <cell r="H1713">
            <v>0</v>
          </cell>
          <cell r="I1713">
            <v>0</v>
          </cell>
          <cell r="J1713">
            <v>0</v>
          </cell>
          <cell r="K1713">
            <v>0</v>
          </cell>
          <cell r="L1713">
            <v>0</v>
          </cell>
          <cell r="O1713">
            <v>0</v>
          </cell>
          <cell r="P1713">
            <v>0</v>
          </cell>
          <cell r="Q1713" t="str">
            <v>70|28</v>
          </cell>
        </row>
        <row r="1714">
          <cell r="E1714" t="str">
            <v>5. ELECTRICAL / UPS</v>
          </cell>
          <cell r="G1714" t="str">
            <v>5. ELECTRICAL / UPS</v>
          </cell>
          <cell r="H1714">
            <v>0</v>
          </cell>
          <cell r="I1714">
            <v>0</v>
          </cell>
          <cell r="J1714">
            <v>0</v>
          </cell>
          <cell r="K1714">
            <v>0</v>
          </cell>
          <cell r="L1714">
            <v>0</v>
          </cell>
          <cell r="O1714">
            <v>0</v>
          </cell>
          <cell r="P1714">
            <v>0</v>
          </cell>
          <cell r="Q1714" t="str">
            <v>70|29</v>
          </cell>
        </row>
        <row r="1715">
          <cell r="E1715" t="str">
            <v>5. ELECTRICAL / UPS</v>
          </cell>
          <cell r="G1715" t="str">
            <v>Room</v>
          </cell>
          <cell r="H1715" t="str">
            <v>UPS Installed</v>
          </cell>
          <cell r="I1715" t="str">
            <v>UPS Size</v>
          </cell>
          <cell r="J1715" t="str">
            <v>PDU Installed</v>
          </cell>
          <cell r="K1715" t="str">
            <v>Rack Receptacles</v>
          </cell>
          <cell r="L1715" t="str">
            <v>Panel Assigned</v>
          </cell>
          <cell r="O1715" t="str">
            <v>Overall</v>
          </cell>
          <cell r="P1715" t="str">
            <v>Notes</v>
          </cell>
          <cell r="Q1715" t="str">
            <v>70|30</v>
          </cell>
        </row>
        <row r="1716">
          <cell r="E1716" t="str">
            <v>5. ELECTRICAL / UPS</v>
          </cell>
          <cell r="G1716" t="str">
            <v>B27</v>
          </cell>
          <cell r="H1716" t="str">
            <v>Verify</v>
          </cell>
          <cell r="I1716" t="str">
            <v>5 kW</v>
          </cell>
          <cell r="J1716" t="str">
            <v>Verify</v>
          </cell>
          <cell r="K1716" t="str">
            <v>Verify</v>
          </cell>
          <cell r="L1716" t="str">
            <v>Verify</v>
          </cell>
          <cell r="O1716" t="str">
            <v>Verify</v>
          </cell>
          <cell r="P1716">
            <v>0</v>
          </cell>
          <cell r="Q1716" t="str">
            <v>70|31</v>
          </cell>
        </row>
        <row r="1717">
          <cell r="E1717" t="str">
            <v>5. ELECTRICAL / UPS</v>
          </cell>
          <cell r="G1717" t="str">
            <v>125A</v>
          </cell>
          <cell r="H1717" t="str">
            <v>Verify</v>
          </cell>
          <cell r="I1717" t="str">
            <v>5 kW</v>
          </cell>
          <cell r="J1717" t="str">
            <v>Verify</v>
          </cell>
          <cell r="K1717" t="str">
            <v>Verify</v>
          </cell>
          <cell r="L1717" t="str">
            <v>Verify</v>
          </cell>
          <cell r="O1717" t="str">
            <v>Verify</v>
          </cell>
          <cell r="P1717">
            <v>0</v>
          </cell>
          <cell r="Q1717" t="str">
            <v>70|32</v>
          </cell>
        </row>
        <row r="1718">
          <cell r="E1718" t="str">
            <v>5. ELECTRICAL / UPS</v>
          </cell>
          <cell r="G1718" t="str">
            <v>262A</v>
          </cell>
          <cell r="H1718" t="str">
            <v>Verify</v>
          </cell>
          <cell r="I1718" t="str">
            <v>5 kW</v>
          </cell>
          <cell r="J1718" t="str">
            <v>Verify</v>
          </cell>
          <cell r="K1718" t="str">
            <v>Verify</v>
          </cell>
          <cell r="L1718" t="str">
            <v>Verify</v>
          </cell>
          <cell r="O1718" t="str">
            <v>Verify</v>
          </cell>
          <cell r="P1718">
            <v>0</v>
          </cell>
          <cell r="Q1718" t="str">
            <v>70|33</v>
          </cell>
        </row>
        <row r="1719">
          <cell r="E1719" t="str">
            <v>5. ELECTRICAL / UPS</v>
          </cell>
          <cell r="G1719">
            <v>0</v>
          </cell>
          <cell r="H1719">
            <v>0</v>
          </cell>
          <cell r="I1719">
            <v>0</v>
          </cell>
          <cell r="J1719">
            <v>0</v>
          </cell>
          <cell r="K1719">
            <v>0</v>
          </cell>
          <cell r="L1719">
            <v>0</v>
          </cell>
          <cell r="O1719">
            <v>0</v>
          </cell>
          <cell r="P1719">
            <v>0</v>
          </cell>
          <cell r="Q1719" t="str">
            <v>70|34</v>
          </cell>
        </row>
        <row r="1720">
          <cell r="E1720" t="str">
            <v>5. ELECTRICAL / UPS</v>
          </cell>
          <cell r="G1720">
            <v>0</v>
          </cell>
          <cell r="H1720">
            <v>0</v>
          </cell>
          <cell r="I1720">
            <v>0</v>
          </cell>
          <cell r="J1720">
            <v>0</v>
          </cell>
          <cell r="K1720">
            <v>0</v>
          </cell>
          <cell r="L1720">
            <v>0</v>
          </cell>
          <cell r="O1720">
            <v>0</v>
          </cell>
          <cell r="P1720">
            <v>0</v>
          </cell>
          <cell r="Q1720" t="str">
            <v>70|35</v>
          </cell>
        </row>
        <row r="1721">
          <cell r="E1721" t="str">
            <v>6. TELECOM</v>
          </cell>
          <cell r="G1721" t="str">
            <v>6. TELECOM</v>
          </cell>
          <cell r="H1721">
            <v>0</v>
          </cell>
          <cell r="I1721">
            <v>0</v>
          </cell>
          <cell r="J1721">
            <v>0</v>
          </cell>
          <cell r="K1721">
            <v>0</v>
          </cell>
          <cell r="L1721">
            <v>0</v>
          </cell>
          <cell r="O1721">
            <v>0</v>
          </cell>
          <cell r="P1721">
            <v>0</v>
          </cell>
          <cell r="Q1721" t="str">
            <v>70|36</v>
          </cell>
        </row>
        <row r="1722">
          <cell r="E1722" t="str">
            <v>6. TELECOM</v>
          </cell>
          <cell r="G1722" t="str">
            <v>Room</v>
          </cell>
          <cell r="H1722" t="str">
            <v>Rack Installed</v>
          </cell>
          <cell r="I1722" t="str">
            <v>Ladder Tray</v>
          </cell>
          <cell r="J1722" t="str">
            <v>Fiber Installed</v>
          </cell>
          <cell r="K1722" t="str">
            <v>Grounding</v>
          </cell>
          <cell r="L1722" t="str">
            <v>Labeling</v>
          </cell>
          <cell r="O1722" t="str">
            <v>Overall</v>
          </cell>
          <cell r="P1722" t="str">
            <v>Notes</v>
          </cell>
          <cell r="Q1722" t="str">
            <v>70|37</v>
          </cell>
        </row>
        <row r="1723">
          <cell r="E1723" t="str">
            <v>6. TELECOM</v>
          </cell>
          <cell r="G1723" t="str">
            <v>B27</v>
          </cell>
          <cell r="H1723" t="str">
            <v>Verify</v>
          </cell>
          <cell r="I1723" t="str">
            <v>Verify</v>
          </cell>
          <cell r="J1723" t="str">
            <v>Verify</v>
          </cell>
          <cell r="K1723" t="str">
            <v>Verify</v>
          </cell>
          <cell r="L1723" t="str">
            <v>Verify</v>
          </cell>
          <cell r="O1723" t="str">
            <v>Verify</v>
          </cell>
          <cell r="P1723">
            <v>0</v>
          </cell>
          <cell r="Q1723" t="str">
            <v>70|38</v>
          </cell>
        </row>
        <row r="1724">
          <cell r="E1724" t="str">
            <v>6. TELECOM</v>
          </cell>
          <cell r="G1724" t="str">
            <v>125A</v>
          </cell>
          <cell r="H1724" t="str">
            <v>Verify</v>
          </cell>
          <cell r="I1724" t="str">
            <v>Verify</v>
          </cell>
          <cell r="J1724" t="str">
            <v>Verify</v>
          </cell>
          <cell r="K1724" t="str">
            <v>Verify</v>
          </cell>
          <cell r="L1724" t="str">
            <v>Verify</v>
          </cell>
          <cell r="O1724" t="str">
            <v>Verify</v>
          </cell>
          <cell r="P1724">
            <v>0</v>
          </cell>
          <cell r="Q1724" t="str">
            <v>70|39</v>
          </cell>
        </row>
        <row r="1725">
          <cell r="E1725" t="str">
            <v>6. TELECOM</v>
          </cell>
          <cell r="G1725" t="str">
            <v>262A</v>
          </cell>
          <cell r="H1725" t="str">
            <v>Verify</v>
          </cell>
          <cell r="I1725" t="str">
            <v>Verify</v>
          </cell>
          <cell r="J1725" t="str">
            <v>Verify</v>
          </cell>
          <cell r="K1725" t="str">
            <v>Verify</v>
          </cell>
          <cell r="L1725" t="str">
            <v>Verify</v>
          </cell>
          <cell r="O1725" t="str">
            <v>Verify</v>
          </cell>
          <cell r="P1725">
            <v>0</v>
          </cell>
          <cell r="Q1725" t="str">
            <v>70|40</v>
          </cell>
        </row>
        <row r="1726">
          <cell r="E1726" t="str">
            <v>6. TELECOM</v>
          </cell>
          <cell r="G1726">
            <v>0</v>
          </cell>
          <cell r="H1726">
            <v>0</v>
          </cell>
          <cell r="I1726">
            <v>0</v>
          </cell>
          <cell r="J1726">
            <v>0</v>
          </cell>
          <cell r="K1726">
            <v>0</v>
          </cell>
          <cell r="L1726">
            <v>0</v>
          </cell>
          <cell r="O1726">
            <v>0</v>
          </cell>
          <cell r="P1726">
            <v>0</v>
          </cell>
          <cell r="Q1726" t="str">
            <v>70|41</v>
          </cell>
        </row>
        <row r="1727">
          <cell r="E1727" t="str">
            <v>6. TELECOM</v>
          </cell>
          <cell r="G1727">
            <v>0</v>
          </cell>
          <cell r="H1727">
            <v>0</v>
          </cell>
          <cell r="I1727">
            <v>0</v>
          </cell>
          <cell r="J1727">
            <v>0</v>
          </cell>
          <cell r="K1727">
            <v>0</v>
          </cell>
          <cell r="L1727">
            <v>0</v>
          </cell>
          <cell r="O1727">
            <v>0</v>
          </cell>
          <cell r="P1727">
            <v>0</v>
          </cell>
          <cell r="Q1727" t="str">
            <v>70|42</v>
          </cell>
        </row>
        <row r="1728">
          <cell r="E1728" t="str">
            <v>7. OWNER RISKS</v>
          </cell>
          <cell r="G1728" t="str">
            <v>7. OWNER RISKS</v>
          </cell>
          <cell r="H1728">
            <v>0</v>
          </cell>
          <cell r="I1728">
            <v>0</v>
          </cell>
          <cell r="J1728">
            <v>0</v>
          </cell>
          <cell r="K1728">
            <v>0</v>
          </cell>
          <cell r="L1728">
            <v>0</v>
          </cell>
          <cell r="O1728">
            <v>0</v>
          </cell>
          <cell r="P1728">
            <v>0</v>
          </cell>
          <cell r="Q1728" t="str">
            <v>70|43</v>
          </cell>
        </row>
        <row r="1729">
          <cell r="E1729" t="str">
            <v>7. OWNER RISKS</v>
          </cell>
          <cell r="G1729" t="str">
            <v>Risk ID</v>
          </cell>
          <cell r="H1729" t="str">
            <v>Room</v>
          </cell>
          <cell r="I1729" t="str">
            <v>Risk</v>
          </cell>
          <cell r="J1729" t="str">
            <v>Impact</v>
          </cell>
          <cell r="K1729" t="str">
            <v>Probability</v>
          </cell>
          <cell r="L1729" t="str">
            <v>Score</v>
          </cell>
          <cell r="O1729" t="str">
            <v>Status</v>
          </cell>
          <cell r="P1729" t="str">
            <v>Notes</v>
          </cell>
          <cell r="Q1729" t="str">
            <v>70|44</v>
          </cell>
        </row>
        <row r="1730">
          <cell r="E1730" t="str">
            <v>7. OWNER RISKS</v>
          </cell>
          <cell r="G1730" t="str">
            <v>B70-R1</v>
          </cell>
          <cell r="H1730" t="str">
            <v>All</v>
          </cell>
          <cell r="I1730" t="str">
            <v>Cooling emergency power / continuity not verified</v>
          </cell>
          <cell r="J1730" t="str">
            <v>High</v>
          </cell>
          <cell r="K1730" t="str">
            <v>Medium</v>
          </cell>
          <cell r="L1730">
            <v>6</v>
          </cell>
          <cell r="O1730" t="str">
            <v>Open</v>
          </cell>
          <cell r="P1730">
            <v>0</v>
          </cell>
          <cell r="Q1730" t="str">
            <v>70|45</v>
          </cell>
        </row>
        <row r="1731">
          <cell r="E1731" t="str">
            <v>7. OWNER RISKS</v>
          </cell>
          <cell r="G1731" t="str">
            <v>B70-R2</v>
          </cell>
          <cell r="H1731" t="str">
            <v>All</v>
          </cell>
          <cell r="I1731" t="str">
            <v>1-hour rated/smoke-rated TR envelope and penetrations not field verified</v>
          </cell>
          <cell r="J1731" t="str">
            <v>High</v>
          </cell>
          <cell r="K1731" t="str">
            <v>Medium</v>
          </cell>
          <cell r="L1731">
            <v>6</v>
          </cell>
          <cell r="O1731" t="str">
            <v>Open</v>
          </cell>
          <cell r="P1731">
            <v>0</v>
          </cell>
          <cell r="Q1731" t="str">
            <v>70|46</v>
          </cell>
        </row>
        <row r="1732">
          <cell r="E1732" t="str">
            <v>7. OWNER RISKS</v>
          </cell>
          <cell r="G1732" t="str">
            <v>B70-R3</v>
          </cell>
          <cell r="H1732" t="str">
            <v>B27</v>
          </cell>
          <cell r="I1732" t="str">
            <v>Existing basement service conditions may constrain routing and access</v>
          </cell>
          <cell r="J1732" t="str">
            <v>Medium</v>
          </cell>
          <cell r="K1732" t="str">
            <v>High</v>
          </cell>
          <cell r="L1732">
            <v>6</v>
          </cell>
          <cell r="O1732" t="str">
            <v>Open</v>
          </cell>
          <cell r="P1732">
            <v>0</v>
          </cell>
          <cell r="Q1732" t="str">
            <v>70|47</v>
          </cell>
        </row>
        <row r="1733">
          <cell r="E1733" t="str">
            <v>7. OWNER RISKS</v>
          </cell>
          <cell r="G1733" t="str">
            <v>B70-R4</v>
          </cell>
          <cell r="H1733" t="str">
            <v>All</v>
          </cell>
          <cell r="I1733" t="str">
            <v>Existing TR/service equipment transfer could affect active operations</v>
          </cell>
          <cell r="J1733" t="str">
            <v>High</v>
          </cell>
          <cell r="K1733" t="str">
            <v>Medium</v>
          </cell>
          <cell r="L1733">
            <v>6</v>
          </cell>
          <cell r="O1733" t="str">
            <v>Open</v>
          </cell>
          <cell r="P1733">
            <v>0</v>
          </cell>
          <cell r="Q1733" t="str">
            <v>70|48</v>
          </cell>
        </row>
        <row r="1734">
          <cell r="E1734" t="str">
            <v>7. OWNER RISKS</v>
          </cell>
          <cell r="G1734" t="str">
            <v>B70-R5</v>
          </cell>
          <cell r="H1734" t="str">
            <v>All</v>
          </cell>
          <cell r="I1734" t="str">
            <v>Condensate leak risk near IT equipment</v>
          </cell>
          <cell r="J1734" t="str">
            <v>High</v>
          </cell>
          <cell r="K1734" t="str">
            <v>Medium</v>
          </cell>
          <cell r="L1734">
            <v>6</v>
          </cell>
          <cell r="O1734" t="str">
            <v>Open</v>
          </cell>
          <cell r="P1734">
            <v>0</v>
          </cell>
          <cell r="Q1734" t="str">
            <v>70|49</v>
          </cell>
        </row>
        <row r="1735">
          <cell r="E1735" t="str">
            <v>7. OWNER RISKS</v>
          </cell>
          <cell r="G1735">
            <v>0</v>
          </cell>
          <cell r="H1735">
            <v>0</v>
          </cell>
          <cell r="I1735">
            <v>0</v>
          </cell>
          <cell r="J1735">
            <v>0</v>
          </cell>
          <cell r="K1735">
            <v>0</v>
          </cell>
          <cell r="L1735">
            <v>0</v>
          </cell>
          <cell r="O1735">
            <v>0</v>
          </cell>
          <cell r="P1735">
            <v>0</v>
          </cell>
          <cell r="Q1735" t="str">
            <v>70|50</v>
          </cell>
        </row>
        <row r="1736">
          <cell r="E1736" t="str">
            <v>7. OWNER RISKS</v>
          </cell>
          <cell r="G1736">
            <v>0</v>
          </cell>
          <cell r="H1736">
            <v>0</v>
          </cell>
          <cell r="I1736">
            <v>0</v>
          </cell>
          <cell r="J1736">
            <v>0</v>
          </cell>
          <cell r="K1736">
            <v>0</v>
          </cell>
          <cell r="L1736">
            <v>0</v>
          </cell>
          <cell r="O1736">
            <v>0</v>
          </cell>
          <cell r="P1736">
            <v>0</v>
          </cell>
          <cell r="Q1736" t="str">
            <v>70|51</v>
          </cell>
        </row>
        <row r="1737">
          <cell r="E1737" t="str">
            <v>8. OPEN QUESTIONS</v>
          </cell>
          <cell r="G1737" t="str">
            <v>8. OPEN QUESTIONS</v>
          </cell>
          <cell r="H1737">
            <v>0</v>
          </cell>
          <cell r="I1737">
            <v>0</v>
          </cell>
          <cell r="J1737">
            <v>0</v>
          </cell>
          <cell r="K1737">
            <v>0</v>
          </cell>
          <cell r="L1737">
            <v>0</v>
          </cell>
          <cell r="O1737">
            <v>0</v>
          </cell>
          <cell r="P1737">
            <v>0</v>
          </cell>
          <cell r="Q1737" t="str">
            <v>70|52</v>
          </cell>
        </row>
        <row r="1738">
          <cell r="E1738" t="str">
            <v>8. OPEN QUESTIONS</v>
          </cell>
          <cell r="G1738" t="str">
            <v>Question ID</v>
          </cell>
          <cell r="H1738" t="str">
            <v>Question</v>
          </cell>
          <cell r="I1738" t="str">
            <v>Assigned To</v>
          </cell>
          <cell r="J1738" t="str">
            <v>Status</v>
          </cell>
          <cell r="K1738" t="str">
            <v>Needed By</v>
          </cell>
          <cell r="L1738" t="str">
            <v>Answer / Resolution</v>
          </cell>
          <cell r="O1738" t="str">
            <v>Date Closed</v>
          </cell>
          <cell r="P1738" t="str">
            <v>Notes</v>
          </cell>
          <cell r="Q1738" t="str">
            <v>70|53</v>
          </cell>
        </row>
        <row r="1739">
          <cell r="E1739" t="str">
            <v>8. OPEN QUESTIONS</v>
          </cell>
          <cell r="G1739" t="str">
            <v>B70-Q1</v>
          </cell>
          <cell r="H1739" t="str">
            <v>Are cooling units and controls on emergency/backup power?</v>
          </cell>
          <cell r="I1739" t="str">
            <v>VA / Designer</v>
          </cell>
          <cell r="J1739" t="str">
            <v>Open</v>
          </cell>
          <cell r="K1739">
            <v>0</v>
          </cell>
          <cell r="L1739">
            <v>0</v>
          </cell>
          <cell r="O1739">
            <v>0</v>
          </cell>
          <cell r="P1739">
            <v>0</v>
          </cell>
          <cell r="Q1739" t="str">
            <v>70|54</v>
          </cell>
        </row>
        <row r="1740">
          <cell r="E1740" t="str">
            <v>8. OPEN QUESTIONS</v>
          </cell>
          <cell r="G1740" t="str">
            <v>B70-Q2</v>
          </cell>
          <cell r="H1740" t="str">
            <v>Are future rack loads included in HVAC sizing for B27, 125A, and 262A?</v>
          </cell>
          <cell r="I1740" t="str">
            <v>Designer</v>
          </cell>
          <cell r="J1740" t="str">
            <v>Open</v>
          </cell>
          <cell r="K1740">
            <v>0</v>
          </cell>
          <cell r="L1740">
            <v>0</v>
          </cell>
          <cell r="O1740">
            <v>0</v>
          </cell>
          <cell r="P1740">
            <v>0</v>
          </cell>
          <cell r="Q1740" t="str">
            <v>70|55</v>
          </cell>
        </row>
        <row r="1741">
          <cell r="E1741" t="str">
            <v>8. OPEN QUESTIONS</v>
          </cell>
          <cell r="G1741" t="str">
            <v>B70-Q3</v>
          </cell>
          <cell r="H1741" t="str">
            <v>Are extinguisher cabinet locations identified within 75 feet of each TR?</v>
          </cell>
          <cell r="I1741" t="str">
            <v>Contractor / COR</v>
          </cell>
          <cell r="J1741" t="str">
            <v>Open</v>
          </cell>
          <cell r="K1741">
            <v>0</v>
          </cell>
          <cell r="L1741">
            <v>0</v>
          </cell>
          <cell r="O1741">
            <v>0</v>
          </cell>
          <cell r="P1741">
            <v>0</v>
          </cell>
          <cell r="Q1741" t="str">
            <v>70|56</v>
          </cell>
        </row>
        <row r="1742">
          <cell r="E1742" t="str">
            <v>8. OPEN QUESTIONS</v>
          </cell>
          <cell r="G1742" t="str">
            <v>B70-Q4</v>
          </cell>
          <cell r="H1742" t="str">
            <v>Are all wall/floor penetrations and speed sleeves shown and firestopped?</v>
          </cell>
          <cell r="I1742" t="str">
            <v>Contractor / Designer</v>
          </cell>
          <cell r="J1742" t="str">
            <v>Open</v>
          </cell>
          <cell r="K1742">
            <v>0</v>
          </cell>
          <cell r="L1742">
            <v>0</v>
          </cell>
          <cell r="O1742">
            <v>0</v>
          </cell>
          <cell r="P1742">
            <v>0</v>
          </cell>
          <cell r="Q1742" t="str">
            <v>70|57</v>
          </cell>
        </row>
        <row r="1743">
          <cell r="E1743" t="str">
            <v>8. OPEN QUESTIONS</v>
          </cell>
          <cell r="G1743" t="str">
            <v>B70-Q5</v>
          </cell>
          <cell r="H1743" t="str">
            <v>What phasing is required to keep existing low-voltage/analog systems operational?</v>
          </cell>
          <cell r="I1743" t="str">
            <v>Contractor / OIT</v>
          </cell>
          <cell r="J1743" t="str">
            <v>Open</v>
          </cell>
          <cell r="K1743">
            <v>0</v>
          </cell>
          <cell r="L1743">
            <v>0</v>
          </cell>
          <cell r="O1743">
            <v>0</v>
          </cell>
          <cell r="P1743">
            <v>0</v>
          </cell>
          <cell r="Q1743" t="str">
            <v>70|58</v>
          </cell>
        </row>
        <row r="1744">
          <cell r="E1744" t="str">
            <v>8. OPEN QUESTIONS</v>
          </cell>
          <cell r="G1744">
            <v>0</v>
          </cell>
          <cell r="H1744">
            <v>0</v>
          </cell>
          <cell r="I1744">
            <v>0</v>
          </cell>
          <cell r="J1744">
            <v>0</v>
          </cell>
          <cell r="K1744">
            <v>0</v>
          </cell>
          <cell r="L1744">
            <v>0</v>
          </cell>
          <cell r="O1744">
            <v>0</v>
          </cell>
          <cell r="P1744">
            <v>0</v>
          </cell>
          <cell r="Q1744" t="str">
            <v>70|59</v>
          </cell>
        </row>
        <row r="1745">
          <cell r="E1745" t="str">
            <v>8. OPEN QUESTIONS</v>
          </cell>
          <cell r="G1745">
            <v>0</v>
          </cell>
          <cell r="H1745">
            <v>0</v>
          </cell>
          <cell r="I1745">
            <v>0</v>
          </cell>
          <cell r="J1745">
            <v>0</v>
          </cell>
          <cell r="K1745">
            <v>0</v>
          </cell>
          <cell r="L1745">
            <v>0</v>
          </cell>
          <cell r="O1745">
            <v>0</v>
          </cell>
          <cell r="P1745">
            <v>0</v>
          </cell>
          <cell r="Q1745" t="str">
            <v>70|60</v>
          </cell>
        </row>
        <row r="1746">
          <cell r="E1746" t="str">
            <v>9. PHOTO LOG</v>
          </cell>
          <cell r="G1746" t="str">
            <v>9. PHOTO LOG</v>
          </cell>
          <cell r="H1746">
            <v>0</v>
          </cell>
          <cell r="I1746">
            <v>0</v>
          </cell>
          <cell r="J1746">
            <v>0</v>
          </cell>
          <cell r="K1746">
            <v>0</v>
          </cell>
          <cell r="L1746">
            <v>0</v>
          </cell>
          <cell r="O1746">
            <v>0</v>
          </cell>
          <cell r="P1746">
            <v>0</v>
          </cell>
          <cell r="Q1746" t="str">
            <v>70|61</v>
          </cell>
        </row>
        <row r="1747">
          <cell r="E1747" t="str">
            <v>9. PHOTO LOG</v>
          </cell>
          <cell r="G1747" t="str">
            <v>Photo ID</v>
          </cell>
          <cell r="H1747" t="str">
            <v>Room</v>
          </cell>
          <cell r="I1747" t="str">
            <v>Category</v>
          </cell>
          <cell r="J1747" t="str">
            <v>Description</v>
          </cell>
          <cell r="K1747" t="str">
            <v>Date</v>
          </cell>
          <cell r="L1747" t="str">
            <v>Taken By</v>
          </cell>
          <cell r="O1747" t="str">
            <v>Status</v>
          </cell>
          <cell r="P1747" t="str">
            <v>Notes</v>
          </cell>
          <cell r="Q1747" t="str">
            <v>70|62</v>
          </cell>
        </row>
        <row r="1748">
          <cell r="E1748" t="str">
            <v>9. PHOTO LOG</v>
          </cell>
          <cell r="G1748" t="str">
            <v>B70-P001</v>
          </cell>
          <cell r="H1748" t="str">
            <v>B27</v>
          </cell>
          <cell r="I1748" t="str">
            <v>Existing Condition</v>
          </cell>
          <cell r="J1748" t="str">
            <v>Existing basement TR / utility condition</v>
          </cell>
          <cell r="K1748">
            <v>0</v>
          </cell>
          <cell r="L1748" t="str">
            <v>Paul</v>
          </cell>
          <cell r="O1748" t="str">
            <v>Open</v>
          </cell>
          <cell r="P1748">
            <v>0</v>
          </cell>
          <cell r="Q1748" t="str">
            <v>70|63</v>
          </cell>
        </row>
        <row r="1749">
          <cell r="E1749" t="str">
            <v>9. PHOTO LOG</v>
          </cell>
          <cell r="G1749" t="str">
            <v>B70-P002</v>
          </cell>
          <cell r="H1749" t="str">
            <v>125A</v>
          </cell>
          <cell r="I1749" t="str">
            <v>Existing Condition</v>
          </cell>
          <cell r="J1749" t="str">
            <v>Existing first-floor TR condition</v>
          </cell>
          <cell r="K1749">
            <v>0</v>
          </cell>
          <cell r="L1749" t="str">
            <v>Paul</v>
          </cell>
          <cell r="O1749" t="str">
            <v>Open</v>
          </cell>
          <cell r="P1749">
            <v>0</v>
          </cell>
          <cell r="Q1749" t="str">
            <v>70|64</v>
          </cell>
        </row>
        <row r="1750">
          <cell r="E1750" t="str">
            <v>9. PHOTO LOG</v>
          </cell>
          <cell r="G1750" t="str">
            <v>B70-P003</v>
          </cell>
          <cell r="H1750" t="str">
            <v>262A</v>
          </cell>
          <cell r="I1750" t="str">
            <v>Existing Condition</v>
          </cell>
          <cell r="J1750" t="str">
            <v>Existing second-floor TR condition</v>
          </cell>
          <cell r="K1750">
            <v>0</v>
          </cell>
          <cell r="L1750" t="str">
            <v>Paul</v>
          </cell>
          <cell r="O1750" t="str">
            <v>Open</v>
          </cell>
          <cell r="P1750">
            <v>0</v>
          </cell>
          <cell r="Q1750" t="str">
            <v>70|65</v>
          </cell>
        </row>
        <row r="1751">
          <cell r="E1751" t="str">
            <v>9. PHOTO LOG</v>
          </cell>
          <cell r="G1751" t="str">
            <v>B70-P004</v>
          </cell>
          <cell r="H1751" t="str">
            <v>All</v>
          </cell>
          <cell r="I1751" t="str">
            <v>Firestop</v>
          </cell>
          <cell r="J1751" t="str">
            <v>Penetration/firestopping photo</v>
          </cell>
          <cell r="K1751">
            <v>0</v>
          </cell>
          <cell r="L1751" t="str">
            <v>Paul</v>
          </cell>
          <cell r="O1751" t="str">
            <v>Open</v>
          </cell>
          <cell r="P1751">
            <v>0</v>
          </cell>
          <cell r="Q1751" t="str">
            <v>70|66</v>
          </cell>
        </row>
        <row r="1752">
          <cell r="E1752" t="str">
            <v>9. PHOTO LOG</v>
          </cell>
          <cell r="G1752" t="str">
            <v>B70-P005</v>
          </cell>
          <cell r="H1752" t="str">
            <v>All</v>
          </cell>
          <cell r="I1752" t="str">
            <v>HVAC</v>
          </cell>
          <cell r="J1752" t="str">
            <v>Cooling unit/condensate photo</v>
          </cell>
          <cell r="K1752">
            <v>0</v>
          </cell>
          <cell r="L1752" t="str">
            <v>Paul</v>
          </cell>
          <cell r="O1752" t="str">
            <v>Open</v>
          </cell>
          <cell r="P1752">
            <v>0</v>
          </cell>
          <cell r="Q1752" t="str">
            <v>70|67</v>
          </cell>
        </row>
        <row r="1753">
          <cell r="E1753" t="str">
            <v>9. PHOTO LOG</v>
          </cell>
          <cell r="G1753">
            <v>0</v>
          </cell>
          <cell r="H1753">
            <v>0</v>
          </cell>
          <cell r="I1753">
            <v>0</v>
          </cell>
          <cell r="J1753">
            <v>0</v>
          </cell>
          <cell r="K1753">
            <v>0</v>
          </cell>
          <cell r="L1753">
            <v>0</v>
          </cell>
          <cell r="O1753">
            <v>0</v>
          </cell>
          <cell r="P1753">
            <v>0</v>
          </cell>
          <cell r="Q1753" t="str">
            <v>70|68</v>
          </cell>
        </row>
        <row r="1754">
          <cell r="E1754" t="str">
            <v>9. PHOTO LOG</v>
          </cell>
          <cell r="G1754">
            <v>0</v>
          </cell>
          <cell r="H1754">
            <v>0</v>
          </cell>
          <cell r="I1754">
            <v>0</v>
          </cell>
          <cell r="J1754">
            <v>0</v>
          </cell>
          <cell r="K1754">
            <v>0</v>
          </cell>
          <cell r="L1754">
            <v>0</v>
          </cell>
          <cell r="O1754">
            <v>0</v>
          </cell>
          <cell r="P1754">
            <v>0</v>
          </cell>
          <cell r="Q1754" t="str">
            <v>70|69</v>
          </cell>
        </row>
        <row r="1755">
          <cell r="E1755" t="str">
            <v>10. OWNER READINESS SCORE</v>
          </cell>
          <cell r="G1755" t="str">
            <v>10. OWNER READINESS SCORE</v>
          </cell>
          <cell r="H1755">
            <v>0</v>
          </cell>
          <cell r="I1755">
            <v>0</v>
          </cell>
          <cell r="J1755">
            <v>0</v>
          </cell>
          <cell r="K1755">
            <v>0</v>
          </cell>
          <cell r="L1755">
            <v>0</v>
          </cell>
          <cell r="O1755">
            <v>0</v>
          </cell>
          <cell r="P1755">
            <v>0</v>
          </cell>
          <cell r="Q1755" t="str">
            <v>70|70</v>
          </cell>
        </row>
        <row r="1756">
          <cell r="E1756" t="str">
            <v>10. OWNER READINESS SCORE</v>
          </cell>
          <cell r="G1756" t="str">
            <v>Room</v>
          </cell>
          <cell r="H1756" t="str">
            <v>Room Readiness</v>
          </cell>
          <cell r="I1756" t="str">
            <v>Fire</v>
          </cell>
          <cell r="J1756" t="str">
            <v>HVAC</v>
          </cell>
          <cell r="K1756" t="str">
            <v>Electrical</v>
          </cell>
          <cell r="L1756" t="str">
            <v>Telecom</v>
          </cell>
          <cell r="O1756" t="str">
            <v>Readiness</v>
          </cell>
          <cell r="P1756" t="str">
            <v>Notes</v>
          </cell>
          <cell r="Q1756" t="str">
            <v>70|71</v>
          </cell>
        </row>
        <row r="1757">
          <cell r="E1757" t="str">
            <v>10. OWNER READINESS SCORE</v>
          </cell>
          <cell r="G1757" t="str">
            <v>B27</v>
          </cell>
          <cell r="H1757">
            <v>0.5</v>
          </cell>
          <cell r="I1757">
            <v>0.5</v>
          </cell>
          <cell r="J1757">
            <v>0.5</v>
          </cell>
          <cell r="K1757">
            <v>0.5</v>
          </cell>
          <cell r="L1757">
            <v>0.5</v>
          </cell>
          <cell r="O1757" t="str">
            <v>Partial / Yellow</v>
          </cell>
          <cell r="P1757">
            <v>0</v>
          </cell>
          <cell r="Q1757" t="str">
            <v>70|72</v>
          </cell>
        </row>
        <row r="1758">
          <cell r="E1758" t="str">
            <v>10. OWNER READINESS SCORE</v>
          </cell>
          <cell r="G1758" t="str">
            <v>125A</v>
          </cell>
          <cell r="H1758">
            <v>0.5</v>
          </cell>
          <cell r="I1758">
            <v>0.5</v>
          </cell>
          <cell r="J1758">
            <v>0.5</v>
          </cell>
          <cell r="K1758">
            <v>0.5</v>
          </cell>
          <cell r="L1758">
            <v>0.5</v>
          </cell>
          <cell r="O1758" t="str">
            <v>Partial / Yellow</v>
          </cell>
          <cell r="P1758">
            <v>0</v>
          </cell>
          <cell r="Q1758" t="str">
            <v>70|73</v>
          </cell>
        </row>
        <row r="1759">
          <cell r="E1759" t="str">
            <v>10. OWNER READINESS SCORE</v>
          </cell>
          <cell r="G1759" t="str">
            <v>262A</v>
          </cell>
          <cell r="H1759">
            <v>0.5</v>
          </cell>
          <cell r="I1759">
            <v>0.5</v>
          </cell>
          <cell r="J1759">
            <v>0.5</v>
          </cell>
          <cell r="K1759">
            <v>0.5</v>
          </cell>
          <cell r="L1759">
            <v>0.5</v>
          </cell>
          <cell r="O1759" t="str">
            <v>Partial / Yellow</v>
          </cell>
          <cell r="P1759">
            <v>0</v>
          </cell>
          <cell r="Q1759" t="str">
            <v>70|74</v>
          </cell>
        </row>
        <row r="1760">
          <cell r="E1760" t="str">
            <v>10. OWNER READINESS SCORE</v>
          </cell>
          <cell r="G1760">
            <v>0</v>
          </cell>
          <cell r="H1760">
            <v>0</v>
          </cell>
          <cell r="I1760">
            <v>0</v>
          </cell>
          <cell r="J1760">
            <v>0</v>
          </cell>
          <cell r="K1760">
            <v>0</v>
          </cell>
          <cell r="L1760">
            <v>0</v>
          </cell>
          <cell r="O1760">
            <v>0</v>
          </cell>
          <cell r="P1760">
            <v>0</v>
          </cell>
          <cell r="Q1760" t="str">
            <v>70|75</v>
          </cell>
        </row>
        <row r="1761">
          <cell r="E1761" t="str">
            <v>10. OWNER READINESS SCORE</v>
          </cell>
          <cell r="G1761">
            <v>0</v>
          </cell>
          <cell r="H1761">
            <v>0</v>
          </cell>
          <cell r="I1761">
            <v>0</v>
          </cell>
          <cell r="J1761">
            <v>0</v>
          </cell>
          <cell r="K1761">
            <v>0</v>
          </cell>
          <cell r="L1761">
            <v>0</v>
          </cell>
          <cell r="O1761">
            <v>0</v>
          </cell>
          <cell r="P1761">
            <v>0</v>
          </cell>
          <cell r="Q1761" t="str">
            <v>70|76</v>
          </cell>
        </row>
        <row r="1762">
          <cell r="E1762" t="str">
            <v>10. OWNER READINESS SCORE</v>
          </cell>
          <cell r="G1762" t="str">
            <v>SOURCE / DRAWING REVIEW NOTES</v>
          </cell>
          <cell r="H1762">
            <v>0</v>
          </cell>
          <cell r="I1762">
            <v>0</v>
          </cell>
          <cell r="J1762">
            <v>0</v>
          </cell>
          <cell r="K1762">
            <v>0</v>
          </cell>
          <cell r="L1762">
            <v>0</v>
          </cell>
          <cell r="O1762">
            <v>0</v>
          </cell>
          <cell r="P1762">
            <v>0</v>
          </cell>
          <cell r="Q1762" t="str">
            <v>70|77</v>
          </cell>
        </row>
        <row r="1763">
          <cell r="E1763" t="str">
            <v>10. OWNER READINESS SCORE</v>
          </cell>
          <cell r="G1763" t="str">
            <v>Source package</v>
          </cell>
          <cell r="H1763" t="str">
            <v>518-22-700.Bedford.EHRM.IFC.B70.20260316.pdf</v>
          </cell>
          <cell r="I1763">
            <v>0</v>
          </cell>
          <cell r="J1763">
            <v>0</v>
          </cell>
          <cell r="K1763">
            <v>0</v>
          </cell>
          <cell r="L1763">
            <v>0</v>
          </cell>
          <cell r="O1763">
            <v>0</v>
          </cell>
          <cell r="P1763">
            <v>0</v>
          </cell>
          <cell r="Q1763" t="str">
            <v>70|78</v>
          </cell>
        </row>
        <row r="1764">
          <cell r="E1764" t="str">
            <v>10. OWNER READINESS SCORE</v>
          </cell>
          <cell r="G1764" t="str">
            <v>TR locations identified</v>
          </cell>
          <cell r="H1764" t="str">
            <v>B27 basement, 125A first floor, 262A second floor based on architectural, fire protection, mechanical, and telecom drawing references.</v>
          </cell>
          <cell r="I1764">
            <v>0</v>
          </cell>
          <cell r="J1764">
            <v>0</v>
          </cell>
          <cell r="K1764">
            <v>0</v>
          </cell>
          <cell r="L1764">
            <v>0</v>
          </cell>
          <cell r="O1764">
            <v>0</v>
          </cell>
          <cell r="P1764">
            <v>0</v>
          </cell>
          <cell r="Q1764" t="str">
            <v>70|79</v>
          </cell>
        </row>
        <row r="1765">
          <cell r="E1765" t="str">
            <v>10. OWNER READINESS SCORE</v>
          </cell>
          <cell r="G1765" t="str">
            <v>Fire protection basis</v>
          </cell>
          <cell r="H1765" t="str">
            <v>Building 70 is fully sprinklered. TRs require sprinkler modifications, fire alarm devices, extinguisher coverage within 75 feet, and firestopping at penetrations.</v>
          </cell>
          <cell r="I1765">
            <v>0</v>
          </cell>
          <cell r="J1765">
            <v>0</v>
          </cell>
          <cell r="K1765">
            <v>0</v>
          </cell>
          <cell r="L1765">
            <v>0</v>
          </cell>
          <cell r="O1765">
            <v>0</v>
          </cell>
          <cell r="P1765">
            <v>0</v>
          </cell>
          <cell r="Q1765" t="str">
            <v>70|80</v>
          </cell>
        </row>
        <row r="1766">
          <cell r="E1766" t="str">
            <v>10. OWNER READINESS SCORE</v>
          </cell>
          <cell r="G1766" t="str">
            <v>HVAC basis</v>
          </cell>
          <cell r="H1766" t="str">
            <v>New indoor units, condensate routing, thermostat, and BACnet adapter are noted for TR spaces; emergency power and operational continuity should be field verified.</v>
          </cell>
          <cell r="I1766">
            <v>0</v>
          </cell>
          <cell r="J1766">
            <v>0</v>
          </cell>
          <cell r="K1766">
            <v>0</v>
          </cell>
          <cell r="L1766">
            <v>0</v>
          </cell>
          <cell r="O1766">
            <v>0</v>
          </cell>
          <cell r="P1766">
            <v>0</v>
          </cell>
          <cell r="Q1766" t="str">
            <v>70|81</v>
          </cell>
        </row>
        <row r="1767">
          <cell r="E1767" t="str">
            <v>10. OWNER READINESS SCORE</v>
          </cell>
          <cell r="G1767" t="str">
            <v>Telecom basis</v>
          </cell>
          <cell r="H1767" t="str">
            <v>TR rack elevations show 1 rack plus future rack at B-27, 125-A, and 262-A with UPS/PDU/cable management/grounding requirements.</v>
          </cell>
          <cell r="I1767">
            <v>0</v>
          </cell>
          <cell r="J1767">
            <v>0</v>
          </cell>
          <cell r="K1767">
            <v>0</v>
          </cell>
          <cell r="L1767">
            <v>0</v>
          </cell>
          <cell r="O1767">
            <v>0</v>
          </cell>
          <cell r="P1767">
            <v>0</v>
          </cell>
          <cell r="Q1767" t="str">
            <v>70|82</v>
          </cell>
        </row>
        <row r="1768">
          <cell r="E1768" t="str">
            <v>10. OWNER READINESS SCORE</v>
          </cell>
          <cell r="G1768">
            <v>0</v>
          </cell>
          <cell r="H1768" t="str">
            <v>12. PAYMENT VERIFICATION</v>
          </cell>
          <cell r="I1768">
            <v>0</v>
          </cell>
          <cell r="J1768">
            <v>0</v>
          </cell>
          <cell r="K1768">
            <v>0</v>
          </cell>
          <cell r="L1768">
            <v>0</v>
          </cell>
          <cell r="O1768">
            <v>0</v>
          </cell>
          <cell r="P1768">
            <v>0</v>
          </cell>
          <cell r="Q1768" t="str">
            <v>70|83</v>
          </cell>
        </row>
        <row r="1769">
          <cell r="E1769" t="str">
            <v>10. OWNER READINESS SCORE</v>
          </cell>
          <cell r="G1769" t="str">
            <v xml:space="preserve">Based on the Building 70 IFC review, the telecom scope is very similar to Building 62, but Building 70 appears to have three TRs (B27, 125A, and 262A) instead of a single room. The project introduces new racks, UPS equipment, dedicated cooling, fire alarm modifications, sprinkler modifications, grounding, cable management, and access control while maintaining hospital operations. </v>
          </cell>
          <cell r="H1769" t="str">
            <v>Telecom Room Build</v>
          </cell>
          <cell r="I1769" t="str">
            <v>🟡 Partial</v>
          </cell>
          <cell r="J1769">
            <v>0.9</v>
          </cell>
          <cell r="K1769">
            <v>0.85</v>
          </cell>
          <cell r="L1769" t="str">
            <v>🟡</v>
          </cell>
          <cell r="O1769">
            <v>0</v>
          </cell>
          <cell r="P1769">
            <v>0</v>
          </cell>
          <cell r="Q1769" t="str">
            <v>70|84</v>
          </cell>
        </row>
        <row r="1770">
          <cell r="E1770" t="str">
            <v>10. OWNER READINESS SCORE</v>
          </cell>
          <cell r="G1770">
            <v>0</v>
          </cell>
          <cell r="H1770" t="str">
            <v>Cooling Installation</v>
          </cell>
          <cell r="I1770" t="str">
            <v>🟢 Verified</v>
          </cell>
          <cell r="J1770">
            <v>1</v>
          </cell>
          <cell r="K1770">
            <v>1</v>
          </cell>
          <cell r="L1770" t="str">
            <v>🟢</v>
          </cell>
          <cell r="O1770">
            <v>0</v>
          </cell>
          <cell r="P1770">
            <v>0</v>
          </cell>
          <cell r="Q1770" t="str">
            <v>70|85</v>
          </cell>
        </row>
        <row r="1771">
          <cell r="E1771" t="str">
            <v>10. OWNER READINESS SCORE</v>
          </cell>
          <cell r="G1771" t="str">
            <v>Building 70 – Telecom Room Infrastructure Scope</v>
          </cell>
          <cell r="H1771" t="str">
            <v>UPS Installation</v>
          </cell>
          <cell r="I1771" t="str">
            <v>🟢 Verified</v>
          </cell>
          <cell r="J1771">
            <v>1</v>
          </cell>
          <cell r="K1771">
            <v>1</v>
          </cell>
          <cell r="L1771" t="str">
            <v>🟢</v>
          </cell>
          <cell r="O1771">
            <v>0</v>
          </cell>
          <cell r="P1771">
            <v>0</v>
          </cell>
          <cell r="Q1771" t="str">
            <v>70|86</v>
          </cell>
        </row>
        <row r="1772">
          <cell r="E1772" t="str">
            <v>10. OWNER READINESS SCORE</v>
          </cell>
          <cell r="G1772">
            <v>0</v>
          </cell>
          <cell r="H1772" t="str">
            <v>Fiber Installation</v>
          </cell>
          <cell r="I1772" t="str">
            <v>🟢 Verified</v>
          </cell>
          <cell r="J1772">
            <v>1</v>
          </cell>
          <cell r="K1772">
            <v>1</v>
          </cell>
          <cell r="L1772" t="str">
            <v>🟢</v>
          </cell>
          <cell r="O1772">
            <v>0</v>
          </cell>
          <cell r="P1772">
            <v>0</v>
          </cell>
          <cell r="Q1772" t="str">
            <v>70|87</v>
          </cell>
        </row>
        <row r="1773">
          <cell r="E1773" t="str">
            <v>10. OWNER READINESS SCORE</v>
          </cell>
          <cell r="G1773" t="str">
            <v>Existing Conditions Survey</v>
          </cell>
          <cell r="H1773" t="str">
            <v>Firestopping</v>
          </cell>
          <cell r="I1773" t="str">
            <v>🔴 Disputed</v>
          </cell>
          <cell r="J1773">
            <v>1</v>
          </cell>
          <cell r="K1773">
            <v>1</v>
          </cell>
          <cell r="L1773" t="str">
            <v>🟢</v>
          </cell>
          <cell r="O1773">
            <v>0</v>
          </cell>
          <cell r="P1773">
            <v>0</v>
          </cell>
          <cell r="Q1773" t="str">
            <v>70|88</v>
          </cell>
        </row>
        <row r="1774">
          <cell r="E1774" t="str">
            <v>10. OWNER READINESS SCORE</v>
          </cell>
          <cell r="G1774">
            <v>0</v>
          </cell>
          <cell r="H1774" t="str">
            <v>Payment Confidence</v>
          </cell>
          <cell r="I1774">
            <v>0</v>
          </cell>
          <cell r="J1774">
            <v>0.98000000000000009</v>
          </cell>
          <cell r="K1774">
            <v>0.97</v>
          </cell>
          <cell r="L1774" t="str">
            <v>Success: Recommended payment aligns with observed progress and evidence is documented.</v>
          </cell>
          <cell r="O1774">
            <v>0</v>
          </cell>
          <cell r="P1774">
            <v>0</v>
          </cell>
          <cell r="Q1774" t="str">
            <v>70|89</v>
          </cell>
        </row>
        <row r="1775">
          <cell r="E1775" t="str">
            <v>10. OWNER READINESS SCORE</v>
          </cell>
          <cell r="G1775" t="str">
            <v>Verify existing conditions of TR-B27, TR-125A, and TR-262A.</v>
          </cell>
          <cell r="H1775">
            <v>0</v>
          </cell>
          <cell r="I1775">
            <v>0</v>
          </cell>
          <cell r="J1775">
            <v>0</v>
          </cell>
          <cell r="K1775">
            <v>0</v>
          </cell>
          <cell r="L1775">
            <v>0</v>
          </cell>
          <cell r="O1775">
            <v>0</v>
          </cell>
          <cell r="P1775">
            <v>0</v>
          </cell>
          <cell r="Q1775" t="str">
            <v>70|90</v>
          </cell>
        </row>
        <row r="1776">
          <cell r="E1776" t="str">
            <v>10. OWNER READINESS SCORE</v>
          </cell>
          <cell r="G1776" t="str">
            <v>Document existing racks, power, HVAC, fire protection, grounding, and pathway systems.</v>
          </cell>
          <cell r="H1776" t="str">
            <v>13. OIT ACTIVATION READINESS</v>
          </cell>
          <cell r="I1776">
            <v>0</v>
          </cell>
          <cell r="J1776">
            <v>0</v>
          </cell>
          <cell r="K1776">
            <v>0</v>
          </cell>
          <cell r="L1776">
            <v>0</v>
          </cell>
          <cell r="O1776">
            <v>0</v>
          </cell>
          <cell r="P1776">
            <v>0</v>
          </cell>
          <cell r="Q1776" t="str">
            <v>70|91</v>
          </cell>
        </row>
        <row r="1777">
          <cell r="E1777" t="str">
            <v>10. OWNER READINESS SCORE</v>
          </cell>
          <cell r="G1777" t="str">
            <v>Photograph all existing conditions.</v>
          </cell>
          <cell r="H1777" t="str">
            <v>Requirement</v>
          </cell>
          <cell r="I1777" t="str">
            <v>Status</v>
          </cell>
          <cell r="J1777" t="str">
            <v>Verified By</v>
          </cell>
          <cell r="K1777" t="str">
            <v>Complete</v>
          </cell>
          <cell r="L1777" t="str">
            <v>Score</v>
          </cell>
          <cell r="O1777">
            <v>0</v>
          </cell>
          <cell r="P1777">
            <v>0</v>
          </cell>
          <cell r="Q1777" t="str">
            <v>70|92</v>
          </cell>
        </row>
        <row r="1778">
          <cell r="E1778" t="str">
            <v>10. OWNER READINESS SCORE</v>
          </cell>
          <cell r="G1778" t="str">
            <v>Verify existing active services and identify systems requiring uninterrupted operation.</v>
          </cell>
          <cell r="H1778" t="str">
            <v>Telecom Room Complete</v>
          </cell>
          <cell r="I1778" t="str">
            <v>In Progress</v>
          </cell>
          <cell r="J1778" t="str">
            <v>Yes</v>
          </cell>
          <cell r="K1778" t="str">
            <v>Yes</v>
          </cell>
          <cell r="L1778">
            <v>1</v>
          </cell>
          <cell r="O1778">
            <v>0</v>
          </cell>
          <cell r="P1778">
            <v>0</v>
          </cell>
          <cell r="Q1778" t="str">
            <v>70|93</v>
          </cell>
        </row>
        <row r="1779">
          <cell r="E1779" t="str">
            <v>10. OWNER READINESS SCORE</v>
          </cell>
          <cell r="G1779" t="str">
            <v>Verify room dimensions and equipment clearances.</v>
          </cell>
          <cell r="H1779" t="str">
            <v>Rack Installed</v>
          </cell>
          <cell r="I1779" t="str">
            <v>In Progress</v>
          </cell>
          <cell r="J1779" t="str">
            <v>Yes</v>
          </cell>
          <cell r="K1779" t="str">
            <v>Yes</v>
          </cell>
          <cell r="L1779">
            <v>1</v>
          </cell>
          <cell r="O1779">
            <v>0</v>
          </cell>
          <cell r="P1779">
            <v>0</v>
          </cell>
          <cell r="Q1779" t="str">
            <v>70|94</v>
          </cell>
        </row>
        <row r="1780">
          <cell r="E1780" t="str">
            <v>10. OWNER READINESS SCORE</v>
          </cell>
          <cell r="G1780">
            <v>0</v>
          </cell>
          <cell r="H1780" t="str">
            <v>Fiber Tested</v>
          </cell>
          <cell r="I1780" t="str">
            <v>In Progress</v>
          </cell>
          <cell r="J1780" t="str">
            <v>Yes</v>
          </cell>
          <cell r="K1780" t="str">
            <v>Yes</v>
          </cell>
          <cell r="L1780">
            <v>1</v>
          </cell>
          <cell r="O1780">
            <v>0</v>
          </cell>
          <cell r="P1780">
            <v>0</v>
          </cell>
          <cell r="Q1780" t="str">
            <v>70|95</v>
          </cell>
        </row>
        <row r="1781">
          <cell r="E1781" t="str">
            <v>10. OWNER READINESS SCORE</v>
          </cell>
          <cell r="G1781" t="str">
            <v>Architectural</v>
          </cell>
          <cell r="H1781" t="str">
            <v>UPS Operational</v>
          </cell>
          <cell r="I1781" t="str">
            <v>In Progress</v>
          </cell>
          <cell r="J1781" t="str">
            <v>Yes</v>
          </cell>
          <cell r="K1781" t="str">
            <v>Yes</v>
          </cell>
          <cell r="L1781">
            <v>1</v>
          </cell>
          <cell r="O1781">
            <v>0</v>
          </cell>
          <cell r="P1781">
            <v>0</v>
          </cell>
          <cell r="Q1781" t="str">
            <v>70|96</v>
          </cell>
        </row>
        <row r="1782">
          <cell r="E1782" t="str">
            <v>10. OWNER READINESS SCORE</v>
          </cell>
          <cell r="G1782">
            <v>0</v>
          </cell>
          <cell r="H1782" t="str">
            <v>Network Equipment Received</v>
          </cell>
          <cell r="I1782" t="str">
            <v>Complete</v>
          </cell>
          <cell r="J1782" t="str">
            <v>Yes</v>
          </cell>
          <cell r="K1782" t="str">
            <v>Yes</v>
          </cell>
          <cell r="L1782">
            <v>1</v>
          </cell>
          <cell r="O1782">
            <v>0</v>
          </cell>
          <cell r="P1782">
            <v>0</v>
          </cell>
          <cell r="Q1782" t="str">
            <v>70|97</v>
          </cell>
        </row>
        <row r="1783">
          <cell r="E1783" t="str">
            <v>10. OWNER READINESS SCORE</v>
          </cell>
          <cell r="G1783" t="str">
            <v>Prepare rooms for new telecom infrastructure.</v>
          </cell>
          <cell r="H1783" t="str">
            <v>National OIT Approval</v>
          </cell>
          <cell r="I1783" t="str">
            <v>In Progress</v>
          </cell>
          <cell r="J1783" t="str">
            <v>Yes</v>
          </cell>
          <cell r="K1783" t="str">
            <v>Yes</v>
          </cell>
          <cell r="L1783">
            <v>1</v>
          </cell>
          <cell r="O1783">
            <v>0</v>
          </cell>
          <cell r="P1783">
            <v>0</v>
          </cell>
          <cell r="Q1783" t="str">
            <v>70|98</v>
          </cell>
        </row>
        <row r="1784">
          <cell r="E1784" t="str">
            <v>10. OWNER READINESS SCORE</v>
          </cell>
          <cell r="G1784" t="str">
            <v>Patch and repair walls, ceilings, and penetrations as required.</v>
          </cell>
          <cell r="H1784" t="str">
            <v>Local OIT Ready</v>
          </cell>
          <cell r="I1784" t="str">
            <v>Blocked</v>
          </cell>
          <cell r="J1784" t="str">
            <v>Yes</v>
          </cell>
          <cell r="K1784" t="str">
            <v>No</v>
          </cell>
          <cell r="L1784">
            <v>0</v>
          </cell>
          <cell r="O1784">
            <v>0</v>
          </cell>
          <cell r="P1784">
            <v>0</v>
          </cell>
          <cell r="Q1784" t="str">
            <v>70|99</v>
          </cell>
        </row>
        <row r="1785">
          <cell r="E1785" t="str">
            <v>10. OWNER READINESS SCORE</v>
          </cell>
          <cell r="G1785" t="str">
            <v>Maintain or restore all fire-rated assemblies.</v>
          </cell>
          <cell r="H1785" t="str">
            <v>Activation Scheduled</v>
          </cell>
          <cell r="I1785" t="str">
            <v>In Progress</v>
          </cell>
          <cell r="J1785" t="str">
            <v>Yes</v>
          </cell>
          <cell r="K1785" t="str">
            <v>No</v>
          </cell>
          <cell r="L1785">
            <v>0</v>
          </cell>
          <cell r="O1785">
            <v>0</v>
          </cell>
          <cell r="P1785">
            <v>0</v>
          </cell>
          <cell r="Q1785" t="str">
            <v>70|100</v>
          </cell>
        </row>
        <row r="1786">
          <cell r="E1786" t="str">
            <v>10. OWNER READINESS SCORE</v>
          </cell>
          <cell r="G1786" t="str">
            <v>Verify door hardware, access control, and room security.</v>
          </cell>
          <cell r="H1786" t="str">
            <v>OIT Readiness</v>
          </cell>
          <cell r="I1786">
            <v>0</v>
          </cell>
          <cell r="J1786">
            <v>0.75</v>
          </cell>
          <cell r="K1786">
            <v>0</v>
          </cell>
          <cell r="L1786" t="str">
            <v>Success: Required OIT activation prerequisites are complete or formally coordinated.</v>
          </cell>
          <cell r="O1786">
            <v>0</v>
          </cell>
          <cell r="P1786">
            <v>0</v>
          </cell>
          <cell r="Q1786" t="str">
            <v>70|101</v>
          </cell>
        </row>
        <row r="1787">
          <cell r="E1787" t="str">
            <v>10. OWNER READINESS SCORE</v>
          </cell>
          <cell r="G1787" t="str">
            <v>Label rooms and equipment per VA standards.</v>
          </cell>
          <cell r="H1787">
            <v>0</v>
          </cell>
          <cell r="I1787">
            <v>0</v>
          </cell>
          <cell r="J1787">
            <v>0</v>
          </cell>
          <cell r="K1787">
            <v>0</v>
          </cell>
          <cell r="L1787">
            <v>0</v>
          </cell>
          <cell r="O1787">
            <v>0</v>
          </cell>
          <cell r="P1787">
            <v>0</v>
          </cell>
          <cell r="Q1787" t="str">
            <v>70|102</v>
          </cell>
        </row>
        <row r="1788">
          <cell r="E1788" t="str">
            <v>10. OWNER READINESS SCORE</v>
          </cell>
          <cell r="G1788">
            <v>0</v>
          </cell>
          <cell r="H1788" t="str">
            <v>14. SUBMITTAL / MATERIAL VERIFICATION</v>
          </cell>
          <cell r="I1788">
            <v>0</v>
          </cell>
          <cell r="J1788">
            <v>0</v>
          </cell>
          <cell r="K1788">
            <v>0</v>
          </cell>
          <cell r="L1788">
            <v>0</v>
          </cell>
          <cell r="O1788">
            <v>0</v>
          </cell>
          <cell r="P1788">
            <v>0</v>
          </cell>
          <cell r="Q1788" t="str">
            <v>70|103</v>
          </cell>
        </row>
        <row r="1789">
          <cell r="E1789" t="str">
            <v>10. OWNER READINESS SCORE</v>
          </cell>
          <cell r="G1789" t="str">
            <v>Fire Protection</v>
          </cell>
          <cell r="H1789" t="str">
            <v>Spec / Item</v>
          </cell>
          <cell r="I1789" t="str">
            <v>Status</v>
          </cell>
          <cell r="J1789" t="str">
            <v>Approved</v>
          </cell>
          <cell r="K1789" t="str">
            <v>Installed</v>
          </cell>
          <cell r="L1789" t="str">
            <v>Match</v>
          </cell>
          <cell r="O1789">
            <v>0</v>
          </cell>
          <cell r="P1789">
            <v>0</v>
          </cell>
          <cell r="Q1789" t="str">
            <v>70|104</v>
          </cell>
        </row>
        <row r="1790">
          <cell r="E1790" t="str">
            <v>10. OWNER READINESS SCORE</v>
          </cell>
          <cell r="G1790">
            <v>0</v>
          </cell>
          <cell r="H1790" t="str">
            <v>Telecom Equipment</v>
          </cell>
          <cell r="I1790" t="str">
            <v>Complete</v>
          </cell>
          <cell r="J1790" t="str">
            <v>Yes</v>
          </cell>
          <cell r="K1790" t="str">
            <v>Yes</v>
          </cell>
          <cell r="L1790" t="str">
            <v>Yes</v>
          </cell>
          <cell r="O1790">
            <v>0</v>
          </cell>
          <cell r="P1790">
            <v>0</v>
          </cell>
          <cell r="Q1790" t="str">
            <v>70|105</v>
          </cell>
        </row>
        <row r="1791">
          <cell r="E1791" t="str">
            <v>10. OWNER READINESS SCORE</v>
          </cell>
          <cell r="G1791" t="str">
            <v>Verify sprinkler coverage within each TR.</v>
          </cell>
          <cell r="H1791" t="str">
            <v>Cable Tray</v>
          </cell>
          <cell r="I1791" t="str">
            <v>Complete</v>
          </cell>
          <cell r="J1791" t="str">
            <v>Yes</v>
          </cell>
          <cell r="K1791" t="str">
            <v>Yes</v>
          </cell>
          <cell r="L1791" t="str">
            <v>Yes</v>
          </cell>
          <cell r="O1791">
            <v>0</v>
          </cell>
          <cell r="P1791">
            <v>0</v>
          </cell>
          <cell r="Q1791" t="str">
            <v>70|106</v>
          </cell>
        </row>
        <row r="1792">
          <cell r="E1792" t="str">
            <v>10. OWNER READINESS SCORE</v>
          </cell>
          <cell r="G1792" t="str">
            <v>Reconfigure sprinkler piping and heads where required.</v>
          </cell>
          <cell r="H1792" t="str">
            <v>Firestop System</v>
          </cell>
          <cell r="I1792" t="str">
            <v>Complete</v>
          </cell>
          <cell r="J1792" t="str">
            <v>Yes</v>
          </cell>
          <cell r="K1792" t="str">
            <v>Yes</v>
          </cell>
          <cell r="L1792" t="str">
            <v>Yes</v>
          </cell>
          <cell r="O1792">
            <v>0</v>
          </cell>
          <cell r="P1792">
            <v>0</v>
          </cell>
          <cell r="Q1792" t="str">
            <v>70|107</v>
          </cell>
        </row>
        <row r="1793">
          <cell r="E1793" t="str">
            <v>10. OWNER READINESS SCORE</v>
          </cell>
          <cell r="G1793" t="str">
            <v>Verify no obstructions to sprinkler discharge.</v>
          </cell>
          <cell r="H1793" t="str">
            <v>HVAC Equipment</v>
          </cell>
          <cell r="I1793" t="str">
            <v>Complete</v>
          </cell>
          <cell r="J1793" t="str">
            <v>Yes</v>
          </cell>
          <cell r="K1793" t="str">
            <v>Yes</v>
          </cell>
          <cell r="L1793" t="str">
            <v>Yes</v>
          </cell>
          <cell r="O1793">
            <v>0</v>
          </cell>
          <cell r="P1793">
            <v>0</v>
          </cell>
          <cell r="Q1793" t="str">
            <v>70|108</v>
          </cell>
        </row>
        <row r="1794">
          <cell r="E1794" t="str">
            <v>10. OWNER READINESS SCORE</v>
          </cell>
          <cell r="G1794" t="str">
            <v>Provide fire extinguisher cabinet and clean-agent or CO₂ extinguisher within 75 feet of each TR.</v>
          </cell>
          <cell r="H1794" t="str">
            <v>Electrical Equipment</v>
          </cell>
          <cell r="I1794" t="str">
            <v>Complete</v>
          </cell>
          <cell r="J1794" t="str">
            <v>Yes</v>
          </cell>
          <cell r="K1794" t="str">
            <v>Yes</v>
          </cell>
          <cell r="L1794" t="str">
            <v>Yes</v>
          </cell>
          <cell r="O1794">
            <v>0</v>
          </cell>
          <cell r="P1794">
            <v>0</v>
          </cell>
          <cell r="Q1794" t="str">
            <v>70|109</v>
          </cell>
        </row>
        <row r="1795">
          <cell r="E1795" t="str">
            <v>10. OWNER READINESS SCORE</v>
          </cell>
          <cell r="G1795" t="str">
            <v>Firestop all penetrations through rated assemblies.</v>
          </cell>
          <cell r="H1795" t="str">
            <v>Inspection Compliance</v>
          </cell>
          <cell r="I1795">
            <v>0</v>
          </cell>
          <cell r="J1795">
            <v>1</v>
          </cell>
          <cell r="K1795">
            <v>0</v>
          </cell>
          <cell r="L1795" t="str">
            <v>Success: Installed materials match approved submittals and deficiencies are documented.</v>
          </cell>
          <cell r="O1795">
            <v>0</v>
          </cell>
          <cell r="P1795">
            <v>0</v>
          </cell>
          <cell r="Q1795" t="str">
            <v>70|110</v>
          </cell>
        </row>
        <row r="1796">
          <cell r="E1796" t="str">
            <v>10. OWNER READINESS SCORE</v>
          </cell>
          <cell r="G1796" t="str">
            <v>Verify compliance with NFPA 13 and VA Fire Protection Design Manual requirements.</v>
          </cell>
          <cell r="H1796">
            <v>0</v>
          </cell>
          <cell r="I1796">
            <v>0</v>
          </cell>
          <cell r="J1796">
            <v>0</v>
          </cell>
          <cell r="K1796">
            <v>0</v>
          </cell>
          <cell r="L1796">
            <v>0</v>
          </cell>
          <cell r="O1796">
            <v>0</v>
          </cell>
          <cell r="P1796">
            <v>0</v>
          </cell>
          <cell r="Q1796" t="str">
            <v>70|111</v>
          </cell>
        </row>
        <row r="1797">
          <cell r="E1797" t="str">
            <v>10. OWNER READINESS SCORE</v>
          </cell>
          <cell r="G1797">
            <v>0</v>
          </cell>
          <cell r="H1797" t="str">
            <v>15. PRODUCTIVITY OBSERVATIONS</v>
          </cell>
          <cell r="I1797">
            <v>0</v>
          </cell>
          <cell r="J1797">
            <v>0</v>
          </cell>
          <cell r="K1797">
            <v>0</v>
          </cell>
          <cell r="L1797">
            <v>0</v>
          </cell>
          <cell r="O1797">
            <v>0</v>
          </cell>
          <cell r="P1797">
            <v>0</v>
          </cell>
          <cell r="Q1797" t="str">
            <v>70|112</v>
          </cell>
        </row>
        <row r="1798">
          <cell r="E1798" t="str">
            <v>10. OWNER READINESS SCORE</v>
          </cell>
          <cell r="G1798" t="str">
            <v>Fire Alarm</v>
          </cell>
          <cell r="H1798" t="str">
            <v>Trade</v>
          </cell>
          <cell r="I1798" t="str">
            <v>Status</v>
          </cell>
          <cell r="J1798" t="str">
            <v>Planned</v>
          </cell>
          <cell r="K1798" t="str">
            <v>Actual</v>
          </cell>
          <cell r="L1798" t="str">
            <v>Crew</v>
          </cell>
          <cell r="O1798">
            <v>0</v>
          </cell>
          <cell r="P1798">
            <v>0</v>
          </cell>
          <cell r="Q1798" t="str">
            <v>70|113</v>
          </cell>
        </row>
        <row r="1799">
          <cell r="E1799" t="str">
            <v>10. OWNER READINESS SCORE</v>
          </cell>
          <cell r="G1799">
            <v>0</v>
          </cell>
          <cell r="H1799" t="str">
            <v>Electrical</v>
          </cell>
          <cell r="I1799" t="str">
            <v>Not Started</v>
          </cell>
          <cell r="J1799">
            <v>8</v>
          </cell>
          <cell r="K1799">
            <v>7.5</v>
          </cell>
          <cell r="L1799">
            <v>6</v>
          </cell>
          <cell r="O1799">
            <v>0</v>
          </cell>
          <cell r="P1799">
            <v>0</v>
          </cell>
          <cell r="Q1799" t="str">
            <v>70|114</v>
          </cell>
        </row>
        <row r="1800">
          <cell r="E1800" t="str">
            <v>10. OWNER READINESS SCORE</v>
          </cell>
          <cell r="G1800" t="str">
            <v>Verify smoke detection coverage.</v>
          </cell>
          <cell r="H1800" t="str">
            <v>Telecom</v>
          </cell>
          <cell r="I1800" t="str">
            <v>Not Started</v>
          </cell>
          <cell r="J1800">
            <v>8</v>
          </cell>
          <cell r="K1800">
            <v>9</v>
          </cell>
          <cell r="L1800">
            <v>4</v>
          </cell>
          <cell r="O1800">
            <v>0</v>
          </cell>
          <cell r="P1800">
            <v>0</v>
          </cell>
          <cell r="Q1800" t="str">
            <v>70|115</v>
          </cell>
        </row>
        <row r="1801">
          <cell r="E1801" t="str">
            <v>10. OWNER READINESS SCORE</v>
          </cell>
          <cell r="G1801" t="str">
            <v>Verify horn/strobe coverage.</v>
          </cell>
          <cell r="H1801" t="str">
            <v>Mechanical</v>
          </cell>
          <cell r="I1801" t="str">
            <v>Not Started</v>
          </cell>
          <cell r="J1801">
            <v>10</v>
          </cell>
          <cell r="K1801">
            <v>10</v>
          </cell>
          <cell r="L1801">
            <v>3</v>
          </cell>
          <cell r="O1801">
            <v>0</v>
          </cell>
          <cell r="P1801">
            <v>0</v>
          </cell>
          <cell r="Q1801" t="str">
            <v>70|116</v>
          </cell>
        </row>
        <row r="1802">
          <cell r="E1802" t="str">
            <v>10. OWNER READINESS SCORE</v>
          </cell>
          <cell r="G1802" t="str">
            <v>Coordinate relocation or addition of devices as required.</v>
          </cell>
          <cell r="H1802" t="str">
            <v>Firestop</v>
          </cell>
          <cell r="I1802" t="str">
            <v>Not Started</v>
          </cell>
          <cell r="J1802">
            <v>10</v>
          </cell>
          <cell r="K1802">
            <v>13</v>
          </cell>
          <cell r="L1802">
            <v>1</v>
          </cell>
          <cell r="O1802">
            <v>0</v>
          </cell>
          <cell r="P1802">
            <v>0</v>
          </cell>
          <cell r="Q1802" t="str">
            <v>70|117</v>
          </cell>
        </row>
        <row r="1803">
          <cell r="E1803" t="str">
            <v>10. OWNER READINESS SCORE</v>
          </cell>
          <cell r="G1803" t="str">
            <v>Verify monitoring and reporting through existing fire alarm systems.</v>
          </cell>
          <cell r="H1803" t="str">
            <v>Contractor Performance</v>
          </cell>
          <cell r="I1803">
            <v>0</v>
          </cell>
          <cell r="J1803">
            <v>0</v>
          </cell>
          <cell r="K1803">
            <v>0</v>
          </cell>
          <cell r="L1803" t="str">
            <v>Success: Actual production is on or above baseline, or delay cause is documented.</v>
          </cell>
          <cell r="O1803">
            <v>0</v>
          </cell>
          <cell r="P1803">
            <v>0</v>
          </cell>
          <cell r="Q1803" t="str">
            <v>70|118</v>
          </cell>
        </row>
        <row r="1804">
          <cell r="E1804" t="str">
            <v>10. OWNER READINESS SCORE</v>
          </cell>
          <cell r="G1804" t="str">
            <v>Test and document final operation.</v>
          </cell>
          <cell r="H1804">
            <v>0</v>
          </cell>
          <cell r="I1804">
            <v>0</v>
          </cell>
          <cell r="J1804">
            <v>0</v>
          </cell>
          <cell r="K1804">
            <v>0</v>
          </cell>
          <cell r="L1804">
            <v>0</v>
          </cell>
          <cell r="O1804">
            <v>0</v>
          </cell>
          <cell r="P1804">
            <v>0</v>
          </cell>
          <cell r="Q1804" t="str">
            <v>70|119</v>
          </cell>
        </row>
        <row r="1805">
          <cell r="E1805" t="str">
            <v>10. OWNER READINESS SCORE</v>
          </cell>
          <cell r="G1805">
            <v>0</v>
          </cell>
          <cell r="H1805" t="str">
            <v>16. OWNER ACCEPTANCE READINESS</v>
          </cell>
          <cell r="I1805">
            <v>0</v>
          </cell>
          <cell r="J1805">
            <v>0</v>
          </cell>
          <cell r="K1805">
            <v>0</v>
          </cell>
          <cell r="L1805">
            <v>0</v>
          </cell>
          <cell r="O1805">
            <v>0</v>
          </cell>
          <cell r="P1805">
            <v>0</v>
          </cell>
          <cell r="Q1805" t="str">
            <v>70|120</v>
          </cell>
        </row>
        <row r="1806">
          <cell r="E1806" t="str">
            <v>10. OWNER READINESS SCORE</v>
          </cell>
          <cell r="G1806" t="str">
            <v>Mechanical / HVAC</v>
          </cell>
          <cell r="H1806" t="str">
            <v>Requirement</v>
          </cell>
          <cell r="I1806" t="str">
            <v>Status</v>
          </cell>
          <cell r="J1806" t="str">
            <v>Required</v>
          </cell>
          <cell r="K1806" t="str">
            <v>Complete</v>
          </cell>
          <cell r="L1806" t="str">
            <v>Score</v>
          </cell>
          <cell r="O1806">
            <v>0</v>
          </cell>
          <cell r="P1806">
            <v>0</v>
          </cell>
          <cell r="Q1806" t="str">
            <v>70|121</v>
          </cell>
        </row>
        <row r="1807">
          <cell r="E1807" t="str">
            <v>10. OWNER READINESS SCORE</v>
          </cell>
          <cell r="G1807">
            <v>0</v>
          </cell>
          <cell r="H1807" t="str">
            <v>Construction Complete</v>
          </cell>
          <cell r="I1807" t="str">
            <v>🟢 Verified</v>
          </cell>
          <cell r="J1807" t="str">
            <v>Yes</v>
          </cell>
          <cell r="K1807" t="str">
            <v>Yes</v>
          </cell>
          <cell r="L1807">
            <v>1</v>
          </cell>
          <cell r="O1807">
            <v>0</v>
          </cell>
          <cell r="P1807">
            <v>0</v>
          </cell>
          <cell r="Q1807" t="str">
            <v>70|122</v>
          </cell>
        </row>
        <row r="1808">
          <cell r="E1808" t="str">
            <v>10. OWNER READINESS SCORE</v>
          </cell>
          <cell r="G1808" t="str">
            <v>Verify dedicated cooling units serving each telecom room.</v>
          </cell>
          <cell r="H1808" t="str">
            <v>QA/QC Complete</v>
          </cell>
          <cell r="I1808" t="str">
            <v>🟢 Verified</v>
          </cell>
          <cell r="J1808" t="str">
            <v>Yes</v>
          </cell>
          <cell r="K1808" t="str">
            <v>Yes</v>
          </cell>
          <cell r="L1808">
            <v>1</v>
          </cell>
          <cell r="O1808">
            <v>0</v>
          </cell>
          <cell r="P1808">
            <v>0</v>
          </cell>
          <cell r="Q1808" t="str">
            <v>70|123</v>
          </cell>
        </row>
        <row r="1809">
          <cell r="E1809" t="str">
            <v>10. OWNER READINESS SCORE</v>
          </cell>
          <cell r="G1809" t="str">
            <v>Verify thermostat installation.</v>
          </cell>
          <cell r="H1809" t="str">
            <v>Deficiencies Closed</v>
          </cell>
          <cell r="I1809" t="str">
            <v>🟢 Verified</v>
          </cell>
          <cell r="J1809" t="str">
            <v>Yes</v>
          </cell>
          <cell r="K1809" t="str">
            <v>Yes</v>
          </cell>
          <cell r="L1809">
            <v>1</v>
          </cell>
          <cell r="O1809">
            <v>0</v>
          </cell>
          <cell r="P1809">
            <v>0</v>
          </cell>
          <cell r="Q1809" t="str">
            <v>70|124</v>
          </cell>
        </row>
        <row r="1810">
          <cell r="E1810" t="str">
            <v>10. OWNER READINESS SCORE</v>
          </cell>
          <cell r="G1810" t="str">
            <v>Verify BACnet integration and controls.</v>
          </cell>
          <cell r="H1810" t="str">
            <v>OIT Ready</v>
          </cell>
          <cell r="I1810" t="str">
            <v>🟢 Verified</v>
          </cell>
          <cell r="J1810" t="str">
            <v>Yes</v>
          </cell>
          <cell r="K1810" t="str">
            <v>Yes</v>
          </cell>
          <cell r="L1810">
            <v>1</v>
          </cell>
          <cell r="O1810">
            <v>0</v>
          </cell>
          <cell r="P1810">
            <v>0</v>
          </cell>
          <cell r="Q1810" t="str">
            <v>70|125</v>
          </cell>
        </row>
        <row r="1811">
          <cell r="E1811" t="str">
            <v>10. OWNER READINESS SCORE</v>
          </cell>
          <cell r="G1811" t="str">
            <v>Verify condensate routing and drainage.</v>
          </cell>
          <cell r="H1811" t="str">
            <v>Documentation Complete</v>
          </cell>
          <cell r="I1811" t="str">
            <v>🟢 Verified</v>
          </cell>
          <cell r="J1811" t="str">
            <v>Yes</v>
          </cell>
          <cell r="K1811" t="str">
            <v>Yes</v>
          </cell>
          <cell r="L1811">
            <v>1</v>
          </cell>
          <cell r="O1811">
            <v>0</v>
          </cell>
          <cell r="P1811">
            <v>0</v>
          </cell>
          <cell r="Q1811" t="str">
            <v>70|126</v>
          </cell>
        </row>
        <row r="1812">
          <cell r="E1812" t="str">
            <v>10. OWNER READINESS SCORE</v>
          </cell>
          <cell r="G1812" t="str">
            <v>Verify emergency power requirements for cooling equipment.</v>
          </cell>
          <cell r="H1812" t="str">
            <v>Recommended for Acceptance</v>
          </cell>
          <cell r="I1812" t="str">
            <v>🟢 Verified</v>
          </cell>
          <cell r="J1812" t="str">
            <v>Yes</v>
          </cell>
          <cell r="K1812" t="str">
            <v>No</v>
          </cell>
          <cell r="L1812">
            <v>0</v>
          </cell>
          <cell r="O1812">
            <v>0</v>
          </cell>
          <cell r="P1812">
            <v>0</v>
          </cell>
          <cell r="Q1812" t="str">
            <v>70|127</v>
          </cell>
        </row>
        <row r="1813">
          <cell r="E1813" t="str">
            <v>10. OWNER READINESS SCORE</v>
          </cell>
          <cell r="G1813" t="str">
            <v>Verify continuous cooling capability during hospital operations.</v>
          </cell>
          <cell r="H1813" t="str">
            <v>Acceptance Readiness</v>
          </cell>
          <cell r="I1813">
            <v>0</v>
          </cell>
          <cell r="J1813">
            <v>0.83333333333333337</v>
          </cell>
          <cell r="K1813">
            <v>0</v>
          </cell>
          <cell r="L1813" t="str">
            <v>Success: Building is ready for turnover when all required gates are complete.</v>
          </cell>
          <cell r="O1813">
            <v>0</v>
          </cell>
          <cell r="P1813">
            <v>0</v>
          </cell>
          <cell r="Q1813" t="str">
            <v>70|128</v>
          </cell>
        </row>
        <row r="1814">
          <cell r="E1814" t="str">
            <v>10. OWNER READINESS SCORE</v>
          </cell>
          <cell r="G1814" t="str">
            <v>Perform startup and commissioning.</v>
          </cell>
          <cell r="H1814">
            <v>0</v>
          </cell>
          <cell r="I1814">
            <v>0</v>
          </cell>
          <cell r="J1814">
            <v>0</v>
          </cell>
          <cell r="K1814">
            <v>0</v>
          </cell>
          <cell r="L1814">
            <v>0</v>
          </cell>
          <cell r="O1814">
            <v>0</v>
          </cell>
          <cell r="P1814">
            <v>0</v>
          </cell>
          <cell r="Q1814" t="str">
            <v>70|129</v>
          </cell>
        </row>
        <row r="1815">
          <cell r="E1815" t="str">
            <v>10. OWNER READINESS SCORE</v>
          </cell>
          <cell r="G1815">
            <v>0</v>
          </cell>
          <cell r="H1815" t="str">
            <v>16. SOURCE / DRAWING REVIEW NOTES</v>
          </cell>
          <cell r="I1815">
            <v>0</v>
          </cell>
          <cell r="J1815">
            <v>0</v>
          </cell>
          <cell r="K1815">
            <v>0</v>
          </cell>
          <cell r="L1815">
            <v>0</v>
          </cell>
          <cell r="O1815">
            <v>0</v>
          </cell>
          <cell r="P1815">
            <v>0</v>
          </cell>
          <cell r="Q1815" t="str">
            <v>70|130</v>
          </cell>
        </row>
        <row r="1816">
          <cell r="E1816" t="str">
            <v>10. OWNER READINESS SCORE</v>
          </cell>
          <cell r="G1816" t="str">
            <v>Electrical</v>
          </cell>
          <cell r="H1816" t="str">
            <v>Source Package</v>
          </cell>
          <cell r="I1816" t="str">
            <v>518-22-700.Bedford.EHRM.IFC.B61.20260316.pdf</v>
          </cell>
          <cell r="J1816">
            <v>0</v>
          </cell>
          <cell r="K1816">
            <v>0</v>
          </cell>
          <cell r="L1816">
            <v>0</v>
          </cell>
          <cell r="O1816">
            <v>0</v>
          </cell>
          <cell r="P1816">
            <v>0</v>
          </cell>
          <cell r="Q1816" t="str">
            <v>70|131</v>
          </cell>
        </row>
        <row r="1817">
          <cell r="E1817" t="str">
            <v>10. OWNER READINESS SCORE</v>
          </cell>
          <cell r="G1817">
            <v>0</v>
          </cell>
          <cell r="H1817" t="str">
            <v>Drawing Index</v>
          </cell>
          <cell r="I1817" t="str">
            <v>70-sheet Building 61 IFC package includes general, hazardous abatement, architectural, interiors, fire protection, plumbing, mechanical, electrical, telecommunications, schedules/rack elevations, server/demarc rack elevations and photo references.</v>
          </cell>
          <cell r="J1817">
            <v>0</v>
          </cell>
          <cell r="K1817">
            <v>0</v>
          </cell>
          <cell r="L1817">
            <v>0</v>
          </cell>
          <cell r="O1817">
            <v>0</v>
          </cell>
          <cell r="P1817">
            <v>0</v>
          </cell>
          <cell r="Q1817" t="str">
            <v>70|132</v>
          </cell>
        </row>
        <row r="1818">
          <cell r="E1818" t="str">
            <v>10. OWNER READINESS SCORE</v>
          </cell>
          <cell r="G1818" t="str">
            <v>Verify new electrical distribution serving telecom equipment.</v>
          </cell>
          <cell r="H1818" t="str">
            <v>Architectural / Hazardous Basis</v>
          </cell>
          <cell r="I1818" t="str">
            <v>Drawing index includes 61H-101 first-level and 61H-102 second-level hazardous material abatement plans plus architectural enlarged views 61A-400/401 for basement, first and second levels.</v>
          </cell>
          <cell r="J1818">
            <v>0</v>
          </cell>
          <cell r="K1818">
            <v>0</v>
          </cell>
          <cell r="L1818">
            <v>0</v>
          </cell>
          <cell r="O1818">
            <v>0</v>
          </cell>
          <cell r="P1818">
            <v>0</v>
          </cell>
          <cell r="Q1818" t="str">
            <v>70|133</v>
          </cell>
        </row>
        <row r="1819">
          <cell r="E1819" t="str">
            <v>10. OWNER READINESS SCORE</v>
          </cell>
          <cell r="G1819" t="str">
            <v>Verify dedicated panel assignments.</v>
          </cell>
          <cell r="H1819" t="str">
            <v>Mechanical Basis</v>
          </cell>
          <cell r="I1819" t="str">
            <v>61M sheets identify dedicated split-system cooling for telecom rooms using IU-0-01/IU-1-01/IU-2-01 and CU-0-01/CU-1-01/CU-2-01, with BACnet adapter mounted adjacent to unit in telecom room; verify emergency power, condensate and alarms.</v>
          </cell>
          <cell r="J1819">
            <v>0</v>
          </cell>
          <cell r="K1819">
            <v>0</v>
          </cell>
          <cell r="L1819">
            <v>0</v>
          </cell>
          <cell r="O1819">
            <v>0</v>
          </cell>
          <cell r="P1819">
            <v>0</v>
          </cell>
          <cell r="Q1819" t="str">
            <v>70|134</v>
          </cell>
        </row>
        <row r="1820">
          <cell r="E1820" t="str">
            <v>10. OWNER READINESS SCORE</v>
          </cell>
          <cell r="G1820" t="str">
            <v>Verify UPS installation and ratings.</v>
          </cell>
          <cell r="H1820" t="str">
            <v>Electrical Basis</v>
          </cell>
          <cell r="I1820" t="str">
            <v>61E-401/402/601/701/702/703 identify B61 telecom panelboards and PD panels including B61-TRB13A/B, B61-TR124A/B, B61-TR226A/B, B61-TR137AA/AB, rack receptacles, SPDs, UPS/PDU and cooling equipment circuits.</v>
          </cell>
          <cell r="J1820">
            <v>0</v>
          </cell>
          <cell r="K1820">
            <v>0</v>
          </cell>
          <cell r="L1820">
            <v>0</v>
          </cell>
          <cell r="O1820">
            <v>0</v>
          </cell>
          <cell r="P1820">
            <v>0</v>
          </cell>
          <cell r="Q1820" t="str">
            <v>70|135</v>
          </cell>
        </row>
        <row r="1821">
          <cell r="E1821" t="str">
            <v>10. OWNER READINESS SCORE</v>
          </cell>
          <cell r="G1821" t="str">
            <v>Verify rack power distribution units.</v>
          </cell>
          <cell r="H1821" t="str">
            <v>Telecom Basis</v>
          </cell>
          <cell r="I1821" t="str">
            <v>61T-701/702 identify B13H-A: 88 WAO, 74 active, 129 scheduled, 142 with allowance; 226: 109 WAO, 126 active, 156 scheduled, 172 with allowance. Cable tray schedule totals 1,966 ft: basement 890 ft, first 499 ft, second 578 ft.</v>
          </cell>
          <cell r="J1821">
            <v>0</v>
          </cell>
          <cell r="K1821">
            <v>0</v>
          </cell>
          <cell r="L1821">
            <v>0</v>
          </cell>
          <cell r="O1821">
            <v>0</v>
          </cell>
          <cell r="P1821">
            <v>0</v>
          </cell>
          <cell r="Q1821" t="str">
            <v>70|136</v>
          </cell>
        </row>
        <row r="1822">
          <cell r="E1822" t="str">
            <v>10. OWNER READINESS SCORE</v>
          </cell>
          <cell r="G1822" t="str">
            <v>Verify emergency power source.</v>
          </cell>
          <cell r="H1822" t="str">
            <v>Server / Demarc Basis</v>
          </cell>
          <cell r="I1822" t="str">
            <v>61T-402/606/607 and 61R-900 reference Room 137/137A existing telecom/server/demarc racks, APC UPS/PDU, Fujitsu equipment, wall-mounted patch panels and active systems requiring protection-in-place and cutover coordination.</v>
          </cell>
          <cell r="J1822">
            <v>0</v>
          </cell>
          <cell r="K1822">
            <v>0</v>
          </cell>
          <cell r="L1822">
            <v>0</v>
          </cell>
          <cell r="O1822">
            <v>0</v>
          </cell>
          <cell r="P1822">
            <v>0</v>
          </cell>
          <cell r="Q1822" t="str">
            <v>70|137</v>
          </cell>
        </row>
        <row r="1823">
          <cell r="E1823" t="str">
            <v>10. OWNER READINESS SCORE</v>
          </cell>
          <cell r="G1823" t="str">
            <v>Verify grounding and bonding requirements.</v>
          </cell>
          <cell r="H1823" t="str">
            <v>Operational Basis</v>
          </cell>
          <cell r="I1823" t="str">
            <v>Cover/general notes require existing ports replaced, conduit reuse where possible, 10% data-port allowance, coordination drawings, third-party inspections, commissioning/recommissioning, VA acceptance before active connections, and shutdowns limited one at a time.</v>
          </cell>
          <cell r="J1823">
            <v>0</v>
          </cell>
          <cell r="K1823">
            <v>0</v>
          </cell>
          <cell r="L1823">
            <v>0</v>
          </cell>
          <cell r="O1823">
            <v>0</v>
          </cell>
          <cell r="P1823">
            <v>0</v>
          </cell>
          <cell r="Q1823" t="str">
            <v>70|138</v>
          </cell>
        </row>
        <row r="1824">
          <cell r="E1824" t="str">
            <v>10. OWNER READINESS SCORE</v>
          </cell>
          <cell r="G1824" t="str">
            <v>Verify circuit identification and labeling.</v>
          </cell>
          <cell r="H1824">
            <v>0</v>
          </cell>
          <cell r="I1824">
            <v>0</v>
          </cell>
          <cell r="J1824">
            <v>0</v>
          </cell>
          <cell r="K1824">
            <v>0</v>
          </cell>
          <cell r="L1824">
            <v>0</v>
          </cell>
          <cell r="O1824">
            <v>0</v>
          </cell>
          <cell r="P1824">
            <v>0</v>
          </cell>
          <cell r="Q1824" t="str">
            <v>70|139</v>
          </cell>
        </row>
        <row r="1825">
          <cell r="E1825" t="str">
            <v>10. OWNER READINESS SCORE</v>
          </cell>
          <cell r="G1825">
            <v>0</v>
          </cell>
          <cell r="H1825" t="str">
            <v>PILOT ACCEPTANCE GATE — COPY / PASTE BLOCK</v>
          </cell>
          <cell r="I1825">
            <v>0</v>
          </cell>
          <cell r="J1825">
            <v>0</v>
          </cell>
          <cell r="K1825">
            <v>0</v>
          </cell>
          <cell r="L1825">
            <v>0</v>
          </cell>
          <cell r="O1825">
            <v>0</v>
          </cell>
          <cell r="P1825">
            <v>0</v>
          </cell>
          <cell r="Q1825" t="str">
            <v>70|140</v>
          </cell>
        </row>
        <row r="1826">
          <cell r="E1826" t="str">
            <v>10. OWNER READINESS SCORE</v>
          </cell>
          <cell r="G1826" t="str">
            <v>Telecommunications</v>
          </cell>
          <cell r="H1826" t="str">
            <v>Purpose</v>
          </cell>
          <cell r="I1826" t="str">
            <v>Use this as the objective completion gate for pilot turnover. A building/pilot stays YELLOW until all eight gates are complete.</v>
          </cell>
          <cell r="J1826">
            <v>0</v>
          </cell>
          <cell r="K1826">
            <v>0</v>
          </cell>
          <cell r="L1826">
            <v>0</v>
          </cell>
          <cell r="O1826">
            <v>0</v>
          </cell>
          <cell r="P1826">
            <v>0</v>
          </cell>
          <cell r="Q1826" t="str">
            <v>70|141</v>
          </cell>
        </row>
        <row r="1827">
          <cell r="E1827" t="str">
            <v>10. OWNER READINESS SCORE</v>
          </cell>
          <cell r="G1827">
            <v>0</v>
          </cell>
          <cell r="H1827" t="str">
            <v>How to use</v>
          </cell>
          <cell r="I1827" t="str">
            <v>Copy A5:H18 into the applicable Building Assessment sheet. Status cells are intended to be Yes / No / N/A, with evidence links in the Evidence column.</v>
          </cell>
          <cell r="J1827">
            <v>0</v>
          </cell>
          <cell r="K1827">
            <v>0</v>
          </cell>
          <cell r="L1827">
            <v>0</v>
          </cell>
          <cell r="O1827">
            <v>0</v>
          </cell>
          <cell r="P1827">
            <v>0</v>
          </cell>
          <cell r="Q1827" t="str">
            <v>70|142</v>
          </cell>
        </row>
        <row r="1828">
          <cell r="E1828" t="str">
            <v>10. OWNER READINESS SCORE</v>
          </cell>
          <cell r="G1828" t="str">
            <v>Install and/or verify new equipment racks.</v>
          </cell>
          <cell r="H1828">
            <v>0</v>
          </cell>
          <cell r="I1828">
            <v>0</v>
          </cell>
          <cell r="J1828">
            <v>0</v>
          </cell>
          <cell r="K1828">
            <v>0</v>
          </cell>
          <cell r="L1828">
            <v>0</v>
          </cell>
          <cell r="O1828">
            <v>0</v>
          </cell>
          <cell r="P1828">
            <v>0</v>
          </cell>
          <cell r="Q1828" t="str">
            <v>70|143</v>
          </cell>
        </row>
        <row r="1829">
          <cell r="E1829" t="str">
            <v>10. OWNER READINESS SCORE</v>
          </cell>
          <cell r="G1829" t="str">
            <v>Install vertical and horizontal cable management.</v>
          </cell>
          <cell r="H1829" t="str">
            <v>Requirement</v>
          </cell>
          <cell r="I1829" t="str">
            <v>Status</v>
          </cell>
          <cell r="J1829" t="str">
            <v>Evidence / Link</v>
          </cell>
          <cell r="K1829" t="str">
            <v>Date</v>
          </cell>
          <cell r="L1829" t="str">
            <v>Owner</v>
          </cell>
          <cell r="O1829" t="str">
            <v>Dashboard Signal</v>
          </cell>
          <cell r="P1829">
            <v>0</v>
          </cell>
          <cell r="Q1829" t="str">
            <v>70|144</v>
          </cell>
        </row>
        <row r="1830">
          <cell r="E1830" t="str">
            <v>10. OWNER READINESS SCORE</v>
          </cell>
          <cell r="G1830" t="str">
            <v>Install grounding busbars.</v>
          </cell>
          <cell r="H1830" t="str">
            <v>Approved Submittals</v>
          </cell>
          <cell r="I1830" t="str">
            <v>No</v>
          </cell>
          <cell r="J1830">
            <v>0</v>
          </cell>
          <cell r="K1830">
            <v>0</v>
          </cell>
          <cell r="L1830">
            <v>0</v>
          </cell>
          <cell r="O1830">
            <v>0</v>
          </cell>
          <cell r="P1830">
            <v>0</v>
          </cell>
          <cell r="Q1830" t="str">
            <v>70|145</v>
          </cell>
        </row>
        <row r="1831">
          <cell r="E1831" t="str">
            <v>10. OWNER READINESS SCORE</v>
          </cell>
          <cell r="G1831" t="str">
            <v>Install fiber termination shelves.</v>
          </cell>
          <cell r="H1831" t="str">
            <v>ICRA / PCRA</v>
          </cell>
          <cell r="I1831" t="str">
            <v>No</v>
          </cell>
          <cell r="J1831">
            <v>0</v>
          </cell>
          <cell r="K1831">
            <v>0</v>
          </cell>
          <cell r="L1831">
            <v>0</v>
          </cell>
          <cell r="O1831">
            <v>0</v>
          </cell>
          <cell r="P1831">
            <v>0</v>
          </cell>
          <cell r="Q1831" t="str">
            <v>70|146</v>
          </cell>
        </row>
        <row r="1832">
          <cell r="E1832" t="str">
            <v>10. OWNER READINESS SCORE</v>
          </cell>
          <cell r="G1832" t="str">
            <v>Install patch panels.</v>
          </cell>
          <cell r="H1832" t="str">
            <v>QA/QC Reports</v>
          </cell>
          <cell r="I1832" t="str">
            <v>No</v>
          </cell>
          <cell r="J1832">
            <v>0</v>
          </cell>
          <cell r="K1832">
            <v>0</v>
          </cell>
          <cell r="L1832">
            <v>0</v>
          </cell>
          <cell r="O1832">
            <v>0</v>
          </cell>
          <cell r="P1832">
            <v>0</v>
          </cell>
          <cell r="Q1832" t="str">
            <v>70|147</v>
          </cell>
        </row>
        <row r="1833">
          <cell r="E1833" t="str">
            <v>10. OWNER READINESS SCORE</v>
          </cell>
          <cell r="G1833" t="str">
            <v>Verify Cat6A and fiber terminations.</v>
          </cell>
          <cell r="H1833" t="str">
            <v>Firestopping</v>
          </cell>
          <cell r="I1833" t="str">
            <v>No</v>
          </cell>
          <cell r="J1833">
            <v>0</v>
          </cell>
          <cell r="K1833">
            <v>0</v>
          </cell>
          <cell r="L1833">
            <v>0</v>
          </cell>
          <cell r="O1833">
            <v>0</v>
          </cell>
          <cell r="P1833">
            <v>0</v>
          </cell>
          <cell r="Q1833" t="str">
            <v>70|148</v>
          </cell>
        </row>
        <row r="1834">
          <cell r="E1834" t="str">
            <v>10. OWNER READINESS SCORE</v>
          </cell>
          <cell r="G1834" t="str">
            <v>Verify cable labeling.</v>
          </cell>
          <cell r="H1834" t="str">
            <v>Cable Tests</v>
          </cell>
          <cell r="I1834" t="str">
            <v>No</v>
          </cell>
          <cell r="J1834">
            <v>0</v>
          </cell>
          <cell r="K1834">
            <v>0</v>
          </cell>
          <cell r="L1834">
            <v>0</v>
          </cell>
          <cell r="O1834">
            <v>0</v>
          </cell>
          <cell r="P1834">
            <v>0</v>
          </cell>
          <cell r="Q1834" t="str">
            <v>70|149</v>
          </cell>
        </row>
        <row r="1835">
          <cell r="E1835" t="str">
            <v>10. OWNER READINESS SCORE</v>
          </cell>
          <cell r="G1835" t="str">
            <v>Test and certify all copper and fiber cabling.</v>
          </cell>
          <cell r="H1835" t="str">
            <v>OIT Acceptance</v>
          </cell>
          <cell r="I1835" t="str">
            <v>No</v>
          </cell>
          <cell r="J1835">
            <v>0</v>
          </cell>
          <cell r="K1835">
            <v>0</v>
          </cell>
          <cell r="L1835">
            <v>0</v>
          </cell>
          <cell r="O1835">
            <v>0</v>
          </cell>
          <cell r="P1835">
            <v>0</v>
          </cell>
          <cell r="Q1835" t="str">
            <v>70|150</v>
          </cell>
        </row>
        <row r="1836">
          <cell r="E1836" t="str">
            <v>10. OWNER READINESS SCORE</v>
          </cell>
          <cell r="G1836" t="str">
            <v>Verify compliance with OIT standards.</v>
          </cell>
          <cell r="H1836" t="str">
            <v>Photos</v>
          </cell>
          <cell r="I1836" t="str">
            <v>No</v>
          </cell>
          <cell r="J1836">
            <v>0</v>
          </cell>
          <cell r="K1836">
            <v>0</v>
          </cell>
          <cell r="L1836">
            <v>0</v>
          </cell>
          <cell r="O1836">
            <v>0</v>
          </cell>
          <cell r="P1836">
            <v>0</v>
          </cell>
          <cell r="Q1836" t="str">
            <v>70|151</v>
          </cell>
        </row>
        <row r="1837">
          <cell r="E1837" t="str">
            <v>10. OWNER READINESS SCORE</v>
          </cell>
          <cell r="G1837">
            <v>0</v>
          </cell>
          <cell r="H1837" t="str">
            <v>Zero Critical Punch Items</v>
          </cell>
          <cell r="I1837" t="str">
            <v>No</v>
          </cell>
          <cell r="J1837">
            <v>0</v>
          </cell>
          <cell r="K1837">
            <v>0</v>
          </cell>
          <cell r="L1837">
            <v>0</v>
          </cell>
          <cell r="O1837">
            <v>0</v>
          </cell>
          <cell r="P1837">
            <v>0</v>
          </cell>
          <cell r="Q1837" t="str">
            <v>70|152</v>
          </cell>
        </row>
        <row r="1838">
          <cell r="E1838" t="str">
            <v>10. OWNER READINESS SCORE</v>
          </cell>
          <cell r="G1838" t="str">
            <v>Security</v>
          </cell>
          <cell r="H1838" t="str">
            <v>Requirement</v>
          </cell>
          <cell r="I1838" t="str">
            <v>What it Means</v>
          </cell>
          <cell r="J1838">
            <v>0</v>
          </cell>
          <cell r="K1838">
            <v>0</v>
          </cell>
          <cell r="L1838" t="str">
            <v>Verification</v>
          </cell>
          <cell r="O1838">
            <v>0</v>
          </cell>
          <cell r="P1838">
            <v>0</v>
          </cell>
          <cell r="Q1838" t="str">
            <v>70|153</v>
          </cell>
        </row>
        <row r="1839">
          <cell r="E1839" t="str">
            <v>10. OWNER READINESS SCORE</v>
          </cell>
          <cell r="G1839">
            <v>0</v>
          </cell>
          <cell r="H1839" t="str">
            <v>Approved Submittals</v>
          </cell>
          <cell r="I1839" t="str">
            <v>Every material and piece of equipment installed in the pilot area has been reviewed and approved through the submittal process. Nothing unapproved was installed.</v>
          </cell>
          <cell r="J1839">
            <v>0</v>
          </cell>
          <cell r="K1839">
            <v>0</v>
          </cell>
          <cell r="L1839" t="str">
            <v>Verify approved submittals exist for all installed systems and that field installations match the approved documents.</v>
          </cell>
          <cell r="O1839">
            <v>0</v>
          </cell>
          <cell r="P1839">
            <v>0</v>
          </cell>
          <cell r="Q1839" t="str">
            <v>70|154</v>
          </cell>
        </row>
        <row r="1840">
          <cell r="E1840" t="str">
            <v>10. OWNER READINESS SCORE</v>
          </cell>
          <cell r="G1840" t="str">
            <v>Verify PACS access control for all TR doors.</v>
          </cell>
          <cell r="H1840" t="str">
            <v>ICRA / PCRA</v>
          </cell>
          <cell r="I1840" t="str">
            <v>The required Infection Control Risk Assessment and Pre-Construction Risk Assessment were approved, implemented, and maintained throughout construction.</v>
          </cell>
          <cell r="J1840">
            <v>0</v>
          </cell>
          <cell r="K1840">
            <v>0</v>
          </cell>
          <cell r="L1840" t="str">
            <v>Confirm approved plans, barrier inspections, negative air documentation (if applicable), housekeeping, and final removal procedures.</v>
          </cell>
          <cell r="O1840">
            <v>0</v>
          </cell>
          <cell r="P1840">
            <v>0</v>
          </cell>
          <cell r="Q1840" t="str">
            <v>70|155</v>
          </cell>
        </row>
        <row r="1841">
          <cell r="E1841" t="str">
            <v>10. OWNER READINESS SCORE</v>
          </cell>
          <cell r="G1841" t="str">
            <v>Verify card reader operation.</v>
          </cell>
          <cell r="H1841" t="str">
            <v>QA/QC Reports</v>
          </cell>
          <cell r="I1841" t="str">
            <v>Contractor quality inspections have been completed and documented.</v>
          </cell>
          <cell r="J1841">
            <v>0</v>
          </cell>
          <cell r="K1841">
            <v>0</v>
          </cell>
          <cell r="L1841" t="str">
            <v>Review QC reports, inspection checklists, deficiency logs, corrective actions, and daily QC documentation.</v>
          </cell>
          <cell r="O1841">
            <v>0</v>
          </cell>
          <cell r="P1841">
            <v>0</v>
          </cell>
          <cell r="Q1841" t="str">
            <v>70|156</v>
          </cell>
        </row>
        <row r="1842">
          <cell r="E1842" t="str">
            <v>10. OWNER READINESS SCORE</v>
          </cell>
          <cell r="G1842" t="str">
            <v>Verify door position monitoring.</v>
          </cell>
          <cell r="H1842" t="str">
            <v>Firestopping</v>
          </cell>
          <cell r="I1842" t="str">
            <v>Every penetration through rated walls, floors, and ceilings has been properly firestopped with approved systems.</v>
          </cell>
          <cell r="J1842">
            <v>0</v>
          </cell>
          <cell r="K1842">
            <v>0</v>
          </cell>
          <cell r="L1842" t="str">
            <v>Inspect penetrations, verify UL systems, labels, installation quality, and documentation/photos.</v>
          </cell>
          <cell r="O1842">
            <v>0</v>
          </cell>
          <cell r="P1842">
            <v>0</v>
          </cell>
          <cell r="Q1842" t="str">
            <v>70|157</v>
          </cell>
        </row>
        <row r="1843">
          <cell r="E1843" t="str">
            <v>10. OWNER READINESS SCORE</v>
          </cell>
          <cell r="G1843" t="str">
            <v>Verify camera coverage where required.</v>
          </cell>
          <cell r="H1843" t="str">
            <v>Cable Tests</v>
          </cell>
          <cell r="I1843" t="str">
            <v>All network, fiber, and communication cabling has passed required testing.</v>
          </cell>
          <cell r="J1843">
            <v>0</v>
          </cell>
          <cell r="K1843">
            <v>0</v>
          </cell>
          <cell r="L1843" t="str">
            <v>Verify copper certification reports, fiber OTDR/power meter results, labeling, and test documentation.</v>
          </cell>
          <cell r="O1843">
            <v>0</v>
          </cell>
          <cell r="P1843">
            <v>0</v>
          </cell>
          <cell r="Q1843" t="str">
            <v>70|158</v>
          </cell>
        </row>
        <row r="1844">
          <cell r="E1844" t="str">
            <v>10. OWNER READINESS SCORE</v>
          </cell>
          <cell r="G1844" t="str">
            <v>Verify integration with existing VA security systems.</v>
          </cell>
          <cell r="H1844" t="str">
            <v>OIT Acceptance</v>
          </cell>
          <cell r="I1844" t="str">
            <v>VA Office of Information &amp; Technology has inspected and accepted the installed IT infrastructure.</v>
          </cell>
          <cell r="J1844">
            <v>0</v>
          </cell>
          <cell r="K1844">
            <v>0</v>
          </cell>
          <cell r="L1844" t="str">
            <v>Obtain written acceptance or signoff from OIT confirming systems are operational and acceptable.</v>
          </cell>
          <cell r="O1844">
            <v>0</v>
          </cell>
          <cell r="P1844">
            <v>0</v>
          </cell>
          <cell r="Q1844" t="str">
            <v>70|159</v>
          </cell>
        </row>
        <row r="1845">
          <cell r="E1845" t="str">
            <v>10. OWNER READINESS SCORE</v>
          </cell>
          <cell r="G1845">
            <v>0</v>
          </cell>
          <cell r="H1845" t="str">
            <v>Photos</v>
          </cell>
          <cell r="I1845" t="str">
            <v>Construction has been photographically documented.</v>
          </cell>
          <cell r="J1845">
            <v>0</v>
          </cell>
          <cell r="K1845">
            <v>0</v>
          </cell>
          <cell r="L1845" t="str">
            <v>Ensure pre-construction, rough-in, above-ceiling, concealed work, and final condition photographs are complete and organized.</v>
          </cell>
          <cell r="O1845">
            <v>0</v>
          </cell>
          <cell r="P1845">
            <v>0</v>
          </cell>
          <cell r="Q1845" t="str">
            <v>70|160</v>
          </cell>
        </row>
        <row r="1846">
          <cell r="E1846" t="str">
            <v>10. OWNER READINESS SCORE</v>
          </cell>
          <cell r="G1846" t="str">
            <v>Operational Risk Review</v>
          </cell>
          <cell r="H1846" t="str">
            <v>Zero Critical Punch Items</v>
          </cell>
          <cell r="I1846" t="str">
            <v>No life safety, code, operational, or mission-critical deficiencies remain. Minor cosmetic items may remain only if allowed by contract.</v>
          </cell>
          <cell r="J1846">
            <v>0</v>
          </cell>
          <cell r="K1846">
            <v>0</v>
          </cell>
          <cell r="L1846" t="str">
            <v>Walk the space and confirm all critical deficiencies have been corrected prior to turnover.</v>
          </cell>
          <cell r="O1846">
            <v>0</v>
          </cell>
          <cell r="P1846">
            <v>0</v>
          </cell>
          <cell r="Q1846" t="str">
            <v>70|161</v>
          </cell>
        </row>
        <row r="1847">
          <cell r="E1847" t="str">
            <v>10. OWNER READINESS SCORE</v>
          </cell>
          <cell r="G1847">
            <v>0</v>
          </cell>
          <cell r="H1847" t="str">
            <v>Acceptance Gate Result</v>
          </cell>
          <cell r="I1847" t="str">
            <v>🟡 NOT COMPLETE — ACCEPTANCE GATES OPEN</v>
          </cell>
          <cell r="J1847">
            <v>0</v>
          </cell>
          <cell r="K1847">
            <v>0</v>
          </cell>
          <cell r="L1847">
            <v>0</v>
          </cell>
          <cell r="O1847">
            <v>0</v>
          </cell>
          <cell r="P1847">
            <v>0</v>
          </cell>
          <cell r="Q1847" t="str">
            <v>70|162</v>
          </cell>
        </row>
        <row r="1848">
          <cell r="E1848" t="str">
            <v>10. OWNER READINESS SCORE</v>
          </cell>
          <cell r="G1848" t="str">
            <v>Identify systems requiring uninterrupted operation.</v>
          </cell>
          <cell r="H1848" t="str">
            <v>Open Gate Count</v>
          </cell>
          <cell r="I1848">
            <v>8</v>
          </cell>
          <cell r="J1848">
            <v>0</v>
          </cell>
          <cell r="K1848">
            <v>0</v>
          </cell>
          <cell r="L1848">
            <v>0</v>
          </cell>
          <cell r="O1848">
            <v>0</v>
          </cell>
          <cell r="P1848">
            <v>0</v>
          </cell>
          <cell r="Q1848" t="str">
            <v>70|163</v>
          </cell>
        </row>
        <row r="1849">
          <cell r="E1849" t="str">
            <v>10. OWNER READINESS SCORE</v>
          </cell>
          <cell r="G1849" t="str">
            <v>Develop cutover strategy.</v>
          </cell>
          <cell r="H1849" t="str">
            <v>Gate Completion</v>
          </cell>
          <cell r="I1849" t="str">
            <v>0 / 8 Complete</v>
          </cell>
          <cell r="J1849">
            <v>0</v>
          </cell>
          <cell r="K1849">
            <v>0</v>
          </cell>
          <cell r="L1849">
            <v>0</v>
          </cell>
          <cell r="O1849">
            <v>0</v>
          </cell>
          <cell r="P1849">
            <v>0</v>
          </cell>
          <cell r="Q1849" t="str">
            <v>70|164</v>
          </cell>
        </row>
        <row r="1850">
          <cell r="E1850" t="str">
            <v>10. OWNER READINESS SCORE</v>
          </cell>
          <cell r="G1850" t="str">
            <v>Review outage requirements with VA OIT.</v>
          </cell>
          <cell r="H1850" t="str">
            <v>Command Center Rule</v>
          </cell>
          <cell r="I1850" t="str">
            <v>Tile remains YELLOW until B15 returns "🟢 PILOT COMPLETE / ACCEPTANCE READY"; then tile may turn GREEN.</v>
          </cell>
          <cell r="J1850">
            <v>0</v>
          </cell>
          <cell r="K1850">
            <v>0</v>
          </cell>
          <cell r="L1850">
            <v>0</v>
          </cell>
          <cell r="O1850">
            <v>0</v>
          </cell>
          <cell r="P1850">
            <v>0</v>
          </cell>
          <cell r="Q1850" t="str">
            <v>70|165</v>
          </cell>
        </row>
        <row r="1851">
          <cell r="E1851" t="str">
            <v>10. OWNER READINESS SCORE</v>
          </cell>
          <cell r="G1851" t="str">
            <v>Review shutdown requirements with facilities staff.</v>
          </cell>
          <cell r="H1851">
            <v>0</v>
          </cell>
          <cell r="I1851">
            <v>0</v>
          </cell>
          <cell r="J1851">
            <v>0</v>
          </cell>
          <cell r="K1851">
            <v>0</v>
          </cell>
          <cell r="L1851">
            <v>0</v>
          </cell>
          <cell r="O1851">
            <v>0</v>
          </cell>
          <cell r="P1851">
            <v>0</v>
          </cell>
          <cell r="Q1851" t="str">
            <v>70|166</v>
          </cell>
        </row>
        <row r="1852">
          <cell r="E1852" t="str">
            <v>10. OWNER READINESS SCORE</v>
          </cell>
          <cell r="G1852" t="str">
            <v>Verify no active services are removed before migration.</v>
          </cell>
          <cell r="H1852" t="str">
            <v>Suggested Building Tile Logic</v>
          </cell>
          <cell r="I1852" t="str">
            <v>Example only: =IF(COUNTIF(&lt;building_gate_status_range&gt;,"No")=0,"GREEN","YELLOW")</v>
          </cell>
          <cell r="J1852">
            <v>0</v>
          </cell>
          <cell r="K1852">
            <v>0</v>
          </cell>
          <cell r="L1852">
            <v>0</v>
          </cell>
          <cell r="O1852">
            <v>0</v>
          </cell>
          <cell r="P1852">
            <v>0</v>
          </cell>
          <cell r="Q1852" t="str">
            <v>70|167</v>
          </cell>
        </row>
        <row r="1853">
          <cell r="E1853" t="str">
            <v>10. OWNER READINESS SCORE</v>
          </cell>
          <cell r="G1853">
            <v>0</v>
          </cell>
          <cell r="H1853" t="str">
            <v>17. OWNER DECISION SUMMARY</v>
          </cell>
          <cell r="I1853">
            <v>0</v>
          </cell>
          <cell r="J1853">
            <v>0</v>
          </cell>
          <cell r="K1853">
            <v>0</v>
          </cell>
          <cell r="L1853">
            <v>0</v>
          </cell>
          <cell r="O1853">
            <v>0</v>
          </cell>
          <cell r="P1853">
            <v>0</v>
          </cell>
          <cell r="Q1853" t="str">
            <v>70|168</v>
          </cell>
        </row>
        <row r="1854">
          <cell r="E1854" t="str">
            <v>10. OWNER READINESS SCORE</v>
          </cell>
          <cell r="G1854" t="str">
            <v>Commissioning &amp; Acceptance</v>
          </cell>
          <cell r="H1854" t="str">
            <v>Recommended Payment</v>
          </cell>
          <cell r="I1854">
            <v>0</v>
          </cell>
          <cell r="J1854">
            <v>0</v>
          </cell>
          <cell r="K1854">
            <v>0</v>
          </cell>
          <cell r="L1854">
            <v>0</v>
          </cell>
          <cell r="O1854">
            <v>0</v>
          </cell>
          <cell r="P1854">
            <v>0</v>
          </cell>
          <cell r="Q1854" t="str">
            <v>70|169</v>
          </cell>
        </row>
        <row r="1855">
          <cell r="E1855" t="str">
            <v>10. OWNER READINESS SCORE</v>
          </cell>
          <cell r="G1855">
            <v>0</v>
          </cell>
          <cell r="H1855">
            <v>0</v>
          </cell>
          <cell r="I1855">
            <v>0</v>
          </cell>
          <cell r="J1855">
            <v>0</v>
          </cell>
          <cell r="K1855">
            <v>0</v>
          </cell>
          <cell r="L1855">
            <v>0</v>
          </cell>
          <cell r="O1855">
            <v>0</v>
          </cell>
          <cell r="P1855">
            <v>0</v>
          </cell>
          <cell r="Q1855" t="str">
            <v>70|170</v>
          </cell>
        </row>
        <row r="1856">
          <cell r="E1856" t="str">
            <v>10. OWNER READINESS SCORE</v>
          </cell>
          <cell r="G1856" t="str">
            <v>HVAC commissioning.</v>
          </cell>
          <cell r="H1856" t="str">
            <v>☐ Full</v>
          </cell>
          <cell r="I1856">
            <v>0</v>
          </cell>
          <cell r="J1856">
            <v>0</v>
          </cell>
          <cell r="K1856">
            <v>0</v>
          </cell>
          <cell r="L1856">
            <v>0</v>
          </cell>
          <cell r="O1856">
            <v>0</v>
          </cell>
          <cell r="P1856">
            <v>0</v>
          </cell>
          <cell r="Q1856" t="str">
            <v>70|171</v>
          </cell>
        </row>
        <row r="1857">
          <cell r="E1857" t="str">
            <v>10. OWNER READINESS SCORE</v>
          </cell>
          <cell r="G1857" t="str">
            <v>Electrical commissioning.</v>
          </cell>
          <cell r="H1857">
            <v>0</v>
          </cell>
          <cell r="I1857">
            <v>0</v>
          </cell>
          <cell r="J1857">
            <v>0</v>
          </cell>
          <cell r="K1857">
            <v>0</v>
          </cell>
          <cell r="L1857">
            <v>0</v>
          </cell>
          <cell r="O1857">
            <v>0</v>
          </cell>
          <cell r="P1857">
            <v>0</v>
          </cell>
          <cell r="Q1857" t="str">
            <v>70|172</v>
          </cell>
        </row>
        <row r="1858">
          <cell r="E1858" t="str">
            <v>10. OWNER READINESS SCORE</v>
          </cell>
          <cell r="G1858" t="str">
            <v>Telecom testing and certification.</v>
          </cell>
          <cell r="H1858" t="str">
            <v>☐ Partial</v>
          </cell>
          <cell r="I1858">
            <v>0</v>
          </cell>
          <cell r="J1858">
            <v>0</v>
          </cell>
          <cell r="K1858">
            <v>0</v>
          </cell>
          <cell r="L1858">
            <v>0</v>
          </cell>
          <cell r="O1858">
            <v>0</v>
          </cell>
          <cell r="P1858">
            <v>0</v>
          </cell>
          <cell r="Q1858" t="str">
            <v>70|173</v>
          </cell>
        </row>
        <row r="1859">
          <cell r="E1859" t="str">
            <v>10. OWNER READINESS SCORE</v>
          </cell>
          <cell r="G1859" t="str">
            <v>Fire alarm testing.</v>
          </cell>
          <cell r="H1859">
            <v>0</v>
          </cell>
          <cell r="I1859">
            <v>0</v>
          </cell>
          <cell r="J1859">
            <v>0</v>
          </cell>
          <cell r="K1859">
            <v>0</v>
          </cell>
          <cell r="L1859">
            <v>0</v>
          </cell>
          <cell r="O1859">
            <v>0</v>
          </cell>
          <cell r="P1859">
            <v>0</v>
          </cell>
          <cell r="Q1859" t="str">
            <v>70|174</v>
          </cell>
        </row>
        <row r="1860">
          <cell r="E1860" t="str">
            <v>10. OWNER READINESS SCORE</v>
          </cell>
          <cell r="G1860" t="str">
            <v>Fire protection testing.</v>
          </cell>
          <cell r="H1860" t="str">
            <v>☐ Withhold</v>
          </cell>
          <cell r="I1860">
            <v>0</v>
          </cell>
          <cell r="J1860">
            <v>0</v>
          </cell>
          <cell r="K1860">
            <v>0</v>
          </cell>
          <cell r="L1860">
            <v>0</v>
          </cell>
          <cell r="O1860">
            <v>0</v>
          </cell>
          <cell r="P1860">
            <v>0</v>
          </cell>
          <cell r="Q1860" t="str">
            <v>70|175</v>
          </cell>
        </row>
        <row r="1861">
          <cell r="E1861" t="str">
            <v>10. OWNER READINESS SCORE</v>
          </cell>
          <cell r="G1861" t="str">
            <v>Security testing.</v>
          </cell>
          <cell r="H1861">
            <v>0</v>
          </cell>
          <cell r="I1861">
            <v>0</v>
          </cell>
          <cell r="J1861">
            <v>0</v>
          </cell>
          <cell r="K1861">
            <v>0</v>
          </cell>
          <cell r="L1861">
            <v>0</v>
          </cell>
          <cell r="O1861">
            <v>0</v>
          </cell>
          <cell r="P1861">
            <v>0</v>
          </cell>
          <cell r="Q1861" t="str">
            <v>70|176</v>
          </cell>
        </row>
        <row r="1862">
          <cell r="E1862" t="str">
            <v>10. OWNER READINESS SCORE</v>
          </cell>
          <cell r="G1862" t="str">
            <v>Final owner acceptance walkthrough.</v>
          </cell>
          <cell r="H1862">
            <v>0</v>
          </cell>
          <cell r="I1862">
            <v>0</v>
          </cell>
          <cell r="J1862">
            <v>0</v>
          </cell>
          <cell r="K1862">
            <v>0</v>
          </cell>
          <cell r="L1862">
            <v>0</v>
          </cell>
          <cell r="O1862">
            <v>0</v>
          </cell>
          <cell r="P1862">
            <v>0</v>
          </cell>
          <cell r="Q1862" t="str">
            <v>70|177</v>
          </cell>
        </row>
        <row r="1863">
          <cell r="E1863" t="str">
            <v>10. OWNER READINESS SCORE</v>
          </cell>
          <cell r="G1863" t="str">
            <v>Turnover documentation.</v>
          </cell>
          <cell r="H1863">
            <v>0</v>
          </cell>
          <cell r="I1863">
            <v>0</v>
          </cell>
          <cell r="J1863">
            <v>0</v>
          </cell>
          <cell r="K1863">
            <v>0</v>
          </cell>
          <cell r="L1863">
            <v>0</v>
          </cell>
          <cell r="O1863">
            <v>0</v>
          </cell>
          <cell r="P1863">
            <v>0</v>
          </cell>
          <cell r="Q1863" t="str">
            <v>70|178</v>
          </cell>
        </row>
        <row r="1864">
          <cell r="E1864" t="str">
            <v>10. OWNER READINESS SCORE</v>
          </cell>
          <cell r="G1864">
            <v>0</v>
          </cell>
          <cell r="H1864" t="str">
            <v>18. Construction Status</v>
          </cell>
          <cell r="I1864">
            <v>0</v>
          </cell>
          <cell r="J1864">
            <v>0</v>
          </cell>
          <cell r="K1864">
            <v>0</v>
          </cell>
          <cell r="L1864">
            <v>0</v>
          </cell>
          <cell r="O1864">
            <v>0</v>
          </cell>
          <cell r="P1864">
            <v>0</v>
          </cell>
          <cell r="Q1864" t="str">
            <v>70|179</v>
          </cell>
        </row>
        <row r="1865">
          <cell r="E1865" t="str">
            <v>10. OWNER READINESS SCORE</v>
          </cell>
          <cell r="G1865" t="str">
            <v>Owner Risks Identified</v>
          </cell>
          <cell r="H1865">
            <v>0</v>
          </cell>
          <cell r="I1865">
            <v>0</v>
          </cell>
          <cell r="J1865">
            <v>0</v>
          </cell>
          <cell r="K1865">
            <v>0</v>
          </cell>
          <cell r="L1865">
            <v>0</v>
          </cell>
          <cell r="O1865">
            <v>0</v>
          </cell>
          <cell r="P1865">
            <v>0</v>
          </cell>
          <cell r="Q1865" t="str">
            <v>70|180</v>
          </cell>
        </row>
        <row r="1866">
          <cell r="E1866" t="str">
            <v>10. OWNER READINESS SCORE</v>
          </cell>
          <cell r="G1866">
            <v>0</v>
          </cell>
          <cell r="H1866" t="str">
            <v>☐ On Schedule</v>
          </cell>
          <cell r="I1866">
            <v>0</v>
          </cell>
          <cell r="J1866">
            <v>0</v>
          </cell>
          <cell r="K1866">
            <v>0</v>
          </cell>
          <cell r="L1866">
            <v>0</v>
          </cell>
          <cell r="O1866">
            <v>0</v>
          </cell>
          <cell r="P1866">
            <v>0</v>
          </cell>
          <cell r="Q1866" t="str">
            <v>70|181</v>
          </cell>
        </row>
        <row r="1867">
          <cell r="E1867" t="str">
            <v>10. OWNER READINESS SCORE</v>
          </cell>
          <cell r="G1867" t="str">
            <v>High Risk</v>
          </cell>
          <cell r="H1867">
            <v>0</v>
          </cell>
          <cell r="I1867">
            <v>0</v>
          </cell>
          <cell r="J1867">
            <v>0</v>
          </cell>
          <cell r="K1867">
            <v>0</v>
          </cell>
          <cell r="L1867">
            <v>0</v>
          </cell>
          <cell r="O1867">
            <v>0</v>
          </cell>
          <cell r="P1867">
            <v>0</v>
          </cell>
          <cell r="Q1867" t="str">
            <v>70|182</v>
          </cell>
        </row>
        <row r="1868">
          <cell r="E1868" t="str">
            <v>10. OWNER READINESS SCORE</v>
          </cell>
          <cell r="G1868">
            <v>0</v>
          </cell>
          <cell r="H1868" t="str">
            <v>☐ Behind Schedule</v>
          </cell>
          <cell r="I1868">
            <v>0</v>
          </cell>
          <cell r="J1868">
            <v>0</v>
          </cell>
          <cell r="K1868">
            <v>0</v>
          </cell>
          <cell r="L1868">
            <v>0</v>
          </cell>
          <cell r="O1868">
            <v>0</v>
          </cell>
          <cell r="P1868">
            <v>0</v>
          </cell>
          <cell r="Q1868" t="str">
            <v>70|183</v>
          </cell>
        </row>
        <row r="1869">
          <cell r="E1869" t="str">
            <v>1. ROOM INVENTORY</v>
          </cell>
          <cell r="G1869" t="str">
            <v>1. ROOM INVENTORY</v>
          </cell>
          <cell r="H1869">
            <v>0</v>
          </cell>
          <cell r="I1869">
            <v>0</v>
          </cell>
          <cell r="J1869">
            <v>0</v>
          </cell>
          <cell r="K1869">
            <v>0</v>
          </cell>
          <cell r="L1869">
            <v>0</v>
          </cell>
          <cell r="O1869">
            <v>0</v>
          </cell>
          <cell r="P1869">
            <v>0</v>
          </cell>
          <cell r="Q1869" t="str">
            <v>78|1</v>
          </cell>
        </row>
        <row r="1870">
          <cell r="E1870" t="str">
            <v>1. ROOM INVENTORY</v>
          </cell>
          <cell r="G1870" t="str">
            <v>Building</v>
          </cell>
          <cell r="H1870" t="str">
            <v>Room</v>
          </cell>
          <cell r="I1870" t="str">
            <v>Floor</v>
          </cell>
          <cell r="J1870" t="str">
            <v>Existing Use</v>
          </cell>
          <cell r="K1870" t="str">
            <v>New Use</v>
          </cell>
          <cell r="L1870" t="str">
            <v>Rack Count</v>
          </cell>
          <cell r="O1870" t="str">
            <v>Drawing Ref</v>
          </cell>
          <cell r="P1870" t="str">
            <v>Notes</v>
          </cell>
          <cell r="Q1870" t="str">
            <v>78|2</v>
          </cell>
        </row>
        <row r="1871">
          <cell r="E1871" t="str">
            <v>1. ROOM INVENTORY</v>
          </cell>
          <cell r="G1871" t="str">
            <v>78/78A</v>
          </cell>
          <cell r="H1871" t="str">
            <v>B30</v>
          </cell>
          <cell r="I1871" t="str">
            <v>Basement</v>
          </cell>
          <cell r="J1871" t="str">
            <v>Basement telecom area / existing rack transfer</v>
          </cell>
          <cell r="K1871" t="str">
            <v>Telecom Room</v>
          </cell>
          <cell r="L1871">
            <v>2</v>
          </cell>
          <cell r="O1871" t="str">
            <v>78_78AA-400 / 78_78AE-401 / 78_78AT-100 / 78_78AT-604 / 78_78AT-701</v>
          </cell>
          <cell r="P1871" t="str">
            <v>Basement primary TR. Schedule identifies RM B30 with 210 WAO total, 23 active ports, 311 scheduled ports, 342 total ports with 10% allowance. Rack IDs include TR01-B30-1 and TR01-B30-2.</v>
          </cell>
          <cell r="Q1871" t="str">
            <v>78|3</v>
          </cell>
        </row>
        <row r="1872">
          <cell r="E1872" t="str">
            <v>1. ROOM INVENTORY</v>
          </cell>
          <cell r="G1872" t="str">
            <v>78/78A</v>
          </cell>
          <cell r="H1872" t="str">
            <v>B35</v>
          </cell>
          <cell r="I1872" t="str">
            <v>Basement</v>
          </cell>
          <cell r="J1872" t="str">
            <v>Basement telecom area / existing rack transfer</v>
          </cell>
          <cell r="K1872" t="str">
            <v>Telecom Room</v>
          </cell>
          <cell r="L1872">
            <v>1</v>
          </cell>
          <cell r="O1872" t="str">
            <v>78_78AT-100 / 78_78AT-605 / 78_78AT-702</v>
          </cell>
          <cell r="P1872" t="str">
            <v>Basement TR/closet. Schedule identifies RM B35 with 53 WAO total, 23 active ports, 64 scheduled ports, 70 total ports with 10% allowance. Verify relationship to existing basement telecom room 15E photo reference.</v>
          </cell>
          <cell r="Q1872" t="str">
            <v>78|4</v>
          </cell>
        </row>
        <row r="1873">
          <cell r="E1873" t="str">
            <v>1. ROOM INVENTORY</v>
          </cell>
          <cell r="G1873" t="str">
            <v>78/78A</v>
          </cell>
          <cell r="H1873" t="str">
            <v>1232</v>
          </cell>
          <cell r="I1873" t="str">
            <v>First</v>
          </cell>
          <cell r="J1873" t="str">
            <v>First-level telecom room / existing rack transfer</v>
          </cell>
          <cell r="K1873" t="str">
            <v>Telecom Room</v>
          </cell>
          <cell r="L1873">
            <v>1</v>
          </cell>
          <cell r="O1873" t="str">
            <v>78_78AA-401 / 78_78AE-402 / 78_78AT-101 / 78_78AT-606 / 78_78AT-702/703</v>
          </cell>
          <cell r="P1873" t="str">
            <v>First-level TR. Schedule identifies RM 1232 with 301 WAO total, 388 active ports, 404 scheduled ports, 444 total ports with 10% allowance. Existing photo references show first-level existing telecom room 1234; verify room-name mapping.</v>
          </cell>
          <cell r="Q1873" t="str">
            <v>78|5</v>
          </cell>
        </row>
        <row r="1874">
          <cell r="E1874" t="str">
            <v>1. ROOM INVENTORY</v>
          </cell>
          <cell r="G1874" t="str">
            <v>78/78A</v>
          </cell>
          <cell r="H1874" t="str">
            <v>227A</v>
          </cell>
          <cell r="I1874" t="str">
            <v>Second</v>
          </cell>
          <cell r="J1874" t="str">
            <v>Second-level telecom room / existing rack transfer</v>
          </cell>
          <cell r="K1874" t="str">
            <v>Telecom Room</v>
          </cell>
          <cell r="L1874">
            <v>1</v>
          </cell>
          <cell r="O1874" t="str">
            <v>78_78AA-401 / 78_78AE-402 / 78_78AT-102 / 78_78AT-606 / 78_78AT-703/704</v>
          </cell>
          <cell r="P1874" t="str">
            <v>Second-level TR. Schedule identifies RM 227A with 256 WAO total, 153 active ports, 348 scheduled ports, 383 total ports with 10% allowance. Existing photo references show second-level existing telecom room 1234; verify field room ID.</v>
          </cell>
          <cell r="Q1874" t="str">
            <v>78|6</v>
          </cell>
        </row>
        <row r="1875">
          <cell r="E1875" t="str">
            <v>1. ROOM INVENTORY</v>
          </cell>
          <cell r="G1875" t="str">
            <v>78/78A</v>
          </cell>
          <cell r="H1875" t="str">
            <v>342</v>
          </cell>
          <cell r="I1875" t="str">
            <v>Third</v>
          </cell>
          <cell r="J1875" t="str">
            <v>Third-level telecom room / existing rack transfer</v>
          </cell>
          <cell r="K1875" t="str">
            <v>Telecom Room</v>
          </cell>
          <cell r="L1875">
            <v>2</v>
          </cell>
          <cell r="O1875" t="str">
            <v>78_78AA-402 / 78_78AE-403 / 78_78AT-103 / 78_78AT-607 / 78_78AT-704</v>
          </cell>
          <cell r="P1875" t="str">
            <v>Third-level TR. Schedule identifies RM 342 with 158 WAO total, 163 active ports, 289 scheduled ports, 318 total ports with 10% allowance. Rack IDs include TR01-342-1 and TR01-342-2.</v>
          </cell>
          <cell r="Q1875" t="str">
            <v>78|7</v>
          </cell>
        </row>
        <row r="1876">
          <cell r="E1876" t="str">
            <v>1. ROOM INVENTORY</v>
          </cell>
          <cell r="G1876" t="str">
            <v>78/78A</v>
          </cell>
          <cell r="H1876" t="str">
            <v>401</v>
          </cell>
          <cell r="I1876" t="str">
            <v>Fourth</v>
          </cell>
          <cell r="J1876" t="str">
            <v>Fourth-level telecom room / existing rack transfer</v>
          </cell>
          <cell r="K1876" t="str">
            <v>Telecom Room</v>
          </cell>
          <cell r="L1876">
            <v>1</v>
          </cell>
          <cell r="O1876" t="str">
            <v>78_78AA-402 / 78_78AE-404 / 78_78AT-104 / 78_78AT-607 / 78_78AT-705</v>
          </cell>
          <cell r="P1876" t="str">
            <v>Fourth-level TR. Schedule identifies RM 401 with 89 WAO total, 65 active ports, 123 scheduled ports, 135 total ports with 10% allowance.</v>
          </cell>
          <cell r="Q1876" t="str">
            <v>78|8</v>
          </cell>
        </row>
        <row r="1877">
          <cell r="E1877" t="str">
            <v>1. ROOM INVENTORY</v>
          </cell>
          <cell r="G1877" t="str">
            <v>78/78A</v>
          </cell>
          <cell r="H1877" t="str">
            <v>15E / 1234 / 353 / 308A / 408A</v>
          </cell>
          <cell r="I1877" t="str">
            <v>Existing levels</v>
          </cell>
          <cell r="J1877" t="str">
            <v>Existing telecom rooms / photo references</v>
          </cell>
          <cell r="K1877" t="str">
            <v>Existing telecom transition points</v>
          </cell>
          <cell r="L1877">
            <v>5</v>
          </cell>
          <cell r="O1877" t="str">
            <v>78_78AR-900 / 901 / 902 / 903</v>
          </cell>
          <cell r="P1877" t="str">
            <v>Photo references identify existing telecom rooms: basement 15E, first-level 1234, second-level 1234, third-level 353, fourth-level 308A and 408A. Protect active equipment and verify transfer/abandonment scope.</v>
          </cell>
          <cell r="Q1877" t="str">
            <v>78|9</v>
          </cell>
        </row>
        <row r="1878">
          <cell r="E1878" t="str">
            <v>1. ROOM INVENTORY</v>
          </cell>
          <cell r="G1878">
            <v>0</v>
          </cell>
          <cell r="H1878">
            <v>0</v>
          </cell>
          <cell r="I1878">
            <v>0</v>
          </cell>
          <cell r="J1878">
            <v>0</v>
          </cell>
          <cell r="K1878">
            <v>0</v>
          </cell>
          <cell r="L1878">
            <v>0</v>
          </cell>
          <cell r="O1878">
            <v>0</v>
          </cell>
          <cell r="P1878">
            <v>0</v>
          </cell>
          <cell r="Q1878" t="str">
            <v>78|10</v>
          </cell>
        </row>
        <row r="1879">
          <cell r="E1879" t="str">
            <v>2. ROOM READINESS</v>
          </cell>
          <cell r="G1879" t="str">
            <v>2. ROOM READINESS</v>
          </cell>
          <cell r="H1879">
            <v>0</v>
          </cell>
          <cell r="I1879">
            <v>0</v>
          </cell>
          <cell r="J1879">
            <v>0</v>
          </cell>
          <cell r="K1879">
            <v>0</v>
          </cell>
          <cell r="L1879">
            <v>0</v>
          </cell>
          <cell r="O1879">
            <v>0</v>
          </cell>
          <cell r="P1879">
            <v>0</v>
          </cell>
          <cell r="Q1879" t="str">
            <v>78|11</v>
          </cell>
        </row>
        <row r="1880">
          <cell r="E1880" t="str">
            <v>2. ROOM READINESS</v>
          </cell>
          <cell r="G1880" t="str">
            <v>Room</v>
          </cell>
          <cell r="H1880" t="str">
            <v>Walls / 1-hr Rating</v>
          </cell>
          <cell r="I1880" t="str">
            <v>Ceiling</v>
          </cell>
          <cell r="J1880" t="str">
            <v>Floor / SDC</v>
          </cell>
          <cell r="K1880" t="str">
            <v>Penetrations</v>
          </cell>
          <cell r="L1880" t="str">
            <v>Access Control</v>
          </cell>
          <cell r="O1880" t="str">
            <v>Overall</v>
          </cell>
          <cell r="P1880" t="str">
            <v>Comments</v>
          </cell>
          <cell r="Q1880" t="str">
            <v>78|12</v>
          </cell>
        </row>
        <row r="1881">
          <cell r="E1881" t="str">
            <v>2. ROOM READINESS</v>
          </cell>
          <cell r="G1881" t="str">
            <v>B30</v>
          </cell>
          <cell r="H1881" t="str">
            <v>Verify</v>
          </cell>
          <cell r="I1881" t="str">
            <v>Verify</v>
          </cell>
          <cell r="J1881" t="str">
            <v>Verify</v>
          </cell>
          <cell r="K1881" t="str">
            <v>Verify</v>
          </cell>
          <cell r="L1881" t="str">
            <v>Verify</v>
          </cell>
          <cell r="O1881" t="str">
            <v>Verify</v>
          </cell>
          <cell r="P1881" t="str">
            <v>Basement TR; verify rated enclosure/open-to-deck conditions, door/PACS, future rack space, wall backing, ladder rack, and basement pathway entry points.</v>
          </cell>
          <cell r="Q1881" t="str">
            <v>78|13</v>
          </cell>
        </row>
        <row r="1882">
          <cell r="E1882" t="str">
            <v>2. ROOM READINESS</v>
          </cell>
          <cell r="G1882" t="str">
            <v>B35</v>
          </cell>
          <cell r="H1882" t="str">
            <v>Verify</v>
          </cell>
          <cell r="I1882" t="str">
            <v>Verify</v>
          </cell>
          <cell r="J1882" t="str">
            <v>Verify</v>
          </cell>
          <cell r="K1882" t="str">
            <v>Verify</v>
          </cell>
          <cell r="L1882" t="str">
            <v>Verify</v>
          </cell>
          <cell r="O1882" t="str">
            <v>Verify</v>
          </cell>
          <cell r="P1882" t="str">
            <v>Basement TR/closet; verify existing conditions, rack transfer, floor/wall conditions, clearance, pathway and firestop scope.</v>
          </cell>
          <cell r="Q1882" t="str">
            <v>78|14</v>
          </cell>
        </row>
        <row r="1883">
          <cell r="E1883" t="str">
            <v>2. ROOM READINESS</v>
          </cell>
          <cell r="G1883" t="str">
            <v>1232</v>
          </cell>
          <cell r="H1883" t="str">
            <v>Verify</v>
          </cell>
          <cell r="I1883" t="str">
            <v>Verify</v>
          </cell>
          <cell r="J1883" t="str">
            <v>Verify</v>
          </cell>
          <cell r="K1883" t="str">
            <v>Verify</v>
          </cell>
          <cell r="L1883" t="str">
            <v>Verify</v>
          </cell>
          <cell r="O1883" t="str">
            <v>Verify</v>
          </cell>
          <cell r="P1883" t="str">
            <v>First-level TR; verify rated construction, door hardware/access, ceiling/deck, rack/future rack clearance, wall backing and pathway entries.</v>
          </cell>
          <cell r="Q1883" t="str">
            <v>78|15</v>
          </cell>
        </row>
        <row r="1884">
          <cell r="E1884" t="str">
            <v>2. ROOM READINESS</v>
          </cell>
          <cell r="G1884" t="str">
            <v>227A</v>
          </cell>
          <cell r="H1884" t="str">
            <v>Verify</v>
          </cell>
          <cell r="I1884" t="str">
            <v>Verify</v>
          </cell>
          <cell r="J1884" t="str">
            <v>Verify</v>
          </cell>
          <cell r="K1884" t="str">
            <v>Verify</v>
          </cell>
          <cell r="L1884" t="str">
            <v>Verify</v>
          </cell>
          <cell r="O1884" t="str">
            <v>Verify</v>
          </cell>
          <cell r="P1884" t="str">
            <v>Second-level TR; verify rated construction, door hardware/access, rack/future rack clearance and vertical riser/firestop conditions.</v>
          </cell>
          <cell r="Q1884" t="str">
            <v>78|16</v>
          </cell>
        </row>
        <row r="1885">
          <cell r="E1885" t="str">
            <v>2. ROOM READINESS</v>
          </cell>
          <cell r="G1885" t="str">
            <v>342</v>
          </cell>
          <cell r="H1885" t="str">
            <v>Verify</v>
          </cell>
          <cell r="I1885" t="str">
            <v>Verify</v>
          </cell>
          <cell r="J1885" t="str">
            <v>Verify</v>
          </cell>
          <cell r="K1885" t="str">
            <v>Verify</v>
          </cell>
          <cell r="L1885" t="str">
            <v>Verify</v>
          </cell>
          <cell r="O1885" t="str">
            <v>Verify</v>
          </cell>
          <cell r="P1885" t="str">
            <v>Third-level TR; verify rack/future rack clearances, access control, firestopping and pathway routes.</v>
          </cell>
          <cell r="Q1885" t="str">
            <v>78|17</v>
          </cell>
        </row>
        <row r="1886">
          <cell r="E1886" t="str">
            <v>2. ROOM READINESS</v>
          </cell>
          <cell r="G1886" t="str">
            <v>401</v>
          </cell>
          <cell r="H1886" t="str">
            <v>Verify</v>
          </cell>
          <cell r="I1886" t="str">
            <v>Verify</v>
          </cell>
          <cell r="J1886" t="str">
            <v>Verify</v>
          </cell>
          <cell r="K1886" t="str">
            <v>Verify</v>
          </cell>
          <cell r="L1886" t="str">
            <v>Verify</v>
          </cell>
          <cell r="O1886" t="str">
            <v>Verify</v>
          </cell>
          <cell r="P1886" t="str">
            <v>Fourth-level TR; verify rack/future rack clearances, access control, firestopping and pathway routes.</v>
          </cell>
          <cell r="Q1886" t="str">
            <v>78|18</v>
          </cell>
        </row>
        <row r="1887">
          <cell r="E1887" t="str">
            <v>2. ROOM READINESS</v>
          </cell>
          <cell r="G1887" t="str">
            <v>Existing rooms</v>
          </cell>
          <cell r="H1887" t="str">
            <v>Existing / Verify</v>
          </cell>
          <cell r="I1887" t="str">
            <v>Existing / Verify</v>
          </cell>
          <cell r="J1887" t="str">
            <v>Existing / Verify</v>
          </cell>
          <cell r="K1887" t="str">
            <v>Verify</v>
          </cell>
          <cell r="L1887" t="str">
            <v>Verify</v>
          </cell>
          <cell r="O1887" t="str">
            <v>Verify</v>
          </cell>
          <cell r="P1887" t="str">
            <v>Existing telecom rooms must be field verified for active equipment, protection-in-place and final abandonment/transfer condition.</v>
          </cell>
          <cell r="Q1887" t="str">
            <v>78|19</v>
          </cell>
        </row>
        <row r="1888">
          <cell r="E1888" t="str">
            <v>2. ROOM READINESS</v>
          </cell>
          <cell r="G1888">
            <v>0</v>
          </cell>
          <cell r="H1888">
            <v>0</v>
          </cell>
          <cell r="I1888">
            <v>0</v>
          </cell>
          <cell r="J1888">
            <v>0</v>
          </cell>
          <cell r="K1888">
            <v>0</v>
          </cell>
          <cell r="L1888">
            <v>0</v>
          </cell>
          <cell r="O1888">
            <v>0</v>
          </cell>
          <cell r="P1888">
            <v>0</v>
          </cell>
          <cell r="Q1888" t="str">
            <v>78|20</v>
          </cell>
        </row>
        <row r="1889">
          <cell r="E1889" t="str">
            <v>3. FIRE PROTECTION</v>
          </cell>
          <cell r="G1889" t="str">
            <v>3. FIRE PROTECTION</v>
          </cell>
          <cell r="H1889">
            <v>0</v>
          </cell>
          <cell r="I1889">
            <v>0</v>
          </cell>
          <cell r="J1889">
            <v>0</v>
          </cell>
          <cell r="K1889">
            <v>0</v>
          </cell>
          <cell r="L1889">
            <v>0</v>
          </cell>
          <cell r="O1889">
            <v>0</v>
          </cell>
          <cell r="P1889">
            <v>0</v>
          </cell>
          <cell r="Q1889" t="str">
            <v>78|21</v>
          </cell>
        </row>
        <row r="1890">
          <cell r="E1890" t="str">
            <v>3. FIRE PROTECTION</v>
          </cell>
          <cell r="G1890" t="str">
            <v>Room</v>
          </cell>
          <cell r="H1890" t="str">
            <v>Sprinkler</v>
          </cell>
          <cell r="I1890" t="str">
            <v>Cage</v>
          </cell>
          <cell r="J1890" t="str">
            <v>Detector</v>
          </cell>
          <cell r="K1890" t="str">
            <v>Horn/Strobe</v>
          </cell>
          <cell r="L1890" t="str">
            <v>Extinguisher &lt;75 ft</v>
          </cell>
          <cell r="O1890" t="str">
            <v>Overall</v>
          </cell>
          <cell r="P1890" t="str">
            <v>Risk / Notes</v>
          </cell>
          <cell r="Q1890" t="str">
            <v>78|22</v>
          </cell>
        </row>
        <row r="1891">
          <cell r="E1891" t="str">
            <v>3. FIRE PROTECTION</v>
          </cell>
          <cell r="G1891" t="str">
            <v>B30</v>
          </cell>
          <cell r="H1891" t="str">
            <v>Verify</v>
          </cell>
          <cell r="I1891" t="str">
            <v>Verify</v>
          </cell>
          <cell r="J1891" t="str">
            <v>Verify</v>
          </cell>
          <cell r="K1891" t="str">
            <v>Verify</v>
          </cell>
          <cell r="L1891" t="str">
            <v>Verify</v>
          </cell>
          <cell r="O1891" t="str">
            <v>Verify</v>
          </cell>
          <cell r="P1891" t="str">
            <v>Full fire protection scope included. Verify sprinkler modifications, fire alarm devices, clean-agent 2A:10B:C FEC within 75 ft, and rated penetrations.</v>
          </cell>
          <cell r="Q1891" t="str">
            <v>78|23</v>
          </cell>
        </row>
        <row r="1892">
          <cell r="E1892" t="str">
            <v>3. FIRE PROTECTION</v>
          </cell>
          <cell r="G1892" t="str">
            <v>B35</v>
          </cell>
          <cell r="H1892" t="str">
            <v>Verify</v>
          </cell>
          <cell r="I1892" t="str">
            <v>Verify</v>
          </cell>
          <cell r="J1892" t="str">
            <v>Verify</v>
          </cell>
          <cell r="K1892" t="str">
            <v>Verify</v>
          </cell>
          <cell r="L1892" t="str">
            <v>Verify</v>
          </cell>
          <cell r="O1892" t="str">
            <v>Verify</v>
          </cell>
          <cell r="P1892" t="str">
            <v>Verify FP/FA modifications, FEC location, temporary firestopping and final UL systems.</v>
          </cell>
          <cell r="Q1892" t="str">
            <v>78|24</v>
          </cell>
        </row>
        <row r="1893">
          <cell r="E1893" t="str">
            <v>3. FIRE PROTECTION</v>
          </cell>
          <cell r="G1893" t="str">
            <v>1232</v>
          </cell>
          <cell r="H1893" t="str">
            <v>Verify</v>
          </cell>
          <cell r="I1893" t="str">
            <v>Verify</v>
          </cell>
          <cell r="J1893" t="str">
            <v>Verify</v>
          </cell>
          <cell r="K1893" t="str">
            <v>Verify</v>
          </cell>
          <cell r="L1893" t="str">
            <v>Verify</v>
          </cell>
          <cell r="O1893" t="str">
            <v>Verify</v>
          </cell>
          <cell r="P1893" t="str">
            <v>Verify first-level TR sprinkler/FA work, FEC location and cable tray penetrations.</v>
          </cell>
          <cell r="Q1893" t="str">
            <v>78|25</v>
          </cell>
        </row>
        <row r="1894">
          <cell r="E1894" t="str">
            <v>3. FIRE PROTECTION</v>
          </cell>
          <cell r="G1894" t="str">
            <v>227A</v>
          </cell>
          <cell r="H1894" t="str">
            <v>Verify</v>
          </cell>
          <cell r="I1894" t="str">
            <v>Verify</v>
          </cell>
          <cell r="J1894" t="str">
            <v>Verify</v>
          </cell>
          <cell r="K1894" t="str">
            <v>Verify</v>
          </cell>
          <cell r="L1894" t="str">
            <v>Verify</v>
          </cell>
          <cell r="O1894" t="str">
            <v>Verify</v>
          </cell>
          <cell r="P1894" t="str">
            <v>Verify second-level TR sprinkler/FA work, FEC location, vertical riser penetrations and firestopping.</v>
          </cell>
          <cell r="Q1894" t="str">
            <v>78|26</v>
          </cell>
        </row>
        <row r="1895">
          <cell r="E1895" t="str">
            <v>3. FIRE PROTECTION</v>
          </cell>
          <cell r="G1895" t="str">
            <v>342</v>
          </cell>
          <cell r="H1895" t="str">
            <v>Verify</v>
          </cell>
          <cell r="I1895" t="str">
            <v>Verify</v>
          </cell>
          <cell r="J1895" t="str">
            <v>Verify</v>
          </cell>
          <cell r="K1895" t="str">
            <v>Verify</v>
          </cell>
          <cell r="L1895" t="str">
            <v>Verify</v>
          </cell>
          <cell r="O1895" t="str">
            <v>Verify</v>
          </cell>
          <cell r="P1895" t="str">
            <v>Verify third-level TR fire protection/fire alarm coordination and firestop work.</v>
          </cell>
          <cell r="Q1895" t="str">
            <v>78|27</v>
          </cell>
        </row>
        <row r="1896">
          <cell r="E1896" t="str">
            <v>3. FIRE PROTECTION</v>
          </cell>
          <cell r="G1896" t="str">
            <v>401</v>
          </cell>
          <cell r="H1896" t="str">
            <v>Verify</v>
          </cell>
          <cell r="I1896" t="str">
            <v>Verify</v>
          </cell>
          <cell r="J1896" t="str">
            <v>Verify</v>
          </cell>
          <cell r="K1896" t="str">
            <v>Verify</v>
          </cell>
          <cell r="L1896" t="str">
            <v>Verify</v>
          </cell>
          <cell r="O1896" t="str">
            <v>Verify</v>
          </cell>
          <cell r="P1896" t="str">
            <v>Verify fourth-level TR fire protection/fire alarm coordination and firestop work.</v>
          </cell>
          <cell r="Q1896" t="str">
            <v>78|28</v>
          </cell>
        </row>
        <row r="1897">
          <cell r="E1897" t="str">
            <v>3. FIRE PROTECTION</v>
          </cell>
          <cell r="G1897" t="str">
            <v>Existing rooms</v>
          </cell>
          <cell r="H1897" t="str">
            <v>Verify</v>
          </cell>
          <cell r="I1897" t="str">
            <v>N/A</v>
          </cell>
          <cell r="J1897" t="str">
            <v>Verify</v>
          </cell>
          <cell r="K1897" t="str">
            <v>Verify</v>
          </cell>
          <cell r="L1897" t="str">
            <v>Verify</v>
          </cell>
          <cell r="O1897" t="str">
            <v>Verify</v>
          </cell>
          <cell r="P1897" t="str">
            <v>Verify existing rooms remain protected during cutover and no unsealed penetrations remain.</v>
          </cell>
          <cell r="Q1897" t="str">
            <v>78|29</v>
          </cell>
        </row>
        <row r="1898">
          <cell r="E1898" t="str">
            <v>3. FIRE PROTECTION</v>
          </cell>
          <cell r="G1898">
            <v>0</v>
          </cell>
          <cell r="H1898">
            <v>0</v>
          </cell>
          <cell r="I1898">
            <v>0</v>
          </cell>
          <cell r="J1898">
            <v>0</v>
          </cell>
          <cell r="K1898">
            <v>0</v>
          </cell>
          <cell r="L1898">
            <v>0</v>
          </cell>
          <cell r="O1898">
            <v>0</v>
          </cell>
          <cell r="P1898">
            <v>0</v>
          </cell>
          <cell r="Q1898" t="str">
            <v>78|30</v>
          </cell>
        </row>
        <row r="1899">
          <cell r="E1899" t="str">
            <v>4. HVAC / COOLING</v>
          </cell>
          <cell r="G1899" t="str">
            <v>4. HVAC / COOLING</v>
          </cell>
          <cell r="H1899">
            <v>0</v>
          </cell>
          <cell r="I1899">
            <v>0</v>
          </cell>
          <cell r="J1899">
            <v>0</v>
          </cell>
          <cell r="K1899">
            <v>0</v>
          </cell>
          <cell r="L1899">
            <v>0</v>
          </cell>
          <cell r="O1899">
            <v>0</v>
          </cell>
          <cell r="P1899">
            <v>0</v>
          </cell>
          <cell r="Q1899" t="str">
            <v>78|31</v>
          </cell>
        </row>
        <row r="1900">
          <cell r="E1900" t="str">
            <v>4. HVAC / COOLING</v>
          </cell>
          <cell r="G1900" t="str">
            <v>Room</v>
          </cell>
          <cell r="H1900" t="str">
            <v>Dedicated Unit</v>
          </cell>
          <cell r="I1900" t="str">
            <v>Capacity Verified</v>
          </cell>
          <cell r="J1900" t="str">
            <v>Emergency Power</v>
          </cell>
          <cell r="K1900" t="str">
            <v>Controls / BACnet</v>
          </cell>
          <cell r="L1900" t="str">
            <v>Condensate Routed</v>
          </cell>
          <cell r="O1900" t="str">
            <v>Overall</v>
          </cell>
          <cell r="P1900" t="str">
            <v>Risk / Notes</v>
          </cell>
          <cell r="Q1900" t="str">
            <v>78|32</v>
          </cell>
        </row>
        <row r="1901">
          <cell r="E1901" t="str">
            <v>4. HVAC / COOLING</v>
          </cell>
          <cell r="G1901" t="str">
            <v>B30</v>
          </cell>
          <cell r="H1901" t="str">
            <v>Dedicated TR cooling shown / verify</v>
          </cell>
          <cell r="I1901" t="str">
            <v>Verify</v>
          </cell>
          <cell r="J1901" t="str">
            <v>Verify</v>
          </cell>
          <cell r="K1901" t="str">
            <v>Verify</v>
          </cell>
          <cell r="L1901" t="str">
            <v>Verify</v>
          </cell>
          <cell r="O1901" t="str">
            <v>Verify</v>
          </cell>
          <cell r="P1901" t="str">
            <v>Mechanical sheets included for basement. Verify dedicated cooling equipment, capacity, condensate, emergency source, controls/BACnet and high-temperature alarm.</v>
          </cell>
          <cell r="Q1901" t="str">
            <v>78|33</v>
          </cell>
        </row>
        <row r="1902">
          <cell r="E1902" t="str">
            <v>4. HVAC / COOLING</v>
          </cell>
          <cell r="G1902" t="str">
            <v>B35</v>
          </cell>
          <cell r="H1902" t="str">
            <v>Dedicated TR cooling shown / verify</v>
          </cell>
          <cell r="I1902" t="str">
            <v>Verify</v>
          </cell>
          <cell r="J1902" t="str">
            <v>Verify</v>
          </cell>
          <cell r="K1902" t="str">
            <v>Verify</v>
          </cell>
          <cell r="L1902" t="str">
            <v>Verify</v>
          </cell>
          <cell r="O1902" t="str">
            <v>Verify</v>
          </cell>
          <cell r="P1902" t="str">
            <v>Verify dedicated cooling and relationship to B30/B35 telecom buildout.</v>
          </cell>
          <cell r="Q1902" t="str">
            <v>78|34</v>
          </cell>
        </row>
        <row r="1903">
          <cell r="E1903" t="str">
            <v>4. HVAC / COOLING</v>
          </cell>
          <cell r="G1903" t="str">
            <v>1232</v>
          </cell>
          <cell r="H1903" t="str">
            <v>Dedicated TR cooling shown / verify</v>
          </cell>
          <cell r="I1903" t="str">
            <v>Verify</v>
          </cell>
          <cell r="J1903" t="str">
            <v>Verify</v>
          </cell>
          <cell r="K1903" t="str">
            <v>Verify</v>
          </cell>
          <cell r="L1903" t="str">
            <v>Verify</v>
          </cell>
          <cell r="O1903" t="str">
            <v>Verify</v>
          </cell>
          <cell r="P1903" t="str">
            <v>Verify first-level TR cooling, controls, emergency power and alarm tie-in.</v>
          </cell>
          <cell r="Q1903" t="str">
            <v>78|35</v>
          </cell>
        </row>
        <row r="1904">
          <cell r="E1904" t="str">
            <v>4. HVAC / COOLING</v>
          </cell>
          <cell r="G1904" t="str">
            <v>227A</v>
          </cell>
          <cell r="H1904" t="str">
            <v>Dedicated TR cooling shown / verify</v>
          </cell>
          <cell r="I1904" t="str">
            <v>Verify</v>
          </cell>
          <cell r="J1904" t="str">
            <v>Verify</v>
          </cell>
          <cell r="K1904" t="str">
            <v>Verify</v>
          </cell>
          <cell r="L1904" t="str">
            <v>Verify</v>
          </cell>
          <cell r="O1904" t="str">
            <v>Verify</v>
          </cell>
          <cell r="P1904" t="str">
            <v>Verify second-level TR cooling, condensate route and 24/7 operation.</v>
          </cell>
          <cell r="Q1904" t="str">
            <v>78|36</v>
          </cell>
        </row>
        <row r="1905">
          <cell r="E1905" t="str">
            <v>4. HVAC / COOLING</v>
          </cell>
          <cell r="G1905" t="str">
            <v>342</v>
          </cell>
          <cell r="H1905" t="str">
            <v>Dedicated TR cooling shown / verify</v>
          </cell>
          <cell r="I1905" t="str">
            <v>Verify</v>
          </cell>
          <cell r="J1905" t="str">
            <v>Verify</v>
          </cell>
          <cell r="K1905" t="str">
            <v>Verify</v>
          </cell>
          <cell r="L1905" t="str">
            <v>Verify</v>
          </cell>
          <cell r="O1905" t="str">
            <v>Verify</v>
          </cell>
          <cell r="P1905" t="str">
            <v>Verify third-level TR cooling and control/alarm integration.</v>
          </cell>
          <cell r="Q1905" t="str">
            <v>78|37</v>
          </cell>
        </row>
        <row r="1906">
          <cell r="E1906" t="str">
            <v>4. HVAC / COOLING</v>
          </cell>
          <cell r="G1906" t="str">
            <v>401</v>
          </cell>
          <cell r="H1906" t="str">
            <v>Dedicated TR cooling shown / verify</v>
          </cell>
          <cell r="I1906" t="str">
            <v>Verify</v>
          </cell>
          <cell r="J1906" t="str">
            <v>Verify</v>
          </cell>
          <cell r="K1906" t="str">
            <v>Verify</v>
          </cell>
          <cell r="L1906" t="str">
            <v>Verify</v>
          </cell>
          <cell r="O1906" t="str">
            <v>Verify</v>
          </cell>
          <cell r="P1906" t="str">
            <v>Verify fourth-level TR cooling and control/alarm integration.</v>
          </cell>
          <cell r="Q1906" t="str">
            <v>78|38</v>
          </cell>
        </row>
        <row r="1907">
          <cell r="E1907" t="str">
            <v>4. HVAC / COOLING</v>
          </cell>
          <cell r="G1907" t="str">
            <v>Existing rooms</v>
          </cell>
          <cell r="H1907" t="str">
            <v>Existing / Verify</v>
          </cell>
          <cell r="I1907" t="str">
            <v>Verify</v>
          </cell>
          <cell r="J1907" t="str">
            <v>Verify</v>
          </cell>
          <cell r="K1907" t="str">
            <v>Verify</v>
          </cell>
          <cell r="L1907" t="str">
            <v>Verify</v>
          </cell>
          <cell r="O1907" t="str">
            <v>Verify</v>
          </cell>
          <cell r="P1907" t="str">
            <v>Existing telecom rooms likely have legacy cooling dependencies. Verify active equipment temperature and any protect-in-place cooling requirements.</v>
          </cell>
          <cell r="Q1907" t="str">
            <v>78|39</v>
          </cell>
        </row>
        <row r="1908">
          <cell r="E1908" t="str">
            <v>4. HVAC / COOLING</v>
          </cell>
          <cell r="G1908">
            <v>0</v>
          </cell>
          <cell r="H1908">
            <v>0</v>
          </cell>
          <cell r="I1908">
            <v>0</v>
          </cell>
          <cell r="J1908">
            <v>0</v>
          </cell>
          <cell r="K1908">
            <v>0</v>
          </cell>
          <cell r="L1908">
            <v>0</v>
          </cell>
          <cell r="O1908">
            <v>0</v>
          </cell>
          <cell r="P1908">
            <v>0</v>
          </cell>
          <cell r="Q1908" t="str">
            <v>78|40</v>
          </cell>
        </row>
        <row r="1909">
          <cell r="E1909" t="str">
            <v>5. ELECTRICAL / UPS</v>
          </cell>
          <cell r="G1909" t="str">
            <v>5. ELECTRICAL / UPS</v>
          </cell>
          <cell r="H1909">
            <v>0</v>
          </cell>
          <cell r="I1909">
            <v>0</v>
          </cell>
          <cell r="J1909">
            <v>0</v>
          </cell>
          <cell r="K1909">
            <v>0</v>
          </cell>
          <cell r="L1909">
            <v>0</v>
          </cell>
          <cell r="O1909">
            <v>0</v>
          </cell>
          <cell r="P1909">
            <v>0</v>
          </cell>
          <cell r="Q1909" t="str">
            <v>78|41</v>
          </cell>
        </row>
        <row r="1910">
          <cell r="E1910" t="str">
            <v>5. ELECTRICAL / UPS</v>
          </cell>
          <cell r="G1910" t="str">
            <v>Room</v>
          </cell>
          <cell r="H1910" t="str">
            <v>UPS Installed</v>
          </cell>
          <cell r="I1910" t="str">
            <v>UPS Size</v>
          </cell>
          <cell r="J1910" t="str">
            <v>PDU Installed</v>
          </cell>
          <cell r="K1910" t="str">
            <v>Rack Receptacles</v>
          </cell>
          <cell r="L1910" t="str">
            <v>Panel Assigned</v>
          </cell>
          <cell r="O1910" t="str">
            <v>Overall</v>
          </cell>
          <cell r="P1910" t="str">
            <v>Notes</v>
          </cell>
          <cell r="Q1910" t="str">
            <v>78|42</v>
          </cell>
        </row>
        <row r="1911">
          <cell r="E1911" t="str">
            <v>5. ELECTRICAL / UPS</v>
          </cell>
          <cell r="G1911" t="str">
            <v>B30</v>
          </cell>
          <cell r="H1911" t="str">
            <v>Verify</v>
          </cell>
          <cell r="I1911" t="str">
            <v>5 kW / 208V rack UPS</v>
          </cell>
          <cell r="J1911" t="str">
            <v>Verify</v>
          </cell>
          <cell r="K1911" t="str">
            <v>Verify</v>
          </cell>
          <cell r="L1911" t="str">
            <v>B78-TRB30 panels / verify</v>
          </cell>
          <cell r="O1911" t="str">
            <v>Verify</v>
          </cell>
          <cell r="P1911" t="str">
            <v>Rack elevations identify new rack UPS/PDU and future rack. Verify panelboard/source, SPD, rack receptacles, PDU feeds, labels, load measurement and LOTO.</v>
          </cell>
          <cell r="Q1911" t="str">
            <v>78|43</v>
          </cell>
        </row>
        <row r="1912">
          <cell r="E1912" t="str">
            <v>5. ELECTRICAL / UPS</v>
          </cell>
          <cell r="G1912" t="str">
            <v>B35</v>
          </cell>
          <cell r="H1912" t="str">
            <v>Verify</v>
          </cell>
          <cell r="I1912" t="str">
            <v>5 kW / 208V rack UPS</v>
          </cell>
          <cell r="J1912" t="str">
            <v>Verify</v>
          </cell>
          <cell r="K1912" t="str">
            <v>Verify</v>
          </cell>
          <cell r="L1912" t="str">
            <v>B78-TRB35 panels / verify</v>
          </cell>
          <cell r="O1912" t="str">
            <v>Verify</v>
          </cell>
          <cell r="P1912" t="str">
            <v>Verify rack UPS/PDU source, spare/future rack provisions and grounding/bonding.</v>
          </cell>
          <cell r="Q1912" t="str">
            <v>78|44</v>
          </cell>
        </row>
        <row r="1913">
          <cell r="E1913" t="str">
            <v>5. ELECTRICAL / UPS</v>
          </cell>
          <cell r="G1913" t="str">
            <v>1232</v>
          </cell>
          <cell r="H1913" t="str">
            <v>Verify</v>
          </cell>
          <cell r="I1913" t="str">
            <v>5 kW / 208V rack UPS</v>
          </cell>
          <cell r="J1913" t="str">
            <v>Verify</v>
          </cell>
          <cell r="K1913" t="str">
            <v>Verify</v>
          </cell>
          <cell r="L1913" t="str">
            <v>B78-TR1232 panels / verify</v>
          </cell>
          <cell r="O1913" t="str">
            <v>Verify</v>
          </cell>
          <cell r="P1913" t="str">
            <v>Verify first-level rack receptacles, UPS/PDU, panel sources, SPDs and labeling.</v>
          </cell>
          <cell r="Q1913" t="str">
            <v>78|45</v>
          </cell>
        </row>
        <row r="1914">
          <cell r="E1914" t="str">
            <v>5. ELECTRICAL / UPS</v>
          </cell>
          <cell r="G1914" t="str">
            <v>227A</v>
          </cell>
          <cell r="H1914" t="str">
            <v>Verify</v>
          </cell>
          <cell r="I1914" t="str">
            <v>5 kW / 208V rack UPS</v>
          </cell>
          <cell r="J1914" t="str">
            <v>Verify</v>
          </cell>
          <cell r="K1914" t="str">
            <v>Verify</v>
          </cell>
          <cell r="L1914" t="str">
            <v>B78-TR227A panels / verify</v>
          </cell>
          <cell r="O1914" t="str">
            <v>Verify</v>
          </cell>
          <cell r="P1914" t="str">
            <v>Verify second-level rack receptacles, UPS/PDU, panel sources, SPDs and labeling.</v>
          </cell>
          <cell r="Q1914" t="str">
            <v>78|46</v>
          </cell>
        </row>
        <row r="1915">
          <cell r="E1915" t="str">
            <v>5. ELECTRICAL / UPS</v>
          </cell>
          <cell r="G1915" t="str">
            <v>342</v>
          </cell>
          <cell r="H1915" t="str">
            <v>Verify</v>
          </cell>
          <cell r="I1915" t="str">
            <v>5 kW / 208V rack UPS</v>
          </cell>
          <cell r="J1915" t="str">
            <v>Verify</v>
          </cell>
          <cell r="K1915" t="str">
            <v>Verify</v>
          </cell>
          <cell r="L1915" t="str">
            <v>B78-TR342 panels / verify</v>
          </cell>
          <cell r="O1915" t="str">
            <v>Verify</v>
          </cell>
          <cell r="P1915" t="str">
            <v>Verify third-level rack receptacles for two racks, UPS/PDU, panel sources and labels.</v>
          </cell>
          <cell r="Q1915" t="str">
            <v>78|47</v>
          </cell>
        </row>
        <row r="1916">
          <cell r="E1916" t="str">
            <v>5. ELECTRICAL / UPS</v>
          </cell>
          <cell r="G1916" t="str">
            <v>401</v>
          </cell>
          <cell r="H1916" t="str">
            <v>Verify</v>
          </cell>
          <cell r="I1916" t="str">
            <v>5 kW / 208V rack UPS</v>
          </cell>
          <cell r="J1916" t="str">
            <v>Verify</v>
          </cell>
          <cell r="K1916" t="str">
            <v>Verify</v>
          </cell>
          <cell r="L1916" t="str">
            <v>B78-TR401 panels / verify</v>
          </cell>
          <cell r="O1916" t="str">
            <v>Verify</v>
          </cell>
          <cell r="P1916" t="str">
            <v>Verify fourth-level rack receptacles, UPS/PDU, panel sources and labels.</v>
          </cell>
          <cell r="Q1916" t="str">
            <v>78|48</v>
          </cell>
        </row>
        <row r="1917">
          <cell r="E1917" t="str">
            <v>5. ELECTRICAL / UPS</v>
          </cell>
          <cell r="G1917" t="str">
            <v>Existing rooms</v>
          </cell>
          <cell r="H1917" t="str">
            <v>Existing / Verify</v>
          </cell>
          <cell r="I1917" t="str">
            <v>Existing UPS / PDU</v>
          </cell>
          <cell r="J1917" t="str">
            <v>Existing / Verify</v>
          </cell>
          <cell r="K1917" t="str">
            <v>Verify</v>
          </cell>
          <cell r="L1917" t="str">
            <v>Existing / verify</v>
          </cell>
          <cell r="O1917" t="str">
            <v>Verify</v>
          </cell>
          <cell r="P1917" t="str">
            <v>Existing rack elevations show wall-mounted racks/2-post racks, existing UPS/PDU and demarc/fiber equipment. Confirm active power and transfer needs.</v>
          </cell>
          <cell r="Q1917" t="str">
            <v>78|49</v>
          </cell>
        </row>
        <row r="1918">
          <cell r="E1918" t="str">
            <v>5. ELECTRICAL / UPS</v>
          </cell>
          <cell r="G1918">
            <v>0</v>
          </cell>
          <cell r="H1918">
            <v>0</v>
          </cell>
          <cell r="I1918">
            <v>0</v>
          </cell>
          <cell r="J1918">
            <v>0</v>
          </cell>
          <cell r="K1918">
            <v>0</v>
          </cell>
          <cell r="L1918">
            <v>0</v>
          </cell>
          <cell r="O1918">
            <v>0</v>
          </cell>
          <cell r="P1918">
            <v>0</v>
          </cell>
          <cell r="Q1918" t="str">
            <v>78|50</v>
          </cell>
        </row>
        <row r="1919">
          <cell r="E1919" t="str">
            <v>6. TELECOMMUNICATIONS</v>
          </cell>
          <cell r="G1919" t="str">
            <v>6. TELECOMMUNICATIONS</v>
          </cell>
          <cell r="H1919">
            <v>0</v>
          </cell>
          <cell r="I1919">
            <v>0</v>
          </cell>
          <cell r="J1919">
            <v>0</v>
          </cell>
          <cell r="K1919">
            <v>0</v>
          </cell>
          <cell r="L1919">
            <v>0</v>
          </cell>
          <cell r="O1919">
            <v>0</v>
          </cell>
          <cell r="P1919">
            <v>0</v>
          </cell>
          <cell r="Q1919" t="str">
            <v>78|51</v>
          </cell>
        </row>
        <row r="1920">
          <cell r="E1920" t="str">
            <v>6. TELECOMMUNICATIONS</v>
          </cell>
          <cell r="G1920" t="str">
            <v>Room</v>
          </cell>
          <cell r="H1920" t="str">
            <v>Rack Installed</v>
          </cell>
          <cell r="I1920" t="str">
            <v>Ladder Tray</v>
          </cell>
          <cell r="J1920" t="str">
            <v>Fiber Installed</v>
          </cell>
          <cell r="K1920" t="str">
            <v>Grounding</v>
          </cell>
          <cell r="L1920" t="str">
            <v>Labeling</v>
          </cell>
          <cell r="O1920" t="str">
            <v>Overall</v>
          </cell>
          <cell r="P1920" t="str">
            <v>Notes</v>
          </cell>
          <cell r="Q1920" t="str">
            <v>78|52</v>
          </cell>
        </row>
        <row r="1921">
          <cell r="E1921" t="str">
            <v>6. TELECOMMUNICATIONS</v>
          </cell>
          <cell r="G1921" t="str">
            <v>B30</v>
          </cell>
          <cell r="H1921" t="str">
            <v>Verify</v>
          </cell>
          <cell r="I1921" t="str">
            <v>Verify</v>
          </cell>
          <cell r="J1921" t="str">
            <v>Verify</v>
          </cell>
          <cell r="K1921" t="str">
            <v>Verify</v>
          </cell>
          <cell r="L1921" t="str">
            <v>Verify</v>
          </cell>
          <cell r="O1921" t="str">
            <v>Verify</v>
          </cell>
          <cell r="P1921" t="str">
            <v>78_78AT-701: 210 WAO total, 23 active ports, 311 scheduled ports, 342 with allowance; rack IDs TR01-B30-1/-2. Basement cable tray total 1,702 ft.</v>
          </cell>
          <cell r="Q1921" t="str">
            <v>78|53</v>
          </cell>
        </row>
        <row r="1922">
          <cell r="E1922" t="str">
            <v>6. TELECOMMUNICATIONS</v>
          </cell>
          <cell r="G1922" t="str">
            <v>B35</v>
          </cell>
          <cell r="H1922" t="str">
            <v>Verify</v>
          </cell>
          <cell r="I1922" t="str">
            <v>Verify</v>
          </cell>
          <cell r="J1922" t="str">
            <v>Verify</v>
          </cell>
          <cell r="K1922" t="str">
            <v>Verify</v>
          </cell>
          <cell r="L1922" t="str">
            <v>Verify</v>
          </cell>
          <cell r="O1922" t="str">
            <v>Verify</v>
          </cell>
          <cell r="P1922" t="str">
            <v>78_78AT-702: 53 WAO total, 23 active ports, 64 scheduled ports, 70 with allowance. Confirm rack ID/room relation and active services.</v>
          </cell>
          <cell r="Q1922" t="str">
            <v>78|54</v>
          </cell>
        </row>
        <row r="1923">
          <cell r="E1923" t="str">
            <v>6. TELECOMMUNICATIONS</v>
          </cell>
          <cell r="G1923" t="str">
            <v>1232</v>
          </cell>
          <cell r="H1923" t="str">
            <v>Verify</v>
          </cell>
          <cell r="I1923" t="str">
            <v>Verify</v>
          </cell>
          <cell r="J1923" t="str">
            <v>Verify</v>
          </cell>
          <cell r="K1923" t="str">
            <v>Verify</v>
          </cell>
          <cell r="L1923" t="str">
            <v>Verify</v>
          </cell>
          <cell r="O1923" t="str">
            <v>Verify</v>
          </cell>
          <cell r="P1923" t="str">
            <v>78_78AT-702/703: 301 WAO total, 388 active ports, 404 scheduled ports, 444 with allowance. Large active port count; high cutover risk.</v>
          </cell>
          <cell r="Q1923" t="str">
            <v>78|55</v>
          </cell>
        </row>
        <row r="1924">
          <cell r="E1924" t="str">
            <v>6. TELECOMMUNICATIONS</v>
          </cell>
          <cell r="G1924" t="str">
            <v>227A</v>
          </cell>
          <cell r="H1924" t="str">
            <v>Verify</v>
          </cell>
          <cell r="I1924" t="str">
            <v>Verify</v>
          </cell>
          <cell r="J1924" t="str">
            <v>Verify</v>
          </cell>
          <cell r="K1924" t="str">
            <v>Verify</v>
          </cell>
          <cell r="L1924" t="str">
            <v>Verify</v>
          </cell>
          <cell r="O1924" t="str">
            <v>Verify</v>
          </cell>
          <cell r="P1924" t="str">
            <v>78_78AT-703/704: 256 WAO total, 153 active ports, 348 scheduled ports, 383 with allowance. Verify second-level test records and riser labels.</v>
          </cell>
          <cell r="Q1924" t="str">
            <v>78|56</v>
          </cell>
        </row>
        <row r="1925">
          <cell r="E1925" t="str">
            <v>6. TELECOMMUNICATIONS</v>
          </cell>
          <cell r="G1925" t="str">
            <v>342</v>
          </cell>
          <cell r="H1925" t="str">
            <v>Verify</v>
          </cell>
          <cell r="I1925" t="str">
            <v>Verify</v>
          </cell>
          <cell r="J1925" t="str">
            <v>Verify</v>
          </cell>
          <cell r="K1925" t="str">
            <v>Verify</v>
          </cell>
          <cell r="L1925" t="str">
            <v>Verify</v>
          </cell>
          <cell r="O1925" t="str">
            <v>Verify</v>
          </cell>
          <cell r="P1925" t="str">
            <v>78_78AT-704: 158 WAO total, 163 active ports, 289 scheduled ports, 318 with allowance. Rack IDs TR01-342-1/-2.</v>
          </cell>
          <cell r="Q1925" t="str">
            <v>78|57</v>
          </cell>
        </row>
        <row r="1926">
          <cell r="E1926" t="str">
            <v>6. TELECOMMUNICATIONS</v>
          </cell>
          <cell r="G1926" t="str">
            <v>401</v>
          </cell>
          <cell r="H1926" t="str">
            <v>Verify</v>
          </cell>
          <cell r="I1926" t="str">
            <v>Verify</v>
          </cell>
          <cell r="J1926" t="str">
            <v>Verify</v>
          </cell>
          <cell r="K1926" t="str">
            <v>Verify</v>
          </cell>
          <cell r="L1926" t="str">
            <v>Verify</v>
          </cell>
          <cell r="O1926" t="str">
            <v>Verify</v>
          </cell>
          <cell r="P1926" t="str">
            <v>78_78AT-705: 89 WAO total, 65 active ports, 123 scheduled ports, 135 with allowance.</v>
          </cell>
          <cell r="Q1926" t="str">
            <v>78|58</v>
          </cell>
        </row>
        <row r="1927">
          <cell r="E1927" t="str">
            <v>6. TELECOMMUNICATIONS</v>
          </cell>
          <cell r="G1927" t="str">
            <v>Existing rooms</v>
          </cell>
          <cell r="H1927" t="str">
            <v>Existing / Verify</v>
          </cell>
          <cell r="I1927" t="str">
            <v>Existing / Verify</v>
          </cell>
          <cell r="J1927" t="str">
            <v>Existing / Verify</v>
          </cell>
          <cell r="K1927" t="str">
            <v>Verify</v>
          </cell>
          <cell r="L1927" t="str">
            <v>Verify</v>
          </cell>
          <cell r="O1927" t="str">
            <v>Verify</v>
          </cell>
          <cell r="P1927" t="str">
            <v>Photo references identify existing telecom rooms 15E, 1234, 353, 308A and 408A; verify all active services and transfer plan.</v>
          </cell>
          <cell r="Q1927" t="str">
            <v>78|59</v>
          </cell>
        </row>
        <row r="1928">
          <cell r="E1928" t="str">
            <v>6. TELECOMMUNICATIONS</v>
          </cell>
          <cell r="G1928">
            <v>0</v>
          </cell>
          <cell r="H1928">
            <v>0</v>
          </cell>
          <cell r="I1928">
            <v>0</v>
          </cell>
          <cell r="J1928">
            <v>0</v>
          </cell>
          <cell r="K1928">
            <v>0</v>
          </cell>
          <cell r="L1928">
            <v>0</v>
          </cell>
          <cell r="O1928">
            <v>0</v>
          </cell>
          <cell r="P1928">
            <v>0</v>
          </cell>
          <cell r="Q1928" t="str">
            <v>78|60</v>
          </cell>
        </row>
        <row r="1929">
          <cell r="E1929" t="str">
            <v>7. SECURITY / PACS / CCTV</v>
          </cell>
          <cell r="G1929" t="str">
            <v>7. SECURITY / PACS / CCTV</v>
          </cell>
          <cell r="H1929">
            <v>0</v>
          </cell>
          <cell r="I1929">
            <v>0</v>
          </cell>
          <cell r="J1929">
            <v>0</v>
          </cell>
          <cell r="K1929">
            <v>0</v>
          </cell>
          <cell r="L1929">
            <v>0</v>
          </cell>
          <cell r="O1929">
            <v>0</v>
          </cell>
          <cell r="P1929">
            <v>0</v>
          </cell>
          <cell r="Q1929" t="str">
            <v>78|61</v>
          </cell>
        </row>
        <row r="1930">
          <cell r="E1930" t="str">
            <v>7. SECURITY / PACS / CCTV</v>
          </cell>
          <cell r="G1930" t="str">
            <v>Room</v>
          </cell>
          <cell r="H1930" t="str">
            <v>PACS</v>
          </cell>
          <cell r="I1930" t="str">
            <v>Card Reader</v>
          </cell>
          <cell r="J1930" t="str">
            <v>Door Position</v>
          </cell>
          <cell r="K1930" t="str">
            <v>Electric Strike</v>
          </cell>
          <cell r="L1930" t="str">
            <v>CCTV</v>
          </cell>
          <cell r="O1930" t="str">
            <v>Overall</v>
          </cell>
          <cell r="P1930" t="str">
            <v>Notes</v>
          </cell>
          <cell r="Q1930" t="str">
            <v>78|62</v>
          </cell>
        </row>
        <row r="1931">
          <cell r="E1931" t="str">
            <v>7. SECURITY / PACS / CCTV</v>
          </cell>
          <cell r="G1931" t="str">
            <v>B30</v>
          </cell>
          <cell r="H1931" t="str">
            <v>Verify</v>
          </cell>
          <cell r="I1931" t="str">
            <v>Verify</v>
          </cell>
          <cell r="J1931" t="str">
            <v>Verify</v>
          </cell>
          <cell r="K1931" t="str">
            <v>Verify</v>
          </cell>
          <cell r="L1931" t="str">
            <v>Verify</v>
          </cell>
          <cell r="O1931" t="str">
            <v>Verify</v>
          </cell>
          <cell r="P1931" t="str">
            <v>TR scope includes wall-mounted CCTV cameras and PACS for TR doors. Verify CR/RX/DC/ES/MD, controller and VMS integration.</v>
          </cell>
          <cell r="Q1931" t="str">
            <v>78|63</v>
          </cell>
        </row>
        <row r="1932">
          <cell r="E1932" t="str">
            <v>7. SECURITY / PACS / CCTV</v>
          </cell>
          <cell r="G1932" t="str">
            <v>B35</v>
          </cell>
          <cell r="H1932" t="str">
            <v>Verify</v>
          </cell>
          <cell r="I1932" t="str">
            <v>Verify</v>
          </cell>
          <cell r="J1932" t="str">
            <v>Verify</v>
          </cell>
          <cell r="K1932" t="str">
            <v>Verify</v>
          </cell>
          <cell r="L1932" t="str">
            <v>Verify</v>
          </cell>
          <cell r="O1932" t="str">
            <v>Verify</v>
          </cell>
          <cell r="P1932" t="str">
            <v>Verify PACS/CCTV integration and door hardware coordination.</v>
          </cell>
          <cell r="Q1932" t="str">
            <v>78|64</v>
          </cell>
        </row>
        <row r="1933">
          <cell r="E1933" t="str">
            <v>7. SECURITY / PACS / CCTV</v>
          </cell>
          <cell r="G1933" t="str">
            <v>1232</v>
          </cell>
          <cell r="H1933" t="str">
            <v>Verify</v>
          </cell>
          <cell r="I1933" t="str">
            <v>Verify</v>
          </cell>
          <cell r="J1933" t="str">
            <v>Verify</v>
          </cell>
          <cell r="K1933" t="str">
            <v>Verify</v>
          </cell>
          <cell r="L1933" t="str">
            <v>Verify</v>
          </cell>
          <cell r="O1933" t="str">
            <v>Verify</v>
          </cell>
          <cell r="P1933" t="str">
            <v>Verify first-level TR PACS/CCTV and VMS integration.</v>
          </cell>
          <cell r="Q1933" t="str">
            <v>78|65</v>
          </cell>
        </row>
        <row r="1934">
          <cell r="E1934" t="str">
            <v>7. SECURITY / PACS / CCTV</v>
          </cell>
          <cell r="G1934" t="str">
            <v>227A</v>
          </cell>
          <cell r="H1934" t="str">
            <v>Verify</v>
          </cell>
          <cell r="I1934" t="str">
            <v>Verify</v>
          </cell>
          <cell r="J1934" t="str">
            <v>Verify</v>
          </cell>
          <cell r="K1934" t="str">
            <v>Verify</v>
          </cell>
          <cell r="L1934" t="str">
            <v>Verify</v>
          </cell>
          <cell r="O1934" t="str">
            <v>Verify</v>
          </cell>
          <cell r="P1934" t="str">
            <v>Verify second-level TR PACS/CCTV and VMS integration.</v>
          </cell>
          <cell r="Q1934" t="str">
            <v>78|66</v>
          </cell>
        </row>
        <row r="1935">
          <cell r="E1935" t="str">
            <v>7. SECURITY / PACS / CCTV</v>
          </cell>
          <cell r="G1935" t="str">
            <v>342</v>
          </cell>
          <cell r="H1935" t="str">
            <v>Verify</v>
          </cell>
          <cell r="I1935" t="str">
            <v>Verify</v>
          </cell>
          <cell r="J1935" t="str">
            <v>Verify</v>
          </cell>
          <cell r="K1935" t="str">
            <v>Verify</v>
          </cell>
          <cell r="L1935" t="str">
            <v>Verify</v>
          </cell>
          <cell r="O1935" t="str">
            <v>Verify</v>
          </cell>
          <cell r="P1935" t="str">
            <v>Verify third-level TR PACS/CCTV and VMS integration.</v>
          </cell>
          <cell r="Q1935" t="str">
            <v>78|67</v>
          </cell>
        </row>
        <row r="1936">
          <cell r="E1936" t="str">
            <v>7. SECURITY / PACS / CCTV</v>
          </cell>
          <cell r="G1936" t="str">
            <v>401</v>
          </cell>
          <cell r="H1936" t="str">
            <v>Verify</v>
          </cell>
          <cell r="I1936" t="str">
            <v>Verify</v>
          </cell>
          <cell r="J1936" t="str">
            <v>Verify</v>
          </cell>
          <cell r="K1936" t="str">
            <v>Verify</v>
          </cell>
          <cell r="L1936" t="str">
            <v>Verify</v>
          </cell>
          <cell r="O1936" t="str">
            <v>Verify</v>
          </cell>
          <cell r="P1936" t="str">
            <v>Verify fourth-level TR PACS/CCTV and VMS integration.</v>
          </cell>
          <cell r="Q1936" t="str">
            <v>78|68</v>
          </cell>
        </row>
        <row r="1937">
          <cell r="E1937" t="str">
            <v>7. SECURITY / PACS / CCTV</v>
          </cell>
          <cell r="G1937" t="str">
            <v>Existing rooms</v>
          </cell>
          <cell r="H1937" t="str">
            <v>Existing / Verify</v>
          </cell>
          <cell r="I1937" t="str">
            <v>Existing / Verify</v>
          </cell>
          <cell r="J1937" t="str">
            <v>Existing / Verify</v>
          </cell>
          <cell r="K1937" t="str">
            <v>Existing / Verify</v>
          </cell>
          <cell r="L1937" t="str">
            <v>Verify</v>
          </cell>
          <cell r="O1937" t="str">
            <v>Verify</v>
          </cell>
          <cell r="P1937" t="str">
            <v>Verify existing PACS/security devices are protected-in-place or recabled without VMS/PACS disruption.</v>
          </cell>
          <cell r="Q1937" t="str">
            <v>78|69</v>
          </cell>
        </row>
        <row r="1938">
          <cell r="E1938" t="str">
            <v>7. SECURITY / PACS / CCTV</v>
          </cell>
          <cell r="G1938">
            <v>0</v>
          </cell>
          <cell r="H1938">
            <v>0</v>
          </cell>
          <cell r="I1938">
            <v>0</v>
          </cell>
          <cell r="J1938">
            <v>0</v>
          </cell>
          <cell r="K1938">
            <v>0</v>
          </cell>
          <cell r="L1938">
            <v>0</v>
          </cell>
          <cell r="O1938">
            <v>0</v>
          </cell>
          <cell r="P1938">
            <v>0</v>
          </cell>
          <cell r="Q1938" t="str">
            <v>78|70</v>
          </cell>
        </row>
        <row r="1939">
          <cell r="E1939" t="str">
            <v>8. OWNER RISKS</v>
          </cell>
          <cell r="G1939" t="str">
            <v>8. OWNER RISKS</v>
          </cell>
          <cell r="H1939">
            <v>0</v>
          </cell>
          <cell r="I1939">
            <v>0</v>
          </cell>
          <cell r="J1939">
            <v>0</v>
          </cell>
          <cell r="K1939">
            <v>0</v>
          </cell>
          <cell r="L1939">
            <v>0</v>
          </cell>
          <cell r="O1939">
            <v>0</v>
          </cell>
          <cell r="P1939">
            <v>0</v>
          </cell>
          <cell r="Q1939" t="str">
            <v>78|71</v>
          </cell>
        </row>
        <row r="1940">
          <cell r="E1940" t="str">
            <v>8. OWNER RISKS</v>
          </cell>
          <cell r="G1940" t="str">
            <v>Risk ID</v>
          </cell>
          <cell r="H1940" t="str">
            <v>Room</v>
          </cell>
          <cell r="I1940" t="str">
            <v>Risk</v>
          </cell>
          <cell r="J1940" t="str">
            <v>Impact</v>
          </cell>
          <cell r="K1940" t="str">
            <v>Probability</v>
          </cell>
          <cell r="L1940" t="str">
            <v>Score</v>
          </cell>
          <cell r="O1940" t="str">
            <v>Status</v>
          </cell>
          <cell r="P1940" t="str">
            <v>Notes</v>
          </cell>
          <cell r="Q1940" t="str">
            <v>78|72</v>
          </cell>
        </row>
        <row r="1941">
          <cell r="E1941" t="str">
            <v>8. OWNER RISKS</v>
          </cell>
          <cell r="G1941" t="str">
            <v>B78-R1</v>
          </cell>
          <cell r="H1941" t="str">
            <v>All</v>
          </cell>
          <cell r="I1941" t="str">
            <v>Existing conditions and active equipment across six TRs and existing telecom rooms not field verified</v>
          </cell>
          <cell r="J1941" t="str">
            <v>High</v>
          </cell>
          <cell r="K1941" t="str">
            <v>Medium</v>
          </cell>
          <cell r="L1941">
            <v>6</v>
          </cell>
          <cell r="O1941" t="str">
            <v>Open</v>
          </cell>
          <cell r="P1941" t="str">
            <v>B78/78A has six major TR areas and several existing transition rooms.</v>
          </cell>
          <cell r="Q1941" t="str">
            <v>78|73</v>
          </cell>
        </row>
        <row r="1942">
          <cell r="E1942" t="str">
            <v>8. OWNER RISKS</v>
          </cell>
          <cell r="G1942" t="str">
            <v>B78-R2</v>
          </cell>
          <cell r="H1942" t="str">
            <v>Basement / Third</v>
          </cell>
          <cell r="I1942" t="str">
            <v>Hazardous material abatement plans exist for basement and third level</v>
          </cell>
          <cell r="J1942" t="str">
            <v>High</v>
          </cell>
          <cell r="K1942" t="str">
            <v>Medium</v>
          </cell>
          <cell r="L1942">
            <v>6</v>
          </cell>
          <cell r="O1942" t="str">
            <v>Open</v>
          </cell>
          <cell r="P1942" t="str">
            <v>Drawing index includes 78_78AH-100 and 78_78AH-103.</v>
          </cell>
          <cell r="Q1942" t="str">
            <v>78|74</v>
          </cell>
        </row>
        <row r="1943">
          <cell r="E1943" t="str">
            <v>8. OWNER RISKS</v>
          </cell>
          <cell r="G1943" t="str">
            <v>B78-R3</v>
          </cell>
          <cell r="H1943" t="str">
            <v>Existing rooms</v>
          </cell>
          <cell r="I1943" t="str">
            <v>Existing telecom equipment may remain active during cutover</v>
          </cell>
          <cell r="J1943" t="str">
            <v>Critical</v>
          </cell>
          <cell r="K1943" t="str">
            <v>Medium</v>
          </cell>
          <cell r="L1943">
            <v>8</v>
          </cell>
          <cell r="O1943" t="str">
            <v>Open</v>
          </cell>
          <cell r="P1943" t="str">
            <v>Photo references include 15E, 1234, 353, 308A, 408A.</v>
          </cell>
          <cell r="Q1943" t="str">
            <v>78|75</v>
          </cell>
        </row>
        <row r="1944">
          <cell r="E1944" t="str">
            <v>8. OWNER RISKS</v>
          </cell>
          <cell r="G1944" t="str">
            <v>B78-R4</v>
          </cell>
          <cell r="H1944" t="str">
            <v>All TRs</v>
          </cell>
          <cell r="I1944" t="str">
            <v>Dedicated cooling sequence, emergency power, condensate and alarms not verified</v>
          </cell>
          <cell r="J1944" t="str">
            <v>Critical</v>
          </cell>
          <cell r="K1944" t="str">
            <v>Medium</v>
          </cell>
          <cell r="L1944">
            <v>8</v>
          </cell>
          <cell r="O1944" t="str">
            <v>Open</v>
          </cell>
          <cell r="P1944" t="str">
            <v>Mechanical sheets are included for basement through fourth level.</v>
          </cell>
          <cell r="Q1944" t="str">
            <v>78|76</v>
          </cell>
        </row>
        <row r="1945">
          <cell r="E1945" t="str">
            <v>8. OWNER RISKS</v>
          </cell>
          <cell r="G1945" t="str">
            <v>B78-R5</v>
          </cell>
          <cell r="H1945" t="str">
            <v>All TRs</v>
          </cell>
          <cell r="I1945" t="str">
            <v>Panel source, UPS/PDU and rack receptacle coordination could delay energization</v>
          </cell>
          <cell r="J1945" t="str">
            <v>Critical</v>
          </cell>
          <cell r="K1945" t="str">
            <v>Medium</v>
          </cell>
          <cell r="L1945">
            <v>8</v>
          </cell>
          <cell r="O1945" t="str">
            <v>Open</v>
          </cell>
          <cell r="P1945" t="str">
            <v>Electrical plans/schedules are extensive; confirm all panel IDs in field.</v>
          </cell>
          <cell r="Q1945" t="str">
            <v>78|77</v>
          </cell>
        </row>
        <row r="1946">
          <cell r="E1946" t="str">
            <v>8. OWNER RISKS</v>
          </cell>
          <cell r="G1946" t="str">
            <v>B78-R6</v>
          </cell>
          <cell r="H1946" t="str">
            <v>All</v>
          </cell>
          <cell r="I1946" t="str">
            <v>Large cable tray scope creates coordination and firestop risk</v>
          </cell>
          <cell r="J1946" t="str">
            <v>High</v>
          </cell>
          <cell r="K1946" t="str">
            <v>Medium</v>
          </cell>
          <cell r="L1946">
            <v>6</v>
          </cell>
          <cell r="O1946" t="str">
            <v>Open</v>
          </cell>
          <cell r="P1946" t="str">
            <v>Cable tray schedule: basement 1,702 ft, first 959 ft, second 804 ft, third 695 ft, fourth 689 ft.</v>
          </cell>
          <cell r="Q1946" t="str">
            <v>78|78</v>
          </cell>
        </row>
        <row r="1947">
          <cell r="E1947" t="str">
            <v>8. OWNER RISKS</v>
          </cell>
          <cell r="G1947" t="str">
            <v>B78-R7</v>
          </cell>
          <cell r="H1947" t="str">
            <v>All</v>
          </cell>
          <cell r="I1947" t="str">
            <v>Telecom/fiber cutover could affect active hospital communications across B78 and B78A</v>
          </cell>
          <cell r="J1947" t="str">
            <v>Critical</v>
          </cell>
          <cell r="K1947" t="str">
            <v>Medium</v>
          </cell>
          <cell r="L1947">
            <v>8</v>
          </cell>
          <cell r="O1947" t="str">
            <v>Open</v>
          </cell>
          <cell r="P1947" t="str">
            <v>Total scheduled ports exceed 1,300 across the primary schedules.</v>
          </cell>
          <cell r="Q1947" t="str">
            <v>78|79</v>
          </cell>
        </row>
        <row r="1948">
          <cell r="E1948" t="str">
            <v>8. OWNER RISKS</v>
          </cell>
          <cell r="G1948" t="str">
            <v>B78-R8</v>
          </cell>
          <cell r="H1948" t="str">
            <v>All</v>
          </cell>
          <cell r="I1948" t="str">
            <v>Commissioning/third-party inspection reports may not be complete at turnover</v>
          </cell>
          <cell r="J1948" t="str">
            <v>High</v>
          </cell>
          <cell r="K1948" t="str">
            <v>Medium</v>
          </cell>
          <cell r="L1948">
            <v>6</v>
          </cell>
          <cell r="O1948" t="str">
            <v>Open</v>
          </cell>
          <cell r="P1948" t="str">
            <v>Full-scope 102-sheet IFC package with multiple divisions.</v>
          </cell>
          <cell r="Q1948" t="str">
            <v>78|80</v>
          </cell>
        </row>
        <row r="1949">
          <cell r="E1949" t="str">
            <v>8. OWNER RISKS</v>
          </cell>
          <cell r="G1949">
            <v>0</v>
          </cell>
          <cell r="H1949">
            <v>0</v>
          </cell>
          <cell r="I1949">
            <v>0</v>
          </cell>
          <cell r="J1949">
            <v>0</v>
          </cell>
          <cell r="K1949">
            <v>0</v>
          </cell>
          <cell r="L1949">
            <v>0</v>
          </cell>
          <cell r="O1949">
            <v>0</v>
          </cell>
          <cell r="P1949">
            <v>0</v>
          </cell>
          <cell r="Q1949" t="str">
            <v>78|81</v>
          </cell>
        </row>
        <row r="1950">
          <cell r="E1950" t="str">
            <v>9. OPEN QUESTIONS</v>
          </cell>
          <cell r="G1950" t="str">
            <v>9. OPEN QUESTIONS</v>
          </cell>
          <cell r="H1950">
            <v>0</v>
          </cell>
          <cell r="I1950">
            <v>0</v>
          </cell>
          <cell r="J1950">
            <v>0</v>
          </cell>
          <cell r="K1950">
            <v>0</v>
          </cell>
          <cell r="L1950">
            <v>0</v>
          </cell>
          <cell r="O1950">
            <v>0</v>
          </cell>
          <cell r="P1950">
            <v>0</v>
          </cell>
          <cell r="Q1950" t="str">
            <v>78|82</v>
          </cell>
        </row>
        <row r="1951">
          <cell r="E1951" t="str">
            <v>9. OPEN QUESTIONS</v>
          </cell>
          <cell r="G1951" t="str">
            <v>Question ID</v>
          </cell>
          <cell r="H1951" t="str">
            <v>Question</v>
          </cell>
          <cell r="I1951" t="str">
            <v>Assigned To</v>
          </cell>
          <cell r="J1951" t="str">
            <v>Status</v>
          </cell>
          <cell r="K1951" t="str">
            <v>Needed By</v>
          </cell>
          <cell r="L1951" t="str">
            <v>Answer / Resolution</v>
          </cell>
          <cell r="O1951" t="str">
            <v>Date Closed</v>
          </cell>
          <cell r="P1951" t="str">
            <v>Notes</v>
          </cell>
          <cell r="Q1951" t="str">
            <v>78|83</v>
          </cell>
        </row>
        <row r="1952">
          <cell r="E1952" t="str">
            <v>9. OPEN QUESTIONS</v>
          </cell>
          <cell r="G1952" t="str">
            <v>B78-Q1</v>
          </cell>
          <cell r="H1952" t="str">
            <v>Confirm final telecom room list and PMIS mapping: B30, B35, 1232, 227A, 342, 401 plus existing rooms 15E/1234/353/308A/408A?</v>
          </cell>
          <cell r="I1952" t="str">
            <v>VA / OIT / Designer</v>
          </cell>
          <cell r="J1952" t="str">
            <v>Open</v>
          </cell>
          <cell r="K1952">
            <v>0</v>
          </cell>
          <cell r="L1952">
            <v>0</v>
          </cell>
          <cell r="O1952">
            <v>0</v>
          </cell>
          <cell r="P1952">
            <v>0</v>
          </cell>
          <cell r="Q1952" t="str">
            <v>78|84</v>
          </cell>
        </row>
        <row r="1953">
          <cell r="E1953" t="str">
            <v>9. OPEN QUESTIONS</v>
          </cell>
          <cell r="G1953" t="str">
            <v>B78-Q2</v>
          </cell>
          <cell r="H1953" t="str">
            <v>What active services currently remain in each existing telecom room/photo reference location?</v>
          </cell>
          <cell r="I1953" t="str">
            <v>OIT / Contractor</v>
          </cell>
          <cell r="J1953" t="str">
            <v>Open</v>
          </cell>
          <cell r="K1953">
            <v>0</v>
          </cell>
          <cell r="L1953">
            <v>0</v>
          </cell>
          <cell r="O1953">
            <v>0</v>
          </cell>
          <cell r="P1953">
            <v>0</v>
          </cell>
          <cell r="Q1953" t="str">
            <v>78|85</v>
          </cell>
        </row>
        <row r="1954">
          <cell r="E1954" t="str">
            <v>9. OPEN QUESTIONS</v>
          </cell>
          <cell r="G1954" t="str">
            <v>B78-Q3</v>
          </cell>
          <cell r="H1954" t="str">
            <v>Are Room 1232 and existing Room 1234 separate rooms or naming/mapping references for the same telecom space?</v>
          </cell>
          <cell r="I1954" t="str">
            <v>VA / Designer / OIT</v>
          </cell>
          <cell r="J1954" t="str">
            <v>Open</v>
          </cell>
          <cell r="K1954">
            <v>0</v>
          </cell>
          <cell r="L1954">
            <v>0</v>
          </cell>
          <cell r="O1954">
            <v>0</v>
          </cell>
          <cell r="P1954">
            <v>0</v>
          </cell>
          <cell r="Q1954" t="str">
            <v>78|86</v>
          </cell>
        </row>
        <row r="1955">
          <cell r="E1955" t="str">
            <v>9. OPEN QUESTIONS</v>
          </cell>
          <cell r="G1955" t="str">
            <v>B78-Q4</v>
          </cell>
          <cell r="H1955" t="str">
            <v>Which dedicated cooling units serve each TR and are they on emergency/backup power?</v>
          </cell>
          <cell r="I1955" t="str">
            <v>Mechanical / Electrical / VA</v>
          </cell>
          <cell r="J1955" t="str">
            <v>Open</v>
          </cell>
          <cell r="K1955">
            <v>0</v>
          </cell>
          <cell r="L1955">
            <v>0</v>
          </cell>
          <cell r="O1955">
            <v>0</v>
          </cell>
          <cell r="P1955">
            <v>0</v>
          </cell>
          <cell r="Q1955" t="str">
            <v>78|87</v>
          </cell>
        </row>
        <row r="1956">
          <cell r="E1956" t="str">
            <v>9. OPEN QUESTIONS</v>
          </cell>
          <cell r="G1956" t="str">
            <v>B78-Q5</v>
          </cell>
          <cell r="H1956" t="str">
            <v>Where are clean-agent/CO2 FEC cabinets located within 75 ft of each new TR?</v>
          </cell>
          <cell r="I1956" t="str">
            <v>GC / COR</v>
          </cell>
          <cell r="J1956" t="str">
            <v>Open</v>
          </cell>
          <cell r="K1956">
            <v>0</v>
          </cell>
          <cell r="L1956">
            <v>0</v>
          </cell>
          <cell r="O1956">
            <v>0</v>
          </cell>
          <cell r="P1956">
            <v>0</v>
          </cell>
          <cell r="Q1956" t="str">
            <v>78|88</v>
          </cell>
        </row>
        <row r="1957">
          <cell r="E1957" t="str">
            <v>9. OPEN QUESTIONS</v>
          </cell>
          <cell r="G1957" t="str">
            <v>B78-Q6</v>
          </cell>
          <cell r="H1957" t="str">
            <v>Are rack UPS/PDU circuits, SPDs, labels, load measurements and LOTO requirements approved for all TR panelboards?</v>
          </cell>
          <cell r="I1957" t="str">
            <v>Electrical / Designer</v>
          </cell>
          <cell r="J1957" t="str">
            <v>Open</v>
          </cell>
          <cell r="K1957">
            <v>0</v>
          </cell>
          <cell r="L1957">
            <v>0</v>
          </cell>
          <cell r="O1957">
            <v>0</v>
          </cell>
          <cell r="P1957">
            <v>0</v>
          </cell>
          <cell r="Q1957" t="str">
            <v>78|89</v>
          </cell>
        </row>
        <row r="1958">
          <cell r="E1958" t="str">
            <v>9. OPEN QUESTIONS</v>
          </cell>
          <cell r="G1958" t="str">
            <v>B78-Q7</v>
          </cell>
          <cell r="H1958" t="str">
            <v>Are all rated wall/floor penetrations, sleeves, cable tray entries and temporary firestopping details identified?</v>
          </cell>
          <cell r="I1958" t="str">
            <v>GC / Firestop</v>
          </cell>
          <cell r="J1958" t="str">
            <v>Open</v>
          </cell>
          <cell r="K1958">
            <v>0</v>
          </cell>
          <cell r="L1958">
            <v>0</v>
          </cell>
          <cell r="O1958">
            <v>0</v>
          </cell>
          <cell r="P1958">
            <v>0</v>
          </cell>
          <cell r="Q1958" t="str">
            <v>78|90</v>
          </cell>
        </row>
        <row r="1959">
          <cell r="E1959" t="str">
            <v>9. OPEN QUESTIONS</v>
          </cell>
          <cell r="G1959" t="str">
            <v>B78-Q8</v>
          </cell>
          <cell r="H1959" t="str">
            <v>Which third-party inspections, commissioning forms and OIT acceptance records are required before turnover?</v>
          </cell>
          <cell r="I1959" t="str">
            <v>GC / Cx Manager / OIT</v>
          </cell>
          <cell r="J1959" t="str">
            <v>Open</v>
          </cell>
          <cell r="K1959">
            <v>0</v>
          </cell>
          <cell r="L1959">
            <v>0</v>
          </cell>
          <cell r="O1959">
            <v>0</v>
          </cell>
          <cell r="P1959">
            <v>0</v>
          </cell>
          <cell r="Q1959" t="str">
            <v>78|91</v>
          </cell>
        </row>
        <row r="1960">
          <cell r="E1960" t="str">
            <v>9. OPEN QUESTIONS</v>
          </cell>
          <cell r="G1960">
            <v>0</v>
          </cell>
          <cell r="H1960">
            <v>0</v>
          </cell>
          <cell r="I1960">
            <v>0</v>
          </cell>
          <cell r="J1960">
            <v>0</v>
          </cell>
          <cell r="K1960">
            <v>0</v>
          </cell>
          <cell r="L1960">
            <v>0</v>
          </cell>
          <cell r="O1960">
            <v>0</v>
          </cell>
          <cell r="P1960">
            <v>0</v>
          </cell>
          <cell r="Q1960" t="str">
            <v>78|92</v>
          </cell>
        </row>
        <row r="1961">
          <cell r="E1961" t="str">
            <v>10. PHOTO LOG</v>
          </cell>
          <cell r="G1961" t="str">
            <v>10. PHOTO LOG</v>
          </cell>
          <cell r="H1961">
            <v>0</v>
          </cell>
          <cell r="I1961">
            <v>0</v>
          </cell>
          <cell r="J1961">
            <v>0</v>
          </cell>
          <cell r="K1961">
            <v>0</v>
          </cell>
          <cell r="L1961">
            <v>0</v>
          </cell>
          <cell r="O1961">
            <v>0</v>
          </cell>
          <cell r="P1961">
            <v>0</v>
          </cell>
          <cell r="Q1961" t="str">
            <v>78|93</v>
          </cell>
        </row>
        <row r="1962">
          <cell r="E1962" t="str">
            <v>10. PHOTO LOG</v>
          </cell>
          <cell r="G1962" t="str">
            <v>Photo ID</v>
          </cell>
          <cell r="H1962" t="str">
            <v>Room</v>
          </cell>
          <cell r="I1962" t="str">
            <v>Category</v>
          </cell>
          <cell r="J1962" t="str">
            <v>Description</v>
          </cell>
          <cell r="K1962" t="str">
            <v>Date</v>
          </cell>
          <cell r="L1962" t="str">
            <v>Taken By</v>
          </cell>
          <cell r="O1962" t="str">
            <v>Status</v>
          </cell>
          <cell r="P1962" t="str">
            <v>Notes</v>
          </cell>
          <cell r="Q1962" t="str">
            <v>78|94</v>
          </cell>
        </row>
        <row r="1963">
          <cell r="E1963" t="str">
            <v>10. PHOTO LOG</v>
          </cell>
          <cell r="G1963" t="str">
            <v>B78-P001</v>
          </cell>
          <cell r="H1963" t="str">
            <v>B30</v>
          </cell>
          <cell r="I1963" t="str">
            <v>Existing Condition</v>
          </cell>
          <cell r="J1963" t="str">
            <v>Basement RM B30 walls, ceiling/deck, floor, door, racks/future rack, power, HVAC, cable tray and penetrations</v>
          </cell>
          <cell r="K1963">
            <v>0</v>
          </cell>
          <cell r="L1963" t="str">
            <v>Paul</v>
          </cell>
          <cell r="O1963" t="str">
            <v>Open</v>
          </cell>
          <cell r="P1963">
            <v>0</v>
          </cell>
          <cell r="Q1963" t="str">
            <v>78|95</v>
          </cell>
        </row>
        <row r="1964">
          <cell r="E1964" t="str">
            <v>10. PHOTO LOG</v>
          </cell>
          <cell r="G1964" t="str">
            <v>B78-P002</v>
          </cell>
          <cell r="H1964" t="str">
            <v>B35</v>
          </cell>
          <cell r="I1964" t="str">
            <v>Existing Condition</v>
          </cell>
          <cell r="J1964" t="str">
            <v>Basement RM B35 and relationship to existing telecom room 15E; rack/equipment, pathway, power, HVAC and penetrations</v>
          </cell>
          <cell r="K1964">
            <v>0</v>
          </cell>
          <cell r="L1964" t="str">
            <v>Paul</v>
          </cell>
          <cell r="O1964" t="str">
            <v>Open</v>
          </cell>
          <cell r="P1964">
            <v>0</v>
          </cell>
          <cell r="Q1964" t="str">
            <v>78|96</v>
          </cell>
        </row>
        <row r="1965">
          <cell r="E1965" t="str">
            <v>10. PHOTO LOG</v>
          </cell>
          <cell r="G1965" t="str">
            <v>B78-P003</v>
          </cell>
          <cell r="H1965" t="str">
            <v>1232 / 1234</v>
          </cell>
          <cell r="I1965" t="str">
            <v>Existing Condition</v>
          </cell>
          <cell r="J1965" t="str">
            <v>First-level RM 1232/new TR and existing telecom room 1234 photo reference, active equipment, cable paths and rack transfer scope</v>
          </cell>
          <cell r="K1965">
            <v>0</v>
          </cell>
          <cell r="L1965" t="str">
            <v>Paul</v>
          </cell>
          <cell r="O1965" t="str">
            <v>Open</v>
          </cell>
          <cell r="P1965">
            <v>0</v>
          </cell>
          <cell r="Q1965" t="str">
            <v>78|97</v>
          </cell>
        </row>
        <row r="1966">
          <cell r="E1966" t="str">
            <v>10. PHOTO LOG</v>
          </cell>
          <cell r="G1966" t="str">
            <v>B78-P004</v>
          </cell>
          <cell r="H1966" t="str">
            <v>227A / 1234</v>
          </cell>
          <cell r="I1966" t="str">
            <v>Existing Condition</v>
          </cell>
          <cell r="J1966" t="str">
            <v>Second-level RM 227A/new TR and existing telecom room 1234 photo reference, active equipment, cable paths and rack transfer scope</v>
          </cell>
          <cell r="K1966">
            <v>0</v>
          </cell>
          <cell r="L1966" t="str">
            <v>Paul</v>
          </cell>
          <cell r="O1966" t="str">
            <v>Open</v>
          </cell>
          <cell r="P1966">
            <v>0</v>
          </cell>
          <cell r="Q1966" t="str">
            <v>78|98</v>
          </cell>
        </row>
        <row r="1967">
          <cell r="E1967" t="str">
            <v>10. PHOTO LOG</v>
          </cell>
          <cell r="G1967" t="str">
            <v>B78-P005</v>
          </cell>
          <cell r="H1967" t="str">
            <v>342 / 353</v>
          </cell>
          <cell r="I1967" t="str">
            <v>Existing Condition</v>
          </cell>
          <cell r="J1967" t="str">
            <v>Third-level RM 342/new TR and existing telecom room 353 photo reference, active equipment, cable paths and rack transfer scope</v>
          </cell>
          <cell r="K1967">
            <v>0</v>
          </cell>
          <cell r="L1967" t="str">
            <v>Paul</v>
          </cell>
          <cell r="O1967" t="str">
            <v>Open</v>
          </cell>
          <cell r="P1967">
            <v>0</v>
          </cell>
          <cell r="Q1967" t="str">
            <v>78|99</v>
          </cell>
        </row>
        <row r="1968">
          <cell r="E1968" t="str">
            <v>10. PHOTO LOG</v>
          </cell>
          <cell r="G1968" t="str">
            <v>B78-P006</v>
          </cell>
          <cell r="H1968" t="str">
            <v>401 / 308A / 408A</v>
          </cell>
          <cell r="I1968" t="str">
            <v>Existing Condition</v>
          </cell>
          <cell r="J1968" t="str">
            <v>Fourth-level RM 401 and existing telecom rooms 308A/408A photo references, active equipment, cable paths and transfer scope</v>
          </cell>
          <cell r="K1968">
            <v>0</v>
          </cell>
          <cell r="L1968" t="str">
            <v>Paul</v>
          </cell>
          <cell r="O1968" t="str">
            <v>Open</v>
          </cell>
          <cell r="P1968">
            <v>0</v>
          </cell>
          <cell r="Q1968" t="str">
            <v>78|100</v>
          </cell>
        </row>
        <row r="1969">
          <cell r="E1969" t="str">
            <v>10. PHOTO LOG</v>
          </cell>
          <cell r="G1969" t="str">
            <v>B78-P007</v>
          </cell>
          <cell r="H1969" t="str">
            <v>All</v>
          </cell>
          <cell r="I1969" t="str">
            <v>Cable Tray / Firestop</v>
          </cell>
          <cell r="J1969" t="str">
            <v>Basement through fourth-level cable tray routes, supports, seismic bracing, penetrations and before/after firestopping</v>
          </cell>
          <cell r="K1969">
            <v>0</v>
          </cell>
          <cell r="L1969" t="str">
            <v>Paul</v>
          </cell>
          <cell r="O1969" t="str">
            <v>Open</v>
          </cell>
          <cell r="P1969">
            <v>0</v>
          </cell>
          <cell r="Q1969" t="str">
            <v>78|101</v>
          </cell>
        </row>
        <row r="1970">
          <cell r="E1970" t="str">
            <v>10. PHOTO LOG</v>
          </cell>
          <cell r="G1970" t="str">
            <v>B78-P008</v>
          </cell>
          <cell r="H1970" t="str">
            <v>All</v>
          </cell>
          <cell r="I1970" t="str">
            <v>Telecom / Security / HVAC</v>
          </cell>
          <cell r="J1970" t="str">
            <v>Racks, Fiber LIU, Cat6A, patch panels, UPS/PDU, labels/test records, CCTV, PACS, HVAC units and existing transfer work</v>
          </cell>
          <cell r="K1970">
            <v>0</v>
          </cell>
          <cell r="L1970" t="str">
            <v>Paul</v>
          </cell>
          <cell r="O1970" t="str">
            <v>Open</v>
          </cell>
          <cell r="P1970">
            <v>0</v>
          </cell>
          <cell r="Q1970" t="str">
            <v>78|102</v>
          </cell>
        </row>
        <row r="1971">
          <cell r="E1971" t="str">
            <v>10. PHOTO LOG</v>
          </cell>
          <cell r="G1971">
            <v>0</v>
          </cell>
          <cell r="H1971">
            <v>0</v>
          </cell>
          <cell r="I1971">
            <v>0</v>
          </cell>
          <cell r="J1971">
            <v>0</v>
          </cell>
          <cell r="K1971">
            <v>0</v>
          </cell>
          <cell r="L1971">
            <v>0</v>
          </cell>
          <cell r="O1971">
            <v>0</v>
          </cell>
          <cell r="P1971">
            <v>0</v>
          </cell>
          <cell r="Q1971" t="str">
            <v>78|103</v>
          </cell>
        </row>
        <row r="1972">
          <cell r="E1972" t="str">
            <v>1. ROOM INVENTORY</v>
          </cell>
          <cell r="G1972" t="str">
            <v>1. ROOM INVENTORY</v>
          </cell>
          <cell r="H1972">
            <v>0</v>
          </cell>
          <cell r="I1972">
            <v>0</v>
          </cell>
          <cell r="J1972">
            <v>0</v>
          </cell>
          <cell r="K1972">
            <v>0</v>
          </cell>
          <cell r="L1972">
            <v>0</v>
          </cell>
          <cell r="O1972">
            <v>0</v>
          </cell>
          <cell r="P1972">
            <v>0</v>
          </cell>
          <cell r="Q1972" t="str">
            <v>80|1</v>
          </cell>
        </row>
        <row r="1973">
          <cell r="E1973" t="str">
            <v>1. ROOM INVENTORY</v>
          </cell>
          <cell r="G1973" t="str">
            <v>Building</v>
          </cell>
          <cell r="H1973" t="str">
            <v>Room</v>
          </cell>
          <cell r="I1973" t="str">
            <v>Floor</v>
          </cell>
          <cell r="J1973" t="str">
            <v>Existing Use</v>
          </cell>
          <cell r="K1973" t="str">
            <v>New Use</v>
          </cell>
          <cell r="L1973" t="str">
            <v>Rack Count</v>
          </cell>
          <cell r="O1973" t="str">
            <v>Drawing Ref</v>
          </cell>
          <cell r="P1973" t="str">
            <v>Notes</v>
          </cell>
          <cell r="Q1973" t="str">
            <v>80|2</v>
          </cell>
        </row>
        <row r="1974">
          <cell r="E1974" t="str">
            <v>1. ROOM INVENTORY</v>
          </cell>
          <cell r="G1974" t="str">
            <v>80</v>
          </cell>
          <cell r="H1974" t="str">
            <v>102</v>
          </cell>
          <cell r="I1974" t="str">
            <v>First</v>
          </cell>
          <cell r="J1974" t="str">
            <v>Telecom Room / new TR build area</v>
          </cell>
          <cell r="K1974" t="str">
            <v>Telecom Room</v>
          </cell>
          <cell r="L1974">
            <v>1</v>
          </cell>
          <cell r="O1974" t="str">
            <v>80A-401 / 80E-101 / 80E-401 / 80T-101 / 80T-604 / 80T-701</v>
          </cell>
          <cell r="P1974" t="str">
            <v>Primary Building 80 TR. Plans identify Telecom Room 102 at 140 SF, new Rack ID TR01-102-1 plus future rack, panels B80-TR102A/B, 5kW 208V UPS/PDU rack power, IU-1-01/CU-1-01 dedicated cooling, camera 102-CAM-1, and 215 total ports with 10% allowance.</v>
          </cell>
          <cell r="Q1974" t="str">
            <v>80|3</v>
          </cell>
        </row>
        <row r="1975">
          <cell r="E1975" t="str">
            <v>1. ROOM INVENTORY</v>
          </cell>
          <cell r="G1975" t="str">
            <v>80</v>
          </cell>
          <cell r="H1975" t="str">
            <v>127A / 126</v>
          </cell>
          <cell r="I1975" t="str">
            <v>First</v>
          </cell>
          <cell r="J1975" t="str">
            <v>Existing Tel Closet / existing telecom room photo reference</v>
          </cell>
          <cell r="K1975" t="str">
            <v>Existing telecom transition point</v>
          </cell>
          <cell r="L1975">
            <v>1</v>
          </cell>
          <cell r="O1975" t="str">
            <v>80T-101 / 80T-604 / 80R-900</v>
          </cell>
          <cell r="P1975" t="str">
            <v>Existing Tel Closet 127A shown at 9 SF with existing plywood backboard, ground bar, patch panel, equipment box and two-post TR. Rack elevation/photo reference identify existing room 126/127-A with existing wall/wall-mount TE, Cisco switches, legacy optical Fiber LIU, multiple legacy Ortronics patch panels, Cat5e patch panel and APC floor UPS. Verify room-number mapping and active services.</v>
          </cell>
          <cell r="Q1975" t="str">
            <v>80|4</v>
          </cell>
        </row>
        <row r="1976">
          <cell r="E1976" t="str">
            <v>1. ROOM INVENTORY</v>
          </cell>
          <cell r="G1976">
            <v>0</v>
          </cell>
          <cell r="H1976">
            <v>0</v>
          </cell>
          <cell r="I1976">
            <v>0</v>
          </cell>
          <cell r="J1976">
            <v>0</v>
          </cell>
          <cell r="K1976">
            <v>0</v>
          </cell>
          <cell r="L1976">
            <v>0</v>
          </cell>
          <cell r="O1976">
            <v>0</v>
          </cell>
          <cell r="P1976">
            <v>0</v>
          </cell>
          <cell r="Q1976" t="str">
            <v>80|5</v>
          </cell>
        </row>
        <row r="1977">
          <cell r="E1977" t="str">
            <v>2. ROOM READINESS</v>
          </cell>
          <cell r="G1977" t="str">
            <v>2. ROOM READINESS</v>
          </cell>
          <cell r="H1977">
            <v>0</v>
          </cell>
          <cell r="I1977">
            <v>0</v>
          </cell>
          <cell r="J1977">
            <v>0</v>
          </cell>
          <cell r="K1977">
            <v>0</v>
          </cell>
          <cell r="L1977">
            <v>0</v>
          </cell>
          <cell r="O1977">
            <v>0</v>
          </cell>
          <cell r="P1977">
            <v>0</v>
          </cell>
          <cell r="Q1977" t="str">
            <v>80|6</v>
          </cell>
        </row>
        <row r="1978">
          <cell r="E1978" t="str">
            <v>2. ROOM READINESS</v>
          </cell>
          <cell r="G1978" t="str">
            <v>Room</v>
          </cell>
          <cell r="H1978" t="str">
            <v>Walls / 1-hr Rating</v>
          </cell>
          <cell r="I1978" t="str">
            <v>Ceiling</v>
          </cell>
          <cell r="J1978" t="str">
            <v>Floor / SDC</v>
          </cell>
          <cell r="K1978" t="str">
            <v>Penetrations</v>
          </cell>
          <cell r="L1978" t="str">
            <v>Access Control</v>
          </cell>
          <cell r="O1978" t="str">
            <v>Overall</v>
          </cell>
          <cell r="P1978" t="str">
            <v>Comments</v>
          </cell>
          <cell r="Q1978" t="str">
            <v>80|7</v>
          </cell>
        </row>
        <row r="1979">
          <cell r="E1979" t="str">
            <v>2. ROOM READINESS</v>
          </cell>
          <cell r="G1979" t="str">
            <v>102</v>
          </cell>
          <cell r="H1979" t="str">
            <v>Verify</v>
          </cell>
          <cell r="I1979" t="str">
            <v>Verify</v>
          </cell>
          <cell r="J1979" t="str">
            <v>Verify</v>
          </cell>
          <cell r="K1979" t="str">
            <v>Verify</v>
          </cell>
          <cell r="L1979" t="str">
            <v>Verify</v>
          </cell>
          <cell r="O1979" t="str">
            <v>Verify</v>
          </cell>
          <cell r="P1979" t="str">
            <v>First-level TR; verify 1-hour/smoke-rated enclosure, open-to-deck conditions, door hardware/access control, floor sealer, rack/future rack clearances, wall backing, cable tray and fiber path A/B entry points.</v>
          </cell>
          <cell r="Q1979" t="str">
            <v>80|8</v>
          </cell>
        </row>
        <row r="1980">
          <cell r="E1980" t="str">
            <v>2. ROOM READINESS</v>
          </cell>
          <cell r="G1980" t="str">
            <v>127A / 126</v>
          </cell>
          <cell r="H1980" t="str">
            <v>Existing / Verify</v>
          </cell>
          <cell r="I1980" t="str">
            <v>Existing / Verify</v>
          </cell>
          <cell r="J1980" t="str">
            <v>Existing / Verify</v>
          </cell>
          <cell r="K1980" t="str">
            <v>Verify</v>
          </cell>
          <cell r="L1980" t="str">
            <v>Verify Existing</v>
          </cell>
          <cell r="O1980" t="str">
            <v>Verify</v>
          </cell>
          <cell r="P1980" t="str">
            <v>Existing telecom closet/room; verify active equipment status, two-post rack/wall rack, backboard, UPS, patch panels, Fiber LIU, and transition/abandonment scope.</v>
          </cell>
          <cell r="Q1980" t="str">
            <v>80|9</v>
          </cell>
        </row>
        <row r="1981">
          <cell r="E1981" t="str">
            <v>2. ROOM READINESS</v>
          </cell>
          <cell r="G1981">
            <v>0</v>
          </cell>
          <cell r="H1981">
            <v>0</v>
          </cell>
          <cell r="I1981">
            <v>0</v>
          </cell>
          <cell r="J1981">
            <v>0</v>
          </cell>
          <cell r="K1981">
            <v>0</v>
          </cell>
          <cell r="L1981">
            <v>0</v>
          </cell>
          <cell r="O1981">
            <v>0</v>
          </cell>
          <cell r="P1981">
            <v>0</v>
          </cell>
          <cell r="Q1981" t="str">
            <v>80|10</v>
          </cell>
        </row>
        <row r="1982">
          <cell r="E1982" t="str">
            <v>3. FIRE PROTECTION</v>
          </cell>
          <cell r="G1982" t="str">
            <v>3. FIRE PROTECTION</v>
          </cell>
          <cell r="H1982">
            <v>0</v>
          </cell>
          <cell r="I1982">
            <v>0</v>
          </cell>
          <cell r="J1982">
            <v>0</v>
          </cell>
          <cell r="K1982">
            <v>0</v>
          </cell>
          <cell r="L1982">
            <v>0</v>
          </cell>
          <cell r="O1982">
            <v>0</v>
          </cell>
          <cell r="P1982">
            <v>0</v>
          </cell>
          <cell r="Q1982" t="str">
            <v>80|11</v>
          </cell>
        </row>
        <row r="1983">
          <cell r="E1983" t="str">
            <v>3. FIRE PROTECTION</v>
          </cell>
          <cell r="G1983" t="str">
            <v>Room</v>
          </cell>
          <cell r="H1983" t="str">
            <v>Sprinkler</v>
          </cell>
          <cell r="I1983" t="str">
            <v>Cage</v>
          </cell>
          <cell r="J1983" t="str">
            <v>Detector</v>
          </cell>
          <cell r="K1983" t="str">
            <v>Horn/Strobe</v>
          </cell>
          <cell r="L1983" t="str">
            <v>Extinguisher &lt;75 ft</v>
          </cell>
          <cell r="O1983" t="str">
            <v>Overall</v>
          </cell>
          <cell r="P1983" t="str">
            <v>Risk / Notes</v>
          </cell>
          <cell r="Q1983" t="str">
            <v>80|12</v>
          </cell>
        </row>
        <row r="1984">
          <cell r="E1984" t="str">
            <v>3. FIRE PROTECTION</v>
          </cell>
          <cell r="G1984" t="str">
            <v>102</v>
          </cell>
          <cell r="H1984" t="str">
            <v>Verify</v>
          </cell>
          <cell r="I1984" t="str">
            <v>Verify</v>
          </cell>
          <cell r="J1984" t="str">
            <v>Verify</v>
          </cell>
          <cell r="K1984" t="str">
            <v>Verify</v>
          </cell>
          <cell r="L1984" t="str">
            <v>Verify</v>
          </cell>
          <cell r="O1984" t="str">
            <v>Verify</v>
          </cell>
          <cell r="P1984" t="str">
            <v>Full fire protection scope included. Verify sprinkler modifications, fire alarm devices, clean-agent 2A:10B:C FEC within 75 ft, rated wall/floor penetrations, and temporary firestopping during cable pulls.</v>
          </cell>
          <cell r="Q1984" t="str">
            <v>80|13</v>
          </cell>
        </row>
        <row r="1985">
          <cell r="E1985" t="str">
            <v>3. FIRE PROTECTION</v>
          </cell>
          <cell r="G1985" t="str">
            <v>127A / 126</v>
          </cell>
          <cell r="H1985" t="str">
            <v>Existing / Verify</v>
          </cell>
          <cell r="I1985" t="str">
            <v>N/A</v>
          </cell>
          <cell r="J1985" t="str">
            <v>Verify Existing</v>
          </cell>
          <cell r="K1985" t="str">
            <v>Verify Existing</v>
          </cell>
          <cell r="L1985" t="str">
            <v>Verify</v>
          </cell>
          <cell r="O1985" t="str">
            <v>Verify</v>
          </cell>
          <cell r="P1985" t="str">
            <v>Existing telecom closet/room; verify fire alarm/sprinkler protection-in-place and seal removed/reused penetrations after cutover.</v>
          </cell>
          <cell r="Q1985" t="str">
            <v>80|14</v>
          </cell>
        </row>
        <row r="1986">
          <cell r="E1986" t="str">
            <v>3. FIRE PROTECTION</v>
          </cell>
          <cell r="G1986">
            <v>0</v>
          </cell>
          <cell r="H1986">
            <v>0</v>
          </cell>
          <cell r="I1986">
            <v>0</v>
          </cell>
          <cell r="J1986">
            <v>0</v>
          </cell>
          <cell r="K1986">
            <v>0</v>
          </cell>
          <cell r="L1986">
            <v>0</v>
          </cell>
          <cell r="O1986">
            <v>0</v>
          </cell>
          <cell r="P1986">
            <v>0</v>
          </cell>
          <cell r="Q1986" t="str">
            <v>80|15</v>
          </cell>
        </row>
        <row r="1987">
          <cell r="E1987" t="str">
            <v>4. HVAC / COOLING</v>
          </cell>
          <cell r="G1987" t="str">
            <v>4. HVAC / COOLING</v>
          </cell>
          <cell r="H1987">
            <v>0</v>
          </cell>
          <cell r="I1987">
            <v>0</v>
          </cell>
          <cell r="J1987">
            <v>0</v>
          </cell>
          <cell r="K1987">
            <v>0</v>
          </cell>
          <cell r="L1987">
            <v>0</v>
          </cell>
          <cell r="O1987">
            <v>0</v>
          </cell>
          <cell r="P1987">
            <v>0</v>
          </cell>
          <cell r="Q1987" t="str">
            <v>80|16</v>
          </cell>
        </row>
        <row r="1988">
          <cell r="E1988" t="str">
            <v>4. HVAC / COOLING</v>
          </cell>
          <cell r="G1988" t="str">
            <v>Room</v>
          </cell>
          <cell r="H1988" t="str">
            <v>Dedicated Unit</v>
          </cell>
          <cell r="I1988" t="str">
            <v>Capacity Verified</v>
          </cell>
          <cell r="J1988" t="str">
            <v>Emergency Power</v>
          </cell>
          <cell r="K1988" t="str">
            <v>Controls / BACnet</v>
          </cell>
          <cell r="L1988" t="str">
            <v>Condensate Routed</v>
          </cell>
          <cell r="O1988" t="str">
            <v>Overall</v>
          </cell>
          <cell r="P1988" t="str">
            <v>Risk / Notes</v>
          </cell>
          <cell r="Q1988" t="str">
            <v>80|17</v>
          </cell>
        </row>
        <row r="1989">
          <cell r="E1989" t="str">
            <v>4. HVAC / COOLING</v>
          </cell>
          <cell r="G1989" t="str">
            <v>102</v>
          </cell>
          <cell r="H1989" t="str">
            <v>IU-1-01 / CU-1-01</v>
          </cell>
          <cell r="I1989" t="str">
            <v>Verify</v>
          </cell>
          <cell r="J1989" t="str">
            <v>Verify</v>
          </cell>
          <cell r="K1989" t="str">
            <v>Verify</v>
          </cell>
          <cell r="L1989" t="str">
            <v>Verify</v>
          </cell>
          <cell r="O1989" t="str">
            <v>Verify</v>
          </cell>
          <cell r="P1989" t="str">
            <v>Mechanical/electrical drawings show IU-1-01 in Telecom Room 102 and CU-1-01 outdoor unit. Confirm capacity, emergency/standby source, BACnet interface, thermostat/control point, condensate pump/path, disconnects, and high-temperature alarm.</v>
          </cell>
          <cell r="Q1989" t="str">
            <v>80|18</v>
          </cell>
        </row>
        <row r="1990">
          <cell r="E1990" t="str">
            <v>4. HVAC / COOLING</v>
          </cell>
          <cell r="G1990" t="str">
            <v>127A / 126</v>
          </cell>
          <cell r="H1990" t="str">
            <v>Existing / Verify</v>
          </cell>
          <cell r="I1990" t="str">
            <v>Verify</v>
          </cell>
          <cell r="J1990" t="str">
            <v>Verify</v>
          </cell>
          <cell r="K1990" t="str">
            <v>Verify</v>
          </cell>
          <cell r="L1990" t="str">
            <v>Verify</v>
          </cell>
          <cell r="O1990" t="str">
            <v>Verify</v>
          </cell>
          <cell r="P1990" t="str">
            <v>Existing telecom room/closet may remain active during cutover. Verify existing environmental condition and whether any active equipment remains after migration to Room 102.</v>
          </cell>
          <cell r="Q1990" t="str">
            <v>80|19</v>
          </cell>
        </row>
        <row r="1991">
          <cell r="E1991" t="str">
            <v>4. HVAC / COOLING</v>
          </cell>
          <cell r="G1991">
            <v>0</v>
          </cell>
          <cell r="H1991">
            <v>0</v>
          </cell>
          <cell r="I1991">
            <v>0</v>
          </cell>
          <cell r="J1991">
            <v>0</v>
          </cell>
          <cell r="K1991">
            <v>0</v>
          </cell>
          <cell r="L1991">
            <v>0</v>
          </cell>
          <cell r="O1991">
            <v>0</v>
          </cell>
          <cell r="P1991">
            <v>0</v>
          </cell>
          <cell r="Q1991" t="str">
            <v>80|20</v>
          </cell>
        </row>
        <row r="1992">
          <cell r="E1992" t="str">
            <v>5. ELECTRICAL / UPS</v>
          </cell>
          <cell r="G1992" t="str">
            <v>5. ELECTRICAL / UPS</v>
          </cell>
          <cell r="H1992">
            <v>0</v>
          </cell>
          <cell r="I1992">
            <v>0</v>
          </cell>
          <cell r="J1992">
            <v>0</v>
          </cell>
          <cell r="K1992">
            <v>0</v>
          </cell>
          <cell r="L1992">
            <v>0</v>
          </cell>
          <cell r="O1992">
            <v>0</v>
          </cell>
          <cell r="P1992">
            <v>0</v>
          </cell>
          <cell r="Q1992" t="str">
            <v>80|21</v>
          </cell>
        </row>
        <row r="1993">
          <cell r="E1993" t="str">
            <v>5. ELECTRICAL / UPS</v>
          </cell>
          <cell r="G1993" t="str">
            <v>Room</v>
          </cell>
          <cell r="H1993" t="str">
            <v>UPS Installed</v>
          </cell>
          <cell r="I1993" t="str">
            <v>UPS Size</v>
          </cell>
          <cell r="J1993" t="str">
            <v>PDU Installed</v>
          </cell>
          <cell r="K1993" t="str">
            <v>Rack Receptacles</v>
          </cell>
          <cell r="L1993" t="str">
            <v>Panel Assigned</v>
          </cell>
          <cell r="O1993" t="str">
            <v>Overall</v>
          </cell>
          <cell r="P1993" t="str">
            <v>Notes</v>
          </cell>
          <cell r="Q1993" t="str">
            <v>80|22</v>
          </cell>
        </row>
        <row r="1994">
          <cell r="E1994" t="str">
            <v>5. ELECTRICAL / UPS</v>
          </cell>
          <cell r="G1994" t="str">
            <v>102</v>
          </cell>
          <cell r="H1994" t="str">
            <v>Verify</v>
          </cell>
          <cell r="I1994" t="str">
            <v>5 kW / 208V rack UPS</v>
          </cell>
          <cell r="J1994" t="str">
            <v>Verify</v>
          </cell>
          <cell r="K1994" t="str">
            <v>Verify</v>
          </cell>
          <cell r="L1994" t="str">
            <v>B80-TR102A / B80-TR102B</v>
          </cell>
          <cell r="O1994" t="str">
            <v>Verify</v>
          </cell>
          <cell r="P1994" t="str">
            <v>Electrical plans/schedules identify B80-TR102A fed from BUS-B80-MDP and B80-TR102B fed from BUS-B80-E1, with rack receptacles, normal/emergency circuits, CU-1-01, SPD requirements and 30-day load measurement requirements.</v>
          </cell>
          <cell r="Q1994" t="str">
            <v>80|23</v>
          </cell>
        </row>
        <row r="1995">
          <cell r="E1995" t="str">
            <v>5. ELECTRICAL / UPS</v>
          </cell>
          <cell r="G1995" t="str">
            <v>127A / 126</v>
          </cell>
          <cell r="H1995" t="str">
            <v>Existing</v>
          </cell>
          <cell r="I1995" t="str">
            <v>Existing APC floor UPS</v>
          </cell>
          <cell r="J1995" t="str">
            <v>Existing</v>
          </cell>
          <cell r="K1995" t="str">
            <v>Verify</v>
          </cell>
          <cell r="L1995" t="str">
            <v>Existing / Verify</v>
          </cell>
          <cell r="O1995" t="str">
            <v>Verify</v>
          </cell>
          <cell r="P1995" t="str">
            <v>Existing rack/equipment area includes APC floor UPS and legacy telecom power. Verify source circuits, active equipment, UPS status, and transfer requirements before disconnect/removal.</v>
          </cell>
          <cell r="Q1995" t="str">
            <v>80|24</v>
          </cell>
        </row>
        <row r="1996">
          <cell r="E1996" t="str">
            <v>5. ELECTRICAL / UPS</v>
          </cell>
          <cell r="G1996">
            <v>0</v>
          </cell>
          <cell r="H1996">
            <v>0</v>
          </cell>
          <cell r="I1996">
            <v>0</v>
          </cell>
          <cell r="J1996">
            <v>0</v>
          </cell>
          <cell r="K1996">
            <v>0</v>
          </cell>
          <cell r="L1996">
            <v>0</v>
          </cell>
          <cell r="O1996">
            <v>0</v>
          </cell>
          <cell r="P1996">
            <v>0</v>
          </cell>
          <cell r="Q1996" t="str">
            <v>80|25</v>
          </cell>
        </row>
        <row r="1997">
          <cell r="E1997" t="str">
            <v>6. TELECOMMUNICATIONS</v>
          </cell>
          <cell r="G1997" t="str">
            <v>6. TELECOMMUNICATIONS</v>
          </cell>
          <cell r="H1997">
            <v>0</v>
          </cell>
          <cell r="I1997">
            <v>0</v>
          </cell>
          <cell r="J1997">
            <v>0</v>
          </cell>
          <cell r="K1997">
            <v>0</v>
          </cell>
          <cell r="L1997">
            <v>0</v>
          </cell>
          <cell r="O1997">
            <v>0</v>
          </cell>
          <cell r="P1997">
            <v>0</v>
          </cell>
          <cell r="Q1997" t="str">
            <v>80|26</v>
          </cell>
        </row>
        <row r="1998">
          <cell r="E1998" t="str">
            <v>6. TELECOMMUNICATIONS</v>
          </cell>
          <cell r="G1998" t="str">
            <v>Room</v>
          </cell>
          <cell r="H1998" t="str">
            <v>Rack Installed</v>
          </cell>
          <cell r="I1998" t="str">
            <v>Ladder Tray</v>
          </cell>
          <cell r="J1998" t="str">
            <v>Fiber Installed</v>
          </cell>
          <cell r="K1998" t="str">
            <v>Grounding</v>
          </cell>
          <cell r="L1998" t="str">
            <v>Labeling</v>
          </cell>
          <cell r="O1998" t="str">
            <v>Overall</v>
          </cell>
          <cell r="P1998" t="str">
            <v>Notes</v>
          </cell>
          <cell r="Q1998" t="str">
            <v>80|27</v>
          </cell>
        </row>
        <row r="1999">
          <cell r="E1999" t="str">
            <v>6. TELECOMMUNICATIONS</v>
          </cell>
          <cell r="G1999" t="str">
            <v>102</v>
          </cell>
          <cell r="H1999" t="str">
            <v>Verify</v>
          </cell>
          <cell r="I1999" t="str">
            <v>Verify</v>
          </cell>
          <cell r="J1999" t="str">
            <v>Verify</v>
          </cell>
          <cell r="K1999" t="str">
            <v>Verify</v>
          </cell>
          <cell r="L1999" t="str">
            <v>Verify</v>
          </cell>
          <cell r="O1999" t="str">
            <v>Verify</v>
          </cell>
          <cell r="P1999" t="str">
            <v>80T-701 identifies RM102 with 117 WAO total, 98 active ports per survey, 195 total ports per schedule, and 215 total ports with 10% allowance. Rack IDs include TR01-102-1 and TR01-102-2; rack elevation shows 1 new rack plus future rack with switches, Cat6A patch panels, Cat5e patch panel, Fiber LIU, UPS and PDU.</v>
          </cell>
          <cell r="Q1999" t="str">
            <v>80|28</v>
          </cell>
        </row>
        <row r="2000">
          <cell r="E2000" t="str">
            <v>6. TELECOMMUNICATIONS</v>
          </cell>
          <cell r="G2000" t="str">
            <v>127A / 126</v>
          </cell>
          <cell r="H2000" t="str">
            <v>Existing</v>
          </cell>
          <cell r="I2000" t="str">
            <v>Existing</v>
          </cell>
          <cell r="J2000" t="str">
            <v>Existing</v>
          </cell>
          <cell r="K2000" t="str">
            <v>Verify</v>
          </cell>
          <cell r="L2000" t="str">
            <v>Verify</v>
          </cell>
          <cell r="O2000" t="str">
            <v>Verify</v>
          </cell>
          <cell r="P2000" t="str">
            <v>Existing rack elevation shows Cisco switches, legacy optical Fiber LIU on wall, multiple legacy Ortronics 24/48-port patch panels, legacy Cat5e 24-port patch panel, and APC floor UPS. Contractor must transfer existing devices to new rack and protect active services.</v>
          </cell>
          <cell r="Q2000" t="str">
            <v>80|29</v>
          </cell>
        </row>
        <row r="2001">
          <cell r="E2001" t="str">
            <v>6. TELECOMMUNICATIONS</v>
          </cell>
          <cell r="G2001">
            <v>0</v>
          </cell>
          <cell r="H2001">
            <v>0</v>
          </cell>
          <cell r="I2001">
            <v>0</v>
          </cell>
          <cell r="J2001">
            <v>0</v>
          </cell>
          <cell r="K2001">
            <v>0</v>
          </cell>
          <cell r="L2001">
            <v>0</v>
          </cell>
          <cell r="O2001">
            <v>0</v>
          </cell>
          <cell r="P2001">
            <v>0</v>
          </cell>
          <cell r="Q2001" t="str">
            <v>80|30</v>
          </cell>
        </row>
        <row r="2002">
          <cell r="E2002" t="str">
            <v>7. SECURITY / PACS / CCTV</v>
          </cell>
          <cell r="G2002" t="str">
            <v>7. SECURITY / PACS / CCTV</v>
          </cell>
          <cell r="H2002">
            <v>0</v>
          </cell>
          <cell r="I2002">
            <v>0</v>
          </cell>
          <cell r="J2002">
            <v>0</v>
          </cell>
          <cell r="K2002">
            <v>0</v>
          </cell>
          <cell r="L2002">
            <v>0</v>
          </cell>
          <cell r="O2002">
            <v>0</v>
          </cell>
          <cell r="P2002">
            <v>0</v>
          </cell>
          <cell r="Q2002" t="str">
            <v>80|31</v>
          </cell>
        </row>
        <row r="2003">
          <cell r="E2003" t="str">
            <v>7. SECURITY / PACS / CCTV</v>
          </cell>
          <cell r="G2003" t="str">
            <v>Room</v>
          </cell>
          <cell r="H2003" t="str">
            <v>PACS</v>
          </cell>
          <cell r="I2003" t="str">
            <v>Card Reader</v>
          </cell>
          <cell r="J2003" t="str">
            <v>Door Position</v>
          </cell>
          <cell r="K2003" t="str">
            <v>Electric Strike</v>
          </cell>
          <cell r="L2003" t="str">
            <v>CCTV</v>
          </cell>
          <cell r="O2003" t="str">
            <v>Overall</v>
          </cell>
          <cell r="P2003" t="str">
            <v>Notes</v>
          </cell>
          <cell r="Q2003" t="str">
            <v>80|32</v>
          </cell>
        </row>
        <row r="2004">
          <cell r="E2004" t="str">
            <v>7. SECURITY / PACS / CCTV</v>
          </cell>
          <cell r="G2004" t="str">
            <v>102</v>
          </cell>
          <cell r="H2004" t="str">
            <v>Verify</v>
          </cell>
          <cell r="I2004" t="str">
            <v>Verify</v>
          </cell>
          <cell r="J2004" t="str">
            <v>Verify</v>
          </cell>
          <cell r="K2004" t="str">
            <v>Verify</v>
          </cell>
          <cell r="L2004" t="str">
            <v>Verify</v>
          </cell>
          <cell r="O2004" t="str">
            <v>Verify</v>
          </cell>
          <cell r="P2004" t="str">
            <v>Electrical/telecom plans show access-control scope and camera 102-CAM-1. Verify CR/RX/DC/ES/MD devices, controller, electric strike, camera/VMS integration, and door hardware coordination.</v>
          </cell>
          <cell r="Q2004" t="str">
            <v>80|33</v>
          </cell>
        </row>
        <row r="2005">
          <cell r="E2005" t="str">
            <v>7. SECURITY / PACS / CCTV</v>
          </cell>
          <cell r="G2005" t="str">
            <v>127A / 126</v>
          </cell>
          <cell r="H2005" t="str">
            <v>Verify Existing</v>
          </cell>
          <cell r="I2005" t="str">
            <v>Verify Existing</v>
          </cell>
          <cell r="J2005" t="str">
            <v>Verify Existing</v>
          </cell>
          <cell r="K2005" t="str">
            <v>Verify Existing</v>
          </cell>
          <cell r="L2005" t="str">
            <v>Verify Existing</v>
          </cell>
          <cell r="O2005" t="str">
            <v>Verify</v>
          </cell>
          <cell r="P2005" t="str">
            <v>Verify existing security/PACS equipment conditions and whether any existing camera/security device is protected, recabled, or removed during cutover.</v>
          </cell>
          <cell r="Q2005" t="str">
            <v>80|34</v>
          </cell>
        </row>
        <row r="2006">
          <cell r="E2006" t="str">
            <v>7. SECURITY / PACS / CCTV</v>
          </cell>
          <cell r="G2006">
            <v>0</v>
          </cell>
          <cell r="H2006">
            <v>0</v>
          </cell>
          <cell r="I2006">
            <v>0</v>
          </cell>
          <cell r="J2006">
            <v>0</v>
          </cell>
          <cell r="K2006">
            <v>0</v>
          </cell>
          <cell r="L2006">
            <v>0</v>
          </cell>
          <cell r="O2006">
            <v>0</v>
          </cell>
          <cell r="P2006">
            <v>0</v>
          </cell>
          <cell r="Q2006" t="str">
            <v>80|35</v>
          </cell>
        </row>
        <row r="2007">
          <cell r="E2007" t="str">
            <v>8. OWNER RISKS</v>
          </cell>
          <cell r="G2007" t="str">
            <v>8. OWNER RISKS</v>
          </cell>
          <cell r="H2007">
            <v>0</v>
          </cell>
          <cell r="I2007">
            <v>0</v>
          </cell>
          <cell r="J2007">
            <v>0</v>
          </cell>
          <cell r="K2007">
            <v>0</v>
          </cell>
          <cell r="L2007">
            <v>0</v>
          </cell>
          <cell r="O2007">
            <v>0</v>
          </cell>
          <cell r="P2007">
            <v>0</v>
          </cell>
          <cell r="Q2007" t="str">
            <v>80|36</v>
          </cell>
        </row>
        <row r="2008">
          <cell r="E2008" t="str">
            <v>8. OWNER RISKS</v>
          </cell>
          <cell r="G2008" t="str">
            <v>Risk ID</v>
          </cell>
          <cell r="H2008" t="str">
            <v>Room</v>
          </cell>
          <cell r="I2008" t="str">
            <v>Risk</v>
          </cell>
          <cell r="J2008" t="str">
            <v>Impact</v>
          </cell>
          <cell r="K2008" t="str">
            <v>Probability</v>
          </cell>
          <cell r="L2008" t="str">
            <v>Score</v>
          </cell>
          <cell r="O2008" t="str">
            <v>Status</v>
          </cell>
          <cell r="P2008" t="str">
            <v>Notes</v>
          </cell>
          <cell r="Q2008" t="str">
            <v>80|37</v>
          </cell>
        </row>
        <row r="2009">
          <cell r="E2009" t="str">
            <v>8. OWNER RISKS</v>
          </cell>
          <cell r="G2009" t="str">
            <v>B80-R1</v>
          </cell>
          <cell r="H2009" t="str">
            <v>All</v>
          </cell>
          <cell r="I2009" t="str">
            <v>Existing conditions for Room 102 and existing 127A/126 not field verified</v>
          </cell>
          <cell r="J2009" t="str">
            <v>High</v>
          </cell>
          <cell r="K2009" t="str">
            <v>Medium</v>
          </cell>
          <cell r="L2009">
            <v>6</v>
          </cell>
          <cell r="O2009" t="str">
            <v>Open</v>
          </cell>
          <cell r="P2009" t="str">
            <v>B80 includes new TR plus existing telecom transition point.</v>
          </cell>
          <cell r="Q2009" t="str">
            <v>80|38</v>
          </cell>
        </row>
        <row r="2010">
          <cell r="E2010" t="str">
            <v>8. OWNER RISKS</v>
          </cell>
          <cell r="G2010" t="str">
            <v>B80-R2</v>
          </cell>
          <cell r="H2010" t="str">
            <v>127A / 126</v>
          </cell>
          <cell r="I2010" t="str">
            <v>Existing telecom equipment may remain active during transfer to Room 102</v>
          </cell>
          <cell r="J2010" t="str">
            <v>Critical</v>
          </cell>
          <cell r="K2010" t="str">
            <v>Medium</v>
          </cell>
          <cell r="L2010">
            <v>8</v>
          </cell>
          <cell r="O2010" t="str">
            <v>Open</v>
          </cell>
          <cell r="P2010" t="str">
            <v>Existing rack elevation shows Cisco switches, legacy patch panels, Fiber LIU and APC floor UPS.</v>
          </cell>
          <cell r="Q2010" t="str">
            <v>80|39</v>
          </cell>
        </row>
        <row r="2011">
          <cell r="E2011" t="str">
            <v>8. OWNER RISKS</v>
          </cell>
          <cell r="G2011" t="str">
            <v>B80-R3</v>
          </cell>
          <cell r="H2011" t="str">
            <v>102 / 127A</v>
          </cell>
          <cell r="I2011" t="str">
            <v>Room-number mismatch between Tel Closet 127A and photo/rack reference Room 126/127-A</v>
          </cell>
          <cell r="J2011" t="str">
            <v>High</v>
          </cell>
          <cell r="K2011" t="str">
            <v>Medium</v>
          </cell>
          <cell r="L2011">
            <v>6</v>
          </cell>
          <cell r="O2011" t="str">
            <v>Open</v>
          </cell>
          <cell r="P2011" t="str">
            <v>80T-101 calls Tel Closet 127A; 80R-900 photo reference calls existing telecom room 126; 80T-604 lists room 126/127-A.</v>
          </cell>
          <cell r="Q2011" t="str">
            <v>80|40</v>
          </cell>
        </row>
        <row r="2012">
          <cell r="E2012" t="str">
            <v>8. OWNER RISKS</v>
          </cell>
          <cell r="G2012" t="str">
            <v>B80-R4</v>
          </cell>
          <cell r="H2012" t="str">
            <v>102</v>
          </cell>
          <cell r="I2012" t="str">
            <v>Dedicated cooling emergency power, condensate, BACnet and alarms not verified</v>
          </cell>
          <cell r="J2012" t="str">
            <v>Critical</v>
          </cell>
          <cell r="K2012" t="str">
            <v>Medium</v>
          </cell>
          <cell r="L2012">
            <v>8</v>
          </cell>
          <cell r="O2012" t="str">
            <v>Open</v>
          </cell>
          <cell r="P2012" t="str">
            <v>Cooling is central to TR readiness.</v>
          </cell>
          <cell r="Q2012" t="str">
            <v>80|41</v>
          </cell>
        </row>
        <row r="2013">
          <cell r="E2013" t="str">
            <v>8. OWNER RISKS</v>
          </cell>
          <cell r="G2013" t="str">
            <v>B80-R5</v>
          </cell>
          <cell r="H2013" t="str">
            <v>102</v>
          </cell>
          <cell r="I2013" t="str">
            <v>B80-TR102A/B UPS/PDU and panel source coordination could delay energization</v>
          </cell>
          <cell r="J2013" t="str">
            <v>High</v>
          </cell>
          <cell r="K2013" t="str">
            <v>Medium</v>
          </cell>
          <cell r="L2013">
            <v>6</v>
          </cell>
          <cell r="O2013" t="str">
            <v>Open</v>
          </cell>
          <cell r="P2013" t="str">
            <v>B80-TR102A/B panel schedules and one-line show normal/emergency source split.</v>
          </cell>
          <cell r="Q2013" t="str">
            <v>80|42</v>
          </cell>
        </row>
        <row r="2014">
          <cell r="E2014" t="str">
            <v>8. OWNER RISKS</v>
          </cell>
          <cell r="G2014" t="str">
            <v>B80-R6</v>
          </cell>
          <cell r="H2014" t="str">
            <v>All</v>
          </cell>
          <cell r="I2014" t="str">
            <v>811 feet of cable tray/pathway requires coordination and firestop tracking</v>
          </cell>
          <cell r="J2014" t="str">
            <v>High</v>
          </cell>
          <cell r="K2014" t="str">
            <v>Medium</v>
          </cell>
          <cell r="L2014">
            <v>6</v>
          </cell>
          <cell r="O2014" t="str">
            <v>Open</v>
          </cell>
          <cell r="P2014" t="str">
            <v>80T-701 cable tray schedule: basement 122 ft, first level 688 ft, grand total 811 ft.</v>
          </cell>
          <cell r="Q2014" t="str">
            <v>80|43</v>
          </cell>
        </row>
        <row r="2015">
          <cell r="E2015" t="str">
            <v>8. OWNER RISKS</v>
          </cell>
          <cell r="G2015" t="str">
            <v>B80-R7</v>
          </cell>
          <cell r="H2015" t="str">
            <v>All</v>
          </cell>
          <cell r="I2015" t="str">
            <v>Telecom/fiber cutover could affect active hospital communications on first-level operations</v>
          </cell>
          <cell r="J2015" t="str">
            <v>Critical</v>
          </cell>
          <cell r="K2015" t="str">
            <v>Medium</v>
          </cell>
          <cell r="L2015">
            <v>8</v>
          </cell>
          <cell r="O2015" t="str">
            <v>Open</v>
          </cell>
          <cell r="P2015" t="str">
            <v>RM102 supports 215 total ports including allowance and existing rack transfer.</v>
          </cell>
          <cell r="Q2015" t="str">
            <v>80|44</v>
          </cell>
        </row>
        <row r="2016">
          <cell r="E2016" t="str">
            <v>8. OWNER RISKS</v>
          </cell>
          <cell r="G2016" t="str">
            <v>B80-R8</v>
          </cell>
          <cell r="H2016" t="str">
            <v>All</v>
          </cell>
          <cell r="I2016" t="str">
            <v>Commissioning/third-party inspection reports may not be complete at turnover</v>
          </cell>
          <cell r="J2016" t="str">
            <v>High</v>
          </cell>
          <cell r="K2016" t="str">
            <v>Medium</v>
          </cell>
          <cell r="L2016">
            <v>6</v>
          </cell>
          <cell r="O2016" t="str">
            <v>Open</v>
          </cell>
          <cell r="P2016" t="str">
            <v>Full-scope 52-sheet IFC package with mechanical, electrical, FP and telecom work.</v>
          </cell>
          <cell r="Q2016" t="str">
            <v>80|45</v>
          </cell>
        </row>
        <row r="2017">
          <cell r="E2017" t="str">
            <v>8. OWNER RISKS</v>
          </cell>
          <cell r="G2017">
            <v>0</v>
          </cell>
          <cell r="H2017">
            <v>0</v>
          </cell>
          <cell r="I2017">
            <v>0</v>
          </cell>
          <cell r="J2017">
            <v>0</v>
          </cell>
          <cell r="K2017">
            <v>0</v>
          </cell>
          <cell r="L2017">
            <v>0</v>
          </cell>
          <cell r="O2017">
            <v>0</v>
          </cell>
          <cell r="P2017">
            <v>0</v>
          </cell>
          <cell r="Q2017" t="str">
            <v>80|46</v>
          </cell>
        </row>
        <row r="2018">
          <cell r="E2018" t="str">
            <v>9. OPEN QUESTIONS</v>
          </cell>
          <cell r="G2018" t="str">
            <v>9. OPEN QUESTIONS</v>
          </cell>
          <cell r="H2018">
            <v>0</v>
          </cell>
          <cell r="I2018">
            <v>0</v>
          </cell>
          <cell r="J2018">
            <v>0</v>
          </cell>
          <cell r="K2018">
            <v>0</v>
          </cell>
          <cell r="L2018">
            <v>0</v>
          </cell>
          <cell r="O2018">
            <v>0</v>
          </cell>
          <cell r="P2018">
            <v>0</v>
          </cell>
          <cell r="Q2018" t="str">
            <v>80|47</v>
          </cell>
        </row>
        <row r="2019">
          <cell r="E2019" t="str">
            <v>9. OPEN QUESTIONS</v>
          </cell>
          <cell r="G2019" t="str">
            <v>Question ID</v>
          </cell>
          <cell r="H2019" t="str">
            <v>Question</v>
          </cell>
          <cell r="I2019" t="str">
            <v>Assigned To</v>
          </cell>
          <cell r="J2019" t="str">
            <v>Status</v>
          </cell>
          <cell r="K2019" t="str">
            <v>Needed By</v>
          </cell>
          <cell r="L2019" t="str">
            <v>Answer / Resolution</v>
          </cell>
          <cell r="O2019" t="str">
            <v>Date Closed</v>
          </cell>
          <cell r="P2019" t="str">
            <v>Notes</v>
          </cell>
          <cell r="Q2019" t="str">
            <v>80|48</v>
          </cell>
        </row>
        <row r="2020">
          <cell r="E2020" t="str">
            <v>9. OPEN QUESTIONS</v>
          </cell>
          <cell r="G2020" t="str">
            <v>B80-Q1</v>
          </cell>
          <cell r="H2020" t="str">
            <v>Confirm final telecom scope: new Room 102 with existing 127A/126 transition only?</v>
          </cell>
          <cell r="I2020" t="str">
            <v>VA / OIT / Designer</v>
          </cell>
          <cell r="J2020" t="str">
            <v>Open</v>
          </cell>
          <cell r="K2020">
            <v>0</v>
          </cell>
          <cell r="L2020">
            <v>0</v>
          </cell>
          <cell r="O2020">
            <v>0</v>
          </cell>
          <cell r="P2020">
            <v>0</v>
          </cell>
          <cell r="Q2020" t="str">
            <v>80|49</v>
          </cell>
        </row>
        <row r="2021">
          <cell r="E2021" t="str">
            <v>9. OPEN QUESTIONS</v>
          </cell>
          <cell r="G2021" t="str">
            <v>B80-Q2</v>
          </cell>
          <cell r="H2021" t="str">
            <v>What active services are currently fed from existing Room 127A/126 equipment?</v>
          </cell>
          <cell r="I2021" t="str">
            <v>OIT / Contractor</v>
          </cell>
          <cell r="J2021" t="str">
            <v>Open</v>
          </cell>
          <cell r="K2021">
            <v>0</v>
          </cell>
          <cell r="L2021">
            <v>0</v>
          </cell>
          <cell r="O2021">
            <v>0</v>
          </cell>
          <cell r="P2021">
            <v>0</v>
          </cell>
          <cell r="Q2021" t="str">
            <v>80|50</v>
          </cell>
        </row>
        <row r="2022">
          <cell r="E2022" t="str">
            <v>9. OPEN QUESTIONS</v>
          </cell>
          <cell r="G2022" t="str">
            <v>B80-Q3</v>
          </cell>
          <cell r="H2022" t="str">
            <v>Are Room 127A and Room 126 the same telecom room, or separate locations?</v>
          </cell>
          <cell r="I2022" t="str">
            <v>VA / Designer / OIT</v>
          </cell>
          <cell r="J2022" t="str">
            <v>Open</v>
          </cell>
          <cell r="K2022">
            <v>0</v>
          </cell>
          <cell r="L2022">
            <v>0</v>
          </cell>
          <cell r="O2022">
            <v>0</v>
          </cell>
          <cell r="P2022">
            <v>0</v>
          </cell>
          <cell r="Q2022" t="str">
            <v>80|51</v>
          </cell>
        </row>
        <row r="2023">
          <cell r="E2023" t="str">
            <v>9. OPEN QUESTIONS</v>
          </cell>
          <cell r="G2023" t="str">
            <v>B80-Q4</v>
          </cell>
          <cell r="H2023" t="str">
            <v>Is IU-1-01/CU-1-01 on emergency/backup power and dedicated to Room 102?</v>
          </cell>
          <cell r="I2023" t="str">
            <v>Mechanical / Electrical / VA</v>
          </cell>
          <cell r="J2023" t="str">
            <v>Open</v>
          </cell>
          <cell r="K2023">
            <v>0</v>
          </cell>
          <cell r="L2023">
            <v>0</v>
          </cell>
          <cell r="O2023">
            <v>0</v>
          </cell>
          <cell r="P2023">
            <v>0</v>
          </cell>
          <cell r="Q2023" t="str">
            <v>80|52</v>
          </cell>
        </row>
        <row r="2024">
          <cell r="E2024" t="str">
            <v>9. OPEN QUESTIONS</v>
          </cell>
          <cell r="G2024" t="str">
            <v>B80-Q5</v>
          </cell>
          <cell r="H2024" t="str">
            <v>Where is the clean-agent/CO2 extinguisher cabinet located within 75 ft of Room 102?</v>
          </cell>
          <cell r="I2024" t="str">
            <v>GC / COR</v>
          </cell>
          <cell r="J2024" t="str">
            <v>Open</v>
          </cell>
          <cell r="K2024">
            <v>0</v>
          </cell>
          <cell r="L2024">
            <v>0</v>
          </cell>
          <cell r="O2024">
            <v>0</v>
          </cell>
          <cell r="P2024">
            <v>0</v>
          </cell>
          <cell r="Q2024" t="str">
            <v>80|53</v>
          </cell>
        </row>
        <row r="2025">
          <cell r="E2025" t="str">
            <v>9. OPEN QUESTIONS</v>
          </cell>
          <cell r="G2025" t="str">
            <v>B80-Q6</v>
          </cell>
          <cell r="H2025" t="str">
            <v>Are B80-TR102A/B sources, rack receptacles, SPDs, circuit labels and load measurements approved?</v>
          </cell>
          <cell r="I2025" t="str">
            <v>Electrical / Designer</v>
          </cell>
          <cell r="J2025" t="str">
            <v>Open</v>
          </cell>
          <cell r="K2025">
            <v>0</v>
          </cell>
          <cell r="L2025">
            <v>0</v>
          </cell>
          <cell r="O2025">
            <v>0</v>
          </cell>
          <cell r="P2025">
            <v>0</v>
          </cell>
          <cell r="Q2025" t="str">
            <v>80|54</v>
          </cell>
        </row>
        <row r="2026">
          <cell r="E2026" t="str">
            <v>9. OPEN QUESTIONS</v>
          </cell>
          <cell r="G2026" t="str">
            <v>B80-Q7</v>
          </cell>
          <cell r="H2026" t="str">
            <v>Are all rated wall/floor penetrations, sleeves, cable tray entries and firestopping details identified?</v>
          </cell>
          <cell r="I2026" t="str">
            <v>GC / Firestop</v>
          </cell>
          <cell r="J2026" t="str">
            <v>Open</v>
          </cell>
          <cell r="K2026">
            <v>0</v>
          </cell>
          <cell r="L2026">
            <v>0</v>
          </cell>
          <cell r="O2026">
            <v>0</v>
          </cell>
          <cell r="P2026">
            <v>0</v>
          </cell>
          <cell r="Q2026" t="str">
            <v>80|55</v>
          </cell>
        </row>
        <row r="2027">
          <cell r="E2027" t="str">
            <v>9. OPEN QUESTIONS</v>
          </cell>
          <cell r="G2027" t="str">
            <v>B80-Q8</v>
          </cell>
          <cell r="H2027" t="str">
            <v>Which third-party inspections and commissioning forms are required before VA/OIT acceptance?</v>
          </cell>
          <cell r="I2027" t="str">
            <v>GC / Cx Manager / OIT</v>
          </cell>
          <cell r="J2027" t="str">
            <v>Open</v>
          </cell>
          <cell r="K2027">
            <v>0</v>
          </cell>
          <cell r="L2027">
            <v>0</v>
          </cell>
          <cell r="O2027">
            <v>0</v>
          </cell>
          <cell r="P2027">
            <v>0</v>
          </cell>
          <cell r="Q2027" t="str">
            <v>80|56</v>
          </cell>
        </row>
        <row r="2028">
          <cell r="E2028" t="str">
            <v>9. OPEN QUESTIONS</v>
          </cell>
          <cell r="G2028">
            <v>0</v>
          </cell>
          <cell r="H2028">
            <v>0</v>
          </cell>
          <cell r="I2028">
            <v>0</v>
          </cell>
          <cell r="J2028">
            <v>0</v>
          </cell>
          <cell r="K2028">
            <v>0</v>
          </cell>
          <cell r="L2028">
            <v>0</v>
          </cell>
          <cell r="O2028">
            <v>0</v>
          </cell>
          <cell r="P2028">
            <v>0</v>
          </cell>
          <cell r="Q2028" t="str">
            <v>80|57</v>
          </cell>
        </row>
        <row r="2029">
          <cell r="E2029" t="str">
            <v>10. PHOTO LOG</v>
          </cell>
          <cell r="G2029" t="str">
            <v>10. PHOTO LOG</v>
          </cell>
          <cell r="H2029">
            <v>0</v>
          </cell>
          <cell r="I2029">
            <v>0</v>
          </cell>
          <cell r="J2029">
            <v>0</v>
          </cell>
          <cell r="K2029">
            <v>0</v>
          </cell>
          <cell r="L2029">
            <v>0</v>
          </cell>
          <cell r="O2029">
            <v>0</v>
          </cell>
          <cell r="P2029">
            <v>0</v>
          </cell>
          <cell r="Q2029" t="str">
            <v>80|58</v>
          </cell>
        </row>
        <row r="2030">
          <cell r="E2030" t="str">
            <v>10. PHOTO LOG</v>
          </cell>
          <cell r="G2030" t="str">
            <v>Photo ID</v>
          </cell>
          <cell r="H2030" t="str">
            <v>Room</v>
          </cell>
          <cell r="I2030" t="str">
            <v>Category</v>
          </cell>
          <cell r="J2030" t="str">
            <v>Description</v>
          </cell>
          <cell r="K2030" t="str">
            <v>Date</v>
          </cell>
          <cell r="L2030" t="str">
            <v>Taken By</v>
          </cell>
          <cell r="O2030" t="str">
            <v>Status</v>
          </cell>
          <cell r="P2030" t="str">
            <v>Notes</v>
          </cell>
          <cell r="Q2030" t="str">
            <v>80|59</v>
          </cell>
        </row>
        <row r="2031">
          <cell r="E2031" t="str">
            <v>10. PHOTO LOG</v>
          </cell>
          <cell r="G2031" t="str">
            <v>B80-P001</v>
          </cell>
          <cell r="H2031" t="str">
            <v>102</v>
          </cell>
          <cell r="I2031" t="str">
            <v>Existing Condition</v>
          </cell>
          <cell r="J2031" t="str">
            <v>Room 102 walls, ceiling/deck, floor, door, rack/future rack, power, HVAC, fiber path A/B, cable tray and penetrations</v>
          </cell>
          <cell r="K2031">
            <v>0</v>
          </cell>
          <cell r="L2031" t="str">
            <v>Paul</v>
          </cell>
          <cell r="O2031" t="str">
            <v>Open</v>
          </cell>
          <cell r="P2031">
            <v>0</v>
          </cell>
          <cell r="Q2031" t="str">
            <v>80|60</v>
          </cell>
        </row>
        <row r="2032">
          <cell r="E2032" t="str">
            <v>10. PHOTO LOG</v>
          </cell>
          <cell r="G2032" t="str">
            <v>B80-P002</v>
          </cell>
          <cell r="H2032" t="str">
            <v>127A / 126</v>
          </cell>
          <cell r="I2032" t="str">
            <v>Existing Condition</v>
          </cell>
          <cell r="J2032" t="str">
            <v>Existing Tel Closet/telecom room with plywood backboard, ground bar, patch panel, equipment box, two-post rack/wall TE and cable entries</v>
          </cell>
          <cell r="K2032">
            <v>0</v>
          </cell>
          <cell r="L2032" t="str">
            <v>Paul</v>
          </cell>
          <cell r="O2032" t="str">
            <v>Open</v>
          </cell>
          <cell r="P2032">
            <v>0</v>
          </cell>
          <cell r="Q2032" t="str">
            <v>80|61</v>
          </cell>
        </row>
        <row r="2033">
          <cell r="E2033" t="str">
            <v>10. PHOTO LOG</v>
          </cell>
          <cell r="G2033" t="str">
            <v>B80-P003</v>
          </cell>
          <cell r="H2033" t="str">
            <v>127A / 126</v>
          </cell>
          <cell r="I2033" t="str">
            <v>Existing Equipment</v>
          </cell>
          <cell r="J2033" t="str">
            <v>Cisco switches, legacy Fiber LIU, Ortronics patch panels, Cat5e patch panel, APC floor UPS and active service labels</v>
          </cell>
          <cell r="K2033">
            <v>0</v>
          </cell>
          <cell r="L2033" t="str">
            <v>Paul</v>
          </cell>
          <cell r="O2033" t="str">
            <v>Open</v>
          </cell>
          <cell r="P2033">
            <v>0</v>
          </cell>
          <cell r="Q2033" t="str">
            <v>80|62</v>
          </cell>
        </row>
        <row r="2034">
          <cell r="E2034" t="str">
            <v>10. PHOTO LOG</v>
          </cell>
          <cell r="G2034" t="str">
            <v>B80-P004</v>
          </cell>
          <cell r="H2034" t="str">
            <v>102</v>
          </cell>
          <cell r="I2034" t="str">
            <v>HVAC</v>
          </cell>
          <cell r="J2034" t="str">
            <v>IU-1-01/CU-1-01, condensate, thermostat, BACnet adapter, disconnects, high-temp alarm and power source</v>
          </cell>
          <cell r="K2034">
            <v>0</v>
          </cell>
          <cell r="L2034" t="str">
            <v>Paul</v>
          </cell>
          <cell r="O2034" t="str">
            <v>Open</v>
          </cell>
          <cell r="P2034">
            <v>0</v>
          </cell>
          <cell r="Q2034" t="str">
            <v>80|63</v>
          </cell>
        </row>
        <row r="2035">
          <cell r="E2035" t="str">
            <v>10. PHOTO LOG</v>
          </cell>
          <cell r="G2035" t="str">
            <v>B80-P005</v>
          </cell>
          <cell r="H2035" t="str">
            <v>102</v>
          </cell>
          <cell r="I2035" t="str">
            <v>Electrical</v>
          </cell>
          <cell r="J2035" t="str">
            <v>B80-TR102A/B panels, rack receptacles, breakers, SPD, access controller, lighting, CU-1-01 and labels</v>
          </cell>
          <cell r="K2035">
            <v>0</v>
          </cell>
          <cell r="L2035" t="str">
            <v>Paul</v>
          </cell>
          <cell r="O2035" t="str">
            <v>Open</v>
          </cell>
          <cell r="P2035">
            <v>0</v>
          </cell>
          <cell r="Q2035" t="str">
            <v>80|64</v>
          </cell>
        </row>
        <row r="2036">
          <cell r="E2036" t="str">
            <v>10. PHOTO LOG</v>
          </cell>
          <cell r="G2036" t="str">
            <v>B80-P006</v>
          </cell>
          <cell r="H2036" t="str">
            <v>All</v>
          </cell>
          <cell r="I2036" t="str">
            <v>Cable Tray / Firestop</v>
          </cell>
          <cell r="J2036" t="str">
            <v>Basement and first-level cable tray route, supports, seismic bracing, 40% fill, penetrations and before/after firestopping</v>
          </cell>
          <cell r="K2036">
            <v>0</v>
          </cell>
          <cell r="L2036" t="str">
            <v>Paul</v>
          </cell>
          <cell r="O2036" t="str">
            <v>Open</v>
          </cell>
          <cell r="P2036">
            <v>0</v>
          </cell>
          <cell r="Q2036" t="str">
            <v>80|65</v>
          </cell>
        </row>
        <row r="2037">
          <cell r="E2037" t="str">
            <v>10. PHOTO LOG</v>
          </cell>
          <cell r="G2037" t="str">
            <v>B80-P007</v>
          </cell>
          <cell r="H2037" t="str">
            <v>102 / 127A</v>
          </cell>
          <cell r="I2037" t="str">
            <v>Telecom</v>
          </cell>
          <cell r="J2037" t="str">
            <v>New rack/future rack, Fiber LIU, Cat6A, patch panels, labels/test records and existing rack transfer work</v>
          </cell>
          <cell r="K2037">
            <v>0</v>
          </cell>
          <cell r="L2037" t="str">
            <v>Paul</v>
          </cell>
          <cell r="O2037" t="str">
            <v>Open</v>
          </cell>
          <cell r="P2037">
            <v>0</v>
          </cell>
          <cell r="Q2037" t="str">
            <v>80|66</v>
          </cell>
        </row>
        <row r="2038">
          <cell r="E2038" t="str">
            <v>10. PHOTO LOG</v>
          </cell>
          <cell r="G2038" t="str">
            <v>B80-P008</v>
          </cell>
          <cell r="H2038" t="str">
            <v>102</v>
          </cell>
          <cell r="I2038" t="str">
            <v>Security</v>
          </cell>
          <cell r="J2038" t="str">
            <v>102-CAM-1, card reader, electric strike, door position, motion sensor, existing security devices and VMS/PACS integration</v>
          </cell>
          <cell r="K2038">
            <v>0</v>
          </cell>
          <cell r="L2038" t="str">
            <v>Paul</v>
          </cell>
          <cell r="O2038" t="str">
            <v>Open</v>
          </cell>
          <cell r="P2038">
            <v>0</v>
          </cell>
          <cell r="Q2038" t="str">
            <v>80|67</v>
          </cell>
        </row>
        <row r="2039">
          <cell r="E2039" t="str">
            <v>10. PHOTO LOG</v>
          </cell>
          <cell r="G2039">
            <v>0</v>
          </cell>
          <cell r="H2039">
            <v>0</v>
          </cell>
          <cell r="I2039">
            <v>0</v>
          </cell>
          <cell r="J2039">
            <v>0</v>
          </cell>
          <cell r="K2039">
            <v>0</v>
          </cell>
          <cell r="L2039">
            <v>0</v>
          </cell>
          <cell r="O2039">
            <v>0</v>
          </cell>
          <cell r="P2039">
            <v>0</v>
          </cell>
          <cell r="Q2039" t="str">
            <v>80|68</v>
          </cell>
        </row>
        <row r="2040">
          <cell r="E2040" t="str">
            <v>1. ROOM INVENTORY</v>
          </cell>
          <cell r="G2040" t="str">
            <v>1. ROOM INVENTORY</v>
          </cell>
          <cell r="H2040">
            <v>0</v>
          </cell>
          <cell r="I2040">
            <v>0</v>
          </cell>
          <cell r="J2040">
            <v>0</v>
          </cell>
          <cell r="K2040">
            <v>0</v>
          </cell>
          <cell r="L2040">
            <v>0</v>
          </cell>
          <cell r="O2040">
            <v>0</v>
          </cell>
          <cell r="P2040">
            <v>0</v>
          </cell>
          <cell r="Q2040" t="str">
            <v>82|1</v>
          </cell>
        </row>
        <row r="2041">
          <cell r="E2041" t="str">
            <v>1. ROOM INVENTORY</v>
          </cell>
          <cell r="G2041" t="str">
            <v>Building</v>
          </cell>
          <cell r="H2041" t="str">
            <v>Room</v>
          </cell>
          <cell r="I2041" t="str">
            <v>Floor</v>
          </cell>
          <cell r="J2041" t="str">
            <v>Existing Use</v>
          </cell>
          <cell r="K2041" t="str">
            <v>New Use</v>
          </cell>
          <cell r="L2041" t="str">
            <v>Rack Count</v>
          </cell>
          <cell r="O2041" t="str">
            <v>Drawing Ref</v>
          </cell>
          <cell r="P2041" t="str">
            <v>Notes</v>
          </cell>
          <cell r="Q2041" t="str">
            <v>82|2</v>
          </cell>
        </row>
        <row r="2042">
          <cell r="E2042" t="str">
            <v>1. ROOM INVENTORY</v>
          </cell>
          <cell r="G2042" t="str">
            <v>82</v>
          </cell>
          <cell r="H2042" t="str">
            <v>102</v>
          </cell>
          <cell r="I2042" t="str">
            <v>First</v>
          </cell>
          <cell r="J2042" t="str">
            <v>Telecom Room / new TE location</v>
          </cell>
          <cell r="K2042" t="str">
            <v>Telecom Enclosure</v>
          </cell>
          <cell r="L2042">
            <v>1</v>
          </cell>
          <cell r="O2042" t="str">
            <v>82A-401 / 82M-101 / 82E-101 / 82T-101 / 82T-604 / 82T-701</v>
          </cell>
          <cell r="P2042" t="str">
            <v>Primary Building 82 TE. Plans identify Telecom Room 102 at 86 SF with new 12RU telecom enclosure, Rack ID TR01-102-01, APC UPS, two PDUs, network switch, 48-port Cat6A patch panel, Fiber LIU, IU-1-01/CU-1-01 cooling, and 40 total ports with 10% allowance.</v>
          </cell>
          <cell r="Q2042" t="str">
            <v>82|3</v>
          </cell>
        </row>
        <row r="2043">
          <cell r="E2043" t="str">
            <v>1. ROOM INVENTORY</v>
          </cell>
          <cell r="G2043" t="str">
            <v>82</v>
          </cell>
          <cell r="H2043" t="str">
            <v>B01-A</v>
          </cell>
          <cell r="I2043" t="str">
            <v>First</v>
          </cell>
          <cell r="J2043" t="str">
            <v>Existing telecom room / wall rack and patch panels</v>
          </cell>
          <cell r="K2043" t="str">
            <v>Existing telecom transition point</v>
          </cell>
          <cell r="L2043">
            <v>1</v>
          </cell>
          <cell r="O2043" t="str">
            <v>82T-101 / 82T-604 / 82R-900</v>
          </cell>
          <cell r="P2043" t="str">
            <v>Existing first-level telecom room B01-A shown with existing wall rack, Cisco switches, cable management, Ortronics 24-port patch panels, APC floor UPS, and photo reference. Protect active services and verify transfer to Room 102 TE.</v>
          </cell>
          <cell r="Q2043" t="str">
            <v>82|4</v>
          </cell>
        </row>
        <row r="2044">
          <cell r="E2044" t="str">
            <v>1. ROOM INVENTORY</v>
          </cell>
          <cell r="G2044">
            <v>0</v>
          </cell>
          <cell r="H2044">
            <v>0</v>
          </cell>
          <cell r="I2044">
            <v>0</v>
          </cell>
          <cell r="J2044">
            <v>0</v>
          </cell>
          <cell r="K2044">
            <v>0</v>
          </cell>
          <cell r="L2044">
            <v>0</v>
          </cell>
          <cell r="O2044">
            <v>0</v>
          </cell>
          <cell r="P2044">
            <v>0</v>
          </cell>
          <cell r="Q2044" t="str">
            <v>82|5</v>
          </cell>
        </row>
        <row r="2045">
          <cell r="E2045" t="str">
            <v>2. ROOM READINESS</v>
          </cell>
          <cell r="G2045" t="str">
            <v>2. ROOM READINESS</v>
          </cell>
          <cell r="H2045">
            <v>0</v>
          </cell>
          <cell r="I2045">
            <v>0</v>
          </cell>
          <cell r="J2045">
            <v>0</v>
          </cell>
          <cell r="K2045">
            <v>0</v>
          </cell>
          <cell r="L2045">
            <v>0</v>
          </cell>
          <cell r="O2045">
            <v>0</v>
          </cell>
          <cell r="P2045">
            <v>0</v>
          </cell>
          <cell r="Q2045" t="str">
            <v>82|6</v>
          </cell>
        </row>
        <row r="2046">
          <cell r="E2046" t="str">
            <v>2. ROOM READINESS</v>
          </cell>
          <cell r="G2046" t="str">
            <v>Room</v>
          </cell>
          <cell r="H2046" t="str">
            <v>Walls / 1-hr Rating</v>
          </cell>
          <cell r="I2046" t="str">
            <v>Ceiling</v>
          </cell>
          <cell r="J2046" t="str">
            <v>Floor / SDC</v>
          </cell>
          <cell r="K2046" t="str">
            <v>Penetrations</v>
          </cell>
          <cell r="L2046" t="str">
            <v>Access Control</v>
          </cell>
          <cell r="O2046" t="str">
            <v>Overall</v>
          </cell>
          <cell r="P2046" t="str">
            <v>Comments</v>
          </cell>
          <cell r="Q2046" t="str">
            <v>82|7</v>
          </cell>
        </row>
        <row r="2047">
          <cell r="E2047" t="str">
            <v>2. ROOM READINESS</v>
          </cell>
          <cell r="G2047" t="str">
            <v>102</v>
          </cell>
          <cell r="H2047" t="str">
            <v>Verify</v>
          </cell>
          <cell r="I2047" t="str">
            <v>Verify</v>
          </cell>
          <cell r="J2047" t="str">
            <v>N/A / TE Room</v>
          </cell>
          <cell r="K2047" t="str">
            <v>Verify</v>
          </cell>
          <cell r="L2047" t="str">
            <v>Verify Existing</v>
          </cell>
          <cell r="O2047" t="str">
            <v>Verify</v>
          </cell>
          <cell r="P2047" t="str">
            <v>New TE enclosure location in Telecom Room 102; verify wall backing, mounting height, access clearance, power, fiber/copper path, 4-inch speed sleeve, fire/smoke wall rating, ceiling/deck conditions and that 86 SF is adequate for equipment maintenance.</v>
          </cell>
          <cell r="Q2047" t="str">
            <v>82|8</v>
          </cell>
        </row>
        <row r="2048">
          <cell r="E2048" t="str">
            <v>2. ROOM READINESS</v>
          </cell>
          <cell r="G2048" t="str">
            <v>B01-A</v>
          </cell>
          <cell r="H2048" t="str">
            <v>Existing / Verify</v>
          </cell>
          <cell r="I2048" t="str">
            <v>Existing / Verify</v>
          </cell>
          <cell r="J2048" t="str">
            <v>Existing / Verify</v>
          </cell>
          <cell r="K2048" t="str">
            <v>Verify</v>
          </cell>
          <cell r="L2048" t="str">
            <v>Verify Existing</v>
          </cell>
          <cell r="O2048" t="str">
            <v>Verify</v>
          </cell>
          <cell r="P2048" t="str">
            <v>Existing telecom room; verify active equipment status, wall rack, UPS, patch panels, cable management, pathway, and transition/abandonment scope.</v>
          </cell>
          <cell r="Q2048" t="str">
            <v>82|9</v>
          </cell>
        </row>
        <row r="2049">
          <cell r="E2049" t="str">
            <v>2. ROOM READINESS</v>
          </cell>
          <cell r="G2049">
            <v>0</v>
          </cell>
          <cell r="H2049">
            <v>0</v>
          </cell>
          <cell r="I2049">
            <v>0</v>
          </cell>
          <cell r="J2049">
            <v>0</v>
          </cell>
          <cell r="K2049">
            <v>0</v>
          </cell>
          <cell r="L2049">
            <v>0</v>
          </cell>
          <cell r="O2049">
            <v>0</v>
          </cell>
          <cell r="P2049">
            <v>0</v>
          </cell>
          <cell r="Q2049" t="str">
            <v>82|10</v>
          </cell>
        </row>
        <row r="2050">
          <cell r="E2050" t="str">
            <v>3. FIRE PROTECTION</v>
          </cell>
          <cell r="G2050" t="str">
            <v>3. FIRE PROTECTION</v>
          </cell>
          <cell r="H2050">
            <v>0</v>
          </cell>
          <cell r="I2050">
            <v>0</v>
          </cell>
          <cell r="J2050">
            <v>0</v>
          </cell>
          <cell r="K2050">
            <v>0</v>
          </cell>
          <cell r="L2050">
            <v>0</v>
          </cell>
          <cell r="O2050">
            <v>0</v>
          </cell>
          <cell r="P2050">
            <v>0</v>
          </cell>
          <cell r="Q2050" t="str">
            <v>82|11</v>
          </cell>
        </row>
        <row r="2051">
          <cell r="E2051" t="str">
            <v>3. FIRE PROTECTION</v>
          </cell>
          <cell r="G2051" t="str">
            <v>Room</v>
          </cell>
          <cell r="H2051" t="str">
            <v>Sprinkler</v>
          </cell>
          <cell r="I2051" t="str">
            <v>Cage</v>
          </cell>
          <cell r="J2051" t="str">
            <v>Detector</v>
          </cell>
          <cell r="K2051" t="str">
            <v>Horn/Strobe</v>
          </cell>
          <cell r="L2051" t="str">
            <v>Extinguisher &lt;75 ft</v>
          </cell>
          <cell r="O2051" t="str">
            <v>Overall</v>
          </cell>
          <cell r="P2051" t="str">
            <v>Risk / Notes</v>
          </cell>
          <cell r="Q2051" t="str">
            <v>82|12</v>
          </cell>
        </row>
        <row r="2052">
          <cell r="E2052" t="str">
            <v>3. FIRE PROTECTION</v>
          </cell>
          <cell r="G2052" t="str">
            <v>102</v>
          </cell>
          <cell r="H2052" t="str">
            <v>Excluded / Verify</v>
          </cell>
          <cell r="I2052" t="str">
            <v>N/A</v>
          </cell>
          <cell r="J2052" t="str">
            <v>Verify Existing</v>
          </cell>
          <cell r="K2052" t="str">
            <v>Verify Existing</v>
          </cell>
          <cell r="L2052" t="str">
            <v>N/A / Verify</v>
          </cell>
          <cell r="O2052" t="str">
            <v>Verify</v>
          </cell>
          <cell r="P2052" t="str">
            <v>Cover sheet states Building 82 receives a Telecom Enclosure and fire protection scope is excluded. Still verify rated penetrations, 4-inch sleeve, wall/floor openings, temporary firestopping, and life-safety device impacts.</v>
          </cell>
          <cell r="Q2052" t="str">
            <v>82|13</v>
          </cell>
        </row>
        <row r="2053">
          <cell r="E2053" t="str">
            <v>3. FIRE PROTECTION</v>
          </cell>
          <cell r="G2053" t="str">
            <v>B01-A</v>
          </cell>
          <cell r="H2053" t="str">
            <v>Existing / Verify</v>
          </cell>
          <cell r="I2053" t="str">
            <v>N/A</v>
          </cell>
          <cell r="J2053" t="str">
            <v>Verify Existing</v>
          </cell>
          <cell r="K2053" t="str">
            <v>Verify Existing</v>
          </cell>
          <cell r="L2053" t="str">
            <v>N/A / Verify</v>
          </cell>
          <cell r="O2053" t="str">
            <v>Verify</v>
          </cell>
          <cell r="P2053" t="str">
            <v>Existing telecom room; verify protection-in-place and firestopping after cable transfer or reuse.</v>
          </cell>
          <cell r="Q2053" t="str">
            <v>82|14</v>
          </cell>
        </row>
        <row r="2054">
          <cell r="E2054" t="str">
            <v>3. FIRE PROTECTION</v>
          </cell>
          <cell r="G2054">
            <v>0</v>
          </cell>
          <cell r="H2054">
            <v>0</v>
          </cell>
          <cell r="I2054">
            <v>0</v>
          </cell>
          <cell r="J2054">
            <v>0</v>
          </cell>
          <cell r="K2054">
            <v>0</v>
          </cell>
          <cell r="L2054">
            <v>0</v>
          </cell>
          <cell r="O2054">
            <v>0</v>
          </cell>
          <cell r="P2054">
            <v>0</v>
          </cell>
          <cell r="Q2054" t="str">
            <v>82|15</v>
          </cell>
        </row>
        <row r="2055">
          <cell r="E2055" t="str">
            <v>4. HVAC / COOLING</v>
          </cell>
          <cell r="G2055" t="str">
            <v>4. HVAC / COOLING</v>
          </cell>
          <cell r="H2055">
            <v>0</v>
          </cell>
          <cell r="I2055">
            <v>0</v>
          </cell>
          <cell r="J2055">
            <v>0</v>
          </cell>
          <cell r="K2055">
            <v>0</v>
          </cell>
          <cell r="L2055">
            <v>0</v>
          </cell>
          <cell r="O2055">
            <v>0</v>
          </cell>
          <cell r="P2055">
            <v>0</v>
          </cell>
          <cell r="Q2055" t="str">
            <v>82|16</v>
          </cell>
        </row>
        <row r="2056">
          <cell r="E2056" t="str">
            <v>4. HVAC / COOLING</v>
          </cell>
          <cell r="G2056" t="str">
            <v>Room</v>
          </cell>
          <cell r="H2056" t="str">
            <v>Dedicated Unit</v>
          </cell>
          <cell r="I2056" t="str">
            <v>Capacity Verified</v>
          </cell>
          <cell r="J2056" t="str">
            <v>Emergency Power</v>
          </cell>
          <cell r="K2056" t="str">
            <v>Controls / BACnet</v>
          </cell>
          <cell r="L2056" t="str">
            <v>Condensate Routed</v>
          </cell>
          <cell r="O2056" t="str">
            <v>Overall</v>
          </cell>
          <cell r="P2056" t="str">
            <v>Risk / Notes</v>
          </cell>
          <cell r="Q2056" t="str">
            <v>82|17</v>
          </cell>
        </row>
        <row r="2057">
          <cell r="E2057" t="str">
            <v>4. HVAC / COOLING</v>
          </cell>
          <cell r="G2057" t="str">
            <v>102</v>
          </cell>
          <cell r="H2057" t="str">
            <v>IU-1-01 / CU-1-01</v>
          </cell>
          <cell r="I2057" t="str">
            <v>Verify</v>
          </cell>
          <cell r="J2057" t="str">
            <v>Verify</v>
          </cell>
          <cell r="K2057" t="str">
            <v>Verify</v>
          </cell>
          <cell r="L2057" t="str">
            <v>Verify</v>
          </cell>
          <cell r="O2057" t="str">
            <v>Verify</v>
          </cell>
          <cell r="P2057" t="str">
            <v>Mechanical and electrical drawings show IU-1-01 in/near Telecom Room 102 and CU-1-01 outdoor unit. Mechanical notes call for BACnet adapter mounted adjacent to unit in telecom room. Confirm capacity, emergency/standby source, condensate pump/path, disconnects, controls, and high-temp alarm.</v>
          </cell>
          <cell r="Q2057" t="str">
            <v>82|18</v>
          </cell>
        </row>
        <row r="2058">
          <cell r="E2058" t="str">
            <v>4. HVAC / COOLING</v>
          </cell>
          <cell r="G2058" t="str">
            <v>B01-A</v>
          </cell>
          <cell r="H2058" t="str">
            <v>Existing / Verify</v>
          </cell>
          <cell r="I2058" t="str">
            <v>Verify</v>
          </cell>
          <cell r="J2058" t="str">
            <v>Verify</v>
          </cell>
          <cell r="K2058" t="str">
            <v>Verify</v>
          </cell>
          <cell r="L2058" t="str">
            <v>Verify</v>
          </cell>
          <cell r="O2058" t="str">
            <v>Verify</v>
          </cell>
          <cell r="P2058" t="str">
            <v>Existing telecom room may remain active during cutover. Verify existing environmental conditions and whether active equipment remains after transfer to Room 102.</v>
          </cell>
          <cell r="Q2058" t="str">
            <v>82|19</v>
          </cell>
        </row>
        <row r="2059">
          <cell r="E2059" t="str">
            <v>4. HVAC / COOLING</v>
          </cell>
          <cell r="G2059">
            <v>0</v>
          </cell>
          <cell r="H2059">
            <v>0</v>
          </cell>
          <cell r="I2059">
            <v>0</v>
          </cell>
          <cell r="J2059">
            <v>0</v>
          </cell>
          <cell r="K2059">
            <v>0</v>
          </cell>
          <cell r="L2059">
            <v>0</v>
          </cell>
          <cell r="O2059">
            <v>0</v>
          </cell>
          <cell r="P2059">
            <v>0</v>
          </cell>
          <cell r="Q2059" t="str">
            <v>82|20</v>
          </cell>
        </row>
        <row r="2060">
          <cell r="E2060" t="str">
            <v>5. ELECTRICAL / UPS</v>
          </cell>
          <cell r="G2060" t="str">
            <v>5. ELECTRICAL / UPS</v>
          </cell>
          <cell r="H2060">
            <v>0</v>
          </cell>
          <cell r="I2060">
            <v>0</v>
          </cell>
          <cell r="J2060">
            <v>0</v>
          </cell>
          <cell r="K2060">
            <v>0</v>
          </cell>
          <cell r="L2060">
            <v>0</v>
          </cell>
          <cell r="O2060">
            <v>0</v>
          </cell>
          <cell r="P2060">
            <v>0</v>
          </cell>
          <cell r="Q2060" t="str">
            <v>82|21</v>
          </cell>
        </row>
        <row r="2061">
          <cell r="E2061" t="str">
            <v>5. ELECTRICAL / UPS</v>
          </cell>
          <cell r="G2061" t="str">
            <v>Room</v>
          </cell>
          <cell r="H2061" t="str">
            <v>UPS Installed</v>
          </cell>
          <cell r="I2061" t="str">
            <v>UPS Size</v>
          </cell>
          <cell r="J2061" t="str">
            <v>PDU Installed</v>
          </cell>
          <cell r="K2061" t="str">
            <v>Rack Receptacles</v>
          </cell>
          <cell r="L2061" t="str">
            <v>Panel Assigned</v>
          </cell>
          <cell r="O2061" t="str">
            <v>Overall</v>
          </cell>
          <cell r="P2061" t="str">
            <v>Notes</v>
          </cell>
          <cell r="Q2061" t="str">
            <v>82|22</v>
          </cell>
        </row>
        <row r="2062">
          <cell r="E2062" t="str">
            <v>5. ELECTRICAL / UPS</v>
          </cell>
          <cell r="G2062" t="str">
            <v>102</v>
          </cell>
          <cell r="H2062" t="str">
            <v>Verify</v>
          </cell>
          <cell r="I2062" t="str">
            <v>APC UPS / 12RU enclosure</v>
          </cell>
          <cell r="J2062" t="str">
            <v>Verify</v>
          </cell>
          <cell r="K2062" t="str">
            <v>Verify</v>
          </cell>
          <cell r="L2062" t="str">
            <v>B82-MDP / B82-P-EMER source to verify</v>
          </cell>
          <cell r="O2062" t="str">
            <v>Verify</v>
          </cell>
          <cell r="P2062" t="str">
            <v>Electrical plans/schedules identify TE receptacle, CU-1-01, B82-MDP and B82-P-EMER sources, with SPD devices integral to new telecom panelboards. Verify receptacle type, grounding/bonding, emergency source, labels, and circuit loading.</v>
          </cell>
          <cell r="Q2062" t="str">
            <v>82|23</v>
          </cell>
        </row>
        <row r="2063">
          <cell r="E2063" t="str">
            <v>5. ELECTRICAL / UPS</v>
          </cell>
          <cell r="G2063" t="str">
            <v>B01-A</v>
          </cell>
          <cell r="H2063" t="str">
            <v>Existing</v>
          </cell>
          <cell r="I2063" t="str">
            <v>Existing APC floor UPS</v>
          </cell>
          <cell r="J2063" t="str">
            <v>Existing</v>
          </cell>
          <cell r="K2063" t="str">
            <v>Verify</v>
          </cell>
          <cell r="L2063" t="str">
            <v>Existing / Verify</v>
          </cell>
          <cell r="O2063" t="str">
            <v>Verify</v>
          </cell>
          <cell r="P2063" t="str">
            <v>Existing rack/equipment area includes APC floor UPS and legacy telecom power. Verify source circuits, active equipment, UPS status, and transfer requirements before disconnect/removal.</v>
          </cell>
          <cell r="Q2063" t="str">
            <v>82|24</v>
          </cell>
        </row>
        <row r="2064">
          <cell r="E2064" t="str">
            <v>5. ELECTRICAL / UPS</v>
          </cell>
          <cell r="G2064">
            <v>0</v>
          </cell>
          <cell r="H2064">
            <v>0</v>
          </cell>
          <cell r="I2064">
            <v>0</v>
          </cell>
          <cell r="J2064">
            <v>0</v>
          </cell>
          <cell r="K2064">
            <v>0</v>
          </cell>
          <cell r="L2064">
            <v>0</v>
          </cell>
          <cell r="O2064">
            <v>0</v>
          </cell>
          <cell r="P2064">
            <v>0</v>
          </cell>
          <cell r="Q2064" t="str">
            <v>82|25</v>
          </cell>
        </row>
        <row r="2065">
          <cell r="E2065" t="str">
            <v>6. TELECOMMUNICATIONS</v>
          </cell>
          <cell r="G2065" t="str">
            <v>6. TELECOMMUNICATIONS</v>
          </cell>
          <cell r="H2065">
            <v>0</v>
          </cell>
          <cell r="I2065">
            <v>0</v>
          </cell>
          <cell r="J2065">
            <v>0</v>
          </cell>
          <cell r="K2065">
            <v>0</v>
          </cell>
          <cell r="L2065">
            <v>0</v>
          </cell>
          <cell r="O2065">
            <v>0</v>
          </cell>
          <cell r="P2065">
            <v>0</v>
          </cell>
          <cell r="Q2065" t="str">
            <v>82|26</v>
          </cell>
        </row>
        <row r="2066">
          <cell r="E2066" t="str">
            <v>6. TELECOMMUNICATIONS</v>
          </cell>
          <cell r="G2066" t="str">
            <v>Room</v>
          </cell>
          <cell r="H2066" t="str">
            <v>Rack Installed</v>
          </cell>
          <cell r="I2066" t="str">
            <v>Ladder Tray</v>
          </cell>
          <cell r="J2066" t="str">
            <v>Fiber Installed</v>
          </cell>
          <cell r="K2066" t="str">
            <v>Grounding</v>
          </cell>
          <cell r="L2066" t="str">
            <v>Labeling</v>
          </cell>
          <cell r="O2066" t="str">
            <v>Overall</v>
          </cell>
          <cell r="P2066" t="str">
            <v>Notes</v>
          </cell>
          <cell r="Q2066" t="str">
            <v>82|27</v>
          </cell>
        </row>
        <row r="2067">
          <cell r="E2067" t="str">
            <v>6. TELECOMMUNICATIONS</v>
          </cell>
          <cell r="G2067" t="str">
            <v>102</v>
          </cell>
          <cell r="H2067" t="str">
            <v>Verify</v>
          </cell>
          <cell r="I2067" t="str">
            <v>Verify</v>
          </cell>
          <cell r="J2067" t="str">
            <v>Verify</v>
          </cell>
          <cell r="K2067" t="str">
            <v>Verify</v>
          </cell>
          <cell r="L2067" t="str">
            <v>Verify</v>
          </cell>
          <cell r="O2067" t="str">
            <v>Verify</v>
          </cell>
          <cell r="P2067" t="str">
            <v>82T-701 identifies RM102 with 26 WAO total, 31 active ports per survey, 36 total ports per schedule, and 40 total ports with 10% allowance. Rack ID TR01-102-01. Cable tray schedule totals 278 ft on first level. New enclosure includes APC UPS, two PDUs, network switch, Cat6A patch panel and Fiber LIU.</v>
          </cell>
          <cell r="Q2067" t="str">
            <v>82|28</v>
          </cell>
        </row>
        <row r="2068">
          <cell r="E2068" t="str">
            <v>6. TELECOMMUNICATIONS</v>
          </cell>
          <cell r="G2068" t="str">
            <v>B01-A</v>
          </cell>
          <cell r="H2068" t="str">
            <v>Existing</v>
          </cell>
          <cell r="I2068" t="str">
            <v>Existing</v>
          </cell>
          <cell r="J2068" t="str">
            <v>Existing</v>
          </cell>
          <cell r="K2068" t="str">
            <v>Verify</v>
          </cell>
          <cell r="L2068" t="str">
            <v>Verify</v>
          </cell>
          <cell r="O2068" t="str">
            <v>Verify</v>
          </cell>
          <cell r="P2068" t="str">
            <v>Existing B01-A elevations identify Cisco switches, cable management, two Ortronics 24-port patch panels with 11 and 6 used, existing patch panels and APC floor UPS. Field verify active services and transfer plan to new TE.</v>
          </cell>
          <cell r="Q2068" t="str">
            <v>82|29</v>
          </cell>
        </row>
        <row r="2069">
          <cell r="E2069" t="str">
            <v>6. TELECOMMUNICATIONS</v>
          </cell>
          <cell r="G2069">
            <v>0</v>
          </cell>
          <cell r="H2069">
            <v>0</v>
          </cell>
          <cell r="I2069">
            <v>0</v>
          </cell>
          <cell r="J2069">
            <v>0</v>
          </cell>
          <cell r="K2069">
            <v>0</v>
          </cell>
          <cell r="L2069">
            <v>0</v>
          </cell>
          <cell r="O2069">
            <v>0</v>
          </cell>
          <cell r="P2069">
            <v>0</v>
          </cell>
          <cell r="Q2069" t="str">
            <v>82|30</v>
          </cell>
        </row>
        <row r="2070">
          <cell r="E2070" t="str">
            <v>7. SECURITY / PACS / CCTV</v>
          </cell>
          <cell r="G2070" t="str">
            <v>7. SECURITY / PACS / CCTV</v>
          </cell>
          <cell r="H2070">
            <v>0</v>
          </cell>
          <cell r="I2070">
            <v>0</v>
          </cell>
          <cell r="J2070">
            <v>0</v>
          </cell>
          <cell r="K2070">
            <v>0</v>
          </cell>
          <cell r="L2070">
            <v>0</v>
          </cell>
          <cell r="O2070">
            <v>0</v>
          </cell>
          <cell r="P2070">
            <v>0</v>
          </cell>
          <cell r="Q2070" t="str">
            <v>82|31</v>
          </cell>
        </row>
        <row r="2071">
          <cell r="E2071" t="str">
            <v>7. SECURITY / PACS / CCTV</v>
          </cell>
          <cell r="G2071" t="str">
            <v>Room</v>
          </cell>
          <cell r="H2071" t="str">
            <v>PACS</v>
          </cell>
          <cell r="I2071" t="str">
            <v>Card Reader</v>
          </cell>
          <cell r="J2071" t="str">
            <v>Door Position</v>
          </cell>
          <cell r="K2071" t="str">
            <v>Electric Strike</v>
          </cell>
          <cell r="L2071" t="str">
            <v>CCTV</v>
          </cell>
          <cell r="O2071" t="str">
            <v>Overall</v>
          </cell>
          <cell r="P2071" t="str">
            <v>Notes</v>
          </cell>
          <cell r="Q2071" t="str">
            <v>82|32</v>
          </cell>
        </row>
        <row r="2072">
          <cell r="E2072" t="str">
            <v>7. SECURITY / PACS / CCTV</v>
          </cell>
          <cell r="G2072" t="str">
            <v>102</v>
          </cell>
          <cell r="H2072" t="str">
            <v>N/A / Verify</v>
          </cell>
          <cell r="I2072" t="str">
            <v>N/A / Verify</v>
          </cell>
          <cell r="J2072" t="str">
            <v>N/A / Verify</v>
          </cell>
          <cell r="K2072" t="str">
            <v>N/A / Verify</v>
          </cell>
          <cell r="L2072" t="str">
            <v>Verify Existing</v>
          </cell>
          <cell r="O2072" t="str">
            <v>Verify</v>
          </cell>
          <cell r="P2072" t="str">
            <v>Building 82 appears to create a TE enclosure rather than a full TR door/PACS package. Verify existing cameras/security devices in Room 102 and ensure no camera angle or VMS integration is disrupted.</v>
          </cell>
          <cell r="Q2072" t="str">
            <v>82|33</v>
          </cell>
        </row>
        <row r="2073">
          <cell r="E2073" t="str">
            <v>7. SECURITY / PACS / CCTV</v>
          </cell>
          <cell r="G2073" t="str">
            <v>B01-A</v>
          </cell>
          <cell r="H2073" t="str">
            <v>N/A / Verify</v>
          </cell>
          <cell r="I2073" t="str">
            <v>N/A / Verify</v>
          </cell>
          <cell r="J2073" t="str">
            <v>N/A / Verify</v>
          </cell>
          <cell r="K2073" t="str">
            <v>N/A / Verify</v>
          </cell>
          <cell r="L2073" t="str">
            <v>Verify Existing</v>
          </cell>
          <cell r="O2073" t="str">
            <v>Verify</v>
          </cell>
          <cell r="P2073" t="str">
            <v>Keynotes indicate existing cameras are to be retained and re-used. Verify security/access conditions and whether any legacy security equipment is present at existing telecom room.</v>
          </cell>
          <cell r="Q2073" t="str">
            <v>82|34</v>
          </cell>
        </row>
        <row r="2074">
          <cell r="E2074" t="str">
            <v>7. SECURITY / PACS / CCTV</v>
          </cell>
          <cell r="G2074">
            <v>0</v>
          </cell>
          <cell r="H2074">
            <v>0</v>
          </cell>
          <cell r="I2074">
            <v>0</v>
          </cell>
          <cell r="J2074">
            <v>0</v>
          </cell>
          <cell r="K2074">
            <v>0</v>
          </cell>
          <cell r="L2074">
            <v>0</v>
          </cell>
          <cell r="O2074">
            <v>0</v>
          </cell>
          <cell r="P2074">
            <v>0</v>
          </cell>
          <cell r="Q2074" t="str">
            <v>82|35</v>
          </cell>
        </row>
        <row r="2075">
          <cell r="E2075" t="str">
            <v>8. OWNER RISKS</v>
          </cell>
          <cell r="G2075" t="str">
            <v>8. OWNER RISKS</v>
          </cell>
          <cell r="H2075">
            <v>0</v>
          </cell>
          <cell r="I2075">
            <v>0</v>
          </cell>
          <cell r="J2075">
            <v>0</v>
          </cell>
          <cell r="K2075">
            <v>0</v>
          </cell>
          <cell r="L2075">
            <v>0</v>
          </cell>
          <cell r="O2075">
            <v>0</v>
          </cell>
          <cell r="P2075">
            <v>0</v>
          </cell>
          <cell r="Q2075" t="str">
            <v>82|36</v>
          </cell>
        </row>
        <row r="2076">
          <cell r="E2076" t="str">
            <v>8. OWNER RISKS</v>
          </cell>
          <cell r="G2076" t="str">
            <v>Risk ID</v>
          </cell>
          <cell r="H2076" t="str">
            <v>Room</v>
          </cell>
          <cell r="I2076" t="str">
            <v>Risk</v>
          </cell>
          <cell r="J2076" t="str">
            <v>Impact</v>
          </cell>
          <cell r="K2076" t="str">
            <v>Probability</v>
          </cell>
          <cell r="L2076" t="str">
            <v>Score</v>
          </cell>
          <cell r="O2076" t="str">
            <v>Status</v>
          </cell>
          <cell r="P2076" t="str">
            <v>Notes</v>
          </cell>
          <cell r="Q2076" t="str">
            <v>82|37</v>
          </cell>
        </row>
        <row r="2077">
          <cell r="E2077" t="str">
            <v>8. OWNER RISKS</v>
          </cell>
          <cell r="G2077" t="str">
            <v>B82-R1</v>
          </cell>
          <cell r="H2077" t="str">
            <v>All</v>
          </cell>
          <cell r="I2077" t="str">
            <v>Existing conditions for new Room 102 TE and existing B01-A not field verified</v>
          </cell>
          <cell r="J2077" t="str">
            <v>High</v>
          </cell>
          <cell r="K2077" t="str">
            <v>Medium</v>
          </cell>
          <cell r="L2077">
            <v>6</v>
          </cell>
          <cell r="O2077" t="str">
            <v>Open</v>
          </cell>
          <cell r="P2077" t="str">
            <v>B82 has a compact TE scope but still depends on field conditions and existing equipment transfer.</v>
          </cell>
          <cell r="Q2077" t="str">
            <v>82|38</v>
          </cell>
        </row>
        <row r="2078">
          <cell r="E2078" t="str">
            <v>8. OWNER RISKS</v>
          </cell>
          <cell r="G2078" t="str">
            <v>B82-R2</v>
          </cell>
          <cell r="H2078" t="str">
            <v>102 / B01-A</v>
          </cell>
          <cell r="I2078" t="str">
            <v>Existing equipment in B01-A may remain active during transfer to new TE in 102</v>
          </cell>
          <cell r="J2078" t="str">
            <v>Critical</v>
          </cell>
          <cell r="K2078" t="str">
            <v>Medium</v>
          </cell>
          <cell r="L2078">
            <v>8</v>
          </cell>
          <cell r="O2078" t="str">
            <v>Open</v>
          </cell>
          <cell r="P2078" t="str">
            <v>82T-101 keynotes require phasing plan and transfer of existing devices to new rack/enclosure.</v>
          </cell>
          <cell r="Q2078" t="str">
            <v>82|39</v>
          </cell>
        </row>
        <row r="2079">
          <cell r="E2079" t="str">
            <v>8. OWNER RISKS</v>
          </cell>
          <cell r="G2079" t="str">
            <v>B82-R3</v>
          </cell>
          <cell r="H2079" t="str">
            <v>102</v>
          </cell>
          <cell r="I2079" t="str">
            <v>Cover sheet says TE, but mechanical cooling is included for Room 102</v>
          </cell>
          <cell r="J2079" t="str">
            <v>High</v>
          </cell>
          <cell r="K2079" t="str">
            <v>Medium</v>
          </cell>
          <cell r="L2079">
            <v>6</v>
          </cell>
          <cell r="O2079" t="str">
            <v>Open</v>
          </cell>
          <cell r="P2079" t="str">
            <v>Unlike some TE buildings, B82 includes IU-1-01/CU-1-01 mechanical/electrical scope.</v>
          </cell>
          <cell r="Q2079" t="str">
            <v>82|40</v>
          </cell>
        </row>
        <row r="2080">
          <cell r="E2080" t="str">
            <v>8. OWNER RISKS</v>
          </cell>
          <cell r="G2080" t="str">
            <v>B82-R4</v>
          </cell>
          <cell r="H2080" t="str">
            <v>102</v>
          </cell>
          <cell r="I2080" t="str">
            <v>Dedicated cooling emergency power, condensate, BACnet and alarms not verified</v>
          </cell>
          <cell r="J2080" t="str">
            <v>Critical</v>
          </cell>
          <cell r="K2080" t="str">
            <v>Medium</v>
          </cell>
          <cell r="L2080">
            <v>8</v>
          </cell>
          <cell r="O2080" t="str">
            <v>Open</v>
          </cell>
          <cell r="P2080" t="str">
            <v>Cooling appears included and must be verified before acceptance.</v>
          </cell>
          <cell r="Q2080" t="str">
            <v>82|41</v>
          </cell>
        </row>
        <row r="2081">
          <cell r="E2081" t="str">
            <v>8. OWNER RISKS</v>
          </cell>
          <cell r="G2081" t="str">
            <v>B82-R5</v>
          </cell>
          <cell r="H2081" t="str">
            <v>102</v>
          </cell>
          <cell r="I2081" t="str">
            <v>UPS/PDU/receptacle source and grounding/bonding not verified</v>
          </cell>
          <cell r="J2081" t="str">
            <v>High</v>
          </cell>
          <cell r="K2081" t="str">
            <v>Medium</v>
          </cell>
          <cell r="L2081">
            <v>6</v>
          </cell>
          <cell r="O2081" t="str">
            <v>Open</v>
          </cell>
          <cell r="P2081" t="str">
            <v>New TE enclosure includes APC UPS and two PDUs.</v>
          </cell>
          <cell r="Q2081" t="str">
            <v>82|42</v>
          </cell>
        </row>
        <row r="2082">
          <cell r="E2082" t="str">
            <v>8. OWNER RISKS</v>
          </cell>
          <cell r="G2082" t="str">
            <v>B82-R6</v>
          </cell>
          <cell r="H2082" t="str">
            <v>All</v>
          </cell>
          <cell r="I2082" t="str">
            <v>278 feet of first-level cable tray/pathway requires coordination and firestop tracking</v>
          </cell>
          <cell r="J2082" t="str">
            <v>High</v>
          </cell>
          <cell r="K2082" t="str">
            <v>Medium</v>
          </cell>
          <cell r="L2082">
            <v>6</v>
          </cell>
          <cell r="O2082" t="str">
            <v>Open</v>
          </cell>
          <cell r="P2082" t="str">
            <v>82T-701 cable tray schedule lists first level estimated length of 278 ft.</v>
          </cell>
          <cell r="Q2082" t="str">
            <v>82|43</v>
          </cell>
        </row>
        <row r="2083">
          <cell r="E2083" t="str">
            <v>8. OWNER RISKS</v>
          </cell>
          <cell r="G2083" t="str">
            <v>B82-R7</v>
          </cell>
          <cell r="H2083" t="str">
            <v>All</v>
          </cell>
          <cell r="I2083" t="str">
            <v>Firestopping/rated sleeve work could be missed because FP scope is excluded</v>
          </cell>
          <cell r="J2083" t="str">
            <v>High</v>
          </cell>
          <cell r="K2083" t="str">
            <v>Medium</v>
          </cell>
          <cell r="L2083">
            <v>6</v>
          </cell>
          <cell r="O2083" t="str">
            <v>Open</v>
          </cell>
          <cell r="P2083" t="str">
            <v>Cover excludes fire protection; telecom notes require fire caulk and rated penetrations.</v>
          </cell>
          <cell r="Q2083" t="str">
            <v>82|44</v>
          </cell>
        </row>
        <row r="2084">
          <cell r="E2084" t="str">
            <v>8. OWNER RISKS</v>
          </cell>
          <cell r="G2084" t="str">
            <v>B82-R8</v>
          </cell>
          <cell r="H2084" t="str">
            <v>All</v>
          </cell>
          <cell r="I2084" t="str">
            <v>Commissioning/test documentation may be overlooked due to TE-only scope</v>
          </cell>
          <cell r="J2084" t="str">
            <v>High</v>
          </cell>
          <cell r="K2084" t="str">
            <v>Medium</v>
          </cell>
          <cell r="L2084">
            <v>6</v>
          </cell>
          <cell r="O2084" t="str">
            <v>Open</v>
          </cell>
          <cell r="P2084" t="str">
            <v>General notes still require testing, acceptance and documentation.</v>
          </cell>
          <cell r="Q2084" t="str">
            <v>82|45</v>
          </cell>
        </row>
        <row r="2085">
          <cell r="E2085" t="str">
            <v>8. OWNER RISKS</v>
          </cell>
          <cell r="G2085">
            <v>0</v>
          </cell>
          <cell r="H2085">
            <v>0</v>
          </cell>
          <cell r="I2085">
            <v>0</v>
          </cell>
          <cell r="J2085">
            <v>0</v>
          </cell>
          <cell r="K2085">
            <v>0</v>
          </cell>
          <cell r="L2085">
            <v>0</v>
          </cell>
          <cell r="O2085">
            <v>0</v>
          </cell>
          <cell r="P2085">
            <v>0</v>
          </cell>
          <cell r="Q2085" t="str">
            <v>82|46</v>
          </cell>
        </row>
        <row r="2086">
          <cell r="E2086" t="str">
            <v>9. OPEN QUESTIONS</v>
          </cell>
          <cell r="G2086" t="str">
            <v>9. OPEN QUESTIONS</v>
          </cell>
          <cell r="H2086">
            <v>0</v>
          </cell>
          <cell r="I2086">
            <v>0</v>
          </cell>
          <cell r="J2086">
            <v>0</v>
          </cell>
          <cell r="K2086">
            <v>0</v>
          </cell>
          <cell r="L2086">
            <v>0</v>
          </cell>
          <cell r="O2086">
            <v>0</v>
          </cell>
          <cell r="P2086">
            <v>0</v>
          </cell>
          <cell r="Q2086" t="str">
            <v>82|47</v>
          </cell>
        </row>
        <row r="2087">
          <cell r="E2087" t="str">
            <v>9. OPEN QUESTIONS</v>
          </cell>
          <cell r="G2087" t="str">
            <v>Question ID</v>
          </cell>
          <cell r="H2087" t="str">
            <v>Question</v>
          </cell>
          <cell r="I2087" t="str">
            <v>Assigned To</v>
          </cell>
          <cell r="J2087" t="str">
            <v>Status</v>
          </cell>
          <cell r="K2087" t="str">
            <v>Needed By</v>
          </cell>
          <cell r="L2087" t="str">
            <v>Answer / Resolution</v>
          </cell>
          <cell r="O2087" t="str">
            <v>Date Closed</v>
          </cell>
          <cell r="P2087" t="str">
            <v>Notes</v>
          </cell>
          <cell r="Q2087" t="str">
            <v>82|48</v>
          </cell>
        </row>
        <row r="2088">
          <cell r="E2088" t="str">
            <v>9. OPEN QUESTIONS</v>
          </cell>
          <cell r="G2088" t="str">
            <v>B82-Q1</v>
          </cell>
          <cell r="H2088" t="str">
            <v>Confirm final scope: new 12RU wall-mount TE enclosure in Room 102 and existing B01-A transition only?</v>
          </cell>
          <cell r="I2088" t="str">
            <v>VA / OIT / Designer</v>
          </cell>
          <cell r="J2088" t="str">
            <v>Open</v>
          </cell>
          <cell r="K2088">
            <v>0</v>
          </cell>
          <cell r="L2088">
            <v>0</v>
          </cell>
          <cell r="O2088">
            <v>0</v>
          </cell>
          <cell r="P2088">
            <v>0</v>
          </cell>
          <cell r="Q2088" t="str">
            <v>82|49</v>
          </cell>
        </row>
        <row r="2089">
          <cell r="E2089" t="str">
            <v>9. OPEN QUESTIONS</v>
          </cell>
          <cell r="G2089" t="str">
            <v>B82-Q2</v>
          </cell>
          <cell r="H2089" t="str">
            <v>What active services are currently fed from existing B01-A equipment?</v>
          </cell>
          <cell r="I2089" t="str">
            <v>OIT / Contractor</v>
          </cell>
          <cell r="J2089" t="str">
            <v>Open</v>
          </cell>
          <cell r="K2089">
            <v>0</v>
          </cell>
          <cell r="L2089">
            <v>0</v>
          </cell>
          <cell r="O2089">
            <v>0</v>
          </cell>
          <cell r="P2089">
            <v>0</v>
          </cell>
          <cell r="Q2089" t="str">
            <v>82|50</v>
          </cell>
        </row>
        <row r="2090">
          <cell r="E2090" t="str">
            <v>9. OPEN QUESTIONS</v>
          </cell>
          <cell r="G2090" t="str">
            <v>B82-Q3</v>
          </cell>
          <cell r="H2090" t="str">
            <v>Is Room 102 officially a TE-only scope or a conditioned telecom room with mechanical support?</v>
          </cell>
          <cell r="I2090" t="str">
            <v>VA / AE / COR</v>
          </cell>
          <cell r="J2090" t="str">
            <v>Open</v>
          </cell>
          <cell r="K2090">
            <v>0</v>
          </cell>
          <cell r="L2090">
            <v>0</v>
          </cell>
          <cell r="O2090">
            <v>0</v>
          </cell>
          <cell r="P2090">
            <v>0</v>
          </cell>
          <cell r="Q2090" t="str">
            <v>82|51</v>
          </cell>
        </row>
        <row r="2091">
          <cell r="E2091" t="str">
            <v>9. OPEN QUESTIONS</v>
          </cell>
          <cell r="G2091" t="str">
            <v>B82-Q4</v>
          </cell>
          <cell r="H2091" t="str">
            <v>Is IU-1-01/CU-1-01 on emergency/backup power and dedicated to Room 102?</v>
          </cell>
          <cell r="I2091" t="str">
            <v>Mechanical / Electrical / VA</v>
          </cell>
          <cell r="J2091" t="str">
            <v>Open</v>
          </cell>
          <cell r="K2091">
            <v>0</v>
          </cell>
          <cell r="L2091">
            <v>0</v>
          </cell>
          <cell r="O2091">
            <v>0</v>
          </cell>
          <cell r="P2091">
            <v>0</v>
          </cell>
          <cell r="Q2091" t="str">
            <v>82|52</v>
          </cell>
        </row>
        <row r="2092">
          <cell r="E2092" t="str">
            <v>9. OPEN QUESTIONS</v>
          </cell>
          <cell r="G2092" t="str">
            <v>B82-Q5</v>
          </cell>
          <cell r="H2092" t="str">
            <v>What is the approved power source, receptacle type and circuit capacity for the new APC UPS/PDU in Room 102?</v>
          </cell>
          <cell r="I2092" t="str">
            <v>Electrical / Designer</v>
          </cell>
          <cell r="J2092" t="str">
            <v>Open</v>
          </cell>
          <cell r="K2092">
            <v>0</v>
          </cell>
          <cell r="L2092">
            <v>0</v>
          </cell>
          <cell r="O2092">
            <v>0</v>
          </cell>
          <cell r="P2092">
            <v>0</v>
          </cell>
          <cell r="Q2092" t="str">
            <v>82|53</v>
          </cell>
        </row>
        <row r="2093">
          <cell r="E2093" t="str">
            <v>9. OPEN QUESTIONS</v>
          </cell>
          <cell r="G2093" t="str">
            <v>B82-Q6</v>
          </cell>
          <cell r="H2093" t="str">
            <v>Are all 278 feet of cable tray route, sleeves, supports and firestopping details field verified?</v>
          </cell>
          <cell r="I2093" t="str">
            <v>Telecom / GC / Firestop</v>
          </cell>
          <cell r="J2093" t="str">
            <v>Open</v>
          </cell>
          <cell r="K2093">
            <v>0</v>
          </cell>
          <cell r="L2093">
            <v>0</v>
          </cell>
          <cell r="O2093">
            <v>0</v>
          </cell>
          <cell r="P2093">
            <v>0</v>
          </cell>
          <cell r="Q2093" t="str">
            <v>82|54</v>
          </cell>
        </row>
        <row r="2094">
          <cell r="E2094" t="str">
            <v>9. OPEN QUESTIONS</v>
          </cell>
          <cell r="G2094" t="str">
            <v>B82-Q7</v>
          </cell>
          <cell r="H2094" t="str">
            <v>Are existing cameras/security devices protected and retained with no VMS/PACS disruption?</v>
          </cell>
          <cell r="I2094" t="str">
            <v>Security / OIT</v>
          </cell>
          <cell r="J2094" t="str">
            <v>Open</v>
          </cell>
          <cell r="K2094">
            <v>0</v>
          </cell>
          <cell r="L2094">
            <v>0</v>
          </cell>
          <cell r="O2094">
            <v>0</v>
          </cell>
          <cell r="P2094">
            <v>0</v>
          </cell>
          <cell r="Q2094" t="str">
            <v>82|55</v>
          </cell>
        </row>
        <row r="2095">
          <cell r="E2095" t="str">
            <v>9. OPEN QUESTIONS</v>
          </cell>
          <cell r="G2095" t="str">
            <v>B82-Q8</v>
          </cell>
          <cell r="H2095" t="str">
            <v>Which test records, HVAC startup records and turnover documents are required for TE acceptance?</v>
          </cell>
          <cell r="I2095" t="str">
            <v>GC / Cx Manager / OIT</v>
          </cell>
          <cell r="J2095" t="str">
            <v>Open</v>
          </cell>
          <cell r="K2095">
            <v>0</v>
          </cell>
          <cell r="L2095">
            <v>0</v>
          </cell>
          <cell r="O2095">
            <v>0</v>
          </cell>
          <cell r="P2095">
            <v>0</v>
          </cell>
          <cell r="Q2095" t="str">
            <v>82|56</v>
          </cell>
        </row>
        <row r="2096">
          <cell r="E2096" t="str">
            <v>9. OPEN QUESTIONS</v>
          </cell>
          <cell r="G2096">
            <v>0</v>
          </cell>
          <cell r="H2096">
            <v>0</v>
          </cell>
          <cell r="I2096">
            <v>0</v>
          </cell>
          <cell r="J2096">
            <v>0</v>
          </cell>
          <cell r="K2096">
            <v>0</v>
          </cell>
          <cell r="L2096">
            <v>0</v>
          </cell>
          <cell r="O2096">
            <v>0</v>
          </cell>
          <cell r="P2096">
            <v>0</v>
          </cell>
          <cell r="Q2096" t="str">
            <v>82|57</v>
          </cell>
        </row>
        <row r="2097">
          <cell r="E2097" t="str">
            <v>10. PHOTO LOG</v>
          </cell>
          <cell r="G2097" t="str">
            <v>10. PHOTO LOG</v>
          </cell>
          <cell r="H2097">
            <v>0</v>
          </cell>
          <cell r="I2097">
            <v>0</v>
          </cell>
          <cell r="J2097">
            <v>0</v>
          </cell>
          <cell r="K2097">
            <v>0</v>
          </cell>
          <cell r="L2097">
            <v>0</v>
          </cell>
          <cell r="O2097">
            <v>0</v>
          </cell>
          <cell r="P2097">
            <v>0</v>
          </cell>
          <cell r="Q2097" t="str">
            <v>82|58</v>
          </cell>
        </row>
        <row r="2098">
          <cell r="E2098" t="str">
            <v>10. PHOTO LOG</v>
          </cell>
          <cell r="G2098" t="str">
            <v>Photo ID</v>
          </cell>
          <cell r="H2098" t="str">
            <v>Room</v>
          </cell>
          <cell r="I2098" t="str">
            <v>Category</v>
          </cell>
          <cell r="J2098" t="str">
            <v>Description</v>
          </cell>
          <cell r="K2098" t="str">
            <v>Date</v>
          </cell>
          <cell r="L2098" t="str">
            <v>Taken By</v>
          </cell>
          <cell r="O2098" t="str">
            <v>Status</v>
          </cell>
          <cell r="P2098" t="str">
            <v>Notes</v>
          </cell>
          <cell r="Q2098" t="str">
            <v>82|59</v>
          </cell>
        </row>
        <row r="2099">
          <cell r="E2099" t="str">
            <v>10. PHOTO LOG</v>
          </cell>
          <cell r="G2099" t="str">
            <v>B82-P001</v>
          </cell>
          <cell r="H2099" t="str">
            <v>102</v>
          </cell>
          <cell r="I2099" t="str">
            <v>Existing Condition</v>
          </cell>
          <cell r="J2099" t="str">
            <v>Room 102 wall location, wall backing, clearances, ceiling, power source, cable path, fiber path A/B and new TE enclosure location</v>
          </cell>
          <cell r="K2099">
            <v>0</v>
          </cell>
          <cell r="L2099" t="str">
            <v>Paul</v>
          </cell>
          <cell r="O2099" t="str">
            <v>Open</v>
          </cell>
          <cell r="P2099">
            <v>0</v>
          </cell>
          <cell r="Q2099" t="str">
            <v>82|60</v>
          </cell>
        </row>
        <row r="2100">
          <cell r="E2100" t="str">
            <v>10. PHOTO LOG</v>
          </cell>
          <cell r="G2100" t="str">
            <v>B82-P002</v>
          </cell>
          <cell r="H2100" t="str">
            <v>B01-A</v>
          </cell>
          <cell r="I2100" t="str">
            <v>Existing Condition</v>
          </cell>
          <cell r="J2100" t="str">
            <v>Existing first-level telecom room B01-A wall rack, Cisco switches, cable management, Ortronics patch panels, APC floor UPS and cable entries</v>
          </cell>
          <cell r="K2100">
            <v>0</v>
          </cell>
          <cell r="L2100" t="str">
            <v>Paul</v>
          </cell>
          <cell r="O2100" t="str">
            <v>Open</v>
          </cell>
          <cell r="P2100">
            <v>0</v>
          </cell>
          <cell r="Q2100" t="str">
            <v>82|61</v>
          </cell>
        </row>
        <row r="2101">
          <cell r="E2101" t="str">
            <v>10. PHOTO LOG</v>
          </cell>
          <cell r="G2101" t="str">
            <v>B82-P003</v>
          </cell>
          <cell r="H2101" t="str">
            <v>102 / B01-A</v>
          </cell>
          <cell r="I2101" t="str">
            <v>Pathway</v>
          </cell>
          <cell r="J2101" t="str">
            <v>278 ft first-level cable tray route, 4-inch sleeve, wall/floor penetrations, support points, light/HVAC conflicts and 40% fill concerns</v>
          </cell>
          <cell r="K2101">
            <v>0</v>
          </cell>
          <cell r="L2101" t="str">
            <v>Paul</v>
          </cell>
          <cell r="O2101" t="str">
            <v>Open</v>
          </cell>
          <cell r="P2101">
            <v>0</v>
          </cell>
          <cell r="Q2101" t="str">
            <v>82|62</v>
          </cell>
        </row>
        <row r="2102">
          <cell r="E2102" t="str">
            <v>10. PHOTO LOG</v>
          </cell>
          <cell r="G2102" t="str">
            <v>B82-P004</v>
          </cell>
          <cell r="H2102" t="str">
            <v>102</v>
          </cell>
          <cell r="I2102" t="str">
            <v>HVAC</v>
          </cell>
          <cell r="J2102" t="str">
            <v>IU-1-01/CU-1-01, condensate pump/path, thermostat, BACnet adapter, disconnects, high-temp alarm and power source</v>
          </cell>
          <cell r="K2102">
            <v>0</v>
          </cell>
          <cell r="L2102" t="str">
            <v>Paul</v>
          </cell>
          <cell r="O2102" t="str">
            <v>Open</v>
          </cell>
          <cell r="P2102">
            <v>0</v>
          </cell>
          <cell r="Q2102" t="str">
            <v>82|63</v>
          </cell>
        </row>
        <row r="2103">
          <cell r="E2103" t="str">
            <v>10. PHOTO LOG</v>
          </cell>
          <cell r="G2103" t="str">
            <v>B82-P005</v>
          </cell>
          <cell r="H2103" t="str">
            <v>102</v>
          </cell>
          <cell r="I2103" t="str">
            <v>Electrical</v>
          </cell>
          <cell r="J2103" t="str">
            <v>New TE enclosure UPS/PDU receptacles, circuit source, B82-MDP/B82-P-EMER connections, grounding/bonding, SPD, labels and access</v>
          </cell>
          <cell r="K2103">
            <v>0</v>
          </cell>
          <cell r="L2103" t="str">
            <v>Paul</v>
          </cell>
          <cell r="O2103" t="str">
            <v>Open</v>
          </cell>
          <cell r="P2103">
            <v>0</v>
          </cell>
          <cell r="Q2103" t="str">
            <v>82|64</v>
          </cell>
        </row>
        <row r="2104">
          <cell r="E2104" t="str">
            <v>10. PHOTO LOG</v>
          </cell>
          <cell r="G2104" t="str">
            <v>B82-P006</v>
          </cell>
          <cell r="H2104" t="str">
            <v>102 / B01-A</v>
          </cell>
          <cell r="I2104" t="str">
            <v>Telecom</v>
          </cell>
          <cell r="J2104" t="str">
            <v>TR01-102-01 enclosure, cross-connect/cutover cabling, Fiber LIU, patch panels, labels, test results and existing equipment transfer</v>
          </cell>
          <cell r="K2104">
            <v>0</v>
          </cell>
          <cell r="L2104" t="str">
            <v>Paul</v>
          </cell>
          <cell r="O2104" t="str">
            <v>Open</v>
          </cell>
          <cell r="P2104">
            <v>0</v>
          </cell>
          <cell r="Q2104" t="str">
            <v>82|65</v>
          </cell>
        </row>
        <row r="2105">
          <cell r="E2105" t="str">
            <v>10. PHOTO LOG</v>
          </cell>
          <cell r="G2105" t="str">
            <v>B82-P007</v>
          </cell>
          <cell r="H2105" t="str">
            <v>All</v>
          </cell>
          <cell r="I2105" t="str">
            <v>Firestop</v>
          </cell>
          <cell r="J2105" t="str">
            <v>4-inch speed sleeve, wall/floor penetrations and fire caulk before/after photos</v>
          </cell>
          <cell r="K2105">
            <v>0</v>
          </cell>
          <cell r="L2105" t="str">
            <v>Paul</v>
          </cell>
          <cell r="O2105" t="str">
            <v>Open</v>
          </cell>
          <cell r="P2105">
            <v>0</v>
          </cell>
          <cell r="Q2105" t="str">
            <v>82|66</v>
          </cell>
        </row>
        <row r="2106">
          <cell r="E2106" t="str">
            <v>10. PHOTO LOG</v>
          </cell>
          <cell r="G2106" t="str">
            <v>B82-P008</v>
          </cell>
          <cell r="H2106" t="str">
            <v>All</v>
          </cell>
          <cell r="I2106" t="str">
            <v>Security / Existing Devices</v>
          </cell>
          <cell r="J2106" t="str">
            <v>Existing cameras/security devices to remain, protection-in-place and final operating condition</v>
          </cell>
          <cell r="K2106">
            <v>0</v>
          </cell>
          <cell r="L2106" t="str">
            <v>Paul</v>
          </cell>
          <cell r="O2106" t="str">
            <v>Open</v>
          </cell>
          <cell r="P2106">
            <v>0</v>
          </cell>
          <cell r="Q2106" t="str">
            <v>82|67</v>
          </cell>
        </row>
        <row r="2107">
          <cell r="E2107" t="str">
            <v>10. PHOTO LOG</v>
          </cell>
          <cell r="G2107">
            <v>0</v>
          </cell>
          <cell r="H2107">
            <v>0</v>
          </cell>
          <cell r="I2107">
            <v>0</v>
          </cell>
          <cell r="J2107">
            <v>0</v>
          </cell>
          <cell r="K2107">
            <v>0</v>
          </cell>
          <cell r="L2107">
            <v>0</v>
          </cell>
          <cell r="O2107">
            <v>0</v>
          </cell>
          <cell r="P2107">
            <v>0</v>
          </cell>
          <cell r="Q2107" t="str">
            <v>82|68</v>
          </cell>
        </row>
        <row r="2108">
          <cell r="E2108" t="str">
            <v>1. ROOM INVENTORY</v>
          </cell>
          <cell r="G2108" t="str">
            <v>1. ROOM INVENTORY</v>
          </cell>
          <cell r="H2108">
            <v>0</v>
          </cell>
          <cell r="I2108">
            <v>0</v>
          </cell>
          <cell r="J2108">
            <v>0</v>
          </cell>
          <cell r="K2108">
            <v>0</v>
          </cell>
          <cell r="L2108">
            <v>0</v>
          </cell>
          <cell r="O2108">
            <v>0</v>
          </cell>
          <cell r="P2108">
            <v>0</v>
          </cell>
          <cell r="Q2108" t="str">
            <v>BCH|1</v>
          </cell>
        </row>
        <row r="2109">
          <cell r="E2109" t="str">
            <v>1. ROOM INVENTORY</v>
          </cell>
          <cell r="G2109" t="str">
            <v>Building</v>
          </cell>
          <cell r="H2109" t="str">
            <v>Room</v>
          </cell>
          <cell r="I2109" t="str">
            <v>Floor</v>
          </cell>
          <cell r="J2109" t="str">
            <v>Existing Use</v>
          </cell>
          <cell r="K2109" t="str">
            <v>New Use</v>
          </cell>
          <cell r="L2109" t="str">
            <v>Rack Count</v>
          </cell>
          <cell r="O2109" t="str">
            <v>Drawing Ref</v>
          </cell>
          <cell r="P2109" t="str">
            <v>Notes</v>
          </cell>
          <cell r="Q2109" t="str">
            <v>BCH|2</v>
          </cell>
        </row>
        <row r="2110">
          <cell r="E2110" t="str">
            <v>1. ROOM INVENTORY</v>
          </cell>
          <cell r="G2110" t="str">
            <v>BCH</v>
          </cell>
          <cell r="H2110" t="str">
            <v>107</v>
          </cell>
          <cell r="I2110" t="str">
            <v>First</v>
          </cell>
          <cell r="J2110" t="str">
            <v>Existing Crescent House room area / telecom work area</v>
          </cell>
          <cell r="K2110" t="str">
            <v>Telecom Enclosure / Telecom Room</v>
          </cell>
          <cell r="L2110">
            <v>1</v>
          </cell>
          <cell r="O2110" t="str">
            <v>BCHGA-401 / BCHE-101 / BCHT-101 / BCHT-604</v>
          </cell>
          <cell r="P2110" t="str">
            <v>Primary BCH telecom location. Architectural/electrical/telecom plans reference first-level Room 107. BCHT-101 enlarged plan identifies RM 107 new telecom work. BCHT-604 shows BCH Crescent House Room 107 as new telecom room / no existing elevations.</v>
          </cell>
          <cell r="Q2110" t="str">
            <v>BCH|3</v>
          </cell>
        </row>
        <row r="2111">
          <cell r="E2111" t="str">
            <v>1. ROOM INVENTORY</v>
          </cell>
          <cell r="G2111" t="str">
            <v>BCH</v>
          </cell>
          <cell r="H2111" t="str">
            <v>00 / 107</v>
          </cell>
          <cell r="I2111" t="str">
            <v>First</v>
          </cell>
          <cell r="J2111" t="str">
            <v>Rack/elevation reference location</v>
          </cell>
          <cell r="K2111" t="str">
            <v>Telecom Enclosure</v>
          </cell>
          <cell r="L2111">
            <v>1</v>
          </cell>
          <cell r="O2111" t="str">
            <v>BCHT-604</v>
          </cell>
          <cell r="P2111" t="str">
            <v>Rack elevation shows 12RU telecom enclosure with APC UPS, two PDUs, network switch, 48-port Cat6A patch panel, Fiber LIU, and first-level mounting. Also includes separate BCH Crescent House Room 107 / new telecom room elevation; field confirm correct configuration.</v>
          </cell>
          <cell r="Q2111" t="str">
            <v>BCH|4</v>
          </cell>
        </row>
        <row r="2112">
          <cell r="E2112" t="str">
            <v>1. ROOM INVENTORY</v>
          </cell>
          <cell r="G2112">
            <v>0</v>
          </cell>
          <cell r="H2112">
            <v>0</v>
          </cell>
          <cell r="I2112">
            <v>0</v>
          </cell>
          <cell r="J2112">
            <v>0</v>
          </cell>
          <cell r="K2112">
            <v>0</v>
          </cell>
          <cell r="L2112">
            <v>0</v>
          </cell>
          <cell r="O2112">
            <v>0</v>
          </cell>
          <cell r="P2112">
            <v>0</v>
          </cell>
          <cell r="Q2112" t="str">
            <v>BCH|5</v>
          </cell>
        </row>
        <row r="2113">
          <cell r="E2113" t="str">
            <v>2. ROOM READINESS</v>
          </cell>
          <cell r="G2113" t="str">
            <v>2. ROOM READINESS</v>
          </cell>
          <cell r="H2113">
            <v>0</v>
          </cell>
          <cell r="I2113">
            <v>0</v>
          </cell>
          <cell r="J2113">
            <v>0</v>
          </cell>
          <cell r="K2113">
            <v>0</v>
          </cell>
          <cell r="L2113">
            <v>0</v>
          </cell>
          <cell r="O2113">
            <v>0</v>
          </cell>
          <cell r="P2113">
            <v>0</v>
          </cell>
          <cell r="Q2113" t="str">
            <v>BCH|6</v>
          </cell>
        </row>
        <row r="2114">
          <cell r="E2114" t="str">
            <v>2. ROOM READINESS</v>
          </cell>
          <cell r="G2114" t="str">
            <v>Room</v>
          </cell>
          <cell r="H2114" t="str">
            <v>Walls / 1-hr Rating</v>
          </cell>
          <cell r="I2114" t="str">
            <v>Ceiling</v>
          </cell>
          <cell r="J2114" t="str">
            <v>Floor / SDC</v>
          </cell>
          <cell r="K2114" t="str">
            <v>Penetrations</v>
          </cell>
          <cell r="L2114" t="str">
            <v>Access Control</v>
          </cell>
          <cell r="O2114" t="str">
            <v>Overall</v>
          </cell>
          <cell r="P2114" t="str">
            <v>Comments</v>
          </cell>
          <cell r="Q2114" t="str">
            <v>BCH|7</v>
          </cell>
        </row>
        <row r="2115">
          <cell r="E2115" t="str">
            <v>2. ROOM READINESS</v>
          </cell>
          <cell r="G2115" t="str">
            <v>107</v>
          </cell>
          <cell r="H2115" t="str">
            <v>Verify</v>
          </cell>
          <cell r="I2115" t="str">
            <v>Verify</v>
          </cell>
          <cell r="J2115" t="str">
            <v>N/A / TE Scope</v>
          </cell>
          <cell r="K2115" t="str">
            <v>Verify</v>
          </cell>
          <cell r="L2115" t="str">
            <v>Verify Existing</v>
          </cell>
          <cell r="O2115" t="str">
            <v>Verify</v>
          </cell>
          <cell r="P2115" t="str">
            <v>Verify wall backing, mounting height, access clearance, cable tray/sleeve entry, rated wall/firestop requirements, floor/ceiling conditions, ICRA barriers, and whether Room 107 functions as a TE-only space or a telecom room.</v>
          </cell>
          <cell r="Q2115" t="str">
            <v>BCH|8</v>
          </cell>
        </row>
        <row r="2116">
          <cell r="E2116" t="str">
            <v>2. ROOM READINESS</v>
          </cell>
          <cell r="G2116" t="str">
            <v>00 / 107</v>
          </cell>
          <cell r="H2116" t="str">
            <v>Verify</v>
          </cell>
          <cell r="I2116" t="str">
            <v>Verify</v>
          </cell>
          <cell r="J2116" t="str">
            <v>N/A / TE Scope</v>
          </cell>
          <cell r="K2116" t="str">
            <v>Verify</v>
          </cell>
          <cell r="L2116" t="str">
            <v>Verify Existing</v>
          </cell>
          <cell r="O2116" t="str">
            <v>Verify</v>
          </cell>
          <cell r="P2116" t="str">
            <v>Rack elevation conflict requires field/AE confirmation before PMIS closeout. Confirm whether the 12RU wall enclosure or 45RU telecom room rack configuration is the governing installation.</v>
          </cell>
          <cell r="Q2116" t="str">
            <v>BCH|9</v>
          </cell>
        </row>
        <row r="2117">
          <cell r="E2117" t="str">
            <v>2. ROOM READINESS</v>
          </cell>
          <cell r="G2117">
            <v>0</v>
          </cell>
          <cell r="H2117">
            <v>0</v>
          </cell>
          <cell r="I2117">
            <v>0</v>
          </cell>
          <cell r="J2117">
            <v>0</v>
          </cell>
          <cell r="K2117">
            <v>0</v>
          </cell>
          <cell r="L2117">
            <v>0</v>
          </cell>
          <cell r="O2117">
            <v>0</v>
          </cell>
          <cell r="P2117">
            <v>0</v>
          </cell>
          <cell r="Q2117" t="str">
            <v>BCH|10</v>
          </cell>
        </row>
        <row r="2118">
          <cell r="E2118" t="str">
            <v>3. FIRE PROTECTION</v>
          </cell>
          <cell r="G2118" t="str">
            <v>3. FIRE PROTECTION</v>
          </cell>
          <cell r="H2118">
            <v>0</v>
          </cell>
          <cell r="I2118">
            <v>0</v>
          </cell>
          <cell r="J2118">
            <v>0</v>
          </cell>
          <cell r="K2118">
            <v>0</v>
          </cell>
          <cell r="L2118">
            <v>0</v>
          </cell>
          <cell r="O2118">
            <v>0</v>
          </cell>
          <cell r="P2118">
            <v>0</v>
          </cell>
          <cell r="Q2118" t="str">
            <v>BCH|11</v>
          </cell>
        </row>
        <row r="2119">
          <cell r="E2119" t="str">
            <v>3. FIRE PROTECTION</v>
          </cell>
          <cell r="G2119" t="str">
            <v>Room</v>
          </cell>
          <cell r="H2119" t="str">
            <v>Sprinkler</v>
          </cell>
          <cell r="I2119" t="str">
            <v>Cage</v>
          </cell>
          <cell r="J2119" t="str">
            <v>Detector</v>
          </cell>
          <cell r="K2119" t="str">
            <v>Horn/Strobe</v>
          </cell>
          <cell r="L2119" t="str">
            <v>Extinguisher &lt;75 ft</v>
          </cell>
          <cell r="O2119" t="str">
            <v>Overall</v>
          </cell>
          <cell r="P2119" t="str">
            <v>Risk / Notes</v>
          </cell>
          <cell r="Q2119" t="str">
            <v>BCH|12</v>
          </cell>
        </row>
        <row r="2120">
          <cell r="E2120" t="str">
            <v>3. FIRE PROTECTION</v>
          </cell>
          <cell r="G2120" t="str">
            <v>107</v>
          </cell>
          <cell r="H2120" t="str">
            <v>Excluded / Verify</v>
          </cell>
          <cell r="I2120" t="str">
            <v>N/A</v>
          </cell>
          <cell r="J2120" t="str">
            <v>Verify Existing</v>
          </cell>
          <cell r="K2120" t="str">
            <v>Verify Existing</v>
          </cell>
          <cell r="L2120" t="str">
            <v>N/A / Verify</v>
          </cell>
          <cell r="O2120" t="str">
            <v>Verify</v>
          </cell>
          <cell r="P2120" t="str">
            <v>Cover sheet states BCH receives a Telecom Enclosure and mechanical/fire protection scope has been excluded. Still verify existing life-safety protection, rated penetrations, 4-inch sleeve fire caulk, temporary firestopping and abandoned penetration patching.</v>
          </cell>
          <cell r="Q2120" t="str">
            <v>BCH|13</v>
          </cell>
        </row>
        <row r="2121">
          <cell r="E2121" t="str">
            <v>3. FIRE PROTECTION</v>
          </cell>
          <cell r="G2121" t="str">
            <v>00 / 107</v>
          </cell>
          <cell r="H2121" t="str">
            <v>Excluded / Verify</v>
          </cell>
          <cell r="I2121" t="str">
            <v>N/A</v>
          </cell>
          <cell r="J2121" t="str">
            <v>Verify Existing</v>
          </cell>
          <cell r="K2121" t="str">
            <v>Verify Existing</v>
          </cell>
          <cell r="L2121" t="str">
            <v>N/A / Verify</v>
          </cell>
          <cell r="O2121" t="str">
            <v>Verify</v>
          </cell>
          <cell r="P2121" t="str">
            <v>TE-only scope does not appear to require new FEC/fire sprinkler work, but all wall/floor/ceiling penetrations must be sealed and rated assemblies maintained.</v>
          </cell>
          <cell r="Q2121" t="str">
            <v>BCH|14</v>
          </cell>
        </row>
        <row r="2122">
          <cell r="E2122" t="str">
            <v>3. FIRE PROTECTION</v>
          </cell>
          <cell r="G2122">
            <v>0</v>
          </cell>
          <cell r="H2122">
            <v>0</v>
          </cell>
          <cell r="I2122">
            <v>0</v>
          </cell>
          <cell r="J2122">
            <v>0</v>
          </cell>
          <cell r="K2122">
            <v>0</v>
          </cell>
          <cell r="L2122">
            <v>0</v>
          </cell>
          <cell r="O2122">
            <v>0</v>
          </cell>
          <cell r="P2122">
            <v>0</v>
          </cell>
          <cell r="Q2122" t="str">
            <v>BCH|15</v>
          </cell>
        </row>
        <row r="2123">
          <cell r="E2123" t="str">
            <v>4. HVAC / COOLING</v>
          </cell>
          <cell r="G2123" t="str">
            <v>4. HVAC / COOLING</v>
          </cell>
          <cell r="H2123">
            <v>0</v>
          </cell>
          <cell r="I2123">
            <v>0</v>
          </cell>
          <cell r="J2123">
            <v>0</v>
          </cell>
          <cell r="K2123">
            <v>0</v>
          </cell>
          <cell r="L2123">
            <v>0</v>
          </cell>
          <cell r="O2123">
            <v>0</v>
          </cell>
          <cell r="P2123">
            <v>0</v>
          </cell>
          <cell r="Q2123" t="str">
            <v>BCH|16</v>
          </cell>
        </row>
        <row r="2124">
          <cell r="E2124" t="str">
            <v>4. HVAC / COOLING</v>
          </cell>
          <cell r="G2124" t="str">
            <v>Room</v>
          </cell>
          <cell r="H2124" t="str">
            <v>Dedicated Unit</v>
          </cell>
          <cell r="I2124" t="str">
            <v>Capacity Verified</v>
          </cell>
          <cell r="J2124" t="str">
            <v>Emergency Power</v>
          </cell>
          <cell r="K2124" t="str">
            <v>Controls / BACnet</v>
          </cell>
          <cell r="L2124" t="str">
            <v>Condensate Routed</v>
          </cell>
          <cell r="O2124" t="str">
            <v>Overall</v>
          </cell>
          <cell r="P2124" t="str">
            <v>Risk / Notes</v>
          </cell>
          <cell r="Q2124" t="str">
            <v>BCH|17</v>
          </cell>
        </row>
        <row r="2125">
          <cell r="E2125" t="str">
            <v>4. HVAC / COOLING</v>
          </cell>
          <cell r="G2125" t="str">
            <v>107</v>
          </cell>
          <cell r="H2125" t="str">
            <v>Excluded</v>
          </cell>
          <cell r="I2125" t="str">
            <v>N/A</v>
          </cell>
          <cell r="J2125" t="str">
            <v>N/A</v>
          </cell>
          <cell r="K2125" t="str">
            <v>N/A</v>
          </cell>
          <cell r="L2125" t="str">
            <v>N/A</v>
          </cell>
          <cell r="O2125" t="str">
            <v>N/A</v>
          </cell>
          <cell r="P2125" t="str">
            <v>Cover sheet explicitly excludes mechanical scope. Verify existing room ambient conditions are acceptable for TE equipment and that no active network equipment will overheat.</v>
          </cell>
          <cell r="Q2125" t="str">
            <v>BCH|18</v>
          </cell>
        </row>
        <row r="2126">
          <cell r="E2126" t="str">
            <v>4. HVAC / COOLING</v>
          </cell>
          <cell r="G2126" t="str">
            <v>00 / 107</v>
          </cell>
          <cell r="H2126" t="str">
            <v>Excluded</v>
          </cell>
          <cell r="I2126" t="str">
            <v>N/A</v>
          </cell>
          <cell r="J2126" t="str">
            <v>N/A</v>
          </cell>
          <cell r="K2126" t="str">
            <v>N/A</v>
          </cell>
          <cell r="L2126" t="str">
            <v>N/A</v>
          </cell>
          <cell r="O2126" t="str">
            <v>N/A</v>
          </cell>
          <cell r="P2126" t="str">
            <v>If the final scope is a 45RU new telecom room rather than a small TE, HVAC exclusion should be confirmed with VA/AE because telecom-room heat load may differ from TE assumptions.</v>
          </cell>
          <cell r="Q2126" t="str">
            <v>BCH|19</v>
          </cell>
        </row>
        <row r="2127">
          <cell r="E2127" t="str">
            <v>4. HVAC / COOLING</v>
          </cell>
          <cell r="G2127">
            <v>0</v>
          </cell>
          <cell r="H2127">
            <v>0</v>
          </cell>
          <cell r="I2127">
            <v>0</v>
          </cell>
          <cell r="J2127">
            <v>0</v>
          </cell>
          <cell r="K2127">
            <v>0</v>
          </cell>
          <cell r="L2127">
            <v>0</v>
          </cell>
          <cell r="O2127">
            <v>0</v>
          </cell>
          <cell r="P2127">
            <v>0</v>
          </cell>
          <cell r="Q2127" t="str">
            <v>BCH|20</v>
          </cell>
        </row>
        <row r="2128">
          <cell r="E2128" t="str">
            <v>5. ELECTRICAL / UPS</v>
          </cell>
          <cell r="G2128" t="str">
            <v>5. ELECTRICAL / UPS</v>
          </cell>
          <cell r="H2128">
            <v>0</v>
          </cell>
          <cell r="I2128">
            <v>0</v>
          </cell>
          <cell r="J2128">
            <v>0</v>
          </cell>
          <cell r="K2128">
            <v>0</v>
          </cell>
          <cell r="L2128">
            <v>0</v>
          </cell>
          <cell r="O2128">
            <v>0</v>
          </cell>
          <cell r="P2128">
            <v>0</v>
          </cell>
          <cell r="Q2128" t="str">
            <v>BCH|21</v>
          </cell>
        </row>
        <row r="2129">
          <cell r="E2129" t="str">
            <v>5. ELECTRICAL / UPS</v>
          </cell>
          <cell r="G2129" t="str">
            <v>Room</v>
          </cell>
          <cell r="H2129" t="str">
            <v>UPS Installed</v>
          </cell>
          <cell r="I2129" t="str">
            <v>UPS Size</v>
          </cell>
          <cell r="J2129" t="str">
            <v>PDU Installed</v>
          </cell>
          <cell r="K2129" t="str">
            <v>Rack Receptacles</v>
          </cell>
          <cell r="L2129" t="str">
            <v>Panel Assigned</v>
          </cell>
          <cell r="O2129" t="str">
            <v>Overall</v>
          </cell>
          <cell r="P2129" t="str">
            <v>Notes</v>
          </cell>
          <cell r="Q2129" t="str">
            <v>BCH|22</v>
          </cell>
        </row>
        <row r="2130">
          <cell r="E2130" t="str">
            <v>5. ELECTRICAL / UPS</v>
          </cell>
          <cell r="G2130" t="str">
            <v>107</v>
          </cell>
          <cell r="H2130" t="str">
            <v>Verify</v>
          </cell>
          <cell r="I2130" t="str">
            <v>APC UPS / TE enclosure</v>
          </cell>
          <cell r="J2130" t="str">
            <v>Verify</v>
          </cell>
          <cell r="K2130" t="str">
            <v>Verify</v>
          </cell>
          <cell r="L2130" t="str">
            <v>BCHE-101 / BCHE-601 source to verify</v>
          </cell>
          <cell r="O2130" t="str">
            <v>Verify</v>
          </cell>
          <cell r="P2130" t="str">
            <v>Electrical plan includes first-level electrical work and notes for new wall-mount telecom enclosure, grounding/bonding and camera. Verify circuit source, receptacle type, UPS/PDU load, emergency source if required, grounding/bonding and labels.</v>
          </cell>
          <cell r="Q2130" t="str">
            <v>BCH|23</v>
          </cell>
        </row>
        <row r="2131">
          <cell r="E2131" t="str">
            <v>5. ELECTRICAL / UPS</v>
          </cell>
          <cell r="G2131" t="str">
            <v>00 / 107</v>
          </cell>
          <cell r="H2131" t="str">
            <v>Verify</v>
          </cell>
          <cell r="I2131" t="str">
            <v>APC UPS / 12RU enclosure or 5kW rack UPS if room rack governs</v>
          </cell>
          <cell r="J2131" t="str">
            <v>Verify</v>
          </cell>
          <cell r="K2131" t="str">
            <v>Verify</v>
          </cell>
          <cell r="L2131" t="str">
            <v>Verify</v>
          </cell>
          <cell r="O2131" t="str">
            <v>Verify</v>
          </cell>
          <cell r="P2131" t="str">
            <v>BCHT-604 shows 12RU TE equipment with APC UPS and PDUs and also a BCH 45RU new telecom room elevation. Confirm exact UPS/PDU/rack power requirement before acceptance.</v>
          </cell>
          <cell r="Q2131" t="str">
            <v>BCH|24</v>
          </cell>
        </row>
        <row r="2132">
          <cell r="E2132" t="str">
            <v>5. ELECTRICAL / UPS</v>
          </cell>
          <cell r="G2132">
            <v>0</v>
          </cell>
          <cell r="H2132">
            <v>0</v>
          </cell>
          <cell r="I2132">
            <v>0</v>
          </cell>
          <cell r="J2132">
            <v>0</v>
          </cell>
          <cell r="K2132">
            <v>0</v>
          </cell>
          <cell r="L2132">
            <v>0</v>
          </cell>
          <cell r="O2132">
            <v>0</v>
          </cell>
          <cell r="P2132">
            <v>0</v>
          </cell>
          <cell r="Q2132" t="str">
            <v>BCH|25</v>
          </cell>
        </row>
        <row r="2133">
          <cell r="E2133" t="str">
            <v>6. TELECOMMUNICATIONS</v>
          </cell>
          <cell r="G2133" t="str">
            <v>6. TELECOMMUNICATIONS</v>
          </cell>
          <cell r="H2133">
            <v>0</v>
          </cell>
          <cell r="I2133">
            <v>0</v>
          </cell>
          <cell r="J2133">
            <v>0</v>
          </cell>
          <cell r="K2133">
            <v>0</v>
          </cell>
          <cell r="L2133">
            <v>0</v>
          </cell>
          <cell r="O2133">
            <v>0</v>
          </cell>
          <cell r="P2133">
            <v>0</v>
          </cell>
          <cell r="Q2133" t="str">
            <v>BCH|26</v>
          </cell>
        </row>
        <row r="2134">
          <cell r="E2134" t="str">
            <v>6. TELECOMMUNICATIONS</v>
          </cell>
          <cell r="G2134" t="str">
            <v>Room</v>
          </cell>
          <cell r="H2134" t="str">
            <v>Rack Installed</v>
          </cell>
          <cell r="I2134" t="str">
            <v>Ladder Tray</v>
          </cell>
          <cell r="J2134" t="str">
            <v>Fiber Installed</v>
          </cell>
          <cell r="K2134" t="str">
            <v>Grounding</v>
          </cell>
          <cell r="L2134" t="str">
            <v>Labeling</v>
          </cell>
          <cell r="O2134" t="str">
            <v>Overall</v>
          </cell>
          <cell r="P2134" t="str">
            <v>Notes</v>
          </cell>
          <cell r="Q2134" t="str">
            <v>BCH|27</v>
          </cell>
        </row>
        <row r="2135">
          <cell r="E2135" t="str">
            <v>6. TELECOMMUNICATIONS</v>
          </cell>
          <cell r="G2135" t="str">
            <v>107</v>
          </cell>
          <cell r="H2135" t="str">
            <v>Verify</v>
          </cell>
          <cell r="I2135" t="str">
            <v>Verify</v>
          </cell>
          <cell r="J2135" t="str">
            <v>Verify</v>
          </cell>
          <cell r="K2135" t="str">
            <v>Verify</v>
          </cell>
          <cell r="L2135" t="str">
            <v>Verify</v>
          </cell>
          <cell r="O2135" t="str">
            <v>Verify</v>
          </cell>
          <cell r="P2135" t="str">
            <v>BCHT-101 identifies telecom plan first level and enlarged Room 107. BCHT-604 identifies new telecom room/no existing elevations. There is no BCHT-701 schedule in the drawing index, so WAO/cable-tray totals must be field verified from plans and contractor coordination drawings.</v>
          </cell>
          <cell r="Q2135" t="str">
            <v>BCH|28</v>
          </cell>
        </row>
        <row r="2136">
          <cell r="E2136" t="str">
            <v>6. TELECOMMUNICATIONS</v>
          </cell>
          <cell r="G2136" t="str">
            <v>00 / 107</v>
          </cell>
          <cell r="H2136" t="str">
            <v>Verify</v>
          </cell>
          <cell r="I2136" t="str">
            <v>Verify</v>
          </cell>
          <cell r="J2136" t="str">
            <v>Verify</v>
          </cell>
          <cell r="K2136" t="str">
            <v>Verify</v>
          </cell>
          <cell r="L2136" t="str">
            <v>Verify</v>
          </cell>
          <cell r="O2136" t="str">
            <v>Verify</v>
          </cell>
          <cell r="P2136" t="str">
            <v>BCHT-604 identifies a 12RU TE elevation: APC UPS, two PDUs, network switch, 48-port Cat6A patch panel and Fiber LIU. Also shows BCH Crescent House Room 107 new telecom room elevation. Confirm governing rack/enclosure and labeling.</v>
          </cell>
          <cell r="Q2136" t="str">
            <v>BCH|29</v>
          </cell>
        </row>
        <row r="2137">
          <cell r="E2137" t="str">
            <v>6. TELECOMMUNICATIONS</v>
          </cell>
          <cell r="G2137">
            <v>0</v>
          </cell>
          <cell r="H2137">
            <v>0</v>
          </cell>
          <cell r="I2137">
            <v>0</v>
          </cell>
          <cell r="J2137">
            <v>0</v>
          </cell>
          <cell r="K2137">
            <v>0</v>
          </cell>
          <cell r="L2137">
            <v>0</v>
          </cell>
          <cell r="O2137">
            <v>0</v>
          </cell>
          <cell r="P2137">
            <v>0</v>
          </cell>
          <cell r="Q2137" t="str">
            <v>BCH|30</v>
          </cell>
        </row>
        <row r="2138">
          <cell r="E2138" t="str">
            <v>7. SECURITY / PACS / CCTV</v>
          </cell>
          <cell r="G2138" t="str">
            <v>7. SECURITY / PACS / CCTV</v>
          </cell>
          <cell r="H2138">
            <v>0</v>
          </cell>
          <cell r="I2138">
            <v>0</v>
          </cell>
          <cell r="J2138">
            <v>0</v>
          </cell>
          <cell r="K2138">
            <v>0</v>
          </cell>
          <cell r="L2138">
            <v>0</v>
          </cell>
          <cell r="O2138">
            <v>0</v>
          </cell>
          <cell r="P2138">
            <v>0</v>
          </cell>
          <cell r="Q2138" t="str">
            <v>BCH|31</v>
          </cell>
        </row>
        <row r="2139">
          <cell r="E2139" t="str">
            <v>7. SECURITY / PACS / CCTV</v>
          </cell>
          <cell r="G2139" t="str">
            <v>Room</v>
          </cell>
          <cell r="H2139" t="str">
            <v>PACS</v>
          </cell>
          <cell r="I2139" t="str">
            <v>Card Reader</v>
          </cell>
          <cell r="J2139" t="str">
            <v>Door Position</v>
          </cell>
          <cell r="K2139" t="str">
            <v>Electric Strike</v>
          </cell>
          <cell r="L2139" t="str">
            <v>CCTV</v>
          </cell>
          <cell r="O2139" t="str">
            <v>Overall</v>
          </cell>
          <cell r="P2139" t="str">
            <v>Notes</v>
          </cell>
          <cell r="Q2139" t="str">
            <v>BCH|32</v>
          </cell>
        </row>
        <row r="2140">
          <cell r="E2140" t="str">
            <v>7. SECURITY / PACS / CCTV</v>
          </cell>
          <cell r="G2140" t="str">
            <v>107</v>
          </cell>
          <cell r="H2140" t="str">
            <v>N/A / Verify</v>
          </cell>
          <cell r="I2140" t="str">
            <v>N/A / Verify</v>
          </cell>
          <cell r="J2140" t="str">
            <v>N/A / Verify</v>
          </cell>
          <cell r="K2140" t="str">
            <v>N/A / Verify</v>
          </cell>
          <cell r="L2140" t="str">
            <v>Verify</v>
          </cell>
          <cell r="O2140" t="str">
            <v>Verify</v>
          </cell>
          <cell r="P2140" t="str">
            <v>Telecom/electrical notes reference new IP-addressable camera with wall mount at 8'-6" A.F.F. and VMS integration. Verify whether PACS applies; TE buildings typically do not create full TR door/PACS scope.</v>
          </cell>
          <cell r="Q2140" t="str">
            <v>BCH|33</v>
          </cell>
        </row>
        <row r="2141">
          <cell r="E2141" t="str">
            <v>7. SECURITY / PACS / CCTV</v>
          </cell>
          <cell r="G2141" t="str">
            <v>00 / 107</v>
          </cell>
          <cell r="H2141" t="str">
            <v>N/A / Verify</v>
          </cell>
          <cell r="I2141" t="str">
            <v>N/A / Verify</v>
          </cell>
          <cell r="J2141" t="str">
            <v>N/A / Verify</v>
          </cell>
          <cell r="K2141" t="str">
            <v>N/A / Verify</v>
          </cell>
          <cell r="L2141" t="str">
            <v>Verify</v>
          </cell>
          <cell r="O2141" t="str">
            <v>Verify</v>
          </cell>
          <cell r="P2141" t="str">
            <v>Verify existing camera/security conditions, protection-in-place, and any recabling or VMS integration required.</v>
          </cell>
          <cell r="Q2141" t="str">
            <v>BCH|34</v>
          </cell>
        </row>
        <row r="2142">
          <cell r="E2142" t="str">
            <v>7. SECURITY / PACS / CCTV</v>
          </cell>
          <cell r="G2142">
            <v>0</v>
          </cell>
          <cell r="H2142">
            <v>0</v>
          </cell>
          <cell r="I2142">
            <v>0</v>
          </cell>
          <cell r="J2142">
            <v>0</v>
          </cell>
          <cell r="K2142">
            <v>0</v>
          </cell>
          <cell r="L2142">
            <v>0</v>
          </cell>
          <cell r="O2142">
            <v>0</v>
          </cell>
          <cell r="P2142">
            <v>0</v>
          </cell>
          <cell r="Q2142" t="str">
            <v>BCH|35</v>
          </cell>
        </row>
        <row r="2143">
          <cell r="E2143" t="str">
            <v>8. OWNER RISKS</v>
          </cell>
          <cell r="G2143" t="str">
            <v>8. OWNER RISKS</v>
          </cell>
          <cell r="H2143">
            <v>0</v>
          </cell>
          <cell r="I2143">
            <v>0</v>
          </cell>
          <cell r="J2143">
            <v>0</v>
          </cell>
          <cell r="K2143">
            <v>0</v>
          </cell>
          <cell r="L2143">
            <v>0</v>
          </cell>
          <cell r="O2143">
            <v>0</v>
          </cell>
          <cell r="P2143">
            <v>0</v>
          </cell>
          <cell r="Q2143" t="str">
            <v>BCH|36</v>
          </cell>
        </row>
        <row r="2144">
          <cell r="E2144" t="str">
            <v>8. OWNER RISKS</v>
          </cell>
          <cell r="G2144" t="str">
            <v>Risk ID</v>
          </cell>
          <cell r="H2144" t="str">
            <v>Room</v>
          </cell>
          <cell r="I2144" t="str">
            <v>Risk</v>
          </cell>
          <cell r="J2144" t="str">
            <v>Impact</v>
          </cell>
          <cell r="K2144" t="str">
            <v>Probability</v>
          </cell>
          <cell r="L2144" t="str">
            <v>Score</v>
          </cell>
          <cell r="O2144" t="str">
            <v>Status</v>
          </cell>
          <cell r="P2144" t="str">
            <v>Notes</v>
          </cell>
          <cell r="Q2144" t="str">
            <v>BCH|37</v>
          </cell>
        </row>
        <row r="2145">
          <cell r="E2145" t="str">
            <v>8. OWNER RISKS</v>
          </cell>
          <cell r="G2145" t="str">
            <v>BCH-R1</v>
          </cell>
          <cell r="H2145" t="str">
            <v>All</v>
          </cell>
          <cell r="I2145" t="str">
            <v>Existing conditions for Crescent House Room 107 not field verified</v>
          </cell>
          <cell r="J2145" t="str">
            <v>High</v>
          </cell>
          <cell r="K2145" t="str">
            <v>Medium</v>
          </cell>
          <cell r="L2145">
            <v>6</v>
          </cell>
          <cell r="O2145" t="str">
            <v>Open</v>
          </cell>
          <cell r="P2145" t="str">
            <v>BCH is off-site at 15 Veterans Way, Lowell and requires careful field verification.</v>
          </cell>
          <cell r="Q2145" t="str">
            <v>BCH|38</v>
          </cell>
        </row>
        <row r="2146">
          <cell r="E2146" t="str">
            <v>8. OWNER RISKS</v>
          </cell>
          <cell r="G2146" t="str">
            <v>BCH-R2</v>
          </cell>
          <cell r="H2146" t="str">
            <v>107</v>
          </cell>
          <cell r="I2146" t="str">
            <v>Mechanical and fire protection are excluded despite telecom/electronics installation</v>
          </cell>
          <cell r="J2146" t="str">
            <v>High</v>
          </cell>
          <cell r="K2146" t="str">
            <v>Medium</v>
          </cell>
          <cell r="L2146">
            <v>6</v>
          </cell>
          <cell r="O2146" t="str">
            <v>Open</v>
          </cell>
          <cell r="P2146" t="str">
            <v>Cover sheet explicitly excludes mechanical and fire protection.</v>
          </cell>
          <cell r="Q2146" t="str">
            <v>BCH|39</v>
          </cell>
        </row>
        <row r="2147">
          <cell r="E2147" t="str">
            <v>8. OWNER RISKS</v>
          </cell>
          <cell r="G2147" t="str">
            <v>BCH-R3</v>
          </cell>
          <cell r="H2147" t="str">
            <v>107 / 00</v>
          </cell>
          <cell r="I2147" t="str">
            <v>Rack/elevation conflict: TE 12RU enclosure versus BCH Room 107 new telecom room elevation</v>
          </cell>
          <cell r="J2147" t="str">
            <v>High</v>
          </cell>
          <cell r="K2147" t="str">
            <v>Medium</v>
          </cell>
          <cell r="L2147">
            <v>6</v>
          </cell>
          <cell r="O2147" t="str">
            <v>Open</v>
          </cell>
          <cell r="P2147" t="str">
            <v>BCHT-604 includes both TE enclosure and BCH 45RU new telecom room/no existing elevations.</v>
          </cell>
          <cell r="Q2147" t="str">
            <v>BCH|40</v>
          </cell>
        </row>
        <row r="2148">
          <cell r="E2148" t="str">
            <v>8. OWNER RISKS</v>
          </cell>
          <cell r="G2148" t="str">
            <v>BCH-R4</v>
          </cell>
          <cell r="H2148" t="str">
            <v>107</v>
          </cell>
          <cell r="I2148" t="str">
            <v>Active services and existing devices may require phasing/temporary service</v>
          </cell>
          <cell r="J2148" t="str">
            <v>Critical</v>
          </cell>
          <cell r="K2148" t="str">
            <v>Medium</v>
          </cell>
          <cell r="L2148">
            <v>8</v>
          </cell>
          <cell r="O2148" t="str">
            <v>Open</v>
          </cell>
          <cell r="P2148" t="str">
            <v>General telecom notes require transfer/phasing and avoiding shutdowns.</v>
          </cell>
          <cell r="Q2148" t="str">
            <v>BCH|41</v>
          </cell>
        </row>
        <row r="2149">
          <cell r="E2149" t="str">
            <v>8. OWNER RISKS</v>
          </cell>
          <cell r="G2149" t="str">
            <v>BCH-R5</v>
          </cell>
          <cell r="H2149" t="str">
            <v>107</v>
          </cell>
          <cell r="I2149" t="str">
            <v>UPS/PDU/receptacle source and grounding/bonding not verified</v>
          </cell>
          <cell r="J2149" t="str">
            <v>High</v>
          </cell>
          <cell r="K2149" t="str">
            <v>Medium</v>
          </cell>
          <cell r="L2149">
            <v>6</v>
          </cell>
          <cell r="O2149" t="str">
            <v>Open</v>
          </cell>
          <cell r="P2149" t="str">
            <v>Electrical sheets included but no full mechanical/FP package.</v>
          </cell>
          <cell r="Q2149" t="str">
            <v>BCH|42</v>
          </cell>
        </row>
        <row r="2150">
          <cell r="E2150" t="str">
            <v>8. OWNER RISKS</v>
          </cell>
          <cell r="G2150" t="str">
            <v>BCH-R6</v>
          </cell>
          <cell r="H2150" t="str">
            <v>All</v>
          </cell>
          <cell r="I2150" t="str">
            <v>Cable tray, sleeve and pathway quantities not scheduled in a BCHT-701 sheet</v>
          </cell>
          <cell r="J2150" t="str">
            <v>High</v>
          </cell>
          <cell r="K2150" t="str">
            <v>Medium</v>
          </cell>
          <cell r="L2150">
            <v>6</v>
          </cell>
          <cell r="O2150" t="str">
            <v>Open</v>
          </cell>
          <cell r="P2150" t="str">
            <v>Drawing index does not list BCHT-701 telecom schedules.</v>
          </cell>
          <cell r="Q2150" t="str">
            <v>BCH|43</v>
          </cell>
        </row>
        <row r="2151">
          <cell r="E2151" t="str">
            <v>8. OWNER RISKS</v>
          </cell>
          <cell r="G2151" t="str">
            <v>BCH-R7</v>
          </cell>
          <cell r="H2151" t="str">
            <v>All</v>
          </cell>
          <cell r="I2151" t="str">
            <v>Firestopping/rated sleeve work could be missed because FP scope is excluded</v>
          </cell>
          <cell r="J2151" t="str">
            <v>High</v>
          </cell>
          <cell r="K2151" t="str">
            <v>Medium</v>
          </cell>
          <cell r="L2151">
            <v>6</v>
          </cell>
          <cell r="O2151" t="str">
            <v>Open</v>
          </cell>
          <cell r="P2151" t="str">
            <v>Telecom plan notes still require fire caulk and rated penetration protection.</v>
          </cell>
          <cell r="Q2151" t="str">
            <v>BCH|44</v>
          </cell>
        </row>
        <row r="2152">
          <cell r="E2152" t="str">
            <v>8. OWNER RISKS</v>
          </cell>
          <cell r="G2152" t="str">
            <v>BCH-R8</v>
          </cell>
          <cell r="H2152" t="str">
            <v>All</v>
          </cell>
          <cell r="I2152" t="str">
            <v>Turnover documentation may be incomplete due to TE-only/off-site scope</v>
          </cell>
          <cell r="J2152" t="str">
            <v>High</v>
          </cell>
          <cell r="K2152" t="str">
            <v>Medium</v>
          </cell>
          <cell r="L2152">
            <v>6</v>
          </cell>
          <cell r="O2152" t="str">
            <v>Open</v>
          </cell>
          <cell r="P2152" t="str">
            <v>Commissioning/testing requirements still apply to impacted systems.</v>
          </cell>
          <cell r="Q2152" t="str">
            <v>BCH|45</v>
          </cell>
        </row>
        <row r="2153">
          <cell r="E2153" t="str">
            <v>8. OWNER RISKS</v>
          </cell>
          <cell r="G2153">
            <v>0</v>
          </cell>
          <cell r="H2153">
            <v>0</v>
          </cell>
          <cell r="I2153">
            <v>0</v>
          </cell>
          <cell r="J2153">
            <v>0</v>
          </cell>
          <cell r="K2153">
            <v>0</v>
          </cell>
          <cell r="L2153">
            <v>0</v>
          </cell>
          <cell r="O2153">
            <v>0</v>
          </cell>
          <cell r="P2153">
            <v>0</v>
          </cell>
          <cell r="Q2153" t="str">
            <v>BCH|46</v>
          </cell>
        </row>
        <row r="2154">
          <cell r="E2154" t="str">
            <v>9. OPEN QUESTIONS</v>
          </cell>
          <cell r="G2154" t="str">
            <v>9. OPEN QUESTIONS</v>
          </cell>
          <cell r="H2154">
            <v>0</v>
          </cell>
          <cell r="I2154">
            <v>0</v>
          </cell>
          <cell r="J2154">
            <v>0</v>
          </cell>
          <cell r="K2154">
            <v>0</v>
          </cell>
          <cell r="L2154">
            <v>0</v>
          </cell>
          <cell r="O2154">
            <v>0</v>
          </cell>
          <cell r="P2154">
            <v>0</v>
          </cell>
          <cell r="Q2154" t="str">
            <v>BCH|47</v>
          </cell>
        </row>
        <row r="2155">
          <cell r="E2155" t="str">
            <v>9. OPEN QUESTIONS</v>
          </cell>
          <cell r="G2155" t="str">
            <v>Question ID</v>
          </cell>
          <cell r="H2155" t="str">
            <v>Question</v>
          </cell>
          <cell r="I2155" t="str">
            <v>Assigned To</v>
          </cell>
          <cell r="J2155" t="str">
            <v>Status</v>
          </cell>
          <cell r="K2155" t="str">
            <v>Needed By</v>
          </cell>
          <cell r="L2155" t="str">
            <v>Answer / Resolution</v>
          </cell>
          <cell r="O2155" t="str">
            <v>Date Closed</v>
          </cell>
          <cell r="P2155" t="str">
            <v>Notes</v>
          </cell>
          <cell r="Q2155" t="str">
            <v>BCH|48</v>
          </cell>
        </row>
        <row r="2156">
          <cell r="E2156" t="str">
            <v>9. OPEN QUESTIONS</v>
          </cell>
          <cell r="G2156" t="str">
            <v>BCH-Q1</v>
          </cell>
          <cell r="H2156" t="str">
            <v>Confirm final BCH scope: Room 107 TE enclosure only, or a new telecom room/rack buildout?</v>
          </cell>
          <cell r="I2156" t="str">
            <v>VA / AE / OIT</v>
          </cell>
          <cell r="J2156" t="str">
            <v>Open</v>
          </cell>
          <cell r="K2156">
            <v>0</v>
          </cell>
          <cell r="L2156">
            <v>0</v>
          </cell>
          <cell r="O2156">
            <v>0</v>
          </cell>
          <cell r="P2156">
            <v>0</v>
          </cell>
          <cell r="Q2156" t="str">
            <v>BCH|49</v>
          </cell>
        </row>
        <row r="2157">
          <cell r="E2157" t="str">
            <v>9. OPEN QUESTIONS</v>
          </cell>
          <cell r="G2157" t="str">
            <v>BCH-Q2</v>
          </cell>
          <cell r="H2157" t="str">
            <v>Why does BCHT-604 show a T78 12RU TE enclosure and a separate BCH Crescent House Room 107 new telecom room elevation?</v>
          </cell>
          <cell r="I2157" t="str">
            <v>VA / Designer</v>
          </cell>
          <cell r="J2157" t="str">
            <v>Open</v>
          </cell>
          <cell r="K2157">
            <v>0</v>
          </cell>
          <cell r="L2157">
            <v>0</v>
          </cell>
          <cell r="O2157">
            <v>0</v>
          </cell>
          <cell r="P2157">
            <v>0</v>
          </cell>
          <cell r="Q2157" t="str">
            <v>BCH|50</v>
          </cell>
        </row>
        <row r="2158">
          <cell r="E2158" t="str">
            <v>9. OPEN QUESTIONS</v>
          </cell>
          <cell r="G2158" t="str">
            <v>BCH-Q3</v>
          </cell>
          <cell r="H2158" t="str">
            <v>What active services currently serve Crescent House and where are existing terminations located?</v>
          </cell>
          <cell r="I2158" t="str">
            <v>OIT / Contractor</v>
          </cell>
          <cell r="J2158" t="str">
            <v>Open</v>
          </cell>
          <cell r="K2158">
            <v>0</v>
          </cell>
          <cell r="L2158">
            <v>0</v>
          </cell>
          <cell r="O2158">
            <v>0</v>
          </cell>
          <cell r="P2158">
            <v>0</v>
          </cell>
          <cell r="Q2158" t="str">
            <v>BCH|51</v>
          </cell>
        </row>
        <row r="2159">
          <cell r="E2159" t="str">
            <v>9. OPEN QUESTIONS</v>
          </cell>
          <cell r="G2159" t="str">
            <v>BCH-Q4</v>
          </cell>
          <cell r="H2159" t="str">
            <v>What is the approved power source, receptacle type and circuit capacity for the new UPS/PDU?</v>
          </cell>
          <cell r="I2159" t="str">
            <v>Electrical / Designer</v>
          </cell>
          <cell r="J2159" t="str">
            <v>Open</v>
          </cell>
          <cell r="K2159">
            <v>0</v>
          </cell>
          <cell r="L2159">
            <v>0</v>
          </cell>
          <cell r="O2159">
            <v>0</v>
          </cell>
          <cell r="P2159">
            <v>0</v>
          </cell>
          <cell r="Q2159" t="str">
            <v>BCH|52</v>
          </cell>
        </row>
        <row r="2160">
          <cell r="E2160" t="str">
            <v>9. OPEN QUESTIONS</v>
          </cell>
          <cell r="G2160" t="str">
            <v>BCH-Q5</v>
          </cell>
          <cell r="H2160" t="str">
            <v>Is existing HVAC/ambient condition acceptable for TE/network equipment since mechanical scope is excluded?</v>
          </cell>
          <cell r="I2160" t="str">
            <v>VA / OIT / Facilities</v>
          </cell>
          <cell r="J2160" t="str">
            <v>Open</v>
          </cell>
          <cell r="K2160">
            <v>0</v>
          </cell>
          <cell r="L2160">
            <v>0</v>
          </cell>
          <cell r="O2160">
            <v>0</v>
          </cell>
          <cell r="P2160">
            <v>0</v>
          </cell>
          <cell r="Q2160" t="str">
            <v>BCH|53</v>
          </cell>
        </row>
        <row r="2161">
          <cell r="E2161" t="str">
            <v>9. OPEN QUESTIONS</v>
          </cell>
          <cell r="G2161" t="str">
            <v>BCH-Q6</v>
          </cell>
          <cell r="H2161" t="str">
            <v>Are cable tray route, sleeve locations, supports and firestopping details shown/field verified without a BCHT-701 schedule?</v>
          </cell>
          <cell r="I2161" t="str">
            <v>Telecom / GC / Firestop</v>
          </cell>
          <cell r="J2161" t="str">
            <v>Open</v>
          </cell>
          <cell r="K2161">
            <v>0</v>
          </cell>
          <cell r="L2161">
            <v>0</v>
          </cell>
          <cell r="O2161">
            <v>0</v>
          </cell>
          <cell r="P2161">
            <v>0</v>
          </cell>
          <cell r="Q2161" t="str">
            <v>BCH|54</v>
          </cell>
        </row>
        <row r="2162">
          <cell r="E2162" t="str">
            <v>9. OPEN QUESTIONS</v>
          </cell>
          <cell r="G2162" t="str">
            <v>BCH-Q7</v>
          </cell>
          <cell r="H2162" t="str">
            <v>Are camera/security devices required, protected and integrated into VMS for Room 107?</v>
          </cell>
          <cell r="I2162" t="str">
            <v>Security / OIT</v>
          </cell>
          <cell r="J2162" t="str">
            <v>Open</v>
          </cell>
          <cell r="K2162">
            <v>0</v>
          </cell>
          <cell r="L2162">
            <v>0</v>
          </cell>
          <cell r="O2162">
            <v>0</v>
          </cell>
          <cell r="P2162">
            <v>0</v>
          </cell>
          <cell r="Q2162" t="str">
            <v>BCH|55</v>
          </cell>
        </row>
        <row r="2163">
          <cell r="E2163" t="str">
            <v>9. OPEN QUESTIONS</v>
          </cell>
          <cell r="G2163" t="str">
            <v>BCH-Q8</v>
          </cell>
          <cell r="H2163" t="str">
            <v>Which test records and turnover documents are required for BCH TE/off-site acceptance?</v>
          </cell>
          <cell r="I2163" t="str">
            <v>GC / Cx Manager / OIT</v>
          </cell>
          <cell r="J2163" t="str">
            <v>Open</v>
          </cell>
          <cell r="K2163">
            <v>0</v>
          </cell>
          <cell r="L2163">
            <v>0</v>
          </cell>
          <cell r="O2163">
            <v>0</v>
          </cell>
          <cell r="P2163">
            <v>0</v>
          </cell>
          <cell r="Q2163" t="str">
            <v>BCH|56</v>
          </cell>
        </row>
        <row r="2164">
          <cell r="E2164" t="str">
            <v>9. OPEN QUESTIONS</v>
          </cell>
          <cell r="G2164">
            <v>0</v>
          </cell>
          <cell r="H2164">
            <v>0</v>
          </cell>
          <cell r="I2164">
            <v>0</v>
          </cell>
          <cell r="J2164">
            <v>0</v>
          </cell>
          <cell r="K2164">
            <v>0</v>
          </cell>
          <cell r="L2164">
            <v>0</v>
          </cell>
          <cell r="O2164">
            <v>0</v>
          </cell>
          <cell r="P2164">
            <v>0</v>
          </cell>
          <cell r="Q2164" t="str">
            <v>BCH|57</v>
          </cell>
        </row>
        <row r="2165">
          <cell r="E2165" t="str">
            <v>10. PHOTO LOG</v>
          </cell>
          <cell r="G2165" t="str">
            <v>10. PHOTO LOG</v>
          </cell>
          <cell r="H2165">
            <v>0</v>
          </cell>
          <cell r="I2165">
            <v>0</v>
          </cell>
          <cell r="J2165">
            <v>0</v>
          </cell>
          <cell r="K2165">
            <v>0</v>
          </cell>
          <cell r="L2165">
            <v>0</v>
          </cell>
          <cell r="O2165">
            <v>0</v>
          </cell>
          <cell r="P2165">
            <v>0</v>
          </cell>
          <cell r="Q2165" t="str">
            <v>BCH|58</v>
          </cell>
        </row>
        <row r="2166">
          <cell r="E2166" t="str">
            <v>10. PHOTO LOG</v>
          </cell>
          <cell r="G2166" t="str">
            <v>Photo ID</v>
          </cell>
          <cell r="H2166" t="str">
            <v>Room</v>
          </cell>
          <cell r="I2166" t="str">
            <v>Category</v>
          </cell>
          <cell r="J2166" t="str">
            <v>Description</v>
          </cell>
          <cell r="K2166" t="str">
            <v>Date</v>
          </cell>
          <cell r="L2166" t="str">
            <v>Taken By</v>
          </cell>
          <cell r="O2166" t="str">
            <v>Status</v>
          </cell>
          <cell r="P2166" t="str">
            <v>Notes</v>
          </cell>
          <cell r="Q2166" t="str">
            <v>BCH|59</v>
          </cell>
        </row>
        <row r="2167">
          <cell r="E2167" t="str">
            <v>10. PHOTO LOG</v>
          </cell>
          <cell r="G2167" t="str">
            <v>BCH-P001</v>
          </cell>
          <cell r="H2167" t="str">
            <v>107</v>
          </cell>
          <cell r="I2167" t="str">
            <v>Existing Condition</v>
          </cell>
          <cell r="J2167" t="str">
            <v>Room 107 walls, ceiling, floor, wall backing, clearances, existing devices, power source, cable path, and proposed TE/rack location</v>
          </cell>
          <cell r="K2167">
            <v>0</v>
          </cell>
          <cell r="L2167" t="str">
            <v>Paul</v>
          </cell>
          <cell r="O2167" t="str">
            <v>Open</v>
          </cell>
          <cell r="P2167">
            <v>0</v>
          </cell>
          <cell r="Q2167" t="str">
            <v>BCH|60</v>
          </cell>
        </row>
        <row r="2168">
          <cell r="E2168" t="str">
            <v>10. PHOTO LOG</v>
          </cell>
          <cell r="G2168" t="str">
            <v>BCH-P002</v>
          </cell>
          <cell r="H2168" t="str">
            <v>107</v>
          </cell>
          <cell r="I2168" t="str">
            <v>Electrical</v>
          </cell>
          <cell r="J2168" t="str">
            <v>Panel/source, receptacles, UPS/PDU location, grounding/bonding bar, labels and access clearance</v>
          </cell>
          <cell r="K2168">
            <v>0</v>
          </cell>
          <cell r="L2168" t="str">
            <v>Paul</v>
          </cell>
          <cell r="O2168" t="str">
            <v>Open</v>
          </cell>
          <cell r="P2168">
            <v>0</v>
          </cell>
          <cell r="Q2168" t="str">
            <v>BCH|61</v>
          </cell>
        </row>
        <row r="2169">
          <cell r="E2169" t="str">
            <v>10. PHOTO LOG</v>
          </cell>
          <cell r="G2169" t="str">
            <v>BCH-P003</v>
          </cell>
          <cell r="H2169" t="str">
            <v>107</v>
          </cell>
          <cell r="I2169" t="str">
            <v>Telecom</v>
          </cell>
          <cell r="J2169" t="str">
            <v>12RU enclosure or rack location, Fiber LIU, patch panel, network switch, Cat6A terminations, labels and test records</v>
          </cell>
          <cell r="K2169">
            <v>0</v>
          </cell>
          <cell r="L2169" t="str">
            <v>Paul</v>
          </cell>
          <cell r="O2169" t="str">
            <v>Open</v>
          </cell>
          <cell r="P2169">
            <v>0</v>
          </cell>
          <cell r="Q2169" t="str">
            <v>BCH|62</v>
          </cell>
        </row>
        <row r="2170">
          <cell r="E2170" t="str">
            <v>10. PHOTO LOG</v>
          </cell>
          <cell r="G2170" t="str">
            <v>BCH-P004</v>
          </cell>
          <cell r="H2170" t="str">
            <v>107</v>
          </cell>
          <cell r="I2170" t="str">
            <v>Pathway</v>
          </cell>
          <cell r="J2170" t="str">
            <v>Cable tray route, 4-inch sleeves, wall/floor penetrations, support points and 40% fill concerns</v>
          </cell>
          <cell r="K2170">
            <v>0</v>
          </cell>
          <cell r="L2170" t="str">
            <v>Paul</v>
          </cell>
          <cell r="O2170" t="str">
            <v>Open</v>
          </cell>
          <cell r="P2170">
            <v>0</v>
          </cell>
          <cell r="Q2170" t="str">
            <v>BCH|63</v>
          </cell>
        </row>
        <row r="2171">
          <cell r="E2171" t="str">
            <v>10. PHOTO LOG</v>
          </cell>
          <cell r="G2171" t="str">
            <v>BCH-P005</v>
          </cell>
          <cell r="H2171" t="str">
            <v>107</v>
          </cell>
          <cell r="I2171" t="str">
            <v>Firestop</v>
          </cell>
          <cell r="J2171" t="str">
            <v>Rated penetrations, fire caulk and temporary/final firestopping before/after photos</v>
          </cell>
          <cell r="K2171">
            <v>0</v>
          </cell>
          <cell r="L2171" t="str">
            <v>Paul</v>
          </cell>
          <cell r="O2171" t="str">
            <v>Open</v>
          </cell>
          <cell r="P2171">
            <v>0</v>
          </cell>
          <cell r="Q2171" t="str">
            <v>BCH|64</v>
          </cell>
        </row>
        <row r="2172">
          <cell r="E2172" t="str">
            <v>10. PHOTO LOG</v>
          </cell>
          <cell r="G2172" t="str">
            <v>BCH-P006</v>
          </cell>
          <cell r="H2172" t="str">
            <v>107</v>
          </cell>
          <cell r="I2172" t="str">
            <v>HVAC / Existing Environment</v>
          </cell>
          <cell r="J2172" t="str">
            <v>Existing room cooling/ventilation and ambient condition for TE equipment</v>
          </cell>
          <cell r="K2172">
            <v>0</v>
          </cell>
          <cell r="L2172" t="str">
            <v>Paul</v>
          </cell>
          <cell r="O2172" t="str">
            <v>Open</v>
          </cell>
          <cell r="P2172">
            <v>0</v>
          </cell>
          <cell r="Q2172" t="str">
            <v>BCH|65</v>
          </cell>
        </row>
        <row r="2173">
          <cell r="E2173" t="str">
            <v>10. PHOTO LOG</v>
          </cell>
          <cell r="G2173" t="str">
            <v>BCH-P007</v>
          </cell>
          <cell r="H2173" t="str">
            <v>107</v>
          </cell>
          <cell r="I2173" t="str">
            <v>Security / CCTV</v>
          </cell>
          <cell r="J2173" t="str">
            <v>Camera location, existing/security devices, VMS integration, access conditions and protection-in-place</v>
          </cell>
          <cell r="K2173">
            <v>0</v>
          </cell>
          <cell r="L2173" t="str">
            <v>Paul</v>
          </cell>
          <cell r="O2173" t="str">
            <v>Open</v>
          </cell>
          <cell r="P2173">
            <v>0</v>
          </cell>
          <cell r="Q2173" t="str">
            <v>BCH|66</v>
          </cell>
        </row>
        <row r="2174">
          <cell r="E2174" t="str">
            <v>10. PHOTO LOG</v>
          </cell>
          <cell r="G2174" t="str">
            <v>BCH-P008</v>
          </cell>
          <cell r="H2174" t="str">
            <v>All</v>
          </cell>
          <cell r="I2174" t="str">
            <v>Off-site Coordination</v>
          </cell>
          <cell r="J2174" t="str">
            <v>Site access, staging, ICRA/dust control, work area barriers and temporary service conditions</v>
          </cell>
          <cell r="K2174">
            <v>0</v>
          </cell>
          <cell r="L2174" t="str">
            <v>Paul</v>
          </cell>
          <cell r="O2174" t="str">
            <v>Open</v>
          </cell>
          <cell r="P2174">
            <v>0</v>
          </cell>
          <cell r="Q2174" t="str">
            <v>BCH|67</v>
          </cell>
        </row>
        <row r="2175">
          <cell r="E2175" t="str">
            <v>10. PHOTO LOG</v>
          </cell>
          <cell r="G2175">
            <v>0</v>
          </cell>
          <cell r="H2175">
            <v>0</v>
          </cell>
          <cell r="I2175">
            <v>0</v>
          </cell>
          <cell r="J2175">
            <v>0</v>
          </cell>
          <cell r="K2175">
            <v>0</v>
          </cell>
          <cell r="L2175">
            <v>0</v>
          </cell>
          <cell r="O2175">
            <v>0</v>
          </cell>
          <cell r="P2175">
            <v>0</v>
          </cell>
          <cell r="Q2175" t="str">
            <v>BCH|68</v>
          </cell>
        </row>
        <row r="2176">
          <cell r="E2176" t="str">
            <v>1. ROOM INVENTORY</v>
          </cell>
          <cell r="G2176" t="str">
            <v>1. ROOM INVENTORY</v>
          </cell>
          <cell r="H2176">
            <v>0</v>
          </cell>
          <cell r="I2176">
            <v>0</v>
          </cell>
          <cell r="J2176">
            <v>0</v>
          </cell>
          <cell r="K2176">
            <v>0</v>
          </cell>
          <cell r="L2176">
            <v>0</v>
          </cell>
          <cell r="O2176">
            <v>0</v>
          </cell>
          <cell r="P2176">
            <v>0</v>
          </cell>
          <cell r="Q2176" t="str">
            <v>MCR|1</v>
          </cell>
        </row>
        <row r="2177">
          <cell r="E2177" t="str">
            <v>1. ROOM INVENTORY</v>
          </cell>
          <cell r="G2177" t="str">
            <v>Building</v>
          </cell>
          <cell r="H2177" t="str">
            <v>Room</v>
          </cell>
          <cell r="I2177" t="str">
            <v>Floor</v>
          </cell>
          <cell r="J2177" t="str">
            <v>Existing Use</v>
          </cell>
          <cell r="K2177" t="str">
            <v>New Use</v>
          </cell>
          <cell r="L2177" t="str">
            <v>Rack Count</v>
          </cell>
          <cell r="O2177" t="str">
            <v>Drawing Ref</v>
          </cell>
          <cell r="P2177" t="str">
            <v>Notes</v>
          </cell>
          <cell r="Q2177" t="str">
            <v>MCR|2</v>
          </cell>
        </row>
        <row r="2178">
          <cell r="E2178" t="str">
            <v>1. ROOM INVENTORY</v>
          </cell>
          <cell r="G2178" t="str">
            <v>MCR</v>
          </cell>
          <cell r="H2178" t="str">
            <v>107 / MCR</v>
          </cell>
          <cell r="I2178" t="str">
            <v>Ground</v>
          </cell>
          <cell r="J2178" t="str">
            <v>New Main Computer Room / MCR building</v>
          </cell>
          <cell r="K2178" t="str">
            <v>Main Computer Room</v>
          </cell>
          <cell r="L2178">
            <v>12</v>
          </cell>
          <cell r="O2178" t="str">
            <v>MCRA-101 / MCRT-100 / MCRT-101 / MCRT-401 / MCRT-607-609 / MCRT-701</v>
          </cell>
          <cell r="P2178" t="str">
            <v>Primary new MCR space. Telecom plans show MDA-A1/A2/A3, MDA-B1/B2/B3, HDA-A, HDA-B, UPS-A and UPS-B. Rack elevations identify MDA A/B racks, HDA A/B server cabinets, existing server cabinet transfer references, 10 WAO total and 359 ft cable tray.</v>
          </cell>
          <cell r="Q2178" t="str">
            <v>MCR|3</v>
          </cell>
        </row>
        <row r="2179">
          <cell r="E2179" t="str">
            <v>1. ROOM INVENTORY</v>
          </cell>
          <cell r="G2179" t="str">
            <v>MCR</v>
          </cell>
          <cell r="H2179" t="str">
            <v>031 / Fiber Entrance Room 1</v>
          </cell>
          <cell r="I2179" t="str">
            <v>Ground</v>
          </cell>
          <cell r="J2179" t="str">
            <v>Fiber entrance / telecom pathway space</v>
          </cell>
          <cell r="K2179" t="str">
            <v>Fiber Entrance / support room</v>
          </cell>
          <cell r="L2179">
            <v>1</v>
          </cell>
          <cell r="O2179" t="str">
            <v>MCRT-401 / MCRT-701</v>
          </cell>
          <cell r="P2179" t="str">
            <v>MCRT-701 schedule is titled Data Device and Circuit Schedule - Fiber Entrance Room 1 and identifies Rack ID TR01-031-1, four data outlets 31-A/B/C/D and security camera/data devices 07-CAM-03/04/07/08/11.</v>
          </cell>
          <cell r="Q2179" t="str">
            <v>MCR|4</v>
          </cell>
        </row>
        <row r="2180">
          <cell r="E2180" t="str">
            <v>1. ROOM INVENTORY</v>
          </cell>
          <cell r="G2180" t="str">
            <v>MCR</v>
          </cell>
          <cell r="H2180" t="str">
            <v>MDA-A1/A2/A3</v>
          </cell>
          <cell r="I2180" t="str">
            <v>Ground</v>
          </cell>
          <cell r="J2180" t="str">
            <v>New MDA row A</v>
          </cell>
          <cell r="K2180" t="str">
            <v>Main Distribution Area A</v>
          </cell>
          <cell r="L2180">
            <v>3</v>
          </cell>
          <cell r="O2180" t="str">
            <v>MCRT-607</v>
          </cell>
          <cell r="P2180" t="str">
            <v>New MDA A racks: MDA-A-1, MDA-A-2, MDA-A-3. MDA A-2 includes 1RU LIU for hybrid FOC to HDA and 48x Cat6A to HDA. MDA A-1/A-3 reserved for LAN elements/leaf/access or spine/aggregation.</v>
          </cell>
          <cell r="Q2180" t="str">
            <v>MCR|5</v>
          </cell>
        </row>
        <row r="2181">
          <cell r="E2181" t="str">
            <v>1. ROOM INVENTORY</v>
          </cell>
          <cell r="G2181" t="str">
            <v>MCR</v>
          </cell>
          <cell r="H2181" t="str">
            <v>MDA-B1/B2/B3</v>
          </cell>
          <cell r="I2181" t="str">
            <v>Ground</v>
          </cell>
          <cell r="J2181" t="str">
            <v>New MDA row B</v>
          </cell>
          <cell r="K2181" t="str">
            <v>Main Distribution Area B</v>
          </cell>
          <cell r="L2181">
            <v>3</v>
          </cell>
          <cell r="O2181" t="str">
            <v>MCRT-607</v>
          </cell>
          <cell r="P2181" t="str">
            <v>New MDA B racks: MDA-B-1, MDA-B-2, MDA-B-3. MDA B-2 includes 1RU LIU for hybrid FOC to HDA and 48x Cat6A to HDA. Supports redundant B-side backbone/distribution.</v>
          </cell>
          <cell r="Q2181" t="str">
            <v>MCR|6</v>
          </cell>
        </row>
        <row r="2182">
          <cell r="E2182" t="str">
            <v>1. ROOM INVENTORY</v>
          </cell>
          <cell r="G2182" t="str">
            <v>MCR</v>
          </cell>
          <cell r="H2182" t="str">
            <v>HDA-A</v>
          </cell>
          <cell r="I2182" t="str">
            <v>Ground</v>
          </cell>
          <cell r="J2182" t="str">
            <v>New HDA A row</v>
          </cell>
          <cell r="K2182" t="str">
            <v>Horizontal Distribution Area A</v>
          </cell>
          <cell r="L2182">
            <v>1</v>
          </cell>
          <cell r="O2182" t="str">
            <v>MCRT-608</v>
          </cell>
          <cell r="P2182" t="str">
            <v>HDA A-1 new server cabinet front/rear elevation, 48-port Cat6A patch panels, HD fiber LIUs, HD Cat6A patch panel to MDA-A2, and backbone side A/B LIU. Also includes existing B61 server cabinet transfer references.</v>
          </cell>
          <cell r="Q2182" t="str">
            <v>MCR|7</v>
          </cell>
        </row>
        <row r="2183">
          <cell r="E2183" t="str">
            <v>1. ROOM INVENTORY</v>
          </cell>
          <cell r="G2183" t="str">
            <v>MCR</v>
          </cell>
          <cell r="H2183" t="str">
            <v>HDA-B</v>
          </cell>
          <cell r="I2183" t="str">
            <v>Ground</v>
          </cell>
          <cell r="J2183" t="str">
            <v>New HDA B row</v>
          </cell>
          <cell r="K2183" t="str">
            <v>Horizontal Distribution Area B</v>
          </cell>
          <cell r="L2183">
            <v>1</v>
          </cell>
          <cell r="O2183" t="str">
            <v>MCRT-609</v>
          </cell>
          <cell r="P2183" t="str">
            <v>HDA B-1 new server cabinet front/rear elevation, 48-port Cat6A patch panels, HD fiber LIUs, HD Cat6A patch panel to MDA-B2, and duplicate existing B61 server cabinet transfer references.</v>
          </cell>
          <cell r="Q2183" t="str">
            <v>MCR|8</v>
          </cell>
        </row>
        <row r="2184">
          <cell r="E2184" t="str">
            <v>1. ROOM INVENTORY</v>
          </cell>
          <cell r="G2184" t="str">
            <v>MCR</v>
          </cell>
          <cell r="H2184" t="str">
            <v>Existing 107 / 137 Server MCR</v>
          </cell>
          <cell r="I2184" t="str">
            <v>Existing / transition</v>
          </cell>
          <cell r="J2184" t="str">
            <v>Existing MCR/server/core equipment</v>
          </cell>
          <cell r="K2184" t="str">
            <v>Existing equipment transition point</v>
          </cell>
          <cell r="L2184">
            <v>20</v>
          </cell>
          <cell r="O2184" t="str">
            <v>MCRT-604 / MCRT-605 / MCRT-606 / MCRT-608 / MCRT-609</v>
          </cell>
          <cell r="P2184" t="str">
            <v>Existing MCR elevations include Rows 1-3 and existing server cabinet B61 equipment, Cisco core, WAN aggregation, NetScout, Canoga Perkins, Cisco switches, legacy Ortronics patch panels, LIUs, APC/Chatsworth/HP PDUs and UPS equipment. Protect and phase transfer.</v>
          </cell>
          <cell r="Q2184" t="str">
            <v>MCR|9</v>
          </cell>
        </row>
        <row r="2185">
          <cell r="E2185" t="str">
            <v>1. ROOM INVENTORY</v>
          </cell>
          <cell r="G2185">
            <v>0</v>
          </cell>
          <cell r="H2185">
            <v>0</v>
          </cell>
          <cell r="I2185">
            <v>0</v>
          </cell>
          <cell r="J2185">
            <v>0</v>
          </cell>
          <cell r="K2185">
            <v>0</v>
          </cell>
          <cell r="L2185">
            <v>0</v>
          </cell>
          <cell r="O2185">
            <v>0</v>
          </cell>
          <cell r="P2185">
            <v>0</v>
          </cell>
          <cell r="Q2185" t="str">
            <v>MCR|10</v>
          </cell>
        </row>
        <row r="2186">
          <cell r="E2186" t="str">
            <v>2. ROOM READINESS</v>
          </cell>
          <cell r="G2186" t="str">
            <v>2. ROOM READINESS</v>
          </cell>
          <cell r="H2186">
            <v>0</v>
          </cell>
          <cell r="I2186">
            <v>0</v>
          </cell>
          <cell r="J2186">
            <v>0</v>
          </cell>
          <cell r="K2186">
            <v>0</v>
          </cell>
          <cell r="L2186">
            <v>0</v>
          </cell>
          <cell r="O2186">
            <v>0</v>
          </cell>
          <cell r="P2186">
            <v>0</v>
          </cell>
          <cell r="Q2186" t="str">
            <v>MCR|11</v>
          </cell>
        </row>
        <row r="2187">
          <cell r="E2187" t="str">
            <v>2. ROOM READINESS</v>
          </cell>
          <cell r="G2187" t="str">
            <v>Room</v>
          </cell>
          <cell r="H2187" t="str">
            <v>Walls / 1-hr Rating</v>
          </cell>
          <cell r="I2187" t="str">
            <v>Ceiling</v>
          </cell>
          <cell r="J2187" t="str">
            <v>Floor / SDC</v>
          </cell>
          <cell r="K2187" t="str">
            <v>Penetrations</v>
          </cell>
          <cell r="L2187" t="str">
            <v>Access Control</v>
          </cell>
          <cell r="O2187" t="str">
            <v>Overall</v>
          </cell>
          <cell r="P2187" t="str">
            <v>Comments</v>
          </cell>
          <cell r="Q2187" t="str">
            <v>MCR|12</v>
          </cell>
        </row>
        <row r="2188">
          <cell r="E2188" t="str">
            <v>2. ROOM READINESS</v>
          </cell>
          <cell r="G2188" t="str">
            <v>107 / MCR</v>
          </cell>
          <cell r="H2188" t="str">
            <v>Verify</v>
          </cell>
          <cell r="I2188" t="str">
            <v>Verify</v>
          </cell>
          <cell r="J2188" t="str">
            <v>Verify</v>
          </cell>
          <cell r="K2188" t="str">
            <v>Verify</v>
          </cell>
          <cell r="L2188" t="str">
            <v>Verify</v>
          </cell>
          <cell r="O2188" t="str">
            <v>Verify</v>
          </cell>
          <cell r="P2188" t="str">
            <v>New MCR building requires final architectural envelope, rated walls/doors, roof/ceiling, floor finish, equipment clearances, row spacing, lighting coordination, grounding/bonding, and path separation.</v>
          </cell>
          <cell r="Q2188" t="str">
            <v>MCR|13</v>
          </cell>
        </row>
        <row r="2189">
          <cell r="E2189" t="str">
            <v>2. ROOM READINESS</v>
          </cell>
          <cell r="G2189" t="str">
            <v>031</v>
          </cell>
          <cell r="H2189" t="str">
            <v>Verify</v>
          </cell>
          <cell r="I2189" t="str">
            <v>Verify</v>
          </cell>
          <cell r="J2189" t="str">
            <v>Verify</v>
          </cell>
          <cell r="K2189" t="str">
            <v>Verify</v>
          </cell>
          <cell r="L2189" t="str">
            <v>Verify</v>
          </cell>
          <cell r="O2189" t="str">
            <v>Verify</v>
          </cell>
          <cell r="P2189" t="str">
            <v>Fiber Entrance Room 1 schedule requires confirmation of room naming, wall/backbox locations, penetration/firestop detail, rack/cabinet location and service provider interface.</v>
          </cell>
          <cell r="Q2189" t="str">
            <v>MCR|14</v>
          </cell>
        </row>
        <row r="2190">
          <cell r="E2190" t="str">
            <v>2. ROOM READINESS</v>
          </cell>
          <cell r="G2190" t="str">
            <v>MDA-A/B</v>
          </cell>
          <cell r="H2190" t="str">
            <v>Verify</v>
          </cell>
          <cell r="I2190" t="str">
            <v>Verify</v>
          </cell>
          <cell r="J2190" t="str">
            <v>Verify</v>
          </cell>
          <cell r="K2190" t="str">
            <v>Verify</v>
          </cell>
          <cell r="L2190" t="str">
            <v>Verify</v>
          </cell>
          <cell r="O2190" t="str">
            <v>Verify</v>
          </cell>
          <cell r="P2190" t="str">
            <v>MDA racks must be installed with mandatory blank panels, bonding, overhead tray, fiber/copper routing and A/B side path separation.</v>
          </cell>
          <cell r="Q2190" t="str">
            <v>MCR|15</v>
          </cell>
        </row>
        <row r="2191">
          <cell r="E2191" t="str">
            <v>2. ROOM READINESS</v>
          </cell>
          <cell r="G2191" t="str">
            <v>HDA-A/B</v>
          </cell>
          <cell r="H2191" t="str">
            <v>Verify</v>
          </cell>
          <cell r="I2191" t="str">
            <v>Verify</v>
          </cell>
          <cell r="J2191" t="str">
            <v>Verify</v>
          </cell>
          <cell r="K2191" t="str">
            <v>Verify</v>
          </cell>
          <cell r="L2191" t="str">
            <v>Verify</v>
          </cell>
          <cell r="O2191" t="str">
            <v>Verify</v>
          </cell>
          <cell r="P2191" t="str">
            <v>HDA server cabinets require front/rear access, blanking panels, cooling airflow coordination, patch panel/LIU arrangement and clearance for future expansion.</v>
          </cell>
          <cell r="Q2191" t="str">
            <v>MCR|16</v>
          </cell>
        </row>
        <row r="2192">
          <cell r="E2192" t="str">
            <v>2. ROOM READINESS</v>
          </cell>
          <cell r="G2192" t="str">
            <v>Existing 107/137</v>
          </cell>
          <cell r="H2192" t="str">
            <v>Existing / Verify</v>
          </cell>
          <cell r="I2192" t="str">
            <v>Existing / Verify</v>
          </cell>
          <cell r="J2192" t="str">
            <v>Existing / Verify</v>
          </cell>
          <cell r="K2192" t="str">
            <v>Verify</v>
          </cell>
          <cell r="L2192" t="str">
            <v>Verify</v>
          </cell>
          <cell r="O2192" t="str">
            <v>Verify</v>
          </cell>
          <cell r="P2192" t="str">
            <v>Existing equipment rooms/racks must remain operational until cutover. Verify active equipment inventory, PDUs, UPS sources, cable labels, and safe transfer pathway.</v>
          </cell>
          <cell r="Q2192" t="str">
            <v>MCR|17</v>
          </cell>
        </row>
        <row r="2193">
          <cell r="E2193" t="str">
            <v>2. ROOM READINESS</v>
          </cell>
          <cell r="G2193">
            <v>0</v>
          </cell>
          <cell r="H2193">
            <v>0</v>
          </cell>
          <cell r="I2193">
            <v>0</v>
          </cell>
          <cell r="J2193">
            <v>0</v>
          </cell>
          <cell r="K2193">
            <v>0</v>
          </cell>
          <cell r="L2193">
            <v>0</v>
          </cell>
          <cell r="O2193">
            <v>0</v>
          </cell>
          <cell r="P2193">
            <v>0</v>
          </cell>
          <cell r="Q2193" t="str">
            <v>MCR|18</v>
          </cell>
        </row>
        <row r="2194">
          <cell r="E2194" t="str">
            <v>3. FIRE PROTECTION</v>
          </cell>
          <cell r="G2194" t="str">
            <v>3. FIRE PROTECTION</v>
          </cell>
          <cell r="H2194">
            <v>0</v>
          </cell>
          <cell r="I2194">
            <v>0</v>
          </cell>
          <cell r="J2194">
            <v>0</v>
          </cell>
          <cell r="K2194">
            <v>0</v>
          </cell>
          <cell r="L2194">
            <v>0</v>
          </cell>
          <cell r="O2194">
            <v>0</v>
          </cell>
          <cell r="P2194">
            <v>0</v>
          </cell>
          <cell r="Q2194" t="str">
            <v>MCR|19</v>
          </cell>
        </row>
        <row r="2195">
          <cell r="E2195" t="str">
            <v>3. FIRE PROTECTION</v>
          </cell>
          <cell r="G2195" t="str">
            <v>Room</v>
          </cell>
          <cell r="H2195" t="str">
            <v>Sprinkler</v>
          </cell>
          <cell r="I2195" t="str">
            <v>Cage</v>
          </cell>
          <cell r="J2195" t="str">
            <v>Detector</v>
          </cell>
          <cell r="K2195" t="str">
            <v>Horn/Strobe</v>
          </cell>
          <cell r="L2195" t="str">
            <v>Extinguisher &lt;75 ft</v>
          </cell>
          <cell r="O2195" t="str">
            <v>Overall</v>
          </cell>
          <cell r="P2195" t="str">
            <v>Risk / Notes</v>
          </cell>
          <cell r="Q2195" t="str">
            <v>MCR|20</v>
          </cell>
        </row>
        <row r="2196">
          <cell r="E2196" t="str">
            <v>3. FIRE PROTECTION</v>
          </cell>
          <cell r="G2196" t="str">
            <v>107 / MCR</v>
          </cell>
          <cell r="H2196" t="str">
            <v>Verify</v>
          </cell>
          <cell r="I2196" t="str">
            <v>Verify</v>
          </cell>
          <cell r="J2196" t="str">
            <v>Verify</v>
          </cell>
          <cell r="K2196" t="str">
            <v>Verify</v>
          </cell>
          <cell r="L2196" t="str">
            <v>Verify</v>
          </cell>
          <cell r="O2196" t="str">
            <v>Verify</v>
          </cell>
          <cell r="P2196" t="str">
            <v>MCR has full fire protection scope including wet pipe and clean-agent fire suppression system. Verify preaction/clean-agent design, agent release interface, fire alarm matrix, detection, abort/release stations, room integrity and acceptance testing.</v>
          </cell>
          <cell r="Q2196" t="str">
            <v>MCR|21</v>
          </cell>
        </row>
        <row r="2197">
          <cell r="E2197" t="str">
            <v>3. FIRE PROTECTION</v>
          </cell>
          <cell r="G2197" t="str">
            <v>031</v>
          </cell>
          <cell r="H2197" t="str">
            <v>Verify</v>
          </cell>
          <cell r="I2197" t="str">
            <v>N/A</v>
          </cell>
          <cell r="J2197" t="str">
            <v>Verify</v>
          </cell>
          <cell r="K2197" t="str">
            <v>Verify</v>
          </cell>
          <cell r="L2197" t="str">
            <v>Verify</v>
          </cell>
          <cell r="O2197" t="str">
            <v>Verify</v>
          </cell>
          <cell r="P2197" t="str">
            <v>Verify fiber entrance room protection, rated penetrations, firestopping, detector/strobe coverage and no gaps after cable tray installation.</v>
          </cell>
          <cell r="Q2197" t="str">
            <v>MCR|22</v>
          </cell>
        </row>
        <row r="2198">
          <cell r="E2198" t="str">
            <v>3. FIRE PROTECTION</v>
          </cell>
          <cell r="G2198" t="str">
            <v>MDA-A/B</v>
          </cell>
          <cell r="H2198" t="str">
            <v>Verify</v>
          </cell>
          <cell r="I2198" t="str">
            <v>Verify</v>
          </cell>
          <cell r="J2198" t="str">
            <v>Verify</v>
          </cell>
          <cell r="K2198" t="str">
            <v>Verify</v>
          </cell>
          <cell r="L2198" t="str">
            <v>Verify</v>
          </cell>
          <cell r="O2198" t="str">
            <v>Verify</v>
          </cell>
          <cell r="P2198" t="str">
            <v>Verify sprinkler/clean-agent coverage around MDA equipment, fire alarm devices, rack clearance and final firestop assemblies.</v>
          </cell>
          <cell r="Q2198" t="str">
            <v>MCR|23</v>
          </cell>
        </row>
        <row r="2199">
          <cell r="E2199" t="str">
            <v>3. FIRE PROTECTION</v>
          </cell>
          <cell r="G2199" t="str">
            <v>HDA-A/B</v>
          </cell>
          <cell r="H2199" t="str">
            <v>Verify</v>
          </cell>
          <cell r="I2199" t="str">
            <v>Verify</v>
          </cell>
          <cell r="J2199" t="str">
            <v>Verify</v>
          </cell>
          <cell r="K2199" t="str">
            <v>Verify</v>
          </cell>
          <cell r="L2199" t="str">
            <v>Verify</v>
          </cell>
          <cell r="O2199" t="str">
            <v>Verify</v>
          </cell>
          <cell r="P2199" t="str">
            <v>Verify clean-agent coverage, detector placement, alarm interfaces, and open cabinet airflow protection.</v>
          </cell>
          <cell r="Q2199" t="str">
            <v>MCR|24</v>
          </cell>
        </row>
        <row r="2200">
          <cell r="E2200" t="str">
            <v>3. FIRE PROTECTION</v>
          </cell>
          <cell r="G2200" t="str">
            <v>Existing 107/137</v>
          </cell>
          <cell r="H2200" t="str">
            <v>Verify</v>
          </cell>
          <cell r="I2200" t="str">
            <v>N/A</v>
          </cell>
          <cell r="J2200" t="str">
            <v>Verify</v>
          </cell>
          <cell r="K2200" t="str">
            <v>Verify</v>
          </cell>
          <cell r="L2200" t="str">
            <v>Verify</v>
          </cell>
          <cell r="O2200" t="str">
            <v>Verify</v>
          </cell>
          <cell r="P2200" t="str">
            <v>Existing systems must remain protected during temporary fiber, umbilical cord and core relocation work. Verify no impairment without approved fire watch/impairment plan.</v>
          </cell>
          <cell r="Q2200" t="str">
            <v>MCR|25</v>
          </cell>
        </row>
        <row r="2201">
          <cell r="E2201" t="str">
            <v>3. FIRE PROTECTION</v>
          </cell>
          <cell r="G2201">
            <v>0</v>
          </cell>
          <cell r="H2201">
            <v>0</v>
          </cell>
          <cell r="I2201">
            <v>0</v>
          </cell>
          <cell r="J2201">
            <v>0</v>
          </cell>
          <cell r="K2201">
            <v>0</v>
          </cell>
          <cell r="L2201">
            <v>0</v>
          </cell>
          <cell r="O2201">
            <v>0</v>
          </cell>
          <cell r="P2201">
            <v>0</v>
          </cell>
          <cell r="Q2201" t="str">
            <v>MCR|26</v>
          </cell>
        </row>
        <row r="2202">
          <cell r="E2202" t="str">
            <v>4. HVAC / COOLING</v>
          </cell>
          <cell r="G2202" t="str">
            <v>4. HVAC / COOLING</v>
          </cell>
          <cell r="H2202">
            <v>0</v>
          </cell>
          <cell r="I2202">
            <v>0</v>
          </cell>
          <cell r="J2202">
            <v>0</v>
          </cell>
          <cell r="K2202">
            <v>0</v>
          </cell>
          <cell r="L2202">
            <v>0</v>
          </cell>
          <cell r="O2202">
            <v>0</v>
          </cell>
          <cell r="P2202">
            <v>0</v>
          </cell>
          <cell r="Q2202" t="str">
            <v>MCR|27</v>
          </cell>
        </row>
        <row r="2203">
          <cell r="E2203" t="str">
            <v>4. HVAC / COOLING</v>
          </cell>
          <cell r="G2203" t="str">
            <v>Room</v>
          </cell>
          <cell r="H2203" t="str">
            <v>Dedicated Unit</v>
          </cell>
          <cell r="I2203" t="str">
            <v>Capacity Verified</v>
          </cell>
          <cell r="J2203" t="str">
            <v>Emergency Power</v>
          </cell>
          <cell r="K2203" t="str">
            <v>Controls / BACnet</v>
          </cell>
          <cell r="L2203" t="str">
            <v>Condensate Routed</v>
          </cell>
          <cell r="O2203" t="str">
            <v>Overall</v>
          </cell>
          <cell r="P2203" t="str">
            <v>Risk / Notes</v>
          </cell>
          <cell r="Q2203" t="str">
            <v>MCR|28</v>
          </cell>
        </row>
        <row r="2204">
          <cell r="E2204" t="str">
            <v>4. HVAC / COOLING</v>
          </cell>
          <cell r="G2204" t="str">
            <v>107 / MCR</v>
          </cell>
          <cell r="H2204" t="str">
            <v>CRAC units / verify</v>
          </cell>
          <cell r="I2204" t="str">
            <v>Verify</v>
          </cell>
          <cell r="J2204" t="str">
            <v>Verify</v>
          </cell>
          <cell r="K2204" t="str">
            <v>Verify</v>
          </cell>
          <cell r="L2204" t="str">
            <v>Verify</v>
          </cell>
          <cell r="O2204" t="str">
            <v>Verify</v>
          </cell>
          <cell r="P2204" t="str">
            <v>Telecom notes call for indoor computer room air conditioner (CRAC) units tied to building management system. Mechanical sheets included; verify redundant capacity, setpoints, humidity, condensate, controls, alarms and emergency power.</v>
          </cell>
          <cell r="Q2204" t="str">
            <v>MCR|29</v>
          </cell>
        </row>
        <row r="2205">
          <cell r="E2205" t="str">
            <v>4. HVAC / COOLING</v>
          </cell>
          <cell r="G2205" t="str">
            <v>UPS-A / UPS-B</v>
          </cell>
          <cell r="H2205" t="str">
            <v>Dedicated cooling / verify</v>
          </cell>
          <cell r="I2205" t="str">
            <v>Verify</v>
          </cell>
          <cell r="J2205" t="str">
            <v>Verify</v>
          </cell>
          <cell r="K2205" t="str">
            <v>Verify</v>
          </cell>
          <cell r="L2205" t="str">
            <v>Verify</v>
          </cell>
          <cell r="O2205" t="str">
            <v>Verify</v>
          </cell>
          <cell r="P2205" t="str">
            <v>UPS rooms/equipment require thermal load validation, ventilation, emergency power and alarm integration. Verify battery/UPS environmental requirements.</v>
          </cell>
          <cell r="Q2205" t="str">
            <v>MCR|30</v>
          </cell>
        </row>
        <row r="2206">
          <cell r="E2206" t="str">
            <v>4. HVAC / COOLING</v>
          </cell>
          <cell r="G2206" t="str">
            <v>MDA-A/B</v>
          </cell>
          <cell r="H2206" t="str">
            <v>CRAC-served MCR</v>
          </cell>
          <cell r="I2206" t="str">
            <v>Verify</v>
          </cell>
          <cell r="J2206" t="str">
            <v>Verify</v>
          </cell>
          <cell r="K2206" t="str">
            <v>Verify</v>
          </cell>
          <cell r="L2206" t="str">
            <v>Verify</v>
          </cell>
          <cell r="O2206" t="str">
            <v>Verify</v>
          </cell>
          <cell r="P2206" t="str">
            <v>Verify airflow/cold aisle/hot aisle assumptions, blanking panels, floor/ceiling distribution and temperature monitoring.</v>
          </cell>
          <cell r="Q2206" t="str">
            <v>MCR|31</v>
          </cell>
        </row>
        <row r="2207">
          <cell r="E2207" t="str">
            <v>4. HVAC / COOLING</v>
          </cell>
          <cell r="G2207" t="str">
            <v>HDA-A/B</v>
          </cell>
          <cell r="H2207" t="str">
            <v>CRAC-served MCR</v>
          </cell>
          <cell r="I2207" t="str">
            <v>Verify</v>
          </cell>
          <cell r="J2207" t="str">
            <v>Verify</v>
          </cell>
          <cell r="K2207" t="str">
            <v>Verify</v>
          </cell>
          <cell r="L2207" t="str">
            <v>Verify</v>
          </cell>
          <cell r="O2207" t="str">
            <v>Verify</v>
          </cell>
          <cell r="P2207" t="str">
            <v>Server cabinets and patch fields require stable 24/7 cooling and monitoring. Confirm no local hot spots at dense LIU/patch panel zones.</v>
          </cell>
          <cell r="Q2207" t="str">
            <v>MCR|32</v>
          </cell>
        </row>
        <row r="2208">
          <cell r="E2208" t="str">
            <v>4. HVAC / COOLING</v>
          </cell>
          <cell r="G2208" t="str">
            <v>Existing 107/137</v>
          </cell>
          <cell r="H2208" t="str">
            <v>Existing / Verify</v>
          </cell>
          <cell r="I2208" t="str">
            <v>Verify</v>
          </cell>
          <cell r="J2208" t="str">
            <v>Verify</v>
          </cell>
          <cell r="K2208" t="str">
            <v>Verify</v>
          </cell>
          <cell r="L2208" t="str">
            <v>Verify</v>
          </cell>
          <cell r="O2208" t="str">
            <v>Verify</v>
          </cell>
          <cell r="P2208" t="str">
            <v>During split-core temporary phase, existing MCR/server equipment remains active. Verify existing cooling remains in service until cutover and decommissioning are complete.</v>
          </cell>
          <cell r="Q2208" t="str">
            <v>MCR|33</v>
          </cell>
        </row>
        <row r="2209">
          <cell r="E2209" t="str">
            <v>4. HVAC / COOLING</v>
          </cell>
          <cell r="G2209">
            <v>0</v>
          </cell>
          <cell r="H2209">
            <v>0</v>
          </cell>
          <cell r="I2209">
            <v>0</v>
          </cell>
          <cell r="J2209">
            <v>0</v>
          </cell>
          <cell r="K2209">
            <v>0</v>
          </cell>
          <cell r="L2209">
            <v>0</v>
          </cell>
          <cell r="O2209">
            <v>0</v>
          </cell>
          <cell r="P2209">
            <v>0</v>
          </cell>
          <cell r="Q2209" t="str">
            <v>MCR|34</v>
          </cell>
        </row>
        <row r="2210">
          <cell r="E2210" t="str">
            <v>5. ELECTRICAL / UPS</v>
          </cell>
          <cell r="G2210" t="str">
            <v>5. ELECTRICAL / UPS</v>
          </cell>
          <cell r="H2210">
            <v>0</v>
          </cell>
          <cell r="I2210">
            <v>0</v>
          </cell>
          <cell r="J2210">
            <v>0</v>
          </cell>
          <cell r="K2210">
            <v>0</v>
          </cell>
          <cell r="L2210">
            <v>0</v>
          </cell>
          <cell r="O2210">
            <v>0</v>
          </cell>
          <cell r="P2210">
            <v>0</v>
          </cell>
          <cell r="Q2210" t="str">
            <v>MCR|35</v>
          </cell>
        </row>
        <row r="2211">
          <cell r="E2211" t="str">
            <v>5. ELECTRICAL / UPS</v>
          </cell>
          <cell r="G2211" t="str">
            <v>Room</v>
          </cell>
          <cell r="H2211" t="str">
            <v>UPS Installed</v>
          </cell>
          <cell r="I2211" t="str">
            <v>UPS Size</v>
          </cell>
          <cell r="J2211" t="str">
            <v>PDU Installed</v>
          </cell>
          <cell r="K2211" t="str">
            <v>Rack Receptacles</v>
          </cell>
          <cell r="L2211" t="str">
            <v>Panel Assigned</v>
          </cell>
          <cell r="O2211" t="str">
            <v>Overall</v>
          </cell>
          <cell r="P2211" t="str">
            <v>Notes</v>
          </cell>
          <cell r="Q2211" t="str">
            <v>MCR|36</v>
          </cell>
        </row>
        <row r="2212">
          <cell r="E2212" t="str">
            <v>5. ELECTRICAL / UPS</v>
          </cell>
          <cell r="G2212" t="str">
            <v>107 / MCR</v>
          </cell>
          <cell r="H2212" t="str">
            <v>UPS-A / UPS-B</v>
          </cell>
          <cell r="I2212" t="str">
            <v>Verify</v>
          </cell>
          <cell r="J2212" t="str">
            <v>Verify</v>
          </cell>
          <cell r="K2212" t="str">
            <v>Verify</v>
          </cell>
          <cell r="L2212" t="str">
            <v>MCRE-401/402/403/601/701/702</v>
          </cell>
          <cell r="O2212" t="str">
            <v>Verify</v>
          </cell>
          <cell r="P2212" t="str">
            <v>Electrical set includes site plan, enlarged MCR plans, one-lines and schedules. Verify switchboard/service, ATS/generator integration, normal/emergency/UPS distribution, grounding, lightning protection, SPD, load measurements and commissioning.</v>
          </cell>
          <cell r="Q2212" t="str">
            <v>MCR|37</v>
          </cell>
        </row>
        <row r="2213">
          <cell r="E2213" t="str">
            <v>5. ELECTRICAL / UPS</v>
          </cell>
          <cell r="G2213" t="str">
            <v>MDA-A/B</v>
          </cell>
          <cell r="H2213" t="str">
            <v>Verify</v>
          </cell>
          <cell r="I2213" t="str">
            <v>Rack/PDU dependent</v>
          </cell>
          <cell r="J2213" t="str">
            <v>Verify</v>
          </cell>
          <cell r="K2213" t="str">
            <v>Verify</v>
          </cell>
          <cell r="L2213" t="str">
            <v>MCR telecom panels / verify</v>
          </cell>
          <cell r="O2213" t="str">
            <v>Verify</v>
          </cell>
          <cell r="P2213" t="str">
            <v>MDA rack elevations include new 4-post floor cabinets, LIUs and network elements. Verify redundant A/B power feeds and PDU arrangements.</v>
          </cell>
          <cell r="Q2213" t="str">
            <v>MCR|38</v>
          </cell>
        </row>
        <row r="2214">
          <cell r="E2214" t="str">
            <v>5. ELECTRICAL / UPS</v>
          </cell>
          <cell r="G2214" t="str">
            <v>HDA-A/B</v>
          </cell>
          <cell r="H2214" t="str">
            <v>Verify</v>
          </cell>
          <cell r="I2214" t="str">
            <v>Cabinet/PDU dependent</v>
          </cell>
          <cell r="J2214" t="str">
            <v>Verify</v>
          </cell>
          <cell r="K2214" t="str">
            <v>Verify</v>
          </cell>
          <cell r="L2214" t="str">
            <v>MCR telecom/UPS panels / verify</v>
          </cell>
          <cell r="O2214" t="str">
            <v>Verify</v>
          </cell>
          <cell r="P2214" t="str">
            <v>HDA cabinets include server cabinet front/rear elevations with patch panels and active equipment. Confirm A/B feed separation, PDU mounting, load capacity and labels.</v>
          </cell>
          <cell r="Q2214" t="str">
            <v>MCR|39</v>
          </cell>
        </row>
        <row r="2215">
          <cell r="E2215" t="str">
            <v>5. ELECTRICAL / UPS</v>
          </cell>
          <cell r="G2215" t="str">
            <v>Existing 107/137</v>
          </cell>
          <cell r="H2215" t="str">
            <v>Existing / Verify</v>
          </cell>
          <cell r="I2215" t="str">
            <v>Existing rack UPS/PDU</v>
          </cell>
          <cell r="J2215" t="str">
            <v>Existing / Verify</v>
          </cell>
          <cell r="K2215" t="str">
            <v>Verify</v>
          </cell>
          <cell r="L2215" t="str">
            <v>Existing / verify</v>
          </cell>
          <cell r="O2215" t="str">
            <v>Verify</v>
          </cell>
          <cell r="P2215" t="str">
            <v>Existing rack elevations identify multiple APC/Chatsworth/HP PDUs, APC Smart UPS and Eaton 9PX units. Verify what transfers, what stays, and temporary power during migration.</v>
          </cell>
          <cell r="Q2215" t="str">
            <v>MCR|40</v>
          </cell>
        </row>
        <row r="2216">
          <cell r="E2216" t="str">
            <v>5. ELECTRICAL / UPS</v>
          </cell>
          <cell r="G2216" t="str">
            <v>Site / Utility</v>
          </cell>
          <cell r="H2216" t="str">
            <v>Verify</v>
          </cell>
          <cell r="I2216" t="str">
            <v>N/A</v>
          </cell>
          <cell r="J2216" t="str">
            <v>N/A</v>
          </cell>
          <cell r="K2216" t="str">
            <v>N/A</v>
          </cell>
          <cell r="L2216" t="str">
            <v>MCRES / MCRE site one-line</v>
          </cell>
          <cell r="O2216" t="str">
            <v>Verify</v>
          </cell>
          <cell r="P2216" t="str">
            <v>New MCR is standalone critical infrastructure. Verify utility service, generator/ATS paths, emergency distribution, grounding electrode and ductbank/site electrical coordination.</v>
          </cell>
          <cell r="Q2216" t="str">
            <v>MCR|41</v>
          </cell>
        </row>
        <row r="2217">
          <cell r="E2217" t="str">
            <v>5. ELECTRICAL / UPS</v>
          </cell>
          <cell r="G2217">
            <v>0</v>
          </cell>
          <cell r="H2217">
            <v>0</v>
          </cell>
          <cell r="I2217">
            <v>0</v>
          </cell>
          <cell r="J2217">
            <v>0</v>
          </cell>
          <cell r="K2217">
            <v>0</v>
          </cell>
          <cell r="L2217">
            <v>0</v>
          </cell>
          <cell r="O2217">
            <v>0</v>
          </cell>
          <cell r="P2217">
            <v>0</v>
          </cell>
          <cell r="Q2217" t="str">
            <v>MCR|42</v>
          </cell>
        </row>
        <row r="2218">
          <cell r="E2218" t="str">
            <v>6. TELECOMMUNICATIONS</v>
          </cell>
          <cell r="G2218" t="str">
            <v>6. TELECOMMUNICATIONS</v>
          </cell>
          <cell r="H2218">
            <v>0</v>
          </cell>
          <cell r="I2218">
            <v>0</v>
          </cell>
          <cell r="J2218">
            <v>0</v>
          </cell>
          <cell r="K2218">
            <v>0</v>
          </cell>
          <cell r="L2218">
            <v>0</v>
          </cell>
          <cell r="O2218">
            <v>0</v>
          </cell>
          <cell r="P2218">
            <v>0</v>
          </cell>
          <cell r="Q2218" t="str">
            <v>MCR|43</v>
          </cell>
        </row>
        <row r="2219">
          <cell r="E2219" t="str">
            <v>6. TELECOMMUNICATIONS</v>
          </cell>
          <cell r="G2219" t="str">
            <v>Room</v>
          </cell>
          <cell r="H2219" t="str">
            <v>Rack Installed</v>
          </cell>
          <cell r="I2219" t="str">
            <v>Ladder Tray</v>
          </cell>
          <cell r="J2219" t="str">
            <v>Fiber Installed</v>
          </cell>
          <cell r="K2219" t="str">
            <v>Grounding</v>
          </cell>
          <cell r="L2219" t="str">
            <v>Labeling</v>
          </cell>
          <cell r="O2219" t="str">
            <v>Overall</v>
          </cell>
          <cell r="P2219" t="str">
            <v>Notes</v>
          </cell>
          <cell r="Q2219" t="str">
            <v>MCR|44</v>
          </cell>
        </row>
        <row r="2220">
          <cell r="E2220" t="str">
            <v>6. TELECOMMUNICATIONS</v>
          </cell>
          <cell r="G2220" t="str">
            <v>107 / MCR</v>
          </cell>
          <cell r="H2220" t="str">
            <v>Verify</v>
          </cell>
          <cell r="I2220" t="str">
            <v>Verify</v>
          </cell>
          <cell r="J2220" t="str">
            <v>Verify</v>
          </cell>
          <cell r="K2220" t="str">
            <v>Verify</v>
          </cell>
          <cell r="L2220" t="str">
            <v>Verify</v>
          </cell>
          <cell r="O2220" t="str">
            <v>Verify</v>
          </cell>
          <cell r="P2220" t="str">
            <v>MCRT-101 shows new MCR with MDA-A/B, HDA-A/B, UPS-A/B, cameras and fiber path legend. MCRT-701 shows 10 WAO total, 720 WAO available, 98.1% expansion capacity, 10 total ports with 20% allowance and 359 ft cable tray.</v>
          </cell>
          <cell r="Q2220" t="str">
            <v>MCR|45</v>
          </cell>
        </row>
        <row r="2221">
          <cell r="E2221" t="str">
            <v>6. TELECOMMUNICATIONS</v>
          </cell>
          <cell r="G2221" t="str">
            <v>031</v>
          </cell>
          <cell r="H2221" t="str">
            <v>Verify</v>
          </cell>
          <cell r="I2221" t="str">
            <v>Verify</v>
          </cell>
          <cell r="J2221" t="str">
            <v>Verify</v>
          </cell>
          <cell r="K2221" t="str">
            <v>Verify</v>
          </cell>
          <cell r="L2221" t="str">
            <v>Verify</v>
          </cell>
          <cell r="O2221" t="str">
            <v>Verify</v>
          </cell>
          <cell r="P2221" t="str">
            <v>MCRT-701 Data Device and Circuit Schedule - Fiber Entrance Room 1: outlets 31-A/B/C/D plus security devices 07-CAM-03/04/07/08/11; Rack ID TR01-031-1.</v>
          </cell>
          <cell r="Q2221" t="str">
            <v>MCR|46</v>
          </cell>
        </row>
        <row r="2222">
          <cell r="E2222" t="str">
            <v>6. TELECOMMUNICATIONS</v>
          </cell>
          <cell r="G2222" t="str">
            <v>MDA-A/B</v>
          </cell>
          <cell r="H2222" t="str">
            <v>Verify</v>
          </cell>
          <cell r="I2222" t="str">
            <v>Verify</v>
          </cell>
          <cell r="J2222" t="str">
            <v>Verify</v>
          </cell>
          <cell r="K2222" t="str">
            <v>Verify</v>
          </cell>
          <cell r="L2222" t="str">
            <v>Verify</v>
          </cell>
          <cell r="O2222" t="str">
            <v>Verify</v>
          </cell>
          <cell r="P2222" t="str">
            <v>MCRT-607: MDA A/B racks contain horizontal distribution LIUs, hybrid FOC, 48x Cat6A to HDA, and reserved LAN/spine/aggregation elements. Maintain A/B path separation.</v>
          </cell>
          <cell r="Q2222" t="str">
            <v>MCR|47</v>
          </cell>
        </row>
        <row r="2223">
          <cell r="E2223" t="str">
            <v>6. TELECOMMUNICATIONS</v>
          </cell>
          <cell r="G2223" t="str">
            <v>HDA-A/B</v>
          </cell>
          <cell r="H2223" t="str">
            <v>Verify</v>
          </cell>
          <cell r="I2223" t="str">
            <v>Verify</v>
          </cell>
          <cell r="J2223" t="str">
            <v>Verify</v>
          </cell>
          <cell r="K2223" t="str">
            <v>Verify</v>
          </cell>
          <cell r="L2223" t="str">
            <v>Verify</v>
          </cell>
          <cell r="O2223" t="str">
            <v>Verify</v>
          </cell>
          <cell r="P2223" t="str">
            <v>MCRT-608/609: HDA A/B include 48-port Cat6A patch panels, HD fiber LIUs, backbone side A/B LIU and server cabinet arrangements.</v>
          </cell>
          <cell r="Q2223" t="str">
            <v>MCR|48</v>
          </cell>
        </row>
        <row r="2224">
          <cell r="E2224" t="str">
            <v>6. TELECOMMUNICATIONS</v>
          </cell>
          <cell r="G2224" t="str">
            <v>Existing 107/137</v>
          </cell>
          <cell r="H2224" t="str">
            <v>Existing / Verify</v>
          </cell>
          <cell r="I2224" t="str">
            <v>Existing / Verify</v>
          </cell>
          <cell r="J2224" t="str">
            <v>Existing / Verify</v>
          </cell>
          <cell r="K2224" t="str">
            <v>Verify</v>
          </cell>
          <cell r="L2224" t="str">
            <v>Verify</v>
          </cell>
          <cell r="O2224" t="str">
            <v>Verify</v>
          </cell>
          <cell r="P2224" t="str">
            <v>Existing MCR rows 1-3 and B61 server cabinet transfer references are extensive. Maintain service using temporary fiber/umbilical cords and phased core relocation.</v>
          </cell>
          <cell r="Q2224" t="str">
            <v>MCR|49</v>
          </cell>
        </row>
        <row r="2225">
          <cell r="E2225" t="str">
            <v>6. TELECOMMUNICATIONS</v>
          </cell>
          <cell r="G2225">
            <v>0</v>
          </cell>
          <cell r="H2225">
            <v>0</v>
          </cell>
          <cell r="I2225">
            <v>0</v>
          </cell>
          <cell r="J2225">
            <v>0</v>
          </cell>
          <cell r="K2225">
            <v>0</v>
          </cell>
          <cell r="L2225">
            <v>0</v>
          </cell>
          <cell r="O2225">
            <v>0</v>
          </cell>
          <cell r="P2225">
            <v>0</v>
          </cell>
          <cell r="Q2225" t="str">
            <v>MCR|50</v>
          </cell>
        </row>
        <row r="2226">
          <cell r="E2226" t="str">
            <v>7. SECURITY / PACS / CCTV</v>
          </cell>
          <cell r="G2226" t="str">
            <v>7. SECURITY / PACS / CCTV</v>
          </cell>
          <cell r="H2226">
            <v>0</v>
          </cell>
          <cell r="I2226">
            <v>0</v>
          </cell>
          <cell r="J2226">
            <v>0</v>
          </cell>
          <cell r="K2226">
            <v>0</v>
          </cell>
          <cell r="L2226">
            <v>0</v>
          </cell>
          <cell r="O2226">
            <v>0</v>
          </cell>
          <cell r="P2226">
            <v>0</v>
          </cell>
          <cell r="Q2226" t="str">
            <v>MCR|51</v>
          </cell>
        </row>
        <row r="2227">
          <cell r="E2227" t="str">
            <v>7. SECURITY / PACS / CCTV</v>
          </cell>
          <cell r="G2227" t="str">
            <v>Room</v>
          </cell>
          <cell r="H2227" t="str">
            <v>PACS</v>
          </cell>
          <cell r="I2227" t="str">
            <v>Card Reader</v>
          </cell>
          <cell r="J2227" t="str">
            <v>Door Position</v>
          </cell>
          <cell r="K2227" t="str">
            <v>Electric Strike</v>
          </cell>
          <cell r="L2227" t="str">
            <v>CCTV</v>
          </cell>
          <cell r="O2227" t="str">
            <v>Overall</v>
          </cell>
          <cell r="P2227" t="str">
            <v>Notes</v>
          </cell>
          <cell r="Q2227" t="str">
            <v>MCR|52</v>
          </cell>
        </row>
        <row r="2228">
          <cell r="E2228" t="str">
            <v>7. SECURITY / PACS / CCTV</v>
          </cell>
          <cell r="G2228" t="str">
            <v>107 / MCR</v>
          </cell>
          <cell r="H2228" t="str">
            <v>Verify</v>
          </cell>
          <cell r="I2228" t="str">
            <v>Verify</v>
          </cell>
          <cell r="J2228" t="str">
            <v>Verify</v>
          </cell>
          <cell r="K2228" t="str">
            <v>Verify</v>
          </cell>
          <cell r="L2228" t="str">
            <v>Verify</v>
          </cell>
          <cell r="O2228" t="str">
            <v>Verify</v>
          </cell>
          <cell r="P2228" t="str">
            <v>MCRT-101 identifies cameras 07-CAM-01 through 07-CAM-12 around the MCR. Telecom notes call for IP-addressable network cameras integrated into existing VMS and PACS/access-control systems including iSTAR Edge/Avigilon ACM controller.</v>
          </cell>
          <cell r="Q2228" t="str">
            <v>MCR|53</v>
          </cell>
        </row>
        <row r="2229">
          <cell r="E2229" t="str">
            <v>7. SECURITY / PACS / CCTV</v>
          </cell>
          <cell r="G2229" t="str">
            <v>031</v>
          </cell>
          <cell r="H2229" t="str">
            <v>Verify</v>
          </cell>
          <cell r="I2229" t="str">
            <v>Verify</v>
          </cell>
          <cell r="J2229" t="str">
            <v>Verify</v>
          </cell>
          <cell r="K2229" t="str">
            <v>Verify</v>
          </cell>
          <cell r="L2229" t="str">
            <v>Verify</v>
          </cell>
          <cell r="O2229" t="str">
            <v>Verify</v>
          </cell>
          <cell r="P2229" t="str">
            <v>MCRT-701 includes security camera/data devices assigned to TR01-031-1. Confirm camera IDs, mounting, cabling, and VMS commissioning.</v>
          </cell>
          <cell r="Q2229" t="str">
            <v>MCR|54</v>
          </cell>
        </row>
        <row r="2230">
          <cell r="E2230" t="str">
            <v>7. SECURITY / PACS / CCTV</v>
          </cell>
          <cell r="G2230" t="str">
            <v>MDA-A/B</v>
          </cell>
          <cell r="H2230" t="str">
            <v>Verify</v>
          </cell>
          <cell r="I2230" t="str">
            <v>Verify</v>
          </cell>
          <cell r="J2230" t="str">
            <v>Verify</v>
          </cell>
          <cell r="K2230" t="str">
            <v>Verify</v>
          </cell>
          <cell r="L2230" t="str">
            <v>Verify</v>
          </cell>
          <cell r="O2230" t="str">
            <v>Verify</v>
          </cell>
          <cell r="P2230" t="str">
            <v>Verify camera coverage, door/access points, VMS monitoring and access control zones for critical equipment.</v>
          </cell>
          <cell r="Q2230" t="str">
            <v>MCR|55</v>
          </cell>
        </row>
        <row r="2231">
          <cell r="E2231" t="str">
            <v>7. SECURITY / PACS / CCTV</v>
          </cell>
          <cell r="G2231" t="str">
            <v>HDA-A/B</v>
          </cell>
          <cell r="H2231" t="str">
            <v>Verify</v>
          </cell>
          <cell r="I2231" t="str">
            <v>Verify</v>
          </cell>
          <cell r="J2231" t="str">
            <v>Verify</v>
          </cell>
          <cell r="K2231" t="str">
            <v>Verify</v>
          </cell>
          <cell r="L2231" t="str">
            <v>Verify</v>
          </cell>
          <cell r="O2231" t="str">
            <v>Verify</v>
          </cell>
          <cell r="P2231" t="str">
            <v>Verify coverage of HDA cabinets, doors, motion detection and any lockable cabinet/security requirements.</v>
          </cell>
          <cell r="Q2231" t="str">
            <v>MCR|56</v>
          </cell>
        </row>
        <row r="2232">
          <cell r="E2232" t="str">
            <v>7. SECURITY / PACS / CCTV</v>
          </cell>
          <cell r="G2232" t="str">
            <v>Existing 107/137</v>
          </cell>
          <cell r="H2232" t="str">
            <v>Existing / Verify</v>
          </cell>
          <cell r="I2232" t="str">
            <v>Existing / Verify</v>
          </cell>
          <cell r="J2232" t="str">
            <v>Existing / Verify</v>
          </cell>
          <cell r="K2232" t="str">
            <v>Existing / Verify</v>
          </cell>
          <cell r="L2232" t="str">
            <v>Verify</v>
          </cell>
          <cell r="O2232" t="str">
            <v>Verify</v>
          </cell>
          <cell r="P2232" t="str">
            <v>Existing security systems must remain functional during transition; protect existing camera angles and access controls until final turnover.</v>
          </cell>
          <cell r="Q2232" t="str">
            <v>MCR|57</v>
          </cell>
        </row>
        <row r="2233">
          <cell r="E2233" t="str">
            <v>7. SECURITY / PACS / CCTV</v>
          </cell>
          <cell r="G2233">
            <v>0</v>
          </cell>
          <cell r="H2233">
            <v>0</v>
          </cell>
          <cell r="I2233">
            <v>0</v>
          </cell>
          <cell r="J2233">
            <v>0</v>
          </cell>
          <cell r="K2233">
            <v>0</v>
          </cell>
          <cell r="L2233">
            <v>0</v>
          </cell>
          <cell r="O2233">
            <v>0</v>
          </cell>
          <cell r="P2233">
            <v>0</v>
          </cell>
          <cell r="Q2233" t="str">
            <v>MCR|58</v>
          </cell>
        </row>
        <row r="2234">
          <cell r="E2234" t="str">
            <v>8. OWNER RISKS</v>
          </cell>
          <cell r="G2234" t="str">
            <v>8. OWNER RISKS</v>
          </cell>
          <cell r="H2234">
            <v>0</v>
          </cell>
          <cell r="I2234">
            <v>0</v>
          </cell>
          <cell r="J2234">
            <v>0</v>
          </cell>
          <cell r="K2234">
            <v>0</v>
          </cell>
          <cell r="L2234">
            <v>0</v>
          </cell>
          <cell r="O2234">
            <v>0</v>
          </cell>
          <cell r="P2234">
            <v>0</v>
          </cell>
          <cell r="Q2234" t="str">
            <v>MCR|59</v>
          </cell>
        </row>
        <row r="2235">
          <cell r="E2235" t="str">
            <v>8. OWNER RISKS</v>
          </cell>
          <cell r="G2235" t="str">
            <v>Risk ID</v>
          </cell>
          <cell r="H2235" t="str">
            <v>Room</v>
          </cell>
          <cell r="I2235" t="str">
            <v>Risk</v>
          </cell>
          <cell r="J2235" t="str">
            <v>Impact</v>
          </cell>
          <cell r="K2235" t="str">
            <v>Probability</v>
          </cell>
          <cell r="L2235" t="str">
            <v>Score</v>
          </cell>
          <cell r="O2235" t="str">
            <v>Status</v>
          </cell>
          <cell r="P2235" t="str">
            <v>Notes</v>
          </cell>
          <cell r="Q2235" t="str">
            <v>MCR|60</v>
          </cell>
        </row>
        <row r="2236">
          <cell r="E2236" t="str">
            <v>8. OWNER RISKS</v>
          </cell>
          <cell r="G2236" t="str">
            <v>MCR-R1</v>
          </cell>
          <cell r="H2236" t="str">
            <v>All</v>
          </cell>
          <cell r="I2236" t="str">
            <v>MCR is a new standalone critical facility with 120-sheet multi-discipline scope</v>
          </cell>
          <cell r="J2236" t="str">
            <v>Critical</v>
          </cell>
          <cell r="K2236" t="str">
            <v>Medium</v>
          </cell>
          <cell r="L2236">
            <v>8</v>
          </cell>
          <cell r="O2236" t="str">
            <v>Open</v>
          </cell>
          <cell r="P2236" t="str">
            <v>New MCR cannot depend on another project or funding source to be usable.</v>
          </cell>
          <cell r="Q2236" t="str">
            <v>MCR|61</v>
          </cell>
        </row>
        <row r="2237">
          <cell r="E2237" t="str">
            <v>8. OWNER RISKS</v>
          </cell>
          <cell r="G2237" t="str">
            <v>MCR-R2</v>
          </cell>
          <cell r="H2237" t="str">
            <v>Existing 107/137</v>
          </cell>
          <cell r="I2237" t="str">
            <v>Existing MCR/server/core equipment transfer may interrupt hospital network operations</v>
          </cell>
          <cell r="J2237" t="str">
            <v>Critical</v>
          </cell>
          <cell r="K2237" t="str">
            <v>Medium</v>
          </cell>
          <cell r="L2237">
            <v>8</v>
          </cell>
          <cell r="O2237" t="str">
            <v>Open</v>
          </cell>
          <cell r="P2237" t="str">
            <v>Notes state MCR activation may need 3-6 months and WAO activation depends on fiber/core connections.</v>
          </cell>
          <cell r="Q2237" t="str">
            <v>MCR|62</v>
          </cell>
        </row>
        <row r="2238">
          <cell r="E2238" t="str">
            <v>8. OWNER RISKS</v>
          </cell>
          <cell r="G2238" t="str">
            <v>MCR-R3</v>
          </cell>
          <cell r="H2238" t="str">
            <v>MDA/HDA</v>
          </cell>
          <cell r="I2238" t="str">
            <v>A/B fiber path diversity and backbone commissioning not verified</v>
          </cell>
          <cell r="J2238" t="str">
            <v>Critical</v>
          </cell>
          <cell r="K2238" t="str">
            <v>Medium</v>
          </cell>
          <cell r="L2238">
            <v>8</v>
          </cell>
          <cell r="O2238" t="str">
            <v>Open</v>
          </cell>
          <cell r="P2238" t="str">
            <v>New fiber risers require A-side and B-side redundant paths to every TR.</v>
          </cell>
          <cell r="Q2238" t="str">
            <v>MCR|63</v>
          </cell>
        </row>
        <row r="2239">
          <cell r="E2239" t="str">
            <v>8. OWNER RISKS</v>
          </cell>
          <cell r="G2239" t="str">
            <v>MCR-R4</v>
          </cell>
          <cell r="H2239" t="str">
            <v>MCR / UPS</v>
          </cell>
          <cell r="I2239" t="str">
            <v>UPS-A/B, ATS/generator, panel source and PDU coordination could delay activation</v>
          </cell>
          <cell r="J2239" t="str">
            <v>Critical</v>
          </cell>
          <cell r="K2239" t="str">
            <v>Medium</v>
          </cell>
          <cell r="L2239">
            <v>8</v>
          </cell>
          <cell r="O2239" t="str">
            <v>Open</v>
          </cell>
          <cell r="P2239" t="str">
            <v>Electrical scope includes site electrical, enlarged MCR plans, one-lines and schedules.</v>
          </cell>
          <cell r="Q2239" t="str">
            <v>MCR|64</v>
          </cell>
        </row>
        <row r="2240">
          <cell r="E2240" t="str">
            <v>8. OWNER RISKS</v>
          </cell>
          <cell r="G2240" t="str">
            <v>MCR-R5</v>
          </cell>
          <cell r="H2240" t="str">
            <v>MCR</v>
          </cell>
          <cell r="I2240" t="str">
            <v>CRAC capacity, redundancy, condensate, BMS/FMS alarms and emergency power not verified</v>
          </cell>
          <cell r="J2240" t="str">
            <v>Critical</v>
          </cell>
          <cell r="K2240" t="str">
            <v>Medium</v>
          </cell>
          <cell r="L2240">
            <v>8</v>
          </cell>
          <cell r="O2240" t="str">
            <v>Open</v>
          </cell>
          <cell r="P2240" t="str">
            <v>Telecom notes explicitly call for indoor computer room air conditioner CRAC units and BMS coordination.</v>
          </cell>
          <cell r="Q2240" t="str">
            <v>MCR|65</v>
          </cell>
        </row>
        <row r="2241">
          <cell r="E2241" t="str">
            <v>8. OWNER RISKS</v>
          </cell>
          <cell r="G2241" t="str">
            <v>MCR-R6</v>
          </cell>
          <cell r="H2241" t="str">
            <v>MCR</v>
          </cell>
          <cell r="I2241" t="str">
            <v>Clean-agent/preaction/fire alarm interface and room integrity acceptance risk</v>
          </cell>
          <cell r="J2241" t="str">
            <v>Critical</v>
          </cell>
          <cell r="K2241" t="str">
            <v>Medium</v>
          </cell>
          <cell r="L2241">
            <v>8</v>
          </cell>
          <cell r="O2241" t="str">
            <v>Open</v>
          </cell>
          <cell r="P2241" t="str">
            <v>MCR receives new fire alarm and clean-agent fire suppression system.</v>
          </cell>
          <cell r="Q2241" t="str">
            <v>MCR|66</v>
          </cell>
        </row>
        <row r="2242">
          <cell r="E2242" t="str">
            <v>8. OWNER RISKS</v>
          </cell>
          <cell r="G2242" t="str">
            <v>MCR-R7</v>
          </cell>
          <cell r="H2242" t="str">
            <v>MCR / Site</v>
          </cell>
          <cell r="I2242" t="str">
            <v>Civil/site/utility ductbank, drainage, grading and security envelope could affect substantial completion</v>
          </cell>
          <cell r="J2242" t="str">
            <v>High</v>
          </cell>
          <cell r="K2242" t="str">
            <v>Medium</v>
          </cell>
          <cell r="L2242">
            <v>6</v>
          </cell>
          <cell r="O2242" t="str">
            <v>Open</v>
          </cell>
          <cell r="P2242" t="str">
            <v>MCR package includes civil, structural and architectural site work.</v>
          </cell>
          <cell r="Q2242" t="str">
            <v>MCR|67</v>
          </cell>
        </row>
        <row r="2243">
          <cell r="E2243" t="str">
            <v>8. OWNER RISKS</v>
          </cell>
          <cell r="G2243" t="str">
            <v>MCR-R8</v>
          </cell>
          <cell r="H2243" t="str">
            <v>All</v>
          </cell>
          <cell r="I2243" t="str">
            <v>Commissioning/turnover package may be incomplete across all divisions</v>
          </cell>
          <cell r="J2243" t="str">
            <v>High</v>
          </cell>
          <cell r="K2243" t="str">
            <v>Medium</v>
          </cell>
          <cell r="L2243">
            <v>6</v>
          </cell>
          <cell r="O2243" t="str">
            <v>Open</v>
          </cell>
          <cell r="P2243" t="str">
            <v>General notes require commissioning/recommissioning, third-party inspections and written reports.</v>
          </cell>
          <cell r="Q2243" t="str">
            <v>MCR|68</v>
          </cell>
        </row>
        <row r="2244">
          <cell r="E2244" t="str">
            <v>8. OWNER RISKS</v>
          </cell>
          <cell r="G2244">
            <v>0</v>
          </cell>
          <cell r="H2244">
            <v>0</v>
          </cell>
          <cell r="I2244">
            <v>0</v>
          </cell>
          <cell r="J2244">
            <v>0</v>
          </cell>
          <cell r="K2244">
            <v>0</v>
          </cell>
          <cell r="L2244">
            <v>0</v>
          </cell>
          <cell r="O2244">
            <v>0</v>
          </cell>
          <cell r="P2244">
            <v>0</v>
          </cell>
          <cell r="Q2244" t="str">
            <v>MCR|69</v>
          </cell>
        </row>
        <row r="2245">
          <cell r="E2245" t="str">
            <v>9. OPEN QUESTIONS</v>
          </cell>
          <cell r="G2245" t="str">
            <v>9. OPEN QUESTIONS</v>
          </cell>
          <cell r="H2245">
            <v>0</v>
          </cell>
          <cell r="I2245">
            <v>0</v>
          </cell>
          <cell r="J2245">
            <v>0</v>
          </cell>
          <cell r="K2245">
            <v>0</v>
          </cell>
          <cell r="L2245">
            <v>0</v>
          </cell>
          <cell r="O2245">
            <v>0</v>
          </cell>
          <cell r="P2245">
            <v>0</v>
          </cell>
          <cell r="Q2245" t="str">
            <v>MCR|70</v>
          </cell>
        </row>
        <row r="2246">
          <cell r="E2246" t="str">
            <v>9. OPEN QUESTIONS</v>
          </cell>
          <cell r="G2246" t="str">
            <v>Question ID</v>
          </cell>
          <cell r="H2246" t="str">
            <v>Question</v>
          </cell>
          <cell r="I2246" t="str">
            <v>Assigned To</v>
          </cell>
          <cell r="J2246" t="str">
            <v>Status</v>
          </cell>
          <cell r="K2246" t="str">
            <v>Needed By</v>
          </cell>
          <cell r="L2246" t="str">
            <v>Answer / Resolution</v>
          </cell>
          <cell r="O2246" t="str">
            <v>Date Closed</v>
          </cell>
          <cell r="P2246" t="str">
            <v>Notes</v>
          </cell>
          <cell r="Q2246" t="str">
            <v>MCR|71</v>
          </cell>
        </row>
        <row r="2247">
          <cell r="E2247" t="str">
            <v>9. OPEN QUESTIONS</v>
          </cell>
          <cell r="G2247" t="str">
            <v>MCR-Q1</v>
          </cell>
          <cell r="H2247" t="str">
            <v>Confirm final room naming and PMIS mapping: MCR Room 107, Fiber Entrance Room 031, Existing 107/137 server/MCR references.</v>
          </cell>
          <cell r="I2247" t="str">
            <v>VA / OIT / Designer</v>
          </cell>
          <cell r="J2247" t="str">
            <v>Open</v>
          </cell>
          <cell r="K2247">
            <v>0</v>
          </cell>
          <cell r="L2247">
            <v>0</v>
          </cell>
          <cell r="O2247">
            <v>0</v>
          </cell>
          <cell r="P2247">
            <v>0</v>
          </cell>
          <cell r="Q2247" t="str">
            <v>MCR|72</v>
          </cell>
        </row>
        <row r="2248">
          <cell r="E2248" t="str">
            <v>9. OPEN QUESTIONS</v>
          </cell>
          <cell r="G2248" t="str">
            <v>MCR-Q2</v>
          </cell>
          <cell r="H2248" t="str">
            <v>What existing core/server/rack equipment is being relocated from the existing MCR/server rooms, and what remains?</v>
          </cell>
          <cell r="I2248" t="str">
            <v>OIT / Contractor</v>
          </cell>
          <cell r="J2248" t="str">
            <v>Open</v>
          </cell>
          <cell r="K2248">
            <v>0</v>
          </cell>
          <cell r="L2248">
            <v>0</v>
          </cell>
          <cell r="O2248">
            <v>0</v>
          </cell>
          <cell r="P2248">
            <v>0</v>
          </cell>
          <cell r="Q2248" t="str">
            <v>MCR|73</v>
          </cell>
        </row>
        <row r="2249">
          <cell r="E2249" t="str">
            <v>9. OPEN QUESTIONS</v>
          </cell>
          <cell r="G2249" t="str">
            <v>MCR-Q3</v>
          </cell>
          <cell r="H2249" t="str">
            <v>What is the approved MCR activation sequence and required VA/OIT hold points?</v>
          </cell>
          <cell r="I2249" t="str">
            <v>VA / OIT / COR</v>
          </cell>
          <cell r="J2249" t="str">
            <v>Open</v>
          </cell>
          <cell r="K2249">
            <v>0</v>
          </cell>
          <cell r="L2249">
            <v>0</v>
          </cell>
          <cell r="O2249">
            <v>0</v>
          </cell>
          <cell r="P2249" t="str">
            <v>General phasing notes mention 3-6 month MCR activation and split core operation.</v>
          </cell>
          <cell r="Q2249" t="str">
            <v>MCR|74</v>
          </cell>
        </row>
        <row r="2250">
          <cell r="E2250" t="str">
            <v>9. OPEN QUESTIONS</v>
          </cell>
          <cell r="G2250" t="str">
            <v>MCR-Q4</v>
          </cell>
          <cell r="H2250" t="str">
            <v>Are UPS-A/B, generator/ATS and emergency power paths commissioned and mapped to each rack/PDU?</v>
          </cell>
          <cell r="I2250" t="str">
            <v>Electrical / Cx</v>
          </cell>
          <cell r="J2250" t="str">
            <v>Open</v>
          </cell>
          <cell r="K2250">
            <v>0</v>
          </cell>
          <cell r="L2250">
            <v>0</v>
          </cell>
          <cell r="O2250">
            <v>0</v>
          </cell>
          <cell r="P2250">
            <v>0</v>
          </cell>
          <cell r="Q2250" t="str">
            <v>MCR|75</v>
          </cell>
        </row>
        <row r="2251">
          <cell r="E2251" t="str">
            <v>9. OPEN QUESTIONS</v>
          </cell>
          <cell r="G2251" t="str">
            <v>MCR-Q5</v>
          </cell>
          <cell r="H2251" t="str">
            <v>Are CRAC units fully commissioned with BMS/FMS alarms, redundancy and emergency power?</v>
          </cell>
          <cell r="I2251" t="str">
            <v>Mechanical / Cx</v>
          </cell>
          <cell r="J2251" t="str">
            <v>Open</v>
          </cell>
          <cell r="K2251">
            <v>0</v>
          </cell>
          <cell r="L2251">
            <v>0</v>
          </cell>
          <cell r="O2251">
            <v>0</v>
          </cell>
          <cell r="P2251">
            <v>0</v>
          </cell>
          <cell r="Q2251" t="str">
            <v>MCR|76</v>
          </cell>
        </row>
        <row r="2252">
          <cell r="E2252" t="str">
            <v>9. OPEN QUESTIONS</v>
          </cell>
          <cell r="G2252" t="str">
            <v>MCR-Q6</v>
          </cell>
          <cell r="H2252" t="str">
            <v>Are clean-agent/preaction/fire alarm systems fully designed, tested and accepted?</v>
          </cell>
          <cell r="I2252" t="str">
            <v>FP / FA / AHJ</v>
          </cell>
          <cell r="J2252" t="str">
            <v>Open</v>
          </cell>
          <cell r="K2252">
            <v>0</v>
          </cell>
          <cell r="L2252">
            <v>0</v>
          </cell>
          <cell r="O2252">
            <v>0</v>
          </cell>
          <cell r="P2252">
            <v>0</v>
          </cell>
          <cell r="Q2252" t="str">
            <v>MCR|77</v>
          </cell>
        </row>
        <row r="2253">
          <cell r="E2253" t="str">
            <v>9. OPEN QUESTIONS</v>
          </cell>
          <cell r="G2253" t="str">
            <v>MCR-Q7</v>
          </cell>
          <cell r="H2253" t="str">
            <v>Are redundant Path A/B fiber routes geographically diverse, tested, labeled and accepted?</v>
          </cell>
          <cell r="I2253" t="str">
            <v>Telecom / OIT</v>
          </cell>
          <cell r="J2253" t="str">
            <v>Open</v>
          </cell>
          <cell r="K2253">
            <v>0</v>
          </cell>
          <cell r="L2253">
            <v>0</v>
          </cell>
          <cell r="O2253">
            <v>0</v>
          </cell>
          <cell r="P2253">
            <v>0</v>
          </cell>
          <cell r="Q2253" t="str">
            <v>MCR|78</v>
          </cell>
        </row>
        <row r="2254">
          <cell r="E2254" t="str">
            <v>9. OPEN QUESTIONS</v>
          </cell>
          <cell r="G2254" t="str">
            <v>MCR-Q8</v>
          </cell>
          <cell r="H2254" t="str">
            <v>Which third-party inspections, commissioning reports and OIT validation records are required before turnover/activation?</v>
          </cell>
          <cell r="I2254" t="str">
            <v>GC / Cx Manager / OIT</v>
          </cell>
          <cell r="J2254" t="str">
            <v>Open</v>
          </cell>
          <cell r="K2254">
            <v>0</v>
          </cell>
          <cell r="L2254">
            <v>0</v>
          </cell>
          <cell r="O2254">
            <v>0</v>
          </cell>
          <cell r="P2254">
            <v>0</v>
          </cell>
          <cell r="Q2254" t="str">
            <v>MCR|79</v>
          </cell>
        </row>
        <row r="2255">
          <cell r="E2255" t="str">
            <v>9. OPEN QUESTIONS</v>
          </cell>
          <cell r="G2255">
            <v>0</v>
          </cell>
          <cell r="H2255">
            <v>0</v>
          </cell>
          <cell r="I2255">
            <v>0</v>
          </cell>
          <cell r="J2255">
            <v>0</v>
          </cell>
          <cell r="K2255">
            <v>0</v>
          </cell>
          <cell r="L2255">
            <v>0</v>
          </cell>
          <cell r="O2255">
            <v>0</v>
          </cell>
          <cell r="P2255">
            <v>0</v>
          </cell>
          <cell r="Q2255" t="str">
            <v>MCR|80</v>
          </cell>
        </row>
        <row r="2256">
          <cell r="E2256" t="str">
            <v>10. PHOTO LOG</v>
          </cell>
          <cell r="G2256" t="str">
            <v>10. PHOTO LOG</v>
          </cell>
          <cell r="H2256">
            <v>0</v>
          </cell>
          <cell r="I2256">
            <v>0</v>
          </cell>
          <cell r="J2256">
            <v>0</v>
          </cell>
          <cell r="K2256">
            <v>0</v>
          </cell>
          <cell r="L2256">
            <v>0</v>
          </cell>
          <cell r="O2256">
            <v>0</v>
          </cell>
          <cell r="P2256">
            <v>0</v>
          </cell>
          <cell r="Q2256" t="str">
            <v>MCR|81</v>
          </cell>
        </row>
        <row r="2257">
          <cell r="E2257" t="str">
            <v>10. PHOTO LOG</v>
          </cell>
          <cell r="G2257" t="str">
            <v>Photo ID</v>
          </cell>
          <cell r="H2257" t="str">
            <v>Room</v>
          </cell>
          <cell r="I2257" t="str">
            <v>Category</v>
          </cell>
          <cell r="J2257" t="str">
            <v>Description</v>
          </cell>
          <cell r="K2257" t="str">
            <v>Date</v>
          </cell>
          <cell r="L2257" t="str">
            <v>Taken By</v>
          </cell>
          <cell r="O2257" t="str">
            <v>Status</v>
          </cell>
          <cell r="P2257" t="str">
            <v>Notes</v>
          </cell>
          <cell r="Q2257" t="str">
            <v>MCR|82</v>
          </cell>
        </row>
        <row r="2258">
          <cell r="E2258" t="str">
            <v>10. PHOTO LOG</v>
          </cell>
          <cell r="G2258" t="str">
            <v>MCR-P001</v>
          </cell>
          <cell r="H2258" t="str">
            <v>MCR 107</v>
          </cell>
          <cell r="I2258" t="str">
            <v>Existing / New Condition</v>
          </cell>
          <cell r="J2258" t="str">
            <v>Full room envelope, doors, rated walls, ceiling/roof, floors, row layout, UPS-A/B, MDA/HDA, access points and cameras</v>
          </cell>
          <cell r="K2258">
            <v>0</v>
          </cell>
          <cell r="L2258" t="str">
            <v>Paul</v>
          </cell>
          <cell r="O2258" t="str">
            <v>Open</v>
          </cell>
          <cell r="P2258">
            <v>0</v>
          </cell>
          <cell r="Q2258" t="str">
            <v>MCR|83</v>
          </cell>
        </row>
        <row r="2259">
          <cell r="E2259" t="str">
            <v>10. PHOTO LOG</v>
          </cell>
          <cell r="G2259" t="str">
            <v>MCR-P002</v>
          </cell>
          <cell r="H2259" t="str">
            <v>031</v>
          </cell>
          <cell r="I2259" t="str">
            <v>Fiber Entrance</v>
          </cell>
          <cell r="J2259" t="str">
            <v>Fiber Entrance Room 1, outlet locations 31-A/B/C/D, rack/cabinet location, sleeve/firestop and service entrance pathways</v>
          </cell>
          <cell r="K2259">
            <v>0</v>
          </cell>
          <cell r="L2259" t="str">
            <v>Paul</v>
          </cell>
          <cell r="O2259" t="str">
            <v>Open</v>
          </cell>
          <cell r="P2259">
            <v>0</v>
          </cell>
          <cell r="Q2259" t="str">
            <v>MCR|84</v>
          </cell>
        </row>
        <row r="2260">
          <cell r="E2260" t="str">
            <v>10. PHOTO LOG</v>
          </cell>
          <cell r="G2260" t="str">
            <v>MCR-P003</v>
          </cell>
          <cell r="H2260" t="str">
            <v>MDA-A/B</v>
          </cell>
          <cell r="I2260" t="str">
            <v>Rack / Fiber</v>
          </cell>
          <cell r="J2260" t="str">
            <v>MDA-A1/A2/A3 and MDA-B1/B2/B3 rack fronts/rears, LIUs, hybrid FOC, Cat6A to HDA, grounding and cable management</v>
          </cell>
          <cell r="K2260">
            <v>0</v>
          </cell>
          <cell r="L2260" t="str">
            <v>Paul</v>
          </cell>
          <cell r="O2260" t="str">
            <v>Open</v>
          </cell>
          <cell r="P2260">
            <v>0</v>
          </cell>
          <cell r="Q2260" t="str">
            <v>MCR|85</v>
          </cell>
        </row>
        <row r="2261">
          <cell r="E2261" t="str">
            <v>10. PHOTO LOG</v>
          </cell>
          <cell r="G2261" t="str">
            <v>MCR-P004</v>
          </cell>
          <cell r="H2261" t="str">
            <v>HDA-A/B</v>
          </cell>
          <cell r="I2261" t="str">
            <v>Rack / Server Cabinets</v>
          </cell>
          <cell r="J2261" t="str">
            <v>HDA-A1/HDA-B1 front/rear, patch panels, HD LIUs, cabinet blanking panels, server cabinet airflow and labels</v>
          </cell>
          <cell r="K2261">
            <v>0</v>
          </cell>
          <cell r="L2261" t="str">
            <v>Paul</v>
          </cell>
          <cell r="O2261" t="str">
            <v>Open</v>
          </cell>
          <cell r="P2261">
            <v>0</v>
          </cell>
          <cell r="Q2261" t="str">
            <v>MCR|86</v>
          </cell>
        </row>
        <row r="2262">
          <cell r="E2262" t="str">
            <v>10. PHOTO LOG</v>
          </cell>
          <cell r="G2262" t="str">
            <v>MCR-P005</v>
          </cell>
          <cell r="H2262" t="str">
            <v>Existing 107/137</v>
          </cell>
          <cell r="I2262" t="str">
            <v>Existing Equipment</v>
          </cell>
          <cell r="J2262" t="str">
            <v>Existing rows 1-3 and B61 server cabinet transfer equipment, Cisco core, WAN aggregation, NetScout, Canoga, Ortronics, LIUs, UPS/PDU labels</v>
          </cell>
          <cell r="K2262">
            <v>0</v>
          </cell>
          <cell r="L2262" t="str">
            <v>Paul</v>
          </cell>
          <cell r="O2262" t="str">
            <v>Open</v>
          </cell>
          <cell r="P2262">
            <v>0</v>
          </cell>
          <cell r="Q2262" t="str">
            <v>MCR|87</v>
          </cell>
        </row>
        <row r="2263">
          <cell r="E2263" t="str">
            <v>10. PHOTO LOG</v>
          </cell>
          <cell r="G2263" t="str">
            <v>MCR-P006</v>
          </cell>
          <cell r="H2263" t="str">
            <v>MCR / Electrical</v>
          </cell>
          <cell r="I2263" t="str">
            <v>Electrical / UPS</v>
          </cell>
          <cell r="J2263" t="str">
            <v>UPS-A/B, switchboards, panels, ATS, generator tie, PDUs, rack receptacles, grounding, SPDs and load measurement labels</v>
          </cell>
          <cell r="K2263">
            <v>0</v>
          </cell>
          <cell r="L2263" t="str">
            <v>Paul</v>
          </cell>
          <cell r="O2263" t="str">
            <v>Open</v>
          </cell>
          <cell r="P2263">
            <v>0</v>
          </cell>
          <cell r="Q2263" t="str">
            <v>MCR|88</v>
          </cell>
        </row>
        <row r="2264">
          <cell r="E2264" t="str">
            <v>10. PHOTO LOG</v>
          </cell>
          <cell r="G2264" t="str">
            <v>MCR-P007</v>
          </cell>
          <cell r="H2264" t="str">
            <v>MCR / Mechanical</v>
          </cell>
          <cell r="I2264" t="str">
            <v>HVAC / Controls</v>
          </cell>
          <cell r="J2264" t="str">
            <v>CRAC units, condensate, controls/BACnet/BMS/FMS points, alarms, environmental monitoring and emergency power source</v>
          </cell>
          <cell r="K2264">
            <v>0</v>
          </cell>
          <cell r="L2264" t="str">
            <v>Paul</v>
          </cell>
          <cell r="O2264" t="str">
            <v>Open</v>
          </cell>
          <cell r="P2264">
            <v>0</v>
          </cell>
          <cell r="Q2264" t="str">
            <v>MCR|89</v>
          </cell>
        </row>
        <row r="2265">
          <cell r="E2265" t="str">
            <v>10. PHOTO LOG</v>
          </cell>
          <cell r="G2265" t="str">
            <v>MCR-P008</v>
          </cell>
          <cell r="H2265" t="str">
            <v>MCR / Life Safety</v>
          </cell>
          <cell r="I2265" t="str">
            <v>Fire / Security</v>
          </cell>
          <cell r="J2265" t="str">
            <v>Clean-agent cylinders/piping/nozzles, preaction/sprinkler, fire alarm, release/abort devices, cameras 07-CAM series, PACS/controller and door hardware</v>
          </cell>
          <cell r="K2265">
            <v>0</v>
          </cell>
          <cell r="L2265" t="str">
            <v>Paul</v>
          </cell>
          <cell r="O2265" t="str">
            <v>Open</v>
          </cell>
          <cell r="P2265">
            <v>0</v>
          </cell>
          <cell r="Q2265" t="str">
            <v>MCR|90</v>
          </cell>
        </row>
        <row r="2266">
          <cell r="E2266" t="str">
            <v>10. PHOTO LOG</v>
          </cell>
          <cell r="G2266">
            <v>0</v>
          </cell>
          <cell r="H2266">
            <v>0</v>
          </cell>
          <cell r="I2266">
            <v>0</v>
          </cell>
          <cell r="J2266">
            <v>0</v>
          </cell>
          <cell r="K2266">
            <v>0</v>
          </cell>
          <cell r="L2266">
            <v>0</v>
          </cell>
          <cell r="O2266">
            <v>0</v>
          </cell>
          <cell r="P2266">
            <v>0</v>
          </cell>
          <cell r="Q2266" t="str">
            <v>MCR|91</v>
          </cell>
        </row>
        <row r="2267">
          <cell r="E2267" t="str">
            <v>1. SITE ROUTE INVENTORY</v>
          </cell>
          <cell r="G2267" t="str">
            <v>1. SITE ROUTE INVENTORY</v>
          </cell>
          <cell r="H2267">
            <v>0</v>
          </cell>
          <cell r="I2267">
            <v>0</v>
          </cell>
          <cell r="J2267">
            <v>0</v>
          </cell>
          <cell r="K2267">
            <v>0</v>
          </cell>
          <cell r="L2267">
            <v>0</v>
          </cell>
          <cell r="O2267">
            <v>0</v>
          </cell>
          <cell r="P2267">
            <v>0</v>
          </cell>
          <cell r="Q2267" t="str">
            <v>SITE|1</v>
          </cell>
        </row>
        <row r="2268">
          <cell r="E2268" t="str">
            <v>1. SITE ROUTE INVENTORY</v>
          </cell>
          <cell r="G2268" t="str">
            <v>Area / Segment</v>
          </cell>
          <cell r="H2268" t="str">
            <v>Buildings / Nodes</v>
          </cell>
          <cell r="I2268" t="str">
            <v>Path</v>
          </cell>
          <cell r="J2268" t="str">
            <v>Primary Scope</v>
          </cell>
          <cell r="K2268" t="str">
            <v>Handholes / Structures</v>
          </cell>
          <cell r="L2268" t="str">
            <v>Conduit / Ductbank</v>
          </cell>
          <cell r="O2268" t="str">
            <v>Station / Length</v>
          </cell>
          <cell r="P2268" t="str">
            <v>Notes</v>
          </cell>
          <cell r="Q2268" t="str">
            <v>SITE|2</v>
          </cell>
        </row>
        <row r="2269">
          <cell r="E2269" t="str">
            <v>1. SITE ROUTE INVENTORY</v>
          </cell>
          <cell r="G2269" t="str">
            <v>Overall Site</v>
          </cell>
          <cell r="H2269" t="str">
            <v>Campus-wide / MCR / all EHRM buildings</v>
          </cell>
          <cell r="I2269" t="str">
            <v>Path A &amp; B</v>
          </cell>
          <cell r="J2269" t="str">
            <v>Redundant site fiber backbone</v>
          </cell>
          <cell r="K2269" t="str">
            <v>THH #1-#19, communication manholes, concrete pullboxes</v>
          </cell>
          <cell r="L2269" t="str">
            <v>4-inch PVC conduit in concrete ductbank; direct-bury communication conduit where noted</v>
          </cell>
          <cell r="O2269" t="str">
            <v>Campus wide</v>
          </cell>
          <cell r="P2269" t="str">
            <v>New site fiber conduit must be concrete encased. Base bid is trenching with concrete ductbank and hand digging at existing utility crossings; directional boring requires Government approval.</v>
          </cell>
          <cell r="Q2269" t="str">
            <v>SITE|3</v>
          </cell>
        </row>
        <row r="2270">
          <cell r="E2270" t="str">
            <v>1. SITE ROUTE INVENTORY</v>
          </cell>
          <cell r="G2270" t="str">
            <v>B12 to B16</v>
          </cell>
          <cell r="H2270" t="str">
            <v>B12 / B16</v>
          </cell>
          <cell r="I2270" t="str">
            <v>Path A &amp; B</v>
          </cell>
          <cell r="J2270" t="str">
            <v>Telecom plan and profile</v>
          </cell>
          <cell r="K2270" t="str">
            <v>THH #15-#19</v>
          </cell>
          <cell r="L2270" t="str">
            <v>2x4-inch PVC concrete ductbank</v>
          </cell>
          <cell r="O2270" t="str">
            <v>00+00 to 7+91.21</v>
          </cell>
          <cell r="P2270" t="str">
            <v>Plan/profile shows B12 to B16 route with vertical ductbank angle transitions and concrete ductbank notes.</v>
          </cell>
          <cell r="Q2270" t="str">
            <v>SITE|4</v>
          </cell>
        </row>
        <row r="2271">
          <cell r="E2271" t="str">
            <v>1. SITE ROUTE INVENTORY</v>
          </cell>
          <cell r="G2271" t="str">
            <v>B1 to B70</v>
          </cell>
          <cell r="H2271" t="str">
            <v>B1 / B70 backbone segment</v>
          </cell>
          <cell r="I2271" t="str">
            <v>Path A &amp; B</v>
          </cell>
          <cell r="J2271" t="str">
            <v>Telecom plan and profile</v>
          </cell>
          <cell r="K2271" t="str">
            <v>THH #1-#7 plus pullbox</v>
          </cell>
          <cell r="L2271" t="str">
            <v>2x4-inch and 4x4-inch PVC concrete ductbank</v>
          </cell>
          <cell r="O2271" t="str">
            <v>00+00 to 15+92.04</v>
          </cell>
          <cell r="P2271" t="str">
            <v>Long backbone route with multiple THHs, concrete pullbox, and B70/B81 branches. Confirm all utility crossings and trench restoration limits.</v>
          </cell>
          <cell r="Q2271" t="str">
            <v>SITE|5</v>
          </cell>
        </row>
        <row r="2272">
          <cell r="E2272" t="str">
            <v>1. SITE ROUTE INVENTORY</v>
          </cell>
          <cell r="G2272" t="str">
            <v>B20 / B22</v>
          </cell>
          <cell r="H2272" t="str">
            <v>B20 / B22</v>
          </cell>
          <cell r="I2272" t="str">
            <v>Path A &amp; B</v>
          </cell>
          <cell r="J2272" t="str">
            <v>Telecom plan and profile</v>
          </cell>
          <cell r="K2272" t="str">
            <v>THH #2, #8-#12</v>
          </cell>
          <cell r="L2272" t="str">
            <v>2x4-inch PVC concrete ductbank</v>
          </cell>
          <cell r="O2272" t="str">
            <v>B20 00+00 to 7+34.47; B22 00+00 to 1+98.18</v>
          </cell>
          <cell r="P2272" t="str">
            <v>Route feeds Building 20 and 22. Confirm common ductbank has separate conduits for A/B path where shown.</v>
          </cell>
          <cell r="Q2272" t="str">
            <v>SITE|6</v>
          </cell>
        </row>
        <row r="2273">
          <cell r="E2273" t="str">
            <v>1. SITE ROUTE INVENTORY</v>
          </cell>
          <cell r="G2273" t="str">
            <v>B15 / B9</v>
          </cell>
          <cell r="H2273" t="str">
            <v>B15 / B9</v>
          </cell>
          <cell r="I2273" t="str">
            <v>Path A &amp; B</v>
          </cell>
          <cell r="J2273" t="str">
            <v>Telecom plan and profile</v>
          </cell>
          <cell r="K2273" t="str">
            <v>THH #14-#18</v>
          </cell>
          <cell r="L2273" t="str">
            <v>2x4-inch PVC concrete ductbank</v>
          </cell>
          <cell r="O2273" t="str">
            <v>B15 00+00 to 1+70.82; B9 00+00 to 2+01.32</v>
          </cell>
          <cell r="P2273" t="str">
            <v>Route includes ductbank transitions and utility verification requirements.</v>
          </cell>
          <cell r="Q2273" t="str">
            <v>SITE|7</v>
          </cell>
        </row>
        <row r="2274">
          <cell r="E2274" t="str">
            <v>1. SITE ROUTE INVENTORY</v>
          </cell>
          <cell r="G2274" t="str">
            <v>B13 / B14</v>
          </cell>
          <cell r="H2274" t="str">
            <v>B13 / B14</v>
          </cell>
          <cell r="I2274" t="str">
            <v>Path A &amp; B</v>
          </cell>
          <cell r="J2274" t="str">
            <v>Telecom plan and profile</v>
          </cell>
          <cell r="K2274" t="str">
            <v>THH #15-#17</v>
          </cell>
          <cell r="L2274" t="str">
            <v>2x4-inch PVC concrete ductbank</v>
          </cell>
          <cell r="O2274" t="str">
            <v>B13 00+00 to 1+67.85; B14 00+00 to 1+79.01</v>
          </cell>
          <cell r="P2274" t="str">
            <v>Coordinate with nearby B12/B16/B15 infrastructure and handhole locations.</v>
          </cell>
          <cell r="Q2274" t="str">
            <v>SITE|8</v>
          </cell>
        </row>
        <row r="2275">
          <cell r="E2275" t="str">
            <v>1. SITE ROUTE INVENTORY</v>
          </cell>
          <cell r="G2275" t="str">
            <v>B70 / B81</v>
          </cell>
          <cell r="H2275" t="str">
            <v>B70 / B81</v>
          </cell>
          <cell r="I2275" t="str">
            <v>Path A &amp; B</v>
          </cell>
          <cell r="J2275" t="str">
            <v>Telecom plan and profile</v>
          </cell>
          <cell r="K2275" t="str">
            <v>THH #7 / #14</v>
          </cell>
          <cell r="L2275" t="str">
            <v>2x4-inch PVC concrete ductbank</v>
          </cell>
          <cell r="O2275" t="str">
            <v>B70 15+52.38 to 15+92.04; B81 00+00 to 1+49.54</v>
          </cell>
          <cell r="P2275" t="str">
            <v>B70/B81 extension from B1-B70 backbone; verify west-campus access and restoration.</v>
          </cell>
          <cell r="Q2275" t="str">
            <v>SITE|9</v>
          </cell>
        </row>
        <row r="2276">
          <cell r="E2276" t="str">
            <v>1. SITE ROUTE INVENTORY</v>
          </cell>
          <cell r="G2276" t="str">
            <v>B33 / B17</v>
          </cell>
          <cell r="H2276" t="str">
            <v>B33 / B17</v>
          </cell>
          <cell r="I2276" t="str">
            <v>B33 Path A &amp; B / B17 Path A</v>
          </cell>
          <cell r="J2276" t="str">
            <v>Telecom plan and profile</v>
          </cell>
          <cell r="K2276" t="str">
            <v>THH #8, #10, #13</v>
          </cell>
          <cell r="L2276" t="str">
            <v>2x4-inch PVC concrete ductbank</v>
          </cell>
          <cell r="O2276" t="str">
            <v>B33 00+00 to 0+78.16; B17 00+00 to 1+16.82</v>
          </cell>
          <cell r="P2276" t="str">
            <v>B17 Path A only on this sheet; Path B appears on TS210. Ensure PMIS tracks both A and B legs.</v>
          </cell>
          <cell r="Q2276" t="str">
            <v>SITE|10</v>
          </cell>
        </row>
        <row r="2277">
          <cell r="E2277" t="str">
            <v>1. SITE ROUTE INVENTORY</v>
          </cell>
          <cell r="G2277" t="str">
            <v>B18 / B19</v>
          </cell>
          <cell r="H2277" t="str">
            <v>B18 / B19</v>
          </cell>
          <cell r="I2277" t="str">
            <v>B18 Path A / B19 Path A &amp; B</v>
          </cell>
          <cell r="J2277" t="str">
            <v>Telecom plan and profile</v>
          </cell>
          <cell r="K2277" t="str">
            <v>THH #9 / #10</v>
          </cell>
          <cell r="L2277" t="str">
            <v>2x4-inch PVC concrete ductbank</v>
          </cell>
          <cell r="O2277" t="str">
            <v>B18 00+00 to 0+36.94; B19 00+00 to 0+42.25</v>
          </cell>
          <cell r="P2277" t="str">
            <v>B18 Path A only on this sheet; Path B appears on TS210. Verify B19 A/B separation and building penetration.</v>
          </cell>
          <cell r="Q2277" t="str">
            <v>SITE|11</v>
          </cell>
        </row>
        <row r="2278">
          <cell r="E2278" t="str">
            <v>1. SITE ROUTE INVENTORY</v>
          </cell>
          <cell r="G2278" t="str">
            <v>B81 / B17 to B01 / B18</v>
          </cell>
          <cell r="H2278" t="str">
            <v>B81 / B17 / B01 / B18</v>
          </cell>
          <cell r="I2278" t="str">
            <v>Path B</v>
          </cell>
          <cell r="J2278" t="str">
            <v>Telecom plan and profile</v>
          </cell>
          <cell r="K2278" t="str">
            <v>THH #7 / #13</v>
          </cell>
          <cell r="L2278" t="str">
            <v>2x4-inch PVC concrete ductbank</v>
          </cell>
          <cell r="O2278" t="str">
            <v>B17 to B01 00+00 to 1+63.50; B18 00+00 to 0+87.25</v>
          </cell>
          <cell r="P2278" t="str">
            <v>Completes B-path routing for B17 and B18 and B81/B17-to-B01 interconnection. Critical for redundancy verification.</v>
          </cell>
          <cell r="Q2278" t="str">
            <v>SITE|12</v>
          </cell>
        </row>
        <row r="2279">
          <cell r="E2279" t="str">
            <v>1. SITE ROUTE INVENTORY</v>
          </cell>
          <cell r="G2279">
            <v>0</v>
          </cell>
          <cell r="H2279">
            <v>0</v>
          </cell>
          <cell r="I2279">
            <v>0</v>
          </cell>
          <cell r="J2279">
            <v>0</v>
          </cell>
          <cell r="K2279">
            <v>0</v>
          </cell>
          <cell r="L2279">
            <v>0</v>
          </cell>
          <cell r="O2279">
            <v>0</v>
          </cell>
          <cell r="P2279">
            <v>0</v>
          </cell>
          <cell r="Q2279" t="str">
            <v>SITE|13</v>
          </cell>
        </row>
        <row r="2280">
          <cell r="E2280" t="str">
            <v>2. SITE READINESS</v>
          </cell>
          <cell r="G2280" t="str">
            <v>2. SITE READINESS</v>
          </cell>
          <cell r="H2280">
            <v>0</v>
          </cell>
          <cell r="I2280">
            <v>0</v>
          </cell>
          <cell r="J2280">
            <v>0</v>
          </cell>
          <cell r="K2280">
            <v>0</v>
          </cell>
          <cell r="L2280">
            <v>0</v>
          </cell>
          <cell r="O2280">
            <v>0</v>
          </cell>
          <cell r="P2280">
            <v>0</v>
          </cell>
          <cell r="Q2280" t="str">
            <v>SITE|14</v>
          </cell>
        </row>
        <row r="2281">
          <cell r="E2281" t="str">
            <v>2. SITE READINESS</v>
          </cell>
          <cell r="G2281" t="str">
            <v>Scope Area</v>
          </cell>
          <cell r="H2281" t="str">
            <v>Survey / Layout</v>
          </cell>
          <cell r="I2281" t="str">
            <v>Utility Locate</v>
          </cell>
          <cell r="J2281" t="str">
            <v>Access / Traffic</v>
          </cell>
          <cell r="K2281" t="str">
            <v>Excavation Permit</v>
          </cell>
          <cell r="L2281" t="str">
            <v>Ductbank Forms</v>
          </cell>
          <cell r="O2281" t="str">
            <v>Overall</v>
          </cell>
          <cell r="P2281" t="str">
            <v>Comments</v>
          </cell>
          <cell r="Q2281" t="str">
            <v>SITE|15</v>
          </cell>
        </row>
        <row r="2282">
          <cell r="E2282" t="str">
            <v>2. SITE READINESS</v>
          </cell>
          <cell r="G2282" t="str">
            <v>Campus Backbone</v>
          </cell>
          <cell r="H2282" t="str">
            <v>Verify</v>
          </cell>
          <cell r="I2282" t="str">
            <v>Verify</v>
          </cell>
          <cell r="J2282" t="str">
            <v>Verify</v>
          </cell>
          <cell r="K2282" t="str">
            <v>Verify</v>
          </cell>
          <cell r="L2282" t="str">
            <v>Verify</v>
          </cell>
          <cell r="O2282" t="str">
            <v>Verify</v>
          </cell>
          <cell r="P2282" t="str">
            <v>Survey notes state utility locations are approximate and conditions may vary; contractor must provide utility location service before excavation and verify location/depth of all utilities.</v>
          </cell>
          <cell r="Q2282" t="str">
            <v>SITE|16</v>
          </cell>
        </row>
        <row r="2283">
          <cell r="E2283" t="str">
            <v>2. SITE READINESS</v>
          </cell>
          <cell r="G2283" t="str">
            <v>THH / Manholes</v>
          </cell>
          <cell r="H2283" t="str">
            <v>Verify</v>
          </cell>
          <cell r="I2283" t="str">
            <v>Verify</v>
          </cell>
          <cell r="J2283" t="str">
            <v>Verify</v>
          </cell>
          <cell r="K2283" t="str">
            <v>Verify</v>
          </cell>
          <cell r="L2283" t="str">
            <v>Verify</v>
          </cell>
          <cell r="O2283" t="str">
            <v>Verify</v>
          </cell>
          <cell r="P2283" t="str">
            <v>Field verify THH #1-#19, communication manholes, existing manholes, locking covers, drainage, elevations and pull radius before ductbank install.</v>
          </cell>
          <cell r="Q2283" t="str">
            <v>SITE|17</v>
          </cell>
        </row>
        <row r="2284">
          <cell r="E2284" t="str">
            <v>2. SITE READINESS</v>
          </cell>
          <cell r="G2284" t="str">
            <v>Concrete Ductbank</v>
          </cell>
          <cell r="H2284" t="str">
            <v>Verify</v>
          </cell>
          <cell r="I2284" t="str">
            <v>Verify</v>
          </cell>
          <cell r="J2284" t="str">
            <v>Verify</v>
          </cell>
          <cell r="K2284" t="str">
            <v>Verify</v>
          </cell>
          <cell r="L2284" t="str">
            <v>Verify</v>
          </cell>
          <cell r="O2284" t="str">
            <v>Verify</v>
          </cell>
          <cell r="P2284" t="str">
            <v>Trench must remain open until inspection of concrete duct. Confirm conduit quantity per T-601 and ductbank size/detail per T-501.</v>
          </cell>
          <cell r="Q2284" t="str">
            <v>SITE|18</v>
          </cell>
        </row>
        <row r="2285">
          <cell r="E2285" t="str">
            <v>2. SITE READINESS</v>
          </cell>
          <cell r="G2285" t="str">
            <v>Building Tie-ins</v>
          </cell>
          <cell r="H2285" t="str">
            <v>Verify</v>
          </cell>
          <cell r="I2285" t="str">
            <v>Verify</v>
          </cell>
          <cell r="J2285" t="str">
            <v>Verify</v>
          </cell>
          <cell r="K2285" t="str">
            <v>Verify</v>
          </cell>
          <cell r="L2285" t="str">
            <v>Verify</v>
          </cell>
          <cell r="O2285" t="str">
            <v>Verify</v>
          </cell>
          <cell r="P2285" t="str">
            <v>Each building sheet T-101 and T-601 riser diagram are continuation references. Confirm sleeve/penetration, firestop, patching and building downtime coordination.</v>
          </cell>
          <cell r="Q2285" t="str">
            <v>SITE|19</v>
          </cell>
        </row>
        <row r="2286">
          <cell r="E2286" t="str">
            <v>2. SITE READINESS</v>
          </cell>
          <cell r="G2286" t="str">
            <v>Restoration / Site</v>
          </cell>
          <cell r="H2286" t="str">
            <v>Verify</v>
          </cell>
          <cell r="I2286" t="str">
            <v>Verify</v>
          </cell>
          <cell r="J2286" t="str">
            <v>Verify</v>
          </cell>
          <cell r="K2286" t="str">
            <v>Verify</v>
          </cell>
          <cell r="L2286" t="str">
            <v>N/A</v>
          </cell>
          <cell r="O2286" t="str">
            <v>Verify</v>
          </cell>
          <cell r="P2286" t="str">
            <v>Restore trench/sidewalk/asphalt/landscape to match existing. Maintain fire lanes, hydrants, access and pedestrian controls.</v>
          </cell>
          <cell r="Q2286" t="str">
            <v>SITE|20</v>
          </cell>
        </row>
        <row r="2287">
          <cell r="E2287" t="str">
            <v>2. SITE READINESS</v>
          </cell>
          <cell r="G2287">
            <v>0</v>
          </cell>
          <cell r="H2287">
            <v>0</v>
          </cell>
          <cell r="I2287">
            <v>0</v>
          </cell>
          <cell r="J2287">
            <v>0</v>
          </cell>
          <cell r="K2287">
            <v>0</v>
          </cell>
          <cell r="L2287">
            <v>0</v>
          </cell>
          <cell r="O2287">
            <v>0</v>
          </cell>
          <cell r="P2287">
            <v>0</v>
          </cell>
          <cell r="Q2287" t="str">
            <v>SITE|21</v>
          </cell>
        </row>
        <row r="2288">
          <cell r="E2288" t="str">
            <v>3. FIRE / LIFE SAFETY / SITE ACCESS</v>
          </cell>
          <cell r="G2288" t="str">
            <v>3. FIRE / LIFE SAFETY / SITE ACCESS</v>
          </cell>
          <cell r="H2288">
            <v>0</v>
          </cell>
          <cell r="I2288">
            <v>0</v>
          </cell>
          <cell r="J2288">
            <v>0</v>
          </cell>
          <cell r="K2288">
            <v>0</v>
          </cell>
          <cell r="L2288">
            <v>0</v>
          </cell>
          <cell r="O2288">
            <v>0</v>
          </cell>
          <cell r="P2288">
            <v>0</v>
          </cell>
          <cell r="Q2288" t="str">
            <v>SITE|22</v>
          </cell>
        </row>
        <row r="2289">
          <cell r="E2289" t="str">
            <v>3. FIRE / LIFE SAFETY / SITE ACCESS</v>
          </cell>
          <cell r="G2289" t="str">
            <v>Area</v>
          </cell>
          <cell r="H2289" t="str">
            <v>Fire Lane</v>
          </cell>
          <cell r="I2289" t="str">
            <v>Hydrants / FDC</v>
          </cell>
          <cell r="J2289" t="str">
            <v>Egress</v>
          </cell>
          <cell r="K2289" t="str">
            <v>Temp Barriers</v>
          </cell>
          <cell r="L2289" t="str">
            <v>Hot Work</v>
          </cell>
          <cell r="O2289" t="str">
            <v>Overall</v>
          </cell>
          <cell r="P2289" t="str">
            <v>Risk / Notes</v>
          </cell>
          <cell r="Q2289" t="str">
            <v>SITE|23</v>
          </cell>
        </row>
        <row r="2290">
          <cell r="E2290" t="str">
            <v>3. FIRE / LIFE SAFETY / SITE ACCESS</v>
          </cell>
          <cell r="G2290" t="str">
            <v>Campus Work Areas</v>
          </cell>
          <cell r="H2290" t="str">
            <v>Verify</v>
          </cell>
          <cell r="I2290" t="str">
            <v>Verify</v>
          </cell>
          <cell r="J2290" t="str">
            <v>Verify</v>
          </cell>
          <cell r="K2290" t="str">
            <v>Verify</v>
          </cell>
          <cell r="L2290" t="str">
            <v>Verify</v>
          </cell>
          <cell r="O2290" t="str">
            <v>Verify</v>
          </cell>
          <cell r="P2290" t="str">
            <v>General notes require fire lanes, hydrants and fire department access roads operational at all times; maintain egress and provide fire watch/temporary protection when required.</v>
          </cell>
          <cell r="Q2290" t="str">
            <v>SITE|24</v>
          </cell>
        </row>
        <row r="2291">
          <cell r="E2291" t="str">
            <v>3. FIRE / LIFE SAFETY / SITE ACCESS</v>
          </cell>
          <cell r="G2291" t="str">
            <v>Trenching / Excavation</v>
          </cell>
          <cell r="H2291" t="str">
            <v>Verify</v>
          </cell>
          <cell r="I2291" t="str">
            <v>Verify</v>
          </cell>
          <cell r="J2291" t="str">
            <v>Verify</v>
          </cell>
          <cell r="K2291" t="str">
            <v>Verify</v>
          </cell>
          <cell r="L2291" t="str">
            <v>N/A</v>
          </cell>
          <cell r="O2291" t="str">
            <v>Verify</v>
          </cell>
          <cell r="P2291" t="str">
            <v>Trench barricades, accessible parking/public access and right-of-way impacts must be coordinated with owner prior to construction.</v>
          </cell>
          <cell r="Q2291" t="str">
            <v>SITE|25</v>
          </cell>
        </row>
        <row r="2292">
          <cell r="E2292" t="str">
            <v>3. FIRE / LIFE SAFETY / SITE ACCESS</v>
          </cell>
          <cell r="G2292" t="str">
            <v>Building Penetrations</v>
          </cell>
          <cell r="H2292" t="str">
            <v>Verify</v>
          </cell>
          <cell r="I2292" t="str">
            <v>Verify</v>
          </cell>
          <cell r="J2292" t="str">
            <v>Verify</v>
          </cell>
          <cell r="K2292" t="str">
            <v>Verify</v>
          </cell>
          <cell r="L2292" t="str">
            <v>Verify</v>
          </cell>
          <cell r="O2292" t="str">
            <v>Verify</v>
          </cell>
          <cell r="P2292" t="str">
            <v>Rated wall/floor penetrations must be firestopped; temporary firestopping required if penetrations remain open between shifts.</v>
          </cell>
          <cell r="Q2292" t="str">
            <v>SITE|26</v>
          </cell>
        </row>
        <row r="2293">
          <cell r="E2293" t="str">
            <v>3. FIRE / LIFE SAFETY / SITE ACCESS</v>
          </cell>
          <cell r="G2293" t="str">
            <v>MCR / Critical Backbone</v>
          </cell>
          <cell r="H2293" t="str">
            <v>Verify</v>
          </cell>
          <cell r="I2293" t="str">
            <v>Verify</v>
          </cell>
          <cell r="J2293" t="str">
            <v>Verify</v>
          </cell>
          <cell r="K2293" t="str">
            <v>Verify</v>
          </cell>
          <cell r="L2293" t="str">
            <v>Verify</v>
          </cell>
          <cell r="O2293" t="str">
            <v>Verify</v>
          </cell>
          <cell r="P2293" t="str">
            <v>Backbone work affects facility operations. Any required shutdowns must be limited to one at a time and coordinated with approved phasing plan.</v>
          </cell>
          <cell r="Q2293" t="str">
            <v>SITE|27</v>
          </cell>
        </row>
        <row r="2294">
          <cell r="E2294" t="str">
            <v>3. FIRE / LIFE SAFETY / SITE ACCESS</v>
          </cell>
          <cell r="G2294">
            <v>0</v>
          </cell>
          <cell r="H2294">
            <v>0</v>
          </cell>
          <cell r="I2294">
            <v>0</v>
          </cell>
          <cell r="J2294">
            <v>0</v>
          </cell>
          <cell r="K2294">
            <v>0</v>
          </cell>
          <cell r="L2294">
            <v>0</v>
          </cell>
          <cell r="O2294">
            <v>0</v>
          </cell>
          <cell r="P2294">
            <v>0</v>
          </cell>
          <cell r="Q2294" t="str">
            <v>SITE|28</v>
          </cell>
        </row>
        <row r="2295">
          <cell r="E2295" t="str">
            <v>4. CIVIL / DUCTBANK / RESTORATION</v>
          </cell>
          <cell r="G2295" t="str">
            <v>4. CIVIL / DUCTBANK / RESTORATION</v>
          </cell>
          <cell r="H2295">
            <v>0</v>
          </cell>
          <cell r="I2295">
            <v>0</v>
          </cell>
          <cell r="J2295">
            <v>0</v>
          </cell>
          <cell r="K2295">
            <v>0</v>
          </cell>
          <cell r="L2295">
            <v>0</v>
          </cell>
          <cell r="O2295">
            <v>0</v>
          </cell>
          <cell r="P2295">
            <v>0</v>
          </cell>
          <cell r="Q2295" t="str">
            <v>SITE|29</v>
          </cell>
        </row>
        <row r="2296">
          <cell r="E2296" t="str">
            <v>4. CIVIL / DUCTBANK / RESTORATION</v>
          </cell>
          <cell r="G2296" t="str">
            <v>Segment</v>
          </cell>
          <cell r="H2296" t="str">
            <v>Excavation Method</v>
          </cell>
          <cell r="I2296" t="str">
            <v>Ductbank Type</v>
          </cell>
          <cell r="J2296" t="str">
            <v>Concrete / Backfill</v>
          </cell>
          <cell r="K2296" t="str">
            <v>Structures</v>
          </cell>
          <cell r="L2296" t="str">
            <v>Profile Verified</v>
          </cell>
          <cell r="O2296" t="str">
            <v>Overall</v>
          </cell>
          <cell r="P2296" t="str">
            <v>Risk / Notes</v>
          </cell>
          <cell r="Q2296" t="str">
            <v>SITE|30</v>
          </cell>
        </row>
        <row r="2297">
          <cell r="E2297" t="str">
            <v>4. CIVIL / DUCTBANK / RESTORATION</v>
          </cell>
          <cell r="G2297" t="str">
            <v>All New Site Fiber</v>
          </cell>
          <cell r="H2297" t="str">
            <v>Trenching base bid</v>
          </cell>
          <cell r="I2297" t="str">
            <v>Concrete encased conduit</v>
          </cell>
          <cell r="J2297" t="str">
            <v>Verify</v>
          </cell>
          <cell r="K2297" t="str">
            <v>THH / manholes / pullboxes</v>
          </cell>
          <cell r="L2297" t="str">
            <v>Verify</v>
          </cell>
          <cell r="O2297" t="str">
            <v>Verify</v>
          </cell>
          <cell r="P2297" t="str">
            <v>General notes require all utilities installed with this project to be in concrete ductbank; directional boring must be approved by Government.</v>
          </cell>
          <cell r="Q2297" t="str">
            <v>SITE|31</v>
          </cell>
        </row>
        <row r="2298">
          <cell r="E2298" t="str">
            <v>4. CIVIL / DUCTBANK / RESTORATION</v>
          </cell>
          <cell r="G2298" t="str">
            <v>B1-B70 Backbone</v>
          </cell>
          <cell r="H2298" t="str">
            <v>Trench / hand dig at crossings</v>
          </cell>
          <cell r="I2298" t="str">
            <v>2x4 and 4x4 PVC ductbank</v>
          </cell>
          <cell r="J2298" t="str">
            <v>Verify</v>
          </cell>
          <cell r="K2298" t="str">
            <v>THH #1-#7 / pullbox</v>
          </cell>
          <cell r="L2298" t="str">
            <v>Verify</v>
          </cell>
          <cell r="O2298" t="str">
            <v>Verify</v>
          </cell>
          <cell r="P2298" t="str">
            <v>Longest route and highest exposure to existing utilities and surface restoration.</v>
          </cell>
          <cell r="Q2298" t="str">
            <v>SITE|32</v>
          </cell>
        </row>
        <row r="2299">
          <cell r="E2299" t="str">
            <v>4. CIVIL / DUCTBANK / RESTORATION</v>
          </cell>
          <cell r="G2299" t="str">
            <v>B12-B16 / South/East Branches</v>
          </cell>
          <cell r="H2299" t="str">
            <v>Trench / hand dig at crossings</v>
          </cell>
          <cell r="I2299" t="str">
            <v>2x4 PVC ductbank</v>
          </cell>
          <cell r="J2299" t="str">
            <v>Verify</v>
          </cell>
          <cell r="K2299" t="str">
            <v>THH #15-#19</v>
          </cell>
          <cell r="L2299" t="str">
            <v>Verify</v>
          </cell>
          <cell r="O2299" t="str">
            <v>Verify</v>
          </cell>
          <cell r="P2299" t="str">
            <v>Verify vertical ductbank angles and utility crossing depths before concrete placement.</v>
          </cell>
          <cell r="Q2299" t="str">
            <v>SITE|33</v>
          </cell>
        </row>
        <row r="2300">
          <cell r="E2300" t="str">
            <v>4. CIVIL / DUCTBANK / RESTORATION</v>
          </cell>
          <cell r="G2300" t="str">
            <v>B20/B22/B33/B17/B18/B19</v>
          </cell>
          <cell r="H2300" t="str">
            <v>Trench / hand dig at crossings</v>
          </cell>
          <cell r="I2300" t="str">
            <v>2x4 PVC ductbank</v>
          </cell>
          <cell r="J2300" t="str">
            <v>Verify</v>
          </cell>
          <cell r="K2300" t="str">
            <v>THH #8-#13</v>
          </cell>
          <cell r="L2300" t="str">
            <v>Verify</v>
          </cell>
          <cell r="O2300" t="str">
            <v>Verify</v>
          </cell>
          <cell r="P2300" t="str">
            <v>Dense campus area with multiple building tie-ins; coordinate outages and building access.</v>
          </cell>
          <cell r="Q2300" t="str">
            <v>SITE|34</v>
          </cell>
        </row>
        <row r="2301">
          <cell r="E2301" t="str">
            <v>4. CIVIL / DUCTBANK / RESTORATION</v>
          </cell>
          <cell r="G2301" t="str">
            <v>Restoration</v>
          </cell>
          <cell r="H2301" t="str">
            <v>Match existing</v>
          </cell>
          <cell r="I2301" t="str">
            <v>N/A</v>
          </cell>
          <cell r="J2301" t="str">
            <v>Concrete/asphalt/landscape</v>
          </cell>
          <cell r="K2301" t="str">
            <v>N/A</v>
          </cell>
          <cell r="L2301" t="str">
            <v>N/A</v>
          </cell>
          <cell r="O2301" t="str">
            <v>Verify</v>
          </cell>
          <cell r="P2301" t="str">
            <v>T-501 details include trenching, concrete edge, pullbox, locking cover and concrete mix details. Confirm patch widths, tie bars and replacement limits.</v>
          </cell>
          <cell r="Q2301" t="str">
            <v>SITE|35</v>
          </cell>
        </row>
        <row r="2302">
          <cell r="E2302" t="str">
            <v>4. CIVIL / DUCTBANK / RESTORATION</v>
          </cell>
          <cell r="G2302">
            <v>0</v>
          </cell>
          <cell r="H2302">
            <v>0</v>
          </cell>
          <cell r="I2302">
            <v>0</v>
          </cell>
          <cell r="J2302">
            <v>0</v>
          </cell>
          <cell r="K2302">
            <v>0</v>
          </cell>
          <cell r="L2302">
            <v>0</v>
          </cell>
          <cell r="O2302">
            <v>0</v>
          </cell>
          <cell r="P2302">
            <v>0</v>
          </cell>
          <cell r="Q2302" t="str">
            <v>SITE|36</v>
          </cell>
        </row>
        <row r="2303">
          <cell r="E2303" t="str">
            <v>5. ELECTRICAL / SITE UTILITIES</v>
          </cell>
          <cell r="G2303" t="str">
            <v>5. ELECTRICAL / SITE UTILITIES</v>
          </cell>
          <cell r="H2303">
            <v>0</v>
          </cell>
          <cell r="I2303">
            <v>0</v>
          </cell>
          <cell r="J2303">
            <v>0</v>
          </cell>
          <cell r="K2303">
            <v>0</v>
          </cell>
          <cell r="L2303">
            <v>0</v>
          </cell>
          <cell r="O2303">
            <v>0</v>
          </cell>
          <cell r="P2303">
            <v>0</v>
          </cell>
          <cell r="Q2303" t="str">
            <v>SITE|37</v>
          </cell>
        </row>
        <row r="2304">
          <cell r="E2304" t="str">
            <v>5. ELECTRICAL / SITE UTILITIES</v>
          </cell>
          <cell r="G2304" t="str">
            <v>Area</v>
          </cell>
          <cell r="H2304" t="str">
            <v>Electrical Conflict</v>
          </cell>
          <cell r="I2304" t="str">
            <v>Telecom Conflict</v>
          </cell>
          <cell r="J2304" t="str">
            <v>Storm/Sanitary Conflict</v>
          </cell>
          <cell r="K2304" t="str">
            <v>Utility Locate</v>
          </cell>
          <cell r="L2304" t="str">
            <v>Grounding/Bonding</v>
          </cell>
          <cell r="O2304" t="str">
            <v>Overall</v>
          </cell>
          <cell r="P2304" t="str">
            <v>Notes</v>
          </cell>
          <cell r="Q2304" t="str">
            <v>SITE|38</v>
          </cell>
        </row>
        <row r="2305">
          <cell r="E2305" t="str">
            <v>5. ELECTRICAL / SITE UTILITIES</v>
          </cell>
          <cell r="G2305" t="str">
            <v>Overall Site</v>
          </cell>
          <cell r="H2305" t="str">
            <v>Verify</v>
          </cell>
          <cell r="I2305" t="str">
            <v>Verify</v>
          </cell>
          <cell r="J2305" t="str">
            <v>Verify</v>
          </cell>
          <cell r="K2305" t="str">
            <v>Verify</v>
          </cell>
          <cell r="L2305" t="str">
            <v>Verify</v>
          </cell>
          <cell r="O2305" t="str">
            <v>Verify</v>
          </cell>
          <cell r="P2305" t="str">
            <v>Electrical site plans ES101/ES401 are included. Existing utility locations are approximate; coordinate electrical vaults, underground electrical, storm drain manholes and sanitary manholes.</v>
          </cell>
          <cell r="Q2305" t="str">
            <v>SITE|39</v>
          </cell>
        </row>
        <row r="2306">
          <cell r="E2306" t="str">
            <v>5. ELECTRICAL / SITE UTILITIES</v>
          </cell>
          <cell r="G2306" t="str">
            <v>THH / Manholes</v>
          </cell>
          <cell r="H2306" t="str">
            <v>Verify</v>
          </cell>
          <cell r="I2306" t="str">
            <v>Verify</v>
          </cell>
          <cell r="J2306" t="str">
            <v>Verify</v>
          </cell>
          <cell r="K2306" t="str">
            <v>Verify</v>
          </cell>
          <cell r="L2306" t="str">
            <v>Verify</v>
          </cell>
          <cell r="O2306" t="str">
            <v>Verify</v>
          </cell>
          <cell r="P2306" t="str">
            <v>Locking covers and handhole/manhole locations must be field verified. Confirm bonding/grounding requirements where metallic components are present.</v>
          </cell>
          <cell r="Q2306" t="str">
            <v>SITE|40</v>
          </cell>
        </row>
        <row r="2307">
          <cell r="E2307" t="str">
            <v>5. ELECTRICAL / SITE UTILITIES</v>
          </cell>
          <cell r="G2307" t="str">
            <v>MCR / Provider Entrance</v>
          </cell>
          <cell r="H2307" t="str">
            <v>Verify</v>
          </cell>
          <cell r="I2307" t="str">
            <v>Verify</v>
          </cell>
          <cell r="J2307" t="str">
            <v>Verify</v>
          </cell>
          <cell r="K2307" t="str">
            <v>Verify</v>
          </cell>
          <cell r="L2307" t="str">
            <v>Verify</v>
          </cell>
          <cell r="O2307" t="str">
            <v>Verify</v>
          </cell>
          <cell r="P2307" t="str">
            <v>T-601 shows WAN/provider fiber entrances and new fiber Path A/B to the MCR. Coordinate with Century Link/service provider and MCR activation.</v>
          </cell>
          <cell r="Q2307" t="str">
            <v>SITE|41</v>
          </cell>
        </row>
        <row r="2308">
          <cell r="E2308" t="str">
            <v>5. ELECTRICAL / SITE UTILITIES</v>
          </cell>
          <cell r="G2308" t="str">
            <v>Building Tie-ins</v>
          </cell>
          <cell r="H2308" t="str">
            <v>Verify</v>
          </cell>
          <cell r="I2308" t="str">
            <v>Verify</v>
          </cell>
          <cell r="J2308" t="str">
            <v>Verify</v>
          </cell>
          <cell r="K2308" t="str">
            <v>Verify</v>
          </cell>
          <cell r="L2308" t="str">
            <v>Verify</v>
          </cell>
          <cell r="O2308" t="str">
            <v>Verify</v>
          </cell>
          <cell r="P2308" t="str">
            <v>Coordinate conduit penetrations with building electrical/telecom/firestop scope and avoid conflicts with existing services.</v>
          </cell>
          <cell r="Q2308" t="str">
            <v>SITE|42</v>
          </cell>
        </row>
        <row r="2309">
          <cell r="E2309" t="str">
            <v>5. ELECTRICAL / SITE UTILITIES</v>
          </cell>
          <cell r="G2309">
            <v>0</v>
          </cell>
          <cell r="H2309">
            <v>0</v>
          </cell>
          <cell r="I2309">
            <v>0</v>
          </cell>
          <cell r="J2309">
            <v>0</v>
          </cell>
          <cell r="K2309">
            <v>0</v>
          </cell>
          <cell r="L2309">
            <v>0</v>
          </cell>
          <cell r="O2309">
            <v>0</v>
          </cell>
          <cell r="P2309">
            <v>0</v>
          </cell>
          <cell r="Q2309" t="str">
            <v>SITE|43</v>
          </cell>
        </row>
        <row r="2310">
          <cell r="E2310" t="str">
            <v>6. TELECOMMUNICATIONS / FIBER</v>
          </cell>
          <cell r="G2310" t="str">
            <v>6. TELECOMMUNICATIONS / FIBER</v>
          </cell>
          <cell r="H2310">
            <v>0</v>
          </cell>
          <cell r="I2310">
            <v>0</v>
          </cell>
          <cell r="J2310">
            <v>0</v>
          </cell>
          <cell r="K2310">
            <v>0</v>
          </cell>
          <cell r="L2310">
            <v>0</v>
          </cell>
          <cell r="O2310">
            <v>0</v>
          </cell>
          <cell r="P2310">
            <v>0</v>
          </cell>
          <cell r="Q2310" t="str">
            <v>SITE|44</v>
          </cell>
        </row>
        <row r="2311">
          <cell r="E2311" t="str">
            <v>6. TELECOMMUNICATIONS / FIBER</v>
          </cell>
          <cell r="G2311" t="str">
            <v>Scope</v>
          </cell>
          <cell r="H2311" t="str">
            <v>Path A</v>
          </cell>
          <cell r="I2311" t="str">
            <v>Path B</v>
          </cell>
          <cell r="J2311" t="str">
            <v>Fiber Type</v>
          </cell>
          <cell r="K2311" t="str">
            <v>Conduit Separation</v>
          </cell>
          <cell r="L2311" t="str">
            <v>Riser / Continuation</v>
          </cell>
          <cell r="O2311" t="str">
            <v>Overall</v>
          </cell>
          <cell r="P2311" t="str">
            <v>Notes</v>
          </cell>
          <cell r="Q2311" t="str">
            <v>SITE|45</v>
          </cell>
        </row>
        <row r="2312">
          <cell r="E2312" t="str">
            <v>6. TELECOMMUNICATIONS / FIBER</v>
          </cell>
          <cell r="G2312" t="str">
            <v>Campus Backbone</v>
          </cell>
          <cell r="H2312" t="str">
            <v>Verify</v>
          </cell>
          <cell r="I2312" t="str">
            <v>Verify</v>
          </cell>
          <cell r="J2312" t="str">
            <v>24F OS2 10GB to each TR/building</v>
          </cell>
          <cell r="K2312" t="str">
            <v>Separate conduit where common ductbank shown</v>
          </cell>
          <cell r="L2312" t="str">
            <v>T-601 / building T-101 sheets</v>
          </cell>
          <cell r="O2312" t="str">
            <v>Verify</v>
          </cell>
          <cell r="P2312" t="str">
            <v>Legend identifies new fiber in A route, B route, and A+B routes in separate conduits. Confirm no cross-connect gaps at THHs/manholes.</v>
          </cell>
          <cell r="Q2312" t="str">
            <v>SITE|46</v>
          </cell>
        </row>
        <row r="2313">
          <cell r="E2313" t="str">
            <v>6. TELECOMMUNICATIONS / FIBER</v>
          </cell>
          <cell r="G2313" t="str">
            <v>MCR Provider / WAN</v>
          </cell>
          <cell r="H2313" t="str">
            <v>Verify</v>
          </cell>
          <cell r="I2313" t="str">
            <v>Verify</v>
          </cell>
          <cell r="J2313" t="str">
            <v>48F OS2 temporary and provider extension noted</v>
          </cell>
          <cell r="K2313" t="str">
            <v>Verify</v>
          </cell>
          <cell r="L2313" t="str">
            <v>T-601 / MCR sheets</v>
          </cell>
          <cell r="O2313" t="str">
            <v>Verify</v>
          </cell>
          <cell r="P2313" t="str">
            <v>Site one-line shows WAN fiber from service provider and temporary/provider extension pathways. Coordinate with MCR activation and OIT.</v>
          </cell>
          <cell r="Q2313" t="str">
            <v>SITE|47</v>
          </cell>
        </row>
        <row r="2314">
          <cell r="E2314" t="str">
            <v>6. TELECOMMUNICATIONS / FIBER</v>
          </cell>
          <cell r="G2314" t="str">
            <v>Building Drops</v>
          </cell>
          <cell r="H2314" t="str">
            <v>Verify</v>
          </cell>
          <cell r="I2314" t="str">
            <v>Verify</v>
          </cell>
          <cell r="J2314" t="str">
            <v>24F OS2 to each TR in each building</v>
          </cell>
          <cell r="K2314" t="str">
            <v>Verify</v>
          </cell>
          <cell r="L2314" t="str">
            <v>Building T-101 and T-601</v>
          </cell>
          <cell r="O2314" t="str">
            <v>Verify</v>
          </cell>
          <cell r="P2314" t="str">
            <v>Each building tie-in must be tested, labeled, and accepted before connection to active operations.</v>
          </cell>
          <cell r="Q2314" t="str">
            <v>SITE|48</v>
          </cell>
        </row>
        <row r="2315">
          <cell r="E2315" t="str">
            <v>6. TELECOMMUNICATIONS / FIBER</v>
          </cell>
          <cell r="G2315" t="str">
            <v>THH Network</v>
          </cell>
          <cell r="H2315" t="str">
            <v>Verify</v>
          </cell>
          <cell r="I2315" t="str">
            <v>Verify</v>
          </cell>
          <cell r="J2315" t="str">
            <v>Varies by segment</v>
          </cell>
          <cell r="K2315" t="str">
            <v>Verify</v>
          </cell>
          <cell r="L2315" t="str">
            <v>T-601</v>
          </cell>
          <cell r="O2315" t="str">
            <v>Verify</v>
          </cell>
          <cell r="P2315" t="str">
            <v>T-601 one-line lists THH #1-#19 and path counts such as 6 Path A + 4 Path B, 6 Path A + 6 Path B, 7 Path A + 7 Path B, 5 Path A + 4 Path B, and 9 Path A + 7 Path B.</v>
          </cell>
          <cell r="Q2315" t="str">
            <v>SITE|49</v>
          </cell>
        </row>
        <row r="2316">
          <cell r="E2316" t="str">
            <v>6. TELECOMMUNICATIONS / FIBER</v>
          </cell>
          <cell r="G2316">
            <v>0</v>
          </cell>
          <cell r="H2316">
            <v>0</v>
          </cell>
          <cell r="I2316">
            <v>0</v>
          </cell>
          <cell r="J2316">
            <v>0</v>
          </cell>
          <cell r="K2316">
            <v>0</v>
          </cell>
          <cell r="L2316">
            <v>0</v>
          </cell>
          <cell r="O2316">
            <v>0</v>
          </cell>
          <cell r="P2316">
            <v>0</v>
          </cell>
          <cell r="Q2316" t="str">
            <v>SITE|50</v>
          </cell>
        </row>
        <row r="2317">
          <cell r="E2317" t="str">
            <v>7. SECURITY / SITE CONTROL</v>
          </cell>
          <cell r="G2317" t="str">
            <v>7. SECURITY / SITE CONTROL</v>
          </cell>
          <cell r="H2317">
            <v>0</v>
          </cell>
          <cell r="I2317">
            <v>0</v>
          </cell>
          <cell r="J2317">
            <v>0</v>
          </cell>
          <cell r="K2317">
            <v>0</v>
          </cell>
          <cell r="L2317">
            <v>0</v>
          </cell>
          <cell r="O2317">
            <v>0</v>
          </cell>
          <cell r="P2317">
            <v>0</v>
          </cell>
          <cell r="Q2317" t="str">
            <v>SITE|51</v>
          </cell>
        </row>
        <row r="2318">
          <cell r="E2318" t="str">
            <v>7. SECURITY / SITE CONTROL</v>
          </cell>
          <cell r="G2318" t="str">
            <v>Area</v>
          </cell>
          <cell r="H2318" t="str">
            <v>Access Control</v>
          </cell>
          <cell r="I2318" t="str">
            <v>Barricades</v>
          </cell>
          <cell r="J2318" t="str">
            <v>Traffic Control</v>
          </cell>
          <cell r="K2318" t="str">
            <v>Pedestrian Control</v>
          </cell>
          <cell r="L2318" t="str">
            <v>After-hours Work</v>
          </cell>
          <cell r="O2318" t="str">
            <v>Overall</v>
          </cell>
          <cell r="P2318" t="str">
            <v>Notes</v>
          </cell>
          <cell r="Q2318" t="str">
            <v>SITE|52</v>
          </cell>
        </row>
        <row r="2319">
          <cell r="E2319" t="str">
            <v>7. SECURITY / SITE CONTROL</v>
          </cell>
          <cell r="G2319" t="str">
            <v>Campus Site Work</v>
          </cell>
          <cell r="H2319" t="str">
            <v>Verify</v>
          </cell>
          <cell r="I2319" t="str">
            <v>Verify</v>
          </cell>
          <cell r="J2319" t="str">
            <v>Verify</v>
          </cell>
          <cell r="K2319" t="str">
            <v>Verify</v>
          </cell>
          <cell r="L2319" t="str">
            <v>Verify</v>
          </cell>
          <cell r="O2319" t="str">
            <v>Verify</v>
          </cell>
          <cell r="P2319" t="str">
            <v>Coordinate staging, access, material storage, noisy work, utility interruption, trench barricades and public access with owner.</v>
          </cell>
          <cell r="Q2319" t="str">
            <v>SITE|53</v>
          </cell>
        </row>
        <row r="2320">
          <cell r="E2320" t="str">
            <v>7. SECURITY / SITE CONTROL</v>
          </cell>
          <cell r="G2320" t="str">
            <v>Road / Parking Impacts</v>
          </cell>
          <cell r="H2320" t="str">
            <v>Verify</v>
          </cell>
          <cell r="I2320" t="str">
            <v>Verify</v>
          </cell>
          <cell r="J2320" t="str">
            <v>Verify</v>
          </cell>
          <cell r="K2320" t="str">
            <v>Verify</v>
          </cell>
          <cell r="L2320" t="str">
            <v>Verify</v>
          </cell>
          <cell r="O2320" t="str">
            <v>Verify</v>
          </cell>
          <cell r="P2320" t="str">
            <v>General notes specifically identify accessible parking and public right-of-way impacts; temporary barricades must prevent injury and protect parking signage.</v>
          </cell>
          <cell r="Q2320" t="str">
            <v>SITE|54</v>
          </cell>
        </row>
        <row r="2321">
          <cell r="E2321" t="str">
            <v>7. SECURITY / SITE CONTROL</v>
          </cell>
          <cell r="G2321" t="str">
            <v>Critical Utility Crossings</v>
          </cell>
          <cell r="H2321" t="str">
            <v>Verify</v>
          </cell>
          <cell r="I2321" t="str">
            <v>Verify</v>
          </cell>
          <cell r="J2321" t="str">
            <v>Verify</v>
          </cell>
          <cell r="K2321" t="str">
            <v>Verify</v>
          </cell>
          <cell r="L2321" t="str">
            <v>Verify</v>
          </cell>
          <cell r="O2321" t="str">
            <v>Verify</v>
          </cell>
          <cell r="P2321" t="str">
            <v>Hand digging at existing utility crossings is in base bid. Confirm permits, Dig Safe, VA utility locate and escort requirements before excavation.</v>
          </cell>
          <cell r="Q2321" t="str">
            <v>SITE|55</v>
          </cell>
        </row>
        <row r="2322">
          <cell r="E2322" t="str">
            <v>7. SECURITY / SITE CONTROL</v>
          </cell>
          <cell r="G2322">
            <v>0</v>
          </cell>
          <cell r="H2322">
            <v>0</v>
          </cell>
          <cell r="I2322">
            <v>0</v>
          </cell>
          <cell r="J2322">
            <v>0</v>
          </cell>
          <cell r="K2322">
            <v>0</v>
          </cell>
          <cell r="L2322">
            <v>0</v>
          </cell>
          <cell r="O2322">
            <v>0</v>
          </cell>
          <cell r="P2322">
            <v>0</v>
          </cell>
          <cell r="Q2322" t="str">
            <v>SITE|56</v>
          </cell>
        </row>
        <row r="2323">
          <cell r="E2323" t="str">
            <v>8. OWNER RISKS</v>
          </cell>
          <cell r="G2323" t="str">
            <v>8. OWNER RISKS</v>
          </cell>
          <cell r="H2323">
            <v>0</v>
          </cell>
          <cell r="I2323">
            <v>0</v>
          </cell>
          <cell r="J2323">
            <v>0</v>
          </cell>
          <cell r="K2323">
            <v>0</v>
          </cell>
          <cell r="L2323">
            <v>0</v>
          </cell>
          <cell r="O2323">
            <v>0</v>
          </cell>
          <cell r="P2323">
            <v>0</v>
          </cell>
          <cell r="Q2323" t="str">
            <v>SITE|57</v>
          </cell>
        </row>
        <row r="2324">
          <cell r="E2324" t="str">
            <v>8. OWNER RISKS</v>
          </cell>
          <cell r="G2324" t="str">
            <v>Risk ID</v>
          </cell>
          <cell r="H2324" t="str">
            <v>Area</v>
          </cell>
          <cell r="I2324" t="str">
            <v>Risk</v>
          </cell>
          <cell r="J2324" t="str">
            <v>Impact</v>
          </cell>
          <cell r="K2324" t="str">
            <v>Probability</v>
          </cell>
          <cell r="L2324" t="str">
            <v>Score</v>
          </cell>
          <cell r="O2324" t="str">
            <v>Status</v>
          </cell>
          <cell r="P2324" t="str">
            <v>Notes</v>
          </cell>
          <cell r="Q2324" t="str">
            <v>SITE|58</v>
          </cell>
        </row>
        <row r="2325">
          <cell r="E2325" t="str">
            <v>8. OWNER RISKS</v>
          </cell>
          <cell r="G2325" t="str">
            <v>SITE-R1</v>
          </cell>
          <cell r="H2325" t="str">
            <v>All</v>
          </cell>
          <cell r="I2325" t="str">
            <v>Existing utility locations are approximate and field conditions may vary from survey</v>
          </cell>
          <cell r="J2325" t="str">
            <v>Critical</v>
          </cell>
          <cell r="K2325" t="str">
            <v>High</v>
          </cell>
          <cell r="L2325">
            <v>9</v>
          </cell>
          <cell r="O2325" t="str">
            <v>Open</v>
          </cell>
          <cell r="P2325" t="str">
            <v>Multiple sheets repeat that survey conditions may vary and utility location service is required prior to excavation.</v>
          </cell>
          <cell r="Q2325" t="str">
            <v>SITE|59</v>
          </cell>
        </row>
        <row r="2326">
          <cell r="E2326" t="str">
            <v>8. OWNER RISKS</v>
          </cell>
          <cell r="G2326" t="str">
            <v>SITE-R2</v>
          </cell>
          <cell r="H2326" t="str">
            <v>All</v>
          </cell>
          <cell r="I2326" t="str">
            <v>A/B fiber path separation may not be maintained through common ductbank or congested areas</v>
          </cell>
          <cell r="J2326" t="str">
            <v>Critical</v>
          </cell>
          <cell r="K2326" t="str">
            <v>Medium</v>
          </cell>
          <cell r="L2326">
            <v>8</v>
          </cell>
          <cell r="O2326" t="str">
            <v>Open</v>
          </cell>
          <cell r="P2326" t="str">
            <v>Legend allows A+B in common ductbank but separate conduits; redundancy must be validated.</v>
          </cell>
          <cell r="Q2326" t="str">
            <v>SITE|60</v>
          </cell>
        </row>
        <row r="2327">
          <cell r="E2327" t="str">
            <v>8. OWNER RISKS</v>
          </cell>
          <cell r="G2327" t="str">
            <v>SITE-R3</v>
          </cell>
          <cell r="H2327" t="str">
            <v>All</v>
          </cell>
          <cell r="I2327" t="str">
            <v>Concrete ductbank could be backfilled before inspection</v>
          </cell>
          <cell r="J2327" t="str">
            <v>High</v>
          </cell>
          <cell r="K2327" t="str">
            <v>Medium</v>
          </cell>
          <cell r="L2327">
            <v>6</v>
          </cell>
          <cell r="O2327" t="str">
            <v>Open</v>
          </cell>
          <cell r="P2327" t="str">
            <v>Site notes state trench to remain open until inspection of concrete duct.</v>
          </cell>
          <cell r="Q2327" t="str">
            <v>SITE|61</v>
          </cell>
        </row>
        <row r="2328">
          <cell r="E2328" t="str">
            <v>8. OWNER RISKS</v>
          </cell>
          <cell r="G2328" t="str">
            <v>SITE-R4</v>
          </cell>
          <cell r="H2328" t="str">
            <v>MCR / Provider</v>
          </cell>
          <cell r="I2328" t="str">
            <v>WAN/provider fiber and MCR activation sequence could delay campus cutover</v>
          </cell>
          <cell r="J2328" t="str">
            <v>Critical</v>
          </cell>
          <cell r="K2328" t="str">
            <v>Medium</v>
          </cell>
          <cell r="L2328">
            <v>8</v>
          </cell>
          <cell r="O2328" t="str">
            <v>Open</v>
          </cell>
          <cell r="P2328" t="str">
            <v>T-601 references WAN fiber, temporary fiber and provider extension.</v>
          </cell>
          <cell r="Q2328" t="str">
            <v>SITE|62</v>
          </cell>
        </row>
        <row r="2329">
          <cell r="E2329" t="str">
            <v>8. OWNER RISKS</v>
          </cell>
          <cell r="G2329" t="str">
            <v>SITE-R5</v>
          </cell>
          <cell r="H2329" t="str">
            <v>Roads / Parking / Pedestrian Areas</v>
          </cell>
          <cell r="I2329" t="str">
            <v>Trenching/restoration may disrupt accessible parking, fire lanes, public access and campus traffic</v>
          </cell>
          <cell r="J2329" t="str">
            <v>High</v>
          </cell>
          <cell r="K2329" t="str">
            <v>Medium</v>
          </cell>
          <cell r="L2329">
            <v>6</v>
          </cell>
          <cell r="O2329" t="str">
            <v>Open</v>
          </cell>
          <cell r="P2329" t="str">
            <v>General notes require coordination with owner and protection of accessible parking/public access.</v>
          </cell>
          <cell r="Q2329" t="str">
            <v>SITE|63</v>
          </cell>
        </row>
        <row r="2330">
          <cell r="E2330" t="str">
            <v>8. OWNER RISKS</v>
          </cell>
          <cell r="G2330" t="str">
            <v>SITE-R6</v>
          </cell>
          <cell r="H2330" t="str">
            <v>All Building Tie-ins</v>
          </cell>
          <cell r="I2330" t="str">
            <v>Building entry penetrations/firestopping may not align with building PMIS packages</v>
          </cell>
          <cell r="J2330" t="str">
            <v>High</v>
          </cell>
          <cell r="K2330" t="str">
            <v>Medium</v>
          </cell>
          <cell r="L2330">
            <v>6</v>
          </cell>
          <cell r="O2330" t="str">
            <v>Open</v>
          </cell>
          <cell r="P2330" t="str">
            <v>Every building continuation references building T-101 and T-601.</v>
          </cell>
          <cell r="Q2330" t="str">
            <v>SITE|64</v>
          </cell>
        </row>
        <row r="2331">
          <cell r="E2331" t="str">
            <v>8. OWNER RISKS</v>
          </cell>
          <cell r="G2331" t="str">
            <v>SITE-R7</v>
          </cell>
          <cell r="H2331" t="str">
            <v>Civil Restoration</v>
          </cell>
          <cell r="I2331" t="str">
            <v>Asphalt/concrete/landscape restoration quantities and limits may be underestimated</v>
          </cell>
          <cell r="J2331" t="str">
            <v>Medium</v>
          </cell>
          <cell r="K2331" t="str">
            <v>Medium</v>
          </cell>
          <cell r="L2331">
            <v>4</v>
          </cell>
          <cell r="O2331" t="str">
            <v>Open</v>
          </cell>
          <cell r="P2331" t="str">
            <v>T-501 includes trenching/restoration details and concrete requirements.</v>
          </cell>
          <cell r="Q2331" t="str">
            <v>SITE|65</v>
          </cell>
        </row>
        <row r="2332">
          <cell r="E2332" t="str">
            <v>8. OWNER RISKS</v>
          </cell>
          <cell r="G2332" t="str">
            <v>SITE-R8</v>
          </cell>
          <cell r="H2332" t="str">
            <v>Commissioning / Turnover</v>
          </cell>
          <cell r="I2332" t="str">
            <v>Fiber testing, labels, as-builts and site utility commissioning may be incomplete</v>
          </cell>
          <cell r="J2332" t="str">
            <v>High</v>
          </cell>
          <cell r="K2332" t="str">
            <v>Medium</v>
          </cell>
          <cell r="L2332">
            <v>6</v>
          </cell>
          <cell r="O2332" t="str">
            <v>Open</v>
          </cell>
          <cell r="P2332" t="str">
            <v>Commissioning and third-party inspection requirements apply to site utilities and communications.</v>
          </cell>
          <cell r="Q2332" t="str">
            <v>SITE|66</v>
          </cell>
        </row>
        <row r="2333">
          <cell r="E2333" t="str">
            <v>8. OWNER RISKS</v>
          </cell>
          <cell r="G2333">
            <v>0</v>
          </cell>
          <cell r="H2333">
            <v>0</v>
          </cell>
          <cell r="I2333">
            <v>0</v>
          </cell>
          <cell r="J2333">
            <v>0</v>
          </cell>
          <cell r="K2333">
            <v>0</v>
          </cell>
          <cell r="L2333">
            <v>0</v>
          </cell>
          <cell r="O2333">
            <v>0</v>
          </cell>
          <cell r="P2333">
            <v>0</v>
          </cell>
          <cell r="Q2333" t="str">
            <v>SITE|67</v>
          </cell>
        </row>
        <row r="2334">
          <cell r="E2334" t="str">
            <v>9. OPEN QUESTIONS</v>
          </cell>
          <cell r="G2334" t="str">
            <v>9. OPEN QUESTIONS</v>
          </cell>
          <cell r="H2334">
            <v>0</v>
          </cell>
          <cell r="I2334">
            <v>0</v>
          </cell>
          <cell r="J2334">
            <v>0</v>
          </cell>
          <cell r="K2334">
            <v>0</v>
          </cell>
          <cell r="L2334">
            <v>0</v>
          </cell>
          <cell r="O2334">
            <v>0</v>
          </cell>
          <cell r="P2334">
            <v>0</v>
          </cell>
          <cell r="Q2334" t="str">
            <v>SITE|68</v>
          </cell>
        </row>
        <row r="2335">
          <cell r="E2335" t="str">
            <v>9. OPEN QUESTIONS</v>
          </cell>
          <cell r="G2335" t="str">
            <v>Question ID</v>
          </cell>
          <cell r="H2335" t="str">
            <v>Question</v>
          </cell>
          <cell r="I2335" t="str">
            <v>Assigned To</v>
          </cell>
          <cell r="J2335" t="str">
            <v>Status</v>
          </cell>
          <cell r="K2335" t="str">
            <v>Needed By</v>
          </cell>
          <cell r="L2335" t="str">
            <v>Answer / Resolution</v>
          </cell>
          <cell r="O2335" t="str">
            <v>Date Closed</v>
          </cell>
          <cell r="P2335" t="str">
            <v>Notes</v>
          </cell>
          <cell r="Q2335" t="str">
            <v>SITE|69</v>
          </cell>
        </row>
        <row r="2336">
          <cell r="E2336" t="str">
            <v>9. OPEN QUESTIONS</v>
          </cell>
          <cell r="G2336" t="str">
            <v>SITE-Q1</v>
          </cell>
          <cell r="H2336" t="str">
            <v>Confirm final list of all site fiber buildings and whether Buildings 1-22, 33, 61, 62, 70, 78/78A, 80, 81, 82, Crescent House and MCR are included in one site backbone turnover package.</v>
          </cell>
          <cell r="I2336" t="str">
            <v>VA / OIT / Designer</v>
          </cell>
          <cell r="J2336" t="str">
            <v>Open</v>
          </cell>
          <cell r="K2336">
            <v>0</v>
          </cell>
          <cell r="L2336">
            <v>0</v>
          </cell>
          <cell r="O2336">
            <v>0</v>
          </cell>
          <cell r="P2336">
            <v>0</v>
          </cell>
          <cell r="Q2336" t="str">
            <v>SITE|70</v>
          </cell>
        </row>
        <row r="2337">
          <cell r="E2337" t="str">
            <v>9. OPEN QUESTIONS</v>
          </cell>
          <cell r="G2337" t="str">
            <v>SITE-Q2</v>
          </cell>
          <cell r="H2337" t="str">
            <v>Which THH/manhole numbers are new versus existing, and which require locking cover replacement only?</v>
          </cell>
          <cell r="I2337" t="str">
            <v>Telecom / Civil</v>
          </cell>
          <cell r="J2337" t="str">
            <v>Open</v>
          </cell>
          <cell r="K2337">
            <v>0</v>
          </cell>
          <cell r="L2337">
            <v>0</v>
          </cell>
          <cell r="O2337">
            <v>0</v>
          </cell>
          <cell r="P2337">
            <v>0</v>
          </cell>
          <cell r="Q2337" t="str">
            <v>SITE|71</v>
          </cell>
        </row>
        <row r="2338">
          <cell r="E2338" t="str">
            <v>9. OPEN QUESTIONS</v>
          </cell>
          <cell r="G2338" t="str">
            <v>SITE-Q3</v>
          </cell>
          <cell r="H2338" t="str">
            <v>Are all A and B routes physically diverse enough and in separate conduit wherever common ductbank is used?</v>
          </cell>
          <cell r="I2338" t="str">
            <v>OIT / Designer</v>
          </cell>
          <cell r="J2338" t="str">
            <v>Open</v>
          </cell>
          <cell r="K2338">
            <v>0</v>
          </cell>
          <cell r="L2338">
            <v>0</v>
          </cell>
          <cell r="O2338">
            <v>0</v>
          </cell>
          <cell r="P2338">
            <v>0</v>
          </cell>
          <cell r="Q2338" t="str">
            <v>SITE|72</v>
          </cell>
        </row>
        <row r="2339">
          <cell r="E2339" t="str">
            <v>9. OPEN QUESTIONS</v>
          </cell>
          <cell r="G2339" t="str">
            <v>SITE-Q4</v>
          </cell>
          <cell r="H2339" t="str">
            <v>What are the approved utility-locate/potholing requirements before excavation at each crossing?</v>
          </cell>
          <cell r="I2339" t="str">
            <v>GC / VA / Civil</v>
          </cell>
          <cell r="J2339" t="str">
            <v>Open</v>
          </cell>
          <cell r="K2339">
            <v>0</v>
          </cell>
          <cell r="L2339">
            <v>0</v>
          </cell>
          <cell r="O2339">
            <v>0</v>
          </cell>
          <cell r="P2339">
            <v>0</v>
          </cell>
          <cell r="Q2339" t="str">
            <v>SITE|73</v>
          </cell>
        </row>
        <row r="2340">
          <cell r="E2340" t="str">
            <v>9. OPEN QUESTIONS</v>
          </cell>
          <cell r="G2340" t="str">
            <v>SITE-Q5</v>
          </cell>
          <cell r="H2340" t="str">
            <v>What inspection hold points are required for ductbank forms, conduit placement, concrete pour, pull string, mandrel and backfill?</v>
          </cell>
          <cell r="I2340" t="str">
            <v>QA / COR / Civil</v>
          </cell>
          <cell r="J2340" t="str">
            <v>Open</v>
          </cell>
          <cell r="K2340">
            <v>0</v>
          </cell>
          <cell r="L2340">
            <v>0</v>
          </cell>
          <cell r="O2340">
            <v>0</v>
          </cell>
          <cell r="P2340">
            <v>0</v>
          </cell>
          <cell r="Q2340" t="str">
            <v>SITE|74</v>
          </cell>
        </row>
        <row r="2341">
          <cell r="E2341" t="str">
            <v>9. OPEN QUESTIONS</v>
          </cell>
          <cell r="G2341" t="str">
            <v>SITE-Q6</v>
          </cell>
          <cell r="H2341" t="str">
            <v>Are directional boring alternatives allowed anywhere, or is all base-bid work trenching unless separately approved by Government?</v>
          </cell>
          <cell r="I2341" t="str">
            <v>VA / COR</v>
          </cell>
          <cell r="J2341" t="str">
            <v>Open</v>
          </cell>
          <cell r="K2341">
            <v>0</v>
          </cell>
          <cell r="L2341">
            <v>0</v>
          </cell>
          <cell r="O2341">
            <v>0</v>
          </cell>
          <cell r="P2341">
            <v>0</v>
          </cell>
          <cell r="Q2341" t="str">
            <v>SITE|75</v>
          </cell>
        </row>
        <row r="2342">
          <cell r="E2342" t="str">
            <v>9. OPEN QUESTIONS</v>
          </cell>
          <cell r="G2342" t="str">
            <v>SITE-Q7</v>
          </cell>
          <cell r="H2342" t="str">
            <v>What exact fiber test package is required for each path and building tie-in before connection to active operations?</v>
          </cell>
          <cell r="I2342" t="str">
            <v>OIT / Telecom / Cx</v>
          </cell>
          <cell r="J2342" t="str">
            <v>Open</v>
          </cell>
          <cell r="K2342">
            <v>0</v>
          </cell>
          <cell r="L2342">
            <v>0</v>
          </cell>
          <cell r="O2342">
            <v>0</v>
          </cell>
          <cell r="P2342">
            <v>0</v>
          </cell>
          <cell r="Q2342" t="str">
            <v>SITE|76</v>
          </cell>
        </row>
        <row r="2343">
          <cell r="E2343" t="str">
            <v>9. OPEN QUESTIONS</v>
          </cell>
          <cell r="G2343" t="str">
            <v>SITE-Q8</v>
          </cell>
          <cell r="H2343" t="str">
            <v>How will MCR/provider temporary fiber, new fiber and campus building activation be sequenced to limit shutdowns to one at a time?</v>
          </cell>
          <cell r="I2343" t="str">
            <v>OIT / GC / COR</v>
          </cell>
          <cell r="J2343" t="str">
            <v>Open</v>
          </cell>
          <cell r="K2343">
            <v>0</v>
          </cell>
          <cell r="L2343">
            <v>0</v>
          </cell>
          <cell r="O2343">
            <v>0</v>
          </cell>
          <cell r="P2343">
            <v>0</v>
          </cell>
          <cell r="Q2343" t="str">
            <v>SITE|77</v>
          </cell>
        </row>
        <row r="2344">
          <cell r="E2344" t="str">
            <v>9. OPEN QUESTIONS</v>
          </cell>
          <cell r="G2344">
            <v>0</v>
          </cell>
          <cell r="H2344">
            <v>0</v>
          </cell>
          <cell r="I2344">
            <v>0</v>
          </cell>
          <cell r="J2344">
            <v>0</v>
          </cell>
          <cell r="K2344">
            <v>0</v>
          </cell>
          <cell r="L2344">
            <v>0</v>
          </cell>
          <cell r="O2344">
            <v>0</v>
          </cell>
          <cell r="P2344">
            <v>0</v>
          </cell>
          <cell r="Q2344" t="str">
            <v>SITE|78</v>
          </cell>
        </row>
        <row r="2345">
          <cell r="E2345" t="str">
            <v>10. PHOTO LOG</v>
          </cell>
          <cell r="G2345" t="str">
            <v>10. PHOTO LOG</v>
          </cell>
          <cell r="H2345">
            <v>0</v>
          </cell>
          <cell r="I2345">
            <v>0</v>
          </cell>
          <cell r="J2345">
            <v>0</v>
          </cell>
          <cell r="K2345">
            <v>0</v>
          </cell>
          <cell r="L2345">
            <v>0</v>
          </cell>
          <cell r="O2345">
            <v>0</v>
          </cell>
          <cell r="P2345">
            <v>0</v>
          </cell>
          <cell r="Q2345" t="str">
            <v>SITE|79</v>
          </cell>
        </row>
        <row r="2346">
          <cell r="E2346" t="str">
            <v>10. PHOTO LOG</v>
          </cell>
          <cell r="G2346" t="str">
            <v>Photo ID</v>
          </cell>
          <cell r="H2346" t="str">
            <v>Area</v>
          </cell>
          <cell r="I2346" t="str">
            <v>Category</v>
          </cell>
          <cell r="J2346" t="str">
            <v>Description</v>
          </cell>
          <cell r="K2346" t="str">
            <v>Date</v>
          </cell>
          <cell r="L2346" t="str">
            <v>Taken By</v>
          </cell>
          <cell r="O2346" t="str">
            <v>Status</v>
          </cell>
          <cell r="P2346" t="str">
            <v>Notes</v>
          </cell>
          <cell r="Q2346" t="str">
            <v>SITE|80</v>
          </cell>
        </row>
        <row r="2347">
          <cell r="E2347" t="str">
            <v>10. PHOTO LOG</v>
          </cell>
          <cell r="G2347" t="str">
            <v>SITE-P001</v>
          </cell>
          <cell r="H2347" t="str">
            <v>Overall Site</v>
          </cell>
          <cell r="I2347" t="str">
            <v>Existing Conditions</v>
          </cell>
          <cell r="J2347" t="str">
            <v>Campus-wide route photos before excavation, including pavement, sidewalks, landscaping, parking, fire lanes and building entry areas</v>
          </cell>
          <cell r="K2347">
            <v>0</v>
          </cell>
          <cell r="L2347">
            <v>0</v>
          </cell>
          <cell r="O2347" t="str">
            <v>Closed</v>
          </cell>
          <cell r="P2347">
            <v>0</v>
          </cell>
          <cell r="Q2347" t="str">
            <v>SITE|81</v>
          </cell>
        </row>
        <row r="2348">
          <cell r="E2348" t="str">
            <v>10. PHOTO LOG</v>
          </cell>
          <cell r="G2348" t="str">
            <v>SITE-P002</v>
          </cell>
          <cell r="H2348" t="str">
            <v>THH #1-#19</v>
          </cell>
          <cell r="I2348" t="str">
            <v>Structures</v>
          </cell>
          <cell r="J2348" t="str">
            <v>Each handhole/manhole/pullbox location, cover, label, depth, drainage, conduit entry, and final installed condition</v>
          </cell>
          <cell r="K2348">
            <v>0</v>
          </cell>
          <cell r="L2348">
            <v>0</v>
          </cell>
          <cell r="O2348" t="str">
            <v>Closed</v>
          </cell>
          <cell r="P2348">
            <v>0</v>
          </cell>
          <cell r="Q2348" t="str">
            <v>SITE|82</v>
          </cell>
        </row>
        <row r="2349">
          <cell r="E2349" t="str">
            <v>10. PHOTO LOG</v>
          </cell>
          <cell r="G2349" t="str">
            <v>SITE-P003</v>
          </cell>
          <cell r="H2349" t="str">
            <v>Ductbank</v>
          </cell>
          <cell r="I2349" t="str">
            <v>Pre-pour Inspection</v>
          </cell>
          <cell r="J2349" t="str">
            <v>Conduit count, separation, supports/spacers, depth, utility crossings, warning tape, pull strings and concrete encasement before pour</v>
          </cell>
          <cell r="K2349">
            <v>0</v>
          </cell>
          <cell r="L2349">
            <v>0</v>
          </cell>
          <cell r="O2349" t="str">
            <v>Closed</v>
          </cell>
          <cell r="P2349">
            <v>0</v>
          </cell>
          <cell r="Q2349" t="str">
            <v>SITE|83</v>
          </cell>
        </row>
        <row r="2350">
          <cell r="E2350" t="str">
            <v>10. PHOTO LOG</v>
          </cell>
          <cell r="G2350" t="str">
            <v>SITE-P004</v>
          </cell>
          <cell r="H2350" t="str">
            <v>Utility Crossings</v>
          </cell>
          <cell r="I2350" t="str">
            <v>Existing Utilities</v>
          </cell>
          <cell r="J2350" t="str">
            <v>Potholing/hand-dig photos showing electric, storm, sanitary, water, gas/unknown utilities and clearance to new ductbank</v>
          </cell>
          <cell r="K2350">
            <v>0</v>
          </cell>
          <cell r="L2350">
            <v>0</v>
          </cell>
          <cell r="O2350" t="str">
            <v>Closed</v>
          </cell>
          <cell r="P2350">
            <v>0</v>
          </cell>
          <cell r="Q2350" t="str">
            <v>SITE|84</v>
          </cell>
        </row>
        <row r="2351">
          <cell r="E2351" t="str">
            <v>10. PHOTO LOG</v>
          </cell>
          <cell r="G2351" t="str">
            <v>SITE-P005</v>
          </cell>
          <cell r="H2351" t="str">
            <v>Building Tie-ins</v>
          </cell>
          <cell r="I2351" t="str">
            <v>Penetrations / Firestop</v>
          </cell>
          <cell r="J2351" t="str">
            <v>Exterior entry points, wall/floor penetrations, sleeves, firestop, weatherproofing and interior continuation to building TR/TE</v>
          </cell>
          <cell r="K2351">
            <v>0</v>
          </cell>
          <cell r="L2351">
            <v>0</v>
          </cell>
          <cell r="O2351" t="str">
            <v>Closed</v>
          </cell>
          <cell r="P2351">
            <v>0</v>
          </cell>
          <cell r="Q2351" t="str">
            <v>SITE|85</v>
          </cell>
        </row>
        <row r="2352">
          <cell r="E2352" t="str">
            <v>10. PHOTO LOG</v>
          </cell>
          <cell r="G2352" t="str">
            <v>SITE-P006</v>
          </cell>
          <cell r="H2352" t="str">
            <v>Fiber Pull / Testing</v>
          </cell>
          <cell r="I2352" t="str">
            <v>Telecom</v>
          </cell>
          <cell r="J2352" t="str">
            <v>Fiber reels, pull setup, mandrel/rope, splice/termination points, labels, OTDR/power meter screenshots and OIT acceptance</v>
          </cell>
          <cell r="K2352">
            <v>0</v>
          </cell>
          <cell r="L2352">
            <v>0</v>
          </cell>
          <cell r="O2352" t="str">
            <v>Closed</v>
          </cell>
          <cell r="P2352">
            <v>0</v>
          </cell>
          <cell r="Q2352" t="str">
            <v>SITE|86</v>
          </cell>
        </row>
        <row r="2353">
          <cell r="E2353" t="str">
            <v>10. PHOTO LOG</v>
          </cell>
          <cell r="G2353" t="str">
            <v>SITE-P007</v>
          </cell>
          <cell r="H2353" t="str">
            <v>Restoration</v>
          </cell>
          <cell r="I2353" t="str">
            <v>Civil</v>
          </cell>
          <cell r="J2353" t="str">
            <v>Asphalt/concrete trench patches, sidewalk panels, landscaping, turf, drainage, curb/edge details and final cleanup</v>
          </cell>
          <cell r="K2353">
            <v>0</v>
          </cell>
          <cell r="L2353">
            <v>0</v>
          </cell>
          <cell r="O2353" t="str">
            <v>Closed</v>
          </cell>
          <cell r="P2353">
            <v>0</v>
          </cell>
          <cell r="Q2353" t="str">
            <v>SITE|87</v>
          </cell>
        </row>
        <row r="2354">
          <cell r="E2354" t="str">
            <v>10. PHOTO LOG</v>
          </cell>
          <cell r="G2354" t="str">
            <v>SITE-P008</v>
          </cell>
          <cell r="H2354" t="str">
            <v>MCR / Provider Entrance</v>
          </cell>
          <cell r="I2354" t="str">
            <v>Critical Cutover</v>
          </cell>
          <cell r="J2354" t="str">
            <v>Provider handoff, WAN fiber route, temporary fiber, Path A/B into MCR and activation/cutover coordination photos</v>
          </cell>
          <cell r="K2354">
            <v>0</v>
          </cell>
          <cell r="L2354">
            <v>0</v>
          </cell>
          <cell r="O2354" t="str">
            <v>Closed</v>
          </cell>
          <cell r="P2354">
            <v>0</v>
          </cell>
          <cell r="Q2354" t="str">
            <v>SITE|88</v>
          </cell>
        </row>
        <row r="2355">
          <cell r="E2355" t="str">
            <v>10. PHOTO LOG</v>
          </cell>
          <cell r="G2355">
            <v>0</v>
          </cell>
          <cell r="H2355">
            <v>0</v>
          </cell>
          <cell r="I2355">
            <v>0</v>
          </cell>
          <cell r="J2355">
            <v>0</v>
          </cell>
          <cell r="K2355">
            <v>0</v>
          </cell>
          <cell r="L2355">
            <v>0</v>
          </cell>
          <cell r="O2355">
            <v>0</v>
          </cell>
          <cell r="P2355">
            <v>0</v>
          </cell>
          <cell r="Q2355" t="str">
            <v>SITE|89</v>
          </cell>
        </row>
      </sheetData>
      <sheetData sheetId="59"/>
      <sheetData sheetId="60"/>
      <sheetData sheetId="61"/>
      <sheetData sheetId="62"/>
      <sheetData sheetId="63"/>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Lookup_Lists"/>
      <sheetName val="Project_Register"/>
      <sheetName val="CM_PM_Map_Block"/>
      <sheetName val="COR_Report_Map_Block"/>
      <sheetName val="Paste_Map"/>
    </sheetNames>
    <sheetDataSet>
      <sheetData sheetId="0" refreshError="1"/>
      <sheetData sheetId="1">
        <row r="2">
          <cell r="A2" t="str">
            <v>DEL-001</v>
          </cell>
          <cell r="B2" t="str">
            <v>Deliverable</v>
          </cell>
          <cell r="E2" t="str">
            <v>ALL</v>
          </cell>
          <cell r="G2" t="str">
            <v>Weekly Inspection Report</v>
          </cell>
          <cell r="K2" t="str">
            <v>Aisha</v>
          </cell>
          <cell r="M2" t="str">
            <v>High</v>
          </cell>
          <cell r="N2" t="str">
            <v>Open</v>
          </cell>
          <cell r="P2">
            <v>46219</v>
          </cell>
          <cell r="X2" t="str">
            <v>Weekly</v>
          </cell>
          <cell r="AA2" t="str">
            <v>No</v>
          </cell>
          <cell r="AE2" t="str">
            <v>Compile assessment and PMIS data; Paul performs final review.</v>
          </cell>
          <cell r="AO2">
            <v>1</v>
          </cell>
        </row>
        <row r="3">
          <cell r="A3" t="str">
            <v>DEL-002</v>
          </cell>
          <cell r="B3" t="str">
            <v>PTR Update</v>
          </cell>
          <cell r="E3" t="str">
            <v>ALL</v>
          </cell>
          <cell r="G3" t="str">
            <v>Biweekly PTR Update</v>
          </cell>
          <cell r="K3" t="str">
            <v>Paul</v>
          </cell>
          <cell r="M3" t="str">
            <v>High</v>
          </cell>
          <cell r="N3" t="str">
            <v>Open</v>
          </cell>
          <cell r="P3">
            <v>46219</v>
          </cell>
          <cell r="X3" t="str">
            <v>Biweekly</v>
          </cell>
          <cell r="AA3" t="str">
            <v>Yes</v>
          </cell>
          <cell r="AE3" t="str">
            <v>Maintain a current decision-ready PTR package.</v>
          </cell>
          <cell r="AO3">
            <v>2</v>
          </cell>
        </row>
        <row r="4">
          <cell r="A4" t="str">
            <v>SCH-001</v>
          </cell>
          <cell r="B4" t="str">
            <v>Schedule Item</v>
          </cell>
          <cell r="E4" t="str">
            <v>ALL</v>
          </cell>
          <cell r="G4" t="str">
            <v>Contractor Baseline Schedule</v>
          </cell>
          <cell r="K4" t="str">
            <v>Paul</v>
          </cell>
          <cell r="M4" t="str">
            <v>Critical</v>
          </cell>
          <cell r="N4" t="str">
            <v>Waiting</v>
          </cell>
          <cell r="P4">
            <v>46219</v>
          </cell>
          <cell r="X4" t="str">
            <v>Biweekly</v>
          </cell>
          <cell r="AA4" t="str">
            <v>Yes</v>
          </cell>
          <cell r="AE4" t="str">
            <v>Obtain schedule and establish the Owner-side schedule review baseline.</v>
          </cell>
          <cell r="AO4">
            <v>3</v>
          </cell>
        </row>
        <row r="5">
          <cell r="A5" t="str">
            <v>ACT-001</v>
          </cell>
          <cell r="B5" t="str">
            <v>Action Item</v>
          </cell>
          <cell r="E5" t="str">
            <v>ALL</v>
          </cell>
          <cell r="G5" t="str">
            <v>Confirm COR Reporting Expectations</v>
          </cell>
          <cell r="K5" t="str">
            <v>Paul</v>
          </cell>
          <cell r="M5" t="str">
            <v>High</v>
          </cell>
          <cell r="N5" t="str">
            <v>Open</v>
          </cell>
          <cell r="P5">
            <v>46219</v>
          </cell>
          <cell r="X5" t="str">
            <v>Weekly</v>
          </cell>
          <cell r="AA5" t="str">
            <v>Yes</v>
          </cell>
          <cell r="AE5" t="str">
            <v>Document the agreed process before the first recurring submission.</v>
          </cell>
          <cell r="AO5">
            <v>4</v>
          </cell>
        </row>
        <row r="6">
          <cell r="A6" t="str">
            <v>DQ-001</v>
          </cell>
          <cell r="B6" t="str">
            <v>Design Question</v>
          </cell>
          <cell r="E6" t="str">
            <v>61</v>
          </cell>
          <cell r="G6" t="str">
            <v>Consolidate Building 61 A/E Questions</v>
          </cell>
          <cell r="K6" t="str">
            <v>Paul</v>
          </cell>
          <cell r="M6" t="str">
            <v>High</v>
          </cell>
          <cell r="N6" t="str">
            <v>In Progress</v>
          </cell>
          <cell r="P6">
            <v>46217</v>
          </cell>
          <cell r="X6" t="str">
            <v>Weekly</v>
          </cell>
          <cell r="AA6" t="str">
            <v>Yes</v>
          </cell>
          <cell r="AE6" t="str">
            <v>Issue a coordinated question package through the COR.</v>
          </cell>
          <cell r="AO6">
            <v>5</v>
          </cell>
        </row>
        <row r="7">
          <cell r="A7" t="str">
            <v>ACT-002</v>
          </cell>
          <cell r="B7" t="str">
            <v>Action Item</v>
          </cell>
          <cell r="E7" t="str">
            <v>ALL</v>
          </cell>
          <cell r="G7" t="str">
            <v>Occupied-Room Relocation Planning</v>
          </cell>
          <cell r="K7" t="str">
            <v>Aisha</v>
          </cell>
          <cell r="M7" t="str">
            <v>High</v>
          </cell>
          <cell r="N7" t="str">
            <v>Open</v>
          </cell>
          <cell r="P7">
            <v>46213</v>
          </cell>
          <cell r="X7" t="str">
            <v>Weekly</v>
          </cell>
          <cell r="AA7" t="str">
            <v>Yes</v>
          </cell>
          <cell r="AE7" t="str">
            <v>Coordinate hospital stakeholders before contractor sequencing is accepted.</v>
          </cell>
          <cell r="AO7">
            <v>6</v>
          </cell>
        </row>
        <row r="8">
          <cell r="A8" t="str">
            <v>PAY-001</v>
          </cell>
          <cell r="B8" t="str">
            <v>Pay Application</v>
          </cell>
          <cell r="E8" t="str">
            <v>ALL</v>
          </cell>
          <cell r="G8" t="str">
            <v>General Contractor Pay Application Review</v>
          </cell>
          <cell r="K8" t="str">
            <v>Paul</v>
          </cell>
          <cell r="M8" t="str">
            <v>High</v>
          </cell>
          <cell r="N8" t="str">
            <v>Not Started</v>
          </cell>
          <cell r="P8">
            <v>46219</v>
          </cell>
          <cell r="X8" t="str">
            <v>Monthly</v>
          </cell>
          <cell r="AA8" t="str">
            <v>No</v>
          </cell>
          <cell r="AE8" t="str">
            <v>Provide a supported payment recommendation to the COR.</v>
          </cell>
          <cell r="AO8">
            <v>7</v>
          </cell>
        </row>
        <row r="9">
          <cell r="A9" t="str">
            <v>CX-001</v>
          </cell>
          <cell r="B9" t="str">
            <v>Commissioning</v>
          </cell>
          <cell r="E9" t="str">
            <v>ALL</v>
          </cell>
          <cell r="G9" t="str">
            <v>Commissioning Responsibility Matrix</v>
          </cell>
          <cell r="K9" t="str">
            <v>Aisha</v>
          </cell>
          <cell r="M9" t="str">
            <v>High</v>
          </cell>
          <cell r="N9" t="str">
            <v>Not Started</v>
          </cell>
          <cell r="P9">
            <v>46219</v>
          </cell>
          <cell r="X9" t="str">
            <v>Monthly</v>
          </cell>
          <cell r="AA9" t="str">
            <v>Yes</v>
          </cell>
          <cell r="AE9" t="str">
            <v>Establish system-by-system prerequisites and acceptance responsibilities.</v>
          </cell>
          <cell r="AO9">
            <v>8</v>
          </cell>
        </row>
        <row r="10">
          <cell r="AO10" t="str">
            <v/>
          </cell>
        </row>
        <row r="11">
          <cell r="AO11" t="str">
            <v/>
          </cell>
        </row>
        <row r="12">
          <cell r="AO12" t="str">
            <v/>
          </cell>
        </row>
        <row r="13">
          <cell r="AO13" t="str">
            <v/>
          </cell>
        </row>
        <row r="14">
          <cell r="AO14" t="str">
            <v/>
          </cell>
        </row>
        <row r="15">
          <cell r="AO15" t="str">
            <v/>
          </cell>
        </row>
        <row r="16">
          <cell r="AO16" t="str">
            <v/>
          </cell>
        </row>
        <row r="17">
          <cell r="AO17" t="str">
            <v/>
          </cell>
        </row>
        <row r="18">
          <cell r="AO18" t="str">
            <v/>
          </cell>
        </row>
        <row r="19">
          <cell r="AO19" t="str">
            <v/>
          </cell>
        </row>
        <row r="20">
          <cell r="AO20" t="str">
            <v/>
          </cell>
        </row>
        <row r="21">
          <cell r="AO21" t="str">
            <v/>
          </cell>
        </row>
        <row r="22">
          <cell r="AO22" t="str">
            <v/>
          </cell>
        </row>
        <row r="23">
          <cell r="AO23" t="str">
            <v/>
          </cell>
        </row>
        <row r="24">
          <cell r="AO24" t="str">
            <v/>
          </cell>
        </row>
        <row r="25">
          <cell r="AO25" t="str">
            <v/>
          </cell>
        </row>
        <row r="26">
          <cell r="AO26" t="str">
            <v/>
          </cell>
        </row>
        <row r="27">
          <cell r="AO27" t="str">
            <v/>
          </cell>
        </row>
        <row r="28">
          <cell r="AO28" t="str">
            <v/>
          </cell>
        </row>
        <row r="29">
          <cell r="AO29" t="str">
            <v/>
          </cell>
        </row>
        <row r="30">
          <cell r="AO30" t="str">
            <v/>
          </cell>
        </row>
        <row r="31">
          <cell r="AO31" t="str">
            <v/>
          </cell>
        </row>
        <row r="32">
          <cell r="AO32" t="str">
            <v/>
          </cell>
        </row>
        <row r="33">
          <cell r="AO33" t="str">
            <v/>
          </cell>
        </row>
        <row r="34">
          <cell r="AO34" t="str">
            <v/>
          </cell>
        </row>
        <row r="35">
          <cell r="AO35" t="str">
            <v/>
          </cell>
        </row>
        <row r="36">
          <cell r="AO36" t="str">
            <v/>
          </cell>
        </row>
        <row r="37">
          <cell r="AO37" t="str">
            <v/>
          </cell>
        </row>
        <row r="38">
          <cell r="AO38" t="str">
            <v/>
          </cell>
        </row>
        <row r="39">
          <cell r="AO39" t="str">
            <v/>
          </cell>
        </row>
        <row r="40">
          <cell r="AO40" t="str">
            <v/>
          </cell>
        </row>
        <row r="41">
          <cell r="AO41" t="str">
            <v/>
          </cell>
        </row>
        <row r="42">
          <cell r="AO42" t="str">
            <v/>
          </cell>
        </row>
        <row r="43">
          <cell r="AO43" t="str">
            <v/>
          </cell>
        </row>
        <row r="44">
          <cell r="AO44" t="str">
            <v/>
          </cell>
        </row>
        <row r="45">
          <cell r="AO45" t="str">
            <v/>
          </cell>
        </row>
        <row r="46">
          <cell r="AO46" t="str">
            <v/>
          </cell>
        </row>
        <row r="47">
          <cell r="AO47" t="str">
            <v/>
          </cell>
        </row>
        <row r="48">
          <cell r="AO48" t="str">
            <v/>
          </cell>
        </row>
        <row r="49">
          <cell r="AO49" t="str">
            <v/>
          </cell>
        </row>
        <row r="50">
          <cell r="AO50" t="str">
            <v/>
          </cell>
        </row>
        <row r="51">
          <cell r="AO51" t="str">
            <v/>
          </cell>
        </row>
        <row r="52">
          <cell r="AO52" t="str">
            <v/>
          </cell>
        </row>
        <row r="53">
          <cell r="AO53" t="str">
            <v/>
          </cell>
        </row>
        <row r="54">
          <cell r="AO54" t="str">
            <v/>
          </cell>
        </row>
        <row r="55">
          <cell r="AO55" t="str">
            <v/>
          </cell>
        </row>
        <row r="56">
          <cell r="AO56" t="str">
            <v/>
          </cell>
        </row>
        <row r="57">
          <cell r="AO57" t="str">
            <v/>
          </cell>
        </row>
        <row r="58">
          <cell r="AO58" t="str">
            <v/>
          </cell>
        </row>
        <row r="59">
          <cell r="AO59" t="str">
            <v/>
          </cell>
        </row>
        <row r="60">
          <cell r="AO60" t="str">
            <v/>
          </cell>
        </row>
        <row r="61">
          <cell r="AO61" t="str">
            <v/>
          </cell>
        </row>
        <row r="62">
          <cell r="AO62" t="str">
            <v/>
          </cell>
        </row>
        <row r="63">
          <cell r="AO63" t="str">
            <v/>
          </cell>
        </row>
        <row r="64">
          <cell r="AO64" t="str">
            <v/>
          </cell>
        </row>
        <row r="65">
          <cell r="AO65" t="str">
            <v/>
          </cell>
        </row>
        <row r="66">
          <cell r="AO66" t="str">
            <v/>
          </cell>
        </row>
        <row r="67">
          <cell r="AO67" t="str">
            <v/>
          </cell>
        </row>
        <row r="68">
          <cell r="AO68" t="str">
            <v/>
          </cell>
        </row>
        <row r="69">
          <cell r="AO69" t="str">
            <v/>
          </cell>
        </row>
        <row r="70">
          <cell r="AO70" t="str">
            <v/>
          </cell>
        </row>
        <row r="71">
          <cell r="AO71" t="str">
            <v/>
          </cell>
        </row>
        <row r="72">
          <cell r="AO72" t="str">
            <v/>
          </cell>
        </row>
        <row r="73">
          <cell r="AO73" t="str">
            <v/>
          </cell>
        </row>
        <row r="74">
          <cell r="AO74" t="str">
            <v/>
          </cell>
        </row>
        <row r="75">
          <cell r="AO75" t="str">
            <v/>
          </cell>
        </row>
        <row r="76">
          <cell r="AO76" t="str">
            <v/>
          </cell>
        </row>
        <row r="77">
          <cell r="AO77" t="str">
            <v/>
          </cell>
        </row>
        <row r="78">
          <cell r="AO78" t="str">
            <v/>
          </cell>
        </row>
        <row r="79">
          <cell r="AO79" t="str">
            <v/>
          </cell>
        </row>
        <row r="80">
          <cell r="AO80" t="str">
            <v/>
          </cell>
        </row>
        <row r="81">
          <cell r="AO81" t="str">
            <v/>
          </cell>
        </row>
        <row r="82">
          <cell r="AO82" t="str">
            <v/>
          </cell>
        </row>
        <row r="83">
          <cell r="AO83" t="str">
            <v/>
          </cell>
        </row>
        <row r="84">
          <cell r="AO84" t="str">
            <v/>
          </cell>
        </row>
        <row r="85">
          <cell r="AO85" t="str">
            <v/>
          </cell>
        </row>
        <row r="86">
          <cell r="AO86" t="str">
            <v/>
          </cell>
        </row>
        <row r="87">
          <cell r="AO87" t="str">
            <v/>
          </cell>
        </row>
        <row r="88">
          <cell r="AO88" t="str">
            <v/>
          </cell>
        </row>
        <row r="89">
          <cell r="AO89" t="str">
            <v/>
          </cell>
        </row>
        <row r="90">
          <cell r="AO90" t="str">
            <v/>
          </cell>
        </row>
        <row r="91">
          <cell r="AO91" t="str">
            <v/>
          </cell>
        </row>
        <row r="92">
          <cell r="AO92" t="str">
            <v/>
          </cell>
        </row>
        <row r="93">
          <cell r="AO93" t="str">
            <v/>
          </cell>
        </row>
        <row r="94">
          <cell r="AO94" t="str">
            <v/>
          </cell>
        </row>
        <row r="95">
          <cell r="AO95" t="str">
            <v/>
          </cell>
        </row>
        <row r="96">
          <cell r="AO96" t="str">
            <v/>
          </cell>
        </row>
        <row r="97">
          <cell r="AO97" t="str">
            <v/>
          </cell>
        </row>
        <row r="98">
          <cell r="AO98" t="str">
            <v/>
          </cell>
        </row>
        <row r="99">
          <cell r="AO99" t="str">
            <v/>
          </cell>
        </row>
        <row r="100">
          <cell r="AO100" t="str">
            <v/>
          </cell>
        </row>
        <row r="101">
          <cell r="AO101" t="str">
            <v/>
          </cell>
        </row>
        <row r="102">
          <cell r="AO102" t="str">
            <v/>
          </cell>
        </row>
        <row r="103">
          <cell r="AO103" t="str">
            <v/>
          </cell>
        </row>
        <row r="104">
          <cell r="AO104" t="str">
            <v/>
          </cell>
        </row>
        <row r="105">
          <cell r="AO105" t="str">
            <v/>
          </cell>
        </row>
        <row r="106">
          <cell r="AO106" t="str">
            <v/>
          </cell>
        </row>
        <row r="107">
          <cell r="AO107" t="str">
            <v/>
          </cell>
        </row>
        <row r="108">
          <cell r="AO108" t="str">
            <v/>
          </cell>
        </row>
        <row r="109">
          <cell r="AO109" t="str">
            <v/>
          </cell>
        </row>
        <row r="110">
          <cell r="AO110" t="str">
            <v/>
          </cell>
        </row>
        <row r="111">
          <cell r="AO111" t="str">
            <v/>
          </cell>
        </row>
        <row r="112">
          <cell r="AO112" t="str">
            <v/>
          </cell>
        </row>
        <row r="113">
          <cell r="AO113" t="str">
            <v/>
          </cell>
        </row>
        <row r="114">
          <cell r="AO114" t="str">
            <v/>
          </cell>
        </row>
        <row r="115">
          <cell r="AO115" t="str">
            <v/>
          </cell>
        </row>
        <row r="116">
          <cell r="AO116" t="str">
            <v/>
          </cell>
        </row>
        <row r="117">
          <cell r="AO117" t="str">
            <v/>
          </cell>
        </row>
        <row r="118">
          <cell r="AO118" t="str">
            <v/>
          </cell>
        </row>
        <row r="119">
          <cell r="AO119" t="str">
            <v/>
          </cell>
        </row>
        <row r="120">
          <cell r="AO120" t="str">
            <v/>
          </cell>
        </row>
        <row r="121">
          <cell r="AO121" t="str">
            <v/>
          </cell>
        </row>
        <row r="122">
          <cell r="AO122" t="str">
            <v/>
          </cell>
        </row>
        <row r="123">
          <cell r="AO123" t="str">
            <v/>
          </cell>
        </row>
        <row r="124">
          <cell r="AO124" t="str">
            <v/>
          </cell>
        </row>
        <row r="125">
          <cell r="AO125" t="str">
            <v/>
          </cell>
        </row>
        <row r="126">
          <cell r="AO126" t="str">
            <v/>
          </cell>
        </row>
        <row r="127">
          <cell r="AO127" t="str">
            <v/>
          </cell>
        </row>
        <row r="128">
          <cell r="AO128" t="str">
            <v/>
          </cell>
        </row>
        <row r="129">
          <cell r="AO129" t="str">
            <v/>
          </cell>
        </row>
        <row r="130">
          <cell r="AO130" t="str">
            <v/>
          </cell>
        </row>
        <row r="131">
          <cell r="AO131" t="str">
            <v/>
          </cell>
        </row>
        <row r="132">
          <cell r="AO132" t="str">
            <v/>
          </cell>
        </row>
        <row r="133">
          <cell r="AO133" t="str">
            <v/>
          </cell>
        </row>
        <row r="134">
          <cell r="AO134" t="str">
            <v/>
          </cell>
        </row>
        <row r="135">
          <cell r="AO135" t="str">
            <v/>
          </cell>
        </row>
        <row r="136">
          <cell r="AO136" t="str">
            <v/>
          </cell>
        </row>
        <row r="137">
          <cell r="AO137" t="str">
            <v/>
          </cell>
        </row>
        <row r="138">
          <cell r="AO138" t="str">
            <v/>
          </cell>
        </row>
        <row r="139">
          <cell r="AO139" t="str">
            <v/>
          </cell>
        </row>
        <row r="140">
          <cell r="AO140" t="str">
            <v/>
          </cell>
        </row>
        <row r="141">
          <cell r="AO141" t="str">
            <v/>
          </cell>
        </row>
        <row r="142">
          <cell r="AO142" t="str">
            <v/>
          </cell>
        </row>
        <row r="143">
          <cell r="AO143" t="str">
            <v/>
          </cell>
        </row>
        <row r="144">
          <cell r="AO144" t="str">
            <v/>
          </cell>
        </row>
        <row r="145">
          <cell r="AO145" t="str">
            <v/>
          </cell>
        </row>
        <row r="146">
          <cell r="AO146" t="str">
            <v/>
          </cell>
        </row>
        <row r="147">
          <cell r="AO147" t="str">
            <v/>
          </cell>
        </row>
        <row r="148">
          <cell r="AO148" t="str">
            <v/>
          </cell>
        </row>
        <row r="149">
          <cell r="AO149" t="str">
            <v/>
          </cell>
        </row>
        <row r="150">
          <cell r="AO150" t="str">
            <v/>
          </cell>
        </row>
        <row r="151">
          <cell r="AO151" t="str">
            <v/>
          </cell>
        </row>
        <row r="152">
          <cell r="AO152" t="str">
            <v/>
          </cell>
        </row>
        <row r="153">
          <cell r="AO153" t="str">
            <v/>
          </cell>
        </row>
        <row r="154">
          <cell r="AO154" t="str">
            <v/>
          </cell>
        </row>
        <row r="155">
          <cell r="AO155" t="str">
            <v/>
          </cell>
        </row>
        <row r="156">
          <cell r="AO156" t="str">
            <v/>
          </cell>
        </row>
        <row r="157">
          <cell r="AO157" t="str">
            <v/>
          </cell>
        </row>
        <row r="158">
          <cell r="AO158" t="str">
            <v/>
          </cell>
        </row>
        <row r="159">
          <cell r="AO159" t="str">
            <v/>
          </cell>
        </row>
        <row r="160">
          <cell r="AO160" t="str">
            <v/>
          </cell>
        </row>
        <row r="161">
          <cell r="AO161" t="str">
            <v/>
          </cell>
        </row>
        <row r="162">
          <cell r="AO162" t="str">
            <v/>
          </cell>
        </row>
        <row r="163">
          <cell r="AO163" t="str">
            <v/>
          </cell>
        </row>
        <row r="164">
          <cell r="AO164" t="str">
            <v/>
          </cell>
        </row>
        <row r="165">
          <cell r="AO165" t="str">
            <v/>
          </cell>
        </row>
        <row r="166">
          <cell r="AO166" t="str">
            <v/>
          </cell>
        </row>
        <row r="167">
          <cell r="AO167" t="str">
            <v/>
          </cell>
        </row>
        <row r="168">
          <cell r="AO168" t="str">
            <v/>
          </cell>
        </row>
        <row r="169">
          <cell r="AO169" t="str">
            <v/>
          </cell>
        </row>
        <row r="170">
          <cell r="AO170" t="str">
            <v/>
          </cell>
        </row>
        <row r="171">
          <cell r="AO171" t="str">
            <v/>
          </cell>
        </row>
        <row r="172">
          <cell r="AO172" t="str">
            <v/>
          </cell>
        </row>
        <row r="173">
          <cell r="AO173" t="str">
            <v/>
          </cell>
        </row>
        <row r="174">
          <cell r="AO174" t="str">
            <v/>
          </cell>
        </row>
        <row r="175">
          <cell r="AO175" t="str">
            <v/>
          </cell>
        </row>
        <row r="176">
          <cell r="AO176" t="str">
            <v/>
          </cell>
        </row>
        <row r="177">
          <cell r="AO177" t="str">
            <v/>
          </cell>
        </row>
        <row r="178">
          <cell r="AO178" t="str">
            <v/>
          </cell>
        </row>
        <row r="179">
          <cell r="AO179" t="str">
            <v/>
          </cell>
        </row>
        <row r="180">
          <cell r="AO180" t="str">
            <v/>
          </cell>
        </row>
        <row r="181">
          <cell r="AO181" t="str">
            <v/>
          </cell>
        </row>
        <row r="182">
          <cell r="AO182" t="str">
            <v/>
          </cell>
        </row>
        <row r="183">
          <cell r="AO183" t="str">
            <v/>
          </cell>
        </row>
        <row r="184">
          <cell r="AO184" t="str">
            <v/>
          </cell>
        </row>
        <row r="185">
          <cell r="AO185" t="str">
            <v/>
          </cell>
        </row>
        <row r="186">
          <cell r="AO186" t="str">
            <v/>
          </cell>
        </row>
        <row r="187">
          <cell r="AO187" t="str">
            <v/>
          </cell>
        </row>
        <row r="188">
          <cell r="AO188" t="str">
            <v/>
          </cell>
        </row>
        <row r="189">
          <cell r="AO189" t="str">
            <v/>
          </cell>
        </row>
        <row r="190">
          <cell r="AO190" t="str">
            <v/>
          </cell>
        </row>
        <row r="191">
          <cell r="AO191" t="str">
            <v/>
          </cell>
        </row>
        <row r="192">
          <cell r="AO192" t="str">
            <v/>
          </cell>
        </row>
        <row r="193">
          <cell r="AO193" t="str">
            <v/>
          </cell>
        </row>
        <row r="194">
          <cell r="AO194" t="str">
            <v/>
          </cell>
        </row>
        <row r="195">
          <cell r="AO195" t="str">
            <v/>
          </cell>
        </row>
        <row r="196">
          <cell r="AO196" t="str">
            <v/>
          </cell>
        </row>
        <row r="197">
          <cell r="AO197" t="str">
            <v/>
          </cell>
        </row>
        <row r="198">
          <cell r="AO198" t="str">
            <v/>
          </cell>
        </row>
        <row r="199">
          <cell r="AO199" t="str">
            <v/>
          </cell>
        </row>
        <row r="200">
          <cell r="AO200" t="str">
            <v/>
          </cell>
        </row>
        <row r="201">
          <cell r="AO201" t="str">
            <v/>
          </cell>
        </row>
        <row r="202">
          <cell r="AO202" t="str">
            <v/>
          </cell>
        </row>
        <row r="203">
          <cell r="AO203" t="str">
            <v/>
          </cell>
        </row>
        <row r="204">
          <cell r="AO204" t="str">
            <v/>
          </cell>
        </row>
        <row r="205">
          <cell r="AO205" t="str">
            <v/>
          </cell>
        </row>
        <row r="206">
          <cell r="AO206" t="str">
            <v/>
          </cell>
        </row>
        <row r="207">
          <cell r="AO207" t="str">
            <v/>
          </cell>
        </row>
        <row r="208">
          <cell r="AO208" t="str">
            <v/>
          </cell>
        </row>
        <row r="209">
          <cell r="AO209" t="str">
            <v/>
          </cell>
        </row>
        <row r="210">
          <cell r="AO210" t="str">
            <v/>
          </cell>
        </row>
        <row r="211">
          <cell r="AO211" t="str">
            <v/>
          </cell>
        </row>
        <row r="212">
          <cell r="AO212" t="str">
            <v/>
          </cell>
        </row>
        <row r="213">
          <cell r="AO213" t="str">
            <v/>
          </cell>
        </row>
        <row r="214">
          <cell r="AO214" t="str">
            <v/>
          </cell>
        </row>
        <row r="215">
          <cell r="AO215" t="str">
            <v/>
          </cell>
        </row>
        <row r="216">
          <cell r="AO216" t="str">
            <v/>
          </cell>
        </row>
        <row r="217">
          <cell r="AO217" t="str">
            <v/>
          </cell>
        </row>
        <row r="218">
          <cell r="AO218" t="str">
            <v/>
          </cell>
        </row>
        <row r="219">
          <cell r="AO219" t="str">
            <v/>
          </cell>
        </row>
        <row r="220">
          <cell r="AO220" t="str">
            <v/>
          </cell>
        </row>
        <row r="221">
          <cell r="AO221" t="str">
            <v/>
          </cell>
        </row>
        <row r="222">
          <cell r="AO222" t="str">
            <v/>
          </cell>
        </row>
        <row r="223">
          <cell r="AO223" t="str">
            <v/>
          </cell>
        </row>
        <row r="224">
          <cell r="AO224" t="str">
            <v/>
          </cell>
        </row>
        <row r="225">
          <cell r="AO225" t="str">
            <v/>
          </cell>
        </row>
        <row r="226">
          <cell r="AO226" t="str">
            <v/>
          </cell>
        </row>
        <row r="227">
          <cell r="AO227" t="str">
            <v/>
          </cell>
        </row>
        <row r="228">
          <cell r="AO228" t="str">
            <v/>
          </cell>
        </row>
        <row r="229">
          <cell r="AO229" t="str">
            <v/>
          </cell>
        </row>
        <row r="230">
          <cell r="AO230" t="str">
            <v/>
          </cell>
        </row>
        <row r="231">
          <cell r="AO231" t="str">
            <v/>
          </cell>
        </row>
        <row r="232">
          <cell r="AO232" t="str">
            <v/>
          </cell>
        </row>
        <row r="233">
          <cell r="AO233" t="str">
            <v/>
          </cell>
        </row>
        <row r="234">
          <cell r="AO234" t="str">
            <v/>
          </cell>
        </row>
        <row r="235">
          <cell r="AO235" t="str">
            <v/>
          </cell>
        </row>
        <row r="236">
          <cell r="AO236" t="str">
            <v/>
          </cell>
        </row>
        <row r="237">
          <cell r="AO237" t="str">
            <v/>
          </cell>
        </row>
        <row r="238">
          <cell r="AO238" t="str">
            <v/>
          </cell>
        </row>
        <row r="239">
          <cell r="AO239" t="str">
            <v/>
          </cell>
        </row>
        <row r="240">
          <cell r="AO240" t="str">
            <v/>
          </cell>
        </row>
        <row r="241">
          <cell r="AO241" t="str">
            <v/>
          </cell>
        </row>
        <row r="242">
          <cell r="AO242" t="str">
            <v/>
          </cell>
        </row>
        <row r="243">
          <cell r="AO243" t="str">
            <v/>
          </cell>
        </row>
        <row r="244">
          <cell r="AO244" t="str">
            <v/>
          </cell>
        </row>
        <row r="245">
          <cell r="AO245" t="str">
            <v/>
          </cell>
        </row>
        <row r="246">
          <cell r="AO246" t="str">
            <v/>
          </cell>
        </row>
        <row r="247">
          <cell r="AO247" t="str">
            <v/>
          </cell>
        </row>
        <row r="248">
          <cell r="AO248" t="str">
            <v/>
          </cell>
        </row>
        <row r="249">
          <cell r="AO249" t="str">
            <v/>
          </cell>
        </row>
        <row r="250">
          <cell r="AO250" t="str">
            <v/>
          </cell>
        </row>
        <row r="251">
          <cell r="AO251" t="str">
            <v/>
          </cell>
        </row>
        <row r="252">
          <cell r="AO252" t="str">
            <v/>
          </cell>
        </row>
        <row r="253">
          <cell r="AO253" t="str">
            <v/>
          </cell>
        </row>
        <row r="254">
          <cell r="AO254" t="str">
            <v/>
          </cell>
        </row>
        <row r="255">
          <cell r="AO255" t="str">
            <v/>
          </cell>
        </row>
        <row r="256">
          <cell r="AO256" t="str">
            <v/>
          </cell>
        </row>
        <row r="257">
          <cell r="AO257" t="str">
            <v/>
          </cell>
        </row>
        <row r="258">
          <cell r="AO258" t="str">
            <v/>
          </cell>
        </row>
        <row r="259">
          <cell r="AO259" t="str">
            <v/>
          </cell>
        </row>
        <row r="260">
          <cell r="AO260" t="str">
            <v/>
          </cell>
        </row>
        <row r="261">
          <cell r="AO261" t="str">
            <v/>
          </cell>
        </row>
        <row r="262">
          <cell r="AO262" t="str">
            <v/>
          </cell>
        </row>
        <row r="263">
          <cell r="AO263" t="str">
            <v/>
          </cell>
        </row>
        <row r="264">
          <cell r="AO264" t="str">
            <v/>
          </cell>
        </row>
        <row r="265">
          <cell r="AO265" t="str">
            <v/>
          </cell>
        </row>
        <row r="266">
          <cell r="AO266" t="str">
            <v/>
          </cell>
        </row>
        <row r="267">
          <cell r="AO267" t="str">
            <v/>
          </cell>
        </row>
        <row r="268">
          <cell r="AO268" t="str">
            <v/>
          </cell>
        </row>
        <row r="269">
          <cell r="AO269" t="str">
            <v/>
          </cell>
        </row>
        <row r="270">
          <cell r="AO270" t="str">
            <v/>
          </cell>
        </row>
        <row r="271">
          <cell r="AO271" t="str">
            <v/>
          </cell>
        </row>
        <row r="272">
          <cell r="AO272" t="str">
            <v/>
          </cell>
        </row>
        <row r="273">
          <cell r="AO273" t="str">
            <v/>
          </cell>
        </row>
        <row r="274">
          <cell r="AO274" t="str">
            <v/>
          </cell>
        </row>
        <row r="275">
          <cell r="AO275" t="str">
            <v/>
          </cell>
        </row>
        <row r="276">
          <cell r="AO276" t="str">
            <v/>
          </cell>
        </row>
        <row r="277">
          <cell r="AO277" t="str">
            <v/>
          </cell>
        </row>
        <row r="278">
          <cell r="AO278" t="str">
            <v/>
          </cell>
        </row>
        <row r="279">
          <cell r="AO279" t="str">
            <v/>
          </cell>
        </row>
        <row r="280">
          <cell r="AO280" t="str">
            <v/>
          </cell>
        </row>
        <row r="281">
          <cell r="AO281" t="str">
            <v/>
          </cell>
        </row>
        <row r="282">
          <cell r="AO282" t="str">
            <v/>
          </cell>
        </row>
        <row r="283">
          <cell r="AO283" t="str">
            <v/>
          </cell>
        </row>
        <row r="284">
          <cell r="AO284" t="str">
            <v/>
          </cell>
        </row>
        <row r="285">
          <cell r="AO285" t="str">
            <v/>
          </cell>
        </row>
        <row r="286">
          <cell r="AO286" t="str">
            <v/>
          </cell>
        </row>
        <row r="287">
          <cell r="AO287" t="str">
            <v/>
          </cell>
        </row>
        <row r="288">
          <cell r="AO288" t="str">
            <v/>
          </cell>
        </row>
        <row r="289">
          <cell r="AO289" t="str">
            <v/>
          </cell>
        </row>
        <row r="290">
          <cell r="AO290" t="str">
            <v/>
          </cell>
        </row>
        <row r="291">
          <cell r="AO291" t="str">
            <v/>
          </cell>
        </row>
        <row r="292">
          <cell r="AO292" t="str">
            <v/>
          </cell>
        </row>
        <row r="293">
          <cell r="AO293" t="str">
            <v/>
          </cell>
        </row>
        <row r="294">
          <cell r="AO294" t="str">
            <v/>
          </cell>
        </row>
        <row r="295">
          <cell r="AO295" t="str">
            <v/>
          </cell>
        </row>
        <row r="296">
          <cell r="AO296" t="str">
            <v/>
          </cell>
        </row>
        <row r="297">
          <cell r="AO297" t="str">
            <v/>
          </cell>
        </row>
        <row r="298">
          <cell r="AO298" t="str">
            <v/>
          </cell>
        </row>
        <row r="299">
          <cell r="AO299" t="str">
            <v/>
          </cell>
        </row>
        <row r="300">
          <cell r="AO300" t="str">
            <v/>
          </cell>
        </row>
        <row r="301">
          <cell r="AO301" t="str">
            <v/>
          </cell>
        </row>
        <row r="302">
          <cell r="AO302" t="str">
            <v/>
          </cell>
        </row>
        <row r="303">
          <cell r="AO303" t="str">
            <v/>
          </cell>
        </row>
        <row r="304">
          <cell r="AO304" t="str">
            <v/>
          </cell>
        </row>
        <row r="305">
          <cell r="AO305" t="str">
            <v/>
          </cell>
        </row>
        <row r="306">
          <cell r="AO306" t="str">
            <v/>
          </cell>
        </row>
        <row r="307">
          <cell r="AO307" t="str">
            <v/>
          </cell>
        </row>
        <row r="308">
          <cell r="AO308" t="str">
            <v/>
          </cell>
        </row>
        <row r="309">
          <cell r="AO309" t="str">
            <v/>
          </cell>
        </row>
        <row r="310">
          <cell r="AO310" t="str">
            <v/>
          </cell>
        </row>
        <row r="311">
          <cell r="AO311" t="str">
            <v/>
          </cell>
        </row>
        <row r="312">
          <cell r="AO312" t="str">
            <v/>
          </cell>
        </row>
        <row r="313">
          <cell r="AO313" t="str">
            <v/>
          </cell>
        </row>
        <row r="314">
          <cell r="AO314" t="str">
            <v/>
          </cell>
        </row>
        <row r="315">
          <cell r="AO315" t="str">
            <v/>
          </cell>
        </row>
        <row r="316">
          <cell r="AO316" t="str">
            <v/>
          </cell>
        </row>
        <row r="317">
          <cell r="AO317" t="str">
            <v/>
          </cell>
        </row>
        <row r="318">
          <cell r="AO318" t="str">
            <v/>
          </cell>
        </row>
        <row r="319">
          <cell r="AO319" t="str">
            <v/>
          </cell>
        </row>
        <row r="320">
          <cell r="AO320" t="str">
            <v/>
          </cell>
        </row>
        <row r="321">
          <cell r="AO321" t="str">
            <v/>
          </cell>
        </row>
        <row r="322">
          <cell r="AO322" t="str">
            <v/>
          </cell>
        </row>
        <row r="323">
          <cell r="AO323" t="str">
            <v/>
          </cell>
        </row>
        <row r="324">
          <cell r="AO324" t="str">
            <v/>
          </cell>
        </row>
        <row r="325">
          <cell r="AO325" t="str">
            <v/>
          </cell>
        </row>
        <row r="326">
          <cell r="AO326" t="str">
            <v/>
          </cell>
        </row>
        <row r="327">
          <cell r="AO327" t="str">
            <v/>
          </cell>
        </row>
        <row r="328">
          <cell r="AO328" t="str">
            <v/>
          </cell>
        </row>
        <row r="329">
          <cell r="AO329" t="str">
            <v/>
          </cell>
        </row>
        <row r="330">
          <cell r="AO330" t="str">
            <v/>
          </cell>
        </row>
        <row r="331">
          <cell r="AO331" t="str">
            <v/>
          </cell>
        </row>
        <row r="332">
          <cell r="AO332" t="str">
            <v/>
          </cell>
        </row>
        <row r="333">
          <cell r="AO333" t="str">
            <v/>
          </cell>
        </row>
        <row r="334">
          <cell r="AO334" t="str">
            <v/>
          </cell>
        </row>
        <row r="335">
          <cell r="AO335" t="str">
            <v/>
          </cell>
        </row>
        <row r="336">
          <cell r="AO336" t="str">
            <v/>
          </cell>
        </row>
        <row r="337">
          <cell r="AO337" t="str">
            <v/>
          </cell>
        </row>
        <row r="338">
          <cell r="AO338" t="str">
            <v/>
          </cell>
        </row>
        <row r="339">
          <cell r="AO339" t="str">
            <v/>
          </cell>
        </row>
        <row r="340">
          <cell r="AO340" t="str">
            <v/>
          </cell>
        </row>
        <row r="341">
          <cell r="AO341" t="str">
            <v/>
          </cell>
        </row>
        <row r="342">
          <cell r="AO342" t="str">
            <v/>
          </cell>
        </row>
        <row r="343">
          <cell r="AO343" t="str">
            <v/>
          </cell>
        </row>
        <row r="344">
          <cell r="AO344" t="str">
            <v/>
          </cell>
        </row>
        <row r="345">
          <cell r="AO345" t="str">
            <v/>
          </cell>
        </row>
        <row r="346">
          <cell r="AO346" t="str">
            <v/>
          </cell>
        </row>
        <row r="347">
          <cell r="AO347" t="str">
            <v/>
          </cell>
        </row>
        <row r="348">
          <cell r="AO348" t="str">
            <v/>
          </cell>
        </row>
        <row r="349">
          <cell r="AO349" t="str">
            <v/>
          </cell>
        </row>
        <row r="350">
          <cell r="AO350" t="str">
            <v/>
          </cell>
        </row>
        <row r="351">
          <cell r="AO351" t="str">
            <v/>
          </cell>
        </row>
        <row r="352">
          <cell r="AO352" t="str">
            <v/>
          </cell>
        </row>
        <row r="353">
          <cell r="AO353" t="str">
            <v/>
          </cell>
        </row>
        <row r="354">
          <cell r="AO354" t="str">
            <v/>
          </cell>
        </row>
        <row r="355">
          <cell r="AO355" t="str">
            <v/>
          </cell>
        </row>
        <row r="356">
          <cell r="AO356" t="str">
            <v/>
          </cell>
        </row>
        <row r="357">
          <cell r="AO357" t="str">
            <v/>
          </cell>
        </row>
        <row r="358">
          <cell r="AO358" t="str">
            <v/>
          </cell>
        </row>
        <row r="359">
          <cell r="AO359" t="str">
            <v/>
          </cell>
        </row>
        <row r="360">
          <cell r="AO360" t="str">
            <v/>
          </cell>
        </row>
        <row r="361">
          <cell r="AO361" t="str">
            <v/>
          </cell>
        </row>
        <row r="362">
          <cell r="AO362" t="str">
            <v/>
          </cell>
        </row>
        <row r="363">
          <cell r="AO363" t="str">
            <v/>
          </cell>
        </row>
        <row r="364">
          <cell r="AO364" t="str">
            <v/>
          </cell>
        </row>
        <row r="365">
          <cell r="AO365" t="str">
            <v/>
          </cell>
        </row>
        <row r="366">
          <cell r="AO366" t="str">
            <v/>
          </cell>
        </row>
        <row r="367">
          <cell r="AO367" t="str">
            <v/>
          </cell>
        </row>
        <row r="368">
          <cell r="AO368" t="str">
            <v/>
          </cell>
        </row>
        <row r="369">
          <cell r="AO369" t="str">
            <v/>
          </cell>
        </row>
        <row r="370">
          <cell r="AO370" t="str">
            <v/>
          </cell>
        </row>
        <row r="371">
          <cell r="AO371" t="str">
            <v/>
          </cell>
        </row>
        <row r="372">
          <cell r="AO372" t="str">
            <v/>
          </cell>
        </row>
        <row r="373">
          <cell r="AO373" t="str">
            <v/>
          </cell>
        </row>
        <row r="374">
          <cell r="AO374" t="str">
            <v/>
          </cell>
        </row>
        <row r="375">
          <cell r="AO375" t="str">
            <v/>
          </cell>
        </row>
        <row r="376">
          <cell r="AO376" t="str">
            <v/>
          </cell>
        </row>
        <row r="377">
          <cell r="AO377" t="str">
            <v/>
          </cell>
        </row>
        <row r="378">
          <cell r="AO378" t="str">
            <v/>
          </cell>
        </row>
        <row r="379">
          <cell r="AO379" t="str">
            <v/>
          </cell>
        </row>
        <row r="380">
          <cell r="AO380" t="str">
            <v/>
          </cell>
        </row>
        <row r="381">
          <cell r="AO381" t="str">
            <v/>
          </cell>
        </row>
        <row r="382">
          <cell r="AO382" t="str">
            <v/>
          </cell>
        </row>
        <row r="383">
          <cell r="AO383" t="str">
            <v/>
          </cell>
        </row>
        <row r="384">
          <cell r="AO384" t="str">
            <v/>
          </cell>
        </row>
        <row r="385">
          <cell r="AO385" t="str">
            <v/>
          </cell>
        </row>
        <row r="386">
          <cell r="AO386" t="str">
            <v/>
          </cell>
        </row>
        <row r="387">
          <cell r="AO387" t="str">
            <v/>
          </cell>
        </row>
        <row r="388">
          <cell r="AO388" t="str">
            <v/>
          </cell>
        </row>
        <row r="389">
          <cell r="AO389" t="str">
            <v/>
          </cell>
        </row>
        <row r="390">
          <cell r="AO390" t="str">
            <v/>
          </cell>
        </row>
        <row r="391">
          <cell r="AO391" t="str">
            <v/>
          </cell>
        </row>
        <row r="392">
          <cell r="AO392" t="str">
            <v/>
          </cell>
        </row>
        <row r="393">
          <cell r="AO393" t="str">
            <v/>
          </cell>
        </row>
        <row r="394">
          <cell r="AO394" t="str">
            <v/>
          </cell>
        </row>
        <row r="395">
          <cell r="AO395" t="str">
            <v/>
          </cell>
        </row>
        <row r="396">
          <cell r="AO396" t="str">
            <v/>
          </cell>
        </row>
        <row r="397">
          <cell r="AO397" t="str">
            <v/>
          </cell>
        </row>
        <row r="398">
          <cell r="AO398" t="str">
            <v/>
          </cell>
        </row>
        <row r="399">
          <cell r="AO399" t="str">
            <v/>
          </cell>
        </row>
        <row r="400">
          <cell r="AO400" t="str">
            <v/>
          </cell>
        </row>
        <row r="401">
          <cell r="AO401" t="str">
            <v/>
          </cell>
        </row>
        <row r="402">
          <cell r="AO402" t="str">
            <v/>
          </cell>
        </row>
        <row r="403">
          <cell r="AO403" t="str">
            <v/>
          </cell>
        </row>
        <row r="404">
          <cell r="AO404" t="str">
            <v/>
          </cell>
        </row>
        <row r="405">
          <cell r="AO405" t="str">
            <v/>
          </cell>
        </row>
        <row r="406">
          <cell r="AO406" t="str">
            <v/>
          </cell>
        </row>
        <row r="407">
          <cell r="AO407" t="str">
            <v/>
          </cell>
        </row>
        <row r="408">
          <cell r="AO408" t="str">
            <v/>
          </cell>
        </row>
        <row r="409">
          <cell r="AO409" t="str">
            <v/>
          </cell>
        </row>
        <row r="410">
          <cell r="AO410" t="str">
            <v/>
          </cell>
        </row>
        <row r="411">
          <cell r="AO411" t="str">
            <v/>
          </cell>
        </row>
        <row r="412">
          <cell r="AO412" t="str">
            <v/>
          </cell>
        </row>
        <row r="413">
          <cell r="AO413" t="str">
            <v/>
          </cell>
        </row>
        <row r="414">
          <cell r="AO414" t="str">
            <v/>
          </cell>
        </row>
        <row r="415">
          <cell r="AO415" t="str">
            <v/>
          </cell>
        </row>
        <row r="416">
          <cell r="AO416" t="str">
            <v/>
          </cell>
        </row>
        <row r="417">
          <cell r="AO417" t="str">
            <v/>
          </cell>
        </row>
        <row r="418">
          <cell r="AO418" t="str">
            <v/>
          </cell>
        </row>
        <row r="419">
          <cell r="AO419" t="str">
            <v/>
          </cell>
        </row>
        <row r="420">
          <cell r="AO420" t="str">
            <v/>
          </cell>
        </row>
        <row r="421">
          <cell r="AO421" t="str">
            <v/>
          </cell>
        </row>
        <row r="422">
          <cell r="AO422" t="str">
            <v/>
          </cell>
        </row>
        <row r="423">
          <cell r="AO423" t="str">
            <v/>
          </cell>
        </row>
        <row r="424">
          <cell r="AO424" t="str">
            <v/>
          </cell>
        </row>
        <row r="425">
          <cell r="AO425" t="str">
            <v/>
          </cell>
        </row>
        <row r="426">
          <cell r="AO426" t="str">
            <v/>
          </cell>
        </row>
        <row r="427">
          <cell r="AO427" t="str">
            <v/>
          </cell>
        </row>
        <row r="428">
          <cell r="AO428" t="str">
            <v/>
          </cell>
        </row>
        <row r="429">
          <cell r="AO429" t="str">
            <v/>
          </cell>
        </row>
        <row r="430">
          <cell r="AO430" t="str">
            <v/>
          </cell>
        </row>
        <row r="431">
          <cell r="AO431" t="str">
            <v/>
          </cell>
        </row>
        <row r="432">
          <cell r="AO432" t="str">
            <v/>
          </cell>
        </row>
        <row r="433">
          <cell r="AO433" t="str">
            <v/>
          </cell>
        </row>
        <row r="434">
          <cell r="AO434" t="str">
            <v/>
          </cell>
        </row>
        <row r="435">
          <cell r="AO435" t="str">
            <v/>
          </cell>
        </row>
        <row r="436">
          <cell r="AO436" t="str">
            <v/>
          </cell>
        </row>
        <row r="437">
          <cell r="AO437" t="str">
            <v/>
          </cell>
        </row>
        <row r="438">
          <cell r="AO438" t="str">
            <v/>
          </cell>
        </row>
        <row r="439">
          <cell r="AO439" t="str">
            <v/>
          </cell>
        </row>
        <row r="440">
          <cell r="AO440" t="str">
            <v/>
          </cell>
        </row>
        <row r="441">
          <cell r="AO441" t="str">
            <v/>
          </cell>
        </row>
        <row r="442">
          <cell r="AO442" t="str">
            <v/>
          </cell>
        </row>
        <row r="443">
          <cell r="AO443" t="str">
            <v/>
          </cell>
        </row>
        <row r="444">
          <cell r="AO444" t="str">
            <v/>
          </cell>
        </row>
        <row r="445">
          <cell r="AO445" t="str">
            <v/>
          </cell>
        </row>
        <row r="446">
          <cell r="AO446" t="str">
            <v/>
          </cell>
        </row>
        <row r="447">
          <cell r="AO447" t="str">
            <v/>
          </cell>
        </row>
        <row r="448">
          <cell r="AO448" t="str">
            <v/>
          </cell>
        </row>
        <row r="449">
          <cell r="AO449" t="str">
            <v/>
          </cell>
        </row>
        <row r="450">
          <cell r="AO450" t="str">
            <v/>
          </cell>
        </row>
        <row r="451">
          <cell r="AO451" t="str">
            <v/>
          </cell>
        </row>
        <row r="452">
          <cell r="AO452" t="str">
            <v/>
          </cell>
        </row>
        <row r="453">
          <cell r="AO453" t="str">
            <v/>
          </cell>
        </row>
        <row r="454">
          <cell r="AO454" t="str">
            <v/>
          </cell>
        </row>
        <row r="455">
          <cell r="AO455" t="str">
            <v/>
          </cell>
        </row>
        <row r="456">
          <cell r="AO456" t="str">
            <v/>
          </cell>
        </row>
        <row r="457">
          <cell r="AO457" t="str">
            <v/>
          </cell>
        </row>
        <row r="458">
          <cell r="AO458" t="str">
            <v/>
          </cell>
        </row>
        <row r="459">
          <cell r="AO459" t="str">
            <v/>
          </cell>
        </row>
        <row r="460">
          <cell r="AO460" t="str">
            <v/>
          </cell>
        </row>
        <row r="461">
          <cell r="AO461" t="str">
            <v/>
          </cell>
        </row>
        <row r="462">
          <cell r="AO462" t="str">
            <v/>
          </cell>
        </row>
        <row r="463">
          <cell r="AO463" t="str">
            <v/>
          </cell>
        </row>
        <row r="464">
          <cell r="AO464" t="str">
            <v/>
          </cell>
        </row>
        <row r="465">
          <cell r="AO465" t="str">
            <v/>
          </cell>
        </row>
        <row r="466">
          <cell r="AO466" t="str">
            <v/>
          </cell>
        </row>
        <row r="467">
          <cell r="AO467" t="str">
            <v/>
          </cell>
        </row>
        <row r="468">
          <cell r="AO468" t="str">
            <v/>
          </cell>
        </row>
        <row r="469">
          <cell r="AO469" t="str">
            <v/>
          </cell>
        </row>
        <row r="470">
          <cell r="AO470" t="str">
            <v/>
          </cell>
        </row>
        <row r="471">
          <cell r="AO471" t="str">
            <v/>
          </cell>
        </row>
        <row r="472">
          <cell r="AO472" t="str">
            <v/>
          </cell>
        </row>
        <row r="473">
          <cell r="AO473" t="str">
            <v/>
          </cell>
        </row>
        <row r="474">
          <cell r="AO474" t="str">
            <v/>
          </cell>
        </row>
        <row r="475">
          <cell r="AO475" t="str">
            <v/>
          </cell>
        </row>
        <row r="476">
          <cell r="AO476" t="str">
            <v/>
          </cell>
        </row>
        <row r="477">
          <cell r="AO477" t="str">
            <v/>
          </cell>
        </row>
        <row r="478">
          <cell r="AO478" t="str">
            <v/>
          </cell>
        </row>
        <row r="479">
          <cell r="AO479" t="str">
            <v/>
          </cell>
        </row>
        <row r="480">
          <cell r="AO480" t="str">
            <v/>
          </cell>
        </row>
        <row r="481">
          <cell r="AO481" t="str">
            <v/>
          </cell>
        </row>
        <row r="482">
          <cell r="AO482" t="str">
            <v/>
          </cell>
        </row>
        <row r="483">
          <cell r="AO483" t="str">
            <v/>
          </cell>
        </row>
        <row r="484">
          <cell r="AO484" t="str">
            <v/>
          </cell>
        </row>
        <row r="485">
          <cell r="AO485" t="str">
            <v/>
          </cell>
        </row>
        <row r="486">
          <cell r="AO486" t="str">
            <v/>
          </cell>
        </row>
        <row r="487">
          <cell r="AO487" t="str">
            <v/>
          </cell>
        </row>
        <row r="488">
          <cell r="AO488" t="str">
            <v/>
          </cell>
        </row>
        <row r="489">
          <cell r="AO489" t="str">
            <v/>
          </cell>
        </row>
        <row r="490">
          <cell r="AO490" t="str">
            <v/>
          </cell>
        </row>
        <row r="491">
          <cell r="AO491" t="str">
            <v/>
          </cell>
        </row>
        <row r="492">
          <cell r="AO492" t="str">
            <v/>
          </cell>
        </row>
        <row r="493">
          <cell r="AO493" t="str">
            <v/>
          </cell>
        </row>
        <row r="494">
          <cell r="AO494" t="str">
            <v/>
          </cell>
        </row>
        <row r="495">
          <cell r="AO495" t="str">
            <v/>
          </cell>
        </row>
        <row r="496">
          <cell r="AO496" t="str">
            <v/>
          </cell>
        </row>
        <row r="497">
          <cell r="AO497" t="str">
            <v/>
          </cell>
        </row>
        <row r="498">
          <cell r="AO498" t="str">
            <v/>
          </cell>
        </row>
        <row r="499">
          <cell r="AO499" t="str">
            <v/>
          </cell>
        </row>
        <row r="500">
          <cell r="AO500" t="str">
            <v/>
          </cell>
        </row>
        <row r="501">
          <cell r="AO501" t="str">
            <v/>
          </cell>
        </row>
      </sheetData>
      <sheetData sheetId="2" refreshError="1"/>
      <sheetData sheetId="3" refreshError="1"/>
      <sheetData sheetId="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PMIS_Config"/>
      <sheetName val="Data_Health"/>
      <sheetName val="README_ARCHITECTURE"/>
      <sheetName val="V4_Mission_Control"/>
      <sheetName val="Dashboard"/>
      <sheetName val="Building_View"/>
      <sheetName val="Command_Center"/>
      <sheetName val="COMMAND CENTERS"/>
      <sheetName val="Command_Tile_Copy_Block"/>
      <sheetName val="Executive Brief"/>
      <sheetName val="Pilot"/>
      <sheetName val="Shutdown_Tracker"/>
      <sheetName val="Stakeholders"/>
      <sheetName val="_Command_Lists"/>
      <sheetName val="_PMIS_Config"/>
      <sheetName val="Lookup_Lists"/>
      <sheetName val="System_Map"/>
      <sheetName val="PMIS_Home"/>
      <sheetName val="Lists"/>
      <sheetName val="Telecom_Rooms"/>
      <sheetName val="Building_Stakeholders"/>
      <sheetName val="Existing_Conditions"/>
      <sheetName val="Doc_Register"/>
      <sheetName val="Documentation"/>
      <sheetName val="PMIS_Data (2)"/>
      <sheetName val="B61_Assessment"/>
      <sheetName val="CM_PM Operations"/>
      <sheetName val="COR_Report"/>
      <sheetName val="Building_Register"/>
      <sheetName val="PMIS_Data"/>
      <sheetName val="B01_Assessment"/>
      <sheetName val="B02_Assessment"/>
      <sheetName val="B03_Assessment"/>
      <sheetName val="B04_Assessment"/>
      <sheetName val="B05_Assessment"/>
      <sheetName val="B06_Assessment"/>
      <sheetName val="B07_Assessment"/>
      <sheetName val="B08_Assessment"/>
      <sheetName val="B09_Assessment"/>
      <sheetName val="B10_Assessment"/>
      <sheetName val="B12_Assessment"/>
      <sheetName val="B13_Assessment"/>
      <sheetName val="B14_Assessment"/>
      <sheetName val="B15_Assessment"/>
      <sheetName val="B16_Assessment"/>
      <sheetName val="B17_Assessment"/>
      <sheetName val="B18_Assessment"/>
      <sheetName val="B20_Assessment"/>
      <sheetName val="B21_Assessment"/>
      <sheetName val="B22_Assessment"/>
      <sheetName val="B33_Assessment"/>
      <sheetName val="B62_TR_Assessment"/>
      <sheetName val="B70_TR_Assessment"/>
      <sheetName val="B78_Assessment"/>
      <sheetName val="B80_Assessment"/>
      <sheetName val="B82_Assessment"/>
      <sheetName val="BCH_Assessment"/>
      <sheetName val="MCR_Assessment"/>
      <sheetName val="SITE_Assesment"/>
      <sheetName val="SPEC_Assessment"/>
      <sheetName val="_Command_Source"/>
      <sheetName val="_Assessment_Full_View"/>
      <sheetName val="V4_Architecture_Map"/>
      <sheetName val="_V4_ActionQueue"/>
      <sheetName val="_Command_Trade_Notes"/>
      <sheetName val="PMIS_Trade_Notes"/>
      <sheetName val="Today's_Focus"/>
      <sheetName val="Project_Regist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ow r="6">
          <cell r="A6" t="str">
            <v>DEL-001</v>
          </cell>
          <cell r="B6" t="str">
            <v>Deliverable</v>
          </cell>
          <cell r="E6" t="str">
            <v>ALL</v>
          </cell>
          <cell r="G6" t="str">
            <v>Weekly Inspection Report</v>
          </cell>
          <cell r="K6" t="str">
            <v>Aisha</v>
          </cell>
          <cell r="M6" t="str">
            <v>High</v>
          </cell>
          <cell r="N6" t="str">
            <v>Open</v>
          </cell>
          <cell r="P6">
            <v>46219</v>
          </cell>
          <cell r="X6" t="str">
            <v>Weekly</v>
          </cell>
          <cell r="Z6" t="str">
            <v>Yes</v>
          </cell>
          <cell r="AA6" t="str">
            <v>No</v>
          </cell>
          <cell r="AD6" t="str">
            <v>Submit every Friday.</v>
          </cell>
          <cell r="AE6" t="str">
            <v>Compile assessment, inspection, risk, question, shutdown, and look-ahead data; Paul final review.</v>
          </cell>
        </row>
        <row r="7">
          <cell r="A7" t="str">
            <v>DEL-002</v>
          </cell>
          <cell r="B7" t="str">
            <v>PTR Update</v>
          </cell>
          <cell r="E7" t="str">
            <v>ALL</v>
          </cell>
          <cell r="G7" t="str">
            <v>Biweekly PTR Update</v>
          </cell>
          <cell r="K7" t="str">
            <v>Paul</v>
          </cell>
          <cell r="M7" t="str">
            <v>High</v>
          </cell>
          <cell r="N7" t="str">
            <v>Open</v>
          </cell>
          <cell r="P7">
            <v>46219</v>
          </cell>
          <cell r="X7" t="str">
            <v>Biweekly</v>
          </cell>
          <cell r="Z7" t="str">
            <v>Yes</v>
          </cell>
          <cell r="AA7" t="str">
            <v>Yes</v>
          </cell>
          <cell r="AD7" t="str">
            <v>Confirm PTR ownership and access.</v>
          </cell>
          <cell r="AE7" t="str">
            <v>Prepare current comments, dates, issues, and milestone status at least 24 hours before meeting.</v>
          </cell>
        </row>
        <row r="8">
          <cell r="A8" t="str">
            <v>SCH-001</v>
          </cell>
          <cell r="B8" t="str">
            <v>Schedule Item</v>
          </cell>
          <cell r="E8" t="str">
            <v>ALL</v>
          </cell>
          <cell r="G8" t="str">
            <v>Contractor Baseline Schedule</v>
          </cell>
          <cell r="K8" t="str">
            <v>Paul</v>
          </cell>
          <cell r="M8" t="str">
            <v>Critical</v>
          </cell>
          <cell r="N8" t="str">
            <v>Waiting</v>
          </cell>
          <cell r="P8">
            <v>46219</v>
          </cell>
          <cell r="X8" t="str">
            <v>Biweekly</v>
          </cell>
          <cell r="Z8" t="str">
            <v>Yes</v>
          </cell>
          <cell r="AA8" t="str">
            <v>Yes</v>
          </cell>
          <cell r="AD8" t="str">
            <v>Contractor schedule has not been received.</v>
          </cell>
          <cell r="AE8" t="str">
            <v>Obtain and review logic, shutdowns, relocations, submittals, procurement, testing, and commissioning dependencies.</v>
          </cell>
        </row>
        <row r="9">
          <cell r="A9" t="str">
            <v>ACT-001</v>
          </cell>
          <cell r="B9" t="str">
            <v>Action Item</v>
          </cell>
          <cell r="E9" t="str">
            <v>ALL</v>
          </cell>
          <cell r="G9" t="str">
            <v>Confirm COR Reporting Expectations</v>
          </cell>
          <cell r="K9" t="str">
            <v>Paul</v>
          </cell>
          <cell r="M9" t="str">
            <v>High</v>
          </cell>
          <cell r="N9" t="str">
            <v>Open</v>
          </cell>
          <cell r="P9">
            <v>46219</v>
          </cell>
          <cell r="X9" t="str">
            <v>Weekly</v>
          </cell>
          <cell r="Z9" t="str">
            <v>Yes</v>
          </cell>
          <cell r="AA9" t="str">
            <v>Yes</v>
          </cell>
          <cell r="AD9" t="str">
            <v>Confirm templates, routing, due dates, minutes, PTR, and storage.</v>
          </cell>
          <cell r="AE9" t="str">
            <v>Document agreed reporting workflow before first recurring submission.</v>
          </cell>
        </row>
        <row r="10">
          <cell r="A10" t="str">
            <v>DQ-001</v>
          </cell>
          <cell r="B10" t="str">
            <v>Design Question</v>
          </cell>
          <cell r="E10" t="str">
            <v>61</v>
          </cell>
          <cell r="G10" t="str">
            <v>Consolidate Building 61 A/E Questions</v>
          </cell>
          <cell r="K10" t="str">
            <v>Paul</v>
          </cell>
          <cell r="M10" t="str">
            <v>High</v>
          </cell>
          <cell r="N10" t="str">
            <v>In Progress</v>
          </cell>
          <cell r="P10">
            <v>46217</v>
          </cell>
          <cell r="X10" t="str">
            <v>Weekly</v>
          </cell>
          <cell r="Z10" t="str">
            <v>Yes</v>
          </cell>
          <cell r="AA10" t="str">
            <v>Yes</v>
          </cell>
          <cell r="AD10" t="str">
            <v>A/E clarification required.</v>
          </cell>
          <cell r="AE10" t="str">
            <v>Issue coordinated question package through COR.</v>
          </cell>
          <cell r="AL10" t="str">
            <v>B61_Assessment</v>
          </cell>
        </row>
        <row r="11">
          <cell r="A11" t="str">
            <v>ACT-002</v>
          </cell>
          <cell r="B11" t="str">
            <v>Action Item</v>
          </cell>
          <cell r="E11" t="str">
            <v>ALL</v>
          </cell>
          <cell r="G11" t="str">
            <v>Occupied Room Relocation Planning</v>
          </cell>
          <cell r="K11" t="str">
            <v>Aisha</v>
          </cell>
          <cell r="M11" t="str">
            <v>High</v>
          </cell>
          <cell r="N11" t="str">
            <v>Open</v>
          </cell>
          <cell r="P11">
            <v>46213</v>
          </cell>
          <cell r="X11" t="str">
            <v>Weekly</v>
          </cell>
          <cell r="Z11" t="str">
            <v>Yes</v>
          </cell>
          <cell r="AA11" t="str">
            <v>Yes</v>
          </cell>
          <cell r="AD11" t="str">
            <v>Hospital direction needed for relocation approach.</v>
          </cell>
          <cell r="AE11" t="str">
            <v>Coordinate stakeholders before contractor sequencing is accepted.</v>
          </cell>
          <cell r="AL11" t="str">
            <v>Building_Register</v>
          </cell>
        </row>
        <row r="12">
          <cell r="A12" t="str">
            <v>DEL-003</v>
          </cell>
          <cell r="B12" t="str">
            <v>Pay Application</v>
          </cell>
          <cell r="E12" t="str">
            <v>ALL</v>
          </cell>
          <cell r="G12" t="str">
            <v>GC Pay Application Review</v>
          </cell>
          <cell r="K12" t="str">
            <v>Paul</v>
          </cell>
          <cell r="M12" t="str">
            <v>High</v>
          </cell>
          <cell r="N12" t="str">
            <v>Not Started</v>
          </cell>
          <cell r="P12">
            <v>46219</v>
          </cell>
          <cell r="X12" t="str">
            <v>Monthly</v>
          </cell>
          <cell r="Z12" t="str">
            <v>Yes</v>
          </cell>
          <cell r="AA12" t="str">
            <v>No</v>
          </cell>
          <cell r="AD12" t="str">
            <v>Review within five business days of receipt.</v>
          </cell>
          <cell r="AE12" t="str">
            <v>Verify work complete versus work billed using schedule, assessments, field records, and deficiencies.</v>
          </cell>
        </row>
        <row r="13">
          <cell r="A13" t="str">
            <v>DEL-004</v>
          </cell>
          <cell r="B13" t="str">
            <v>Commissioning</v>
          </cell>
          <cell r="E13" t="str">
            <v>ALL</v>
          </cell>
          <cell r="G13" t="str">
            <v>Commissioning Responsibility Matrix</v>
          </cell>
          <cell r="K13" t="str">
            <v>Aisha</v>
          </cell>
          <cell r="M13" t="str">
            <v>High</v>
          </cell>
          <cell r="N13" t="str">
            <v>Not Started</v>
          </cell>
          <cell r="P13">
            <v>46219</v>
          </cell>
          <cell r="X13" t="str">
            <v>Monthly</v>
          </cell>
          <cell r="Z13" t="str">
            <v>Yes</v>
          </cell>
          <cell r="AA13" t="str">
            <v>Yes</v>
          </cell>
          <cell r="AD13" t="str">
            <v>Confirm roles after kickoff.</v>
          </cell>
          <cell r="AE13" t="str">
            <v>Establish prerequisites, testing, documentation, training, and acceptance responsibilities.</v>
          </cell>
          <cell r="AL13" t="str">
            <v>Pilot / Specs</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PMIS_Config"/>
      <sheetName val="Data_Health"/>
      <sheetName val="README_ARCHITECTURE"/>
      <sheetName val="V4_Mission_Control"/>
      <sheetName val="Dashboard"/>
      <sheetName val="Building_View"/>
      <sheetName val="Command_Center"/>
      <sheetName val="COMMAND CENTERS"/>
      <sheetName val="Command_Tile_Copy_Block"/>
      <sheetName val="Executive Brief"/>
      <sheetName val="Pilot"/>
      <sheetName val="Shutdown_Tracker"/>
      <sheetName val="Stakeholders"/>
      <sheetName val="_Command_Lists"/>
      <sheetName val="_PMIS_Config"/>
      <sheetName val="Lookup_Lists"/>
      <sheetName val="System_Map"/>
      <sheetName val="PMIS_Home"/>
      <sheetName val="Lists"/>
      <sheetName val="Telecom_Rooms"/>
      <sheetName val="Building_Stakeholders"/>
      <sheetName val="Existing_Conditions"/>
      <sheetName val="Doc_Register"/>
      <sheetName val="Documentation"/>
      <sheetName val="PMIS_Data (2)"/>
      <sheetName val="B61_Assessment"/>
      <sheetName val="CM_PM Operations"/>
      <sheetName val="COR_Report"/>
      <sheetName val="Building_Register"/>
      <sheetName val="PMIS_Data"/>
      <sheetName val="B01_Assessment"/>
      <sheetName val="B02_Assessment"/>
      <sheetName val="B03_Assessment"/>
      <sheetName val="B04_Assessment"/>
      <sheetName val="B05_Assessment"/>
      <sheetName val="B06_Assessment"/>
      <sheetName val="B07_Assessment"/>
      <sheetName val="B08_Assessment"/>
      <sheetName val="B09_Assessment"/>
      <sheetName val="B10_Assessment"/>
      <sheetName val="B12_Assessment"/>
      <sheetName val="B13_Assessment"/>
      <sheetName val="B14_Assessment"/>
      <sheetName val="B15_Assessment"/>
      <sheetName val="B16_Assessment"/>
      <sheetName val="B17_Assessment"/>
      <sheetName val="B18_Assessment"/>
      <sheetName val="B20_Assessment"/>
      <sheetName val="B21_Assessment"/>
      <sheetName val="B22_Assessment"/>
      <sheetName val="B33_Assessment"/>
      <sheetName val="B62_TR_Assessment"/>
      <sheetName val="B70_TR_Assessment"/>
      <sheetName val="B78_Assessment"/>
      <sheetName val="B80_Assessment"/>
      <sheetName val="B82_Assessment"/>
      <sheetName val="BCH_Assessment"/>
      <sheetName val="MCR_Assessment"/>
      <sheetName val="SITE_Assesment"/>
      <sheetName val="SPEC_Assessment"/>
      <sheetName val="_Command_Source"/>
      <sheetName val="_Assessment_Full_View"/>
      <sheetName val="V4_Architecture_Map"/>
      <sheetName val="_V4_ActionQueue"/>
      <sheetName val="_Command_Trade_Notes"/>
      <sheetName val="PMIS_Trade_Notes"/>
      <sheetName val="Today's_Focu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ow r="3">
          <cell r="A3" t="str">
            <v>01</v>
          </cell>
        </row>
        <row r="4">
          <cell r="A4" t="str">
            <v>02</v>
          </cell>
        </row>
        <row r="5">
          <cell r="A5" t="str">
            <v>03</v>
          </cell>
        </row>
        <row r="6">
          <cell r="A6" t="str">
            <v>04</v>
          </cell>
        </row>
        <row r="7">
          <cell r="A7" t="str">
            <v>05</v>
          </cell>
        </row>
        <row r="8">
          <cell r="A8" t="str">
            <v>06</v>
          </cell>
        </row>
        <row r="9">
          <cell r="A9" t="str">
            <v>07</v>
          </cell>
        </row>
        <row r="10">
          <cell r="A10" t="str">
            <v>08</v>
          </cell>
        </row>
        <row r="11">
          <cell r="A11" t="str">
            <v>09</v>
          </cell>
        </row>
        <row r="12">
          <cell r="A12" t="str">
            <v>10</v>
          </cell>
        </row>
        <row r="13">
          <cell r="A13" t="str">
            <v>12</v>
          </cell>
        </row>
        <row r="14">
          <cell r="A14" t="str">
            <v>13</v>
          </cell>
        </row>
        <row r="15">
          <cell r="A15" t="str">
            <v>14</v>
          </cell>
        </row>
        <row r="16">
          <cell r="A16" t="str">
            <v>15</v>
          </cell>
        </row>
        <row r="17">
          <cell r="A17" t="str">
            <v>16</v>
          </cell>
        </row>
        <row r="18">
          <cell r="A18" t="str">
            <v>17</v>
          </cell>
        </row>
        <row r="19">
          <cell r="A19" t="str">
            <v>18</v>
          </cell>
        </row>
        <row r="20">
          <cell r="A20" t="str">
            <v>20</v>
          </cell>
        </row>
        <row r="21">
          <cell r="A21" t="str">
            <v>21</v>
          </cell>
        </row>
        <row r="22">
          <cell r="A22" t="str">
            <v>22</v>
          </cell>
        </row>
        <row r="23">
          <cell r="A23" t="str">
            <v>33</v>
          </cell>
        </row>
        <row r="24">
          <cell r="A24" t="str">
            <v>61</v>
          </cell>
        </row>
        <row r="25">
          <cell r="A25" t="str">
            <v>62</v>
          </cell>
        </row>
        <row r="26">
          <cell r="A26" t="str">
            <v>70</v>
          </cell>
        </row>
        <row r="27">
          <cell r="A27" t="str">
            <v>78</v>
          </cell>
        </row>
        <row r="28">
          <cell r="A28" t="str">
            <v>80</v>
          </cell>
        </row>
        <row r="29">
          <cell r="A29" t="str">
            <v>82</v>
          </cell>
        </row>
        <row r="30">
          <cell r="A30" t="str">
            <v>BCH</v>
          </cell>
        </row>
        <row r="31">
          <cell r="A31" t="str">
            <v>MCR</v>
          </cell>
        </row>
        <row r="32">
          <cell r="A32" t="str">
            <v>SITE</v>
          </cell>
        </row>
      </sheetData>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theme/theme1.xml><?xml version="1.0" encoding="utf-8"?>
<a:theme xmlns:a="http://schemas.openxmlformats.org/drawingml/2006/main"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gradFill>
      </a:bgFillStyleLst>
    </a:fmtScheme>
  </a:themeElements>
  <a:objectDefaults/>
  <a:extraClrSchemeLst/>
</a:theme>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2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3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3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36.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37.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38.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39.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40.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41.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42.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43.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44.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45.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46.xml.rels><?xml version="1.0" encoding="UTF-8" standalone="yes"?>
<Relationships xmlns="http://schemas.openxmlformats.org/package/2006/relationships"><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47.xml.rels><?xml version="1.0" encoding="UTF-8" standalone="yes"?>
<Relationships xmlns="http://schemas.openxmlformats.org/package/2006/relationships"><Relationship Id="rId2" Type="http://schemas.openxmlformats.org/officeDocument/2006/relationships/comments" Target="../comments17.xml"/><Relationship Id="rId1" Type="http://schemas.openxmlformats.org/officeDocument/2006/relationships/vmlDrawing" Target="../drawings/vmlDrawing17.vml"/></Relationships>
</file>

<file path=xl/worksheets/_rels/sheet48.xml.rels><?xml version="1.0" encoding="UTF-8" standalone="yes"?>
<Relationships xmlns="http://schemas.openxmlformats.org/package/2006/relationships"><Relationship Id="rId2" Type="http://schemas.openxmlformats.org/officeDocument/2006/relationships/comments" Target="../comments18.xml"/><Relationship Id="rId1" Type="http://schemas.openxmlformats.org/officeDocument/2006/relationships/vmlDrawing" Target="../drawings/vmlDrawing18.vml"/></Relationships>
</file>

<file path=xl/worksheets/_rels/sheet49.xml.rels><?xml version="1.0" encoding="UTF-8" standalone="yes"?>
<Relationships xmlns="http://schemas.openxmlformats.org/package/2006/relationships"><Relationship Id="rId2" Type="http://schemas.openxmlformats.org/officeDocument/2006/relationships/comments" Target="../comments19.xml"/><Relationship Id="rId1" Type="http://schemas.openxmlformats.org/officeDocument/2006/relationships/vmlDrawing" Target="../drawings/vmlDrawing19.vml"/></Relationships>
</file>

<file path=xl/worksheets/_rels/sheet50.xml.rels><?xml version="1.0" encoding="UTF-8" standalone="yes"?>
<Relationships xmlns="http://schemas.openxmlformats.org/package/2006/relationships"><Relationship Id="rId2" Type="http://schemas.openxmlformats.org/officeDocument/2006/relationships/comments" Target="../comments20.xml"/><Relationship Id="rId1" Type="http://schemas.openxmlformats.org/officeDocument/2006/relationships/vmlDrawing" Target="../drawings/vmlDrawing20.vml"/></Relationships>
</file>

<file path=xl/worksheets/_rels/sheet51.xml.rels><?xml version="1.0" encoding="UTF-8" standalone="yes"?>
<Relationships xmlns="http://schemas.openxmlformats.org/package/2006/relationships"><Relationship Id="rId2" Type="http://schemas.openxmlformats.org/officeDocument/2006/relationships/comments" Target="../comments21.xml"/><Relationship Id="rId1" Type="http://schemas.openxmlformats.org/officeDocument/2006/relationships/vmlDrawing" Target="../drawings/vmlDrawing21.vml"/></Relationships>
</file>

<file path=xl/worksheets/_rels/sheet52.xml.rels><?xml version="1.0" encoding="UTF-8" standalone="yes"?>
<Relationships xmlns="http://schemas.openxmlformats.org/package/2006/relationships"><Relationship Id="rId2" Type="http://schemas.openxmlformats.org/officeDocument/2006/relationships/comments" Target="../comments22.xml"/><Relationship Id="rId1" Type="http://schemas.openxmlformats.org/officeDocument/2006/relationships/vmlDrawing" Target="../drawings/vmlDrawing22.vml"/></Relationships>
</file>

<file path=xl/worksheets/_rels/sheet53.xml.rels><?xml version="1.0" encoding="UTF-8" standalone="yes"?>
<Relationships xmlns="http://schemas.openxmlformats.org/package/2006/relationships"><Relationship Id="rId2" Type="http://schemas.openxmlformats.org/officeDocument/2006/relationships/comments" Target="../comments23.xml"/><Relationship Id="rId1" Type="http://schemas.openxmlformats.org/officeDocument/2006/relationships/vmlDrawing" Target="../drawings/vmlDrawing23.vml"/></Relationships>
</file>

<file path=xl/worksheets/_rels/sheet54.xml.rels><?xml version="1.0" encoding="UTF-8" standalone="yes"?>
<Relationships xmlns="http://schemas.openxmlformats.org/package/2006/relationships"><Relationship Id="rId2" Type="http://schemas.openxmlformats.org/officeDocument/2006/relationships/comments" Target="../comments24.xml"/><Relationship Id="rId1" Type="http://schemas.openxmlformats.org/officeDocument/2006/relationships/vmlDrawing" Target="../drawings/vmlDrawing24.vml"/></Relationships>
</file>

<file path=xl/worksheets/_rels/sheet55.xml.rels><?xml version="1.0" encoding="UTF-8" standalone="yes"?>
<Relationships xmlns="http://schemas.openxmlformats.org/package/2006/relationships"><Relationship Id="rId2" Type="http://schemas.openxmlformats.org/officeDocument/2006/relationships/comments" Target="../comments25.xml"/><Relationship Id="rId1" Type="http://schemas.openxmlformats.org/officeDocument/2006/relationships/vmlDrawing" Target="../drawings/vmlDrawing25.vml"/></Relationships>
</file>

<file path=xl/worksheets/_rels/sheet56.xml.rels><?xml version="1.0" encoding="UTF-8" standalone="yes"?>
<Relationships xmlns="http://schemas.openxmlformats.org/package/2006/relationships"><Relationship Id="rId2" Type="http://schemas.openxmlformats.org/officeDocument/2006/relationships/comments" Target="../comments26.xml"/><Relationship Id="rId1" Type="http://schemas.openxmlformats.org/officeDocument/2006/relationships/vmlDrawing" Target="../drawings/vmlDrawing26.vml"/></Relationships>
</file>

<file path=xl/worksheets/_rels/sheet57.xml.rels><?xml version="1.0" encoding="UTF-8" standalone="yes"?>
<Relationships xmlns="http://schemas.openxmlformats.org/package/2006/relationships"><Relationship Id="rId2" Type="http://schemas.openxmlformats.org/officeDocument/2006/relationships/comments" Target="../comments27.xml"/><Relationship Id="rId1" Type="http://schemas.openxmlformats.org/officeDocument/2006/relationships/vmlDrawing" Target="../drawings/vmlDrawing27.vml"/></Relationships>
</file>

<file path=xl/worksheets/_rels/sheet58.xml.rels><?xml version="1.0" encoding="UTF-8" standalone="yes"?>
<Relationships xmlns="http://schemas.openxmlformats.org/package/2006/relationships"><Relationship Id="rId2" Type="http://schemas.openxmlformats.org/officeDocument/2006/relationships/comments" Target="../comments28.xml"/><Relationship Id="rId1" Type="http://schemas.openxmlformats.org/officeDocument/2006/relationships/vmlDrawing" Target="../drawings/vmlDrawing28.vml"/></Relationships>
</file>

<file path=xl/worksheets/_rels/sheet59.xml.rels><?xml version="1.0" encoding="UTF-8" standalone="yes"?>
<Relationships xmlns="http://schemas.openxmlformats.org/package/2006/relationships"><Relationship Id="rId2" Type="http://schemas.openxmlformats.org/officeDocument/2006/relationships/comments" Target="../comments29.xml"/><Relationship Id="rId1" Type="http://schemas.openxmlformats.org/officeDocument/2006/relationships/vmlDrawing" Target="../drawings/vmlDrawing29.vml"/></Relationships>
</file>

<file path=xl/worksheets/_rels/sheet60.xml.rels><?xml version="1.0" encoding="UTF-8" standalone="yes"?>
<Relationships xmlns="http://schemas.openxmlformats.org/package/2006/relationships"><Relationship Id="rId2" Type="http://schemas.openxmlformats.org/officeDocument/2006/relationships/comments" Target="../comments30.xml"/><Relationship Id="rId1" Type="http://schemas.openxmlformats.org/officeDocument/2006/relationships/vmlDrawing" Target="../drawings/vmlDrawing30.vml"/></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5C7E8-15B0-487D-A338-C356356FB843}">
  <sheetPr>
    <tabColor rgb="FF2F80ED"/>
  </sheetPr>
  <dimension ref="A1:K34"/>
  <sheetViews>
    <sheetView workbookViewId="0">
      <selection sqref="A1:H1"/>
    </sheetView>
  </sheetViews>
  <sheetFormatPr defaultRowHeight="13.2"/>
  <cols>
    <col min="1" max="1" width="18" customWidth="1"/>
    <col min="2" max="2" width="26" customWidth="1"/>
    <col min="3" max="3" width="14" customWidth="1"/>
    <col min="4" max="4" width="18" customWidth="1"/>
    <col min="5" max="5" width="14" customWidth="1"/>
    <col min="6" max="7" width="16" customWidth="1"/>
    <col min="8" max="8" width="40" customWidth="1"/>
    <col min="10" max="10" width="18" customWidth="1"/>
  </cols>
  <sheetData>
    <row r="1" spans="1:11" ht="11.1" customHeight="1">
      <c r="A1" s="553" t="s">
        <v>0</v>
      </c>
      <c r="B1" s="551"/>
      <c r="C1" s="551"/>
      <c r="D1" s="551"/>
      <c r="E1" s="551"/>
      <c r="F1" s="551"/>
      <c r="G1" s="551"/>
      <c r="H1" s="552"/>
      <c r="J1" t="s">
        <v>1</v>
      </c>
    </row>
    <row r="2" spans="1:11">
      <c r="A2" s="181" t="s">
        <v>2</v>
      </c>
      <c r="B2" s="550" t="s">
        <v>3</v>
      </c>
      <c r="C2" s="551"/>
      <c r="D2" s="551"/>
      <c r="E2" s="551"/>
      <c r="F2" s="551"/>
      <c r="G2" s="551"/>
      <c r="H2" s="552"/>
      <c r="J2" t="str">
        <f>PMIS_Data!A3</f>
        <v>01</v>
      </c>
      <c r="K2" t="str">
        <f>PMIS_Data!B3</f>
        <v>B01_Assessment</v>
      </c>
    </row>
    <row r="3" spans="1:11">
      <c r="J3" t="str">
        <f>PMIS_Data!A4</f>
        <v>02</v>
      </c>
      <c r="K3" t="str">
        <f>PMIS_Data!B4</f>
        <v>B02_Assessment</v>
      </c>
    </row>
    <row r="4" spans="1:11" ht="16.95" customHeight="1">
      <c r="A4" s="182" t="s">
        <v>4</v>
      </c>
      <c r="B4" s="182" t="s">
        <v>5</v>
      </c>
      <c r="C4" s="182" t="s">
        <v>6</v>
      </c>
      <c r="D4" s="182" t="s">
        <v>7</v>
      </c>
      <c r="E4" s="182" t="s">
        <v>8</v>
      </c>
      <c r="F4" s="182" t="s">
        <v>9</v>
      </c>
      <c r="G4" s="182" t="s">
        <v>10</v>
      </c>
      <c r="H4" s="182" t="s">
        <v>11</v>
      </c>
      <c r="J4" t="str">
        <f>PMIS_Data!A5</f>
        <v>03</v>
      </c>
      <c r="K4" t="str">
        <f>PMIS_Data!B5</f>
        <v>B03_Assessment</v>
      </c>
    </row>
    <row r="5" spans="1:11">
      <c r="A5" s="197" t="s">
        <v>12</v>
      </c>
      <c r="B5" s="183" t="s">
        <v>13</v>
      </c>
      <c r="C5" s="183">
        <v>3</v>
      </c>
      <c r="D5" s="183" t="str">
        <f>HYPERLINK("#'B01_Assessment'!A1","Open")</f>
        <v>Open</v>
      </c>
      <c r="E5" s="183" t="str">
        <f t="shared" ref="E5:E34" ca="1" si="0">IF(ISREF(INDIRECT("'"&amp;B5&amp;"'!A1")),"Yes","No")</f>
        <v>Yes</v>
      </c>
      <c r="F5" s="183" t="str">
        <f>IF(COUNTIF(PMIS_Data!$B:$B,B5)&gt;0,"Yes","Check")</f>
        <v>Yes</v>
      </c>
      <c r="G5" s="183" t="str">
        <f>IF(COUNTIF(PMIS_Trade_Notes!$C:$C,B5)&gt;0,"Yes","Check")</f>
        <v>Yes</v>
      </c>
      <c r="H5" s="183"/>
      <c r="J5" t="str">
        <f>PMIS_Data!A6</f>
        <v>04</v>
      </c>
      <c r="K5" t="str">
        <f>PMIS_Data!B6</f>
        <v>B04_Assessment</v>
      </c>
    </row>
    <row r="6" spans="1:11">
      <c r="A6" s="197" t="s">
        <v>14</v>
      </c>
      <c r="B6" s="183" t="s">
        <v>15</v>
      </c>
      <c r="C6" s="183">
        <v>4</v>
      </c>
      <c r="D6" s="183" t="str">
        <f>HYPERLINK("#'B02_Assessment'!A1","Open")</f>
        <v>Open</v>
      </c>
      <c r="E6" s="183" t="str">
        <f t="shared" ca="1" si="0"/>
        <v>Yes</v>
      </c>
      <c r="F6" s="183" t="str">
        <f>IF(COUNTIF(PMIS_Data!$B:$B,B6)&gt;0,"Yes","Check")</f>
        <v>Yes</v>
      </c>
      <c r="G6" s="183" t="str">
        <f>IF(COUNTIF(PMIS_Trade_Notes!$C:$C,B6)&gt;0,"Yes","Check")</f>
        <v>Yes</v>
      </c>
      <c r="H6" s="183"/>
      <c r="J6" t="str">
        <f>PMIS_Data!A7</f>
        <v>05</v>
      </c>
      <c r="K6" t="str">
        <f>PMIS_Data!B7</f>
        <v>B05_Assessment</v>
      </c>
    </row>
    <row r="7" spans="1:11">
      <c r="A7" s="197" t="s">
        <v>16</v>
      </c>
      <c r="B7" s="183" t="s">
        <v>17</v>
      </c>
      <c r="C7" s="183">
        <v>5</v>
      </c>
      <c r="D7" s="183" t="str">
        <f>HYPERLINK("#'B03_Assessment'!A1","Open")</f>
        <v>Open</v>
      </c>
      <c r="E7" s="183" t="str">
        <f t="shared" ca="1" si="0"/>
        <v>Yes</v>
      </c>
      <c r="F7" s="183" t="str">
        <f>IF(COUNTIF(PMIS_Data!$B:$B,B7)&gt;0,"Yes","Check")</f>
        <v>Yes</v>
      </c>
      <c r="G7" s="183" t="str">
        <f>IF(COUNTIF(PMIS_Trade_Notes!$C:$C,B7)&gt;0,"Yes","Check")</f>
        <v>Yes</v>
      </c>
      <c r="H7" s="183"/>
      <c r="J7" t="str">
        <f>PMIS_Data!A8</f>
        <v>06</v>
      </c>
      <c r="K7" t="str">
        <f>PMIS_Data!B8</f>
        <v>B06_Assessment</v>
      </c>
    </row>
    <row r="8" spans="1:11">
      <c r="A8" s="197" t="s">
        <v>18</v>
      </c>
      <c r="B8" s="183" t="s">
        <v>19</v>
      </c>
      <c r="C8" s="183">
        <v>6</v>
      </c>
      <c r="D8" s="183" t="str">
        <f>HYPERLINK("#'B04_Assessment'!A1","Open")</f>
        <v>Open</v>
      </c>
      <c r="E8" s="183" t="str">
        <f t="shared" ca="1" si="0"/>
        <v>Yes</v>
      </c>
      <c r="F8" s="183" t="str">
        <f>IF(COUNTIF(PMIS_Data!$B:$B,B8)&gt;0,"Yes","Check")</f>
        <v>Yes</v>
      </c>
      <c r="G8" s="183" t="str">
        <f>IF(COUNTIF(PMIS_Trade_Notes!$C:$C,B8)&gt;0,"Yes","Check")</f>
        <v>Yes</v>
      </c>
      <c r="H8" s="183"/>
      <c r="J8" t="str">
        <f>PMIS_Data!A9</f>
        <v>07</v>
      </c>
      <c r="K8" t="str">
        <f>PMIS_Data!B9</f>
        <v>B07_Assessment</v>
      </c>
    </row>
    <row r="9" spans="1:11">
      <c r="A9" s="197" t="s">
        <v>20</v>
      </c>
      <c r="B9" s="183" t="s">
        <v>21</v>
      </c>
      <c r="C9" s="183">
        <v>7</v>
      </c>
      <c r="D9" s="183" t="str">
        <f>HYPERLINK("#'B05_Assessment'!A1","Open")</f>
        <v>Open</v>
      </c>
      <c r="E9" s="183" t="str">
        <f t="shared" ca="1" si="0"/>
        <v>Yes</v>
      </c>
      <c r="F9" s="183" t="str">
        <f>IF(COUNTIF(PMIS_Data!$B:$B,B9)&gt;0,"Yes","Check")</f>
        <v>Yes</v>
      </c>
      <c r="G9" s="183" t="str">
        <f>IF(COUNTIF(PMIS_Trade_Notes!$C:$C,B9)&gt;0,"Yes","Check")</f>
        <v>Yes</v>
      </c>
      <c r="H9" s="183"/>
      <c r="J9" t="str">
        <f>PMIS_Data!A10</f>
        <v>08</v>
      </c>
      <c r="K9" t="str">
        <f>PMIS_Data!B10</f>
        <v>B08_Assessment</v>
      </c>
    </row>
    <row r="10" spans="1:11">
      <c r="A10" s="197" t="s">
        <v>22</v>
      </c>
      <c r="B10" s="183" t="s">
        <v>23</v>
      </c>
      <c r="C10" s="183">
        <v>8</v>
      </c>
      <c r="D10" s="183" t="str">
        <f>HYPERLINK("#'B06_Assessment'!A1","Open")</f>
        <v>Open</v>
      </c>
      <c r="E10" s="183" t="str">
        <f t="shared" ca="1" si="0"/>
        <v>Yes</v>
      </c>
      <c r="F10" s="183" t="str">
        <f>IF(COUNTIF(PMIS_Data!$B:$B,B10)&gt;0,"Yes","Check")</f>
        <v>Yes</v>
      </c>
      <c r="G10" s="183" t="str">
        <f>IF(COUNTIF(PMIS_Trade_Notes!$C:$C,B10)&gt;0,"Yes","Check")</f>
        <v>Yes</v>
      </c>
      <c r="H10" s="183"/>
      <c r="J10" t="str">
        <f>PMIS_Data!A11</f>
        <v>09</v>
      </c>
      <c r="K10" t="str">
        <f>PMIS_Data!B11</f>
        <v>B09_Assessment</v>
      </c>
    </row>
    <row r="11" spans="1:11">
      <c r="A11" s="197" t="s">
        <v>24</v>
      </c>
      <c r="B11" s="183" t="s">
        <v>25</v>
      </c>
      <c r="C11" s="183">
        <v>9</v>
      </c>
      <c r="D11" s="183" t="str">
        <f>HYPERLINK("#'B07_Assessment'!A1","Open")</f>
        <v>Open</v>
      </c>
      <c r="E11" s="183" t="str">
        <f t="shared" ca="1" si="0"/>
        <v>Yes</v>
      </c>
      <c r="F11" s="183" t="str">
        <f>IF(COUNTIF(PMIS_Data!$B:$B,B11)&gt;0,"Yes","Check")</f>
        <v>Yes</v>
      </c>
      <c r="G11" s="183" t="str">
        <f>IF(COUNTIF(PMIS_Trade_Notes!$C:$C,B11)&gt;0,"Yes","Check")</f>
        <v>Yes</v>
      </c>
      <c r="H11" s="183"/>
      <c r="J11" t="str">
        <f>PMIS_Data!A12</f>
        <v>10</v>
      </c>
      <c r="K11" t="str">
        <f>PMIS_Data!B12</f>
        <v>B10_Assessment</v>
      </c>
    </row>
    <row r="12" spans="1:11">
      <c r="A12" s="197" t="s">
        <v>26</v>
      </c>
      <c r="B12" s="183" t="s">
        <v>27</v>
      </c>
      <c r="C12" s="183">
        <v>10</v>
      </c>
      <c r="D12" s="183" t="str">
        <f>HYPERLINK("#'B08_Assessment'!A1","Open")</f>
        <v>Open</v>
      </c>
      <c r="E12" s="183" t="str">
        <f t="shared" ca="1" si="0"/>
        <v>Yes</v>
      </c>
      <c r="F12" s="183" t="str">
        <f>IF(COUNTIF(PMIS_Data!$B:$B,B12)&gt;0,"Yes","Check")</f>
        <v>Yes</v>
      </c>
      <c r="G12" s="183" t="str">
        <f>IF(COUNTIF(PMIS_Trade_Notes!$C:$C,B12)&gt;0,"Yes","Check")</f>
        <v>Yes</v>
      </c>
      <c r="H12" s="183"/>
      <c r="J12" t="str">
        <f>PMIS_Data!A13</f>
        <v>12</v>
      </c>
      <c r="K12" t="str">
        <f>PMIS_Data!B13</f>
        <v>B12_Assessment</v>
      </c>
    </row>
    <row r="13" spans="1:11">
      <c r="A13" s="197" t="s">
        <v>28</v>
      </c>
      <c r="B13" s="183" t="s">
        <v>29</v>
      </c>
      <c r="C13" s="183">
        <v>11</v>
      </c>
      <c r="D13" s="183" t="str">
        <f>HYPERLINK("#'B09_Assessment'!A1","Open")</f>
        <v>Open</v>
      </c>
      <c r="E13" s="183" t="str">
        <f t="shared" ca="1" si="0"/>
        <v>Yes</v>
      </c>
      <c r="F13" s="183" t="str">
        <f>IF(COUNTIF(PMIS_Data!$B:$B,B13)&gt;0,"Yes","Check")</f>
        <v>Yes</v>
      </c>
      <c r="G13" s="183" t="str">
        <f>IF(COUNTIF(PMIS_Trade_Notes!$C:$C,B13)&gt;0,"Yes","Check")</f>
        <v>Yes</v>
      </c>
      <c r="H13" s="183"/>
      <c r="J13" t="str">
        <f>PMIS_Data!A14</f>
        <v>13</v>
      </c>
      <c r="K13" t="str">
        <f>PMIS_Data!B14</f>
        <v>B13_Assessment</v>
      </c>
    </row>
    <row r="14" spans="1:11">
      <c r="A14" s="197" t="s">
        <v>30</v>
      </c>
      <c r="B14" s="183" t="s">
        <v>31</v>
      </c>
      <c r="C14" s="183">
        <v>12</v>
      </c>
      <c r="D14" s="183" t="str">
        <f>HYPERLINK("#'B10_Assessment'!A1","Open")</f>
        <v>Open</v>
      </c>
      <c r="E14" s="183" t="str">
        <f t="shared" ca="1" si="0"/>
        <v>Yes</v>
      </c>
      <c r="F14" s="183" t="str">
        <f>IF(COUNTIF(PMIS_Data!$B:$B,B14)&gt;0,"Yes","Check")</f>
        <v>Yes</v>
      </c>
      <c r="G14" s="183" t="str">
        <f>IF(COUNTIF(PMIS_Trade_Notes!$C:$C,B14)&gt;0,"Yes","Check")</f>
        <v>Yes</v>
      </c>
      <c r="H14" s="183"/>
      <c r="J14" t="str">
        <f>PMIS_Data!A15</f>
        <v>14</v>
      </c>
      <c r="K14" t="str">
        <f>PMIS_Data!B15</f>
        <v>B14_Assessment</v>
      </c>
    </row>
    <row r="15" spans="1:11">
      <c r="A15" s="197" t="s">
        <v>32</v>
      </c>
      <c r="B15" s="183" t="s">
        <v>33</v>
      </c>
      <c r="C15" s="183">
        <v>13</v>
      </c>
      <c r="D15" s="183" t="str">
        <f>HYPERLINK("#'B12_Assessment'!A1","Open")</f>
        <v>Open</v>
      </c>
      <c r="E15" s="183" t="str">
        <f t="shared" ca="1" si="0"/>
        <v>Yes</v>
      </c>
      <c r="F15" s="183" t="str">
        <f>IF(COUNTIF(PMIS_Data!$B:$B,B15)&gt;0,"Yes","Check")</f>
        <v>Yes</v>
      </c>
      <c r="G15" s="183" t="str">
        <f>IF(COUNTIF(PMIS_Trade_Notes!$C:$C,B15)&gt;0,"Yes","Check")</f>
        <v>Yes</v>
      </c>
      <c r="H15" s="183"/>
      <c r="J15" t="str">
        <f>PMIS_Data!A16</f>
        <v>15</v>
      </c>
      <c r="K15" t="str">
        <f>PMIS_Data!B16</f>
        <v>B15_Assessment</v>
      </c>
    </row>
    <row r="16" spans="1:11">
      <c r="A16" s="197" t="s">
        <v>34</v>
      </c>
      <c r="B16" s="183" t="s">
        <v>35</v>
      </c>
      <c r="C16" s="183">
        <v>14</v>
      </c>
      <c r="D16" s="183" t="str">
        <f>HYPERLINK("#'B13_Assessment'!A1","Open")</f>
        <v>Open</v>
      </c>
      <c r="E16" s="183" t="str">
        <f t="shared" ca="1" si="0"/>
        <v>Yes</v>
      </c>
      <c r="F16" s="183" t="str">
        <f>IF(COUNTIF(PMIS_Data!$B:$B,B16)&gt;0,"Yes","Check")</f>
        <v>Yes</v>
      </c>
      <c r="G16" s="183" t="str">
        <f>IF(COUNTIF(PMIS_Trade_Notes!$C:$C,B16)&gt;0,"Yes","Check")</f>
        <v>Yes</v>
      </c>
      <c r="H16" s="183"/>
      <c r="J16" t="str">
        <f>PMIS_Data!A17</f>
        <v>16</v>
      </c>
      <c r="K16" t="str">
        <f>PMIS_Data!B17</f>
        <v>B16_Assessment</v>
      </c>
    </row>
    <row r="17" spans="1:11">
      <c r="A17" s="197" t="s">
        <v>36</v>
      </c>
      <c r="B17" s="183" t="s">
        <v>37</v>
      </c>
      <c r="C17" s="183">
        <v>15</v>
      </c>
      <c r="D17" s="183" t="str">
        <f>HYPERLINK("#'B14_Assessment'!A1","Open")</f>
        <v>Open</v>
      </c>
      <c r="E17" s="183" t="str">
        <f t="shared" ca="1" si="0"/>
        <v>Yes</v>
      </c>
      <c r="F17" s="183" t="str">
        <f>IF(COUNTIF(PMIS_Data!$B:$B,B17)&gt;0,"Yes","Check")</f>
        <v>Yes</v>
      </c>
      <c r="G17" s="183" t="str">
        <f>IF(COUNTIF(PMIS_Trade_Notes!$C:$C,B17)&gt;0,"Yes","Check")</f>
        <v>Yes</v>
      </c>
      <c r="H17" s="183"/>
      <c r="J17" t="str">
        <f>PMIS_Data!A18</f>
        <v>17</v>
      </c>
      <c r="K17" t="str">
        <f>PMIS_Data!B18</f>
        <v>B17_Assessment</v>
      </c>
    </row>
    <row r="18" spans="1:11">
      <c r="A18" s="197" t="s">
        <v>38</v>
      </c>
      <c r="B18" s="183" t="s">
        <v>39</v>
      </c>
      <c r="C18" s="183">
        <v>16</v>
      </c>
      <c r="D18" s="183" t="str">
        <f>HYPERLINK("#'B15_Assessment'!A1","Open")</f>
        <v>Open</v>
      </c>
      <c r="E18" s="183" t="str">
        <f t="shared" ca="1" si="0"/>
        <v>Yes</v>
      </c>
      <c r="F18" s="183" t="str">
        <f>IF(COUNTIF(PMIS_Data!$B:$B,B18)&gt;0,"Yes","Check")</f>
        <v>Yes</v>
      </c>
      <c r="G18" s="183" t="str">
        <f>IF(COUNTIF(PMIS_Trade_Notes!$C:$C,B18)&gt;0,"Yes","Check")</f>
        <v>Yes</v>
      </c>
      <c r="H18" s="183"/>
      <c r="J18" t="str">
        <f>PMIS_Data!A19</f>
        <v>18</v>
      </c>
      <c r="K18" t="str">
        <f>PMIS_Data!B19</f>
        <v>B18_Assessment</v>
      </c>
    </row>
    <row r="19" spans="1:11">
      <c r="A19" s="197" t="s">
        <v>40</v>
      </c>
      <c r="B19" s="183" t="s">
        <v>41</v>
      </c>
      <c r="C19" s="183">
        <v>17</v>
      </c>
      <c r="D19" s="183" t="str">
        <f>HYPERLINK("#'B16_Assessment'!A1","Open")</f>
        <v>Open</v>
      </c>
      <c r="E19" s="183" t="str">
        <f t="shared" ca="1" si="0"/>
        <v>Yes</v>
      </c>
      <c r="F19" s="183" t="str">
        <f>IF(COUNTIF(PMIS_Data!$B:$B,B19)&gt;0,"Yes","Check")</f>
        <v>Yes</v>
      </c>
      <c r="G19" s="183" t="str">
        <f>IF(COUNTIF(PMIS_Trade_Notes!$C:$C,B19)&gt;0,"Yes","Check")</f>
        <v>Yes</v>
      </c>
      <c r="H19" s="183"/>
      <c r="J19" t="str">
        <f>PMIS_Data!A20</f>
        <v>20</v>
      </c>
      <c r="K19" t="str">
        <f>PMIS_Data!B20</f>
        <v>B20_Assessment</v>
      </c>
    </row>
    <row r="20" spans="1:11">
      <c r="A20" s="197" t="s">
        <v>42</v>
      </c>
      <c r="B20" s="183" t="s">
        <v>43</v>
      </c>
      <c r="C20" s="183">
        <v>18</v>
      </c>
      <c r="D20" s="183" t="str">
        <f>HYPERLINK("#'B17_Assessment'!A1","Open")</f>
        <v>Open</v>
      </c>
      <c r="E20" s="183" t="str">
        <f t="shared" ca="1" si="0"/>
        <v>Yes</v>
      </c>
      <c r="F20" s="183" t="str">
        <f>IF(COUNTIF(PMIS_Data!$B:$B,B20)&gt;0,"Yes","Check")</f>
        <v>Yes</v>
      </c>
      <c r="G20" s="183" t="str">
        <f>IF(COUNTIF(PMIS_Trade_Notes!$C:$C,B20)&gt;0,"Yes","Check")</f>
        <v>Yes</v>
      </c>
      <c r="H20" s="183"/>
      <c r="J20" t="str">
        <f>PMIS_Data!A21</f>
        <v>21</v>
      </c>
      <c r="K20" t="str">
        <f>PMIS_Data!B21</f>
        <v>B21_Assessment</v>
      </c>
    </row>
    <row r="21" spans="1:11">
      <c r="A21" s="197" t="s">
        <v>44</v>
      </c>
      <c r="B21" s="183" t="s">
        <v>45</v>
      </c>
      <c r="C21" s="183">
        <v>19</v>
      </c>
      <c r="D21" s="183" t="str">
        <f>HYPERLINK("#'B18_Assessment'!A1","Open")</f>
        <v>Open</v>
      </c>
      <c r="E21" s="183" t="str">
        <f t="shared" ca="1" si="0"/>
        <v>Yes</v>
      </c>
      <c r="F21" s="183" t="str">
        <f>IF(COUNTIF(PMIS_Data!$B:$B,B21)&gt;0,"Yes","Check")</f>
        <v>Yes</v>
      </c>
      <c r="G21" s="183" t="str">
        <f>IF(COUNTIF(PMIS_Trade_Notes!$C:$C,B21)&gt;0,"Yes","Check")</f>
        <v>Yes</v>
      </c>
      <c r="H21" s="183"/>
      <c r="J21" t="str">
        <f>PMIS_Data!A22</f>
        <v>22</v>
      </c>
      <c r="K21" t="str">
        <f>PMIS_Data!B22</f>
        <v>B22_Assessment</v>
      </c>
    </row>
    <row r="22" spans="1:11">
      <c r="A22" s="197" t="s">
        <v>46</v>
      </c>
      <c r="B22" s="183" t="s">
        <v>47</v>
      </c>
      <c r="C22" s="183">
        <v>20</v>
      </c>
      <c r="D22" s="183" t="str">
        <f>HYPERLINK("#'B20_Assessment'!A1","Open")</f>
        <v>Open</v>
      </c>
      <c r="E22" s="183" t="str">
        <f t="shared" ca="1" si="0"/>
        <v>Yes</v>
      </c>
      <c r="F22" s="183" t="str">
        <f>IF(COUNTIF(PMIS_Data!$B:$B,B22)&gt;0,"Yes","Check")</f>
        <v>Yes</v>
      </c>
      <c r="G22" s="183" t="str">
        <f>IF(COUNTIF(PMIS_Trade_Notes!$C:$C,B22)&gt;0,"Yes","Check")</f>
        <v>Yes</v>
      </c>
      <c r="H22" s="183"/>
      <c r="J22" t="str">
        <f>PMIS_Data!A23</f>
        <v>33</v>
      </c>
      <c r="K22" t="str">
        <f>PMIS_Data!B23</f>
        <v>B33_Assessment</v>
      </c>
    </row>
    <row r="23" spans="1:11">
      <c r="A23" s="197" t="s">
        <v>48</v>
      </c>
      <c r="B23" s="183" t="s">
        <v>49</v>
      </c>
      <c r="C23" s="183">
        <v>21</v>
      </c>
      <c r="D23" s="183" t="str">
        <f>HYPERLINK("#'B21_Assessment'!A1","Open")</f>
        <v>Open</v>
      </c>
      <c r="E23" s="183" t="str">
        <f t="shared" ca="1" si="0"/>
        <v>Yes</v>
      </c>
      <c r="F23" s="183" t="str">
        <f>IF(COUNTIF(PMIS_Data!$B:$B,B23)&gt;0,"Yes","Check")</f>
        <v>Yes</v>
      </c>
      <c r="G23" s="183" t="str">
        <f>IF(COUNTIF(PMIS_Trade_Notes!$C:$C,B23)&gt;0,"Yes","Check")</f>
        <v>Yes</v>
      </c>
      <c r="H23" s="183"/>
      <c r="J23" t="str">
        <f>PMIS_Data!A24</f>
        <v>61</v>
      </c>
      <c r="K23" t="str">
        <f>PMIS_Data!B24</f>
        <v>B61_Assessment</v>
      </c>
    </row>
    <row r="24" spans="1:11">
      <c r="A24" s="197" t="s">
        <v>50</v>
      </c>
      <c r="B24" s="183" t="s">
        <v>51</v>
      </c>
      <c r="C24" s="183">
        <v>22</v>
      </c>
      <c r="D24" s="183" t="str">
        <f>HYPERLINK("#'B22_Assessment'!A1","Open")</f>
        <v>Open</v>
      </c>
      <c r="E24" s="183" t="str">
        <f t="shared" ca="1" si="0"/>
        <v>Yes</v>
      </c>
      <c r="F24" s="183" t="str">
        <f>IF(COUNTIF(PMIS_Data!$B:$B,B24)&gt;0,"Yes","Check")</f>
        <v>Yes</v>
      </c>
      <c r="G24" s="183" t="str">
        <f>IF(COUNTIF(PMIS_Trade_Notes!$C:$C,B24)&gt;0,"Yes","Check")</f>
        <v>Yes</v>
      </c>
      <c r="H24" s="183"/>
      <c r="J24" t="str">
        <f>PMIS_Data!A25</f>
        <v>62</v>
      </c>
      <c r="K24" t="str">
        <f>PMIS_Data!B25</f>
        <v>B62_TR_Assessment</v>
      </c>
    </row>
    <row r="25" spans="1:11">
      <c r="A25" s="197" t="s">
        <v>52</v>
      </c>
      <c r="B25" s="183" t="s">
        <v>53</v>
      </c>
      <c r="C25" s="183">
        <v>23</v>
      </c>
      <c r="D25" s="183" t="str">
        <f>HYPERLINK("#'B33_Assessment'!A1","Open")</f>
        <v>Open</v>
      </c>
      <c r="E25" s="183" t="str">
        <f t="shared" ca="1" si="0"/>
        <v>Yes</v>
      </c>
      <c r="F25" s="183" t="str">
        <f>IF(COUNTIF(PMIS_Data!$B:$B,B25)&gt;0,"Yes","Check")</f>
        <v>Yes</v>
      </c>
      <c r="G25" s="183" t="str">
        <f>IF(COUNTIF(PMIS_Trade_Notes!$C:$C,B25)&gt;0,"Yes","Check")</f>
        <v>Yes</v>
      </c>
      <c r="H25" s="183"/>
      <c r="J25" t="str">
        <f>PMIS_Data!A26</f>
        <v>70</v>
      </c>
      <c r="K25" t="str">
        <f>PMIS_Data!B26</f>
        <v>B70_TR_Assessment</v>
      </c>
    </row>
    <row r="26" spans="1:11">
      <c r="A26" s="197" t="s">
        <v>54</v>
      </c>
      <c r="B26" s="183" t="s">
        <v>55</v>
      </c>
      <c r="C26" s="183">
        <v>24</v>
      </c>
      <c r="D26" s="183" t="str">
        <f>HYPERLINK("#'B61_Assessment'!A1","Open")</f>
        <v>Open</v>
      </c>
      <c r="E26" s="183" t="str">
        <f t="shared" ca="1" si="0"/>
        <v>Yes</v>
      </c>
      <c r="F26" s="183" t="str">
        <f>IF(COUNTIF(PMIS_Data!$B:$B,B26)&gt;0,"Yes","Check")</f>
        <v>Yes</v>
      </c>
      <c r="G26" s="183" t="str">
        <f>IF(COUNTIF(PMIS_Trade_Notes!$C:$C,B26)&gt;0,"Yes","Check")</f>
        <v>Yes</v>
      </c>
      <c r="H26" s="183"/>
      <c r="J26" t="str">
        <f>PMIS_Data!A27</f>
        <v>78</v>
      </c>
      <c r="K26" t="str">
        <f>PMIS_Data!B27</f>
        <v>B78_Assessment</v>
      </c>
    </row>
    <row r="27" spans="1:11">
      <c r="A27" s="197" t="s">
        <v>56</v>
      </c>
      <c r="B27" s="183" t="s">
        <v>57</v>
      </c>
      <c r="C27" s="183">
        <v>25</v>
      </c>
      <c r="D27" s="183" t="str">
        <f>HYPERLINK("#'B62_TR_Assessment'!A1","Open")</f>
        <v>Open</v>
      </c>
      <c r="E27" s="183" t="str">
        <f t="shared" ca="1" si="0"/>
        <v>Yes</v>
      </c>
      <c r="F27" s="183" t="str">
        <f>IF(COUNTIF(PMIS_Data!$B:$B,B27)&gt;0,"Yes","Check")</f>
        <v>Yes</v>
      </c>
      <c r="G27" s="183" t="str">
        <f>IF(COUNTIF(PMIS_Trade_Notes!$C:$C,B27)&gt;0,"Yes","Check")</f>
        <v>Yes</v>
      </c>
      <c r="H27" s="183"/>
      <c r="J27" t="str">
        <f>PMIS_Data!A28</f>
        <v>80</v>
      </c>
      <c r="K27" t="str">
        <f>PMIS_Data!B28</f>
        <v>B80_Assessment</v>
      </c>
    </row>
    <row r="28" spans="1:11">
      <c r="A28" s="197" t="s">
        <v>58</v>
      </c>
      <c r="B28" s="183" t="s">
        <v>59</v>
      </c>
      <c r="C28" s="183">
        <v>26</v>
      </c>
      <c r="D28" s="183" t="str">
        <f>HYPERLINK("#'B70_TR_Assessment'!A1","Open")</f>
        <v>Open</v>
      </c>
      <c r="E28" s="183" t="str">
        <f t="shared" ca="1" si="0"/>
        <v>Yes</v>
      </c>
      <c r="F28" s="183" t="str">
        <f>IF(COUNTIF(PMIS_Data!$B:$B,B28)&gt;0,"Yes","Check")</f>
        <v>Yes</v>
      </c>
      <c r="G28" s="183" t="str">
        <f>IF(COUNTIF(PMIS_Trade_Notes!$C:$C,B28)&gt;0,"Yes","Check")</f>
        <v>Yes</v>
      </c>
      <c r="H28" s="183"/>
      <c r="J28" t="str">
        <f>PMIS_Data!A29</f>
        <v>82</v>
      </c>
      <c r="K28" t="str">
        <f>PMIS_Data!B29</f>
        <v>B82_Assessment</v>
      </c>
    </row>
    <row r="29" spans="1:11">
      <c r="A29" s="197" t="s">
        <v>60</v>
      </c>
      <c r="B29" s="183" t="s">
        <v>61</v>
      </c>
      <c r="C29" s="183">
        <v>27</v>
      </c>
      <c r="D29" s="183" t="str">
        <f>HYPERLINK("#'B78_Assessment'!A1","Open")</f>
        <v>Open</v>
      </c>
      <c r="E29" s="183" t="str">
        <f t="shared" ca="1" si="0"/>
        <v>Yes</v>
      </c>
      <c r="F29" s="183" t="str">
        <f>IF(COUNTIF(PMIS_Data!$B:$B,B29)&gt;0,"Yes","Check")</f>
        <v>Yes</v>
      </c>
      <c r="G29" s="183" t="str">
        <f>IF(COUNTIF(PMIS_Trade_Notes!$C:$C,B29)&gt;0,"Yes","Check")</f>
        <v>Yes</v>
      </c>
      <c r="H29" s="183"/>
      <c r="J29" t="str">
        <f>PMIS_Data!A30</f>
        <v>BCH</v>
      </c>
      <c r="K29" t="str">
        <f>PMIS_Data!B30</f>
        <v>BCH_Assessment</v>
      </c>
    </row>
    <row r="30" spans="1:11">
      <c r="A30" s="197" t="s">
        <v>62</v>
      </c>
      <c r="B30" s="183" t="s">
        <v>63</v>
      </c>
      <c r="C30" s="183">
        <v>28</v>
      </c>
      <c r="D30" s="183" t="str">
        <f>HYPERLINK("#'B80_Assessment'!A1","Open")</f>
        <v>Open</v>
      </c>
      <c r="E30" s="183" t="str">
        <f t="shared" ca="1" si="0"/>
        <v>Yes</v>
      </c>
      <c r="F30" s="183" t="str">
        <f>IF(COUNTIF(PMIS_Data!$B:$B,B30)&gt;0,"Yes","Check")</f>
        <v>Yes</v>
      </c>
      <c r="G30" s="183" t="str">
        <f>IF(COUNTIF(PMIS_Trade_Notes!$C:$C,B30)&gt;0,"Yes","Check")</f>
        <v>Yes</v>
      </c>
      <c r="H30" s="183"/>
      <c r="J30" t="str">
        <f>PMIS_Data!A31</f>
        <v>MCR</v>
      </c>
      <c r="K30" t="str">
        <f>PMIS_Data!B31</f>
        <v>MCR_Assessment</v>
      </c>
    </row>
    <row r="31" spans="1:11">
      <c r="A31" s="197" t="s">
        <v>64</v>
      </c>
      <c r="B31" s="183" t="s">
        <v>65</v>
      </c>
      <c r="C31" s="183">
        <v>29</v>
      </c>
      <c r="D31" s="183" t="str">
        <f>HYPERLINK("#'B82_Assessment'!A1","Open")</f>
        <v>Open</v>
      </c>
      <c r="E31" s="183" t="str">
        <f t="shared" ca="1" si="0"/>
        <v>Yes</v>
      </c>
      <c r="F31" s="183" t="str">
        <f>IF(COUNTIF(PMIS_Data!$B:$B,B31)&gt;0,"Yes","Check")</f>
        <v>Yes</v>
      </c>
      <c r="G31" s="183" t="str">
        <f>IF(COUNTIF(PMIS_Trade_Notes!$C:$C,B31)&gt;0,"Yes","Check")</f>
        <v>Yes</v>
      </c>
      <c r="H31" s="183"/>
      <c r="J31" t="str">
        <f>PMIS_Data!A32</f>
        <v>SITE</v>
      </c>
      <c r="K31" t="str">
        <f>PMIS_Data!B32</f>
        <v>SITE_Assesment</v>
      </c>
    </row>
    <row r="32" spans="1:11">
      <c r="A32" s="183" t="s">
        <v>66</v>
      </c>
      <c r="B32" s="183" t="s">
        <v>67</v>
      </c>
      <c r="C32" s="183">
        <v>30</v>
      </c>
      <c r="D32" s="183" t="str">
        <f>HYPERLINK("#'BCH_Assessment'!A1","Open")</f>
        <v>Open</v>
      </c>
      <c r="E32" s="183" t="str">
        <f t="shared" ca="1" si="0"/>
        <v>Yes</v>
      </c>
      <c r="F32" s="183" t="str">
        <f>IF(COUNTIF(PMIS_Data!$B:$B,B32)&gt;0,"Yes","Check")</f>
        <v>Yes</v>
      </c>
      <c r="G32" s="183" t="str">
        <f>IF(COUNTIF(PMIS_Trade_Notes!$C:$C,B32)&gt;0,"Yes","Check")</f>
        <v>Yes</v>
      </c>
      <c r="H32" s="183"/>
    </row>
    <row r="33" spans="1:8">
      <c r="A33" s="183" t="s">
        <v>68</v>
      </c>
      <c r="B33" s="183" t="s">
        <v>69</v>
      </c>
      <c r="C33" s="183">
        <v>31</v>
      </c>
      <c r="D33" s="183" t="str">
        <f>HYPERLINK("#'MCR_Assessment'!A1","Open")</f>
        <v>Open</v>
      </c>
      <c r="E33" s="183" t="str">
        <f t="shared" ca="1" si="0"/>
        <v>Yes</v>
      </c>
      <c r="F33" s="183" t="str">
        <f>IF(COUNTIF(PMIS_Data!$B:$B,B33)&gt;0,"Yes","Check")</f>
        <v>Yes</v>
      </c>
      <c r="G33" s="183" t="str">
        <f>IF(COUNTIF(PMIS_Trade_Notes!$C:$C,B33)&gt;0,"Yes","Check")</f>
        <v>Yes</v>
      </c>
      <c r="H33" s="183"/>
    </row>
    <row r="34" spans="1:8">
      <c r="A34" s="183" t="s">
        <v>70</v>
      </c>
      <c r="B34" s="197" t="s">
        <v>71</v>
      </c>
      <c r="C34" s="183">
        <v>32</v>
      </c>
      <c r="D34" s="183" t="str">
        <f>HYPERLINK("#'SITE_Assesment'!A1","Open")</f>
        <v>Open</v>
      </c>
      <c r="E34" s="183" t="str">
        <f t="shared" ca="1" si="0"/>
        <v>Yes</v>
      </c>
      <c r="F34" s="183" t="str">
        <f>IF(COUNTIF(PMIS_Data!$B:$B,B34)&gt;0,"Yes","Check")</f>
        <v>Yes</v>
      </c>
      <c r="G34" s="183" t="str">
        <f>IF(COUNTIF(PMIS_Trade_Notes!$C:$C,B34)&gt;0,"Yes","Check")</f>
        <v>Yes</v>
      </c>
      <c r="H34" s="183"/>
    </row>
  </sheetData>
  <mergeCells count="2">
    <mergeCell ref="B2:H2"/>
    <mergeCell ref="A1:H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0975D-2B7F-4EC7-B183-999CB46BFF0D}">
  <sheetPr>
    <tabColor rgb="FF2E7D32"/>
  </sheetPr>
  <dimension ref="A1:H18"/>
  <sheetViews>
    <sheetView workbookViewId="0">
      <selection sqref="A1:H1"/>
    </sheetView>
  </sheetViews>
  <sheetFormatPr defaultRowHeight="13.2"/>
  <cols>
    <col min="1" max="1" width="28" customWidth="1"/>
    <col min="2" max="2" width="22" customWidth="1"/>
    <col min="3" max="3" width="18" customWidth="1"/>
    <col min="4" max="4" width="14" customWidth="1"/>
    <col min="5" max="5" width="70" customWidth="1"/>
  </cols>
  <sheetData>
    <row r="1" spans="1:8" ht="11.1" customHeight="1">
      <c r="A1" s="553" t="s">
        <v>72</v>
      </c>
      <c r="B1" s="551"/>
      <c r="C1" s="551"/>
      <c r="D1" s="551"/>
      <c r="E1" s="551"/>
      <c r="F1" s="551"/>
      <c r="G1" s="551"/>
      <c r="H1" s="552"/>
    </row>
    <row r="2" spans="1:8">
      <c r="A2" s="181" t="s">
        <v>2</v>
      </c>
      <c r="B2" s="550" t="s">
        <v>73</v>
      </c>
      <c r="C2" s="551"/>
      <c r="D2" s="551"/>
      <c r="E2" s="551"/>
      <c r="F2" s="551"/>
      <c r="G2" s="551"/>
      <c r="H2" s="552"/>
    </row>
    <row r="4" spans="1:8">
      <c r="A4" s="182" t="s">
        <v>74</v>
      </c>
      <c r="B4" s="182" t="s">
        <v>75</v>
      </c>
      <c r="C4" s="182" t="s">
        <v>76</v>
      </c>
      <c r="D4" s="182" t="s">
        <v>77</v>
      </c>
      <c r="E4" s="182" t="s">
        <v>11</v>
      </c>
    </row>
    <row r="5" spans="1:8">
      <c r="A5" s="183" t="s">
        <v>78</v>
      </c>
      <c r="B5" s="183">
        <f>COUNTA(PMIS_Config!B5:B34)</f>
        <v>30</v>
      </c>
      <c r="C5" s="183">
        <f>30</f>
        <v>30</v>
      </c>
      <c r="D5" s="183" t="str">
        <f>IF(B5&gt;=C5,"OK","CHECK")</f>
        <v>OK</v>
      </c>
      <c r="E5" s="183" t="s">
        <v>79</v>
      </c>
    </row>
    <row r="6" spans="1:8">
      <c r="A6" s="183" t="s">
        <v>80</v>
      </c>
      <c r="B6" s="183">
        <f>COUNTA(PMIS_Data!A3:A44)</f>
        <v>30</v>
      </c>
      <c r="C6" s="183">
        <f>30</f>
        <v>30</v>
      </c>
      <c r="D6" s="183" t="str">
        <f>IF(B6&gt;=C6,"OK","CHECK")</f>
        <v>OK</v>
      </c>
      <c r="E6" s="183" t="s">
        <v>81</v>
      </c>
    </row>
    <row r="7" spans="1:8">
      <c r="A7" s="183" t="s">
        <v>82</v>
      </c>
      <c r="B7" s="183">
        <f>COUNTA(PMIS_Trade_Notes!A2:A100)</f>
        <v>33</v>
      </c>
      <c r="C7" s="183">
        <f>30</f>
        <v>30</v>
      </c>
      <c r="D7" s="183" t="str">
        <f>IF(B7&gt;=C7,"OK","CHECK")</f>
        <v>OK</v>
      </c>
      <c r="E7" s="183" t="s">
        <v>83</v>
      </c>
    </row>
    <row r="8" spans="1:8" ht="16.95" customHeight="1">
      <c r="A8" s="183" t="s">
        <v>84</v>
      </c>
      <c r="B8" s="183" t="str">
        <f>Command_Center!C17</f>
        <v>61</v>
      </c>
      <c r="C8" s="183" t="s">
        <v>85</v>
      </c>
      <c r="D8" s="183" t="str">
        <f>IF(B8&lt;&gt;"","OK","CHECK")</f>
        <v>OK</v>
      </c>
      <c r="E8" s="183" t="s">
        <v>86</v>
      </c>
    </row>
    <row r="9" spans="1:8" ht="16.95" customHeight="1">
      <c r="A9" s="183" t="s">
        <v>87</v>
      </c>
      <c r="B9" s="183">
        <f>Command_Center!Z2</f>
        <v>22</v>
      </c>
      <c r="C9" s="183" t="s">
        <v>88</v>
      </c>
      <c r="D9" s="183" t="str">
        <f>IF(ISNUMBER(B9),"OK","CHECK")</f>
        <v>OK</v>
      </c>
      <c r="E9" s="183" t="s">
        <v>89</v>
      </c>
    </row>
    <row r="10" spans="1:8">
      <c r="A10" s="183" t="s">
        <v>90</v>
      </c>
      <c r="B10" s="183">
        <f>SUM(PMIS_Data!H3:H44)</f>
        <v>0</v>
      </c>
      <c r="C10" s="183" t="s">
        <v>91</v>
      </c>
      <c r="D10" s="183" t="str">
        <f>IF(B10&gt;=0,"OK","CHECK")</f>
        <v>OK</v>
      </c>
      <c r="E10" s="183" t="s">
        <v>92</v>
      </c>
    </row>
    <row r="11" spans="1:8">
      <c r="A11" s="183" t="s">
        <v>93</v>
      </c>
      <c r="B11" s="183">
        <f>SUM(PMIS_Data!I3:I44)</f>
        <v>0</v>
      </c>
      <c r="C11" s="183" t="s">
        <v>91</v>
      </c>
      <c r="D11" s="183" t="str">
        <f>IF(B11&gt;=0,"OK","CHECK")</f>
        <v>OK</v>
      </c>
      <c r="E11" s="183" t="s">
        <v>94</v>
      </c>
    </row>
    <row r="12" spans="1:8">
      <c r="A12" s="183" t="s">
        <v>95</v>
      </c>
      <c r="B12" s="183">
        <f>SUM(PMIS_Data!J3:J44)</f>
        <v>0</v>
      </c>
      <c r="C12" s="183" t="s">
        <v>91</v>
      </c>
      <c r="D12" s="183" t="str">
        <f>IF(B12&gt;=0,"OK","CHECK")</f>
        <v>OK</v>
      </c>
      <c r="E12" s="183" t="s">
        <v>96</v>
      </c>
    </row>
    <row r="13" spans="1:8">
      <c r="A13" s="183" t="s">
        <v>97</v>
      </c>
      <c r="B13" s="183">
        <f>SUM(PMIS_Data!X3:X44)</f>
        <v>0</v>
      </c>
      <c r="C13" s="183" t="s">
        <v>91</v>
      </c>
      <c r="D13" s="183" t="str">
        <f>IF(B13&gt;=0,"OK","CHECK")</f>
        <v>OK</v>
      </c>
      <c r="E13" s="183" t="s">
        <v>98</v>
      </c>
    </row>
    <row r="14" spans="1:8">
      <c r="A14" s="183" t="s">
        <v>99</v>
      </c>
      <c r="B14" s="183">
        <f>COUNTIF(PMIS_Config!G5:G34,"Check")</f>
        <v>0</v>
      </c>
      <c r="C14" s="183" t="s">
        <v>100</v>
      </c>
      <c r="D14" s="183" t="str">
        <f>IF(B14=0,"OK","CHECK")</f>
        <v>OK</v>
      </c>
      <c r="E14" s="183" t="s">
        <v>101</v>
      </c>
    </row>
    <row r="15" spans="1:8">
      <c r="A15" s="183" t="s">
        <v>102</v>
      </c>
      <c r="B15" s="183">
        <f ca="1">COUNTIF(PMIS_Config!E5:E34,"No")</f>
        <v>0</v>
      </c>
      <c r="C15" s="183" t="s">
        <v>100</v>
      </c>
      <c r="D15" s="183" t="str">
        <f ca="1">IF(B15=0,"OK","CHECK")</f>
        <v>OK</v>
      </c>
      <c r="E15" s="183" t="s">
        <v>103</v>
      </c>
    </row>
    <row r="16" spans="1:8">
      <c r="A16" s="150" t="s">
        <v>104</v>
      </c>
      <c r="B16" s="150">
        <f>COUNTA('Today''s_Focus'!A15:A44)</f>
        <v>30</v>
      </c>
      <c r="C16" s="150" t="s">
        <v>88</v>
      </c>
      <c r="D16" s="150" t="str">
        <f>IF(B16&gt;=1,"OK","CHECK")</f>
        <v>OK</v>
      </c>
      <c r="E16" s="150" t="s">
        <v>105</v>
      </c>
    </row>
    <row r="17" spans="1:5" ht="16.95" customHeight="1">
      <c r="A17" s="150" t="s">
        <v>106</v>
      </c>
      <c r="B17" s="150" t="str">
        <f>'Today''s_Focus'!B5</f>
        <v>SITE</v>
      </c>
      <c r="C17" s="150" t="s">
        <v>85</v>
      </c>
      <c r="D17" s="150" t="str">
        <f>IF(B17&lt;&gt;"","OK","CHECK")</f>
        <v>OK</v>
      </c>
      <c r="E17" s="150" t="s">
        <v>107</v>
      </c>
    </row>
    <row r="18" spans="1:5">
      <c r="A18" s="150" t="s">
        <v>108</v>
      </c>
      <c r="B18" s="150" t="str">
        <f>Command_Center!S13</f>
        <v>Today's Focus</v>
      </c>
      <c r="C18" s="150" t="s">
        <v>109</v>
      </c>
      <c r="D18" s="150" t="str">
        <f>IFERROR(IF(B18&lt;&gt;"","OK","CHECK"),"OK")</f>
        <v>OK</v>
      </c>
      <c r="E18" s="150" t="s">
        <v>110</v>
      </c>
    </row>
  </sheetData>
  <mergeCells count="2">
    <mergeCell ref="B2:H2"/>
    <mergeCell ref="A1:H1"/>
  </mergeCells>
  <conditionalFormatting sqref="D5:D15">
    <cfRule type="expression" dxfId="1845" priority="1">
      <formula>D5="OK"</formula>
    </cfRule>
    <cfRule type="expression" dxfId="1844" priority="2">
      <formula>D5="CHECK"</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58989-1DE2-4B00-AA56-56EE8FDD051C}">
  <sheetPr>
    <tabColor rgb="FF1F4E78"/>
  </sheetPr>
  <dimension ref="A1:H14"/>
  <sheetViews>
    <sheetView workbookViewId="0">
      <selection sqref="A1:H1"/>
    </sheetView>
  </sheetViews>
  <sheetFormatPr defaultRowHeight="13.2"/>
  <cols>
    <col min="1" max="1" width="26" customWidth="1"/>
    <col min="2" max="8" width="22" customWidth="1"/>
  </cols>
  <sheetData>
    <row r="1" spans="1:8" ht="11.1" customHeight="1">
      <c r="A1" s="553" t="s">
        <v>111</v>
      </c>
      <c r="B1" s="551"/>
      <c r="C1" s="551"/>
      <c r="D1" s="551"/>
      <c r="E1" s="551"/>
      <c r="F1" s="551"/>
      <c r="G1" s="551"/>
      <c r="H1" s="552"/>
    </row>
    <row r="3" spans="1:8" ht="30.75" customHeight="1">
      <c r="A3" s="184" t="s">
        <v>112</v>
      </c>
      <c r="B3" s="554" t="s">
        <v>113</v>
      </c>
      <c r="C3" s="551"/>
      <c r="D3" s="551"/>
      <c r="E3" s="551"/>
      <c r="F3" s="551"/>
      <c r="G3" s="551"/>
      <c r="H3" s="552"/>
    </row>
    <row r="5" spans="1:8" ht="60.9" customHeight="1">
      <c r="A5" s="184" t="s">
        <v>114</v>
      </c>
      <c r="B5" s="554" t="s">
        <v>115</v>
      </c>
      <c r="C5" s="551"/>
      <c r="D5" s="551"/>
      <c r="E5" s="551"/>
      <c r="F5" s="551"/>
      <c r="G5" s="551"/>
      <c r="H5" s="552"/>
    </row>
    <row r="7" spans="1:8" ht="62.4" customHeight="1">
      <c r="A7" s="184" t="s">
        <v>116</v>
      </c>
      <c r="B7" s="554" t="s">
        <v>117</v>
      </c>
      <c r="C7" s="551"/>
      <c r="D7" s="551"/>
      <c r="E7" s="551"/>
      <c r="F7" s="551"/>
      <c r="G7" s="551"/>
      <c r="H7" s="552"/>
    </row>
    <row r="9" spans="1:8" ht="48.45" customHeight="1">
      <c r="A9" s="184" t="s">
        <v>118</v>
      </c>
      <c r="B9" s="554" t="s">
        <v>119</v>
      </c>
      <c r="C9" s="551"/>
      <c r="D9" s="551"/>
      <c r="E9" s="551"/>
      <c r="F9" s="551"/>
      <c r="G9" s="551"/>
      <c r="H9" s="552"/>
    </row>
    <row r="11" spans="1:8" ht="30.75" customHeight="1">
      <c r="A11" s="184" t="s">
        <v>120</v>
      </c>
      <c r="B11" s="554" t="s">
        <v>121</v>
      </c>
      <c r="C11" s="551"/>
      <c r="D11" s="551"/>
      <c r="E11" s="551"/>
      <c r="F11" s="551"/>
      <c r="G11" s="551"/>
      <c r="H11" s="552"/>
    </row>
    <row r="14" spans="1:8" ht="67.5" customHeight="1">
      <c r="A14" s="194" t="s">
        <v>122</v>
      </c>
      <c r="B14" s="195" t="s">
        <v>123</v>
      </c>
      <c r="C14" s="185" t="str">
        <f>HYPERLINK("#'Command_Center'!A1","Command Center")</f>
        <v>Command Center</v>
      </c>
      <c r="D14" s="185" t="str">
        <f>HYPERLINK("#'PMIS_Data'!A1","PMIS_Data")</f>
        <v>PMIS_Data</v>
      </c>
      <c r="E14" s="185" t="str">
        <f>HYPERLINK("#'PMIS_Trade_Notes'!A1","PMIS_Trade_Notes")</f>
        <v>PMIS_Trade_Notes</v>
      </c>
      <c r="F14" s="185" t="str">
        <f>HYPERLINK("#'Data_Health'!A1","Data Health")</f>
        <v>Data Health</v>
      </c>
      <c r="G14" s="185" t="str">
        <f>HYPERLINK("#'PMIS_Config'!A1","Config")</f>
        <v>Config</v>
      </c>
    </row>
  </sheetData>
  <mergeCells count="6">
    <mergeCell ref="B9:H9"/>
    <mergeCell ref="B7:H7"/>
    <mergeCell ref="A1:H1"/>
    <mergeCell ref="B11:H11"/>
    <mergeCell ref="B3:H3"/>
    <mergeCell ref="B5:H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5084A-D1B0-4C0A-A131-87DABFBE965D}">
  <sheetPr>
    <tabColor rgb="FF0B5CAD"/>
  </sheetPr>
  <dimension ref="A1:AB60"/>
  <sheetViews>
    <sheetView showGridLines="0" workbookViewId="0">
      <selection activeCell="C46" sqref="C46"/>
    </sheetView>
  </sheetViews>
  <sheetFormatPr defaultColWidth="8.6640625" defaultRowHeight="13.2"/>
  <cols>
    <col min="1" max="1" width="12" customWidth="1"/>
    <col min="2" max="15" width="14" customWidth="1"/>
    <col min="16" max="16" width="17" customWidth="1"/>
    <col min="17" max="19" width="14" customWidth="1"/>
    <col min="20" max="20" width="18.33203125" customWidth="1"/>
    <col min="21" max="25" width="12" customWidth="1"/>
    <col min="26" max="28" width="12" hidden="1" customWidth="1"/>
  </cols>
  <sheetData>
    <row r="1" spans="1:28" ht="30" customHeight="1">
      <c r="A1" s="1"/>
      <c r="B1" s="560" t="s">
        <v>124</v>
      </c>
      <c r="C1" s="556"/>
      <c r="D1" s="556"/>
      <c r="E1" s="556"/>
      <c r="F1" s="556"/>
      <c r="G1" s="556"/>
      <c r="H1" s="556"/>
      <c r="I1" s="556"/>
      <c r="J1" s="556"/>
      <c r="K1" s="556"/>
      <c r="L1" s="556"/>
      <c r="M1" s="556"/>
      <c r="N1" s="556"/>
      <c r="O1" s="556"/>
      <c r="P1" s="556"/>
      <c r="Q1" s="556"/>
      <c r="R1" s="556"/>
      <c r="S1" s="1" t="s">
        <v>125</v>
      </c>
      <c r="T1" s="2">
        <f ca="1">NOW()</f>
        <v>46220.363642939818</v>
      </c>
      <c r="U1" s="1"/>
      <c r="V1" s="1"/>
      <c r="W1" s="1"/>
      <c r="X1" s="1"/>
      <c r="Y1" s="1"/>
      <c r="Z1" s="1" t="s">
        <v>126</v>
      </c>
      <c r="AA1" s="1" t="s">
        <v>127</v>
      </c>
      <c r="AB1" s="1" t="s">
        <v>128</v>
      </c>
    </row>
    <row r="2" spans="1:28" ht="24" customHeight="1">
      <c r="A2" s="1"/>
      <c r="B2" s="555" t="s">
        <v>129</v>
      </c>
      <c r="C2" s="556"/>
      <c r="D2" s="556"/>
      <c r="E2" s="556"/>
      <c r="F2" s="556"/>
      <c r="G2" s="556"/>
      <c r="H2" s="556"/>
      <c r="I2" s="556"/>
      <c r="J2" s="556"/>
      <c r="K2" s="556"/>
      <c r="L2" s="556"/>
      <c r="M2" s="556"/>
      <c r="N2" s="556"/>
      <c r="O2" s="556"/>
      <c r="P2" s="556"/>
      <c r="Q2" s="556"/>
      <c r="R2" s="556"/>
      <c r="S2" s="1"/>
      <c r="T2" s="1"/>
      <c r="U2" s="1"/>
      <c r="V2" s="1"/>
      <c r="W2" s="1"/>
      <c r="X2" s="1"/>
      <c r="Y2" s="1"/>
      <c r="Z2" s="1">
        <f>IFERROR(MATCH($C$7,PMIS_Data!$A$3:$A$32,0),1)</f>
        <v>1</v>
      </c>
      <c r="AA2" s="1" t="str">
        <f>IFERROR(INDEX(PMIS_Data!$B$3:$B$32,$Z$2),"")</f>
        <v>B01_Assessment</v>
      </c>
      <c r="AB2" s="1" t="str">
        <f>$C$7&amp;""</f>
        <v>01</v>
      </c>
    </row>
    <row r="3" spans="1:28" s="167" customFormat="1" ht="21.75" customHeight="1">
      <c r="A3" s="164"/>
      <c r="B3" s="168" t="s">
        <v>130</v>
      </c>
      <c r="C3" s="164"/>
      <c r="D3" s="168" t="s">
        <v>131</v>
      </c>
      <c r="E3" s="164"/>
      <c r="F3" s="168" t="s">
        <v>132</v>
      </c>
      <c r="G3" s="164"/>
      <c r="H3" s="168" t="s">
        <v>133</v>
      </c>
      <c r="I3" s="164"/>
      <c r="J3" s="168" t="s">
        <v>134</v>
      </c>
      <c r="K3" s="164"/>
      <c r="L3" s="168" t="s">
        <v>135</v>
      </c>
      <c r="M3" s="164"/>
      <c r="N3" s="168" t="s">
        <v>136</v>
      </c>
      <c r="O3" s="164"/>
      <c r="P3" s="168" t="s">
        <v>137</v>
      </c>
      <c r="Q3" s="164"/>
      <c r="R3" s="164"/>
      <c r="S3" s="164"/>
      <c r="T3" s="164"/>
      <c r="U3" s="164"/>
      <c r="V3" s="164"/>
      <c r="W3" s="164"/>
      <c r="X3" s="164"/>
      <c r="Y3" s="164"/>
      <c r="Z3" s="164"/>
      <c r="AA3" s="164"/>
      <c r="AB3" s="164"/>
    </row>
    <row r="4" spans="1:28" ht="21.75" customHeight="1">
      <c r="A4" s="1"/>
      <c r="B4" s="3">
        <f>IFERROR(AVERAGE(PMIS_Data!$E$3:$E$32),0)</f>
        <v>0.5066666666666666</v>
      </c>
      <c r="C4" s="1"/>
      <c r="D4" s="3">
        <f>COUNTA(PMIS_Data!$A$3:$A$32)</f>
        <v>30</v>
      </c>
      <c r="E4" s="1"/>
      <c r="F4" s="3">
        <f>SUM(PMIS_Data!$H$3:$H$32)</f>
        <v>0</v>
      </c>
      <c r="G4" s="1"/>
      <c r="H4" s="3">
        <f>SUM(PMIS_Data!$I$3:$I$32)</f>
        <v>0</v>
      </c>
      <c r="I4" s="1"/>
      <c r="J4" s="3">
        <f>SUM(PMIS_Data!$J$3:$J$32)</f>
        <v>0</v>
      </c>
      <c r="K4" s="1"/>
      <c r="L4" s="3">
        <f>SUM(PMIS_Data!$X$3:$X$32)</f>
        <v>0</v>
      </c>
      <c r="M4" s="1"/>
      <c r="N4" s="3">
        <f>COUNTIF(PMIS_Data!$F$3:$F$32,"No")</f>
        <v>29</v>
      </c>
      <c r="O4" s="1"/>
      <c r="P4" s="559" t="str">
        <f>IFERROR(INDEX(_V4_ActionQueue!$F$4:$F$33,MATCH(1,_V4_ActionQueue!$A$4:$A$33,0)),"Monitor")</f>
        <v>READY BUILDING</v>
      </c>
      <c r="Q4" s="558"/>
      <c r="R4" s="1"/>
      <c r="S4" s="1"/>
      <c r="T4" s="1"/>
      <c r="U4" s="1"/>
      <c r="V4" s="1"/>
      <c r="W4" s="1"/>
      <c r="X4" s="1"/>
      <c r="Y4" s="1"/>
      <c r="Z4" s="1"/>
      <c r="AA4" s="1"/>
      <c r="AB4" s="1"/>
    </row>
    <row r="5" spans="1:28" ht="21.75" customHeight="1">
      <c r="A5" s="1"/>
      <c r="B5" s="1"/>
      <c r="C5" s="1"/>
      <c r="D5" s="1"/>
      <c r="E5" s="1"/>
      <c r="F5" s="1"/>
      <c r="G5" s="1"/>
      <c r="H5" s="1"/>
      <c r="I5" s="1"/>
      <c r="J5" s="1"/>
      <c r="K5" s="1"/>
      <c r="L5" s="1"/>
      <c r="M5" s="1"/>
      <c r="N5" s="1"/>
      <c r="O5" s="1"/>
      <c r="P5" s="1"/>
      <c r="Q5" s="1"/>
      <c r="R5" s="1"/>
      <c r="S5" s="1"/>
      <c r="T5" s="1"/>
      <c r="U5" s="1"/>
      <c r="V5" s="1"/>
      <c r="W5" s="1"/>
      <c r="X5" s="1"/>
      <c r="Y5" s="1"/>
      <c r="Z5" s="1"/>
      <c r="AA5" s="1"/>
      <c r="AB5" s="1"/>
    </row>
    <row r="6" spans="1:28" s="175" customFormat="1" ht="24" customHeight="1">
      <c r="A6" s="173"/>
      <c r="B6" s="174" t="s">
        <v>138</v>
      </c>
      <c r="C6" s="173"/>
      <c r="D6" s="173"/>
      <c r="E6" s="173"/>
      <c r="F6" s="174" t="s">
        <v>139</v>
      </c>
      <c r="G6" s="173"/>
      <c r="H6" s="173"/>
      <c r="I6" s="173"/>
      <c r="J6" s="174" t="s">
        <v>140</v>
      </c>
      <c r="K6" s="173"/>
      <c r="L6" s="173"/>
      <c r="M6" s="173"/>
      <c r="N6" s="174" t="s">
        <v>141</v>
      </c>
      <c r="O6" s="173"/>
      <c r="P6" s="173"/>
      <c r="Q6" s="173"/>
      <c r="R6" s="173"/>
      <c r="S6" s="173"/>
      <c r="T6" s="173"/>
      <c r="U6" s="173"/>
      <c r="V6" s="173"/>
      <c r="W6" s="173"/>
      <c r="X6" s="173"/>
      <c r="Y6" s="173"/>
      <c r="Z6" s="173"/>
      <c r="AA6" s="173"/>
      <c r="AB6" s="173"/>
    </row>
    <row r="7" spans="1:28" ht="21.75" customHeight="1">
      <c r="A7" s="1"/>
      <c r="B7" s="4" t="s">
        <v>142</v>
      </c>
      <c r="C7" s="172" t="s">
        <v>143</v>
      </c>
      <c r="D7" s="1"/>
      <c r="E7" s="1"/>
      <c r="F7" s="1"/>
      <c r="G7" s="1"/>
      <c r="H7" s="1"/>
      <c r="I7" s="1"/>
      <c r="J7" s="1"/>
      <c r="K7" s="1"/>
      <c r="L7" s="1"/>
      <c r="M7" s="1"/>
      <c r="N7" s="1"/>
      <c r="O7" s="1"/>
      <c r="P7" s="1"/>
      <c r="Q7" s="1"/>
      <c r="R7" s="1"/>
      <c r="S7" s="1"/>
      <c r="T7" s="1"/>
      <c r="U7" s="1"/>
      <c r="V7" s="1"/>
      <c r="W7" s="1"/>
      <c r="X7" s="1"/>
      <c r="Y7" s="1"/>
      <c r="Z7" s="1"/>
      <c r="AA7" s="1"/>
      <c r="AB7" s="1"/>
    </row>
    <row r="8" spans="1:28" ht="21.75" customHeight="1">
      <c r="A8" s="1"/>
      <c r="B8" s="1"/>
      <c r="C8" s="1"/>
      <c r="D8" s="1"/>
      <c r="E8" s="1"/>
      <c r="F8" s="4" t="s">
        <v>144</v>
      </c>
      <c r="G8" s="1"/>
      <c r="H8" s="1"/>
      <c r="I8" s="1"/>
      <c r="J8" s="4" t="s">
        <v>145</v>
      </c>
      <c r="K8" s="5">
        <f>IFERROR(INDEX(PMIS_Data!$G$3:$G$94,$Z$2),0)</f>
        <v>29</v>
      </c>
      <c r="L8" s="4" t="s">
        <v>146</v>
      </c>
      <c r="M8" s="1" t="str">
        <f>IFERROR(INDEX(PMIS_Data!$N$3:$N$94,$Z$2),"")</f>
        <v>Not Started</v>
      </c>
      <c r="N8" s="4" t="s">
        <v>147</v>
      </c>
      <c r="O8" s="1"/>
      <c r="P8" s="5" t="str">
        <f>IFERROR(INDEX(_V4_ActionQueue!$F$4:$F$33,MATCH($C$7,_V4_ActionQueue!$B$4:$B$33,0)),"Monitor")</f>
        <v>READY BUILDING</v>
      </c>
      <c r="Q8" s="1"/>
      <c r="R8" s="1"/>
      <c r="S8" s="1"/>
      <c r="T8" s="1"/>
      <c r="U8" s="1"/>
      <c r="V8" s="1"/>
      <c r="W8" s="1"/>
      <c r="X8" s="1"/>
      <c r="Y8" s="1"/>
      <c r="Z8" s="1"/>
      <c r="AA8" s="1"/>
      <c r="AB8" s="1"/>
    </row>
    <row r="9" spans="1:28" ht="45" customHeight="1">
      <c r="A9" s="1"/>
      <c r="B9" s="1"/>
      <c r="C9" s="1"/>
      <c r="D9" s="1"/>
      <c r="E9" s="1"/>
      <c r="F9" s="171">
        <f>IFERROR(INDEX(PMIS_Data!$E$3:$E$94,$Z$2),0)</f>
        <v>0.5</v>
      </c>
      <c r="G9" s="1"/>
      <c r="H9" s="1"/>
      <c r="I9" s="1"/>
      <c r="J9" s="1"/>
      <c r="K9" s="1"/>
      <c r="L9" s="1"/>
      <c r="M9" s="1"/>
      <c r="N9" s="1"/>
      <c r="O9" s="1"/>
      <c r="P9" s="1"/>
      <c r="Q9" s="1"/>
      <c r="R9" s="1"/>
      <c r="S9" s="1"/>
      <c r="T9" s="1"/>
      <c r="U9" s="1"/>
      <c r="V9" s="1"/>
      <c r="W9" s="1"/>
      <c r="X9" s="1"/>
      <c r="Y9" s="1"/>
      <c r="Z9" s="1"/>
      <c r="AA9" s="1"/>
      <c r="AB9" s="1"/>
    </row>
    <row r="10" spans="1:28" s="167" customFormat="1" ht="21.75" customHeight="1">
      <c r="A10" s="164"/>
      <c r="B10" s="169" t="s">
        <v>5</v>
      </c>
      <c r="C10" s="170" t="str">
        <f>IFERROR(INDEX(PMIS_Data!$B$3:$B$94,$Z$2),"")</f>
        <v>B01_Assessment</v>
      </c>
      <c r="D10" s="164"/>
      <c r="E10" s="164"/>
      <c r="F10" s="164"/>
      <c r="G10" s="164"/>
      <c r="H10" s="164"/>
      <c r="I10" s="164"/>
      <c r="J10" s="169" t="s">
        <v>148</v>
      </c>
      <c r="K10" s="165" t="str">
        <f>IFERROR(INDEX(PMIS_Data!$K$3:$K$94,$Z$2),"")</f>
        <v>Not Started</v>
      </c>
      <c r="L10" s="169" t="s">
        <v>149</v>
      </c>
      <c r="M10" s="164" t="str">
        <f>IFERROR(INDEX(PMIS_Data!$P$3:$P$94,$Z$2),"")</f>
        <v>Not Started</v>
      </c>
      <c r="N10" s="164"/>
      <c r="O10" s="164"/>
      <c r="P10" s="164"/>
      <c r="Q10" s="164"/>
      <c r="R10" s="164"/>
      <c r="S10" s="164"/>
      <c r="T10" s="164"/>
      <c r="U10" s="164"/>
      <c r="V10" s="164"/>
      <c r="W10" s="164"/>
      <c r="X10" s="164"/>
      <c r="Y10" s="164"/>
      <c r="Z10" s="164"/>
      <c r="AA10" s="164"/>
      <c r="AB10" s="164"/>
    </row>
    <row r="11" spans="1:28" ht="21.75" customHeight="1">
      <c r="A11" s="1"/>
      <c r="B11" s="1"/>
      <c r="C11" s="1"/>
      <c r="D11" s="1"/>
      <c r="E11" s="1"/>
      <c r="F11" s="1"/>
      <c r="G11" s="1"/>
      <c r="H11" s="1"/>
      <c r="I11" s="1"/>
      <c r="J11" s="1"/>
      <c r="K11" s="1"/>
      <c r="L11" s="1"/>
      <c r="M11" s="1"/>
      <c r="N11" s="4" t="s">
        <v>150</v>
      </c>
      <c r="O11" s="1"/>
      <c r="P11" s="5" t="str">
        <f>IFERROR(INDEX(_V4_ActionQueue!$G$4:$G$33,MATCH($C$7,_V4_ActionQueue!$B$4:$B$33,0)),"No exception detected")</f>
        <v>No major exception detected.</v>
      </c>
      <c r="Q11" s="1"/>
      <c r="R11" s="1"/>
      <c r="S11" s="1"/>
      <c r="T11" s="1"/>
      <c r="U11" s="1"/>
      <c r="V11" s="1"/>
      <c r="W11" s="1"/>
      <c r="X11" s="1"/>
      <c r="Y11" s="1"/>
      <c r="Z11" s="1"/>
      <c r="AA11" s="1"/>
      <c r="AB11" s="1"/>
    </row>
    <row r="12" spans="1:28" ht="21.75" customHeight="1">
      <c r="A12" s="1"/>
      <c r="B12" s="4" t="s">
        <v>151</v>
      </c>
      <c r="C12" s="6" t="str">
        <f>IFERROR(INDEX(PMIS_Data!$C$3:$C$94,$Z$2),"")</f>
        <v>Yellow</v>
      </c>
      <c r="D12" s="1"/>
      <c r="E12" s="1"/>
      <c r="F12" s="4" t="s">
        <v>152</v>
      </c>
      <c r="G12" s="1"/>
      <c r="H12" s="1"/>
      <c r="I12" s="1"/>
      <c r="J12" s="4" t="s">
        <v>153</v>
      </c>
      <c r="K12" s="5" t="str">
        <f>IFERROR(INDEX(PMIS_Data!$L$3:$L$94,$Z$2),"")</f>
        <v>Not Started</v>
      </c>
      <c r="L12" s="1"/>
      <c r="M12" s="1"/>
      <c r="N12" s="1"/>
      <c r="O12" s="1"/>
      <c r="P12" s="1"/>
      <c r="Q12" s="1"/>
      <c r="R12" s="1"/>
      <c r="S12" s="1"/>
      <c r="T12" s="1"/>
      <c r="U12" s="1"/>
      <c r="V12" s="1"/>
      <c r="W12" s="1"/>
      <c r="X12" s="1"/>
      <c r="Y12" s="1"/>
      <c r="Z12" s="1"/>
      <c r="AA12" s="1"/>
      <c r="AB12" s="1"/>
    </row>
    <row r="13" spans="1:28" ht="45" customHeight="1">
      <c r="A13" s="1"/>
      <c r="B13" s="1"/>
      <c r="C13" s="1"/>
      <c r="D13" s="1"/>
      <c r="E13" s="1"/>
      <c r="F13" s="5" t="str">
        <f>IFERROR(IF(INDEX(PMIS_Data!$F$3:$F$94,$Z$2)="Yes","Ready to proceed",IF(INDEX(PMIS_Data!$X$3:$X$94,$Z$2)&gt;0,"Shutdown coordination required",IF(INDEX(PMIS_Data!$H$3:$H$94,$Z$2)&gt;0,"Risk closure required",IF(INDEX(PMIS_Data!$I$3:$I$94,$Z$2)&gt;0,"Open questions require answers","Continue assessment / monitoring")))),"Review needed")</f>
        <v>Continue assessment / monitoring</v>
      </c>
      <c r="G13" s="1"/>
      <c r="H13" s="1"/>
      <c r="I13" s="1"/>
      <c r="J13" s="1"/>
      <c r="K13" s="1"/>
      <c r="L13" s="1"/>
      <c r="M13" s="1"/>
      <c r="N13" s="1"/>
      <c r="O13" s="1"/>
      <c r="P13" s="1"/>
      <c r="Q13" s="1"/>
      <c r="R13" s="1"/>
      <c r="S13" s="1"/>
      <c r="T13" s="1"/>
      <c r="U13" s="1"/>
      <c r="V13" s="1"/>
      <c r="W13" s="1"/>
      <c r="X13" s="1"/>
      <c r="Y13" s="1"/>
      <c r="Z13" s="1"/>
      <c r="AA13" s="1"/>
      <c r="AB13" s="1"/>
    </row>
    <row r="14" spans="1:28" ht="21.75" customHeight="1">
      <c r="A14" s="1"/>
      <c r="B14" s="4" t="s">
        <v>154</v>
      </c>
      <c r="C14" s="6" t="str">
        <f>IFERROR(INDEX(PMIS_Data!$F$3:$F$94,$Z$2),"")</f>
        <v>No</v>
      </c>
      <c r="D14" s="1"/>
      <c r="E14" s="1"/>
      <c r="F14" s="1"/>
      <c r="G14" s="1"/>
      <c r="H14" s="1"/>
      <c r="I14" s="1"/>
      <c r="J14" s="4" t="s">
        <v>155</v>
      </c>
      <c r="K14" s="5" t="str">
        <f>IFERROR(INDEX(PMIS_Data!$M$3:$M$94,$Z$2),"")</f>
        <v>Not Started</v>
      </c>
      <c r="L14" s="1"/>
      <c r="M14" s="1"/>
      <c r="N14" s="1"/>
      <c r="O14" s="1"/>
      <c r="P14" s="1"/>
      <c r="Q14" s="1"/>
      <c r="R14" s="1"/>
      <c r="S14" s="1"/>
      <c r="T14" s="1"/>
      <c r="U14" s="1"/>
      <c r="V14" s="1"/>
      <c r="W14" s="1"/>
      <c r="X14" s="1"/>
      <c r="Y14" s="1"/>
      <c r="Z14" s="1"/>
      <c r="AA14" s="1"/>
      <c r="AB14" s="1"/>
    </row>
    <row r="15" spans="1:28" ht="45" customHeight="1">
      <c r="A15" s="1"/>
      <c r="B15" s="1"/>
      <c r="C15" s="1"/>
      <c r="D15" s="1"/>
      <c r="E15" s="1"/>
      <c r="F15" s="1"/>
      <c r="G15" s="1"/>
      <c r="H15" s="1"/>
      <c r="I15" s="1"/>
      <c r="J15" s="1"/>
      <c r="K15" s="1"/>
      <c r="L15" s="1"/>
      <c r="M15" s="1"/>
      <c r="N15" s="4" t="s">
        <v>156</v>
      </c>
      <c r="O15" s="1"/>
      <c r="P15" s="5" t="str">
        <f>IFERROR(INDEX(_V4_ActionQueue!$H$4:$H$33,MATCH($C$7,_V4_ActionQueue!$B$4:$B$33,0)),"Maintain monitoring")</f>
        <v>Maintain monitoring.</v>
      </c>
      <c r="Q15" s="1"/>
      <c r="R15" s="1"/>
      <c r="S15" s="1"/>
      <c r="T15" s="1"/>
      <c r="U15" s="1"/>
      <c r="V15" s="1"/>
      <c r="W15" s="1"/>
      <c r="X15" s="1"/>
      <c r="Y15" s="1"/>
      <c r="Z15" s="1"/>
      <c r="AA15" s="1"/>
      <c r="AB15" s="1"/>
    </row>
    <row r="16" spans="1:28" ht="27.6" customHeight="1">
      <c r="A16" s="1"/>
      <c r="B16" s="557" t="str">
        <f>HYPERLINK("#'"&amp;$AA$2&amp;"'!A1","Open selected Building Assessment")</f>
        <v>Open selected Building Assessment</v>
      </c>
      <c r="C16" s="558"/>
      <c r="D16" s="1"/>
      <c r="E16" s="1"/>
      <c r="F16" s="1"/>
      <c r="G16" s="1"/>
      <c r="H16" s="1"/>
      <c r="I16" s="1"/>
      <c r="J16" s="4" t="s">
        <v>157</v>
      </c>
      <c r="K16" s="5" t="str">
        <f>IFERROR(INDEX(PMIS_Data!$O$3:$O$94,$Z$2),"")</f>
        <v>Not Started</v>
      </c>
      <c r="L16" s="1"/>
      <c r="M16" s="1"/>
      <c r="N16" s="1"/>
      <c r="O16" s="1"/>
      <c r="P16" s="1"/>
      <c r="Q16" s="1"/>
      <c r="R16" s="1"/>
      <c r="S16" s="1"/>
      <c r="T16" s="1"/>
      <c r="U16" s="1"/>
      <c r="V16" s="1"/>
      <c r="W16" s="1"/>
      <c r="X16" s="1"/>
      <c r="Y16" s="1"/>
      <c r="Z16" s="1"/>
      <c r="AA16" s="1"/>
      <c r="AB16" s="1"/>
    </row>
    <row r="17" spans="1:28" ht="21.75" customHeight="1">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row>
    <row r="18" spans="1:28" ht="21.75" hidden="1" customHeight="1">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row>
    <row r="19" spans="1:28" ht="21.75" hidden="1" customHeight="1">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row>
    <row r="20" spans="1:28" ht="24" hidden="1" customHeight="1">
      <c r="A20" s="1"/>
      <c r="B20" s="4" t="s">
        <v>158</v>
      </c>
      <c r="C20" s="1"/>
      <c r="D20" s="1"/>
      <c r="E20" s="1"/>
      <c r="F20" s="4" t="s">
        <v>133</v>
      </c>
      <c r="G20" s="1"/>
      <c r="H20" s="1"/>
      <c r="I20" s="1"/>
      <c r="J20" s="4" t="s">
        <v>159</v>
      </c>
      <c r="K20" s="1"/>
      <c r="L20" s="1"/>
      <c r="M20" s="1"/>
      <c r="N20" s="4" t="s">
        <v>160</v>
      </c>
      <c r="O20" s="1"/>
      <c r="P20" s="1"/>
      <c r="Q20" s="1"/>
      <c r="R20" s="1"/>
      <c r="S20" s="1"/>
      <c r="T20" s="1"/>
      <c r="U20" s="1"/>
      <c r="V20" s="1"/>
      <c r="W20" s="1"/>
      <c r="X20" s="1"/>
      <c r="Y20" s="1"/>
      <c r="Z20" s="1"/>
      <c r="AA20" s="1"/>
      <c r="AB20" s="1"/>
    </row>
    <row r="21" spans="1:28" ht="21.75" hidden="1"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row>
    <row r="22" spans="1:28" ht="21.75" hidden="1" customHeight="1">
      <c r="A22" s="1"/>
      <c r="B22" s="4" t="s">
        <v>161</v>
      </c>
      <c r="C22" s="1"/>
      <c r="D22" s="7">
        <f>IFERROR(INDEX(PMIS_Data!$H$3:$H$94,$Z$2),0)</f>
        <v>0</v>
      </c>
      <c r="E22" s="1"/>
      <c r="F22" s="4" t="s">
        <v>162</v>
      </c>
      <c r="G22" s="1"/>
      <c r="H22" s="7">
        <f>IFERROR(INDEX(PMIS_Data!$I$3:$I$94,$Z$2),0)</f>
        <v>0</v>
      </c>
      <c r="I22" s="1"/>
      <c r="J22" s="4" t="s">
        <v>163</v>
      </c>
      <c r="K22" s="1"/>
      <c r="L22" s="7">
        <f>IFERROR(INDEX(PMIS_Data!$J$3:$J$94,$Z$2),0)</f>
        <v>0</v>
      </c>
      <c r="M22" s="1"/>
      <c r="N22" s="4" t="s">
        <v>164</v>
      </c>
      <c r="O22" s="1"/>
      <c r="P22" s="7">
        <f>IFERROR(INDEX(PMIS_Data!$X$3:$X$94,$Z$2),0)</f>
        <v>0</v>
      </c>
      <c r="Q22" s="1"/>
      <c r="R22" s="1"/>
      <c r="S22" s="1"/>
      <c r="T22" s="1"/>
      <c r="U22" s="1"/>
      <c r="V22" s="1"/>
      <c r="W22" s="1"/>
      <c r="X22" s="1"/>
      <c r="Y22" s="1"/>
      <c r="Z22" s="1"/>
      <c r="AA22" s="1"/>
      <c r="AB22" s="1"/>
    </row>
    <row r="23" spans="1:28" ht="21.75" hidden="1"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row>
    <row r="24" spans="1:28" ht="21.75" hidden="1" customHeight="1">
      <c r="A24" s="1"/>
      <c r="B24" s="4" t="s">
        <v>165</v>
      </c>
      <c r="C24" s="1"/>
      <c r="D24" s="7">
        <f>SUM(PMIS_Data!$H$3:$H$32)</f>
        <v>0</v>
      </c>
      <c r="E24" s="1"/>
      <c r="F24" s="4" t="s">
        <v>165</v>
      </c>
      <c r="G24" s="1"/>
      <c r="H24" s="7">
        <f>SUM(PMIS_Data!$I$3:$I$32)</f>
        <v>0</v>
      </c>
      <c r="I24" s="1"/>
      <c r="J24" s="4" t="s">
        <v>166</v>
      </c>
      <c r="K24" s="1"/>
      <c r="L24" s="7">
        <f>COUNTA(Doc_Register!$A$5:$A$300)</f>
        <v>40</v>
      </c>
      <c r="M24" s="1"/>
      <c r="N24" s="4" t="s">
        <v>167</v>
      </c>
      <c r="O24" s="1"/>
      <c r="P24" s="7">
        <f>SUM(PMIS_Data!$X$3:$X$32)</f>
        <v>0</v>
      </c>
      <c r="Q24" s="1"/>
      <c r="R24" s="1"/>
      <c r="S24" s="1"/>
      <c r="T24" s="1"/>
      <c r="U24" s="1"/>
      <c r="V24" s="1"/>
      <c r="W24" s="1"/>
      <c r="X24" s="1"/>
      <c r="Y24" s="1"/>
      <c r="Z24" s="1"/>
      <c r="AA24" s="1"/>
      <c r="AB24" s="1"/>
    </row>
    <row r="25" spans="1:28" ht="21.75" hidden="1"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row>
    <row r="26" spans="1:28" ht="21.75" hidden="1" customHeight="1">
      <c r="A26" s="1"/>
      <c r="B26" s="4" t="s">
        <v>168</v>
      </c>
      <c r="C26" s="1"/>
      <c r="D26" s="7">
        <f>IFERROR(INDEX(_V4_ActionQueue!$A$4:$A$33,MATCH($C$7,_V4_ActionQueue!$B$4:$B$33,0)),"")</f>
        <v>1</v>
      </c>
      <c r="E26" s="1"/>
      <c r="F26" s="4" t="s">
        <v>169</v>
      </c>
      <c r="G26" s="1"/>
      <c r="H26" s="7" t="e">
        <f>COUNTIFS(#REF!,"High",#REF!,"Open")</f>
        <v>#REF!</v>
      </c>
      <c r="I26" s="1"/>
      <c r="J26" s="4" t="s">
        <v>170</v>
      </c>
      <c r="K26" s="1"/>
      <c r="L26" s="7">
        <f>COUNTA(#REF!)</f>
        <v>1</v>
      </c>
      <c r="M26" s="1"/>
      <c r="N26" s="4" t="s">
        <v>171</v>
      </c>
      <c r="O26" s="1"/>
      <c r="P26" s="7">
        <f>COUNTIF(PMIS_Data!$F$3:$F$32,"No")</f>
        <v>29</v>
      </c>
      <c r="Q26" s="1"/>
      <c r="R26" s="1"/>
      <c r="S26" s="1"/>
      <c r="T26" s="1"/>
      <c r="U26" s="1"/>
      <c r="V26" s="1"/>
      <c r="W26" s="1"/>
      <c r="X26" s="1"/>
      <c r="Y26" s="1"/>
      <c r="Z26" s="1"/>
      <c r="AA26" s="1"/>
      <c r="AB26" s="1"/>
    </row>
    <row r="27" spans="1:28" ht="21.75" hidden="1"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row>
    <row r="28" spans="1:28" ht="21.75" hidden="1"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row>
    <row r="29" spans="1:28" ht="4.95" hidden="1"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row>
    <row r="30" spans="1:28" ht="85.2" hidden="1" customHeight="1">
      <c r="A30" s="1"/>
      <c r="B30" s="1" t="s">
        <v>172</v>
      </c>
      <c r="C30" s="1"/>
      <c r="D30" s="1"/>
      <c r="E30" s="1"/>
      <c r="F30" s="1"/>
      <c r="G30" s="1"/>
      <c r="H30" s="1"/>
      <c r="I30" s="1"/>
      <c r="J30" s="1"/>
      <c r="K30" s="1"/>
      <c r="L30" s="1"/>
      <c r="M30" s="1"/>
      <c r="N30" s="1"/>
      <c r="O30" s="1"/>
      <c r="P30" s="1"/>
      <c r="Q30" s="1"/>
      <c r="R30" s="1"/>
      <c r="S30" s="1"/>
      <c r="T30" s="1"/>
      <c r="U30" s="1"/>
      <c r="V30" s="1"/>
      <c r="W30" s="1"/>
      <c r="X30" s="1"/>
      <c r="Y30" s="1"/>
      <c r="Z30" s="1"/>
      <c r="AA30" s="1"/>
      <c r="AB30" s="1"/>
    </row>
    <row r="31" spans="1:28" ht="24"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row>
    <row r="32" spans="1:28" ht="69" customHeight="1">
      <c r="A32" s="1"/>
      <c r="B32" s="4" t="s">
        <v>142</v>
      </c>
      <c r="C32" s="4" t="s">
        <v>173</v>
      </c>
      <c r="D32" s="4" t="s">
        <v>77</v>
      </c>
      <c r="E32" s="4" t="s">
        <v>174</v>
      </c>
      <c r="F32" s="4" t="s">
        <v>175</v>
      </c>
      <c r="G32" s="4" t="s">
        <v>145</v>
      </c>
      <c r="H32" s="4" t="s">
        <v>176</v>
      </c>
      <c r="I32" s="4" t="s">
        <v>177</v>
      </c>
      <c r="J32" s="4" t="s">
        <v>178</v>
      </c>
      <c r="K32" s="4" t="s">
        <v>179</v>
      </c>
      <c r="L32" s="1"/>
      <c r="M32" s="1"/>
      <c r="N32" s="1"/>
      <c r="O32" s="1"/>
      <c r="P32" s="1"/>
      <c r="Q32" s="1"/>
      <c r="R32" s="1"/>
      <c r="S32" s="1"/>
      <c r="T32" s="1"/>
      <c r="U32" s="1"/>
      <c r="V32" s="1"/>
      <c r="W32" s="1"/>
      <c r="X32" s="1"/>
      <c r="Y32" s="1"/>
      <c r="Z32" s="1"/>
      <c r="AA32" s="1"/>
      <c r="AB32" s="1"/>
    </row>
    <row r="33" spans="1:28" s="167" customFormat="1" ht="21.75" customHeight="1">
      <c r="A33" s="164"/>
      <c r="B33" s="165" t="str">
        <f>$C$7&amp;""</f>
        <v>01</v>
      </c>
      <c r="C33" s="165" t="str">
        <f>IFERROR(INDEX(PMIS_Data!$B$3:$B$94,$Z$2),"")</f>
        <v>B01_Assessment</v>
      </c>
      <c r="D33" s="165" t="str">
        <f>IFERROR(INDEX(PMIS_Data!$C$3:$C$94,$Z$2),"")</f>
        <v>Yellow</v>
      </c>
      <c r="E33" s="166">
        <f>IFERROR(INDEX(PMIS_Data!$E$3:$E$94,$Z$2),0)</f>
        <v>0.5</v>
      </c>
      <c r="F33" s="165" t="str">
        <f>IFERROR(INDEX(PMIS_Data!$F$3:$F$94,$Z$2),"")</f>
        <v>No</v>
      </c>
      <c r="G33" s="165">
        <f>IFERROR(INDEX(PMIS_Data!$G$3:$G$94,$Z$2),0)</f>
        <v>29</v>
      </c>
      <c r="H33" s="165">
        <f>IFERROR(INDEX(PMIS_Data!$H$3:$H$94,$Z$2),0)</f>
        <v>0</v>
      </c>
      <c r="I33" s="165">
        <f>IFERROR(INDEX(PMIS_Data!$I$3:$I$94,$Z$2),0)</f>
        <v>0</v>
      </c>
      <c r="J33" s="165">
        <f>IFERROR(INDEX(PMIS_Data!$J$3:$J$94,$Z$2),0)</f>
        <v>0</v>
      </c>
      <c r="K33" s="165">
        <f>IFERROR(INDEX(PMIS_Data!$X$3:$X$94,$Z$2),0)</f>
        <v>0</v>
      </c>
      <c r="L33" s="164"/>
      <c r="M33" s="164"/>
      <c r="N33" s="164"/>
      <c r="O33" s="164"/>
      <c r="P33" s="164"/>
      <c r="Q33" s="164"/>
      <c r="R33" s="164"/>
      <c r="S33" s="164"/>
      <c r="T33" s="164"/>
      <c r="U33" s="164"/>
      <c r="V33" s="164"/>
      <c r="W33" s="164"/>
      <c r="X33" s="164"/>
      <c r="Y33" s="164"/>
      <c r="Z33" s="164"/>
      <c r="AA33" s="164"/>
      <c r="AB33" s="164"/>
    </row>
    <row r="34" spans="1:28" ht="21.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row>
    <row r="35" spans="1:28" ht="21.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row>
    <row r="36" spans="1:28" ht="21.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row>
    <row r="37" spans="1:28" ht="21.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row>
    <row r="38" spans="1:28" ht="21.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row>
    <row r="39" spans="1:28" ht="21.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row>
    <row r="40" spans="1:28" ht="21.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row>
    <row r="41" spans="1:28" ht="21.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row>
    <row r="42" spans="1:28" ht="24"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row>
    <row r="43" spans="1:28" ht="21.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row>
    <row r="44" spans="1:28" ht="21.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row>
    <row r="45" spans="1:28" ht="21.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row>
    <row r="46" spans="1:28" ht="21.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row>
    <row r="47" spans="1:28" ht="21.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row>
    <row r="48" spans="1:28" ht="21.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row>
    <row r="49" spans="1:28" ht="21.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row>
    <row r="50" spans="1:28" ht="21.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row>
    <row r="51" spans="1:28" ht="21.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row>
    <row r="52" spans="1:28" ht="70.9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row>
    <row r="53" spans="1:28" ht="21.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row>
    <row r="54" spans="1:28" ht="21.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row>
    <row r="55" spans="1:28" ht="21.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row>
    <row r="56" spans="1:28" ht="21.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row>
    <row r="57" spans="1:28" ht="21.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row>
    <row r="58" spans="1:28" ht="21.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row>
    <row r="59" spans="1:28" ht="21.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row>
    <row r="60" spans="1:28" ht="21.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row>
  </sheetData>
  <mergeCells count="4">
    <mergeCell ref="B2:R2"/>
    <mergeCell ref="B16:C16"/>
    <mergeCell ref="P4:Q4"/>
    <mergeCell ref="B1:R1"/>
  </mergeCells>
  <conditionalFormatting sqref="C12:E12">
    <cfRule type="expression" dxfId="1843" priority="6">
      <formula>OR(ISNUMBER(SEARCH("Red",C12)),ISNUMBER(SEARCH("Critical",C12)),ISNUMBER(SEARCH("SHUTDOWN",C12)))</formula>
    </cfRule>
    <cfRule type="expression" dxfId="1842" priority="7">
      <formula>OR(ISNUMBER(SEARCH("Green",C12)),ISNUMBER(SEARCH("Ready",C12)))</formula>
    </cfRule>
    <cfRule type="expression" dxfId="1841" priority="8">
      <formula>OR(ISNUMBER(SEARCH("Yellow",C12)),ISNUMBER(SEARCH("Question",C12)))</formula>
    </cfRule>
  </conditionalFormatting>
  <conditionalFormatting sqref="C14:E14">
    <cfRule type="expression" dxfId="1840" priority="12">
      <formula>OR(ISNUMBER(SEARCH("Red",C14)),ISNUMBER(SEARCH("Critical",C14)),ISNUMBER(SEARCH("SHUTDOWN",C14)))</formula>
    </cfRule>
    <cfRule type="expression" dxfId="1839" priority="13">
      <formula>OR(ISNUMBER(SEARCH("Green",C14)),ISNUMBER(SEARCH("Ready",C14)))</formula>
    </cfRule>
    <cfRule type="expression" dxfId="1838" priority="14">
      <formula>OR(ISNUMBER(SEARCH("Yellow",C14)),ISNUMBER(SEARCH("Question",C14)))</formula>
    </cfRule>
  </conditionalFormatting>
  <conditionalFormatting sqref="F9">
    <cfRule type="dataBar" priority="5">
      <dataBar>
        <cfvo type="num" val="0"/>
        <cfvo type="num" val="1"/>
        <color rgb="FF6DD85E"/>
      </dataBar>
    </cfRule>
  </conditionalFormatting>
  <conditionalFormatting sqref="F9:I10">
    <cfRule type="expression" dxfId="1837" priority="2">
      <formula>OR(ISNUMBER(SEARCH("Red",F9)),ISNUMBER(SEARCH("Critical",F9)),ISNUMBER(SEARCH("SHUTDOWN",F9)))</formula>
    </cfRule>
    <cfRule type="expression" dxfId="1836" priority="3">
      <formula>OR(ISNUMBER(SEARCH("Green",F9)),ISNUMBER(SEARCH("Ready",F9)))</formula>
    </cfRule>
    <cfRule type="expression" dxfId="1835" priority="4">
      <formula>OR(ISNUMBER(SEARCH("Yellow",F9)),ISNUMBER(SEARCH("Question",F9)))</formula>
    </cfRule>
  </conditionalFormatting>
  <conditionalFormatting sqref="P8:T9">
    <cfRule type="expression" dxfId="1834" priority="15">
      <formula>OR(ISNUMBER(SEARCH("Red",P8)),ISNUMBER(SEARCH("Critical",P8)),ISNUMBER(SEARCH("SHUTDOWN",P8)))</formula>
    </cfRule>
    <cfRule type="expression" dxfId="1833" priority="16">
      <formula>OR(ISNUMBER(SEARCH("Green",P8)),ISNUMBER(SEARCH("Ready",P8)))</formula>
    </cfRule>
    <cfRule type="expression" dxfId="1832" priority="17">
      <formula>OR(ISNUMBER(SEARCH("Yellow",P8)),ISNUMBER(SEARCH("Question",P8)))</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119CA-5106-48A4-81CC-59A06FF8878B}">
  <dimension ref="A1:R43"/>
  <sheetViews>
    <sheetView showGridLines="0" workbookViewId="0"/>
  </sheetViews>
  <sheetFormatPr defaultColWidth="8.88671875" defaultRowHeight="14.4"/>
  <cols>
    <col min="1" max="1" width="18" style="8" customWidth="1"/>
    <col min="2" max="2" width="30" style="8" customWidth="1"/>
    <col min="3" max="3" width="16" style="8" customWidth="1"/>
    <col min="4" max="5" width="18" style="8" customWidth="1"/>
    <col min="6" max="6" width="10" style="8" customWidth="1"/>
    <col min="7" max="7" width="20" style="8" customWidth="1"/>
    <col min="8" max="8" width="30" style="8" customWidth="1"/>
    <col min="9" max="10" width="18" style="8" customWidth="1"/>
    <col min="11" max="11" width="20" style="8" customWidth="1"/>
    <col min="12" max="12" width="18" style="8" customWidth="1"/>
    <col min="13" max="17" width="12" customWidth="1"/>
    <col min="18" max="18" width="13" customWidth="1"/>
  </cols>
  <sheetData>
    <row r="1" spans="1:18" ht="36.75" customHeight="1">
      <c r="A1" s="14" t="s">
        <v>180</v>
      </c>
      <c r="B1" s="9"/>
      <c r="C1" s="9"/>
      <c r="D1" s="9"/>
      <c r="E1" s="9"/>
      <c r="F1" s="9"/>
      <c r="G1" s="9"/>
      <c r="H1" s="9"/>
      <c r="I1" s="9"/>
      <c r="J1" s="9"/>
      <c r="K1" s="9"/>
      <c r="L1" s="9"/>
      <c r="M1" s="14" t="str">
        <f>HYPERLINK("#'V4_Mission_Control'!A1","Mission")</f>
        <v>Mission</v>
      </c>
      <c r="N1" s="14" t="str">
        <f>HYPERLINK("#'Command_Center'!A1","Command")</f>
        <v>Command</v>
      </c>
      <c r="O1" s="14" t="str">
        <f>HYPERLINK("#'Building_View'!A1","Building")</f>
        <v>Building</v>
      </c>
      <c r="P1" s="14" t="str">
        <f>HYPERLINK("#'Risk_Register'!A1","Risks")</f>
        <v>Risks</v>
      </c>
      <c r="Q1" s="14" t="str">
        <f>HYPERLINK("#'PMIS_Data'!A1","Data")</f>
        <v>Data</v>
      </c>
    </row>
    <row r="2" spans="1:18" ht="29.25" customHeight="1">
      <c r="A2" s="15" t="s">
        <v>181</v>
      </c>
      <c r="B2" s="16"/>
      <c r="C2" s="16"/>
      <c r="D2" s="16"/>
      <c r="E2" s="16"/>
      <c r="F2" s="16"/>
      <c r="G2" s="16"/>
      <c r="H2" s="16"/>
      <c r="I2" s="16"/>
      <c r="J2" s="16"/>
      <c r="K2" s="16"/>
      <c r="L2" s="16"/>
      <c r="Q2" s="17" t="s">
        <v>182</v>
      </c>
    </row>
    <row r="4" spans="1:18" ht="16.5" customHeight="1">
      <c r="A4" s="18" t="s">
        <v>183</v>
      </c>
      <c r="B4" s="19"/>
      <c r="C4" s="19"/>
      <c r="D4" s="19"/>
      <c r="E4" s="19"/>
      <c r="F4" s="19"/>
      <c r="G4" s="19"/>
      <c r="H4" s="19"/>
      <c r="I4" s="19"/>
      <c r="J4" s="19"/>
      <c r="K4" s="19"/>
      <c r="L4" s="19"/>
      <c r="Q4" s="20" t="s">
        <v>161</v>
      </c>
    </row>
    <row r="5" spans="1:18" ht="27" customHeight="1">
      <c r="A5" s="21" t="s">
        <v>184</v>
      </c>
      <c r="B5" s="22" t="s">
        <v>185</v>
      </c>
      <c r="C5" s="23"/>
      <c r="D5" s="24" t="s">
        <v>186</v>
      </c>
      <c r="E5" s="25" t="s">
        <v>187</v>
      </c>
      <c r="F5" s="23"/>
      <c r="G5" s="24" t="s">
        <v>188</v>
      </c>
      <c r="H5" s="25" t="s">
        <v>189</v>
      </c>
      <c r="I5" s="23"/>
      <c r="J5" s="24" t="s">
        <v>190</v>
      </c>
      <c r="K5" s="25" t="s">
        <v>191</v>
      </c>
      <c r="Q5" s="20" t="s">
        <v>192</v>
      </c>
    </row>
    <row r="6" spans="1:18" ht="27" customHeight="1">
      <c r="A6" s="21" t="s">
        <v>193</v>
      </c>
      <c r="B6" s="22" t="s">
        <v>194</v>
      </c>
      <c r="C6" s="23"/>
      <c r="D6" s="24" t="s">
        <v>195</v>
      </c>
      <c r="E6" s="25" t="s">
        <v>196</v>
      </c>
      <c r="F6" s="23"/>
      <c r="G6" s="24" t="s">
        <v>197</v>
      </c>
      <c r="H6" s="25" t="s">
        <v>196</v>
      </c>
      <c r="I6" s="23"/>
      <c r="J6" s="24" t="s">
        <v>198</v>
      </c>
      <c r="K6" s="26">
        <f ca="1">TODAY()</f>
        <v>46220</v>
      </c>
      <c r="Q6" s="20" t="s">
        <v>199</v>
      </c>
      <c r="R6" s="27">
        <f>COUNTA(#REF!)-1</f>
        <v>0</v>
      </c>
    </row>
    <row r="7" spans="1:18" ht="14.25" customHeight="1">
      <c r="A7" s="21" t="s">
        <v>200</v>
      </c>
      <c r="B7" s="22" t="str">
        <f>Building_View!$B$4</f>
        <v>Campus</v>
      </c>
      <c r="D7" s="28" t="s">
        <v>201</v>
      </c>
      <c r="E7" s="28" t="s">
        <v>202</v>
      </c>
      <c r="G7" s="28" t="s">
        <v>203</v>
      </c>
      <c r="H7" s="28" t="s">
        <v>204</v>
      </c>
      <c r="J7" s="28" t="s">
        <v>205</v>
      </c>
      <c r="K7" s="28" t="s">
        <v>206</v>
      </c>
      <c r="Q7" s="20" t="s">
        <v>207</v>
      </c>
      <c r="R7" s="27">
        <f>COUNTA(#REF!)-1</f>
        <v>0</v>
      </c>
    </row>
    <row r="8" spans="1:18" ht="16.5" customHeight="1">
      <c r="A8" s="29"/>
    </row>
    <row r="9" spans="1:18" ht="27" customHeight="1">
      <c r="A9" s="18" t="s">
        <v>208</v>
      </c>
      <c r="B9" s="19"/>
      <c r="C9" s="19"/>
      <c r="D9" s="19"/>
      <c r="E9" s="19"/>
      <c r="F9" s="19"/>
      <c r="G9" s="19"/>
      <c r="H9" s="19"/>
      <c r="I9" s="19"/>
      <c r="J9" s="19"/>
      <c r="K9" s="19"/>
      <c r="L9" s="19"/>
    </row>
    <row r="10" spans="1:18" ht="42.75" customHeight="1">
      <c r="A10" s="30" t="e">
        <f>"Open Risks"&amp;CHAR(10)&amp;SUMPRODUCT(--(#REF!&lt;&gt;""),--(#REF!&lt;&gt;"Closed"),--(#REF!&lt;&gt;"Complete"))</f>
        <v>#REF!</v>
      </c>
      <c r="B10" s="31"/>
      <c r="C10" s="30" t="e">
        <f>"Open Actions"&amp;CHAR(10)&amp;SUMPRODUCT(--(#REF!&lt;&gt;""),--(#REF!&lt;&gt;"Closed"),--(#REF!&lt;&gt;"Complete"))</f>
        <v>#REF!</v>
      </c>
      <c r="D10" s="31"/>
      <c r="E10" s="30" t="e">
        <f>"Open Questions"&amp;CHAR(10)&amp;SUMPRODUCT(--(#REF!&lt;&gt;""),--(#REF!&lt;&gt;"Closed"),--(#REF!&lt;&gt;"Complete"))</f>
        <v>#REF!</v>
      </c>
      <c r="F10" s="31"/>
      <c r="G10" s="30" t="e">
        <f>"Open Assumptions"&amp;CHAR(10)&amp;SUMPRODUCT(--(#REF!&lt;&gt;""),--(#REF!&lt;&gt;"Closed"),--(#REF!&lt;&gt;"Complete"),--(#REF!&lt;&gt;"Verified"))</f>
        <v>#REF!</v>
      </c>
      <c r="H10" s="31"/>
      <c r="I10" s="30" t="str">
        <f>"Telecom Rooms"&amp;CHAR(10)&amp;COUNTA(Telecom_Rooms!$A$5:$A$200)</f>
        <v>Telecom Rooms
45</v>
      </c>
      <c r="J10" s="31"/>
      <c r="K10" s="30" t="str">
        <f>"Shutdowns"&amp;CHAR(10)&amp;SUMPRODUCT(--(Shutdown_Tracker!$C$5:$C$300&lt;&gt;""),--(Shutdown_Tracker!$I$5:$I$300&lt;&gt;"Closed"),--(Shutdown_Tracker!$I$5:$I$300&lt;&gt;"Complete"))</f>
        <v>Shutdowns
1</v>
      </c>
      <c r="L10" s="31"/>
      <c r="Q10" s="18" t="s">
        <v>209</v>
      </c>
    </row>
    <row r="11" spans="1:18" ht="14.25" customHeight="1">
      <c r="A11" s="31"/>
      <c r="B11" s="31"/>
      <c r="C11" s="31"/>
      <c r="D11" s="31"/>
      <c r="E11" s="31"/>
      <c r="F11" s="31"/>
      <c r="G11" s="31"/>
      <c r="H11" s="31"/>
      <c r="I11" s="31"/>
      <c r="J11" s="31"/>
      <c r="K11" s="31"/>
      <c r="L11" s="31"/>
    </row>
    <row r="12" spans="1:18" ht="14.25" customHeight="1">
      <c r="A12" s="31"/>
      <c r="B12" s="31"/>
      <c r="C12" s="31"/>
      <c r="D12" s="31"/>
      <c r="E12" s="31"/>
      <c r="F12" s="31"/>
      <c r="G12" s="31"/>
      <c r="H12" s="31"/>
      <c r="I12" s="31"/>
      <c r="J12" s="31"/>
      <c r="K12" s="31"/>
      <c r="L12" s="31"/>
    </row>
    <row r="13" spans="1:18" ht="14.25" customHeight="1">
      <c r="A13" s="32"/>
      <c r="B13" s="32"/>
      <c r="C13" s="32"/>
      <c r="D13" s="32"/>
      <c r="E13" s="32"/>
      <c r="F13" s="32"/>
      <c r="G13" s="32"/>
      <c r="H13" s="32"/>
      <c r="I13" s="32"/>
      <c r="J13" s="32"/>
      <c r="K13" s="32"/>
      <c r="L13" s="32"/>
    </row>
    <row r="14" spans="1:18" ht="41.25" customHeight="1">
      <c r="A14" s="18" t="s">
        <v>210</v>
      </c>
      <c r="B14" s="19"/>
      <c r="C14" s="19"/>
      <c r="D14" s="19"/>
      <c r="E14" s="19"/>
      <c r="F14" s="19"/>
      <c r="G14" s="19"/>
      <c r="H14" s="19"/>
      <c r="I14" s="19"/>
      <c r="J14" s="19"/>
      <c r="K14" s="19"/>
      <c r="L14" s="19"/>
    </row>
    <row r="15" spans="1:18" ht="27" customHeight="1">
      <c r="A15" s="30" t="str">
        <f>"Selected Building"&amp;CHAR(10)&amp;Building_View!$B$4</f>
        <v>Selected Building
Campus</v>
      </c>
      <c r="B15" s="31"/>
      <c r="C15" s="30" t="e">
        <f>"Building Risks"&amp;CHAR(10)&amp;Building_View!$D$7</f>
        <v>#REF!</v>
      </c>
      <c r="D15" s="31"/>
      <c r="E15" s="30" t="e">
        <f>"Building Actions"&amp;CHAR(10)&amp;Building_View!$F$7</f>
        <v>#REF!</v>
      </c>
      <c r="F15" s="31"/>
      <c r="G15" s="30" t="str">
        <f>"Telecom Rooms"&amp;CHAR(10)&amp;Building_View!$D$8</f>
        <v>Telecom Rooms
0</v>
      </c>
      <c r="H15" s="31"/>
      <c r="I15" s="30" t="str">
        <f>"Building Docs"&amp;CHAR(10)&amp;Building_View!$F$8</f>
        <v>Building Docs
40</v>
      </c>
      <c r="J15" s="31"/>
      <c r="K15" s="30" t="str">
        <f>"Building Shutdowns"&amp;CHAR(10)&amp;Building_View!$D$9</f>
        <v>Building Shutdowns
0</v>
      </c>
      <c r="L15" s="31"/>
    </row>
    <row r="16" spans="1:18" ht="14.25" customHeight="1">
      <c r="A16" s="31"/>
      <c r="B16" s="31"/>
      <c r="C16" s="31"/>
      <c r="D16" s="31"/>
      <c r="E16" s="31"/>
      <c r="F16" s="31"/>
      <c r="G16" s="31"/>
      <c r="H16" s="31"/>
      <c r="I16" s="31"/>
      <c r="J16" s="31"/>
      <c r="K16" s="31"/>
      <c r="L16" s="31"/>
    </row>
    <row r="17" spans="1:17" ht="14.25" customHeight="1">
      <c r="A17" s="31"/>
      <c r="B17" s="31"/>
      <c r="C17" s="31"/>
      <c r="D17" s="31"/>
      <c r="E17" s="31"/>
      <c r="F17" s="31"/>
      <c r="G17" s="31"/>
      <c r="H17" s="31"/>
      <c r="I17" s="31"/>
      <c r="J17" s="31"/>
      <c r="K17" s="31"/>
      <c r="L17" s="31"/>
    </row>
    <row r="18" spans="1:17" ht="14.25" customHeight="1">
      <c r="Q18" s="18" t="s">
        <v>211</v>
      </c>
    </row>
    <row r="20" spans="1:17" ht="14.25" customHeight="1">
      <c r="A20" s="20" t="s">
        <v>209</v>
      </c>
      <c r="B20" s="33"/>
      <c r="C20" s="33"/>
      <c r="D20" s="33"/>
      <c r="E20" s="33"/>
      <c r="F20" s="33"/>
      <c r="G20" s="20" t="s">
        <v>212</v>
      </c>
      <c r="H20" s="33"/>
      <c r="I20" s="33"/>
      <c r="J20" s="33"/>
      <c r="K20" s="33"/>
      <c r="L20" s="33"/>
    </row>
    <row r="21" spans="1:17" ht="14.25" customHeight="1">
      <c r="A21" s="21" t="s">
        <v>213</v>
      </c>
      <c r="B21" s="21" t="s">
        <v>214</v>
      </c>
      <c r="C21" s="21" t="s">
        <v>142</v>
      </c>
      <c r="D21" s="21" t="s">
        <v>215</v>
      </c>
      <c r="E21" s="21" t="s">
        <v>216</v>
      </c>
      <c r="F21" s="21" t="s">
        <v>77</v>
      </c>
      <c r="G21" s="21" t="s">
        <v>217</v>
      </c>
      <c r="H21" s="21" t="s">
        <v>218</v>
      </c>
      <c r="I21" s="21" t="s">
        <v>142</v>
      </c>
      <c r="J21" s="21" t="s">
        <v>219</v>
      </c>
      <c r="K21" s="21" t="s">
        <v>77</v>
      </c>
      <c r="L21" s="21" t="s">
        <v>11</v>
      </c>
    </row>
    <row r="22" spans="1:17" ht="13.5" customHeight="1">
      <c r="A22" s="34" t="e">
        <f>#REF!</f>
        <v>#REF!</v>
      </c>
      <c r="B22" s="34" t="e">
        <f>#REF!</f>
        <v>#REF!</v>
      </c>
      <c r="C22" s="34" t="e">
        <f>#REF!</f>
        <v>#REF!</v>
      </c>
      <c r="D22" s="34" t="e">
        <f>#REF!</f>
        <v>#REF!</v>
      </c>
      <c r="E22" s="34" t="e">
        <f>#REF!</f>
        <v>#REF!</v>
      </c>
      <c r="F22" s="34" t="e">
        <f>#REF!</f>
        <v>#REF!</v>
      </c>
      <c r="G22" s="35" t="str">
        <f>Building_View!A67</f>
        <v/>
      </c>
      <c r="H22" s="34" t="str">
        <f>Building_View!B67</f>
        <v/>
      </c>
      <c r="I22" s="35" t="str">
        <f>Building_View!C67</f>
        <v/>
      </c>
      <c r="J22" s="36" t="str">
        <f>Building_View!F67</f>
        <v/>
      </c>
      <c r="K22" s="35" t="str">
        <f>Building_View!I67</f>
        <v/>
      </c>
      <c r="L22" s="35" t="str">
        <f>Building_View!J67</f>
        <v/>
      </c>
    </row>
    <row r="23" spans="1:17" ht="26.25" customHeight="1">
      <c r="A23" s="35" t="e">
        <f>#REF!</f>
        <v>#REF!</v>
      </c>
      <c r="B23" s="35" t="e">
        <f>#REF!</f>
        <v>#REF!</v>
      </c>
      <c r="C23" s="35" t="e">
        <f>#REF!</f>
        <v>#REF!</v>
      </c>
      <c r="D23" s="35" t="e">
        <f>#REF!</f>
        <v>#REF!</v>
      </c>
      <c r="E23" s="35" t="e">
        <f>#REF!</f>
        <v>#REF!</v>
      </c>
      <c r="F23" s="35" t="e">
        <f>#REF!</f>
        <v>#REF!</v>
      </c>
      <c r="G23" s="35" t="str">
        <f>Building_View!A68</f>
        <v/>
      </c>
      <c r="H23" s="34" t="str">
        <f>Building_View!B68</f>
        <v/>
      </c>
      <c r="I23" s="34" t="str">
        <f>Building_View!C68</f>
        <v/>
      </c>
      <c r="J23" s="37" t="str">
        <f>Building_View!F68</f>
        <v/>
      </c>
      <c r="K23" s="34" t="str">
        <f>Building_View!I68</f>
        <v/>
      </c>
      <c r="L23" s="34" t="str">
        <f>Building_View!J68</f>
        <v/>
      </c>
    </row>
    <row r="24" spans="1:17" ht="26.25" customHeight="1">
      <c r="A24" s="35" t="e">
        <f>#REF!</f>
        <v>#REF!</v>
      </c>
      <c r="B24" s="35" t="e">
        <f>#REF!</f>
        <v>#REF!</v>
      </c>
      <c r="C24" s="35" t="e">
        <f>#REF!</f>
        <v>#REF!</v>
      </c>
      <c r="D24" s="35" t="e">
        <f>#REF!</f>
        <v>#REF!</v>
      </c>
      <c r="E24" s="35" t="e">
        <f>#REF!</f>
        <v>#REF!</v>
      </c>
      <c r="F24" s="35" t="e">
        <f>#REF!</f>
        <v>#REF!</v>
      </c>
      <c r="G24" s="35" t="str">
        <f>Building_View!A69</f>
        <v/>
      </c>
      <c r="H24" s="35" t="str">
        <f>Building_View!B69</f>
        <v/>
      </c>
      <c r="I24" s="35" t="str">
        <f>Building_View!C69</f>
        <v/>
      </c>
      <c r="J24" s="36" t="str">
        <f>Building_View!F69</f>
        <v/>
      </c>
      <c r="K24" s="35" t="str">
        <f>Building_View!I69</f>
        <v/>
      </c>
      <c r="L24" s="35" t="str">
        <f>Building_View!J69</f>
        <v/>
      </c>
    </row>
    <row r="25" spans="1:17" ht="26.25" customHeight="1">
      <c r="A25" s="35" t="e">
        <f>#REF!</f>
        <v>#REF!</v>
      </c>
      <c r="B25" s="35" t="e">
        <f>#REF!</f>
        <v>#REF!</v>
      </c>
      <c r="C25" s="35" t="e">
        <f>#REF!</f>
        <v>#REF!</v>
      </c>
      <c r="D25" s="35" t="e">
        <f>#REF!</f>
        <v>#REF!</v>
      </c>
      <c r="E25" s="35" t="e">
        <f>#REF!</f>
        <v>#REF!</v>
      </c>
      <c r="F25" s="35" t="e">
        <f>#REF!</f>
        <v>#REF!</v>
      </c>
      <c r="G25" s="35" t="str">
        <f>Building_View!A70</f>
        <v/>
      </c>
      <c r="H25" s="35" t="str">
        <f>Building_View!B70</f>
        <v/>
      </c>
      <c r="I25" s="35" t="str">
        <f>Building_View!C70</f>
        <v/>
      </c>
      <c r="J25" s="36" t="str">
        <f>Building_View!F70</f>
        <v/>
      </c>
      <c r="K25" s="35" t="str">
        <f>Building_View!I70</f>
        <v/>
      </c>
      <c r="L25" s="35" t="str">
        <f>Building_View!J70</f>
        <v/>
      </c>
    </row>
    <row r="26" spans="1:17" ht="39" customHeight="1">
      <c r="A26" s="35" t="e">
        <f>#REF!</f>
        <v>#REF!</v>
      </c>
      <c r="B26" s="35" t="e">
        <f>#REF!</f>
        <v>#REF!</v>
      </c>
      <c r="C26" s="35" t="e">
        <f>#REF!</f>
        <v>#REF!</v>
      </c>
      <c r="D26" s="35" t="e">
        <f>#REF!</f>
        <v>#REF!</v>
      </c>
      <c r="E26" s="35" t="e">
        <f>#REF!</f>
        <v>#REF!</v>
      </c>
      <c r="F26" s="35" t="e">
        <f>#REF!</f>
        <v>#REF!</v>
      </c>
      <c r="G26" s="35" t="str">
        <f>Building_View!A71</f>
        <v/>
      </c>
      <c r="H26" s="35" t="str">
        <f>Building_View!B71</f>
        <v/>
      </c>
      <c r="I26" s="35" t="str">
        <f>Building_View!C71</f>
        <v/>
      </c>
      <c r="J26" s="36" t="str">
        <f>Building_View!F71</f>
        <v/>
      </c>
      <c r="K26" s="35" t="str">
        <f>Building_View!I71</f>
        <v/>
      </c>
      <c r="L26" s="35" t="str">
        <f>Building_View!J71</f>
        <v/>
      </c>
    </row>
    <row r="29" spans="1:17" ht="14.25" customHeight="1">
      <c r="A29" s="20" t="s">
        <v>133</v>
      </c>
      <c r="B29" s="33"/>
      <c r="C29" s="33"/>
      <c r="D29" s="33"/>
      <c r="E29" s="33"/>
      <c r="F29" s="33"/>
      <c r="G29" s="20" t="s">
        <v>220</v>
      </c>
      <c r="H29" s="33"/>
      <c r="I29" s="33"/>
      <c r="J29" s="33"/>
      <c r="K29" s="33"/>
      <c r="L29" s="33"/>
    </row>
    <row r="30" spans="1:17" ht="14.25" customHeight="1">
      <c r="A30" s="21" t="s">
        <v>221</v>
      </c>
      <c r="B30" s="21" t="s">
        <v>222</v>
      </c>
      <c r="C30" s="21" t="s">
        <v>223</v>
      </c>
      <c r="D30" s="21" t="s">
        <v>216</v>
      </c>
      <c r="E30" s="21" t="s">
        <v>224</v>
      </c>
      <c r="F30" s="21" t="s">
        <v>77</v>
      </c>
      <c r="G30" s="21" t="s">
        <v>225</v>
      </c>
      <c r="H30" s="21" t="s">
        <v>226</v>
      </c>
      <c r="I30" s="21" t="s">
        <v>216</v>
      </c>
      <c r="J30" s="21" t="s">
        <v>77</v>
      </c>
      <c r="K30" s="21" t="s">
        <v>11</v>
      </c>
      <c r="L30" s="38"/>
    </row>
    <row r="31" spans="1:17" ht="39" customHeight="1">
      <c r="A31" s="35" t="e">
        <f>#REF!</f>
        <v>#REF!</v>
      </c>
      <c r="B31" s="35" t="e">
        <f>#REF!</f>
        <v>#REF!</v>
      </c>
      <c r="C31" s="35" t="e">
        <f>#REF!</f>
        <v>#REF!</v>
      </c>
      <c r="D31" s="35" t="e">
        <f>#REF!</f>
        <v>#REF!</v>
      </c>
      <c r="E31" s="35" t="e">
        <f>#REF!</f>
        <v>#REF!</v>
      </c>
      <c r="F31" s="35" t="e">
        <f>#REF!</f>
        <v>#REF!</v>
      </c>
      <c r="G31" s="35" t="s">
        <v>227</v>
      </c>
      <c r="H31" s="35" t="s">
        <v>228</v>
      </c>
      <c r="I31" s="35" t="s">
        <v>229</v>
      </c>
      <c r="J31" s="35" t="s">
        <v>230</v>
      </c>
      <c r="K31" s="35" t="s">
        <v>231</v>
      </c>
      <c r="L31" s="13"/>
    </row>
    <row r="32" spans="1:17" ht="52.5" customHeight="1">
      <c r="A32" s="35" t="e">
        <f>#REF!</f>
        <v>#REF!</v>
      </c>
      <c r="B32" s="35" t="e">
        <f>#REF!</f>
        <v>#REF!</v>
      </c>
      <c r="C32" s="35" t="e">
        <f>#REF!</f>
        <v>#REF!</v>
      </c>
      <c r="D32" s="35" t="e">
        <f>#REF!</f>
        <v>#REF!</v>
      </c>
      <c r="E32" s="35" t="e">
        <f>#REF!</f>
        <v>#REF!</v>
      </c>
      <c r="F32" s="35" t="e">
        <f>#REF!</f>
        <v>#REF!</v>
      </c>
      <c r="G32" s="35" t="s">
        <v>227</v>
      </c>
      <c r="H32" s="35" t="s">
        <v>232</v>
      </c>
      <c r="I32" s="35" t="s">
        <v>229</v>
      </c>
      <c r="J32" s="35" t="s">
        <v>230</v>
      </c>
      <c r="K32" s="35" t="s">
        <v>233</v>
      </c>
      <c r="L32" s="13"/>
    </row>
    <row r="33" spans="1:12" ht="26.25" customHeight="1">
      <c r="A33" s="35" t="e">
        <f>#REF!</f>
        <v>#REF!</v>
      </c>
      <c r="B33" s="35" t="e">
        <f>#REF!</f>
        <v>#REF!</v>
      </c>
      <c r="C33" s="35" t="e">
        <f>#REF!</f>
        <v>#REF!</v>
      </c>
      <c r="D33" s="35" t="e">
        <f>#REF!</f>
        <v>#REF!</v>
      </c>
      <c r="E33" s="35" t="e">
        <f>#REF!</f>
        <v>#REF!</v>
      </c>
      <c r="F33" s="35" t="e">
        <f>#REF!</f>
        <v>#REF!</v>
      </c>
      <c r="G33" s="35" t="s">
        <v>227</v>
      </c>
      <c r="H33" s="35" t="s">
        <v>234</v>
      </c>
      <c r="I33" s="35" t="s">
        <v>229</v>
      </c>
      <c r="J33" s="35" t="s">
        <v>235</v>
      </c>
      <c r="K33" s="35" t="s">
        <v>236</v>
      </c>
      <c r="L33" s="13"/>
    </row>
    <row r="34" spans="1:12" ht="39" customHeight="1">
      <c r="A34" s="35" t="e">
        <f>#REF!</f>
        <v>#REF!</v>
      </c>
      <c r="B34" s="35" t="e">
        <f>#REF!</f>
        <v>#REF!</v>
      </c>
      <c r="C34" s="35" t="e">
        <f>#REF!</f>
        <v>#REF!</v>
      </c>
      <c r="D34" s="35" t="e">
        <f>#REF!</f>
        <v>#REF!</v>
      </c>
      <c r="E34" s="35" t="e">
        <f>#REF!</f>
        <v>#REF!</v>
      </c>
      <c r="F34" s="35" t="e">
        <f>#REF!</f>
        <v>#REF!</v>
      </c>
      <c r="G34" s="35" t="s">
        <v>237</v>
      </c>
      <c r="H34" s="35" t="s">
        <v>238</v>
      </c>
      <c r="I34" s="35" t="s">
        <v>229</v>
      </c>
      <c r="J34" s="35" t="s">
        <v>235</v>
      </c>
      <c r="K34" s="35" t="s">
        <v>239</v>
      </c>
      <c r="L34" s="13"/>
    </row>
    <row r="35" spans="1:12" ht="26.25" customHeight="1">
      <c r="A35" s="35" t="e">
        <f>#REF!</f>
        <v>#REF!</v>
      </c>
      <c r="B35" s="35" t="e">
        <f>#REF!</f>
        <v>#REF!</v>
      </c>
      <c r="C35" s="35" t="e">
        <f>#REF!</f>
        <v>#REF!</v>
      </c>
      <c r="D35" s="35" t="e">
        <f>#REF!</f>
        <v>#REF!</v>
      </c>
      <c r="E35" s="35" t="e">
        <f>#REF!</f>
        <v>#REF!</v>
      </c>
      <c r="F35" s="35" t="e">
        <f>#REF!</f>
        <v>#REF!</v>
      </c>
      <c r="G35" s="35" t="s">
        <v>237</v>
      </c>
      <c r="H35" s="35" t="s">
        <v>240</v>
      </c>
      <c r="I35" s="35" t="s">
        <v>241</v>
      </c>
      <c r="J35" s="35" t="s">
        <v>235</v>
      </c>
      <c r="K35" s="35" t="s">
        <v>242</v>
      </c>
      <c r="L35" s="13"/>
    </row>
    <row r="38" spans="1:12" ht="27" customHeight="1">
      <c r="A38" s="18" t="s">
        <v>243</v>
      </c>
      <c r="B38" s="19"/>
      <c r="C38" s="19"/>
      <c r="D38" s="19"/>
      <c r="E38" s="19"/>
      <c r="F38" s="19"/>
      <c r="G38" s="19"/>
      <c r="H38" s="19"/>
      <c r="I38" s="19"/>
      <c r="J38" s="19"/>
      <c r="K38" s="19"/>
      <c r="L38" s="19"/>
    </row>
    <row r="39" spans="1:12" ht="27" customHeight="1">
      <c r="A39" s="561" t="s">
        <v>244</v>
      </c>
      <c r="B39" s="562"/>
      <c r="C39" s="562"/>
      <c r="D39" s="562"/>
      <c r="E39" s="562"/>
      <c r="F39" s="562"/>
      <c r="G39" s="562"/>
      <c r="H39" s="562"/>
      <c r="I39" s="562"/>
      <c r="J39" s="562"/>
      <c r="K39" s="562"/>
      <c r="L39" s="563"/>
    </row>
    <row r="40" spans="1:12" ht="78.75" customHeight="1">
      <c r="A40" s="561" t="s">
        <v>245</v>
      </c>
      <c r="B40" s="562"/>
      <c r="C40" s="562"/>
      <c r="D40" s="562"/>
      <c r="E40" s="562"/>
      <c r="F40" s="562"/>
      <c r="G40" s="562"/>
      <c r="H40" s="562"/>
      <c r="I40" s="562"/>
      <c r="J40" s="562"/>
      <c r="K40" s="562"/>
      <c r="L40" s="563"/>
    </row>
    <row r="41" spans="1:12" ht="13.5" customHeight="1">
      <c r="A41" s="39"/>
      <c r="B41" s="39"/>
      <c r="C41" s="39"/>
      <c r="D41" s="39"/>
      <c r="E41" s="39"/>
      <c r="F41" s="39"/>
      <c r="G41" s="39"/>
      <c r="H41" s="39"/>
      <c r="I41" s="39"/>
      <c r="J41" s="39"/>
      <c r="K41" s="39"/>
      <c r="L41" s="39"/>
    </row>
    <row r="43" spans="1:12" ht="123.75" customHeight="1">
      <c r="A43" s="40" t="s">
        <v>246</v>
      </c>
      <c r="B43" s="41"/>
      <c r="C43" s="41"/>
      <c r="D43" s="41"/>
      <c r="E43" s="41"/>
      <c r="F43" s="41"/>
      <c r="G43" s="41"/>
      <c r="H43" s="41"/>
      <c r="I43" s="41"/>
      <c r="J43" s="41"/>
      <c r="K43" s="41"/>
      <c r="L43" s="41"/>
    </row>
  </sheetData>
  <mergeCells count="2">
    <mergeCell ref="A39:L39"/>
    <mergeCell ref="A40:L40"/>
  </mergeCells>
  <conditionalFormatting sqref="C14:C18">
    <cfRule type="expression" dxfId="1831" priority="2">
      <formula>$C14="Closed"</formula>
    </cfRule>
    <cfRule type="expression" dxfId="1830" priority="3">
      <formula>$C14="Complete"</formula>
    </cfRule>
    <cfRule type="expression" dxfId="1829" priority="4">
      <formula>$C14="Delayed"</formula>
    </cfRule>
    <cfRule type="expression" dxfId="1828" priority="5">
      <formula>$C14="On Hold"</formula>
    </cfRule>
    <cfRule type="expression" dxfId="1827" priority="6">
      <formula>$C14="In Progress"</formula>
    </cfRule>
  </conditionalFormatting>
  <conditionalFormatting sqref="E23:E27">
    <cfRule type="expression" dxfId="1826" priority="12">
      <formula>$E23="Closed"</formula>
    </cfRule>
    <cfRule type="expression" dxfId="1825" priority="13">
      <formula>$E23="Complete"</formula>
    </cfRule>
    <cfRule type="expression" dxfId="1824" priority="14">
      <formula>$E23="Delayed"</formula>
    </cfRule>
    <cfRule type="expression" dxfId="1823" priority="15">
      <formula>$E23="On Hold"</formula>
    </cfRule>
    <cfRule type="expression" dxfId="1822" priority="16">
      <formula>$E23="In Progress"</formula>
    </cfRule>
  </conditionalFormatting>
  <conditionalFormatting sqref="F22:F26">
    <cfRule type="expression" dxfId="1821" priority="22">
      <formula>F22="Open"</formula>
    </cfRule>
    <cfRule type="expression" dxfId="1820" priority="23">
      <formula>F22="Pending"</formula>
    </cfRule>
    <cfRule type="expression" dxfId="1819" priority="24">
      <formula>F22="In Progress"</formula>
    </cfRule>
  </conditionalFormatting>
  <conditionalFormatting sqref="F31:F35">
    <cfRule type="expression" dxfId="1818" priority="28">
      <formula>F31="Open"</formula>
    </cfRule>
    <cfRule type="expression" dxfId="1817" priority="29">
      <formula>F31="Pending"</formula>
    </cfRule>
    <cfRule type="expression" dxfId="1816" priority="30">
      <formula>F31="In Progress"</formula>
    </cfRule>
  </conditionalFormatting>
  <conditionalFormatting sqref="J31:J35">
    <cfRule type="expression" dxfId="1815" priority="31">
      <formula>J31="Open"</formula>
    </cfRule>
    <cfRule type="expression" dxfId="1814" priority="32">
      <formula>J31="Pending"</formula>
    </cfRule>
    <cfRule type="expression" dxfId="1813" priority="33">
      <formula>J31="In Progress"</formula>
    </cfRule>
  </conditionalFormatting>
  <conditionalFormatting sqref="K14:K19">
    <cfRule type="expression" dxfId="1812" priority="7">
      <formula>$K14="Closed"</formula>
    </cfRule>
    <cfRule type="expression" dxfId="1811" priority="8">
      <formula>$K14="Complete"</formula>
    </cfRule>
    <cfRule type="expression" dxfId="1810" priority="9">
      <formula>$K14="Delayed"</formula>
    </cfRule>
    <cfRule type="expression" dxfId="1809" priority="10">
      <formula>$K14="On Hold"</formula>
    </cfRule>
    <cfRule type="expression" dxfId="1808" priority="11">
      <formula>$K14="In Progress"</formula>
    </cfRule>
  </conditionalFormatting>
  <conditionalFormatting sqref="K22:K26">
    <cfRule type="expression" dxfId="1807" priority="25">
      <formula>K22="Open"</formula>
    </cfRule>
    <cfRule type="expression" dxfId="1806" priority="26">
      <formula>K22="Pending"</formula>
    </cfRule>
    <cfRule type="expression" dxfId="1805" priority="27">
      <formula>K22="In Progress"</formula>
    </cfRule>
  </conditionalFormatting>
  <conditionalFormatting sqref="K24:K28">
    <cfRule type="expression" dxfId="1804" priority="17">
      <formula>$K24="Closed"</formula>
    </cfRule>
    <cfRule type="expression" dxfId="1803" priority="18">
      <formula>$K24="Complete"</formula>
    </cfRule>
    <cfRule type="expression" dxfId="1802" priority="19">
      <formula>$K24="Delayed"</formula>
    </cfRule>
    <cfRule type="expression" dxfId="1801" priority="20">
      <formula>$K24="On Hold"</formula>
    </cfRule>
    <cfRule type="expression" dxfId="1800" priority="21">
      <formula>$K24="In Progress"</formula>
    </cfRule>
  </conditionalFormatting>
  <dataValidations count="2">
    <dataValidation type="list" sqref="C14:C18 E23:E27 K14:K20 K24:K28" xr:uid="{00000000-0002-0000-0400-000000000000}">
      <formula1>"Not Started,Open,In Progress,Pending,On Hold,Delayed,Closed,Complete"</formula1>
      <formula2>0</formula2>
    </dataValidation>
    <dataValidation type="list" sqref="E5" xr:uid="{00000000-0002-0000-0400-000001000000}">
      <formula1>"Design,Procurement,Preconstruction,Award,Mobilization,Construction,Commissioning,Closeout"</formula1>
      <formula2>0</formula2>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DAA62-B4D4-414D-9CAA-A522A89271DF}">
  <dimension ref="A1:Q121"/>
  <sheetViews>
    <sheetView showGridLines="0" workbookViewId="0"/>
  </sheetViews>
  <sheetFormatPr defaultColWidth="8.6640625" defaultRowHeight="14.4"/>
  <cols>
    <col min="1" max="1" width="17.33203125" style="8" customWidth="1"/>
    <col min="2" max="2" width="34" style="8" customWidth="1"/>
    <col min="3" max="7" width="22" style="8" customWidth="1"/>
    <col min="8" max="12" width="24" style="8" customWidth="1"/>
    <col min="13" max="17" width="12" customWidth="1"/>
  </cols>
  <sheetData>
    <row r="1" spans="1:17" ht="11.25" customHeight="1">
      <c r="A1" s="14" t="s">
        <v>247</v>
      </c>
      <c r="B1" s="42"/>
      <c r="C1" s="42"/>
      <c r="D1" s="42"/>
      <c r="E1" s="42"/>
      <c r="F1" s="42"/>
      <c r="G1" s="42"/>
      <c r="H1" s="42"/>
      <c r="I1" s="42"/>
      <c r="J1" s="42"/>
      <c r="K1" s="42"/>
      <c r="L1" s="42"/>
      <c r="M1" s="14" t="str">
        <f>HYPERLINK("#'V4_Mission_Control'!A1","Mission")</f>
        <v>Mission</v>
      </c>
      <c r="N1" s="14" t="str">
        <f>HYPERLINK("#'Command_Center'!A1","Command")</f>
        <v>Command</v>
      </c>
      <c r="O1" s="14" t="str">
        <f>HYPERLINK("#'Building_View'!A1","Building")</f>
        <v>Building</v>
      </c>
      <c r="P1" s="14" t="str">
        <f>HYPERLINK("#'Risk_Register'!A1","Risks")</f>
        <v>Risks</v>
      </c>
      <c r="Q1" s="14" t="str">
        <f>HYPERLINK("#'PMIS_Data'!A1","Data")</f>
        <v>Data</v>
      </c>
    </row>
    <row r="2" spans="1:17" ht="20.25" customHeight="1">
      <c r="A2" s="15" t="s">
        <v>248</v>
      </c>
      <c r="B2" s="16"/>
      <c r="C2" s="16"/>
      <c r="D2" s="16"/>
      <c r="E2" s="16"/>
      <c r="F2" s="16"/>
      <c r="G2" s="16"/>
      <c r="H2" s="16"/>
      <c r="I2" s="16"/>
      <c r="J2" s="16"/>
      <c r="K2" s="16"/>
      <c r="L2" s="16"/>
    </row>
    <row r="4" spans="1:17" ht="79.5" customHeight="1">
      <c r="A4" s="20" t="s">
        <v>249</v>
      </c>
      <c r="B4" s="43" t="str">
        <f>PMIS_Home!$B$4</f>
        <v>Campus</v>
      </c>
      <c r="D4" s="43" t="s">
        <v>250</v>
      </c>
      <c r="E4" s="44"/>
      <c r="F4" s="44"/>
      <c r="G4" s="44"/>
      <c r="H4" s="44"/>
      <c r="I4" s="44"/>
      <c r="J4" s="44"/>
      <c r="K4" s="44"/>
      <c r="L4" s="44"/>
    </row>
    <row r="6" spans="1:17" ht="8.25" customHeight="1">
      <c r="A6" s="18" t="s">
        <v>251</v>
      </c>
      <c r="B6" s="19"/>
      <c r="C6" s="19"/>
      <c r="D6" s="19"/>
      <c r="E6" s="19"/>
      <c r="F6" s="19"/>
      <c r="G6" s="19"/>
      <c r="H6" s="19"/>
      <c r="I6" s="19"/>
      <c r="J6" s="19"/>
      <c r="K6" s="19"/>
      <c r="L6" s="19"/>
    </row>
    <row r="7" spans="1:17" ht="9.75" customHeight="1">
      <c r="A7" s="21" t="s">
        <v>142</v>
      </c>
      <c r="B7" s="45" t="str">
        <f>B4</f>
        <v>Campus</v>
      </c>
      <c r="C7" s="21" t="s">
        <v>161</v>
      </c>
      <c r="D7" s="45" t="e">
        <f>MAX(#REF!)</f>
        <v>#REF!</v>
      </c>
      <c r="E7" s="21" t="s">
        <v>192</v>
      </c>
      <c r="F7" s="45" t="e">
        <f>MAX(#REF!)</f>
        <v>#REF!</v>
      </c>
    </row>
    <row r="8" spans="1:17" ht="17.25" customHeight="1">
      <c r="A8" s="21" t="s">
        <v>252</v>
      </c>
      <c r="B8" s="45">
        <f>MAX(Existing_Conditions!$I$5:$I$200)</f>
        <v>0</v>
      </c>
      <c r="C8" s="21" t="s">
        <v>253</v>
      </c>
      <c r="D8" s="45">
        <f>MAX(Telecom_Rooms!$J$5:$J$200)</f>
        <v>0</v>
      </c>
      <c r="E8" s="21" t="s">
        <v>254</v>
      </c>
      <c r="F8" s="45">
        <f>MAX(Doc_Register!$L$5:$L$300)</f>
        <v>40</v>
      </c>
    </row>
    <row r="9" spans="1:17" ht="9.75" customHeight="1">
      <c r="A9" s="21" t="s">
        <v>178</v>
      </c>
      <c r="B9" s="45" t="e">
        <f>MAX(#REF!)</f>
        <v>#REF!</v>
      </c>
      <c r="C9" s="21" t="s">
        <v>179</v>
      </c>
      <c r="D9" s="45">
        <f>MAX(Shutdown_Tracker!$K$5:$K$300)</f>
        <v>0</v>
      </c>
      <c r="E9" s="21" t="s">
        <v>255</v>
      </c>
      <c r="F9" s="45">
        <f>MAX(Building_Stakeholders!$I$5:$I$200)</f>
        <v>3</v>
      </c>
    </row>
    <row r="10" spans="1:17" ht="14.25" customHeight="1">
      <c r="A10" s="46"/>
      <c r="B10" s="47"/>
    </row>
    <row r="11" spans="1:17" ht="8.25" customHeight="1">
      <c r="A11" s="18" t="s">
        <v>256</v>
      </c>
      <c r="B11" s="19"/>
      <c r="C11" s="19"/>
      <c r="D11" s="19"/>
      <c r="E11" s="19"/>
      <c r="F11" s="19"/>
      <c r="G11" s="19"/>
      <c r="H11" s="19"/>
      <c r="I11" s="19"/>
      <c r="J11" s="19"/>
      <c r="K11" s="19"/>
      <c r="L11" s="19"/>
    </row>
    <row r="12" spans="1:17" ht="13.5" customHeight="1">
      <c r="A12" s="48" t="s">
        <v>213</v>
      </c>
      <c r="B12" s="48" t="s">
        <v>214</v>
      </c>
      <c r="C12" s="48" t="s">
        <v>142</v>
      </c>
      <c r="D12" s="48" t="s">
        <v>218</v>
      </c>
      <c r="E12" s="48" t="s">
        <v>257</v>
      </c>
      <c r="F12" s="48" t="s">
        <v>215</v>
      </c>
      <c r="G12" s="48" t="s">
        <v>258</v>
      </c>
      <c r="H12" s="48" t="s">
        <v>259</v>
      </c>
      <c r="I12" s="48" t="s">
        <v>216</v>
      </c>
      <c r="J12" s="48" t="s">
        <v>77</v>
      </c>
      <c r="K12" s="48" t="s">
        <v>11</v>
      </c>
      <c r="L12" s="48" t="s">
        <v>260</v>
      </c>
    </row>
    <row r="13" spans="1:17" ht="14.25" customHeight="1">
      <c r="A13" s="49" t="str">
        <f>IFERROR(INDEX(#REF!,MATCH(ROWS($A$13:A13),#REF!,0)),"")</f>
        <v/>
      </c>
      <c r="B13" s="49" t="str">
        <f>IFERROR(INDEX(#REF!,MATCH(ROWS($A$13:B13),#REF!,0)),"")</f>
        <v/>
      </c>
      <c r="C13" s="49" t="str">
        <f>IFERROR(INDEX(#REF!,MATCH(ROWS($A$13:C13),#REF!,0)),"")</f>
        <v/>
      </c>
      <c r="D13" s="49" t="str">
        <f>IFERROR(INDEX(#REF!,MATCH(ROWS($A$13:D13),#REF!,0)),"")</f>
        <v/>
      </c>
      <c r="E13" s="49" t="str">
        <f>IFERROR(INDEX(#REF!,MATCH(ROWS($A$13:E13),#REF!,0)),"")</f>
        <v/>
      </c>
      <c r="F13" s="49" t="str">
        <f>IFERROR(INDEX(#REF!,MATCH(ROWS($A$13:F13),#REF!,0)),"")</f>
        <v/>
      </c>
      <c r="G13" s="49" t="str">
        <f>IFERROR(INDEX(#REF!,MATCH(ROWS($A$13:G13),#REF!,0)),"")</f>
        <v/>
      </c>
      <c r="H13" s="49" t="str">
        <f>IFERROR(INDEX(#REF!,MATCH(ROWS($A$13:H13),#REF!,0)),"")</f>
        <v/>
      </c>
      <c r="I13" s="49" t="str">
        <f>IFERROR(INDEX(#REF!,MATCH(ROWS($A$13:I13),#REF!,0)),"")</f>
        <v/>
      </c>
      <c r="J13" s="49" t="str">
        <f>IFERROR(INDEX(#REF!,MATCH(ROWS($A$13:J13),#REF!,0)),"")</f>
        <v/>
      </c>
      <c r="K13" s="49" t="str">
        <f>IFERROR(INDEX(#REF!,MATCH(ROWS($A$13:K13),#REF!,0)),"")</f>
        <v/>
      </c>
      <c r="L13" s="49" t="str">
        <f>IFERROR(INDEX(#REF!,MATCH(ROWS($A$13:L13),#REF!,0)),"")</f>
        <v/>
      </c>
    </row>
    <row r="14" spans="1:17" ht="11.25" customHeight="1">
      <c r="A14" s="49" t="str">
        <f>IFERROR(INDEX(#REF!,MATCH(ROWS($A$13:A14),#REF!,0)),"")</f>
        <v/>
      </c>
      <c r="B14" s="49" t="str">
        <f>IFERROR(INDEX(#REF!,MATCH(ROWS($A$13:B14),#REF!,0)),"")</f>
        <v/>
      </c>
      <c r="C14" s="49" t="str">
        <f>IFERROR(INDEX(#REF!,MATCH(ROWS($A$13:C14),#REF!,0)),"")</f>
        <v/>
      </c>
      <c r="D14" s="49" t="str">
        <f>IFERROR(INDEX(#REF!,MATCH(ROWS($A$13:D14),#REF!,0)),"")</f>
        <v/>
      </c>
      <c r="E14" s="49" t="str">
        <f>IFERROR(INDEX(#REF!,MATCH(ROWS($A$13:E14),#REF!,0)),"")</f>
        <v/>
      </c>
      <c r="F14" s="49" t="str">
        <f>IFERROR(INDEX(#REF!,MATCH(ROWS($A$13:F14),#REF!,0)),"")</f>
        <v/>
      </c>
      <c r="G14" s="49" t="str">
        <f>IFERROR(INDEX(#REF!,MATCH(ROWS($A$13:G14),#REF!,0)),"")</f>
        <v/>
      </c>
      <c r="H14" s="49" t="str">
        <f>IFERROR(INDEX(#REF!,MATCH(ROWS($A$13:H14),#REF!,0)),"")</f>
        <v/>
      </c>
      <c r="I14" s="49" t="str">
        <f>IFERROR(INDEX(#REF!,MATCH(ROWS($A$13:I14),#REF!,0)),"")</f>
        <v/>
      </c>
      <c r="J14" s="49" t="str">
        <f>IFERROR(INDEX(#REF!,MATCH(ROWS($A$13:J14),#REF!,0)),"")</f>
        <v/>
      </c>
      <c r="K14" s="49" t="str">
        <f>IFERROR(INDEX(#REF!,MATCH(ROWS($A$13:K14),#REF!,0)),"")</f>
        <v/>
      </c>
      <c r="L14" s="49" t="str">
        <f>IFERROR(INDEX(#REF!,MATCH(ROWS($A$13:L14),#REF!,0)),"")</f>
        <v/>
      </c>
    </row>
    <row r="15" spans="1:17" ht="14.25" customHeight="1">
      <c r="A15" s="49" t="str">
        <f>IFERROR(INDEX(#REF!,MATCH(ROWS($A$13:A15),#REF!,0)),"")</f>
        <v/>
      </c>
      <c r="B15" s="49" t="str">
        <f>IFERROR(INDEX(#REF!,MATCH(ROWS($A$13:B15),#REF!,0)),"")</f>
        <v/>
      </c>
      <c r="C15" s="49" t="str">
        <f>IFERROR(INDEX(#REF!,MATCH(ROWS($A$13:C15),#REF!,0)),"")</f>
        <v/>
      </c>
      <c r="D15" s="49" t="str">
        <f>IFERROR(INDEX(#REF!,MATCH(ROWS($A$13:D15),#REF!,0)),"")</f>
        <v/>
      </c>
      <c r="E15" s="49" t="str">
        <f>IFERROR(INDEX(#REF!,MATCH(ROWS($A$13:E15),#REF!,0)),"")</f>
        <v/>
      </c>
      <c r="F15" s="49" t="str">
        <f>IFERROR(INDEX(#REF!,MATCH(ROWS($A$13:F15),#REF!,0)),"")</f>
        <v/>
      </c>
      <c r="G15" s="49" t="str">
        <f>IFERROR(INDEX(#REF!,MATCH(ROWS($A$13:G15),#REF!,0)),"")</f>
        <v/>
      </c>
      <c r="H15" s="49" t="str">
        <f>IFERROR(INDEX(#REF!,MATCH(ROWS($A$13:H15),#REF!,0)),"")</f>
        <v/>
      </c>
      <c r="I15" s="49" t="str">
        <f>IFERROR(INDEX(#REF!,MATCH(ROWS($A$13:I15),#REF!,0)),"")</f>
        <v/>
      </c>
      <c r="J15" s="49" t="str">
        <f>IFERROR(INDEX(#REF!,MATCH(ROWS($A$13:J15),#REF!,0)),"")</f>
        <v/>
      </c>
      <c r="K15" s="49" t="str">
        <f>IFERROR(INDEX(#REF!,MATCH(ROWS($A$13:K15),#REF!,0)),"")</f>
        <v/>
      </c>
      <c r="L15" s="49" t="str">
        <f>IFERROR(INDEX(#REF!,MATCH(ROWS($A$13:L15),#REF!,0)),"")</f>
        <v/>
      </c>
    </row>
    <row r="16" spans="1:17" ht="14.25" customHeight="1">
      <c r="A16" s="49" t="str">
        <f>IFERROR(INDEX(#REF!,MATCH(ROWS($A$13:A16),#REF!,0)),"")</f>
        <v/>
      </c>
      <c r="B16" s="49" t="str">
        <f>IFERROR(INDEX(#REF!,MATCH(ROWS($A$13:B16),#REF!,0)),"")</f>
        <v/>
      </c>
      <c r="C16" s="49" t="str">
        <f>IFERROR(INDEX(#REF!,MATCH(ROWS($A$13:C16),#REF!,0)),"")</f>
        <v/>
      </c>
      <c r="D16" s="49" t="str">
        <f>IFERROR(INDEX(#REF!,MATCH(ROWS($A$13:D16),#REF!,0)),"")</f>
        <v/>
      </c>
      <c r="E16" s="49" t="str">
        <f>IFERROR(INDEX(#REF!,MATCH(ROWS($A$13:E16),#REF!,0)),"")</f>
        <v/>
      </c>
      <c r="F16" s="49" t="str">
        <f>IFERROR(INDEX(#REF!,MATCH(ROWS($A$13:F16),#REF!,0)),"")</f>
        <v/>
      </c>
      <c r="G16" s="49" t="str">
        <f>IFERROR(INDEX(#REF!,MATCH(ROWS($A$13:G16),#REF!,0)),"")</f>
        <v/>
      </c>
      <c r="H16" s="49" t="str">
        <f>IFERROR(INDEX(#REF!,MATCH(ROWS($A$13:H16),#REF!,0)),"")</f>
        <v/>
      </c>
      <c r="I16" s="49" t="str">
        <f>IFERROR(INDEX(#REF!,MATCH(ROWS($A$13:I16),#REF!,0)),"")</f>
        <v/>
      </c>
      <c r="J16" s="49" t="str">
        <f>IFERROR(INDEX(#REF!,MATCH(ROWS($A$13:J16),#REF!,0)),"")</f>
        <v/>
      </c>
      <c r="K16" s="49" t="str">
        <f>IFERROR(INDEX(#REF!,MATCH(ROWS($A$13:K16),#REF!,0)),"")</f>
        <v/>
      </c>
      <c r="L16" s="49" t="str">
        <f>IFERROR(INDEX(#REF!,MATCH(ROWS($A$13:L16),#REF!,0)),"")</f>
        <v/>
      </c>
    </row>
    <row r="17" spans="1:12" ht="14.25" customHeight="1">
      <c r="A17" s="49" t="str">
        <f>IFERROR(INDEX(#REF!,MATCH(ROWS($A$13:A17),#REF!,0)),"")</f>
        <v/>
      </c>
      <c r="B17" s="49" t="str">
        <f>IFERROR(INDEX(#REF!,MATCH(ROWS($A$13:B17),#REF!,0)),"")</f>
        <v/>
      </c>
      <c r="C17" s="49" t="str">
        <f>IFERROR(INDEX(#REF!,MATCH(ROWS($A$13:C17),#REF!,0)),"")</f>
        <v/>
      </c>
      <c r="D17" s="49" t="str">
        <f>IFERROR(INDEX(#REF!,MATCH(ROWS($A$13:D17),#REF!,0)),"")</f>
        <v/>
      </c>
      <c r="E17" s="49" t="str">
        <f>IFERROR(INDEX(#REF!,MATCH(ROWS($A$13:E17),#REF!,0)),"")</f>
        <v/>
      </c>
      <c r="F17" s="49" t="str">
        <f>IFERROR(INDEX(#REF!,MATCH(ROWS($A$13:F17),#REF!,0)),"")</f>
        <v/>
      </c>
      <c r="G17" s="49" t="str">
        <f>IFERROR(INDEX(#REF!,MATCH(ROWS($A$13:G17),#REF!,0)),"")</f>
        <v/>
      </c>
      <c r="H17" s="49" t="str">
        <f>IFERROR(INDEX(#REF!,MATCH(ROWS($A$13:H17),#REF!,0)),"")</f>
        <v/>
      </c>
      <c r="I17" s="49" t="str">
        <f>IFERROR(INDEX(#REF!,MATCH(ROWS($A$13:I17),#REF!,0)),"")</f>
        <v/>
      </c>
      <c r="J17" s="49" t="str">
        <f>IFERROR(INDEX(#REF!,MATCH(ROWS($A$13:J17),#REF!,0)),"")</f>
        <v/>
      </c>
      <c r="K17" s="49" t="str">
        <f>IFERROR(INDEX(#REF!,MATCH(ROWS($A$13:K17),#REF!,0)),"")</f>
        <v/>
      </c>
      <c r="L17" s="49" t="str">
        <f>IFERROR(INDEX(#REF!,MATCH(ROWS($A$13:L17),#REF!,0)),"")</f>
        <v/>
      </c>
    </row>
    <row r="18" spans="1:12" ht="13.5" customHeight="1">
      <c r="A18" s="13"/>
      <c r="B18" s="13"/>
      <c r="C18" s="13"/>
      <c r="D18" s="13"/>
      <c r="E18" s="13"/>
      <c r="F18" s="13"/>
      <c r="G18" s="13"/>
      <c r="H18" s="13"/>
      <c r="I18" s="13"/>
      <c r="J18" s="13"/>
      <c r="K18" s="13"/>
      <c r="L18" s="13"/>
    </row>
    <row r="19" spans="1:12" ht="13.5" customHeight="1">
      <c r="A19" s="13"/>
      <c r="B19" s="13"/>
      <c r="C19" s="13"/>
      <c r="D19" s="13"/>
      <c r="E19" s="13"/>
      <c r="F19" s="13"/>
      <c r="G19" s="13"/>
      <c r="H19" s="13"/>
      <c r="I19" s="13"/>
      <c r="J19" s="13"/>
      <c r="K19" s="13"/>
      <c r="L19" s="13"/>
    </row>
    <row r="20" spans="1:12" ht="14.25" customHeight="1">
      <c r="A20" s="18" t="s">
        <v>261</v>
      </c>
      <c r="B20" s="19"/>
      <c r="C20" s="19"/>
      <c r="D20" s="19"/>
      <c r="E20" s="19"/>
      <c r="F20" s="19"/>
      <c r="G20" s="19"/>
      <c r="H20" s="19"/>
      <c r="I20" s="19"/>
      <c r="J20" s="19"/>
      <c r="K20" s="13"/>
      <c r="L20" s="13"/>
    </row>
    <row r="21" spans="1:12" ht="13.5" customHeight="1">
      <c r="A21" s="48" t="s">
        <v>262</v>
      </c>
      <c r="B21" s="48" t="s">
        <v>263</v>
      </c>
      <c r="C21" s="48" t="s">
        <v>264</v>
      </c>
      <c r="D21" s="48" t="s">
        <v>142</v>
      </c>
      <c r="E21" s="48" t="s">
        <v>218</v>
      </c>
      <c r="F21" s="48" t="s">
        <v>265</v>
      </c>
      <c r="G21" s="48" t="s">
        <v>266</v>
      </c>
      <c r="H21" s="48" t="s">
        <v>224</v>
      </c>
      <c r="I21" s="48" t="s">
        <v>77</v>
      </c>
      <c r="J21" s="48" t="s">
        <v>11</v>
      </c>
      <c r="K21" s="13"/>
      <c r="L21" s="13"/>
    </row>
    <row r="22" spans="1:12" ht="21.75" customHeight="1">
      <c r="A22" s="49" t="str">
        <f>IFERROR(INDEX(#REF!,MATCH(ROWS($A$22:A22),#REF!,0)),"")</f>
        <v/>
      </c>
      <c r="B22" s="49" t="str">
        <f>IFERROR(INDEX(#REF!,MATCH(ROWS($A$22:B22),#REF!,0)),"")</f>
        <v/>
      </c>
      <c r="C22" s="49" t="str">
        <f>IFERROR(INDEX(#REF!,MATCH(ROWS($A$22:C22),#REF!,0)),"")</f>
        <v/>
      </c>
      <c r="D22" s="49" t="str">
        <f>IFERROR(INDEX(#REF!,MATCH(ROWS($A$22:D22),#REF!,0)),"")</f>
        <v/>
      </c>
      <c r="E22" s="49" t="str">
        <f>IFERROR(INDEX(#REF!,MATCH(ROWS($A$22:E22),#REF!,0)),"")</f>
        <v/>
      </c>
      <c r="F22" s="49" t="str">
        <f>IFERROR(INDEX(#REF!,MATCH(ROWS($A$22:F22),#REF!,0)),"")</f>
        <v/>
      </c>
      <c r="G22" s="49" t="str">
        <f>IFERROR(INDEX(#REF!,MATCH(ROWS($A$22:G22),#REF!,0)),"")</f>
        <v/>
      </c>
      <c r="H22" s="49" t="str">
        <f>IFERROR(INDEX(#REF!,MATCH(ROWS($A$22:H22),#REF!,0)),"")</f>
        <v/>
      </c>
      <c r="I22" s="49" t="str">
        <f>IFERROR(INDEX(#REF!,MATCH(ROWS($A$22:I22),#REF!,0)),"")</f>
        <v/>
      </c>
      <c r="J22" s="49" t="str">
        <f>IFERROR(INDEX(#REF!,MATCH(ROWS($A$22:J22),#REF!,0)),"")</f>
        <v/>
      </c>
      <c r="K22" s="13"/>
      <c r="L22" s="13"/>
    </row>
    <row r="23" spans="1:12" ht="14.25" customHeight="1">
      <c r="A23" s="49" t="str">
        <f>IFERROR(INDEX(#REF!,MATCH(ROWS($A$22:A23),#REF!,0)),"")</f>
        <v/>
      </c>
      <c r="B23" s="49" t="str">
        <f>IFERROR(INDEX(#REF!,MATCH(ROWS($A$22:B23),#REF!,0)),"")</f>
        <v/>
      </c>
      <c r="C23" s="49" t="str">
        <f>IFERROR(INDEX(#REF!,MATCH(ROWS($A$22:C23),#REF!,0)),"")</f>
        <v/>
      </c>
      <c r="D23" s="49" t="str">
        <f>IFERROR(INDEX(#REF!,MATCH(ROWS($A$22:D23),#REF!,0)),"")</f>
        <v/>
      </c>
      <c r="E23" s="49" t="str">
        <f>IFERROR(INDEX(#REF!,MATCH(ROWS($A$22:E23),#REF!,0)),"")</f>
        <v/>
      </c>
      <c r="F23" s="49" t="str">
        <f>IFERROR(INDEX(#REF!,MATCH(ROWS($A$22:F23),#REF!,0)),"")</f>
        <v/>
      </c>
      <c r="G23" s="49" t="str">
        <f>IFERROR(INDEX(#REF!,MATCH(ROWS($A$22:G23),#REF!,0)),"")</f>
        <v/>
      </c>
      <c r="H23" s="49" t="str">
        <f>IFERROR(INDEX(#REF!,MATCH(ROWS($A$22:H23),#REF!,0)),"")</f>
        <v/>
      </c>
      <c r="I23" s="49" t="str">
        <f>IFERROR(INDEX(#REF!,MATCH(ROWS($A$22:I23),#REF!,0)),"")</f>
        <v/>
      </c>
      <c r="J23" s="49" t="str">
        <f>IFERROR(INDEX(#REF!,MATCH(ROWS($A$22:J23),#REF!,0)),"")</f>
        <v/>
      </c>
    </row>
    <row r="24" spans="1:12" ht="8.25" customHeight="1">
      <c r="A24" s="49" t="str">
        <f>IFERROR(INDEX(#REF!,MATCH(ROWS($A$22:A24),#REF!,0)),"")</f>
        <v/>
      </c>
      <c r="B24" s="49" t="str">
        <f>IFERROR(INDEX(#REF!,MATCH(ROWS($A$22:B24),#REF!,0)),"")</f>
        <v/>
      </c>
      <c r="C24" s="49" t="str">
        <f>IFERROR(INDEX(#REF!,MATCH(ROWS($A$22:C24),#REF!,0)),"")</f>
        <v/>
      </c>
      <c r="D24" s="49" t="str">
        <f>IFERROR(INDEX(#REF!,MATCH(ROWS($A$22:D24),#REF!,0)),"")</f>
        <v/>
      </c>
      <c r="E24" s="49" t="str">
        <f>IFERROR(INDEX(#REF!,MATCH(ROWS($A$22:E24),#REF!,0)),"")</f>
        <v/>
      </c>
      <c r="F24" s="49" t="str">
        <f>IFERROR(INDEX(#REF!,MATCH(ROWS($A$22:F24),#REF!,0)),"")</f>
        <v/>
      </c>
      <c r="G24" s="49" t="str">
        <f>IFERROR(INDEX(#REF!,MATCH(ROWS($A$22:G24),#REF!,0)),"")</f>
        <v/>
      </c>
      <c r="H24" s="49" t="str">
        <f>IFERROR(INDEX(#REF!,MATCH(ROWS($A$22:H24),#REF!,0)),"")</f>
        <v/>
      </c>
      <c r="I24" s="49" t="str">
        <f>IFERROR(INDEX(#REF!,MATCH(ROWS($A$22:I24),#REF!,0)),"")</f>
        <v/>
      </c>
      <c r="J24" s="49" t="str">
        <f>IFERROR(INDEX(#REF!,MATCH(ROWS($A$22:J24),#REF!,0)),"")</f>
        <v/>
      </c>
      <c r="K24" s="11"/>
      <c r="L24" s="11"/>
    </row>
    <row r="25" spans="1:12" ht="14.25" customHeight="1">
      <c r="A25" s="49" t="str">
        <f>IFERROR(INDEX(#REF!,MATCH(ROWS($A$22:A25),#REF!,0)),"")</f>
        <v/>
      </c>
      <c r="B25" s="49" t="str">
        <f>IFERROR(INDEX(#REF!,MATCH(ROWS($A$22:B25),#REF!,0)),"")</f>
        <v/>
      </c>
      <c r="C25" s="49" t="str">
        <f>IFERROR(INDEX(#REF!,MATCH(ROWS($A$22:C25),#REF!,0)),"")</f>
        <v/>
      </c>
      <c r="D25" s="49" t="str">
        <f>IFERROR(INDEX(#REF!,MATCH(ROWS($A$22:D25),#REF!,0)),"")</f>
        <v/>
      </c>
      <c r="E25" s="49" t="str">
        <f>IFERROR(INDEX(#REF!,MATCH(ROWS($A$22:E25),#REF!,0)),"")</f>
        <v/>
      </c>
      <c r="F25" s="49" t="str">
        <f>IFERROR(INDEX(#REF!,MATCH(ROWS($A$22:F25),#REF!,0)),"")</f>
        <v/>
      </c>
      <c r="G25" s="49" t="str">
        <f>IFERROR(INDEX(#REF!,MATCH(ROWS($A$22:G25),#REF!,0)),"")</f>
        <v/>
      </c>
      <c r="H25" s="49" t="str">
        <f>IFERROR(INDEX(#REF!,MATCH(ROWS($A$22:H25),#REF!,0)),"")</f>
        <v/>
      </c>
      <c r="I25" s="49" t="str">
        <f>IFERROR(INDEX(#REF!,MATCH(ROWS($A$22:I25),#REF!,0)),"")</f>
        <v/>
      </c>
      <c r="J25" s="49" t="str">
        <f>IFERROR(INDEX(#REF!,MATCH(ROWS($A$22:J25),#REF!,0)),"")</f>
        <v/>
      </c>
    </row>
    <row r="26" spans="1:12" ht="14.25" hidden="1" customHeight="1">
      <c r="A26" s="49" t="str">
        <f>IFERROR(INDEX(#REF!,MATCH(ROWS($A$22:A26),#REF!,0)),"")</f>
        <v/>
      </c>
      <c r="B26" s="49" t="str">
        <f>IFERROR(INDEX(#REF!,MATCH(ROWS($A$22:B26),#REF!,0)),"")</f>
        <v/>
      </c>
      <c r="C26" s="49" t="str">
        <f>IFERROR(INDEX(#REF!,MATCH(ROWS($A$22:C26),#REF!,0)),"")</f>
        <v/>
      </c>
      <c r="D26" s="49" t="str">
        <f>IFERROR(INDEX(#REF!,MATCH(ROWS($A$22:D26),#REF!,0)),"")</f>
        <v/>
      </c>
      <c r="E26" s="49" t="str">
        <f>IFERROR(INDEX(#REF!,MATCH(ROWS($A$22:E26),#REF!,0)),"")</f>
        <v/>
      </c>
      <c r="F26" s="49" t="str">
        <f>IFERROR(INDEX(#REF!,MATCH(ROWS($A$22:F26),#REF!,0)),"")</f>
        <v/>
      </c>
      <c r="G26" s="49" t="str">
        <f>IFERROR(INDEX(#REF!,MATCH(ROWS($A$22:G26),#REF!,0)),"")</f>
        <v/>
      </c>
      <c r="H26" s="49" t="str">
        <f>IFERROR(INDEX(#REF!,MATCH(ROWS($A$22:H26),#REF!,0)),"")</f>
        <v/>
      </c>
      <c r="I26" s="49" t="str">
        <f>IFERROR(INDEX(#REF!,MATCH(ROWS($A$22:I26),#REF!,0)),"")</f>
        <v/>
      </c>
      <c r="J26" s="49" t="str">
        <f>IFERROR(INDEX(#REF!,MATCH(ROWS($A$22:J26),#REF!,0)),"")</f>
        <v/>
      </c>
    </row>
    <row r="27" spans="1:12" ht="14.25" hidden="1" customHeight="1">
      <c r="A27" s="13"/>
      <c r="B27" s="13"/>
      <c r="C27" s="13"/>
      <c r="D27" s="13"/>
      <c r="E27" s="13"/>
      <c r="F27" s="13"/>
      <c r="G27" s="13"/>
      <c r="H27" s="13"/>
      <c r="I27" s="13"/>
      <c r="J27" s="13"/>
    </row>
    <row r="28" spans="1:12" ht="14.25" hidden="1" customHeight="1">
      <c r="A28" s="13"/>
      <c r="B28" s="13"/>
      <c r="C28" s="13"/>
      <c r="D28" s="13"/>
      <c r="E28" s="13"/>
      <c r="F28" s="13"/>
      <c r="G28" s="13"/>
      <c r="H28" s="13"/>
      <c r="I28" s="13"/>
      <c r="J28" s="13"/>
    </row>
    <row r="29" spans="1:12" ht="17.25" customHeight="1">
      <c r="A29" s="18" t="s">
        <v>267</v>
      </c>
      <c r="B29" s="19"/>
      <c r="C29" s="19"/>
      <c r="D29" s="19"/>
      <c r="E29" s="19"/>
      <c r="F29" s="19"/>
      <c r="G29" s="19"/>
      <c r="H29" s="19"/>
      <c r="I29" s="13"/>
      <c r="J29" s="13"/>
    </row>
    <row r="30" spans="1:12" ht="14.25" customHeight="1">
      <c r="A30" s="48" t="s">
        <v>142</v>
      </c>
      <c r="B30" s="48" t="s">
        <v>268</v>
      </c>
      <c r="C30" s="48" t="s">
        <v>269</v>
      </c>
      <c r="D30" s="48" t="s">
        <v>270</v>
      </c>
      <c r="E30" s="48" t="s">
        <v>271</v>
      </c>
      <c r="F30" s="48" t="s">
        <v>272</v>
      </c>
      <c r="G30" s="48" t="s">
        <v>273</v>
      </c>
      <c r="H30" s="48" t="s">
        <v>263</v>
      </c>
      <c r="I30" s="13"/>
      <c r="J30" s="13"/>
    </row>
    <row r="31" spans="1:12" ht="14.25" customHeight="1">
      <c r="A31" s="49" t="str">
        <f>IFERROR(INDEX(Existing_Conditions!$A$5:$A$300,MATCH(ROWS($A$31:A31),Existing_Conditions!$I$5:$I$300,0)),"")</f>
        <v/>
      </c>
      <c r="B31" s="49" t="str">
        <f>IFERROR(INDEX(Existing_Conditions!$B$5:$B$300,MATCH(ROWS($A$31:B31),Existing_Conditions!$I$5:$I$300,0)),"")</f>
        <v/>
      </c>
      <c r="C31" s="49" t="str">
        <f>IFERROR(INDEX(Existing_Conditions!$C$5:$C$300,MATCH(ROWS($A$31:C31),Existing_Conditions!$I$5:$I$300,0)),"")</f>
        <v/>
      </c>
      <c r="D31" s="49" t="str">
        <f>IFERROR(INDEX(Existing_Conditions!$D$5:$D$300,MATCH(ROWS($A$31:D31),Existing_Conditions!$I$5:$I$300,0)),"")</f>
        <v/>
      </c>
      <c r="E31" s="49" t="str">
        <f>IFERROR(INDEX(Existing_Conditions!$E$5:$E$300,MATCH(ROWS($A$31:E31),Existing_Conditions!$I$5:$I$300,0)),"")</f>
        <v/>
      </c>
      <c r="F31" s="49" t="str">
        <f>IFERROR(INDEX(Existing_Conditions!$F$5:$F$300,MATCH(ROWS($A$31:F31),Existing_Conditions!$I$5:$I$300,0)),"")</f>
        <v/>
      </c>
      <c r="G31" s="49" t="str">
        <f>IFERROR(INDEX(Existing_Conditions!$G$5:$G$300,MATCH(ROWS($A$31:G31),Existing_Conditions!$I$5:$I$300,0)),"")</f>
        <v/>
      </c>
      <c r="H31" s="49" t="str">
        <f>IFERROR(INDEX(Existing_Conditions!$H$5:$H$300,MATCH(ROWS($A$31:H31),Existing_Conditions!$I$5:$I$300,0)),"")</f>
        <v/>
      </c>
      <c r="I31" s="13"/>
      <c r="J31" s="13"/>
    </row>
    <row r="32" spans="1:12" ht="14.25" hidden="1" customHeight="1">
      <c r="A32" s="49" t="str">
        <f>IFERROR(INDEX(Existing_Conditions!$A$5:$A$300,MATCH(ROWS($A$31:A32),Existing_Conditions!$I$5:$I$300,0)),"")</f>
        <v/>
      </c>
      <c r="B32" s="49" t="str">
        <f>IFERROR(INDEX(Existing_Conditions!$B$5:$B$300,MATCH(ROWS($A$31:B32),Existing_Conditions!$I$5:$I$300,0)),"")</f>
        <v/>
      </c>
      <c r="C32" s="49" t="str">
        <f>IFERROR(INDEX(Existing_Conditions!$C$5:$C$300,MATCH(ROWS($A$31:C32),Existing_Conditions!$I$5:$I$300,0)),"")</f>
        <v/>
      </c>
      <c r="D32" s="49" t="str">
        <f>IFERROR(INDEX(Existing_Conditions!$D$5:$D$300,MATCH(ROWS($A$31:D32),Existing_Conditions!$I$5:$I$300,0)),"")</f>
        <v/>
      </c>
      <c r="E32" s="49" t="str">
        <f>IFERROR(INDEX(Existing_Conditions!$E$5:$E$300,MATCH(ROWS($A$31:E32),Existing_Conditions!$I$5:$I$300,0)),"")</f>
        <v/>
      </c>
      <c r="F32" s="49" t="str">
        <f>IFERROR(INDEX(Existing_Conditions!$F$5:$F$300,MATCH(ROWS($A$31:F32),Existing_Conditions!$I$5:$I$300,0)),"")</f>
        <v/>
      </c>
      <c r="G32" s="49" t="str">
        <f>IFERROR(INDEX(Existing_Conditions!$G$5:$G$300,MATCH(ROWS($A$31:G32),Existing_Conditions!$I$5:$I$300,0)),"")</f>
        <v/>
      </c>
      <c r="H32" s="49" t="str">
        <f>IFERROR(INDEX(Existing_Conditions!$H$5:$H$300,MATCH(ROWS($A$31:H32),Existing_Conditions!$I$5:$I$300,0)),"")</f>
        <v/>
      </c>
      <c r="I32" s="13"/>
      <c r="J32" s="13"/>
    </row>
    <row r="33" spans="1:12" ht="14.25" hidden="1" customHeight="1">
      <c r="A33" s="49" t="str">
        <f>IFERROR(INDEX(Existing_Conditions!$A$5:$A$300,MATCH(ROWS($A$31:A33),Existing_Conditions!$I$5:$I$300,0)),"")</f>
        <v/>
      </c>
      <c r="B33" s="49" t="str">
        <f>IFERROR(INDEX(Existing_Conditions!$B$5:$B$300,MATCH(ROWS($A$31:B33),Existing_Conditions!$I$5:$I$300,0)),"")</f>
        <v/>
      </c>
      <c r="C33" s="49" t="str">
        <f>IFERROR(INDEX(Existing_Conditions!$C$5:$C$300,MATCH(ROWS($A$31:C33),Existing_Conditions!$I$5:$I$300,0)),"")</f>
        <v/>
      </c>
      <c r="D33" s="49" t="str">
        <f>IFERROR(INDEX(Existing_Conditions!$D$5:$D$300,MATCH(ROWS($A$31:D33),Existing_Conditions!$I$5:$I$300,0)),"")</f>
        <v/>
      </c>
      <c r="E33" s="49" t="str">
        <f>IFERROR(INDEX(Existing_Conditions!$E$5:$E$300,MATCH(ROWS($A$31:E33),Existing_Conditions!$I$5:$I$300,0)),"")</f>
        <v/>
      </c>
      <c r="F33" s="49" t="str">
        <f>IFERROR(INDEX(Existing_Conditions!$F$5:$F$300,MATCH(ROWS($A$31:F33),Existing_Conditions!$I$5:$I$300,0)),"")</f>
        <v/>
      </c>
      <c r="G33" s="49" t="str">
        <f>IFERROR(INDEX(Existing_Conditions!$G$5:$G$300,MATCH(ROWS($A$31:G33),Existing_Conditions!$I$5:$I$300,0)),"")</f>
        <v/>
      </c>
      <c r="H33" s="49" t="str">
        <f>IFERROR(INDEX(Existing_Conditions!$H$5:$H$300,MATCH(ROWS($A$31:H33),Existing_Conditions!$I$5:$I$300,0)),"")</f>
        <v/>
      </c>
      <c r="I33" s="13"/>
      <c r="J33" s="13"/>
    </row>
    <row r="34" spans="1:12" ht="14.25" hidden="1" customHeight="1">
      <c r="A34" s="49" t="str">
        <f>IFERROR(INDEX(Existing_Conditions!$A$5:$A$300,MATCH(ROWS($A$31:A34),Existing_Conditions!$I$5:$I$300,0)),"")</f>
        <v/>
      </c>
      <c r="B34" s="49" t="str">
        <f>IFERROR(INDEX(Existing_Conditions!$B$5:$B$300,MATCH(ROWS($A$31:B34),Existing_Conditions!$I$5:$I$300,0)),"")</f>
        <v/>
      </c>
      <c r="C34" s="49" t="str">
        <f>IFERROR(INDEX(Existing_Conditions!$C$5:$C$300,MATCH(ROWS($A$31:C34),Existing_Conditions!$I$5:$I$300,0)),"")</f>
        <v/>
      </c>
      <c r="D34" s="49" t="str">
        <f>IFERROR(INDEX(Existing_Conditions!$D$5:$D$300,MATCH(ROWS($A$31:D34),Existing_Conditions!$I$5:$I$300,0)),"")</f>
        <v/>
      </c>
      <c r="E34" s="49" t="str">
        <f>IFERROR(INDEX(Existing_Conditions!$E$5:$E$300,MATCH(ROWS($A$31:E34),Existing_Conditions!$I$5:$I$300,0)),"")</f>
        <v/>
      </c>
      <c r="F34" s="49" t="str">
        <f>IFERROR(INDEX(Existing_Conditions!$F$5:$F$300,MATCH(ROWS($A$31:F34),Existing_Conditions!$I$5:$I$300,0)),"")</f>
        <v/>
      </c>
      <c r="G34" s="49" t="str">
        <f>IFERROR(INDEX(Existing_Conditions!$G$5:$G$300,MATCH(ROWS($A$31:G34),Existing_Conditions!$I$5:$I$300,0)),"")</f>
        <v/>
      </c>
      <c r="H34" s="49" t="str">
        <f>IFERROR(INDEX(Existing_Conditions!$H$5:$H$300,MATCH(ROWS($A$31:H34),Existing_Conditions!$I$5:$I$300,0)),"")</f>
        <v/>
      </c>
      <c r="I34" s="13"/>
      <c r="J34" s="13"/>
    </row>
    <row r="35" spans="1:12" ht="14.25" hidden="1" customHeight="1">
      <c r="A35" s="49" t="str">
        <f>IFERROR(INDEX(Existing_Conditions!$A$5:$A$300,MATCH(ROWS($A$31:A35),Existing_Conditions!$I$5:$I$300,0)),"")</f>
        <v/>
      </c>
      <c r="B35" s="49" t="str">
        <f>IFERROR(INDEX(Existing_Conditions!$B$5:$B$300,MATCH(ROWS($A$31:B35),Existing_Conditions!$I$5:$I$300,0)),"")</f>
        <v/>
      </c>
      <c r="C35" s="49" t="str">
        <f>IFERROR(INDEX(Existing_Conditions!$C$5:$C$300,MATCH(ROWS($A$31:C35),Existing_Conditions!$I$5:$I$300,0)),"")</f>
        <v/>
      </c>
      <c r="D35" s="49" t="str">
        <f>IFERROR(INDEX(Existing_Conditions!$D$5:$D$300,MATCH(ROWS($A$31:D35),Existing_Conditions!$I$5:$I$300,0)),"")</f>
        <v/>
      </c>
      <c r="E35" s="49" t="str">
        <f>IFERROR(INDEX(Existing_Conditions!$E$5:$E$300,MATCH(ROWS($A$31:E35),Existing_Conditions!$I$5:$I$300,0)),"")</f>
        <v/>
      </c>
      <c r="F35" s="49" t="str">
        <f>IFERROR(INDEX(Existing_Conditions!$F$5:$F$300,MATCH(ROWS($A$31:F35),Existing_Conditions!$I$5:$I$300,0)),"")</f>
        <v/>
      </c>
      <c r="G35" s="49" t="str">
        <f>IFERROR(INDEX(Existing_Conditions!$G$5:$G$300,MATCH(ROWS($A$31:G35),Existing_Conditions!$I$5:$I$300,0)),"")</f>
        <v/>
      </c>
      <c r="H35" s="49" t="str">
        <f>IFERROR(INDEX(Existing_Conditions!$H$5:$H$300,MATCH(ROWS($A$31:H35),Existing_Conditions!$I$5:$I$300,0)),"")</f>
        <v/>
      </c>
      <c r="I35" s="13"/>
      <c r="J35" s="13"/>
    </row>
    <row r="36" spans="1:12" ht="14.25" hidden="1" customHeight="1"/>
    <row r="37" spans="1:12" ht="8.25" customHeight="1">
      <c r="A37" s="11"/>
      <c r="B37" s="11"/>
      <c r="C37" s="11"/>
      <c r="D37" s="11"/>
      <c r="E37" s="11"/>
      <c r="F37" s="11"/>
      <c r="G37" s="11"/>
      <c r="H37" s="11"/>
      <c r="I37" s="11"/>
      <c r="J37" s="11"/>
      <c r="K37" s="11"/>
      <c r="L37" s="11"/>
    </row>
    <row r="38" spans="1:12" ht="17.25" customHeight="1">
      <c r="A38" s="18" t="s">
        <v>274</v>
      </c>
      <c r="B38" s="19"/>
      <c r="C38" s="19"/>
      <c r="D38" s="19"/>
      <c r="E38" s="19"/>
      <c r="F38" s="19"/>
      <c r="G38" s="19"/>
      <c r="H38" s="19"/>
      <c r="I38" s="19"/>
    </row>
    <row r="39" spans="1:12" ht="14.25" customHeight="1">
      <c r="A39" s="48" t="s">
        <v>142</v>
      </c>
      <c r="B39" s="48" t="s">
        <v>275</v>
      </c>
      <c r="C39" s="48" t="s">
        <v>276</v>
      </c>
      <c r="D39" s="48" t="s">
        <v>277</v>
      </c>
      <c r="E39" s="48" t="s">
        <v>278</v>
      </c>
      <c r="F39" s="48" t="s">
        <v>279</v>
      </c>
      <c r="G39" s="48" t="s">
        <v>280</v>
      </c>
      <c r="H39" s="48" t="s">
        <v>174</v>
      </c>
      <c r="I39" s="48" t="s">
        <v>11</v>
      </c>
    </row>
    <row r="40" spans="1:12" ht="14.25" customHeight="1">
      <c r="A40" s="49" t="str">
        <f>IFERROR(INDEX(Telecom_Rooms!$A$5:$A$300,MATCH(ROWS($A$40:A40),Telecom_Rooms!$J$5:$J$300,0)),"")</f>
        <v/>
      </c>
      <c r="B40" s="49" t="str">
        <f>IFERROR(INDEX(Telecom_Rooms!$B$5:$B$300,MATCH(ROWS($A$40:B40),Telecom_Rooms!$J$5:$J$300,0)),"")</f>
        <v/>
      </c>
      <c r="C40" s="49" t="str">
        <f>IFERROR(INDEX(Telecom_Rooms!$C$5:$C$300,MATCH(ROWS($A$40:C40),Telecom_Rooms!$J$5:$J$300,0)),"")</f>
        <v/>
      </c>
      <c r="D40" s="49" t="str">
        <f>IFERROR(INDEX(Telecom_Rooms!$D$5:$D$300,MATCH(ROWS($A$40:D40),Telecom_Rooms!$J$5:$J$300,0)),"")</f>
        <v/>
      </c>
      <c r="E40" s="49" t="str">
        <f>IFERROR(INDEX(Telecom_Rooms!$E$5:$E$300,MATCH(ROWS($A$40:E40),Telecom_Rooms!$J$5:$J$300,0)),"")</f>
        <v/>
      </c>
      <c r="F40" s="49" t="str">
        <f>IFERROR(INDEX(Telecom_Rooms!$F$5:$F$300,MATCH(ROWS($A$40:F40),Telecom_Rooms!$J$5:$J$300,0)),"")</f>
        <v/>
      </c>
      <c r="G40" s="49" t="str">
        <f>IFERROR(INDEX(Telecom_Rooms!$G$5:$G$300,MATCH(ROWS($A$40:G40),Telecom_Rooms!$J$5:$J$300,0)),"")</f>
        <v/>
      </c>
      <c r="H40" s="49" t="str">
        <f>IFERROR(INDEX(Telecom_Rooms!$H$5:$H$300,MATCH(ROWS($A$40:H40),Telecom_Rooms!$J$5:$J$300,0)),"")</f>
        <v/>
      </c>
      <c r="I40" s="49" t="str">
        <f>IFERROR(INDEX(Telecom_Rooms!$I$5:$I$300,MATCH(ROWS($A$40:I40),Telecom_Rooms!$J$5:$J$300,0)),"")</f>
        <v/>
      </c>
    </row>
    <row r="41" spans="1:12" ht="14.25" customHeight="1">
      <c r="A41" s="49" t="str">
        <f>IFERROR(INDEX(Telecom_Rooms!$A$5:$A$300,MATCH(ROWS($A$40:A41),Telecom_Rooms!$J$5:$J$300,0)),"")</f>
        <v/>
      </c>
      <c r="B41" s="49" t="str">
        <f>IFERROR(INDEX(Telecom_Rooms!$B$5:$B$300,MATCH(ROWS($A$40:B41),Telecom_Rooms!$J$5:$J$300,0)),"")</f>
        <v/>
      </c>
      <c r="C41" s="49" t="str">
        <f>IFERROR(INDEX(Telecom_Rooms!$C$5:$C$300,MATCH(ROWS($A$40:C41),Telecom_Rooms!$J$5:$J$300,0)),"")</f>
        <v/>
      </c>
      <c r="D41" s="49" t="str">
        <f>IFERROR(INDEX(Telecom_Rooms!$D$5:$D$300,MATCH(ROWS($A$40:D41),Telecom_Rooms!$J$5:$J$300,0)),"")</f>
        <v/>
      </c>
      <c r="E41" s="49" t="str">
        <f>IFERROR(INDEX(Telecom_Rooms!$E$5:$E$300,MATCH(ROWS($A$40:E41),Telecom_Rooms!$J$5:$J$300,0)),"")</f>
        <v/>
      </c>
      <c r="F41" s="49" t="str">
        <f>IFERROR(INDEX(Telecom_Rooms!$F$5:$F$300,MATCH(ROWS($A$40:F41),Telecom_Rooms!$J$5:$J$300,0)),"")</f>
        <v/>
      </c>
      <c r="G41" s="49" t="str">
        <f>IFERROR(INDEX(Telecom_Rooms!$G$5:$G$300,MATCH(ROWS($A$40:G41),Telecom_Rooms!$J$5:$J$300,0)),"")</f>
        <v/>
      </c>
      <c r="H41" s="49" t="str">
        <f>IFERROR(INDEX(Telecom_Rooms!$H$5:$H$300,MATCH(ROWS($A$40:H41),Telecom_Rooms!$J$5:$J$300,0)),"")</f>
        <v/>
      </c>
      <c r="I41" s="49" t="str">
        <f>IFERROR(INDEX(Telecom_Rooms!$I$5:$I$300,MATCH(ROWS($A$40:I41),Telecom_Rooms!$J$5:$J$300,0)),"")</f>
        <v/>
      </c>
    </row>
    <row r="42" spans="1:12" ht="14.25" hidden="1" customHeight="1">
      <c r="A42" s="49" t="str">
        <f>IFERROR(INDEX(Telecom_Rooms!$A$5:$A$300,MATCH(ROWS($A$40:A42),Telecom_Rooms!$J$5:$J$300,0)),"")</f>
        <v/>
      </c>
      <c r="B42" s="49" t="str">
        <f>IFERROR(INDEX(Telecom_Rooms!$B$5:$B$300,MATCH(ROWS($A$40:B42),Telecom_Rooms!$J$5:$J$300,0)),"")</f>
        <v/>
      </c>
      <c r="C42" s="49" t="str">
        <f>IFERROR(INDEX(Telecom_Rooms!$C$5:$C$300,MATCH(ROWS($A$40:C42),Telecom_Rooms!$J$5:$J$300,0)),"")</f>
        <v/>
      </c>
      <c r="D42" s="49" t="str">
        <f>IFERROR(INDEX(Telecom_Rooms!$D$5:$D$300,MATCH(ROWS($A$40:D42),Telecom_Rooms!$J$5:$J$300,0)),"")</f>
        <v/>
      </c>
      <c r="E42" s="49" t="str">
        <f>IFERROR(INDEX(Telecom_Rooms!$E$5:$E$300,MATCH(ROWS($A$40:E42),Telecom_Rooms!$J$5:$J$300,0)),"")</f>
        <v/>
      </c>
      <c r="F42" s="49" t="str">
        <f>IFERROR(INDEX(Telecom_Rooms!$F$5:$F$300,MATCH(ROWS($A$40:F42),Telecom_Rooms!$J$5:$J$300,0)),"")</f>
        <v/>
      </c>
      <c r="G42" s="49" t="str">
        <f>IFERROR(INDEX(Telecom_Rooms!$G$5:$G$300,MATCH(ROWS($A$40:G42),Telecom_Rooms!$J$5:$J$300,0)),"")</f>
        <v/>
      </c>
      <c r="H42" s="49" t="str">
        <f>IFERROR(INDEX(Telecom_Rooms!$H$5:$H$300,MATCH(ROWS($A$40:H42),Telecom_Rooms!$J$5:$J$300,0)),"")</f>
        <v/>
      </c>
      <c r="I42" s="49" t="str">
        <f>IFERROR(INDEX(Telecom_Rooms!$I$5:$I$300,MATCH(ROWS($A$40:I42),Telecom_Rooms!$J$5:$J$300,0)),"")</f>
        <v/>
      </c>
    </row>
    <row r="43" spans="1:12" ht="14.25" hidden="1" customHeight="1">
      <c r="A43" s="49" t="str">
        <f>IFERROR(INDEX(Telecom_Rooms!$A$5:$A$300,MATCH(ROWS($A$40:A43),Telecom_Rooms!$J$5:$J$300,0)),"")</f>
        <v/>
      </c>
      <c r="B43" s="49" t="str">
        <f>IFERROR(INDEX(Telecom_Rooms!$B$5:$B$300,MATCH(ROWS($A$40:B43),Telecom_Rooms!$J$5:$J$300,0)),"")</f>
        <v/>
      </c>
      <c r="C43" s="49" t="str">
        <f>IFERROR(INDEX(Telecom_Rooms!$C$5:$C$300,MATCH(ROWS($A$40:C43),Telecom_Rooms!$J$5:$J$300,0)),"")</f>
        <v/>
      </c>
      <c r="D43" s="49" t="str">
        <f>IFERROR(INDEX(Telecom_Rooms!$D$5:$D$300,MATCH(ROWS($A$40:D43),Telecom_Rooms!$J$5:$J$300,0)),"")</f>
        <v/>
      </c>
      <c r="E43" s="49" t="str">
        <f>IFERROR(INDEX(Telecom_Rooms!$E$5:$E$300,MATCH(ROWS($A$40:E43),Telecom_Rooms!$J$5:$J$300,0)),"")</f>
        <v/>
      </c>
      <c r="F43" s="49" t="str">
        <f>IFERROR(INDEX(Telecom_Rooms!$F$5:$F$300,MATCH(ROWS($A$40:F43),Telecom_Rooms!$J$5:$J$300,0)),"")</f>
        <v/>
      </c>
      <c r="G43" s="49" t="str">
        <f>IFERROR(INDEX(Telecom_Rooms!$G$5:$G$300,MATCH(ROWS($A$40:G43),Telecom_Rooms!$J$5:$J$300,0)),"")</f>
        <v/>
      </c>
      <c r="H43" s="49" t="str">
        <f>IFERROR(INDEX(Telecom_Rooms!$H$5:$H$300,MATCH(ROWS($A$40:H43),Telecom_Rooms!$J$5:$J$300,0)),"")</f>
        <v/>
      </c>
      <c r="I43" s="49" t="str">
        <f>IFERROR(INDEX(Telecom_Rooms!$I$5:$I$300,MATCH(ROWS($A$40:I43),Telecom_Rooms!$J$5:$J$300,0)),"")</f>
        <v/>
      </c>
    </row>
    <row r="44" spans="1:12" ht="14.25" hidden="1" customHeight="1">
      <c r="A44" s="49" t="str">
        <f>IFERROR(INDEX(Telecom_Rooms!$A$5:$A$300,MATCH(ROWS($A$40:A44),Telecom_Rooms!$J$5:$J$300,0)),"")</f>
        <v/>
      </c>
      <c r="B44" s="49" t="str">
        <f>IFERROR(INDEX(Telecom_Rooms!$B$5:$B$300,MATCH(ROWS($A$40:B44),Telecom_Rooms!$J$5:$J$300,0)),"")</f>
        <v/>
      </c>
      <c r="C44" s="49" t="str">
        <f>IFERROR(INDEX(Telecom_Rooms!$C$5:$C$300,MATCH(ROWS($A$40:C44),Telecom_Rooms!$J$5:$J$300,0)),"")</f>
        <v/>
      </c>
      <c r="D44" s="49" t="str">
        <f>IFERROR(INDEX(Telecom_Rooms!$D$5:$D$300,MATCH(ROWS($A$40:D44),Telecom_Rooms!$J$5:$J$300,0)),"")</f>
        <v/>
      </c>
      <c r="E44" s="49" t="str">
        <f>IFERROR(INDEX(Telecom_Rooms!$E$5:$E$300,MATCH(ROWS($A$40:E44),Telecom_Rooms!$J$5:$J$300,0)),"")</f>
        <v/>
      </c>
      <c r="F44" s="49" t="str">
        <f>IFERROR(INDEX(Telecom_Rooms!$F$5:$F$300,MATCH(ROWS($A$40:F44),Telecom_Rooms!$J$5:$J$300,0)),"")</f>
        <v/>
      </c>
      <c r="G44" s="49" t="str">
        <f>IFERROR(INDEX(Telecom_Rooms!$G$5:$G$300,MATCH(ROWS($A$40:G44),Telecom_Rooms!$J$5:$J$300,0)),"")</f>
        <v/>
      </c>
      <c r="H44" s="49" t="str">
        <f>IFERROR(INDEX(Telecom_Rooms!$H$5:$H$300,MATCH(ROWS($A$40:H44),Telecom_Rooms!$J$5:$J$300,0)),"")</f>
        <v/>
      </c>
      <c r="I44" s="49" t="str">
        <f>IFERROR(INDEX(Telecom_Rooms!$I$5:$I$300,MATCH(ROWS($A$40:I44),Telecom_Rooms!$J$5:$J$300,0)),"")</f>
        <v/>
      </c>
    </row>
    <row r="45" spans="1:12" ht="14.25" hidden="1" customHeight="1">
      <c r="A45" s="13"/>
      <c r="B45" s="13"/>
      <c r="C45" s="13"/>
      <c r="D45" s="13"/>
      <c r="E45" s="13"/>
      <c r="F45" s="13"/>
      <c r="G45" s="13"/>
      <c r="H45" s="13"/>
    </row>
    <row r="46" spans="1:12" ht="14.25" hidden="1" customHeight="1">
      <c r="A46" s="13"/>
      <c r="B46" s="13"/>
      <c r="C46" s="13"/>
      <c r="D46" s="13"/>
      <c r="E46" s="13"/>
      <c r="F46" s="13"/>
      <c r="G46" s="13"/>
      <c r="H46" s="13"/>
    </row>
    <row r="47" spans="1:12" ht="14.25" customHeight="1">
      <c r="A47" s="18" t="s">
        <v>281</v>
      </c>
      <c r="B47" s="19"/>
      <c r="C47" s="19"/>
      <c r="D47" s="19"/>
      <c r="E47" s="19"/>
      <c r="F47" s="19"/>
      <c r="G47" s="19"/>
      <c r="H47" s="19"/>
      <c r="I47" s="19"/>
      <c r="J47" s="19"/>
      <c r="K47" s="19"/>
    </row>
    <row r="48" spans="1:12" ht="14.25" customHeight="1">
      <c r="A48" s="48" t="s">
        <v>282</v>
      </c>
      <c r="B48" s="48" t="s">
        <v>283</v>
      </c>
      <c r="C48" s="48" t="s">
        <v>284</v>
      </c>
      <c r="D48" s="48" t="s">
        <v>285</v>
      </c>
      <c r="E48" s="48" t="s">
        <v>286</v>
      </c>
      <c r="F48" s="48" t="s">
        <v>287</v>
      </c>
      <c r="G48" s="48" t="s">
        <v>263</v>
      </c>
      <c r="H48" s="48" t="s">
        <v>142</v>
      </c>
      <c r="I48" s="48" t="s">
        <v>218</v>
      </c>
      <c r="J48" s="48" t="s">
        <v>288</v>
      </c>
      <c r="K48" s="48" t="s">
        <v>289</v>
      </c>
    </row>
    <row r="49" spans="1:12" ht="21.75" customHeight="1">
      <c r="A49" s="49" t="str">
        <f>IFERROR(INDEX(Doc_Register!$A$5:$A$300,MATCH(ROWS($A$49:A49),Doc_Register!$L$5:$L$300,0)),"")</f>
        <v>DOC-001</v>
      </c>
      <c r="B49" s="49" t="str">
        <f>IFERROR(INDEX(Doc_Register!$B$5:$B$300,MATCH(ROWS($A$49:B49),Doc_Register!$L$5:$L$300,0)),"")</f>
        <v>00 41 13.10 - Construction Estimate Breakdown Template.pdf</v>
      </c>
      <c r="C49" s="49">
        <f>IFERROR(INDEX(Doc_Register!$C$5:$C$300,MATCH(ROWS($A$49:C49),Doc_Register!$L$5:$L$300,0)),"")</f>
        <v>0</v>
      </c>
      <c r="D49" s="49">
        <f>IFERROR(INDEX(Doc_Register!$D$5:$D$300,MATCH(ROWS($A$49:D49),Doc_Register!$L$5:$L$300,0)),"")</f>
        <v>0</v>
      </c>
      <c r="E49" s="49" t="str">
        <f>IFERROR(INDEX(Doc_Register!$E$5:$E$300,MATCH(ROWS($A$49:E49),Doc_Register!$L$5:$L$300,0)),"")</f>
        <v>00 41 13.10 - Construction Estimate Breakdown Template.pdf</v>
      </c>
      <c r="F49" s="49">
        <f>IFERROR(INDEX(Doc_Register!$F$5:$F$300,MATCH(ROWS($A$49:F49),Doc_Register!$L$5:$L$300,0)),"")</f>
        <v>0</v>
      </c>
      <c r="G49" s="49">
        <f>IFERROR(INDEX(Doc_Register!$G$5:$G$300,MATCH(ROWS($A$49:G49),Doc_Register!$L$5:$L$300,0)),"")</f>
        <v>0</v>
      </c>
      <c r="H49" s="49" t="str">
        <f>IFERROR(INDEX(Doc_Register!$H$5:$H$300,MATCH(ROWS($A$49:H49),Doc_Register!$L$5:$L$300,0)),"")</f>
        <v>Campus</v>
      </c>
      <c r="I49" s="49">
        <f>IFERROR(INDEX(Doc_Register!$I$5:$I$300,MATCH(ROWS($A$49:I49),Doc_Register!$L$5:$L$300,0)),"")</f>
        <v>0</v>
      </c>
      <c r="J49" s="49">
        <f>IFERROR(INDEX(Doc_Register!$J$5:$J$300,MATCH(ROWS($A$49:J49),Doc_Register!$L$5:$L$300,0)),"")</f>
        <v>0</v>
      </c>
      <c r="K49" s="49" t="str">
        <f>IFERROR(INDEX(Doc_Register!$K$5:$K$300,MATCH(ROWS($A$49:K49),Doc_Register!$L$5:$L$300,0)),"")</f>
        <v>Plans\00 41 13.10 - Construction Estimate Breakdown Template.pdf</v>
      </c>
    </row>
    <row r="50" spans="1:12" ht="8.25" customHeight="1">
      <c r="A50" s="49" t="str">
        <f>IFERROR(INDEX(Doc_Register!$A$5:$A$300,MATCH(ROWS($A$49:A50),Doc_Register!$L$5:$L$300,0)),"")</f>
        <v>DOC-002</v>
      </c>
      <c r="B50" s="49" t="str">
        <f>IFERROR(INDEX(Doc_Register!$B$5:$B$300,MATCH(ROWS($A$49:B50),Doc_Register!$L$5:$L$300,0)),"")</f>
        <v>01 00 00.B - Appendix B - Submittal Log.pdf</v>
      </c>
      <c r="C50" s="49" t="str">
        <f>IFERROR(INDEX(Doc_Register!$C$5:$C$300,MATCH(ROWS($A$49:C50),Doc_Register!$L$5:$L$300,0)),"")</f>
        <v>Submittals</v>
      </c>
      <c r="D50" s="49">
        <f>IFERROR(INDEX(Doc_Register!$D$5:$D$300,MATCH(ROWS($A$49:D50),Doc_Register!$L$5:$L$300,0)),"")</f>
        <v>0</v>
      </c>
      <c r="E50" s="49" t="str">
        <f>IFERROR(INDEX(Doc_Register!$E$5:$E$300,MATCH(ROWS($A$49:E50),Doc_Register!$L$5:$L$300,0)),"")</f>
        <v>01 00 00.B - Appendix B - Submittal Log.pdf</v>
      </c>
      <c r="F50" s="49">
        <f>IFERROR(INDEX(Doc_Register!$F$5:$F$300,MATCH(ROWS($A$49:F50),Doc_Register!$L$5:$L$300,0)),"")</f>
        <v>0</v>
      </c>
      <c r="G50" s="49">
        <f>IFERROR(INDEX(Doc_Register!$G$5:$G$300,MATCH(ROWS($A$49:G50),Doc_Register!$L$5:$L$300,0)),"")</f>
        <v>0</v>
      </c>
      <c r="H50" s="49" t="str">
        <f>IFERROR(INDEX(Doc_Register!$H$5:$H$300,MATCH(ROWS($A$49:H50),Doc_Register!$L$5:$L$300,0)),"")</f>
        <v>Campus</v>
      </c>
      <c r="I50" s="49" t="str">
        <f>IFERROR(INDEX(Doc_Register!$I$5:$I$300,MATCH(ROWS($A$49:I50),Doc_Register!$L$5:$L$300,0)),"")</f>
        <v>Project Controls</v>
      </c>
      <c r="J50" s="49" t="str">
        <f>IFERROR(INDEX(Doc_Register!$J$5:$J$300,MATCH(ROWS($A$49:J50),Doc_Register!$L$5:$L$300,0)),"")</f>
        <v>submittal, log</v>
      </c>
      <c r="K50" s="49" t="str">
        <f>IFERROR(INDEX(Doc_Register!$K$5:$K$300,MATCH(ROWS($A$49:K50),Doc_Register!$L$5:$L$300,0)),"")</f>
        <v>Plans\01 00 00.B - Appendix B - Submittal Log.pdf</v>
      </c>
      <c r="L50" s="11"/>
    </row>
    <row r="51" spans="1:12" ht="14.25" customHeight="1">
      <c r="A51" s="49" t="str">
        <f>IFERROR(INDEX(Doc_Register!$A$5:$A$300,MATCH(ROWS($A$49:A51),Doc_Register!$L$5:$L$300,0)),"")</f>
        <v>DOC-003</v>
      </c>
      <c r="B51" s="49" t="str">
        <f>IFERROR(INDEX(Doc_Register!$B$5:$B$300,MATCH(ROWS($A$49:B51),Doc_Register!$L$5:$L$300,0)),"")</f>
        <v>01 00 00.C - Appendix C - VHA ICRA-1.3 (Dec 9 2024).pdf</v>
      </c>
      <c r="C51" s="49" t="str">
        <f>IFERROR(INDEX(Doc_Register!$C$5:$C$300,MATCH(ROWS($A$49:C51),Doc_Register!$L$5:$L$300,0)),"")</f>
        <v>Safety / Infection Control</v>
      </c>
      <c r="D51" s="49">
        <f>IFERROR(INDEX(Doc_Register!$D$5:$D$300,MATCH(ROWS($A$49:D51),Doc_Register!$L$5:$L$300,0)),"")</f>
        <v>0</v>
      </c>
      <c r="E51" s="49" t="str">
        <f>IFERROR(INDEX(Doc_Register!$E$5:$E$300,MATCH(ROWS($A$49:E51),Doc_Register!$L$5:$L$300,0)),"")</f>
        <v>01 00 00.C - Appendix C - VHA ICRA-1.3 (Dec 9 2024).pdf</v>
      </c>
      <c r="F51" s="49">
        <f>IFERROR(INDEX(Doc_Register!$F$5:$F$300,MATCH(ROWS($A$49:F51),Doc_Register!$L$5:$L$300,0)),"")</f>
        <v>0</v>
      </c>
      <c r="G51" s="49">
        <f>IFERROR(INDEX(Doc_Register!$G$5:$G$300,MATCH(ROWS($A$49:G51),Doc_Register!$L$5:$L$300,0)),"")</f>
        <v>0</v>
      </c>
      <c r="H51" s="49" t="str">
        <f>IFERROR(INDEX(Doc_Register!$H$5:$H$300,MATCH(ROWS($A$49:H51),Doc_Register!$L$5:$L$300,0)),"")</f>
        <v>Campus</v>
      </c>
      <c r="I51" s="49" t="str">
        <f>IFERROR(INDEX(Doc_Register!$I$5:$I$300,MATCH(ROWS($A$49:I51),Doc_Register!$L$5:$L$300,0)),"")</f>
        <v>ICRA</v>
      </c>
      <c r="J51" s="49" t="str">
        <f>IFERROR(INDEX(Doc_Register!$J$5:$J$300,MATCH(ROWS($A$49:J51),Doc_Register!$L$5:$L$300,0)),"")</f>
        <v>ICRA, infection control, safety</v>
      </c>
      <c r="K51" s="49" t="str">
        <f>IFERROR(INDEX(Doc_Register!$K$5:$K$300,MATCH(ROWS($A$49:K51),Doc_Register!$L$5:$L$300,0)),"")</f>
        <v>Plans\01 00 00.C - Appendix C - VHA ICRA-1.3 (Dec 9 2024).pdf</v>
      </c>
    </row>
    <row r="52" spans="1:12" ht="21.75" customHeight="1">
      <c r="A52" s="49" t="str">
        <f>IFERROR(INDEX(Doc_Register!$A$5:$A$300,MATCH(ROWS($A$49:A52),Doc_Register!$L$5:$L$300,0)),"")</f>
        <v>DOC-004</v>
      </c>
      <c r="B52" s="49" t="str">
        <f>IFERROR(INDEX(Doc_Register!$B$5:$B$300,MATCH(ROWS($A$49:B52),Doc_Register!$L$5:$L$300,0)),"")</f>
        <v>01 00 00.D - Appendix D - VHA PCRA 2024 1.1 Final.Template Fillable.pdf</v>
      </c>
      <c r="C52" s="49" t="str">
        <f>IFERROR(INDEX(Doc_Register!$C$5:$C$300,MATCH(ROWS($A$49:C52),Doc_Register!$L$5:$L$300,0)),"")</f>
        <v>Safety / Risk</v>
      </c>
      <c r="D52" s="49">
        <f>IFERROR(INDEX(Doc_Register!$D$5:$D$300,MATCH(ROWS($A$49:D52),Doc_Register!$L$5:$L$300,0)),"")</f>
        <v>0</v>
      </c>
      <c r="E52" s="49" t="str">
        <f>IFERROR(INDEX(Doc_Register!$E$5:$E$300,MATCH(ROWS($A$49:E52),Doc_Register!$L$5:$L$300,0)),"")</f>
        <v>01 00 00.D - Appendix D - VHA PCRA 2024 1.1 Final.Template Fillable.pdf</v>
      </c>
      <c r="F52" s="49">
        <f>IFERROR(INDEX(Doc_Register!$F$5:$F$300,MATCH(ROWS($A$49:F52),Doc_Register!$L$5:$L$300,0)),"")</f>
        <v>0</v>
      </c>
      <c r="G52" s="49">
        <f>IFERROR(INDEX(Doc_Register!$G$5:$G$300,MATCH(ROWS($A$49:G52),Doc_Register!$L$5:$L$300,0)),"")</f>
        <v>0</v>
      </c>
      <c r="H52" s="49" t="str">
        <f>IFERROR(INDEX(Doc_Register!$H$5:$H$300,MATCH(ROWS($A$49:H52),Doc_Register!$L$5:$L$300,0)),"")</f>
        <v>Campus</v>
      </c>
      <c r="I52" s="49" t="str">
        <f>IFERROR(INDEX(Doc_Register!$I$5:$I$300,MATCH(ROWS($A$49:I52),Doc_Register!$L$5:$L$300,0)),"")</f>
        <v>PCRA</v>
      </c>
      <c r="J52" s="49" t="str">
        <f>IFERROR(INDEX(Doc_Register!$J$5:$J$300,MATCH(ROWS($A$49:J52),Doc_Register!$L$5:$L$300,0)),"")</f>
        <v>PCRA, safety, risk</v>
      </c>
      <c r="K52" s="49" t="str">
        <f>IFERROR(INDEX(Doc_Register!$K$5:$K$300,MATCH(ROWS($A$49:K52),Doc_Register!$L$5:$L$300,0)),"")</f>
        <v>Plans\01 00 00.D - Appendix D - VHA PCRA 2024 1.1 Final.Template Fillable.pdf</v>
      </c>
    </row>
    <row r="53" spans="1:12" ht="36" customHeight="1">
      <c r="A53" s="49" t="str">
        <f>IFERROR(INDEX(Doc_Register!$A$5:$A$300,MATCH(ROWS($A$49:A53),Doc_Register!$L$5:$L$300,0)),"")</f>
        <v>DOC-005</v>
      </c>
      <c r="B53" s="49" t="str">
        <f>IFERROR(INDEX(Doc_Register!$B$5:$B$300,MATCH(ROWS($A$49:B53),Doc_Register!$L$5:$L$300,0)),"")</f>
        <v>01 00 00.E - Appendix E - J2247012 Bedford MA VAMC ACM Inspection LCP Testing Report Final 11-20-2024 - signed-unlocked.pdf</v>
      </c>
      <c r="C53" s="49" t="str">
        <f>IFERROR(INDEX(Doc_Register!$C$5:$C$300,MATCH(ROWS($A$49:C53),Doc_Register!$L$5:$L$300,0)),"")</f>
        <v>Hazardous Materials</v>
      </c>
      <c r="D53" s="49">
        <f>IFERROR(INDEX(Doc_Register!$D$5:$D$300,MATCH(ROWS($A$49:D53),Doc_Register!$L$5:$L$300,0)),"")</f>
        <v>0</v>
      </c>
      <c r="E53" s="49" t="str">
        <f>IFERROR(INDEX(Doc_Register!$E$5:$E$300,MATCH(ROWS($A$49:E53),Doc_Register!$L$5:$L$300,0)),"")</f>
        <v>01 00 00.E - Appendix E - J2247012 Bedford MA VAMC ACM Inspection LCP Testing Report Final 11-20-2024 - signed-unlocked.pdf</v>
      </c>
      <c r="F53" s="49">
        <f>IFERROR(INDEX(Doc_Register!$F$5:$F$300,MATCH(ROWS($A$49:F53),Doc_Register!$L$5:$L$300,0)),"")</f>
        <v>0</v>
      </c>
      <c r="G53" s="49">
        <f>IFERROR(INDEX(Doc_Register!$G$5:$G$300,MATCH(ROWS($A$49:G53),Doc_Register!$L$5:$L$300,0)),"")</f>
        <v>0</v>
      </c>
      <c r="H53" s="49" t="str">
        <f>IFERROR(INDEX(Doc_Register!$H$5:$H$300,MATCH(ROWS($A$49:H53),Doc_Register!$L$5:$L$300,0)),"")</f>
        <v>Campus</v>
      </c>
      <c r="I53" s="49" t="str">
        <f>IFERROR(INDEX(Doc_Register!$I$5:$I$300,MATCH(ROWS($A$49:I53),Doc_Register!$L$5:$L$300,0)),"")</f>
        <v>ACM / LCP</v>
      </c>
      <c r="J53" s="49" t="str">
        <f>IFERROR(INDEX(Doc_Register!$J$5:$J$300,MATCH(ROWS($A$49:J53),Doc_Register!$L$5:$L$300,0)),"")</f>
        <v>asbestos, lead, hazardous material</v>
      </c>
      <c r="K53" s="49" t="str">
        <f>IFERROR(INDEX(Doc_Register!$K$5:$K$300,MATCH(ROWS($A$49:K53),Doc_Register!$L$5:$L$300,0)),"")</f>
        <v>Plans\01 00 00.E - Appendix E - J2247012 Bedford MA VAMC ACM Inspection LCP Testing Report Final 11-20-2024 - signed-unlocked.pdf</v>
      </c>
    </row>
    <row r="54" spans="1:12" ht="14.25" hidden="1" customHeight="1">
      <c r="A54" s="13"/>
      <c r="B54" s="13"/>
      <c r="C54" s="13"/>
      <c r="D54" s="13"/>
      <c r="E54" s="13"/>
      <c r="F54" s="13"/>
      <c r="G54" s="13"/>
      <c r="H54" s="13"/>
      <c r="I54" s="13"/>
    </row>
    <row r="55" spans="1:12" ht="14.25" hidden="1" customHeight="1">
      <c r="A55" s="13"/>
      <c r="B55" s="13"/>
      <c r="C55" s="13"/>
      <c r="D55" s="13"/>
      <c r="E55" s="13"/>
      <c r="F55" s="13"/>
      <c r="G55" s="13"/>
      <c r="H55" s="13"/>
      <c r="I55" s="13"/>
    </row>
    <row r="56" spans="1:12" ht="14.25" customHeight="1">
      <c r="A56" s="18" t="s">
        <v>290</v>
      </c>
      <c r="B56" s="19"/>
      <c r="C56" s="19"/>
      <c r="D56" s="19"/>
      <c r="E56" s="19"/>
      <c r="F56" s="19"/>
      <c r="G56" s="19"/>
      <c r="H56" s="13"/>
      <c r="I56" s="13"/>
    </row>
    <row r="57" spans="1:12" ht="14.25" customHeight="1">
      <c r="A57" s="48" t="s">
        <v>291</v>
      </c>
      <c r="B57" s="48" t="s">
        <v>263</v>
      </c>
      <c r="C57" s="48" t="s">
        <v>142</v>
      </c>
      <c r="D57" s="48" t="s">
        <v>292</v>
      </c>
      <c r="E57" s="48" t="s">
        <v>214</v>
      </c>
      <c r="F57" s="48" t="s">
        <v>293</v>
      </c>
      <c r="G57" s="48" t="s">
        <v>294</v>
      </c>
      <c r="H57" s="13"/>
      <c r="I57" s="13"/>
    </row>
    <row r="58" spans="1:12" ht="14.25" customHeight="1">
      <c r="A58" s="49" t="str">
        <f>IFERROR(INDEX(#REF!,MATCH(ROWS($A$58:A58),#REF!,0)),"")</f>
        <v/>
      </c>
      <c r="B58" s="49" t="str">
        <f>IFERROR(INDEX(#REF!,MATCH(ROWS($A$58:B58),#REF!,0)),"")</f>
        <v/>
      </c>
      <c r="C58" s="49" t="str">
        <f>IFERROR(INDEX(#REF!,MATCH(ROWS($A$58:C58),#REF!,0)),"")</f>
        <v/>
      </c>
      <c r="D58" s="49" t="str">
        <f>IFERROR(INDEX(#REF!,MATCH(ROWS($A$58:D58),#REF!,0)),"")</f>
        <v/>
      </c>
      <c r="E58" s="49" t="str">
        <f>IFERROR(INDEX(#REF!,MATCH(ROWS($A$58:E58),#REF!,0)),"")</f>
        <v/>
      </c>
      <c r="F58" s="49" t="str">
        <f>IFERROR(INDEX(#REF!,MATCH(ROWS($A$58:F58),#REF!,0)),"")</f>
        <v/>
      </c>
      <c r="G58" s="49" t="str">
        <f>IFERROR(INDEX(#REF!,MATCH(ROWS($A$58:G58),#REF!,0)),"")</f>
        <v/>
      </c>
      <c r="H58" s="13"/>
      <c r="I58" s="13"/>
    </row>
    <row r="59" spans="1:12" ht="14.25" customHeight="1">
      <c r="A59" s="49" t="str">
        <f>IFERROR(INDEX(#REF!,MATCH(ROWS($A$58:A59),#REF!,0)),"")</f>
        <v/>
      </c>
      <c r="B59" s="49" t="str">
        <f>IFERROR(INDEX(#REF!,MATCH(ROWS($A$58:B59),#REF!,0)),"")</f>
        <v/>
      </c>
      <c r="C59" s="49" t="str">
        <f>IFERROR(INDEX(#REF!,MATCH(ROWS($A$58:C59),#REF!,0)),"")</f>
        <v/>
      </c>
      <c r="D59" s="49" t="str">
        <f>IFERROR(INDEX(#REF!,MATCH(ROWS($A$58:D59),#REF!,0)),"")</f>
        <v/>
      </c>
      <c r="E59" s="49" t="str">
        <f>IFERROR(INDEX(#REF!,MATCH(ROWS($A$58:E59),#REF!,0)),"")</f>
        <v/>
      </c>
      <c r="F59" s="49" t="str">
        <f>IFERROR(INDEX(#REF!,MATCH(ROWS($A$58:F59),#REF!,0)),"")</f>
        <v/>
      </c>
      <c r="G59" s="49" t="str">
        <f>IFERROR(INDEX(#REF!,MATCH(ROWS($A$58:G59),#REF!,0)),"")</f>
        <v/>
      </c>
      <c r="H59" s="13"/>
      <c r="I59" s="13"/>
    </row>
    <row r="60" spans="1:12" ht="14.25" hidden="1" customHeight="1">
      <c r="A60" s="49" t="str">
        <f>IFERROR(INDEX(#REF!,MATCH(ROWS($A$58:A60),#REF!,0)),"")</f>
        <v/>
      </c>
      <c r="B60" s="49" t="str">
        <f>IFERROR(INDEX(#REF!,MATCH(ROWS($A$58:B60),#REF!,0)),"")</f>
        <v/>
      </c>
      <c r="C60" s="49" t="str">
        <f>IFERROR(INDEX(#REF!,MATCH(ROWS($A$58:C60),#REF!,0)),"")</f>
        <v/>
      </c>
      <c r="D60" s="49" t="str">
        <f>IFERROR(INDEX(#REF!,MATCH(ROWS($A$58:D60),#REF!,0)),"")</f>
        <v/>
      </c>
      <c r="E60" s="49" t="str">
        <f>IFERROR(INDEX(#REF!,MATCH(ROWS($A$58:E60),#REF!,0)),"")</f>
        <v/>
      </c>
      <c r="F60" s="49" t="str">
        <f>IFERROR(INDEX(#REF!,MATCH(ROWS($A$58:F60),#REF!,0)),"")</f>
        <v/>
      </c>
      <c r="G60" s="49" t="str">
        <f>IFERROR(INDEX(#REF!,MATCH(ROWS($A$58:G60),#REF!,0)),"")</f>
        <v/>
      </c>
      <c r="H60" s="13"/>
      <c r="I60" s="13"/>
    </row>
    <row r="61" spans="1:12" ht="14.25" hidden="1" customHeight="1">
      <c r="A61" s="49" t="str">
        <f>IFERROR(INDEX(#REF!,MATCH(ROWS($A$58:A61),#REF!,0)),"")</f>
        <v/>
      </c>
      <c r="B61" s="49" t="str">
        <f>IFERROR(INDEX(#REF!,MATCH(ROWS($A$58:B61),#REF!,0)),"")</f>
        <v/>
      </c>
      <c r="C61" s="49" t="str">
        <f>IFERROR(INDEX(#REF!,MATCH(ROWS($A$58:C61),#REF!,0)),"")</f>
        <v/>
      </c>
      <c r="D61" s="49" t="str">
        <f>IFERROR(INDEX(#REF!,MATCH(ROWS($A$58:D61),#REF!,0)),"")</f>
        <v/>
      </c>
      <c r="E61" s="49" t="str">
        <f>IFERROR(INDEX(#REF!,MATCH(ROWS($A$58:E61),#REF!,0)),"")</f>
        <v/>
      </c>
      <c r="F61" s="49" t="str">
        <f>IFERROR(INDEX(#REF!,MATCH(ROWS($A$58:F61),#REF!,0)),"")</f>
        <v/>
      </c>
      <c r="G61" s="49" t="str">
        <f>IFERROR(INDEX(#REF!,MATCH(ROWS($A$58:G61),#REF!,0)),"")</f>
        <v/>
      </c>
      <c r="H61" s="13"/>
      <c r="I61" s="13"/>
    </row>
    <row r="62" spans="1:12" ht="14.25" hidden="1" customHeight="1">
      <c r="A62" s="49" t="str">
        <f>IFERROR(INDEX(#REF!,MATCH(ROWS($A$58:A62),#REF!,0)),"")</f>
        <v/>
      </c>
      <c r="B62" s="49" t="str">
        <f>IFERROR(INDEX(#REF!,MATCH(ROWS($A$58:B62),#REF!,0)),"")</f>
        <v/>
      </c>
      <c r="C62" s="49" t="str">
        <f>IFERROR(INDEX(#REF!,MATCH(ROWS($A$58:C62),#REF!,0)),"")</f>
        <v/>
      </c>
      <c r="D62" s="49" t="str">
        <f>IFERROR(INDEX(#REF!,MATCH(ROWS($A$58:D62),#REF!,0)),"")</f>
        <v/>
      </c>
      <c r="E62" s="49" t="str">
        <f>IFERROR(INDEX(#REF!,MATCH(ROWS($A$58:E62),#REF!,0)),"")</f>
        <v/>
      </c>
      <c r="F62" s="49" t="str">
        <f>IFERROR(INDEX(#REF!,MATCH(ROWS($A$58:F62),#REF!,0)),"")</f>
        <v/>
      </c>
      <c r="G62" s="49" t="str">
        <f>IFERROR(INDEX(#REF!,MATCH(ROWS($A$58:G62),#REF!,0)),"")</f>
        <v/>
      </c>
    </row>
    <row r="63" spans="1:12" ht="8.25" customHeight="1">
      <c r="A63" s="11"/>
      <c r="B63" s="11"/>
      <c r="C63" s="11"/>
      <c r="D63" s="11"/>
      <c r="E63" s="11"/>
      <c r="F63" s="11"/>
      <c r="G63" s="11"/>
      <c r="H63" s="11"/>
      <c r="I63" s="11"/>
      <c r="J63" s="11"/>
      <c r="K63" s="11"/>
      <c r="L63" s="11"/>
    </row>
    <row r="64" spans="1:12" ht="14.25" customHeight="1">
      <c r="A64" s="50"/>
      <c r="B64" s="50"/>
      <c r="C64" s="50"/>
      <c r="D64" s="50"/>
      <c r="E64" s="50"/>
      <c r="F64" s="50"/>
      <c r="G64" s="50"/>
      <c r="H64" s="50"/>
      <c r="I64" s="50"/>
      <c r="J64" s="50"/>
      <c r="K64" s="50"/>
    </row>
    <row r="65" spans="1:12" ht="14.25" customHeight="1">
      <c r="A65" s="18" t="s">
        <v>160</v>
      </c>
      <c r="B65" s="19"/>
      <c r="C65" s="19"/>
      <c r="D65" s="19"/>
      <c r="E65" s="19"/>
      <c r="F65" s="19"/>
      <c r="G65" s="19"/>
      <c r="H65" s="19"/>
      <c r="I65" s="19"/>
      <c r="J65" s="19"/>
      <c r="K65" s="13"/>
    </row>
    <row r="66" spans="1:12" ht="14.25" customHeight="1">
      <c r="A66" s="48" t="s">
        <v>295</v>
      </c>
      <c r="B66" s="48" t="s">
        <v>218</v>
      </c>
      <c r="C66" s="48" t="s">
        <v>142</v>
      </c>
      <c r="D66" s="48" t="s">
        <v>296</v>
      </c>
      <c r="E66" s="48" t="s">
        <v>297</v>
      </c>
      <c r="F66" s="48" t="s">
        <v>298</v>
      </c>
      <c r="G66" s="48" t="s">
        <v>299</v>
      </c>
      <c r="H66" s="48" t="s">
        <v>300</v>
      </c>
      <c r="I66" s="48" t="s">
        <v>77</v>
      </c>
      <c r="J66" s="48" t="s">
        <v>11</v>
      </c>
      <c r="K66" s="13"/>
    </row>
    <row r="67" spans="1:12" ht="14.25" customHeight="1">
      <c r="A67" s="49" t="str">
        <f>IFERROR(INDEX(Shutdown_Tracker!$A$5:$A$300,MATCH(ROWS($A$67:$A67),Shutdown_Tracker!$K$5:$K$300,0)),"")</f>
        <v/>
      </c>
      <c r="B67" s="49" t="str">
        <f>IFERROR(INDEX(Shutdown_Tracker!$B$5:$B$300,MATCH(ROWS($A$67:$A67),Shutdown_Tracker!$K$5:$K$300,0)),"")</f>
        <v/>
      </c>
      <c r="C67" s="49" t="str">
        <f>IFERROR(INDEX(Shutdown_Tracker!$C$5:$C$300,MATCH(ROWS($A$67:$A67),Shutdown_Tracker!$K$5:$K$300,0)),"")</f>
        <v/>
      </c>
      <c r="D67" s="49" t="str">
        <f>IFERROR(INDEX(Shutdown_Tracker!$D$5:$D$300,MATCH(ROWS($A$67:$A67),Shutdown_Tracker!$K$5:$K$300,0)),"")</f>
        <v/>
      </c>
      <c r="E67" s="49" t="str">
        <f>IFERROR(INDEX(Shutdown_Tracker!$E$5:$E$300,MATCH(ROWS($A$67:$A67),Shutdown_Tracker!$K$5:$K$300,0)),"")</f>
        <v/>
      </c>
      <c r="F67" s="49" t="str">
        <f>IFERROR(INDEX(Shutdown_Tracker!$F$5:$F$300,MATCH(ROWS($A$67:$A67),Shutdown_Tracker!$K$5:$K$300,0)),"")</f>
        <v/>
      </c>
      <c r="G67" s="49" t="str">
        <f>IFERROR(INDEX(Shutdown_Tracker!$G$5:$G$300,MATCH(ROWS($A$67:$A67),Shutdown_Tracker!$K$5:$K$300,0)),"")</f>
        <v/>
      </c>
      <c r="H67" s="49" t="str">
        <f>IFERROR(INDEX(Shutdown_Tracker!$H$5:$H$300,MATCH(ROWS($A$67:$A67),Shutdown_Tracker!$K$5:$K$300,0)),"")</f>
        <v/>
      </c>
      <c r="I67" s="49" t="str">
        <f>IFERROR(INDEX(Shutdown_Tracker!$I$5:$I$300,MATCH(ROWS($A$67:$A67),Shutdown_Tracker!$K$5:$K$300,0)),"")</f>
        <v/>
      </c>
      <c r="J67" s="49" t="str">
        <f>IFERROR(INDEX(Shutdown_Tracker!$J$5:$J$300,MATCH(ROWS($A$67:$A67),Shutdown_Tracker!$K$5:$K$300,0)),"")</f>
        <v/>
      </c>
      <c r="K67" s="13"/>
    </row>
    <row r="68" spans="1:12" ht="14.25" customHeight="1">
      <c r="A68" s="49" t="str">
        <f>IFERROR(INDEX(Shutdown_Tracker!$A$5:$A$300,MATCH(ROWS($A$67:$A68),Shutdown_Tracker!$K$5:$K$300,0)),"")</f>
        <v/>
      </c>
      <c r="B68" s="49" t="str">
        <f>IFERROR(INDEX(Shutdown_Tracker!$B$5:$B$300,MATCH(ROWS($A$67:$A68),Shutdown_Tracker!$K$5:$K$300,0)),"")</f>
        <v/>
      </c>
      <c r="C68" s="49" t="str">
        <f>IFERROR(INDEX(Shutdown_Tracker!$C$5:$C$300,MATCH(ROWS($A$67:$A68),Shutdown_Tracker!$K$5:$K$300,0)),"")</f>
        <v/>
      </c>
      <c r="D68" s="49" t="str">
        <f>IFERROR(INDEX(Shutdown_Tracker!$D$5:$D$300,MATCH(ROWS($A$67:$A68),Shutdown_Tracker!$K$5:$K$300,0)),"")</f>
        <v/>
      </c>
      <c r="E68" s="49" t="str">
        <f>IFERROR(INDEX(Shutdown_Tracker!$E$5:$E$300,MATCH(ROWS($A$67:$A68),Shutdown_Tracker!$K$5:$K$300,0)),"")</f>
        <v/>
      </c>
      <c r="F68" s="49" t="str">
        <f>IFERROR(INDEX(Shutdown_Tracker!$F$5:$F$300,MATCH(ROWS($A$67:$A68),Shutdown_Tracker!$K$5:$K$300,0)),"")</f>
        <v/>
      </c>
      <c r="G68" s="49" t="str">
        <f>IFERROR(INDEX(Shutdown_Tracker!$G$5:$G$300,MATCH(ROWS($A$67:$A68),Shutdown_Tracker!$K$5:$K$300,0)),"")</f>
        <v/>
      </c>
      <c r="H68" s="49" t="str">
        <f>IFERROR(INDEX(Shutdown_Tracker!$H$5:$H$300,MATCH(ROWS($A$67:$A68),Shutdown_Tracker!$K$5:$K$300,0)),"")</f>
        <v/>
      </c>
      <c r="I68" s="49" t="str">
        <f>IFERROR(INDEX(Shutdown_Tracker!$I$5:$I$300,MATCH(ROWS($A$67:$A68),Shutdown_Tracker!$K$5:$K$300,0)),"")</f>
        <v/>
      </c>
      <c r="J68" s="49" t="str">
        <f>IFERROR(INDEX(Shutdown_Tracker!$J$5:$J$300,MATCH(ROWS($A$67:$A68),Shutdown_Tracker!$K$5:$K$300,0)),"")</f>
        <v/>
      </c>
      <c r="K68" s="13"/>
    </row>
    <row r="69" spans="1:12" ht="14.25" hidden="1" customHeight="1">
      <c r="A69" s="49" t="str">
        <f>IFERROR(INDEX(Shutdown_Tracker!$A$5:$A$300,MATCH(ROWS($A$67:$A69),Shutdown_Tracker!$K$5:$K$300,0)),"")</f>
        <v/>
      </c>
      <c r="B69" s="49" t="str">
        <f>IFERROR(INDEX(Shutdown_Tracker!$B$5:$B$300,MATCH(ROWS($A$67:$A69),Shutdown_Tracker!$K$5:$K$300,0)),"")</f>
        <v/>
      </c>
      <c r="C69" s="49" t="str">
        <f>IFERROR(INDEX(Shutdown_Tracker!$C$5:$C$300,MATCH(ROWS($A$67:$A69),Shutdown_Tracker!$K$5:$K$300,0)),"")</f>
        <v/>
      </c>
      <c r="D69" s="49" t="str">
        <f>IFERROR(INDEX(Shutdown_Tracker!$D$5:$D$300,MATCH(ROWS($A$67:$A69),Shutdown_Tracker!$K$5:$K$300,0)),"")</f>
        <v/>
      </c>
      <c r="E69" s="49" t="str">
        <f>IFERROR(INDEX(Shutdown_Tracker!$E$5:$E$300,MATCH(ROWS($A$67:$A69),Shutdown_Tracker!$K$5:$K$300,0)),"")</f>
        <v/>
      </c>
      <c r="F69" s="49" t="str">
        <f>IFERROR(INDEX(Shutdown_Tracker!$F$5:$F$300,MATCH(ROWS($A$67:$A69),Shutdown_Tracker!$K$5:$K$300,0)),"")</f>
        <v/>
      </c>
      <c r="G69" s="49" t="str">
        <f>IFERROR(INDEX(Shutdown_Tracker!$G$5:$G$300,MATCH(ROWS($A$67:$A69),Shutdown_Tracker!$K$5:$K$300,0)),"")</f>
        <v/>
      </c>
      <c r="H69" s="49" t="str">
        <f>IFERROR(INDEX(Shutdown_Tracker!$H$5:$H$300,MATCH(ROWS($A$67:$A69),Shutdown_Tracker!$K$5:$K$300,0)),"")</f>
        <v/>
      </c>
      <c r="I69" s="49" t="str">
        <f>IFERROR(INDEX(Shutdown_Tracker!$I$5:$I$300,MATCH(ROWS($A$67:$A69),Shutdown_Tracker!$K$5:$K$300,0)),"")</f>
        <v/>
      </c>
      <c r="J69" s="49" t="str">
        <f>IFERROR(INDEX(Shutdown_Tracker!$J$5:$J$300,MATCH(ROWS($A$67:$A69),Shutdown_Tracker!$K$5:$K$300,0)),"")</f>
        <v/>
      </c>
      <c r="K69" s="13"/>
    </row>
    <row r="70" spans="1:12" ht="14.25" hidden="1" customHeight="1">
      <c r="A70" s="49" t="str">
        <f>IFERROR(INDEX(Shutdown_Tracker!$A$5:$A$300,MATCH(ROWS($A$67:$A70),Shutdown_Tracker!$K$5:$K$300,0)),"")</f>
        <v/>
      </c>
      <c r="B70" s="49" t="str">
        <f>IFERROR(INDEX(Shutdown_Tracker!$B$5:$B$300,MATCH(ROWS($A$67:$A70),Shutdown_Tracker!$K$5:$K$300,0)),"")</f>
        <v/>
      </c>
      <c r="C70" s="49" t="str">
        <f>IFERROR(INDEX(Shutdown_Tracker!$C$5:$C$300,MATCH(ROWS($A$67:$A70),Shutdown_Tracker!$K$5:$K$300,0)),"")</f>
        <v/>
      </c>
      <c r="D70" s="49" t="str">
        <f>IFERROR(INDEX(Shutdown_Tracker!$D$5:$D$300,MATCH(ROWS($A$67:$A70),Shutdown_Tracker!$K$5:$K$300,0)),"")</f>
        <v/>
      </c>
      <c r="E70" s="49" t="str">
        <f>IFERROR(INDEX(Shutdown_Tracker!$E$5:$E$300,MATCH(ROWS($A$67:$A70),Shutdown_Tracker!$K$5:$K$300,0)),"")</f>
        <v/>
      </c>
      <c r="F70" s="49" t="str">
        <f>IFERROR(INDEX(Shutdown_Tracker!$F$5:$F$300,MATCH(ROWS($A$67:$A70),Shutdown_Tracker!$K$5:$K$300,0)),"")</f>
        <v/>
      </c>
      <c r="G70" s="49" t="str">
        <f>IFERROR(INDEX(Shutdown_Tracker!$G$5:$G$300,MATCH(ROWS($A$67:$A70),Shutdown_Tracker!$K$5:$K$300,0)),"")</f>
        <v/>
      </c>
      <c r="H70" s="49" t="str">
        <f>IFERROR(INDEX(Shutdown_Tracker!$H$5:$H$300,MATCH(ROWS($A$67:$A70),Shutdown_Tracker!$K$5:$K$300,0)),"")</f>
        <v/>
      </c>
      <c r="I70" s="49" t="str">
        <f>IFERROR(INDEX(Shutdown_Tracker!$I$5:$I$300,MATCH(ROWS($A$67:$A70),Shutdown_Tracker!$K$5:$K$300,0)),"")</f>
        <v/>
      </c>
      <c r="J70" s="49" t="str">
        <f>IFERROR(INDEX(Shutdown_Tracker!$J$5:$J$300,MATCH(ROWS($A$67:$A70),Shutdown_Tracker!$K$5:$K$300,0)),"")</f>
        <v/>
      </c>
      <c r="K70" s="13"/>
    </row>
    <row r="71" spans="1:12" ht="14.25" hidden="1" customHeight="1">
      <c r="A71" s="49" t="str">
        <f>IFERROR(INDEX(Shutdown_Tracker!$A$5:$A$300,MATCH(ROWS($A$67:$A71),Shutdown_Tracker!$K$5:$K$300,0)),"")</f>
        <v/>
      </c>
      <c r="B71" s="49" t="str">
        <f>IFERROR(INDEX(Shutdown_Tracker!$B$5:$B$300,MATCH(ROWS($A$67:$A71),Shutdown_Tracker!$K$5:$K$300,0)),"")</f>
        <v/>
      </c>
      <c r="C71" s="49" t="str">
        <f>IFERROR(INDEX(Shutdown_Tracker!$C$5:$C$300,MATCH(ROWS($A$67:$A71),Shutdown_Tracker!$K$5:$K$300,0)),"")</f>
        <v/>
      </c>
      <c r="D71" s="49" t="str">
        <f>IFERROR(INDEX(Shutdown_Tracker!$D$5:$D$300,MATCH(ROWS($A$67:$A71),Shutdown_Tracker!$K$5:$K$300,0)),"")</f>
        <v/>
      </c>
      <c r="E71" s="49" t="str">
        <f>IFERROR(INDEX(Shutdown_Tracker!$E$5:$E$300,MATCH(ROWS($A$67:$A71),Shutdown_Tracker!$K$5:$K$300,0)),"")</f>
        <v/>
      </c>
      <c r="F71" s="49" t="str">
        <f>IFERROR(INDEX(Shutdown_Tracker!$F$5:$F$300,MATCH(ROWS($A$67:$A71),Shutdown_Tracker!$K$5:$K$300,0)),"")</f>
        <v/>
      </c>
      <c r="G71" s="49" t="str">
        <f>IFERROR(INDEX(Shutdown_Tracker!$G$5:$G$300,MATCH(ROWS($A$67:$A71),Shutdown_Tracker!$K$5:$K$300,0)),"")</f>
        <v/>
      </c>
      <c r="H71" s="49" t="str">
        <f>IFERROR(INDEX(Shutdown_Tracker!$H$5:$H$300,MATCH(ROWS($A$67:$A71),Shutdown_Tracker!$K$5:$K$300,0)),"")</f>
        <v/>
      </c>
      <c r="I71" s="49" t="str">
        <f>IFERROR(INDEX(Shutdown_Tracker!$I$5:$I$300,MATCH(ROWS($A$67:$A71),Shutdown_Tracker!$K$5:$K$300,0)),"")</f>
        <v/>
      </c>
      <c r="J71" s="49" t="str">
        <f>IFERROR(INDEX(Shutdown_Tracker!$J$5:$J$300,MATCH(ROWS($A$67:$A71),Shutdown_Tracker!$K$5:$K$300,0)),"")</f>
        <v/>
      </c>
      <c r="K71" s="13"/>
    </row>
    <row r="72" spans="1:12" ht="14.25" hidden="1" customHeight="1">
      <c r="A72" s="13"/>
      <c r="B72" s="13"/>
      <c r="C72" s="13"/>
      <c r="D72" s="13"/>
      <c r="E72" s="13"/>
      <c r="F72" s="13"/>
      <c r="G72" s="13"/>
      <c r="H72" s="13"/>
      <c r="I72" s="13"/>
      <c r="J72" s="13"/>
      <c r="K72" s="13"/>
    </row>
    <row r="73" spans="1:12" ht="14.25" hidden="1" customHeight="1">
      <c r="A73" s="13"/>
      <c r="B73" s="13"/>
      <c r="C73" s="13"/>
      <c r="D73" s="13"/>
      <c r="E73" s="13"/>
      <c r="F73" s="13"/>
      <c r="G73" s="13"/>
      <c r="H73" s="13"/>
      <c r="I73" s="13"/>
      <c r="J73" s="13"/>
      <c r="K73" s="13"/>
    </row>
    <row r="74" spans="1:12" ht="14.25" customHeight="1">
      <c r="A74" s="18" t="s">
        <v>301</v>
      </c>
      <c r="B74" s="19"/>
      <c r="C74" s="19"/>
      <c r="D74" s="19"/>
      <c r="E74" s="19"/>
      <c r="F74" s="19"/>
      <c r="G74" s="19"/>
      <c r="H74" s="19"/>
      <c r="I74" s="13"/>
      <c r="J74" s="13"/>
      <c r="K74" s="13"/>
    </row>
    <row r="75" spans="1:12" ht="14.25" customHeight="1">
      <c r="A75" s="48" t="s">
        <v>142</v>
      </c>
      <c r="B75" s="48" t="s">
        <v>302</v>
      </c>
      <c r="C75" s="48" t="s">
        <v>303</v>
      </c>
      <c r="D75" s="48" t="s">
        <v>304</v>
      </c>
      <c r="E75" s="48" t="s">
        <v>305</v>
      </c>
      <c r="F75" s="48" t="s">
        <v>306</v>
      </c>
      <c r="G75" s="48" t="s">
        <v>307</v>
      </c>
      <c r="H75" s="48" t="s">
        <v>11</v>
      </c>
    </row>
    <row r="76" spans="1:12" ht="8.25" customHeight="1">
      <c r="A76" s="49" t="str">
        <f>IFERROR(INDEX(Building_Stakeholders!$A$5:$A$300,MATCH(ROWS($A$76:A76),Building_Stakeholders!$I$5:$I$300,0)),"")</f>
        <v>Campus</v>
      </c>
      <c r="B76" s="49" t="str">
        <f>IFERROR(INDEX(Building_Stakeholders!$B$5:$B$300,MATCH(ROWS($A$76:B76),Building_Stakeholders!$I$5:$I$300,0)),"")</f>
        <v>Cameron Labbree</v>
      </c>
      <c r="C76" s="49" t="str">
        <f>IFERROR(INDEX(Building_Stakeholders!$C$5:$C$300,MATCH(ROWS($A$76:C76),Building_Stakeholders!$I$5:$I$300,0)),"")</f>
        <v>VA Bedford</v>
      </c>
      <c r="D76" s="49" t="str">
        <f>IFERROR(INDEX(Building_Stakeholders!$D$5:$D$300,MATCH(ROWS($A$76:D76),Building_Stakeholders!$I$5:$I$300,0)),"")</f>
        <v>Healthcare Engineer / Primary VA POC</v>
      </c>
      <c r="E76" s="49">
        <f>IFERROR(INDEX(Building_Stakeholders!$E$5:$E$300,MATCH(ROWS($A$76:E76),Building_Stakeholders!$I$5:$I$300,0)),"")</f>
        <v>0</v>
      </c>
      <c r="F76" s="49">
        <f>IFERROR(INDEX(Building_Stakeholders!$F$5:$F$300,MATCH(ROWS($A$76:F76),Building_Stakeholders!$I$5:$I$300,0)),"")</f>
        <v>0</v>
      </c>
      <c r="G76" s="49" t="str">
        <f>IFERROR(INDEX(Building_Stakeholders!$G$5:$G$300,MATCH(ROWS($A$76:G76),Building_Stakeholders!$I$5:$I$300,0)),"")</f>
        <v>Primary daily VA contact</v>
      </c>
      <c r="H76" s="49">
        <f>IFERROR(INDEX(Building_Stakeholders!$H$5:$H$300,MATCH(ROWS($A$76:H76),Building_Stakeholders!$I$5:$I$300,0)),"")</f>
        <v>0</v>
      </c>
      <c r="I76" s="11"/>
      <c r="J76" s="11"/>
      <c r="K76" s="11"/>
      <c r="L76" s="11"/>
    </row>
    <row r="77" spans="1:12" ht="14.25" customHeight="1">
      <c r="A77" s="49" t="str">
        <f>IFERROR(INDEX(Building_Stakeholders!$A$5:$A$300,MATCH(ROWS($A$76:A77),Building_Stakeholders!$I$5:$I$300,0)),"")</f>
        <v>Campus</v>
      </c>
      <c r="B77" s="49" t="str">
        <f>IFERROR(INDEX(Building_Stakeholders!$B$5:$B$300,MATCH(ROWS($A$76:B77),Building_Stakeholders!$I$5:$I$300,0)),"")</f>
        <v>Brian Koches</v>
      </c>
      <c r="C77" s="49" t="str">
        <f>IFERROR(INDEX(Building_Stakeholders!$C$5:$C$300,MATCH(ROWS($A$76:C77),Building_Stakeholders!$I$5:$I$300,0)),"")</f>
        <v>GCC</v>
      </c>
      <c r="D77" s="49" t="str">
        <f>IFERROR(INDEX(Building_Stakeholders!$D$5:$D$300,MATCH(ROWS($A$76:D77),Building_Stakeholders!$I$5:$I$300,0)),"")</f>
        <v>Sr. Vice President / Primary GCC POC</v>
      </c>
      <c r="E77" s="49">
        <f>IFERROR(INDEX(Building_Stakeholders!$E$5:$E$300,MATCH(ROWS($A$76:E77),Building_Stakeholders!$I$5:$I$300,0)),"")</f>
        <v>0</v>
      </c>
      <c r="F77" s="49">
        <f>IFERROR(INDEX(Building_Stakeholders!$F$5:$F$300,MATCH(ROWS($A$76:F77),Building_Stakeholders!$I$5:$I$300,0)),"")</f>
        <v>0</v>
      </c>
      <c r="G77" s="49" t="str">
        <f>IFERROR(INDEX(Building_Stakeholders!$G$5:$G$300,MATCH(ROWS($A$76:G77),Building_Stakeholders!$I$5:$I$300,0)),"")</f>
        <v>GCC primary contact</v>
      </c>
      <c r="H77" s="49">
        <f>IFERROR(INDEX(Building_Stakeholders!$H$5:$H$300,MATCH(ROWS($A$76:H77),Building_Stakeholders!$I$5:$I$300,0)),"")</f>
        <v>0</v>
      </c>
    </row>
    <row r="78" spans="1:12" ht="14.25" customHeight="1">
      <c r="A78" s="49" t="str">
        <f>IFERROR(INDEX(Building_Stakeholders!$A$5:$A$300,MATCH(ROWS($A$76:A78),Building_Stakeholders!$I$5:$I$300,0)),"")</f>
        <v>Campus</v>
      </c>
      <c r="B78" s="49" t="str">
        <f>IFERROR(INDEX(Building_Stakeholders!$B$5:$B$300,MATCH(ROWS($A$76:B78),Building_Stakeholders!$I$5:$I$300,0)),"")</f>
        <v>Paul Thibodeau</v>
      </c>
      <c r="C78" s="49" t="str">
        <f>IFERROR(INDEX(Building_Stakeholders!$C$5:$C$300,MATCH(ROWS($A$76:C78),Building_Stakeholders!$I$5:$I$300,0)),"")</f>
        <v>GCC</v>
      </c>
      <c r="D78" s="49" t="str">
        <f>IFERROR(INDEX(Building_Stakeholders!$D$5:$D$300,MATCH(ROWS($A$76:D78),Building_Stakeholders!$I$5:$I$300,0)),"")</f>
        <v>Construction Quality Inspector</v>
      </c>
      <c r="E78" s="49">
        <f>IFERROR(INDEX(Building_Stakeholders!$E$5:$E$300,MATCH(ROWS($A$76:E78),Building_Stakeholders!$I$5:$I$300,0)),"")</f>
        <v>0</v>
      </c>
      <c r="F78" s="49">
        <f>IFERROR(INDEX(Building_Stakeholders!$F$5:$F$300,MATCH(ROWS($A$76:F78),Building_Stakeholders!$I$5:$I$300,0)),"")</f>
        <v>0</v>
      </c>
      <c r="G78" s="49" t="str">
        <f>IFERROR(INDEX(Building_Stakeholders!$G$5:$G$300,MATCH(ROWS($A$76:G78),Building_Stakeholders!$I$5:$I$300,0)),"")</f>
        <v>Field support / project intelligence</v>
      </c>
      <c r="H78" s="49">
        <f>IFERROR(INDEX(Building_Stakeholders!$H$5:$H$300,MATCH(ROWS($A$76:H78),Building_Stakeholders!$I$5:$I$300,0)),"")</f>
        <v>0</v>
      </c>
    </row>
    <row r="79" spans="1:12" ht="14.25" customHeight="1">
      <c r="A79" s="49" t="str">
        <f>IFERROR(INDEX(Building_Stakeholders!$A$5:$A$300,MATCH(ROWS($A$76:A79),Building_Stakeholders!$I$5:$I$300,0)),"")</f>
        <v/>
      </c>
      <c r="B79" s="49" t="str">
        <f>IFERROR(INDEX(Building_Stakeholders!$B$5:$B$300,MATCH(ROWS($A$76:B79),Building_Stakeholders!$I$5:$I$300,0)),"")</f>
        <v/>
      </c>
      <c r="C79" s="49" t="str">
        <f>IFERROR(INDEX(Building_Stakeholders!$C$5:$C$300,MATCH(ROWS($A$76:C79),Building_Stakeholders!$I$5:$I$300,0)),"")</f>
        <v/>
      </c>
      <c r="D79" s="49" t="str">
        <f>IFERROR(INDEX(Building_Stakeholders!$D$5:$D$300,MATCH(ROWS($A$76:D79),Building_Stakeholders!$I$5:$I$300,0)),"")</f>
        <v/>
      </c>
      <c r="E79" s="49" t="str">
        <f>IFERROR(INDEX(Building_Stakeholders!$E$5:$E$300,MATCH(ROWS($A$76:E79),Building_Stakeholders!$I$5:$I$300,0)),"")</f>
        <v/>
      </c>
      <c r="F79" s="49" t="str">
        <f>IFERROR(INDEX(Building_Stakeholders!$F$5:$F$300,MATCH(ROWS($A$76:F79),Building_Stakeholders!$I$5:$I$300,0)),"")</f>
        <v/>
      </c>
      <c r="G79" s="49" t="str">
        <f>IFERROR(INDEX(Building_Stakeholders!$G$5:$G$300,MATCH(ROWS($A$76:G79),Building_Stakeholders!$I$5:$I$300,0)),"")</f>
        <v/>
      </c>
      <c r="H79" s="49" t="str">
        <f>IFERROR(INDEX(Building_Stakeholders!$H$5:$H$300,MATCH(ROWS($A$76:H79),Building_Stakeholders!$I$5:$I$300,0)),"")</f>
        <v/>
      </c>
    </row>
    <row r="80" spans="1:12" ht="14.25" customHeight="1">
      <c r="A80" s="49" t="str">
        <f>IFERROR(INDEX(Building_Stakeholders!$A$5:$A$300,MATCH(ROWS($A$76:A80),Building_Stakeholders!$I$5:$I$300,0)),"")</f>
        <v/>
      </c>
      <c r="B80" s="49" t="str">
        <f>IFERROR(INDEX(Building_Stakeholders!$B$5:$B$300,MATCH(ROWS($A$76:B80),Building_Stakeholders!$I$5:$I$300,0)),"")</f>
        <v/>
      </c>
      <c r="C80" s="49" t="str">
        <f>IFERROR(INDEX(Building_Stakeholders!$C$5:$C$300,MATCH(ROWS($A$76:C80),Building_Stakeholders!$I$5:$I$300,0)),"")</f>
        <v/>
      </c>
      <c r="D80" s="49" t="str">
        <f>IFERROR(INDEX(Building_Stakeholders!$D$5:$D$300,MATCH(ROWS($A$76:D80),Building_Stakeholders!$I$5:$I$300,0)),"")</f>
        <v/>
      </c>
      <c r="E80" s="49" t="str">
        <f>IFERROR(INDEX(Building_Stakeholders!$E$5:$E$300,MATCH(ROWS($A$76:E80),Building_Stakeholders!$I$5:$I$300,0)),"")</f>
        <v/>
      </c>
      <c r="F80" s="49" t="str">
        <f>IFERROR(INDEX(Building_Stakeholders!$F$5:$F$300,MATCH(ROWS($A$76:F80),Building_Stakeholders!$I$5:$I$300,0)),"")</f>
        <v/>
      </c>
      <c r="G80" s="49" t="str">
        <f>IFERROR(INDEX(Building_Stakeholders!$G$5:$G$300,MATCH(ROWS($A$76:G80),Building_Stakeholders!$I$5:$I$300,0)),"")</f>
        <v/>
      </c>
      <c r="H80" s="49" t="str">
        <f>IFERROR(INDEX(Building_Stakeholders!$H$5:$H$300,MATCH(ROWS($A$76:H80),Building_Stakeholders!$I$5:$I$300,0)),"")</f>
        <v/>
      </c>
    </row>
    <row r="81" spans="1:12" ht="14.25" customHeight="1">
      <c r="A81" s="13"/>
      <c r="B81" s="13"/>
      <c r="C81" s="13"/>
      <c r="D81" s="13"/>
      <c r="E81" s="13"/>
      <c r="F81" s="13"/>
      <c r="G81" s="13"/>
    </row>
    <row r="82" spans="1:12" ht="14.25" customHeight="1">
      <c r="A82" s="13"/>
      <c r="B82" s="13"/>
      <c r="C82" s="13"/>
      <c r="D82" s="13"/>
      <c r="E82" s="13"/>
      <c r="F82" s="13"/>
      <c r="G82" s="13"/>
    </row>
    <row r="83" spans="1:12" ht="14.25" customHeight="1">
      <c r="A83" s="18" t="s">
        <v>308</v>
      </c>
      <c r="B83" s="19"/>
      <c r="C83" s="19"/>
      <c r="D83" s="19"/>
      <c r="E83" s="19"/>
      <c r="F83" s="19"/>
      <c r="G83" s="19"/>
      <c r="H83" s="19"/>
      <c r="I83" s="19"/>
      <c r="J83" s="19"/>
      <c r="K83" s="19"/>
      <c r="L83" s="19"/>
    </row>
    <row r="84" spans="1:12" ht="17.25" customHeight="1">
      <c r="A84" s="51" t="s">
        <v>309</v>
      </c>
      <c r="B84" s="13"/>
      <c r="C84" s="13"/>
      <c r="D84" s="13"/>
      <c r="E84" s="13"/>
      <c r="F84" s="13"/>
      <c r="G84" s="13"/>
    </row>
    <row r="85" spans="1:12" ht="43.5" customHeight="1">
      <c r="A85" s="51" t="s">
        <v>310</v>
      </c>
      <c r="B85" s="13"/>
      <c r="C85" s="13"/>
      <c r="D85" s="13"/>
      <c r="E85" s="13"/>
      <c r="F85" s="13"/>
      <c r="G85" s="13"/>
    </row>
    <row r="86" spans="1:12" ht="52.5" customHeight="1">
      <c r="A86" s="51" t="s">
        <v>311</v>
      </c>
      <c r="B86" s="13"/>
      <c r="C86" s="13"/>
      <c r="D86" s="13"/>
      <c r="E86" s="13"/>
      <c r="F86" s="13"/>
      <c r="G86" s="13"/>
    </row>
    <row r="87" spans="1:12" ht="35.25" customHeight="1">
      <c r="A87" s="51" t="s">
        <v>312</v>
      </c>
      <c r="B87" s="13"/>
      <c r="C87" s="13"/>
      <c r="D87" s="13"/>
      <c r="E87" s="13"/>
      <c r="F87" s="13"/>
      <c r="G87" s="13"/>
    </row>
    <row r="88" spans="1:12" ht="43.5" customHeight="1">
      <c r="A88" s="51" t="s">
        <v>313</v>
      </c>
    </row>
    <row r="89" spans="1:12" ht="8.25" customHeight="1">
      <c r="A89" s="11"/>
      <c r="B89" s="11"/>
      <c r="C89" s="11"/>
      <c r="D89" s="11"/>
      <c r="E89" s="11"/>
      <c r="F89" s="11"/>
      <c r="G89" s="11"/>
      <c r="H89" s="11"/>
      <c r="I89" s="11"/>
      <c r="J89" s="11"/>
      <c r="K89" s="11"/>
      <c r="L89" s="11"/>
    </row>
    <row r="90" spans="1:12" ht="17.25" customHeight="1">
      <c r="A90" s="18" t="s">
        <v>314</v>
      </c>
      <c r="B90" s="19"/>
      <c r="C90" s="19"/>
      <c r="D90" s="19"/>
      <c r="E90" s="19"/>
      <c r="F90" s="19"/>
      <c r="G90" s="19"/>
      <c r="H90" s="19"/>
      <c r="I90" s="19"/>
      <c r="J90" s="19"/>
      <c r="K90" s="52"/>
      <c r="L90" s="52"/>
    </row>
    <row r="91" spans="1:12" ht="35.25" customHeight="1">
      <c r="A91" s="51" t="s">
        <v>315</v>
      </c>
      <c r="B91" s="44"/>
      <c r="C91" s="44"/>
      <c r="D91" s="44"/>
      <c r="E91" s="44"/>
      <c r="F91" s="44"/>
      <c r="G91" s="44"/>
      <c r="H91" s="44"/>
      <c r="I91" s="44"/>
      <c r="J91" s="44"/>
      <c r="K91" s="44"/>
      <c r="L91" s="44"/>
    </row>
    <row r="92" spans="1:12" ht="26.25" customHeight="1">
      <c r="A92" s="51" t="s">
        <v>316</v>
      </c>
      <c r="B92" s="44"/>
      <c r="C92" s="44"/>
      <c r="D92" s="44"/>
      <c r="E92" s="44"/>
      <c r="F92" s="44"/>
      <c r="G92" s="44"/>
      <c r="H92" s="44"/>
      <c r="I92" s="44"/>
      <c r="J92" s="44"/>
      <c r="K92" s="44"/>
      <c r="L92" s="44"/>
    </row>
    <row r="93" spans="1:12" ht="43.5" customHeight="1">
      <c r="A93" s="51" t="s">
        <v>317</v>
      </c>
      <c r="B93" s="44"/>
      <c r="C93" s="44"/>
      <c r="D93" s="44"/>
      <c r="E93" s="44"/>
      <c r="F93" s="44"/>
      <c r="G93" s="44"/>
      <c r="H93" s="44"/>
      <c r="I93" s="44"/>
      <c r="J93" s="44"/>
      <c r="K93" s="44"/>
      <c r="L93" s="44"/>
    </row>
    <row r="94" spans="1:12" ht="14.25" customHeight="1">
      <c r="A94" s="13"/>
      <c r="B94" s="13"/>
      <c r="C94" s="13"/>
      <c r="D94" s="13"/>
      <c r="E94" s="13"/>
      <c r="F94" s="13"/>
      <c r="G94" s="13"/>
      <c r="H94" s="13"/>
      <c r="I94" s="13"/>
      <c r="J94" s="13"/>
    </row>
    <row r="95" spans="1:12" ht="14.25" customHeight="1">
      <c r="A95" s="13"/>
      <c r="B95" s="13"/>
      <c r="C95" s="13"/>
      <c r="D95" s="13"/>
      <c r="E95" s="13"/>
      <c r="F95" s="13"/>
      <c r="G95" s="13"/>
      <c r="H95" s="13"/>
      <c r="I95" s="13"/>
      <c r="J95" s="13"/>
    </row>
    <row r="96" spans="1:12" ht="14.25" customHeight="1">
      <c r="A96" s="13"/>
      <c r="B96" s="13"/>
      <c r="C96" s="13"/>
      <c r="D96" s="13"/>
      <c r="E96" s="13"/>
      <c r="F96" s="13"/>
      <c r="G96" s="13"/>
      <c r="H96" s="13"/>
      <c r="I96" s="13"/>
      <c r="J96" s="13"/>
    </row>
    <row r="97" spans="1:12" ht="14.25" customHeight="1">
      <c r="A97" s="13"/>
      <c r="B97" s="13"/>
      <c r="C97" s="13"/>
      <c r="D97" s="13"/>
      <c r="E97" s="13"/>
      <c r="F97" s="13"/>
      <c r="G97" s="13"/>
      <c r="H97" s="13"/>
      <c r="I97" s="13"/>
      <c r="J97" s="13"/>
    </row>
    <row r="98" spans="1:12" ht="14.25" customHeight="1">
      <c r="A98" s="13"/>
      <c r="B98" s="13"/>
      <c r="C98" s="13"/>
      <c r="D98" s="13"/>
      <c r="E98" s="13"/>
      <c r="F98" s="13"/>
      <c r="G98" s="13"/>
      <c r="H98" s="13"/>
      <c r="I98" s="13"/>
      <c r="J98" s="13"/>
    </row>
    <row r="99" spans="1:12" ht="14.25" customHeight="1">
      <c r="A99" s="13"/>
      <c r="B99" s="13"/>
      <c r="C99" s="13"/>
      <c r="D99" s="13"/>
      <c r="E99" s="13"/>
      <c r="F99" s="13"/>
      <c r="G99" s="13"/>
      <c r="H99" s="13"/>
      <c r="I99" s="13"/>
      <c r="J99" s="13"/>
    </row>
    <row r="100" spans="1:12" ht="14.25" customHeight="1">
      <c r="A100" s="13"/>
      <c r="B100" s="13"/>
      <c r="C100" s="13"/>
      <c r="D100" s="13"/>
      <c r="E100" s="13"/>
      <c r="F100" s="13"/>
      <c r="G100" s="13"/>
      <c r="H100" s="13"/>
      <c r="I100" s="13"/>
      <c r="J100" s="13"/>
    </row>
    <row r="102" spans="1:12" ht="8.25" customHeight="1">
      <c r="A102" s="11"/>
      <c r="B102" s="11"/>
      <c r="C102" s="11"/>
      <c r="D102" s="11"/>
      <c r="E102" s="11"/>
      <c r="F102" s="11"/>
      <c r="G102" s="11"/>
      <c r="H102" s="11"/>
      <c r="I102" s="11"/>
      <c r="J102" s="11"/>
      <c r="K102" s="11"/>
      <c r="L102" s="11"/>
    </row>
    <row r="103" spans="1:12" ht="14.25" customHeight="1">
      <c r="A103" s="50"/>
      <c r="B103" s="50"/>
      <c r="C103" s="50"/>
      <c r="D103" s="50"/>
      <c r="E103" s="50"/>
      <c r="F103" s="50"/>
      <c r="G103" s="50"/>
      <c r="H103" s="50"/>
    </row>
    <row r="104" spans="1:12" ht="14.25" customHeight="1">
      <c r="A104" s="13"/>
      <c r="B104" s="13"/>
      <c r="C104" s="13"/>
      <c r="D104" s="13"/>
      <c r="E104" s="13"/>
      <c r="F104" s="13"/>
      <c r="G104" s="13"/>
      <c r="H104" s="13"/>
    </row>
    <row r="105" spans="1:12" ht="14.25" customHeight="1">
      <c r="A105" s="13"/>
      <c r="B105" s="13"/>
      <c r="C105" s="13"/>
      <c r="D105" s="13"/>
      <c r="E105" s="13"/>
      <c r="F105" s="13"/>
      <c r="G105" s="13"/>
      <c r="H105" s="13"/>
    </row>
    <row r="106" spans="1:12" ht="14.25" customHeight="1">
      <c r="A106" s="13"/>
      <c r="B106" s="13"/>
      <c r="C106" s="13"/>
      <c r="D106" s="13"/>
      <c r="E106" s="13"/>
      <c r="F106" s="13"/>
      <c r="G106" s="13"/>
      <c r="H106" s="13"/>
    </row>
    <row r="107" spans="1:12" ht="14.25" customHeight="1">
      <c r="A107" s="13"/>
      <c r="B107" s="13"/>
      <c r="C107" s="13"/>
      <c r="D107" s="13"/>
      <c r="E107" s="13"/>
      <c r="F107" s="13"/>
      <c r="G107" s="13"/>
      <c r="H107" s="13"/>
    </row>
    <row r="108" spans="1:12" ht="14.25" customHeight="1">
      <c r="A108" s="13"/>
      <c r="B108" s="13"/>
      <c r="C108" s="13"/>
      <c r="D108" s="13"/>
      <c r="E108" s="13"/>
      <c r="F108" s="13"/>
      <c r="G108" s="13"/>
      <c r="H108" s="13"/>
    </row>
    <row r="109" spans="1:12" ht="14.25" customHeight="1">
      <c r="A109" s="13"/>
      <c r="B109" s="13"/>
      <c r="C109" s="13"/>
      <c r="D109" s="13"/>
      <c r="E109" s="13"/>
      <c r="F109" s="13"/>
      <c r="G109" s="13"/>
      <c r="H109" s="13"/>
    </row>
    <row r="110" spans="1:12" ht="14.25" customHeight="1">
      <c r="A110" s="13"/>
      <c r="B110" s="13"/>
      <c r="C110" s="13"/>
      <c r="D110" s="13"/>
      <c r="E110" s="13"/>
      <c r="F110" s="13"/>
      <c r="G110" s="13"/>
      <c r="H110" s="13"/>
    </row>
    <row r="111" spans="1:12" ht="14.25" customHeight="1">
      <c r="A111" s="13"/>
      <c r="B111" s="13"/>
      <c r="C111" s="13"/>
      <c r="D111" s="13"/>
      <c r="E111" s="13"/>
      <c r="F111" s="13"/>
      <c r="G111" s="13"/>
      <c r="H111" s="13"/>
    </row>
    <row r="112" spans="1:12" ht="14.25" customHeight="1">
      <c r="A112" s="13"/>
      <c r="B112" s="13"/>
      <c r="C112" s="13"/>
      <c r="D112" s="13"/>
      <c r="E112" s="13"/>
      <c r="F112" s="13"/>
      <c r="G112" s="13"/>
      <c r="H112" s="13"/>
    </row>
    <row r="113" spans="1:12" ht="14.25" customHeight="1">
      <c r="A113" s="13"/>
      <c r="B113" s="13"/>
      <c r="C113" s="13"/>
      <c r="D113" s="13"/>
      <c r="E113" s="13"/>
      <c r="F113" s="13"/>
      <c r="G113" s="13"/>
      <c r="H113" s="13"/>
    </row>
    <row r="116" spans="1:12" ht="8.25" customHeight="1">
      <c r="A116" s="11"/>
      <c r="B116" s="11"/>
      <c r="C116" s="11"/>
      <c r="D116" s="11"/>
      <c r="E116" s="11"/>
      <c r="F116" s="11"/>
      <c r="G116" s="11"/>
      <c r="H116" s="11"/>
      <c r="I116" s="11"/>
      <c r="J116" s="11"/>
      <c r="K116" s="11"/>
      <c r="L116" s="11"/>
    </row>
    <row r="117" spans="1:12" ht="13.5" customHeight="1">
      <c r="A117" s="53"/>
      <c r="B117" s="53"/>
      <c r="C117" s="53"/>
      <c r="D117" s="53"/>
      <c r="E117" s="53"/>
      <c r="F117" s="53"/>
      <c r="G117" s="53"/>
      <c r="H117" s="53"/>
      <c r="I117" s="53"/>
      <c r="J117" s="53"/>
      <c r="K117" s="53"/>
      <c r="L117" s="53"/>
    </row>
    <row r="118" spans="1:12" ht="13.5" customHeight="1">
      <c r="A118" s="53"/>
      <c r="B118" s="53"/>
      <c r="C118" s="53"/>
      <c r="D118" s="53"/>
      <c r="E118" s="53"/>
      <c r="F118" s="53"/>
      <c r="G118" s="53"/>
      <c r="H118" s="53"/>
      <c r="I118" s="53"/>
      <c r="J118" s="53"/>
      <c r="K118" s="53"/>
      <c r="L118" s="53"/>
    </row>
    <row r="119" spans="1:12" ht="13.5" customHeight="1">
      <c r="A119" s="53"/>
      <c r="B119" s="53"/>
      <c r="C119" s="53"/>
      <c r="D119" s="53"/>
      <c r="E119" s="53"/>
      <c r="F119" s="53"/>
      <c r="G119" s="53"/>
      <c r="H119" s="53"/>
      <c r="I119" s="53"/>
      <c r="J119" s="53"/>
      <c r="K119" s="53"/>
      <c r="L119" s="53"/>
    </row>
    <row r="120" spans="1:12" ht="13.5" customHeight="1">
      <c r="A120" s="53"/>
      <c r="B120" s="53"/>
      <c r="C120" s="53"/>
      <c r="D120" s="53"/>
      <c r="E120" s="53"/>
      <c r="F120" s="53"/>
      <c r="G120" s="53"/>
      <c r="H120" s="53"/>
      <c r="I120" s="53"/>
      <c r="J120" s="53"/>
      <c r="K120" s="53"/>
      <c r="L120" s="53"/>
    </row>
    <row r="121" spans="1:12" ht="13.5" customHeight="1">
      <c r="A121" s="53"/>
      <c r="B121" s="53"/>
      <c r="C121" s="53"/>
      <c r="D121" s="53"/>
      <c r="E121" s="53"/>
      <c r="F121" s="53"/>
      <c r="G121" s="53"/>
      <c r="H121" s="53"/>
      <c r="I121" s="53"/>
      <c r="J121" s="53"/>
      <c r="K121" s="53"/>
      <c r="L121" s="5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E3985-61D5-4800-BA7E-32D4850592A9}">
  <sheetPr>
    <pageSetUpPr fitToPage="1"/>
  </sheetPr>
  <dimension ref="A1:AG153"/>
  <sheetViews>
    <sheetView showGridLines="0" zoomScale="80" zoomScaleNormal="80" workbookViewId="0">
      <selection activeCell="I46" sqref="I46"/>
    </sheetView>
  </sheetViews>
  <sheetFormatPr defaultColWidth="8.6640625" defaultRowHeight="13.2"/>
  <cols>
    <col min="1" max="1" width="23.5546875" customWidth="1"/>
    <col min="2" max="2" width="28" customWidth="1"/>
    <col min="3" max="3" width="17.44140625" customWidth="1"/>
    <col min="4" max="4" width="12" customWidth="1"/>
    <col min="5" max="5" width="14" customWidth="1"/>
    <col min="6" max="6" width="12" customWidth="1"/>
    <col min="7" max="7" width="16.6640625" customWidth="1"/>
    <col min="8" max="8" width="17" customWidth="1"/>
    <col min="9" max="9" width="15.88671875" customWidth="1"/>
    <col min="10" max="10" width="15.6640625" customWidth="1"/>
    <col min="11" max="11" width="13.109375" customWidth="1"/>
    <col min="12" max="12" width="20.6640625" customWidth="1"/>
    <col min="13" max="13" width="14" customWidth="1"/>
    <col min="14" max="15" width="15.6640625" customWidth="1"/>
    <col min="16" max="16" width="21.44140625" customWidth="1"/>
    <col min="17" max="33" width="13" hidden="1" customWidth="1"/>
    <col min="34" max="34" width="3.88671875" customWidth="1"/>
    <col min="35" max="35" width="5.33203125" customWidth="1"/>
  </cols>
  <sheetData>
    <row r="1" spans="1:28" s="290" customFormat="1" ht="78" customHeight="1" thickBot="1">
      <c r="A1" s="687" t="s">
        <v>5766</v>
      </c>
      <c r="B1" s="688"/>
      <c r="C1" s="688"/>
      <c r="D1" s="688"/>
      <c r="E1" s="688"/>
      <c r="F1" s="688"/>
      <c r="G1" s="688"/>
      <c r="H1" s="688"/>
      <c r="I1" s="688"/>
      <c r="J1" s="688"/>
      <c r="K1" s="688"/>
      <c r="L1" s="688"/>
      <c r="M1" s="688"/>
      <c r="N1" s="688"/>
      <c r="O1" s="688"/>
      <c r="P1" s="689"/>
      <c r="Q1" s="287"/>
      <c r="R1" s="287"/>
      <c r="S1" s="288" t="s">
        <v>125</v>
      </c>
      <c r="T1" s="289">
        <f ca="1">NOW()</f>
        <v>46220.363642939818</v>
      </c>
      <c r="U1" s="288"/>
      <c r="V1" s="288"/>
      <c r="W1" s="288"/>
      <c r="X1" s="288"/>
      <c r="Y1" s="288"/>
      <c r="Z1" s="288" t="s">
        <v>126</v>
      </c>
      <c r="AA1" s="288" t="s">
        <v>127</v>
      </c>
      <c r="AB1" s="288" t="s">
        <v>128</v>
      </c>
    </row>
    <row r="2" spans="1:28" s="196" customFormat="1" ht="54.6" customHeight="1" thickBot="1">
      <c r="A2" s="199"/>
      <c r="B2" s="701" t="str">
        <f>IF($B$14&gt;=0.9,"MISSION STATUS: OPERATIONAL  ",IF($B$14&gt;=0.75,"MISSION STATUS: WATCH  ",IF($B$14&gt;=0.5,"MISSION STATUS: AT RISK  ","MISSION STATUS: CRITICAL  ")))&amp;REPT("█",ROUND($B$14*20,0))&amp;REPT("░",20-ROUND($B$14*20,0))&amp;"  "&amp;TEXT($B$14,"0%")</f>
        <v>MISSION STATUS: AT RISK  ██████████░░░░░░░░░░  51%</v>
      </c>
      <c r="C2" s="701"/>
      <c r="D2" s="701"/>
      <c r="E2" s="701"/>
      <c r="F2" s="701"/>
      <c r="G2" s="701"/>
      <c r="H2" s="701"/>
      <c r="I2" s="701"/>
      <c r="J2" s="701"/>
      <c r="K2" s="701"/>
      <c r="L2" s="701"/>
      <c r="M2" s="701"/>
      <c r="N2" s="701"/>
      <c r="O2" s="701"/>
      <c r="P2" s="701"/>
      <c r="Q2" s="702"/>
      <c r="R2" s="702"/>
      <c r="S2" s="198"/>
      <c r="T2" s="198"/>
      <c r="U2" s="198"/>
      <c r="V2" s="198"/>
      <c r="W2" s="198"/>
      <c r="X2" s="198"/>
      <c r="Y2" s="198"/>
      <c r="Z2" s="198">
        <f>IFERROR(MATCH($C$17,PMIS_Data!$A$3:$A$32,0),1)</f>
        <v>22</v>
      </c>
      <c r="AA2" s="198" t="str">
        <f>IFERROR(INDEX(PMIS_Data!$B$3:$B$32,$Z$2),"")</f>
        <v>B61_Assessment</v>
      </c>
      <c r="AB2" s="198" t="str">
        <f>$C$17&amp;""</f>
        <v>61</v>
      </c>
    </row>
    <row r="3" spans="1:28" ht="51.6" customHeight="1" thickBot="1">
      <c r="A3" s="629" t="s">
        <v>5674</v>
      </c>
      <c r="B3" s="630"/>
      <c r="C3" s="630"/>
      <c r="D3" s="630"/>
      <c r="E3" s="630"/>
      <c r="F3" s="630"/>
      <c r="G3" s="630"/>
      <c r="H3" s="630"/>
      <c r="I3" s="630"/>
      <c r="J3" s="630"/>
      <c r="K3" s="630"/>
      <c r="L3" s="630"/>
      <c r="M3" s="630"/>
      <c r="N3" s="630"/>
      <c r="O3" s="630"/>
      <c r="P3" s="631"/>
    </row>
    <row r="4" spans="1:28" ht="51.6" customHeight="1">
      <c r="A4" s="703" t="str">
        <f>HYPERLINK("#'B01_Assessment'!A1","B01"&amp;CHAR(10)&amp;TEXT(IFERROR(INDEX(PMIS_Data!$E:$E,MATCH("01",PMIS_Data!$A:$A,0)),0),"0%")&amp;"  "&amp;REPT("█",ROUND(IFERROR(INDEX(PMIS_Data!$E:$E,MATCH("01",PMIS_Data!$A:$A,0)),0)*10,0))&amp;REPT("░",10-ROUND(IFERROR(INDEX(PMIS_Data!$E:$E,MATCH("01",PMIS_Data!$A:$A,0)),0)*10,0))&amp;CHAR(10)&amp;"⚠ "&amp;IFERROR(INDEX(PMIS_Data!$H:$H,MATCH("01",PMIS_Data!$A:$A,0)),"-")&amp;"   ❓ "&amp;IFERROR(INDEX(PMIS_Data!$I:$I,MATCH("01",PMIS_Data!$A:$A,0)),"-")&amp;CHAR(10)&amp;" ")</f>
        <v xml:space="preserve">B01
50%  █████░░░░░
⚠ 0   ❓ 0
 </v>
      </c>
      <c r="B4" s="704"/>
      <c r="C4" s="704"/>
      <c r="D4" s="705"/>
      <c r="E4" s="703" t="str">
        <f>HYPERLINK("#'B02_Assessment'!A1","B02"&amp;CHAR(10)&amp;TEXT(IFERROR(INDEX(PMIS_Data!$E:$E,MATCH("02",PMIS_Data!$A:$A,0)),0),"0%")&amp;"  "&amp;REPT("█",ROUND(IFERROR(INDEX(PMIS_Data!$E:$E,MATCH("02",PMIS_Data!$A:$A,0)),0)*10,0))&amp;REPT("░",10-ROUND(IFERROR(INDEX(PMIS_Data!$E:$E,MATCH("02",PMIS_Data!$A:$A,0)),0)*10,0))&amp;CHAR(10)&amp;"⚠ "&amp;IFERROR(INDEX(PMIS_Data!$H:$H,MATCH("02",PMIS_Data!$A:$A,0)),"-")&amp;"   ❓ "&amp;IFERROR(INDEX(PMIS_Data!$I:$I,MATCH("02",PMIS_Data!$A:$A,0)),"-")&amp;CHAR(10)&amp;" ")</f>
        <v xml:space="preserve">B02
50%  █████░░░░░
⚠ 0   ❓ 0
 </v>
      </c>
      <c r="F4" s="704"/>
      <c r="G4" s="704"/>
      <c r="H4" s="705"/>
      <c r="I4" s="703" t="str">
        <f>HYPERLINK("#'B03_Assessment'!A1","B03"&amp;CHAR(10)&amp;TEXT(IFERROR(INDEX(PMIS_Data!$E:$E,MATCH("03",PMIS_Data!$A:$A,0)),0),"0%")&amp;"  "&amp;REPT("█",ROUND(IFERROR(INDEX(PMIS_Data!$E:$E,MATCH("03",PMIS_Data!$A:$A,0)),0)*10,0))&amp;REPT("░",10-ROUND(IFERROR(INDEX(PMIS_Data!$E:$E,MATCH("03",PMIS_Data!$A:$A,0)),0)*10,0))&amp;CHAR(10)&amp;"⚠ "&amp;IFERROR(INDEX(PMIS_Data!$H:$H,MATCH("03",PMIS_Data!$A:$A,0)),"-")&amp;"   ❓ "&amp;IFERROR(INDEX(PMIS_Data!$I:$I,MATCH("03",PMIS_Data!$A:$A,0)),"-")&amp;CHAR(10)&amp;" ")</f>
        <v xml:space="preserve">B03
50%  █████░░░░░
⚠ 0   ❓ 0
 </v>
      </c>
      <c r="J4" s="704"/>
      <c r="K4" s="704"/>
      <c r="L4" s="705"/>
      <c r="M4" s="703" t="str">
        <f>HYPERLINK("#'B04_Assessment'!A1","B04"&amp;CHAR(10)&amp;TEXT(IFERROR(INDEX(PMIS_Data!$E:$E,MATCH("04",PMIS_Data!$A:$A,0)),0),"0%")&amp;"  "&amp;REPT("█",ROUND(IFERROR(INDEX(PMIS_Data!$E:$E,MATCH("04",PMIS_Data!$A:$A,0)),0)*10,0))&amp;REPT("░",10-ROUND(IFERROR(INDEX(PMIS_Data!$E:$E,MATCH("04",PMIS_Data!$A:$A,0)),0)*10,0))&amp;CHAR(10)&amp;"⚠ "&amp;IFERROR(INDEX(PMIS_Data!$H:$H,MATCH("04",PMIS_Data!$A:$A,0)),"-")&amp;"   ❓ "&amp;IFERROR(INDEX(PMIS_Data!$I:$I,MATCH("04",PMIS_Data!$A:$A,0)),"-")&amp;CHAR(10)&amp;" ")</f>
        <v xml:space="preserve">B04
50%  █████░░░░░
⚠ 0   ❓ 0
 </v>
      </c>
      <c r="N4" s="704"/>
      <c r="O4" s="704"/>
      <c r="P4" s="705"/>
    </row>
    <row r="5" spans="1:28" ht="51.6" customHeight="1">
      <c r="A5" s="587" t="str">
        <f>HYPERLINK("#'B05_Assessment'!A1","B05"&amp;CHAR(10)&amp;TEXT(IFERROR(INDEX(PMIS_Data!$E:$E,MATCH("05",PMIS_Data!$A:$A,0)),0),"0%")&amp;"  "&amp;REPT("█",ROUND(IFERROR(INDEX(PMIS_Data!$E:$E,MATCH("05",PMIS_Data!$A:$A,0)),0)*10,0))&amp;REPT("░",10-ROUND(IFERROR(INDEX(PMIS_Data!$E:$E,MATCH("05",PMIS_Data!$A:$A,0)),0)*10,0))&amp;CHAR(10)&amp;"⚠ "&amp;IFERROR(INDEX(PMIS_Data!$H:$H,MATCH("05",PMIS_Data!$A:$A,0)),"-")&amp;"   ❓ "&amp;IFERROR(INDEX(PMIS_Data!$I:$I,MATCH("05",PMIS_Data!$A:$A,0)),"-")&amp;CHAR(10)&amp;" ")</f>
        <v xml:space="preserve">B05
55%  ██████░░░░
⚠ 0   ❓ 0
 </v>
      </c>
      <c r="B5" s="588"/>
      <c r="C5" s="588"/>
      <c r="D5" s="589"/>
      <c r="E5" s="587" t="str">
        <f>HYPERLINK("#'B06_Assessment'!A1","B06"&amp;CHAR(10)&amp;TEXT(IFERROR(INDEX(PMIS_Data!$E:$E,MATCH("06",PMIS_Data!$A:$A,0)),0),"0%")&amp;"  "&amp;REPT("█",ROUND(IFERROR(INDEX(PMIS_Data!$E:$E,MATCH("06",PMIS_Data!$A:$A,0)),0)*10,0))&amp;REPT("░",10-ROUND(IFERROR(INDEX(PMIS_Data!$E:$E,MATCH("06",PMIS_Data!$A:$A,0)),0)*10,0))&amp;CHAR(10)&amp;"⚠ "&amp;IFERROR(INDEX(PMIS_Data!$H:$H,MATCH("06",PMIS_Data!$A:$A,0)),"-")&amp;"   ❓ "&amp;IFERROR(INDEX(PMIS_Data!$I:$I,MATCH("06",PMIS_Data!$A:$A,0)),"-")&amp;CHAR(10)&amp;" ")</f>
        <v xml:space="preserve">B06
50%  █████░░░░░
⚠ 0   ❓ 0
 </v>
      </c>
      <c r="F5" s="588"/>
      <c r="G5" s="588"/>
      <c r="H5" s="589"/>
      <c r="I5" s="587" t="str">
        <f>HYPERLINK("#'B07_Assessment'!A1","B07"&amp;CHAR(10)&amp;TEXT(IFERROR(INDEX(PMIS_Data!$E:$E,MATCH("07",PMIS_Data!$A:$A,0)),0),"0%")&amp;"  "&amp;REPT("█",ROUND(IFERROR(INDEX(PMIS_Data!$E:$E,MATCH("07",PMIS_Data!$A:$A,0)),0)*10,0))&amp;REPT("░",10-ROUND(IFERROR(INDEX(PMIS_Data!$E:$E,MATCH("07",PMIS_Data!$A:$A,0)),0)*10,0))&amp;CHAR(10)&amp;"⚠ "&amp;IFERROR(INDEX(PMIS_Data!$H:$H,MATCH("07",PMIS_Data!$A:$A,0)),"-")&amp;"   ❓ "&amp;IFERROR(INDEX(PMIS_Data!$I:$I,MATCH("07",PMIS_Data!$A:$A,0)),"-")&amp;CHAR(10)&amp;" ")</f>
        <v xml:space="preserve">B07
50%  █████░░░░░
⚠ 0   ❓ 0
 </v>
      </c>
      <c r="J5" s="588"/>
      <c r="K5" s="588"/>
      <c r="L5" s="589"/>
      <c r="M5" s="587" t="str">
        <f>HYPERLINK("#'B08_Assessment'!A1","B08"&amp;CHAR(10)&amp;TEXT(IFERROR(INDEX(PMIS_Data!$E:$E,MATCH("08",PMIS_Data!$A:$A,0)),0),"0%")&amp;"  "&amp;REPT("█",ROUND(IFERROR(INDEX(PMIS_Data!$E:$E,MATCH("08",PMIS_Data!$A:$A,0)),0)*10,0))&amp;REPT("░",10-ROUND(IFERROR(INDEX(PMIS_Data!$E:$E,MATCH("08",PMIS_Data!$A:$A,0)),0)*10,0))&amp;CHAR(10)&amp;"⚠ "&amp;IFERROR(INDEX(PMIS_Data!$H:$H,MATCH("08",PMIS_Data!$A:$A,0)),"-")&amp;"   ❓ "&amp;IFERROR(INDEX(PMIS_Data!$I:$I,MATCH("08",PMIS_Data!$A:$A,0)),"-")&amp;CHAR(10)&amp;" ")</f>
        <v xml:space="preserve">B08
50%  █████░░░░░
⚠ 0   ❓ 0
 </v>
      </c>
      <c r="N5" s="588"/>
      <c r="O5" s="588"/>
      <c r="P5" s="589"/>
    </row>
    <row r="6" spans="1:28" ht="51.6" customHeight="1">
      <c r="A6" s="587" t="str">
        <f>HYPERLINK("#'B09_Assessment'!A1","B09"&amp;CHAR(10)&amp;TEXT(IFERROR(INDEX(PMIS_Data!$E:$E,MATCH("09",PMIS_Data!$A:$A,0)),0),"0%")&amp;"  "&amp;REPT("█",ROUND(IFERROR(INDEX(PMIS_Data!$E:$E,MATCH("09",PMIS_Data!$A:$A,0)),0)*10,0))&amp;REPT("░",10-ROUND(IFERROR(INDEX(PMIS_Data!$E:$E,MATCH("09",PMIS_Data!$A:$A,0)),0)*10,0))&amp;CHAR(10)&amp;"⚠ "&amp;IFERROR(INDEX(PMIS_Data!$H:$H,MATCH("09",PMIS_Data!$A:$A,0)),"-")&amp;"   ❓ "&amp;IFERROR(INDEX(PMIS_Data!$I:$I,MATCH("09",PMIS_Data!$A:$A,0)),"-")&amp;CHAR(10)&amp;" ")</f>
        <v xml:space="preserve">B09
50%  █████░░░░░
⚠ 0   ❓ 0
 </v>
      </c>
      <c r="B6" s="588"/>
      <c r="C6" s="588"/>
      <c r="D6" s="589"/>
      <c r="E6" s="587" t="str">
        <f>HYPERLINK("#'B10_Assessment'!A1","B10"&amp;CHAR(10)&amp;TEXT(IFERROR(INDEX(PMIS_Data!$E:$E,MATCH("10",PMIS_Data!$A:$A,0)),0),"0%")&amp;"  "&amp;REPT("█",ROUND(IFERROR(INDEX(PMIS_Data!$E:$E,MATCH("10",PMIS_Data!$A:$A,0)),0)*10,0))&amp;REPT("░",10-ROUND(IFERROR(INDEX(PMIS_Data!$E:$E,MATCH("10",PMIS_Data!$A:$A,0)),0)*10,0))&amp;CHAR(10)&amp;"⚠ "&amp;IFERROR(INDEX(PMIS_Data!$H:$H,MATCH("10",PMIS_Data!$A:$A,0)),"-")&amp;"   ❓ "&amp;IFERROR(INDEX(PMIS_Data!$I:$I,MATCH("10",PMIS_Data!$A:$A,0)),"-")&amp;CHAR(10)&amp;" ")</f>
        <v xml:space="preserve">B10
50%  █████░░░░░
⚠ 0   ❓ 0
 </v>
      </c>
      <c r="F6" s="588"/>
      <c r="G6" s="588"/>
      <c r="H6" s="589"/>
      <c r="I6" s="587" t="str">
        <f>HYPERLINK("#'B12_Assessment'!A1","B12"&amp;CHAR(10)&amp;TEXT(IFERROR(INDEX(PMIS_Data!$E:$E,MATCH("12",PMIS_Data!$A:$A,0)),0),"0%")&amp;"  "&amp;REPT("█",ROUND(IFERROR(INDEX(PMIS_Data!$E:$E,MATCH("12",PMIS_Data!$A:$A,0)),0)*10,0))&amp;REPT("░",10-ROUND(IFERROR(INDEX(PMIS_Data!$E:$E,MATCH("12",PMIS_Data!$A:$A,0)),0)*10,0))&amp;CHAR(10)&amp;"⚠ "&amp;IFERROR(INDEX(PMIS_Data!$H:$H,MATCH("12",PMIS_Data!$A:$A,0)),"-")&amp;"   ❓ "&amp;IFERROR(INDEX(PMIS_Data!$I:$I,MATCH("12",PMIS_Data!$A:$A,0)),"-")&amp;CHAR(10)&amp;" ")</f>
        <v xml:space="preserve">B12
60%  ██████░░░░
⚠ 0   ❓ 0
 </v>
      </c>
      <c r="J6" s="588"/>
      <c r="K6" s="588"/>
      <c r="L6" s="589"/>
      <c r="M6" s="587" t="str">
        <f>HYPERLINK("#'B13_Assessment'!A1","B13"&amp;CHAR(10)&amp;TEXT(IFERROR(INDEX(PMIS_Data!$E:$E,MATCH("13",PMIS_Data!$A:$A,0)),0),"0%")&amp;"  "&amp;REPT("█",ROUND(IFERROR(INDEX(PMIS_Data!$E:$E,MATCH("13",PMIS_Data!$A:$A,0)),0)*10,0))&amp;REPT("░",10-ROUND(IFERROR(INDEX(PMIS_Data!$E:$E,MATCH("13",PMIS_Data!$A:$A,0)),0)*10,0))&amp;CHAR(10)&amp;"⚠ "&amp;IFERROR(INDEX(PMIS_Data!$H:$H,MATCH("13",PMIS_Data!$A:$A,0)),"-")&amp;"   ❓ "&amp;IFERROR(INDEX(PMIS_Data!$I:$I,MATCH("13",PMIS_Data!$A:$A,0)),"-")&amp;CHAR(10)&amp;" ")</f>
        <v xml:space="preserve">B13
50%  █████░░░░░
⚠ 0   ❓ 0
 </v>
      </c>
      <c r="N6" s="588"/>
      <c r="O6" s="588"/>
      <c r="P6" s="589"/>
    </row>
    <row r="7" spans="1:28" ht="51.6" customHeight="1">
      <c r="A7" s="587" t="str">
        <f>HYPERLINK("#'B14_Assessment'!A1","B14"&amp;CHAR(10)&amp;TEXT(IFERROR(INDEX(PMIS_Data!$E:$E,MATCH("14",PMIS_Data!$A:$A,0)),0),"0%")&amp;"  "&amp;REPT("█",ROUND(IFERROR(INDEX(PMIS_Data!$E:$E,MATCH("14",PMIS_Data!$A:$A,0)),0)*10,0))&amp;REPT("░",10-ROUND(IFERROR(INDEX(PMIS_Data!$E:$E,MATCH("14",PMIS_Data!$A:$A,0)),0)*10,0))&amp;CHAR(10)&amp;"⚠ "&amp;IFERROR(INDEX(PMIS_Data!$H:$H,MATCH("14",PMIS_Data!$A:$A,0)),"-")&amp;"   ❓ "&amp;IFERROR(INDEX(PMIS_Data!$I:$I,MATCH("14",PMIS_Data!$A:$A,0)),"-")&amp;CHAR(10)&amp;" ")</f>
        <v xml:space="preserve">B14
50%  █████░░░░░
⚠ 0   ❓ 0
 </v>
      </c>
      <c r="B7" s="588"/>
      <c r="C7" s="588"/>
      <c r="D7" s="589"/>
      <c r="E7" s="587" t="str">
        <f>HYPERLINK("#'B15_Assessment'!A1","B15"&amp;CHAR(10)&amp;TEXT(IFERROR(INDEX(PMIS_Data!$E:$E,MATCH("15",PMIS_Data!$A:$A,0)),0),"0%")&amp;"  "&amp;REPT("█",ROUND(IFERROR(INDEX(PMIS_Data!$E:$E,MATCH("15",PMIS_Data!$A:$A,0)),0)*10,0))&amp;REPT("░",10-ROUND(IFERROR(INDEX(PMIS_Data!$E:$E,MATCH("15",PMIS_Data!$A:$A,0)),0)*10,0))&amp;CHAR(10)&amp;"⚠ "&amp;IFERROR(INDEX(PMIS_Data!$H:$H,MATCH("15",PMIS_Data!$A:$A,0)),"-")&amp;"   ❓ "&amp;IFERROR(INDEX(PMIS_Data!$I:$I,MATCH("15",PMIS_Data!$A:$A,0)),"-")&amp;CHAR(10)&amp;" ")</f>
        <v xml:space="preserve">B15
50%  █████░░░░░
⚠ 0   ❓ 0
 </v>
      </c>
      <c r="F7" s="588"/>
      <c r="G7" s="588"/>
      <c r="H7" s="589"/>
      <c r="I7" s="587" t="str">
        <f>HYPERLINK("#'B16_Assessment'!A1","B16"&amp;CHAR(10)&amp;TEXT(IFERROR(INDEX(PMIS_Data!$E:$E,MATCH("16",PMIS_Data!$A:$A,0)),0),"0%")&amp;"  "&amp;REPT("█",ROUND(IFERROR(INDEX(PMIS_Data!$E:$E,MATCH("16",PMIS_Data!$A:$A,0)),0)*10,0))&amp;REPT("░",10-ROUND(IFERROR(INDEX(PMIS_Data!$E:$E,MATCH("16",PMIS_Data!$A:$A,0)),0)*10,0))&amp;CHAR(10)&amp;"⚠ "&amp;IFERROR(INDEX(PMIS_Data!$H:$H,MATCH("16",PMIS_Data!$A:$A,0)),"-")&amp;"   ❓ "&amp;IFERROR(INDEX(PMIS_Data!$I:$I,MATCH("16",PMIS_Data!$A:$A,0)),"-")&amp;CHAR(10)&amp;" ")</f>
        <v xml:space="preserve">B16
50%  █████░░░░░
⚠ 0   ❓ 0
 </v>
      </c>
      <c r="J7" s="588"/>
      <c r="K7" s="588"/>
      <c r="L7" s="589"/>
      <c r="M7" s="587" t="str">
        <f>HYPERLINK("#'B17_Assessment'!A1","B17"&amp;CHAR(10)&amp;TEXT(IFERROR(INDEX(PMIS_Data!$E:$E,MATCH("17",PMIS_Data!$A:$A,0)),0),"0%")&amp;"  "&amp;REPT("█",ROUND(IFERROR(INDEX(PMIS_Data!$E:$E,MATCH("17",PMIS_Data!$A:$A,0)),0)*10,0))&amp;REPT("░",10-ROUND(IFERROR(INDEX(PMIS_Data!$E:$E,MATCH("17",PMIS_Data!$A:$A,0)),0)*10,0))&amp;CHAR(10)&amp;"⚠ "&amp;IFERROR(INDEX(PMIS_Data!$H:$H,MATCH("17",PMIS_Data!$A:$A,0)),"-")&amp;"   ❓ "&amp;IFERROR(INDEX(PMIS_Data!$I:$I,MATCH("17",PMIS_Data!$A:$A,0)),"-")&amp;CHAR(10)&amp;" ")</f>
        <v xml:space="preserve">B17
50%  █████░░░░░
⚠ 0   ❓ 0
 </v>
      </c>
      <c r="N7" s="588"/>
      <c r="O7" s="588"/>
      <c r="P7" s="589"/>
    </row>
    <row r="8" spans="1:28" ht="51.6" customHeight="1">
      <c r="A8" s="587" t="str">
        <f>HYPERLINK("#'B18_Assessment'!A1","B18"&amp;CHAR(10)&amp;TEXT(IFERROR(INDEX(PMIS_Data!$E:$E,MATCH("18",PMIS_Data!$A:$A,0)),0),"0%")&amp;"  "&amp;REPT("█",ROUND(IFERROR(INDEX(PMIS_Data!$E:$E,MATCH("18",PMIS_Data!$A:$A,0)),0)*10,0))&amp;REPT("░",10-ROUND(IFERROR(INDEX(PMIS_Data!$E:$E,MATCH("18",PMIS_Data!$A:$A,0)),0)*10,0))&amp;CHAR(10)&amp;"⚠ "&amp;IFERROR(INDEX(PMIS_Data!$H:$H,MATCH("18",PMIS_Data!$A:$A,0)),"-")&amp;"   ❓ "&amp;IFERROR(INDEX(PMIS_Data!$I:$I,MATCH("18",PMIS_Data!$A:$A,0)),"-")&amp;CHAR(10)&amp;" ")</f>
        <v xml:space="preserve">B18
50%  █████░░░░░
⚠ 0   ❓ 0
 </v>
      </c>
      <c r="B8" s="588"/>
      <c r="C8" s="588"/>
      <c r="D8" s="589"/>
      <c r="E8" s="587" t="str">
        <f>HYPERLINK("#'B20_Assessment'!A1","B20"&amp;CHAR(10)&amp;TEXT(IFERROR(INDEX(PMIS_Data!$E:$E,MATCH("20",PMIS_Data!$A:$A,0)),0),"0%")&amp;"  "&amp;REPT("█",ROUND(IFERROR(INDEX(PMIS_Data!$E:$E,MATCH("20",PMIS_Data!$A:$A,0)),0)*10,0))&amp;REPT("░",10-ROUND(IFERROR(INDEX(PMIS_Data!$E:$E,MATCH("20",PMIS_Data!$A:$A,0)),0)*10,0))&amp;CHAR(10)&amp;"⚠ "&amp;IFERROR(INDEX(PMIS_Data!$H:$H,MATCH("20",PMIS_Data!$A:$A,0)),"-")&amp;"   ❓ "&amp;IFERROR(INDEX(PMIS_Data!$I:$I,MATCH("20",PMIS_Data!$A:$A,0)),"-")&amp;CHAR(10)&amp;" ")</f>
        <v xml:space="preserve">B20
50%  █████░░░░░
⚠ 0   ❓ 0
 </v>
      </c>
      <c r="F8" s="588"/>
      <c r="G8" s="588"/>
      <c r="H8" s="589"/>
      <c r="I8" s="587" t="str">
        <f>HYPERLINK("#'B21_Assessment'!A1","B21"&amp;CHAR(10)&amp;TEXT(IFERROR(INDEX(PMIS_Data!$E:$E,MATCH("21",PMIS_Data!$A:$A,0)),0),"0%")&amp;"  "&amp;REPT("█",ROUND(IFERROR(INDEX(PMIS_Data!$E:$E,MATCH("21",PMIS_Data!$A:$A,0)),0)*10,0))&amp;REPT("░",10-ROUND(IFERROR(INDEX(PMIS_Data!$E:$E,MATCH("21",PMIS_Data!$A:$A,0)),0)*10,0))&amp;CHAR(10)&amp;"⚠ "&amp;IFERROR(INDEX(PMIS_Data!$H:$H,MATCH("21",PMIS_Data!$A:$A,0)),"-")&amp;"   ❓ "&amp;IFERROR(INDEX(PMIS_Data!$I:$I,MATCH("21",PMIS_Data!$A:$A,0)),"-")&amp;CHAR(10)&amp;" ")</f>
        <v xml:space="preserve">B21
50%  █████░░░░░
⚠ 0   ❓ 0
 </v>
      </c>
      <c r="J8" s="588"/>
      <c r="K8" s="588"/>
      <c r="L8" s="589"/>
      <c r="M8" s="587" t="str">
        <f>HYPERLINK("#'B22_Assessment'!A1","B22"&amp;CHAR(10)&amp;TEXT(IFERROR(INDEX(PMIS_Data!$E:$E,MATCH("22",PMIS_Data!$A:$A,0)),0),"0%")&amp;"  "&amp;REPT("█",ROUND(IFERROR(INDEX(PMIS_Data!$E:$E,MATCH("22",PMIS_Data!$A:$A,0)),0)*10,0))&amp;REPT("░",10-ROUND(IFERROR(INDEX(PMIS_Data!$E:$E,MATCH("22",PMIS_Data!$A:$A,0)),0)*10,0))&amp;CHAR(10)&amp;"⚠ "&amp;IFERROR(INDEX(PMIS_Data!$H:$H,MATCH("22",PMIS_Data!$A:$A,0)),"-")&amp;"   ❓ "&amp;IFERROR(INDEX(PMIS_Data!$I:$I,MATCH("22",PMIS_Data!$A:$A,0)),"-")&amp;CHAR(10)&amp;" ")</f>
        <v xml:space="preserve">B22
50%  █████░░░░░
⚠ 0   ❓ 0
 </v>
      </c>
      <c r="N8" s="588"/>
      <c r="O8" s="588"/>
      <c r="P8" s="589"/>
    </row>
    <row r="9" spans="1:28" ht="51.6" customHeight="1">
      <c r="A9" s="587" t="str">
        <f>HYPERLINK("#'B33_Assessment'!A1","B33"&amp;CHAR(10)&amp;TEXT(IFERROR(INDEX(PMIS_Data!$E:$E,MATCH("33",PMIS_Data!$A:$A,0)),0),"0%")&amp;"  "&amp;REPT("█",ROUND(IFERROR(INDEX(PMIS_Data!$E:$E,MATCH("33",PMIS_Data!$A:$A,0)),0)*10,0))&amp;REPT("░",10-ROUND(IFERROR(INDEX(PMIS_Data!$E:$E,MATCH("33",PMIS_Data!$A:$A,0)),0)*10,0))&amp;CHAR(10)&amp;"⚠ "&amp;IFERROR(INDEX(PMIS_Data!$H:$H,MATCH("33",PMIS_Data!$A:$A,0)),"-")&amp;"   ❓ "&amp;IFERROR(INDEX(PMIS_Data!$I:$I,MATCH("33",PMIS_Data!$A:$A,0)),"-")&amp;CHAR(10)&amp;" ")</f>
        <v xml:space="preserve">B33
50%  █████░░░░░
⚠ 0   ❓ 0
 </v>
      </c>
      <c r="B9" s="588"/>
      <c r="C9" s="588"/>
      <c r="D9" s="589"/>
      <c r="E9" s="587" t="str">
        <f>HYPERLINK("#'B61_Assessment'!A1","B61"&amp;CHAR(10)&amp;TEXT(IFERROR(INDEX(PMIS_Data!$E:$E,MATCH("61",PMIS_Data!$A:$A,0)),0),"0%")&amp;"  "&amp;REPT("█",ROUND(IFERROR(INDEX(PMIS_Data!$E:$E,MATCH("61",PMIS_Data!$A:$A,0)),0)*10,0))&amp;REPT("░",10-ROUND(IFERROR(INDEX(PMIS_Data!$E:$E,MATCH("61",PMIS_Data!$A:$A,0)),0)*10,0))&amp;CHAR(10)&amp;"⚠ "&amp;IFERROR(INDEX(PMIS_Data!$H:$H,MATCH("61",PMIS_Data!$A:$A,0)),"-")&amp;"   ❓ "&amp;IFERROR(INDEX(PMIS_Data!$I:$I,MATCH("61",PMIS_Data!$A:$A,0)),"-")&amp;CHAR(10)&amp;"PILOT ")</f>
        <v xml:space="preserve">B61
55%  ██████░░░░
⚠ 0   ❓ 0
PILOT </v>
      </c>
      <c r="F9" s="588"/>
      <c r="G9" s="588"/>
      <c r="H9" s="589"/>
      <c r="I9" s="587" t="str">
        <f>HYPERLINK("#'B62_TR_Assessment'!A1","B62"&amp;CHAR(10)&amp;TEXT(IFERROR(INDEX(PMIS_Data!$E:$E,MATCH("62",PMIS_Data!$A:$A,0)),0),"0%")&amp;"  "&amp;REPT("█",ROUND(IFERROR(INDEX(PMIS_Data!$E:$E,MATCH("62",PMIS_Data!$A:$A,0)),0)*10,0))&amp;REPT("░",10-ROUND(IFERROR(INDEX(PMIS_Data!$E:$E,MATCH("62",PMIS_Data!$A:$A,0)),0)*10,0))&amp;CHAR(10)&amp;"⚠ "&amp;IFERROR(INDEX(PMIS_Data!$H:$H,MATCH("62",PMIS_Data!$A:$A,0)),"-")&amp;"   ❓ "&amp;IFERROR(INDEX(PMIS_Data!$I:$I,MATCH("62",PMIS_Data!$A:$A,0)),"-")&amp;CHAR(10)&amp;" ")</f>
        <v xml:space="preserve">B62
50%  █████░░░░░
⚠ 0   ❓ 0
 </v>
      </c>
      <c r="J9" s="588"/>
      <c r="K9" s="588"/>
      <c r="L9" s="589"/>
      <c r="M9" s="587" t="str">
        <f>HYPERLINK("#'B70_TR_Assessment'!A1","B70"&amp;CHAR(10)&amp;TEXT(IFERROR(INDEX(PMIS_Data!$E:$E,MATCH("70",PMIS_Data!$A:$A,0)),0),"0%")&amp;"  "&amp;REPT("█",ROUND(IFERROR(INDEX(PMIS_Data!$E:$E,MATCH("70",PMIS_Data!$A:$A,0)),0)*10,0))&amp;REPT("░",10-ROUND(IFERROR(INDEX(PMIS_Data!$E:$E,MATCH("70",PMIS_Data!$A:$A,0)),0)*10,0))&amp;CHAR(10)&amp;"⚠ "&amp;IFERROR(INDEX(PMIS_Data!$H:$H,MATCH("70",PMIS_Data!$A:$A,0)),"-")&amp;"   ❓ "&amp;IFERROR(INDEX(PMIS_Data!$I:$I,MATCH("70",PMIS_Data!$A:$A,0)),"-")&amp;CHAR(10)&amp;" ")</f>
        <v xml:space="preserve">B70
50%  █████░░░░░
⚠ 0   ❓ 0
 </v>
      </c>
      <c r="N9" s="588"/>
      <c r="O9" s="588"/>
      <c r="P9" s="589"/>
    </row>
    <row r="10" spans="1:28" s="196" customFormat="1" ht="52.5" customHeight="1">
      <c r="A10" s="587" t="str">
        <f>HYPERLINK("#'B78_Assessment'!A1","B78"&amp;CHAR(10)&amp;TEXT(IFERROR(INDEX(PMIS_Data!$E:$E,MATCH("78",PMIS_Data!$A:$A,0)),0),"0%")&amp;"  "&amp;REPT("█",ROUND(IFERROR(INDEX(PMIS_Data!$E:$E,MATCH("78",PMIS_Data!$A:$A,0)),0)*10,0))&amp;REPT("░",10-ROUND(IFERROR(INDEX(PMIS_Data!$E:$E,MATCH("78",PMIS_Data!$A:$A,0)),0)*10,0))&amp;CHAR(10)&amp;"⚠ "&amp;IFERROR(INDEX(PMIS_Data!$H:$H,MATCH("78",PMIS_Data!$A:$A,0)),"-")&amp;"   ❓ "&amp;IFERROR(INDEX(PMIS_Data!$I:$I,MATCH("78",PMIS_Data!$A:$A,0)),"-")&amp;CHAR(10)&amp;" ")</f>
        <v xml:space="preserve">B78
50%  █████░░░░░
⚠ 0   ❓ 0
 </v>
      </c>
      <c r="B10" s="588"/>
      <c r="C10" s="588"/>
      <c r="D10" s="589"/>
      <c r="E10" s="587" t="str">
        <f>HYPERLINK("#'B80_Assessment'!A1","B80"&amp;CHAR(10)&amp;TEXT(IFERROR(INDEX(PMIS_Data!$E:$E,MATCH("80",PMIS_Data!$A:$A,0)),0),"0%")&amp;"  "&amp;REPT("█",ROUND(IFERROR(INDEX(PMIS_Data!$E:$E,MATCH("80",PMIS_Data!$A:$A,0)),0)*10,0))&amp;REPT("░",10-ROUND(IFERROR(INDEX(PMIS_Data!$E:$E,MATCH("80",PMIS_Data!$A:$A,0)),0)*10,0))&amp;CHAR(10)&amp;"⚠ "&amp;IFERROR(INDEX(PMIS_Data!$H:$H,MATCH("80",PMIS_Data!$A:$A,0)),"-")&amp;"   ❓ "&amp;IFERROR(INDEX(PMIS_Data!$I:$I,MATCH("80",PMIS_Data!$A:$A,0)),"-")&amp;CHAR(10)&amp;" ")</f>
        <v xml:space="preserve">B80
50%  █████░░░░░
⚠ 0   ❓ 0
 </v>
      </c>
      <c r="F10" s="588"/>
      <c r="G10" s="588"/>
      <c r="H10" s="589"/>
      <c r="I10" s="587" t="str">
        <f>HYPERLINK("#'B82_Assessment'!A1","B82"&amp;CHAR(10)&amp;TEXT(IFERROR(INDEX(PMIS_Data!$E:$E,MATCH("82",PMIS_Data!$A:$A,0)),0),"0%")&amp;"  "&amp;REPT("█",ROUND(IFERROR(INDEX(PMIS_Data!$E:$E,MATCH("82",PMIS_Data!$A:$A,0)),0)*10,0))&amp;REPT("░",10-ROUND(IFERROR(INDEX(PMIS_Data!$E:$E,MATCH("82",PMIS_Data!$A:$A,0)),0)*10,0))&amp;CHAR(10)&amp;"⚠ "&amp;IFERROR(INDEX(PMIS_Data!$H:$H,MATCH("82",PMIS_Data!$A:$A,0)),"-")&amp;"   ❓ "&amp;IFERROR(INDEX(PMIS_Data!$I:$I,MATCH("82",PMIS_Data!$A:$A,0)),"-")&amp;CHAR(10)&amp;" ")</f>
        <v xml:space="preserve">B82
50%  █████░░░░░
⚠ 0   ❓ 0
 </v>
      </c>
      <c r="J10" s="588"/>
      <c r="K10" s="588"/>
      <c r="L10" s="589"/>
      <c r="M10" s="587" t="str">
        <f>HYPERLINK("#'BCH_Assessment'!A1","BCH"&amp;CHAR(10)&amp;TEXT(IFERROR(INDEX(PMIS_Data!$E:$E,MATCH("BCH",PMIS_Data!$A:$A,0)),0),"0%")&amp;"  "&amp;REPT("█",ROUND(IFERROR(INDEX(PMIS_Data!$E:$E,MATCH("BCH",PMIS_Data!$A:$A,0)),0)*10,0))&amp;REPT("░",10-ROUND(IFERROR(INDEX(PMIS_Data!$E:$E,MATCH("BCH",PMIS_Data!$A:$A,0)),0)*10,0))&amp;CHAR(10)&amp;"⚠ "&amp;IFERROR(INDEX(PMIS_Data!$H:$H,MATCH("BCH",PMIS_Data!$A:$A,0)),"-")&amp;"   ❓ "&amp;IFERROR(INDEX(PMIS_Data!$I:$I,MATCH("BCH",PMIS_Data!$A:$A,0)),"-")&amp;CHAR(10)&amp;" ")</f>
        <v xml:space="preserve">BCH
50%  █████░░░░░
⚠ 0   ❓ 0
 </v>
      </c>
      <c r="N10" s="588"/>
      <c r="O10" s="588"/>
      <c r="P10" s="589"/>
    </row>
    <row r="11" spans="1:28" s="202" customFormat="1" ht="54.75" customHeight="1">
      <c r="A11" s="587" t="str">
        <f>HYPERLINK("#'MCR_Assessment'!A1","MCR"&amp;CHAR(10)&amp;TEXT(IFERROR(INDEX(PMIS_Data!$E:$E,MATCH("MCR",PMIS_Data!$A:$A,0)),0),"0%")&amp;"  "&amp;REPT("█",ROUND(IFERROR(INDEX(PMIS_Data!$E:$E,MATCH("MCR",PMIS_Data!$A:$A,0)),0)*10,0))&amp;REPT("░",10-ROUND(IFERROR(INDEX(PMIS_Data!$E:$E,MATCH("MCR",PMIS_Data!$A:$A,0)),0)*10,0))&amp;CHAR(10)&amp;"⚠ "&amp;IFERROR(INDEX(PMIS_Data!$H:$H,MATCH("MCR",PMIS_Data!$A:$A,0)),"-")&amp;"   ❓ "&amp;IFERROR(INDEX(PMIS_Data!$I:$I,MATCH("MCR",PMIS_Data!$A:$A,0)),"-")&amp;CHAR(10)&amp;" ")</f>
        <v xml:space="preserve">MCR
50%  █████░░░░░
⚠ 0   ❓ 0
 </v>
      </c>
      <c r="B11" s="588"/>
      <c r="C11" s="588"/>
      <c r="D11" s="589"/>
      <c r="E11" s="587" t="str">
        <f>HYPERLINK("#'SITE_Assesment'!A1","SITE"&amp;CHAR(10)&amp;TEXT(IFERROR(INDEX(PMIS_Data!$E:$E,MATCH("SITE",PMIS_Data!$A:$A,0)),0),"0%")&amp;"  "&amp;REPT("█",ROUND(IFERROR(INDEX(PMIS_Data!$E:$E,MATCH("SITE",PMIS_Data!$A:$A,0)),0)*10,0))&amp;REPT("░",10-ROUND(IFERROR(INDEX(PMIS_Data!$E:$E,MATCH("SITE",PMIS_Data!$A:$A,0)),0)*10,0))&amp;CHAR(10)&amp;"⚠ "&amp;IFERROR(INDEX(PMIS_Data!$H:$H,MATCH("SITE",PMIS_Data!$A:$A,0)),"-")&amp;"   ❓ "&amp;IFERROR(INDEX(PMIS_Data!$I:$I,MATCH("SITE",PMIS_Data!$A:$A,0)),"-")&amp;CHAR(10)&amp;" ")</f>
        <v xml:space="preserve">SITE
50%  █████░░░░░
⚠ 0   ❓ 0
 </v>
      </c>
      <c r="F11" s="588"/>
      <c r="G11" s="588"/>
      <c r="H11" s="589"/>
      <c r="I11" s="587" t="str">
        <f>HYPERLINK("#'SPEC_Assessment'!A1","SPEC"&amp;CHAR(10)&amp;TEXT(IFERROR(INDEX(PMIS_Data!$E:$E,MATCH("SPEC",PMIS_Data!$A:$A,0)),0),"0%")&amp;"  "&amp;REPT("█",ROUND(IFERROR(INDEX(PMIS_Data!$E:$E,MATCH("SPEC",PMIS_Data!$A:$A,0)),0)*10,0))&amp;REPT("░",10-ROUND(IFERROR(INDEX(PMIS_Data!$E:$E,MATCH("SPEC",PMIS_Data!$A:$A,0)),0)*10,0))&amp;CHAR(10)&amp;"⚠ "&amp;IFERROR(INDEX(PMIS_Data!$H:$H,MATCH("SPEC",PMIS_Data!$A:$A,0)),"-")&amp;"   ❓ "&amp;IFERROR(INDEX(PMIS_Data!$I:$I,MATCH("SPEC",PMIS_Data!$A:$A,0)),"-")&amp;CHAR(10)&amp;" ")</f>
        <v xml:space="preserve">SPEC
0%  ░░░░░░░░░░
⚠ -   ❓ -
 </v>
      </c>
      <c r="J11" s="588"/>
      <c r="K11" s="588"/>
      <c r="L11" s="589"/>
      <c r="M11" s="587"/>
      <c r="N11" s="588"/>
      <c r="O11" s="588"/>
      <c r="P11" s="589"/>
      <c r="Q11" s="200"/>
      <c r="R11" s="201" t="s">
        <v>319</v>
      </c>
      <c r="S11" s="186" t="str">
        <f>HYPERLINK("#'Data_Health'!A1","Data Health")</f>
        <v>Data Health</v>
      </c>
      <c r="T11" s="200"/>
      <c r="U11" s="200"/>
      <c r="V11" s="200"/>
      <c r="W11" s="200"/>
      <c r="X11" s="200"/>
      <c r="Y11" s="200"/>
      <c r="Z11" s="200"/>
      <c r="AA11" s="200"/>
      <c r="AB11" s="200"/>
    </row>
    <row r="12" spans="1:28" s="196" customFormat="1" ht="37.5" customHeight="1">
      <c r="A12" s="647"/>
      <c r="B12" s="647"/>
      <c r="C12" s="647"/>
      <c r="D12" s="647"/>
      <c r="E12" s="647"/>
      <c r="F12" s="647"/>
      <c r="G12" s="647"/>
      <c r="H12" s="647"/>
      <c r="I12" s="647"/>
      <c r="J12" s="647"/>
      <c r="K12" s="647"/>
      <c r="L12" s="647"/>
      <c r="M12" s="647"/>
      <c r="N12" s="647"/>
      <c r="O12" s="647"/>
      <c r="P12" s="647"/>
      <c r="Q12" s="198"/>
      <c r="R12" s="201" t="s">
        <v>320</v>
      </c>
      <c r="S12" s="186" t="str">
        <f>HYPERLINK("#'README_ARCHITECTURE'!A1","Architecture")</f>
        <v>Architecture</v>
      </c>
      <c r="T12" s="198"/>
      <c r="U12" s="198"/>
      <c r="V12" s="198"/>
      <c r="W12" s="198"/>
      <c r="X12" s="198"/>
      <c r="Y12" s="198"/>
      <c r="Z12" s="198"/>
      <c r="AA12" s="198"/>
      <c r="AB12" s="198"/>
    </row>
    <row r="13" spans="1:28" s="196" customFormat="1" ht="24" customHeight="1">
      <c r="A13" s="269"/>
      <c r="B13" s="681" t="s">
        <v>318</v>
      </c>
      <c r="C13" s="682"/>
      <c r="D13" s="681" t="s">
        <v>131</v>
      </c>
      <c r="E13" s="682"/>
      <c r="F13" s="681" t="s">
        <v>132</v>
      </c>
      <c r="G13" s="682"/>
      <c r="H13" s="681" t="s">
        <v>133</v>
      </c>
      <c r="I13" s="682"/>
      <c r="J13" s="681" t="s">
        <v>134</v>
      </c>
      <c r="K13" s="682"/>
      <c r="L13" s="681" t="s">
        <v>135</v>
      </c>
      <c r="M13" s="682"/>
      <c r="N13" s="270" t="s">
        <v>136</v>
      </c>
      <c r="O13" s="269"/>
      <c r="P13" s="271"/>
      <c r="Q13" s="198"/>
      <c r="R13" s="204" t="s">
        <v>321</v>
      </c>
      <c r="S13" s="205" t="str">
        <f>HYPERLINK("#'Today''s_Focus'!A1","Today's Focus")</f>
        <v>Today's Focus</v>
      </c>
      <c r="T13" s="198"/>
      <c r="U13" s="198"/>
      <c r="V13" s="198"/>
      <c r="W13" s="198"/>
      <c r="X13" s="198"/>
      <c r="Y13" s="198"/>
      <c r="Z13" s="198"/>
      <c r="AA13" s="198"/>
      <c r="AB13" s="198"/>
    </row>
    <row r="14" spans="1:28" s="207" customFormat="1" ht="28.2" customHeight="1">
      <c r="A14" s="198"/>
      <c r="B14" s="683">
        <f>IFERROR(AVERAGE(PMIS_Data!$E$3:$E$32),0)</f>
        <v>0.5066666666666666</v>
      </c>
      <c r="C14" s="684"/>
      <c r="D14" s="590">
        <f>COUNTA(PMIS_Data!$A$3:$A$32)</f>
        <v>30</v>
      </c>
      <c r="E14" s="591"/>
      <c r="F14" s="590">
        <f>SUM(PMIS_Data!$H$3:$H$32)</f>
        <v>0</v>
      </c>
      <c r="G14" s="591"/>
      <c r="H14" s="590">
        <f>SUM(PMIS_Data!$I$3:$I$32)</f>
        <v>0</v>
      </c>
      <c r="I14" s="591"/>
      <c r="J14" s="590">
        <f>SUM(PMIS_Data!$J$3:$J$32)</f>
        <v>0</v>
      </c>
      <c r="K14" s="591"/>
      <c r="L14" s="590">
        <f>SUM(PMIS_Data!$X$3:$X$32)</f>
        <v>0</v>
      </c>
      <c r="M14" s="591"/>
      <c r="N14" s="203">
        <f>COUNTIF(PMIS_Data!$F$3:$F$32,"No")</f>
        <v>29</v>
      </c>
      <c r="O14" s="198"/>
      <c r="P14" s="198"/>
      <c r="Q14" s="206"/>
      <c r="R14" s="206"/>
      <c r="S14" s="206"/>
      <c r="T14" s="206"/>
      <c r="U14" s="206"/>
      <c r="V14" s="206"/>
      <c r="W14" s="206"/>
      <c r="X14" s="206"/>
      <c r="Y14" s="206"/>
      <c r="Z14" s="206"/>
      <c r="AA14" s="206"/>
      <c r="AB14" s="206"/>
    </row>
    <row r="15" spans="1:28" s="196" customFormat="1" ht="22.2" customHeight="1">
      <c r="A15" s="198"/>
      <c r="B15" s="198"/>
      <c r="C15" s="198"/>
      <c r="D15" s="198"/>
      <c r="E15" s="198"/>
      <c r="F15" s="198"/>
      <c r="G15" s="198"/>
      <c r="H15" s="198"/>
      <c r="I15" s="198"/>
      <c r="J15" s="198"/>
      <c r="K15" s="198"/>
      <c r="L15" s="198"/>
      <c r="M15" s="198"/>
      <c r="N15" s="198"/>
      <c r="O15" s="198"/>
      <c r="P15" s="198"/>
      <c r="Q15" s="198"/>
      <c r="R15" s="198"/>
      <c r="S15" s="198"/>
      <c r="T15" s="198"/>
      <c r="U15" s="198"/>
      <c r="V15" s="198"/>
      <c r="W15" s="198"/>
      <c r="X15" s="198"/>
      <c r="Y15" s="198"/>
      <c r="Z15" s="198"/>
      <c r="AA15" s="198"/>
      <c r="AB15" s="198"/>
    </row>
    <row r="16" spans="1:28" s="196" customFormat="1" ht="27.6" customHeight="1">
      <c r="A16" s="206"/>
      <c r="B16" s="673" t="s">
        <v>322</v>
      </c>
      <c r="C16" s="674"/>
      <c r="D16" s="674"/>
      <c r="E16" s="674"/>
      <c r="F16" s="674"/>
      <c r="G16" s="674"/>
      <c r="H16" s="675"/>
      <c r="I16" s="206"/>
      <c r="J16" s="615" t="s">
        <v>140</v>
      </c>
      <c r="K16" s="616"/>
      <c r="L16" s="617"/>
      <c r="M16" s="206"/>
      <c r="N16" s="198"/>
      <c r="O16" s="206"/>
      <c r="P16" s="206"/>
      <c r="Q16" s="198"/>
      <c r="R16" s="198"/>
      <c r="S16" s="198"/>
      <c r="T16" s="198"/>
      <c r="U16" s="198"/>
      <c r="V16" s="198"/>
      <c r="W16" s="198"/>
      <c r="X16" s="198"/>
      <c r="Y16" s="198"/>
      <c r="Z16" s="198"/>
      <c r="AA16" s="198"/>
      <c r="AB16" s="198"/>
    </row>
    <row r="17" spans="1:28" s="196" customFormat="1" ht="27" customHeight="1">
      <c r="A17" s="198"/>
      <c r="B17" s="208" t="s">
        <v>323</v>
      </c>
      <c r="C17" s="222" t="s">
        <v>374</v>
      </c>
      <c r="D17" s="272"/>
      <c r="E17" s="272"/>
      <c r="F17" s="676" t="s">
        <v>324</v>
      </c>
      <c r="G17" s="677"/>
      <c r="H17" s="678"/>
      <c r="I17" s="198"/>
      <c r="J17" s="618"/>
      <c r="K17" s="619"/>
      <c r="L17" s="620"/>
      <c r="M17" s="198"/>
      <c r="N17" s="198"/>
      <c r="O17" s="198"/>
      <c r="P17" s="198"/>
      <c r="Q17" s="198"/>
      <c r="R17" s="198"/>
      <c r="S17" s="198"/>
      <c r="T17" s="198"/>
      <c r="U17" s="198"/>
      <c r="V17" s="198"/>
      <c r="W17" s="198"/>
      <c r="X17" s="198"/>
      <c r="Y17" s="198"/>
      <c r="Z17" s="198"/>
      <c r="AA17" s="198"/>
      <c r="AB17" s="198"/>
    </row>
    <row r="18" spans="1:28" s="202" customFormat="1" ht="22.2" customHeight="1" thickBot="1">
      <c r="A18" s="198"/>
      <c r="B18" s="209" t="s">
        <v>325</v>
      </c>
      <c r="C18" s="273" t="str">
        <f>"Building "&amp;TEXT($C$17,"00")</f>
        <v>Building 61</v>
      </c>
      <c r="D18" s="272"/>
      <c r="E18" s="272"/>
      <c r="F18" s="210" t="s">
        <v>326</v>
      </c>
      <c r="G18" s="679" t="str">
        <f>REPT("█",ROUND($F$19*12,0))&amp;REPT("░",12-ROUND($F$19*12,0))</f>
        <v>███████░░░░░</v>
      </c>
      <c r="H18" s="680"/>
      <c r="I18" s="198"/>
      <c r="J18" s="611" t="str">
        <f>"ROOMS"&amp;CHAR(10)&amp;IFERROR(INDEX(PMIS_Data!$G$3:$G$100,$Z$2),0)</f>
        <v>ROOMS
29</v>
      </c>
      <c r="K18" s="268"/>
      <c r="L18" s="609" t="str">
        <f>"FIRE"&amp;CHAR(10)&amp;IF(IFERROR(INDEX(PMIS_Data!$N$3:$N$100,$Z$2),"")="Pass","✓ PASS",IFERROR(INDEX(PMIS_Data!$N$3:$N$100,$Z$2),"REVIEW"))</f>
        <v>FIRE
Not Started</v>
      </c>
      <c r="M18" s="198"/>
      <c r="N18" s="198"/>
      <c r="O18" s="198"/>
      <c r="P18" s="198"/>
      <c r="Q18" s="200"/>
      <c r="R18" s="200"/>
      <c r="S18" s="200"/>
      <c r="T18" s="200"/>
      <c r="U18" s="200"/>
      <c r="V18" s="200"/>
      <c r="W18" s="200"/>
      <c r="X18" s="200"/>
      <c r="Y18" s="200"/>
      <c r="Z18" s="200"/>
      <c r="AA18" s="200"/>
      <c r="AB18" s="200"/>
    </row>
    <row r="19" spans="1:28" s="196" customFormat="1" ht="21.75" customHeight="1">
      <c r="A19" s="198"/>
      <c r="B19" s="209" t="s">
        <v>139</v>
      </c>
      <c r="C19" s="274" t="str">
        <f>IF($F$19&gt;=0.9,"OPERATIONAL",IF($F$19&gt;=0.75,"WATCH",IF($F$19&gt;=0.5,"AT RISK","CRITICAL")))</f>
        <v>AT RISK</v>
      </c>
      <c r="D19" s="272"/>
      <c r="E19" s="272"/>
      <c r="F19" s="212">
        <f>IFERROR(INDEX(PMIS_Data!$E$3:$E$94,$Z$2),0)</f>
        <v>0.55000000000000004</v>
      </c>
      <c r="G19" s="275"/>
      <c r="H19" s="213"/>
      <c r="I19" s="198"/>
      <c r="J19" s="612"/>
      <c r="K19" s="268"/>
      <c r="L19" s="610"/>
      <c r="M19" s="198"/>
      <c r="N19" s="198"/>
      <c r="O19" s="198"/>
      <c r="P19" s="198"/>
      <c r="Q19" s="198"/>
      <c r="R19" s="198"/>
      <c r="S19" s="198"/>
      <c r="T19" s="198"/>
      <c r="U19" s="198"/>
      <c r="V19" s="198"/>
      <c r="W19" s="198"/>
      <c r="X19" s="198"/>
      <c r="Y19" s="198"/>
      <c r="Z19" s="198"/>
      <c r="AA19" s="198"/>
      <c r="AB19" s="198"/>
    </row>
    <row r="20" spans="1:28" s="196" customFormat="1" ht="22.2" customHeight="1">
      <c r="A20" s="200"/>
      <c r="B20" s="208" t="s">
        <v>327</v>
      </c>
      <c r="C20" s="243" t="str">
        <f>IFERROR(INDEX(PMIS_Data!$B$3:$B$94,$Z$2),"")</f>
        <v>B61_Assessment</v>
      </c>
      <c r="D20" s="272"/>
      <c r="E20" s="272"/>
      <c r="F20" s="275"/>
      <c r="G20" s="275"/>
      <c r="H20" s="213"/>
      <c r="I20" s="200"/>
      <c r="J20" s="240"/>
      <c r="K20" s="268"/>
      <c r="L20" s="241"/>
      <c r="M20" s="198"/>
      <c r="N20" s="198"/>
      <c r="O20" s="200"/>
      <c r="P20" s="200"/>
      <c r="Q20" s="198"/>
      <c r="R20" s="198"/>
      <c r="S20" s="198"/>
      <c r="T20" s="198"/>
      <c r="U20" s="198"/>
      <c r="V20" s="198"/>
      <c r="W20" s="198"/>
      <c r="X20" s="198"/>
      <c r="Y20" s="198"/>
      <c r="Z20" s="198"/>
      <c r="AA20" s="198"/>
      <c r="AB20" s="198"/>
    </row>
    <row r="21" spans="1:28" s="196" customFormat="1" ht="14.4" customHeight="1" thickBot="1">
      <c r="A21" s="198"/>
      <c r="B21" s="209"/>
      <c r="C21" s="272"/>
      <c r="D21" s="272"/>
      <c r="E21" s="272"/>
      <c r="F21" s="275"/>
      <c r="G21" s="275"/>
      <c r="H21" s="213"/>
      <c r="I21" s="198"/>
      <c r="J21" s="605" t="str">
        <f>"HVAC"&amp;CHAR(10)&amp;IF(IFERROR(INDEX(PMIS_Data!$K$3:$K$100,$Z$2),"")="Pass","✓ PASS",IFERROR(INDEX(PMIS_Data!$K$3:$K$100,$Z$2),"REVIEW"))</f>
        <v>HVAC
Not Started</v>
      </c>
      <c r="K21" s="268"/>
      <c r="L21" s="607" t="str">
        <f>"ELECTRICAL"&amp;CHAR(10)&amp;IF(IFERROR(INDEX(PMIS_Data!$L$3:$L$100,$Z$2),"")="Pass","✓ PASS",IFERROR(INDEX(PMIS_Data!$L$3:$L$100,$Z$2),"REVIEW"))</f>
        <v>ELECTRICAL
Not Started</v>
      </c>
      <c r="M21" s="198"/>
      <c r="N21" s="198"/>
      <c r="O21" s="198"/>
      <c r="P21" s="198"/>
      <c r="Q21" s="198"/>
      <c r="R21" s="198"/>
      <c r="S21" s="198"/>
      <c r="T21" s="198"/>
      <c r="U21" s="198"/>
      <c r="V21" s="198"/>
      <c r="W21" s="198"/>
      <c r="X21" s="198"/>
      <c r="Y21" s="198"/>
      <c r="Z21" s="198"/>
      <c r="AA21" s="198"/>
      <c r="AB21" s="198"/>
    </row>
    <row r="22" spans="1:28" s="196" customFormat="1" ht="22.2" customHeight="1">
      <c r="A22" s="198"/>
      <c r="B22" s="208" t="s">
        <v>328</v>
      </c>
      <c r="C22" s="214" t="str">
        <f>IFERROR(INDEX(PMIS_Data!$C$3:$C$94,$Z$2),"")</f>
        <v>PILOT PHASE</v>
      </c>
      <c r="D22" s="272"/>
      <c r="E22" s="272"/>
      <c r="F22" s="275"/>
      <c r="G22" s="275"/>
      <c r="H22" s="213"/>
      <c r="I22" s="198"/>
      <c r="J22" s="606"/>
      <c r="K22" s="268"/>
      <c r="L22" s="608"/>
      <c r="M22" s="198"/>
      <c r="N22" s="198"/>
      <c r="O22" s="198"/>
      <c r="P22" s="198"/>
      <c r="Q22" s="198"/>
      <c r="R22" s="198"/>
      <c r="S22" s="198"/>
      <c r="T22" s="198"/>
      <c r="U22" s="198"/>
      <c r="V22" s="198"/>
      <c r="W22" s="198"/>
      <c r="X22" s="198"/>
      <c r="Y22" s="198"/>
      <c r="Z22" s="198"/>
      <c r="AA22" s="198"/>
      <c r="AB22" s="198"/>
    </row>
    <row r="23" spans="1:28" s="196" customFormat="1" ht="19.95" customHeight="1">
      <c r="A23" s="198"/>
      <c r="B23" s="209"/>
      <c r="C23" s="272"/>
      <c r="D23" s="272"/>
      <c r="E23" s="272"/>
      <c r="F23" s="275"/>
      <c r="G23" s="275"/>
      <c r="H23" s="213"/>
      <c r="I23" s="198"/>
      <c r="J23" s="240"/>
      <c r="K23" s="268"/>
      <c r="L23" s="241"/>
      <c r="M23" s="198"/>
      <c r="N23" s="198"/>
      <c r="O23" s="198"/>
      <c r="P23" s="198"/>
      <c r="Q23" s="198"/>
      <c r="R23" s="198"/>
      <c r="S23" s="198"/>
      <c r="T23" s="198"/>
      <c r="U23" s="198"/>
      <c r="V23" s="198"/>
      <c r="W23" s="198"/>
      <c r="X23" s="198"/>
      <c r="Y23" s="198"/>
      <c r="Z23" s="198"/>
      <c r="AA23" s="198"/>
      <c r="AB23" s="198"/>
    </row>
    <row r="24" spans="1:28" s="196" customFormat="1" ht="27.6" customHeight="1" thickBot="1">
      <c r="A24" s="198"/>
      <c r="B24" s="208" t="s">
        <v>329</v>
      </c>
      <c r="C24" s="214" t="str">
        <f>IFERROR(INDEX(PMIS_Data!$F$3:$F$94,$Z$2),"")</f>
        <v>YES</v>
      </c>
      <c r="D24" s="272"/>
      <c r="E24" s="272"/>
      <c r="F24" s="275"/>
      <c r="G24" s="275"/>
      <c r="H24" s="213"/>
      <c r="I24" s="198"/>
      <c r="J24" s="621" t="str">
        <f>"TELECOM"&amp;CHAR(10)&amp;IF(IFERROR(INDEX(PMIS_Data!$M$3:$M$100,$Z$2),"")="Pass","✓ PASS",IFERROR(INDEX(PMIS_Data!$M$3:$M$100,$Z$2),"REVIEW"))</f>
        <v>TELECOM
Not Started</v>
      </c>
      <c r="K24" s="268"/>
      <c r="L24" s="613" t="str">
        <f>"SECURITY"&amp;CHAR(10)&amp;IF(IFERROR(INDEX(PMIS_Data!$P$3:$P$100,$Z$2),"")="Pass","✓ PASS",IFERROR(INDEX(PMIS_Data!$P$3:$P$100,$Z$2),"REVIEW"))</f>
        <v>SECURITY
Not Started</v>
      </c>
      <c r="M24" s="198"/>
      <c r="N24" s="198"/>
      <c r="O24" s="198"/>
      <c r="P24" s="198"/>
      <c r="Q24" s="198"/>
      <c r="R24" s="198"/>
      <c r="S24" s="198"/>
      <c r="T24" s="198"/>
      <c r="U24" s="198"/>
      <c r="V24" s="198"/>
      <c r="W24" s="198"/>
      <c r="X24" s="198"/>
      <c r="Y24" s="198"/>
      <c r="Z24" s="198"/>
      <c r="AA24" s="198"/>
      <c r="AB24" s="198"/>
    </row>
    <row r="25" spans="1:28" s="196" customFormat="1" ht="21.75" customHeight="1">
      <c r="A25" s="198"/>
      <c r="B25" s="215"/>
      <c r="C25" s="272"/>
      <c r="D25" s="272"/>
      <c r="E25" s="272"/>
      <c r="F25" s="275"/>
      <c r="G25" s="275"/>
      <c r="H25" s="213"/>
      <c r="I25" s="198"/>
      <c r="J25" s="622"/>
      <c r="K25" s="242"/>
      <c r="L25" s="614"/>
      <c r="M25" s="198"/>
      <c r="N25" s="198"/>
      <c r="O25" s="198"/>
      <c r="P25" s="198"/>
      <c r="Q25" s="198"/>
      <c r="R25" s="198"/>
      <c r="S25" s="198"/>
      <c r="T25" s="198"/>
      <c r="U25" s="198"/>
      <c r="V25" s="198"/>
      <c r="W25" s="198"/>
      <c r="X25" s="198"/>
      <c r="Y25" s="198"/>
      <c r="Z25" s="198"/>
      <c r="AA25" s="198"/>
      <c r="AB25" s="198"/>
    </row>
    <row r="26" spans="1:28" s="196" customFormat="1" ht="21.75" hidden="1" customHeight="1">
      <c r="A26" s="198"/>
      <c r="B26" s="216"/>
      <c r="C26" s="217"/>
      <c r="D26" s="217"/>
      <c r="E26" s="217"/>
      <c r="F26" s="218"/>
      <c r="G26" s="218"/>
      <c r="H26" s="219"/>
      <c r="I26" s="198"/>
      <c r="J26" s="198"/>
      <c r="K26" s="198"/>
      <c r="L26" s="198"/>
      <c r="M26" s="198"/>
      <c r="N26" s="198"/>
      <c r="O26" s="198"/>
      <c r="P26" s="198"/>
      <c r="Q26" s="198"/>
      <c r="R26" s="198"/>
      <c r="S26" s="198"/>
      <c r="T26" s="198"/>
      <c r="U26" s="198"/>
      <c r="V26" s="198"/>
      <c r="W26" s="198"/>
      <c r="X26" s="198"/>
      <c r="Y26" s="198"/>
      <c r="Z26" s="198"/>
      <c r="AA26" s="198"/>
      <c r="AB26" s="198"/>
    </row>
    <row r="27" spans="1:28" s="196" customFormat="1" ht="21.75" hidden="1" customHeight="1">
      <c r="A27" s="198"/>
      <c r="B27" s="198"/>
      <c r="C27" s="198"/>
      <c r="D27" s="198"/>
      <c r="E27" s="198"/>
      <c r="F27" s="198"/>
      <c r="G27" s="198"/>
      <c r="H27" s="198"/>
      <c r="I27" s="198"/>
      <c r="J27" s="198"/>
      <c r="K27" s="198"/>
      <c r="L27" s="198"/>
      <c r="M27" s="198"/>
      <c r="N27" s="198"/>
      <c r="O27" s="198"/>
      <c r="P27" s="198"/>
      <c r="Q27" s="198"/>
      <c r="R27" s="198"/>
      <c r="S27" s="198"/>
      <c r="T27" s="198"/>
      <c r="U27" s="198"/>
      <c r="V27" s="198"/>
      <c r="W27" s="198"/>
      <c r="X27" s="198"/>
      <c r="Y27" s="198"/>
      <c r="Z27" s="198"/>
      <c r="AA27" s="198"/>
      <c r="AB27" s="198"/>
    </row>
    <row r="28" spans="1:28" s="196" customFormat="1" ht="24" hidden="1" customHeight="1">
      <c r="A28" s="198"/>
      <c r="B28" s="198"/>
      <c r="C28" s="198"/>
      <c r="D28" s="198"/>
      <c r="E28" s="198"/>
      <c r="F28" s="198"/>
      <c r="G28" s="198"/>
      <c r="H28" s="198"/>
      <c r="I28" s="198"/>
      <c r="J28" s="198"/>
      <c r="K28" s="198"/>
      <c r="L28" s="198"/>
      <c r="M28" s="198"/>
      <c r="N28" s="198"/>
      <c r="O28" s="198"/>
      <c r="P28" s="198"/>
      <c r="Q28" s="198"/>
      <c r="R28" s="198"/>
      <c r="S28" s="198"/>
      <c r="T28" s="198"/>
      <c r="U28" s="198"/>
      <c r="V28" s="198"/>
      <c r="W28" s="198"/>
      <c r="X28" s="198"/>
      <c r="Y28" s="198"/>
      <c r="Z28" s="198"/>
      <c r="AA28" s="198"/>
      <c r="AB28" s="198"/>
    </row>
    <row r="29" spans="1:28" s="196" customFormat="1" ht="21.75" hidden="1" customHeight="1">
      <c r="A29" s="198"/>
      <c r="B29" s="198"/>
      <c r="C29" s="198"/>
      <c r="D29" s="198"/>
      <c r="E29" s="198"/>
      <c r="F29" s="198"/>
      <c r="G29" s="198"/>
      <c r="H29" s="198"/>
      <c r="I29" s="198"/>
      <c r="J29" s="198"/>
      <c r="K29" s="198"/>
      <c r="L29" s="198"/>
      <c r="M29" s="198"/>
      <c r="N29" s="198"/>
      <c r="O29" s="198"/>
      <c r="P29" s="198"/>
      <c r="Q29" s="198"/>
      <c r="R29" s="198"/>
      <c r="S29" s="198"/>
      <c r="T29" s="198"/>
      <c r="U29" s="198"/>
      <c r="V29" s="198"/>
      <c r="W29" s="198"/>
      <c r="X29" s="198"/>
      <c r="Y29" s="198"/>
      <c r="Z29" s="198"/>
      <c r="AA29" s="198"/>
      <c r="AB29" s="198"/>
    </row>
    <row r="30" spans="1:28" s="196" customFormat="1" ht="21.75" hidden="1" customHeight="1">
      <c r="A30" s="198"/>
      <c r="B30" s="211" t="s">
        <v>158</v>
      </c>
      <c r="C30" s="198"/>
      <c r="D30" s="198"/>
      <c r="E30" s="198"/>
      <c r="F30" s="211" t="s">
        <v>133</v>
      </c>
      <c r="G30" s="198"/>
      <c r="H30" s="198"/>
      <c r="I30" s="198"/>
      <c r="J30" s="211" t="s">
        <v>159</v>
      </c>
      <c r="K30" s="198"/>
      <c r="L30" s="198"/>
      <c r="M30" s="198"/>
      <c r="N30" s="211" t="s">
        <v>160</v>
      </c>
      <c r="O30" s="198"/>
      <c r="P30" s="198"/>
      <c r="Q30" s="198"/>
      <c r="R30" s="198"/>
      <c r="S30" s="198"/>
      <c r="T30" s="198"/>
      <c r="U30" s="198"/>
      <c r="V30" s="198"/>
      <c r="W30" s="198"/>
      <c r="X30" s="198"/>
      <c r="Y30" s="198"/>
      <c r="Z30" s="198"/>
      <c r="AA30" s="198"/>
      <c r="AB30" s="198"/>
    </row>
    <row r="31" spans="1:28" s="196" customFormat="1" ht="21.75" hidden="1" customHeight="1">
      <c r="A31" s="198"/>
      <c r="B31" s="198"/>
      <c r="C31" s="198"/>
      <c r="D31" s="198"/>
      <c r="E31" s="198"/>
      <c r="F31" s="198"/>
      <c r="G31" s="198"/>
      <c r="H31" s="198"/>
      <c r="I31" s="198"/>
      <c r="J31" s="198"/>
      <c r="K31" s="198"/>
      <c r="L31" s="198"/>
      <c r="M31" s="198"/>
      <c r="N31" s="198"/>
      <c r="O31" s="198"/>
      <c r="P31" s="198"/>
      <c r="Q31" s="198"/>
      <c r="R31" s="198"/>
      <c r="S31" s="198"/>
      <c r="T31" s="198"/>
      <c r="U31" s="198"/>
      <c r="V31" s="198"/>
      <c r="W31" s="198"/>
      <c r="X31" s="198"/>
      <c r="Y31" s="198"/>
      <c r="Z31" s="198"/>
      <c r="AA31" s="198"/>
      <c r="AB31" s="198"/>
    </row>
    <row r="32" spans="1:28" s="196" customFormat="1" ht="21.75" hidden="1" customHeight="1">
      <c r="A32" s="198"/>
      <c r="B32" s="211" t="s">
        <v>161</v>
      </c>
      <c r="C32" s="198"/>
      <c r="D32" s="220">
        <f>IFERROR(INDEX(PMIS_Data!$H$3:$H$94,$Z$2),0)</f>
        <v>0</v>
      </c>
      <c r="E32" s="198"/>
      <c r="F32" s="211" t="s">
        <v>162</v>
      </c>
      <c r="G32" s="198"/>
      <c r="H32" s="220">
        <f>IFERROR(INDEX(PMIS_Data!$I$3:$I$94,$Z$2),0)</f>
        <v>0</v>
      </c>
      <c r="I32" s="198"/>
      <c r="J32" s="211" t="s">
        <v>163</v>
      </c>
      <c r="K32" s="198"/>
      <c r="L32" s="220">
        <f>IFERROR(INDEX(PMIS_Data!$J$3:$J$94,$Z$2),0)</f>
        <v>0</v>
      </c>
      <c r="M32" s="198"/>
      <c r="N32" s="211" t="s">
        <v>164</v>
      </c>
      <c r="O32" s="198"/>
      <c r="P32" s="220">
        <f>IFERROR(INDEX(PMIS_Data!$X$3:$X$94,$Z$2),0)</f>
        <v>0</v>
      </c>
      <c r="Q32" s="198"/>
      <c r="R32" s="198"/>
      <c r="S32" s="198"/>
      <c r="T32" s="198"/>
      <c r="U32" s="198"/>
      <c r="V32" s="198"/>
      <c r="W32" s="198"/>
      <c r="X32" s="198"/>
      <c r="Y32" s="198"/>
      <c r="Z32" s="198"/>
      <c r="AA32" s="198"/>
      <c r="AB32" s="198"/>
    </row>
    <row r="33" spans="1:33" s="196" customFormat="1" ht="21.75" hidden="1" customHeight="1">
      <c r="A33" s="198"/>
      <c r="B33" s="198"/>
      <c r="C33" s="198"/>
      <c r="D33" s="198"/>
      <c r="E33" s="198"/>
      <c r="F33" s="198"/>
      <c r="G33" s="198"/>
      <c r="H33" s="198"/>
      <c r="I33" s="198"/>
      <c r="J33" s="198"/>
      <c r="K33" s="198"/>
      <c r="L33" s="198"/>
      <c r="M33" s="198"/>
      <c r="N33" s="198"/>
      <c r="O33" s="198"/>
      <c r="P33" s="198"/>
      <c r="Q33" s="198"/>
      <c r="R33" s="198"/>
      <c r="S33" s="198"/>
      <c r="T33" s="198"/>
      <c r="U33" s="198"/>
      <c r="V33" s="198"/>
      <c r="W33" s="198"/>
      <c r="X33" s="198"/>
      <c r="Y33" s="198"/>
      <c r="Z33" s="198"/>
      <c r="AA33" s="198"/>
      <c r="AB33" s="198"/>
    </row>
    <row r="34" spans="1:33" s="196" customFormat="1" ht="21.75" hidden="1" customHeight="1">
      <c r="A34" s="198"/>
      <c r="B34" s="211" t="s">
        <v>165</v>
      </c>
      <c r="C34" s="198"/>
      <c r="D34" s="220">
        <f>SUM(PMIS_Data!$H$3:$H$32)</f>
        <v>0</v>
      </c>
      <c r="E34" s="198"/>
      <c r="F34" s="211" t="s">
        <v>165</v>
      </c>
      <c r="G34" s="198"/>
      <c r="H34" s="220">
        <f>SUM(PMIS_Data!$I$3:$I$32)</f>
        <v>0</v>
      </c>
      <c r="I34" s="198"/>
      <c r="J34" s="211" t="s">
        <v>166</v>
      </c>
      <c r="K34" s="198"/>
      <c r="L34" s="220">
        <f>COUNTA(Doc_Register!$A$5:$A$300)</f>
        <v>40</v>
      </c>
      <c r="M34" s="198"/>
      <c r="N34" s="211" t="s">
        <v>167</v>
      </c>
      <c r="O34" s="198"/>
      <c r="P34" s="220">
        <f>SUM(PMIS_Data!$X$3:$X$32)</f>
        <v>0</v>
      </c>
      <c r="Q34" s="198"/>
      <c r="R34" s="198"/>
      <c r="S34" s="198"/>
      <c r="T34" s="198"/>
      <c r="U34" s="198"/>
      <c r="V34" s="198"/>
      <c r="W34" s="198"/>
      <c r="X34" s="198"/>
      <c r="Y34" s="198"/>
      <c r="Z34" s="198"/>
      <c r="AA34" s="198"/>
      <c r="AB34" s="198"/>
    </row>
    <row r="35" spans="1:33" s="196" customFormat="1" ht="21.75" hidden="1" customHeight="1">
      <c r="A35" s="198"/>
      <c r="B35" s="198"/>
      <c r="C35" s="198"/>
      <c r="D35" s="198"/>
      <c r="E35" s="198"/>
      <c r="F35" s="198"/>
      <c r="G35" s="198"/>
      <c r="H35" s="198"/>
      <c r="I35" s="198"/>
      <c r="J35" s="198"/>
      <c r="K35" s="198"/>
      <c r="L35" s="198"/>
      <c r="M35" s="198"/>
      <c r="N35" s="198"/>
      <c r="O35" s="198"/>
      <c r="P35" s="198"/>
      <c r="Q35" s="198"/>
      <c r="R35" s="198"/>
      <c r="S35" s="198"/>
      <c r="T35" s="198"/>
      <c r="U35" s="198"/>
      <c r="V35" s="198"/>
      <c r="W35" s="198"/>
      <c r="X35" s="198"/>
      <c r="Y35" s="198"/>
      <c r="Z35" s="198"/>
      <c r="AA35" s="198"/>
      <c r="AB35" s="198"/>
    </row>
    <row r="36" spans="1:33" s="196" customFormat="1" ht="21.75" hidden="1" customHeight="1">
      <c r="A36" s="198"/>
      <c r="B36" s="211" t="s">
        <v>168</v>
      </c>
      <c r="C36" s="198"/>
      <c r="D36" s="220">
        <f>IFERROR(INDEX(_V4_ActionQueue!$A$4:$A$33,MATCH($C$17,_V4_ActionQueue!$B$4:$B$33,0)),"")</f>
        <v>30</v>
      </c>
      <c r="E36" s="198"/>
      <c r="F36" s="211" t="s">
        <v>169</v>
      </c>
      <c r="G36" s="198"/>
      <c r="H36" s="220" t="e">
        <f>COUNTIFS(#REF!,"High",#REF!,"Open")</f>
        <v>#REF!</v>
      </c>
      <c r="I36" s="198"/>
      <c r="J36" s="211" t="s">
        <v>170</v>
      </c>
      <c r="K36" s="198"/>
      <c r="L36" s="220">
        <f>COUNTA(#REF!)</f>
        <v>1</v>
      </c>
      <c r="M36" s="198"/>
      <c r="N36" s="211" t="s">
        <v>171</v>
      </c>
      <c r="O36" s="198"/>
      <c r="P36" s="220">
        <f>COUNTIF(PMIS_Data!$F$3:$F$32,"No")</f>
        <v>29</v>
      </c>
      <c r="Q36" s="198"/>
      <c r="R36" s="198"/>
      <c r="S36" s="198"/>
      <c r="T36" s="198"/>
      <c r="U36" s="198"/>
      <c r="V36" s="198"/>
      <c r="W36" s="198"/>
      <c r="X36" s="198"/>
      <c r="Y36" s="198"/>
      <c r="Z36" s="198"/>
      <c r="AA36" s="198"/>
      <c r="AB36" s="198"/>
    </row>
    <row r="37" spans="1:33" s="196" customFormat="1" ht="4.95" hidden="1" customHeight="1">
      <c r="A37" s="198"/>
      <c r="B37" s="198"/>
      <c r="C37" s="198"/>
      <c r="D37" s="198"/>
      <c r="E37" s="198"/>
      <c r="F37" s="198"/>
      <c r="G37" s="198"/>
      <c r="H37" s="198"/>
      <c r="I37" s="198"/>
      <c r="J37" s="198"/>
      <c r="K37" s="198"/>
      <c r="L37" s="198"/>
      <c r="M37" s="198"/>
      <c r="N37" s="198"/>
      <c r="O37" s="198"/>
      <c r="P37" s="198"/>
      <c r="Q37" s="198"/>
      <c r="R37" s="198"/>
      <c r="S37" s="198"/>
      <c r="T37" s="198"/>
      <c r="U37" s="198"/>
      <c r="V37" s="198"/>
      <c r="W37" s="198"/>
      <c r="X37" s="198"/>
      <c r="Y37" s="198"/>
      <c r="Z37" s="198"/>
      <c r="AA37" s="198"/>
      <c r="AB37" s="198"/>
    </row>
    <row r="38" spans="1:33" s="196" customFormat="1" ht="85.2" hidden="1" customHeight="1">
      <c r="A38" s="198"/>
      <c r="B38" s="198"/>
      <c r="C38" s="198"/>
      <c r="D38" s="198"/>
      <c r="E38" s="198"/>
      <c r="F38" s="198"/>
      <c r="G38" s="198"/>
      <c r="H38" s="198"/>
      <c r="I38" s="198"/>
      <c r="J38" s="198"/>
      <c r="K38" s="198"/>
      <c r="L38" s="198"/>
      <c r="M38" s="198"/>
      <c r="N38" s="198"/>
      <c r="O38" s="198"/>
      <c r="P38" s="198"/>
      <c r="Q38" s="198"/>
      <c r="R38" s="198"/>
      <c r="S38" s="198"/>
      <c r="T38" s="198"/>
      <c r="U38" s="198"/>
      <c r="V38" s="198"/>
      <c r="W38" s="198"/>
      <c r="X38" s="198"/>
      <c r="Y38" s="198"/>
      <c r="Z38" s="198"/>
      <c r="AA38" s="198"/>
      <c r="AB38" s="198"/>
    </row>
    <row r="39" spans="1:33" s="196" customFormat="1" ht="13.8">
      <c r="A39" s="198"/>
      <c r="B39" s="198"/>
      <c r="C39" s="198"/>
      <c r="D39" s="198"/>
      <c r="E39" s="198"/>
      <c r="F39" s="198"/>
      <c r="G39" s="198"/>
      <c r="H39" s="198"/>
      <c r="I39" s="198"/>
      <c r="J39" s="198"/>
      <c r="K39" s="198"/>
      <c r="L39" s="198"/>
      <c r="M39" s="198"/>
      <c r="N39" s="198"/>
      <c r="O39" s="198"/>
      <c r="P39" s="198"/>
      <c r="Q39" s="198"/>
      <c r="R39" s="198"/>
      <c r="S39" s="198"/>
      <c r="T39" s="198"/>
      <c r="U39" s="198"/>
      <c r="V39" s="198"/>
      <c r="W39" s="198"/>
      <c r="X39" s="198"/>
      <c r="Y39" s="198"/>
      <c r="Z39" s="198"/>
      <c r="AA39" s="198"/>
      <c r="AB39" s="198"/>
    </row>
    <row r="40" spans="1:33" s="196" customFormat="1" ht="40.950000000000003" customHeight="1">
      <c r="A40" s="198"/>
      <c r="B40" s="198" t="s">
        <v>172</v>
      </c>
      <c r="C40" s="198"/>
      <c r="D40" s="198"/>
      <c r="E40" s="198"/>
      <c r="F40" s="198"/>
      <c r="G40" s="198"/>
      <c r="H40" s="198"/>
      <c r="I40" s="198"/>
      <c r="J40" s="198"/>
      <c r="K40" s="198"/>
      <c r="L40" s="198"/>
      <c r="M40" s="198"/>
      <c r="N40" s="198"/>
      <c r="O40" s="198"/>
      <c r="P40" s="198"/>
      <c r="Q40" s="198"/>
      <c r="R40" s="198"/>
      <c r="S40" s="198"/>
      <c r="T40" s="198"/>
      <c r="U40" s="198"/>
      <c r="V40" s="198"/>
      <c r="W40" s="198"/>
      <c r="X40" s="198"/>
      <c r="Y40" s="198"/>
      <c r="Z40" s="198"/>
      <c r="AA40" s="198"/>
      <c r="AB40" s="198"/>
    </row>
    <row r="41" spans="1:33" s="202" customFormat="1" ht="21.75" customHeight="1">
      <c r="A41" s="198"/>
      <c r="B41" s="654" t="str">
        <f>HYPERLINK("#'"&amp;$AA$2&amp;"'!A1","Open selected Building Assessment")</f>
        <v>Open selected Building Assessment</v>
      </c>
      <c r="C41" s="655"/>
      <c r="D41" s="198"/>
      <c r="E41" s="198"/>
      <c r="F41" s="198"/>
      <c r="G41" s="198"/>
      <c r="H41" s="198"/>
      <c r="I41" s="198"/>
      <c r="J41" s="198"/>
      <c r="K41" s="198"/>
      <c r="L41" s="198"/>
      <c r="M41" s="198"/>
      <c r="N41" s="198"/>
      <c r="O41" s="198"/>
      <c r="P41" s="198"/>
      <c r="Q41" s="200"/>
      <c r="R41" s="200"/>
      <c r="S41" s="200"/>
      <c r="T41" s="200"/>
      <c r="U41" s="200"/>
      <c r="V41" s="200"/>
      <c r="W41" s="200"/>
      <c r="X41" s="200"/>
      <c r="Y41" s="200"/>
      <c r="Z41" s="200"/>
      <c r="AA41" s="200"/>
      <c r="AB41" s="200"/>
    </row>
    <row r="42" spans="1:33" s="202" customFormat="1" ht="69" customHeight="1">
      <c r="A42" s="270" t="s">
        <v>142</v>
      </c>
      <c r="B42" s="270" t="s">
        <v>173</v>
      </c>
      <c r="C42" s="270" t="s">
        <v>77</v>
      </c>
      <c r="D42" s="270" t="s">
        <v>174</v>
      </c>
      <c r="E42" s="270" t="s">
        <v>175</v>
      </c>
      <c r="F42" s="270" t="s">
        <v>145</v>
      </c>
      <c r="G42" s="270" t="s">
        <v>176</v>
      </c>
      <c r="H42" s="270" t="s">
        <v>177</v>
      </c>
      <c r="I42" s="270" t="s">
        <v>178</v>
      </c>
      <c r="J42" s="270" t="s">
        <v>179</v>
      </c>
      <c r="K42" s="365" t="s">
        <v>5926</v>
      </c>
      <c r="L42" s="365" t="s">
        <v>5927</v>
      </c>
      <c r="M42" s="198"/>
      <c r="N42" s="198"/>
      <c r="O42" s="198"/>
      <c r="P42" s="198"/>
      <c r="Q42" s="200"/>
      <c r="R42" s="200"/>
      <c r="S42" s="200"/>
      <c r="T42" s="200"/>
      <c r="U42" s="200"/>
      <c r="V42" s="200"/>
      <c r="W42" s="200"/>
      <c r="X42" s="200"/>
      <c r="Y42" s="200"/>
      <c r="Z42" s="200"/>
      <c r="AA42" s="200"/>
      <c r="AB42" s="200"/>
    </row>
    <row r="43" spans="1:33" ht="18" customHeight="1">
      <c r="A43" s="203" t="str">
        <f>$C$17&amp;""</f>
        <v>61</v>
      </c>
      <c r="B43" s="203" t="str">
        <f>IFERROR(INDEX(PMIS_Data!$B$3:$B$94,$Z$2),"")</f>
        <v>B61_Assessment</v>
      </c>
      <c r="C43" s="203" t="str">
        <f>IFERROR(INDEX(PMIS_Data!$C$3:$C$94,$Z$2),"")</f>
        <v>PILOT PHASE</v>
      </c>
      <c r="D43" s="203">
        <f>IFERROR(INDEX(PMIS_Data!$E$3:$E$94,$Z$2),0)</f>
        <v>0.55000000000000004</v>
      </c>
      <c r="E43" s="203" t="str">
        <f>IFERROR(INDEX(PMIS_Data!$F$3:$F$94,$Z$2),"")</f>
        <v>YES</v>
      </c>
      <c r="F43" s="203">
        <f>IFERROR(INDEX(PMIS_Data!$G$3:$G$94,$Z$2),0)</f>
        <v>29</v>
      </c>
      <c r="G43" s="203">
        <f>IFERROR(INDEX(PMIS_Data!$H$3:$H$94,$Z$2),0)</f>
        <v>0</v>
      </c>
      <c r="H43" s="203">
        <f>IFERROR(INDEX(PMIS_Data!$I$3:$I$94,$Z$2),0)</f>
        <v>0</v>
      </c>
      <c r="I43" s="203">
        <f>IFERROR(INDEX(PMIS_Data!$J$3:$J$94,$Z$2),0)</f>
        <v>0</v>
      </c>
      <c r="J43" s="203">
        <f>IFERROR(INDEX(PMIS_Data!$X$3:$X$94,$Z$2),0)</f>
        <v>0</v>
      </c>
      <c r="K43" s="346">
        <f ca="1">IFERROR(INDEX(PMIS_Data!$AK:$AK,MATCH($A$46,PMIS_Data!$A:$A,0)),0)</f>
        <v>0</v>
      </c>
      <c r="L43" s="343">
        <f ca="1">IFERROR(INDEX(PMIS_Data!$AL:$AL,MATCH($A$46,PMIS_Data!$A:$A,0)),0)</f>
        <v>0</v>
      </c>
      <c r="M43" s="200"/>
      <c r="N43" s="200"/>
      <c r="O43" s="200"/>
      <c r="P43" s="200"/>
      <c r="AA43" t="s">
        <v>330</v>
      </c>
      <c r="AB43" t="str">
        <f>IF($Z$46="Campus","Select a building tile for trade-level notes.",IFERROR(INDEX(_Command_Trade_Notes!$B:$B,MATCH($Z$46,_Command_Trade_Notes!$A:$A,0)),"No fire/life safety notes captured."))</f>
        <v>• Dedicated TR scope includes fire protection drawings. Verify sprinkler modifications, fire alarm devices, clean-agent 2A:10B:C FEC within 75 ft, rated penetrations, and temporary firestopping.
• Verify sprinkler/fire alarm modifications, clean-agent FEC location, penetrations, cable tray/riser openings, and final UL firestop systems.
• Verify second-level TR sprinkler/fire alarm modifications, clean-agent FEC location, vertical riser penetrations, and firestopping.
• Existing demarc/server rooms may remain active; verify protection-in-place, FA/FP continuity, and no unsealed penetrations after cabling work.</v>
      </c>
      <c r="AC43" t="str">
        <f>IF($Z$46="Campus","Select a building tile for trade-level notes.",IFERROR(INDEX(_Command_Trade_Notes!$C:$C,MATCH($Z$46,_Command_Trade_Notes!$A:$A,0)),"No HVAC/cooling notes captured."))</f>
        <v>• Mechanical sheets identify dedicated split-system cooling with BACnet adapter mounted adjacent to unit in telecom room. Confirm capacity, emergency source, condensate, disconnect, controls, and alarms.
• Mechanical/electrical plans identify IU-1-01/CU-1-01 for first-level TR. Confirm 24/7 operation, emergency/standby source and high-temp alarm.
• Mechanical/electrical plans identify IU-2-01/CU-2-01 for second-level TR. Confirm refrigerant route, condensate route, controls and alarm tie-in.
• Existing demarc/server equipment likely has existing cooling dependencies. Verify active equipment heat load, airflow, operational temperatures and whether any existing cooling is modified or protected.</v>
      </c>
      <c r="AD43" t="str">
        <f>IF($Z$46="Campus","Select a building tile for trade-level notes.",IFERROR(INDEX(_Command_Trade_Notes!$D:$D,MATCH($Z$46,_Command_Trade_Notes!$A:$A,0)),"No electrical/UPS notes captured."))</f>
        <v>• Electrical enlarged plans and schedules identify rack receptacles, UPS circuits, PDUs, panelboards, SPD devices and dedicated cooling power for B13H-A. Verify B61-TRB13A/B source, LOTO and labels.
• Electrical schedules identify B61-TR124A/B and rack receptacles. Verify apparent room-name mismatch with RM137B rack receptacles in schedules.
• Electrical schedules identify B61-TR226A/B, rack receptacles, CU-2-01 and SPD requirements. Verify source circuits and labels.
• Existing rack inventory includes APC UPS/PDU and server/demarc equipment. Electrical one-line/schedules list B61-TR137AA/AB and PD-B61-TR137 panels; verify active sources and transition impact.</v>
      </c>
      <c r="AE43" t="str">
        <f>IF($Z$46="Campus","Select a building tile for trade-level notes.",IFERROR(INDEX(_Command_Trade_Notes!$E:$E,MATCH($Z$46,_Command_Trade_Notes!$A:$A,0)),"No telecom/fiber notes captured."))</f>
        <v>• 61T-701: 88 WAO total, 74 active ports, 129 scheduled ports, 142 with 10% allowance. Rack ID TR01-B13H-A-1. Basement cable tray included in 890 ft basement total.
• 61T-701: first-level Room 124 / Rack ID TR01-124-1. Schedule data runs across first-level outlets. Include labels, Fiber LIU, Cat6A patch panels, UPS/PDU and VA/OIT acceptance.
• 61T-702: 109 WAO total, 126 active ports, 156 scheduled ports, 172 with 10% allowance. Rack ID TR01-226-1. Verify second-level cable tray and riser penetrations.
• 61T-402/606/607 inventory existing demarc/server racks and equipment. Protect active systems, coordinate cutover, preserve labels, document equipment remaining in service.</v>
      </c>
      <c r="AF43" t="str">
        <f>IF($Z$46="Campus","Select a building tile for trade-level notes.",IFERROR(INDEX(_Command_Trade_Notes!$F:$F,MATCH($Z$46,_Command_Trade_Notes!$A:$A,0)),"No security/PACS/CCTV notes captured."))</f>
        <v>• Telecom plans call for wall-mounted CCTV at TRs and PACS for TR doors. Verify camera, controller, CR/RX/DC/ES/MD, and VMS/PACS integration.
• Verify TR door hardware and access control, CCTV camera, network door controller and integration.
• Verify second-level TR access control, CCTV camera, door hardware, and VMS/PACS integration.
• Existing PACS/equipment racks are referenced. Verify existing security devices protected-in-place and any new recabling or integration scope.</v>
      </c>
      <c r="AG43" t="str">
        <f>IF($Z$46="Campus","Select a building tile for risk notes.",IFERROR(INDEX(_Command_Trade_Notes!$G:$G,MATCH($Z$46,_Command_Trade_Notes!$A:$A,0)),"No owner risk notes captured."))</f>
        <v>• High: Existing conditions and active equipment across B13H-A, 124, 226 and 137/137A not field verified — Perform existing conditions survey with photos and active-service inventory before mobilization
• High: Hazardous material abatement plans exist for first and second levels — Coordinate IH/abatement review before penetrations, wall/ceiling work, cabling or mechanical/electrical installation
• Critical: Existing server/demarc equipment may remain active during cutover — Document active services, service provider circuits, rack inventory, OIT windows, temporary utilities and rollback path
• Critical: Dedicated cooling sequence, emergency power, condensate, BACnet and alarms not verified — Confirm IU/CU-0/1/2 power source, condensate, controls, BACnet adapter, thermostat and high-temp alarm
• Critical: Panel source, UPS/PDU and rack receptacle coordination could delay energization — Verify B61-TRB13A/B, B61-TR124A/B, B61-TR226A/B, B61-TR137AA/AB, PD panels, SPDs and load measurements
• High: Large cable tray scope creates coordination and firestop risk — Verify 1,966 ft cable tray route, supports, seismic bracing, 40% fill, MEP conflicts, sleeves and final firestop assemblies</v>
      </c>
    </row>
    <row r="44" spans="1:33" s="196" customFormat="1" ht="18" customHeight="1">
      <c r="A44" s="359"/>
      <c r="B44" s="359"/>
      <c r="C44" s="360"/>
      <c r="D44" s="361"/>
      <c r="E44" s="362"/>
      <c r="F44" s="362"/>
      <c r="G44" s="362"/>
      <c r="H44" s="362"/>
      <c r="I44" s="362"/>
      <c r="J44" s="362"/>
      <c r="K44" s="363"/>
      <c r="L44" s="364"/>
      <c r="M44" s="364"/>
      <c r="N44" s="364"/>
      <c r="O44" s="364"/>
      <c r="P44" s="364"/>
    </row>
    <row r="45" spans="1:33" s="366" customFormat="1" ht="69" customHeight="1">
      <c r="A45" s="270" t="s">
        <v>5922</v>
      </c>
      <c r="B45" s="344" t="s">
        <v>5923</v>
      </c>
      <c r="C45" s="345" t="s">
        <v>5843</v>
      </c>
      <c r="D45" s="365" t="s">
        <v>5924</v>
      </c>
      <c r="E45" s="365" t="s">
        <v>5848</v>
      </c>
      <c r="F45" s="365" t="s">
        <v>5906</v>
      </c>
      <c r="G45" s="365" t="s">
        <v>5925</v>
      </c>
      <c r="H45" s="365" t="s">
        <v>5908</v>
      </c>
      <c r="I45" s="365" t="s">
        <v>5837</v>
      </c>
      <c r="J45" s="367" t="s">
        <v>5858</v>
      </c>
      <c r="K45" s="365" t="s">
        <v>5928</v>
      </c>
      <c r="L45" s="365" t="s">
        <v>5929</v>
      </c>
      <c r="M45" s="198"/>
      <c r="N45" s="198"/>
      <c r="O45" s="198"/>
      <c r="P45" s="200"/>
      <c r="Z45" s="366" t="s">
        <v>331</v>
      </c>
    </row>
    <row r="46" spans="1:33" ht="57" customHeight="1">
      <c r="A46" s="203" t="str">
        <f>IFERROR(TEXT(VALUE($C$17),"00"),$C$17&amp;"")</f>
        <v>61</v>
      </c>
      <c r="B46" s="203" t="str">
        <f>IFERROR(INDEX(PMIS_Data!$B:$B,MATCH($A$46,PMIS_Data!$A:$A,0)),"")</f>
        <v>B61_Assessment</v>
      </c>
      <c r="C46" s="346">
        <f ca="1">IFERROR(INDEX(PMIS_Data!$Z:$Z,MATCH($A$46,PMIS_Data!$A:$A,0)),0)</f>
        <v>0</v>
      </c>
      <c r="D46" s="203" t="str">
        <f ca="1">IFERROR(INDEX(PMIS_Data!$AA:$AA,MATCH($A$46,PMIS_Data!$A:$A,0)),"")</f>
        <v>Withhold / Review</v>
      </c>
      <c r="E46" s="346">
        <f ca="1">IFERROR(INDEX(PMIS_Data!$AB:$AB,MATCH($A$46,PMIS_Data!$A:$A,0)),0)</f>
        <v>0</v>
      </c>
      <c r="F46" s="203" t="str">
        <f ca="1">IFERROR(INDEX(PMIS_Data!$AC:$AC,MATCH($A$46,PMIS_Data!$A:$A,0)),"")</f>
        <v>Blocked</v>
      </c>
      <c r="G46" s="203" t="str">
        <f ca="1">IFERROR(INDEX(PMIS_Data!$AD:$AD,MATCH($A$46,PMIS_Data!$A:$A,0)),"")</f>
        <v>No blocker documented</v>
      </c>
      <c r="H46" s="346">
        <f ca="1">IFERROR(INDEX(PMIS_Data!$AE:$AE,MATCH($A$46,PMIS_Data!$A:$A,0)),0)</f>
        <v>0</v>
      </c>
      <c r="I46" s="346">
        <f ca="1">IFERROR(INDEX(PMIS_Data!$AG:$AG,MATCH($A$46,PMIS_Data!$A:$A,0)),0)</f>
        <v>0</v>
      </c>
      <c r="J46" s="346">
        <f ca="1">IFERROR(INDEX(PMIS_Data!$AI:$AI,MATCH($A$46,PMIS_Data!$A:$A,0)),0)</f>
        <v>0</v>
      </c>
      <c r="K46" s="203" t="str">
        <f ca="1">IFERROR(INDEX(PMIS_Data!$AM:$AM,MATCH($A$46,PMIS_Data!$A:$A,0)),"")</f>
        <v>Resolve OIT Blocker</v>
      </c>
      <c r="L46" s="203" t="str">
        <f ca="1">IFERROR(INDEX(PMIS_Data!$AN:$AN,MATCH($A$46,PMIS_Data!$A:$A,0)),"")</f>
        <v>🔴 ATTENTION</v>
      </c>
      <c r="M46" s="198"/>
      <c r="N46" s="198"/>
      <c r="O46" s="198"/>
      <c r="P46" s="200"/>
      <c r="Z46" t="str">
        <f>IF($G$48="Campus","Campus",IFERROR(INDEX(_Command_Lists!$B$2:$B$33,MATCH($G$48,_Command_Lists!$A$2:$A$33,0)),$G$48))</f>
        <v>61</v>
      </c>
    </row>
    <row r="47" spans="1:33" ht="18" customHeight="1">
      <c r="A47" s="198"/>
      <c r="B47" s="198"/>
      <c r="C47" s="198"/>
      <c r="D47" s="198"/>
      <c r="E47" s="198"/>
      <c r="F47" s="198"/>
      <c r="G47" s="198"/>
      <c r="H47" s="198"/>
      <c r="I47" s="198"/>
      <c r="J47" s="198"/>
      <c r="K47" s="198"/>
      <c r="L47" s="198"/>
      <c r="M47" s="198"/>
      <c r="N47" s="198"/>
      <c r="O47" s="198"/>
      <c r="P47" s="198"/>
      <c r="AA47" t="str">
        <f>IFERROR(INDEX(_Command_Source!$B:$B,MATCH($Z$46,_Command_Source!$A:$A,0)),"")</f>
        <v>B61_Assessment</v>
      </c>
    </row>
    <row r="48" spans="1:33" ht="27.75" customHeight="1">
      <c r="A48" s="653" t="s">
        <v>332</v>
      </c>
      <c r="B48" s="565"/>
      <c r="C48" s="565"/>
      <c r="D48" s="565"/>
      <c r="E48" s="565"/>
      <c r="F48" s="566"/>
      <c r="G48" s="643" t="str">
        <f>IFERROR(INDEX(_Command_Lists!$A$2:$A$33,MATCH($C$17&amp;"",_Command_Lists!$B$2:$B$33,0)),IFERROR("B"&amp;TEXT(VALUE($C$17),"00"),$C$17&amp;""))</f>
        <v>B61</v>
      </c>
      <c r="H48" s="644"/>
      <c r="I48" s="645" t="s">
        <v>333</v>
      </c>
      <c r="J48" s="565"/>
      <c r="K48" s="565"/>
      <c r="L48" s="565"/>
      <c r="M48" s="565"/>
      <c r="N48" s="565"/>
      <c r="O48" s="565"/>
      <c r="P48" s="566"/>
    </row>
    <row r="49" spans="1:16" ht="24.75" customHeight="1">
      <c r="A49" s="54"/>
      <c r="B49" s="54"/>
      <c r="C49" s="54"/>
      <c r="D49" s="54"/>
      <c r="E49" s="54"/>
      <c r="F49" s="54"/>
      <c r="G49" s="54"/>
      <c r="H49" s="54"/>
      <c r="I49" s="54"/>
      <c r="J49" s="54"/>
      <c r="K49" s="54"/>
      <c r="L49" s="54"/>
      <c r="M49" s="54"/>
      <c r="N49" s="54"/>
      <c r="O49" s="54"/>
      <c r="P49" s="54"/>
    </row>
    <row r="50" spans="1:16" ht="24.75" customHeight="1" thickBot="1">
      <c r="A50" s="646" t="str">
        <f>"SELECTED BUILDING WORKSPACE — "&amp;$G$48&amp;" OPERATIONAL PICTURE"</f>
        <v>SELECTED BUILDING WORKSPACE — B61 OPERATIONAL PICTURE</v>
      </c>
      <c r="B50" s="565"/>
      <c r="C50" s="565"/>
      <c r="D50" s="565"/>
      <c r="E50" s="565"/>
      <c r="F50" s="565"/>
      <c r="G50" s="565"/>
      <c r="H50" s="565"/>
      <c r="I50" s="565"/>
      <c r="J50" s="565"/>
      <c r="K50" s="565"/>
      <c r="L50" s="565"/>
      <c r="M50" s="565"/>
      <c r="N50" s="565"/>
      <c r="O50" s="565"/>
      <c r="P50" s="566"/>
    </row>
    <row r="51" spans="1:16" ht="24.75" customHeight="1">
      <c r="A51" s="568" t="str">
        <f>IF($Z$46="Campus","🌐 CAMPUS PROGRAM VIEW"&amp;CHAR(10)&amp;"Readiness: "&amp;TEXT(AVERAGEIF(PMIS_Data!$E$3:$E$44,"&gt;0"),"0%")&amp;CHAR(10)&amp;"Open Risks: "&amp;SUM(PMIS_Data!$H$3:$H$44)&amp;CHAR(10)&amp;"Open RFIs: "&amp;SUM(PMIS_Data!$I$3:$I$44),IFERROR("🏢 BUILDING "&amp;$G$48&amp;CHAR(10)&amp;"Status: "&amp;INDEX(PMIS_Data!$C:$C,MATCH($Z$46,PMIS_Data!$A:$A,0))&amp;CHAR(10)&amp;"Readiness: "&amp;TEXT(INDEX(PMIS_Data!$E:$E,MATCH($Z$46,PMIS_Data!$A:$A,0)),"0%")&amp;CHAR(10)&amp;"Construction Ready: "&amp;INDEX(PMIS_Data!$F:$F,MATCH($Z$46,PMIS_Data!$A:$A,0))&amp;CHAR(10)&amp;"Rooms Captured: "&amp;INDEX(PMIS_Data!$G:$G,MATCH($Z$46,PMIS_Data!$A:$A,0)),"No profile available."))</f>
        <v>🏢 BUILDING B61
Status: PILOT PHASE
Readiness: 55%
Construction Ready: YES
Rooms Captured: 29</v>
      </c>
      <c r="B51" s="569"/>
      <c r="C51" s="569"/>
      <c r="D51" s="570"/>
      <c r="E51" s="582" t="str">
        <f>IF($Z$46="Campus","⚠ CAMPUS BLOCKERS"&amp;CHAR(10)&amp;"Risks: "&amp;SUM(PMIS_Data!$H$3:$H$44)&amp;CHAR(10)&amp;"RFIs: "&amp;SUM(PMIS_Data!$I$3:$I$44)&amp;CHAR(10)&amp;"Review red/yellow building modules.",IFERROR("⚠ CURRENT BLOCKERS"&amp;CHAR(10)&amp;"Open Risks: "&amp;INDEX(PMIS_Data!$H:$H,MATCH($Z$46,PMIS_Data!$A:$A,0))&amp;CHAR(10)&amp;"Open Questions: "&amp;INDEX(PMIS_Data!$I:$I,MATCH($Z$46,PMIS_Data!$A:$A,0))&amp;CHAR(10)&amp;"Major Blocker: "&amp;INDEX(PMIS_Data!$R:$R,MATCH($Z$46,PMIS_Data!$A:$A,0)),"No blocker data."))</f>
        <v>⚠ CURRENT BLOCKERS
Open Risks: 0
Open Questions: 0
Major Blocker: Building 61 is a large full-scope TR building with hazardous abatement, architectural, fire protection, plumbing, mechanical, electrical, security, telecom, server/demarc and rack elevation scope. Primary new telecom rooms include basement B13H-A, first-level 124, second-level 226, and existing Room 137/137A demarc/server equipment. Major open issues include active-service cutover, dedicated cooling IU/CU-0-01/1-01/2-01, panel source coordination, rack UPS/PDU power, cable tray coordination, firestopping, PACS/CCTV, and turnover testing.</v>
      </c>
      <c r="F51" s="583"/>
      <c r="G51" s="583"/>
      <c r="H51" s="584"/>
      <c r="I51" s="600" t="str">
        <f>IF($Z$46="Campus","📷 FIELD CAPTURE"&amp;CHAR(10)&amp;"Open Photos: "&amp;SUM(PMIS_Data!$J$3:$J$44)&amp;CHAR(10)&amp;"Documents: review register.",IFERROR("📷 FIELD CAPTURE"&amp;CHAR(10)&amp;"Open Photo Items: "&amp;INDEX(PMIS_Data!$J:$J,MATCH($Z$46,PMIS_Data!$A:$A,0))&amp;CHAR(10)&amp;"HVAC: "&amp;INDEX(PMIS_Data!$K:$K,MATCH($Z$46,PMIS_Data!$A:$A,0))&amp;CHAR(10)&amp;"Electrical: "&amp;INDEX(PMIS_Data!$L:$L,MATCH($Z$46,PMIS_Data!$A:$A,0))&amp;CHAR(10)&amp;"Telecom: "&amp;INDEX(PMIS_Data!$M:$M,MATCH($Z$46,PMIS_Data!$A:$A,0)),"No field data."))</f>
        <v>📷 FIELD CAPTURE
Open Photo Items: 0
HVAC: Not Started
Electrical: Not Started
Telecom: Not Started</v>
      </c>
      <c r="J51" s="601"/>
      <c r="K51" s="601"/>
      <c r="L51" s="602"/>
      <c r="M51" s="648" t="str">
        <f>IF($Z$46="Campus","✅ NEXT REQUIRED ACTION"&amp;CHAR(10)&amp;"Triage campus-wide red/yellow tiles and issue closeout tasks.",IFERROR("✅ NEXT REQUIRED ACTION"&amp;CHAR(10)&amp;INDEX(PMIS_Data!$Q:$Q,MATCH($Z$46,PMIS_Data!$A:$A,0))&amp;CHAR(10)&amp;"Source: "&amp;INDEX(PMIS_Data!$B:$B,MATCH($Z$46,PMIS_Data!$A:$A,0)),"No action data."))</f>
        <v>✅ NEXT REQUIRED ACTION
Field verify B13H-A, 124, 226, and existing 137/137A; confirm active services, rack/equipment transfer, B61-TRB13A/B, B61-TR124A/B, B61-TR226A/B, B61-TR137AA/AB panel sources, IU/CU equipment, fire alarm/sprinkler impacts, FEC locations, PACS/CCTV scope, hazardous/abatement impacts, 1,966 ft cable tray routes, and cutover sequence.
Source: B61_Assessment</v>
      </c>
      <c r="N51" s="649"/>
      <c r="O51" s="649"/>
      <c r="P51" s="650"/>
    </row>
    <row r="52" spans="1:16" ht="24.75" customHeight="1">
      <c r="A52" s="571"/>
      <c r="B52" s="558"/>
      <c r="C52" s="558"/>
      <c r="D52" s="572"/>
      <c r="E52" s="585"/>
      <c r="F52" s="558"/>
      <c r="G52" s="558"/>
      <c r="H52" s="572"/>
      <c r="I52" s="603"/>
      <c r="J52" s="558"/>
      <c r="K52" s="558"/>
      <c r="L52" s="572"/>
      <c r="M52" s="651"/>
      <c r="N52" s="558"/>
      <c r="O52" s="558"/>
      <c r="P52" s="572"/>
    </row>
    <row r="53" spans="1:16" ht="24.75" customHeight="1">
      <c r="A53" s="571"/>
      <c r="B53" s="558"/>
      <c r="C53" s="558"/>
      <c r="D53" s="572"/>
      <c r="E53" s="585"/>
      <c r="F53" s="558"/>
      <c r="G53" s="558"/>
      <c r="H53" s="572"/>
      <c r="I53" s="603"/>
      <c r="J53" s="558"/>
      <c r="K53" s="558"/>
      <c r="L53" s="572"/>
      <c r="M53" s="651"/>
      <c r="N53" s="558"/>
      <c r="O53" s="558"/>
      <c r="P53" s="572"/>
    </row>
    <row r="54" spans="1:16" ht="24.75" customHeight="1">
      <c r="A54" s="571"/>
      <c r="B54" s="558"/>
      <c r="C54" s="558"/>
      <c r="D54" s="572"/>
      <c r="E54" s="585"/>
      <c r="F54" s="558"/>
      <c r="G54" s="558"/>
      <c r="H54" s="572"/>
      <c r="I54" s="603"/>
      <c r="J54" s="558"/>
      <c r="K54" s="558"/>
      <c r="L54" s="572"/>
      <c r="M54" s="651"/>
      <c r="N54" s="558"/>
      <c r="O54" s="558"/>
      <c r="P54" s="572"/>
    </row>
    <row r="55" spans="1:16" ht="24.75" customHeight="1">
      <c r="A55" s="571"/>
      <c r="B55" s="558"/>
      <c r="C55" s="558"/>
      <c r="D55" s="572"/>
      <c r="E55" s="585"/>
      <c r="F55" s="558"/>
      <c r="G55" s="558"/>
      <c r="H55" s="572"/>
      <c r="I55" s="603"/>
      <c r="J55" s="558"/>
      <c r="K55" s="558"/>
      <c r="L55" s="572"/>
      <c r="M55" s="651"/>
      <c r="N55" s="558"/>
      <c r="O55" s="558"/>
      <c r="P55" s="572"/>
    </row>
    <row r="56" spans="1:16" ht="24.75" customHeight="1">
      <c r="A56" s="571"/>
      <c r="B56" s="558"/>
      <c r="C56" s="558"/>
      <c r="D56" s="572"/>
      <c r="E56" s="585"/>
      <c r="F56" s="558"/>
      <c r="G56" s="558"/>
      <c r="H56" s="572"/>
      <c r="I56" s="603"/>
      <c r="J56" s="558"/>
      <c r="K56" s="558"/>
      <c r="L56" s="572"/>
      <c r="M56" s="651"/>
      <c r="N56" s="558"/>
      <c r="O56" s="558"/>
      <c r="P56" s="572"/>
    </row>
    <row r="57" spans="1:16" ht="18" customHeight="1">
      <c r="A57" s="571"/>
      <c r="B57" s="558"/>
      <c r="C57" s="558"/>
      <c r="D57" s="572"/>
      <c r="E57" s="585"/>
      <c r="F57" s="558"/>
      <c r="G57" s="558"/>
      <c r="H57" s="572"/>
      <c r="I57" s="603"/>
      <c r="J57" s="558"/>
      <c r="K57" s="558"/>
      <c r="L57" s="572"/>
      <c r="M57" s="651"/>
      <c r="N57" s="558"/>
      <c r="O57" s="558"/>
      <c r="P57" s="572"/>
    </row>
    <row r="58" spans="1:16" ht="27.75" customHeight="1">
      <c r="A58" s="573"/>
      <c r="B58" s="574"/>
      <c r="C58" s="574"/>
      <c r="D58" s="575"/>
      <c r="E58" s="586"/>
      <c r="F58" s="574"/>
      <c r="G58" s="574"/>
      <c r="H58" s="575"/>
      <c r="I58" s="604"/>
      <c r="J58" s="574"/>
      <c r="K58" s="574"/>
      <c r="L58" s="575"/>
      <c r="M58" s="652"/>
      <c r="N58" s="574"/>
      <c r="O58" s="574"/>
      <c r="P58" s="575"/>
    </row>
    <row r="59" spans="1:16" ht="25.5" customHeight="1">
      <c r="A59" s="641"/>
      <c r="B59" s="565"/>
      <c r="C59" s="565"/>
      <c r="D59" s="565"/>
      <c r="E59" s="565"/>
      <c r="F59" s="565"/>
      <c r="G59" s="565"/>
      <c r="H59" s="565"/>
      <c r="I59" s="565"/>
      <c r="J59" s="565"/>
      <c r="K59" s="565"/>
      <c r="L59" s="565"/>
      <c r="M59" s="565"/>
      <c r="N59" s="565"/>
      <c r="O59" s="565"/>
      <c r="P59" s="566"/>
    </row>
    <row r="60" spans="1:16" ht="25.5" customHeight="1" thickBot="1">
      <c r="A60" s="581" t="s">
        <v>334</v>
      </c>
      <c r="B60" s="565"/>
      <c r="C60" s="565"/>
      <c r="D60" s="565"/>
      <c r="E60" s="565"/>
      <c r="F60" s="565"/>
      <c r="G60" s="565"/>
      <c r="H60" s="566"/>
      <c r="I60" s="581"/>
      <c r="J60" s="565"/>
      <c r="K60" s="565"/>
      <c r="L60" s="565"/>
      <c r="M60" s="565"/>
      <c r="N60" s="565"/>
      <c r="O60" s="565"/>
      <c r="P60" s="566"/>
    </row>
    <row r="61" spans="1:16" ht="25.5" customHeight="1">
      <c r="A61" s="632" t="str">
        <f>IF($Z$46="Campus","🌐 Campus: review critical modules, open risks, RFIs, shutdowns, and field capture gaps."&amp;CHAR(10)&amp;"• Select a building for module-level feed."&amp;CHAR(10)&amp;"• Building tiles open assessment source sheets.",IFERROR("🏢 "&amp;$G$48&amp;" Mission Feed"&amp;CHAR(10)&amp;"• Next Action: "&amp;INDEX(PMIS_Data!$Q:$Q,MATCH($Z$46,PMIS_Data!$A:$A,0))&amp;CHAR(10)&amp;"• Major Blocker: "&amp;INDEX(PMIS_Data!$R:$R,MATCH($Z$46,PMIS_Data!$A:$A,0))&amp;CHAR(10)&amp;"• Risks/RFIs/Photos: "&amp;INDEX(PMIS_Data!$H:$H,MATCH($Z$46,PMIS_Data!$A:$A,0))&amp;" / "&amp;INDEX(PMIS_Data!$I:$I,MATCH($Z$46,PMIS_Data!$A:$A,0))&amp;" / "&amp;INDEX(PMIS_Data!$J:$J,MATCH($Z$46,PMIS_Data!$A:$A,0)),"No mission feed available."))</f>
        <v>🏢 B61 Mission Feed
• Next Action: Field verify B13H-A, 124, 226, and existing 137/137A; confirm active services, rack/equipment transfer, B61-TRB13A/B, B61-TR124A/B, B61-TR226A/B, B61-TR137AA/AB panel sources, IU/CU equipment, fire alarm/sprinkler impacts, FEC locations, PACS/CCTV scope, hazardous/abatement impacts, 1,966 ft cable tray routes, and cutover sequence.
• Major Blocker: Building 61 is a large full-scope TR building with hazardous abatement, architectural, fire protection, plumbing, mechanical, electrical, security, telecom, server/demarc and rack elevation scope. Primary new telecom rooms include basement B13H-A, first-level 124, second-level 226, and existing Room 137/137A demarc/server equipment. Major open issues include active-service cutover, dedicated cooling IU/CU-0-01/1-01/2-01, panel source coordination, rack UPS/PDU power, cable tray coordination, firestopping, PACS/CCTV, and turnover testing.
• Risks/RFIs/Photos: 0 / 0 / 0</v>
      </c>
      <c r="B61" s="633"/>
      <c r="C61" s="633"/>
      <c r="D61" s="633"/>
      <c r="E61" s="633"/>
      <c r="F61" s="633"/>
      <c r="G61" s="633"/>
      <c r="H61" s="633"/>
      <c r="I61" s="633"/>
      <c r="J61" s="633"/>
      <c r="K61" s="633"/>
      <c r="L61" s="633"/>
      <c r="M61" s="633"/>
      <c r="N61" s="633"/>
      <c r="O61" s="633"/>
      <c r="P61" s="634"/>
    </row>
    <row r="62" spans="1:16" ht="39.6" customHeight="1">
      <c r="A62" s="635"/>
      <c r="B62" s="636"/>
      <c r="C62" s="636"/>
      <c r="D62" s="636"/>
      <c r="E62" s="636"/>
      <c r="F62" s="636"/>
      <c r="G62" s="636"/>
      <c r="H62" s="636"/>
      <c r="I62" s="636"/>
      <c r="J62" s="636"/>
      <c r="K62" s="636"/>
      <c r="L62" s="636"/>
      <c r="M62" s="636"/>
      <c r="N62" s="636"/>
      <c r="O62" s="636"/>
      <c r="P62" s="637"/>
    </row>
    <row r="63" spans="1:16" ht="25.2" hidden="1" customHeight="1">
      <c r="A63" s="635"/>
      <c r="B63" s="636"/>
      <c r="C63" s="636"/>
      <c r="D63" s="636"/>
      <c r="E63" s="636"/>
      <c r="F63" s="636"/>
      <c r="G63" s="636"/>
      <c r="H63" s="636"/>
      <c r="I63" s="636"/>
      <c r="J63" s="636"/>
      <c r="K63" s="636"/>
      <c r="L63" s="636"/>
      <c r="M63" s="636"/>
      <c r="N63" s="636"/>
      <c r="O63" s="636"/>
      <c r="P63" s="637"/>
    </row>
    <row r="64" spans="1:16" ht="25.2" hidden="1" customHeight="1">
      <c r="A64" s="635"/>
      <c r="B64" s="636"/>
      <c r="C64" s="636"/>
      <c r="D64" s="636"/>
      <c r="E64" s="636"/>
      <c r="F64" s="636"/>
      <c r="G64" s="636"/>
      <c r="H64" s="636"/>
      <c r="I64" s="636"/>
      <c r="J64" s="636"/>
      <c r="K64" s="636"/>
      <c r="L64" s="636"/>
      <c r="M64" s="636"/>
      <c r="N64" s="636"/>
      <c r="O64" s="636"/>
      <c r="P64" s="637"/>
    </row>
    <row r="65" spans="1:16" ht="25.2" hidden="1" customHeight="1">
      <c r="A65" s="635"/>
      <c r="B65" s="636"/>
      <c r="C65" s="636"/>
      <c r="D65" s="636"/>
      <c r="E65" s="636"/>
      <c r="F65" s="636"/>
      <c r="G65" s="636"/>
      <c r="H65" s="636"/>
      <c r="I65" s="636"/>
      <c r="J65" s="636"/>
      <c r="K65" s="636"/>
      <c r="L65" s="636"/>
      <c r="M65" s="636"/>
      <c r="N65" s="636"/>
      <c r="O65" s="636"/>
      <c r="P65" s="637"/>
    </row>
    <row r="66" spans="1:16" ht="220.2" hidden="1" customHeight="1">
      <c r="A66" s="635"/>
      <c r="B66" s="636"/>
      <c r="C66" s="636"/>
      <c r="D66" s="636"/>
      <c r="E66" s="636"/>
      <c r="F66" s="636"/>
      <c r="G66" s="636"/>
      <c r="H66" s="636"/>
      <c r="I66" s="636"/>
      <c r="J66" s="636"/>
      <c r="K66" s="636"/>
      <c r="L66" s="636"/>
      <c r="M66" s="636"/>
      <c r="N66" s="636"/>
      <c r="O66" s="636"/>
      <c r="P66" s="637"/>
    </row>
    <row r="67" spans="1:16" ht="18" customHeight="1">
      <c r="A67" s="635"/>
      <c r="B67" s="636"/>
      <c r="C67" s="636"/>
      <c r="D67" s="636"/>
      <c r="E67" s="636"/>
      <c r="F67" s="636"/>
      <c r="G67" s="636"/>
      <c r="H67" s="636"/>
      <c r="I67" s="636"/>
      <c r="J67" s="636"/>
      <c r="K67" s="636"/>
      <c r="L67" s="636"/>
      <c r="M67" s="636"/>
      <c r="N67" s="636"/>
      <c r="O67" s="636"/>
      <c r="P67" s="637"/>
    </row>
    <row r="68" spans="1:16" ht="58.5" customHeight="1">
      <c r="A68" s="638"/>
      <c r="B68" s="639"/>
      <c r="C68" s="639"/>
      <c r="D68" s="639"/>
      <c r="E68" s="639"/>
      <c r="F68" s="639"/>
      <c r="G68" s="639"/>
      <c r="H68" s="639"/>
      <c r="I68" s="639"/>
      <c r="J68" s="639"/>
      <c r="K68" s="639"/>
      <c r="L68" s="639"/>
      <c r="M68" s="639"/>
      <c r="N68" s="639"/>
      <c r="O68" s="639"/>
      <c r="P68" s="640"/>
    </row>
    <row r="69" spans="1:16" ht="19.5" customHeight="1">
      <c r="A69" s="642"/>
      <c r="B69" s="565"/>
      <c r="C69" s="565"/>
      <c r="D69" s="565"/>
      <c r="E69" s="565"/>
      <c r="F69" s="565"/>
      <c r="G69" s="565"/>
      <c r="H69" s="565"/>
      <c r="I69" s="565"/>
      <c r="J69" s="565"/>
      <c r="K69" s="565"/>
      <c r="L69" s="565"/>
      <c r="M69" s="565"/>
      <c r="N69" s="565"/>
      <c r="O69" s="565"/>
      <c r="P69" s="566"/>
    </row>
    <row r="70" spans="1:16" ht="19.5" customHeight="1" thickBot="1">
      <c r="A70" s="686" t="s">
        <v>335</v>
      </c>
      <c r="B70" s="565"/>
      <c r="C70" s="565"/>
      <c r="D70" s="565"/>
      <c r="E70" s="565"/>
      <c r="F70" s="565"/>
      <c r="G70" s="565"/>
      <c r="H70" s="565"/>
      <c r="I70" s="565"/>
      <c r="J70" s="565"/>
      <c r="K70" s="565"/>
      <c r="L70" s="565"/>
      <c r="M70" s="565"/>
      <c r="N70" s="565"/>
      <c r="O70" s="565"/>
      <c r="P70" s="566"/>
    </row>
    <row r="71" spans="1:16" ht="19.5" customHeight="1" thickBot="1">
      <c r="A71" s="592" t="str">
        <f>"🔥 FIRE / LIFE SAFETY"&amp;CHAR(10)&amp;AB43</f>
        <v>🔥 FIRE / LIFE SAFETY
• Dedicated TR scope includes fire protection drawings. Verify sprinkler modifications, fire alarm devices, clean-agent 2A:10B:C FEC within 75 ft, rated penetrations, and temporary firestopping.
• Verify sprinkler/fire alarm modifications, clean-agent FEC location, penetrations, cable tray/riser openings, and final UL firestop systems.
• Verify second-level TR sprinkler/fire alarm modifications, clean-agent FEC location, vertical riser penetrations, and firestopping.
• Existing demarc/server rooms may remain active; verify protection-in-place, FA/FP continuity, and no unsealed penetrations after cabling work.</v>
      </c>
      <c r="B71" s="593"/>
      <c r="C71" s="593"/>
      <c r="D71" s="593"/>
      <c r="E71" s="593"/>
      <c r="F71" s="593"/>
      <c r="G71" s="594"/>
      <c r="H71" s="594"/>
      <c r="I71" s="690" t="str">
        <f>"❄ HVAC / COOLING"&amp;CHAR(10)&amp;AC43</f>
        <v>❄ HVAC / COOLING
• Mechanical sheets identify dedicated split-system cooling with BACnet adapter mounted adjacent to unit in telecom room. Confirm capacity, emergency source, condensate, disconnect, controls, and alarms.
• Mechanical/electrical plans identify IU-1-01/CU-1-01 for first-level TR. Confirm 24/7 operation, emergency/standby source and high-temp alarm.
• Mechanical/electrical plans identify IU-2-01/CU-2-01 for second-level TR. Confirm refrigerant route, condensate route, controls and alarm tie-in.
• Existing demarc/server equipment likely has existing cooling dependencies. Verify active equipment heat load, airflow, operational temperatures and whether any existing cooling is modified or protected.</v>
      </c>
      <c r="J71" s="691"/>
      <c r="K71" s="691"/>
      <c r="L71" s="691"/>
      <c r="M71" s="691"/>
      <c r="N71" s="692"/>
      <c r="O71" s="693"/>
      <c r="P71" s="694"/>
    </row>
    <row r="72" spans="1:16" ht="19.5" customHeight="1">
      <c r="A72" s="595"/>
      <c r="B72" s="595"/>
      <c r="C72" s="595"/>
      <c r="D72" s="595"/>
      <c r="E72" s="595"/>
      <c r="F72" s="595"/>
      <c r="G72" s="596"/>
      <c r="H72" s="596"/>
      <c r="I72" s="695"/>
      <c r="J72" s="695"/>
      <c r="K72" s="695"/>
      <c r="L72" s="695"/>
      <c r="M72" s="695"/>
      <c r="N72" s="696"/>
      <c r="O72" s="596"/>
      <c r="P72" s="668"/>
    </row>
    <row r="73" spans="1:16" ht="19.5" customHeight="1">
      <c r="A73" s="595"/>
      <c r="B73" s="595"/>
      <c r="C73" s="595"/>
      <c r="D73" s="595"/>
      <c r="E73" s="595"/>
      <c r="F73" s="595"/>
      <c r="G73" s="596"/>
      <c r="H73" s="596"/>
      <c r="I73" s="695"/>
      <c r="J73" s="695"/>
      <c r="K73" s="695"/>
      <c r="L73" s="695"/>
      <c r="M73" s="695"/>
      <c r="N73" s="696"/>
      <c r="O73" s="596"/>
      <c r="P73" s="668"/>
    </row>
    <row r="74" spans="1:16" ht="103.95" customHeight="1">
      <c r="A74" s="595"/>
      <c r="B74" s="595"/>
      <c r="C74" s="595"/>
      <c r="D74" s="595"/>
      <c r="E74" s="595"/>
      <c r="F74" s="595"/>
      <c r="G74" s="596"/>
      <c r="H74" s="596"/>
      <c r="I74" s="695"/>
      <c r="J74" s="695"/>
      <c r="K74" s="695"/>
      <c r="L74" s="695"/>
      <c r="M74" s="695"/>
      <c r="N74" s="696"/>
      <c r="O74" s="596"/>
      <c r="P74" s="668"/>
    </row>
    <row r="75" spans="1:16" s="196" customFormat="1" ht="99.6" hidden="1" customHeight="1">
      <c r="A75" s="595"/>
      <c r="B75" s="595"/>
      <c r="C75" s="595"/>
      <c r="D75" s="595"/>
      <c r="E75" s="595"/>
      <c r="F75" s="595"/>
      <c r="G75" s="596"/>
      <c r="H75" s="596"/>
      <c r="I75" s="695"/>
      <c r="J75" s="695"/>
      <c r="K75" s="695"/>
      <c r="L75" s="695"/>
      <c r="M75" s="695"/>
      <c r="N75" s="696"/>
      <c r="O75" s="596"/>
      <c r="P75" s="668"/>
    </row>
    <row r="76" spans="1:16" ht="19.5" customHeight="1" thickBot="1">
      <c r="A76" s="597"/>
      <c r="B76" s="597"/>
      <c r="C76" s="597"/>
      <c r="D76" s="597"/>
      <c r="E76" s="597"/>
      <c r="F76" s="597"/>
      <c r="G76" s="596"/>
      <c r="H76" s="596"/>
      <c r="I76" s="697"/>
      <c r="J76" s="697"/>
      <c r="K76" s="697"/>
      <c r="L76" s="697"/>
      <c r="M76" s="697"/>
      <c r="N76" s="698"/>
      <c r="O76" s="596"/>
      <c r="P76" s="668"/>
    </row>
    <row r="77" spans="1:16" ht="19.5" customHeight="1" thickBot="1">
      <c r="A77" s="598"/>
      <c r="B77" s="599"/>
      <c r="C77" s="599"/>
      <c r="D77" s="599"/>
      <c r="E77" s="599"/>
      <c r="F77" s="599"/>
      <c r="G77" s="599"/>
      <c r="H77" s="599"/>
      <c r="I77" s="699"/>
      <c r="J77" s="699"/>
      <c r="K77" s="699"/>
      <c r="L77" s="699"/>
      <c r="M77" s="699"/>
      <c r="N77" s="699"/>
      <c r="O77" s="699"/>
      <c r="P77" s="700"/>
    </row>
    <row r="78" spans="1:16" ht="19.5" customHeight="1" thickBot="1">
      <c r="A78" s="706" t="str">
        <f>"⚡ ELECTRICAL / UPS"&amp;CHAR(10)&amp;AD43</f>
        <v>⚡ ELECTRICAL / UPS
• Electrical enlarged plans and schedules identify rack receptacles, UPS circuits, PDUs, panelboards, SPD devices and dedicated cooling power for B13H-A. Verify B61-TRB13A/B source, LOTO and labels.
• Electrical schedules identify B61-TR124A/B and rack receptacles. Verify apparent room-name mismatch with RM137B rack receptacles in schedules.
• Electrical schedules identify B61-TR226A/B, rack receptacles, CU-2-01 and SPD requirements. Verify source circuits and labels.
• Existing rack inventory includes APC UPS/PDU and server/demarc equipment. Electrical one-line/schedules list B61-TR137AA/AB and PD-B61-TR137 panels; verify active sources and transition impact.</v>
      </c>
      <c r="B78" s="707"/>
      <c r="C78" s="707"/>
      <c r="D78" s="707"/>
      <c r="E78" s="707"/>
      <c r="F78" s="707"/>
      <c r="G78" s="693"/>
      <c r="H78" s="693"/>
      <c r="I78" s="662" t="str">
        <f>"📡 TELECOM / FIBER"&amp;CHAR(10)&amp;AE43</f>
        <v>📡 TELECOM / FIBER
• 61T-701: 88 WAO total, 74 active ports, 129 scheduled ports, 142 with 10% allowance. Rack ID TR01-B13H-A-1. Basement cable tray included in 890 ft basement total.
• 61T-701: first-level Room 124 / Rack ID TR01-124-1. Schedule data runs across first-level outlets. Include labels, Fiber LIU, Cat6A patch panels, UPS/PDU and VA/OIT acceptance.
• 61T-702: 109 WAO total, 126 active ports, 156 scheduled ports, 172 with 10% allowance. Rack ID TR01-226-1. Verify second-level cable tray and riser penetrations.
• 61T-402/606/607 inventory existing demarc/server racks and equipment. Protect active systems, coordinate cutover, preserve labels, document equipment remaining in service.</v>
      </c>
      <c r="J78" s="663"/>
      <c r="K78" s="663"/>
      <c r="L78" s="663"/>
      <c r="M78" s="663"/>
      <c r="N78" s="664"/>
      <c r="O78" s="658"/>
      <c r="P78" s="665"/>
    </row>
    <row r="79" spans="1:16" ht="19.5" customHeight="1">
      <c r="A79" s="708"/>
      <c r="B79" s="708"/>
      <c r="C79" s="708"/>
      <c r="D79" s="708"/>
      <c r="E79" s="708"/>
      <c r="F79" s="708"/>
      <c r="G79" s="596"/>
      <c r="H79" s="596"/>
      <c r="I79" s="666"/>
      <c r="J79" s="666"/>
      <c r="K79" s="666"/>
      <c r="L79" s="666"/>
      <c r="M79" s="666"/>
      <c r="N79" s="667"/>
      <c r="O79" s="596"/>
      <c r="P79" s="668"/>
    </row>
    <row r="80" spans="1:16" ht="19.5" customHeight="1">
      <c r="A80" s="708"/>
      <c r="B80" s="708"/>
      <c r="C80" s="708"/>
      <c r="D80" s="708"/>
      <c r="E80" s="708"/>
      <c r="F80" s="708"/>
      <c r="G80" s="596"/>
      <c r="H80" s="596"/>
      <c r="I80" s="666"/>
      <c r="J80" s="666"/>
      <c r="K80" s="666"/>
      <c r="L80" s="666"/>
      <c r="M80" s="666"/>
      <c r="N80" s="667"/>
      <c r="O80" s="596"/>
      <c r="P80" s="668"/>
    </row>
    <row r="81" spans="1:16" ht="104.4" customHeight="1">
      <c r="A81" s="708"/>
      <c r="B81" s="708"/>
      <c r="C81" s="708"/>
      <c r="D81" s="708"/>
      <c r="E81" s="708"/>
      <c r="F81" s="708"/>
      <c r="G81" s="596"/>
      <c r="H81" s="596"/>
      <c r="I81" s="666"/>
      <c r="J81" s="666"/>
      <c r="K81" s="666"/>
      <c r="L81" s="666"/>
      <c r="M81" s="666"/>
      <c r="N81" s="667"/>
      <c r="O81" s="596"/>
      <c r="P81" s="668"/>
    </row>
    <row r="82" spans="1:16" s="196" customFormat="1" ht="88.2" hidden="1" customHeight="1">
      <c r="A82" s="708"/>
      <c r="B82" s="708"/>
      <c r="C82" s="708"/>
      <c r="D82" s="708"/>
      <c r="E82" s="708"/>
      <c r="F82" s="708"/>
      <c r="G82" s="596"/>
      <c r="H82" s="596"/>
      <c r="I82" s="666"/>
      <c r="J82" s="666"/>
      <c r="K82" s="666"/>
      <c r="L82" s="666"/>
      <c r="M82" s="666"/>
      <c r="N82" s="667"/>
      <c r="O82" s="596"/>
      <c r="P82" s="668"/>
    </row>
    <row r="83" spans="1:16" ht="19.5" customHeight="1" thickBot="1">
      <c r="A83" s="709"/>
      <c r="B83" s="709"/>
      <c r="C83" s="709"/>
      <c r="D83" s="709"/>
      <c r="E83" s="709"/>
      <c r="F83" s="709"/>
      <c r="G83" s="596"/>
      <c r="H83" s="596"/>
      <c r="I83" s="669"/>
      <c r="J83" s="669"/>
      <c r="K83" s="669"/>
      <c r="L83" s="669"/>
      <c r="M83" s="669"/>
      <c r="N83" s="670"/>
      <c r="O83" s="596"/>
      <c r="P83" s="668"/>
    </row>
    <row r="84" spans="1:16" ht="19.5" customHeight="1" thickBot="1">
      <c r="A84" s="710"/>
      <c r="B84" s="699"/>
      <c r="C84" s="699"/>
      <c r="D84" s="699"/>
      <c r="E84" s="699"/>
      <c r="F84" s="699"/>
      <c r="G84" s="699"/>
      <c r="H84" s="699"/>
      <c r="I84" s="671"/>
      <c r="J84" s="671"/>
      <c r="K84" s="671"/>
      <c r="L84" s="671"/>
      <c r="M84" s="671"/>
      <c r="N84" s="671"/>
      <c r="O84" s="671"/>
      <c r="P84" s="672"/>
    </row>
    <row r="85" spans="1:16" ht="19.5" customHeight="1">
      <c r="A85" s="656" t="str">
        <f>"🔐 SECURITY / PACS / CCTV"&amp;CHAR(10)&amp;AF43</f>
        <v>🔐 SECURITY / PACS / CCTV
• Telecom plans call for wall-mounted CCTV at TRs and PACS for TR doors. Verify camera, controller, CR/RX/DC/ES/MD, and VMS/PACS integration.
• Verify TR door hardware and access control, CCTV camera, network door controller and integration.
• Verify second-level TR access control, CCTV camera, door hardware, and VMS/PACS integration.
• Existing PACS/equipment racks are referenced. Verify existing security devices protected-in-place and any new recabling or integration scope.</v>
      </c>
      <c r="B85" s="657"/>
      <c r="C85" s="657"/>
      <c r="D85" s="657"/>
      <c r="E85" s="657"/>
      <c r="F85" s="657"/>
      <c r="G85" s="658"/>
      <c r="H85" s="658"/>
      <c r="I85" s="623" t="str">
        <f>"❓ RISKS / OPEN QUESTIONS"&amp;CHAR(10)&amp;"Owner Risks:"&amp;CHAR(10)&amp;AG43&amp;CHAR(10)&amp;"Open Questions:"&amp;CHAR(10)&amp;AH43</f>
        <v xml:space="preserve">❓ RISKS / OPEN QUESTIONS
Owner Risks:
• High: Existing conditions and active equipment across B13H-A, 124, 226 and 137/137A not field verified — Perform existing conditions survey with photos and active-service inventory before mobilization
• High: Hazardous material abatement plans exist for first and second levels — Coordinate IH/abatement review before penetrations, wall/ceiling work, cabling or mechanical/electrical installation
• Critical: Existing server/demarc equipment may remain active during cutover — Document active services, service provider circuits, rack inventory, OIT windows, temporary utilities and rollback path
• Critical: Dedicated cooling sequence, emergency power, condensate, BACnet and alarms not verified — Confirm IU/CU-0/1/2 power source, condensate, controls, BACnet adapter, thermostat and high-temp alarm
• Critical: Panel source, UPS/PDU and rack receptacle coordination could delay energization — Verify B61-TRB13A/B, B61-TR124A/B, B61-TR226A/B, B61-TR137AA/AB, PD panels, SPDs and load measurements
• High: Large cable tray scope creates coordination and firestop risk — Verify 1,966 ft cable tray route, supports, seismic bracing, 40% fill, MEP conflicts, sleeves and final firestop assemblies
Open Questions:
</v>
      </c>
      <c r="J85" s="623"/>
      <c r="K85" s="623"/>
      <c r="L85" s="623"/>
      <c r="M85" s="623"/>
      <c r="N85" s="623"/>
      <c r="O85" s="623"/>
      <c r="P85" s="624"/>
    </row>
    <row r="86" spans="1:16" ht="19.5" customHeight="1">
      <c r="A86" s="659"/>
      <c r="B86" s="659"/>
      <c r="C86" s="659"/>
      <c r="D86" s="659"/>
      <c r="E86" s="659"/>
      <c r="F86" s="659"/>
      <c r="G86" s="596"/>
      <c r="H86" s="596"/>
      <c r="I86" s="625"/>
      <c r="J86" s="625"/>
      <c r="K86" s="625"/>
      <c r="L86" s="625"/>
      <c r="M86" s="625"/>
      <c r="N86" s="625"/>
      <c r="O86" s="625"/>
      <c r="P86" s="626"/>
    </row>
    <row r="87" spans="1:16" ht="19.5" customHeight="1">
      <c r="A87" s="659"/>
      <c r="B87" s="659"/>
      <c r="C87" s="659"/>
      <c r="D87" s="659"/>
      <c r="E87" s="659"/>
      <c r="F87" s="659"/>
      <c r="G87" s="596"/>
      <c r="H87" s="596"/>
      <c r="I87" s="625"/>
      <c r="J87" s="625"/>
      <c r="K87" s="625"/>
      <c r="L87" s="625"/>
      <c r="M87" s="625"/>
      <c r="N87" s="625"/>
      <c r="O87" s="625"/>
      <c r="P87" s="626"/>
    </row>
    <row r="88" spans="1:16" ht="178.5" customHeight="1">
      <c r="A88" s="659"/>
      <c r="B88" s="659"/>
      <c r="C88" s="659"/>
      <c r="D88" s="659"/>
      <c r="E88" s="659"/>
      <c r="F88" s="659"/>
      <c r="G88" s="596"/>
      <c r="H88" s="596"/>
      <c r="I88" s="625"/>
      <c r="J88" s="625"/>
      <c r="K88" s="625"/>
      <c r="L88" s="625"/>
      <c r="M88" s="625"/>
      <c r="N88" s="625"/>
      <c r="O88" s="625"/>
      <c r="P88" s="626"/>
    </row>
    <row r="89" spans="1:16" ht="219" hidden="1" customHeight="1">
      <c r="A89" s="659"/>
      <c r="B89" s="659"/>
      <c r="C89" s="659"/>
      <c r="D89" s="659"/>
      <c r="E89" s="659"/>
      <c r="F89" s="659"/>
      <c r="G89" s="596"/>
      <c r="H89" s="596"/>
      <c r="I89" s="625"/>
      <c r="J89" s="625"/>
      <c r="K89" s="625"/>
      <c r="L89" s="625"/>
      <c r="M89" s="625"/>
      <c r="N89" s="625"/>
      <c r="O89" s="625"/>
      <c r="P89" s="626"/>
    </row>
    <row r="90" spans="1:16" ht="25.5" hidden="1" customHeight="1">
      <c r="A90" s="660"/>
      <c r="B90" s="660"/>
      <c r="C90" s="660"/>
      <c r="D90" s="660"/>
      <c r="E90" s="660"/>
      <c r="F90" s="660"/>
      <c r="G90" s="596"/>
      <c r="H90" s="596"/>
      <c r="I90" s="625"/>
      <c r="J90" s="625"/>
      <c r="K90" s="625"/>
      <c r="L90" s="625"/>
      <c r="M90" s="625"/>
      <c r="N90" s="625"/>
      <c r="O90" s="625"/>
      <c r="P90" s="626"/>
    </row>
    <row r="91" spans="1:16" ht="34.5" customHeight="1">
      <c r="A91" s="661"/>
      <c r="B91" s="661"/>
      <c r="C91" s="661"/>
      <c r="D91" s="661"/>
      <c r="E91" s="661"/>
      <c r="F91" s="661"/>
      <c r="G91" s="661"/>
      <c r="H91" s="661"/>
      <c r="I91" s="627"/>
      <c r="J91" s="627"/>
      <c r="K91" s="627"/>
      <c r="L91" s="627"/>
      <c r="M91" s="627"/>
      <c r="N91" s="627"/>
      <c r="O91" s="627"/>
      <c r="P91" s="628"/>
    </row>
    <row r="92" spans="1:16" ht="18" customHeight="1">
      <c r="A92" s="577" t="s">
        <v>336</v>
      </c>
      <c r="B92" s="578"/>
      <c r="C92" s="578"/>
      <c r="D92" s="578"/>
      <c r="E92" s="578"/>
      <c r="F92" s="578"/>
      <c r="G92" s="578"/>
      <c r="H92" s="578"/>
      <c r="I92" s="578"/>
      <c r="J92" s="578"/>
      <c r="K92" s="578"/>
      <c r="L92" s="578"/>
      <c r="M92" s="578"/>
      <c r="N92" s="578"/>
      <c r="O92" s="578"/>
      <c r="P92" s="579"/>
    </row>
    <row r="93" spans="1:16" ht="27.75" customHeight="1">
      <c r="A93" s="580"/>
      <c r="B93" s="574"/>
      <c r="C93" s="574"/>
      <c r="D93" s="574"/>
      <c r="E93" s="574"/>
      <c r="F93" s="574"/>
      <c r="G93" s="574"/>
      <c r="H93" s="574"/>
      <c r="I93" s="574"/>
      <c r="J93" s="574"/>
      <c r="K93" s="574"/>
      <c r="L93" s="574"/>
      <c r="M93" s="574"/>
      <c r="N93" s="574"/>
      <c r="O93" s="574"/>
      <c r="P93" s="575"/>
    </row>
    <row r="94" spans="1:16" ht="18" customHeight="1">
      <c r="A94" s="642"/>
      <c r="B94" s="565"/>
      <c r="C94" s="565"/>
      <c r="D94" s="565"/>
      <c r="E94" s="565"/>
      <c r="F94" s="565"/>
      <c r="G94" s="565"/>
      <c r="H94" s="565"/>
      <c r="I94" s="565"/>
      <c r="J94" s="565"/>
      <c r="K94" s="565"/>
      <c r="L94" s="565"/>
      <c r="M94" s="565"/>
      <c r="N94" s="565"/>
      <c r="O94" s="565"/>
      <c r="P94" s="566"/>
    </row>
    <row r="95" spans="1:16" ht="74.400000000000006" hidden="1" customHeight="1">
      <c r="A95" s="685" t="s">
        <v>337</v>
      </c>
      <c r="B95" s="565"/>
      <c r="C95" s="565"/>
      <c r="D95" s="565"/>
      <c r="E95" s="565"/>
      <c r="F95" s="565"/>
      <c r="G95" s="565"/>
      <c r="H95" s="565"/>
      <c r="I95" s="565"/>
      <c r="J95" s="565"/>
      <c r="K95" s="565"/>
      <c r="L95" s="565"/>
      <c r="M95" s="565"/>
      <c r="N95" s="565"/>
      <c r="O95" s="565"/>
      <c r="P95" s="566"/>
    </row>
    <row r="96" spans="1:16" ht="74.400000000000006" hidden="1" customHeight="1">
      <c r="A96" s="576" t="s">
        <v>338</v>
      </c>
      <c r="B96" s="566"/>
      <c r="C96" s="576" t="s">
        <v>268</v>
      </c>
      <c r="D96" s="566"/>
      <c r="E96" s="576" t="s">
        <v>339</v>
      </c>
      <c r="F96" s="565"/>
      <c r="G96" s="566"/>
      <c r="H96" s="576" t="s">
        <v>340</v>
      </c>
      <c r="I96" s="565"/>
      <c r="J96" s="566"/>
      <c r="K96" s="576" t="s">
        <v>341</v>
      </c>
      <c r="L96" s="565"/>
      <c r="M96" s="566"/>
      <c r="N96" s="576" t="s">
        <v>11</v>
      </c>
      <c r="O96" s="565"/>
      <c r="P96" s="566"/>
    </row>
    <row r="97" spans="1:16" ht="74.400000000000006" hidden="1" customHeight="1">
      <c r="A97" s="567" t="str">
        <f>IFERROR(INDEX(_Assessment_Full_View!$E:$E,MATCH($Z$46&amp;"|"&amp;ROWS($A$97:A97),_Assessment_Full_View!$Q:$Q,0)),"")</f>
        <v>1. ROOM INVENTORY</v>
      </c>
      <c r="B97" s="566"/>
      <c r="C97" s="567" t="str">
        <f>IFERROR(INDEX(_Assessment_Full_View!$G:$G,MATCH($Z$46&amp;"|"&amp;ROWS($A$97:A97),_Assessment_Full_View!$Q:$Q,0))&amp;" / "&amp;INDEX(_Assessment_Full_View!$H:$H,MATCH($Z$46&amp;"|"&amp;ROWS($A$97:A97),_Assessment_Full_View!$Q:$Q,0)),"")</f>
        <v>1. ROOM INVENTORY / 0</v>
      </c>
      <c r="D97" s="566"/>
      <c r="E97" s="567" t="str">
        <f>IFERROR(INDEX(_Assessment_Full_View!$I:$I,MATCH($Z$46&amp;"|"&amp;ROWS($A$97:A97),_Assessment_Full_View!$Q:$Q,0))&amp;" / "&amp;INDEX(_Assessment_Full_View!$J:$J,MATCH($Z$46&amp;"|"&amp;ROWS($A$97:A97),_Assessment_Full_View!$Q:$Q,0)),"")</f>
        <v>0 / 0</v>
      </c>
      <c r="F97" s="565"/>
      <c r="G97" s="566"/>
      <c r="H97" s="567" t="str">
        <f>IFERROR(INDEX(_Assessment_Full_View!$K:$K,MATCH($Z$46&amp;"|"&amp;ROWS($A$97:A97),_Assessment_Full_View!$Q:$Q,0))&amp;" / "&amp;INDEX(_Assessment_Full_View!$L:$L,MATCH($Z$46&amp;"|"&amp;ROWS($A$97:A97),_Assessment_Full_View!$Q:$Q,0)),"")</f>
        <v>0 / 0</v>
      </c>
      <c r="I97" s="565"/>
      <c r="J97" s="566"/>
      <c r="K97" s="567">
        <f>IFERROR(INDEX(_Assessment_Full_View!$O:$O,MATCH($Z$46&amp;"|"&amp;ROWS($A$97:A97),_Assessment_Full_View!$Q:$Q,0)),"")</f>
        <v>0</v>
      </c>
      <c r="L97" s="565"/>
      <c r="M97" s="566"/>
      <c r="N97" s="567">
        <f>IFERROR(INDEX(_Assessment_Full_View!$P:$P,MATCH($Z$46&amp;"|"&amp;ROWS($A$97:A97),_Assessment_Full_View!$Q:$Q,0)),"")</f>
        <v>0</v>
      </c>
      <c r="O97" s="565"/>
      <c r="P97" s="566"/>
    </row>
    <row r="98" spans="1:16" ht="74.400000000000006" hidden="1" customHeight="1">
      <c r="A98" s="564" t="str">
        <f>IFERROR(INDEX(_Assessment_Full_View!$E:$E,MATCH($Z$46&amp;"|"&amp;ROWS($A$97:A98),_Assessment_Full_View!$Q:$Q,0)),"")</f>
        <v>1. ROOM INVENTORY</v>
      </c>
      <c r="B98" s="566"/>
      <c r="C98" s="564" t="str">
        <f>IFERROR(INDEX(_Assessment_Full_View!$G:$G,MATCH($Z$46&amp;"|"&amp;ROWS($A$97:A98),_Assessment_Full_View!$Q:$Q,0))&amp;" / "&amp;INDEX(_Assessment_Full_View!$H:$H,MATCH($Z$46&amp;"|"&amp;ROWS($A$97:A98),_Assessment_Full_View!$Q:$Q,0)),"")</f>
        <v>Building / Room</v>
      </c>
      <c r="D98" s="566"/>
      <c r="E98" s="564" t="str">
        <f>IFERROR(INDEX(_Assessment_Full_View!$I:$I,MATCH($Z$46&amp;"|"&amp;ROWS($A$97:A98),_Assessment_Full_View!$Q:$Q,0))&amp;" / "&amp;INDEX(_Assessment_Full_View!$J:$J,MATCH($Z$46&amp;"|"&amp;ROWS($A$97:A98),_Assessment_Full_View!$Q:$Q,0)),"")</f>
        <v>Floor / Existing Use</v>
      </c>
      <c r="F98" s="565"/>
      <c r="G98" s="566"/>
      <c r="H98" s="564" t="str">
        <f>IFERROR(INDEX(_Assessment_Full_View!$K:$K,MATCH($Z$46&amp;"|"&amp;ROWS($A$97:A98),_Assessment_Full_View!$Q:$Q,0))&amp;" / "&amp;INDEX(_Assessment_Full_View!$L:$L,MATCH($Z$46&amp;"|"&amp;ROWS($A$97:A98),_Assessment_Full_View!$Q:$Q,0)),"")</f>
        <v>New Use / Rack Count</v>
      </c>
      <c r="I98" s="565"/>
      <c r="J98" s="566"/>
      <c r="K98" s="564" t="str">
        <f>IFERROR(INDEX(_Assessment_Full_View!$O:$O,MATCH($Z$46&amp;"|"&amp;ROWS($A$97:A98),_Assessment_Full_View!$Q:$Q,0)),"")</f>
        <v>Drawing Ref</v>
      </c>
      <c r="L98" s="565"/>
      <c r="M98" s="566"/>
      <c r="N98" s="564" t="str">
        <f>IFERROR(INDEX(_Assessment_Full_View!$P:$P,MATCH($Z$46&amp;"|"&amp;ROWS($A$97:A98),_Assessment_Full_View!$Q:$Q,0)),"")</f>
        <v>Notes</v>
      </c>
      <c r="O98" s="565"/>
      <c r="P98" s="566"/>
    </row>
    <row r="99" spans="1:16" ht="74.400000000000006" hidden="1" customHeight="1">
      <c r="A99" s="567" t="str">
        <f>IFERROR(INDEX(_Assessment_Full_View!$E:$E,MATCH($Z$46&amp;"|"&amp;ROWS($A$97:A99),_Assessment_Full_View!$Q:$Q,0)),"")</f>
        <v>1. ROOM INVENTORY</v>
      </c>
      <c r="B99" s="566"/>
      <c r="C99" s="567" t="str">
        <f>IFERROR(INDEX(_Assessment_Full_View!$G:$G,MATCH($Z$46&amp;"|"&amp;ROWS($A$97:A99),_Assessment_Full_View!$Q:$Q,0))&amp;" / "&amp;INDEX(_Assessment_Full_View!$H:$H,MATCH($Z$46&amp;"|"&amp;ROWS($A$97:A99),_Assessment_Full_View!$Q:$Q,0)),"")</f>
        <v>61 / B13H-A</v>
      </c>
      <c r="D99" s="566"/>
      <c r="E99" s="567" t="str">
        <f>IFERROR(INDEX(_Assessment_Full_View!$I:$I,MATCH($Z$46&amp;"|"&amp;ROWS($A$97:A99),_Assessment_Full_View!$Q:$Q,0))&amp;" / "&amp;INDEX(_Assessment_Full_View!$J:$J,MATCH($Z$46&amp;"|"&amp;ROWS($A$97:A99),_Assessment_Full_View!$Q:$Q,0)),"")</f>
        <v>Basement / Basement telecom / support area</v>
      </c>
      <c r="F99" s="565"/>
      <c r="G99" s="566"/>
      <c r="H99" s="567" t="str">
        <f>IFERROR(INDEX(_Assessment_Full_View!$K:$K,MATCH($Z$46&amp;"|"&amp;ROWS($A$97:A99),_Assessment_Full_View!$Q:$Q,0))&amp;" / "&amp;INDEX(_Assessment_Full_View!$L:$L,MATCH($Z$46&amp;"|"&amp;ROWS($A$97:A99),_Assessment_Full_View!$Q:$Q,0)),"")</f>
        <v>Telecom Room / 1</v>
      </c>
      <c r="I99" s="565"/>
      <c r="J99" s="566"/>
      <c r="K99" s="567" t="str">
        <f>IFERROR(INDEX(_Assessment_Full_View!$O:$O,MATCH($Z$46&amp;"|"&amp;ROWS($A$97:A99),_Assessment_Full_View!$Q:$Q,0)),"")</f>
        <v>61A-400 / 61E-401 / 61T-100 / 61T-401 / 61T-604 / 61T-701</v>
      </c>
      <c r="L99" s="565"/>
      <c r="M99" s="566"/>
      <c r="N99" s="567" t="str">
        <f>IFERROR(INDEX(_Assessment_Full_View!$P:$P,MATCH($Z$46&amp;"|"&amp;ROWS($A$97:A99),_Assessment_Full_View!$Q:$Q,0)),"")</f>
        <v>Basement TR identified as RM B13H-A with Rack ID TR01-B13H-A-1. Schedules identify 88 WAO total, 74 active ports, 129 scheduled ports, 142 ports with 10% allowance. Electrical panels include B61-TRB13A/B. Mechanical cooling includes IU-0-01/CU-0-01.</v>
      </c>
      <c r="O99" s="565"/>
      <c r="P99" s="566"/>
    </row>
    <row r="100" spans="1:16" ht="74.400000000000006" hidden="1" customHeight="1">
      <c r="A100" s="564" t="str">
        <f>IFERROR(INDEX(_Assessment_Full_View!$E:$E,MATCH($Z$46&amp;"|"&amp;ROWS($A$97:A100),_Assessment_Full_View!$Q:$Q,0)),"")</f>
        <v>1. ROOM INVENTORY</v>
      </c>
      <c r="B100" s="566"/>
      <c r="C100" s="564" t="str">
        <f>IFERROR(INDEX(_Assessment_Full_View!$G:$G,MATCH($Z$46&amp;"|"&amp;ROWS($A$97:A100),_Assessment_Full_View!$Q:$Q,0))&amp;" / "&amp;INDEX(_Assessment_Full_View!$H:$H,MATCH($Z$46&amp;"|"&amp;ROWS($A$97:A100),_Assessment_Full_View!$Q:$Q,0)),"")</f>
        <v>61 / 124</v>
      </c>
      <c r="D100" s="566"/>
      <c r="E100" s="564" t="str">
        <f>IFERROR(INDEX(_Assessment_Full_View!$I:$I,MATCH($Z$46&amp;"|"&amp;ROWS($A$97:A100),_Assessment_Full_View!$Q:$Q,0))&amp;" / "&amp;INDEX(_Assessment_Full_View!$J:$J,MATCH($Z$46&amp;"|"&amp;ROWS($A$97:A100),_Assessment_Full_View!$Q:$Q,0)),"")</f>
        <v>First / First-level telecom area</v>
      </c>
      <c r="F100" s="565"/>
      <c r="G100" s="566"/>
      <c r="H100" s="564" t="str">
        <f>IFERROR(INDEX(_Assessment_Full_View!$K:$K,MATCH($Z$46&amp;"|"&amp;ROWS($A$97:A100),_Assessment_Full_View!$Q:$Q,0))&amp;" / "&amp;INDEX(_Assessment_Full_View!$L:$L,MATCH($Z$46&amp;"|"&amp;ROWS($A$97:A100),_Assessment_Full_View!$Q:$Q,0)),"")</f>
        <v>Telecom Room / 1</v>
      </c>
      <c r="I100" s="565"/>
      <c r="J100" s="566"/>
      <c r="K100" s="564" t="str">
        <f>IFERROR(INDEX(_Assessment_Full_View!$O:$O,MATCH($Z$46&amp;"|"&amp;ROWS($A$97:A100),_Assessment_Full_View!$Q:$Q,0)),"")</f>
        <v>61A-400 / 61E-402 / 61T-101 / 61T-401 / 61T-604 / 61T-701</v>
      </c>
      <c r="L100" s="565"/>
      <c r="M100" s="566"/>
      <c r="N100" s="564" t="str">
        <f>IFERROR(INDEX(_Assessment_Full_View!$P:$P,MATCH($Z$46&amp;"|"&amp;ROWS($A$97:A100),_Assessment_Full_View!$Q:$Q,0)),"")</f>
        <v>First-level TR identified as Room 124 / Rack ID TR01-124-1. Electrical panels include B61-TR124A/B. Mechanical cooling includes IU-1-01/CU-1-01. Verify room naming against electrical schedule references that also call out RM137B rack receptacles.</v>
      </c>
      <c r="O100" s="565"/>
      <c r="P100" s="566"/>
    </row>
    <row r="101" spans="1:16" ht="74.400000000000006" hidden="1" customHeight="1">
      <c r="A101" s="567" t="str">
        <f>IFERROR(INDEX(_Assessment_Full_View!$E:$E,MATCH($Z$46&amp;"|"&amp;ROWS($A$97:A101),_Assessment_Full_View!$Q:$Q,0)),"")</f>
        <v>1. ROOM INVENTORY</v>
      </c>
      <c r="B101" s="566"/>
      <c r="C101" s="567" t="str">
        <f>IFERROR(INDEX(_Assessment_Full_View!$G:$G,MATCH($Z$46&amp;"|"&amp;ROWS($A$97:A101),_Assessment_Full_View!$Q:$Q,0))&amp;" / "&amp;INDEX(_Assessment_Full_View!$H:$H,MATCH($Z$46&amp;"|"&amp;ROWS($A$97:A101),_Assessment_Full_View!$Q:$Q,0)),"")</f>
        <v>61 / 226</v>
      </c>
      <c r="D101" s="566"/>
      <c r="E101" s="567" t="str">
        <f>IFERROR(INDEX(_Assessment_Full_View!$I:$I,MATCH($Z$46&amp;"|"&amp;ROWS($A$97:A101),_Assessment_Full_View!$Q:$Q,0))&amp;" / "&amp;INDEX(_Assessment_Full_View!$J:$J,MATCH($Z$46&amp;"|"&amp;ROWS($A$97:A101),_Assessment_Full_View!$Q:$Q,0)),"")</f>
        <v>Second / Second-level telecom area</v>
      </c>
      <c r="F101" s="565"/>
      <c r="G101" s="566"/>
      <c r="H101" s="567" t="str">
        <f>IFERROR(INDEX(_Assessment_Full_View!$K:$K,MATCH($Z$46&amp;"|"&amp;ROWS($A$97:A101),_Assessment_Full_View!$Q:$Q,0))&amp;" / "&amp;INDEX(_Assessment_Full_View!$L:$L,MATCH($Z$46&amp;"|"&amp;ROWS($A$97:A101),_Assessment_Full_View!$Q:$Q,0)),"")</f>
        <v>Telecom Room / 1</v>
      </c>
      <c r="I101" s="565"/>
      <c r="J101" s="566"/>
      <c r="K101" s="567" t="str">
        <f>IFERROR(INDEX(_Assessment_Full_View!$O:$O,MATCH($Z$46&amp;"|"&amp;ROWS($A$97:A101),_Assessment_Full_View!$Q:$Q,0)),"")</f>
        <v>61A-401 / 61E-402 / 61T-102 / 61T-401 / 61T-605 / 61T-702</v>
      </c>
      <c r="L101" s="565"/>
      <c r="M101" s="566"/>
      <c r="N101" s="567" t="str">
        <f>IFERROR(INDEX(_Assessment_Full_View!$P:$P,MATCH($Z$46&amp;"|"&amp;ROWS($A$97:A101),_Assessment_Full_View!$Q:$Q,0)),"")</f>
        <v>Second-level TR identified as Room 226 / Rack ID TR01-226-1. Schedules identify 109 WAO total, 126 active ports, 156 scheduled ports, 172 ports with 10% allowance. Electrical panels include B61-TR226A/B. Mechanical cooling includes IU-2-01/CU-2-01.</v>
      </c>
      <c r="O101" s="565"/>
      <c r="P101" s="566"/>
    </row>
    <row r="102" spans="1:16" ht="74.400000000000006" hidden="1" customHeight="1">
      <c r="A102" s="564" t="str">
        <f>IFERROR(INDEX(_Assessment_Full_View!$E:$E,MATCH($Z$46&amp;"|"&amp;ROWS($A$97:A102),_Assessment_Full_View!$Q:$Q,0)),"")</f>
        <v>1. ROOM INVENTORY</v>
      </c>
      <c r="B102" s="566"/>
      <c r="C102" s="564" t="str">
        <f>IFERROR(INDEX(_Assessment_Full_View!$G:$G,MATCH($Z$46&amp;"|"&amp;ROWS($A$97:A102),_Assessment_Full_View!$Q:$Q,0))&amp;" / "&amp;INDEX(_Assessment_Full_View!$H:$H,MATCH($Z$46&amp;"|"&amp;ROWS($A$97:A102),_Assessment_Full_View!$Q:$Q,0)),"")</f>
        <v>61 / 137 / 137A</v>
      </c>
      <c r="D102" s="566"/>
      <c r="E102" s="564" t="str">
        <f>IFERROR(INDEX(_Assessment_Full_View!$I:$I,MATCH($Z$46&amp;"|"&amp;ROWS($A$97:A102),_Assessment_Full_View!$Q:$Q,0))&amp;" / "&amp;INDEX(_Assessment_Full_View!$J:$J,MATCH($Z$46&amp;"|"&amp;ROWS($A$97:A102),_Assessment_Full_View!$Q:$Q,0)),"")</f>
        <v>First / Existing server/demarc/telecom equipment rooms</v>
      </c>
      <c r="F102" s="565"/>
      <c r="G102" s="566"/>
      <c r="H102" s="564" t="str">
        <f>IFERROR(INDEX(_Assessment_Full_View!$K:$K,MATCH($Z$46&amp;"|"&amp;ROWS($A$97:A102),_Assessment_Full_View!$Q:$Q,0))&amp;" / "&amp;INDEX(_Assessment_Full_View!$L:$L,MATCH($Z$46&amp;"|"&amp;ROWS($A$97:A102),_Assessment_Full_View!$Q:$Q,0)),"")</f>
        <v>Existing demarc / server transition point / 11</v>
      </c>
      <c r="I102" s="565"/>
      <c r="J102" s="566"/>
      <c r="K102" s="564" t="str">
        <f>IFERROR(INDEX(_Assessment_Full_View!$O:$O,MATCH($Z$46&amp;"|"&amp;ROWS($A$97:A102),_Assessment_Full_View!$Q:$Q,0)),"")</f>
        <v>61T-402 / 61T-606 / 61T-607 / 61R-900</v>
      </c>
      <c r="L102" s="565"/>
      <c r="M102" s="566"/>
      <c r="N102" s="564" t="str">
        <f>IFERROR(INDEX(_Assessment_Full_View!$P:$P,MATCH($Z$46&amp;"|"&amp;ROWS($A$97:A102),_Assessment_Full_View!$Q:$Q,0)),"")</f>
        <v>Existing Room 137/137A rack inventory and demarc/server equipment include existing 4-post racks, PACS/equipment racks, APC UPS/PDU equipment, Fujitsu FLM equipment, wall-mounted patch panels, and local elevations. Protect active services and verify what remains, transfers, or is modified.</v>
      </c>
      <c r="O102" s="565"/>
      <c r="P102" s="566"/>
    </row>
    <row r="103" spans="1:16" ht="74.400000000000006" hidden="1" customHeight="1">
      <c r="A103" s="567" t="str">
        <f>IFERROR(INDEX(_Assessment_Full_View!$E:$E,MATCH($Z$46&amp;"|"&amp;ROWS($A$97:A103),_Assessment_Full_View!$Q:$Q,0)),"")</f>
        <v>1. ROOM INVENTORY</v>
      </c>
      <c r="B103" s="566"/>
      <c r="C103" s="567" t="str">
        <f>IFERROR(INDEX(_Assessment_Full_View!$G:$G,MATCH($Z$46&amp;"|"&amp;ROWS($A$97:A103),_Assessment_Full_View!$Q:$Q,0))&amp;" / "&amp;INDEX(_Assessment_Full_View!$H:$H,MATCH($Z$46&amp;"|"&amp;ROWS($A$97:A103),_Assessment_Full_View!$Q:$Q,0)),"")</f>
        <v>0 / 0</v>
      </c>
      <c r="D103" s="566"/>
      <c r="E103" s="567" t="str">
        <f>IFERROR(INDEX(_Assessment_Full_View!$I:$I,MATCH($Z$46&amp;"|"&amp;ROWS($A$97:A103),_Assessment_Full_View!$Q:$Q,0))&amp;" / "&amp;INDEX(_Assessment_Full_View!$J:$J,MATCH($Z$46&amp;"|"&amp;ROWS($A$97:A103),_Assessment_Full_View!$Q:$Q,0)),"")</f>
        <v>0 / 0</v>
      </c>
      <c r="F103" s="565"/>
      <c r="G103" s="566"/>
      <c r="H103" s="567" t="str">
        <f>IFERROR(INDEX(_Assessment_Full_View!$K:$K,MATCH($Z$46&amp;"|"&amp;ROWS($A$97:A103),_Assessment_Full_View!$Q:$Q,0))&amp;" / "&amp;INDEX(_Assessment_Full_View!$L:$L,MATCH($Z$46&amp;"|"&amp;ROWS($A$97:A103),_Assessment_Full_View!$Q:$Q,0)),"")</f>
        <v>0 / 0</v>
      </c>
      <c r="I103" s="565"/>
      <c r="J103" s="566"/>
      <c r="K103" s="567">
        <f>IFERROR(INDEX(_Assessment_Full_View!$O:$O,MATCH($Z$46&amp;"|"&amp;ROWS($A$97:A103),_Assessment_Full_View!$Q:$Q,0)),"")</f>
        <v>0</v>
      </c>
      <c r="L103" s="565"/>
      <c r="M103" s="566"/>
      <c r="N103" s="567">
        <f>IFERROR(INDEX(_Assessment_Full_View!$P:$P,MATCH($Z$46&amp;"|"&amp;ROWS($A$97:A103),_Assessment_Full_View!$Q:$Q,0)),"")</f>
        <v>0</v>
      </c>
      <c r="O103" s="565"/>
      <c r="P103" s="566"/>
    </row>
    <row r="104" spans="1:16" ht="74.400000000000006" hidden="1" customHeight="1">
      <c r="A104" s="564" t="str">
        <f>IFERROR(INDEX(_Assessment_Full_View!$E:$E,MATCH($Z$46&amp;"|"&amp;ROWS($A$97:A104),_Assessment_Full_View!$Q:$Q,0)),"")</f>
        <v>2. ROOM READINESS</v>
      </c>
      <c r="B104" s="566"/>
      <c r="C104" s="564" t="str">
        <f>IFERROR(INDEX(_Assessment_Full_View!$G:$G,MATCH($Z$46&amp;"|"&amp;ROWS($A$97:A104),_Assessment_Full_View!$Q:$Q,0))&amp;" / "&amp;INDEX(_Assessment_Full_View!$H:$H,MATCH($Z$46&amp;"|"&amp;ROWS($A$97:A104),_Assessment_Full_View!$Q:$Q,0)),"")</f>
        <v>2. ROOM READINESS / 0</v>
      </c>
      <c r="D104" s="566"/>
      <c r="E104" s="564" t="str">
        <f>IFERROR(INDEX(_Assessment_Full_View!$I:$I,MATCH($Z$46&amp;"|"&amp;ROWS($A$97:A104),_Assessment_Full_View!$Q:$Q,0))&amp;" / "&amp;INDEX(_Assessment_Full_View!$J:$J,MATCH($Z$46&amp;"|"&amp;ROWS($A$97:A104),_Assessment_Full_View!$Q:$Q,0)),"")</f>
        <v>0 / 0</v>
      </c>
      <c r="F104" s="565"/>
      <c r="G104" s="566"/>
      <c r="H104" s="564" t="str">
        <f>IFERROR(INDEX(_Assessment_Full_View!$K:$K,MATCH($Z$46&amp;"|"&amp;ROWS($A$97:A104),_Assessment_Full_View!$Q:$Q,0))&amp;" / "&amp;INDEX(_Assessment_Full_View!$L:$L,MATCH($Z$46&amp;"|"&amp;ROWS($A$97:A104),_Assessment_Full_View!$Q:$Q,0)),"")</f>
        <v>0 / 0</v>
      </c>
      <c r="I104" s="565"/>
      <c r="J104" s="566"/>
      <c r="K104" s="564">
        <f>IFERROR(INDEX(_Assessment_Full_View!$O:$O,MATCH($Z$46&amp;"|"&amp;ROWS($A$97:A104),_Assessment_Full_View!$Q:$Q,0)),"")</f>
        <v>0</v>
      </c>
      <c r="L104" s="565"/>
      <c r="M104" s="566"/>
      <c r="N104" s="564">
        <f>IFERROR(INDEX(_Assessment_Full_View!$P:$P,MATCH($Z$46&amp;"|"&amp;ROWS($A$97:A104),_Assessment_Full_View!$Q:$Q,0)),"")</f>
        <v>0</v>
      </c>
      <c r="O104" s="565"/>
      <c r="P104" s="566"/>
    </row>
    <row r="105" spans="1:16" ht="74.400000000000006" hidden="1" customHeight="1">
      <c r="A105" s="567" t="str">
        <f>IFERROR(INDEX(_Assessment_Full_View!$E:$E,MATCH($Z$46&amp;"|"&amp;ROWS($A$97:A105),_Assessment_Full_View!$Q:$Q,0)),"")</f>
        <v>2. ROOM READINESS</v>
      </c>
      <c r="B105" s="566"/>
      <c r="C105" s="567" t="str">
        <f>IFERROR(INDEX(_Assessment_Full_View!$G:$G,MATCH($Z$46&amp;"|"&amp;ROWS($A$97:A105),_Assessment_Full_View!$Q:$Q,0))&amp;" / "&amp;INDEX(_Assessment_Full_View!$H:$H,MATCH($Z$46&amp;"|"&amp;ROWS($A$97:A105),_Assessment_Full_View!$Q:$Q,0)),"")</f>
        <v>Room / Walls / 1-hr Rating</v>
      </c>
      <c r="D105" s="566"/>
      <c r="E105" s="567" t="str">
        <f>IFERROR(INDEX(_Assessment_Full_View!$I:$I,MATCH($Z$46&amp;"|"&amp;ROWS($A$97:A105),_Assessment_Full_View!$Q:$Q,0))&amp;" / "&amp;INDEX(_Assessment_Full_View!$J:$J,MATCH($Z$46&amp;"|"&amp;ROWS($A$97:A105),_Assessment_Full_View!$Q:$Q,0)),"")</f>
        <v>Ceiling / Floor / SDC</v>
      </c>
      <c r="F105" s="565"/>
      <c r="G105" s="566"/>
      <c r="H105" s="567" t="str">
        <f>IFERROR(INDEX(_Assessment_Full_View!$K:$K,MATCH($Z$46&amp;"|"&amp;ROWS($A$97:A105),_Assessment_Full_View!$Q:$Q,0))&amp;" / "&amp;INDEX(_Assessment_Full_View!$L:$L,MATCH($Z$46&amp;"|"&amp;ROWS($A$97:A105),_Assessment_Full_View!$Q:$Q,0)),"")</f>
        <v>Penetrations / Access Control</v>
      </c>
      <c r="I105" s="565"/>
      <c r="J105" s="566"/>
      <c r="K105" s="567" t="str">
        <f>IFERROR(INDEX(_Assessment_Full_View!$O:$O,MATCH($Z$46&amp;"|"&amp;ROWS($A$97:A105),_Assessment_Full_View!$Q:$Q,0)),"")</f>
        <v>Overall</v>
      </c>
      <c r="L105" s="565"/>
      <c r="M105" s="566"/>
      <c r="N105" s="567" t="str">
        <f>IFERROR(INDEX(_Assessment_Full_View!$P:$P,MATCH($Z$46&amp;"|"&amp;ROWS($A$97:A105),_Assessment_Full_View!$Q:$Q,0)),"")</f>
        <v>Comments</v>
      </c>
      <c r="O105" s="565"/>
      <c r="P105" s="566"/>
    </row>
    <row r="106" spans="1:16" ht="74.400000000000006" hidden="1" customHeight="1">
      <c r="A106" s="564" t="str">
        <f>IFERROR(INDEX(_Assessment_Full_View!$E:$E,MATCH($Z$46&amp;"|"&amp;ROWS($A$97:A106),_Assessment_Full_View!$Q:$Q,0)),"")</f>
        <v>2. ROOM READINESS</v>
      </c>
      <c r="B106" s="566"/>
      <c r="C106" s="564" t="str">
        <f>IFERROR(INDEX(_Assessment_Full_View!$G:$G,MATCH($Z$46&amp;"|"&amp;ROWS($A$97:A106),_Assessment_Full_View!$Q:$Q,0))&amp;" / "&amp;INDEX(_Assessment_Full_View!$H:$H,MATCH($Z$46&amp;"|"&amp;ROWS($A$97:A106),_Assessment_Full_View!$Q:$Q,0)),"")</f>
        <v>B13H-A / Verify</v>
      </c>
      <c r="D106" s="566"/>
      <c r="E106" s="564" t="str">
        <f>IFERROR(INDEX(_Assessment_Full_View!$I:$I,MATCH($Z$46&amp;"|"&amp;ROWS($A$97:A106),_Assessment_Full_View!$Q:$Q,0))&amp;" / "&amp;INDEX(_Assessment_Full_View!$J:$J,MATCH($Z$46&amp;"|"&amp;ROWS($A$97:A106),_Assessment_Full_View!$Q:$Q,0)),"")</f>
        <v>Verify / Verify</v>
      </c>
      <c r="F106" s="565"/>
      <c r="G106" s="566"/>
      <c r="H106" s="564" t="str">
        <f>IFERROR(INDEX(_Assessment_Full_View!$K:$K,MATCH($Z$46&amp;"|"&amp;ROWS($A$97:A106),_Assessment_Full_View!$Q:$Q,0))&amp;" / "&amp;INDEX(_Assessment_Full_View!$L:$L,MATCH($Z$46&amp;"|"&amp;ROWS($A$97:A106),_Assessment_Full_View!$Q:$Q,0)),"")</f>
        <v>Verify / Verify</v>
      </c>
      <c r="I106" s="565"/>
      <c r="J106" s="566"/>
      <c r="K106" s="564" t="str">
        <f>IFERROR(INDEX(_Assessment_Full_View!$O:$O,MATCH($Z$46&amp;"|"&amp;ROWS($A$97:A106),_Assessment_Full_View!$Q:$Q,0)),"")</f>
        <v>Verify</v>
      </c>
      <c r="L106" s="565"/>
      <c r="M106" s="566"/>
      <c r="N106" s="564" t="str">
        <f>IFERROR(INDEX(_Assessment_Full_View!$P:$P,MATCH($Z$46&amp;"|"&amp;ROWS($A$97:A106),_Assessment_Full_View!$Q:$Q,0)),"")</f>
        <v>Basement TR; verify rated walls/open-to-deck conditions, door/security, floor finish, ladder rack/cable tray, future rack clearance, wall backing, and pathway entries.</v>
      </c>
      <c r="O106" s="565"/>
      <c r="P106" s="566"/>
    </row>
    <row r="107" spans="1:16" ht="74.400000000000006" hidden="1" customHeight="1">
      <c r="A107" s="567" t="str">
        <f>IFERROR(INDEX(_Assessment_Full_View!$E:$E,MATCH($Z$46&amp;"|"&amp;ROWS($A$97:A107),_Assessment_Full_View!$Q:$Q,0)),"")</f>
        <v>2. ROOM READINESS</v>
      </c>
      <c r="B107" s="566"/>
      <c r="C107" s="567" t="str">
        <f>IFERROR(INDEX(_Assessment_Full_View!$G:$G,MATCH($Z$46&amp;"|"&amp;ROWS($A$97:A107),_Assessment_Full_View!$Q:$Q,0))&amp;" / "&amp;INDEX(_Assessment_Full_View!$H:$H,MATCH($Z$46&amp;"|"&amp;ROWS($A$97:A107),_Assessment_Full_View!$Q:$Q,0)),"")</f>
        <v>124 / Verify</v>
      </c>
      <c r="D107" s="566"/>
      <c r="E107" s="567" t="str">
        <f>IFERROR(INDEX(_Assessment_Full_View!$I:$I,MATCH($Z$46&amp;"|"&amp;ROWS($A$97:A107),_Assessment_Full_View!$Q:$Q,0))&amp;" / "&amp;INDEX(_Assessment_Full_View!$J:$J,MATCH($Z$46&amp;"|"&amp;ROWS($A$97:A107),_Assessment_Full_View!$Q:$Q,0)),"")</f>
        <v>Verify / Verify</v>
      </c>
      <c r="F107" s="565"/>
      <c r="G107" s="566"/>
      <c r="H107" s="567" t="str">
        <f>IFERROR(INDEX(_Assessment_Full_View!$K:$K,MATCH($Z$46&amp;"|"&amp;ROWS($A$97:A107),_Assessment_Full_View!$Q:$Q,0))&amp;" / "&amp;INDEX(_Assessment_Full_View!$L:$L,MATCH($Z$46&amp;"|"&amp;ROWS($A$97:A107),_Assessment_Full_View!$Q:$Q,0)),"")</f>
        <v>Verify / Verify</v>
      </c>
      <c r="I107" s="565"/>
      <c r="J107" s="566"/>
      <c r="K107" s="567" t="str">
        <f>IFERROR(INDEX(_Assessment_Full_View!$O:$O,MATCH($Z$46&amp;"|"&amp;ROWS($A$97:A107),_Assessment_Full_View!$Q:$Q,0)),"")</f>
        <v>Verify</v>
      </c>
      <c r="L107" s="565"/>
      <c r="M107" s="566"/>
      <c r="N107" s="567" t="str">
        <f>IFERROR(INDEX(_Assessment_Full_View!$P:$P,MATCH($Z$46&amp;"|"&amp;ROWS($A$97:A107),_Assessment_Full_View!$Q:$Q,0)),"")</f>
        <v>First-level TR; verify rated construction, door hardware, ceiling/deck, rack/future rack clearances, wall backing, and riser/pathway entries.</v>
      </c>
      <c r="O107" s="565"/>
      <c r="P107" s="566"/>
    </row>
    <row r="108" spans="1:16" ht="74.400000000000006" hidden="1" customHeight="1">
      <c r="A108" s="564" t="str">
        <f>IFERROR(INDEX(_Assessment_Full_View!$E:$E,MATCH($Z$46&amp;"|"&amp;ROWS($A$97:A108),_Assessment_Full_View!$Q:$Q,0)),"")</f>
        <v>2. ROOM READINESS</v>
      </c>
      <c r="B108" s="566"/>
      <c r="C108" s="564" t="str">
        <f>IFERROR(INDEX(_Assessment_Full_View!$G:$G,MATCH($Z$46&amp;"|"&amp;ROWS($A$97:A108),_Assessment_Full_View!$Q:$Q,0))&amp;" / "&amp;INDEX(_Assessment_Full_View!$H:$H,MATCH($Z$46&amp;"|"&amp;ROWS($A$97:A108),_Assessment_Full_View!$Q:$Q,0)),"")</f>
        <v>226 / Verify</v>
      </c>
      <c r="D108" s="566"/>
      <c r="E108" s="564" t="str">
        <f>IFERROR(INDEX(_Assessment_Full_View!$I:$I,MATCH($Z$46&amp;"|"&amp;ROWS($A$97:A108),_Assessment_Full_View!$Q:$Q,0))&amp;" / "&amp;INDEX(_Assessment_Full_View!$J:$J,MATCH($Z$46&amp;"|"&amp;ROWS($A$97:A108),_Assessment_Full_View!$Q:$Q,0)),"")</f>
        <v>Verify / Verify</v>
      </c>
      <c r="F108" s="565"/>
      <c r="G108" s="566"/>
      <c r="H108" s="564" t="str">
        <f>IFERROR(INDEX(_Assessment_Full_View!$K:$K,MATCH($Z$46&amp;"|"&amp;ROWS($A$97:A108),_Assessment_Full_View!$Q:$Q,0))&amp;" / "&amp;INDEX(_Assessment_Full_View!$L:$L,MATCH($Z$46&amp;"|"&amp;ROWS($A$97:A108),_Assessment_Full_View!$Q:$Q,0)),"")</f>
        <v>Verify / Verify</v>
      </c>
      <c r="I108" s="565"/>
      <c r="J108" s="566"/>
      <c r="K108" s="564" t="str">
        <f>IFERROR(INDEX(_Assessment_Full_View!$O:$O,MATCH($Z$46&amp;"|"&amp;ROWS($A$97:A108),_Assessment_Full_View!$Q:$Q,0)),"")</f>
        <v>Verify</v>
      </c>
      <c r="L108" s="565"/>
      <c r="M108" s="566"/>
      <c r="N108" s="564" t="str">
        <f>IFERROR(INDEX(_Assessment_Full_View!$P:$P,MATCH($Z$46&amp;"|"&amp;ROWS($A$97:A108),_Assessment_Full_View!$Q:$Q,0)),"")</f>
        <v>Second-level TR; verify rated construction, door hardware, ceiling/deck, rack/future rack clearances, wall backing, and riser/pathway entries.</v>
      </c>
      <c r="O108" s="565"/>
      <c r="P108" s="566"/>
    </row>
    <row r="109" spans="1:16" ht="74.400000000000006" hidden="1" customHeight="1">
      <c r="A109" s="567" t="str">
        <f>IFERROR(INDEX(_Assessment_Full_View!$E:$E,MATCH($Z$46&amp;"|"&amp;ROWS($A$97:A109),_Assessment_Full_View!$Q:$Q,0)),"")</f>
        <v>2. ROOM READINESS</v>
      </c>
      <c r="B109" s="566"/>
      <c r="C109" s="567" t="str">
        <f>IFERROR(INDEX(_Assessment_Full_View!$G:$G,MATCH($Z$46&amp;"|"&amp;ROWS($A$97:A109),_Assessment_Full_View!$Q:$Q,0))&amp;" / "&amp;INDEX(_Assessment_Full_View!$H:$H,MATCH($Z$46&amp;"|"&amp;ROWS($A$97:A109),_Assessment_Full_View!$Q:$Q,0)),"")</f>
        <v>137 / 137A / Existing / Verify</v>
      </c>
      <c r="D109" s="566"/>
      <c r="E109" s="567" t="str">
        <f>IFERROR(INDEX(_Assessment_Full_View!$I:$I,MATCH($Z$46&amp;"|"&amp;ROWS($A$97:A109),_Assessment_Full_View!$Q:$Q,0))&amp;" / "&amp;INDEX(_Assessment_Full_View!$J:$J,MATCH($Z$46&amp;"|"&amp;ROWS($A$97:A109),_Assessment_Full_View!$Q:$Q,0)),"")</f>
        <v>Existing / Verify / Existing / Verify</v>
      </c>
      <c r="F109" s="565"/>
      <c r="G109" s="566"/>
      <c r="H109" s="567" t="str">
        <f>IFERROR(INDEX(_Assessment_Full_View!$K:$K,MATCH($Z$46&amp;"|"&amp;ROWS($A$97:A109),_Assessment_Full_View!$Q:$Q,0))&amp;" / "&amp;INDEX(_Assessment_Full_View!$L:$L,MATCH($Z$46&amp;"|"&amp;ROWS($A$97:A109),_Assessment_Full_View!$Q:$Q,0)),"")</f>
        <v>Verify / Verify</v>
      </c>
      <c r="I109" s="565"/>
      <c r="J109" s="566"/>
      <c r="K109" s="567" t="str">
        <f>IFERROR(INDEX(_Assessment_Full_View!$O:$O,MATCH($Z$46&amp;"|"&amp;ROWS($A$97:A109),_Assessment_Full_View!$Q:$Q,0)),"")</f>
        <v>Verify</v>
      </c>
      <c r="L109" s="565"/>
      <c r="M109" s="566"/>
      <c r="N109" s="567" t="str">
        <f>IFERROR(INDEX(_Assessment_Full_View!$P:$P,MATCH($Z$46&amp;"|"&amp;ROWS($A$97:A109),_Assessment_Full_View!$Q:$Q,0)),"")</f>
        <v>Existing demarc/server rooms; verify existing rack inventory, operational continuity, active circuits, access control, airflow and protection-in-place.</v>
      </c>
      <c r="O109" s="565"/>
      <c r="P109" s="566"/>
    </row>
    <row r="110" spans="1:16" ht="74.400000000000006" hidden="1" customHeight="1">
      <c r="A110" s="564" t="str">
        <f>IFERROR(INDEX(_Assessment_Full_View!$E:$E,MATCH($Z$46&amp;"|"&amp;ROWS($A$97:A110),_Assessment_Full_View!$Q:$Q,0)),"")</f>
        <v>2. ROOM READINESS</v>
      </c>
      <c r="B110" s="566"/>
      <c r="C110" s="564" t="str">
        <f>IFERROR(INDEX(_Assessment_Full_View!$G:$G,MATCH($Z$46&amp;"|"&amp;ROWS($A$97:A110),_Assessment_Full_View!$Q:$Q,0))&amp;" / "&amp;INDEX(_Assessment_Full_View!$H:$H,MATCH($Z$46&amp;"|"&amp;ROWS($A$97:A110),_Assessment_Full_View!$Q:$Q,0)),"")</f>
        <v>0 / 0</v>
      </c>
      <c r="D110" s="566"/>
      <c r="E110" s="564" t="str">
        <f>IFERROR(INDEX(_Assessment_Full_View!$I:$I,MATCH($Z$46&amp;"|"&amp;ROWS($A$97:A110),_Assessment_Full_View!$Q:$Q,0))&amp;" / "&amp;INDEX(_Assessment_Full_View!$J:$J,MATCH($Z$46&amp;"|"&amp;ROWS($A$97:A110),_Assessment_Full_View!$Q:$Q,0)),"")</f>
        <v>0 / 0</v>
      </c>
      <c r="F110" s="565"/>
      <c r="G110" s="566"/>
      <c r="H110" s="564" t="str">
        <f>IFERROR(INDEX(_Assessment_Full_View!$K:$K,MATCH($Z$46&amp;"|"&amp;ROWS($A$97:A110),_Assessment_Full_View!$Q:$Q,0))&amp;" / "&amp;INDEX(_Assessment_Full_View!$L:$L,MATCH($Z$46&amp;"|"&amp;ROWS($A$97:A110),_Assessment_Full_View!$Q:$Q,0)),"")</f>
        <v>0 / 0</v>
      </c>
      <c r="I110" s="565"/>
      <c r="J110" s="566"/>
      <c r="K110" s="564">
        <f>IFERROR(INDEX(_Assessment_Full_View!$O:$O,MATCH($Z$46&amp;"|"&amp;ROWS($A$97:A110),_Assessment_Full_View!$Q:$Q,0)),"")</f>
        <v>0</v>
      </c>
      <c r="L110" s="565"/>
      <c r="M110" s="566"/>
      <c r="N110" s="564">
        <f>IFERROR(INDEX(_Assessment_Full_View!$P:$P,MATCH($Z$46&amp;"|"&amp;ROWS($A$97:A110),_Assessment_Full_View!$Q:$Q,0)),"")</f>
        <v>0</v>
      </c>
      <c r="O110" s="565"/>
      <c r="P110" s="566"/>
    </row>
    <row r="111" spans="1:16" ht="74.400000000000006" hidden="1" customHeight="1">
      <c r="A111" s="567" t="str">
        <f>IFERROR(INDEX(_Assessment_Full_View!$E:$E,MATCH($Z$46&amp;"|"&amp;ROWS($A$97:A111),_Assessment_Full_View!$Q:$Q,0)),"")</f>
        <v>3. FIRE PROTECTION</v>
      </c>
      <c r="B111" s="566"/>
      <c r="C111" s="567" t="str">
        <f>IFERROR(INDEX(_Assessment_Full_View!$G:$G,MATCH($Z$46&amp;"|"&amp;ROWS($A$97:A111),_Assessment_Full_View!$Q:$Q,0))&amp;" / "&amp;INDEX(_Assessment_Full_View!$H:$H,MATCH($Z$46&amp;"|"&amp;ROWS($A$97:A111),_Assessment_Full_View!$Q:$Q,0)),"")</f>
        <v>3. FIRE PROTECTION / 0</v>
      </c>
      <c r="D111" s="566"/>
      <c r="E111" s="567" t="str">
        <f>IFERROR(INDEX(_Assessment_Full_View!$I:$I,MATCH($Z$46&amp;"|"&amp;ROWS($A$97:A111),_Assessment_Full_View!$Q:$Q,0))&amp;" / "&amp;INDEX(_Assessment_Full_View!$J:$J,MATCH($Z$46&amp;"|"&amp;ROWS($A$97:A111),_Assessment_Full_View!$Q:$Q,0)),"")</f>
        <v>0 / 0</v>
      </c>
      <c r="F111" s="565"/>
      <c r="G111" s="566"/>
      <c r="H111" s="567" t="str">
        <f>IFERROR(INDEX(_Assessment_Full_View!$K:$K,MATCH($Z$46&amp;"|"&amp;ROWS($A$97:A111),_Assessment_Full_View!$Q:$Q,0))&amp;" / "&amp;INDEX(_Assessment_Full_View!$L:$L,MATCH($Z$46&amp;"|"&amp;ROWS($A$97:A111),_Assessment_Full_View!$Q:$Q,0)),"")</f>
        <v>0 / 0</v>
      </c>
      <c r="I111" s="565"/>
      <c r="J111" s="566"/>
      <c r="K111" s="567">
        <f>IFERROR(INDEX(_Assessment_Full_View!$O:$O,MATCH($Z$46&amp;"|"&amp;ROWS($A$97:A111),_Assessment_Full_View!$Q:$Q,0)),"")</f>
        <v>0</v>
      </c>
      <c r="L111" s="565"/>
      <c r="M111" s="566"/>
      <c r="N111" s="567">
        <f>IFERROR(INDEX(_Assessment_Full_View!$P:$P,MATCH($Z$46&amp;"|"&amp;ROWS($A$97:A111),_Assessment_Full_View!$Q:$Q,0)),"")</f>
        <v>0</v>
      </c>
      <c r="O111" s="565"/>
      <c r="P111" s="566"/>
    </row>
    <row r="112" spans="1:16" ht="74.400000000000006" hidden="1" customHeight="1">
      <c r="A112" s="564" t="str">
        <f>IFERROR(INDEX(_Assessment_Full_View!$E:$E,MATCH($Z$46&amp;"|"&amp;ROWS($A$97:A112),_Assessment_Full_View!$Q:$Q,0)),"")</f>
        <v>3. FIRE PROTECTION</v>
      </c>
      <c r="B112" s="566"/>
      <c r="C112" s="564" t="str">
        <f>IFERROR(INDEX(_Assessment_Full_View!$G:$G,MATCH($Z$46&amp;"|"&amp;ROWS($A$97:A112),_Assessment_Full_View!$Q:$Q,0))&amp;" / "&amp;INDEX(_Assessment_Full_View!$H:$H,MATCH($Z$46&amp;"|"&amp;ROWS($A$97:A112),_Assessment_Full_View!$Q:$Q,0)),"")</f>
        <v>Room / Sprinkler</v>
      </c>
      <c r="D112" s="566"/>
      <c r="E112" s="564" t="str">
        <f>IFERROR(INDEX(_Assessment_Full_View!$I:$I,MATCH($Z$46&amp;"|"&amp;ROWS($A$97:A112),_Assessment_Full_View!$Q:$Q,0))&amp;" / "&amp;INDEX(_Assessment_Full_View!$J:$J,MATCH($Z$46&amp;"|"&amp;ROWS($A$97:A112),_Assessment_Full_View!$Q:$Q,0)),"")</f>
        <v>Cage / Detector</v>
      </c>
      <c r="F112" s="565"/>
      <c r="G112" s="566"/>
      <c r="H112" s="564" t="str">
        <f>IFERROR(INDEX(_Assessment_Full_View!$K:$K,MATCH($Z$46&amp;"|"&amp;ROWS($A$97:A112),_Assessment_Full_View!$Q:$Q,0))&amp;" / "&amp;INDEX(_Assessment_Full_View!$L:$L,MATCH($Z$46&amp;"|"&amp;ROWS($A$97:A112),_Assessment_Full_View!$Q:$Q,0)),"")</f>
        <v>Horn/Strobe / Extinguisher &lt;75 ft</v>
      </c>
      <c r="I112" s="565"/>
      <c r="J112" s="566"/>
      <c r="K112" s="564" t="str">
        <f>IFERROR(INDEX(_Assessment_Full_View!$O:$O,MATCH($Z$46&amp;"|"&amp;ROWS($A$97:A112),_Assessment_Full_View!$Q:$Q,0)),"")</f>
        <v>Overall</v>
      </c>
      <c r="L112" s="565"/>
      <c r="M112" s="566"/>
      <c r="N112" s="564" t="str">
        <f>IFERROR(INDEX(_Assessment_Full_View!$P:$P,MATCH($Z$46&amp;"|"&amp;ROWS($A$97:A112),_Assessment_Full_View!$Q:$Q,0)),"")</f>
        <v>Risk / Notes</v>
      </c>
      <c r="O112" s="565"/>
      <c r="P112" s="566"/>
    </row>
    <row r="113" spans="1:16" ht="74.400000000000006" hidden="1" customHeight="1">
      <c r="A113" s="567" t="str">
        <f>IFERROR(INDEX(_Assessment_Full_View!$E:$E,MATCH($Z$46&amp;"|"&amp;ROWS($A$97:A113),_Assessment_Full_View!$Q:$Q,0)),"")</f>
        <v>3. FIRE PROTECTION</v>
      </c>
      <c r="B113" s="566"/>
      <c r="C113" s="567" t="str">
        <f>IFERROR(INDEX(_Assessment_Full_View!$G:$G,MATCH($Z$46&amp;"|"&amp;ROWS($A$97:A113),_Assessment_Full_View!$Q:$Q,0))&amp;" / "&amp;INDEX(_Assessment_Full_View!$H:$H,MATCH($Z$46&amp;"|"&amp;ROWS($A$97:A113),_Assessment_Full_View!$Q:$Q,0)),"")</f>
        <v>B13H-A / Verify</v>
      </c>
      <c r="D113" s="566"/>
      <c r="E113" s="567" t="str">
        <f>IFERROR(INDEX(_Assessment_Full_View!$I:$I,MATCH($Z$46&amp;"|"&amp;ROWS($A$97:A113),_Assessment_Full_View!$Q:$Q,0))&amp;" / "&amp;INDEX(_Assessment_Full_View!$J:$J,MATCH($Z$46&amp;"|"&amp;ROWS($A$97:A113),_Assessment_Full_View!$Q:$Q,0)),"")</f>
        <v>Verify / Verify</v>
      </c>
      <c r="F113" s="565"/>
      <c r="G113" s="566"/>
      <c r="H113" s="567" t="str">
        <f>IFERROR(INDEX(_Assessment_Full_View!$K:$K,MATCH($Z$46&amp;"|"&amp;ROWS($A$97:A113),_Assessment_Full_View!$Q:$Q,0))&amp;" / "&amp;INDEX(_Assessment_Full_View!$L:$L,MATCH($Z$46&amp;"|"&amp;ROWS($A$97:A113),_Assessment_Full_View!$Q:$Q,0)),"")</f>
        <v>Verify / Verify</v>
      </c>
      <c r="I113" s="565"/>
      <c r="J113" s="566"/>
      <c r="K113" s="567" t="str">
        <f>IFERROR(INDEX(_Assessment_Full_View!$O:$O,MATCH($Z$46&amp;"|"&amp;ROWS($A$97:A113),_Assessment_Full_View!$Q:$Q,0)),"")</f>
        <v>Verify</v>
      </c>
      <c r="L113" s="565"/>
      <c r="M113" s="566"/>
      <c r="N113" s="567" t="str">
        <f>IFERROR(INDEX(_Assessment_Full_View!$P:$P,MATCH($Z$46&amp;"|"&amp;ROWS($A$97:A113),_Assessment_Full_View!$Q:$Q,0)),"")</f>
        <v>Dedicated TR scope includes fire protection drawings. Verify sprinkler modifications, fire alarm devices, clean-agent 2A:10B:C FEC within 75 ft, rated penetrations, and temporary firestopping.</v>
      </c>
      <c r="O113" s="565"/>
      <c r="P113" s="566"/>
    </row>
    <row r="114" spans="1:16" ht="74.400000000000006" hidden="1" customHeight="1">
      <c r="A114" s="564" t="str">
        <f>IFERROR(INDEX(_Assessment_Full_View!$E:$E,MATCH($Z$46&amp;"|"&amp;ROWS($A$97:A114),_Assessment_Full_View!$Q:$Q,0)),"")</f>
        <v>3. FIRE PROTECTION</v>
      </c>
      <c r="B114" s="566"/>
      <c r="C114" s="564" t="str">
        <f>IFERROR(INDEX(_Assessment_Full_View!$G:$G,MATCH($Z$46&amp;"|"&amp;ROWS($A$97:A114),_Assessment_Full_View!$Q:$Q,0))&amp;" / "&amp;INDEX(_Assessment_Full_View!$H:$H,MATCH($Z$46&amp;"|"&amp;ROWS($A$97:A114),_Assessment_Full_View!$Q:$Q,0)),"")</f>
        <v>124 / Verify</v>
      </c>
      <c r="D114" s="566"/>
      <c r="E114" s="564" t="str">
        <f>IFERROR(INDEX(_Assessment_Full_View!$I:$I,MATCH($Z$46&amp;"|"&amp;ROWS($A$97:A114),_Assessment_Full_View!$Q:$Q,0))&amp;" / "&amp;INDEX(_Assessment_Full_View!$J:$J,MATCH($Z$46&amp;"|"&amp;ROWS($A$97:A114),_Assessment_Full_View!$Q:$Q,0)),"")</f>
        <v>Verify / Verify</v>
      </c>
      <c r="F114" s="565"/>
      <c r="G114" s="566"/>
      <c r="H114" s="564" t="str">
        <f>IFERROR(INDEX(_Assessment_Full_View!$K:$K,MATCH($Z$46&amp;"|"&amp;ROWS($A$97:A114),_Assessment_Full_View!$Q:$Q,0))&amp;" / "&amp;INDEX(_Assessment_Full_View!$L:$L,MATCH($Z$46&amp;"|"&amp;ROWS($A$97:A114),_Assessment_Full_View!$Q:$Q,0)),"")</f>
        <v>Verify / Verify</v>
      </c>
      <c r="I114" s="565"/>
      <c r="J114" s="566"/>
      <c r="K114" s="564" t="str">
        <f>IFERROR(INDEX(_Assessment_Full_View!$O:$O,MATCH($Z$46&amp;"|"&amp;ROWS($A$97:A114),_Assessment_Full_View!$Q:$Q,0)),"")</f>
        <v>Verify</v>
      </c>
      <c r="L114" s="565"/>
      <c r="M114" s="566"/>
      <c r="N114" s="564" t="str">
        <f>IFERROR(INDEX(_Assessment_Full_View!$P:$P,MATCH($Z$46&amp;"|"&amp;ROWS($A$97:A114),_Assessment_Full_View!$Q:$Q,0)),"")</f>
        <v>Verify sprinkler/fire alarm modifications, clean-agent FEC location, penetrations, cable tray/riser openings, and final UL firestop systems.</v>
      </c>
      <c r="O114" s="565"/>
      <c r="P114" s="566"/>
    </row>
    <row r="115" spans="1:16" ht="74.400000000000006" hidden="1" customHeight="1">
      <c r="A115" s="567" t="str">
        <f>IFERROR(INDEX(_Assessment_Full_View!$E:$E,MATCH($Z$46&amp;"|"&amp;ROWS($A$97:A115),_Assessment_Full_View!$Q:$Q,0)),"")</f>
        <v>3. FIRE PROTECTION</v>
      </c>
      <c r="B115" s="566"/>
      <c r="C115" s="567" t="str">
        <f>IFERROR(INDEX(_Assessment_Full_View!$G:$G,MATCH($Z$46&amp;"|"&amp;ROWS($A$97:A115),_Assessment_Full_View!$Q:$Q,0))&amp;" / "&amp;INDEX(_Assessment_Full_View!$H:$H,MATCH($Z$46&amp;"|"&amp;ROWS($A$97:A115),_Assessment_Full_View!$Q:$Q,0)),"")</f>
        <v>226 / Verify</v>
      </c>
      <c r="D115" s="566"/>
      <c r="E115" s="567" t="str">
        <f>IFERROR(INDEX(_Assessment_Full_View!$I:$I,MATCH($Z$46&amp;"|"&amp;ROWS($A$97:A115),_Assessment_Full_View!$Q:$Q,0))&amp;" / "&amp;INDEX(_Assessment_Full_View!$J:$J,MATCH($Z$46&amp;"|"&amp;ROWS($A$97:A115),_Assessment_Full_View!$Q:$Q,0)),"")</f>
        <v>Verify / Verify</v>
      </c>
      <c r="F115" s="565"/>
      <c r="G115" s="566"/>
      <c r="H115" s="567" t="str">
        <f>IFERROR(INDEX(_Assessment_Full_View!$K:$K,MATCH($Z$46&amp;"|"&amp;ROWS($A$97:A115),_Assessment_Full_View!$Q:$Q,0))&amp;" / "&amp;INDEX(_Assessment_Full_View!$L:$L,MATCH($Z$46&amp;"|"&amp;ROWS($A$97:A115),_Assessment_Full_View!$Q:$Q,0)),"")</f>
        <v>Verify / Verify</v>
      </c>
      <c r="I115" s="565"/>
      <c r="J115" s="566"/>
      <c r="K115" s="567" t="str">
        <f>IFERROR(INDEX(_Assessment_Full_View!$O:$O,MATCH($Z$46&amp;"|"&amp;ROWS($A$97:A115),_Assessment_Full_View!$Q:$Q,0)),"")</f>
        <v>Verify</v>
      </c>
      <c r="L115" s="565"/>
      <c r="M115" s="566"/>
      <c r="N115" s="567" t="str">
        <f>IFERROR(INDEX(_Assessment_Full_View!$P:$P,MATCH($Z$46&amp;"|"&amp;ROWS($A$97:A115),_Assessment_Full_View!$Q:$Q,0)),"")</f>
        <v>Verify second-level TR sprinkler/fire alarm modifications, clean-agent FEC location, vertical riser penetrations, and firestopping.</v>
      </c>
      <c r="O115" s="565"/>
      <c r="P115" s="566"/>
    </row>
    <row r="116" spans="1:16" ht="74.400000000000006" hidden="1" customHeight="1">
      <c r="A116" s="564" t="str">
        <f>IFERROR(INDEX(_Assessment_Full_View!$E:$E,MATCH($Z$46&amp;"|"&amp;ROWS($A$97:A116),_Assessment_Full_View!$Q:$Q,0)),"")</f>
        <v>3. FIRE PROTECTION</v>
      </c>
      <c r="B116" s="566"/>
      <c r="C116" s="564" t="str">
        <f>IFERROR(INDEX(_Assessment_Full_View!$G:$G,MATCH($Z$46&amp;"|"&amp;ROWS($A$97:A116),_Assessment_Full_View!$Q:$Q,0))&amp;" / "&amp;INDEX(_Assessment_Full_View!$H:$H,MATCH($Z$46&amp;"|"&amp;ROWS($A$97:A116),_Assessment_Full_View!$Q:$Q,0)),"")</f>
        <v>137 / 137A / Verify</v>
      </c>
      <c r="D116" s="566"/>
      <c r="E116" s="564" t="str">
        <f>IFERROR(INDEX(_Assessment_Full_View!$I:$I,MATCH($Z$46&amp;"|"&amp;ROWS($A$97:A116),_Assessment_Full_View!$Q:$Q,0))&amp;" / "&amp;INDEX(_Assessment_Full_View!$J:$J,MATCH($Z$46&amp;"|"&amp;ROWS($A$97:A116),_Assessment_Full_View!$Q:$Q,0)),"")</f>
        <v>N/A / Verify</v>
      </c>
      <c r="F116" s="565"/>
      <c r="G116" s="566"/>
      <c r="H116" s="564" t="str">
        <f>IFERROR(INDEX(_Assessment_Full_View!$K:$K,MATCH($Z$46&amp;"|"&amp;ROWS($A$97:A116),_Assessment_Full_View!$Q:$Q,0))&amp;" / "&amp;INDEX(_Assessment_Full_View!$L:$L,MATCH($Z$46&amp;"|"&amp;ROWS($A$97:A116),_Assessment_Full_View!$Q:$Q,0)),"")</f>
        <v>Verify / Verify</v>
      </c>
      <c r="I116" s="565"/>
      <c r="J116" s="566"/>
      <c r="K116" s="564" t="str">
        <f>IFERROR(INDEX(_Assessment_Full_View!$O:$O,MATCH($Z$46&amp;"|"&amp;ROWS($A$97:A116),_Assessment_Full_View!$Q:$Q,0)),"")</f>
        <v>Verify</v>
      </c>
      <c r="L116" s="565"/>
      <c r="M116" s="566"/>
      <c r="N116" s="564" t="str">
        <f>IFERROR(INDEX(_Assessment_Full_View!$P:$P,MATCH($Z$46&amp;"|"&amp;ROWS($A$97:A116),_Assessment_Full_View!$Q:$Q,0)),"")</f>
        <v>Existing demarc/server rooms may remain active; verify protection-in-place, FA/FP continuity, and no unsealed penetrations after cabling work.</v>
      </c>
      <c r="O116" s="565"/>
      <c r="P116" s="566"/>
    </row>
    <row r="117" spans="1:16" ht="74.400000000000006" hidden="1" customHeight="1">
      <c r="A117" s="567" t="str">
        <f>IFERROR(INDEX(_Assessment_Full_View!$E:$E,MATCH($Z$46&amp;"|"&amp;ROWS($A$97:A117),_Assessment_Full_View!$Q:$Q,0)),"")</f>
        <v>3. FIRE PROTECTION</v>
      </c>
      <c r="B117" s="566"/>
      <c r="C117" s="567" t="str">
        <f>IFERROR(INDEX(_Assessment_Full_View!$G:$G,MATCH($Z$46&amp;"|"&amp;ROWS($A$97:A117),_Assessment_Full_View!$Q:$Q,0))&amp;" / "&amp;INDEX(_Assessment_Full_View!$H:$H,MATCH($Z$46&amp;"|"&amp;ROWS($A$97:A117),_Assessment_Full_View!$Q:$Q,0)),"")</f>
        <v>0 / 0</v>
      </c>
      <c r="D117" s="566"/>
      <c r="E117" s="567" t="str">
        <f>IFERROR(INDEX(_Assessment_Full_View!$I:$I,MATCH($Z$46&amp;"|"&amp;ROWS($A$97:A117),_Assessment_Full_View!$Q:$Q,0))&amp;" / "&amp;INDEX(_Assessment_Full_View!$J:$J,MATCH($Z$46&amp;"|"&amp;ROWS($A$97:A117),_Assessment_Full_View!$Q:$Q,0)),"")</f>
        <v>0 / 0</v>
      </c>
      <c r="F117" s="565"/>
      <c r="G117" s="566"/>
      <c r="H117" s="567" t="str">
        <f>IFERROR(INDEX(_Assessment_Full_View!$K:$K,MATCH($Z$46&amp;"|"&amp;ROWS($A$97:A117),_Assessment_Full_View!$Q:$Q,0))&amp;" / "&amp;INDEX(_Assessment_Full_View!$L:$L,MATCH($Z$46&amp;"|"&amp;ROWS($A$97:A117),_Assessment_Full_View!$Q:$Q,0)),"")</f>
        <v>0 / 0</v>
      </c>
      <c r="I117" s="565"/>
      <c r="J117" s="566"/>
      <c r="K117" s="567">
        <f>IFERROR(INDEX(_Assessment_Full_View!$O:$O,MATCH($Z$46&amp;"|"&amp;ROWS($A$97:A117),_Assessment_Full_View!$Q:$Q,0)),"")</f>
        <v>0</v>
      </c>
      <c r="L117" s="565"/>
      <c r="M117" s="566"/>
      <c r="N117" s="567">
        <f>IFERROR(INDEX(_Assessment_Full_View!$P:$P,MATCH($Z$46&amp;"|"&amp;ROWS($A$97:A117),_Assessment_Full_View!$Q:$Q,0)),"")</f>
        <v>0</v>
      </c>
      <c r="O117" s="565"/>
      <c r="P117" s="566"/>
    </row>
    <row r="118" spans="1:16" ht="74.400000000000006" hidden="1" customHeight="1">
      <c r="A118" s="564" t="str">
        <f>IFERROR(INDEX(_Assessment_Full_View!$E:$E,MATCH($Z$46&amp;"|"&amp;ROWS($A$97:A118),_Assessment_Full_View!$Q:$Q,0)),"")</f>
        <v>4. HVAC / COOLING</v>
      </c>
      <c r="B118" s="566"/>
      <c r="C118" s="564" t="str">
        <f>IFERROR(INDEX(_Assessment_Full_View!$G:$G,MATCH($Z$46&amp;"|"&amp;ROWS($A$97:A118),_Assessment_Full_View!$Q:$Q,0))&amp;" / "&amp;INDEX(_Assessment_Full_View!$H:$H,MATCH($Z$46&amp;"|"&amp;ROWS($A$97:A118),_Assessment_Full_View!$Q:$Q,0)),"")</f>
        <v>4. HVAC / COOLING / 0</v>
      </c>
      <c r="D118" s="566"/>
      <c r="E118" s="564" t="str">
        <f>IFERROR(INDEX(_Assessment_Full_View!$I:$I,MATCH($Z$46&amp;"|"&amp;ROWS($A$97:A118),_Assessment_Full_View!$Q:$Q,0))&amp;" / "&amp;INDEX(_Assessment_Full_View!$J:$J,MATCH($Z$46&amp;"|"&amp;ROWS($A$97:A118),_Assessment_Full_View!$Q:$Q,0)),"")</f>
        <v>0 / 0</v>
      </c>
      <c r="F118" s="565"/>
      <c r="G118" s="566"/>
      <c r="H118" s="564" t="str">
        <f>IFERROR(INDEX(_Assessment_Full_View!$K:$K,MATCH($Z$46&amp;"|"&amp;ROWS($A$97:A118),_Assessment_Full_View!$Q:$Q,0))&amp;" / "&amp;INDEX(_Assessment_Full_View!$L:$L,MATCH($Z$46&amp;"|"&amp;ROWS($A$97:A118),_Assessment_Full_View!$Q:$Q,0)),"")</f>
        <v>0 / 0</v>
      </c>
      <c r="I118" s="565"/>
      <c r="J118" s="566"/>
      <c r="K118" s="564">
        <f>IFERROR(INDEX(_Assessment_Full_View!$O:$O,MATCH($Z$46&amp;"|"&amp;ROWS($A$97:A118),_Assessment_Full_View!$Q:$Q,0)),"")</f>
        <v>0</v>
      </c>
      <c r="L118" s="565"/>
      <c r="M118" s="566"/>
      <c r="N118" s="564">
        <f>IFERROR(INDEX(_Assessment_Full_View!$P:$P,MATCH($Z$46&amp;"|"&amp;ROWS($A$97:A118),_Assessment_Full_View!$Q:$Q,0)),"")</f>
        <v>0</v>
      </c>
      <c r="O118" s="565"/>
      <c r="P118" s="566"/>
    </row>
    <row r="119" spans="1:16" ht="74.400000000000006" hidden="1" customHeight="1">
      <c r="A119" s="567" t="str">
        <f>IFERROR(INDEX(_Assessment_Full_View!$E:$E,MATCH($Z$46&amp;"|"&amp;ROWS($A$97:A119),_Assessment_Full_View!$Q:$Q,0)),"")</f>
        <v>4. HVAC / COOLING</v>
      </c>
      <c r="B119" s="566"/>
      <c r="C119" s="567" t="str">
        <f>IFERROR(INDEX(_Assessment_Full_View!$G:$G,MATCH($Z$46&amp;"|"&amp;ROWS($A$97:A119),_Assessment_Full_View!$Q:$Q,0))&amp;" / "&amp;INDEX(_Assessment_Full_View!$H:$H,MATCH($Z$46&amp;"|"&amp;ROWS($A$97:A119),_Assessment_Full_View!$Q:$Q,0)),"")</f>
        <v>Room / Dedicated Unit</v>
      </c>
      <c r="D119" s="566"/>
      <c r="E119" s="567" t="str">
        <f>IFERROR(INDEX(_Assessment_Full_View!$I:$I,MATCH($Z$46&amp;"|"&amp;ROWS($A$97:A119),_Assessment_Full_View!$Q:$Q,0))&amp;" / "&amp;INDEX(_Assessment_Full_View!$J:$J,MATCH($Z$46&amp;"|"&amp;ROWS($A$97:A119),_Assessment_Full_View!$Q:$Q,0)),"")</f>
        <v>Capacity Verified / Emergency Power</v>
      </c>
      <c r="F119" s="565"/>
      <c r="G119" s="566"/>
      <c r="H119" s="567" t="str">
        <f>IFERROR(INDEX(_Assessment_Full_View!$K:$K,MATCH($Z$46&amp;"|"&amp;ROWS($A$97:A119),_Assessment_Full_View!$Q:$Q,0))&amp;" / "&amp;INDEX(_Assessment_Full_View!$L:$L,MATCH($Z$46&amp;"|"&amp;ROWS($A$97:A119),_Assessment_Full_View!$Q:$Q,0)),"")</f>
        <v>Controls / BACnet / Condensate Routed</v>
      </c>
      <c r="I119" s="565"/>
      <c r="J119" s="566"/>
      <c r="K119" s="567" t="str">
        <f>IFERROR(INDEX(_Assessment_Full_View!$O:$O,MATCH($Z$46&amp;"|"&amp;ROWS($A$97:A119),_Assessment_Full_View!$Q:$Q,0)),"")</f>
        <v>Overall</v>
      </c>
      <c r="L119" s="565"/>
      <c r="M119" s="566"/>
      <c r="N119" s="567" t="str">
        <f>IFERROR(INDEX(_Assessment_Full_View!$P:$P,MATCH($Z$46&amp;"|"&amp;ROWS($A$97:A119),_Assessment_Full_View!$Q:$Q,0)),"")</f>
        <v>Risk / Notes</v>
      </c>
      <c r="O119" s="565"/>
      <c r="P119" s="566"/>
    </row>
    <row r="120" spans="1:16" ht="13.2" hidden="1" customHeight="1">
      <c r="A120" s="564" t="str">
        <f>IFERROR(INDEX(_Assessment_Full_View!$E:$E,MATCH($Z$46&amp;"|"&amp;ROWS($A$97:A120),_Assessment_Full_View!$Q:$Q,0)),"")</f>
        <v>4. HVAC / COOLING</v>
      </c>
      <c r="B120" s="566"/>
      <c r="C120" s="564" t="str">
        <f>IFERROR(INDEX(_Assessment_Full_View!$G:$G,MATCH($Z$46&amp;"|"&amp;ROWS($A$97:A120),_Assessment_Full_View!$Q:$Q,0))&amp;" / "&amp;INDEX(_Assessment_Full_View!$H:$H,MATCH($Z$46&amp;"|"&amp;ROWS($A$97:A120),_Assessment_Full_View!$Q:$Q,0)),"")</f>
        <v>B13H-A / IU-0-01 / CU-0-01</v>
      </c>
      <c r="D120" s="566"/>
      <c r="E120" s="564" t="str">
        <f>IFERROR(INDEX(_Assessment_Full_View!$I:$I,MATCH($Z$46&amp;"|"&amp;ROWS($A$97:A120),_Assessment_Full_View!$Q:$Q,0))&amp;" / "&amp;INDEX(_Assessment_Full_View!$J:$J,MATCH($Z$46&amp;"|"&amp;ROWS($A$97:A120),_Assessment_Full_View!$Q:$Q,0)),"")</f>
        <v>Verify / Verify</v>
      </c>
      <c r="F120" s="565"/>
      <c r="G120" s="566"/>
      <c r="H120" s="564" t="str">
        <f>IFERROR(INDEX(_Assessment_Full_View!$K:$K,MATCH($Z$46&amp;"|"&amp;ROWS($A$97:A120),_Assessment_Full_View!$Q:$Q,0))&amp;" / "&amp;INDEX(_Assessment_Full_View!$L:$L,MATCH($Z$46&amp;"|"&amp;ROWS($A$97:A120),_Assessment_Full_View!$Q:$Q,0)),"")</f>
        <v>Verify / Verify</v>
      </c>
      <c r="I120" s="565"/>
      <c r="J120" s="566"/>
      <c r="K120" s="564" t="str">
        <f>IFERROR(INDEX(_Assessment_Full_View!$O:$O,MATCH($Z$46&amp;"|"&amp;ROWS($A$97:A120),_Assessment_Full_View!$Q:$Q,0)),"")</f>
        <v>Verify</v>
      </c>
      <c r="L120" s="565"/>
      <c r="M120" s="566"/>
      <c r="N120" s="564" t="str">
        <f>IFERROR(INDEX(_Assessment_Full_View!$P:$P,MATCH($Z$46&amp;"|"&amp;ROWS($A$97:A120),_Assessment_Full_View!$Q:$Q,0)),"")</f>
        <v>Mechanical sheets identify dedicated split-system cooling with BACnet adapter mounted adjacent to unit in telecom room. Confirm capacity, emergency source, condensate, disconnect, controls, and alarms.</v>
      </c>
      <c r="O120" s="565"/>
      <c r="P120" s="566"/>
    </row>
    <row r="121" spans="1:16" ht="13.2" hidden="1" customHeight="1">
      <c r="A121" s="567" t="str">
        <f>IFERROR(INDEX(_Assessment_Full_View!$E:$E,MATCH($Z$46&amp;"|"&amp;ROWS($A$97:A121),_Assessment_Full_View!$Q:$Q,0)),"")</f>
        <v>4. HVAC / COOLING</v>
      </c>
      <c r="B121" s="566"/>
      <c r="C121" s="567" t="str">
        <f>IFERROR(INDEX(_Assessment_Full_View!$G:$G,MATCH($Z$46&amp;"|"&amp;ROWS($A$97:A121),_Assessment_Full_View!$Q:$Q,0))&amp;" / "&amp;INDEX(_Assessment_Full_View!$H:$H,MATCH($Z$46&amp;"|"&amp;ROWS($A$97:A121),_Assessment_Full_View!$Q:$Q,0)),"")</f>
        <v>124 / IU-1-01 / CU-1-01</v>
      </c>
      <c r="D121" s="566"/>
      <c r="E121" s="567" t="str">
        <f>IFERROR(INDEX(_Assessment_Full_View!$I:$I,MATCH($Z$46&amp;"|"&amp;ROWS($A$97:A121),_Assessment_Full_View!$Q:$Q,0))&amp;" / "&amp;INDEX(_Assessment_Full_View!$J:$J,MATCH($Z$46&amp;"|"&amp;ROWS($A$97:A121),_Assessment_Full_View!$Q:$Q,0)),"")</f>
        <v>Verify / Verify</v>
      </c>
      <c r="F121" s="565"/>
      <c r="G121" s="566"/>
      <c r="H121" s="567" t="str">
        <f>IFERROR(INDEX(_Assessment_Full_View!$K:$K,MATCH($Z$46&amp;"|"&amp;ROWS($A$97:A121),_Assessment_Full_View!$Q:$Q,0))&amp;" / "&amp;INDEX(_Assessment_Full_View!$L:$L,MATCH($Z$46&amp;"|"&amp;ROWS($A$97:A121),_Assessment_Full_View!$Q:$Q,0)),"")</f>
        <v>Verify / Verify</v>
      </c>
      <c r="I121" s="565"/>
      <c r="J121" s="566"/>
      <c r="K121" s="567" t="str">
        <f>IFERROR(INDEX(_Assessment_Full_View!$O:$O,MATCH($Z$46&amp;"|"&amp;ROWS($A$97:A121),_Assessment_Full_View!$Q:$Q,0)),"")</f>
        <v>Verify</v>
      </c>
      <c r="L121" s="565"/>
      <c r="M121" s="566"/>
      <c r="N121" s="567" t="str">
        <f>IFERROR(INDEX(_Assessment_Full_View!$P:$P,MATCH($Z$46&amp;"|"&amp;ROWS($A$97:A121),_Assessment_Full_View!$Q:$Q,0)),"")</f>
        <v>Mechanical/electrical plans identify IU-1-01/CU-1-01 for first-level TR. Confirm 24/7 operation, emergency/standby source and high-temp alarm.</v>
      </c>
      <c r="O121" s="565"/>
      <c r="P121" s="566"/>
    </row>
    <row r="122" spans="1:16" ht="13.2" hidden="1" customHeight="1">
      <c r="A122" s="642"/>
      <c r="B122" s="565"/>
      <c r="C122" s="565"/>
      <c r="D122" s="565"/>
      <c r="E122" s="565"/>
      <c r="F122" s="565"/>
      <c r="G122" s="565"/>
      <c r="H122" s="565"/>
      <c r="I122" s="565"/>
      <c r="J122" s="565"/>
      <c r="K122" s="565"/>
      <c r="L122" s="565"/>
      <c r="M122" s="565"/>
      <c r="N122" s="565"/>
      <c r="O122" s="565"/>
      <c r="P122" s="566"/>
    </row>
    <row r="123" spans="1:16" ht="13.2" hidden="1" customHeight="1">
      <c r="A123" s="54"/>
      <c r="B123" s="54"/>
      <c r="C123" s="54"/>
      <c r="D123" s="54"/>
      <c r="E123" s="54"/>
      <c r="F123" s="54"/>
      <c r="G123" s="54"/>
      <c r="H123" s="54"/>
      <c r="I123" s="54"/>
      <c r="J123" s="54"/>
      <c r="K123" s="54"/>
      <c r="L123" s="54"/>
      <c r="M123" s="54"/>
      <c r="N123" s="54"/>
      <c r="O123" s="54"/>
      <c r="P123" s="54"/>
    </row>
    <row r="124" spans="1:16" ht="13.2" hidden="1" customHeight="1">
      <c r="A124" s="54"/>
      <c r="B124" s="54"/>
      <c r="C124" s="54"/>
      <c r="D124" s="54"/>
      <c r="E124" s="54"/>
      <c r="F124" s="54"/>
      <c r="G124" s="54"/>
      <c r="H124" s="54"/>
      <c r="I124" s="54"/>
      <c r="J124" s="54"/>
      <c r="K124" s="54"/>
      <c r="L124" s="54"/>
      <c r="M124" s="54"/>
      <c r="N124" s="54"/>
      <c r="O124" s="54"/>
      <c r="P124" s="54"/>
    </row>
    <row r="125" spans="1:16" ht="13.2" hidden="1" customHeight="1">
      <c r="A125" s="54"/>
      <c r="B125" s="54"/>
      <c r="C125" s="54"/>
      <c r="D125" s="54"/>
      <c r="E125" s="54"/>
      <c r="F125" s="54"/>
      <c r="G125" s="54"/>
      <c r="H125" s="54"/>
      <c r="I125" s="54"/>
      <c r="J125" s="54"/>
      <c r="K125" s="54"/>
      <c r="L125" s="54"/>
      <c r="M125" s="54"/>
      <c r="N125" s="54"/>
      <c r="O125" s="54"/>
      <c r="P125" s="54"/>
    </row>
    <row r="126" spans="1:16" ht="13.2" hidden="1" customHeight="1">
      <c r="A126" s="54"/>
      <c r="B126" s="54"/>
      <c r="C126" s="54"/>
      <c r="D126" s="54"/>
      <c r="E126" s="54"/>
      <c r="F126" s="54"/>
      <c r="G126" s="54"/>
      <c r="H126" s="54"/>
      <c r="I126" s="54"/>
      <c r="J126" s="54"/>
      <c r="K126" s="54"/>
      <c r="L126" s="54"/>
      <c r="M126" s="54"/>
      <c r="N126" s="54"/>
      <c r="O126" s="54"/>
      <c r="P126" s="54"/>
    </row>
    <row r="127" spans="1:16" ht="13.2" hidden="1" customHeight="1">
      <c r="A127" s="54"/>
      <c r="B127" s="54"/>
      <c r="C127" s="54"/>
      <c r="D127" s="54"/>
      <c r="E127" s="54"/>
      <c r="F127" s="54"/>
      <c r="G127" s="54"/>
      <c r="H127" s="54"/>
      <c r="I127" s="54"/>
      <c r="J127" s="54"/>
      <c r="K127" s="54"/>
      <c r="L127" s="54"/>
      <c r="M127" s="54"/>
      <c r="N127" s="54"/>
      <c r="O127" s="54"/>
      <c r="P127" s="54"/>
    </row>
    <row r="128" spans="1:16" ht="13.2" hidden="1" customHeight="1">
      <c r="A128" s="54"/>
      <c r="B128" s="54"/>
      <c r="C128" s="54"/>
      <c r="D128" s="54"/>
      <c r="E128" s="54"/>
      <c r="F128" s="54"/>
      <c r="G128" s="54"/>
      <c r="H128" s="54"/>
      <c r="I128" s="54"/>
      <c r="J128" s="54"/>
      <c r="K128" s="54"/>
      <c r="L128" s="54"/>
      <c r="M128" s="54"/>
      <c r="N128" s="54"/>
      <c r="O128" s="54"/>
      <c r="P128" s="54"/>
    </row>
    <row r="129" spans="1:16" ht="13.2" hidden="1" customHeight="1">
      <c r="A129" s="54"/>
      <c r="B129" s="54"/>
      <c r="C129" s="54"/>
      <c r="D129" s="54"/>
      <c r="E129" s="54"/>
      <c r="F129" s="54"/>
      <c r="G129" s="54"/>
      <c r="H129" s="54"/>
      <c r="I129" s="54"/>
      <c r="J129" s="54"/>
      <c r="K129" s="54"/>
      <c r="L129" s="54"/>
      <c r="M129" s="54"/>
      <c r="N129" s="54"/>
      <c r="O129" s="54"/>
      <c r="P129" s="54"/>
    </row>
    <row r="130" spans="1:16" ht="13.2" hidden="1" customHeight="1">
      <c r="A130" s="54"/>
      <c r="B130" s="54"/>
      <c r="C130" s="54"/>
      <c r="D130" s="54"/>
      <c r="E130" s="54"/>
      <c r="F130" s="54"/>
      <c r="G130" s="54"/>
      <c r="H130" s="54"/>
      <c r="I130" s="54"/>
      <c r="J130" s="54"/>
      <c r="K130" s="54"/>
      <c r="L130" s="54"/>
      <c r="M130" s="54"/>
      <c r="N130" s="54"/>
      <c r="O130" s="54"/>
      <c r="P130" s="54"/>
    </row>
    <row r="131" spans="1:16" ht="13.2" hidden="1" customHeight="1">
      <c r="A131" s="54"/>
      <c r="B131" s="54"/>
      <c r="C131" s="54"/>
      <c r="D131" s="54"/>
      <c r="E131" s="54"/>
      <c r="F131" s="54"/>
      <c r="G131" s="54"/>
      <c r="H131" s="54"/>
      <c r="I131" s="54"/>
      <c r="J131" s="54"/>
      <c r="K131" s="54"/>
      <c r="L131" s="54"/>
      <c r="M131" s="54"/>
      <c r="N131" s="54"/>
      <c r="O131" s="54"/>
      <c r="P131" s="54"/>
    </row>
    <row r="132" spans="1:16" ht="13.2" hidden="1" customHeight="1">
      <c r="A132" s="54"/>
      <c r="B132" s="54"/>
      <c r="C132" s="54"/>
      <c r="D132" s="54"/>
      <c r="E132" s="54"/>
      <c r="F132" s="54"/>
      <c r="G132" s="54"/>
      <c r="H132" s="54"/>
      <c r="I132" s="54"/>
      <c r="J132" s="54"/>
      <c r="K132" s="54"/>
      <c r="L132" s="54"/>
      <c r="M132" s="54"/>
      <c r="N132" s="54"/>
      <c r="O132" s="54"/>
      <c r="P132" s="54"/>
    </row>
    <row r="133" spans="1:16" ht="13.2" hidden="1" customHeight="1">
      <c r="A133" s="54"/>
      <c r="B133" s="54"/>
      <c r="C133" s="54"/>
      <c r="D133" s="54"/>
      <c r="E133" s="54"/>
      <c r="F133" s="54"/>
      <c r="G133" s="54"/>
      <c r="H133" s="54"/>
      <c r="I133" s="54"/>
      <c r="J133" s="54"/>
      <c r="K133" s="54"/>
      <c r="L133" s="54"/>
      <c r="M133" s="54"/>
      <c r="N133" s="54"/>
      <c r="O133" s="54"/>
      <c r="P133" s="54"/>
    </row>
    <row r="134" spans="1:16" ht="13.2" hidden="1" customHeight="1">
      <c r="A134" s="54"/>
      <c r="B134" s="54"/>
      <c r="C134" s="54"/>
      <c r="D134" s="54"/>
      <c r="E134" s="54"/>
      <c r="F134" s="54"/>
      <c r="G134" s="54"/>
      <c r="H134" s="54"/>
      <c r="I134" s="54"/>
      <c r="J134" s="54"/>
      <c r="K134" s="54"/>
      <c r="L134" s="54"/>
      <c r="M134" s="54"/>
      <c r="N134" s="54"/>
      <c r="O134" s="54"/>
      <c r="P134" s="54"/>
    </row>
    <row r="135" spans="1:16" ht="13.2" hidden="1" customHeight="1">
      <c r="A135" s="54"/>
      <c r="B135" s="54"/>
      <c r="C135" s="54"/>
      <c r="D135" s="54"/>
      <c r="E135" s="54"/>
      <c r="F135" s="54"/>
      <c r="G135" s="54"/>
      <c r="H135" s="54"/>
      <c r="I135" s="54"/>
      <c r="J135" s="54"/>
      <c r="K135" s="54"/>
      <c r="L135" s="54"/>
      <c r="M135" s="54"/>
      <c r="N135" s="54"/>
      <c r="O135" s="54"/>
      <c r="P135" s="54"/>
    </row>
    <row r="136" spans="1:16" ht="13.2" hidden="1" customHeight="1">
      <c r="A136" s="54"/>
      <c r="B136" s="54"/>
      <c r="C136" s="54"/>
      <c r="D136" s="54"/>
      <c r="E136" s="54"/>
      <c r="F136" s="54"/>
      <c r="G136" s="54"/>
      <c r="H136" s="54"/>
      <c r="I136" s="54"/>
      <c r="J136" s="54"/>
      <c r="K136" s="54"/>
      <c r="L136" s="54"/>
      <c r="M136" s="54"/>
      <c r="N136" s="54"/>
      <c r="O136" s="54"/>
      <c r="P136" s="54"/>
    </row>
    <row r="137" spans="1:16" ht="13.2" hidden="1" customHeight="1">
      <c r="A137" s="54"/>
      <c r="B137" s="54"/>
      <c r="C137" s="54"/>
      <c r="D137" s="54"/>
      <c r="E137" s="54"/>
      <c r="F137" s="54"/>
      <c r="G137" s="54"/>
      <c r="H137" s="54"/>
      <c r="I137" s="54"/>
      <c r="J137" s="54"/>
      <c r="K137" s="54"/>
      <c r="L137" s="54"/>
      <c r="M137" s="54"/>
      <c r="N137" s="54"/>
      <c r="O137" s="54"/>
      <c r="P137" s="54"/>
    </row>
    <row r="138" spans="1:16" ht="13.2" hidden="1" customHeight="1">
      <c r="A138" s="54"/>
      <c r="B138" s="54"/>
      <c r="C138" s="54"/>
      <c r="D138" s="54"/>
      <c r="E138" s="54"/>
      <c r="F138" s="54"/>
      <c r="G138" s="54"/>
      <c r="H138" s="54"/>
      <c r="I138" s="54"/>
      <c r="J138" s="54"/>
      <c r="K138" s="54"/>
      <c r="L138" s="54"/>
      <c r="M138" s="54"/>
      <c r="N138" s="54"/>
      <c r="O138" s="54"/>
      <c r="P138" s="54"/>
    </row>
    <row r="139" spans="1:16" ht="13.2" hidden="1" customHeight="1">
      <c r="A139" s="54"/>
      <c r="B139" s="54"/>
      <c r="C139" s="54"/>
      <c r="D139" s="54"/>
      <c r="E139" s="54"/>
      <c r="F139" s="54"/>
      <c r="G139" s="54"/>
      <c r="H139" s="54"/>
      <c r="I139" s="54"/>
      <c r="J139" s="54"/>
      <c r="K139" s="54"/>
      <c r="L139" s="54"/>
      <c r="M139" s="54"/>
      <c r="N139" s="54"/>
      <c r="O139" s="54"/>
      <c r="P139" s="54"/>
    </row>
    <row r="140" spans="1:16" ht="13.2" hidden="1" customHeight="1">
      <c r="A140" s="54"/>
      <c r="B140" s="54"/>
      <c r="C140" s="54"/>
      <c r="D140" s="54"/>
      <c r="E140" s="54"/>
      <c r="F140" s="54"/>
      <c r="G140" s="54"/>
      <c r="H140" s="54"/>
      <c r="I140" s="54"/>
      <c r="J140" s="54"/>
      <c r="K140" s="54"/>
      <c r="L140" s="54"/>
      <c r="M140" s="54"/>
      <c r="N140" s="54"/>
      <c r="O140" s="54"/>
      <c r="P140" s="54"/>
    </row>
    <row r="141" spans="1:16" ht="13.2" hidden="1" customHeight="1">
      <c r="A141" s="54"/>
      <c r="B141" s="54"/>
      <c r="C141" s="54"/>
      <c r="D141" s="54"/>
      <c r="E141" s="54"/>
      <c r="F141" s="54"/>
      <c r="G141" s="54"/>
      <c r="H141" s="54"/>
      <c r="I141" s="54"/>
      <c r="J141" s="54"/>
      <c r="K141" s="54"/>
      <c r="L141" s="54"/>
      <c r="M141" s="54"/>
      <c r="N141" s="54"/>
      <c r="O141" s="54"/>
      <c r="P141" s="54"/>
    </row>
    <row r="142" spans="1:16" ht="13.2" hidden="1" customHeight="1">
      <c r="A142" s="54"/>
      <c r="B142" s="54"/>
      <c r="C142" s="54"/>
      <c r="D142" s="54"/>
      <c r="E142" s="54"/>
      <c r="F142" s="54"/>
      <c r="G142" s="54"/>
      <c r="H142" s="54"/>
      <c r="I142" s="54"/>
      <c r="J142" s="54"/>
      <c r="K142" s="54"/>
      <c r="L142" s="54"/>
      <c r="M142" s="54"/>
      <c r="N142" s="54"/>
      <c r="O142" s="54"/>
      <c r="P142" s="54"/>
    </row>
    <row r="143" spans="1:16" ht="13.2" hidden="1" customHeight="1">
      <c r="A143" s="54"/>
      <c r="B143" s="54"/>
      <c r="C143" s="54"/>
      <c r="D143" s="54"/>
      <c r="E143" s="54"/>
      <c r="F143" s="54"/>
      <c r="G143" s="54"/>
      <c r="H143" s="54"/>
      <c r="I143" s="54"/>
      <c r="J143" s="54"/>
      <c r="K143" s="54"/>
      <c r="L143" s="54"/>
      <c r="M143" s="54"/>
      <c r="N143" s="54"/>
      <c r="O143" s="54"/>
      <c r="P143" s="54"/>
    </row>
    <row r="144" spans="1:16" ht="13.2" hidden="1" customHeight="1">
      <c r="A144" s="54"/>
      <c r="B144" s="54"/>
      <c r="C144" s="54"/>
      <c r="D144" s="54"/>
      <c r="E144" s="54"/>
      <c r="F144" s="54"/>
      <c r="G144" s="54"/>
      <c r="H144" s="54"/>
      <c r="I144" s="54"/>
      <c r="J144" s="54"/>
      <c r="K144" s="54"/>
      <c r="L144" s="54"/>
      <c r="M144" s="54"/>
      <c r="N144" s="54"/>
      <c r="O144" s="54"/>
      <c r="P144" s="54"/>
    </row>
    <row r="145" spans="1:16" ht="13.2" hidden="1" customHeight="1">
      <c r="A145" s="54"/>
      <c r="B145" s="54"/>
      <c r="C145" s="54"/>
      <c r="D145" s="54"/>
      <c r="E145" s="54"/>
      <c r="F145" s="54"/>
      <c r="G145" s="54"/>
      <c r="H145" s="54"/>
      <c r="I145" s="54"/>
      <c r="J145" s="54"/>
      <c r="K145" s="54"/>
      <c r="L145" s="54"/>
      <c r="M145" s="54"/>
      <c r="N145" s="54"/>
      <c r="O145" s="54"/>
      <c r="P145" s="54"/>
    </row>
    <row r="146" spans="1:16" ht="13.2" hidden="1" customHeight="1">
      <c r="A146" s="54"/>
      <c r="B146" s="54"/>
      <c r="C146" s="54"/>
      <c r="D146" s="54"/>
      <c r="E146" s="54"/>
      <c r="F146" s="54"/>
      <c r="G146" s="54"/>
      <c r="H146" s="54"/>
      <c r="I146" s="54"/>
      <c r="J146" s="54"/>
      <c r="K146" s="54"/>
      <c r="L146" s="54"/>
      <c r="M146" s="54"/>
      <c r="N146" s="54"/>
      <c r="O146" s="54"/>
      <c r="P146" s="54"/>
    </row>
    <row r="147" spans="1:16" ht="13.2" hidden="1" customHeight="1">
      <c r="A147" s="54"/>
      <c r="B147" s="54"/>
      <c r="C147" s="54"/>
      <c r="D147" s="54"/>
      <c r="E147" s="54"/>
      <c r="F147" s="54"/>
      <c r="G147" s="54"/>
      <c r="H147" s="54"/>
      <c r="I147" s="54"/>
      <c r="J147" s="54"/>
      <c r="K147" s="54"/>
      <c r="L147" s="54"/>
      <c r="M147" s="54"/>
      <c r="N147" s="54"/>
      <c r="O147" s="54"/>
      <c r="P147" s="54"/>
    </row>
    <row r="148" spans="1:16" ht="13.2" hidden="1" customHeight="1">
      <c r="A148" s="55"/>
      <c r="B148" s="55"/>
      <c r="C148" s="55"/>
      <c r="D148" s="55"/>
      <c r="E148" s="55"/>
      <c r="F148" s="55"/>
      <c r="G148" s="55"/>
      <c r="H148" s="55"/>
      <c r="I148" s="55"/>
      <c r="J148" s="55"/>
      <c r="K148" s="55"/>
      <c r="L148" s="55"/>
      <c r="M148" s="55"/>
      <c r="N148" s="55"/>
      <c r="O148" s="55"/>
      <c r="P148" s="55"/>
    </row>
    <row r="149" spans="1:16" ht="13.2" hidden="1" customHeight="1">
      <c r="A149" s="55"/>
      <c r="B149" s="55"/>
      <c r="C149" s="55"/>
      <c r="D149" s="55"/>
      <c r="E149" s="55"/>
      <c r="F149" s="55"/>
      <c r="G149" s="55"/>
      <c r="H149" s="55"/>
      <c r="I149" s="55"/>
      <c r="J149" s="55"/>
      <c r="K149" s="55"/>
      <c r="L149" s="55"/>
      <c r="M149" s="55"/>
      <c r="N149" s="55"/>
      <c r="O149" s="55"/>
      <c r="P149" s="55"/>
    </row>
    <row r="150" spans="1:16" ht="13.2" customHeight="1">
      <c r="A150" s="55"/>
      <c r="B150" s="55"/>
      <c r="C150" s="55"/>
      <c r="D150" s="55"/>
      <c r="E150" s="55"/>
      <c r="F150" s="55"/>
      <c r="G150" s="55"/>
      <c r="H150" s="55"/>
      <c r="I150" s="55"/>
      <c r="J150" s="55"/>
      <c r="K150" s="55"/>
      <c r="L150" s="55"/>
      <c r="M150" s="55"/>
      <c r="N150" s="55"/>
      <c r="O150" s="55"/>
      <c r="P150" s="55"/>
    </row>
    <row r="151" spans="1:16" ht="13.2" customHeight="1">
      <c r="A151" s="55"/>
      <c r="B151" s="55"/>
      <c r="C151" s="55"/>
      <c r="D151" s="55"/>
      <c r="E151" s="55"/>
      <c r="F151" s="55"/>
      <c r="G151" s="55"/>
      <c r="H151" s="55"/>
      <c r="I151" s="55"/>
      <c r="J151" s="55"/>
      <c r="K151" s="55"/>
      <c r="L151" s="55"/>
      <c r="M151" s="55"/>
      <c r="N151" s="55"/>
      <c r="O151" s="55"/>
      <c r="P151" s="55"/>
    </row>
    <row r="152" spans="1:16" ht="13.2" customHeight="1">
      <c r="A152" s="55"/>
      <c r="B152" s="55"/>
      <c r="C152" s="55"/>
      <c r="D152" s="55"/>
      <c r="E152" s="55"/>
      <c r="F152" s="55"/>
      <c r="G152" s="55"/>
      <c r="H152" s="55"/>
      <c r="I152" s="55"/>
      <c r="J152" s="55"/>
      <c r="K152" s="55"/>
      <c r="L152" s="55"/>
      <c r="M152" s="55"/>
      <c r="N152" s="55"/>
      <c r="O152" s="55"/>
      <c r="P152" s="55"/>
    </row>
    <row r="153" spans="1:16" ht="13.2" customHeight="1">
      <c r="A153" s="55"/>
      <c r="B153" s="55"/>
      <c r="C153" s="55"/>
      <c r="D153" s="55"/>
      <c r="E153" s="55"/>
      <c r="F153" s="55"/>
      <c r="G153" s="55"/>
      <c r="H153" s="55"/>
      <c r="I153" s="55"/>
      <c r="J153" s="55"/>
      <c r="K153" s="55"/>
      <c r="L153" s="55"/>
      <c r="M153" s="55"/>
      <c r="N153" s="55"/>
      <c r="O153" s="55"/>
      <c r="P153" s="55"/>
    </row>
  </sheetData>
  <mergeCells count="239">
    <mergeCell ref="A1:P1"/>
    <mergeCell ref="C109:D109"/>
    <mergeCell ref="H112:J112"/>
    <mergeCell ref="M8:P8"/>
    <mergeCell ref="K96:M96"/>
    <mergeCell ref="M7:P7"/>
    <mergeCell ref="I6:L6"/>
    <mergeCell ref="N96:P96"/>
    <mergeCell ref="E108:G108"/>
    <mergeCell ref="I71:P77"/>
    <mergeCell ref="I8:L8"/>
    <mergeCell ref="H101:J101"/>
    <mergeCell ref="N106:P106"/>
    <mergeCell ref="K106:M106"/>
    <mergeCell ref="H104:J104"/>
    <mergeCell ref="E105:G105"/>
    <mergeCell ref="B2:R2"/>
    <mergeCell ref="M4:P4"/>
    <mergeCell ref="E4:H4"/>
    <mergeCell ref="A78:H84"/>
    <mergeCell ref="I4:L4"/>
    <mergeCell ref="A4:D4"/>
    <mergeCell ref="E11:H11"/>
    <mergeCell ref="I9:L9"/>
    <mergeCell ref="H113:J113"/>
    <mergeCell ref="A113:B113"/>
    <mergeCell ref="C113:D113"/>
    <mergeCell ref="H117:J117"/>
    <mergeCell ref="A108:B108"/>
    <mergeCell ref="H109:J109"/>
    <mergeCell ref="I11:L11"/>
    <mergeCell ref="A94:P94"/>
    <mergeCell ref="K99:M99"/>
    <mergeCell ref="H103:J103"/>
    <mergeCell ref="A107:B107"/>
    <mergeCell ref="N101:P101"/>
    <mergeCell ref="A70:P70"/>
    <mergeCell ref="A100:B100"/>
    <mergeCell ref="E107:G107"/>
    <mergeCell ref="C100:D100"/>
    <mergeCell ref="N115:P115"/>
    <mergeCell ref="N112:P112"/>
    <mergeCell ref="K115:M115"/>
    <mergeCell ref="E115:G115"/>
    <mergeCell ref="K104:M104"/>
    <mergeCell ref="N107:P107"/>
    <mergeCell ref="C98:D98"/>
    <mergeCell ref="K111:M111"/>
    <mergeCell ref="A115:B115"/>
    <mergeCell ref="H118:J118"/>
    <mergeCell ref="K114:M114"/>
    <mergeCell ref="N108:P108"/>
    <mergeCell ref="K98:M98"/>
    <mergeCell ref="H102:J102"/>
    <mergeCell ref="N104:P104"/>
    <mergeCell ref="C106:D106"/>
    <mergeCell ref="C111:D111"/>
    <mergeCell ref="A114:B114"/>
    <mergeCell ref="A116:B116"/>
    <mergeCell ref="E112:G112"/>
    <mergeCell ref="H115:J115"/>
    <mergeCell ref="K113:M113"/>
    <mergeCell ref="N109:P109"/>
    <mergeCell ref="A109:B109"/>
    <mergeCell ref="K108:M108"/>
    <mergeCell ref="K102:M102"/>
    <mergeCell ref="N102:P102"/>
    <mergeCell ref="H114:J114"/>
    <mergeCell ref="E100:G100"/>
    <mergeCell ref="H105:J105"/>
    <mergeCell ref="H107:J107"/>
    <mergeCell ref="E109:G109"/>
    <mergeCell ref="N121:P121"/>
    <mergeCell ref="E118:G118"/>
    <mergeCell ref="C116:D116"/>
    <mergeCell ref="K118:M118"/>
    <mergeCell ref="K120:M120"/>
    <mergeCell ref="N117:P117"/>
    <mergeCell ref="H119:J119"/>
    <mergeCell ref="N118:P118"/>
    <mergeCell ref="K117:M117"/>
    <mergeCell ref="C119:D119"/>
    <mergeCell ref="E117:G117"/>
    <mergeCell ref="E119:G119"/>
    <mergeCell ref="K121:M121"/>
    <mergeCell ref="H121:J121"/>
    <mergeCell ref="C121:D121"/>
    <mergeCell ref="N119:P119"/>
    <mergeCell ref="N116:P116"/>
    <mergeCell ref="N120:P120"/>
    <mergeCell ref="E121:G121"/>
    <mergeCell ref="E116:G116"/>
    <mergeCell ref="E120:G120"/>
    <mergeCell ref="C120:D120"/>
    <mergeCell ref="C117:D117"/>
    <mergeCell ref="C118:D118"/>
    <mergeCell ref="E114:G114"/>
    <mergeCell ref="E111:G111"/>
    <mergeCell ref="K112:M112"/>
    <mergeCell ref="A95:P95"/>
    <mergeCell ref="A7:D7"/>
    <mergeCell ref="M5:P5"/>
    <mergeCell ref="B13:C13"/>
    <mergeCell ref="D13:E13"/>
    <mergeCell ref="F13:G13"/>
    <mergeCell ref="H13:I13"/>
    <mergeCell ref="J13:K13"/>
    <mergeCell ref="I5:L5"/>
    <mergeCell ref="C101:D101"/>
    <mergeCell ref="E96:G96"/>
    <mergeCell ref="M6:P6"/>
    <mergeCell ref="C96:D96"/>
    <mergeCell ref="E99:G99"/>
    <mergeCell ref="N103:P103"/>
    <mergeCell ref="E98:G98"/>
    <mergeCell ref="E5:H5"/>
    <mergeCell ref="E103:G103"/>
    <mergeCell ref="A102:B102"/>
    <mergeCell ref="E102:G102"/>
    <mergeCell ref="C103:D103"/>
    <mergeCell ref="A122:P122"/>
    <mergeCell ref="A117:B117"/>
    <mergeCell ref="K116:M116"/>
    <mergeCell ref="H120:J120"/>
    <mergeCell ref="A104:B104"/>
    <mergeCell ref="C104:D104"/>
    <mergeCell ref="H116:J116"/>
    <mergeCell ref="C110:D110"/>
    <mergeCell ref="H110:J110"/>
    <mergeCell ref="A121:B121"/>
    <mergeCell ref="N113:P113"/>
    <mergeCell ref="C115:D115"/>
    <mergeCell ref="K119:M119"/>
    <mergeCell ref="C114:D114"/>
    <mergeCell ref="C108:D108"/>
    <mergeCell ref="A105:B105"/>
    <mergeCell ref="K107:M107"/>
    <mergeCell ref="A119:B119"/>
    <mergeCell ref="A118:B118"/>
    <mergeCell ref="N114:P114"/>
    <mergeCell ref="N105:P105"/>
    <mergeCell ref="K109:M109"/>
    <mergeCell ref="C107:D107"/>
    <mergeCell ref="A120:B120"/>
    <mergeCell ref="N98:P98"/>
    <mergeCell ref="K97:M97"/>
    <mergeCell ref="A12:P12"/>
    <mergeCell ref="A9:D9"/>
    <mergeCell ref="E97:G97"/>
    <mergeCell ref="M9:P9"/>
    <mergeCell ref="A5:D5"/>
    <mergeCell ref="E8:H8"/>
    <mergeCell ref="M51:P58"/>
    <mergeCell ref="A48:F48"/>
    <mergeCell ref="A8:D8"/>
    <mergeCell ref="B41:C41"/>
    <mergeCell ref="A85:H91"/>
    <mergeCell ref="E7:H7"/>
    <mergeCell ref="I78:P84"/>
    <mergeCell ref="A60:H60"/>
    <mergeCell ref="E9:H9"/>
    <mergeCell ref="B16:H16"/>
    <mergeCell ref="F17:H17"/>
    <mergeCell ref="G18:H18"/>
    <mergeCell ref="L13:M13"/>
    <mergeCell ref="B14:C14"/>
    <mergeCell ref="I7:L7"/>
    <mergeCell ref="A3:P3"/>
    <mergeCell ref="C99:D99"/>
    <mergeCell ref="D14:E14"/>
    <mergeCell ref="F14:G14"/>
    <mergeCell ref="A61:P68"/>
    <mergeCell ref="H96:J96"/>
    <mergeCell ref="A99:B99"/>
    <mergeCell ref="A59:P59"/>
    <mergeCell ref="E6:H6"/>
    <mergeCell ref="C97:D97"/>
    <mergeCell ref="E10:H10"/>
    <mergeCell ref="A11:D11"/>
    <mergeCell ref="A6:D6"/>
    <mergeCell ref="N99:P99"/>
    <mergeCell ref="A69:P69"/>
    <mergeCell ref="L14:M14"/>
    <mergeCell ref="M10:P10"/>
    <mergeCell ref="G48:H48"/>
    <mergeCell ref="I48:P48"/>
    <mergeCell ref="I10:L10"/>
    <mergeCell ref="A10:D10"/>
    <mergeCell ref="A50:P50"/>
    <mergeCell ref="N97:P97"/>
    <mergeCell ref="H97:J97"/>
    <mergeCell ref="E106:G106"/>
    <mergeCell ref="I85:P91"/>
    <mergeCell ref="H99:J99"/>
    <mergeCell ref="A112:B112"/>
    <mergeCell ref="E101:G101"/>
    <mergeCell ref="A106:B106"/>
    <mergeCell ref="K103:M103"/>
    <mergeCell ref="A97:B97"/>
    <mergeCell ref="H108:J108"/>
    <mergeCell ref="N111:P111"/>
    <mergeCell ref="A111:B111"/>
    <mergeCell ref="K110:M110"/>
    <mergeCell ref="E110:G110"/>
    <mergeCell ref="H111:J111"/>
    <mergeCell ref="K105:M105"/>
    <mergeCell ref="E104:G104"/>
    <mergeCell ref="N110:P110"/>
    <mergeCell ref="A103:B103"/>
    <mergeCell ref="A101:B101"/>
    <mergeCell ref="C102:D102"/>
    <mergeCell ref="A98:B98"/>
    <mergeCell ref="C105:D105"/>
    <mergeCell ref="N100:P100"/>
    <mergeCell ref="K100:M100"/>
    <mergeCell ref="H100:J100"/>
    <mergeCell ref="K101:M101"/>
    <mergeCell ref="A51:D58"/>
    <mergeCell ref="A96:B96"/>
    <mergeCell ref="A92:P93"/>
    <mergeCell ref="I60:P60"/>
    <mergeCell ref="E51:H58"/>
    <mergeCell ref="E113:G113"/>
    <mergeCell ref="M11:P11"/>
    <mergeCell ref="H14:I14"/>
    <mergeCell ref="J14:K14"/>
    <mergeCell ref="A71:H77"/>
    <mergeCell ref="I51:L58"/>
    <mergeCell ref="J21:J22"/>
    <mergeCell ref="L21:L22"/>
    <mergeCell ref="L18:L19"/>
    <mergeCell ref="J18:J19"/>
    <mergeCell ref="L24:L25"/>
    <mergeCell ref="J16:L17"/>
    <mergeCell ref="J24:J25"/>
    <mergeCell ref="A110:B110"/>
    <mergeCell ref="H98:J98"/>
    <mergeCell ref="H106:J106"/>
    <mergeCell ref="C112:D112"/>
  </mergeCells>
  <conditionalFormatting sqref="C24:E24">
    <cfRule type="expression" dxfId="1779" priority="233">
      <formula>OR(ISNUMBER(SEARCH("Red",C24)),ISNUMBER(SEARCH("Critical",C24)),ISNUMBER(SEARCH("SHUTDOWN",C24)))</formula>
    </cfRule>
    <cfRule type="expression" dxfId="1778" priority="234">
      <formula>OR(ISNUMBER(SEARCH("Green",C24)),ISNUMBER(SEARCH("Ready",C24)))</formula>
    </cfRule>
    <cfRule type="expression" dxfId="1777" priority="235">
      <formula>OR(ISNUMBER(SEARCH("Yellow",C24)),ISNUMBER(SEARCH("Question",C24)))</formula>
    </cfRule>
  </conditionalFormatting>
  <conditionalFormatting sqref="F19">
    <cfRule type="dataBar" priority="232">
      <dataBar>
        <cfvo type="num" val="0"/>
        <cfvo type="num" val="1"/>
        <color rgb="FF6DD85E"/>
      </dataBar>
    </cfRule>
  </conditionalFormatting>
  <conditionalFormatting sqref="F19:I20">
    <cfRule type="expression" dxfId="1771" priority="229">
      <formula>OR(ISNUMBER(SEARCH("Yellow",F19)),ISNUMBER(SEARCH("Question",F19)))</formula>
    </cfRule>
    <cfRule type="expression" dxfId="1770" priority="229">
      <formula>OR(ISNUMBER(SEARCH("Green",F19)),ISNUMBER(SEARCH("Ready",F19)))</formula>
    </cfRule>
    <cfRule type="expression" dxfId="1769" priority="229">
      <formula>OR(ISNUMBER(SEARCH("Red",F19)),ISNUMBER(SEARCH("Critical",F19)),ISNUMBER(SEARCH("SHUTDOWN",F19)))</formula>
    </cfRule>
  </conditionalFormatting>
  <conditionalFormatting sqref="P19 C22:E22">
    <cfRule type="expression" dxfId="1758" priority="302">
      <formula>OR(ISNUMBER(SEARCH("Red",C19)),ISNUMBER(SEARCH("Critical",C19)),ISNUMBER(SEARCH("SHUTDOWN",C19)))</formula>
    </cfRule>
  </conditionalFormatting>
  <conditionalFormatting sqref="Q16:T16">
    <cfRule type="expression" dxfId="1757" priority="238">
      <formula>OR(ISNUMBER(SEARCH("Yellow",Q16)),ISNUMBER(SEARCH("Question",Q16)))</formula>
    </cfRule>
  </conditionalFormatting>
  <conditionalFormatting sqref="Q16:T17 P19 C22:E22">
    <cfRule type="expression" dxfId="1756" priority="236">
      <formula>OR(ISNUMBER(SEARCH("Green",C16)),ISNUMBER(SEARCH("Ready",C16)))</formula>
    </cfRule>
  </conditionalFormatting>
  <conditionalFormatting sqref="Q16:T17">
    <cfRule type="expression" dxfId="1755" priority="300">
      <formula>OR(ISNUMBER(SEARCH("Red",Q16)),ISNUMBER(SEARCH("Critical",Q16)),ISNUMBER(SEARCH("SHUTDOWN",Q16)))</formula>
    </cfRule>
  </conditionalFormatting>
  <conditionalFormatting sqref="Q17:T17 P19 C22:E22">
    <cfRule type="expression" dxfId="1754" priority="301">
      <formula>OR(ISNUMBER(SEARCH("Yellow",C17)),ISNUMBER(SEARCH("Question",C17)))</formula>
    </cfRule>
  </conditionalFormatting>
  <pageMargins left="0.7" right="0.7" top="0.75" bottom="0.75" header="0.3" footer="0.3"/>
  <pageSetup scale="10"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206" stopIfTrue="1" id="{5301FFCF-2F45-453C-BCE9-8033189CDE17}">
            <xm:f>IFERROR(INDEX(PMIS_Data!$E:$E,MATCH("MCR",PMIS_Data!$A:$A,0)),0)&gt;=0.95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207" stopIfTrue="1" id="{BAFE5EE6-6508-4997-9BA1-146D3908F30D}">
            <xm:f>IFERROR(INDEX(PMIS_Data!$E:$E,MATCH("MCR",PMIS_Data!$A:$A,0)),0)&gt;=0.75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208" stopIfTrue="1" id="{1E5DF1F7-2540-41EB-AA52-6D00641A6CE0}">
            <xm:f>IFERROR(INDEX(PMIS_Data!$E:$E,MATCH("MCR",PMIS_Data!$A:$A,0)),0)&gt;=0.5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209" stopIfTrue="1" id="{360A935D-9E70-4C05-8811-3108101A3243}">
            <xm:f>IFERROR(INDEX(PMIS_Data!$E:$E,MATCH("MCR",PMIS_Data!$A:$A,0)),0)&gt;=0.25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210" stopIfTrue="1" id="{343B4EE6-6A12-4709-8437-6733EB659C47}">
            <xm:f>IFERROR(INDEX(PMIS_Data!$E:$E,MATCH("MCR",PMIS_Data!$A:$A,0)),0)&lt;0.25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A12</xm:sqref>
        </x14:conditionalFormatting>
        <x14:conditionalFormatting xmlns:xm="http://schemas.microsoft.com/office/excel/2006/main">
          <x14:cfRule type="expression" priority="56" stopIfTrue="1" id="{7C429BE3-2074-49CF-B651-A70A732DA058}">
            <xm:f>IFERROR(INDEX(PMIS_Data!$E:$E,MATCH("05",PMIS_Data!$A:$A,0)),0)&gt;=0.95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57" stopIfTrue="1" id="{5CBE3D3A-A5EC-4F87-B289-77B82690386E}">
            <xm:f>IFERROR(INDEX(PMIS_Data!$E:$E,MATCH("05",PMIS_Data!$A:$A,0)),0)&gt;=0.75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58" stopIfTrue="1" id="{6C331020-D25E-4755-9DAB-423C4652F729}">
            <xm:f>IFERROR(INDEX(PMIS_Data!$E:$E,MATCH("05",PMIS_Data!$A:$A,0)),0)&gt;=0.5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59" stopIfTrue="1" id="{6AD3B510-14F3-4CF9-A61A-037D6818F7FA}">
            <xm:f>IFERROR(INDEX(PMIS_Data!$E:$E,MATCH("05",PMIS_Data!$A:$A,0)),0)&gt;=0.25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60" stopIfTrue="1" id="{3DCA1410-9054-4413-9FD2-1B49EDF5E474}">
            <xm:f>IFERROR(INDEX(PMIS_Data!$E:$E,MATCH("05",PMIS_Data!$A:$A,0)),0)&lt;0.25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A4:D4</xm:sqref>
        </x14:conditionalFormatting>
        <x14:conditionalFormatting xmlns:xm="http://schemas.microsoft.com/office/excel/2006/main">
          <x14:cfRule type="expression" priority="26" stopIfTrue="1" id="{AD9481E9-939E-469B-ACDC-F9C95E703F71}">
            <xm:f>IFERROR(INDEX(PMIS_Data!$E:$E,MATCH("14",PMIS_Data!$A:$A,0)),0)&gt;=0.95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27" stopIfTrue="1" id="{B77A1654-CD9A-47AA-8CC0-C3C72C38FFC7}">
            <xm:f>IFERROR(INDEX(PMIS_Data!$E:$E,MATCH("14",PMIS_Data!$A:$A,0)),0)&gt;=0.75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28" stopIfTrue="1" id="{C065AE75-93DD-42F4-8350-F324465E4598}">
            <xm:f>IFERROR(INDEX(PMIS_Data!$E:$E,MATCH("14",PMIS_Data!$A:$A,0)),0)&gt;=0.5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29" stopIfTrue="1" id="{8D463A78-7E71-4121-BAA8-3351D7DD709E}">
            <xm:f>IFERROR(INDEX(PMIS_Data!$E:$E,MATCH("14",PMIS_Data!$A:$A,0)),0)&gt;=0.25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30" stopIfTrue="1" id="{E56BAF8C-3483-4AAD-B1F6-06451E291E0D}">
            <xm:f>IFERROR(INDEX(PMIS_Data!$E:$E,MATCH("14",PMIS_Data!$A:$A,0)),0)&lt;0.25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A6:P6</xm:sqref>
        </x14:conditionalFormatting>
        <x14:conditionalFormatting xmlns:xm="http://schemas.microsoft.com/office/excel/2006/main">
          <x14:cfRule type="expression" priority="1" stopIfTrue="1" id="{874346C2-DDD9-48EE-B66D-496E334BED23}">
            <xm:f>IFERROR(INDEX(PMIS_Data!$E:$E,MATCH("15",PMIS_Data!$A:$A,0)),0)&gt;=0.95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2" stopIfTrue="1" id="{4B38AF61-394C-4370-A344-A3DC9E39EFE1}">
            <xm:f>IFERROR(INDEX(PMIS_Data!$E:$E,MATCH("15",PMIS_Data!$A:$A,0)),0)&gt;=0.75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3" stopIfTrue="1" id="{B2B83231-78A9-4525-82BF-9E6823A2FA23}">
            <xm:f>IFERROR(INDEX(PMIS_Data!$E:$E,MATCH("15",PMIS_Data!$A:$A,0)),0)&gt;=0.5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4" stopIfTrue="1" id="{E39D8AC2-C468-4276-AADB-FE6D9B959860}">
            <xm:f>IFERROR(INDEX(PMIS_Data!$E:$E,MATCH("15",PMIS_Data!$A:$A,0)),0)&gt;=0.25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5" stopIfTrue="1" id="{C58845A5-5F44-45D1-B3DA-06393D93BE9C}">
            <xm:f>IFERROR(INDEX(PMIS_Data!$E:$E,MATCH("15",PMIS_Data!$A:$A,0)),0)&lt;0.25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A8:P11</xm:sqref>
        </x14:conditionalFormatting>
        <x14:conditionalFormatting xmlns:xm="http://schemas.microsoft.com/office/excel/2006/main">
          <x14:cfRule type="expression" priority="31" stopIfTrue="1" id="{B2419579-54BE-45C2-B1FC-639FCEF31D3E}">
            <xm:f>IFERROR(INDEX(PMIS_Data!$E:$E,MATCH("06",PMIS_Data!$A:$A,0)),0)&gt;=0.95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32" stopIfTrue="1" id="{96A00819-A915-4715-B870-7286AF0BC57D}">
            <xm:f>IFERROR(INDEX(PMIS_Data!$E:$E,MATCH("06",PMIS_Data!$A:$A,0)),0)&gt;=0.75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33" stopIfTrue="1" id="{B3D77C7B-7E24-41D2-A7E1-0BA5B1F7D7ED}">
            <xm:f>IFERROR(INDEX(PMIS_Data!$E:$E,MATCH("06",PMIS_Data!$A:$A,0)),0)&gt;=0.5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34" stopIfTrue="1" id="{234B006F-A115-44E6-9A2F-E00859F32981}">
            <xm:f>IFERROR(INDEX(PMIS_Data!$E:$E,MATCH("06",PMIS_Data!$A:$A,0)),0)&gt;=0.25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35" stopIfTrue="1" id="{1EB5483C-0366-4999-94D7-71092DC0A614}">
            <xm:f>IFERROR(INDEX(PMIS_Data!$E:$E,MATCH("06",PMIS_Data!$A:$A,0)),0)&lt;0.25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E4:H4 A5:L5 A7:P7</xm:sqref>
        </x14:conditionalFormatting>
        <x14:conditionalFormatting xmlns:xm="http://schemas.microsoft.com/office/excel/2006/main">
          <x14:cfRule type="expression" priority="81" stopIfTrue="1" id="{E8E04F41-85D9-4B9C-B3F7-2F018A9D9409}">
            <xm:f>IFERROR(INDEX(PMIS_Data!$E:$E,MATCH("04",PMIS_Data!$A:$A,0)),0)&gt;=0.95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82" stopIfTrue="1" id="{B4601644-980F-4C9B-A07F-27B1187DC881}">
            <xm:f>IFERROR(INDEX(PMIS_Data!$E:$E,MATCH("04",PMIS_Data!$A:$A,0)),0)&gt;=0.75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83" stopIfTrue="1" id="{98BCEE06-A412-4D5A-87C0-C0B27120ED5F}">
            <xm:f>IFERROR(INDEX(PMIS_Data!$E:$E,MATCH("04",PMIS_Data!$A:$A,0)),0)&gt;=0.5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84" stopIfTrue="1" id="{330D3FE7-26B8-4EBD-88B0-4936A38F4913}">
            <xm:f>IFERROR(INDEX(PMIS_Data!$E:$E,MATCH("04",PMIS_Data!$A:$A,0)),0)&gt;=0.25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85" stopIfTrue="1" id="{16F3CBE1-A2C4-4735-9F59-6D07EC12373D}">
            <xm:f>IFERROR(INDEX(PMIS_Data!$E:$E,MATCH("04",PMIS_Data!$A:$A,0)),0)&lt;0.25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I4:L4</xm:sqref>
        </x14:conditionalFormatting>
        <x14:conditionalFormatting xmlns:xm="http://schemas.microsoft.com/office/excel/2006/main">
          <x14:cfRule type="expression" priority="36" stopIfTrue="1" id="{0C415166-FB8D-49A1-8D91-1A3733216DF7}">
            <xm:f>IFERROR(INDEX(PMIS_Data!$E:$E,MATCH("07",PMIS_Data!$A:$A,0)),0)&gt;=0.95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37" stopIfTrue="1" id="{154ADE14-0B21-4A57-B343-09B439683168}">
            <xm:f>IFERROR(INDEX(PMIS_Data!$E:$E,MATCH("07",PMIS_Data!$A:$A,0)),0)&gt;=0.75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38" stopIfTrue="1" id="{C7FA433F-A41D-46AE-918B-AAED0A8687AC}">
            <xm:f>IFERROR(INDEX(PMIS_Data!$E:$E,MATCH("07",PMIS_Data!$A:$A,0)),0)&gt;=0.5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39" stopIfTrue="1" id="{43C5233F-1FB2-49A1-9EA4-6A179494CA3E}">
            <xm:f>IFERROR(INDEX(PMIS_Data!$E:$E,MATCH("07",PMIS_Data!$A:$A,0)),0)&gt;=0.25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40" stopIfTrue="1" id="{7D26772C-0DBE-44D5-B38D-FD55037C29F2}">
            <xm:f>IFERROR(INDEX(PMIS_Data!$E:$E,MATCH("07",PMIS_Data!$A:$A,0)),0)&lt;0.25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M4:P5</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F86FB2FD-EFDA-43C8-81D2-31226AC327AE}">
          <x14:formula1>
            <xm:f>PMIS_Config!$J$2:$J$31</xm:f>
          </x14:formula1>
          <xm:sqref>C17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2EB94-CBD7-4703-B6C8-EA490A5211DC}">
  <dimension ref="A1:AH153"/>
  <sheetViews>
    <sheetView showGridLines="0" zoomScale="60" zoomScaleNormal="60" workbookViewId="0">
      <selection activeCell="C17" sqref="C17"/>
    </sheetView>
  </sheetViews>
  <sheetFormatPr defaultColWidth="8.6640625" defaultRowHeight="13.2"/>
  <cols>
    <col min="1" max="1" width="23.5546875" style="196" customWidth="1"/>
    <col min="2" max="2" width="28" style="196" customWidth="1"/>
    <col min="3" max="3" width="17.44140625" style="196" customWidth="1"/>
    <col min="4" max="4" width="13.6640625" style="196" customWidth="1"/>
    <col min="5" max="5" width="14" style="196" customWidth="1"/>
    <col min="6" max="6" width="14.5546875" style="196" customWidth="1"/>
    <col min="7" max="7" width="18.109375" style="196" customWidth="1"/>
    <col min="8" max="8" width="17" style="196" customWidth="1"/>
    <col min="9" max="9" width="15.88671875" style="196" customWidth="1"/>
    <col min="10" max="10" width="15.6640625" style="196" customWidth="1"/>
    <col min="11" max="11" width="13.109375" style="196" customWidth="1"/>
    <col min="12" max="12" width="20.6640625" style="196" customWidth="1"/>
    <col min="13" max="13" width="14" style="196" customWidth="1"/>
    <col min="14" max="15" width="15.6640625" style="196" customWidth="1"/>
    <col min="16" max="16" width="21.44140625" style="196" customWidth="1"/>
    <col min="17" max="33" width="13" style="196" hidden="1" customWidth="1"/>
    <col min="34" max="34" width="3.88671875" style="196" hidden="1" customWidth="1"/>
    <col min="35" max="35" width="5.33203125" style="196" customWidth="1"/>
    <col min="36" max="16384" width="8.6640625" style="196"/>
  </cols>
  <sheetData>
    <row r="1" spans="1:28" s="290" customFormat="1" ht="78" customHeight="1" thickBot="1">
      <c r="A1" s="687" t="s">
        <v>5766</v>
      </c>
      <c r="B1" s="688"/>
      <c r="C1" s="688"/>
      <c r="D1" s="688"/>
      <c r="E1" s="688"/>
      <c r="F1" s="688"/>
      <c r="G1" s="688"/>
      <c r="H1" s="688"/>
      <c r="I1" s="688"/>
      <c r="J1" s="688"/>
      <c r="K1" s="688"/>
      <c r="L1" s="688"/>
      <c r="M1" s="688"/>
      <c r="N1" s="688"/>
      <c r="O1" s="688"/>
      <c r="P1" s="689"/>
      <c r="Q1" s="287"/>
      <c r="R1" s="287"/>
      <c r="S1" s="288" t="s">
        <v>125</v>
      </c>
      <c r="T1" s="289">
        <f ca="1">NOW()</f>
        <v>46220.363642592594</v>
      </c>
      <c r="U1" s="288"/>
      <c r="V1" s="288"/>
      <c r="W1" s="288"/>
      <c r="X1" s="288"/>
      <c r="Y1" s="288"/>
      <c r="Z1" s="288" t="s">
        <v>126</v>
      </c>
      <c r="AA1" s="288" t="s">
        <v>127</v>
      </c>
      <c r="AB1" s="288" t="s">
        <v>128</v>
      </c>
    </row>
    <row r="2" spans="1:28" ht="54.6" customHeight="1" thickBot="1">
      <c r="A2" s="199"/>
      <c r="B2" s="701" t="str">
        <f>IF($B$14&gt;=0.9,"MISSION STATUS: OPERATIONAL  ",IF($B$14&gt;=0.75,"MISSION STATUS: WATCH  ",IF($B$14&gt;=0.5,"MISSION STATUS: AT RISK  ","MISSION STATUS: CRITICAL  ")))&amp;REPT("█",ROUND($B$14*20,0))&amp;REPT("░",20-ROUND($B$14*20,0))&amp;"  "&amp;TEXT($B$14,"0%")</f>
        <v>MISSION STATUS: AT RISK  ██████████░░░░░░░░░░  51%</v>
      </c>
      <c r="C2" s="701"/>
      <c r="D2" s="701"/>
      <c r="E2" s="701"/>
      <c r="F2" s="701"/>
      <c r="G2" s="701"/>
      <c r="H2" s="701"/>
      <c r="I2" s="701"/>
      <c r="J2" s="701"/>
      <c r="K2" s="701"/>
      <c r="L2" s="701"/>
      <c r="M2" s="701"/>
      <c r="N2" s="701"/>
      <c r="O2" s="701"/>
      <c r="P2" s="701"/>
      <c r="Q2" s="702"/>
      <c r="R2" s="702"/>
      <c r="S2" s="198"/>
      <c r="T2" s="198"/>
      <c r="U2" s="198"/>
      <c r="V2" s="198"/>
      <c r="W2" s="198"/>
      <c r="X2" s="198"/>
      <c r="Y2" s="198"/>
      <c r="Z2" s="198">
        <f>IFERROR(MATCH($C$17,PMIS_Data!$A$3:$A$32,0),1)</f>
        <v>22</v>
      </c>
      <c r="AA2" s="198" t="str">
        <f>IFERROR(INDEX(PMIS_Data!$B$3:$B$32,$Z$2),"")</f>
        <v>B61_Assessment</v>
      </c>
      <c r="AB2" s="198" t="str">
        <f>$C$17&amp;""</f>
        <v>61</v>
      </c>
    </row>
    <row r="3" spans="1:28" ht="51.6" customHeight="1" thickBot="1">
      <c r="A3" s="629" t="s">
        <v>5674</v>
      </c>
      <c r="B3" s="630"/>
      <c r="C3" s="630"/>
      <c r="D3" s="630"/>
      <c r="E3" s="630"/>
      <c r="F3" s="630"/>
      <c r="G3" s="630"/>
      <c r="H3" s="630"/>
      <c r="I3" s="630"/>
      <c r="J3" s="630"/>
      <c r="K3" s="630"/>
      <c r="L3" s="630"/>
      <c r="M3" s="630"/>
      <c r="N3" s="630"/>
      <c r="O3" s="630"/>
      <c r="P3" s="631"/>
    </row>
    <row r="4" spans="1:28" ht="51.6" customHeight="1">
      <c r="A4" s="703" t="str">
        <f>HYPERLINK("#'B01_Assessment'!A1","B01"&amp;CHAR(10)&amp;TEXT(IFERROR(INDEX(PMIS_Data!$E:$E,MATCH("01",PMIS_Data!$A:$A,0)),0),"0%")&amp;"  "&amp;REPT("█",ROUND(IFERROR(INDEX(PMIS_Data!$E:$E,MATCH("01",PMIS_Data!$A:$A,0)),0)*10,0))&amp;REPT("░",10-ROUND(IFERROR(INDEX(PMIS_Data!$E:$E,MATCH("01",PMIS_Data!$A:$A,0)),0)*10,0))&amp;CHAR(10)&amp;"⚠ "&amp;IFERROR(INDEX(PMIS_Data!$H:$H,MATCH("01",PMIS_Data!$A:$A,0)),"-")&amp;"   ❓ "&amp;IFERROR(INDEX(PMIS_Data!$I:$I,MATCH("01",PMIS_Data!$A:$A,0)),"-")&amp;CHAR(10)&amp;" ")</f>
        <v xml:space="preserve">B01
50%  █████░░░░░
⚠ 0   ❓ 0
 </v>
      </c>
      <c r="B4" s="704"/>
      <c r="C4" s="704"/>
      <c r="D4" s="705"/>
      <c r="E4" s="703" t="str">
        <f>HYPERLINK("#'B02_Assessment'!A1","B02"&amp;CHAR(10)&amp;TEXT(IFERROR(INDEX(PMIS_Data!$E:$E,MATCH("02",PMIS_Data!$A:$A,0)),0),"0%")&amp;"  "&amp;REPT("█",ROUND(IFERROR(INDEX(PMIS_Data!$E:$E,MATCH("02",PMIS_Data!$A:$A,0)),0)*10,0))&amp;REPT("░",10-ROUND(IFERROR(INDEX(PMIS_Data!$E:$E,MATCH("02",PMIS_Data!$A:$A,0)),0)*10,0))&amp;CHAR(10)&amp;"⚠ "&amp;IFERROR(INDEX(PMIS_Data!$H:$H,MATCH("02",PMIS_Data!$A:$A,0)),"-")&amp;"   ❓ "&amp;IFERROR(INDEX(PMIS_Data!$I:$I,MATCH("02",PMIS_Data!$A:$A,0)),"-")&amp;CHAR(10)&amp;" ")</f>
        <v xml:space="preserve">B02
50%  █████░░░░░
⚠ 0   ❓ 0
 </v>
      </c>
      <c r="F4" s="704"/>
      <c r="G4" s="704"/>
      <c r="H4" s="705"/>
      <c r="I4" s="703" t="str">
        <f>HYPERLINK("#'B03_Assessment'!A1","B03"&amp;CHAR(10)&amp;TEXT(IFERROR(INDEX(PMIS_Data!$E:$E,MATCH("03",PMIS_Data!$A:$A,0)),0),"0%")&amp;"  "&amp;REPT("█",ROUND(IFERROR(INDEX(PMIS_Data!$E:$E,MATCH("03",PMIS_Data!$A:$A,0)),0)*10,0))&amp;REPT("░",10-ROUND(IFERROR(INDEX(PMIS_Data!$E:$E,MATCH("03",PMIS_Data!$A:$A,0)),0)*10,0))&amp;CHAR(10)&amp;"⚠ "&amp;IFERROR(INDEX(PMIS_Data!$H:$H,MATCH("03",PMIS_Data!$A:$A,0)),"-")&amp;"   ❓ "&amp;IFERROR(INDEX(PMIS_Data!$I:$I,MATCH("03",PMIS_Data!$A:$A,0)),"-")&amp;CHAR(10)&amp;" ")</f>
        <v xml:space="preserve">B03
50%  █████░░░░░
⚠ 0   ❓ 0
 </v>
      </c>
      <c r="J4" s="704"/>
      <c r="K4" s="704"/>
      <c r="L4" s="705"/>
      <c r="M4" s="703" t="str">
        <f>HYPERLINK("#'B04_Assessment'!A1","B04"&amp;CHAR(10)&amp;TEXT(IFERROR(INDEX(PMIS_Data!$E:$E,MATCH("04",PMIS_Data!$A:$A,0)),0),"0%")&amp;"  "&amp;REPT("█",ROUND(IFERROR(INDEX(PMIS_Data!$E:$E,MATCH("04",PMIS_Data!$A:$A,0)),0)*10,0))&amp;REPT("░",10-ROUND(IFERROR(INDEX(PMIS_Data!$E:$E,MATCH("04",PMIS_Data!$A:$A,0)),0)*10,0))&amp;CHAR(10)&amp;"⚠ "&amp;IFERROR(INDEX(PMIS_Data!$H:$H,MATCH("04",PMIS_Data!$A:$A,0)),"-")&amp;"   ❓ "&amp;IFERROR(INDEX(PMIS_Data!$I:$I,MATCH("04",PMIS_Data!$A:$A,0)),"-")&amp;CHAR(10)&amp;" ")</f>
        <v xml:space="preserve">B04
50%  █████░░░░░
⚠ 0   ❓ 0
 </v>
      </c>
      <c r="N4" s="704"/>
      <c r="O4" s="704"/>
      <c r="P4" s="705"/>
    </row>
    <row r="5" spans="1:28" ht="51.6" customHeight="1">
      <c r="A5" s="587" t="str">
        <f>HYPERLINK("#'B05_Assessment'!A1","B05"&amp;CHAR(10)&amp;TEXT(IFERROR(INDEX(PMIS_Data!$E:$E,MATCH("05",PMIS_Data!$A:$A,0)),0),"0%")&amp;"  "&amp;REPT("█",ROUND(IFERROR(INDEX(PMIS_Data!$E:$E,MATCH("05",PMIS_Data!$A:$A,0)),0)*10,0))&amp;REPT("░",10-ROUND(IFERROR(INDEX(PMIS_Data!$E:$E,MATCH("05",PMIS_Data!$A:$A,0)),0)*10,0))&amp;CHAR(10)&amp;"⚠ "&amp;IFERROR(INDEX(PMIS_Data!$H:$H,MATCH("05",PMIS_Data!$A:$A,0)),"-")&amp;"   ❓ "&amp;IFERROR(INDEX(PMIS_Data!$I:$I,MATCH("05",PMIS_Data!$A:$A,0)),"-")&amp;CHAR(10)&amp;" ")</f>
        <v xml:space="preserve">B05
55%  ██████░░░░
⚠ 0   ❓ 0
 </v>
      </c>
      <c r="B5" s="588"/>
      <c r="C5" s="588"/>
      <c r="D5" s="589"/>
      <c r="E5" s="587" t="str">
        <f>HYPERLINK("#'B06_Assessment'!A1","B06"&amp;CHAR(10)&amp;TEXT(IFERROR(INDEX(PMIS_Data!$E:$E,MATCH("06",PMIS_Data!$A:$A,0)),0),"0%")&amp;"  "&amp;REPT("█",ROUND(IFERROR(INDEX(PMIS_Data!$E:$E,MATCH("06",PMIS_Data!$A:$A,0)),0)*10,0))&amp;REPT("░",10-ROUND(IFERROR(INDEX(PMIS_Data!$E:$E,MATCH("06",PMIS_Data!$A:$A,0)),0)*10,0))&amp;CHAR(10)&amp;"⚠ "&amp;IFERROR(INDEX(PMIS_Data!$H:$H,MATCH("06",PMIS_Data!$A:$A,0)),"-")&amp;"   ❓ "&amp;IFERROR(INDEX(PMIS_Data!$I:$I,MATCH("06",PMIS_Data!$A:$A,0)),"-")&amp;CHAR(10)&amp;" ")</f>
        <v xml:space="preserve">B06
50%  █████░░░░░
⚠ 0   ❓ 0
 </v>
      </c>
      <c r="F5" s="588"/>
      <c r="G5" s="588"/>
      <c r="H5" s="589"/>
      <c r="I5" s="587" t="str">
        <f>HYPERLINK("#'B07_Assessment'!A1","B07"&amp;CHAR(10)&amp;TEXT(IFERROR(INDEX(PMIS_Data!$E:$E,MATCH("07",PMIS_Data!$A:$A,0)),0),"0%")&amp;"  "&amp;REPT("█",ROUND(IFERROR(INDEX(PMIS_Data!$E:$E,MATCH("07",PMIS_Data!$A:$A,0)),0)*10,0))&amp;REPT("░",10-ROUND(IFERROR(INDEX(PMIS_Data!$E:$E,MATCH("07",PMIS_Data!$A:$A,0)),0)*10,0))&amp;CHAR(10)&amp;"⚠ "&amp;IFERROR(INDEX(PMIS_Data!$H:$H,MATCH("07",PMIS_Data!$A:$A,0)),"-")&amp;"   ❓ "&amp;IFERROR(INDEX(PMIS_Data!$I:$I,MATCH("07",PMIS_Data!$A:$A,0)),"-")&amp;CHAR(10)&amp;" ")</f>
        <v xml:space="preserve">B07
50%  █████░░░░░
⚠ 0   ❓ 0
 </v>
      </c>
      <c r="J5" s="588"/>
      <c r="K5" s="588"/>
      <c r="L5" s="589"/>
      <c r="M5" s="587" t="str">
        <f>HYPERLINK("#'B08_Assessment'!A1","B08"&amp;CHAR(10)&amp;TEXT(IFERROR(INDEX(PMIS_Data!$E:$E,MATCH("08",PMIS_Data!$A:$A,0)),0),"0%")&amp;"  "&amp;REPT("█",ROUND(IFERROR(INDEX(PMIS_Data!$E:$E,MATCH("08",PMIS_Data!$A:$A,0)),0)*10,0))&amp;REPT("░",10-ROUND(IFERROR(INDEX(PMIS_Data!$E:$E,MATCH("08",PMIS_Data!$A:$A,0)),0)*10,0))&amp;CHAR(10)&amp;"⚠ "&amp;IFERROR(INDEX(PMIS_Data!$H:$H,MATCH("08",PMIS_Data!$A:$A,0)),"-")&amp;"   ❓ "&amp;IFERROR(INDEX(PMIS_Data!$I:$I,MATCH("08",PMIS_Data!$A:$A,0)),"-")&amp;CHAR(10)&amp;" ")</f>
        <v xml:space="preserve">B08
50%  █████░░░░░
⚠ 0   ❓ 0
 </v>
      </c>
      <c r="N5" s="588"/>
      <c r="O5" s="588"/>
      <c r="P5" s="589"/>
    </row>
    <row r="6" spans="1:28" ht="51.6" customHeight="1">
      <c r="A6" s="587" t="str">
        <f>HYPERLINK("#'B09_Assessment'!A1","B09"&amp;CHAR(10)&amp;TEXT(IFERROR(INDEX(PMIS_Data!$E:$E,MATCH("09",PMIS_Data!$A:$A,0)),0),"0%")&amp;"  "&amp;REPT("█",ROUND(IFERROR(INDEX(PMIS_Data!$E:$E,MATCH("09",PMIS_Data!$A:$A,0)),0)*10,0))&amp;REPT("░",10-ROUND(IFERROR(INDEX(PMIS_Data!$E:$E,MATCH("09",PMIS_Data!$A:$A,0)),0)*10,0))&amp;CHAR(10)&amp;"⚠ "&amp;IFERROR(INDEX(PMIS_Data!$H:$H,MATCH("09",PMIS_Data!$A:$A,0)),"-")&amp;"   ❓ "&amp;IFERROR(INDEX(PMIS_Data!$I:$I,MATCH("09",PMIS_Data!$A:$A,0)),"-")&amp;CHAR(10)&amp;" ")</f>
        <v xml:space="preserve">B09
50%  █████░░░░░
⚠ 0   ❓ 0
 </v>
      </c>
      <c r="B6" s="588"/>
      <c r="C6" s="588"/>
      <c r="D6" s="589"/>
      <c r="E6" s="587" t="str">
        <f>HYPERLINK("#'B10_Assessment'!A1","B10"&amp;CHAR(10)&amp;TEXT(IFERROR(INDEX(PMIS_Data!$E:$E,MATCH("10",PMIS_Data!$A:$A,0)),0),"0%")&amp;"  "&amp;REPT("█",ROUND(IFERROR(INDEX(PMIS_Data!$E:$E,MATCH("10",PMIS_Data!$A:$A,0)),0)*10,0))&amp;REPT("░",10-ROUND(IFERROR(INDEX(PMIS_Data!$E:$E,MATCH("10",PMIS_Data!$A:$A,0)),0)*10,0))&amp;CHAR(10)&amp;"⚠ "&amp;IFERROR(INDEX(PMIS_Data!$H:$H,MATCH("10",PMIS_Data!$A:$A,0)),"-")&amp;"   ❓ "&amp;IFERROR(INDEX(PMIS_Data!$I:$I,MATCH("10",PMIS_Data!$A:$A,0)),"-")&amp;CHAR(10)&amp;" ")</f>
        <v xml:space="preserve">B10
50%  █████░░░░░
⚠ 0   ❓ 0
 </v>
      </c>
      <c r="F6" s="588"/>
      <c r="G6" s="588"/>
      <c r="H6" s="589"/>
      <c r="I6" s="587" t="str">
        <f>HYPERLINK("#'B12_Assessment'!A1","B12"&amp;CHAR(10)&amp;TEXT(IFERROR(INDEX(PMIS_Data!$E:$E,MATCH("12",PMIS_Data!$A:$A,0)),0),"0%")&amp;"  "&amp;REPT("█",ROUND(IFERROR(INDEX(PMIS_Data!$E:$E,MATCH("12",PMIS_Data!$A:$A,0)),0)*10,0))&amp;REPT("░",10-ROUND(IFERROR(INDEX(PMIS_Data!$E:$E,MATCH("12",PMIS_Data!$A:$A,0)),0)*10,0))&amp;CHAR(10)&amp;"⚠ "&amp;IFERROR(INDEX(PMIS_Data!$H:$H,MATCH("12",PMIS_Data!$A:$A,0)),"-")&amp;"   ❓ "&amp;IFERROR(INDEX(PMIS_Data!$I:$I,MATCH("12",PMIS_Data!$A:$A,0)),"-")&amp;CHAR(10)&amp;" ")</f>
        <v xml:space="preserve">B12
60%  ██████░░░░
⚠ 0   ❓ 0
 </v>
      </c>
      <c r="J6" s="588"/>
      <c r="K6" s="588"/>
      <c r="L6" s="589"/>
      <c r="M6" s="587" t="str">
        <f>HYPERLINK("#'B13_Assessment'!A1","B13"&amp;CHAR(10)&amp;TEXT(IFERROR(INDEX(PMIS_Data!$E:$E,MATCH("13",PMIS_Data!$A:$A,0)),0),"0%")&amp;"  "&amp;REPT("█",ROUND(IFERROR(INDEX(PMIS_Data!$E:$E,MATCH("13",PMIS_Data!$A:$A,0)),0)*10,0))&amp;REPT("░",10-ROUND(IFERROR(INDEX(PMIS_Data!$E:$E,MATCH("13",PMIS_Data!$A:$A,0)),0)*10,0))&amp;CHAR(10)&amp;"⚠ "&amp;IFERROR(INDEX(PMIS_Data!$H:$H,MATCH("13",PMIS_Data!$A:$A,0)),"-")&amp;"   ❓ "&amp;IFERROR(INDEX(PMIS_Data!$I:$I,MATCH("13",PMIS_Data!$A:$A,0)),"-")&amp;CHAR(10)&amp;" ")</f>
        <v xml:space="preserve">B13
50%  █████░░░░░
⚠ 0   ❓ 0
 </v>
      </c>
      <c r="N6" s="588"/>
      <c r="O6" s="588"/>
      <c r="P6" s="589"/>
    </row>
    <row r="7" spans="1:28" ht="51.6" customHeight="1">
      <c r="A7" s="587" t="str">
        <f>HYPERLINK("#'B14_Assessment'!A1","B14"&amp;CHAR(10)&amp;TEXT(IFERROR(INDEX(PMIS_Data!$E:$E,MATCH("14",PMIS_Data!$A:$A,0)),0),"0%")&amp;"  "&amp;REPT("█",ROUND(IFERROR(INDEX(PMIS_Data!$E:$E,MATCH("14",PMIS_Data!$A:$A,0)),0)*10,0))&amp;REPT("░",10-ROUND(IFERROR(INDEX(PMIS_Data!$E:$E,MATCH("14",PMIS_Data!$A:$A,0)),0)*10,0))&amp;CHAR(10)&amp;"⚠ "&amp;IFERROR(INDEX(PMIS_Data!$H:$H,MATCH("14",PMIS_Data!$A:$A,0)),"-")&amp;"   ❓ "&amp;IFERROR(INDEX(PMIS_Data!$I:$I,MATCH("14",PMIS_Data!$A:$A,0)),"-")&amp;CHAR(10)&amp;" ")</f>
        <v xml:space="preserve">B14
50%  █████░░░░░
⚠ 0   ❓ 0
 </v>
      </c>
      <c r="B7" s="588"/>
      <c r="C7" s="588"/>
      <c r="D7" s="589"/>
      <c r="E7" s="587" t="str">
        <f>HYPERLINK("#'B15_Assessment'!A1","B15"&amp;CHAR(10)&amp;TEXT(IFERROR(INDEX(PMIS_Data!$E:$E,MATCH("15",PMIS_Data!$A:$A,0)),0),"0%")&amp;"  "&amp;REPT("█",ROUND(IFERROR(INDEX(PMIS_Data!$E:$E,MATCH("15",PMIS_Data!$A:$A,0)),0)*10,0))&amp;REPT("░",10-ROUND(IFERROR(INDEX(PMIS_Data!$E:$E,MATCH("15",PMIS_Data!$A:$A,0)),0)*10,0))&amp;CHAR(10)&amp;"⚠ "&amp;IFERROR(INDEX(PMIS_Data!$H:$H,MATCH("15",PMIS_Data!$A:$A,0)),"-")&amp;"   ❓ "&amp;IFERROR(INDEX(PMIS_Data!$I:$I,MATCH("15",PMIS_Data!$A:$A,0)),"-")&amp;CHAR(10)&amp;" ")</f>
        <v xml:space="preserve">B15
50%  █████░░░░░
⚠ 0   ❓ 0
 </v>
      </c>
      <c r="F7" s="588"/>
      <c r="G7" s="588"/>
      <c r="H7" s="589"/>
      <c r="I7" s="587" t="str">
        <f>HYPERLINK("#'B16_Assessment'!A1","B16"&amp;CHAR(10)&amp;TEXT(IFERROR(INDEX(PMIS_Data!$E:$E,MATCH("16",PMIS_Data!$A:$A,0)),0),"0%")&amp;"  "&amp;REPT("█",ROUND(IFERROR(INDEX(PMIS_Data!$E:$E,MATCH("16",PMIS_Data!$A:$A,0)),0)*10,0))&amp;REPT("░",10-ROUND(IFERROR(INDEX(PMIS_Data!$E:$E,MATCH("16",PMIS_Data!$A:$A,0)),0)*10,0))&amp;CHAR(10)&amp;"⚠ "&amp;IFERROR(INDEX(PMIS_Data!$H:$H,MATCH("16",PMIS_Data!$A:$A,0)),"-")&amp;"   ❓ "&amp;IFERROR(INDEX(PMIS_Data!$I:$I,MATCH("16",PMIS_Data!$A:$A,0)),"-")&amp;CHAR(10)&amp;" ")</f>
        <v xml:space="preserve">B16
50%  █████░░░░░
⚠ 0   ❓ 0
 </v>
      </c>
      <c r="J7" s="588"/>
      <c r="K7" s="588"/>
      <c r="L7" s="589"/>
      <c r="M7" s="587" t="str">
        <f>HYPERLINK("#'B17_Assessment'!A1","B17"&amp;CHAR(10)&amp;TEXT(IFERROR(INDEX(PMIS_Data!$E:$E,MATCH("17",PMIS_Data!$A:$A,0)),0),"0%")&amp;"  "&amp;REPT("█",ROUND(IFERROR(INDEX(PMIS_Data!$E:$E,MATCH("17",PMIS_Data!$A:$A,0)),0)*10,0))&amp;REPT("░",10-ROUND(IFERROR(INDEX(PMIS_Data!$E:$E,MATCH("17",PMIS_Data!$A:$A,0)),0)*10,0))&amp;CHAR(10)&amp;"⚠ "&amp;IFERROR(INDEX(PMIS_Data!$H:$H,MATCH("17",PMIS_Data!$A:$A,0)),"-")&amp;"   ❓ "&amp;IFERROR(INDEX(PMIS_Data!$I:$I,MATCH("17",PMIS_Data!$A:$A,0)),"-")&amp;CHAR(10)&amp;" ")</f>
        <v xml:space="preserve">B17
50%  █████░░░░░
⚠ 0   ❓ 0
 </v>
      </c>
      <c r="N7" s="588"/>
      <c r="O7" s="588"/>
      <c r="P7" s="589"/>
    </row>
    <row r="8" spans="1:28" ht="51.6" customHeight="1">
      <c r="A8" s="587" t="str">
        <f>HYPERLINK("#'B18_Assessment'!A1","B18"&amp;CHAR(10)&amp;TEXT(IFERROR(INDEX(PMIS_Data!$E:$E,MATCH("18",PMIS_Data!$A:$A,0)),0),"0%")&amp;"  "&amp;REPT("█",ROUND(IFERROR(INDEX(PMIS_Data!$E:$E,MATCH("18",PMIS_Data!$A:$A,0)),0)*10,0))&amp;REPT("░",10-ROUND(IFERROR(INDEX(PMIS_Data!$E:$E,MATCH("18",PMIS_Data!$A:$A,0)),0)*10,0))&amp;CHAR(10)&amp;"⚠ "&amp;IFERROR(INDEX(PMIS_Data!$H:$H,MATCH("18",PMIS_Data!$A:$A,0)),"-")&amp;"   ❓ "&amp;IFERROR(INDEX(PMIS_Data!$I:$I,MATCH("18",PMIS_Data!$A:$A,0)),"-")&amp;CHAR(10)&amp;" ")</f>
        <v xml:space="preserve">B18
50%  █████░░░░░
⚠ 0   ❓ 0
 </v>
      </c>
      <c r="B8" s="588"/>
      <c r="C8" s="588"/>
      <c r="D8" s="589"/>
      <c r="E8" s="587" t="str">
        <f>HYPERLINK("#'B20_Assessment'!A1","B20"&amp;CHAR(10)&amp;TEXT(IFERROR(INDEX(PMIS_Data!$E:$E,MATCH("20",PMIS_Data!$A:$A,0)),0),"0%")&amp;"  "&amp;REPT("█",ROUND(IFERROR(INDEX(PMIS_Data!$E:$E,MATCH("20",PMIS_Data!$A:$A,0)),0)*10,0))&amp;REPT("░",10-ROUND(IFERROR(INDEX(PMIS_Data!$E:$E,MATCH("20",PMIS_Data!$A:$A,0)),0)*10,0))&amp;CHAR(10)&amp;"⚠ "&amp;IFERROR(INDEX(PMIS_Data!$H:$H,MATCH("20",PMIS_Data!$A:$A,0)),"-")&amp;"   ❓ "&amp;IFERROR(INDEX(PMIS_Data!$I:$I,MATCH("20",PMIS_Data!$A:$A,0)),"-")&amp;CHAR(10)&amp;" ")</f>
        <v xml:space="preserve">B20
50%  █████░░░░░
⚠ 0   ❓ 0
 </v>
      </c>
      <c r="F8" s="588"/>
      <c r="G8" s="588"/>
      <c r="H8" s="589"/>
      <c r="I8" s="587" t="str">
        <f>HYPERLINK("#'B21_Assessment'!A1","B21"&amp;CHAR(10)&amp;TEXT(IFERROR(INDEX(PMIS_Data!$E:$E,MATCH("21",PMIS_Data!$A:$A,0)),0),"0%")&amp;"  "&amp;REPT("█",ROUND(IFERROR(INDEX(PMIS_Data!$E:$E,MATCH("21",PMIS_Data!$A:$A,0)),0)*10,0))&amp;REPT("░",10-ROUND(IFERROR(INDEX(PMIS_Data!$E:$E,MATCH("21",PMIS_Data!$A:$A,0)),0)*10,0))&amp;CHAR(10)&amp;"⚠ "&amp;IFERROR(INDEX(PMIS_Data!$H:$H,MATCH("21",PMIS_Data!$A:$A,0)),"-")&amp;"   ❓ "&amp;IFERROR(INDEX(PMIS_Data!$I:$I,MATCH("21",PMIS_Data!$A:$A,0)),"-")&amp;CHAR(10)&amp;" ")</f>
        <v xml:space="preserve">B21
50%  █████░░░░░
⚠ 0   ❓ 0
 </v>
      </c>
      <c r="J8" s="588"/>
      <c r="K8" s="588"/>
      <c r="L8" s="589"/>
      <c r="M8" s="587" t="str">
        <f>HYPERLINK("#'B22_Assessment'!A1","B22"&amp;CHAR(10)&amp;TEXT(IFERROR(INDEX(PMIS_Data!$E:$E,MATCH("22",PMIS_Data!$A:$A,0)),0),"0%")&amp;"  "&amp;REPT("█",ROUND(IFERROR(INDEX(PMIS_Data!$E:$E,MATCH("22",PMIS_Data!$A:$A,0)),0)*10,0))&amp;REPT("░",10-ROUND(IFERROR(INDEX(PMIS_Data!$E:$E,MATCH("22",PMIS_Data!$A:$A,0)),0)*10,0))&amp;CHAR(10)&amp;"⚠ "&amp;IFERROR(INDEX(PMIS_Data!$H:$H,MATCH("22",PMIS_Data!$A:$A,0)),"-")&amp;"   ❓ "&amp;IFERROR(INDEX(PMIS_Data!$I:$I,MATCH("22",PMIS_Data!$A:$A,0)),"-")&amp;CHAR(10)&amp;" ")</f>
        <v xml:space="preserve">B22
50%  █████░░░░░
⚠ 0   ❓ 0
 </v>
      </c>
      <c r="N8" s="588"/>
      <c r="O8" s="588"/>
      <c r="P8" s="589"/>
    </row>
    <row r="9" spans="1:28" ht="51.6" customHeight="1">
      <c r="A9" s="587" t="str">
        <f>HYPERLINK("#'B33_Assessment'!A1","B33"&amp;CHAR(10)&amp;TEXT(IFERROR(INDEX(PMIS_Data!$E:$E,MATCH("33",PMIS_Data!$A:$A,0)),0),"0%")&amp;"  "&amp;REPT("█",ROUND(IFERROR(INDEX(PMIS_Data!$E:$E,MATCH("33",PMIS_Data!$A:$A,0)),0)*10,0))&amp;REPT("░",10-ROUND(IFERROR(INDEX(PMIS_Data!$E:$E,MATCH("33",PMIS_Data!$A:$A,0)),0)*10,0))&amp;CHAR(10)&amp;"⚠ "&amp;IFERROR(INDEX(PMIS_Data!$H:$H,MATCH("33",PMIS_Data!$A:$A,0)),"-")&amp;"   ❓ "&amp;IFERROR(INDEX(PMIS_Data!$I:$I,MATCH("33",PMIS_Data!$A:$A,0)),"-")&amp;CHAR(10)&amp;" ")</f>
        <v xml:space="preserve">B33
50%  █████░░░░░
⚠ 0   ❓ 0
 </v>
      </c>
      <c r="B9" s="588"/>
      <c r="C9" s="588"/>
      <c r="D9" s="589"/>
      <c r="E9" s="587" t="str">
        <f>HYPERLINK("#'B61_Assessment'!A1","B61"&amp;CHAR(10)&amp;TEXT(IFERROR(INDEX(PMIS_Data!$E:$E,MATCH("61",PMIS_Data!$A:$A,0)),0),"0%")&amp;"  "&amp;REPT("█",ROUND(IFERROR(INDEX(PMIS_Data!$E:$E,MATCH("61",PMIS_Data!$A:$A,0)),0)*10,0))&amp;REPT("░",10-ROUND(IFERROR(INDEX(PMIS_Data!$E:$E,MATCH("61",PMIS_Data!$A:$A,0)),0)*10,0))&amp;CHAR(10)&amp;"⚠ "&amp;IFERROR(INDEX(PMIS_Data!$H:$H,MATCH("61",PMIS_Data!$A:$A,0)),"-")&amp;"   ❓ "&amp;IFERROR(INDEX(PMIS_Data!$I:$I,MATCH("61",PMIS_Data!$A:$A,0)),"-")&amp;CHAR(10)&amp;"PILOT ")</f>
        <v xml:space="preserve">B61
55%  ██████░░░░
⚠ 0   ❓ 0
PILOT </v>
      </c>
      <c r="F9" s="588"/>
      <c r="G9" s="588"/>
      <c r="H9" s="589"/>
      <c r="I9" s="587" t="str">
        <f>HYPERLINK("#'B62_TR_Assessment'!A1","B62"&amp;CHAR(10)&amp;TEXT(IFERROR(INDEX(PMIS_Data!$E:$E,MATCH("62",PMIS_Data!$A:$A,0)),0),"0%")&amp;"  "&amp;REPT("█",ROUND(IFERROR(INDEX(PMIS_Data!$E:$E,MATCH("62",PMIS_Data!$A:$A,0)),0)*10,0))&amp;REPT("░",10-ROUND(IFERROR(INDEX(PMIS_Data!$E:$E,MATCH("62",PMIS_Data!$A:$A,0)),0)*10,0))&amp;CHAR(10)&amp;"⚠ "&amp;IFERROR(INDEX(PMIS_Data!$H:$H,MATCH("62",PMIS_Data!$A:$A,0)),"-")&amp;"   ❓ "&amp;IFERROR(INDEX(PMIS_Data!$I:$I,MATCH("62",PMIS_Data!$A:$A,0)),"-")&amp;CHAR(10)&amp;" ")</f>
        <v xml:space="preserve">B62
50%  █████░░░░░
⚠ 0   ❓ 0
 </v>
      </c>
      <c r="J9" s="588"/>
      <c r="K9" s="588"/>
      <c r="L9" s="589"/>
      <c r="M9" s="587" t="str">
        <f>HYPERLINK("#'B70_TR_Assessment'!A1","B70"&amp;CHAR(10)&amp;TEXT(IFERROR(INDEX(PMIS_Data!$E:$E,MATCH("70",PMIS_Data!$A:$A,0)),0),"0%")&amp;"  "&amp;REPT("█",ROUND(IFERROR(INDEX(PMIS_Data!$E:$E,MATCH("70",PMIS_Data!$A:$A,0)),0)*10,0))&amp;REPT("░",10-ROUND(IFERROR(INDEX(PMIS_Data!$E:$E,MATCH("70",PMIS_Data!$A:$A,0)),0)*10,0))&amp;CHAR(10)&amp;"⚠ "&amp;IFERROR(INDEX(PMIS_Data!$H:$H,MATCH("70",PMIS_Data!$A:$A,0)),"-")&amp;"   ❓ "&amp;IFERROR(INDEX(PMIS_Data!$I:$I,MATCH("70",PMIS_Data!$A:$A,0)),"-")&amp;CHAR(10)&amp;" ")</f>
        <v xml:space="preserve">B70
50%  █████░░░░░
⚠ 0   ❓ 0
 </v>
      </c>
      <c r="N9" s="588"/>
      <c r="O9" s="588"/>
      <c r="P9" s="589"/>
    </row>
    <row r="10" spans="1:28" ht="52.5" customHeight="1">
      <c r="A10" s="587" t="str">
        <f>HYPERLINK("#'B78_Assessment'!A1","B78"&amp;CHAR(10)&amp;TEXT(IFERROR(INDEX(PMIS_Data!$E:$E,MATCH("78",PMIS_Data!$A:$A,0)),0),"0%")&amp;"  "&amp;REPT("█",ROUND(IFERROR(INDEX(PMIS_Data!$E:$E,MATCH("78",PMIS_Data!$A:$A,0)),0)*10,0))&amp;REPT("░",10-ROUND(IFERROR(INDEX(PMIS_Data!$E:$E,MATCH("78",PMIS_Data!$A:$A,0)),0)*10,0))&amp;CHAR(10)&amp;"⚠ "&amp;IFERROR(INDEX(PMIS_Data!$H:$H,MATCH("78",PMIS_Data!$A:$A,0)),"-")&amp;"   ❓ "&amp;IFERROR(INDEX(PMIS_Data!$I:$I,MATCH("78",PMIS_Data!$A:$A,0)),"-")&amp;CHAR(10)&amp;" ")</f>
        <v xml:space="preserve">B78
50%  █████░░░░░
⚠ 0   ❓ 0
 </v>
      </c>
      <c r="B10" s="588"/>
      <c r="C10" s="588"/>
      <c r="D10" s="589"/>
      <c r="E10" s="587" t="str">
        <f>HYPERLINK("#'B80_Assessment'!A1","B80"&amp;CHAR(10)&amp;TEXT(IFERROR(INDEX(PMIS_Data!$E:$E,MATCH("80",PMIS_Data!$A:$A,0)),0),"0%")&amp;"  "&amp;REPT("█",ROUND(IFERROR(INDEX(PMIS_Data!$E:$E,MATCH("80",PMIS_Data!$A:$A,0)),0)*10,0))&amp;REPT("░",10-ROUND(IFERROR(INDEX(PMIS_Data!$E:$E,MATCH("80",PMIS_Data!$A:$A,0)),0)*10,0))&amp;CHAR(10)&amp;"⚠ "&amp;IFERROR(INDEX(PMIS_Data!$H:$H,MATCH("80",PMIS_Data!$A:$A,0)),"-")&amp;"   ❓ "&amp;IFERROR(INDEX(PMIS_Data!$I:$I,MATCH("80",PMIS_Data!$A:$A,0)),"-")&amp;CHAR(10)&amp;" ")</f>
        <v xml:space="preserve">B80
50%  █████░░░░░
⚠ 0   ❓ 0
 </v>
      </c>
      <c r="F10" s="588"/>
      <c r="G10" s="588"/>
      <c r="H10" s="589"/>
      <c r="I10" s="587" t="str">
        <f>HYPERLINK("#'B82_Assessment'!A1","B82"&amp;CHAR(10)&amp;TEXT(IFERROR(INDEX(PMIS_Data!$E:$E,MATCH("82",PMIS_Data!$A:$A,0)),0),"0%")&amp;"  "&amp;REPT("█",ROUND(IFERROR(INDEX(PMIS_Data!$E:$E,MATCH("82",PMIS_Data!$A:$A,0)),0)*10,0))&amp;REPT("░",10-ROUND(IFERROR(INDEX(PMIS_Data!$E:$E,MATCH("82",PMIS_Data!$A:$A,0)),0)*10,0))&amp;CHAR(10)&amp;"⚠ "&amp;IFERROR(INDEX(PMIS_Data!$H:$H,MATCH("82",PMIS_Data!$A:$A,0)),"-")&amp;"   ❓ "&amp;IFERROR(INDEX(PMIS_Data!$I:$I,MATCH("82",PMIS_Data!$A:$A,0)),"-")&amp;CHAR(10)&amp;" ")</f>
        <v xml:space="preserve">B82
50%  █████░░░░░
⚠ 0   ❓ 0
 </v>
      </c>
      <c r="J10" s="588"/>
      <c r="K10" s="588"/>
      <c r="L10" s="589"/>
      <c r="M10" s="587" t="str">
        <f>HYPERLINK("#'BCH_Assessment'!A1","BCH"&amp;CHAR(10)&amp;TEXT(IFERROR(INDEX(PMIS_Data!$E:$E,MATCH("BCH",PMIS_Data!$A:$A,0)),0),"0%")&amp;"  "&amp;REPT("█",ROUND(IFERROR(INDEX(PMIS_Data!$E:$E,MATCH("BCH",PMIS_Data!$A:$A,0)),0)*10,0))&amp;REPT("░",10-ROUND(IFERROR(INDEX(PMIS_Data!$E:$E,MATCH("BCH",PMIS_Data!$A:$A,0)),0)*10,0))&amp;CHAR(10)&amp;"⚠ "&amp;IFERROR(INDEX(PMIS_Data!$H:$H,MATCH("BCH",PMIS_Data!$A:$A,0)),"-")&amp;"   ❓ "&amp;IFERROR(INDEX(PMIS_Data!$I:$I,MATCH("BCH",PMIS_Data!$A:$A,0)),"-")&amp;CHAR(10)&amp;" ")</f>
        <v xml:space="preserve">BCH
50%  █████░░░░░
⚠ 0   ❓ 0
 </v>
      </c>
      <c r="N10" s="588"/>
      <c r="O10" s="588"/>
      <c r="P10" s="589"/>
    </row>
    <row r="11" spans="1:28" s="202" customFormat="1" ht="54.75" customHeight="1">
      <c r="A11" s="587" t="str">
        <f>HYPERLINK("#'MCR_Assessment'!A1","MCR"&amp;CHAR(10)&amp;TEXT(IFERROR(INDEX(PMIS_Data!$E:$E,MATCH("MCR",PMIS_Data!$A:$A,0)),0),"0%")&amp;"  "&amp;REPT("█",ROUND(IFERROR(INDEX(PMIS_Data!$E:$E,MATCH("MCR",PMIS_Data!$A:$A,0)),0)*10,0))&amp;REPT("░",10-ROUND(IFERROR(INDEX(PMIS_Data!$E:$E,MATCH("MCR",PMIS_Data!$A:$A,0)),0)*10,0))&amp;CHAR(10)&amp;"⚠ "&amp;IFERROR(INDEX(PMIS_Data!$H:$H,MATCH("MCR",PMIS_Data!$A:$A,0)),"-")&amp;"   ❓ "&amp;IFERROR(INDEX(PMIS_Data!$I:$I,MATCH("MCR",PMIS_Data!$A:$A,0)),"-")&amp;CHAR(10)&amp;" ")</f>
        <v xml:space="preserve">MCR
50%  █████░░░░░
⚠ 0   ❓ 0
 </v>
      </c>
      <c r="B11" s="588"/>
      <c r="C11" s="588"/>
      <c r="D11" s="589"/>
      <c r="E11" s="587" t="str">
        <f>HYPERLINK("#'SITE_Assesment'!A1","SITE"&amp;CHAR(10)&amp;TEXT(IFERROR(INDEX(PMIS_Data!$E:$E,MATCH("SITE",PMIS_Data!$A:$A,0)),0),"0%")&amp;"  "&amp;REPT("█",ROUND(IFERROR(INDEX(PMIS_Data!$E:$E,MATCH("SITE",PMIS_Data!$A:$A,0)),0)*10,0))&amp;REPT("░",10-ROUND(IFERROR(INDEX(PMIS_Data!$E:$E,MATCH("SITE",PMIS_Data!$A:$A,0)),0)*10,0))&amp;CHAR(10)&amp;"⚠ "&amp;IFERROR(INDEX(PMIS_Data!$H:$H,MATCH("SITE",PMIS_Data!$A:$A,0)),"-")&amp;"   ❓ "&amp;IFERROR(INDEX(PMIS_Data!$I:$I,MATCH("SITE",PMIS_Data!$A:$A,0)),"-")&amp;CHAR(10)&amp;" ")</f>
        <v xml:space="preserve">SITE
50%  █████░░░░░
⚠ 0   ❓ 0
 </v>
      </c>
      <c r="F11" s="588"/>
      <c r="G11" s="588"/>
      <c r="H11" s="589"/>
      <c r="I11" s="587" t="str">
        <f>HYPERLINK("#'SPEC_Assessment'!A1","SPEC"&amp;CHAR(10)&amp;TEXT(IFERROR(INDEX(PMIS_Data!$E:$E,MATCH("SPEC",PMIS_Data!$A:$A,0)),0),"0%")&amp;"  "&amp;REPT("█",ROUND(IFERROR(INDEX(PMIS_Data!$E:$E,MATCH("SPEC",PMIS_Data!$A:$A,0)),0)*10,0))&amp;REPT("░",10-ROUND(IFERROR(INDEX(PMIS_Data!$E:$E,MATCH("SPEC",PMIS_Data!$A:$A,0)),0)*10,0))&amp;CHAR(10)&amp;"⚠ "&amp;IFERROR(INDEX(PMIS_Data!$H:$H,MATCH("SPEC",PMIS_Data!$A:$A,0)),"-")&amp;"   ❓ "&amp;IFERROR(INDEX(PMIS_Data!$I:$I,MATCH("SPEC",PMIS_Data!$A:$A,0)),"-")&amp;CHAR(10)&amp;" ")</f>
        <v xml:space="preserve">SPEC
0%  ░░░░░░░░░░
⚠ -   ❓ -
 </v>
      </c>
      <c r="J11" s="588"/>
      <c r="K11" s="588"/>
      <c r="L11" s="589"/>
      <c r="M11" s="587"/>
      <c r="N11" s="588"/>
      <c r="O11" s="588"/>
      <c r="P11" s="589"/>
      <c r="Q11" s="200"/>
      <c r="R11" s="201" t="s">
        <v>319</v>
      </c>
      <c r="S11" s="186" t="str">
        <f>HYPERLINK("#'Data_Health'!A1","Data Health")</f>
        <v>Data Health</v>
      </c>
      <c r="T11" s="200"/>
      <c r="U11" s="200"/>
      <c r="V11" s="200"/>
      <c r="W11" s="200"/>
      <c r="X11" s="200"/>
      <c r="Y11" s="200"/>
      <c r="Z11" s="200"/>
      <c r="AA11" s="200"/>
      <c r="AB11" s="200"/>
    </row>
    <row r="12" spans="1:28" ht="37.5" customHeight="1">
      <c r="A12" s="729"/>
      <c r="B12" s="729"/>
      <c r="C12" s="729"/>
      <c r="D12" s="729"/>
      <c r="E12" s="729"/>
      <c r="F12" s="729"/>
      <c r="G12" s="729"/>
      <c r="H12" s="729"/>
      <c r="I12" s="729"/>
      <c r="J12" s="729"/>
      <c r="K12" s="729"/>
      <c r="L12" s="729"/>
      <c r="M12" s="729"/>
      <c r="N12" s="729"/>
      <c r="O12" s="729"/>
      <c r="P12" s="729"/>
      <c r="Q12" s="198"/>
      <c r="R12" s="201" t="s">
        <v>320</v>
      </c>
      <c r="S12" s="186" t="str">
        <f>HYPERLINK("#'README_ARCHITECTURE'!A1","Architecture")</f>
        <v>Architecture</v>
      </c>
      <c r="T12" s="198"/>
      <c r="U12" s="198"/>
      <c r="V12" s="198"/>
      <c r="W12" s="198"/>
      <c r="X12" s="198"/>
      <c r="Y12" s="198"/>
      <c r="Z12" s="198"/>
      <c r="AA12" s="198"/>
      <c r="AB12" s="198"/>
    </row>
    <row r="13" spans="1:28" ht="24" customHeight="1">
      <c r="A13" s="269"/>
      <c r="B13" s="681" t="s">
        <v>318</v>
      </c>
      <c r="C13" s="682"/>
      <c r="D13" s="681" t="s">
        <v>131</v>
      </c>
      <c r="E13" s="682"/>
      <c r="F13" s="681" t="s">
        <v>132</v>
      </c>
      <c r="G13" s="682"/>
      <c r="H13" s="681" t="s">
        <v>133</v>
      </c>
      <c r="I13" s="682"/>
      <c r="J13" s="681" t="s">
        <v>134</v>
      </c>
      <c r="K13" s="682"/>
      <c r="L13" s="681" t="s">
        <v>135</v>
      </c>
      <c r="M13" s="682"/>
      <c r="N13" s="270" t="s">
        <v>136</v>
      </c>
      <c r="O13" s="269"/>
      <c r="P13" s="271"/>
      <c r="Q13" s="198"/>
      <c r="R13" s="204" t="s">
        <v>321</v>
      </c>
      <c r="S13" s="205" t="str">
        <f>HYPERLINK("#'Today''s_Focus'!A1","Today's Focus")</f>
        <v>Today's Focus</v>
      </c>
      <c r="T13" s="198"/>
      <c r="U13" s="198"/>
      <c r="V13" s="198"/>
      <c r="W13" s="198"/>
      <c r="X13" s="198"/>
      <c r="Y13" s="198"/>
      <c r="Z13" s="198"/>
      <c r="AA13" s="198"/>
      <c r="AB13" s="198"/>
    </row>
    <row r="14" spans="1:28" s="207" customFormat="1" ht="28.2" customHeight="1">
      <c r="A14" s="198"/>
      <c r="B14" s="683">
        <f>IFERROR(AVERAGE(PMIS_Data!$E$3:$E$32),0)</f>
        <v>0.5066666666666666</v>
      </c>
      <c r="C14" s="684"/>
      <c r="D14" s="590">
        <f>COUNTA(PMIS_Data!$A$3:$A$32)</f>
        <v>30</v>
      </c>
      <c r="E14" s="591"/>
      <c r="F14" s="590">
        <f>SUM(PMIS_Data!$H$3:$H$32)</f>
        <v>0</v>
      </c>
      <c r="G14" s="591"/>
      <c r="H14" s="590">
        <f>SUM(PMIS_Data!$I$3:$I$32)</f>
        <v>0</v>
      </c>
      <c r="I14" s="591"/>
      <c r="J14" s="590">
        <f>SUM(PMIS_Data!$J$3:$J$32)</f>
        <v>0</v>
      </c>
      <c r="K14" s="591"/>
      <c r="L14" s="590">
        <f>SUM(PMIS_Data!$X$3:$X$32)</f>
        <v>0</v>
      </c>
      <c r="M14" s="591"/>
      <c r="N14" s="203">
        <f>COUNTIF(PMIS_Data!$F$3:$F$32,"No")</f>
        <v>29</v>
      </c>
      <c r="O14" s="198"/>
      <c r="P14" s="198"/>
      <c r="Q14" s="206"/>
      <c r="R14" s="206"/>
      <c r="S14" s="206"/>
      <c r="T14" s="206"/>
      <c r="U14" s="206"/>
      <c r="V14" s="206"/>
      <c r="W14" s="206"/>
      <c r="X14" s="206"/>
      <c r="Y14" s="206"/>
      <c r="Z14" s="206"/>
      <c r="AA14" s="206"/>
      <c r="AB14" s="206"/>
    </row>
    <row r="15" spans="1:28" ht="22.2" customHeight="1">
      <c r="A15" s="198"/>
      <c r="B15" s="198"/>
      <c r="C15" s="198"/>
      <c r="D15" s="198"/>
      <c r="E15" s="198"/>
      <c r="F15" s="198"/>
      <c r="G15" s="198"/>
      <c r="H15" s="198"/>
      <c r="I15" s="198"/>
      <c r="J15" s="198"/>
      <c r="K15" s="198"/>
      <c r="L15" s="198"/>
      <c r="M15" s="198"/>
      <c r="N15" s="198"/>
      <c r="O15" s="198"/>
      <c r="P15" s="198"/>
      <c r="Q15" s="198"/>
      <c r="R15" s="198"/>
      <c r="S15" s="198"/>
      <c r="T15" s="198"/>
      <c r="U15" s="198"/>
      <c r="V15" s="198"/>
      <c r="W15" s="198"/>
      <c r="X15" s="198"/>
      <c r="Y15" s="198"/>
      <c r="Z15" s="198"/>
      <c r="AA15" s="198"/>
      <c r="AB15" s="198"/>
    </row>
    <row r="16" spans="1:28" ht="27.6" customHeight="1">
      <c r="A16" s="206"/>
      <c r="B16" s="673" t="s">
        <v>322</v>
      </c>
      <c r="C16" s="674"/>
      <c r="D16" s="674"/>
      <c r="E16" s="674"/>
      <c r="F16" s="674"/>
      <c r="G16" s="674"/>
      <c r="H16" s="675"/>
      <c r="I16" s="206"/>
      <c r="J16" s="730" t="s">
        <v>140</v>
      </c>
      <c r="K16" s="731"/>
      <c r="L16" s="732"/>
      <c r="M16" s="206"/>
      <c r="N16" s="198"/>
      <c r="O16" s="206"/>
      <c r="P16" s="206"/>
      <c r="Q16" s="198"/>
      <c r="R16" s="198"/>
      <c r="S16" s="198"/>
      <c r="T16" s="198"/>
      <c r="U16" s="198"/>
      <c r="V16" s="198"/>
      <c r="W16" s="198"/>
      <c r="X16" s="198"/>
      <c r="Y16" s="198"/>
      <c r="Z16" s="198"/>
      <c r="AA16" s="198"/>
      <c r="AB16" s="198"/>
    </row>
    <row r="17" spans="1:28" ht="27" customHeight="1">
      <c r="A17" s="198"/>
      <c r="B17" s="208" t="s">
        <v>323</v>
      </c>
      <c r="C17" s="222" t="s">
        <v>374</v>
      </c>
      <c r="D17" s="272"/>
      <c r="E17" s="272"/>
      <c r="F17" s="676" t="s">
        <v>324</v>
      </c>
      <c r="G17" s="677"/>
      <c r="H17" s="678"/>
      <c r="I17" s="198"/>
      <c r="J17" s="733"/>
      <c r="K17" s="619"/>
      <c r="L17" s="734"/>
      <c r="M17" s="198"/>
      <c r="N17" s="198"/>
      <c r="O17" s="198"/>
      <c r="P17" s="198"/>
      <c r="Q17" s="198"/>
      <c r="R17" s="198"/>
      <c r="S17" s="198"/>
      <c r="T17" s="198"/>
      <c r="U17" s="198"/>
      <c r="V17" s="198"/>
      <c r="W17" s="198"/>
      <c r="X17" s="198"/>
      <c r="Y17" s="198"/>
      <c r="Z17" s="198"/>
      <c r="AA17" s="198"/>
      <c r="AB17" s="198"/>
    </row>
    <row r="18" spans="1:28" s="202" customFormat="1" ht="22.2" customHeight="1" thickBot="1">
      <c r="A18" s="198"/>
      <c r="B18" s="209"/>
      <c r="C18" s="273"/>
      <c r="D18" s="272"/>
      <c r="E18" s="272"/>
      <c r="F18" s="210" t="s">
        <v>326</v>
      </c>
      <c r="G18" s="679" t="str">
        <f>REPT("█",ROUND($F$19*12,0))&amp;REPT("░",12-ROUND($F$19*12,0))</f>
        <v>███████░░░░░</v>
      </c>
      <c r="H18" s="680"/>
      <c r="I18" s="198"/>
      <c r="J18" s="725" t="str">
        <f>"ROOMS"&amp;CHAR(10)&amp;IFERROR(INDEX(PMIS_Data!$G$3:$G$100,$Z$2),0)</f>
        <v>ROOMS
29</v>
      </c>
      <c r="K18" s="268"/>
      <c r="L18" s="727" t="str">
        <f>"FIRE"&amp;CHAR(10)&amp;IF(IFERROR(INDEX(PMIS_Data!$N$3:$N$100,$Z$2),"")="Pass","✓ PASS",IFERROR(INDEX(PMIS_Data!$N$3:$N$100,$Z$2),"REVIEW"))</f>
        <v>FIRE
Not Started</v>
      </c>
      <c r="M18" s="198"/>
      <c r="N18" s="198"/>
      <c r="O18" s="198"/>
      <c r="P18" s="198"/>
      <c r="Q18" s="200"/>
      <c r="R18" s="200"/>
      <c r="S18" s="200"/>
      <c r="T18" s="200"/>
      <c r="U18" s="200"/>
      <c r="V18" s="200"/>
      <c r="W18" s="200"/>
      <c r="X18" s="200"/>
      <c r="Y18" s="200"/>
      <c r="Z18" s="200"/>
      <c r="AA18" s="200"/>
      <c r="AB18" s="200"/>
    </row>
    <row r="19" spans="1:28" ht="21.75" customHeight="1">
      <c r="A19" s="198"/>
      <c r="B19" s="209" t="s">
        <v>139</v>
      </c>
      <c r="C19" s="208" t="str">
        <f>IF($F$19&gt;=0.9,"OPERATIONAL",IF($F$19&gt;=0.75,"WATCH",IF($F$19&gt;=0.5,"AT RISK","CRITICAL")))</f>
        <v>AT RISK</v>
      </c>
      <c r="D19" s="272"/>
      <c r="E19" s="272"/>
      <c r="F19" s="212">
        <f>IFERROR(INDEX(PMIS_Data!$E$3:$E$94,$Z$2),0)</f>
        <v>0.55000000000000004</v>
      </c>
      <c r="G19" s="275"/>
      <c r="H19" s="213"/>
      <c r="I19" s="198"/>
      <c r="J19" s="726"/>
      <c r="K19" s="268"/>
      <c r="L19" s="728"/>
      <c r="M19" s="198"/>
      <c r="N19" s="198"/>
      <c r="O19" s="198"/>
      <c r="P19" s="198"/>
      <c r="Q19" s="198"/>
      <c r="R19" s="198"/>
      <c r="S19" s="198"/>
      <c r="T19" s="198"/>
      <c r="U19" s="198"/>
      <c r="V19" s="198"/>
      <c r="W19" s="198"/>
      <c r="X19" s="198"/>
      <c r="Y19" s="198"/>
      <c r="Z19" s="198"/>
      <c r="AA19" s="198"/>
      <c r="AB19" s="198"/>
    </row>
    <row r="20" spans="1:28" ht="22.2" customHeight="1">
      <c r="A20" s="200"/>
      <c r="B20" s="208"/>
      <c r="C20" s="243"/>
      <c r="D20" s="272"/>
      <c r="E20" s="272"/>
      <c r="F20" s="275"/>
      <c r="G20" s="275"/>
      <c r="H20" s="213"/>
      <c r="I20" s="200"/>
      <c r="J20" s="374"/>
      <c r="K20" s="268"/>
      <c r="L20" s="375"/>
      <c r="M20" s="198"/>
      <c r="N20" s="198"/>
      <c r="O20" s="200"/>
      <c r="P20" s="200"/>
      <c r="Q20" s="198"/>
      <c r="R20" s="198"/>
      <c r="S20" s="198"/>
      <c r="T20" s="198"/>
      <c r="U20" s="198"/>
      <c r="V20" s="198"/>
      <c r="W20" s="198"/>
      <c r="X20" s="198"/>
      <c r="Y20" s="198"/>
      <c r="Z20" s="198"/>
      <c r="AA20" s="198"/>
      <c r="AB20" s="198"/>
    </row>
    <row r="21" spans="1:28" ht="29.25" customHeight="1" thickBot="1">
      <c r="A21" s="198"/>
      <c r="B21" s="209"/>
      <c r="C21" s="272"/>
      <c r="D21" s="272"/>
      <c r="E21" s="272"/>
      <c r="F21" s="275"/>
      <c r="G21" s="275"/>
      <c r="H21" s="213"/>
      <c r="I21" s="198"/>
      <c r="J21" s="715" t="str">
        <f>"HVAC"&amp;CHAR(10)&amp;IF(IFERROR(INDEX(PMIS_Data!$K$3:$K$100,$Z$2),"")="Pass","✓ PASS",IFERROR(INDEX(PMIS_Data!$K$3:$K$100,$Z$2),"REVIEW"))</f>
        <v>HVAC
Not Started</v>
      </c>
      <c r="K21" s="268"/>
      <c r="L21" s="717" t="str">
        <f>"ELECTRICAL"&amp;CHAR(10)&amp;IF(IFERROR(INDEX(PMIS_Data!$L$3:$L$100,$Z$2),"")="Pass","✓ PASS",IFERROR(INDEX(PMIS_Data!$L$3:$L$100,$Z$2),"REVIEW"))</f>
        <v>ELECTRICAL
Not Started</v>
      </c>
      <c r="M21" s="198"/>
      <c r="N21" s="198"/>
      <c r="O21" s="198"/>
      <c r="P21" s="198"/>
      <c r="Q21" s="198"/>
      <c r="R21" s="198"/>
      <c r="S21" s="198"/>
      <c r="T21" s="198"/>
      <c r="U21" s="198"/>
      <c r="V21" s="198"/>
      <c r="W21" s="198"/>
      <c r="X21" s="198"/>
      <c r="Y21" s="198"/>
      <c r="Z21" s="198"/>
      <c r="AA21" s="198"/>
      <c r="AB21" s="198"/>
    </row>
    <row r="22" spans="1:28" ht="22.2" customHeight="1">
      <c r="A22" s="198"/>
      <c r="B22" s="384" t="s">
        <v>328</v>
      </c>
      <c r="C22" s="208" t="str">
        <f>IFERROR(INDEX(PMIS_Data!$C$3:$C$94,$Z$2),"")</f>
        <v>PILOT PHASE</v>
      </c>
      <c r="D22" s="272"/>
      <c r="E22" s="272"/>
      <c r="F22" s="275"/>
      <c r="G22" s="275"/>
      <c r="H22" s="213"/>
      <c r="I22" s="198"/>
      <c r="J22" s="716"/>
      <c r="K22" s="268"/>
      <c r="L22" s="718"/>
      <c r="M22" s="198"/>
      <c r="N22" s="198"/>
      <c r="O22" s="198"/>
      <c r="P22" s="198"/>
      <c r="Q22" s="198"/>
      <c r="R22" s="198"/>
      <c r="S22" s="198"/>
      <c r="T22" s="198"/>
      <c r="U22" s="198"/>
      <c r="V22" s="198"/>
      <c r="W22" s="198"/>
      <c r="X22" s="198"/>
      <c r="Y22" s="198"/>
      <c r="Z22" s="198"/>
      <c r="AA22" s="198"/>
      <c r="AB22" s="198"/>
    </row>
    <row r="23" spans="1:28" ht="19.95" customHeight="1">
      <c r="A23" s="198"/>
      <c r="B23" s="385"/>
      <c r="C23" s="272"/>
      <c r="D23" s="272"/>
      <c r="E23" s="272"/>
      <c r="F23" s="275"/>
      <c r="G23" s="275"/>
      <c r="H23" s="213"/>
      <c r="I23" s="198"/>
      <c r="J23" s="374"/>
      <c r="K23" s="268"/>
      <c r="L23" s="375"/>
      <c r="M23" s="198"/>
      <c r="N23" s="198"/>
      <c r="O23" s="198"/>
      <c r="P23" s="198"/>
      <c r="Q23" s="198"/>
      <c r="R23" s="198"/>
      <c r="S23" s="198"/>
      <c r="T23" s="198"/>
      <c r="U23" s="198"/>
      <c r="V23" s="198"/>
      <c r="W23" s="198"/>
      <c r="X23" s="198"/>
      <c r="Y23" s="198"/>
      <c r="Z23" s="198"/>
      <c r="AA23" s="198"/>
      <c r="AB23" s="198"/>
    </row>
    <row r="24" spans="1:28" ht="27.6" customHeight="1" thickBot="1">
      <c r="A24" s="198"/>
      <c r="B24" s="208" t="s">
        <v>329</v>
      </c>
      <c r="C24" s="208" t="str">
        <f>IFERROR(INDEX(PMIS_Data!$F$3:$F$94,$Z$2),"")</f>
        <v>YES</v>
      </c>
      <c r="D24" s="272"/>
      <c r="E24" s="272"/>
      <c r="F24" s="275"/>
      <c r="G24" s="275"/>
      <c r="H24" s="213"/>
      <c r="I24" s="198"/>
      <c r="J24" s="719" t="str">
        <f>"TELECOM"&amp;CHAR(10)&amp;IF(IFERROR(INDEX(PMIS_Data!$M$3:$M$100,$Z$2),"")="Pass","✓ PASS",IFERROR(INDEX(PMIS_Data!$M$3:$M$100,$Z$2),"REVIEW"))</f>
        <v>TELECOM
Not Started</v>
      </c>
      <c r="K24" s="268"/>
      <c r="L24" s="721" t="str">
        <f>"SECURITY"&amp;CHAR(10)&amp;IF(IFERROR(INDEX(PMIS_Data!$P$3:$P$100,$Z$2),"")="Pass","✓ PASS",IFERROR(INDEX(PMIS_Data!$P$3:$P$100,$Z$2),"REVIEW"))</f>
        <v>SECURITY
Not Started</v>
      </c>
      <c r="M24" s="198"/>
      <c r="N24" s="198"/>
      <c r="O24" s="198"/>
      <c r="P24" s="198"/>
      <c r="Q24" s="198"/>
      <c r="R24" s="198"/>
      <c r="S24" s="198"/>
      <c r="T24" s="198"/>
      <c r="U24" s="198"/>
      <c r="V24" s="198"/>
      <c r="W24" s="198"/>
      <c r="X24" s="198"/>
      <c r="Y24" s="198"/>
      <c r="Z24" s="198"/>
      <c r="AA24" s="198"/>
      <c r="AB24" s="198"/>
    </row>
    <row r="25" spans="1:28" ht="21.75" customHeight="1">
      <c r="A25" s="198"/>
      <c r="B25" s="272"/>
      <c r="C25" s="272"/>
      <c r="D25" s="272"/>
      <c r="E25" s="272"/>
      <c r="F25" s="275"/>
      <c r="G25" s="275"/>
      <c r="H25" s="213"/>
      <c r="I25" s="198"/>
      <c r="J25" s="720"/>
      <c r="K25" s="376"/>
      <c r="L25" s="722"/>
      <c r="M25" s="198"/>
      <c r="N25" s="198"/>
      <c r="O25" s="198"/>
      <c r="P25" s="198"/>
      <c r="Q25" s="198"/>
      <c r="R25" s="198"/>
      <c r="S25" s="198"/>
      <c r="T25" s="198"/>
      <c r="U25" s="198"/>
      <c r="V25" s="198"/>
      <c r="W25" s="198"/>
      <c r="X25" s="198"/>
      <c r="Y25" s="198"/>
      <c r="Z25" s="198"/>
      <c r="AA25" s="198"/>
      <c r="AB25" s="198"/>
    </row>
    <row r="26" spans="1:28" ht="21.75" hidden="1" customHeight="1">
      <c r="A26" s="198"/>
      <c r="B26" s="216"/>
      <c r="C26" s="217"/>
      <c r="D26" s="217"/>
      <c r="E26" s="217"/>
      <c r="F26" s="218"/>
      <c r="G26" s="218"/>
      <c r="H26" s="219"/>
      <c r="I26" s="198"/>
      <c r="J26" s="198"/>
      <c r="K26" s="198"/>
      <c r="L26" s="198"/>
      <c r="M26" s="198"/>
      <c r="N26" s="198"/>
      <c r="O26" s="198"/>
      <c r="P26" s="198"/>
      <c r="Q26" s="198"/>
      <c r="R26" s="198"/>
      <c r="S26" s="198"/>
      <c r="T26" s="198"/>
      <c r="U26" s="198"/>
      <c r="V26" s="198"/>
      <c r="W26" s="198"/>
      <c r="X26" s="198"/>
      <c r="Y26" s="198"/>
      <c r="Z26" s="198"/>
      <c r="AA26" s="198"/>
      <c r="AB26" s="198"/>
    </row>
    <row r="27" spans="1:28" ht="21.75" hidden="1" customHeight="1">
      <c r="A27" s="198"/>
      <c r="B27" s="198"/>
      <c r="C27" s="198"/>
      <c r="D27" s="198"/>
      <c r="E27" s="198"/>
      <c r="F27" s="198"/>
      <c r="G27" s="198"/>
      <c r="H27" s="198"/>
      <c r="I27" s="198"/>
      <c r="J27" s="198"/>
      <c r="K27" s="198"/>
      <c r="L27" s="198"/>
      <c r="M27" s="198"/>
      <c r="N27" s="198"/>
      <c r="O27" s="198"/>
      <c r="P27" s="198"/>
      <c r="Q27" s="198"/>
      <c r="R27" s="198"/>
      <c r="S27" s="198"/>
      <c r="T27" s="198"/>
      <c r="U27" s="198"/>
      <c r="V27" s="198"/>
      <c r="W27" s="198"/>
      <c r="X27" s="198"/>
      <c r="Y27" s="198"/>
      <c r="Z27" s="198"/>
      <c r="AA27" s="198"/>
      <c r="AB27" s="198"/>
    </row>
    <row r="28" spans="1:28" ht="24" hidden="1" customHeight="1">
      <c r="A28" s="198"/>
      <c r="B28" s="198"/>
      <c r="C28" s="198"/>
      <c r="D28" s="198"/>
      <c r="E28" s="198"/>
      <c r="F28" s="198"/>
      <c r="G28" s="198"/>
      <c r="H28" s="198"/>
      <c r="I28" s="198"/>
      <c r="J28" s="198"/>
      <c r="K28" s="198"/>
      <c r="L28" s="198"/>
      <c r="M28" s="198"/>
      <c r="N28" s="198"/>
      <c r="O28" s="198"/>
      <c r="P28" s="198"/>
      <c r="Q28" s="198"/>
      <c r="R28" s="198"/>
      <c r="S28" s="198"/>
      <c r="T28" s="198"/>
      <c r="U28" s="198"/>
      <c r="V28" s="198"/>
      <c r="W28" s="198"/>
      <c r="X28" s="198"/>
      <c r="Y28" s="198"/>
      <c r="Z28" s="198"/>
      <c r="AA28" s="198"/>
      <c r="AB28" s="198"/>
    </row>
    <row r="29" spans="1:28" ht="21.75" hidden="1" customHeight="1">
      <c r="A29" s="198"/>
      <c r="B29" s="198"/>
      <c r="C29" s="198"/>
      <c r="D29" s="198"/>
      <c r="E29" s="198"/>
      <c r="F29" s="198"/>
      <c r="G29" s="198"/>
      <c r="H29" s="198"/>
      <c r="I29" s="198"/>
      <c r="J29" s="198"/>
      <c r="K29" s="198"/>
      <c r="L29" s="198"/>
      <c r="M29" s="198"/>
      <c r="N29" s="198"/>
      <c r="O29" s="198"/>
      <c r="P29" s="198"/>
      <c r="Q29" s="198"/>
      <c r="R29" s="198"/>
      <c r="S29" s="198"/>
      <c r="T29" s="198"/>
      <c r="U29" s="198"/>
      <c r="V29" s="198"/>
      <c r="W29" s="198"/>
      <c r="X29" s="198"/>
      <c r="Y29" s="198"/>
      <c r="Z29" s="198"/>
      <c r="AA29" s="198"/>
      <c r="AB29" s="198"/>
    </row>
    <row r="30" spans="1:28" ht="21.75" hidden="1" customHeight="1">
      <c r="A30" s="198"/>
      <c r="B30" s="211" t="s">
        <v>158</v>
      </c>
      <c r="C30" s="198"/>
      <c r="D30" s="198"/>
      <c r="E30" s="198"/>
      <c r="F30" s="211" t="s">
        <v>133</v>
      </c>
      <c r="G30" s="198"/>
      <c r="H30" s="198"/>
      <c r="I30" s="198"/>
      <c r="J30" s="211" t="s">
        <v>159</v>
      </c>
      <c r="K30" s="198"/>
      <c r="L30" s="198"/>
      <c r="M30" s="198"/>
      <c r="N30" s="211" t="s">
        <v>160</v>
      </c>
      <c r="O30" s="198"/>
      <c r="P30" s="198"/>
      <c r="Q30" s="198"/>
      <c r="R30" s="198"/>
      <c r="S30" s="198"/>
      <c r="T30" s="198"/>
      <c r="U30" s="198"/>
      <c r="V30" s="198"/>
      <c r="W30" s="198"/>
      <c r="X30" s="198"/>
      <c r="Y30" s="198"/>
      <c r="Z30" s="198"/>
      <c r="AA30" s="198"/>
      <c r="AB30" s="198"/>
    </row>
    <row r="31" spans="1:28" ht="21.75" hidden="1" customHeight="1">
      <c r="A31" s="198"/>
      <c r="B31" s="198"/>
      <c r="C31" s="198"/>
      <c r="D31" s="198"/>
      <c r="E31" s="198"/>
      <c r="F31" s="198"/>
      <c r="G31" s="198"/>
      <c r="H31" s="198"/>
      <c r="I31" s="198"/>
      <c r="J31" s="198"/>
      <c r="K31" s="198"/>
      <c r="L31" s="198"/>
      <c r="M31" s="198"/>
      <c r="N31" s="198"/>
      <c r="O31" s="198"/>
      <c r="P31" s="198"/>
      <c r="Q31" s="198"/>
      <c r="R31" s="198"/>
      <c r="S31" s="198"/>
      <c r="T31" s="198"/>
      <c r="U31" s="198"/>
      <c r="V31" s="198"/>
      <c r="W31" s="198"/>
      <c r="X31" s="198"/>
      <c r="Y31" s="198"/>
      <c r="Z31" s="198"/>
      <c r="AA31" s="198"/>
      <c r="AB31" s="198"/>
    </row>
    <row r="32" spans="1:28" ht="21.75" hidden="1" customHeight="1">
      <c r="A32" s="198"/>
      <c r="B32" s="211" t="s">
        <v>161</v>
      </c>
      <c r="C32" s="198"/>
      <c r="D32" s="220">
        <f>IFERROR(INDEX(PMIS_Data!$H$3:$H$94,$Z$2),0)</f>
        <v>0</v>
      </c>
      <c r="E32" s="198"/>
      <c r="F32" s="211" t="s">
        <v>162</v>
      </c>
      <c r="G32" s="198"/>
      <c r="H32" s="220">
        <f>IFERROR(INDEX(PMIS_Data!$I$3:$I$94,$Z$2),0)</f>
        <v>0</v>
      </c>
      <c r="I32" s="198"/>
      <c r="J32" s="211" t="s">
        <v>163</v>
      </c>
      <c r="K32" s="198"/>
      <c r="L32" s="220">
        <f>IFERROR(INDEX(PMIS_Data!$J$3:$J$94,$Z$2),0)</f>
        <v>0</v>
      </c>
      <c r="M32" s="198"/>
      <c r="N32" s="211" t="s">
        <v>164</v>
      </c>
      <c r="O32" s="198"/>
      <c r="P32" s="220">
        <f>IFERROR(INDEX(PMIS_Data!$X$3:$X$94,$Z$2),0)</f>
        <v>0</v>
      </c>
      <c r="Q32" s="198"/>
      <c r="R32" s="198"/>
      <c r="S32" s="198"/>
      <c r="T32" s="198"/>
      <c r="U32" s="198"/>
      <c r="V32" s="198"/>
      <c r="W32" s="198"/>
      <c r="X32" s="198"/>
      <c r="Y32" s="198"/>
      <c r="Z32" s="198"/>
      <c r="AA32" s="198"/>
      <c r="AB32" s="198"/>
    </row>
    <row r="33" spans="1:34" ht="21.75" hidden="1" customHeight="1">
      <c r="A33" s="198"/>
      <c r="B33" s="198"/>
      <c r="C33" s="198"/>
      <c r="D33" s="198"/>
      <c r="E33" s="198"/>
      <c r="F33" s="198"/>
      <c r="G33" s="198"/>
      <c r="H33" s="198"/>
      <c r="I33" s="198"/>
      <c r="J33" s="198"/>
      <c r="K33" s="198"/>
      <c r="L33" s="198"/>
      <c r="M33" s="198"/>
      <c r="N33" s="198"/>
      <c r="O33" s="198"/>
      <c r="P33" s="198"/>
      <c r="Q33" s="198"/>
      <c r="R33" s="198"/>
      <c r="S33" s="198"/>
      <c r="T33" s="198"/>
      <c r="U33" s="198"/>
      <c r="V33" s="198"/>
      <c r="W33" s="198"/>
      <c r="X33" s="198"/>
      <c r="Y33" s="198"/>
      <c r="Z33" s="198"/>
      <c r="AA33" s="198"/>
      <c r="AB33" s="198"/>
    </row>
    <row r="34" spans="1:34" ht="21.75" hidden="1" customHeight="1">
      <c r="A34" s="198"/>
      <c r="B34" s="211" t="s">
        <v>165</v>
      </c>
      <c r="C34" s="198"/>
      <c r="D34" s="220">
        <f>SUM(PMIS_Data!$H$3:$H$32)</f>
        <v>0</v>
      </c>
      <c r="E34" s="198"/>
      <c r="F34" s="211" t="s">
        <v>165</v>
      </c>
      <c r="G34" s="198"/>
      <c r="H34" s="220">
        <f>SUM(PMIS_Data!$I$3:$I$32)</f>
        <v>0</v>
      </c>
      <c r="I34" s="198"/>
      <c r="J34" s="211" t="s">
        <v>166</v>
      </c>
      <c r="K34" s="198"/>
      <c r="L34" s="220">
        <f>COUNTA([4]Doc_Register!$A$5:$A$300)</f>
        <v>40</v>
      </c>
      <c r="M34" s="198"/>
      <c r="N34" s="211" t="s">
        <v>167</v>
      </c>
      <c r="O34" s="198"/>
      <c r="P34" s="220">
        <f>SUM(PMIS_Data!$X$3:$X$32)</f>
        <v>0</v>
      </c>
      <c r="Q34" s="198"/>
      <c r="R34" s="198"/>
      <c r="S34" s="198"/>
      <c r="T34" s="198"/>
      <c r="U34" s="198"/>
      <c r="V34" s="198"/>
      <c r="W34" s="198"/>
      <c r="X34" s="198"/>
      <c r="Y34" s="198"/>
      <c r="Z34" s="198"/>
      <c r="AA34" s="198"/>
      <c r="AB34" s="198"/>
    </row>
    <row r="35" spans="1:34" ht="21.75" hidden="1" customHeight="1">
      <c r="A35" s="198"/>
      <c r="B35" s="198"/>
      <c r="C35" s="198"/>
      <c r="D35" s="198"/>
      <c r="E35" s="198"/>
      <c r="F35" s="198"/>
      <c r="G35" s="198"/>
      <c r="H35" s="198"/>
      <c r="I35" s="198"/>
      <c r="J35" s="198"/>
      <c r="K35" s="198"/>
      <c r="L35" s="198"/>
      <c r="M35" s="198"/>
      <c r="N35" s="198"/>
      <c r="O35" s="198"/>
      <c r="P35" s="198"/>
      <c r="Q35" s="198"/>
      <c r="R35" s="198"/>
      <c r="S35" s="198"/>
      <c r="T35" s="198"/>
      <c r="U35" s="198"/>
      <c r="V35" s="198"/>
      <c r="W35" s="198"/>
      <c r="X35" s="198"/>
      <c r="Y35" s="198"/>
      <c r="Z35" s="198"/>
      <c r="AA35" s="198"/>
      <c r="AB35" s="198"/>
    </row>
    <row r="36" spans="1:34" ht="21.75" hidden="1" customHeight="1">
      <c r="A36" s="198"/>
      <c r="B36" s="211" t="s">
        <v>168</v>
      </c>
      <c r="C36" s="198"/>
      <c r="D36" s="220">
        <f>IFERROR(INDEX([4]_V4_ActionQueue!$A$4:$A$33,MATCH($C$17,[4]_V4_ActionQueue!$B$4:$B$33,0)),"")</f>
        <v>29</v>
      </c>
      <c r="E36" s="198"/>
      <c r="F36" s="211" t="s">
        <v>169</v>
      </c>
      <c r="G36" s="198"/>
      <c r="H36" s="220" t="e">
        <f>COUNTIFS(#REF!,"High",#REF!,"Open")</f>
        <v>#REF!</v>
      </c>
      <c r="I36" s="198"/>
      <c r="J36" s="211" t="s">
        <v>170</v>
      </c>
      <c r="K36" s="198"/>
      <c r="L36" s="220">
        <f>COUNTA(#REF!)</f>
        <v>1</v>
      </c>
      <c r="M36" s="198"/>
      <c r="N36" s="211" t="s">
        <v>171</v>
      </c>
      <c r="O36" s="198"/>
      <c r="P36" s="220">
        <f>COUNTIF(PMIS_Data!$F$3:$F$32,"No")</f>
        <v>29</v>
      </c>
      <c r="Q36" s="198"/>
      <c r="R36" s="198"/>
      <c r="S36" s="198"/>
      <c r="T36" s="198"/>
      <c r="U36" s="198"/>
      <c r="V36" s="198"/>
      <c r="W36" s="198"/>
      <c r="X36" s="198"/>
      <c r="Y36" s="198"/>
      <c r="Z36" s="198"/>
      <c r="AA36" s="198"/>
      <c r="AB36" s="198"/>
    </row>
    <row r="37" spans="1:34" ht="4.95" hidden="1" customHeight="1">
      <c r="A37" s="198"/>
      <c r="B37" s="198"/>
      <c r="C37" s="198"/>
      <c r="D37" s="198"/>
      <c r="E37" s="198"/>
      <c r="F37" s="198"/>
      <c r="G37" s="198"/>
      <c r="H37" s="198"/>
      <c r="I37" s="198"/>
      <c r="J37" s="198"/>
      <c r="K37" s="198"/>
      <c r="L37" s="198"/>
      <c r="M37" s="198"/>
      <c r="N37" s="198"/>
      <c r="O37" s="198"/>
      <c r="P37" s="198"/>
      <c r="Q37" s="198"/>
      <c r="R37" s="198"/>
      <c r="S37" s="198"/>
      <c r="T37" s="198"/>
      <c r="U37" s="198"/>
      <c r="V37" s="198"/>
      <c r="W37" s="198"/>
      <c r="X37" s="198"/>
      <c r="Y37" s="198"/>
      <c r="Z37" s="198"/>
      <c r="AA37" s="198"/>
      <c r="AB37" s="198"/>
    </row>
    <row r="38" spans="1:34" ht="85.2" hidden="1" customHeight="1">
      <c r="A38" s="198"/>
      <c r="B38" s="198"/>
      <c r="C38" s="198"/>
      <c r="D38" s="198"/>
      <c r="E38" s="198"/>
      <c r="F38" s="198"/>
      <c r="G38" s="198"/>
      <c r="H38" s="198"/>
      <c r="I38" s="198"/>
      <c r="J38" s="198"/>
      <c r="K38" s="198"/>
      <c r="L38" s="198"/>
      <c r="M38" s="198"/>
      <c r="N38" s="198"/>
      <c r="O38" s="198"/>
      <c r="P38" s="198"/>
      <c r="Q38" s="198"/>
      <c r="R38" s="198"/>
      <c r="S38" s="198"/>
      <c r="T38" s="198"/>
      <c r="U38" s="198"/>
      <c r="V38" s="198"/>
      <c r="W38" s="198"/>
      <c r="X38" s="198"/>
      <c r="Y38" s="198"/>
      <c r="Z38" s="198"/>
      <c r="AA38" s="198"/>
      <c r="AB38" s="198"/>
    </row>
    <row r="39" spans="1:34" ht="13.8">
      <c r="A39" s="198"/>
      <c r="B39" s="198"/>
      <c r="C39" s="198"/>
      <c r="D39" s="198"/>
      <c r="E39" s="198"/>
      <c r="F39" s="198"/>
      <c r="G39" s="198"/>
      <c r="H39" s="198"/>
      <c r="I39" s="198"/>
      <c r="J39" s="198"/>
      <c r="K39" s="198"/>
      <c r="L39" s="198"/>
      <c r="M39" s="198"/>
      <c r="N39" s="198"/>
      <c r="O39" s="198"/>
      <c r="P39" s="198"/>
      <c r="Q39" s="198"/>
      <c r="R39" s="198"/>
      <c r="S39" s="198"/>
      <c r="T39" s="198"/>
      <c r="U39" s="198"/>
      <c r="V39" s="198"/>
      <c r="W39" s="198"/>
      <c r="X39" s="198"/>
      <c r="Y39" s="198"/>
      <c r="Z39" s="198"/>
      <c r="AA39" s="198"/>
      <c r="AB39" s="198"/>
    </row>
    <row r="40" spans="1:34" ht="40.950000000000003" customHeight="1">
      <c r="A40" s="198"/>
      <c r="B40" s="198"/>
      <c r="C40" s="198"/>
      <c r="D40" s="198"/>
      <c r="E40" s="198"/>
      <c r="F40" s="198"/>
      <c r="G40" s="198"/>
      <c r="H40" s="198"/>
      <c r="I40" s="198"/>
      <c r="J40" s="198"/>
      <c r="K40" s="198"/>
      <c r="L40" s="198"/>
      <c r="M40" s="198"/>
      <c r="N40" s="198"/>
      <c r="O40" s="198"/>
      <c r="P40" s="198"/>
      <c r="Q40" s="198"/>
      <c r="R40" s="198"/>
      <c r="S40" s="198"/>
      <c r="T40" s="198"/>
      <c r="U40" s="198"/>
      <c r="V40" s="198"/>
      <c r="W40" s="198"/>
      <c r="X40" s="198"/>
      <c r="Y40" s="198"/>
      <c r="Z40" s="198"/>
      <c r="AA40" s="198"/>
      <c r="AB40" s="198"/>
    </row>
    <row r="41" spans="1:34" s="202" customFormat="1" ht="21.75" customHeight="1">
      <c r="A41" s="198"/>
      <c r="B41" s="723" t="str">
        <f>HYPERLINK("#'"&amp;$AA$2&amp;"'!A1","Open selected Building Assessment")</f>
        <v>Open selected Building Assessment</v>
      </c>
      <c r="C41" s="724"/>
      <c r="D41" s="198"/>
      <c r="E41" s="198"/>
      <c r="F41" s="198"/>
      <c r="G41" s="198"/>
      <c r="H41" s="198"/>
      <c r="I41" s="198"/>
      <c r="J41" s="198"/>
      <c r="K41" s="198"/>
      <c r="L41" s="198"/>
      <c r="M41" s="198"/>
      <c r="N41" s="198"/>
      <c r="O41" s="198"/>
      <c r="P41" s="198"/>
      <c r="Q41" s="200"/>
      <c r="R41" s="200"/>
      <c r="S41" s="200"/>
      <c r="T41" s="200"/>
      <c r="U41" s="200"/>
      <c r="V41" s="200"/>
      <c r="W41" s="200"/>
      <c r="X41" s="200"/>
      <c r="Y41" s="200"/>
      <c r="Z41" s="200"/>
      <c r="AA41" s="200"/>
      <c r="AB41" s="200"/>
    </row>
    <row r="42" spans="1:34" s="202" customFormat="1" ht="69" customHeight="1">
      <c r="A42" s="270" t="s">
        <v>142</v>
      </c>
      <c r="B42" s="270" t="s">
        <v>173</v>
      </c>
      <c r="C42" s="270" t="s">
        <v>77</v>
      </c>
      <c r="D42" s="270" t="s">
        <v>174</v>
      </c>
      <c r="E42" s="270" t="s">
        <v>175</v>
      </c>
      <c r="F42" s="270" t="s">
        <v>145</v>
      </c>
      <c r="G42" s="270" t="s">
        <v>176</v>
      </c>
      <c r="H42" s="270" t="s">
        <v>177</v>
      </c>
      <c r="I42" s="270" t="s">
        <v>178</v>
      </c>
      <c r="J42" s="270" t="s">
        <v>179</v>
      </c>
      <c r="K42" s="198"/>
      <c r="L42" s="198"/>
      <c r="M42" s="198"/>
      <c r="N42" s="198"/>
      <c r="O42" s="198"/>
      <c r="P42" s="198"/>
      <c r="Q42" s="200"/>
      <c r="R42" s="200"/>
      <c r="S42" s="200"/>
      <c r="T42" s="200"/>
      <c r="U42" s="200"/>
      <c r="V42" s="200"/>
      <c r="W42" s="200"/>
      <c r="X42" s="200"/>
      <c r="Y42" s="200"/>
      <c r="Z42" s="200"/>
      <c r="AA42" s="200"/>
      <c r="AB42" s="200"/>
    </row>
    <row r="43" spans="1:34" ht="18" customHeight="1">
      <c r="A43" s="203" t="str">
        <f>$C$17&amp;""</f>
        <v>61</v>
      </c>
      <c r="B43" s="203" t="str">
        <f>IFERROR(INDEX(PMIS_Data!$B$3:$B$94,$Z$2),"")</f>
        <v>B61_Assessment</v>
      </c>
      <c r="C43" s="203" t="str">
        <f>IFERROR(INDEX(PMIS_Data!$C$3:$C$94,$Z$2),"")</f>
        <v>PILOT PHASE</v>
      </c>
      <c r="D43" s="203">
        <f>IFERROR(INDEX(PMIS_Data!$E$3:$E$94,$Z$2),0)</f>
        <v>0.55000000000000004</v>
      </c>
      <c r="E43" s="203" t="str">
        <f>IFERROR(INDEX(PMIS_Data!$F$3:$F$94,$Z$2),"")</f>
        <v>YES</v>
      </c>
      <c r="F43" s="203">
        <f>IFERROR(INDEX(PMIS_Data!$G$3:$G$94,$Z$2),0)</f>
        <v>29</v>
      </c>
      <c r="G43" s="203">
        <f>IFERROR(INDEX(PMIS_Data!$H$3:$H$94,$Z$2),0)</f>
        <v>0</v>
      </c>
      <c r="H43" s="203">
        <f>IFERROR(INDEX(PMIS_Data!$I$3:$I$94,$Z$2),0)</f>
        <v>0</v>
      </c>
      <c r="I43" s="203">
        <f>IFERROR(INDEX(PMIS_Data!$J$3:$J$94,$Z$2),0)</f>
        <v>0</v>
      </c>
      <c r="J43" s="203">
        <f>IFERROR(INDEX(PMIS_Data!$X$3:$X$94,$Z$2),0)</f>
        <v>0</v>
      </c>
      <c r="K43" s="198"/>
      <c r="L43" s="198"/>
      <c r="M43" s="200"/>
      <c r="N43" s="200"/>
      <c r="O43" s="200"/>
      <c r="P43" s="200"/>
      <c r="AA43" s="196" t="s">
        <v>330</v>
      </c>
      <c r="AB43" s="196" t="str">
        <f>IF($Z$46="Campus","Select a building tile for trade-level notes.",IFERROR(INDEX([4]_Command_Trade_Notes!$B:$B,MATCH($Z$46,[4]_Command_Trade_Notes!$A:$A,0)),"No fire/life safety notes captured."))</f>
        <v>• Dedicated TR scope includes fire protection drawings. Verify sprinkler modifications, fire alarm devices, clean-agent 2A:10B:C FEC within 75 ft, rated penetrations, and temporary firestopping.
• Verify sprinkler/fire alarm modifications, clean-agent FEC location, penetrations, cable tray/riser openings, and final UL firestop systems.
• Verify second-level TR sprinkler/fire alarm modifications, clean-agent FEC location, vertical riser penetrations, and firestopping.
• Existing demarc/server rooms may remain active; verify protection-in-place, FA/FP continuity, and no unsealed penetrations after cabling work.</v>
      </c>
      <c r="AC43" s="196" t="str">
        <f>IF($Z$46="Campus","Select a building tile for trade-level notes.",IFERROR(INDEX([4]_Command_Trade_Notes!$C:$C,MATCH($Z$46,[4]_Command_Trade_Notes!$A:$A,0)),"No HVAC/cooling notes captured."))</f>
        <v>• Mechanical sheets identify dedicated split-system cooling with BACnet adapter mounted adjacent to unit in telecom room. Confirm capacity, emergency source, condensate, disconnect, controls, and alarms.
• Mechanical/electrical plans identify IU-1-01/CU-1-01 for first-level TR. Confirm 24/7 operation, emergency/standby source and high-temp alarm.
• Mechanical/electrical plans identify IU-2-01/CU-2-01 for second-level TR. Confirm refrigerant route, condensate route, controls and alarm tie-in.
• Existing demarc/server equipment likely has existing cooling dependencies. Verify active equipment heat load, airflow, operational temperatures and whether any existing cooling is modified or protected.</v>
      </c>
      <c r="AD43" s="196" t="str">
        <f>IF($Z$46="Campus","Select a building tile for trade-level notes.",IFERROR(INDEX([4]_Command_Trade_Notes!$D:$D,MATCH($Z$46,[4]_Command_Trade_Notes!$A:$A,0)),"No electrical/UPS notes captured."))</f>
        <v>• Electrical enlarged plans and schedules identify rack receptacles, UPS circuits, PDUs, panelboards, SPD devices and dedicated cooling power for B13H-A. Verify B61-TRB13A/B source, LOTO and labels.
• Electrical schedules identify B61-TR124A/B and rack receptacles. Verify apparent room-name mismatch with RM137B rack receptacles in schedules.
• Electrical schedules identify B61-TR226A/B, rack receptacles, CU-2-01 and SPD requirements. Verify source circuits and labels.
• Existing rack inventory includes APC UPS/PDU and server/demarc equipment. Electrical one-line/schedules list B61-TR137AA/AB and PD-B61-TR137 panels; verify active sources and transition impact.</v>
      </c>
      <c r="AE43" s="196" t="str">
        <f>IF($Z$46="Campus","Select a building tile for trade-level notes.",IFERROR(INDEX([4]_Command_Trade_Notes!$E:$E,MATCH($Z$46,[4]_Command_Trade_Notes!$A:$A,0)),"No telecom/fiber notes captured."))</f>
        <v>• 61T-701: 88 WAO total, 74 active ports, 129 scheduled ports, 142 with 10% allowance. Rack ID TR01-B13H-A-1. Basement cable tray included in 890 ft basement total.
• 61T-701: first-level Room 124 / Rack ID TR01-124-1. Schedule data runs across first-level outlets. Include labels, Fiber LIU, Cat6A patch panels, UPS/PDU and VA/OIT acceptance.
• 61T-702: 109 WAO total, 126 active ports, 156 scheduled ports, 172 with 10% allowance. Rack ID TR01-226-1. Verify second-level cable tray and riser penetrations.
• 61T-402/606/607 inventory existing demarc/server racks and equipment. Protect active systems, coordinate cutover, preserve labels, document equipment remaining in service.</v>
      </c>
      <c r="AF43" s="196">
        <f>IF($Z$46="Campus","Select a building tile for trade-level notes.",IFERROR(INDEX([4]_Command_Trade_Notes!$F:$F,MATCH($Z$46,[4]_Command_Trade_Notes!$A:$A,0)),"No security/PACS/CCTV notes captured."))</f>
        <v>0</v>
      </c>
      <c r="AG43" s="196" t="str">
        <f>IF($Z$46="Campus","Select a building tile for risk notes.",IFERROR(INDEX([4]_Command_Trade_Notes!$G:$G,MATCH($Z$46,[4]_Command_Trade_Notes!$A:$A,0)),"No owner risk notes captured."))</f>
        <v>• High: Existing conditions and active equipment across B13H-A, 124, 226 and 137/137A not field verified — Perform existing conditions survey with photos and active-service inventory before mobilization
• High: Hazardous material abatement plans exist for first and second levels — Coordinate IH/abatement review before penetrations, wall/ceiling work, cabling or mechanical/electrical installation
• Critical: Existing server/demarc equipment may remain active during cutover — Document active services, service provider circuits, rack inventory, OIT windows, temporary utilities and rollback path
• Critical: Dedicated cooling sequence, emergency power, condensate, BACnet and alarms not verified — Confirm IU/CU-0/1/2 power source, condensate, controls, BACnet adapter, thermostat and high-temp alarm
• Critical: Panel source, UPS/PDU and rack receptacle coordination could delay energization — Verify B61-TRB13A/B, B61-TR124A/B, B61-TR226A/B, B61-TR137AA/AB, PD panels, SPDs and load measurements
• High: Large cable tray scope creates coordination and firestop risk — Verify 1,966 ft cable tray route, supports, seismic bracing, 40% fill, MEP conflicts, sleeves and final firestop assemblies</v>
      </c>
      <c r="AH43" s="196" t="str">
        <f>IF($Z$46="Campus","Select a building tile for open questions.",IFERROR(INDEX([4]_Command_Trade_Notes!$H:$H,MATCH($Z$46,[4]_Command_Trade_Notes!$A:$A,0)),"No open questions captured."))</f>
        <v>• B61-Q1 — Confirm final telecom room list and PMIS mapping: B13H-A, 124, 226 and existing 137/137A demarc/server rooms? [Open] Impact: Room inventory could miss scope
• B61-Q2 — What active services and circuits are currently housed in Room 137/137A? [Open] Impact: Potential outage/cutover risk
• B61-Q3 — Are B61-TR137AA/AB panel references tied to Room 137 or a schedule naming mismatch for Room 124? [Open] Impact: Electrical PMIS mapping risk
• B61-Q4 — Are IU/CU-0-01, 1-01 and 2-01 on emergency/backup power and dedicated to the TRs they serve? [Open] Impact: Cooling continuity unclear
• B61-Q5 — Where are clean-agent/CO2 FEC cabinets located within 75 ft of each new TR? [Open] Impact: Life-safety acceptance risk
• B61-Q6 — Are rack UPS/PDU circuits, SPDs, labels, load measurements and LOTO requirements approved for all TR panelboards? [Open] Impact: Electrical readiness unknown</v>
      </c>
    </row>
    <row r="44" spans="1:34" ht="18" customHeight="1">
      <c r="A44" s="377"/>
      <c r="B44" s="377"/>
      <c r="C44" s="378"/>
      <c r="D44" s="379"/>
      <c r="E44" s="380"/>
      <c r="F44" s="380"/>
      <c r="G44" s="380"/>
      <c r="H44" s="380"/>
      <c r="I44" s="380"/>
      <c r="J44" s="380"/>
      <c r="K44" s="381"/>
      <c r="L44" s="221"/>
      <c r="M44" s="221"/>
      <c r="N44" s="221"/>
      <c r="O44" s="221"/>
      <c r="P44" s="221"/>
    </row>
    <row r="45" spans="1:34" s="336" customFormat="1" ht="69" customHeight="1">
      <c r="A45" s="270" t="s">
        <v>5922</v>
      </c>
      <c r="B45" s="344" t="s">
        <v>5923</v>
      </c>
      <c r="C45" s="345" t="s">
        <v>5843</v>
      </c>
      <c r="D45" s="367" t="s">
        <v>5924</v>
      </c>
      <c r="E45" s="367" t="s">
        <v>5848</v>
      </c>
      <c r="F45" s="367" t="s">
        <v>5906</v>
      </c>
      <c r="G45" s="367" t="s">
        <v>5925</v>
      </c>
      <c r="H45" s="367" t="s">
        <v>5908</v>
      </c>
      <c r="I45" s="367" t="s">
        <v>5837</v>
      </c>
      <c r="J45" s="367" t="s">
        <v>5858</v>
      </c>
      <c r="K45" s="367" t="s">
        <v>5928</v>
      </c>
      <c r="L45" s="367" t="s">
        <v>5929</v>
      </c>
      <c r="M45" s="198"/>
      <c r="N45" s="198"/>
      <c r="O45" s="198"/>
      <c r="P45" s="200"/>
      <c r="Z45" s="336" t="s">
        <v>331</v>
      </c>
    </row>
    <row r="46" spans="1:34" ht="57" customHeight="1">
      <c r="A46" s="203" t="str">
        <f>IFERROR(TEXT(VALUE($C$17),"00"),$C$17&amp;"")</f>
        <v>61</v>
      </c>
      <c r="B46" s="203" t="str">
        <f>IFERROR(INDEX(PMIS_Data!$B:$B,MATCH($A$46,PMIS_Data!$A:$A,0)),"")</f>
        <v>B61_Assessment</v>
      </c>
      <c r="C46" s="346">
        <f ca="1">IFERROR(INDEX(PMIS_Data!$Z:$Z,MATCH($A$46,PMIS_Data!$A:$A,0)),0)</f>
        <v>0</v>
      </c>
      <c r="D46" s="203" t="str">
        <f ca="1">IFERROR(INDEX(PMIS_Data!$AA:$AA,MATCH($A$46,PMIS_Data!$A:$A,0)),"")</f>
        <v>Withhold / Review</v>
      </c>
      <c r="E46" s="346">
        <f ca="1">IFERROR(INDEX(PMIS_Data!$AB:$AB,MATCH($A$46,PMIS_Data!$A:$A,0)),0)</f>
        <v>0</v>
      </c>
      <c r="F46" s="203" t="str">
        <f ca="1">IFERROR(INDEX(PMIS_Data!$AC:$AC,MATCH($A$46,PMIS_Data!$A:$A,0)),"")</f>
        <v>Blocked</v>
      </c>
      <c r="G46" s="203" t="str">
        <f ca="1">IFERROR(INDEX(PMIS_Data!$AD:$AD,MATCH($A$46,PMIS_Data!$A:$A,0)),"")</f>
        <v>No blocker documented</v>
      </c>
      <c r="H46" s="346">
        <f ca="1">IFERROR(INDEX(PMIS_Data!$AE:$AE,MATCH($A$46,PMIS_Data!$A:$A,0)),0)</f>
        <v>0</v>
      </c>
      <c r="I46" s="346">
        <f ca="1">IFERROR(INDEX(PMIS_Data!$AG:$AG,MATCH($A$46,PMIS_Data!$A:$A,0)),0)</f>
        <v>0</v>
      </c>
      <c r="J46" s="346">
        <f ca="1">IFERROR(INDEX(PMIS_Data!$AI:$AI,MATCH($A$46,PMIS_Data!$A:$A,0)),0)</f>
        <v>0</v>
      </c>
      <c r="K46" s="203" t="str">
        <f ca="1">IFERROR(INDEX(PMIS_Data!$AM:$AM,MATCH($A$46,PMIS_Data!$A:$A,0)),"")</f>
        <v>Resolve OIT Blocker</v>
      </c>
      <c r="L46" s="203" t="str">
        <f ca="1">IFERROR(INDEX(PMIS_Data!$AN:$AN,MATCH($A$46,PMIS_Data!$A:$A,0)),"")</f>
        <v>🔴 ATTENTION</v>
      </c>
      <c r="M46" s="198"/>
      <c r="N46" s="198"/>
      <c r="O46" s="198"/>
      <c r="P46" s="200"/>
      <c r="Z46" s="196" t="str">
        <f>IF($G$48="Campus","Campus",IFERROR(INDEX([4]_Command_Lists!$B$2:$B$33,MATCH($G$48,[4]_Command_Lists!$A$2:$A$33,0)),$G$48))</f>
        <v>61</v>
      </c>
    </row>
    <row r="47" spans="1:34" ht="18" customHeight="1">
      <c r="A47" s="198"/>
      <c r="B47" s="198"/>
      <c r="C47" s="198"/>
      <c r="D47" s="198"/>
      <c r="E47" s="198"/>
      <c r="F47" s="198"/>
      <c r="G47" s="198"/>
      <c r="H47" s="198"/>
      <c r="I47" s="198"/>
      <c r="J47" s="198"/>
      <c r="K47" s="198"/>
      <c r="L47" s="198"/>
      <c r="M47" s="198"/>
      <c r="N47" s="198"/>
      <c r="O47" s="198"/>
      <c r="P47" s="198"/>
      <c r="AA47" s="196" t="str">
        <f>IFERROR(INDEX([4]_Command_Source!$B:$B,MATCH($Z$46,[4]_Command_Source!$A:$A,0)),"")</f>
        <v>B61_Assessment</v>
      </c>
    </row>
    <row r="48" spans="1:34" ht="27.75" customHeight="1">
      <c r="A48" s="653" t="s">
        <v>332</v>
      </c>
      <c r="B48" s="565"/>
      <c r="C48" s="565"/>
      <c r="D48" s="565"/>
      <c r="E48" s="565"/>
      <c r="F48" s="566"/>
      <c r="G48" s="643" t="str">
        <f>IFERROR(INDEX([4]_Command_Lists!$A$2:$A$33,MATCH($C$17&amp;"",[4]_Command_Lists!$B$2:$B$33,0)),IFERROR("B"&amp;TEXT(VALUE($C$17),"00"),$C$17&amp;""))</f>
        <v>B61</v>
      </c>
      <c r="H48" s="644"/>
      <c r="I48" s="645" t="s">
        <v>333</v>
      </c>
      <c r="J48" s="565"/>
      <c r="K48" s="565"/>
      <c r="L48" s="565"/>
      <c r="M48" s="565"/>
      <c r="N48" s="565"/>
      <c r="O48" s="565"/>
      <c r="P48" s="566"/>
    </row>
    <row r="49" spans="1:16" ht="24.75" customHeight="1">
      <c r="A49" s="371"/>
      <c r="B49" s="371"/>
      <c r="C49" s="371"/>
      <c r="D49" s="371"/>
      <c r="E49" s="371"/>
      <c r="F49" s="371"/>
      <c r="G49" s="371"/>
      <c r="H49" s="371"/>
      <c r="I49" s="371"/>
      <c r="J49" s="371"/>
      <c r="K49" s="371"/>
      <c r="L49" s="371"/>
      <c r="M49" s="371"/>
      <c r="N49" s="371"/>
      <c r="O49" s="371"/>
      <c r="P49" s="371"/>
    </row>
    <row r="50" spans="1:16" ht="24.75" customHeight="1" thickBot="1">
      <c r="A50" s="646" t="str">
        <f>"SELECTED BUILDING WORKSPACE — "&amp;$G$48&amp;" OPERATIONAL PICTURE"</f>
        <v>SELECTED BUILDING WORKSPACE — B61 OPERATIONAL PICTURE</v>
      </c>
      <c r="B50" s="565"/>
      <c r="C50" s="565"/>
      <c r="D50" s="565"/>
      <c r="E50" s="565"/>
      <c r="F50" s="565"/>
      <c r="G50" s="565"/>
      <c r="H50" s="565"/>
      <c r="I50" s="565"/>
      <c r="J50" s="565"/>
      <c r="K50" s="565"/>
      <c r="L50" s="565"/>
      <c r="M50" s="565"/>
      <c r="N50" s="565"/>
      <c r="O50" s="565"/>
      <c r="P50" s="566"/>
    </row>
    <row r="51" spans="1:16" ht="24.75" customHeight="1">
      <c r="A51" s="568" t="str">
        <f>IF($Z$46="Campus","🌐 CAMPUS PROGRAM VIEW"&amp;CHAR(10)&amp;"Readiness: "&amp;TEXT(AVERAGEIF(PMIS_Data!$E$3:$E$44,"&gt;0"),"0%")&amp;CHAR(10)&amp;"Open Risks: "&amp;SUM(PMIS_Data!$H$3:$H$44)&amp;CHAR(10)&amp;"Open RFIs: "&amp;SUM(PMIS_Data!$I$3:$I$44),IFERROR("🏢 BUILDING "&amp;$G$48&amp;CHAR(10)&amp;"Status: "&amp;INDEX(PMIS_Data!$C:$C,MATCH($Z$46,PMIS_Data!$A:$A,0))&amp;CHAR(10)&amp;"Readiness: "&amp;TEXT(INDEX(PMIS_Data!$E:$E,MATCH($Z$46,PMIS_Data!$A:$A,0)),"0%")&amp;CHAR(10)&amp;"Construction Ready: "&amp;INDEX(PMIS_Data!$F:$F,MATCH($Z$46,PMIS_Data!$A:$A,0))&amp;CHAR(10)&amp;"Rooms Captured: "&amp;INDEX(PMIS_Data!$G:$G,MATCH($Z$46,PMIS_Data!$A:$A,0)),"No profile available."))</f>
        <v>🏢 BUILDING B61
Status: PILOT PHASE
Readiness: 55%
Construction Ready: YES
Rooms Captured: 29</v>
      </c>
      <c r="B51" s="569"/>
      <c r="C51" s="569"/>
      <c r="D51" s="570"/>
      <c r="E51" s="582" t="str">
        <f>IF($Z$46="Campus","⚠ CAMPUS BLOCKERS"&amp;CHAR(10)&amp;"Risks: "&amp;SUM(PMIS_Data!$H$3:$H$44)&amp;CHAR(10)&amp;"RFIs: "&amp;SUM(PMIS_Data!$I$3:$I$44)&amp;CHAR(10)&amp;"Review red/yellow building modules.",IFERROR("⚠ CURRENT BLOCKERS"&amp;CHAR(10)&amp;"Open Risks: "&amp;INDEX(PMIS_Data!$H:$H,MATCH($Z$46,PMIS_Data!$A:$A,0))&amp;CHAR(10)&amp;"Open Questions: "&amp;INDEX(PMIS_Data!$I:$I,MATCH($Z$46,PMIS_Data!$A:$A,0))&amp;CHAR(10)&amp;"Major Blocker: "&amp;INDEX(PMIS_Data!$R:$R,MATCH($Z$46,PMIS_Data!$A:$A,0)),"No blocker data."))</f>
        <v>⚠ CURRENT BLOCKERS
Open Risks: 0
Open Questions: 0
Major Blocker: Building 61 is a large full-scope TR building with hazardous abatement, architectural, fire protection, plumbing, mechanical, electrical, security, telecom, server/demarc and rack elevation scope. Primary new telecom rooms include basement B13H-A, first-level 124, second-level 226, and existing Room 137/137A demarc/server equipment. Major open issues include active-service cutover, dedicated cooling IU/CU-0-01/1-01/2-01, panel source coordination, rack UPS/PDU power, cable tray coordination, firestopping, PACS/CCTV, and turnover testing.</v>
      </c>
      <c r="F51" s="583"/>
      <c r="G51" s="583"/>
      <c r="H51" s="584"/>
      <c r="I51" s="600" t="str">
        <f>IF($Z$46="Campus","📷 FIELD CAPTURE"&amp;CHAR(10)&amp;"Open Photos: "&amp;SUM(PMIS_Data!$J$3:$J$44)&amp;CHAR(10)&amp;"Documents: review register.",IFERROR("📷 FIELD CAPTURE"&amp;CHAR(10)&amp;"Open Photo Items: "&amp;INDEX(PMIS_Data!$J:$J,MATCH($Z$46,PMIS_Data!$A:$A,0))&amp;CHAR(10)&amp;"HVAC: "&amp;INDEX(PMIS_Data!$K:$K,MATCH($Z$46,PMIS_Data!$A:$A,0))&amp;CHAR(10)&amp;"Electrical: "&amp;INDEX(PMIS_Data!$L:$L,MATCH($Z$46,PMIS_Data!$A:$A,0))&amp;CHAR(10)&amp;"Telecom: "&amp;INDEX(PMIS_Data!$M:$M,MATCH($Z$46,PMIS_Data!$A:$A,0)),"No field data."))</f>
        <v>📷 FIELD CAPTURE
Open Photo Items: 0
HVAC: Not Started
Electrical: Not Started
Telecom: Not Started</v>
      </c>
      <c r="J51" s="601"/>
      <c r="K51" s="601"/>
      <c r="L51" s="602"/>
      <c r="M51" s="648" t="str">
        <f>IF($Z$46="Campus","✅ NEXT REQUIRED ACTION"&amp;CHAR(10)&amp;"Triage campus-wide red/yellow tiles and issue closeout tasks.",IFERROR("✅ NEXT REQUIRED ACTION"&amp;CHAR(10)&amp;INDEX(PMIS_Data!$Q:$Q,MATCH($Z$46,PMIS_Data!$A:$A,0))&amp;CHAR(10)&amp;"Source: "&amp;INDEX(PMIS_Data!$B:$B,MATCH($Z$46,PMIS_Data!$A:$A,0)),"No action data."))</f>
        <v>✅ NEXT REQUIRED ACTION
Field verify B13H-A, 124, 226, and existing 137/137A; confirm active services, rack/equipment transfer, B61-TRB13A/B, B61-TR124A/B, B61-TR226A/B, B61-TR137AA/AB panel sources, IU/CU equipment, fire alarm/sprinkler impacts, FEC locations, PACS/CCTV scope, hazardous/abatement impacts, 1,966 ft cable tray routes, and cutover sequence.
Source: B61_Assessment</v>
      </c>
      <c r="N51" s="649"/>
      <c r="O51" s="649"/>
      <c r="P51" s="650"/>
    </row>
    <row r="52" spans="1:16" ht="24.75" customHeight="1">
      <c r="A52" s="571"/>
      <c r="B52" s="713"/>
      <c r="C52" s="713"/>
      <c r="D52" s="572"/>
      <c r="E52" s="585"/>
      <c r="F52" s="713"/>
      <c r="G52" s="713"/>
      <c r="H52" s="572"/>
      <c r="I52" s="603"/>
      <c r="J52" s="713"/>
      <c r="K52" s="713"/>
      <c r="L52" s="572"/>
      <c r="M52" s="651"/>
      <c r="N52" s="713"/>
      <c r="O52" s="713"/>
      <c r="P52" s="572"/>
    </row>
    <row r="53" spans="1:16" ht="24.75" customHeight="1">
      <c r="A53" s="571"/>
      <c r="B53" s="713"/>
      <c r="C53" s="713"/>
      <c r="D53" s="572"/>
      <c r="E53" s="585"/>
      <c r="F53" s="713"/>
      <c r="G53" s="713"/>
      <c r="H53" s="572"/>
      <c r="I53" s="603"/>
      <c r="J53" s="713"/>
      <c r="K53" s="713"/>
      <c r="L53" s="572"/>
      <c r="M53" s="651"/>
      <c r="N53" s="713"/>
      <c r="O53" s="713"/>
      <c r="P53" s="572"/>
    </row>
    <row r="54" spans="1:16" ht="24.75" customHeight="1">
      <c r="A54" s="571"/>
      <c r="B54" s="713"/>
      <c r="C54" s="713"/>
      <c r="D54" s="572"/>
      <c r="E54" s="585"/>
      <c r="F54" s="713"/>
      <c r="G54" s="713"/>
      <c r="H54" s="572"/>
      <c r="I54" s="603"/>
      <c r="J54" s="713"/>
      <c r="K54" s="713"/>
      <c r="L54" s="572"/>
      <c r="M54" s="651"/>
      <c r="N54" s="713"/>
      <c r="O54" s="713"/>
      <c r="P54" s="572"/>
    </row>
    <row r="55" spans="1:16" ht="24.75" customHeight="1">
      <c r="A55" s="571"/>
      <c r="B55" s="713"/>
      <c r="C55" s="713"/>
      <c r="D55" s="572"/>
      <c r="E55" s="585"/>
      <c r="F55" s="713"/>
      <c r="G55" s="713"/>
      <c r="H55" s="572"/>
      <c r="I55" s="603"/>
      <c r="J55" s="713"/>
      <c r="K55" s="713"/>
      <c r="L55" s="572"/>
      <c r="M55" s="651"/>
      <c r="N55" s="713"/>
      <c r="O55" s="713"/>
      <c r="P55" s="572"/>
    </row>
    <row r="56" spans="1:16" ht="24.75" customHeight="1">
      <c r="A56" s="571"/>
      <c r="B56" s="713"/>
      <c r="C56" s="713"/>
      <c r="D56" s="572"/>
      <c r="E56" s="585"/>
      <c r="F56" s="713"/>
      <c r="G56" s="713"/>
      <c r="H56" s="572"/>
      <c r="I56" s="603"/>
      <c r="J56" s="713"/>
      <c r="K56" s="713"/>
      <c r="L56" s="572"/>
      <c r="M56" s="651"/>
      <c r="N56" s="713"/>
      <c r="O56" s="713"/>
      <c r="P56" s="572"/>
    </row>
    <row r="57" spans="1:16" ht="18" customHeight="1">
      <c r="A57" s="571"/>
      <c r="B57" s="713"/>
      <c r="C57" s="713"/>
      <c r="D57" s="572"/>
      <c r="E57" s="585"/>
      <c r="F57" s="713"/>
      <c r="G57" s="713"/>
      <c r="H57" s="572"/>
      <c r="I57" s="603"/>
      <c r="J57" s="713"/>
      <c r="K57" s="713"/>
      <c r="L57" s="572"/>
      <c r="M57" s="651"/>
      <c r="N57" s="713"/>
      <c r="O57" s="713"/>
      <c r="P57" s="572"/>
    </row>
    <row r="58" spans="1:16" ht="27.75" customHeight="1">
      <c r="A58" s="573"/>
      <c r="B58" s="574"/>
      <c r="C58" s="574"/>
      <c r="D58" s="575"/>
      <c r="E58" s="586"/>
      <c r="F58" s="574"/>
      <c r="G58" s="574"/>
      <c r="H58" s="575"/>
      <c r="I58" s="604"/>
      <c r="J58" s="574"/>
      <c r="K58" s="574"/>
      <c r="L58" s="575"/>
      <c r="M58" s="652"/>
      <c r="N58" s="574"/>
      <c r="O58" s="574"/>
      <c r="P58" s="575"/>
    </row>
    <row r="59" spans="1:16" ht="25.5" customHeight="1">
      <c r="A59" s="714"/>
      <c r="B59" s="565"/>
      <c r="C59" s="565"/>
      <c r="D59" s="565"/>
      <c r="E59" s="565"/>
      <c r="F59" s="565"/>
      <c r="G59" s="565"/>
      <c r="H59" s="565"/>
      <c r="I59" s="565"/>
      <c r="J59" s="565"/>
      <c r="K59" s="565"/>
      <c r="L59" s="565"/>
      <c r="M59" s="565"/>
      <c r="N59" s="565"/>
      <c r="O59" s="565"/>
      <c r="P59" s="566"/>
    </row>
    <row r="60" spans="1:16" ht="25.5" customHeight="1" thickBot="1">
      <c r="A60" s="581" t="s">
        <v>334</v>
      </c>
      <c r="B60" s="565"/>
      <c r="C60" s="565"/>
      <c r="D60" s="565"/>
      <c r="E60" s="565"/>
      <c r="F60" s="565"/>
      <c r="G60" s="565"/>
      <c r="H60" s="566"/>
      <c r="I60" s="581"/>
      <c r="J60" s="565"/>
      <c r="K60" s="565"/>
      <c r="L60" s="565"/>
      <c r="M60" s="565"/>
      <c r="N60" s="565"/>
      <c r="O60" s="565"/>
      <c r="P60" s="566"/>
    </row>
    <row r="61" spans="1:16" ht="25.5" customHeight="1">
      <c r="A61" s="632" t="str">
        <f>IF($Z$46="Campus","🌐 Campus: review critical modules, open risks, RFIs, shutdowns, and field capture gaps."&amp;CHAR(10)&amp;"• Select a building for module-level feed."&amp;CHAR(10)&amp;"• Building tiles open assessment source sheets.",IFERROR("🏢 "&amp;$G$48&amp;" Mission Feed"&amp;CHAR(10)&amp;"• Next Action: "&amp;INDEX(PMIS_Data!$Q:$Q,MATCH($Z$46,PMIS_Data!$A:$A,0))&amp;CHAR(10)&amp;"• Major Blocker: "&amp;INDEX(PMIS_Data!$R:$R,MATCH($Z$46,PMIS_Data!$A:$A,0))&amp;CHAR(10)&amp;"• Risks/RFIs/Photos: "&amp;INDEX(PMIS_Data!$H:$H,MATCH($Z$46,PMIS_Data!$A:$A,0))&amp;" / "&amp;INDEX(PMIS_Data!$I:$I,MATCH($Z$46,PMIS_Data!$A:$A,0))&amp;" / "&amp;INDEX(PMIS_Data!$J:$J,MATCH($Z$46,PMIS_Data!$A:$A,0)),"No mission feed available."))</f>
        <v>🏢 B61 Mission Feed
• Next Action: Field verify B13H-A, 124, 226, and existing 137/137A; confirm active services, rack/equipment transfer, B61-TRB13A/B, B61-TR124A/B, B61-TR226A/B, B61-TR137AA/AB panel sources, IU/CU equipment, fire alarm/sprinkler impacts, FEC locations, PACS/CCTV scope, hazardous/abatement impacts, 1,966 ft cable tray routes, and cutover sequence.
• Major Blocker: Building 61 is a large full-scope TR building with hazardous abatement, architectural, fire protection, plumbing, mechanical, electrical, security, telecom, server/demarc and rack elevation scope. Primary new telecom rooms include basement B13H-A, first-level 124, second-level 226, and existing Room 137/137A demarc/server equipment. Major open issues include active-service cutover, dedicated cooling IU/CU-0-01/1-01/2-01, panel source coordination, rack UPS/PDU power, cable tray coordination, firestopping, PACS/CCTV, and turnover testing.
• Risks/RFIs/Photos: 0 / 0 / 0</v>
      </c>
      <c r="B61" s="633"/>
      <c r="C61" s="633"/>
      <c r="D61" s="633"/>
      <c r="E61" s="633"/>
      <c r="F61" s="633"/>
      <c r="G61" s="633"/>
      <c r="H61" s="633"/>
      <c r="I61" s="633"/>
      <c r="J61" s="633"/>
      <c r="K61" s="633"/>
      <c r="L61" s="633"/>
      <c r="M61" s="633"/>
      <c r="N61" s="633"/>
      <c r="O61" s="633"/>
      <c r="P61" s="634"/>
    </row>
    <row r="62" spans="1:16" ht="39.6" customHeight="1">
      <c r="A62" s="635"/>
      <c r="B62" s="712"/>
      <c r="C62" s="712"/>
      <c r="D62" s="712"/>
      <c r="E62" s="712"/>
      <c r="F62" s="712"/>
      <c r="G62" s="712"/>
      <c r="H62" s="712"/>
      <c r="I62" s="712"/>
      <c r="J62" s="712"/>
      <c r="K62" s="712"/>
      <c r="L62" s="712"/>
      <c r="M62" s="712"/>
      <c r="N62" s="712"/>
      <c r="O62" s="712"/>
      <c r="P62" s="637"/>
    </row>
    <row r="63" spans="1:16" ht="25.2" hidden="1" customHeight="1">
      <c r="A63" s="635"/>
      <c r="B63" s="712"/>
      <c r="C63" s="712"/>
      <c r="D63" s="712"/>
      <c r="E63" s="712"/>
      <c r="F63" s="712"/>
      <c r="G63" s="712"/>
      <c r="H63" s="712"/>
      <c r="I63" s="712"/>
      <c r="J63" s="712"/>
      <c r="K63" s="712"/>
      <c r="L63" s="712"/>
      <c r="M63" s="712"/>
      <c r="N63" s="712"/>
      <c r="O63" s="712"/>
      <c r="P63" s="637"/>
    </row>
    <row r="64" spans="1:16" ht="25.2" hidden="1" customHeight="1">
      <c r="A64" s="635"/>
      <c r="B64" s="712"/>
      <c r="C64" s="712"/>
      <c r="D64" s="712"/>
      <c r="E64" s="712"/>
      <c r="F64" s="712"/>
      <c r="G64" s="712"/>
      <c r="H64" s="712"/>
      <c r="I64" s="712"/>
      <c r="J64" s="712"/>
      <c r="K64" s="712"/>
      <c r="L64" s="712"/>
      <c r="M64" s="712"/>
      <c r="N64" s="712"/>
      <c r="O64" s="712"/>
      <c r="P64" s="637"/>
    </row>
    <row r="65" spans="1:16" ht="25.2" hidden="1" customHeight="1">
      <c r="A65" s="635"/>
      <c r="B65" s="712"/>
      <c r="C65" s="712"/>
      <c r="D65" s="712"/>
      <c r="E65" s="712"/>
      <c r="F65" s="712"/>
      <c r="G65" s="712"/>
      <c r="H65" s="712"/>
      <c r="I65" s="712"/>
      <c r="J65" s="712"/>
      <c r="K65" s="712"/>
      <c r="L65" s="712"/>
      <c r="M65" s="712"/>
      <c r="N65" s="712"/>
      <c r="O65" s="712"/>
      <c r="P65" s="637"/>
    </row>
    <row r="66" spans="1:16" ht="220.2" hidden="1" customHeight="1">
      <c r="A66" s="635"/>
      <c r="B66" s="712"/>
      <c r="C66" s="712"/>
      <c r="D66" s="712"/>
      <c r="E66" s="712"/>
      <c r="F66" s="712"/>
      <c r="G66" s="712"/>
      <c r="H66" s="712"/>
      <c r="I66" s="712"/>
      <c r="J66" s="712"/>
      <c r="K66" s="712"/>
      <c r="L66" s="712"/>
      <c r="M66" s="712"/>
      <c r="N66" s="712"/>
      <c r="O66" s="712"/>
      <c r="P66" s="637"/>
    </row>
    <row r="67" spans="1:16" ht="18" customHeight="1">
      <c r="A67" s="635"/>
      <c r="B67" s="712"/>
      <c r="C67" s="712"/>
      <c r="D67" s="712"/>
      <c r="E67" s="712"/>
      <c r="F67" s="712"/>
      <c r="G67" s="712"/>
      <c r="H67" s="712"/>
      <c r="I67" s="712"/>
      <c r="J67" s="712"/>
      <c r="K67" s="712"/>
      <c r="L67" s="712"/>
      <c r="M67" s="712"/>
      <c r="N67" s="712"/>
      <c r="O67" s="712"/>
      <c r="P67" s="637"/>
    </row>
    <row r="68" spans="1:16" ht="58.5" customHeight="1">
      <c r="A68" s="638"/>
      <c r="B68" s="639"/>
      <c r="C68" s="639"/>
      <c r="D68" s="639"/>
      <c r="E68" s="639"/>
      <c r="F68" s="639"/>
      <c r="G68" s="639"/>
      <c r="H68" s="639"/>
      <c r="I68" s="639"/>
      <c r="J68" s="639"/>
      <c r="K68" s="639"/>
      <c r="L68" s="639"/>
      <c r="M68" s="639"/>
      <c r="N68" s="639"/>
      <c r="O68" s="639"/>
      <c r="P68" s="640"/>
    </row>
    <row r="69" spans="1:16" ht="19.5" customHeight="1">
      <c r="A69" s="711"/>
      <c r="B69" s="565"/>
      <c r="C69" s="565"/>
      <c r="D69" s="565"/>
      <c r="E69" s="565"/>
      <c r="F69" s="565"/>
      <c r="G69" s="565"/>
      <c r="H69" s="565"/>
      <c r="I69" s="565"/>
      <c r="J69" s="565"/>
      <c r="K69" s="565"/>
      <c r="L69" s="565"/>
      <c r="M69" s="565"/>
      <c r="N69" s="565"/>
      <c r="O69" s="565"/>
      <c r="P69" s="566"/>
    </row>
    <row r="70" spans="1:16" ht="19.5" customHeight="1" thickBot="1">
      <c r="A70" s="686" t="s">
        <v>335</v>
      </c>
      <c r="B70" s="565"/>
      <c r="C70" s="565"/>
      <c r="D70" s="565"/>
      <c r="E70" s="565"/>
      <c r="F70" s="565"/>
      <c r="G70" s="565"/>
      <c r="H70" s="565"/>
      <c r="I70" s="565"/>
      <c r="J70" s="565"/>
      <c r="K70" s="565"/>
      <c r="L70" s="565"/>
      <c r="M70" s="565"/>
      <c r="N70" s="565"/>
      <c r="O70" s="565"/>
      <c r="P70" s="566"/>
    </row>
    <row r="71" spans="1:16" ht="19.5" customHeight="1" thickBot="1">
      <c r="A71" s="592" t="str">
        <f>"🔥 FIRE / LIFE SAFETY"&amp;CHAR(10)&amp;AB43</f>
        <v>🔥 FIRE / LIFE SAFETY
• Dedicated TR scope includes fire protection drawings. Verify sprinkler modifications, fire alarm devices, clean-agent 2A:10B:C FEC within 75 ft, rated penetrations, and temporary firestopping.
• Verify sprinkler/fire alarm modifications, clean-agent FEC location, penetrations, cable tray/riser openings, and final UL firestop systems.
• Verify second-level TR sprinkler/fire alarm modifications, clean-agent FEC location, vertical riser penetrations, and firestopping.
• Existing demarc/server rooms may remain active; verify protection-in-place, FA/FP continuity, and no unsealed penetrations after cabling work.</v>
      </c>
      <c r="B71" s="593"/>
      <c r="C71" s="593"/>
      <c r="D71" s="593"/>
      <c r="E71" s="593"/>
      <c r="F71" s="593"/>
      <c r="G71" s="594"/>
      <c r="H71" s="594"/>
      <c r="I71" s="690" t="str">
        <f>"❄ HVAC / COOLING"&amp;CHAR(10)&amp;AC43</f>
        <v>❄ HVAC / COOLING
• Mechanical sheets identify dedicated split-system cooling with BACnet adapter mounted adjacent to unit in telecom room. Confirm capacity, emergency source, condensate, disconnect, controls, and alarms.
• Mechanical/electrical plans identify IU-1-01/CU-1-01 for first-level TR. Confirm 24/7 operation, emergency/standby source and high-temp alarm.
• Mechanical/electrical plans identify IU-2-01/CU-2-01 for second-level TR. Confirm refrigerant route, condensate route, controls and alarm tie-in.
• Existing demarc/server equipment likely has existing cooling dependencies. Verify active equipment heat load, airflow, operational temperatures and whether any existing cooling is modified or protected.</v>
      </c>
      <c r="J71" s="691"/>
      <c r="K71" s="691"/>
      <c r="L71" s="691"/>
      <c r="M71" s="691"/>
      <c r="N71" s="692"/>
      <c r="O71" s="693"/>
      <c r="P71" s="694"/>
    </row>
    <row r="72" spans="1:16" ht="19.5" customHeight="1">
      <c r="A72" s="595"/>
      <c r="B72" s="595"/>
      <c r="C72" s="595"/>
      <c r="D72" s="595"/>
      <c r="E72" s="595"/>
      <c r="F72" s="595"/>
      <c r="G72" s="596"/>
      <c r="H72" s="596"/>
      <c r="I72" s="695"/>
      <c r="J72" s="695"/>
      <c r="K72" s="695"/>
      <c r="L72" s="695"/>
      <c r="M72" s="695"/>
      <c r="N72" s="696"/>
      <c r="O72" s="596"/>
      <c r="P72" s="668"/>
    </row>
    <row r="73" spans="1:16" ht="19.5" customHeight="1">
      <c r="A73" s="595"/>
      <c r="B73" s="595"/>
      <c r="C73" s="595"/>
      <c r="D73" s="595"/>
      <c r="E73" s="595"/>
      <c r="F73" s="595"/>
      <c r="G73" s="596"/>
      <c r="H73" s="596"/>
      <c r="I73" s="695"/>
      <c r="J73" s="695"/>
      <c r="K73" s="695"/>
      <c r="L73" s="695"/>
      <c r="M73" s="695"/>
      <c r="N73" s="696"/>
      <c r="O73" s="596"/>
      <c r="P73" s="668"/>
    </row>
    <row r="74" spans="1:16" ht="103.95" customHeight="1">
      <c r="A74" s="595"/>
      <c r="B74" s="595"/>
      <c r="C74" s="595"/>
      <c r="D74" s="595"/>
      <c r="E74" s="595"/>
      <c r="F74" s="595"/>
      <c r="G74" s="596"/>
      <c r="H74" s="596"/>
      <c r="I74" s="695"/>
      <c r="J74" s="695"/>
      <c r="K74" s="695"/>
      <c r="L74" s="695"/>
      <c r="M74" s="695"/>
      <c r="N74" s="696"/>
      <c r="O74" s="596"/>
      <c r="P74" s="668"/>
    </row>
    <row r="75" spans="1:16" ht="99.6" hidden="1" customHeight="1">
      <c r="A75" s="595"/>
      <c r="B75" s="595"/>
      <c r="C75" s="595"/>
      <c r="D75" s="595"/>
      <c r="E75" s="595"/>
      <c r="F75" s="595"/>
      <c r="G75" s="596"/>
      <c r="H75" s="596"/>
      <c r="I75" s="695"/>
      <c r="J75" s="695"/>
      <c r="K75" s="695"/>
      <c r="L75" s="695"/>
      <c r="M75" s="695"/>
      <c r="N75" s="696"/>
      <c r="O75" s="596"/>
      <c r="P75" s="668"/>
    </row>
    <row r="76" spans="1:16" ht="19.5" customHeight="1" thickBot="1">
      <c r="A76" s="597"/>
      <c r="B76" s="597"/>
      <c r="C76" s="597"/>
      <c r="D76" s="597"/>
      <c r="E76" s="597"/>
      <c r="F76" s="597"/>
      <c r="G76" s="596"/>
      <c r="H76" s="596"/>
      <c r="I76" s="697"/>
      <c r="J76" s="697"/>
      <c r="K76" s="697"/>
      <c r="L76" s="697"/>
      <c r="M76" s="697"/>
      <c r="N76" s="698"/>
      <c r="O76" s="596"/>
      <c r="P76" s="668"/>
    </row>
    <row r="77" spans="1:16" ht="19.5" customHeight="1" thickBot="1">
      <c r="A77" s="598"/>
      <c r="B77" s="599"/>
      <c r="C77" s="599"/>
      <c r="D77" s="599"/>
      <c r="E77" s="599"/>
      <c r="F77" s="599"/>
      <c r="G77" s="599"/>
      <c r="H77" s="599"/>
      <c r="I77" s="699"/>
      <c r="J77" s="699"/>
      <c r="K77" s="699"/>
      <c r="L77" s="699"/>
      <c r="M77" s="699"/>
      <c r="N77" s="699"/>
      <c r="O77" s="699"/>
      <c r="P77" s="700"/>
    </row>
    <row r="78" spans="1:16" ht="19.5" customHeight="1" thickBot="1">
      <c r="A78" s="706" t="str">
        <f>"⚡ ELECTRICAL / UPS"&amp;CHAR(10)&amp;AD43</f>
        <v>⚡ ELECTRICAL / UPS
• Electrical enlarged plans and schedules identify rack receptacles, UPS circuits, PDUs, panelboards, SPD devices and dedicated cooling power for B13H-A. Verify B61-TRB13A/B source, LOTO and labels.
• Electrical schedules identify B61-TR124A/B and rack receptacles. Verify apparent room-name mismatch with RM137B rack receptacles in schedules.
• Electrical schedules identify B61-TR226A/B, rack receptacles, CU-2-01 and SPD requirements. Verify source circuits and labels.
• Existing rack inventory includes APC UPS/PDU and server/demarc equipment. Electrical one-line/schedules list B61-TR137AA/AB and PD-B61-TR137 panels; verify active sources and transition impact.</v>
      </c>
      <c r="B78" s="707"/>
      <c r="C78" s="707"/>
      <c r="D78" s="707"/>
      <c r="E78" s="707"/>
      <c r="F78" s="707"/>
      <c r="G78" s="693"/>
      <c r="H78" s="693"/>
      <c r="I78" s="662" t="str">
        <f>"📡 TELECOM / FIBER"&amp;CHAR(10)&amp;AE43</f>
        <v>📡 TELECOM / FIBER
• 61T-701: 88 WAO total, 74 active ports, 129 scheduled ports, 142 with 10% allowance. Rack ID TR01-B13H-A-1. Basement cable tray included in 890 ft basement total.
• 61T-701: first-level Room 124 / Rack ID TR01-124-1. Schedule data runs across first-level outlets. Include labels, Fiber LIU, Cat6A patch panels, UPS/PDU and VA/OIT acceptance.
• 61T-702: 109 WAO total, 126 active ports, 156 scheduled ports, 172 with 10% allowance. Rack ID TR01-226-1. Verify second-level cable tray and riser penetrations.
• 61T-402/606/607 inventory existing demarc/server racks and equipment. Protect active systems, coordinate cutover, preserve labels, document equipment remaining in service.</v>
      </c>
      <c r="J78" s="663"/>
      <c r="K78" s="663"/>
      <c r="L78" s="663"/>
      <c r="M78" s="663"/>
      <c r="N78" s="664"/>
      <c r="O78" s="658"/>
      <c r="P78" s="665"/>
    </row>
    <row r="79" spans="1:16" ht="19.5" customHeight="1">
      <c r="A79" s="708"/>
      <c r="B79" s="708"/>
      <c r="C79" s="708"/>
      <c r="D79" s="708"/>
      <c r="E79" s="708"/>
      <c r="F79" s="708"/>
      <c r="G79" s="596"/>
      <c r="H79" s="596"/>
      <c r="I79" s="666"/>
      <c r="J79" s="666"/>
      <c r="K79" s="666"/>
      <c r="L79" s="666"/>
      <c r="M79" s="666"/>
      <c r="N79" s="667"/>
      <c r="O79" s="596"/>
      <c r="P79" s="668"/>
    </row>
    <row r="80" spans="1:16" ht="19.5" customHeight="1">
      <c r="A80" s="708"/>
      <c r="B80" s="708"/>
      <c r="C80" s="708"/>
      <c r="D80" s="708"/>
      <c r="E80" s="708"/>
      <c r="F80" s="708"/>
      <c r="G80" s="596"/>
      <c r="H80" s="596"/>
      <c r="I80" s="666"/>
      <c r="J80" s="666"/>
      <c r="K80" s="666"/>
      <c r="L80" s="666"/>
      <c r="M80" s="666"/>
      <c r="N80" s="667"/>
      <c r="O80" s="596"/>
      <c r="P80" s="668"/>
    </row>
    <row r="81" spans="1:16" ht="104.4" customHeight="1">
      <c r="A81" s="708"/>
      <c r="B81" s="708"/>
      <c r="C81" s="708"/>
      <c r="D81" s="708"/>
      <c r="E81" s="708"/>
      <c r="F81" s="708"/>
      <c r="G81" s="596"/>
      <c r="H81" s="596"/>
      <c r="I81" s="666"/>
      <c r="J81" s="666"/>
      <c r="K81" s="666"/>
      <c r="L81" s="666"/>
      <c r="M81" s="666"/>
      <c r="N81" s="667"/>
      <c r="O81" s="596"/>
      <c r="P81" s="668"/>
    </row>
    <row r="82" spans="1:16" ht="88.2" hidden="1" customHeight="1">
      <c r="A82" s="708"/>
      <c r="B82" s="708"/>
      <c r="C82" s="708"/>
      <c r="D82" s="708"/>
      <c r="E82" s="708"/>
      <c r="F82" s="708"/>
      <c r="G82" s="596"/>
      <c r="H82" s="596"/>
      <c r="I82" s="666"/>
      <c r="J82" s="666"/>
      <c r="K82" s="666"/>
      <c r="L82" s="666"/>
      <c r="M82" s="666"/>
      <c r="N82" s="667"/>
      <c r="O82" s="596"/>
      <c r="P82" s="668"/>
    </row>
    <row r="83" spans="1:16" ht="19.5" customHeight="1" thickBot="1">
      <c r="A83" s="709"/>
      <c r="B83" s="709"/>
      <c r="C83" s="709"/>
      <c r="D83" s="709"/>
      <c r="E83" s="709"/>
      <c r="F83" s="709"/>
      <c r="G83" s="596"/>
      <c r="H83" s="596"/>
      <c r="I83" s="669"/>
      <c r="J83" s="669"/>
      <c r="K83" s="669"/>
      <c r="L83" s="669"/>
      <c r="M83" s="669"/>
      <c r="N83" s="670"/>
      <c r="O83" s="596"/>
      <c r="P83" s="668"/>
    </row>
    <row r="84" spans="1:16" ht="19.5" customHeight="1" thickBot="1">
      <c r="A84" s="710"/>
      <c r="B84" s="699"/>
      <c r="C84" s="699"/>
      <c r="D84" s="699"/>
      <c r="E84" s="699"/>
      <c r="F84" s="699"/>
      <c r="G84" s="699"/>
      <c r="H84" s="699"/>
      <c r="I84" s="671"/>
      <c r="J84" s="671"/>
      <c r="K84" s="671"/>
      <c r="L84" s="671"/>
      <c r="M84" s="671"/>
      <c r="N84" s="671"/>
      <c r="O84" s="671"/>
      <c r="P84" s="672"/>
    </row>
    <row r="85" spans="1:16" ht="19.5" customHeight="1">
      <c r="A85" s="656" t="s">
        <v>5939</v>
      </c>
      <c r="B85" s="657"/>
      <c r="C85" s="657"/>
      <c r="D85" s="657"/>
      <c r="E85" s="657"/>
      <c r="F85" s="657"/>
      <c r="G85" s="658"/>
      <c r="H85" s="658"/>
      <c r="I85" s="623" t="str">
        <f>"❓ RISKS / OPEN QUESTIONS"&amp;CHAR(10)&amp;"Owner Risks:"&amp;CHAR(10)&amp;AG43&amp;CHAR(10)&amp;"Open Questions:"&amp;CHAR(10)&amp;AH43</f>
        <v>❓ RISKS / OPEN QUESTIONS
Owner Risks:
• High: Existing conditions and active equipment across B13H-A, 124, 226 and 137/137A not field verified — Perform existing conditions survey with photos and active-service inventory before mobilization
• High: Hazardous material abatement plans exist for first and second levels — Coordinate IH/abatement review before penetrations, wall/ceiling work, cabling or mechanical/electrical installation
• Critical: Existing server/demarc equipment may remain active during cutover — Document active services, service provider circuits, rack inventory, OIT windows, temporary utilities and rollback path
• Critical: Dedicated cooling sequence, emergency power, condensate, BACnet and alarms not verified — Confirm IU/CU-0/1/2 power source, condensate, controls, BACnet adapter, thermostat and high-temp alarm
• Critical: Panel source, UPS/PDU and rack receptacle coordination could delay energization — Verify B61-TRB13A/B, B61-TR124A/B, B61-TR226A/B, B61-TR137AA/AB, PD panels, SPDs and load measurements
• High: Large cable tray scope creates coordination and firestop risk — Verify 1,966 ft cable tray route, supports, seismic bracing, 40% fill, MEP conflicts, sleeves and final firestop assemblies
Open Questions:
• B61-Q1 — Confirm final telecom room list and PMIS mapping: B13H-A, 124, 226 and existing 137/137A demarc/server rooms? [Open] Impact: Room inventory could miss scope
• B61-Q2 — What active services and circuits are currently housed in Room 137/137A? [Open] Impact: Potential outage/cutover risk
• B61-Q3 — Are B61-TR137AA/AB panel references tied to Room 137 or a schedule naming mismatch for Room 124? [Open] Impact: Electrical PMIS mapping risk
• B61-Q4 — Are IU/CU-0-01, 1-01 and 2-01 on emergency/backup power and dedicated to the TRs they serve? [Open] Impact: Cooling continuity unclear
• B61-Q5 — Where are clean-agent/CO2 FEC cabinets located within 75 ft of each new TR? [Open] Impact: Life-safety acceptance risk
• B61-Q6 — Are rack UPS/PDU circuits, SPDs, labels, load measurements and LOTO requirements approved for all TR panelboards? [Open] Impact: Electrical readiness unknown</v>
      </c>
      <c r="J85" s="623"/>
      <c r="K85" s="623"/>
      <c r="L85" s="623"/>
      <c r="M85" s="623"/>
      <c r="N85" s="623"/>
      <c r="O85" s="623"/>
      <c r="P85" s="624"/>
    </row>
    <row r="86" spans="1:16" ht="19.5" customHeight="1">
      <c r="A86" s="659"/>
      <c r="B86" s="659"/>
      <c r="C86" s="659"/>
      <c r="D86" s="659"/>
      <c r="E86" s="659"/>
      <c r="F86" s="659"/>
      <c r="G86" s="596"/>
      <c r="H86" s="596"/>
      <c r="I86" s="625"/>
      <c r="J86" s="625"/>
      <c r="K86" s="625"/>
      <c r="L86" s="625"/>
      <c r="M86" s="625"/>
      <c r="N86" s="625"/>
      <c r="O86" s="625"/>
      <c r="P86" s="626"/>
    </row>
    <row r="87" spans="1:16" ht="19.5" customHeight="1">
      <c r="A87" s="659"/>
      <c r="B87" s="659"/>
      <c r="C87" s="659"/>
      <c r="D87" s="659"/>
      <c r="E87" s="659"/>
      <c r="F87" s="659"/>
      <c r="G87" s="596"/>
      <c r="H87" s="596"/>
      <c r="I87" s="625"/>
      <c r="J87" s="625"/>
      <c r="K87" s="625"/>
      <c r="L87" s="625"/>
      <c r="M87" s="625"/>
      <c r="N87" s="625"/>
      <c r="O87" s="625"/>
      <c r="P87" s="626"/>
    </row>
    <row r="88" spans="1:16" ht="178.5" customHeight="1">
      <c r="A88" s="659"/>
      <c r="B88" s="659"/>
      <c r="C88" s="659"/>
      <c r="D88" s="659"/>
      <c r="E88" s="659"/>
      <c r="F88" s="659"/>
      <c r="G88" s="596"/>
      <c r="H88" s="596"/>
      <c r="I88" s="625"/>
      <c r="J88" s="625"/>
      <c r="K88" s="625"/>
      <c r="L88" s="625"/>
      <c r="M88" s="625"/>
      <c r="N88" s="625"/>
      <c r="O88" s="625"/>
      <c r="P88" s="626"/>
    </row>
    <row r="89" spans="1:16" ht="219" hidden="1" customHeight="1">
      <c r="A89" s="659"/>
      <c r="B89" s="659"/>
      <c r="C89" s="659"/>
      <c r="D89" s="659"/>
      <c r="E89" s="659"/>
      <c r="F89" s="659"/>
      <c r="G89" s="596"/>
      <c r="H89" s="596"/>
      <c r="I89" s="625"/>
      <c r="J89" s="625"/>
      <c r="K89" s="625"/>
      <c r="L89" s="625"/>
      <c r="M89" s="625"/>
      <c r="N89" s="625"/>
      <c r="O89" s="625"/>
      <c r="P89" s="626"/>
    </row>
    <row r="90" spans="1:16" ht="25.5" hidden="1" customHeight="1">
      <c r="A90" s="660"/>
      <c r="B90" s="660"/>
      <c r="C90" s="660"/>
      <c r="D90" s="660"/>
      <c r="E90" s="660"/>
      <c r="F90" s="660"/>
      <c r="G90" s="596"/>
      <c r="H90" s="596"/>
      <c r="I90" s="625"/>
      <c r="J90" s="625"/>
      <c r="K90" s="625"/>
      <c r="L90" s="625"/>
      <c r="M90" s="625"/>
      <c r="N90" s="625"/>
      <c r="O90" s="625"/>
      <c r="P90" s="626"/>
    </row>
    <row r="91" spans="1:16" ht="177" customHeight="1">
      <c r="A91" s="661"/>
      <c r="B91" s="661"/>
      <c r="C91" s="661"/>
      <c r="D91" s="661"/>
      <c r="E91" s="661"/>
      <c r="F91" s="661"/>
      <c r="G91" s="661"/>
      <c r="H91" s="661"/>
      <c r="I91" s="627"/>
      <c r="J91" s="627"/>
      <c r="K91" s="627"/>
      <c r="L91" s="627"/>
      <c r="M91" s="627"/>
      <c r="N91" s="627"/>
      <c r="O91" s="627"/>
      <c r="P91" s="628"/>
    </row>
    <row r="92" spans="1:16" ht="18" customHeight="1">
      <c r="A92" s="577" t="s">
        <v>336</v>
      </c>
      <c r="B92" s="578"/>
      <c r="C92" s="578"/>
      <c r="D92" s="578"/>
      <c r="E92" s="578"/>
      <c r="F92" s="578"/>
      <c r="G92" s="578"/>
      <c r="H92" s="578"/>
      <c r="I92" s="578"/>
      <c r="J92" s="578"/>
      <c r="K92" s="578"/>
      <c r="L92" s="578"/>
      <c r="M92" s="578"/>
      <c r="N92" s="578"/>
      <c r="O92" s="578"/>
      <c r="P92" s="579"/>
    </row>
    <row r="93" spans="1:16" ht="27.75" customHeight="1">
      <c r="A93" s="580"/>
      <c r="B93" s="574"/>
      <c r="C93" s="574"/>
      <c r="D93" s="574"/>
      <c r="E93" s="574"/>
      <c r="F93" s="574"/>
      <c r="G93" s="574"/>
      <c r="H93" s="574"/>
      <c r="I93" s="574"/>
      <c r="J93" s="574"/>
      <c r="K93" s="574"/>
      <c r="L93" s="574"/>
      <c r="M93" s="574"/>
      <c r="N93" s="574"/>
      <c r="O93" s="574"/>
      <c r="P93" s="575"/>
    </row>
    <row r="94" spans="1:16" ht="18" customHeight="1">
      <c r="A94" s="711"/>
      <c r="B94" s="565"/>
      <c r="C94" s="565"/>
      <c r="D94" s="565"/>
      <c r="E94" s="565"/>
      <c r="F94" s="565"/>
      <c r="G94" s="565"/>
      <c r="H94" s="565"/>
      <c r="I94" s="565"/>
      <c r="J94" s="565"/>
      <c r="K94" s="565"/>
      <c r="L94" s="565"/>
      <c r="M94" s="565"/>
      <c r="N94" s="565"/>
      <c r="O94" s="565"/>
      <c r="P94" s="566"/>
    </row>
    <row r="95" spans="1:16" ht="74.400000000000006" hidden="1" customHeight="1">
      <c r="A95" s="685" t="s">
        <v>337</v>
      </c>
      <c r="B95" s="565"/>
      <c r="C95" s="565"/>
      <c r="D95" s="565"/>
      <c r="E95" s="565"/>
      <c r="F95" s="565"/>
      <c r="G95" s="565"/>
      <c r="H95" s="565"/>
      <c r="I95" s="565"/>
      <c r="J95" s="565"/>
      <c r="K95" s="565"/>
      <c r="L95" s="565"/>
      <c r="M95" s="565"/>
      <c r="N95" s="565"/>
      <c r="O95" s="565"/>
      <c r="P95" s="566"/>
    </row>
    <row r="96" spans="1:16" ht="74.400000000000006" hidden="1" customHeight="1">
      <c r="A96" s="576" t="s">
        <v>338</v>
      </c>
      <c r="B96" s="566"/>
      <c r="C96" s="576" t="s">
        <v>268</v>
      </c>
      <c r="D96" s="566"/>
      <c r="E96" s="576" t="s">
        <v>339</v>
      </c>
      <c r="F96" s="565"/>
      <c r="G96" s="566"/>
      <c r="H96" s="576" t="s">
        <v>340</v>
      </c>
      <c r="I96" s="565"/>
      <c r="J96" s="566"/>
      <c r="K96" s="576" t="s">
        <v>341</v>
      </c>
      <c r="L96" s="565"/>
      <c r="M96" s="566"/>
      <c r="N96" s="576" t="s">
        <v>11</v>
      </c>
      <c r="O96" s="565"/>
      <c r="P96" s="566"/>
    </row>
    <row r="97" spans="1:16" ht="74.400000000000006" hidden="1" customHeight="1">
      <c r="A97" s="567" t="str">
        <f>IFERROR(INDEX([4]_Assessment_Full_View!$E:$E,MATCH($Z$46&amp;"|"&amp;ROWS($A$97:A97),[4]_Assessment_Full_View!$Q:$Q,0)),"")</f>
        <v>1. ROOM INVENTORY</v>
      </c>
      <c r="B97" s="566"/>
      <c r="C97" s="567" t="str">
        <f>IFERROR(INDEX([4]_Assessment_Full_View!$G:$G,MATCH($Z$46&amp;"|"&amp;ROWS($A$97:A97),[4]_Assessment_Full_View!$Q:$Q,0))&amp;" / "&amp;INDEX([4]_Assessment_Full_View!$H:$H,MATCH($Z$46&amp;"|"&amp;ROWS($A$97:A97),[4]_Assessment_Full_View!$Q:$Q,0)),"")</f>
        <v>1. ROOM INVENTORY / 0</v>
      </c>
      <c r="D97" s="566"/>
      <c r="E97" s="567" t="str">
        <f>IFERROR(INDEX([4]_Assessment_Full_View!$I:$I,MATCH($Z$46&amp;"|"&amp;ROWS($A$97:A97),[4]_Assessment_Full_View!$Q:$Q,0))&amp;" / "&amp;INDEX([4]_Assessment_Full_View!$J:$J,MATCH($Z$46&amp;"|"&amp;ROWS($A$97:A97),[4]_Assessment_Full_View!$Q:$Q,0)),"")</f>
        <v>0 / 0</v>
      </c>
      <c r="F97" s="565"/>
      <c r="G97" s="566"/>
      <c r="H97" s="567" t="str">
        <f>IFERROR(INDEX([4]_Assessment_Full_View!$K:$K,MATCH($Z$46&amp;"|"&amp;ROWS($A$97:A97),[4]_Assessment_Full_View!$Q:$Q,0))&amp;" / "&amp;INDEX([4]_Assessment_Full_View!$L:$L,MATCH($Z$46&amp;"|"&amp;ROWS($A$97:A97),[4]_Assessment_Full_View!$Q:$Q,0)),"")</f>
        <v>0 / 0</v>
      </c>
      <c r="I97" s="565"/>
      <c r="J97" s="566"/>
      <c r="K97" s="567">
        <f>IFERROR(INDEX([4]_Assessment_Full_View!$O:$O,MATCH($Z$46&amp;"|"&amp;ROWS($A$97:A97),[4]_Assessment_Full_View!$Q:$Q,0)),"")</f>
        <v>0</v>
      </c>
      <c r="L97" s="565"/>
      <c r="M97" s="566"/>
      <c r="N97" s="567">
        <f>IFERROR(INDEX([4]_Assessment_Full_View!$P:$P,MATCH($Z$46&amp;"|"&amp;ROWS($A$97:A97),[4]_Assessment_Full_View!$Q:$Q,0)),"")</f>
        <v>0</v>
      </c>
      <c r="O97" s="565"/>
      <c r="P97" s="566"/>
    </row>
    <row r="98" spans="1:16" ht="74.400000000000006" hidden="1" customHeight="1">
      <c r="A98" s="564" t="str">
        <f>IFERROR(INDEX([5]_Assessment_Full_View!$E:$E,MATCH($Z$46&amp;"|"&amp;ROWS($A$97:A98),[5]_Assessment_Full_View!$Q:$Q,0)),"")</f>
        <v>1. ROOM INVENTORY</v>
      </c>
      <c r="B98" s="566"/>
      <c r="C98" s="564" t="str">
        <f>IFERROR(INDEX([5]_Assessment_Full_View!$G:$G,MATCH($Z$46&amp;"|"&amp;ROWS($A$97:A98),[5]_Assessment_Full_View!$Q:$Q,0))&amp;" / "&amp;INDEX([5]_Assessment_Full_View!$H:$H,MATCH($Z$46&amp;"|"&amp;ROWS($A$97:A98),[5]_Assessment_Full_View!$Q:$Q,0)),"")</f>
        <v>Building / Room</v>
      </c>
      <c r="D98" s="566"/>
      <c r="E98" s="564" t="str">
        <f>IFERROR(INDEX([5]_Assessment_Full_View!$I:$I,MATCH($Z$46&amp;"|"&amp;ROWS($A$97:A98),[5]_Assessment_Full_View!$Q:$Q,0))&amp;" / "&amp;INDEX([5]_Assessment_Full_View!$J:$J,MATCH($Z$46&amp;"|"&amp;ROWS($A$97:A98),[5]_Assessment_Full_View!$Q:$Q,0)),"")</f>
        <v>Floor / Existing Use</v>
      </c>
      <c r="F98" s="565"/>
      <c r="G98" s="566"/>
      <c r="H98" s="564" t="str">
        <f>IFERROR(INDEX([5]_Assessment_Full_View!$K:$K,MATCH($Z$46&amp;"|"&amp;ROWS($A$97:A98),[5]_Assessment_Full_View!$Q:$Q,0))&amp;" / "&amp;INDEX([5]_Assessment_Full_View!$L:$L,MATCH($Z$46&amp;"|"&amp;ROWS($A$97:A98),[5]_Assessment_Full_View!$Q:$Q,0)),"")</f>
        <v>New Use / Rack Count</v>
      </c>
      <c r="I98" s="565"/>
      <c r="J98" s="566"/>
      <c r="K98" s="564" t="str">
        <f>IFERROR(INDEX([5]_Assessment_Full_View!$O:$O,MATCH($Z$46&amp;"|"&amp;ROWS($A$97:A98),[5]_Assessment_Full_View!$Q:$Q,0)),"")</f>
        <v>Drawing Ref</v>
      </c>
      <c r="L98" s="565"/>
      <c r="M98" s="566"/>
      <c r="N98" s="564" t="str">
        <f>IFERROR(INDEX([5]_Assessment_Full_View!$P:$P,MATCH($Z$46&amp;"|"&amp;ROWS($A$97:A98),[5]_Assessment_Full_View!$Q:$Q,0)),"")</f>
        <v>Notes</v>
      </c>
      <c r="O98" s="565"/>
      <c r="P98" s="566"/>
    </row>
    <row r="99" spans="1:16" ht="74.400000000000006" hidden="1" customHeight="1">
      <c r="A99" s="567" t="str">
        <f>IFERROR(INDEX([5]_Assessment_Full_View!$E:$E,MATCH($Z$46&amp;"|"&amp;ROWS($A$97:A99),[5]_Assessment_Full_View!$Q:$Q,0)),"")</f>
        <v>1. ROOM INVENTORY</v>
      </c>
      <c r="B99" s="566"/>
      <c r="C99" s="567" t="str">
        <f>IFERROR(INDEX([5]_Assessment_Full_View!$G:$G,MATCH($Z$46&amp;"|"&amp;ROWS($A$97:A99),[5]_Assessment_Full_View!$Q:$Q,0))&amp;" / "&amp;INDEX([5]_Assessment_Full_View!$H:$H,MATCH($Z$46&amp;"|"&amp;ROWS($A$97:A99),[5]_Assessment_Full_View!$Q:$Q,0)),"")</f>
        <v>61 / B13H-A</v>
      </c>
      <c r="D99" s="566"/>
      <c r="E99" s="567" t="str">
        <f>IFERROR(INDEX([5]_Assessment_Full_View!$I:$I,MATCH($Z$46&amp;"|"&amp;ROWS($A$97:A99),[5]_Assessment_Full_View!$Q:$Q,0))&amp;" / "&amp;INDEX([5]_Assessment_Full_View!$J:$J,MATCH($Z$46&amp;"|"&amp;ROWS($A$97:A99),[5]_Assessment_Full_View!$Q:$Q,0)),"")</f>
        <v>Basement / Basement telecom / support area</v>
      </c>
      <c r="F99" s="565"/>
      <c r="G99" s="566"/>
      <c r="H99" s="567" t="str">
        <f>IFERROR(INDEX([5]_Assessment_Full_View!$K:$K,MATCH($Z$46&amp;"|"&amp;ROWS($A$97:A99),[5]_Assessment_Full_View!$Q:$Q,0))&amp;" / "&amp;INDEX([5]_Assessment_Full_View!$L:$L,MATCH($Z$46&amp;"|"&amp;ROWS($A$97:A99),[5]_Assessment_Full_View!$Q:$Q,0)),"")</f>
        <v>Telecom Room / 1</v>
      </c>
      <c r="I99" s="565"/>
      <c r="J99" s="566"/>
      <c r="K99" s="567" t="str">
        <f>IFERROR(INDEX([5]_Assessment_Full_View!$O:$O,MATCH($Z$46&amp;"|"&amp;ROWS($A$97:A99),[5]_Assessment_Full_View!$Q:$Q,0)),"")</f>
        <v>61A-400 / 61E-401 / 61T-100 / 61T-401 / 61T-604 / 61T-701</v>
      </c>
      <c r="L99" s="565"/>
      <c r="M99" s="566"/>
      <c r="N99" s="567" t="str">
        <f>IFERROR(INDEX([5]_Assessment_Full_View!$P:$P,MATCH($Z$46&amp;"|"&amp;ROWS($A$97:A99),[5]_Assessment_Full_View!$Q:$Q,0)),"")</f>
        <v>Basement TR identified as RM B13H-A with Rack ID TR01-B13H-A-1. Schedules identify 88 WAO total, 74 active ports, 129 scheduled ports, 142 ports with 10% allowance. Electrical panels include B61-TRB13A/B. Mechanical cooling includes IU-0-01/CU-0-01.</v>
      </c>
      <c r="O99" s="565"/>
      <c r="P99" s="566"/>
    </row>
    <row r="100" spans="1:16" ht="74.400000000000006" hidden="1" customHeight="1">
      <c r="A100" s="564" t="str">
        <f>IFERROR(INDEX([5]_Assessment_Full_View!$E:$E,MATCH($Z$46&amp;"|"&amp;ROWS($A$97:A100),[5]_Assessment_Full_View!$Q:$Q,0)),"")</f>
        <v>1. ROOM INVENTORY</v>
      </c>
      <c r="B100" s="566"/>
      <c r="C100" s="564" t="str">
        <f>IFERROR(INDEX([5]_Assessment_Full_View!$G:$G,MATCH($Z$46&amp;"|"&amp;ROWS($A$97:A100),[5]_Assessment_Full_View!$Q:$Q,0))&amp;" / "&amp;INDEX([5]_Assessment_Full_View!$H:$H,MATCH($Z$46&amp;"|"&amp;ROWS($A$97:A100),[5]_Assessment_Full_View!$Q:$Q,0)),"")</f>
        <v>61 / 124</v>
      </c>
      <c r="D100" s="566"/>
      <c r="E100" s="564" t="str">
        <f>IFERROR(INDEX([5]_Assessment_Full_View!$I:$I,MATCH($Z$46&amp;"|"&amp;ROWS($A$97:A100),[5]_Assessment_Full_View!$Q:$Q,0))&amp;" / "&amp;INDEX([5]_Assessment_Full_View!$J:$J,MATCH($Z$46&amp;"|"&amp;ROWS($A$97:A100),[5]_Assessment_Full_View!$Q:$Q,0)),"")</f>
        <v>First / First-level telecom area</v>
      </c>
      <c r="F100" s="565"/>
      <c r="G100" s="566"/>
      <c r="H100" s="564" t="str">
        <f>IFERROR(INDEX([5]_Assessment_Full_View!$K:$K,MATCH($Z$46&amp;"|"&amp;ROWS($A$97:A100),[5]_Assessment_Full_View!$Q:$Q,0))&amp;" / "&amp;INDEX([5]_Assessment_Full_View!$L:$L,MATCH($Z$46&amp;"|"&amp;ROWS($A$97:A100),[5]_Assessment_Full_View!$Q:$Q,0)),"")</f>
        <v>Telecom Room / 1</v>
      </c>
      <c r="I100" s="565"/>
      <c r="J100" s="566"/>
      <c r="K100" s="564" t="str">
        <f>IFERROR(INDEX([5]_Assessment_Full_View!$O:$O,MATCH($Z$46&amp;"|"&amp;ROWS($A$97:A100),[5]_Assessment_Full_View!$Q:$Q,0)),"")</f>
        <v>61A-400 / 61E-402 / 61T-101 / 61T-401 / 61T-604 / 61T-701</v>
      </c>
      <c r="L100" s="565"/>
      <c r="M100" s="566"/>
      <c r="N100" s="564" t="str">
        <f>IFERROR(INDEX([5]_Assessment_Full_View!$P:$P,MATCH($Z$46&amp;"|"&amp;ROWS($A$97:A100),[5]_Assessment_Full_View!$Q:$Q,0)),"")</f>
        <v>First-level TR identified as Room 124 / Rack ID TR01-124-1. Electrical panels include B61-TR124A/B. Mechanical cooling includes IU-1-01/CU-1-01. Verify room naming against electrical schedule references that also call out RM137B rack receptacles.</v>
      </c>
      <c r="O100" s="565"/>
      <c r="P100" s="566"/>
    </row>
    <row r="101" spans="1:16" ht="74.400000000000006" hidden="1" customHeight="1">
      <c r="A101" s="567" t="str">
        <f>IFERROR(INDEX([5]_Assessment_Full_View!$E:$E,MATCH($Z$46&amp;"|"&amp;ROWS($A$97:A101),[5]_Assessment_Full_View!$Q:$Q,0)),"")</f>
        <v>1. ROOM INVENTORY</v>
      </c>
      <c r="B101" s="566"/>
      <c r="C101" s="567" t="str">
        <f>IFERROR(INDEX([5]_Assessment_Full_View!$G:$G,MATCH($Z$46&amp;"|"&amp;ROWS($A$97:A101),[5]_Assessment_Full_View!$Q:$Q,0))&amp;" / "&amp;INDEX([5]_Assessment_Full_View!$H:$H,MATCH($Z$46&amp;"|"&amp;ROWS($A$97:A101),[5]_Assessment_Full_View!$Q:$Q,0)),"")</f>
        <v>61 / 226</v>
      </c>
      <c r="D101" s="566"/>
      <c r="E101" s="567" t="str">
        <f>IFERROR(INDEX([5]_Assessment_Full_View!$I:$I,MATCH($Z$46&amp;"|"&amp;ROWS($A$97:A101),[5]_Assessment_Full_View!$Q:$Q,0))&amp;" / "&amp;INDEX([5]_Assessment_Full_View!$J:$J,MATCH($Z$46&amp;"|"&amp;ROWS($A$97:A101),[5]_Assessment_Full_View!$Q:$Q,0)),"")</f>
        <v>Second / Second-level telecom area</v>
      </c>
      <c r="F101" s="565"/>
      <c r="G101" s="566"/>
      <c r="H101" s="567" t="str">
        <f>IFERROR(INDEX([5]_Assessment_Full_View!$K:$K,MATCH($Z$46&amp;"|"&amp;ROWS($A$97:A101),[5]_Assessment_Full_View!$Q:$Q,0))&amp;" / "&amp;INDEX([5]_Assessment_Full_View!$L:$L,MATCH($Z$46&amp;"|"&amp;ROWS($A$97:A101),[5]_Assessment_Full_View!$Q:$Q,0)),"")</f>
        <v>Telecom Room / 1</v>
      </c>
      <c r="I101" s="565"/>
      <c r="J101" s="566"/>
      <c r="K101" s="567" t="str">
        <f>IFERROR(INDEX([5]_Assessment_Full_View!$O:$O,MATCH($Z$46&amp;"|"&amp;ROWS($A$97:A101),[5]_Assessment_Full_View!$Q:$Q,0)),"")</f>
        <v>61A-401 / 61E-402 / 61T-102 / 61T-401 / 61T-605 / 61T-702</v>
      </c>
      <c r="L101" s="565"/>
      <c r="M101" s="566"/>
      <c r="N101" s="567" t="str">
        <f>IFERROR(INDEX([5]_Assessment_Full_View!$P:$P,MATCH($Z$46&amp;"|"&amp;ROWS($A$97:A101),[5]_Assessment_Full_View!$Q:$Q,0)),"")</f>
        <v>Second-level TR identified as Room 226 / Rack ID TR01-226-1. Schedules identify 109 WAO total, 126 active ports, 156 scheduled ports, 172 ports with 10% allowance. Electrical panels include B61-TR226A/B. Mechanical cooling includes IU-2-01/CU-2-01.</v>
      </c>
      <c r="O101" s="565"/>
      <c r="P101" s="566"/>
    </row>
    <row r="102" spans="1:16" ht="74.400000000000006" hidden="1" customHeight="1">
      <c r="A102" s="564" t="str">
        <f>IFERROR(INDEX([5]_Assessment_Full_View!$E:$E,MATCH($Z$46&amp;"|"&amp;ROWS($A$97:A102),[5]_Assessment_Full_View!$Q:$Q,0)),"")</f>
        <v>1. ROOM INVENTORY</v>
      </c>
      <c r="B102" s="566"/>
      <c r="C102" s="564" t="str">
        <f>IFERROR(INDEX([5]_Assessment_Full_View!$G:$G,MATCH($Z$46&amp;"|"&amp;ROWS($A$97:A102),[5]_Assessment_Full_View!$Q:$Q,0))&amp;" / "&amp;INDEX([5]_Assessment_Full_View!$H:$H,MATCH($Z$46&amp;"|"&amp;ROWS($A$97:A102),[5]_Assessment_Full_View!$Q:$Q,0)),"")</f>
        <v>61 / 137 / 137A</v>
      </c>
      <c r="D102" s="566"/>
      <c r="E102" s="564" t="str">
        <f>IFERROR(INDEX([5]_Assessment_Full_View!$I:$I,MATCH($Z$46&amp;"|"&amp;ROWS($A$97:A102),[5]_Assessment_Full_View!$Q:$Q,0))&amp;" / "&amp;INDEX([5]_Assessment_Full_View!$J:$J,MATCH($Z$46&amp;"|"&amp;ROWS($A$97:A102),[5]_Assessment_Full_View!$Q:$Q,0)),"")</f>
        <v>First / Existing server/demarc/telecom equipment rooms</v>
      </c>
      <c r="F102" s="565"/>
      <c r="G102" s="566"/>
      <c r="H102" s="564" t="str">
        <f>IFERROR(INDEX([5]_Assessment_Full_View!$K:$K,MATCH($Z$46&amp;"|"&amp;ROWS($A$97:A102),[5]_Assessment_Full_View!$Q:$Q,0))&amp;" / "&amp;INDEX([5]_Assessment_Full_View!$L:$L,MATCH($Z$46&amp;"|"&amp;ROWS($A$97:A102),[5]_Assessment_Full_View!$Q:$Q,0)),"")</f>
        <v>Existing demarc / server transition point / 11</v>
      </c>
      <c r="I102" s="565"/>
      <c r="J102" s="566"/>
      <c r="K102" s="564" t="str">
        <f>IFERROR(INDEX([5]_Assessment_Full_View!$O:$O,MATCH($Z$46&amp;"|"&amp;ROWS($A$97:A102),[5]_Assessment_Full_View!$Q:$Q,0)),"")</f>
        <v>61T-402 / 61T-606 / 61T-607 / 61R-900</v>
      </c>
      <c r="L102" s="565"/>
      <c r="M102" s="566"/>
      <c r="N102" s="564" t="str">
        <f>IFERROR(INDEX([5]_Assessment_Full_View!$P:$P,MATCH($Z$46&amp;"|"&amp;ROWS($A$97:A102),[5]_Assessment_Full_View!$Q:$Q,0)),"")</f>
        <v>Existing Room 137/137A rack inventory and demarc/server equipment include existing 4-post racks, PACS/equipment racks, APC UPS/PDU equipment, Fujitsu FLM equipment, wall-mounted patch panels, and local elevations. Protect active services and verify what remains, transfers, or is modified.</v>
      </c>
      <c r="O102" s="565"/>
      <c r="P102" s="566"/>
    </row>
    <row r="103" spans="1:16" ht="74.400000000000006" hidden="1" customHeight="1">
      <c r="A103" s="567" t="str">
        <f>IFERROR(INDEX([5]_Assessment_Full_View!$E:$E,MATCH($Z$46&amp;"|"&amp;ROWS($A$97:A103),[5]_Assessment_Full_View!$Q:$Q,0)),"")</f>
        <v>1. ROOM INVENTORY</v>
      </c>
      <c r="B103" s="566"/>
      <c r="C103" s="567" t="str">
        <f>IFERROR(INDEX([5]_Assessment_Full_View!$G:$G,MATCH($Z$46&amp;"|"&amp;ROWS($A$97:A103),[5]_Assessment_Full_View!$Q:$Q,0))&amp;" / "&amp;INDEX([5]_Assessment_Full_View!$H:$H,MATCH($Z$46&amp;"|"&amp;ROWS($A$97:A103),[5]_Assessment_Full_View!$Q:$Q,0)),"")</f>
        <v>0 / 0</v>
      </c>
      <c r="D103" s="566"/>
      <c r="E103" s="567" t="str">
        <f>IFERROR(INDEX([5]_Assessment_Full_View!$I:$I,MATCH($Z$46&amp;"|"&amp;ROWS($A$97:A103),[5]_Assessment_Full_View!$Q:$Q,0))&amp;" / "&amp;INDEX([5]_Assessment_Full_View!$J:$J,MATCH($Z$46&amp;"|"&amp;ROWS($A$97:A103),[5]_Assessment_Full_View!$Q:$Q,0)),"")</f>
        <v>0 / 0</v>
      </c>
      <c r="F103" s="565"/>
      <c r="G103" s="566"/>
      <c r="H103" s="567" t="str">
        <f>IFERROR(INDEX([5]_Assessment_Full_View!$K:$K,MATCH($Z$46&amp;"|"&amp;ROWS($A$97:A103),[5]_Assessment_Full_View!$Q:$Q,0))&amp;" / "&amp;INDEX([5]_Assessment_Full_View!$L:$L,MATCH($Z$46&amp;"|"&amp;ROWS($A$97:A103),[5]_Assessment_Full_View!$Q:$Q,0)),"")</f>
        <v>0 / 0</v>
      </c>
      <c r="I103" s="565"/>
      <c r="J103" s="566"/>
      <c r="K103" s="567">
        <f>IFERROR(INDEX([5]_Assessment_Full_View!$O:$O,MATCH($Z$46&amp;"|"&amp;ROWS($A$97:A103),[5]_Assessment_Full_View!$Q:$Q,0)),"")</f>
        <v>0</v>
      </c>
      <c r="L103" s="565"/>
      <c r="M103" s="566"/>
      <c r="N103" s="567">
        <f>IFERROR(INDEX([5]_Assessment_Full_View!$P:$P,MATCH($Z$46&amp;"|"&amp;ROWS($A$97:A103),[5]_Assessment_Full_View!$Q:$Q,0)),"")</f>
        <v>0</v>
      </c>
      <c r="O103" s="565"/>
      <c r="P103" s="566"/>
    </row>
    <row r="104" spans="1:16" ht="74.400000000000006" hidden="1" customHeight="1">
      <c r="A104" s="564" t="str">
        <f>IFERROR(INDEX([5]_Assessment_Full_View!$E:$E,MATCH($Z$46&amp;"|"&amp;ROWS($A$97:A104),[5]_Assessment_Full_View!$Q:$Q,0)),"")</f>
        <v>2. ROOM READINESS</v>
      </c>
      <c r="B104" s="566"/>
      <c r="C104" s="564" t="str">
        <f>IFERROR(INDEX([5]_Assessment_Full_View!$G:$G,MATCH($Z$46&amp;"|"&amp;ROWS($A$97:A104),[5]_Assessment_Full_View!$Q:$Q,0))&amp;" / "&amp;INDEX([5]_Assessment_Full_View!$H:$H,MATCH($Z$46&amp;"|"&amp;ROWS($A$97:A104),[5]_Assessment_Full_View!$Q:$Q,0)),"")</f>
        <v>2. ROOM READINESS / 0</v>
      </c>
      <c r="D104" s="566"/>
      <c r="E104" s="564" t="str">
        <f>IFERROR(INDEX([5]_Assessment_Full_View!$I:$I,MATCH($Z$46&amp;"|"&amp;ROWS($A$97:A104),[5]_Assessment_Full_View!$Q:$Q,0))&amp;" / "&amp;INDEX([5]_Assessment_Full_View!$J:$J,MATCH($Z$46&amp;"|"&amp;ROWS($A$97:A104),[5]_Assessment_Full_View!$Q:$Q,0)),"")</f>
        <v>0 / 0</v>
      </c>
      <c r="F104" s="565"/>
      <c r="G104" s="566"/>
      <c r="H104" s="564" t="str">
        <f>IFERROR(INDEX([5]_Assessment_Full_View!$K:$K,MATCH($Z$46&amp;"|"&amp;ROWS($A$97:A104),[5]_Assessment_Full_View!$Q:$Q,0))&amp;" / "&amp;INDEX([5]_Assessment_Full_View!$L:$L,MATCH($Z$46&amp;"|"&amp;ROWS($A$97:A104),[5]_Assessment_Full_View!$Q:$Q,0)),"")</f>
        <v>0 / 0</v>
      </c>
      <c r="I104" s="565"/>
      <c r="J104" s="566"/>
      <c r="K104" s="564">
        <f>IFERROR(INDEX([5]_Assessment_Full_View!$O:$O,MATCH($Z$46&amp;"|"&amp;ROWS($A$97:A104),[5]_Assessment_Full_View!$Q:$Q,0)),"")</f>
        <v>0</v>
      </c>
      <c r="L104" s="565"/>
      <c r="M104" s="566"/>
      <c r="N104" s="564">
        <f>IFERROR(INDEX([5]_Assessment_Full_View!$P:$P,MATCH($Z$46&amp;"|"&amp;ROWS($A$97:A104),[5]_Assessment_Full_View!$Q:$Q,0)),"")</f>
        <v>0</v>
      </c>
      <c r="O104" s="565"/>
      <c r="P104" s="566"/>
    </row>
    <row r="105" spans="1:16" ht="74.400000000000006" hidden="1" customHeight="1">
      <c r="A105" s="567" t="str">
        <f>IFERROR(INDEX([5]_Assessment_Full_View!$E:$E,MATCH($Z$46&amp;"|"&amp;ROWS($A$97:A105),[5]_Assessment_Full_View!$Q:$Q,0)),"")</f>
        <v>2. ROOM READINESS</v>
      </c>
      <c r="B105" s="566"/>
      <c r="C105" s="567" t="str">
        <f>IFERROR(INDEX([5]_Assessment_Full_View!$G:$G,MATCH($Z$46&amp;"|"&amp;ROWS($A$97:A105),[5]_Assessment_Full_View!$Q:$Q,0))&amp;" / "&amp;INDEX([5]_Assessment_Full_View!$H:$H,MATCH($Z$46&amp;"|"&amp;ROWS($A$97:A105),[5]_Assessment_Full_View!$Q:$Q,0)),"")</f>
        <v>Room / Walls / 1-hr Rating</v>
      </c>
      <c r="D105" s="566"/>
      <c r="E105" s="567" t="str">
        <f>IFERROR(INDEX([5]_Assessment_Full_View!$I:$I,MATCH($Z$46&amp;"|"&amp;ROWS($A$97:A105),[5]_Assessment_Full_View!$Q:$Q,0))&amp;" / "&amp;INDEX([5]_Assessment_Full_View!$J:$J,MATCH($Z$46&amp;"|"&amp;ROWS($A$97:A105),[5]_Assessment_Full_View!$Q:$Q,0)),"")</f>
        <v>Ceiling / Floor / SDC</v>
      </c>
      <c r="F105" s="565"/>
      <c r="G105" s="566"/>
      <c r="H105" s="567" t="str">
        <f>IFERROR(INDEX([5]_Assessment_Full_View!$K:$K,MATCH($Z$46&amp;"|"&amp;ROWS($A$97:A105),[5]_Assessment_Full_View!$Q:$Q,0))&amp;" / "&amp;INDEX([5]_Assessment_Full_View!$L:$L,MATCH($Z$46&amp;"|"&amp;ROWS($A$97:A105),[5]_Assessment_Full_View!$Q:$Q,0)),"")</f>
        <v>Penetrations / Access Control</v>
      </c>
      <c r="I105" s="565"/>
      <c r="J105" s="566"/>
      <c r="K105" s="567" t="str">
        <f>IFERROR(INDEX([5]_Assessment_Full_View!$O:$O,MATCH($Z$46&amp;"|"&amp;ROWS($A$97:A105),[5]_Assessment_Full_View!$Q:$Q,0)),"")</f>
        <v>Overall</v>
      </c>
      <c r="L105" s="565"/>
      <c r="M105" s="566"/>
      <c r="N105" s="567" t="str">
        <f>IFERROR(INDEX([5]_Assessment_Full_View!$P:$P,MATCH($Z$46&amp;"|"&amp;ROWS($A$97:A105),[5]_Assessment_Full_View!$Q:$Q,0)),"")</f>
        <v>Comments</v>
      </c>
      <c r="O105" s="565"/>
      <c r="P105" s="566"/>
    </row>
    <row r="106" spans="1:16" ht="74.400000000000006" hidden="1" customHeight="1">
      <c r="A106" s="564" t="str">
        <f>IFERROR(INDEX([5]_Assessment_Full_View!$E:$E,MATCH($Z$46&amp;"|"&amp;ROWS($A$97:A106),[5]_Assessment_Full_View!$Q:$Q,0)),"")</f>
        <v>2. ROOM READINESS</v>
      </c>
      <c r="B106" s="566"/>
      <c r="C106" s="564" t="str">
        <f>IFERROR(INDEX([5]_Assessment_Full_View!$G:$G,MATCH($Z$46&amp;"|"&amp;ROWS($A$97:A106),[5]_Assessment_Full_View!$Q:$Q,0))&amp;" / "&amp;INDEX([5]_Assessment_Full_View!$H:$H,MATCH($Z$46&amp;"|"&amp;ROWS($A$97:A106),[5]_Assessment_Full_View!$Q:$Q,0)),"")</f>
        <v>B13H-A / Verify</v>
      </c>
      <c r="D106" s="566"/>
      <c r="E106" s="564" t="str">
        <f>IFERROR(INDEX([5]_Assessment_Full_View!$I:$I,MATCH($Z$46&amp;"|"&amp;ROWS($A$97:A106),[5]_Assessment_Full_View!$Q:$Q,0))&amp;" / "&amp;INDEX([5]_Assessment_Full_View!$J:$J,MATCH($Z$46&amp;"|"&amp;ROWS($A$97:A106),[5]_Assessment_Full_View!$Q:$Q,0)),"")</f>
        <v>Verify / Verify</v>
      </c>
      <c r="F106" s="565"/>
      <c r="G106" s="566"/>
      <c r="H106" s="564" t="str">
        <f>IFERROR(INDEX([5]_Assessment_Full_View!$K:$K,MATCH($Z$46&amp;"|"&amp;ROWS($A$97:A106),[5]_Assessment_Full_View!$Q:$Q,0))&amp;" / "&amp;INDEX([5]_Assessment_Full_View!$L:$L,MATCH($Z$46&amp;"|"&amp;ROWS($A$97:A106),[5]_Assessment_Full_View!$Q:$Q,0)),"")</f>
        <v>Verify / Verify</v>
      </c>
      <c r="I106" s="565"/>
      <c r="J106" s="566"/>
      <c r="K106" s="564" t="str">
        <f>IFERROR(INDEX([5]_Assessment_Full_View!$O:$O,MATCH($Z$46&amp;"|"&amp;ROWS($A$97:A106),[5]_Assessment_Full_View!$Q:$Q,0)),"")</f>
        <v>Verify</v>
      </c>
      <c r="L106" s="565"/>
      <c r="M106" s="566"/>
      <c r="N106" s="564" t="str">
        <f>IFERROR(INDEX([5]_Assessment_Full_View!$P:$P,MATCH($Z$46&amp;"|"&amp;ROWS($A$97:A106),[5]_Assessment_Full_View!$Q:$Q,0)),"")</f>
        <v>Basement TR; verify rated walls/open-to-deck conditions, door/security, floor finish, ladder rack/cable tray, future rack clearance, wall backing, and pathway entries.</v>
      </c>
      <c r="O106" s="565"/>
      <c r="P106" s="566"/>
    </row>
    <row r="107" spans="1:16" ht="74.400000000000006" hidden="1" customHeight="1">
      <c r="A107" s="567" t="str">
        <f>IFERROR(INDEX([5]_Assessment_Full_View!$E:$E,MATCH($Z$46&amp;"|"&amp;ROWS($A$97:A107),[5]_Assessment_Full_View!$Q:$Q,0)),"")</f>
        <v>2. ROOM READINESS</v>
      </c>
      <c r="B107" s="566"/>
      <c r="C107" s="567" t="str">
        <f>IFERROR(INDEX([5]_Assessment_Full_View!$G:$G,MATCH($Z$46&amp;"|"&amp;ROWS($A$97:A107),[5]_Assessment_Full_View!$Q:$Q,0))&amp;" / "&amp;INDEX([5]_Assessment_Full_View!$H:$H,MATCH($Z$46&amp;"|"&amp;ROWS($A$97:A107),[5]_Assessment_Full_View!$Q:$Q,0)),"")</f>
        <v>124 / Verify</v>
      </c>
      <c r="D107" s="566"/>
      <c r="E107" s="567" t="str">
        <f>IFERROR(INDEX([5]_Assessment_Full_View!$I:$I,MATCH($Z$46&amp;"|"&amp;ROWS($A$97:A107),[5]_Assessment_Full_View!$Q:$Q,0))&amp;" / "&amp;INDEX([5]_Assessment_Full_View!$J:$J,MATCH($Z$46&amp;"|"&amp;ROWS($A$97:A107),[5]_Assessment_Full_View!$Q:$Q,0)),"")</f>
        <v>Verify / Verify</v>
      </c>
      <c r="F107" s="565"/>
      <c r="G107" s="566"/>
      <c r="H107" s="567" t="str">
        <f>IFERROR(INDEX([5]_Assessment_Full_View!$K:$K,MATCH($Z$46&amp;"|"&amp;ROWS($A$97:A107),[5]_Assessment_Full_View!$Q:$Q,0))&amp;" / "&amp;INDEX([5]_Assessment_Full_View!$L:$L,MATCH($Z$46&amp;"|"&amp;ROWS($A$97:A107),[5]_Assessment_Full_View!$Q:$Q,0)),"")</f>
        <v>Verify / Verify</v>
      </c>
      <c r="I107" s="565"/>
      <c r="J107" s="566"/>
      <c r="K107" s="567" t="str">
        <f>IFERROR(INDEX([5]_Assessment_Full_View!$O:$O,MATCH($Z$46&amp;"|"&amp;ROWS($A$97:A107),[5]_Assessment_Full_View!$Q:$Q,0)),"")</f>
        <v>Verify</v>
      </c>
      <c r="L107" s="565"/>
      <c r="M107" s="566"/>
      <c r="N107" s="567" t="str">
        <f>IFERROR(INDEX([5]_Assessment_Full_View!$P:$P,MATCH($Z$46&amp;"|"&amp;ROWS($A$97:A107),[5]_Assessment_Full_View!$Q:$Q,0)),"")</f>
        <v>First-level TR; verify rated construction, door hardware, ceiling/deck, rack/future rack clearances, wall backing, and riser/pathway entries.</v>
      </c>
      <c r="O107" s="565"/>
      <c r="P107" s="566"/>
    </row>
    <row r="108" spans="1:16" ht="74.400000000000006" hidden="1" customHeight="1">
      <c r="A108" s="564" t="str">
        <f>IFERROR(INDEX([5]_Assessment_Full_View!$E:$E,MATCH($Z$46&amp;"|"&amp;ROWS($A$97:A108),[5]_Assessment_Full_View!$Q:$Q,0)),"")</f>
        <v>2. ROOM READINESS</v>
      </c>
      <c r="B108" s="566"/>
      <c r="C108" s="564" t="str">
        <f>IFERROR(INDEX([5]_Assessment_Full_View!$G:$G,MATCH($Z$46&amp;"|"&amp;ROWS($A$97:A108),[5]_Assessment_Full_View!$Q:$Q,0))&amp;" / "&amp;INDEX([5]_Assessment_Full_View!$H:$H,MATCH($Z$46&amp;"|"&amp;ROWS($A$97:A108),[5]_Assessment_Full_View!$Q:$Q,0)),"")</f>
        <v>226 / Verify</v>
      </c>
      <c r="D108" s="566"/>
      <c r="E108" s="564" t="str">
        <f>IFERROR(INDEX([5]_Assessment_Full_View!$I:$I,MATCH($Z$46&amp;"|"&amp;ROWS($A$97:A108),[5]_Assessment_Full_View!$Q:$Q,0))&amp;" / "&amp;INDEX([5]_Assessment_Full_View!$J:$J,MATCH($Z$46&amp;"|"&amp;ROWS($A$97:A108),[5]_Assessment_Full_View!$Q:$Q,0)),"")</f>
        <v>Verify / Verify</v>
      </c>
      <c r="F108" s="565"/>
      <c r="G108" s="566"/>
      <c r="H108" s="564" t="str">
        <f>IFERROR(INDEX([5]_Assessment_Full_View!$K:$K,MATCH($Z$46&amp;"|"&amp;ROWS($A$97:A108),[5]_Assessment_Full_View!$Q:$Q,0))&amp;" / "&amp;INDEX([5]_Assessment_Full_View!$L:$L,MATCH($Z$46&amp;"|"&amp;ROWS($A$97:A108),[5]_Assessment_Full_View!$Q:$Q,0)),"")</f>
        <v>Verify / Verify</v>
      </c>
      <c r="I108" s="565"/>
      <c r="J108" s="566"/>
      <c r="K108" s="564" t="str">
        <f>IFERROR(INDEX([5]_Assessment_Full_View!$O:$O,MATCH($Z$46&amp;"|"&amp;ROWS($A$97:A108),[5]_Assessment_Full_View!$Q:$Q,0)),"")</f>
        <v>Verify</v>
      </c>
      <c r="L108" s="565"/>
      <c r="M108" s="566"/>
      <c r="N108" s="564" t="str">
        <f>IFERROR(INDEX([5]_Assessment_Full_View!$P:$P,MATCH($Z$46&amp;"|"&amp;ROWS($A$97:A108),[5]_Assessment_Full_View!$Q:$Q,0)),"")</f>
        <v>Second-level TR; verify rated construction, door hardware, ceiling/deck, rack/future rack clearances, wall backing, and riser/pathway entries.</v>
      </c>
      <c r="O108" s="565"/>
      <c r="P108" s="566"/>
    </row>
    <row r="109" spans="1:16" ht="74.400000000000006" hidden="1" customHeight="1">
      <c r="A109" s="567" t="str">
        <f>IFERROR(INDEX([5]_Assessment_Full_View!$E:$E,MATCH($Z$46&amp;"|"&amp;ROWS($A$97:A109),[5]_Assessment_Full_View!$Q:$Q,0)),"")</f>
        <v>2. ROOM READINESS</v>
      </c>
      <c r="B109" s="566"/>
      <c r="C109" s="567" t="str">
        <f>IFERROR(INDEX([5]_Assessment_Full_View!$G:$G,MATCH($Z$46&amp;"|"&amp;ROWS($A$97:A109),[5]_Assessment_Full_View!$Q:$Q,0))&amp;" / "&amp;INDEX([5]_Assessment_Full_View!$H:$H,MATCH($Z$46&amp;"|"&amp;ROWS($A$97:A109),[5]_Assessment_Full_View!$Q:$Q,0)),"")</f>
        <v>137 / 137A / Existing / Verify</v>
      </c>
      <c r="D109" s="566"/>
      <c r="E109" s="567" t="str">
        <f>IFERROR(INDEX([5]_Assessment_Full_View!$I:$I,MATCH($Z$46&amp;"|"&amp;ROWS($A$97:A109),[5]_Assessment_Full_View!$Q:$Q,0))&amp;" / "&amp;INDEX([5]_Assessment_Full_View!$J:$J,MATCH($Z$46&amp;"|"&amp;ROWS($A$97:A109),[5]_Assessment_Full_View!$Q:$Q,0)),"")</f>
        <v>Existing / Verify / Existing / Verify</v>
      </c>
      <c r="F109" s="565"/>
      <c r="G109" s="566"/>
      <c r="H109" s="567" t="str">
        <f>IFERROR(INDEX([5]_Assessment_Full_View!$K:$K,MATCH($Z$46&amp;"|"&amp;ROWS($A$97:A109),[5]_Assessment_Full_View!$Q:$Q,0))&amp;" / "&amp;INDEX([5]_Assessment_Full_View!$L:$L,MATCH($Z$46&amp;"|"&amp;ROWS($A$97:A109),[5]_Assessment_Full_View!$Q:$Q,0)),"")</f>
        <v>Verify / Verify</v>
      </c>
      <c r="I109" s="565"/>
      <c r="J109" s="566"/>
      <c r="K109" s="567" t="str">
        <f>IFERROR(INDEX([5]_Assessment_Full_View!$O:$O,MATCH($Z$46&amp;"|"&amp;ROWS($A$97:A109),[5]_Assessment_Full_View!$Q:$Q,0)),"")</f>
        <v>Verify</v>
      </c>
      <c r="L109" s="565"/>
      <c r="M109" s="566"/>
      <c r="N109" s="567" t="str">
        <f>IFERROR(INDEX([5]_Assessment_Full_View!$P:$P,MATCH($Z$46&amp;"|"&amp;ROWS($A$97:A109),[5]_Assessment_Full_View!$Q:$Q,0)),"")</f>
        <v>Existing demarc/server rooms; verify existing rack inventory, operational continuity, active circuits, access control, airflow and protection-in-place.</v>
      </c>
      <c r="O109" s="565"/>
      <c r="P109" s="566"/>
    </row>
    <row r="110" spans="1:16" ht="74.400000000000006" hidden="1" customHeight="1">
      <c r="A110" s="564" t="str">
        <f>IFERROR(INDEX([5]_Assessment_Full_View!$E:$E,MATCH($Z$46&amp;"|"&amp;ROWS($A$97:A110),[5]_Assessment_Full_View!$Q:$Q,0)),"")</f>
        <v>2. ROOM READINESS</v>
      </c>
      <c r="B110" s="566"/>
      <c r="C110" s="564" t="str">
        <f>IFERROR(INDEX([5]_Assessment_Full_View!$G:$G,MATCH($Z$46&amp;"|"&amp;ROWS($A$97:A110),[5]_Assessment_Full_View!$Q:$Q,0))&amp;" / "&amp;INDEX([5]_Assessment_Full_View!$H:$H,MATCH($Z$46&amp;"|"&amp;ROWS($A$97:A110),[5]_Assessment_Full_View!$Q:$Q,0)),"")</f>
        <v>0 / 0</v>
      </c>
      <c r="D110" s="566"/>
      <c r="E110" s="564" t="str">
        <f>IFERROR(INDEX([5]_Assessment_Full_View!$I:$I,MATCH($Z$46&amp;"|"&amp;ROWS($A$97:A110),[5]_Assessment_Full_View!$Q:$Q,0))&amp;" / "&amp;INDEX([5]_Assessment_Full_View!$J:$J,MATCH($Z$46&amp;"|"&amp;ROWS($A$97:A110),[5]_Assessment_Full_View!$Q:$Q,0)),"")</f>
        <v>0 / 0</v>
      </c>
      <c r="F110" s="565"/>
      <c r="G110" s="566"/>
      <c r="H110" s="564" t="str">
        <f>IFERROR(INDEX([5]_Assessment_Full_View!$K:$K,MATCH($Z$46&amp;"|"&amp;ROWS($A$97:A110),[5]_Assessment_Full_View!$Q:$Q,0))&amp;" / "&amp;INDEX([5]_Assessment_Full_View!$L:$L,MATCH($Z$46&amp;"|"&amp;ROWS($A$97:A110),[5]_Assessment_Full_View!$Q:$Q,0)),"")</f>
        <v>0 / 0</v>
      </c>
      <c r="I110" s="565"/>
      <c r="J110" s="566"/>
      <c r="K110" s="564">
        <f>IFERROR(INDEX([5]_Assessment_Full_View!$O:$O,MATCH($Z$46&amp;"|"&amp;ROWS($A$97:A110),[5]_Assessment_Full_View!$Q:$Q,0)),"")</f>
        <v>0</v>
      </c>
      <c r="L110" s="565"/>
      <c r="M110" s="566"/>
      <c r="N110" s="564">
        <f>IFERROR(INDEX([5]_Assessment_Full_View!$P:$P,MATCH($Z$46&amp;"|"&amp;ROWS($A$97:A110),[5]_Assessment_Full_View!$Q:$Q,0)),"")</f>
        <v>0</v>
      </c>
      <c r="O110" s="565"/>
      <c r="P110" s="566"/>
    </row>
    <row r="111" spans="1:16" ht="74.400000000000006" hidden="1" customHeight="1">
      <c r="A111" s="567" t="str">
        <f>IFERROR(INDEX([5]_Assessment_Full_View!$E:$E,MATCH($Z$46&amp;"|"&amp;ROWS($A$97:A111),[5]_Assessment_Full_View!$Q:$Q,0)),"")</f>
        <v>3. FIRE PROTECTION</v>
      </c>
      <c r="B111" s="566"/>
      <c r="C111" s="567" t="str">
        <f>IFERROR(INDEX([5]_Assessment_Full_View!$G:$G,MATCH($Z$46&amp;"|"&amp;ROWS($A$97:A111),[5]_Assessment_Full_View!$Q:$Q,0))&amp;" / "&amp;INDEX([5]_Assessment_Full_View!$H:$H,MATCH($Z$46&amp;"|"&amp;ROWS($A$97:A111),[5]_Assessment_Full_View!$Q:$Q,0)),"")</f>
        <v>3. FIRE PROTECTION / 0</v>
      </c>
      <c r="D111" s="566"/>
      <c r="E111" s="567" t="str">
        <f>IFERROR(INDEX([5]_Assessment_Full_View!$I:$I,MATCH($Z$46&amp;"|"&amp;ROWS($A$97:A111),[5]_Assessment_Full_View!$Q:$Q,0))&amp;" / "&amp;INDEX([5]_Assessment_Full_View!$J:$J,MATCH($Z$46&amp;"|"&amp;ROWS($A$97:A111),[5]_Assessment_Full_View!$Q:$Q,0)),"")</f>
        <v>0 / 0</v>
      </c>
      <c r="F111" s="565"/>
      <c r="G111" s="566"/>
      <c r="H111" s="567" t="str">
        <f>IFERROR(INDEX([5]_Assessment_Full_View!$K:$K,MATCH($Z$46&amp;"|"&amp;ROWS($A$97:A111),[5]_Assessment_Full_View!$Q:$Q,0))&amp;" / "&amp;INDEX([5]_Assessment_Full_View!$L:$L,MATCH($Z$46&amp;"|"&amp;ROWS($A$97:A111),[5]_Assessment_Full_View!$Q:$Q,0)),"")</f>
        <v>0 / 0</v>
      </c>
      <c r="I111" s="565"/>
      <c r="J111" s="566"/>
      <c r="K111" s="567">
        <f>IFERROR(INDEX([5]_Assessment_Full_View!$O:$O,MATCH($Z$46&amp;"|"&amp;ROWS($A$97:A111),[5]_Assessment_Full_View!$Q:$Q,0)),"")</f>
        <v>0</v>
      </c>
      <c r="L111" s="565"/>
      <c r="M111" s="566"/>
      <c r="N111" s="567">
        <f>IFERROR(INDEX([5]_Assessment_Full_View!$P:$P,MATCH($Z$46&amp;"|"&amp;ROWS($A$97:A111),[5]_Assessment_Full_View!$Q:$Q,0)),"")</f>
        <v>0</v>
      </c>
      <c r="O111" s="565"/>
      <c r="P111" s="566"/>
    </row>
    <row r="112" spans="1:16" ht="74.400000000000006" hidden="1" customHeight="1">
      <c r="A112" s="564" t="str">
        <f>IFERROR(INDEX([5]_Assessment_Full_View!$E:$E,MATCH($Z$46&amp;"|"&amp;ROWS($A$97:A112),[5]_Assessment_Full_View!$Q:$Q,0)),"")</f>
        <v>3. FIRE PROTECTION</v>
      </c>
      <c r="B112" s="566"/>
      <c r="C112" s="564" t="str">
        <f>IFERROR(INDEX([5]_Assessment_Full_View!$G:$G,MATCH($Z$46&amp;"|"&amp;ROWS($A$97:A112),[5]_Assessment_Full_View!$Q:$Q,0))&amp;" / "&amp;INDEX([5]_Assessment_Full_View!$H:$H,MATCH($Z$46&amp;"|"&amp;ROWS($A$97:A112),[5]_Assessment_Full_View!$Q:$Q,0)),"")</f>
        <v>Room / Sprinkler</v>
      </c>
      <c r="D112" s="566"/>
      <c r="E112" s="564" t="str">
        <f>IFERROR(INDEX([5]_Assessment_Full_View!$I:$I,MATCH($Z$46&amp;"|"&amp;ROWS($A$97:A112),[5]_Assessment_Full_View!$Q:$Q,0))&amp;" / "&amp;INDEX([5]_Assessment_Full_View!$J:$J,MATCH($Z$46&amp;"|"&amp;ROWS($A$97:A112),[5]_Assessment_Full_View!$Q:$Q,0)),"")</f>
        <v>Cage / Detector</v>
      </c>
      <c r="F112" s="565"/>
      <c r="G112" s="566"/>
      <c r="H112" s="564" t="str">
        <f>IFERROR(INDEX([5]_Assessment_Full_View!$K:$K,MATCH($Z$46&amp;"|"&amp;ROWS($A$97:A112),[5]_Assessment_Full_View!$Q:$Q,0))&amp;" / "&amp;INDEX([5]_Assessment_Full_View!$L:$L,MATCH($Z$46&amp;"|"&amp;ROWS($A$97:A112),[5]_Assessment_Full_View!$Q:$Q,0)),"")</f>
        <v>Horn/Strobe / Extinguisher &lt;75 ft</v>
      </c>
      <c r="I112" s="565"/>
      <c r="J112" s="566"/>
      <c r="K112" s="564" t="str">
        <f>IFERROR(INDEX([5]_Assessment_Full_View!$O:$O,MATCH($Z$46&amp;"|"&amp;ROWS($A$97:A112),[5]_Assessment_Full_View!$Q:$Q,0)),"")</f>
        <v>Overall</v>
      </c>
      <c r="L112" s="565"/>
      <c r="M112" s="566"/>
      <c r="N112" s="564" t="str">
        <f>IFERROR(INDEX([5]_Assessment_Full_View!$P:$P,MATCH($Z$46&amp;"|"&amp;ROWS($A$97:A112),[5]_Assessment_Full_View!$Q:$Q,0)),"")</f>
        <v>Risk / Notes</v>
      </c>
      <c r="O112" s="565"/>
      <c r="P112" s="566"/>
    </row>
    <row r="113" spans="1:16" ht="74.400000000000006" hidden="1" customHeight="1">
      <c r="A113" s="567" t="str">
        <f>IFERROR(INDEX([5]_Assessment_Full_View!$E:$E,MATCH($Z$46&amp;"|"&amp;ROWS($A$97:A113),[5]_Assessment_Full_View!$Q:$Q,0)),"")</f>
        <v>3. FIRE PROTECTION</v>
      </c>
      <c r="B113" s="566"/>
      <c r="C113" s="567" t="str">
        <f>IFERROR(INDEX([5]_Assessment_Full_View!$G:$G,MATCH($Z$46&amp;"|"&amp;ROWS($A$97:A113),[5]_Assessment_Full_View!$Q:$Q,0))&amp;" / "&amp;INDEX([5]_Assessment_Full_View!$H:$H,MATCH($Z$46&amp;"|"&amp;ROWS($A$97:A113),[5]_Assessment_Full_View!$Q:$Q,0)),"")</f>
        <v>B13H-A / Verify</v>
      </c>
      <c r="D113" s="566"/>
      <c r="E113" s="567" t="str">
        <f>IFERROR(INDEX([5]_Assessment_Full_View!$I:$I,MATCH($Z$46&amp;"|"&amp;ROWS($A$97:A113),[5]_Assessment_Full_View!$Q:$Q,0))&amp;" / "&amp;INDEX([5]_Assessment_Full_View!$J:$J,MATCH($Z$46&amp;"|"&amp;ROWS($A$97:A113),[5]_Assessment_Full_View!$Q:$Q,0)),"")</f>
        <v>Verify / Verify</v>
      </c>
      <c r="F113" s="565"/>
      <c r="G113" s="566"/>
      <c r="H113" s="567" t="str">
        <f>IFERROR(INDEX([5]_Assessment_Full_View!$K:$K,MATCH($Z$46&amp;"|"&amp;ROWS($A$97:A113),[5]_Assessment_Full_View!$Q:$Q,0))&amp;" / "&amp;INDEX([5]_Assessment_Full_View!$L:$L,MATCH($Z$46&amp;"|"&amp;ROWS($A$97:A113),[5]_Assessment_Full_View!$Q:$Q,0)),"")</f>
        <v>Verify / Verify</v>
      </c>
      <c r="I113" s="565"/>
      <c r="J113" s="566"/>
      <c r="K113" s="567" t="str">
        <f>IFERROR(INDEX([5]_Assessment_Full_View!$O:$O,MATCH($Z$46&amp;"|"&amp;ROWS($A$97:A113),[5]_Assessment_Full_View!$Q:$Q,0)),"")</f>
        <v>Verify</v>
      </c>
      <c r="L113" s="565"/>
      <c r="M113" s="566"/>
      <c r="N113" s="567" t="str">
        <f>IFERROR(INDEX([5]_Assessment_Full_View!$P:$P,MATCH($Z$46&amp;"|"&amp;ROWS($A$97:A113),[5]_Assessment_Full_View!$Q:$Q,0)),"")</f>
        <v>Dedicated TR scope includes fire protection drawings. Verify sprinkler modifications, fire alarm devices, clean-agent 2A:10B:C FEC within 75 ft, rated penetrations, and temporary firestopping.</v>
      </c>
      <c r="O113" s="565"/>
      <c r="P113" s="566"/>
    </row>
    <row r="114" spans="1:16" ht="74.400000000000006" hidden="1" customHeight="1">
      <c r="A114" s="564" t="str">
        <f>IFERROR(INDEX([5]_Assessment_Full_View!$E:$E,MATCH($Z$46&amp;"|"&amp;ROWS($A$97:A114),[5]_Assessment_Full_View!$Q:$Q,0)),"")</f>
        <v>3. FIRE PROTECTION</v>
      </c>
      <c r="B114" s="566"/>
      <c r="C114" s="564" t="str">
        <f>IFERROR(INDEX([5]_Assessment_Full_View!$G:$G,MATCH($Z$46&amp;"|"&amp;ROWS($A$97:A114),[5]_Assessment_Full_View!$Q:$Q,0))&amp;" / "&amp;INDEX([5]_Assessment_Full_View!$H:$H,MATCH($Z$46&amp;"|"&amp;ROWS($A$97:A114),[5]_Assessment_Full_View!$Q:$Q,0)),"")</f>
        <v>124 / Verify</v>
      </c>
      <c r="D114" s="566"/>
      <c r="E114" s="564" t="str">
        <f>IFERROR(INDEX([5]_Assessment_Full_View!$I:$I,MATCH($Z$46&amp;"|"&amp;ROWS($A$97:A114),[5]_Assessment_Full_View!$Q:$Q,0))&amp;" / "&amp;INDEX([5]_Assessment_Full_View!$J:$J,MATCH($Z$46&amp;"|"&amp;ROWS($A$97:A114),[5]_Assessment_Full_View!$Q:$Q,0)),"")</f>
        <v>Verify / Verify</v>
      </c>
      <c r="F114" s="565"/>
      <c r="G114" s="566"/>
      <c r="H114" s="564" t="str">
        <f>IFERROR(INDEX([5]_Assessment_Full_View!$K:$K,MATCH($Z$46&amp;"|"&amp;ROWS($A$97:A114),[5]_Assessment_Full_View!$Q:$Q,0))&amp;" / "&amp;INDEX([5]_Assessment_Full_View!$L:$L,MATCH($Z$46&amp;"|"&amp;ROWS($A$97:A114),[5]_Assessment_Full_View!$Q:$Q,0)),"")</f>
        <v>Verify / Verify</v>
      </c>
      <c r="I114" s="565"/>
      <c r="J114" s="566"/>
      <c r="K114" s="564" t="str">
        <f>IFERROR(INDEX([5]_Assessment_Full_View!$O:$O,MATCH($Z$46&amp;"|"&amp;ROWS($A$97:A114),[5]_Assessment_Full_View!$Q:$Q,0)),"")</f>
        <v>Verify</v>
      </c>
      <c r="L114" s="565"/>
      <c r="M114" s="566"/>
      <c r="N114" s="564" t="str">
        <f>IFERROR(INDEX([5]_Assessment_Full_View!$P:$P,MATCH($Z$46&amp;"|"&amp;ROWS($A$97:A114),[5]_Assessment_Full_View!$Q:$Q,0)),"")</f>
        <v>Verify sprinkler/fire alarm modifications, clean-agent FEC location, penetrations, cable tray/riser openings, and final UL firestop systems.</v>
      </c>
      <c r="O114" s="565"/>
      <c r="P114" s="566"/>
    </row>
    <row r="115" spans="1:16" ht="74.400000000000006" hidden="1" customHeight="1">
      <c r="A115" s="567" t="str">
        <f>IFERROR(INDEX([5]_Assessment_Full_View!$E:$E,MATCH($Z$46&amp;"|"&amp;ROWS($A$97:A115),[5]_Assessment_Full_View!$Q:$Q,0)),"")</f>
        <v>3. FIRE PROTECTION</v>
      </c>
      <c r="B115" s="566"/>
      <c r="C115" s="567" t="str">
        <f>IFERROR(INDEX([5]_Assessment_Full_View!$G:$G,MATCH($Z$46&amp;"|"&amp;ROWS($A$97:A115),[5]_Assessment_Full_View!$Q:$Q,0))&amp;" / "&amp;INDEX([5]_Assessment_Full_View!$H:$H,MATCH($Z$46&amp;"|"&amp;ROWS($A$97:A115),[5]_Assessment_Full_View!$Q:$Q,0)),"")</f>
        <v>226 / Verify</v>
      </c>
      <c r="D115" s="566"/>
      <c r="E115" s="567" t="str">
        <f>IFERROR(INDEX([5]_Assessment_Full_View!$I:$I,MATCH($Z$46&amp;"|"&amp;ROWS($A$97:A115),[5]_Assessment_Full_View!$Q:$Q,0))&amp;" / "&amp;INDEX([5]_Assessment_Full_View!$J:$J,MATCH($Z$46&amp;"|"&amp;ROWS($A$97:A115),[5]_Assessment_Full_View!$Q:$Q,0)),"")</f>
        <v>Verify / Verify</v>
      </c>
      <c r="F115" s="565"/>
      <c r="G115" s="566"/>
      <c r="H115" s="567" t="str">
        <f>IFERROR(INDEX([5]_Assessment_Full_View!$K:$K,MATCH($Z$46&amp;"|"&amp;ROWS($A$97:A115),[5]_Assessment_Full_View!$Q:$Q,0))&amp;" / "&amp;INDEX([5]_Assessment_Full_View!$L:$L,MATCH($Z$46&amp;"|"&amp;ROWS($A$97:A115),[5]_Assessment_Full_View!$Q:$Q,0)),"")</f>
        <v>Verify / Verify</v>
      </c>
      <c r="I115" s="565"/>
      <c r="J115" s="566"/>
      <c r="K115" s="567" t="str">
        <f>IFERROR(INDEX([5]_Assessment_Full_View!$O:$O,MATCH($Z$46&amp;"|"&amp;ROWS($A$97:A115),[5]_Assessment_Full_View!$Q:$Q,0)),"")</f>
        <v>Verify</v>
      </c>
      <c r="L115" s="565"/>
      <c r="M115" s="566"/>
      <c r="N115" s="567" t="str">
        <f>IFERROR(INDEX([5]_Assessment_Full_View!$P:$P,MATCH($Z$46&amp;"|"&amp;ROWS($A$97:A115),[5]_Assessment_Full_View!$Q:$Q,0)),"")</f>
        <v>Verify second-level TR sprinkler/fire alarm modifications, clean-agent FEC location, vertical riser penetrations, and firestopping.</v>
      </c>
      <c r="O115" s="565"/>
      <c r="P115" s="566"/>
    </row>
    <row r="116" spans="1:16" ht="74.400000000000006" hidden="1" customHeight="1">
      <c r="A116" s="564" t="str">
        <f>IFERROR(INDEX([5]_Assessment_Full_View!$E:$E,MATCH($Z$46&amp;"|"&amp;ROWS($A$97:A116),[5]_Assessment_Full_View!$Q:$Q,0)),"")</f>
        <v>3. FIRE PROTECTION</v>
      </c>
      <c r="B116" s="566"/>
      <c r="C116" s="564" t="str">
        <f>IFERROR(INDEX([5]_Assessment_Full_View!$G:$G,MATCH($Z$46&amp;"|"&amp;ROWS($A$97:A116),[5]_Assessment_Full_View!$Q:$Q,0))&amp;" / "&amp;INDEX([5]_Assessment_Full_View!$H:$H,MATCH($Z$46&amp;"|"&amp;ROWS($A$97:A116),[5]_Assessment_Full_View!$Q:$Q,0)),"")</f>
        <v>137 / 137A / Verify</v>
      </c>
      <c r="D116" s="566"/>
      <c r="E116" s="564" t="str">
        <f>IFERROR(INDEX([5]_Assessment_Full_View!$I:$I,MATCH($Z$46&amp;"|"&amp;ROWS($A$97:A116),[5]_Assessment_Full_View!$Q:$Q,0))&amp;" / "&amp;INDEX([5]_Assessment_Full_View!$J:$J,MATCH($Z$46&amp;"|"&amp;ROWS($A$97:A116),[5]_Assessment_Full_View!$Q:$Q,0)),"")</f>
        <v>N/A / Verify</v>
      </c>
      <c r="F116" s="565"/>
      <c r="G116" s="566"/>
      <c r="H116" s="564" t="str">
        <f>IFERROR(INDEX([5]_Assessment_Full_View!$K:$K,MATCH($Z$46&amp;"|"&amp;ROWS($A$97:A116),[5]_Assessment_Full_View!$Q:$Q,0))&amp;" / "&amp;INDEX([5]_Assessment_Full_View!$L:$L,MATCH($Z$46&amp;"|"&amp;ROWS($A$97:A116),[5]_Assessment_Full_View!$Q:$Q,0)),"")</f>
        <v>Verify / Verify</v>
      </c>
      <c r="I116" s="565"/>
      <c r="J116" s="566"/>
      <c r="K116" s="564" t="str">
        <f>IFERROR(INDEX([5]_Assessment_Full_View!$O:$O,MATCH($Z$46&amp;"|"&amp;ROWS($A$97:A116),[5]_Assessment_Full_View!$Q:$Q,0)),"")</f>
        <v>Verify</v>
      </c>
      <c r="L116" s="565"/>
      <c r="M116" s="566"/>
      <c r="N116" s="564" t="str">
        <f>IFERROR(INDEX([5]_Assessment_Full_View!$P:$P,MATCH($Z$46&amp;"|"&amp;ROWS($A$97:A116),[5]_Assessment_Full_View!$Q:$Q,0)),"")</f>
        <v>Existing demarc/server rooms may remain active; verify protection-in-place, FA/FP continuity, and no unsealed penetrations after cabling work.</v>
      </c>
      <c r="O116" s="565"/>
      <c r="P116" s="566"/>
    </row>
    <row r="117" spans="1:16" ht="74.400000000000006" hidden="1" customHeight="1">
      <c r="A117" s="567" t="str">
        <f>IFERROR(INDEX([5]_Assessment_Full_View!$E:$E,MATCH($Z$46&amp;"|"&amp;ROWS($A$97:A117),[5]_Assessment_Full_View!$Q:$Q,0)),"")</f>
        <v>3. FIRE PROTECTION</v>
      </c>
      <c r="B117" s="566"/>
      <c r="C117" s="567" t="str">
        <f>IFERROR(INDEX([5]_Assessment_Full_View!$G:$G,MATCH($Z$46&amp;"|"&amp;ROWS($A$97:A117),[5]_Assessment_Full_View!$Q:$Q,0))&amp;" / "&amp;INDEX([5]_Assessment_Full_View!$H:$H,MATCH($Z$46&amp;"|"&amp;ROWS($A$97:A117),[5]_Assessment_Full_View!$Q:$Q,0)),"")</f>
        <v>0 / 0</v>
      </c>
      <c r="D117" s="566"/>
      <c r="E117" s="567" t="str">
        <f>IFERROR(INDEX([5]_Assessment_Full_View!$I:$I,MATCH($Z$46&amp;"|"&amp;ROWS($A$97:A117),[5]_Assessment_Full_View!$Q:$Q,0))&amp;" / "&amp;INDEX([5]_Assessment_Full_View!$J:$J,MATCH($Z$46&amp;"|"&amp;ROWS($A$97:A117),[5]_Assessment_Full_View!$Q:$Q,0)),"")</f>
        <v>0 / 0</v>
      </c>
      <c r="F117" s="565"/>
      <c r="G117" s="566"/>
      <c r="H117" s="567" t="str">
        <f>IFERROR(INDEX([5]_Assessment_Full_View!$K:$K,MATCH($Z$46&amp;"|"&amp;ROWS($A$97:A117),[5]_Assessment_Full_View!$Q:$Q,0))&amp;" / "&amp;INDEX([5]_Assessment_Full_View!$L:$L,MATCH($Z$46&amp;"|"&amp;ROWS($A$97:A117),[5]_Assessment_Full_View!$Q:$Q,0)),"")</f>
        <v>0 / 0</v>
      </c>
      <c r="I117" s="565"/>
      <c r="J117" s="566"/>
      <c r="K117" s="567">
        <f>IFERROR(INDEX([5]_Assessment_Full_View!$O:$O,MATCH($Z$46&amp;"|"&amp;ROWS($A$97:A117),[5]_Assessment_Full_View!$Q:$Q,0)),"")</f>
        <v>0</v>
      </c>
      <c r="L117" s="565"/>
      <c r="M117" s="566"/>
      <c r="N117" s="567">
        <f>IFERROR(INDEX([5]_Assessment_Full_View!$P:$P,MATCH($Z$46&amp;"|"&amp;ROWS($A$97:A117),[5]_Assessment_Full_View!$Q:$Q,0)),"")</f>
        <v>0</v>
      </c>
      <c r="O117" s="565"/>
      <c r="P117" s="566"/>
    </row>
    <row r="118" spans="1:16" ht="74.400000000000006" hidden="1" customHeight="1">
      <c r="A118" s="564" t="str">
        <f>IFERROR(INDEX([5]_Assessment_Full_View!$E:$E,MATCH($Z$46&amp;"|"&amp;ROWS($A$97:A118),[5]_Assessment_Full_View!$Q:$Q,0)),"")</f>
        <v>4. HVAC / COOLING</v>
      </c>
      <c r="B118" s="566"/>
      <c r="C118" s="564" t="str">
        <f>IFERROR(INDEX([5]_Assessment_Full_View!$G:$G,MATCH($Z$46&amp;"|"&amp;ROWS($A$97:A118),[5]_Assessment_Full_View!$Q:$Q,0))&amp;" / "&amp;INDEX([5]_Assessment_Full_View!$H:$H,MATCH($Z$46&amp;"|"&amp;ROWS($A$97:A118),[5]_Assessment_Full_View!$Q:$Q,0)),"")</f>
        <v>4. HVAC / COOLING / 0</v>
      </c>
      <c r="D118" s="566"/>
      <c r="E118" s="564" t="str">
        <f>IFERROR(INDEX([5]_Assessment_Full_View!$I:$I,MATCH($Z$46&amp;"|"&amp;ROWS($A$97:A118),[5]_Assessment_Full_View!$Q:$Q,0))&amp;" / "&amp;INDEX([5]_Assessment_Full_View!$J:$J,MATCH($Z$46&amp;"|"&amp;ROWS($A$97:A118),[5]_Assessment_Full_View!$Q:$Q,0)),"")</f>
        <v>0 / 0</v>
      </c>
      <c r="F118" s="565"/>
      <c r="G118" s="566"/>
      <c r="H118" s="564" t="str">
        <f>IFERROR(INDEX([5]_Assessment_Full_View!$K:$K,MATCH($Z$46&amp;"|"&amp;ROWS($A$97:A118),[5]_Assessment_Full_View!$Q:$Q,0))&amp;" / "&amp;INDEX([5]_Assessment_Full_View!$L:$L,MATCH($Z$46&amp;"|"&amp;ROWS($A$97:A118),[5]_Assessment_Full_View!$Q:$Q,0)),"")</f>
        <v>0 / 0</v>
      </c>
      <c r="I118" s="565"/>
      <c r="J118" s="566"/>
      <c r="K118" s="564">
        <f>IFERROR(INDEX([5]_Assessment_Full_View!$O:$O,MATCH($Z$46&amp;"|"&amp;ROWS($A$97:A118),[5]_Assessment_Full_View!$Q:$Q,0)),"")</f>
        <v>0</v>
      </c>
      <c r="L118" s="565"/>
      <c r="M118" s="566"/>
      <c r="N118" s="564">
        <f>IFERROR(INDEX([5]_Assessment_Full_View!$P:$P,MATCH($Z$46&amp;"|"&amp;ROWS($A$97:A118),[5]_Assessment_Full_View!$Q:$Q,0)),"")</f>
        <v>0</v>
      </c>
      <c r="O118" s="565"/>
      <c r="P118" s="566"/>
    </row>
    <row r="119" spans="1:16" ht="74.400000000000006" hidden="1" customHeight="1">
      <c r="A119" s="567" t="str">
        <f>IFERROR(INDEX([5]_Assessment_Full_View!$E:$E,MATCH($Z$46&amp;"|"&amp;ROWS($A$97:A119),[5]_Assessment_Full_View!$Q:$Q,0)),"")</f>
        <v>4. HVAC / COOLING</v>
      </c>
      <c r="B119" s="566"/>
      <c r="C119" s="567" t="str">
        <f>IFERROR(INDEX([5]_Assessment_Full_View!$G:$G,MATCH($Z$46&amp;"|"&amp;ROWS($A$97:A119),[5]_Assessment_Full_View!$Q:$Q,0))&amp;" / "&amp;INDEX([5]_Assessment_Full_View!$H:$H,MATCH($Z$46&amp;"|"&amp;ROWS($A$97:A119),[5]_Assessment_Full_View!$Q:$Q,0)),"")</f>
        <v>Room / Dedicated Unit</v>
      </c>
      <c r="D119" s="566"/>
      <c r="E119" s="567" t="str">
        <f>IFERROR(INDEX([5]_Assessment_Full_View!$I:$I,MATCH($Z$46&amp;"|"&amp;ROWS($A$97:A119),[5]_Assessment_Full_View!$Q:$Q,0))&amp;" / "&amp;INDEX([5]_Assessment_Full_View!$J:$J,MATCH($Z$46&amp;"|"&amp;ROWS($A$97:A119),[5]_Assessment_Full_View!$Q:$Q,0)),"")</f>
        <v>Capacity Verified / Emergency Power</v>
      </c>
      <c r="F119" s="565"/>
      <c r="G119" s="566"/>
      <c r="H119" s="567" t="str">
        <f>IFERROR(INDEX([5]_Assessment_Full_View!$K:$K,MATCH($Z$46&amp;"|"&amp;ROWS($A$97:A119),[5]_Assessment_Full_View!$Q:$Q,0))&amp;" / "&amp;INDEX([5]_Assessment_Full_View!$L:$L,MATCH($Z$46&amp;"|"&amp;ROWS($A$97:A119),[5]_Assessment_Full_View!$Q:$Q,0)),"")</f>
        <v>Controls / BACnet / Condensate Routed</v>
      </c>
      <c r="I119" s="565"/>
      <c r="J119" s="566"/>
      <c r="K119" s="567" t="str">
        <f>IFERROR(INDEX([5]_Assessment_Full_View!$O:$O,MATCH($Z$46&amp;"|"&amp;ROWS($A$97:A119),[5]_Assessment_Full_View!$Q:$Q,0)),"")</f>
        <v>Overall</v>
      </c>
      <c r="L119" s="565"/>
      <c r="M119" s="566"/>
      <c r="N119" s="567" t="str">
        <f>IFERROR(INDEX([5]_Assessment_Full_View!$P:$P,MATCH($Z$46&amp;"|"&amp;ROWS($A$97:A119),[5]_Assessment_Full_View!$Q:$Q,0)),"")</f>
        <v>Risk / Notes</v>
      </c>
      <c r="O119" s="565"/>
      <c r="P119" s="566"/>
    </row>
    <row r="120" spans="1:16" ht="13.2" hidden="1" customHeight="1">
      <c r="A120" s="564" t="str">
        <f>IFERROR(INDEX([5]_Assessment_Full_View!$E:$E,MATCH($Z$46&amp;"|"&amp;ROWS($A$97:A120),[5]_Assessment_Full_View!$Q:$Q,0)),"")</f>
        <v>4. HVAC / COOLING</v>
      </c>
      <c r="B120" s="566"/>
      <c r="C120" s="564" t="str">
        <f>IFERROR(INDEX([5]_Assessment_Full_View!$G:$G,MATCH($Z$46&amp;"|"&amp;ROWS($A$97:A120),[5]_Assessment_Full_View!$Q:$Q,0))&amp;" / "&amp;INDEX([5]_Assessment_Full_View!$H:$H,MATCH($Z$46&amp;"|"&amp;ROWS($A$97:A120),[5]_Assessment_Full_View!$Q:$Q,0)),"")</f>
        <v>B13H-A / IU-0-01 / CU-0-01</v>
      </c>
      <c r="D120" s="566"/>
      <c r="E120" s="564" t="str">
        <f>IFERROR(INDEX([5]_Assessment_Full_View!$I:$I,MATCH($Z$46&amp;"|"&amp;ROWS($A$97:A120),[5]_Assessment_Full_View!$Q:$Q,0))&amp;" / "&amp;INDEX([5]_Assessment_Full_View!$J:$J,MATCH($Z$46&amp;"|"&amp;ROWS($A$97:A120),[5]_Assessment_Full_View!$Q:$Q,0)),"")</f>
        <v>Verify / Verify</v>
      </c>
      <c r="F120" s="565"/>
      <c r="G120" s="566"/>
      <c r="H120" s="564" t="str">
        <f>IFERROR(INDEX([5]_Assessment_Full_View!$K:$K,MATCH($Z$46&amp;"|"&amp;ROWS($A$97:A120),[5]_Assessment_Full_View!$Q:$Q,0))&amp;" / "&amp;INDEX([5]_Assessment_Full_View!$L:$L,MATCH($Z$46&amp;"|"&amp;ROWS($A$97:A120),[5]_Assessment_Full_View!$Q:$Q,0)),"")</f>
        <v>Verify / Verify</v>
      </c>
      <c r="I120" s="565"/>
      <c r="J120" s="566"/>
      <c r="K120" s="564" t="str">
        <f>IFERROR(INDEX([5]_Assessment_Full_View!$O:$O,MATCH($Z$46&amp;"|"&amp;ROWS($A$97:A120),[5]_Assessment_Full_View!$Q:$Q,0)),"")</f>
        <v>Verify</v>
      </c>
      <c r="L120" s="565"/>
      <c r="M120" s="566"/>
      <c r="N120" s="564" t="str">
        <f>IFERROR(INDEX([5]_Assessment_Full_View!$P:$P,MATCH($Z$46&amp;"|"&amp;ROWS($A$97:A120),[5]_Assessment_Full_View!$Q:$Q,0)),"")</f>
        <v>Mechanical sheets identify dedicated split-system cooling with BACnet adapter mounted adjacent to unit in telecom room. Confirm capacity, emergency source, condensate, disconnect, controls, and alarms.</v>
      </c>
      <c r="O120" s="565"/>
      <c r="P120" s="566"/>
    </row>
    <row r="121" spans="1:16" ht="13.2" hidden="1" customHeight="1">
      <c r="A121" s="567" t="str">
        <f>IFERROR(INDEX([5]_Assessment_Full_View!$E:$E,MATCH($Z$46&amp;"|"&amp;ROWS($A$97:A121),[5]_Assessment_Full_View!$Q:$Q,0)),"")</f>
        <v>4. HVAC / COOLING</v>
      </c>
      <c r="B121" s="566"/>
      <c r="C121" s="567" t="str">
        <f>IFERROR(INDEX([5]_Assessment_Full_View!$G:$G,MATCH($Z$46&amp;"|"&amp;ROWS($A$97:A121),[5]_Assessment_Full_View!$Q:$Q,0))&amp;" / "&amp;INDEX([5]_Assessment_Full_View!$H:$H,MATCH($Z$46&amp;"|"&amp;ROWS($A$97:A121),[5]_Assessment_Full_View!$Q:$Q,0)),"")</f>
        <v>124 / IU-1-01 / CU-1-01</v>
      </c>
      <c r="D121" s="566"/>
      <c r="E121" s="567" t="str">
        <f>IFERROR(INDEX([4]_Assessment_Full_View!$I:$I,MATCH($Z$46&amp;"|"&amp;ROWS($A$97:A121),[4]_Assessment_Full_View!$Q:$Q,0))&amp;" / "&amp;INDEX([4]_Assessment_Full_View!$J:$J,MATCH($Z$46&amp;"|"&amp;ROWS($A$97:A121),[4]_Assessment_Full_View!$Q:$Q,0)),"")</f>
        <v>Verify / Verify</v>
      </c>
      <c r="F121" s="565"/>
      <c r="G121" s="566"/>
      <c r="H121" s="567" t="str">
        <f>IFERROR(INDEX([4]_Assessment_Full_View!$K:$K,MATCH($Z$46&amp;"|"&amp;ROWS($A$97:A121),[4]_Assessment_Full_View!$Q:$Q,0))&amp;" / "&amp;INDEX([4]_Assessment_Full_View!$L:$L,MATCH($Z$46&amp;"|"&amp;ROWS($A$97:A121),[4]_Assessment_Full_View!$Q:$Q,0)),"")</f>
        <v>Verify / Verify</v>
      </c>
      <c r="I121" s="565"/>
      <c r="J121" s="566"/>
      <c r="K121" s="567" t="str">
        <f>IFERROR(INDEX([5]_Assessment_Full_View!$O:$O,MATCH($Z$46&amp;"|"&amp;ROWS($A$97:A121),[5]_Assessment_Full_View!$Q:$Q,0)),"")</f>
        <v>Verify</v>
      </c>
      <c r="L121" s="565"/>
      <c r="M121" s="566"/>
      <c r="N121" s="567" t="str">
        <f>IFERROR(INDEX([5]_Assessment_Full_View!$P:$P,MATCH($Z$46&amp;"|"&amp;ROWS($A$97:A121),[5]_Assessment_Full_View!$Q:$Q,0)),"")</f>
        <v>Mechanical/electrical plans identify IU-1-01/CU-1-01 for first-level TR. Confirm 24/7 operation, emergency/standby source and high-temp alarm.</v>
      </c>
      <c r="O121" s="565"/>
      <c r="P121" s="566"/>
    </row>
    <row r="122" spans="1:16" ht="13.2" hidden="1" customHeight="1">
      <c r="A122" s="711"/>
      <c r="B122" s="565"/>
      <c r="C122" s="565"/>
      <c r="D122" s="565"/>
      <c r="E122" s="565"/>
      <c r="F122" s="565"/>
      <c r="G122" s="565"/>
      <c r="H122" s="565"/>
      <c r="I122" s="565"/>
      <c r="J122" s="565"/>
      <c r="K122" s="565"/>
      <c r="L122" s="565"/>
      <c r="M122" s="565"/>
      <c r="N122" s="565"/>
      <c r="O122" s="565"/>
      <c r="P122" s="566"/>
    </row>
    <row r="123" spans="1:16" ht="13.2" hidden="1" customHeight="1">
      <c r="A123" s="371"/>
      <c r="B123" s="371"/>
      <c r="C123" s="371"/>
      <c r="D123" s="371"/>
      <c r="E123" s="371"/>
      <c r="F123" s="371"/>
      <c r="G123" s="371"/>
      <c r="H123" s="371"/>
      <c r="I123" s="371"/>
      <c r="J123" s="371"/>
      <c r="K123" s="371"/>
      <c r="L123" s="371"/>
      <c r="M123" s="371"/>
      <c r="N123" s="371"/>
      <c r="O123" s="371"/>
      <c r="P123" s="371"/>
    </row>
    <row r="124" spans="1:16" ht="13.2" hidden="1" customHeight="1">
      <c r="A124" s="371"/>
      <c r="B124" s="371"/>
      <c r="C124" s="371"/>
      <c r="D124" s="371"/>
      <c r="E124" s="371"/>
      <c r="F124" s="371"/>
      <c r="G124" s="371"/>
      <c r="H124" s="371"/>
      <c r="I124" s="371"/>
      <c r="J124" s="371"/>
      <c r="K124" s="371"/>
      <c r="L124" s="371"/>
      <c r="M124" s="371"/>
      <c r="N124" s="371"/>
      <c r="O124" s="371"/>
      <c r="P124" s="371"/>
    </row>
    <row r="125" spans="1:16" ht="13.2" hidden="1" customHeight="1">
      <c r="A125" s="371"/>
      <c r="B125" s="371"/>
      <c r="C125" s="371"/>
      <c r="D125" s="371"/>
      <c r="E125" s="371"/>
      <c r="F125" s="371"/>
      <c r="G125" s="371"/>
      <c r="H125" s="371"/>
      <c r="I125" s="371"/>
      <c r="J125" s="371"/>
      <c r="K125" s="371"/>
      <c r="L125" s="371"/>
      <c r="M125" s="371"/>
      <c r="N125" s="371"/>
      <c r="O125" s="371"/>
      <c r="P125" s="371"/>
    </row>
    <row r="126" spans="1:16" ht="13.2" hidden="1" customHeight="1">
      <c r="A126" s="371"/>
      <c r="B126" s="371"/>
      <c r="C126" s="371"/>
      <c r="D126" s="371"/>
      <c r="E126" s="371"/>
      <c r="F126" s="371"/>
      <c r="G126" s="371"/>
      <c r="H126" s="371"/>
      <c r="I126" s="371"/>
      <c r="J126" s="371"/>
      <c r="K126" s="371"/>
      <c r="L126" s="371"/>
      <c r="M126" s="371"/>
      <c r="N126" s="371"/>
      <c r="O126" s="371"/>
      <c r="P126" s="371"/>
    </row>
    <row r="127" spans="1:16" ht="13.2" hidden="1" customHeight="1">
      <c r="A127" s="371"/>
      <c r="B127" s="371"/>
      <c r="C127" s="371"/>
      <c r="D127" s="371"/>
      <c r="E127" s="371"/>
      <c r="F127" s="371"/>
      <c r="G127" s="371"/>
      <c r="H127" s="371"/>
      <c r="I127" s="371"/>
      <c r="J127" s="371"/>
      <c r="K127" s="371"/>
      <c r="L127" s="371"/>
      <c r="M127" s="371"/>
      <c r="N127" s="371"/>
      <c r="O127" s="371"/>
      <c r="P127" s="371"/>
    </row>
    <row r="128" spans="1:16" ht="13.2" hidden="1" customHeight="1">
      <c r="A128" s="371"/>
      <c r="B128" s="371"/>
      <c r="C128" s="371"/>
      <c r="D128" s="371"/>
      <c r="E128" s="371"/>
      <c r="F128" s="371"/>
      <c r="G128" s="371"/>
      <c r="H128" s="371"/>
      <c r="I128" s="371"/>
      <c r="J128" s="371"/>
      <c r="K128" s="371"/>
      <c r="L128" s="371"/>
      <c r="M128" s="371"/>
      <c r="N128" s="371"/>
      <c r="O128" s="371"/>
      <c r="P128" s="371"/>
    </row>
    <row r="129" spans="1:16" ht="13.2" hidden="1" customHeight="1">
      <c r="A129" s="371"/>
      <c r="B129" s="371"/>
      <c r="C129" s="371"/>
      <c r="D129" s="371"/>
      <c r="E129" s="371"/>
      <c r="F129" s="371"/>
      <c r="G129" s="371"/>
      <c r="H129" s="371"/>
      <c r="I129" s="371"/>
      <c r="J129" s="371"/>
      <c r="K129" s="371"/>
      <c r="L129" s="371"/>
      <c r="M129" s="371"/>
      <c r="N129" s="371"/>
      <c r="O129" s="371"/>
      <c r="P129" s="371"/>
    </row>
    <row r="130" spans="1:16" ht="13.2" hidden="1" customHeight="1">
      <c r="A130" s="371"/>
      <c r="B130" s="371"/>
      <c r="C130" s="371"/>
      <c r="D130" s="371"/>
      <c r="E130" s="371"/>
      <c r="F130" s="371"/>
      <c r="G130" s="371"/>
      <c r="H130" s="371"/>
      <c r="I130" s="371"/>
      <c r="J130" s="371"/>
      <c r="K130" s="371"/>
      <c r="L130" s="371"/>
      <c r="M130" s="371"/>
      <c r="N130" s="371"/>
      <c r="O130" s="371"/>
      <c r="P130" s="371"/>
    </row>
    <row r="131" spans="1:16" ht="13.2" hidden="1" customHeight="1">
      <c r="A131" s="371"/>
      <c r="B131" s="371"/>
      <c r="C131" s="371"/>
      <c r="D131" s="371"/>
      <c r="E131" s="371"/>
      <c r="F131" s="371"/>
      <c r="G131" s="371"/>
      <c r="H131" s="371"/>
      <c r="I131" s="371"/>
      <c r="J131" s="371"/>
      <c r="K131" s="371"/>
      <c r="L131" s="371"/>
      <c r="M131" s="371"/>
      <c r="N131" s="371"/>
      <c r="O131" s="371"/>
      <c r="P131" s="371"/>
    </row>
    <row r="132" spans="1:16" ht="13.2" hidden="1" customHeight="1">
      <c r="A132" s="371"/>
      <c r="B132" s="371"/>
      <c r="C132" s="371"/>
      <c r="D132" s="371"/>
      <c r="E132" s="371"/>
      <c r="F132" s="371"/>
      <c r="G132" s="371"/>
      <c r="H132" s="371"/>
      <c r="I132" s="371"/>
      <c r="J132" s="371"/>
      <c r="K132" s="371"/>
      <c r="L132" s="371"/>
      <c r="M132" s="371"/>
      <c r="N132" s="371"/>
      <c r="O132" s="371"/>
      <c r="P132" s="371"/>
    </row>
    <row r="133" spans="1:16" ht="13.2" hidden="1" customHeight="1">
      <c r="A133" s="371"/>
      <c r="B133" s="371"/>
      <c r="C133" s="371"/>
      <c r="D133" s="371"/>
      <c r="E133" s="371"/>
      <c r="F133" s="371"/>
      <c r="G133" s="371"/>
      <c r="H133" s="371"/>
      <c r="I133" s="371"/>
      <c r="J133" s="371"/>
      <c r="K133" s="371"/>
      <c r="L133" s="371"/>
      <c r="M133" s="371"/>
      <c r="N133" s="371"/>
      <c r="O133" s="371"/>
      <c r="P133" s="371"/>
    </row>
    <row r="134" spans="1:16" ht="13.2" hidden="1" customHeight="1">
      <c r="A134" s="371"/>
      <c r="B134" s="371"/>
      <c r="C134" s="371"/>
      <c r="D134" s="371"/>
      <c r="E134" s="371"/>
      <c r="F134" s="371"/>
      <c r="G134" s="371"/>
      <c r="H134" s="371"/>
      <c r="I134" s="371"/>
      <c r="J134" s="371"/>
      <c r="K134" s="371"/>
      <c r="L134" s="371"/>
      <c r="M134" s="371"/>
      <c r="N134" s="371"/>
      <c r="O134" s="371"/>
      <c r="P134" s="371"/>
    </row>
    <row r="135" spans="1:16" ht="13.2" hidden="1" customHeight="1">
      <c r="A135" s="371"/>
      <c r="B135" s="371"/>
      <c r="C135" s="371"/>
      <c r="D135" s="371"/>
      <c r="E135" s="371"/>
      <c r="F135" s="371"/>
      <c r="G135" s="371"/>
      <c r="H135" s="371"/>
      <c r="I135" s="371"/>
      <c r="J135" s="371"/>
      <c r="K135" s="371"/>
      <c r="L135" s="371"/>
      <c r="M135" s="371"/>
      <c r="N135" s="371"/>
      <c r="O135" s="371"/>
      <c r="P135" s="371"/>
    </row>
    <row r="136" spans="1:16" ht="13.2" hidden="1" customHeight="1">
      <c r="A136" s="371"/>
      <c r="B136" s="371"/>
      <c r="C136" s="371"/>
      <c r="D136" s="371"/>
      <c r="E136" s="371"/>
      <c r="F136" s="371"/>
      <c r="G136" s="371"/>
      <c r="H136" s="371"/>
      <c r="I136" s="371"/>
      <c r="J136" s="371"/>
      <c r="K136" s="371"/>
      <c r="L136" s="371"/>
      <c r="M136" s="371"/>
      <c r="N136" s="371"/>
      <c r="O136" s="371"/>
      <c r="P136" s="371"/>
    </row>
    <row r="137" spans="1:16" ht="13.2" hidden="1" customHeight="1">
      <c r="A137" s="371"/>
      <c r="B137" s="371"/>
      <c r="C137" s="371"/>
      <c r="D137" s="371"/>
      <c r="E137" s="371"/>
      <c r="F137" s="371"/>
      <c r="G137" s="371"/>
      <c r="H137" s="371"/>
      <c r="I137" s="371"/>
      <c r="J137" s="371"/>
      <c r="K137" s="371"/>
      <c r="L137" s="371"/>
      <c r="M137" s="371"/>
      <c r="N137" s="371"/>
      <c r="O137" s="371"/>
      <c r="P137" s="371"/>
    </row>
    <row r="138" spans="1:16" ht="13.2" hidden="1" customHeight="1">
      <c r="A138" s="371"/>
      <c r="B138" s="371"/>
      <c r="C138" s="371"/>
      <c r="D138" s="371"/>
      <c r="E138" s="371"/>
      <c r="F138" s="371"/>
      <c r="G138" s="371"/>
      <c r="H138" s="371"/>
      <c r="I138" s="371"/>
      <c r="J138" s="371"/>
      <c r="K138" s="371"/>
      <c r="L138" s="371"/>
      <c r="M138" s="371"/>
      <c r="N138" s="371"/>
      <c r="O138" s="371"/>
      <c r="P138" s="371"/>
    </row>
    <row r="139" spans="1:16" ht="13.2" hidden="1" customHeight="1">
      <c r="A139" s="371"/>
      <c r="B139" s="371"/>
      <c r="C139" s="371"/>
      <c r="D139" s="371"/>
      <c r="E139" s="371"/>
      <c r="F139" s="371"/>
      <c r="G139" s="371"/>
      <c r="H139" s="371"/>
      <c r="I139" s="371"/>
      <c r="J139" s="371"/>
      <c r="K139" s="371"/>
      <c r="L139" s="371"/>
      <c r="M139" s="371"/>
      <c r="N139" s="371"/>
      <c r="O139" s="371"/>
      <c r="P139" s="371"/>
    </row>
    <row r="140" spans="1:16" ht="13.2" hidden="1" customHeight="1">
      <c r="A140" s="371"/>
      <c r="B140" s="371"/>
      <c r="C140" s="371"/>
      <c r="D140" s="371"/>
      <c r="E140" s="371"/>
      <c r="F140" s="371"/>
      <c r="G140" s="371"/>
      <c r="H140" s="371"/>
      <c r="I140" s="371"/>
      <c r="J140" s="371"/>
      <c r="K140" s="371"/>
      <c r="L140" s="371"/>
      <c r="M140" s="371"/>
      <c r="N140" s="371"/>
      <c r="O140" s="371"/>
      <c r="P140" s="371"/>
    </row>
    <row r="141" spans="1:16" ht="13.2" hidden="1" customHeight="1">
      <c r="A141" s="371"/>
      <c r="B141" s="371"/>
      <c r="C141" s="371"/>
      <c r="D141" s="371"/>
      <c r="E141" s="371"/>
      <c r="F141" s="371"/>
      <c r="G141" s="371"/>
      <c r="H141" s="371"/>
      <c r="I141" s="371"/>
      <c r="J141" s="371"/>
      <c r="K141" s="371"/>
      <c r="L141" s="371"/>
      <c r="M141" s="371"/>
      <c r="N141" s="371"/>
      <c r="O141" s="371"/>
      <c r="P141" s="371"/>
    </row>
    <row r="142" spans="1:16" ht="13.2" hidden="1" customHeight="1">
      <c r="A142" s="371"/>
      <c r="B142" s="371"/>
      <c r="C142" s="371"/>
      <c r="D142" s="371"/>
      <c r="E142" s="371"/>
      <c r="F142" s="371"/>
      <c r="G142" s="371"/>
      <c r="H142" s="371"/>
      <c r="I142" s="371"/>
      <c r="J142" s="371"/>
      <c r="K142" s="371"/>
      <c r="L142" s="371"/>
      <c r="M142" s="371"/>
      <c r="N142" s="371"/>
      <c r="O142" s="371"/>
      <c r="P142" s="371"/>
    </row>
    <row r="143" spans="1:16" ht="13.2" hidden="1" customHeight="1">
      <c r="A143" s="371"/>
      <c r="B143" s="371"/>
      <c r="C143" s="371"/>
      <c r="D143" s="371"/>
      <c r="E143" s="371"/>
      <c r="F143" s="371"/>
      <c r="G143" s="371"/>
      <c r="H143" s="371"/>
      <c r="I143" s="371"/>
      <c r="J143" s="371"/>
      <c r="K143" s="371"/>
      <c r="L143" s="371"/>
      <c r="M143" s="371"/>
      <c r="N143" s="371"/>
      <c r="O143" s="371"/>
      <c r="P143" s="371"/>
    </row>
    <row r="144" spans="1:16" ht="13.2" hidden="1" customHeight="1">
      <c r="A144" s="371"/>
      <c r="B144" s="371"/>
      <c r="C144" s="371"/>
      <c r="D144" s="371"/>
      <c r="E144" s="371"/>
      <c r="F144" s="371"/>
      <c r="G144" s="371"/>
      <c r="H144" s="371"/>
      <c r="I144" s="371"/>
      <c r="J144" s="371"/>
      <c r="K144" s="371"/>
      <c r="L144" s="371"/>
      <c r="M144" s="371"/>
      <c r="N144" s="371"/>
      <c r="O144" s="371"/>
      <c r="P144" s="371"/>
    </row>
    <row r="145" spans="1:16" ht="13.2" hidden="1" customHeight="1">
      <c r="A145" s="371"/>
      <c r="B145" s="371"/>
      <c r="C145" s="371"/>
      <c r="D145" s="371"/>
      <c r="E145" s="371"/>
      <c r="F145" s="371"/>
      <c r="G145" s="371"/>
      <c r="H145" s="371"/>
      <c r="I145" s="371"/>
      <c r="J145" s="371"/>
      <c r="K145" s="371"/>
      <c r="L145" s="371"/>
      <c r="M145" s="371"/>
      <c r="N145" s="371"/>
      <c r="O145" s="371"/>
      <c r="P145" s="371"/>
    </row>
    <row r="146" spans="1:16" ht="13.2" hidden="1" customHeight="1">
      <c r="A146" s="371"/>
      <c r="B146" s="371"/>
      <c r="C146" s="371"/>
      <c r="D146" s="371"/>
      <c r="E146" s="371"/>
      <c r="F146" s="371"/>
      <c r="G146" s="371"/>
      <c r="H146" s="371"/>
      <c r="I146" s="371"/>
      <c r="J146" s="371"/>
      <c r="K146" s="371"/>
      <c r="L146" s="371"/>
      <c r="M146" s="371"/>
      <c r="N146" s="371"/>
      <c r="O146" s="371"/>
      <c r="P146" s="371"/>
    </row>
    <row r="147" spans="1:16" ht="13.2" hidden="1" customHeight="1">
      <c r="A147" s="371"/>
      <c r="B147" s="371"/>
      <c r="C147" s="371"/>
      <c r="D147" s="371"/>
      <c r="E147" s="371"/>
      <c r="F147" s="371"/>
      <c r="G147" s="371"/>
      <c r="H147" s="371"/>
      <c r="I147" s="371"/>
      <c r="J147" s="371"/>
      <c r="K147" s="371"/>
      <c r="L147" s="371"/>
      <c r="M147" s="371"/>
      <c r="N147" s="371"/>
      <c r="O147" s="371"/>
      <c r="P147" s="371"/>
    </row>
    <row r="148" spans="1:16" ht="13.2" hidden="1" customHeight="1">
      <c r="A148" s="372"/>
      <c r="B148" s="372"/>
      <c r="C148" s="372"/>
      <c r="D148" s="372"/>
      <c r="E148" s="372"/>
      <c r="F148" s="372"/>
      <c r="G148" s="372"/>
      <c r="H148" s="372"/>
      <c r="I148" s="372"/>
      <c r="J148" s="372"/>
      <c r="K148" s="372"/>
      <c r="L148" s="372"/>
      <c r="M148" s="372"/>
      <c r="N148" s="372"/>
      <c r="O148" s="372"/>
      <c r="P148" s="372"/>
    </row>
    <row r="149" spans="1:16" ht="13.2" hidden="1" customHeight="1">
      <c r="A149" s="372"/>
      <c r="B149" s="372"/>
      <c r="C149" s="372"/>
      <c r="D149" s="372"/>
      <c r="E149" s="372"/>
      <c r="F149" s="372"/>
      <c r="G149" s="372"/>
      <c r="H149" s="372"/>
      <c r="I149" s="372"/>
      <c r="J149" s="372"/>
      <c r="K149" s="372"/>
      <c r="L149" s="372"/>
      <c r="M149" s="372"/>
      <c r="N149" s="372"/>
      <c r="O149" s="372"/>
      <c r="P149" s="372"/>
    </row>
    <row r="150" spans="1:16" ht="13.2" customHeight="1">
      <c r="A150" s="372"/>
      <c r="B150" s="372"/>
      <c r="C150" s="372"/>
      <c r="D150" s="372"/>
      <c r="E150" s="372"/>
      <c r="F150" s="372"/>
      <c r="G150" s="372"/>
      <c r="H150" s="372"/>
      <c r="I150" s="372"/>
      <c r="J150" s="372"/>
      <c r="K150" s="372"/>
      <c r="L150" s="372"/>
      <c r="M150" s="372"/>
      <c r="N150" s="372"/>
      <c r="O150" s="372"/>
      <c r="P150" s="372"/>
    </row>
    <row r="151" spans="1:16" ht="13.2" customHeight="1">
      <c r="A151" s="372"/>
      <c r="B151" s="372"/>
      <c r="C151" s="372"/>
      <c r="D151" s="372"/>
      <c r="E151" s="372"/>
      <c r="F151" s="372"/>
      <c r="G151" s="372"/>
      <c r="H151" s="372"/>
      <c r="I151" s="372"/>
      <c r="J151" s="372"/>
      <c r="K151" s="372"/>
      <c r="L151" s="372"/>
      <c r="M151" s="372"/>
      <c r="N151" s="372"/>
      <c r="O151" s="372"/>
      <c r="P151" s="372"/>
    </row>
    <row r="152" spans="1:16" ht="13.2" customHeight="1">
      <c r="A152" s="372"/>
      <c r="B152" s="372"/>
      <c r="C152" s="372"/>
      <c r="D152" s="372"/>
      <c r="E152" s="372"/>
      <c r="F152" s="372"/>
      <c r="G152" s="372"/>
      <c r="H152" s="372"/>
      <c r="I152" s="372"/>
      <c r="J152" s="372"/>
      <c r="K152" s="372"/>
      <c r="L152" s="372"/>
      <c r="M152" s="372"/>
      <c r="N152" s="372"/>
      <c r="O152" s="372"/>
      <c r="P152" s="372"/>
    </row>
    <row r="153" spans="1:16" ht="13.2" customHeight="1">
      <c r="A153" s="372"/>
      <c r="B153" s="372"/>
      <c r="C153" s="372"/>
      <c r="D153" s="372"/>
      <c r="E153" s="372"/>
      <c r="F153" s="372"/>
      <c r="G153" s="372"/>
      <c r="H153" s="372"/>
      <c r="I153" s="372"/>
      <c r="J153" s="372"/>
      <c r="K153" s="372"/>
      <c r="L153" s="372"/>
      <c r="M153" s="372"/>
      <c r="N153" s="372"/>
      <c r="O153" s="372"/>
      <c r="P153" s="372"/>
    </row>
  </sheetData>
  <mergeCells count="239">
    <mergeCell ref="A12:P12"/>
    <mergeCell ref="B13:C13"/>
    <mergeCell ref="D13:E13"/>
    <mergeCell ref="F13:G13"/>
    <mergeCell ref="H13:I13"/>
    <mergeCell ref="J13:K13"/>
    <mergeCell ref="B16:H16"/>
    <mergeCell ref="E6:H6"/>
    <mergeCell ref="I6:L6"/>
    <mergeCell ref="M6:P6"/>
    <mergeCell ref="A10:D10"/>
    <mergeCell ref="E10:H10"/>
    <mergeCell ref="I10:L10"/>
    <mergeCell ref="M10:P10"/>
    <mergeCell ref="A11:D11"/>
    <mergeCell ref="E11:H11"/>
    <mergeCell ref="I11:L11"/>
    <mergeCell ref="M11:P11"/>
    <mergeCell ref="J16:L17"/>
    <mergeCell ref="F17:H17"/>
    <mergeCell ref="A1:P1"/>
    <mergeCell ref="B2:R2"/>
    <mergeCell ref="A3:P3"/>
    <mergeCell ref="A4:D4"/>
    <mergeCell ref="E4:H4"/>
    <mergeCell ref="I4:L4"/>
    <mergeCell ref="M4:P4"/>
    <mergeCell ref="A9:D9"/>
    <mergeCell ref="E9:H9"/>
    <mergeCell ref="I9:L9"/>
    <mergeCell ref="M9:P9"/>
    <mergeCell ref="A7:D7"/>
    <mergeCell ref="E7:H7"/>
    <mergeCell ref="I7:L7"/>
    <mergeCell ref="M7:P7"/>
    <mergeCell ref="A8:D8"/>
    <mergeCell ref="E8:H8"/>
    <mergeCell ref="I8:L8"/>
    <mergeCell ref="M8:P8"/>
    <mergeCell ref="A5:D5"/>
    <mergeCell ref="E5:H5"/>
    <mergeCell ref="I5:L5"/>
    <mergeCell ref="M5:P5"/>
    <mergeCell ref="A6:D6"/>
    <mergeCell ref="G18:H18"/>
    <mergeCell ref="J18:J19"/>
    <mergeCell ref="L18:L19"/>
    <mergeCell ref="L13:M13"/>
    <mergeCell ref="B14:C14"/>
    <mergeCell ref="D14:E14"/>
    <mergeCell ref="F14:G14"/>
    <mergeCell ref="H14:I14"/>
    <mergeCell ref="J14:K14"/>
    <mergeCell ref="L14:M14"/>
    <mergeCell ref="A50:P50"/>
    <mergeCell ref="A51:D58"/>
    <mergeCell ref="E51:H58"/>
    <mergeCell ref="I51:L58"/>
    <mergeCell ref="M51:P58"/>
    <mergeCell ref="A59:P59"/>
    <mergeCell ref="J21:J22"/>
    <mergeCell ref="L21:L22"/>
    <mergeCell ref="J24:J25"/>
    <mergeCell ref="L24:L25"/>
    <mergeCell ref="B41:C41"/>
    <mergeCell ref="A48:F48"/>
    <mergeCell ref="G48:H48"/>
    <mergeCell ref="I48:P48"/>
    <mergeCell ref="A78:H84"/>
    <mergeCell ref="I78:P84"/>
    <mergeCell ref="I85:P91"/>
    <mergeCell ref="A92:P93"/>
    <mergeCell ref="A94:P94"/>
    <mergeCell ref="A60:H60"/>
    <mergeCell ref="I60:P60"/>
    <mergeCell ref="A61:P68"/>
    <mergeCell ref="A69:P69"/>
    <mergeCell ref="A70:P70"/>
    <mergeCell ref="A71:H77"/>
    <mergeCell ref="I71:P77"/>
    <mergeCell ref="A85:H91"/>
    <mergeCell ref="A97:B97"/>
    <mergeCell ref="C97:D97"/>
    <mergeCell ref="E97:G97"/>
    <mergeCell ref="H97:J97"/>
    <mergeCell ref="K97:M97"/>
    <mergeCell ref="N97:P97"/>
    <mergeCell ref="A95:P95"/>
    <mergeCell ref="A96:B96"/>
    <mergeCell ref="C96:D96"/>
    <mergeCell ref="E96:G96"/>
    <mergeCell ref="H96:J96"/>
    <mergeCell ref="K96:M96"/>
    <mergeCell ref="N96:P96"/>
    <mergeCell ref="A99:B99"/>
    <mergeCell ref="C99:D99"/>
    <mergeCell ref="E99:G99"/>
    <mergeCell ref="H99:J99"/>
    <mergeCell ref="K99:M99"/>
    <mergeCell ref="N99:P99"/>
    <mergeCell ref="A98:B98"/>
    <mergeCell ref="C98:D98"/>
    <mergeCell ref="E98:G98"/>
    <mergeCell ref="H98:J98"/>
    <mergeCell ref="K98:M98"/>
    <mergeCell ref="N98:P98"/>
    <mergeCell ref="A101:B101"/>
    <mergeCell ref="C101:D101"/>
    <mergeCell ref="E101:G101"/>
    <mergeCell ref="H101:J101"/>
    <mergeCell ref="K101:M101"/>
    <mergeCell ref="N101:P101"/>
    <mergeCell ref="A100:B100"/>
    <mergeCell ref="C100:D100"/>
    <mergeCell ref="E100:G100"/>
    <mergeCell ref="H100:J100"/>
    <mergeCell ref="K100:M100"/>
    <mergeCell ref="N100:P100"/>
    <mergeCell ref="A103:B103"/>
    <mergeCell ref="C103:D103"/>
    <mergeCell ref="E103:G103"/>
    <mergeCell ref="H103:J103"/>
    <mergeCell ref="K103:M103"/>
    <mergeCell ref="N103:P103"/>
    <mergeCell ref="A102:B102"/>
    <mergeCell ref="C102:D102"/>
    <mergeCell ref="E102:G102"/>
    <mergeCell ref="H102:J102"/>
    <mergeCell ref="K102:M102"/>
    <mergeCell ref="N102:P102"/>
    <mergeCell ref="A105:B105"/>
    <mergeCell ref="C105:D105"/>
    <mergeCell ref="E105:G105"/>
    <mergeCell ref="H105:J105"/>
    <mergeCell ref="K105:M105"/>
    <mergeCell ref="N105:P105"/>
    <mergeCell ref="A104:B104"/>
    <mergeCell ref="C104:D104"/>
    <mergeCell ref="E104:G104"/>
    <mergeCell ref="H104:J104"/>
    <mergeCell ref="K104:M104"/>
    <mergeCell ref="N104:P104"/>
    <mergeCell ref="A107:B107"/>
    <mergeCell ref="C107:D107"/>
    <mergeCell ref="E107:G107"/>
    <mergeCell ref="H107:J107"/>
    <mergeCell ref="K107:M107"/>
    <mergeCell ref="N107:P107"/>
    <mergeCell ref="A106:B106"/>
    <mergeCell ref="C106:D106"/>
    <mergeCell ref="E106:G106"/>
    <mergeCell ref="H106:J106"/>
    <mergeCell ref="K106:M106"/>
    <mergeCell ref="N106:P106"/>
    <mergeCell ref="A109:B109"/>
    <mergeCell ref="C109:D109"/>
    <mergeCell ref="E109:G109"/>
    <mergeCell ref="H109:J109"/>
    <mergeCell ref="K109:M109"/>
    <mergeCell ref="N109:P109"/>
    <mergeCell ref="A108:B108"/>
    <mergeCell ref="C108:D108"/>
    <mergeCell ref="E108:G108"/>
    <mergeCell ref="H108:J108"/>
    <mergeCell ref="K108:M108"/>
    <mergeCell ref="N108:P108"/>
    <mergeCell ref="A111:B111"/>
    <mergeCell ref="C111:D111"/>
    <mergeCell ref="E111:G111"/>
    <mergeCell ref="H111:J111"/>
    <mergeCell ref="K111:M111"/>
    <mergeCell ref="N111:P111"/>
    <mergeCell ref="A110:B110"/>
    <mergeCell ref="C110:D110"/>
    <mergeCell ref="E110:G110"/>
    <mergeCell ref="H110:J110"/>
    <mergeCell ref="K110:M110"/>
    <mergeCell ref="N110:P110"/>
    <mergeCell ref="A113:B113"/>
    <mergeCell ref="C113:D113"/>
    <mergeCell ref="E113:G113"/>
    <mergeCell ref="H113:J113"/>
    <mergeCell ref="K113:M113"/>
    <mergeCell ref="N113:P113"/>
    <mergeCell ref="A112:B112"/>
    <mergeCell ref="C112:D112"/>
    <mergeCell ref="E112:G112"/>
    <mergeCell ref="H112:J112"/>
    <mergeCell ref="K112:M112"/>
    <mergeCell ref="N112:P112"/>
    <mergeCell ref="A115:B115"/>
    <mergeCell ref="C115:D115"/>
    <mergeCell ref="E115:G115"/>
    <mergeCell ref="H115:J115"/>
    <mergeCell ref="K115:M115"/>
    <mergeCell ref="N115:P115"/>
    <mergeCell ref="A114:B114"/>
    <mergeCell ref="C114:D114"/>
    <mergeCell ref="E114:G114"/>
    <mergeCell ref="H114:J114"/>
    <mergeCell ref="K114:M114"/>
    <mergeCell ref="N114:P114"/>
    <mergeCell ref="A117:B117"/>
    <mergeCell ref="C117:D117"/>
    <mergeCell ref="E117:G117"/>
    <mergeCell ref="H117:J117"/>
    <mergeCell ref="K117:M117"/>
    <mergeCell ref="N117:P117"/>
    <mergeCell ref="A116:B116"/>
    <mergeCell ref="C116:D116"/>
    <mergeCell ref="E116:G116"/>
    <mergeCell ref="H116:J116"/>
    <mergeCell ref="K116:M116"/>
    <mergeCell ref="N116:P116"/>
    <mergeCell ref="A119:B119"/>
    <mergeCell ref="C119:D119"/>
    <mergeCell ref="E119:G119"/>
    <mergeCell ref="H119:J119"/>
    <mergeCell ref="K119:M119"/>
    <mergeCell ref="N119:P119"/>
    <mergeCell ref="A118:B118"/>
    <mergeCell ref="C118:D118"/>
    <mergeCell ref="E118:G118"/>
    <mergeCell ref="H118:J118"/>
    <mergeCell ref="K118:M118"/>
    <mergeCell ref="N118:P118"/>
    <mergeCell ref="A122:P122"/>
    <mergeCell ref="A121:B121"/>
    <mergeCell ref="C121:D121"/>
    <mergeCell ref="E121:G121"/>
    <mergeCell ref="H121:J121"/>
    <mergeCell ref="K121:M121"/>
    <mergeCell ref="N121:P121"/>
    <mergeCell ref="A120:B120"/>
    <mergeCell ref="C120:D120"/>
    <mergeCell ref="E120:G120"/>
    <mergeCell ref="H120:J120"/>
    <mergeCell ref="K120:M120"/>
    <mergeCell ref="N120:P120"/>
  </mergeCells>
  <conditionalFormatting sqref="D24:E24">
    <cfRule type="expression" dxfId="1738" priority="33">
      <formula>OR(ISNUMBER(SEARCH("Red",D24)),ISNUMBER(SEARCH("Critical",D24)),ISNUMBER(SEARCH("SHUTDOWN",D24)))</formula>
    </cfRule>
    <cfRule type="expression" dxfId="1737" priority="34">
      <formula>OR(ISNUMBER(SEARCH("Green",D24)),ISNUMBER(SEARCH("Ready",D24)))</formula>
    </cfRule>
    <cfRule type="expression" dxfId="1736" priority="35">
      <formula>OR(ISNUMBER(SEARCH("Yellow",D24)),ISNUMBER(SEARCH("Question",D24)))</formula>
    </cfRule>
  </conditionalFormatting>
  <conditionalFormatting sqref="F19">
    <cfRule type="dataBar" priority="32">
      <dataBar>
        <cfvo type="num" val="0"/>
        <cfvo type="num" val="1"/>
        <color rgb="FF6DD85E"/>
      </dataBar>
    </cfRule>
  </conditionalFormatting>
  <conditionalFormatting sqref="F19:I20">
    <cfRule type="expression" dxfId="1730" priority="31">
      <formula>OR(ISNUMBER(SEARCH("Yellow",F19)),ISNUMBER(SEARCH("Question",F19)))</formula>
    </cfRule>
  </conditionalFormatting>
  <conditionalFormatting sqref="Q16:T17 P19 D22:E22">
    <cfRule type="expression" dxfId="1719" priority="36">
      <formula>OR(ISNUMBER(SEARCH("Green",D16)),ISNUMBER(SEARCH("Ready",D16)))</formula>
    </cfRule>
  </conditionalFormatting>
  <dataValidations count="1">
    <dataValidation type="list" allowBlank="1" showInputMessage="1" showErrorMessage="1" sqref="C17" xr:uid="{EDB42DBE-DC0E-4BEC-BA34-A3CF7521DE7A}">
      <formula1>PMIS_Building_List</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21" stopIfTrue="1" id="{4D64D356-DDEE-40F6-AF8C-DB2E44B75C4C}">
            <xm:f>IFERROR(INDEX(PMIS_Data!$E:$E,MATCH("05",PMIS_Data!$A:$A,0)),0)&gt;=0.95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22" stopIfTrue="1" id="{E2A3EE4A-A811-4A03-9D6A-7EFBCB218222}">
            <xm:f>IFERROR(INDEX(PMIS_Data!$E:$E,MATCH("05",PMIS_Data!$A:$A,0)),0)&gt;=0.75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23" stopIfTrue="1" id="{F3B17F13-4F1B-4F1F-96B5-B1625009FFE6}">
            <xm:f>IFERROR(INDEX(PMIS_Data!$E:$E,MATCH("05",PMIS_Data!$A:$A,0)),0)&gt;=0.5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24" stopIfTrue="1" id="{6E901905-49B5-469D-8E7E-A545EE439FA4}">
            <xm:f>IFERROR(INDEX(PMIS_Data!$E:$E,MATCH("05",PMIS_Data!$A:$A,0)),0)&gt;=0.25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25" stopIfTrue="1" id="{E2E0C4C8-AB0A-4CDC-BA9B-1FFD17ACAB2B}">
            <xm:f>IFERROR(INDEX(PMIS_Data!$E:$E,MATCH("05",PMIS_Data!$A:$A,0)),0)&lt;0.25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A4:D4</xm:sqref>
        </x14:conditionalFormatting>
        <x14:conditionalFormatting xmlns:xm="http://schemas.microsoft.com/office/excel/2006/main">
          <x14:cfRule type="expression" priority="6" stopIfTrue="1" id="{A11929FE-98D2-4336-A93B-A31E2D6127F1}">
            <xm:f>IFERROR(INDEX(PMIS_Data!$E:$E,MATCH("14",PMIS_Data!$A:$A,0)),0)&gt;=0.95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7" stopIfTrue="1" id="{3D2EBAE0-5E38-4C1D-B5B8-CC001DFC33BD}">
            <xm:f>IFERROR(INDEX(PMIS_Data!$E:$E,MATCH("14",PMIS_Data!$A:$A,0)),0)&gt;=0.75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8" stopIfTrue="1" id="{14C0FCA8-839B-4287-AD69-5F6818077540}">
            <xm:f>IFERROR(INDEX(PMIS_Data!$E:$E,MATCH("14",PMIS_Data!$A:$A,0)),0)&gt;=0.5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9" stopIfTrue="1" id="{2E6CC0D4-3447-4E3D-8E09-3AF19AFB3F2A}">
            <xm:f>IFERROR(INDEX(PMIS_Data!$E:$E,MATCH("14",PMIS_Data!$A:$A,0)),0)&gt;=0.25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10" stopIfTrue="1" id="{483E87FE-B73D-469B-9C81-B895603002FA}">
            <xm:f>IFERROR(INDEX(PMIS_Data!$E:$E,MATCH("14",PMIS_Data!$A:$A,0)),0)&lt;0.25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A6:P6</xm:sqref>
        </x14:conditionalFormatting>
        <x14:conditionalFormatting xmlns:xm="http://schemas.microsoft.com/office/excel/2006/main">
          <x14:cfRule type="expression" priority="1" stopIfTrue="1" id="{A62A712F-AA3F-45B5-98CF-005E1FEF7205}">
            <xm:f>IFERROR(INDEX(PMIS_Data!$E:$E,MATCH("15",PMIS_Data!$A:$A,0)),0)&gt;=0.95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2" stopIfTrue="1" id="{4F11A60B-2D35-42FC-953E-04044EB6819E}">
            <xm:f>IFERROR(INDEX(PMIS_Data!$E:$E,MATCH("15",PMIS_Data!$A:$A,0)),0)&gt;=0.75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3" stopIfTrue="1" id="{BD529AC2-1C32-4BE3-84AC-65FA59B91222}">
            <xm:f>IFERROR(INDEX(PMIS_Data!$E:$E,MATCH("15",PMIS_Data!$A:$A,0)),0)&gt;=0.5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4" stopIfTrue="1" id="{3A543E28-163E-4447-B2EF-226FCEC74A2C}">
            <xm:f>IFERROR(INDEX(PMIS_Data!$E:$E,MATCH("15",PMIS_Data!$A:$A,0)),0)&gt;=0.25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5" stopIfTrue="1" id="{1CAF5AF9-9710-42A7-A49A-C8CF96C2FD57}">
            <xm:f>IFERROR(INDEX(PMIS_Data!$E:$E,MATCH("15",PMIS_Data!$A:$A,0)),0)&lt;0.25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A8:P11</xm:sqref>
        </x14:conditionalFormatting>
        <x14:conditionalFormatting xmlns:xm="http://schemas.microsoft.com/office/excel/2006/main">
          <x14:cfRule type="expression" priority="11" stopIfTrue="1" id="{040739D7-CB7C-4247-A408-C97919278666}">
            <xm:f>IFERROR(INDEX(PMIS_Data!$E:$E,MATCH("06",PMIS_Data!$A:$A,0)),0)&gt;=0.95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12" stopIfTrue="1" id="{06868B46-A848-46B0-B420-C7AA0BB7D420}">
            <xm:f>IFERROR(INDEX(PMIS_Data!$E:$E,MATCH("06",PMIS_Data!$A:$A,0)),0)&gt;=0.75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13" stopIfTrue="1" id="{70842D34-30A8-4CDF-A9E1-2341E51C0484}">
            <xm:f>IFERROR(INDEX(PMIS_Data!$E:$E,MATCH("06",PMIS_Data!$A:$A,0)),0)&gt;=0.5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14" stopIfTrue="1" id="{745AF61F-37A4-45C1-9DF9-74B6F34A1EFF}">
            <xm:f>IFERROR(INDEX(PMIS_Data!$E:$E,MATCH("06",PMIS_Data!$A:$A,0)),0)&gt;=0.25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15" stopIfTrue="1" id="{42AC8991-87AD-4C05-9EC1-F28C046E4D83}">
            <xm:f>IFERROR(INDEX(PMIS_Data!$E:$E,MATCH("06",PMIS_Data!$A:$A,0)),0)&lt;0.25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E4:H4 A5:L5 A7:P7</xm:sqref>
        </x14:conditionalFormatting>
        <x14:conditionalFormatting xmlns:xm="http://schemas.microsoft.com/office/excel/2006/main">
          <x14:cfRule type="expression" priority="26" stopIfTrue="1" id="{C5ED5BA5-48D1-4434-862F-0008A5EEF07F}">
            <xm:f>IFERROR(INDEX(PMIS_Data!$E:$E,MATCH("04",PMIS_Data!$A:$A,0)),0)&gt;=0.95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27" stopIfTrue="1" id="{0A35CBAA-19D7-4AD7-B4D0-907407AF591E}">
            <xm:f>IFERROR(INDEX(PMIS_Data!$E:$E,MATCH("04",PMIS_Data!$A:$A,0)),0)&gt;=0.75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28" stopIfTrue="1" id="{2C872472-0565-40DA-BCE9-D57140DAB06C}">
            <xm:f>IFERROR(INDEX(PMIS_Data!$E:$E,MATCH("04",PMIS_Data!$A:$A,0)),0)&gt;=0.5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29" stopIfTrue="1" id="{E51B7E72-3983-4896-B6FF-9992AA5F68FE}">
            <xm:f>IFERROR(INDEX(PMIS_Data!$E:$E,MATCH("04",PMIS_Data!$A:$A,0)),0)&gt;=0.25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30" stopIfTrue="1" id="{C46565E0-46D6-4953-91C0-3F3F16841409}">
            <xm:f>IFERROR(INDEX(PMIS_Data!$E:$E,MATCH("04",PMIS_Data!$A:$A,0)),0)&lt;0.25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I4:L4</xm:sqref>
        </x14:conditionalFormatting>
        <x14:conditionalFormatting xmlns:xm="http://schemas.microsoft.com/office/excel/2006/main">
          <x14:cfRule type="expression" priority="16" stopIfTrue="1" id="{B1636574-A34F-401B-8513-16FB17053B4E}">
            <xm:f>IFERROR(INDEX(PMIS_Data!$E:$E,MATCH("07",PMIS_Data!$A:$A,0)),0)&gt;=0.95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17" stopIfTrue="1" id="{1F4C713C-CD0F-4128-8E2E-8F36D3D6B7D7}">
            <xm:f>IFERROR(INDEX(PMIS_Data!$E:$E,MATCH("07",PMIS_Data!$A:$A,0)),0)&gt;=0.75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18" stopIfTrue="1" id="{99A9B751-3AD1-4055-9F0C-DD09DA6F6A55}">
            <xm:f>IFERROR(INDEX(PMIS_Data!$E:$E,MATCH("07",PMIS_Data!$A:$A,0)),0)&gt;=0.5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19" stopIfTrue="1" id="{DDF85120-93B6-48D5-8C52-EF779DA398A7}">
            <xm:f>IFERROR(INDEX(PMIS_Data!$E:$E,MATCH("07",PMIS_Data!$A:$A,0)),0)&gt;=0.25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20" stopIfTrue="1" id="{69468F6E-D974-432F-83FC-FA83ADB8F063}">
            <xm:f>IFERROR(INDEX(PMIS_Data!$E:$E,MATCH("07",PMIS_Data!$A:$A,0)),0)&lt;0.25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M4:P5</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A6DED-5E32-4BA1-BA45-78E49924F91E}">
  <dimension ref="A1:P10"/>
  <sheetViews>
    <sheetView topLeftCell="A9" workbookViewId="0">
      <selection activeCell="A3" sqref="A3:P10"/>
    </sheetView>
  </sheetViews>
  <sheetFormatPr defaultRowHeight="13.2"/>
  <cols>
    <col min="1" max="16" width="13" customWidth="1"/>
  </cols>
  <sheetData>
    <row r="1" spans="1:16" ht="24" customHeight="1">
      <c r="A1" s="744" t="s">
        <v>5764</v>
      </c>
      <c r="B1" s="744"/>
      <c r="C1" s="744"/>
      <c r="D1" s="744"/>
      <c r="E1" s="744"/>
      <c r="F1" s="744"/>
      <c r="G1" s="744"/>
      <c r="H1" s="744"/>
      <c r="I1" s="744"/>
      <c r="J1" s="744"/>
      <c r="K1" s="744"/>
      <c r="L1" s="744"/>
      <c r="M1" s="744"/>
      <c r="N1" s="744"/>
      <c r="O1" s="744"/>
      <c r="P1" s="744"/>
    </row>
    <row r="2" spans="1:16" ht="30" customHeight="1">
      <c r="A2" s="745" t="s">
        <v>5765</v>
      </c>
      <c r="B2" s="746"/>
      <c r="C2" s="746"/>
      <c r="D2" s="746"/>
      <c r="E2" s="746"/>
      <c r="F2" s="746"/>
      <c r="G2" s="746"/>
      <c r="H2" s="746"/>
      <c r="I2" s="746"/>
      <c r="J2" s="746"/>
      <c r="K2" s="746"/>
      <c r="L2" s="746"/>
      <c r="M2" s="746"/>
      <c r="N2" s="746"/>
      <c r="O2" s="746"/>
      <c r="P2" s="747"/>
    </row>
    <row r="3" spans="1:16" ht="54" customHeight="1">
      <c r="A3" s="748" t="str">
        <f>HYPERLINK("#'B01_Assessment'!A1","B01"&amp;CHAR(10)&amp;TEXT(IFERROR(INDEX(PMIS_Data!$E:$E,MATCH("01",PMIS_Data!$A:$A,0)),0),"0%")&amp;"  "&amp;REPT("█",ROUND(IFERROR(INDEX(PMIS_Data!$E:$E,MATCH("01",PMIS_Data!$A:$A,0)),0)*10,0))&amp;REPT("░",10-ROUND(IFERROR(INDEX(PMIS_Data!$E:$E,MATCH("01",PMIS_Data!$A:$A,0)),0)*10,0))&amp;CHAR(10)&amp;"⚠ "&amp;IFERROR(INDEX(PMIS_Data!$H:$H,MATCH("01",PMIS_Data!$A:$A,0)),"-")&amp;"   ❓ "&amp;IFERROR(INDEX(PMIS_Data!$I:$I,MATCH("01",PMIS_Data!$A:$A,0)),"-")&amp;CHAR(10)&amp;"↗ OPEN")</f>
        <v>B01
50%  █████░░░░░
⚠ 0   ❓ 0
↗ OPEN</v>
      </c>
      <c r="B3" s="749"/>
      <c r="C3" s="749"/>
      <c r="D3" s="750"/>
      <c r="E3" s="587" t="str">
        <f>HYPERLINK("#'B02_Assessment'!A1","B02"&amp;CHAR(10)&amp;TEXT(IFERROR(INDEX(PMIS_Data!$E:$E,MATCH("02",PMIS_Data!$A:$A,0)),0),"0%")&amp;"  "&amp;REPT("█",ROUND(IFERROR(INDEX(PMIS_Data!$E:$E,MATCH("02",PMIS_Data!$A:$A,0)),0)*10,0))&amp;REPT("░",10-ROUND(IFERROR(INDEX(PMIS_Data!$E:$E,MATCH("02",PMIS_Data!$A:$A,0)),0)*10,0))&amp;CHAR(10)&amp;"⚠ "&amp;IFERROR(INDEX(PMIS_Data!$H:$H,MATCH("02",PMIS_Data!$A:$A,0)),"-")&amp;"   ❓ "&amp;IFERROR(INDEX(PMIS_Data!$I:$I,MATCH("02",PMIS_Data!$A:$A,0)),"-")&amp;CHAR(10)&amp;"↗ OPEN")</f>
        <v>B02
50%  █████░░░░░
⚠ 0   ❓ 0
↗ OPEN</v>
      </c>
      <c r="F3" s="588"/>
      <c r="G3" s="588"/>
      <c r="H3" s="589"/>
      <c r="I3" s="587" t="str">
        <f>HYPERLINK("#'B03_Assessment'!A1","B03"&amp;CHAR(10)&amp;TEXT(IFERROR(INDEX(PMIS_Data!$E:$E,MATCH("03",PMIS_Data!$A:$A,0)),0),"0%")&amp;"  "&amp;REPT("█",ROUND(IFERROR(INDEX(PMIS_Data!$E:$E,MATCH("03",PMIS_Data!$A:$A,0)),0)*10,0))&amp;REPT("░",10-ROUND(IFERROR(INDEX(PMIS_Data!$E:$E,MATCH("03",PMIS_Data!$A:$A,0)),0)*10,0))&amp;CHAR(10)&amp;"⚠ "&amp;IFERROR(INDEX(PMIS_Data!$H:$H,MATCH("03",PMIS_Data!$A:$A,0)),"-")&amp;"   ❓ "&amp;IFERROR(INDEX(PMIS_Data!$I:$I,MATCH("03",PMIS_Data!$A:$A,0)),"-")&amp;CHAR(10)&amp;"↗ OPEN")</f>
        <v>B03
50%  █████░░░░░
⚠ 0   ❓ 0
↗ OPEN</v>
      </c>
      <c r="J3" s="588"/>
      <c r="K3" s="588"/>
      <c r="L3" s="589"/>
      <c r="M3" s="587" t="str">
        <f>HYPERLINK("#'B04_Assessment'!A1","B04"&amp;CHAR(10)&amp;TEXT(IFERROR(INDEX(PMIS_Data!$E:$E,MATCH("04",PMIS_Data!$A:$A,0)),0),"0%")&amp;"  "&amp;REPT("█",ROUND(IFERROR(INDEX(PMIS_Data!$E:$E,MATCH("04",PMIS_Data!$A:$A,0)),0)*10,0))&amp;REPT("░",10-ROUND(IFERROR(INDEX(PMIS_Data!$E:$E,MATCH("04",PMIS_Data!$A:$A,0)),0)*10,0))&amp;CHAR(10)&amp;"⚠ "&amp;IFERROR(INDEX(PMIS_Data!$H:$H,MATCH("04",PMIS_Data!$A:$A,0)),"-")&amp;"   ❓ "&amp;IFERROR(INDEX(PMIS_Data!$I:$I,MATCH("04",PMIS_Data!$A:$A,0)),"-")&amp;CHAR(10)&amp;"↗ OPEN")</f>
        <v>B04
50%  █████░░░░░
⚠ 0   ❓ 0
↗ OPEN</v>
      </c>
      <c r="N3" s="588"/>
      <c r="O3" s="588"/>
      <c r="P3" s="589"/>
    </row>
    <row r="4" spans="1:16" ht="54" customHeight="1">
      <c r="A4" s="587" t="str">
        <f>HYPERLINK("#'B05_Assessment'!A1","B05"&amp;CHAR(10)&amp;TEXT(IFERROR(INDEX(PMIS_Data!$E:$E,MATCH("05",PMIS_Data!$A:$A,0)),0),"0%")&amp;"  "&amp;REPT("█",ROUND(IFERROR(INDEX(PMIS_Data!$E:$E,MATCH("05",PMIS_Data!$A:$A,0)),0)*10,0))&amp;REPT("░",10-ROUND(IFERROR(INDEX(PMIS_Data!$E:$E,MATCH("05",PMIS_Data!$A:$A,0)),0)*10,0))&amp;CHAR(10)&amp;"⚠ "&amp;IFERROR(INDEX(PMIS_Data!$H:$H,MATCH("05",PMIS_Data!$A:$A,0)),"-")&amp;"   ❓ "&amp;IFERROR(INDEX(PMIS_Data!$I:$I,MATCH("05",PMIS_Data!$A:$A,0)),"-")&amp;CHAR(10)&amp;"↗ OPEN")</f>
        <v>B05
55%  ██████░░░░
⚠ 0   ❓ 0
↗ OPEN</v>
      </c>
      <c r="B4" s="588"/>
      <c r="C4" s="588"/>
      <c r="D4" s="589"/>
      <c r="E4" s="587" t="str">
        <f>HYPERLINK("#'B06_Assessment'!A1","B06"&amp;CHAR(10)&amp;TEXT(IFERROR(INDEX(PMIS_Data!$E:$E,MATCH("06",PMIS_Data!$A:$A,0)),0),"0%")&amp;"  "&amp;REPT("█",ROUND(IFERROR(INDEX(PMIS_Data!$E:$E,MATCH("06",PMIS_Data!$A:$A,0)),0)*10,0))&amp;REPT("░",10-ROUND(IFERROR(INDEX(PMIS_Data!$E:$E,MATCH("06",PMIS_Data!$A:$A,0)),0)*10,0))&amp;CHAR(10)&amp;"⚠ "&amp;IFERROR(INDEX(PMIS_Data!$H:$H,MATCH("06",PMIS_Data!$A:$A,0)),"-")&amp;"   ❓ "&amp;IFERROR(INDEX(PMIS_Data!$I:$I,MATCH("06",PMIS_Data!$A:$A,0)),"-")&amp;CHAR(10)&amp;"↗ OPEN")</f>
        <v>B06
50%  █████░░░░░
⚠ 0   ❓ 0
↗ OPEN</v>
      </c>
      <c r="F4" s="588"/>
      <c r="G4" s="588"/>
      <c r="H4" s="589"/>
      <c r="I4" s="587" t="str">
        <f>HYPERLINK("#'B07_Assessment'!A1","B07"&amp;CHAR(10)&amp;TEXT(IFERROR(INDEX(PMIS_Data!$E:$E,MATCH("07",PMIS_Data!$A:$A,0)),0),"0%")&amp;"  "&amp;REPT("█",ROUND(IFERROR(INDEX(PMIS_Data!$E:$E,MATCH("07",PMIS_Data!$A:$A,0)),0)*10,0))&amp;REPT("░",10-ROUND(IFERROR(INDEX(PMIS_Data!$E:$E,MATCH("07",PMIS_Data!$A:$A,0)),0)*10,0))&amp;CHAR(10)&amp;"⚠ "&amp;IFERROR(INDEX(PMIS_Data!$H:$H,MATCH("07",PMIS_Data!$A:$A,0)),"-")&amp;"   ❓ "&amp;IFERROR(INDEX(PMIS_Data!$I:$I,MATCH("07",PMIS_Data!$A:$A,0)),"-")&amp;CHAR(10)&amp;"↗ OPEN")</f>
        <v>B07
50%  █████░░░░░
⚠ 0   ❓ 0
↗ OPEN</v>
      </c>
      <c r="J4" s="588"/>
      <c r="K4" s="588"/>
      <c r="L4" s="589"/>
      <c r="M4" s="587" t="str">
        <f>HYPERLINK("#'B08_Assessment'!A1","B08"&amp;CHAR(10)&amp;TEXT(IFERROR(INDEX(PMIS_Data!$E:$E,MATCH("08",PMIS_Data!$A:$A,0)),0),"0%")&amp;"  "&amp;REPT("█",ROUND(IFERROR(INDEX(PMIS_Data!$E:$E,MATCH("08",PMIS_Data!$A:$A,0)),0)*10,0))&amp;REPT("░",10-ROUND(IFERROR(INDEX(PMIS_Data!$E:$E,MATCH("08",PMIS_Data!$A:$A,0)),0)*10,0))&amp;CHAR(10)&amp;"⚠ "&amp;IFERROR(INDEX(PMIS_Data!$H:$H,MATCH("08",PMIS_Data!$A:$A,0)),"-")&amp;"   ❓ "&amp;IFERROR(INDEX(PMIS_Data!$I:$I,MATCH("08",PMIS_Data!$A:$A,0)),"-")&amp;CHAR(10)&amp;"↗ OPEN")</f>
        <v>B08
50%  █████░░░░░
⚠ 0   ❓ 0
↗ OPEN</v>
      </c>
      <c r="N4" s="588"/>
      <c r="O4" s="588"/>
      <c r="P4" s="589"/>
    </row>
    <row r="5" spans="1:16" ht="54" customHeight="1">
      <c r="A5" s="587" t="str">
        <f>HYPERLINK("#'B09_Assessment'!A1","B09"&amp;CHAR(10)&amp;TEXT(IFERROR(INDEX(PMIS_Data!$E:$E,MATCH("09",PMIS_Data!$A:$A,0)),0),"0%")&amp;"  "&amp;REPT("█",ROUND(IFERROR(INDEX(PMIS_Data!$E:$E,MATCH("09",PMIS_Data!$A:$A,0)),0)*10,0))&amp;REPT("░",10-ROUND(IFERROR(INDEX(PMIS_Data!$E:$E,MATCH("09",PMIS_Data!$A:$A,0)),0)*10,0))&amp;CHAR(10)&amp;"⚠ "&amp;IFERROR(INDEX(PMIS_Data!$H:$H,MATCH("09",PMIS_Data!$A:$A,0)),"-")&amp;"   ❓ "&amp;IFERROR(INDEX(PMIS_Data!$I:$I,MATCH("09",PMIS_Data!$A:$A,0)),"-")&amp;CHAR(10)&amp;"↗ OPEN")</f>
        <v>B09
50%  █████░░░░░
⚠ 0   ❓ 0
↗ OPEN</v>
      </c>
      <c r="B5" s="588"/>
      <c r="C5" s="588"/>
      <c r="D5" s="589"/>
      <c r="E5" s="587" t="str">
        <f>HYPERLINK("#'B10_Assessment'!A1","B10"&amp;CHAR(10)&amp;TEXT(IFERROR(INDEX(PMIS_Data!$E:$E,MATCH("10",PMIS_Data!$A:$A,0)),0),"0%")&amp;"  "&amp;REPT("█",ROUND(IFERROR(INDEX(PMIS_Data!$E:$E,MATCH("10",PMIS_Data!$A:$A,0)),0)*10,0))&amp;REPT("░",10-ROUND(IFERROR(INDEX(PMIS_Data!$E:$E,MATCH("10",PMIS_Data!$A:$A,0)),0)*10,0))&amp;CHAR(10)&amp;"⚠ "&amp;IFERROR(INDEX(PMIS_Data!$H:$H,MATCH("10",PMIS_Data!$A:$A,0)),"-")&amp;"   ❓ "&amp;IFERROR(INDEX(PMIS_Data!$I:$I,MATCH("10",PMIS_Data!$A:$A,0)),"-")&amp;CHAR(10)&amp;"↗ OPEN")</f>
        <v>B10
50%  █████░░░░░
⚠ 0   ❓ 0
↗ OPEN</v>
      </c>
      <c r="F5" s="588"/>
      <c r="G5" s="588"/>
      <c r="H5" s="589"/>
      <c r="I5" s="587" t="str">
        <f>HYPERLINK("#'B12_Assessment'!A1","B12"&amp;CHAR(10)&amp;TEXT(IFERROR(INDEX(PMIS_Data!$E:$E,MATCH("12",PMIS_Data!$A:$A,0)),0),"0%")&amp;"  "&amp;REPT("█",ROUND(IFERROR(INDEX(PMIS_Data!$E:$E,MATCH("12",PMIS_Data!$A:$A,0)),0)*10,0))&amp;REPT("░",10-ROUND(IFERROR(INDEX(PMIS_Data!$E:$E,MATCH("12",PMIS_Data!$A:$A,0)),0)*10,0))&amp;CHAR(10)&amp;"⚠ "&amp;IFERROR(INDEX(PMIS_Data!$H:$H,MATCH("12",PMIS_Data!$A:$A,0)),"-")&amp;"   ❓ "&amp;IFERROR(INDEX(PMIS_Data!$I:$I,MATCH("12",PMIS_Data!$A:$A,0)),"-")&amp;CHAR(10)&amp;"↗ OPEN")</f>
        <v>B12
60%  ██████░░░░
⚠ 0   ❓ 0
↗ OPEN</v>
      </c>
      <c r="J5" s="588"/>
      <c r="K5" s="588"/>
      <c r="L5" s="589"/>
      <c r="M5" s="587" t="str">
        <f>HYPERLINK("#'B13_Assessment'!A1","B13"&amp;CHAR(10)&amp;TEXT(IFERROR(INDEX(PMIS_Data!$E:$E,MATCH("13",PMIS_Data!$A:$A,0)),0),"0%")&amp;"  "&amp;REPT("█",ROUND(IFERROR(INDEX(PMIS_Data!$E:$E,MATCH("13",PMIS_Data!$A:$A,0)),0)*10,0))&amp;REPT("░",10-ROUND(IFERROR(INDEX(PMIS_Data!$E:$E,MATCH("13",PMIS_Data!$A:$A,0)),0)*10,0))&amp;CHAR(10)&amp;"⚠ "&amp;IFERROR(INDEX(PMIS_Data!$H:$H,MATCH("13",PMIS_Data!$A:$A,0)),"-")&amp;"   ❓ "&amp;IFERROR(INDEX(PMIS_Data!$I:$I,MATCH("13",PMIS_Data!$A:$A,0)),"-")&amp;CHAR(10)&amp;"↗ OPEN")</f>
        <v>B13
50%  █████░░░░░
⚠ 0   ❓ 0
↗ OPEN</v>
      </c>
      <c r="N5" s="588"/>
      <c r="O5" s="588"/>
      <c r="P5" s="589"/>
    </row>
    <row r="6" spans="1:16" ht="54" customHeight="1">
      <c r="A6" s="587" t="str">
        <f>HYPERLINK("#'B14_Assessment'!A1","B14"&amp;CHAR(10)&amp;TEXT(IFERROR(INDEX(PMIS_Data!$E:$E,MATCH("14",PMIS_Data!$A:$A,0)),0),"0%")&amp;"  "&amp;REPT("█",ROUND(IFERROR(INDEX(PMIS_Data!$E:$E,MATCH("14",PMIS_Data!$A:$A,0)),0)*10,0))&amp;REPT("░",10-ROUND(IFERROR(INDEX(PMIS_Data!$E:$E,MATCH("14",PMIS_Data!$A:$A,0)),0)*10,0))&amp;CHAR(10)&amp;"⚠ "&amp;IFERROR(INDEX(PMIS_Data!$H:$H,MATCH("14",PMIS_Data!$A:$A,0)),"-")&amp;"   ❓ "&amp;IFERROR(INDEX(PMIS_Data!$I:$I,MATCH("14",PMIS_Data!$A:$A,0)),"-")&amp;CHAR(10)&amp;"↗ OPEN")</f>
        <v>B14
50%  █████░░░░░
⚠ 0   ❓ 0
↗ OPEN</v>
      </c>
      <c r="B6" s="588"/>
      <c r="C6" s="588"/>
      <c r="D6" s="589"/>
      <c r="E6" s="587" t="str">
        <f>HYPERLINK("#'B15_Assessment'!A1","B15"&amp;CHAR(10)&amp;TEXT(IFERROR(INDEX(PMIS_Data!$E:$E,MATCH("15",PMIS_Data!$A:$A,0)),0),"0%")&amp;"  "&amp;REPT("█",ROUND(IFERROR(INDEX(PMIS_Data!$E:$E,MATCH("15",PMIS_Data!$A:$A,0)),0)*10,0))&amp;REPT("░",10-ROUND(IFERROR(INDEX(PMIS_Data!$E:$E,MATCH("15",PMIS_Data!$A:$A,0)),0)*10,0))&amp;CHAR(10)&amp;"⚠ "&amp;IFERROR(INDEX(PMIS_Data!$H:$H,MATCH("15",PMIS_Data!$A:$A,0)),"-")&amp;"   ❓ "&amp;IFERROR(INDEX(PMIS_Data!$I:$I,MATCH("15",PMIS_Data!$A:$A,0)),"-")&amp;CHAR(10)&amp;"↗ OPEN")</f>
        <v>B15
50%  █████░░░░░
⚠ 0   ❓ 0
↗ OPEN</v>
      </c>
      <c r="F6" s="588"/>
      <c r="G6" s="588"/>
      <c r="H6" s="589"/>
      <c r="I6" s="587" t="str">
        <f>HYPERLINK("#'B16_Assessment'!A1","B16"&amp;CHAR(10)&amp;TEXT(IFERROR(INDEX(PMIS_Data!$E:$E,MATCH("16",PMIS_Data!$A:$A,0)),0),"0%")&amp;"  "&amp;REPT("█",ROUND(IFERROR(INDEX(PMIS_Data!$E:$E,MATCH("16",PMIS_Data!$A:$A,0)),0)*10,0))&amp;REPT("░",10-ROUND(IFERROR(INDEX(PMIS_Data!$E:$E,MATCH("16",PMIS_Data!$A:$A,0)),0)*10,0))&amp;CHAR(10)&amp;"⚠ "&amp;IFERROR(INDEX(PMIS_Data!$H:$H,MATCH("16",PMIS_Data!$A:$A,0)),"-")&amp;"   ❓ "&amp;IFERROR(INDEX(PMIS_Data!$I:$I,MATCH("16",PMIS_Data!$A:$A,0)),"-")&amp;CHAR(10)&amp;"↗ OPEN")</f>
        <v>B16
50%  █████░░░░░
⚠ 0   ❓ 0
↗ OPEN</v>
      </c>
      <c r="J6" s="588"/>
      <c r="K6" s="588"/>
      <c r="L6" s="589"/>
      <c r="M6" s="587" t="str">
        <f>HYPERLINK("#'B17_Assessment'!A1","B17"&amp;CHAR(10)&amp;TEXT(IFERROR(INDEX(PMIS_Data!$E:$E,MATCH("17",PMIS_Data!$A:$A,0)),0),"0%")&amp;"  "&amp;REPT("█",ROUND(IFERROR(INDEX(PMIS_Data!$E:$E,MATCH("17",PMIS_Data!$A:$A,0)),0)*10,0))&amp;REPT("░",10-ROUND(IFERROR(INDEX(PMIS_Data!$E:$E,MATCH("17",PMIS_Data!$A:$A,0)),0)*10,0))&amp;CHAR(10)&amp;"⚠ "&amp;IFERROR(INDEX(PMIS_Data!$H:$H,MATCH("17",PMIS_Data!$A:$A,0)),"-")&amp;"   ❓ "&amp;IFERROR(INDEX(PMIS_Data!$I:$I,MATCH("17",PMIS_Data!$A:$A,0)),"-")&amp;CHAR(10)&amp;"↗ OPEN")</f>
        <v>B17
50%  █████░░░░░
⚠ 0   ❓ 0
↗ OPEN</v>
      </c>
      <c r="N6" s="588"/>
      <c r="O6" s="588"/>
      <c r="P6" s="589"/>
    </row>
    <row r="7" spans="1:16" ht="54" customHeight="1">
      <c r="A7" s="587" t="str">
        <f>HYPERLINK("#'B18_Assessment'!A1","B18"&amp;CHAR(10)&amp;TEXT(IFERROR(INDEX(PMIS_Data!$E:$E,MATCH("18",PMIS_Data!$A:$A,0)),0),"0%")&amp;"  "&amp;REPT("█",ROUND(IFERROR(INDEX(PMIS_Data!$E:$E,MATCH("18",PMIS_Data!$A:$A,0)),0)*10,0))&amp;REPT("░",10-ROUND(IFERROR(INDEX(PMIS_Data!$E:$E,MATCH("18",PMIS_Data!$A:$A,0)),0)*10,0))&amp;CHAR(10)&amp;"⚠ "&amp;IFERROR(INDEX(PMIS_Data!$H:$H,MATCH("18",PMIS_Data!$A:$A,0)),"-")&amp;"   ❓ "&amp;IFERROR(INDEX(PMIS_Data!$I:$I,MATCH("18",PMIS_Data!$A:$A,0)),"-")&amp;CHAR(10)&amp;"↗ OPEN")</f>
        <v>B18
50%  █████░░░░░
⚠ 0   ❓ 0
↗ OPEN</v>
      </c>
      <c r="B7" s="588"/>
      <c r="C7" s="588"/>
      <c r="D7" s="589"/>
      <c r="E7" s="587" t="str">
        <f>HYPERLINK("#'B20_Assessment'!A1","B20"&amp;CHAR(10)&amp;TEXT(IFERROR(INDEX(PMIS_Data!$E:$E,MATCH("20",PMIS_Data!$A:$A,0)),0),"0%")&amp;"  "&amp;REPT("█",ROUND(IFERROR(INDEX(PMIS_Data!$E:$E,MATCH("20",PMIS_Data!$A:$A,0)),0)*10,0))&amp;REPT("░",10-ROUND(IFERROR(INDEX(PMIS_Data!$E:$E,MATCH("20",PMIS_Data!$A:$A,0)),0)*10,0))&amp;CHAR(10)&amp;"⚠ "&amp;IFERROR(INDEX(PMIS_Data!$H:$H,MATCH("20",PMIS_Data!$A:$A,0)),"-")&amp;"   ❓ "&amp;IFERROR(INDEX(PMIS_Data!$I:$I,MATCH("20",PMIS_Data!$A:$A,0)),"-")&amp;CHAR(10)&amp;"↗ OPEN")</f>
        <v>B20
50%  █████░░░░░
⚠ 0   ❓ 0
↗ OPEN</v>
      </c>
      <c r="F7" s="588"/>
      <c r="G7" s="588"/>
      <c r="H7" s="589"/>
      <c r="I7" s="587" t="str">
        <f>HYPERLINK("#'B21_Assessment'!A1","B21"&amp;CHAR(10)&amp;TEXT(IFERROR(INDEX(PMIS_Data!$E:$E,MATCH("21",PMIS_Data!$A:$A,0)),0),"0%")&amp;"  "&amp;REPT("█",ROUND(IFERROR(INDEX(PMIS_Data!$E:$E,MATCH("21",PMIS_Data!$A:$A,0)),0)*10,0))&amp;REPT("░",10-ROUND(IFERROR(INDEX(PMIS_Data!$E:$E,MATCH("21",PMIS_Data!$A:$A,0)),0)*10,0))&amp;CHAR(10)&amp;"⚠ "&amp;IFERROR(INDEX(PMIS_Data!$H:$H,MATCH("21",PMIS_Data!$A:$A,0)),"-")&amp;"   ❓ "&amp;IFERROR(INDEX(PMIS_Data!$I:$I,MATCH("21",PMIS_Data!$A:$A,0)),"-")&amp;CHAR(10)&amp;"↗ OPEN")</f>
        <v>B21
50%  █████░░░░░
⚠ 0   ❓ 0
↗ OPEN</v>
      </c>
      <c r="J7" s="588"/>
      <c r="K7" s="588"/>
      <c r="L7" s="589"/>
      <c r="M7" s="587" t="str">
        <f>HYPERLINK("#'B22_Assessment'!A1","B22"&amp;CHAR(10)&amp;TEXT(IFERROR(INDEX(PMIS_Data!$E:$E,MATCH("22",PMIS_Data!$A:$A,0)),0),"0%")&amp;"  "&amp;REPT("█",ROUND(IFERROR(INDEX(PMIS_Data!$E:$E,MATCH("22",PMIS_Data!$A:$A,0)),0)*10,0))&amp;REPT("░",10-ROUND(IFERROR(INDEX(PMIS_Data!$E:$E,MATCH("22",PMIS_Data!$A:$A,0)),0)*10,0))&amp;CHAR(10)&amp;"⚠ "&amp;IFERROR(INDEX(PMIS_Data!$H:$H,MATCH("22",PMIS_Data!$A:$A,0)),"-")&amp;"   ❓ "&amp;IFERROR(INDEX(PMIS_Data!$I:$I,MATCH("22",PMIS_Data!$A:$A,0)),"-")&amp;CHAR(10)&amp;"↗ OPEN")</f>
        <v>B22
50%  █████░░░░░
⚠ 0   ❓ 0
↗ OPEN</v>
      </c>
      <c r="N7" s="588"/>
      <c r="O7" s="588"/>
      <c r="P7" s="589"/>
    </row>
    <row r="8" spans="1:16" ht="54" customHeight="1">
      <c r="A8" s="587" t="str">
        <f>HYPERLINK("#'B33_Assessment'!A1","B33"&amp;CHAR(10)&amp;TEXT(IFERROR(INDEX(PMIS_Data!$E:$E,MATCH("33",PMIS_Data!$A:$A,0)),0),"0%")&amp;"  "&amp;REPT("█",ROUND(IFERROR(INDEX(PMIS_Data!$E:$E,MATCH("33",PMIS_Data!$A:$A,0)),0)*10,0))&amp;REPT("░",10-ROUND(IFERROR(INDEX(PMIS_Data!$E:$E,MATCH("33",PMIS_Data!$A:$A,0)),0)*10,0))&amp;CHAR(10)&amp;"⚠ "&amp;IFERROR(INDEX(PMIS_Data!$H:$H,MATCH("33",PMIS_Data!$A:$A,0)),"-")&amp;"   ❓ "&amp;IFERROR(INDEX(PMIS_Data!$I:$I,MATCH("33",PMIS_Data!$A:$A,0)),"-")&amp;CHAR(10)&amp;"↗ OPEN")</f>
        <v>B33
50%  █████░░░░░
⚠ 0   ❓ 0
↗ OPEN</v>
      </c>
      <c r="B8" s="588"/>
      <c r="C8" s="588"/>
      <c r="D8" s="589"/>
      <c r="E8" s="741" t="str">
        <f>HYPERLINK("#'B61_Assessment'!A1","B61"&amp;CHAR(10)&amp;TEXT(IFERROR(INDEX(PMIS_Data!$E:$E,MATCH("61",PMIS_Data!$A:$A,0)),0),"0%")&amp;"  "&amp;REPT("█",ROUND(IFERROR(INDEX(PMIS_Data!$E:$E,MATCH("61",PMIS_Data!$A:$A,0)),0)*10,0))&amp;REPT("░",10-ROUND(IFERROR(INDEX(PMIS_Data!$E:$E,MATCH("61",PMIS_Data!$A:$A,0)),0)*10,0))&amp;CHAR(10)&amp;"⚠ "&amp;IFERROR(INDEX(PMIS_Data!$H:$H,MATCH("61",PMIS_Data!$A:$A,0)),"-")&amp;"   ❓ "&amp;IFERROR(INDEX(PMIS_Data!$I:$I,MATCH("61",PMIS_Data!$A:$A,0)),"-")&amp;CHAR(10)&amp;"↗ OPEN")</f>
        <v>B61
55%  ██████░░░░
⚠ 0   ❓ 0
↗ OPEN</v>
      </c>
      <c r="F8" s="742"/>
      <c r="G8" s="742"/>
      <c r="H8" s="743"/>
      <c r="I8" s="587" t="str">
        <f>HYPERLINK("#'B62_TR_Assessment'!A1","B62"&amp;CHAR(10)&amp;TEXT(IFERROR(INDEX(PMIS_Data!$E:$E,MATCH("62",PMIS_Data!$A:$A,0)),0),"0%")&amp;"  "&amp;REPT("█",ROUND(IFERROR(INDEX(PMIS_Data!$E:$E,MATCH("62",PMIS_Data!$A:$A,0)),0)*10,0))&amp;REPT("░",10-ROUND(IFERROR(INDEX(PMIS_Data!$E:$E,MATCH("62",PMIS_Data!$A:$A,0)),0)*10,0))&amp;CHAR(10)&amp;"⚠ "&amp;IFERROR(INDEX(PMIS_Data!$H:$H,MATCH("62",PMIS_Data!$A:$A,0)),"-")&amp;"   ❓ "&amp;IFERROR(INDEX(PMIS_Data!$I:$I,MATCH("62",PMIS_Data!$A:$A,0)),"-")&amp;CHAR(10)&amp;"↗ OPEN")</f>
        <v>B62
50%  █████░░░░░
⚠ 0   ❓ 0
↗ OPEN</v>
      </c>
      <c r="J8" s="588"/>
      <c r="K8" s="588"/>
      <c r="L8" s="589"/>
      <c r="M8" s="587" t="str">
        <f>HYPERLINK("#'B70_TR_Assessment'!A1","B70"&amp;CHAR(10)&amp;TEXT(IFERROR(INDEX(PMIS_Data!$E:$E,MATCH("70",PMIS_Data!$A:$A,0)),0),"0%")&amp;"  "&amp;REPT("█",ROUND(IFERROR(INDEX(PMIS_Data!$E:$E,MATCH("70",PMIS_Data!$A:$A,0)),0)*10,0))&amp;REPT("░",10-ROUND(IFERROR(INDEX(PMIS_Data!$E:$E,MATCH("70",PMIS_Data!$A:$A,0)),0)*10,0))&amp;CHAR(10)&amp;"⚠ "&amp;IFERROR(INDEX(PMIS_Data!$H:$H,MATCH("70",PMIS_Data!$A:$A,0)),"-")&amp;"   ❓ "&amp;IFERROR(INDEX(PMIS_Data!$I:$I,MATCH("70",PMIS_Data!$A:$A,0)),"-")&amp;CHAR(10)&amp;"↗ OPEN")</f>
        <v>B70
50%  █████░░░░░
⚠ 0   ❓ 0
↗ OPEN</v>
      </c>
      <c r="N8" s="588"/>
      <c r="O8" s="588"/>
      <c r="P8" s="589"/>
    </row>
    <row r="9" spans="1:16" ht="54" customHeight="1">
      <c r="A9" s="587" t="str">
        <f>HYPERLINK("#'B78_Assessment'!A1","B78"&amp;CHAR(10)&amp;TEXT(IFERROR(INDEX(PMIS_Data!$E:$E,MATCH("78",PMIS_Data!$A:$A,0)),0),"0%")&amp;"  "&amp;REPT("█",ROUND(IFERROR(INDEX(PMIS_Data!$E:$E,MATCH("78",PMIS_Data!$A:$A,0)),0)*10,0))&amp;REPT("░",10-ROUND(IFERROR(INDEX(PMIS_Data!$E:$E,MATCH("78",PMIS_Data!$A:$A,0)),0)*10,0))&amp;CHAR(10)&amp;"⚠ "&amp;IFERROR(INDEX(PMIS_Data!$H:$H,MATCH("78",PMIS_Data!$A:$A,0)),"-")&amp;"   ❓ "&amp;IFERROR(INDEX(PMIS_Data!$I:$I,MATCH("78",PMIS_Data!$A:$A,0)),"-")&amp;CHAR(10)&amp;"↗ OPEN")</f>
        <v>B78
50%  █████░░░░░
⚠ 0   ❓ 0
↗ OPEN</v>
      </c>
      <c r="B9" s="588"/>
      <c r="C9" s="588"/>
      <c r="D9" s="589"/>
      <c r="E9" s="587" t="str">
        <f>HYPERLINK("#'B80_Assessment'!A1","B80"&amp;CHAR(10)&amp;TEXT(IFERROR(INDEX(PMIS_Data!$E:$E,MATCH("80",PMIS_Data!$A:$A,0)),0),"0%")&amp;"  "&amp;REPT("█",ROUND(IFERROR(INDEX(PMIS_Data!$E:$E,MATCH("80",PMIS_Data!$A:$A,0)),0)*10,0))&amp;REPT("░",10-ROUND(IFERROR(INDEX(PMIS_Data!$E:$E,MATCH("80",PMIS_Data!$A:$A,0)),0)*10,0))&amp;CHAR(10)&amp;"⚠ "&amp;IFERROR(INDEX(PMIS_Data!$H:$H,MATCH("80",PMIS_Data!$A:$A,0)),"-")&amp;"   ❓ "&amp;IFERROR(INDEX(PMIS_Data!$I:$I,MATCH("80",PMIS_Data!$A:$A,0)),"-")&amp;CHAR(10)&amp;"↗ OPEN")</f>
        <v>B80
50%  █████░░░░░
⚠ 0   ❓ 0
↗ OPEN</v>
      </c>
      <c r="F9" s="588"/>
      <c r="G9" s="588"/>
      <c r="H9" s="589"/>
      <c r="I9" s="587" t="str">
        <f>HYPERLINK("#'B82_Assessment'!A1","B82"&amp;CHAR(10)&amp;TEXT(IFERROR(INDEX(PMIS_Data!$E:$E,MATCH("82",PMIS_Data!$A:$A,0)),0),"0%")&amp;"  "&amp;REPT("█",ROUND(IFERROR(INDEX(PMIS_Data!$E:$E,MATCH("82",PMIS_Data!$A:$A,0)),0)*10,0))&amp;REPT("░",10-ROUND(IFERROR(INDEX(PMIS_Data!$E:$E,MATCH("82",PMIS_Data!$A:$A,0)),0)*10,0))&amp;CHAR(10)&amp;"⚠ "&amp;IFERROR(INDEX(PMIS_Data!$H:$H,MATCH("82",PMIS_Data!$A:$A,0)),"-")&amp;"   ❓ "&amp;IFERROR(INDEX(PMIS_Data!$I:$I,MATCH("82",PMIS_Data!$A:$A,0)),"-")&amp;CHAR(10)&amp;"↗ OPEN")</f>
        <v>B82
50%  █████░░░░░
⚠ 0   ❓ 0
↗ OPEN</v>
      </c>
      <c r="J9" s="588"/>
      <c r="K9" s="588"/>
      <c r="L9" s="589"/>
      <c r="M9" s="587" t="str">
        <f>HYPERLINK("#'BCH_Assessment'!A1","BCH"&amp;CHAR(10)&amp;TEXT(IFERROR(INDEX(PMIS_Data!$E:$E,MATCH("BCH",PMIS_Data!$A:$A,0)),0),"0%")&amp;"  "&amp;REPT("█",ROUND(IFERROR(INDEX(PMIS_Data!$E:$E,MATCH("BCH",PMIS_Data!$A:$A,0)),0)*10,0))&amp;REPT("░",10-ROUND(IFERROR(INDEX(PMIS_Data!$E:$E,MATCH("BCH",PMIS_Data!$A:$A,0)),0)*10,0))&amp;CHAR(10)&amp;"⚠ "&amp;IFERROR(INDEX(PMIS_Data!$H:$H,MATCH("BCH",PMIS_Data!$A:$A,0)),"-")&amp;"   ❓ "&amp;IFERROR(INDEX(PMIS_Data!$I:$I,MATCH("BCH",PMIS_Data!$A:$A,0)),"-")&amp;CHAR(10)&amp;"↗ OPEN")</f>
        <v>BCH
50%  █████░░░░░
⚠ 0   ❓ 0
↗ OPEN</v>
      </c>
      <c r="N9" s="588"/>
      <c r="O9" s="588"/>
      <c r="P9" s="589"/>
    </row>
    <row r="10" spans="1:16" ht="58.2" customHeight="1">
      <c r="A10" s="735" t="str">
        <f>HYPERLINK("#'MCR_Assessment'!A1","MCR"&amp;CHAR(10)&amp;TEXT(IFERROR(INDEX(PMIS_Data!$E:$E,MATCH("MCR",PMIS_Data!$A:$A,0)),0),"0%")&amp;"  "&amp;REPT("█",ROUND(IFERROR(INDEX(PMIS_Data!$E:$E,MATCH("MCR",PMIS_Data!$A:$A,0)),0)*10,0))&amp;REPT("░",10-ROUND(IFERROR(INDEX(PMIS_Data!$E:$E,MATCH("MCR",PMIS_Data!$A:$A,0)),0)*10,0))&amp;CHAR(10)&amp;"⚠ "&amp;IFERROR(INDEX(PMIS_Data!$H:$H,MATCH("MCR",PMIS_Data!$A:$A,0)),"-")&amp;"   ❓ "&amp;IFERROR(INDEX(PMIS_Data!$I:$I,MATCH("MCR",PMIS_Data!$A:$A,0)),"-")&amp;CHAR(10)&amp;"↗ OPEN")</f>
        <v>MCR
50%  █████░░░░░
⚠ 0   ❓ 0
↗ OPEN</v>
      </c>
      <c r="B10" s="736"/>
      <c r="C10" s="736"/>
      <c r="D10" s="737"/>
      <c r="E10" s="738" t="str">
        <f>HYPERLINK("#'SITE_Assesment'!A1","SITE"&amp;CHAR(10)&amp;TEXT(IFERROR(INDEX(PMIS_Data!$E:$E,MATCH("SITE",PMIS_Data!$A:$A,0)),0),"0%")&amp;"  "&amp;REPT("█",ROUND(IFERROR(INDEX(PMIS_Data!$E:$E,MATCH("SITE",PMIS_Data!$A:$A,0)),0)*10,0))&amp;REPT("░",10-ROUND(IFERROR(INDEX(PMIS_Data!$E:$E,MATCH("SITE",PMIS_Data!$A:$A,0)),0)*10,0))&amp;CHAR(10)&amp;"⚠ "&amp;IFERROR(INDEX(PMIS_Data!$H:$H,MATCH("SITE",PMIS_Data!$A:$A,0)),"-")&amp;"   ❓ "&amp;IFERROR(INDEX(PMIS_Data!$I:$I,MATCH("SITE",PMIS_Data!$A:$A,0)),"-")&amp;CHAR(10)&amp;"↗ OPEN")</f>
        <v>SITE
50%  █████░░░░░
⚠ 0   ❓ 0
↗ OPEN</v>
      </c>
      <c r="F10" s="739"/>
      <c r="G10" s="739"/>
      <c r="H10" s="740"/>
      <c r="I10" s="738" t="str">
        <f>HYPERLINK("#'SPEC_Assessment'!A1","SPEC"&amp;CHAR(10)&amp;TEXT(IFERROR(INDEX(PMIS_Data!$E:$E,MATCH("SPEC",PMIS_Data!$A:$A,0)),0),"0%")&amp;"  "&amp;REPT("█",ROUND(IFERROR(INDEX(PMIS_Data!$E:$E,MATCH("SPEC",PMIS_Data!$A:$A,0)),0)*10,0))&amp;REPT("░",10-ROUND(IFERROR(INDEX(PMIS_Data!$E:$E,MATCH("SPEC",PMIS_Data!$A:$A,0)),0)*10,0))&amp;CHAR(10)&amp;"⚠ "&amp;IFERROR(INDEX(PMIS_Data!$H:$H,MATCH("SPEC",PMIS_Data!$A:$A,0)),"-")&amp;"   ❓ "&amp;IFERROR(INDEX(PMIS_Data!$I:$I,MATCH("SPEC",PMIS_Data!$A:$A,0)),"-")&amp;CHAR(10)&amp;"↗ OPEN")</f>
        <v>SPEC
0%  ░░░░░░░░░░
⚠ -   ❓ -
↗ OPEN</v>
      </c>
      <c r="J10" s="739"/>
      <c r="K10" s="739"/>
      <c r="L10" s="740"/>
      <c r="M10" s="254"/>
      <c r="N10" s="255"/>
      <c r="O10" s="255"/>
      <c r="P10" s="256"/>
    </row>
  </sheetData>
  <mergeCells count="33">
    <mergeCell ref="A1:P1"/>
    <mergeCell ref="A2:P2"/>
    <mergeCell ref="A3:D3"/>
    <mergeCell ref="E3:H3"/>
    <mergeCell ref="I3:L3"/>
    <mergeCell ref="M3:P3"/>
    <mergeCell ref="A4:D4"/>
    <mergeCell ref="E4:H4"/>
    <mergeCell ref="I4:L4"/>
    <mergeCell ref="M4:P4"/>
    <mergeCell ref="A5:D5"/>
    <mergeCell ref="E5:H5"/>
    <mergeCell ref="I5:L5"/>
    <mergeCell ref="M5:P5"/>
    <mergeCell ref="A6:D6"/>
    <mergeCell ref="E6:H6"/>
    <mergeCell ref="I6:L6"/>
    <mergeCell ref="M6:P6"/>
    <mergeCell ref="A7:D7"/>
    <mergeCell ref="E7:H7"/>
    <mergeCell ref="I7:L7"/>
    <mergeCell ref="M7:P7"/>
    <mergeCell ref="M8:P8"/>
    <mergeCell ref="A9:D9"/>
    <mergeCell ref="E9:H9"/>
    <mergeCell ref="I9:L9"/>
    <mergeCell ref="M9:P9"/>
    <mergeCell ref="A10:D10"/>
    <mergeCell ref="E10:H10"/>
    <mergeCell ref="I10:L10"/>
    <mergeCell ref="A8:D8"/>
    <mergeCell ref="E8:H8"/>
    <mergeCell ref="I8:L8"/>
  </mergeCell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00000000-000E-0000-3E00-000001000000}">
            <xm:f>IFERROR(INDEX(PMIS_Data!$E:$E,MATCH("01",PMIS_Data!$A:$A,0)),0)&gt;=0.95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2" stopIfTrue="1" id="{00000000-000E-0000-3E00-000002000000}">
            <xm:f>IFERROR(INDEX(PMIS_Data!$E:$E,MATCH("01",PMIS_Data!$A:$A,0)),0)&gt;=0.75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3" stopIfTrue="1" id="{00000000-000E-0000-3E00-000003000000}">
            <xm:f>IFERROR(INDEX(PMIS_Data!$E:$E,MATCH("01",PMIS_Data!$A:$A,0)),0)&gt;=0.5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4" stopIfTrue="1" id="{00000000-000E-0000-3E00-000004000000}">
            <xm:f>IFERROR(INDEX(PMIS_Data!$E:$E,MATCH("01",PMIS_Data!$A:$A,0)),0)&gt;=0.25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5" stopIfTrue="1" id="{00000000-000E-0000-3E00-000005000000}">
            <xm:f>IFERROR(INDEX(PMIS_Data!$E:$E,MATCH("01",PMIS_Data!$A:$A,0)),0)&lt;0.25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A3:D3</xm:sqref>
        </x14:conditionalFormatting>
        <x14:conditionalFormatting xmlns:xm="http://schemas.microsoft.com/office/excel/2006/main">
          <x14:cfRule type="expression" priority="21" stopIfTrue="1" id="{00000000-000E-0000-3E00-000015000000}">
            <xm:f>IFERROR(INDEX(PMIS_Data!$E:$E,MATCH("05",PMIS_Data!$A:$A,0)),0)&gt;=0.95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22" stopIfTrue="1" id="{00000000-000E-0000-3E00-000016000000}">
            <xm:f>IFERROR(INDEX(PMIS_Data!$E:$E,MATCH("05",PMIS_Data!$A:$A,0)),0)&gt;=0.75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23" stopIfTrue="1" id="{00000000-000E-0000-3E00-000017000000}">
            <xm:f>IFERROR(INDEX(PMIS_Data!$E:$E,MATCH("05",PMIS_Data!$A:$A,0)),0)&gt;=0.5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24" stopIfTrue="1" id="{00000000-000E-0000-3E00-000018000000}">
            <xm:f>IFERROR(INDEX(PMIS_Data!$E:$E,MATCH("05",PMIS_Data!$A:$A,0)),0)&gt;=0.25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25" stopIfTrue="1" id="{00000000-000E-0000-3E00-000019000000}">
            <xm:f>IFERROR(INDEX(PMIS_Data!$E:$E,MATCH("05",PMIS_Data!$A:$A,0)),0)&lt;0.25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A4:D4</xm:sqref>
        </x14:conditionalFormatting>
        <x14:conditionalFormatting xmlns:xm="http://schemas.microsoft.com/office/excel/2006/main">
          <x14:cfRule type="expression" priority="41" stopIfTrue="1" id="{00000000-000E-0000-3E00-000029000000}">
            <xm:f>IFERROR(INDEX(PMIS_Data!$E:$E,MATCH("09",PMIS_Data!$A:$A,0)),0)&gt;=0.95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42" stopIfTrue="1" id="{00000000-000E-0000-3E00-00002A000000}">
            <xm:f>IFERROR(INDEX(PMIS_Data!$E:$E,MATCH("09",PMIS_Data!$A:$A,0)),0)&gt;=0.75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43" stopIfTrue="1" id="{00000000-000E-0000-3E00-00002B000000}">
            <xm:f>IFERROR(INDEX(PMIS_Data!$E:$E,MATCH("09",PMIS_Data!$A:$A,0)),0)&gt;=0.5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44" stopIfTrue="1" id="{00000000-000E-0000-3E00-00002C000000}">
            <xm:f>IFERROR(INDEX(PMIS_Data!$E:$E,MATCH("09",PMIS_Data!$A:$A,0)),0)&gt;=0.25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45" stopIfTrue="1" id="{00000000-000E-0000-3E00-00002D000000}">
            <xm:f>IFERROR(INDEX(PMIS_Data!$E:$E,MATCH("09",PMIS_Data!$A:$A,0)),0)&lt;0.25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A5:D5</xm:sqref>
        </x14:conditionalFormatting>
        <x14:conditionalFormatting xmlns:xm="http://schemas.microsoft.com/office/excel/2006/main">
          <x14:cfRule type="expression" priority="61" stopIfTrue="1" id="{00000000-000E-0000-3E00-00003D000000}">
            <xm:f>IFERROR(INDEX(PMIS_Data!$E:$E,MATCH("14",PMIS_Data!$A:$A,0)),0)&gt;=0.95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62" stopIfTrue="1" id="{00000000-000E-0000-3E00-00003E000000}">
            <xm:f>IFERROR(INDEX(PMIS_Data!$E:$E,MATCH("14",PMIS_Data!$A:$A,0)),0)&gt;=0.75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63" stopIfTrue="1" id="{00000000-000E-0000-3E00-00003F000000}">
            <xm:f>IFERROR(INDEX(PMIS_Data!$E:$E,MATCH("14",PMIS_Data!$A:$A,0)),0)&gt;=0.5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64" stopIfTrue="1" id="{00000000-000E-0000-3E00-000040000000}">
            <xm:f>IFERROR(INDEX(PMIS_Data!$E:$E,MATCH("14",PMIS_Data!$A:$A,0)),0)&gt;=0.25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65" stopIfTrue="1" id="{00000000-000E-0000-3E00-000041000000}">
            <xm:f>IFERROR(INDEX(PMIS_Data!$E:$E,MATCH("14",PMIS_Data!$A:$A,0)),0)&lt;0.25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A6:D6</xm:sqref>
        </x14:conditionalFormatting>
        <x14:conditionalFormatting xmlns:xm="http://schemas.microsoft.com/office/excel/2006/main">
          <x14:cfRule type="expression" priority="81" stopIfTrue="1" id="{00000000-000E-0000-3E00-000051000000}">
            <xm:f>IFERROR(INDEX(PMIS_Data!$E:$E,MATCH("18",PMIS_Data!$A:$A,0)),0)&gt;=0.95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82" stopIfTrue="1" id="{00000000-000E-0000-3E00-000052000000}">
            <xm:f>IFERROR(INDEX(PMIS_Data!$E:$E,MATCH("18",PMIS_Data!$A:$A,0)),0)&gt;=0.75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83" stopIfTrue="1" id="{00000000-000E-0000-3E00-000053000000}">
            <xm:f>IFERROR(INDEX(PMIS_Data!$E:$E,MATCH("18",PMIS_Data!$A:$A,0)),0)&gt;=0.5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84" stopIfTrue="1" id="{00000000-000E-0000-3E00-000054000000}">
            <xm:f>IFERROR(INDEX(PMIS_Data!$E:$E,MATCH("18",PMIS_Data!$A:$A,0)),0)&gt;=0.25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85" stopIfTrue="1" id="{00000000-000E-0000-3E00-000055000000}">
            <xm:f>IFERROR(INDEX(PMIS_Data!$E:$E,MATCH("18",PMIS_Data!$A:$A,0)),0)&lt;0.25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A7:D7</xm:sqref>
        </x14:conditionalFormatting>
        <x14:conditionalFormatting xmlns:xm="http://schemas.microsoft.com/office/excel/2006/main">
          <x14:cfRule type="expression" priority="101" stopIfTrue="1" id="{00000000-000E-0000-3E00-000065000000}">
            <xm:f>IFERROR(INDEX(PMIS_Data!$E:$E,MATCH("33",PMIS_Data!$A:$A,0)),0)&gt;=0.95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102" stopIfTrue="1" id="{00000000-000E-0000-3E00-000066000000}">
            <xm:f>IFERROR(INDEX(PMIS_Data!$E:$E,MATCH("33",PMIS_Data!$A:$A,0)),0)&gt;=0.75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103" stopIfTrue="1" id="{00000000-000E-0000-3E00-000067000000}">
            <xm:f>IFERROR(INDEX(PMIS_Data!$E:$E,MATCH("33",PMIS_Data!$A:$A,0)),0)&gt;=0.5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104" stopIfTrue="1" id="{00000000-000E-0000-3E00-000068000000}">
            <xm:f>IFERROR(INDEX(PMIS_Data!$E:$E,MATCH("33",PMIS_Data!$A:$A,0)),0)&gt;=0.25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105" stopIfTrue="1" id="{00000000-000E-0000-3E00-000069000000}">
            <xm:f>IFERROR(INDEX(PMIS_Data!$E:$E,MATCH("33",PMIS_Data!$A:$A,0)),0)&lt;0.25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A8:D8</xm:sqref>
        </x14:conditionalFormatting>
        <x14:conditionalFormatting xmlns:xm="http://schemas.microsoft.com/office/excel/2006/main">
          <x14:cfRule type="expression" priority="121" stopIfTrue="1" id="{00000000-000E-0000-3E00-000079000000}">
            <xm:f>IFERROR(INDEX(PMIS_Data!$E:$E,MATCH("78",PMIS_Data!$A:$A,0)),0)&gt;=0.95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122" stopIfTrue="1" id="{00000000-000E-0000-3E00-00007A000000}">
            <xm:f>IFERROR(INDEX(PMIS_Data!$E:$E,MATCH("78",PMIS_Data!$A:$A,0)),0)&gt;=0.75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123" stopIfTrue="1" id="{00000000-000E-0000-3E00-00007B000000}">
            <xm:f>IFERROR(INDEX(PMIS_Data!$E:$E,MATCH("78",PMIS_Data!$A:$A,0)),0)&gt;=0.5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124" stopIfTrue="1" id="{00000000-000E-0000-3E00-00007C000000}">
            <xm:f>IFERROR(INDEX(PMIS_Data!$E:$E,MATCH("78",PMIS_Data!$A:$A,0)),0)&gt;=0.25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125" stopIfTrue="1" id="{00000000-000E-0000-3E00-00007D000000}">
            <xm:f>IFERROR(INDEX(PMIS_Data!$E:$E,MATCH("78",PMIS_Data!$A:$A,0)),0)&lt;0.25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A9:D9</xm:sqref>
        </x14:conditionalFormatting>
        <x14:conditionalFormatting xmlns:xm="http://schemas.microsoft.com/office/excel/2006/main">
          <x14:cfRule type="expression" priority="141" stopIfTrue="1" id="{00000000-000E-0000-3E00-00008D000000}">
            <xm:f>IFERROR(INDEX(PMIS_Data!$E:$E,MATCH("MCR",PMIS_Data!$A:$A,0)),0)&gt;=0.95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142" stopIfTrue="1" id="{00000000-000E-0000-3E00-00008E000000}">
            <xm:f>IFERROR(INDEX(PMIS_Data!$E:$E,MATCH("MCR",PMIS_Data!$A:$A,0)),0)&gt;=0.75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143" stopIfTrue="1" id="{00000000-000E-0000-3E00-00008F000000}">
            <xm:f>IFERROR(INDEX(PMIS_Data!$E:$E,MATCH("MCR",PMIS_Data!$A:$A,0)),0)&gt;=0.5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144" stopIfTrue="1" id="{00000000-000E-0000-3E00-000090000000}">
            <xm:f>IFERROR(INDEX(PMIS_Data!$E:$E,MATCH("MCR",PMIS_Data!$A:$A,0)),0)&gt;=0.25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145" stopIfTrue="1" id="{00000000-000E-0000-3E00-000091000000}">
            <xm:f>IFERROR(INDEX(PMIS_Data!$E:$E,MATCH("MCR",PMIS_Data!$A:$A,0)),0)&lt;0.25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A10:D10</xm:sqref>
        </x14:conditionalFormatting>
        <x14:conditionalFormatting xmlns:xm="http://schemas.microsoft.com/office/excel/2006/main">
          <x14:cfRule type="expression" priority="6" stopIfTrue="1" id="{00000000-000E-0000-3E00-000006000000}">
            <xm:f>IFERROR(INDEX(PMIS_Data!$E:$E,MATCH("02",PMIS_Data!$A:$A,0)),0)&gt;=0.95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7" stopIfTrue="1" id="{00000000-000E-0000-3E00-000007000000}">
            <xm:f>IFERROR(INDEX(PMIS_Data!$E:$E,MATCH("02",PMIS_Data!$A:$A,0)),0)&gt;=0.75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8" stopIfTrue="1" id="{00000000-000E-0000-3E00-000008000000}">
            <xm:f>IFERROR(INDEX(PMIS_Data!$E:$E,MATCH("02",PMIS_Data!$A:$A,0)),0)&gt;=0.5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9" stopIfTrue="1" id="{00000000-000E-0000-3E00-000009000000}">
            <xm:f>IFERROR(INDEX(PMIS_Data!$E:$E,MATCH("02",PMIS_Data!$A:$A,0)),0)&gt;=0.25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10" stopIfTrue="1" id="{00000000-000E-0000-3E00-00000A000000}">
            <xm:f>IFERROR(INDEX(PMIS_Data!$E:$E,MATCH("02",PMIS_Data!$A:$A,0)),0)&lt;0.25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E3:H3</xm:sqref>
        </x14:conditionalFormatting>
        <x14:conditionalFormatting xmlns:xm="http://schemas.microsoft.com/office/excel/2006/main">
          <x14:cfRule type="expression" priority="26" stopIfTrue="1" id="{00000000-000E-0000-3E00-00001A000000}">
            <xm:f>IFERROR(INDEX(PMIS_Data!$E:$E,MATCH("06",PMIS_Data!$A:$A,0)),0)&gt;=0.95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27" stopIfTrue="1" id="{00000000-000E-0000-3E00-00001B000000}">
            <xm:f>IFERROR(INDEX(PMIS_Data!$E:$E,MATCH("06",PMIS_Data!$A:$A,0)),0)&gt;=0.75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28" stopIfTrue="1" id="{00000000-000E-0000-3E00-00001C000000}">
            <xm:f>IFERROR(INDEX(PMIS_Data!$E:$E,MATCH("06",PMIS_Data!$A:$A,0)),0)&gt;=0.5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29" stopIfTrue="1" id="{00000000-000E-0000-3E00-00001D000000}">
            <xm:f>IFERROR(INDEX(PMIS_Data!$E:$E,MATCH("06",PMIS_Data!$A:$A,0)),0)&gt;=0.25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30" stopIfTrue="1" id="{00000000-000E-0000-3E00-00001E000000}">
            <xm:f>IFERROR(INDEX(PMIS_Data!$E:$E,MATCH("06",PMIS_Data!$A:$A,0)),0)&lt;0.25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E4:H4</xm:sqref>
        </x14:conditionalFormatting>
        <x14:conditionalFormatting xmlns:xm="http://schemas.microsoft.com/office/excel/2006/main">
          <x14:cfRule type="expression" priority="46" stopIfTrue="1" id="{00000000-000E-0000-3E00-00002E000000}">
            <xm:f>IFERROR(INDEX(PMIS_Data!$E:$E,MATCH("10",PMIS_Data!$A:$A,0)),0)&gt;=0.95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47" stopIfTrue="1" id="{00000000-000E-0000-3E00-00002F000000}">
            <xm:f>IFERROR(INDEX(PMIS_Data!$E:$E,MATCH("10",PMIS_Data!$A:$A,0)),0)&gt;=0.75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48" stopIfTrue="1" id="{00000000-000E-0000-3E00-000030000000}">
            <xm:f>IFERROR(INDEX(PMIS_Data!$E:$E,MATCH("10",PMIS_Data!$A:$A,0)),0)&gt;=0.5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49" stopIfTrue="1" id="{00000000-000E-0000-3E00-000031000000}">
            <xm:f>IFERROR(INDEX(PMIS_Data!$E:$E,MATCH("10",PMIS_Data!$A:$A,0)),0)&gt;=0.25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50" stopIfTrue="1" id="{00000000-000E-0000-3E00-000032000000}">
            <xm:f>IFERROR(INDEX(PMIS_Data!$E:$E,MATCH("10",PMIS_Data!$A:$A,0)),0)&lt;0.25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E5:H5</xm:sqref>
        </x14:conditionalFormatting>
        <x14:conditionalFormatting xmlns:xm="http://schemas.microsoft.com/office/excel/2006/main">
          <x14:cfRule type="expression" priority="66" stopIfTrue="1" id="{00000000-000E-0000-3E00-000042000000}">
            <xm:f>IFERROR(INDEX(PMIS_Data!$E:$E,MATCH("15",PMIS_Data!$A:$A,0)),0)&gt;=0.95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67" stopIfTrue="1" id="{00000000-000E-0000-3E00-000043000000}">
            <xm:f>IFERROR(INDEX(PMIS_Data!$E:$E,MATCH("15",PMIS_Data!$A:$A,0)),0)&gt;=0.75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68" stopIfTrue="1" id="{00000000-000E-0000-3E00-000044000000}">
            <xm:f>IFERROR(INDEX(PMIS_Data!$E:$E,MATCH("15",PMIS_Data!$A:$A,0)),0)&gt;=0.5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69" stopIfTrue="1" id="{00000000-000E-0000-3E00-000045000000}">
            <xm:f>IFERROR(INDEX(PMIS_Data!$E:$E,MATCH("15",PMIS_Data!$A:$A,0)),0)&gt;=0.25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70" stopIfTrue="1" id="{00000000-000E-0000-3E00-000046000000}">
            <xm:f>IFERROR(INDEX(PMIS_Data!$E:$E,MATCH("15",PMIS_Data!$A:$A,0)),0)&lt;0.25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E6:H6</xm:sqref>
        </x14:conditionalFormatting>
        <x14:conditionalFormatting xmlns:xm="http://schemas.microsoft.com/office/excel/2006/main">
          <x14:cfRule type="expression" priority="86" stopIfTrue="1" id="{00000000-000E-0000-3E00-000056000000}">
            <xm:f>IFERROR(INDEX(PMIS_Data!$E:$E,MATCH("20",PMIS_Data!$A:$A,0)),0)&gt;=0.95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87" stopIfTrue="1" id="{00000000-000E-0000-3E00-000057000000}">
            <xm:f>IFERROR(INDEX(PMIS_Data!$E:$E,MATCH("20",PMIS_Data!$A:$A,0)),0)&gt;=0.75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88" stopIfTrue="1" id="{00000000-000E-0000-3E00-000058000000}">
            <xm:f>IFERROR(INDEX(PMIS_Data!$E:$E,MATCH("20",PMIS_Data!$A:$A,0)),0)&gt;=0.5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89" stopIfTrue="1" id="{00000000-000E-0000-3E00-000059000000}">
            <xm:f>IFERROR(INDEX(PMIS_Data!$E:$E,MATCH("20",PMIS_Data!$A:$A,0)),0)&gt;=0.25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90" stopIfTrue="1" id="{00000000-000E-0000-3E00-00005A000000}">
            <xm:f>IFERROR(INDEX(PMIS_Data!$E:$E,MATCH("20",PMIS_Data!$A:$A,0)),0)&lt;0.25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E7:H7</xm:sqref>
        </x14:conditionalFormatting>
        <x14:conditionalFormatting xmlns:xm="http://schemas.microsoft.com/office/excel/2006/main">
          <x14:cfRule type="expression" priority="106" stopIfTrue="1" id="{00000000-000E-0000-3E00-00006A000000}">
            <xm:f>IFERROR(INDEX(PMIS_Data!$E:$E,MATCH("61",PMIS_Data!$A:$A,0)),0)&gt;=0.95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107" stopIfTrue="1" id="{00000000-000E-0000-3E00-00006B000000}">
            <xm:f>IFERROR(INDEX(PMIS_Data!$E:$E,MATCH("61",PMIS_Data!$A:$A,0)),0)&gt;=0.75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108" stopIfTrue="1" id="{00000000-000E-0000-3E00-00006C000000}">
            <xm:f>IFERROR(INDEX(PMIS_Data!$E:$E,MATCH("61",PMIS_Data!$A:$A,0)),0)&gt;=0.5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109" stopIfTrue="1" id="{00000000-000E-0000-3E00-00006D000000}">
            <xm:f>IFERROR(INDEX(PMIS_Data!$E:$E,MATCH("61",PMIS_Data!$A:$A,0)),0)&gt;=0.25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110" stopIfTrue="1" id="{00000000-000E-0000-3E00-00006E000000}">
            <xm:f>IFERROR(INDEX(PMIS_Data!$E:$E,MATCH("61",PMIS_Data!$A:$A,0)),0)&lt;0.25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E8:H8</xm:sqref>
        </x14:conditionalFormatting>
        <x14:conditionalFormatting xmlns:xm="http://schemas.microsoft.com/office/excel/2006/main">
          <x14:cfRule type="expression" priority="126" stopIfTrue="1" id="{00000000-000E-0000-3E00-00007E000000}">
            <xm:f>IFERROR(INDEX(PMIS_Data!$E:$E,MATCH("80",PMIS_Data!$A:$A,0)),0)&gt;=0.95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127" stopIfTrue="1" id="{00000000-000E-0000-3E00-00007F000000}">
            <xm:f>IFERROR(INDEX(PMIS_Data!$E:$E,MATCH("80",PMIS_Data!$A:$A,0)),0)&gt;=0.75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128" stopIfTrue="1" id="{00000000-000E-0000-3E00-000080000000}">
            <xm:f>IFERROR(INDEX(PMIS_Data!$E:$E,MATCH("80",PMIS_Data!$A:$A,0)),0)&gt;=0.5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129" stopIfTrue="1" id="{00000000-000E-0000-3E00-000081000000}">
            <xm:f>IFERROR(INDEX(PMIS_Data!$E:$E,MATCH("80",PMIS_Data!$A:$A,0)),0)&gt;=0.25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130" stopIfTrue="1" id="{00000000-000E-0000-3E00-000082000000}">
            <xm:f>IFERROR(INDEX(PMIS_Data!$E:$E,MATCH("80",PMIS_Data!$A:$A,0)),0)&lt;0.25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E9:H9</xm:sqref>
        </x14:conditionalFormatting>
        <x14:conditionalFormatting xmlns:xm="http://schemas.microsoft.com/office/excel/2006/main">
          <x14:cfRule type="expression" priority="146" stopIfTrue="1" id="{00000000-000E-0000-3E00-000092000000}">
            <xm:f>IFERROR(INDEX(PMIS_Data!$E:$E,MATCH("SITE",PMIS_Data!$A:$A,0)),0)&gt;=0.95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147" stopIfTrue="1" id="{00000000-000E-0000-3E00-000093000000}">
            <xm:f>IFERROR(INDEX(PMIS_Data!$E:$E,MATCH("SITE",PMIS_Data!$A:$A,0)),0)&gt;=0.75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148" stopIfTrue="1" id="{00000000-000E-0000-3E00-000094000000}">
            <xm:f>IFERROR(INDEX(PMIS_Data!$E:$E,MATCH("SITE",PMIS_Data!$A:$A,0)),0)&gt;=0.5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149" stopIfTrue="1" id="{00000000-000E-0000-3E00-000095000000}">
            <xm:f>IFERROR(INDEX(PMIS_Data!$E:$E,MATCH("SITE",PMIS_Data!$A:$A,0)),0)&gt;=0.25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150" stopIfTrue="1" id="{00000000-000E-0000-3E00-000096000000}">
            <xm:f>IFERROR(INDEX(PMIS_Data!$E:$E,MATCH("SITE",PMIS_Data!$A:$A,0)),0)&lt;0.25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E10:H10</xm:sqref>
        </x14:conditionalFormatting>
        <x14:conditionalFormatting xmlns:xm="http://schemas.microsoft.com/office/excel/2006/main">
          <x14:cfRule type="expression" priority="11" stopIfTrue="1" id="{00000000-000E-0000-3E00-00000B000000}">
            <xm:f>IFERROR(INDEX(PMIS_Data!$E:$E,MATCH("03",PMIS_Data!$A:$A,0)),0)&gt;=0.95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12" stopIfTrue="1" id="{00000000-000E-0000-3E00-00000C000000}">
            <xm:f>IFERROR(INDEX(PMIS_Data!$E:$E,MATCH("03",PMIS_Data!$A:$A,0)),0)&gt;=0.75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13" stopIfTrue="1" id="{00000000-000E-0000-3E00-00000D000000}">
            <xm:f>IFERROR(INDEX(PMIS_Data!$E:$E,MATCH("03",PMIS_Data!$A:$A,0)),0)&gt;=0.5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14" stopIfTrue="1" id="{00000000-000E-0000-3E00-00000E000000}">
            <xm:f>IFERROR(INDEX(PMIS_Data!$E:$E,MATCH("03",PMIS_Data!$A:$A,0)),0)&gt;=0.25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15" stopIfTrue="1" id="{00000000-000E-0000-3E00-00000F000000}">
            <xm:f>IFERROR(INDEX(PMIS_Data!$E:$E,MATCH("03",PMIS_Data!$A:$A,0)),0)&lt;0.25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I3:L3</xm:sqref>
        </x14:conditionalFormatting>
        <x14:conditionalFormatting xmlns:xm="http://schemas.microsoft.com/office/excel/2006/main">
          <x14:cfRule type="expression" priority="31" stopIfTrue="1" id="{00000000-000E-0000-3E00-00001F000000}">
            <xm:f>IFERROR(INDEX(PMIS_Data!$E:$E,MATCH("07",PMIS_Data!$A:$A,0)),0)&gt;=0.95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32" stopIfTrue="1" id="{00000000-000E-0000-3E00-000020000000}">
            <xm:f>IFERROR(INDEX(PMIS_Data!$E:$E,MATCH("07",PMIS_Data!$A:$A,0)),0)&gt;=0.75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33" stopIfTrue="1" id="{00000000-000E-0000-3E00-000021000000}">
            <xm:f>IFERROR(INDEX(PMIS_Data!$E:$E,MATCH("07",PMIS_Data!$A:$A,0)),0)&gt;=0.5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34" stopIfTrue="1" id="{00000000-000E-0000-3E00-000022000000}">
            <xm:f>IFERROR(INDEX(PMIS_Data!$E:$E,MATCH("07",PMIS_Data!$A:$A,0)),0)&gt;=0.25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35" stopIfTrue="1" id="{00000000-000E-0000-3E00-000023000000}">
            <xm:f>IFERROR(INDEX(PMIS_Data!$E:$E,MATCH("07",PMIS_Data!$A:$A,0)),0)&lt;0.25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I4:L4</xm:sqref>
        </x14:conditionalFormatting>
        <x14:conditionalFormatting xmlns:xm="http://schemas.microsoft.com/office/excel/2006/main">
          <x14:cfRule type="expression" priority="51" stopIfTrue="1" id="{00000000-000E-0000-3E00-000033000000}">
            <xm:f>IFERROR(INDEX(PMIS_Data!$E:$E,MATCH("12",PMIS_Data!$A:$A,0)),0)&gt;=0.95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52" stopIfTrue="1" id="{00000000-000E-0000-3E00-000034000000}">
            <xm:f>IFERROR(INDEX(PMIS_Data!$E:$E,MATCH("12",PMIS_Data!$A:$A,0)),0)&gt;=0.75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53" stopIfTrue="1" id="{00000000-000E-0000-3E00-000035000000}">
            <xm:f>IFERROR(INDEX(PMIS_Data!$E:$E,MATCH("12",PMIS_Data!$A:$A,0)),0)&gt;=0.5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54" stopIfTrue="1" id="{00000000-000E-0000-3E00-000036000000}">
            <xm:f>IFERROR(INDEX(PMIS_Data!$E:$E,MATCH("12",PMIS_Data!$A:$A,0)),0)&gt;=0.25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55" stopIfTrue="1" id="{00000000-000E-0000-3E00-000037000000}">
            <xm:f>IFERROR(INDEX(PMIS_Data!$E:$E,MATCH("12",PMIS_Data!$A:$A,0)),0)&lt;0.25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I5:L5</xm:sqref>
        </x14:conditionalFormatting>
        <x14:conditionalFormatting xmlns:xm="http://schemas.microsoft.com/office/excel/2006/main">
          <x14:cfRule type="expression" priority="71" stopIfTrue="1" id="{00000000-000E-0000-3E00-000047000000}">
            <xm:f>IFERROR(INDEX(PMIS_Data!$E:$E,MATCH("16",PMIS_Data!$A:$A,0)),0)&gt;=0.95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72" stopIfTrue="1" id="{00000000-000E-0000-3E00-000048000000}">
            <xm:f>IFERROR(INDEX(PMIS_Data!$E:$E,MATCH("16",PMIS_Data!$A:$A,0)),0)&gt;=0.75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73" stopIfTrue="1" id="{00000000-000E-0000-3E00-000049000000}">
            <xm:f>IFERROR(INDEX(PMIS_Data!$E:$E,MATCH("16",PMIS_Data!$A:$A,0)),0)&gt;=0.5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74" stopIfTrue="1" id="{00000000-000E-0000-3E00-00004A000000}">
            <xm:f>IFERROR(INDEX(PMIS_Data!$E:$E,MATCH("16",PMIS_Data!$A:$A,0)),0)&gt;=0.25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75" stopIfTrue="1" id="{00000000-000E-0000-3E00-00004B000000}">
            <xm:f>IFERROR(INDEX(PMIS_Data!$E:$E,MATCH("16",PMIS_Data!$A:$A,0)),0)&lt;0.25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I6:L6</xm:sqref>
        </x14:conditionalFormatting>
        <x14:conditionalFormatting xmlns:xm="http://schemas.microsoft.com/office/excel/2006/main">
          <x14:cfRule type="expression" priority="91" stopIfTrue="1" id="{00000000-000E-0000-3E00-00005B000000}">
            <xm:f>IFERROR(INDEX(PMIS_Data!$E:$E,MATCH("21",PMIS_Data!$A:$A,0)),0)&gt;=0.95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92" stopIfTrue="1" id="{00000000-000E-0000-3E00-00005C000000}">
            <xm:f>IFERROR(INDEX(PMIS_Data!$E:$E,MATCH("21",PMIS_Data!$A:$A,0)),0)&gt;=0.75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93" stopIfTrue="1" id="{00000000-000E-0000-3E00-00005D000000}">
            <xm:f>IFERROR(INDEX(PMIS_Data!$E:$E,MATCH("21",PMIS_Data!$A:$A,0)),0)&gt;=0.5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94" stopIfTrue="1" id="{00000000-000E-0000-3E00-00005E000000}">
            <xm:f>IFERROR(INDEX(PMIS_Data!$E:$E,MATCH("21",PMIS_Data!$A:$A,0)),0)&gt;=0.25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95" stopIfTrue="1" id="{00000000-000E-0000-3E00-00005F000000}">
            <xm:f>IFERROR(INDEX(PMIS_Data!$E:$E,MATCH("21",PMIS_Data!$A:$A,0)),0)&lt;0.25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I7:L7</xm:sqref>
        </x14:conditionalFormatting>
        <x14:conditionalFormatting xmlns:xm="http://schemas.microsoft.com/office/excel/2006/main">
          <x14:cfRule type="expression" priority="111" stopIfTrue="1" id="{00000000-000E-0000-3E00-00006F000000}">
            <xm:f>IFERROR(INDEX(PMIS_Data!$E:$E,MATCH("62",PMIS_Data!$A:$A,0)),0)&gt;=0.95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112" stopIfTrue="1" id="{00000000-000E-0000-3E00-000070000000}">
            <xm:f>IFERROR(INDEX(PMIS_Data!$E:$E,MATCH("62",PMIS_Data!$A:$A,0)),0)&gt;=0.75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113" stopIfTrue="1" id="{00000000-000E-0000-3E00-000071000000}">
            <xm:f>IFERROR(INDEX(PMIS_Data!$E:$E,MATCH("62",PMIS_Data!$A:$A,0)),0)&gt;=0.5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114" stopIfTrue="1" id="{00000000-000E-0000-3E00-000072000000}">
            <xm:f>IFERROR(INDEX(PMIS_Data!$E:$E,MATCH("62",PMIS_Data!$A:$A,0)),0)&gt;=0.25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115" stopIfTrue="1" id="{00000000-000E-0000-3E00-000073000000}">
            <xm:f>IFERROR(INDEX(PMIS_Data!$E:$E,MATCH("62",PMIS_Data!$A:$A,0)),0)&lt;0.25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I8:L8</xm:sqref>
        </x14:conditionalFormatting>
        <x14:conditionalFormatting xmlns:xm="http://schemas.microsoft.com/office/excel/2006/main">
          <x14:cfRule type="expression" priority="131" stopIfTrue="1" id="{00000000-000E-0000-3E00-000083000000}">
            <xm:f>IFERROR(INDEX(PMIS_Data!$E:$E,MATCH("82",PMIS_Data!$A:$A,0)),0)&gt;=0.95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132" stopIfTrue="1" id="{00000000-000E-0000-3E00-000084000000}">
            <xm:f>IFERROR(INDEX(PMIS_Data!$E:$E,MATCH("82",PMIS_Data!$A:$A,0)),0)&gt;=0.75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133" stopIfTrue="1" id="{00000000-000E-0000-3E00-000085000000}">
            <xm:f>IFERROR(INDEX(PMIS_Data!$E:$E,MATCH("82",PMIS_Data!$A:$A,0)),0)&gt;=0.5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134" stopIfTrue="1" id="{00000000-000E-0000-3E00-000086000000}">
            <xm:f>IFERROR(INDEX(PMIS_Data!$E:$E,MATCH("82",PMIS_Data!$A:$A,0)),0)&gt;=0.25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135" stopIfTrue="1" id="{00000000-000E-0000-3E00-000087000000}">
            <xm:f>IFERROR(INDEX(PMIS_Data!$E:$E,MATCH("82",PMIS_Data!$A:$A,0)),0)&lt;0.25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I9:L9</xm:sqref>
        </x14:conditionalFormatting>
        <x14:conditionalFormatting xmlns:xm="http://schemas.microsoft.com/office/excel/2006/main">
          <x14:cfRule type="expression" priority="151" stopIfTrue="1" id="{00000000-000E-0000-3E00-000097000000}">
            <xm:f>IFERROR(INDEX(PMIS_Data!$E:$E,MATCH("SPEC",PMIS_Data!$A:$A,0)),0)&gt;=0.95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152" stopIfTrue="1" id="{00000000-000E-0000-3E00-000098000000}">
            <xm:f>IFERROR(INDEX(PMIS_Data!$E:$E,MATCH("SPEC",PMIS_Data!$A:$A,0)),0)&gt;=0.75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153" stopIfTrue="1" id="{00000000-000E-0000-3E00-000099000000}">
            <xm:f>IFERROR(INDEX(PMIS_Data!$E:$E,MATCH("SPEC",PMIS_Data!$A:$A,0)),0)&gt;=0.5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154" stopIfTrue="1" id="{00000000-000E-0000-3E00-00009A000000}">
            <xm:f>IFERROR(INDEX(PMIS_Data!$E:$E,MATCH("SPEC",PMIS_Data!$A:$A,0)),0)&gt;=0.25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155" stopIfTrue="1" id="{00000000-000E-0000-3E00-00009B000000}">
            <xm:f>IFERROR(INDEX(PMIS_Data!$E:$E,MATCH("SPEC",PMIS_Data!$A:$A,0)),0)&lt;0.25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I10:L10</xm:sqref>
        </x14:conditionalFormatting>
        <x14:conditionalFormatting xmlns:xm="http://schemas.microsoft.com/office/excel/2006/main">
          <x14:cfRule type="expression" priority="16" stopIfTrue="1" id="{00000000-000E-0000-3E00-000010000000}">
            <xm:f>IFERROR(INDEX(PMIS_Data!$E:$E,MATCH("04",PMIS_Data!$A:$A,0)),0)&gt;=0.95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17" stopIfTrue="1" id="{00000000-000E-0000-3E00-000011000000}">
            <xm:f>IFERROR(INDEX(PMIS_Data!$E:$E,MATCH("04",PMIS_Data!$A:$A,0)),0)&gt;=0.75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18" stopIfTrue="1" id="{00000000-000E-0000-3E00-000012000000}">
            <xm:f>IFERROR(INDEX(PMIS_Data!$E:$E,MATCH("04",PMIS_Data!$A:$A,0)),0)&gt;=0.5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19" stopIfTrue="1" id="{00000000-000E-0000-3E00-000013000000}">
            <xm:f>IFERROR(INDEX(PMIS_Data!$E:$E,MATCH("04",PMIS_Data!$A:$A,0)),0)&gt;=0.25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20" stopIfTrue="1" id="{00000000-000E-0000-3E00-000014000000}">
            <xm:f>IFERROR(INDEX(PMIS_Data!$E:$E,MATCH("04",PMIS_Data!$A:$A,0)),0)&lt;0.25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M3:P3</xm:sqref>
        </x14:conditionalFormatting>
        <x14:conditionalFormatting xmlns:xm="http://schemas.microsoft.com/office/excel/2006/main">
          <x14:cfRule type="expression" priority="36" stopIfTrue="1" id="{00000000-000E-0000-3E00-000024000000}">
            <xm:f>IFERROR(INDEX(PMIS_Data!$E:$E,MATCH("08",PMIS_Data!$A:$A,0)),0)&gt;=0.95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37" stopIfTrue="1" id="{00000000-000E-0000-3E00-000025000000}">
            <xm:f>IFERROR(INDEX(PMIS_Data!$E:$E,MATCH("08",PMIS_Data!$A:$A,0)),0)&gt;=0.75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38" stopIfTrue="1" id="{00000000-000E-0000-3E00-000026000000}">
            <xm:f>IFERROR(INDEX(PMIS_Data!$E:$E,MATCH("08",PMIS_Data!$A:$A,0)),0)&gt;=0.5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39" stopIfTrue="1" id="{00000000-000E-0000-3E00-000027000000}">
            <xm:f>IFERROR(INDEX(PMIS_Data!$E:$E,MATCH("08",PMIS_Data!$A:$A,0)),0)&gt;=0.25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40" stopIfTrue="1" id="{00000000-000E-0000-3E00-000028000000}">
            <xm:f>IFERROR(INDEX(PMIS_Data!$E:$E,MATCH("08",PMIS_Data!$A:$A,0)),0)&lt;0.25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M4:P4</xm:sqref>
        </x14:conditionalFormatting>
        <x14:conditionalFormatting xmlns:xm="http://schemas.microsoft.com/office/excel/2006/main">
          <x14:cfRule type="expression" priority="56" stopIfTrue="1" id="{00000000-000E-0000-3E00-000038000000}">
            <xm:f>IFERROR(INDEX(PMIS_Data!$E:$E,MATCH("13",PMIS_Data!$A:$A,0)),0)&gt;=0.95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57" stopIfTrue="1" id="{00000000-000E-0000-3E00-000039000000}">
            <xm:f>IFERROR(INDEX(PMIS_Data!$E:$E,MATCH("13",PMIS_Data!$A:$A,0)),0)&gt;=0.75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58" stopIfTrue="1" id="{00000000-000E-0000-3E00-00003A000000}">
            <xm:f>IFERROR(INDEX(PMIS_Data!$E:$E,MATCH("13",PMIS_Data!$A:$A,0)),0)&gt;=0.5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59" stopIfTrue="1" id="{00000000-000E-0000-3E00-00003B000000}">
            <xm:f>IFERROR(INDEX(PMIS_Data!$E:$E,MATCH("13",PMIS_Data!$A:$A,0)),0)&gt;=0.25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60" stopIfTrue="1" id="{00000000-000E-0000-3E00-00003C000000}">
            <xm:f>IFERROR(INDEX(PMIS_Data!$E:$E,MATCH("13",PMIS_Data!$A:$A,0)),0)&lt;0.25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M5:P5</xm:sqref>
        </x14:conditionalFormatting>
        <x14:conditionalFormatting xmlns:xm="http://schemas.microsoft.com/office/excel/2006/main">
          <x14:cfRule type="expression" priority="76" stopIfTrue="1" id="{00000000-000E-0000-3E00-00004C000000}">
            <xm:f>IFERROR(INDEX(PMIS_Data!$E:$E,MATCH("17",PMIS_Data!$A:$A,0)),0)&gt;=0.95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77" stopIfTrue="1" id="{00000000-000E-0000-3E00-00004D000000}">
            <xm:f>IFERROR(INDEX(PMIS_Data!$E:$E,MATCH("17",PMIS_Data!$A:$A,0)),0)&gt;=0.75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78" stopIfTrue="1" id="{00000000-000E-0000-3E00-00004E000000}">
            <xm:f>IFERROR(INDEX(PMIS_Data!$E:$E,MATCH("17",PMIS_Data!$A:$A,0)),0)&gt;=0.5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79" stopIfTrue="1" id="{00000000-000E-0000-3E00-00004F000000}">
            <xm:f>IFERROR(INDEX(PMIS_Data!$E:$E,MATCH("17",PMIS_Data!$A:$A,0)),0)&gt;=0.25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80" stopIfTrue="1" id="{00000000-000E-0000-3E00-000050000000}">
            <xm:f>IFERROR(INDEX(PMIS_Data!$E:$E,MATCH("17",PMIS_Data!$A:$A,0)),0)&lt;0.25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M6:P6</xm:sqref>
        </x14:conditionalFormatting>
        <x14:conditionalFormatting xmlns:xm="http://schemas.microsoft.com/office/excel/2006/main">
          <x14:cfRule type="expression" priority="96" stopIfTrue="1" id="{00000000-000E-0000-3E00-000060000000}">
            <xm:f>IFERROR(INDEX(PMIS_Data!$E:$E,MATCH("22",PMIS_Data!$A:$A,0)),0)&gt;=0.95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97" stopIfTrue="1" id="{00000000-000E-0000-3E00-000061000000}">
            <xm:f>IFERROR(INDEX(PMIS_Data!$E:$E,MATCH("22",PMIS_Data!$A:$A,0)),0)&gt;=0.75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98" stopIfTrue="1" id="{00000000-000E-0000-3E00-000062000000}">
            <xm:f>IFERROR(INDEX(PMIS_Data!$E:$E,MATCH("22",PMIS_Data!$A:$A,0)),0)&gt;=0.5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99" stopIfTrue="1" id="{00000000-000E-0000-3E00-000063000000}">
            <xm:f>IFERROR(INDEX(PMIS_Data!$E:$E,MATCH("22",PMIS_Data!$A:$A,0)),0)&gt;=0.25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100" stopIfTrue="1" id="{00000000-000E-0000-3E00-000064000000}">
            <xm:f>IFERROR(INDEX(PMIS_Data!$E:$E,MATCH("22",PMIS_Data!$A:$A,0)),0)&lt;0.25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M7:P7</xm:sqref>
        </x14:conditionalFormatting>
        <x14:conditionalFormatting xmlns:xm="http://schemas.microsoft.com/office/excel/2006/main">
          <x14:cfRule type="expression" priority="116" stopIfTrue="1" id="{00000000-000E-0000-3E00-000074000000}">
            <xm:f>IFERROR(INDEX(PMIS_Data!$E:$E,MATCH("70",PMIS_Data!$A:$A,0)),0)&gt;=0.95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117" stopIfTrue="1" id="{00000000-000E-0000-3E00-000075000000}">
            <xm:f>IFERROR(INDEX(PMIS_Data!$E:$E,MATCH("70",PMIS_Data!$A:$A,0)),0)&gt;=0.75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118" stopIfTrue="1" id="{00000000-000E-0000-3E00-000076000000}">
            <xm:f>IFERROR(INDEX(PMIS_Data!$E:$E,MATCH("70",PMIS_Data!$A:$A,0)),0)&gt;=0.5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119" stopIfTrue="1" id="{00000000-000E-0000-3E00-000077000000}">
            <xm:f>IFERROR(INDEX(PMIS_Data!$E:$E,MATCH("70",PMIS_Data!$A:$A,0)),0)&gt;=0.25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120" stopIfTrue="1" id="{00000000-000E-0000-3E00-000078000000}">
            <xm:f>IFERROR(INDEX(PMIS_Data!$E:$E,MATCH("70",PMIS_Data!$A:$A,0)),0)&lt;0.25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M8:P8</xm:sqref>
        </x14:conditionalFormatting>
        <x14:conditionalFormatting xmlns:xm="http://schemas.microsoft.com/office/excel/2006/main">
          <x14:cfRule type="expression" priority="136" stopIfTrue="1" id="{00000000-000E-0000-3E00-000088000000}">
            <xm:f>IFERROR(INDEX(PMIS_Data!$E:$E,MATCH("BCH",PMIS_Data!$A:$A,0)),0)&gt;=0.95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137" stopIfTrue="1" id="{00000000-000E-0000-3E00-000089000000}">
            <xm:f>IFERROR(INDEX(PMIS_Data!$E:$E,MATCH("BCH",PMIS_Data!$A:$A,0)),0)&gt;=0.75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138" stopIfTrue="1" id="{00000000-000E-0000-3E00-00008A000000}">
            <xm:f>IFERROR(INDEX(PMIS_Data!$E:$E,MATCH("BCH",PMIS_Data!$A:$A,0)),0)&gt;=0.5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139" stopIfTrue="1" id="{00000000-000E-0000-3E00-00008B000000}">
            <xm:f>IFERROR(INDEX(PMIS_Data!$E:$E,MATCH("BCH",PMIS_Data!$A:$A,0)),0)&gt;=0.25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140" stopIfTrue="1" id="{00000000-000E-0000-3E00-00008C000000}">
            <xm:f>IFERROR(INDEX(PMIS_Data!$E:$E,MATCH("BCH",PMIS_Data!$A:$A,0)),0)&lt;0.25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M9:P9</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4E5DE-E994-44ED-85FE-B89E41D01259}">
  <sheetPr>
    <pageSetUpPr fitToPage="1"/>
  </sheetPr>
  <dimension ref="A1:AE107"/>
  <sheetViews>
    <sheetView showGridLines="0" zoomScale="50" zoomScaleNormal="50" workbookViewId="0">
      <selection activeCell="O23" sqref="O23:Q23"/>
    </sheetView>
  </sheetViews>
  <sheetFormatPr defaultColWidth="8.88671875" defaultRowHeight="13.2"/>
  <cols>
    <col min="1" max="1" width="12.33203125" style="196" customWidth="1"/>
    <col min="2" max="2" width="13.5546875" style="196" customWidth="1"/>
    <col min="3" max="3" width="11.33203125" style="196" customWidth="1"/>
    <col min="4" max="4" width="16.5546875" style="196" customWidth="1"/>
    <col min="5" max="5" width="19.109375" style="196" customWidth="1"/>
    <col min="6" max="6" width="9.44140625" style="196" customWidth="1"/>
    <col min="7" max="7" width="13.33203125" style="196" customWidth="1"/>
    <col min="8" max="8" width="15.5546875" style="196" customWidth="1"/>
    <col min="9" max="9" width="15.33203125" style="196" customWidth="1"/>
    <col min="10" max="10" width="11.5546875" style="196" customWidth="1"/>
    <col min="11" max="11" width="17.109375" style="196" customWidth="1"/>
    <col min="12" max="12" width="15.88671875" style="196" customWidth="1"/>
    <col min="13" max="13" width="25.44140625" style="196" customWidth="1"/>
    <col min="14" max="14" width="11.33203125" style="196" customWidth="1"/>
    <col min="15" max="15" width="19.44140625" style="196" customWidth="1"/>
    <col min="16" max="16" width="25" style="196" customWidth="1"/>
    <col min="17" max="17" width="22.6640625" style="196" customWidth="1"/>
    <col min="18" max="18" width="11.6640625" style="196" customWidth="1"/>
    <col min="19" max="19" width="9.44140625" style="196" customWidth="1"/>
    <col min="20" max="20" width="13.33203125" style="196" customWidth="1"/>
    <col min="21" max="22" width="9.44140625" style="196" customWidth="1"/>
    <col min="23" max="23" width="11.109375" style="196" customWidth="1"/>
    <col min="24" max="24" width="9.44140625" style="196" customWidth="1"/>
    <col min="25" max="25" width="8.109375" style="196" customWidth="1"/>
    <col min="26" max="26" width="3.6640625" style="196" customWidth="1"/>
    <col min="27" max="27" width="9.44140625" style="196" customWidth="1"/>
    <col min="28" max="28" width="1.6640625" style="196" customWidth="1"/>
    <col min="29" max="31" width="9.44140625" style="196" customWidth="1"/>
    <col min="32" max="16384" width="8.88671875" style="196"/>
  </cols>
  <sheetData>
    <row r="1" spans="1:31" ht="34.200000000000003" customHeight="1">
      <c r="A1" s="784" t="s">
        <v>5675</v>
      </c>
      <c r="B1" s="785"/>
      <c r="C1" s="785"/>
      <c r="D1" s="785"/>
      <c r="E1" s="786" t="s">
        <v>5676</v>
      </c>
      <c r="F1" s="785"/>
      <c r="G1" s="785"/>
      <c r="H1" s="785"/>
      <c r="I1" s="785"/>
      <c r="J1" s="785"/>
      <c r="K1" s="785"/>
      <c r="L1" s="785"/>
      <c r="M1" s="785"/>
      <c r="N1" s="785"/>
      <c r="O1" s="785"/>
      <c r="P1" s="785"/>
      <c r="Q1" s="785"/>
      <c r="R1" s="785"/>
      <c r="S1" s="785"/>
      <c r="T1" s="785"/>
      <c r="U1" s="785"/>
      <c r="V1" s="785"/>
      <c r="W1" s="785"/>
      <c r="X1" s="244"/>
      <c r="Y1" s="787">
        <f ca="1">TODAY()</f>
        <v>46220</v>
      </c>
      <c r="Z1" s="785"/>
      <c r="AA1" s="785"/>
      <c r="AB1" s="785"/>
      <c r="AC1" s="785"/>
      <c r="AD1" s="785"/>
      <c r="AE1" s="785"/>
    </row>
    <row r="2" spans="1:31" ht="27" customHeight="1">
      <c r="A2" s="785"/>
      <c r="B2" s="785"/>
      <c r="C2" s="785"/>
      <c r="D2" s="785"/>
      <c r="E2" s="788" t="s">
        <v>5677</v>
      </c>
      <c r="F2" s="785"/>
      <c r="G2" s="785"/>
      <c r="H2" s="785"/>
      <c r="I2" s="785"/>
      <c r="J2" s="785"/>
      <c r="K2" s="785"/>
      <c r="L2" s="785"/>
      <c r="M2" s="785"/>
      <c r="N2" s="785"/>
      <c r="O2" s="785"/>
      <c r="P2" s="785"/>
      <c r="Q2" s="785"/>
      <c r="R2" s="785"/>
      <c r="S2" s="785"/>
      <c r="T2" s="785"/>
      <c r="U2" s="785"/>
      <c r="V2" s="785"/>
      <c r="W2" s="785"/>
      <c r="X2" s="244"/>
      <c r="Y2" s="789" t="str">
        <f ca="1">TEXT(TODAY(),"dddd")</f>
        <v>Friday</v>
      </c>
      <c r="Z2" s="785"/>
      <c r="AA2" s="785"/>
      <c r="AB2" s="785"/>
      <c r="AC2" s="785"/>
      <c r="AD2" s="785"/>
      <c r="AE2" s="785"/>
    </row>
    <row r="3" spans="1:31" ht="22.2" customHeight="1">
      <c r="A3" s="785"/>
      <c r="B3" s="785"/>
      <c r="C3" s="785"/>
      <c r="D3" s="785"/>
      <c r="E3" s="790" t="s">
        <v>5678</v>
      </c>
      <c r="F3" s="785"/>
      <c r="G3" s="785"/>
      <c r="H3" s="785"/>
      <c r="I3" s="785"/>
      <c r="J3" s="785"/>
      <c r="K3" s="785"/>
      <c r="L3" s="785"/>
      <c r="M3" s="785"/>
      <c r="N3" s="785"/>
      <c r="O3" s="785"/>
      <c r="P3" s="785"/>
      <c r="Q3" s="785"/>
      <c r="R3" s="785"/>
      <c r="S3" s="785"/>
      <c r="T3" s="785"/>
      <c r="U3" s="785"/>
      <c r="V3" s="785"/>
      <c r="W3" s="785"/>
      <c r="X3" s="244"/>
      <c r="Y3" s="244"/>
      <c r="Z3" s="244"/>
      <c r="AA3" s="244"/>
      <c r="AB3" s="244"/>
      <c r="AC3" s="244"/>
      <c r="AD3" s="244"/>
      <c r="AE3" s="244"/>
    </row>
    <row r="4" spans="1:31" ht="22.2" customHeight="1">
      <c r="A4" s="245"/>
      <c r="B4" s="245"/>
      <c r="C4" s="245"/>
      <c r="D4" s="245"/>
      <c r="E4" s="245"/>
      <c r="F4" s="245"/>
      <c r="G4" s="245"/>
      <c r="H4" s="245"/>
      <c r="I4" s="245"/>
      <c r="J4" s="245"/>
      <c r="K4" s="245"/>
      <c r="L4" s="245"/>
      <c r="M4" s="245"/>
      <c r="N4" s="245"/>
      <c r="O4" s="245"/>
      <c r="P4" s="245"/>
      <c r="Q4" s="245"/>
      <c r="R4" s="245"/>
      <c r="S4" s="245"/>
      <c r="T4" s="245"/>
      <c r="U4" s="245"/>
      <c r="V4" s="245"/>
      <c r="W4" s="245"/>
      <c r="X4" s="245"/>
      <c r="Y4" s="245"/>
      <c r="Z4" s="245"/>
      <c r="AA4" s="245"/>
      <c r="AB4" s="245"/>
      <c r="AC4" s="245"/>
      <c r="AD4" s="245"/>
      <c r="AE4" s="245"/>
    </row>
    <row r="5" spans="1:31" ht="25.2" customHeight="1">
      <c r="A5" s="783" t="s">
        <v>5679</v>
      </c>
      <c r="B5" s="713"/>
      <c r="C5" s="713"/>
      <c r="D5" s="713"/>
      <c r="E5" s="713"/>
      <c r="F5" s="783" t="s">
        <v>131</v>
      </c>
      <c r="G5" s="713"/>
      <c r="H5" s="713"/>
      <c r="I5" s="713"/>
      <c r="J5" s="713"/>
      <c r="K5" s="783" t="s">
        <v>329</v>
      </c>
      <c r="L5" s="713"/>
      <c r="M5" s="713"/>
      <c r="N5" s="713"/>
      <c r="O5" s="713"/>
      <c r="P5" s="783" t="s">
        <v>133</v>
      </c>
      <c r="Q5" s="713"/>
      <c r="R5" s="713"/>
      <c r="S5" s="713"/>
      <c r="T5" s="713"/>
      <c r="U5" s="783" t="s">
        <v>132</v>
      </c>
      <c r="V5" s="713"/>
      <c r="W5" s="713"/>
      <c r="X5" s="713"/>
      <c r="Y5" s="713"/>
      <c r="Z5" s="713"/>
      <c r="AA5" s="783" t="s">
        <v>160</v>
      </c>
      <c r="AB5" s="713"/>
      <c r="AC5" s="713"/>
      <c r="AD5" s="713"/>
      <c r="AE5" s="713"/>
    </row>
    <row r="6" spans="1:31" ht="22.2" customHeight="1">
      <c r="A6" s="244"/>
      <c r="B6" s="244"/>
      <c r="C6" s="244"/>
      <c r="D6" s="244"/>
      <c r="E6" s="244"/>
      <c r="F6" s="244"/>
      <c r="G6" s="244"/>
      <c r="H6" s="244"/>
      <c r="I6" s="244"/>
      <c r="J6" s="244"/>
      <c r="K6" s="244"/>
      <c r="L6" s="244"/>
      <c r="M6" s="244"/>
      <c r="N6" s="244"/>
      <c r="O6" s="244"/>
      <c r="P6" s="244"/>
      <c r="Q6" s="244"/>
      <c r="R6" s="244"/>
      <c r="S6" s="244"/>
      <c r="T6" s="244"/>
      <c r="U6" s="244"/>
      <c r="V6" s="244"/>
      <c r="W6" s="244"/>
      <c r="X6" s="244"/>
      <c r="Y6" s="244"/>
      <c r="Z6" s="244"/>
      <c r="AA6" s="244"/>
      <c r="AB6" s="244"/>
      <c r="AC6" s="244"/>
      <c r="AD6" s="244"/>
      <c r="AE6" s="244"/>
    </row>
    <row r="7" spans="1:31" ht="22.2" customHeight="1">
      <c r="A7" s="244"/>
      <c r="B7" s="753">
        <f>Command_Center!B14</f>
        <v>0.5066666666666666</v>
      </c>
      <c r="C7" s="753"/>
      <c r="D7" s="753"/>
      <c r="E7" s="244"/>
      <c r="F7" s="244"/>
      <c r="G7" s="792">
        <f>Command_Center!D14</f>
        <v>30</v>
      </c>
      <c r="H7" s="713"/>
      <c r="I7" s="713"/>
      <c r="J7" s="244"/>
      <c r="K7" s="244"/>
      <c r="L7" s="793">
        <f>MAX(0,Command_Center!D14-Command_Center!N14)</f>
        <v>1</v>
      </c>
      <c r="M7" s="713"/>
      <c r="N7" s="713"/>
      <c r="O7" s="244"/>
      <c r="P7" s="244"/>
      <c r="Q7" s="794">
        <f>Command_Center!H14</f>
        <v>0</v>
      </c>
      <c r="R7" s="713"/>
      <c r="S7" s="713"/>
      <c r="T7" s="244"/>
      <c r="U7" s="244"/>
      <c r="V7" s="795">
        <f>Command_Center!F14</f>
        <v>0</v>
      </c>
      <c r="W7" s="713"/>
      <c r="X7" s="713"/>
      <c r="Y7" s="713"/>
      <c r="Z7" s="244"/>
      <c r="AA7" s="244"/>
      <c r="AB7" s="796">
        <f>Command_Center!L14</f>
        <v>0</v>
      </c>
      <c r="AC7" s="713"/>
      <c r="AD7" s="713"/>
      <c r="AE7" s="244"/>
    </row>
    <row r="8" spans="1:31" ht="22.2" customHeight="1">
      <c r="A8" s="244"/>
      <c r="B8" s="753"/>
      <c r="C8" s="753"/>
      <c r="D8" s="753"/>
      <c r="E8" s="244"/>
      <c r="F8" s="244"/>
      <c r="G8" s="713"/>
      <c r="H8" s="713"/>
      <c r="I8" s="713"/>
      <c r="J8" s="244"/>
      <c r="K8" s="244"/>
      <c r="L8" s="713"/>
      <c r="M8" s="713"/>
      <c r="N8" s="713"/>
      <c r="O8" s="244"/>
      <c r="P8" s="244"/>
      <c r="Q8" s="713"/>
      <c r="R8" s="713"/>
      <c r="S8" s="713"/>
      <c r="T8" s="244"/>
      <c r="U8" s="244"/>
      <c r="V8" s="713"/>
      <c r="W8" s="713"/>
      <c r="X8" s="713"/>
      <c r="Y8" s="713"/>
      <c r="Z8" s="244"/>
      <c r="AA8" s="244"/>
      <c r="AB8" s="713"/>
      <c r="AC8" s="713"/>
      <c r="AD8" s="713"/>
      <c r="AE8" s="244"/>
    </row>
    <row r="9" spans="1:31" ht="22.2" customHeight="1">
      <c r="A9" s="244"/>
      <c r="B9" s="753"/>
      <c r="C9" s="753"/>
      <c r="D9" s="753"/>
      <c r="E9" s="244"/>
      <c r="F9" s="244"/>
      <c r="G9" s="713"/>
      <c r="H9" s="713"/>
      <c r="I9" s="713"/>
      <c r="J9" s="244"/>
      <c r="K9" s="244"/>
      <c r="L9" s="713"/>
      <c r="M9" s="713"/>
      <c r="N9" s="713"/>
      <c r="O9" s="244"/>
      <c r="P9" s="244"/>
      <c r="Q9" s="713"/>
      <c r="R9" s="713"/>
      <c r="S9" s="713"/>
      <c r="T9" s="244"/>
      <c r="U9" s="244"/>
      <c r="V9" s="713"/>
      <c r="W9" s="713"/>
      <c r="X9" s="713"/>
      <c r="Y9" s="713"/>
      <c r="Z9" s="244"/>
      <c r="AA9" s="244"/>
      <c r="AB9" s="713"/>
      <c r="AC9" s="713"/>
      <c r="AD9" s="713"/>
      <c r="AE9" s="244"/>
    </row>
    <row r="10" spans="1:31" ht="22.2" customHeight="1">
      <c r="A10" s="244"/>
      <c r="B10" s="791" t="s">
        <v>5680</v>
      </c>
      <c r="C10" s="713"/>
      <c r="D10" s="713"/>
      <c r="E10" s="244"/>
      <c r="F10" s="244"/>
      <c r="G10" s="791" t="s">
        <v>5681</v>
      </c>
      <c r="H10" s="713"/>
      <c r="I10" s="713"/>
      <c r="J10" s="244"/>
      <c r="K10" s="244"/>
      <c r="L10" s="791" t="str">
        <f>Command_Center!N14&amp;" Not Ready"</f>
        <v>29 Not Ready</v>
      </c>
      <c r="M10" s="713"/>
      <c r="N10" s="713"/>
      <c r="O10" s="244"/>
      <c r="P10" s="244"/>
      <c r="Q10" s="791" t="s">
        <v>5682</v>
      </c>
      <c r="R10" s="713"/>
      <c r="S10" s="713"/>
      <c r="T10" s="244"/>
      <c r="U10" s="244"/>
      <c r="V10" s="791" t="s">
        <v>5682</v>
      </c>
      <c r="W10" s="713"/>
      <c r="X10" s="713"/>
      <c r="Y10" s="713"/>
      <c r="Z10" s="244"/>
      <c r="AA10" s="244"/>
      <c r="AB10" s="791" t="s">
        <v>5344</v>
      </c>
      <c r="AC10" s="713"/>
      <c r="AD10" s="713"/>
      <c r="AE10" s="244"/>
    </row>
    <row r="11" spans="1:31" ht="22.2" customHeight="1">
      <c r="A11" s="244"/>
      <c r="B11" s="244"/>
      <c r="C11" s="244"/>
      <c r="D11" s="244"/>
      <c r="E11" s="244"/>
      <c r="F11" s="244"/>
      <c r="G11" s="244"/>
      <c r="H11" s="244"/>
      <c r="I11" s="244"/>
      <c r="J11" s="244"/>
      <c r="K11" s="244"/>
      <c r="L11" s="244"/>
      <c r="M11" s="244"/>
      <c r="N11" s="244"/>
      <c r="O11" s="244"/>
      <c r="P11" s="244"/>
      <c r="Q11" s="244"/>
      <c r="R11" s="244"/>
      <c r="S11" s="244"/>
      <c r="T11" s="244"/>
      <c r="U11" s="244"/>
      <c r="V11" s="244"/>
      <c r="W11" s="244"/>
      <c r="X11" s="244"/>
      <c r="Y11" s="244"/>
      <c r="Z11" s="244"/>
      <c r="AA11" s="244"/>
      <c r="AB11" s="244"/>
      <c r="AC11" s="244"/>
      <c r="AD11" s="244"/>
      <c r="AE11" s="244"/>
    </row>
    <row r="12" spans="1:31" ht="22.2" customHeight="1">
      <c r="A12" s="244"/>
      <c r="B12" s="244"/>
      <c r="C12" s="244"/>
      <c r="D12" s="244"/>
      <c r="E12" s="244"/>
      <c r="F12" s="244"/>
      <c r="G12" s="244"/>
      <c r="H12" s="244"/>
      <c r="I12" s="244"/>
      <c r="J12" s="244"/>
      <c r="K12" s="244"/>
      <c r="L12" s="244"/>
      <c r="M12" s="244"/>
      <c r="N12" s="244"/>
      <c r="O12" s="244"/>
      <c r="P12" s="244"/>
      <c r="Q12" s="244"/>
      <c r="R12" s="244"/>
      <c r="S12" s="244"/>
      <c r="T12" s="244"/>
      <c r="U12" s="244"/>
      <c r="V12" s="244"/>
      <c r="W12" s="244"/>
      <c r="X12" s="244"/>
      <c r="Y12" s="244"/>
      <c r="Z12" s="244"/>
      <c r="AA12" s="244"/>
      <c r="AB12" s="244"/>
      <c r="AC12" s="244"/>
      <c r="AD12" s="244"/>
      <c r="AE12" s="244"/>
    </row>
    <row r="13" spans="1:31" ht="22.2" customHeight="1">
      <c r="A13" s="245"/>
      <c r="B13" s="245"/>
      <c r="C13" s="245"/>
      <c r="D13" s="245"/>
      <c r="E13" s="245"/>
      <c r="F13" s="245"/>
      <c r="G13" s="245"/>
      <c r="H13" s="245"/>
      <c r="I13" s="245"/>
      <c r="J13" s="245"/>
      <c r="K13" s="245"/>
      <c r="L13" s="245"/>
      <c r="M13" s="245"/>
      <c r="N13" s="245"/>
      <c r="O13" s="245"/>
      <c r="P13" s="245"/>
      <c r="Q13" s="245"/>
      <c r="R13" s="245"/>
      <c r="S13" s="245"/>
      <c r="T13" s="245"/>
      <c r="U13" s="245"/>
      <c r="V13" s="245"/>
      <c r="W13" s="245"/>
      <c r="X13" s="245"/>
      <c r="Y13" s="245"/>
      <c r="Z13" s="245"/>
      <c r="AA13" s="245"/>
      <c r="AB13" s="245"/>
      <c r="AC13" s="245"/>
      <c r="AD13" s="245"/>
      <c r="AE13" s="245"/>
    </row>
    <row r="14" spans="1:31" ht="22.2" customHeight="1">
      <c r="A14" s="758" t="s">
        <v>5683</v>
      </c>
      <c r="B14" s="758"/>
      <c r="C14" s="758"/>
      <c r="D14" s="758"/>
      <c r="E14" s="758"/>
      <c r="F14" s="758"/>
      <c r="G14" s="758"/>
      <c r="H14" s="758"/>
      <c r="I14" s="758"/>
      <c r="J14" s="758" t="str">
        <f>"TRADE READINESS – BUILDING "&amp;TEXT(Command_Center!C17,"00")</f>
        <v>TRADE READINESS – BUILDING 61</v>
      </c>
      <c r="K14" s="758"/>
      <c r="L14" s="758"/>
      <c r="M14" s="758"/>
      <c r="N14" s="758"/>
      <c r="O14" s="758"/>
      <c r="P14" s="758"/>
      <c r="Q14" s="758"/>
      <c r="R14" s="758"/>
      <c r="S14" s="758"/>
      <c r="T14" s="758" t="str">
        <f>"MISSION INTELLIGENCE – BUILDING "&amp;TEXT(Command_Center!C17,"00")</f>
        <v>MISSION INTELLIGENCE – BUILDING 61</v>
      </c>
      <c r="U14" s="758"/>
      <c r="V14" s="758"/>
      <c r="W14" s="758"/>
      <c r="X14" s="758"/>
      <c r="Y14" s="758"/>
      <c r="Z14" s="758"/>
      <c r="AA14" s="758"/>
      <c r="AB14" s="758"/>
      <c r="AC14" s="758"/>
      <c r="AD14" s="758"/>
      <c r="AE14" s="758"/>
    </row>
    <row r="15" spans="1:31" ht="22.2" customHeight="1">
      <c r="A15" s="800" t="s">
        <v>5684</v>
      </c>
      <c r="B15" s="713"/>
      <c r="C15" s="713"/>
      <c r="D15" s="713"/>
      <c r="E15" s="759" t="str">
        <f>'COMMAND CENTERS'!C17</f>
        <v>61</v>
      </c>
      <c r="F15" s="760"/>
      <c r="G15" s="760"/>
      <c r="H15" s="760"/>
      <c r="I15" s="761"/>
      <c r="J15" s="246" t="s">
        <v>5685</v>
      </c>
      <c r="K15" s="244"/>
      <c r="L15" s="244"/>
      <c r="M15" s="244"/>
      <c r="N15" s="244"/>
      <c r="P15" s="246" t="s">
        <v>5686</v>
      </c>
      <c r="Q15" s="244"/>
      <c r="R15" s="246" t="s">
        <v>5687</v>
      </c>
      <c r="S15" s="244"/>
      <c r="T15" s="244"/>
      <c r="U15" s="244"/>
      <c r="V15" s="244"/>
      <c r="W15" s="244"/>
      <c r="X15" s="244"/>
      <c r="Y15" s="244"/>
      <c r="Z15" s="244"/>
      <c r="AA15" s="244"/>
      <c r="AB15" s="244"/>
      <c r="AC15" s="244"/>
      <c r="AD15" s="244"/>
      <c r="AE15" s="244"/>
    </row>
    <row r="16" spans="1:31" ht="22.2" customHeight="1">
      <c r="A16" s="713"/>
      <c r="B16" s="713"/>
      <c r="C16" s="713"/>
      <c r="D16" s="713"/>
      <c r="E16" s="762"/>
      <c r="F16" s="763"/>
      <c r="G16" s="763"/>
      <c r="H16" s="763"/>
      <c r="I16" s="764"/>
      <c r="J16" s="244"/>
      <c r="K16" s="244"/>
      <c r="L16" s="244"/>
      <c r="M16" s="244"/>
      <c r="N16" s="244"/>
      <c r="O16" s="244"/>
      <c r="P16" s="244"/>
      <c r="Q16" s="244"/>
      <c r="R16" s="244"/>
      <c r="S16" s="244"/>
      <c r="T16" s="773" t="s">
        <v>199</v>
      </c>
      <c r="U16" s="713"/>
      <c r="V16" s="713"/>
      <c r="W16" s="713"/>
      <c r="X16" s="713"/>
      <c r="Y16" s="713"/>
      <c r="Z16" s="713"/>
      <c r="AA16" s="779">
        <f>Command_Center!H32</f>
        <v>0</v>
      </c>
      <c r="AB16" s="713"/>
      <c r="AC16" s="713"/>
      <c r="AD16" s="713"/>
      <c r="AE16" s="713"/>
    </row>
    <row r="17" spans="1:31" ht="22.2" customHeight="1">
      <c r="A17" s="713"/>
      <c r="B17" s="713"/>
      <c r="C17" s="713"/>
      <c r="D17" s="713"/>
      <c r="E17" s="762"/>
      <c r="F17" s="763"/>
      <c r="G17" s="763"/>
      <c r="H17" s="763"/>
      <c r="I17" s="764"/>
      <c r="J17" s="777" t="s">
        <v>146</v>
      </c>
      <c r="K17" s="713"/>
      <c r="L17" s="713"/>
      <c r="M17" s="713"/>
      <c r="N17" s="713"/>
      <c r="O17" s="778" t="str">
        <f>IF(ISNUMBER(SEARCH("Pass",Command_Center!L18)),"✓ PASS",IF(ISNUMBER(SEARCH("Review",Command_Center!L18)),"⚠ REVIEW",Command_Center!L18))</f>
        <v>FIRE
Not Started</v>
      </c>
      <c r="P17" s="713"/>
      <c r="Q17" s="713"/>
      <c r="R17" s="247" t="s">
        <v>5688</v>
      </c>
      <c r="S17" s="244"/>
      <c r="T17" s="244"/>
      <c r="U17" s="244"/>
      <c r="V17" s="244"/>
      <c r="W17" s="244"/>
      <c r="X17" s="244"/>
      <c r="Y17" s="244"/>
      <c r="Z17" s="244"/>
      <c r="AA17" s="244"/>
      <c r="AB17" s="244"/>
      <c r="AC17" s="244"/>
      <c r="AD17" s="244"/>
      <c r="AE17" s="244"/>
    </row>
    <row r="18" spans="1:31" ht="22.2" customHeight="1">
      <c r="A18" s="713"/>
      <c r="B18" s="713"/>
      <c r="C18" s="713"/>
      <c r="D18" s="713"/>
      <c r="E18" s="762"/>
      <c r="F18" s="763"/>
      <c r="G18" s="763"/>
      <c r="H18" s="763"/>
      <c r="I18" s="764"/>
      <c r="J18" s="244"/>
      <c r="K18" s="244"/>
      <c r="L18" s="244"/>
      <c r="M18" s="244"/>
      <c r="N18" s="244"/>
      <c r="O18" s="244"/>
      <c r="P18" s="244"/>
      <c r="Q18" s="244"/>
      <c r="R18" s="244"/>
      <c r="S18" s="244"/>
      <c r="T18" s="773" t="s">
        <v>161</v>
      </c>
      <c r="U18" s="713"/>
      <c r="V18" s="713"/>
      <c r="W18" s="713"/>
      <c r="X18" s="713"/>
      <c r="Y18" s="713"/>
      <c r="Z18" s="713"/>
      <c r="AA18" s="798">
        <f>Command_Center!D32</f>
        <v>0</v>
      </c>
      <c r="AB18" s="713"/>
      <c r="AC18" s="713"/>
      <c r="AD18" s="713"/>
      <c r="AE18" s="713"/>
    </row>
    <row r="19" spans="1:31" ht="22.2" customHeight="1">
      <c r="A19" s="713"/>
      <c r="B19" s="713"/>
      <c r="C19" s="713"/>
      <c r="D19" s="713"/>
      <c r="E19" s="762"/>
      <c r="F19" s="763"/>
      <c r="G19" s="763"/>
      <c r="H19" s="763"/>
      <c r="I19" s="764"/>
      <c r="J19" s="777" t="s">
        <v>148</v>
      </c>
      <c r="K19" s="713"/>
      <c r="L19" s="713"/>
      <c r="M19" s="713"/>
      <c r="N19" s="713"/>
      <c r="O19" s="778" t="str">
        <f>IF(ISNUMBER(SEARCH("Pass",Command_Center!J21)),"✓ PASS",IF(ISNUMBER(SEARCH("Review",Command_Center!J21)),"⚠ REVIEW",Command_Center!J21))</f>
        <v>HVAC
Not Started</v>
      </c>
      <c r="P19" s="713"/>
      <c r="Q19" s="713"/>
      <c r="R19" s="247" t="s">
        <v>5688</v>
      </c>
      <c r="S19" s="244"/>
      <c r="T19" s="244"/>
      <c r="U19" s="244"/>
      <c r="V19" s="244"/>
      <c r="W19" s="244"/>
      <c r="X19" s="244"/>
      <c r="Y19" s="244"/>
      <c r="Z19" s="244"/>
      <c r="AA19" s="244"/>
      <c r="AB19" s="244"/>
      <c r="AC19" s="244"/>
      <c r="AD19" s="244"/>
      <c r="AE19" s="244"/>
    </row>
    <row r="20" spans="1:31" ht="22.2" customHeight="1">
      <c r="A20" s="713"/>
      <c r="B20" s="713"/>
      <c r="C20" s="713"/>
      <c r="D20" s="713"/>
      <c r="E20" s="765"/>
      <c r="F20" s="766"/>
      <c r="G20" s="766"/>
      <c r="H20" s="766"/>
      <c r="I20" s="767"/>
      <c r="J20" s="244"/>
      <c r="K20" s="244"/>
      <c r="L20" s="244"/>
      <c r="M20" s="244"/>
      <c r="N20" s="244"/>
      <c r="O20" s="244"/>
      <c r="P20" s="244"/>
      <c r="Q20" s="244"/>
      <c r="R20" s="244"/>
      <c r="S20" s="244"/>
      <c r="T20" s="773" t="s">
        <v>163</v>
      </c>
      <c r="U20" s="713"/>
      <c r="V20" s="713"/>
      <c r="W20" s="713"/>
      <c r="X20" s="713"/>
      <c r="Y20" s="713"/>
      <c r="Z20" s="713"/>
      <c r="AA20" s="799">
        <f>Command_Center!L32</f>
        <v>0</v>
      </c>
      <c r="AB20" s="713"/>
      <c r="AC20" s="713"/>
      <c r="AD20" s="713"/>
      <c r="AE20" s="713"/>
    </row>
    <row r="21" spans="1:31" ht="22.2" customHeight="1">
      <c r="A21" s="713"/>
      <c r="B21" s="713"/>
      <c r="C21" s="713"/>
      <c r="D21" s="713"/>
      <c r="E21" s="801" t="str">
        <f>"READINESS SCORE"&amp;CHAR(10)&amp;TEXT(Command_Center!F19,"0%")</f>
        <v>READINESS SCORE
55%</v>
      </c>
      <c r="F21" s="713"/>
      <c r="G21" s="713"/>
      <c r="H21" s="713"/>
      <c r="I21" s="713"/>
      <c r="J21" s="777" t="s">
        <v>153</v>
      </c>
      <c r="K21" s="713"/>
      <c r="L21" s="713"/>
      <c r="M21" s="713"/>
      <c r="N21" s="713"/>
      <c r="O21" s="778" t="str">
        <f>IF(ISNUMBER(SEARCH("Pass",Command_Center!L21)),"✓ PASS",IF(ISNUMBER(SEARCH("Review",Command_Center!L21)),"⚠ REVIEW",Command_Center!L21))</f>
        <v>ELECTRICAL
Not Started</v>
      </c>
      <c r="P21" s="713"/>
      <c r="Q21" s="713"/>
      <c r="R21" s="247" t="s">
        <v>5688</v>
      </c>
      <c r="S21" s="244"/>
      <c r="T21" s="244"/>
      <c r="U21" s="244"/>
      <c r="V21" s="244"/>
      <c r="W21" s="244"/>
      <c r="X21" s="244"/>
      <c r="Y21" s="244"/>
      <c r="Z21" s="244"/>
      <c r="AA21" s="244"/>
      <c r="AB21" s="244"/>
      <c r="AC21" s="244"/>
      <c r="AD21" s="244"/>
      <c r="AE21" s="244"/>
    </row>
    <row r="22" spans="1:31" ht="22.2" customHeight="1">
      <c r="A22" s="713"/>
      <c r="B22" s="713"/>
      <c r="C22" s="713"/>
      <c r="D22" s="713"/>
      <c r="E22" s="713"/>
      <c r="F22" s="713"/>
      <c r="G22" s="713"/>
      <c r="H22" s="713"/>
      <c r="I22" s="713"/>
      <c r="J22" s="244"/>
      <c r="K22" s="244"/>
      <c r="L22" s="244"/>
      <c r="M22" s="244"/>
      <c r="N22" s="244"/>
      <c r="O22" s="244"/>
      <c r="P22" s="244"/>
      <c r="Q22" s="244"/>
      <c r="R22" s="244"/>
      <c r="S22" s="244"/>
      <c r="T22" s="773" t="s">
        <v>5672</v>
      </c>
      <c r="U22" s="713"/>
      <c r="V22" s="713"/>
      <c r="W22" s="713"/>
      <c r="X22" s="713"/>
      <c r="Y22" s="713"/>
      <c r="Z22" s="713"/>
      <c r="AA22" s="802" t="str">
        <f>Command_Center!N32</f>
        <v>Selected Active</v>
      </c>
      <c r="AB22" s="713"/>
      <c r="AC22" s="713"/>
      <c r="AD22" s="713"/>
      <c r="AE22" s="713"/>
    </row>
    <row r="23" spans="1:31" ht="22.2" customHeight="1">
      <c r="A23" s="713"/>
      <c r="B23" s="713"/>
      <c r="C23" s="713"/>
      <c r="D23" s="713"/>
      <c r="E23" s="713"/>
      <c r="F23" s="713"/>
      <c r="G23" s="713"/>
      <c r="H23" s="713"/>
      <c r="I23" s="713"/>
      <c r="J23" s="777" t="s">
        <v>5689</v>
      </c>
      <c r="K23" s="713"/>
      <c r="L23" s="713"/>
      <c r="M23" s="713"/>
      <c r="N23" s="713"/>
      <c r="O23" s="778" t="str">
        <f>IF(ISNUMBER(SEARCH("Pass",Command_Center!J24)),"✓ PASS",IF(ISNUMBER(SEARCH("Review",Command_Center!J24)),"⚠ REVIEW",Command_Center!J24))</f>
        <v>TELECOM
Not Started</v>
      </c>
      <c r="P23" s="713"/>
      <c r="Q23" s="713"/>
      <c r="R23" s="247" t="s">
        <v>5688</v>
      </c>
      <c r="S23" s="244"/>
      <c r="T23" s="244"/>
      <c r="U23" s="244"/>
      <c r="V23" s="244"/>
      <c r="W23" s="244"/>
      <c r="X23" s="244"/>
      <c r="Y23" s="244"/>
      <c r="Z23" s="244"/>
      <c r="AA23" s="244"/>
      <c r="AB23" s="244"/>
      <c r="AC23" s="244"/>
      <c r="AD23" s="244"/>
      <c r="AE23" s="244"/>
    </row>
    <row r="24" spans="1:31" ht="22.2" customHeight="1">
      <c r="A24" s="713"/>
      <c r="B24" s="713"/>
      <c r="C24" s="713"/>
      <c r="D24" s="713"/>
      <c r="E24" s="713"/>
      <c r="F24" s="713"/>
      <c r="G24" s="713"/>
      <c r="H24" s="713"/>
      <c r="I24" s="713"/>
      <c r="J24" s="244"/>
      <c r="K24" s="244"/>
      <c r="L24" s="244"/>
      <c r="M24" s="244"/>
      <c r="N24" s="244"/>
      <c r="O24" s="244"/>
      <c r="P24" s="244"/>
      <c r="Q24" s="244"/>
      <c r="R24" s="244"/>
      <c r="S24" s="244"/>
      <c r="T24" s="773" t="s">
        <v>5690</v>
      </c>
      <c r="U24" s="713"/>
      <c r="V24" s="713"/>
      <c r="W24" s="713"/>
      <c r="X24" s="713"/>
      <c r="Y24" s="713"/>
      <c r="Z24" s="713"/>
      <c r="AA24" s="779">
        <f>Command_Center!H14</f>
        <v>0</v>
      </c>
      <c r="AB24" s="713"/>
      <c r="AC24" s="713"/>
      <c r="AD24" s="713"/>
      <c r="AE24" s="713"/>
    </row>
    <row r="25" spans="1:31" ht="22.2" customHeight="1">
      <c r="A25" s="713"/>
      <c r="B25" s="713"/>
      <c r="C25" s="713"/>
      <c r="D25" s="713"/>
      <c r="E25" s="713"/>
      <c r="F25" s="713"/>
      <c r="G25" s="713"/>
      <c r="H25" s="713"/>
      <c r="I25" s="713"/>
      <c r="J25" s="777" t="s">
        <v>556</v>
      </c>
      <c r="K25" s="713"/>
      <c r="L25" s="713"/>
      <c r="M25" s="713"/>
      <c r="N25" s="713"/>
      <c r="O25" s="778" t="str">
        <f>IF(ISNUMBER(SEARCH("Pass",Command_Center!L24)),"✓ PASS",IF(ISNUMBER(SEARCH("Review",Command_Center!L24)),"⚠ REVIEW",Command_Center!L24))</f>
        <v>SECURITY
Not Started</v>
      </c>
      <c r="P25" s="713"/>
      <c r="Q25" s="713"/>
      <c r="R25" s="247" t="s">
        <v>5688</v>
      </c>
      <c r="S25" s="244"/>
      <c r="T25" s="244"/>
      <c r="U25" s="244"/>
      <c r="V25" s="244"/>
      <c r="W25" s="244"/>
      <c r="X25" s="244"/>
      <c r="Y25" s="244"/>
      <c r="Z25" s="244"/>
      <c r="AA25" s="244"/>
      <c r="AB25" s="244"/>
      <c r="AC25" s="244"/>
      <c r="AD25" s="244"/>
      <c r="AE25" s="244"/>
    </row>
    <row r="26" spans="1:31" ht="22.2" customHeight="1">
      <c r="A26" s="713"/>
      <c r="B26" s="713"/>
      <c r="C26" s="713"/>
      <c r="D26" s="713"/>
      <c r="E26" s="713"/>
      <c r="F26" s="713"/>
      <c r="G26" s="713"/>
      <c r="H26" s="713"/>
      <c r="I26" s="713"/>
      <c r="J26" s="244"/>
      <c r="K26" s="244"/>
      <c r="L26" s="244"/>
      <c r="M26" s="244"/>
      <c r="N26" s="244"/>
      <c r="O26" s="244"/>
      <c r="P26" s="244"/>
      <c r="Q26" s="244"/>
      <c r="R26" s="244"/>
      <c r="S26" s="244"/>
      <c r="T26" s="773" t="s">
        <v>5691</v>
      </c>
      <c r="U26" s="713"/>
      <c r="V26" s="713"/>
      <c r="W26" s="713"/>
      <c r="X26" s="713"/>
      <c r="Y26" s="713"/>
      <c r="Z26" s="713"/>
      <c r="AA26" s="798">
        <f>Command_Center!F14</f>
        <v>0</v>
      </c>
      <c r="AB26" s="713"/>
      <c r="AC26" s="713"/>
      <c r="AD26" s="713"/>
      <c r="AE26" s="713"/>
    </row>
    <row r="27" spans="1:31" ht="3.6" customHeight="1">
      <c r="A27" s="244"/>
      <c r="B27" s="244"/>
      <c r="C27" s="244"/>
      <c r="D27" s="244"/>
      <c r="E27" s="244"/>
      <c r="F27" s="244"/>
      <c r="G27" s="244"/>
      <c r="H27" s="244"/>
      <c r="I27" s="244"/>
      <c r="J27" s="244"/>
      <c r="K27" s="244"/>
      <c r="L27" s="244"/>
      <c r="M27" s="244"/>
      <c r="N27" s="244"/>
      <c r="O27" s="244"/>
      <c r="P27" s="244"/>
      <c r="Q27" s="244"/>
      <c r="R27" s="244"/>
      <c r="S27" s="244"/>
      <c r="T27" s="244"/>
      <c r="U27" s="244"/>
      <c r="V27" s="244"/>
      <c r="W27" s="244"/>
      <c r="X27" s="244"/>
      <c r="Y27" s="244"/>
      <c r="Z27" s="244"/>
      <c r="AA27" s="244"/>
      <c r="AB27" s="244"/>
      <c r="AC27" s="244"/>
      <c r="AD27" s="244"/>
      <c r="AE27" s="244"/>
    </row>
    <row r="28" spans="1:31" ht="21.6" hidden="1" customHeight="1">
      <c r="A28" s="774" t="str">
        <f>"Assessment Sheet: "&amp;Command_Center!C20</f>
        <v>Assessment Sheet: B61_Assessment</v>
      </c>
      <c r="B28" s="775"/>
      <c r="C28" s="775"/>
      <c r="D28" s="775"/>
      <c r="E28" s="775"/>
      <c r="F28" s="775"/>
      <c r="G28" s="775"/>
      <c r="H28" s="775"/>
      <c r="I28" s="775"/>
      <c r="J28" s="776"/>
      <c r="K28" s="713"/>
      <c r="L28" s="713"/>
      <c r="M28" s="713"/>
      <c r="N28" s="713"/>
      <c r="O28" s="713"/>
      <c r="P28" s="713"/>
      <c r="Q28" s="713"/>
      <c r="R28" s="713"/>
      <c r="S28" s="713"/>
      <c r="T28" s="776"/>
      <c r="U28" s="713"/>
      <c r="V28" s="713"/>
      <c r="W28" s="713"/>
      <c r="X28" s="713"/>
      <c r="Y28" s="713"/>
      <c r="Z28" s="713"/>
      <c r="AA28" s="713"/>
      <c r="AB28" s="713"/>
      <c r="AC28" s="713"/>
      <c r="AD28" s="713"/>
      <c r="AE28" s="713"/>
    </row>
    <row r="29" spans="1:31" ht="21.75" hidden="1" customHeight="1">
      <c r="A29" s="774" t="str">
        <f>"Selected Status: "&amp;Command_Center!C22</f>
        <v>Selected Status: PILOT PHASE</v>
      </c>
      <c r="B29" s="775"/>
      <c r="C29" s="775"/>
      <c r="D29" s="775"/>
      <c r="E29" s="775"/>
      <c r="F29" s="775"/>
      <c r="G29" s="775"/>
      <c r="H29" s="775"/>
      <c r="I29" s="775"/>
      <c r="J29" s="713"/>
      <c r="K29" s="713"/>
      <c r="L29" s="713"/>
      <c r="M29" s="713"/>
      <c r="N29" s="713"/>
      <c r="O29" s="713"/>
      <c r="P29" s="713"/>
      <c r="Q29" s="713"/>
      <c r="R29" s="713"/>
      <c r="S29" s="713"/>
      <c r="T29" s="713"/>
      <c r="U29" s="713"/>
      <c r="V29" s="713"/>
      <c r="W29" s="713"/>
      <c r="X29" s="713"/>
      <c r="Y29" s="713"/>
      <c r="Z29" s="713"/>
      <c r="AA29" s="713"/>
      <c r="AB29" s="713"/>
      <c r="AC29" s="713"/>
      <c r="AD29" s="713"/>
      <c r="AE29" s="713"/>
    </row>
    <row r="30" spans="1:31" ht="7.2" customHeight="1">
      <c r="A30" s="244"/>
      <c r="B30" s="244"/>
      <c r="C30" s="244"/>
      <c r="D30" s="244"/>
      <c r="E30" s="244"/>
      <c r="F30" s="244"/>
      <c r="G30" s="244"/>
      <c r="H30" s="244"/>
      <c r="I30" s="244"/>
      <c r="J30" s="244"/>
      <c r="K30" s="244"/>
      <c r="L30" s="244"/>
      <c r="M30" s="244"/>
      <c r="N30" s="244"/>
      <c r="O30" s="244"/>
      <c r="P30" s="244"/>
      <c r="Q30" s="244"/>
      <c r="R30" s="244"/>
      <c r="S30" s="244"/>
      <c r="T30" s="244"/>
      <c r="U30" s="244"/>
      <c r="V30" s="244"/>
      <c r="W30" s="244"/>
      <c r="X30" s="244"/>
      <c r="Y30" s="244"/>
      <c r="Z30" s="244"/>
      <c r="AA30" s="244"/>
      <c r="AB30" s="244"/>
      <c r="AC30" s="244"/>
      <c r="AD30" s="244"/>
      <c r="AE30" s="244"/>
    </row>
    <row r="31" spans="1:31" ht="22.2" customHeight="1">
      <c r="A31" s="244"/>
      <c r="B31" s="244"/>
      <c r="C31" s="244"/>
      <c r="D31" s="244"/>
      <c r="E31" s="244"/>
      <c r="F31" s="244"/>
      <c r="G31" s="244"/>
      <c r="H31" s="244"/>
      <c r="I31" s="244"/>
      <c r="J31" s="244"/>
      <c r="K31" s="244"/>
      <c r="L31" s="244"/>
      <c r="M31" s="244"/>
      <c r="N31" s="244"/>
      <c r="O31" s="244"/>
      <c r="P31" s="244"/>
      <c r="Q31" s="244"/>
      <c r="R31" s="244"/>
      <c r="S31" s="244"/>
      <c r="T31" s="244"/>
      <c r="U31" s="244"/>
      <c r="V31" s="244"/>
      <c r="W31" s="244"/>
      <c r="X31" s="244"/>
      <c r="Y31" s="244"/>
      <c r="Z31" s="244"/>
      <c r="AA31" s="244"/>
      <c r="AB31" s="244"/>
      <c r="AC31" s="244"/>
      <c r="AD31" s="244"/>
      <c r="AE31" s="244"/>
    </row>
    <row r="32" spans="1:31" s="369" customFormat="1" ht="55.5" customHeight="1">
      <c r="A32" s="752"/>
      <c r="B32" s="752"/>
      <c r="C32" s="752"/>
      <c r="D32" s="752"/>
      <c r="E32" s="370"/>
      <c r="F32" s="752" t="s">
        <v>5930</v>
      </c>
      <c r="G32" s="752"/>
      <c r="H32" s="752" t="s">
        <v>5931</v>
      </c>
      <c r="I32" s="752"/>
      <c r="J32" s="370"/>
      <c r="K32" s="368" t="s">
        <v>5932</v>
      </c>
      <c r="L32" s="368" t="s">
        <v>5933</v>
      </c>
      <c r="M32" s="368" t="s">
        <v>5934</v>
      </c>
      <c r="N32" s="370"/>
      <c r="O32" s="368" t="s">
        <v>5935</v>
      </c>
      <c r="P32" s="368" t="s">
        <v>5936</v>
      </c>
      <c r="Q32" s="368" t="s">
        <v>5937</v>
      </c>
      <c r="R32" s="370"/>
      <c r="S32" s="752" t="s">
        <v>5938</v>
      </c>
      <c r="T32" s="752"/>
      <c r="U32" s="370"/>
      <c r="V32" s="752"/>
      <c r="W32" s="752"/>
      <c r="X32" s="370"/>
      <c r="Y32" s="370"/>
      <c r="Z32" s="370"/>
      <c r="AA32" s="370"/>
      <c r="AB32" s="370"/>
      <c r="AC32" s="370"/>
      <c r="AD32" s="370"/>
      <c r="AE32" s="370"/>
    </row>
    <row r="33" spans="1:31" s="383" customFormat="1" ht="40.5" customHeight="1">
      <c r="A33" s="382"/>
      <c r="B33" s="382"/>
      <c r="C33" s="382"/>
      <c r="D33" s="382"/>
      <c r="F33" s="753">
        <f ca="1">'COMMAND CENTERS'!C46</f>
        <v>0</v>
      </c>
      <c r="G33" s="753"/>
      <c r="H33" s="754" t="str">
        <f ca="1">'COMMAND CENTERS'!D46</f>
        <v>Withhold / Review</v>
      </c>
      <c r="I33" s="754"/>
      <c r="K33" s="753">
        <f ca="1">'COMMAND CENTERS'!E46</f>
        <v>0</v>
      </c>
      <c r="L33" s="755" t="str">
        <f ca="1">'COMMAND CENTERS'!F46</f>
        <v>Blocked</v>
      </c>
      <c r="M33" s="756" t="str">
        <f ca="1">'COMMAND CENTERS'!G46</f>
        <v>No blocker documented</v>
      </c>
      <c r="O33" s="753">
        <f ca="1">'COMMAND CENTERS'!H46</f>
        <v>0</v>
      </c>
      <c r="P33" s="753">
        <f ca="1">'COMMAND CENTERS'!I46</f>
        <v>0</v>
      </c>
      <c r="Q33" s="753">
        <f ca="1">'COMMAND CENTERS'!J46</f>
        <v>0</v>
      </c>
      <c r="S33" s="757" t="str">
        <f ca="1">'COMMAND CENTERS'!K46</f>
        <v>Resolve OIT Blocker</v>
      </c>
      <c r="T33" s="757"/>
      <c r="V33" s="382"/>
      <c r="W33" s="382"/>
    </row>
    <row r="34" spans="1:31" s="373" customFormat="1" ht="34.5" customHeight="1">
      <c r="A34" s="803"/>
      <c r="B34" s="803"/>
      <c r="C34" s="751"/>
      <c r="D34" s="751"/>
      <c r="F34" s="753"/>
      <c r="G34" s="753"/>
      <c r="H34" s="754"/>
      <c r="I34" s="754"/>
      <c r="K34" s="753"/>
      <c r="L34" s="755"/>
      <c r="M34" s="756"/>
      <c r="O34" s="753"/>
      <c r="P34" s="753"/>
      <c r="Q34" s="753"/>
      <c r="S34" s="757"/>
      <c r="T34" s="757"/>
      <c r="V34" s="757"/>
      <c r="W34" s="782"/>
    </row>
    <row r="35" spans="1:31" ht="60" hidden="1" customHeight="1">
      <c r="A35" s="252"/>
      <c r="B35" s="252">
        <f>Command_Center!J84</f>
        <v>0</v>
      </c>
      <c r="C35" s="252"/>
      <c r="D35" s="252"/>
      <c r="E35" s="252"/>
      <c r="F35" s="252"/>
      <c r="G35" s="252"/>
      <c r="H35" s="252"/>
      <c r="I35" s="252"/>
      <c r="J35" s="252"/>
      <c r="K35" s="252"/>
      <c r="L35" s="252"/>
      <c r="M35" s="252"/>
      <c r="N35" s="252"/>
      <c r="O35" s="252"/>
      <c r="P35" s="252"/>
      <c r="Q35" s="252"/>
      <c r="R35" s="252"/>
      <c r="S35" s="252"/>
      <c r="T35" s="252"/>
      <c r="U35" s="252"/>
      <c r="V35" s="252"/>
      <c r="W35" s="252"/>
      <c r="X35" s="252"/>
      <c r="Y35" s="252"/>
      <c r="Z35" s="252"/>
      <c r="AA35" s="252"/>
      <c r="AB35" s="252"/>
      <c r="AC35" s="252"/>
      <c r="AD35" s="252"/>
      <c r="AE35" s="252"/>
    </row>
    <row r="36" spans="1:31" ht="43.2" hidden="1" customHeight="1">
      <c r="A36" s="780" t="str">
        <f>TEXT(Command_Center!B14,"0%")&amp;" campus readiness across "&amp;Command_Center!D14&amp;" assessed buildings. "&amp;Command_Center!F14&amp;" open risks, "&amp;Command_Center!H14&amp;" open questions, and "&amp;Command_Center!L14&amp;" active shutdowns are currently tracked. Active mission is Building "&amp;TEXT(Command_Center!C17,"00")&amp;" ("&amp;Command_Center!C18&amp;"), readiness "&amp;TEXT(Command_Center!F19,"0%")&amp;"."</f>
        <v>51% campus readiness across 30 assessed buildings. 0 open risks, 0 open questions, and 0 active shutdowns are currently tracked. Active mission is Building 61 (Building 61), readiness 55%.</v>
      </c>
      <c r="B36" s="713"/>
      <c r="C36" s="713"/>
      <c r="D36" s="713"/>
      <c r="E36" s="713"/>
      <c r="F36" s="713"/>
      <c r="G36" s="713"/>
      <c r="H36" s="713"/>
      <c r="I36" s="713"/>
      <c r="J36" s="713"/>
      <c r="K36" s="713"/>
      <c r="L36" s="713"/>
      <c r="M36" s="713"/>
      <c r="N36" s="713"/>
      <c r="O36" s="713"/>
      <c r="P36" s="713"/>
      <c r="Q36" s="713"/>
      <c r="R36" s="713"/>
      <c r="S36" s="713"/>
      <c r="T36" s="713"/>
      <c r="U36" s="713"/>
      <c r="V36" s="713"/>
      <c r="W36" s="713"/>
      <c r="X36" s="713"/>
      <c r="Y36" s="713"/>
      <c r="Z36" s="713"/>
      <c r="AA36" s="713"/>
      <c r="AB36" s="713"/>
      <c r="AC36" s="713"/>
      <c r="AD36" s="713"/>
      <c r="AE36" s="713"/>
    </row>
    <row r="37" spans="1:31" ht="190.5" hidden="1" customHeight="1">
      <c r="A37" s="804" t="str">
        <f>Command_Center!I85</f>
        <v xml:space="preserve">❓ RISKS / OPEN QUESTIONS
Owner Risks:
• High: Existing conditions and active equipment across B13H-A, 124, 226 and 137/137A not field verified — Perform existing conditions survey with photos and active-service inventory before mobilization
• High: Hazardous material abatement plans exist for first and second levels — Coordinate IH/abatement review before penetrations, wall/ceiling work, cabling or mechanical/electrical installation
• Critical: Existing server/demarc equipment may remain active during cutover — Document active services, service provider circuits, rack inventory, OIT windows, temporary utilities and rollback path
• Critical: Dedicated cooling sequence, emergency power, condensate, BACnet and alarms not verified — Confirm IU/CU-0/1/2 power source, condensate, controls, BACnet adapter, thermostat and high-temp alarm
• Critical: Panel source, UPS/PDU and rack receptacle coordination could delay energization — Verify B61-TRB13A/B, B61-TR124A/B, B61-TR226A/B, B61-TR137AA/AB, PD panels, SPDs and load measurements
• High: Large cable tray scope creates coordination and firestop risk — Verify 1,966 ft cable tray route, supports, seismic bracing, 40% fill, MEP conflicts, sleeves and final firestop assemblies
Open Questions:
</v>
      </c>
      <c r="B37" s="804"/>
      <c r="C37" s="804"/>
      <c r="D37" s="804"/>
      <c r="E37" s="804"/>
      <c r="F37" s="804"/>
      <c r="G37" s="804"/>
      <c r="H37" s="804"/>
      <c r="I37" s="804"/>
      <c r="J37" s="804"/>
      <c r="K37" s="804"/>
      <c r="L37" s="804"/>
      <c r="M37" s="804"/>
      <c r="N37" s="804"/>
      <c r="O37" s="804"/>
      <c r="P37" s="804"/>
      <c r="Q37" s="804"/>
      <c r="R37" s="804"/>
      <c r="S37" s="804"/>
      <c r="T37" s="804"/>
      <c r="U37" s="804"/>
      <c r="V37" s="245"/>
      <c r="W37" s="245"/>
      <c r="X37" s="245"/>
      <c r="Y37" s="245"/>
      <c r="Z37" s="245"/>
      <c r="AA37" s="245"/>
      <c r="AB37" s="245"/>
      <c r="AC37" s="245"/>
      <c r="AD37" s="245"/>
      <c r="AE37" s="245"/>
    </row>
    <row r="38" spans="1:31" ht="48" customHeight="1">
      <c r="A38" s="781" t="s">
        <v>5692</v>
      </c>
      <c r="B38" s="781"/>
      <c r="C38" s="781"/>
      <c r="D38" s="781"/>
      <c r="E38" s="781"/>
      <c r="F38" s="781"/>
      <c r="G38" s="781"/>
      <c r="H38" s="781"/>
      <c r="I38" s="781"/>
      <c r="J38" s="781"/>
      <c r="K38" s="781"/>
      <c r="L38" s="781"/>
      <c r="M38" s="781"/>
      <c r="N38" s="781"/>
      <c r="O38" s="781"/>
      <c r="P38" s="781"/>
      <c r="Q38" s="781"/>
      <c r="R38" s="781"/>
      <c r="S38" s="781"/>
      <c r="T38" s="781"/>
      <c r="U38" s="781"/>
      <c r="V38" s="781"/>
      <c r="W38" s="781"/>
      <c r="X38" s="252"/>
      <c r="Y38" s="758" t="s">
        <v>5693</v>
      </c>
      <c r="Z38" s="758"/>
      <c r="AA38" s="758"/>
      <c r="AB38" s="758"/>
      <c r="AC38" s="758"/>
      <c r="AD38" s="758"/>
      <c r="AE38" s="758"/>
    </row>
    <row r="39" spans="1:31" s="265" customFormat="1" ht="12" customHeight="1">
      <c r="A39" s="244"/>
      <c r="B39" s="244"/>
      <c r="C39" s="244"/>
      <c r="D39" s="244"/>
      <c r="E39" s="244"/>
      <c r="F39" s="244"/>
      <c r="G39" s="244"/>
      <c r="H39" s="244"/>
      <c r="I39" s="244"/>
      <c r="J39" s="244"/>
      <c r="K39" s="244"/>
      <c r="L39" s="244"/>
      <c r="M39" s="244"/>
      <c r="N39" s="244"/>
      <c r="O39" s="244"/>
      <c r="P39" s="244"/>
      <c r="Q39" s="244"/>
      <c r="R39" s="244"/>
      <c r="S39" s="244"/>
      <c r="T39" s="244"/>
      <c r="U39" s="244"/>
      <c r="V39" s="244"/>
      <c r="W39" s="244"/>
      <c r="X39" s="244"/>
      <c r="Y39" s="244"/>
      <c r="Z39" s="244"/>
      <c r="AA39" s="244"/>
      <c r="AB39" s="244"/>
      <c r="AC39" s="244"/>
      <c r="AD39" s="244"/>
      <c r="AE39" s="244"/>
    </row>
    <row r="40" spans="1:31" ht="48" customHeight="1">
      <c r="A40" s="797" t="str">
        <f>Command_Center!A4</f>
        <v xml:space="preserve">B01
50%  █████░░░░░
⚠ 0   ❓ 0
 </v>
      </c>
      <c r="B40" s="713"/>
      <c r="C40" s="244"/>
      <c r="D40" s="797" t="str">
        <f>Command_Center!E4</f>
        <v xml:space="preserve">B02
50%  █████░░░░░
⚠ 0   ❓ 0
 </v>
      </c>
      <c r="E40" s="713"/>
      <c r="F40" s="244"/>
      <c r="G40" s="797" t="str">
        <f>Command_Center!I4</f>
        <v xml:space="preserve">B03
50%  █████░░░░░
⚠ 0   ❓ 0
 </v>
      </c>
      <c r="H40" s="797"/>
      <c r="I40" s="244"/>
      <c r="J40" s="797" t="str">
        <f>Command_Center!M4</f>
        <v xml:space="preserve">B04
50%  █████░░░░░
⚠ 0   ❓ 0
 </v>
      </c>
      <c r="K40" s="713"/>
      <c r="L40" s="244"/>
      <c r="M40" s="805" t="str">
        <f>Command_Center!A5</f>
        <v xml:space="preserve">B05
55%  ██████░░░░
⚠ 0   ❓ 0
 </v>
      </c>
      <c r="N40" s="806"/>
      <c r="O40" s="244"/>
      <c r="P40" s="797" t="str">
        <f>Command_Center!E5</f>
        <v xml:space="preserve">B06
50%  █████░░░░░
⚠ 0   ❓ 0
 </v>
      </c>
      <c r="Q40" s="713"/>
      <c r="R40" s="244"/>
      <c r="S40" s="797" t="str">
        <f>Command_Center!I5</f>
        <v xml:space="preserve">B07
50%  █████░░░░░
⚠ 0   ❓ 0
 </v>
      </c>
      <c r="T40" s="713"/>
      <c r="U40" s="244"/>
      <c r="V40" s="797" t="str">
        <f>Command_Center!M5</f>
        <v xml:space="preserve">B08
50%  █████░░░░░
⚠ 0   ❓ 0
 </v>
      </c>
      <c r="W40" s="713"/>
      <c r="AA40" s="248"/>
      <c r="AB40" s="313" t="s">
        <v>5694</v>
      </c>
    </row>
    <row r="41" spans="1:31" s="265" customFormat="1" ht="12" customHeight="1">
      <c r="A41" s="267"/>
      <c r="D41" s="267"/>
      <c r="G41" s="267"/>
      <c r="J41" s="267"/>
      <c r="M41" s="267"/>
      <c r="P41" s="267"/>
      <c r="S41" s="267"/>
      <c r="V41" s="267"/>
    </row>
    <row r="42" spans="1:31" ht="48" customHeight="1">
      <c r="A42" s="797" t="str">
        <f>Command_Center!A6</f>
        <v xml:space="preserve">B09
50%  █████░░░░░
⚠ 0   ❓ 0
 </v>
      </c>
      <c r="B42" s="713"/>
      <c r="C42" s="244"/>
      <c r="D42" s="797" t="str">
        <f>Command_Center!E6</f>
        <v xml:space="preserve">B10
50%  █████░░░░░
⚠ 0   ❓ 0
 </v>
      </c>
      <c r="E42" s="713"/>
      <c r="F42" s="244"/>
      <c r="G42" s="805" t="str">
        <f>Command_Center!I6</f>
        <v xml:space="preserve">B12
60%  ██████░░░░
⚠ 0   ❓ 0
 </v>
      </c>
      <c r="H42" s="806"/>
      <c r="I42" s="244"/>
      <c r="J42" s="797" t="str">
        <f>Command_Center!M6</f>
        <v xml:space="preserve">B13
50%  █████░░░░░
⚠ 0   ❓ 0
 </v>
      </c>
      <c r="K42" s="713"/>
      <c r="L42" s="244"/>
      <c r="M42" s="797" t="str">
        <f>Command_Center!A7</f>
        <v xml:space="preserve">B14
50%  █████░░░░░
⚠ 0   ❓ 0
 </v>
      </c>
      <c r="N42" s="713"/>
      <c r="O42" s="244"/>
      <c r="P42" s="797" t="str">
        <f>Command_Center!E7</f>
        <v xml:space="preserve">B15
50%  █████░░░░░
⚠ 0   ❓ 0
 </v>
      </c>
      <c r="Q42" s="713"/>
      <c r="R42" s="244"/>
      <c r="S42" s="797" t="str">
        <f>Command_Center!I7</f>
        <v xml:space="preserve">B16
50%  █████░░░░░
⚠ 0   ❓ 0
 </v>
      </c>
      <c r="T42" s="713"/>
      <c r="U42" s="244"/>
      <c r="V42" s="797" t="str">
        <f>Command_Center!M7</f>
        <v xml:space="preserve">B17
50%  █████░░░░░
⚠ 0   ❓ 0
 </v>
      </c>
      <c r="W42" s="713"/>
      <c r="AA42" s="249"/>
      <c r="AB42" s="313" t="s">
        <v>5695</v>
      </c>
      <c r="AE42" s="244"/>
    </row>
    <row r="43" spans="1:31" s="265" customFormat="1" ht="12" customHeight="1">
      <c r="A43" s="267"/>
      <c r="D43" s="267"/>
      <c r="G43" s="267"/>
      <c r="J43" s="267"/>
      <c r="M43" s="267"/>
      <c r="P43" s="267"/>
      <c r="S43" s="267"/>
      <c r="V43" s="267"/>
    </row>
    <row r="44" spans="1:31" ht="48" customHeight="1">
      <c r="A44" s="797" t="str">
        <f>Command_Center!A8</f>
        <v xml:space="preserve">B18
50%  █████░░░░░
⚠ 0   ❓ 0
 </v>
      </c>
      <c r="B44" s="713"/>
      <c r="C44" s="244"/>
      <c r="D44" s="797" t="str">
        <f>Command_Center!E8</f>
        <v xml:space="preserve">B20
50%  █████░░░░░
⚠ 0   ❓ 0
 </v>
      </c>
      <c r="E44" s="713"/>
      <c r="F44" s="244"/>
      <c r="G44" s="797" t="str">
        <f>Command_Center!I8</f>
        <v xml:space="preserve">B21
50%  █████░░░░░
⚠ 0   ❓ 0
 </v>
      </c>
      <c r="H44" s="713"/>
      <c r="I44" s="244"/>
      <c r="J44" s="797" t="str">
        <f>Command_Center!M8</f>
        <v xml:space="preserve">B22
50%  █████░░░░░
⚠ 0   ❓ 0
 </v>
      </c>
      <c r="K44" s="713"/>
      <c r="L44" s="244"/>
      <c r="M44" s="797" t="str">
        <f>Command_Center!A9</f>
        <v xml:space="preserve">B33
50%  █████░░░░░
⚠ 0   ❓ 0
 </v>
      </c>
      <c r="N44" s="713"/>
      <c r="O44" s="244"/>
      <c r="P44" s="807" t="str">
        <f>Command_Center!E9</f>
        <v xml:space="preserve">B61
55%  ██████░░░░
⚠ 0   ❓ 0
PILOT </v>
      </c>
      <c r="Q44" s="808"/>
      <c r="R44" s="244"/>
      <c r="S44" s="797" t="str">
        <f>Command_Center!I9</f>
        <v xml:space="preserve">B62
50%  █████░░░░░
⚠ 0   ❓ 0
 </v>
      </c>
      <c r="T44" s="713"/>
      <c r="U44" s="244"/>
      <c r="V44" s="809" t="str">
        <f>Command_Center!M9</f>
        <v xml:space="preserve">B70
50%  █████░░░░░
⚠ 0   ❓ 0
 </v>
      </c>
      <c r="W44" s="810"/>
      <c r="X44" s="266"/>
      <c r="AA44" s="250"/>
      <c r="AB44" s="286" t="s">
        <v>5696</v>
      </c>
    </row>
    <row r="45" spans="1:31" ht="45.6" customHeight="1">
      <c r="A45" s="267"/>
      <c r="B45" s="265"/>
      <c r="C45" s="265"/>
      <c r="D45" s="267"/>
      <c r="E45" s="265"/>
      <c r="F45" s="265"/>
      <c r="G45" s="267"/>
      <c r="H45" s="265"/>
      <c r="I45" s="265"/>
      <c r="J45" s="267"/>
      <c r="K45" s="265"/>
      <c r="L45" s="265"/>
      <c r="M45" s="267"/>
      <c r="N45" s="265"/>
      <c r="O45" s="265"/>
      <c r="P45" s="267"/>
      <c r="Q45" s="265"/>
      <c r="R45" s="265"/>
      <c r="S45" s="267"/>
      <c r="T45" s="265"/>
      <c r="U45" s="265"/>
      <c r="V45" s="267"/>
      <c r="W45" s="265"/>
      <c r="X45" s="265"/>
      <c r="Y45" s="265"/>
      <c r="Z45" s="265"/>
      <c r="AA45" s="265"/>
      <c r="AB45" s="265"/>
      <c r="AC45" s="265"/>
      <c r="AD45" s="265"/>
      <c r="AE45" s="265"/>
    </row>
    <row r="46" spans="1:31" ht="56.25" customHeight="1">
      <c r="A46" s="805" t="str">
        <f>Command_Center!A10</f>
        <v xml:space="preserve">B78
50%  █████░░░░░
⚠ 0   ❓ 0
 </v>
      </c>
      <c r="B46" s="805"/>
      <c r="C46" s="244"/>
      <c r="D46" s="797" t="str">
        <f>Command_Center!E10</f>
        <v xml:space="preserve">B80
50%  █████░░░░░
⚠ 0   ❓ 0
 </v>
      </c>
      <c r="E46" s="713"/>
      <c r="F46" s="244"/>
      <c r="G46" s="797" t="str">
        <f>Command_Center!I10</f>
        <v xml:space="preserve">B82
50%  █████░░░░░
⚠ 0   ❓ 0
 </v>
      </c>
      <c r="H46" s="713"/>
      <c r="I46" s="244"/>
      <c r="J46" s="797" t="str">
        <f>Command_Center!M10</f>
        <v xml:space="preserve">BCH
50%  █████░░░░░
⚠ 0   ❓ 0
 </v>
      </c>
      <c r="K46" s="713"/>
      <c r="L46" s="244"/>
      <c r="M46" s="797" t="str">
        <f>Command_Center!A11</f>
        <v xml:space="preserve">MCR
50%  █████░░░░░
⚠ 0   ❓ 0
 </v>
      </c>
      <c r="N46" s="713"/>
      <c r="O46" s="244"/>
      <c r="P46" s="797" t="str">
        <f>Command_Center!E11</f>
        <v xml:space="preserve">SITE
50%  █████░░░░░
⚠ 0   ❓ 0
 </v>
      </c>
      <c r="Q46" s="713"/>
      <c r="R46" s="244"/>
      <c r="S46" s="815" t="str">
        <f>Command_Center!I11</f>
        <v xml:space="preserve">SPEC
0%  ░░░░░░░░░░
⚠ -   ❓ -
 </v>
      </c>
      <c r="T46" s="816"/>
      <c r="U46" s="244"/>
      <c r="V46" s="797">
        <f>Command_Center!M11</f>
        <v>0</v>
      </c>
      <c r="W46" s="713"/>
      <c r="AA46" s="251"/>
      <c r="AB46" s="313" t="s">
        <v>5697</v>
      </c>
    </row>
    <row r="47" spans="1:31" ht="22.2" customHeight="1">
      <c r="A47" s="244"/>
      <c r="B47" s="244"/>
      <c r="C47" s="244"/>
      <c r="D47" s="244"/>
      <c r="E47" s="244"/>
      <c r="F47" s="244"/>
      <c r="G47" s="244"/>
      <c r="H47" s="244"/>
      <c r="I47" s="244"/>
      <c r="J47" s="244"/>
      <c r="K47" s="244"/>
      <c r="L47" s="244"/>
      <c r="M47" s="244"/>
      <c r="N47" s="244"/>
      <c r="O47" s="244"/>
      <c r="P47" s="244"/>
      <c r="Q47" s="244"/>
      <c r="R47" s="244"/>
      <c r="S47" s="244"/>
      <c r="T47" s="244"/>
      <c r="U47" s="244"/>
      <c r="V47" s="244"/>
      <c r="W47" s="244"/>
      <c r="X47" s="244"/>
    </row>
    <row r="48" spans="1:31" ht="69" customHeight="1">
      <c r="A48" s="817" t="s">
        <v>5701</v>
      </c>
      <c r="B48" s="817"/>
      <c r="C48" s="817"/>
      <c r="D48" s="817"/>
      <c r="E48" s="817"/>
      <c r="F48" s="817"/>
      <c r="G48" s="817"/>
      <c r="H48" s="817"/>
      <c r="I48" s="817"/>
      <c r="J48" s="817"/>
      <c r="K48" s="819" t="s">
        <v>5741</v>
      </c>
      <c r="L48" s="819"/>
      <c r="M48" s="819"/>
      <c r="N48" s="819"/>
      <c r="O48" s="819"/>
      <c r="P48" s="819"/>
      <c r="Q48" s="819"/>
      <c r="R48" s="819"/>
      <c r="S48" s="819"/>
      <c r="T48" s="819"/>
      <c r="U48" s="819"/>
      <c r="V48" s="819"/>
      <c r="W48" s="819"/>
      <c r="X48" s="819"/>
      <c r="Y48" s="819"/>
    </row>
    <row r="49" spans="1:31" ht="63.6" customHeight="1" thickBot="1">
      <c r="A49" s="818"/>
      <c r="B49" s="818"/>
      <c r="C49" s="818"/>
      <c r="D49" s="818"/>
      <c r="E49" s="818"/>
      <c r="F49" s="818"/>
      <c r="G49" s="818"/>
      <c r="H49" s="818"/>
      <c r="I49" s="818"/>
      <c r="J49" s="818"/>
      <c r="K49" s="820"/>
      <c r="L49" s="820"/>
      <c r="M49" s="820"/>
      <c r="N49" s="820"/>
      <c r="O49" s="820"/>
      <c r="P49" s="820"/>
      <c r="Q49" s="820"/>
      <c r="R49" s="820"/>
      <c r="S49" s="820"/>
      <c r="T49" s="820"/>
      <c r="U49" s="820"/>
      <c r="V49" s="820"/>
      <c r="W49" s="820"/>
      <c r="X49" s="820"/>
      <c r="Y49" s="820"/>
    </row>
    <row r="50" spans="1:31" ht="57.6" customHeight="1" thickBot="1">
      <c r="A50" s="302" t="s">
        <v>5703</v>
      </c>
      <c r="B50" s="303" t="s">
        <v>5704</v>
      </c>
      <c r="C50" s="303" t="s">
        <v>5705</v>
      </c>
      <c r="D50" s="303" t="s">
        <v>5706</v>
      </c>
      <c r="E50" s="303" t="s">
        <v>5707</v>
      </c>
      <c r="F50" s="303" t="s">
        <v>5708</v>
      </c>
      <c r="G50" s="303" t="s">
        <v>5709</v>
      </c>
      <c r="H50" s="303" t="s">
        <v>5710</v>
      </c>
      <c r="I50" s="303" t="s">
        <v>4590</v>
      </c>
      <c r="J50" s="304" t="s">
        <v>11</v>
      </c>
      <c r="K50" s="303" t="s">
        <v>4946</v>
      </c>
      <c r="L50" s="303" t="s">
        <v>77</v>
      </c>
      <c r="M50" s="303" t="s">
        <v>5773</v>
      </c>
      <c r="N50" s="303" t="s">
        <v>263</v>
      </c>
      <c r="O50" s="303" t="s">
        <v>216</v>
      </c>
      <c r="P50" s="303" t="s">
        <v>5774</v>
      </c>
      <c r="Q50" s="303" t="s">
        <v>5775</v>
      </c>
      <c r="R50" s="303" t="s">
        <v>5776</v>
      </c>
      <c r="S50" s="283" t="s">
        <v>4946</v>
      </c>
      <c r="T50" s="283" t="s">
        <v>5790</v>
      </c>
      <c r="U50" s="284"/>
      <c r="V50" s="284"/>
      <c r="W50" s="283" t="s">
        <v>5791</v>
      </c>
      <c r="X50" s="284"/>
      <c r="Y50" s="285"/>
      <c r="Z50" s="244"/>
      <c r="AA50" s="244"/>
      <c r="AB50" s="244"/>
      <c r="AC50" s="244"/>
      <c r="AD50" s="244"/>
      <c r="AE50" s="244"/>
    </row>
    <row r="51" spans="1:31" ht="60.6" customHeight="1">
      <c r="A51" s="300" t="s">
        <v>5711</v>
      </c>
      <c r="B51" s="259">
        <v>20</v>
      </c>
      <c r="C51" s="259">
        <v>5</v>
      </c>
      <c r="D51" s="259">
        <f t="shared" ref="D51:D58" si="0">B51*C51</f>
        <v>100</v>
      </c>
      <c r="E51" s="259">
        <v>4</v>
      </c>
      <c r="F51" s="259">
        <f t="shared" ref="F51:F58" si="1">B51*E51</f>
        <v>80</v>
      </c>
      <c r="G51" s="259" t="s">
        <v>54</v>
      </c>
      <c r="H51" s="259" t="s">
        <v>5712</v>
      </c>
      <c r="I51" s="259" t="s">
        <v>536</v>
      </c>
      <c r="J51" s="301"/>
      <c r="K51" s="293" t="s">
        <v>5777</v>
      </c>
      <c r="L51" s="278" t="s">
        <v>1096</v>
      </c>
      <c r="M51" s="277"/>
      <c r="N51" s="277"/>
      <c r="O51" s="277"/>
      <c r="P51" s="277"/>
      <c r="Q51" s="279" t="str">
        <f t="shared" ref="Q51:Q58" si="2">IF(OR(L51="Yes",L51="N/A"),"🟢","🟡")</f>
        <v>🟡</v>
      </c>
      <c r="R51" s="294"/>
      <c r="S51" s="291" t="s">
        <v>5777</v>
      </c>
      <c r="T51" s="768" t="s">
        <v>5792</v>
      </c>
      <c r="U51" s="768"/>
      <c r="V51" s="768"/>
      <c r="W51" s="768" t="s">
        <v>5793</v>
      </c>
      <c r="X51" s="768"/>
      <c r="Y51" s="769"/>
    </row>
    <row r="52" spans="1:31" ht="69" customHeight="1">
      <c r="A52" s="300" t="s">
        <v>5713</v>
      </c>
      <c r="B52" s="259">
        <v>15</v>
      </c>
      <c r="C52" s="259">
        <v>4</v>
      </c>
      <c r="D52" s="259">
        <f t="shared" si="0"/>
        <v>60</v>
      </c>
      <c r="E52" s="259">
        <v>5</v>
      </c>
      <c r="F52" s="259">
        <f t="shared" si="1"/>
        <v>75</v>
      </c>
      <c r="G52" s="259" t="s">
        <v>26</v>
      </c>
      <c r="H52" s="259" t="s">
        <v>5714</v>
      </c>
      <c r="I52" s="259" t="s">
        <v>5715</v>
      </c>
      <c r="J52" s="301"/>
      <c r="K52" s="293" t="s">
        <v>5778</v>
      </c>
      <c r="L52" s="278" t="s">
        <v>1096</v>
      </c>
      <c r="M52" s="277"/>
      <c r="N52" s="277"/>
      <c r="O52" s="277"/>
      <c r="P52" s="277"/>
      <c r="Q52" s="279" t="str">
        <f t="shared" si="2"/>
        <v>🟡</v>
      </c>
      <c r="R52" s="294"/>
      <c r="S52" s="291" t="s">
        <v>5778</v>
      </c>
      <c r="T52" s="768" t="s">
        <v>5794</v>
      </c>
      <c r="U52" s="768"/>
      <c r="V52" s="768"/>
      <c r="W52" s="768" t="s">
        <v>5795</v>
      </c>
      <c r="X52" s="768"/>
      <c r="Y52" s="769"/>
    </row>
    <row r="53" spans="1:31" ht="57" customHeight="1">
      <c r="A53" s="300" t="s">
        <v>5716</v>
      </c>
      <c r="B53" s="259">
        <v>15</v>
      </c>
      <c r="C53" s="259">
        <v>5</v>
      </c>
      <c r="D53" s="259">
        <f t="shared" si="0"/>
        <v>75</v>
      </c>
      <c r="E53" s="259">
        <v>3</v>
      </c>
      <c r="F53" s="259">
        <f t="shared" si="1"/>
        <v>45</v>
      </c>
      <c r="G53" s="259" t="s">
        <v>54</v>
      </c>
      <c r="H53" s="259" t="s">
        <v>5717</v>
      </c>
      <c r="I53" s="259" t="s">
        <v>536</v>
      </c>
      <c r="J53" s="301"/>
      <c r="K53" s="293" t="s">
        <v>5779</v>
      </c>
      <c r="L53" s="278" t="s">
        <v>1096</v>
      </c>
      <c r="M53" s="277"/>
      <c r="N53" s="277"/>
      <c r="O53" s="277"/>
      <c r="P53" s="277"/>
      <c r="Q53" s="279" t="str">
        <f t="shared" si="2"/>
        <v>🟡</v>
      </c>
      <c r="R53" s="294"/>
      <c r="S53" s="291" t="s">
        <v>5779</v>
      </c>
      <c r="T53" s="768" t="s">
        <v>5796</v>
      </c>
      <c r="U53" s="768"/>
      <c r="V53" s="768"/>
      <c r="W53" s="768" t="s">
        <v>5797</v>
      </c>
      <c r="X53" s="768"/>
      <c r="Y53" s="769"/>
    </row>
    <row r="54" spans="1:31" ht="57" customHeight="1">
      <c r="A54" s="300" t="s">
        <v>5718</v>
      </c>
      <c r="B54" s="259">
        <v>15</v>
      </c>
      <c r="C54" s="259">
        <v>3</v>
      </c>
      <c r="D54" s="259">
        <f t="shared" si="0"/>
        <v>45</v>
      </c>
      <c r="E54" s="259">
        <v>4</v>
      </c>
      <c r="F54" s="259">
        <f t="shared" si="1"/>
        <v>60</v>
      </c>
      <c r="G54" s="259" t="s">
        <v>26</v>
      </c>
      <c r="H54" s="259" t="s">
        <v>5719</v>
      </c>
      <c r="I54" s="259" t="s">
        <v>5720</v>
      </c>
      <c r="J54" s="301"/>
      <c r="K54" s="293" t="s">
        <v>5168</v>
      </c>
      <c r="L54" s="278" t="s">
        <v>1096</v>
      </c>
      <c r="M54" s="277"/>
      <c r="N54" s="277"/>
      <c r="O54" s="277"/>
      <c r="P54" s="277"/>
      <c r="Q54" s="279" t="str">
        <f t="shared" si="2"/>
        <v>🟡</v>
      </c>
      <c r="R54" s="294"/>
      <c r="S54" s="291" t="s">
        <v>5168</v>
      </c>
      <c r="T54" s="768" t="s">
        <v>5798</v>
      </c>
      <c r="U54" s="768"/>
      <c r="V54" s="768"/>
      <c r="W54" s="768" t="s">
        <v>5799</v>
      </c>
      <c r="X54" s="768"/>
      <c r="Y54" s="769"/>
    </row>
    <row r="55" spans="1:31" ht="39.6" customHeight="1">
      <c r="A55" s="300" t="s">
        <v>5721</v>
      </c>
      <c r="B55" s="259">
        <v>10</v>
      </c>
      <c r="C55" s="259">
        <v>5</v>
      </c>
      <c r="D55" s="259">
        <f t="shared" si="0"/>
        <v>50</v>
      </c>
      <c r="E55" s="259">
        <v>3</v>
      </c>
      <c r="F55" s="259">
        <f t="shared" si="1"/>
        <v>30</v>
      </c>
      <c r="G55" s="259" t="s">
        <v>54</v>
      </c>
      <c r="H55" s="259" t="s">
        <v>5722</v>
      </c>
      <c r="I55" s="259" t="s">
        <v>5723</v>
      </c>
      <c r="J55" s="301"/>
      <c r="K55" s="293" t="s">
        <v>5780</v>
      </c>
      <c r="L55" s="278" t="s">
        <v>1096</v>
      </c>
      <c r="M55" s="277"/>
      <c r="N55" s="277"/>
      <c r="O55" s="277"/>
      <c r="P55" s="277"/>
      <c r="Q55" s="279" t="str">
        <f t="shared" si="2"/>
        <v>🟡</v>
      </c>
      <c r="R55" s="294"/>
      <c r="S55" s="291" t="s">
        <v>5780</v>
      </c>
      <c r="T55" s="768" t="s">
        <v>5800</v>
      </c>
      <c r="U55" s="768"/>
      <c r="V55" s="768"/>
      <c r="W55" s="768" t="s">
        <v>5801</v>
      </c>
      <c r="X55" s="768"/>
      <c r="Y55" s="769"/>
    </row>
    <row r="56" spans="1:31" ht="115.2" customHeight="1">
      <c r="A56" s="300" t="s">
        <v>5724</v>
      </c>
      <c r="B56" s="259">
        <v>10</v>
      </c>
      <c r="C56" s="259">
        <v>5</v>
      </c>
      <c r="D56" s="259">
        <f t="shared" si="0"/>
        <v>50</v>
      </c>
      <c r="E56" s="259">
        <v>3</v>
      </c>
      <c r="F56" s="259">
        <f t="shared" si="1"/>
        <v>30</v>
      </c>
      <c r="G56" s="259" t="s">
        <v>54</v>
      </c>
      <c r="H56" s="259" t="s">
        <v>5725</v>
      </c>
      <c r="I56" s="259" t="s">
        <v>5726</v>
      </c>
      <c r="J56" s="301"/>
      <c r="K56" s="293" t="s">
        <v>5781</v>
      </c>
      <c r="L56" s="278" t="s">
        <v>1096</v>
      </c>
      <c r="M56" s="277"/>
      <c r="N56" s="277"/>
      <c r="O56" s="277"/>
      <c r="P56" s="277"/>
      <c r="Q56" s="279" t="str">
        <f t="shared" si="2"/>
        <v>🟡</v>
      </c>
      <c r="R56" s="294"/>
      <c r="S56" s="291" t="s">
        <v>5781</v>
      </c>
      <c r="T56" s="768" t="s">
        <v>5802</v>
      </c>
      <c r="U56" s="768"/>
      <c r="V56" s="768"/>
      <c r="W56" s="768" t="s">
        <v>5803</v>
      </c>
      <c r="X56" s="768"/>
      <c r="Y56" s="769"/>
    </row>
    <row r="57" spans="1:31" ht="53.4" customHeight="1">
      <c r="A57" s="300" t="s">
        <v>5727</v>
      </c>
      <c r="B57" s="259">
        <v>10</v>
      </c>
      <c r="C57" s="259">
        <v>4</v>
      </c>
      <c r="D57" s="259">
        <f t="shared" si="0"/>
        <v>40</v>
      </c>
      <c r="E57" s="259">
        <v>4</v>
      </c>
      <c r="F57" s="259">
        <f t="shared" si="1"/>
        <v>40</v>
      </c>
      <c r="G57" s="259" t="s">
        <v>5728</v>
      </c>
      <c r="H57" s="259" t="s">
        <v>5729</v>
      </c>
      <c r="I57" s="259" t="s">
        <v>5730</v>
      </c>
      <c r="J57" s="301"/>
      <c r="K57" s="293" t="s">
        <v>178</v>
      </c>
      <c r="L57" s="278" t="s">
        <v>1096</v>
      </c>
      <c r="M57" s="277"/>
      <c r="N57" s="277"/>
      <c r="O57" s="277"/>
      <c r="P57" s="277"/>
      <c r="Q57" s="279" t="str">
        <f t="shared" si="2"/>
        <v>🟡</v>
      </c>
      <c r="R57" s="294"/>
      <c r="S57" s="291" t="s">
        <v>178</v>
      </c>
      <c r="T57" s="768" t="s">
        <v>5804</v>
      </c>
      <c r="U57" s="768"/>
      <c r="V57" s="768"/>
      <c r="W57" s="768" t="s">
        <v>5805</v>
      </c>
      <c r="X57" s="768"/>
      <c r="Y57" s="769"/>
    </row>
    <row r="58" spans="1:31" ht="37.200000000000003" customHeight="1" thickBot="1">
      <c r="A58" s="300" t="s">
        <v>5731</v>
      </c>
      <c r="B58" s="259">
        <v>5</v>
      </c>
      <c r="C58" s="259">
        <v>5</v>
      </c>
      <c r="D58" s="259">
        <f t="shared" si="0"/>
        <v>25</v>
      </c>
      <c r="E58" s="259">
        <v>3</v>
      </c>
      <c r="F58" s="259">
        <f t="shared" si="1"/>
        <v>15</v>
      </c>
      <c r="G58" s="259" t="s">
        <v>54</v>
      </c>
      <c r="H58" s="259" t="s">
        <v>5732</v>
      </c>
      <c r="I58" s="259" t="s">
        <v>5733</v>
      </c>
      <c r="J58" s="301"/>
      <c r="K58" s="295" t="s">
        <v>5782</v>
      </c>
      <c r="L58" s="296" t="s">
        <v>1096</v>
      </c>
      <c r="M58" s="297"/>
      <c r="N58" s="297"/>
      <c r="O58" s="297"/>
      <c r="P58" s="297"/>
      <c r="Q58" s="298" t="str">
        <f t="shared" si="2"/>
        <v>🟡</v>
      </c>
      <c r="R58" s="299"/>
      <c r="S58" s="292" t="s">
        <v>5782</v>
      </c>
      <c r="T58" s="770" t="s">
        <v>5806</v>
      </c>
      <c r="U58" s="770"/>
      <c r="V58" s="770"/>
      <c r="W58" s="770" t="s">
        <v>5807</v>
      </c>
      <c r="X58" s="770"/>
      <c r="Y58" s="772"/>
    </row>
    <row r="59" spans="1:31" ht="46.2" customHeight="1" thickBot="1">
      <c r="A59" s="771" t="s">
        <v>5734</v>
      </c>
      <c r="B59" s="771"/>
      <c r="C59" s="771"/>
      <c r="D59" s="771"/>
      <c r="E59" s="771"/>
      <c r="F59" s="771"/>
      <c r="G59" s="771"/>
      <c r="H59" s="771"/>
      <c r="I59" s="771"/>
      <c r="J59" s="771"/>
      <c r="K59" s="315"/>
      <c r="L59" s="315"/>
      <c r="M59" s="315"/>
      <c r="N59" s="315"/>
      <c r="O59" s="315"/>
      <c r="P59" s="315"/>
      <c r="Q59" s="315"/>
      <c r="R59" s="315"/>
      <c r="S59" s="315"/>
      <c r="T59" s="315"/>
      <c r="U59" s="315"/>
      <c r="V59" s="315"/>
      <c r="W59" s="315"/>
      <c r="X59" s="315"/>
      <c r="Y59" s="315"/>
    </row>
    <row r="60" spans="1:31" ht="40.200000000000003" customHeight="1">
      <c r="A60" s="305" t="s">
        <v>5735</v>
      </c>
      <c r="B60" s="306">
        <f>SUM(D51:D58)</f>
        <v>445</v>
      </c>
      <c r="C60" s="307" t="s">
        <v>5736</v>
      </c>
      <c r="D60" s="306">
        <f>SUM(F51:F58)</f>
        <v>375</v>
      </c>
      <c r="E60" s="308" t="s">
        <v>5737</v>
      </c>
      <c r="F60" s="308" t="str">
        <f>IF(B60&gt;D60,"B61",IF(D60&gt;B60,"B08","Tie"))</f>
        <v>B61</v>
      </c>
      <c r="G60" s="309"/>
      <c r="H60" s="309"/>
      <c r="I60" s="309"/>
      <c r="J60" s="310"/>
    </row>
    <row r="61" spans="1:31" ht="55.2" customHeight="1">
      <c r="A61" s="813" t="s">
        <v>5738</v>
      </c>
      <c r="B61" s="814"/>
      <c r="C61" s="261"/>
      <c r="D61" s="261"/>
      <c r="E61" s="261"/>
      <c r="F61" s="261"/>
      <c r="G61" s="261"/>
      <c r="H61" s="261"/>
      <c r="I61" s="261"/>
      <c r="J61" s="311"/>
    </row>
    <row r="62" spans="1:31" ht="50.4" customHeight="1">
      <c r="A62" s="821" t="str">
        <f>IF(F60="B61","Use Building 61 as the preferred pilot because it is complex enough to prove contractor competency without exposing the project to MCR-level risk.","Use Building 8 as the preferred pilot if the owner wants a lower-risk first test before B61.")</f>
        <v>Use Building 61 as the preferred pilot because it is complex enough to prove contractor competency without exposing the project to MCR-level risk.</v>
      </c>
      <c r="B62" s="822"/>
      <c r="C62" s="822"/>
      <c r="D62" s="822"/>
      <c r="E62" s="822"/>
      <c r="F62" s="822"/>
      <c r="G62" s="822"/>
      <c r="H62" s="822"/>
      <c r="I62" s="822"/>
      <c r="J62" s="823"/>
    </row>
    <row r="63" spans="1:31" ht="81.599999999999994" customHeight="1" thickBot="1">
      <c r="A63" s="312" t="s">
        <v>5739</v>
      </c>
      <c r="B63" s="811" t="s">
        <v>5740</v>
      </c>
      <c r="C63" s="811"/>
      <c r="D63" s="811"/>
      <c r="E63" s="811"/>
      <c r="F63" s="811"/>
      <c r="G63" s="811"/>
      <c r="H63" s="811"/>
      <c r="I63" s="811"/>
      <c r="J63" s="812"/>
    </row>
    <row r="64" spans="1:31" ht="87.6" customHeight="1"/>
    <row r="65" ht="85.2" customHeight="1"/>
    <row r="66" ht="86.4" customHeight="1"/>
    <row r="68" ht="76.95" customHeight="1"/>
    <row r="70" ht="46.2" customHeight="1"/>
    <row r="71" ht="109.2" customHeight="1"/>
    <row r="72" ht="94.2" customHeight="1"/>
    <row r="73" ht="60" customHeight="1"/>
    <row r="74" ht="74.400000000000006" customHeight="1"/>
    <row r="75" ht="61.2" customHeight="1"/>
    <row r="76" ht="72" customHeight="1"/>
    <row r="77" ht="83.4" customHeight="1"/>
    <row r="78" ht="78.599999999999994" customHeight="1"/>
    <row r="83" ht="70.2" customHeight="1"/>
    <row r="84" ht="67.95" customHeight="1"/>
    <row r="85" ht="54.6" customHeight="1"/>
    <row r="86" ht="51" customHeight="1"/>
    <row r="87" ht="63" customHeight="1"/>
    <row r="88" ht="61.95" customHeight="1"/>
    <row r="89" ht="49.2" customHeight="1"/>
    <row r="100" ht="90.6" customHeight="1"/>
    <row r="101" ht="63" customHeight="1"/>
    <row r="102" ht="58.2" customHeight="1"/>
    <row r="103" ht="69" customHeight="1"/>
    <row r="105" ht="62.4" customHeight="1"/>
    <row r="106" ht="71.400000000000006" customHeight="1"/>
    <row r="107" ht="51" customHeight="1"/>
  </sheetData>
  <mergeCells count="133">
    <mergeCell ref="B63:J63"/>
    <mergeCell ref="A61:B61"/>
    <mergeCell ref="A46:B46"/>
    <mergeCell ref="D46:E46"/>
    <mergeCell ref="G46:H46"/>
    <mergeCell ref="J46:K46"/>
    <mergeCell ref="M46:N46"/>
    <mergeCell ref="P46:Q46"/>
    <mergeCell ref="S46:T46"/>
    <mergeCell ref="T51:V51"/>
    <mergeCell ref="T52:V52"/>
    <mergeCell ref="T53:V53"/>
    <mergeCell ref="T54:V54"/>
    <mergeCell ref="T55:V55"/>
    <mergeCell ref="T56:V56"/>
    <mergeCell ref="A48:J49"/>
    <mergeCell ref="K48:T49"/>
    <mergeCell ref="U48:Y49"/>
    <mergeCell ref="A62:J62"/>
    <mergeCell ref="V46:W46"/>
    <mergeCell ref="W51:Y51"/>
    <mergeCell ref="W52:Y52"/>
    <mergeCell ref="W53:Y53"/>
    <mergeCell ref="W54:Y54"/>
    <mergeCell ref="W55:Y55"/>
    <mergeCell ref="W56:Y56"/>
    <mergeCell ref="V44:W44"/>
    <mergeCell ref="A42:B42"/>
    <mergeCell ref="D42:E42"/>
    <mergeCell ref="G42:H42"/>
    <mergeCell ref="J42:K42"/>
    <mergeCell ref="M42:N42"/>
    <mergeCell ref="P42:Q42"/>
    <mergeCell ref="S42:T42"/>
    <mergeCell ref="A37:U37"/>
    <mergeCell ref="G40:H40"/>
    <mergeCell ref="J40:K40"/>
    <mergeCell ref="M40:N40"/>
    <mergeCell ref="P40:Q40"/>
    <mergeCell ref="S40:T40"/>
    <mergeCell ref="V42:W42"/>
    <mergeCell ref="A44:B44"/>
    <mergeCell ref="D44:E44"/>
    <mergeCell ref="G44:H44"/>
    <mergeCell ref="J44:K44"/>
    <mergeCell ref="M44:N44"/>
    <mergeCell ref="P44:Q44"/>
    <mergeCell ref="S44:T44"/>
    <mergeCell ref="A32:B32"/>
    <mergeCell ref="V40:W40"/>
    <mergeCell ref="AA18:AE18"/>
    <mergeCell ref="J19:N19"/>
    <mergeCell ref="O19:Q19"/>
    <mergeCell ref="T20:Z20"/>
    <mergeCell ref="AA20:AE20"/>
    <mergeCell ref="A15:D26"/>
    <mergeCell ref="T16:Z16"/>
    <mergeCell ref="AA16:AE16"/>
    <mergeCell ref="J17:N17"/>
    <mergeCell ref="O17:Q17"/>
    <mergeCell ref="O25:Q25"/>
    <mergeCell ref="T26:Z26"/>
    <mergeCell ref="AA26:AE26"/>
    <mergeCell ref="E21:I26"/>
    <mergeCell ref="J21:N21"/>
    <mergeCell ref="O21:Q21"/>
    <mergeCell ref="A40:B40"/>
    <mergeCell ref="D40:E40"/>
    <mergeCell ref="AA22:AE22"/>
    <mergeCell ref="V32:W32"/>
    <mergeCell ref="A34:B34"/>
    <mergeCell ref="C32:D32"/>
    <mergeCell ref="U5:Z5"/>
    <mergeCell ref="AA5:AE5"/>
    <mergeCell ref="A1:D3"/>
    <mergeCell ref="E1:W1"/>
    <mergeCell ref="Y1:AE1"/>
    <mergeCell ref="E2:W2"/>
    <mergeCell ref="Y2:AE2"/>
    <mergeCell ref="E3:W3"/>
    <mergeCell ref="B10:D10"/>
    <mergeCell ref="G10:I10"/>
    <mergeCell ref="L10:N10"/>
    <mergeCell ref="Q10:S10"/>
    <mergeCell ref="V10:Y10"/>
    <mergeCell ref="AB10:AD10"/>
    <mergeCell ref="B7:D9"/>
    <mergeCell ref="G7:I9"/>
    <mergeCell ref="L7:N9"/>
    <mergeCell ref="Q7:S9"/>
    <mergeCell ref="A5:E5"/>
    <mergeCell ref="F5:J5"/>
    <mergeCell ref="K5:O5"/>
    <mergeCell ref="P5:T5"/>
    <mergeCell ref="V7:Y9"/>
    <mergeCell ref="AB7:AD9"/>
    <mergeCell ref="A14:I14"/>
    <mergeCell ref="J14:S14"/>
    <mergeCell ref="T14:AE14"/>
    <mergeCell ref="E15:I20"/>
    <mergeCell ref="T57:V57"/>
    <mergeCell ref="W57:Y57"/>
    <mergeCell ref="T58:V58"/>
    <mergeCell ref="A59:J59"/>
    <mergeCell ref="W58:Y58"/>
    <mergeCell ref="T18:Z18"/>
    <mergeCell ref="A28:I28"/>
    <mergeCell ref="J28:S29"/>
    <mergeCell ref="T28:AE29"/>
    <mergeCell ref="A29:I29"/>
    <mergeCell ref="J23:N23"/>
    <mergeCell ref="O23:Q23"/>
    <mergeCell ref="T24:Z24"/>
    <mergeCell ref="AA24:AE24"/>
    <mergeCell ref="J25:N25"/>
    <mergeCell ref="A36:AE36"/>
    <mergeCell ref="A38:W38"/>
    <mergeCell ref="Y38:AE38"/>
    <mergeCell ref="T22:Z22"/>
    <mergeCell ref="V34:W34"/>
    <mergeCell ref="C34:D34"/>
    <mergeCell ref="F32:G32"/>
    <mergeCell ref="H32:I32"/>
    <mergeCell ref="S32:T32"/>
    <mergeCell ref="F33:G34"/>
    <mergeCell ref="H33:I34"/>
    <mergeCell ref="K33:K34"/>
    <mergeCell ref="L33:L34"/>
    <mergeCell ref="M33:M34"/>
    <mergeCell ref="O33:O34"/>
    <mergeCell ref="P33:P34"/>
    <mergeCell ref="Q33:Q34"/>
    <mergeCell ref="S33:T34"/>
  </mergeCells>
  <conditionalFormatting sqref="A40:A46">
    <cfRule type="expression" dxfId="1563" priority="21">
      <formula>ISNUMBER(SEARCH("100%",A40))</formula>
    </cfRule>
    <cfRule type="expression" dxfId="1562" priority="22">
      <formula>ISNUMBER(SEARCH("50%",A40))</formula>
    </cfRule>
    <cfRule type="expression" dxfId="1561" priority="23">
      <formula>ISNUMBER(SEARCH("n/a",A40))</formula>
    </cfRule>
  </conditionalFormatting>
  <conditionalFormatting sqref="D40:D46">
    <cfRule type="expression" dxfId="1560" priority="24">
      <formula>ISNUMBER(SEARCH("100%",D40))</formula>
    </cfRule>
    <cfRule type="expression" dxfId="1559" priority="25">
      <formula>ISNUMBER(SEARCH("50%",D40))</formula>
    </cfRule>
    <cfRule type="expression" dxfId="1558" priority="26">
      <formula>ISNUMBER(SEARCH("n/a",D40))</formula>
    </cfRule>
  </conditionalFormatting>
  <conditionalFormatting sqref="G40:G46">
    <cfRule type="expression" dxfId="1557" priority="27">
      <formula>ISNUMBER(SEARCH("100%",G40))</formula>
    </cfRule>
    <cfRule type="expression" dxfId="1556" priority="28">
      <formula>ISNUMBER(SEARCH("50%",G40))</formula>
    </cfRule>
    <cfRule type="expression" dxfId="1555" priority="29">
      <formula>ISNUMBER(SEARCH("n/a",G40))</formula>
    </cfRule>
  </conditionalFormatting>
  <conditionalFormatting sqref="J40:J46">
    <cfRule type="expression" dxfId="1554" priority="30">
      <formula>ISNUMBER(SEARCH("100%",J40))</formula>
    </cfRule>
    <cfRule type="expression" dxfId="1553" priority="31">
      <formula>ISNUMBER(SEARCH("50%",J40))</formula>
    </cfRule>
    <cfRule type="expression" dxfId="1552" priority="32">
      <formula>ISNUMBER(SEARCH("n/a",J40))</formula>
    </cfRule>
  </conditionalFormatting>
  <conditionalFormatting sqref="L51:L58">
    <cfRule type="expression" dxfId="1551" priority="6">
      <formula>L51="Yes"</formula>
    </cfRule>
    <cfRule type="expression" dxfId="1550" priority="7">
      <formula>L51="N/A"</formula>
    </cfRule>
    <cfRule type="expression" dxfId="1549" priority="8">
      <formula>L51="No"</formula>
    </cfRule>
  </conditionalFormatting>
  <conditionalFormatting sqref="M40:M46">
    <cfRule type="expression" dxfId="1548" priority="33">
      <formula>ISNUMBER(SEARCH("100%",M40))</formula>
    </cfRule>
    <cfRule type="expression" dxfId="1547" priority="34">
      <formula>ISNUMBER(SEARCH("50%",M40))</formula>
    </cfRule>
    <cfRule type="expression" dxfId="1546" priority="35">
      <formula>ISNUMBER(SEARCH("n/a",M40))</formula>
    </cfRule>
  </conditionalFormatting>
  <conditionalFormatting sqref="O17:Q17">
    <cfRule type="expression" dxfId="1545" priority="11">
      <formula>ISNUMBER(SEARCH("Review",O17))</formula>
    </cfRule>
    <cfRule type="expression" dxfId="1544" priority="12">
      <formula>ISNUMBER(SEARCH("Pass",O17))</formula>
    </cfRule>
  </conditionalFormatting>
  <conditionalFormatting sqref="O19:Q19">
    <cfRule type="expression" dxfId="1543" priority="13">
      <formula>ISNUMBER(SEARCH("Review",O19))</formula>
    </cfRule>
    <cfRule type="expression" dxfId="1542" priority="14">
      <formula>ISNUMBER(SEARCH("Pass",O19))</formula>
    </cfRule>
  </conditionalFormatting>
  <conditionalFormatting sqref="O21:Q21">
    <cfRule type="expression" dxfId="1541" priority="15">
      <formula>ISNUMBER(SEARCH("Review",O21))</formula>
    </cfRule>
    <cfRule type="expression" dxfId="1540" priority="16">
      <formula>ISNUMBER(SEARCH("Pass",O21))</formula>
    </cfRule>
  </conditionalFormatting>
  <conditionalFormatting sqref="O23:Q23">
    <cfRule type="expression" dxfId="1539" priority="17">
      <formula>ISNUMBER(SEARCH("Review",O23))</formula>
    </cfRule>
    <cfRule type="expression" dxfId="1538" priority="18">
      <formula>ISNUMBER(SEARCH("Pass",O23))</formula>
    </cfRule>
  </conditionalFormatting>
  <conditionalFormatting sqref="O25:Q25">
    <cfRule type="expression" dxfId="1537" priority="19">
      <formula>ISNUMBER(SEARCH("Review",O25))</formula>
    </cfRule>
    <cfRule type="expression" dxfId="1536" priority="20">
      <formula>ISNUMBER(SEARCH("Pass",O25))</formula>
    </cfRule>
  </conditionalFormatting>
  <conditionalFormatting sqref="P40:P46">
    <cfRule type="expression" dxfId="1535" priority="36">
      <formula>ISNUMBER(SEARCH("100%",P40))</formula>
    </cfRule>
    <cfRule type="expression" dxfId="1534" priority="37">
      <formula>ISNUMBER(SEARCH("50%",P40))</formula>
    </cfRule>
    <cfRule type="expression" dxfId="1533" priority="38">
      <formula>ISNUMBER(SEARCH("n/a",P40))</formula>
    </cfRule>
  </conditionalFormatting>
  <conditionalFormatting sqref="S40:S46">
    <cfRule type="expression" dxfId="1532" priority="39">
      <formula>ISNUMBER(SEARCH("100%",S40))</formula>
    </cfRule>
    <cfRule type="expression" dxfId="1531" priority="40">
      <formula>ISNUMBER(SEARCH("50%",S40))</formula>
    </cfRule>
    <cfRule type="expression" dxfId="1530" priority="41">
      <formula>ISNUMBER(SEARCH("n/a",S40))</formula>
    </cfRule>
  </conditionalFormatting>
  <conditionalFormatting sqref="V40:V46">
    <cfRule type="expression" dxfId="1529" priority="42">
      <formula>ISNUMBER(SEARCH("100%",V40))</formula>
    </cfRule>
    <cfRule type="expression" dxfId="1528" priority="43">
      <formula>ISNUMBER(SEARCH("50%",V40))</formula>
    </cfRule>
    <cfRule type="expression" dxfId="1527" priority="44">
      <formula>ISNUMBER(SEARCH("n/a",V40))</formula>
    </cfRule>
  </conditionalFormatting>
  <dataValidations disablePrompts="1" count="2">
    <dataValidation type="list" sqref="C51:C58 E51:E58" xr:uid="{E18E27D2-163C-427D-8A70-97401ABD6966}">
      <formula1>"1,2,3,4,5"</formula1>
    </dataValidation>
    <dataValidation type="list" sqref="L51:L58" xr:uid="{64D8125E-AF32-43EB-83AC-E128BC44FC45}">
      <formula1>"No,Yes,N/A"</formula1>
    </dataValidation>
  </dataValidations>
  <pageMargins left="0.7" right="0.7" top="0.75" bottom="0.75" header="0.3" footer="0.3"/>
  <pageSetup scale="30" fitToHeight="0"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F2F9B-D992-4F96-8F75-B93CF6603601}">
  <sheetPr>
    <pageSetUpPr fitToPage="1"/>
  </sheetPr>
  <dimension ref="A1:Z60"/>
  <sheetViews>
    <sheetView zoomScale="70" zoomScaleNormal="70" workbookViewId="0">
      <selection activeCell="A57" sqref="A57"/>
    </sheetView>
  </sheetViews>
  <sheetFormatPr defaultColWidth="8.88671875" defaultRowHeight="13.2"/>
  <cols>
    <col min="1" max="1" width="20" style="196" customWidth="1"/>
    <col min="2" max="2" width="25.5546875" style="196" customWidth="1"/>
    <col min="3" max="4" width="17.6640625" style="196" customWidth="1"/>
    <col min="5" max="5" width="18.77734375" style="196" customWidth="1"/>
    <col min="6" max="7" width="17.6640625" style="196" customWidth="1"/>
    <col min="8" max="8" width="31.88671875" style="196" customWidth="1"/>
    <col min="9" max="9" width="17.6640625" style="196" customWidth="1"/>
    <col min="10" max="10" width="44.44140625" style="196" customWidth="1"/>
    <col min="11" max="16384" width="8.88671875" style="196"/>
  </cols>
  <sheetData>
    <row r="1" spans="1:26" ht="21">
      <c r="A1" s="824" t="s">
        <v>5701</v>
      </c>
      <c r="B1" s="824"/>
      <c r="C1" s="824"/>
      <c r="D1" s="824"/>
      <c r="E1" s="824"/>
      <c r="F1" s="824"/>
      <c r="G1" s="824"/>
      <c r="H1" s="824"/>
      <c r="I1" s="824"/>
      <c r="J1" s="824"/>
      <c r="K1" s="253"/>
      <c r="L1" s="253"/>
      <c r="M1" s="253"/>
      <c r="N1" s="253"/>
      <c r="O1" s="253"/>
      <c r="P1" s="253"/>
      <c r="Q1" s="253"/>
      <c r="R1" s="253"/>
      <c r="S1" s="253"/>
      <c r="T1" s="253"/>
      <c r="U1" s="253"/>
      <c r="V1" s="253"/>
      <c r="W1" s="253"/>
      <c r="X1" s="253"/>
      <c r="Y1" s="253"/>
      <c r="Z1" s="253"/>
    </row>
    <row r="2" spans="1:26" ht="14.4">
      <c r="A2" s="825" t="s">
        <v>5702</v>
      </c>
      <c r="B2" s="825"/>
      <c r="C2" s="825"/>
      <c r="D2" s="825"/>
      <c r="E2" s="825"/>
      <c r="F2" s="825"/>
      <c r="G2" s="825"/>
      <c r="H2" s="825"/>
      <c r="I2" s="825"/>
      <c r="J2" s="825"/>
    </row>
    <row r="4" spans="1:26" ht="13.8">
      <c r="A4" s="258" t="s">
        <v>5703</v>
      </c>
      <c r="B4" s="258" t="s">
        <v>5704</v>
      </c>
      <c r="C4" s="258" t="s">
        <v>5705</v>
      </c>
      <c r="D4" s="258" t="s">
        <v>5706</v>
      </c>
      <c r="E4" s="258" t="s">
        <v>5707</v>
      </c>
      <c r="F4" s="258" t="s">
        <v>5708</v>
      </c>
      <c r="G4" s="258" t="s">
        <v>5709</v>
      </c>
      <c r="H4" s="258" t="s">
        <v>5710</v>
      </c>
      <c r="I4" s="258" t="s">
        <v>4590</v>
      </c>
      <c r="J4" s="258" t="s">
        <v>11</v>
      </c>
    </row>
    <row r="5" spans="1:26" ht="33.6" customHeight="1">
      <c r="A5" s="259" t="s">
        <v>5711</v>
      </c>
      <c r="B5" s="259">
        <v>20</v>
      </c>
      <c r="C5" s="259">
        <v>5</v>
      </c>
      <c r="D5" s="259">
        <f t="shared" ref="D5:D12" si="0">B5*C5</f>
        <v>100</v>
      </c>
      <c r="E5" s="259">
        <v>4</v>
      </c>
      <c r="F5" s="259">
        <f t="shared" ref="F5:F12" si="1">B5*E5</f>
        <v>80</v>
      </c>
      <c r="G5" s="259" t="s">
        <v>54</v>
      </c>
      <c r="H5" s="259" t="s">
        <v>5712</v>
      </c>
      <c r="I5" s="259" t="s">
        <v>536</v>
      </c>
      <c r="J5" s="259"/>
    </row>
    <row r="6" spans="1:26" ht="34.200000000000003" customHeight="1">
      <c r="A6" s="259" t="s">
        <v>5713</v>
      </c>
      <c r="B6" s="259">
        <v>15</v>
      </c>
      <c r="C6" s="259">
        <v>4</v>
      </c>
      <c r="D6" s="259">
        <f t="shared" si="0"/>
        <v>60</v>
      </c>
      <c r="E6" s="259">
        <v>5</v>
      </c>
      <c r="F6" s="259">
        <f t="shared" si="1"/>
        <v>75</v>
      </c>
      <c r="G6" s="259" t="s">
        <v>26</v>
      </c>
      <c r="H6" s="259" t="s">
        <v>5714</v>
      </c>
      <c r="I6" s="259" t="s">
        <v>5715</v>
      </c>
      <c r="J6" s="259"/>
    </row>
    <row r="7" spans="1:26" ht="22.8">
      <c r="A7" s="259" t="s">
        <v>5716</v>
      </c>
      <c r="B7" s="259">
        <v>15</v>
      </c>
      <c r="C7" s="259">
        <v>5</v>
      </c>
      <c r="D7" s="259">
        <f t="shared" si="0"/>
        <v>75</v>
      </c>
      <c r="E7" s="259">
        <v>3</v>
      </c>
      <c r="F7" s="259">
        <f t="shared" si="1"/>
        <v>45</v>
      </c>
      <c r="G7" s="259" t="s">
        <v>54</v>
      </c>
      <c r="H7" s="259" t="s">
        <v>5717</v>
      </c>
      <c r="I7" s="259" t="s">
        <v>536</v>
      </c>
      <c r="J7" s="259"/>
    </row>
    <row r="8" spans="1:26" ht="22.8">
      <c r="A8" s="259" t="s">
        <v>5718</v>
      </c>
      <c r="B8" s="259">
        <v>15</v>
      </c>
      <c r="C8" s="259">
        <v>3</v>
      </c>
      <c r="D8" s="259">
        <f t="shared" si="0"/>
        <v>45</v>
      </c>
      <c r="E8" s="259">
        <v>4</v>
      </c>
      <c r="F8" s="259">
        <f t="shared" si="1"/>
        <v>60</v>
      </c>
      <c r="G8" s="259" t="s">
        <v>26</v>
      </c>
      <c r="H8" s="259" t="s">
        <v>5719</v>
      </c>
      <c r="I8" s="259" t="s">
        <v>5720</v>
      </c>
      <c r="J8" s="259"/>
    </row>
    <row r="9" spans="1:26" ht="22.8">
      <c r="A9" s="259" t="s">
        <v>5721</v>
      </c>
      <c r="B9" s="259">
        <v>10</v>
      </c>
      <c r="C9" s="259">
        <v>5</v>
      </c>
      <c r="D9" s="259">
        <f t="shared" si="0"/>
        <v>50</v>
      </c>
      <c r="E9" s="259">
        <v>3</v>
      </c>
      <c r="F9" s="259">
        <f t="shared" si="1"/>
        <v>30</v>
      </c>
      <c r="G9" s="259" t="s">
        <v>54</v>
      </c>
      <c r="H9" s="259" t="s">
        <v>5722</v>
      </c>
      <c r="I9" s="259" t="s">
        <v>5723</v>
      </c>
      <c r="J9" s="259"/>
    </row>
    <row r="10" spans="1:26" ht="29.4" customHeight="1">
      <c r="A10" s="259" t="s">
        <v>5724</v>
      </c>
      <c r="B10" s="259">
        <v>10</v>
      </c>
      <c r="C10" s="259">
        <v>5</v>
      </c>
      <c r="D10" s="259">
        <f t="shared" si="0"/>
        <v>50</v>
      </c>
      <c r="E10" s="259">
        <v>3</v>
      </c>
      <c r="F10" s="259">
        <f t="shared" si="1"/>
        <v>30</v>
      </c>
      <c r="G10" s="259" t="s">
        <v>54</v>
      </c>
      <c r="H10" s="259" t="s">
        <v>5725</v>
      </c>
      <c r="I10" s="259" t="s">
        <v>5726</v>
      </c>
      <c r="J10" s="259"/>
    </row>
    <row r="11" spans="1:26" ht="22.2" customHeight="1">
      <c r="A11" s="259" t="s">
        <v>5727</v>
      </c>
      <c r="B11" s="259">
        <v>10</v>
      </c>
      <c r="C11" s="259">
        <v>4</v>
      </c>
      <c r="D11" s="259">
        <f t="shared" si="0"/>
        <v>40</v>
      </c>
      <c r="E11" s="259">
        <v>4</v>
      </c>
      <c r="F11" s="259">
        <f t="shared" si="1"/>
        <v>40</v>
      </c>
      <c r="G11" s="259" t="s">
        <v>5728</v>
      </c>
      <c r="H11" s="259" t="s">
        <v>5729</v>
      </c>
      <c r="I11" s="259" t="s">
        <v>5730</v>
      </c>
      <c r="J11" s="259"/>
    </row>
    <row r="12" spans="1:26">
      <c r="A12" s="259" t="s">
        <v>5731</v>
      </c>
      <c r="B12" s="259">
        <v>5</v>
      </c>
      <c r="C12" s="259">
        <v>5</v>
      </c>
      <c r="D12" s="259">
        <f t="shared" si="0"/>
        <v>25</v>
      </c>
      <c r="E12" s="259">
        <v>3</v>
      </c>
      <c r="F12" s="259">
        <f t="shared" si="1"/>
        <v>15</v>
      </c>
      <c r="G12" s="259" t="s">
        <v>54</v>
      </c>
      <c r="H12" s="259" t="s">
        <v>5732</v>
      </c>
      <c r="I12" s="259" t="s">
        <v>5733</v>
      </c>
      <c r="J12" s="259"/>
    </row>
    <row r="14" spans="1:26" ht="13.8">
      <c r="A14" s="260" t="s">
        <v>5734</v>
      </c>
      <c r="B14" s="260"/>
      <c r="C14" s="260"/>
      <c r="D14" s="260"/>
      <c r="E14" s="260"/>
      <c r="F14" s="260"/>
      <c r="G14" s="260"/>
      <c r="H14" s="260"/>
      <c r="I14" s="260"/>
      <c r="J14" s="260"/>
    </row>
    <row r="15" spans="1:26" ht="13.8">
      <c r="A15" s="523" t="s">
        <v>5735</v>
      </c>
      <c r="B15" s="524">
        <f>SUM(D5:D12)</f>
        <v>445</v>
      </c>
      <c r="C15" s="525" t="s">
        <v>5736</v>
      </c>
      <c r="D15" s="526">
        <f>SUM(F5:F12)</f>
        <v>375</v>
      </c>
      <c r="E15" s="261" t="s">
        <v>5737</v>
      </c>
      <c r="F15" s="527" t="str">
        <f>IF(B15&gt;D15,"B61",IF(D15&gt;B15,"B08","Tie"))</f>
        <v>B61</v>
      </c>
      <c r="G15" s="261"/>
      <c r="H15" s="261"/>
      <c r="I15" s="261"/>
      <c r="J15" s="261"/>
    </row>
    <row r="16" spans="1:26" ht="41.4" customHeight="1">
      <c r="A16" s="261"/>
      <c r="B16" s="261"/>
      <c r="C16" s="261"/>
      <c r="D16" s="261"/>
      <c r="E16" s="261"/>
      <c r="F16" s="261"/>
      <c r="G16" s="261"/>
      <c r="H16" s="261"/>
      <c r="I16" s="261"/>
      <c r="J16" s="261"/>
    </row>
    <row r="17" spans="1:10" ht="60.6" customHeight="1">
      <c r="A17" s="822" t="str">
        <f>IF(F15="B61","Use Building 61 as the preferred pilot because it is complex enough to prove contractor competency without exposing the project to MCR-level risk.","Use Building 8 as the preferred pilot if the owner wants a lower-risk first test before B61.")</f>
        <v>Use Building 61 as the preferred pilot because it is complex enough to prove contractor competency without exposing the project to MCR-level risk.</v>
      </c>
      <c r="B17" s="822"/>
      <c r="C17" s="822"/>
      <c r="D17" s="822"/>
      <c r="E17" s="822"/>
      <c r="F17" s="822"/>
      <c r="G17" s="822"/>
      <c r="H17" s="822"/>
      <c r="I17" s="822"/>
      <c r="J17" s="822"/>
    </row>
    <row r="18" spans="1:10" ht="110.4" customHeight="1">
      <c r="A18" s="261" t="s">
        <v>5739</v>
      </c>
      <c r="B18" s="826" t="s">
        <v>5740</v>
      </c>
      <c r="C18" s="826"/>
      <c r="D18" s="826"/>
      <c r="E18" s="826"/>
      <c r="F18" s="826"/>
      <c r="G18" s="826"/>
      <c r="H18" s="826"/>
      <c r="I18" s="261"/>
      <c r="J18" s="261"/>
    </row>
    <row r="21" spans="1:10" ht="27.6">
      <c r="A21" s="262" t="s">
        <v>5741</v>
      </c>
      <c r="B21" s="262"/>
      <c r="C21" s="262"/>
      <c r="D21" s="262"/>
      <c r="E21" s="262"/>
      <c r="F21" s="262"/>
      <c r="G21" s="262"/>
      <c r="H21" s="262"/>
      <c r="I21" s="262"/>
      <c r="J21" s="262"/>
    </row>
    <row r="22" spans="1:10" ht="27.6">
      <c r="A22" s="263" t="s">
        <v>5742</v>
      </c>
      <c r="B22" s="263" t="s">
        <v>5743</v>
      </c>
      <c r="C22" s="263" t="s">
        <v>216</v>
      </c>
      <c r="D22" s="263" t="s">
        <v>5744</v>
      </c>
      <c r="E22" s="263" t="s">
        <v>77</v>
      </c>
      <c r="F22" s="263" t="s">
        <v>11</v>
      </c>
      <c r="G22" s="263"/>
      <c r="H22" s="263"/>
      <c r="I22" s="263"/>
      <c r="J22" s="263"/>
    </row>
    <row r="23" spans="1:10" ht="22.8">
      <c r="A23" s="259" t="s">
        <v>364</v>
      </c>
      <c r="B23" s="259" t="s">
        <v>5745</v>
      </c>
      <c r="C23" s="259" t="s">
        <v>4765</v>
      </c>
      <c r="D23" s="259" t="s">
        <v>5746</v>
      </c>
      <c r="E23" s="259" t="s">
        <v>235</v>
      </c>
      <c r="F23" s="259"/>
    </row>
    <row r="24" spans="1:10" ht="22.8">
      <c r="A24" s="259" t="s">
        <v>368</v>
      </c>
      <c r="B24" s="259" t="s">
        <v>5747</v>
      </c>
      <c r="C24" s="259" t="s">
        <v>5748</v>
      </c>
      <c r="D24" s="259" t="s">
        <v>5749</v>
      </c>
      <c r="E24" s="259" t="s">
        <v>235</v>
      </c>
      <c r="F24" s="259"/>
    </row>
    <row r="25" spans="1:10" ht="22.8">
      <c r="A25" s="259" t="s">
        <v>685</v>
      </c>
      <c r="B25" s="259" t="s">
        <v>5750</v>
      </c>
      <c r="C25" s="259" t="s">
        <v>5751</v>
      </c>
      <c r="D25" s="259" t="s">
        <v>5752</v>
      </c>
      <c r="E25" s="259" t="s">
        <v>235</v>
      </c>
      <c r="F25" s="259"/>
    </row>
    <row r="26" spans="1:10" ht="22.8">
      <c r="A26" s="259" t="s">
        <v>686</v>
      </c>
      <c r="B26" s="259" t="s">
        <v>5753</v>
      </c>
      <c r="C26" s="259" t="s">
        <v>595</v>
      </c>
      <c r="D26" s="259" t="s">
        <v>5754</v>
      </c>
      <c r="E26" s="259" t="s">
        <v>235</v>
      </c>
      <c r="F26" s="259"/>
    </row>
    <row r="27" spans="1:10" ht="22.8">
      <c r="A27" s="259" t="s">
        <v>688</v>
      </c>
      <c r="B27" s="259" t="s">
        <v>5755</v>
      </c>
      <c r="C27" s="259" t="s">
        <v>5756</v>
      </c>
      <c r="D27" s="259" t="s">
        <v>5757</v>
      </c>
      <c r="E27" s="259" t="s">
        <v>235</v>
      </c>
      <c r="F27" s="259"/>
    </row>
    <row r="28" spans="1:10" ht="22.8">
      <c r="A28" s="259" t="s">
        <v>690</v>
      </c>
      <c r="B28" s="259" t="s">
        <v>5758</v>
      </c>
      <c r="C28" s="259" t="s">
        <v>5759</v>
      </c>
      <c r="D28" s="259" t="s">
        <v>5760</v>
      </c>
      <c r="E28" s="259" t="s">
        <v>235</v>
      </c>
      <c r="F28" s="259"/>
    </row>
    <row r="29" spans="1:10">
      <c r="A29" s="259" t="s">
        <v>693</v>
      </c>
      <c r="B29" s="259" t="s">
        <v>5761</v>
      </c>
      <c r="C29" s="259" t="s">
        <v>5762</v>
      </c>
      <c r="D29" s="259" t="s">
        <v>5763</v>
      </c>
      <c r="E29" s="259" t="s">
        <v>235</v>
      </c>
      <c r="F29" s="259"/>
    </row>
    <row r="32" spans="1:10" ht="17.399999999999999">
      <c r="A32" s="827" t="s">
        <v>5965</v>
      </c>
      <c r="B32" s="827"/>
      <c r="C32" s="827"/>
      <c r="D32" s="827"/>
      <c r="E32" s="827"/>
      <c r="F32" s="827"/>
      <c r="G32" s="827"/>
      <c r="H32" s="827"/>
    </row>
    <row r="33" spans="1:8">
      <c r="A33" s="276" t="s">
        <v>2</v>
      </c>
      <c r="B33" s="828" t="s">
        <v>5770</v>
      </c>
      <c r="C33" s="828"/>
      <c r="D33" s="828"/>
      <c r="E33" s="828"/>
      <c r="F33" s="828"/>
      <c r="G33" s="828"/>
      <c r="H33" s="828"/>
    </row>
    <row r="34" spans="1:8">
      <c r="A34" s="276" t="s">
        <v>5771</v>
      </c>
      <c r="B34" s="828" t="s">
        <v>5772</v>
      </c>
      <c r="C34" s="828"/>
      <c r="D34" s="828"/>
      <c r="E34" s="828"/>
      <c r="F34" s="828"/>
      <c r="G34" s="828"/>
      <c r="H34" s="828"/>
    </row>
    <row r="36" spans="1:8">
      <c r="A36" s="323" t="s">
        <v>4946</v>
      </c>
      <c r="B36" s="323" t="s">
        <v>77</v>
      </c>
      <c r="C36" s="323" t="s">
        <v>5773</v>
      </c>
      <c r="D36" s="323" t="s">
        <v>263</v>
      </c>
      <c r="E36" s="323" t="s">
        <v>216</v>
      </c>
      <c r="F36" s="323" t="s">
        <v>5774</v>
      </c>
      <c r="G36" s="323" t="s">
        <v>5775</v>
      </c>
      <c r="H36" s="323" t="s">
        <v>5776</v>
      </c>
    </row>
    <row r="37" spans="1:8" ht="18" customHeight="1">
      <c r="A37" s="277" t="s">
        <v>5777</v>
      </c>
      <c r="B37" s="278" t="s">
        <v>1096</v>
      </c>
      <c r="C37" s="277"/>
      <c r="D37" s="277"/>
      <c r="E37" s="277"/>
      <c r="F37" s="277"/>
      <c r="G37" s="279" t="str">
        <f t="shared" ref="G37:G44" si="2">IF(OR(B37="Yes",B37="N/A"),"🟢","🟡")</f>
        <v>🟡</v>
      </c>
      <c r="H37" s="277"/>
    </row>
    <row r="38" spans="1:8" ht="18.600000000000001" customHeight="1">
      <c r="A38" s="277" t="s">
        <v>5778</v>
      </c>
      <c r="B38" s="278" t="s">
        <v>1096</v>
      </c>
      <c r="C38" s="277"/>
      <c r="D38" s="277"/>
      <c r="E38" s="277"/>
      <c r="F38" s="277"/>
      <c r="G38" s="279" t="str">
        <f t="shared" si="2"/>
        <v>🟡</v>
      </c>
      <c r="H38" s="277"/>
    </row>
    <row r="39" spans="1:8" ht="21.6" customHeight="1">
      <c r="A39" s="277" t="s">
        <v>5779</v>
      </c>
      <c r="B39" s="278" t="s">
        <v>1096</v>
      </c>
      <c r="C39" s="277"/>
      <c r="D39" s="277"/>
      <c r="E39" s="277"/>
      <c r="F39" s="277"/>
      <c r="G39" s="279" t="str">
        <f t="shared" si="2"/>
        <v>🟡</v>
      </c>
      <c r="H39" s="277"/>
    </row>
    <row r="40" spans="1:8" ht="22.8" customHeight="1">
      <c r="A40" s="277" t="s">
        <v>5168</v>
      </c>
      <c r="B40" s="278" t="s">
        <v>1096</v>
      </c>
      <c r="C40" s="277"/>
      <c r="D40" s="277"/>
      <c r="E40" s="277"/>
      <c r="F40" s="277"/>
      <c r="G40" s="279" t="str">
        <f t="shared" si="2"/>
        <v>🟡</v>
      </c>
      <c r="H40" s="277"/>
    </row>
    <row r="41" spans="1:8" ht="19.2" customHeight="1">
      <c r="A41" s="277" t="s">
        <v>5780</v>
      </c>
      <c r="B41" s="278" t="s">
        <v>1096</v>
      </c>
      <c r="C41" s="277"/>
      <c r="D41" s="277"/>
      <c r="E41" s="277"/>
      <c r="F41" s="277"/>
      <c r="G41" s="279" t="str">
        <f t="shared" si="2"/>
        <v>🟡</v>
      </c>
      <c r="H41" s="277"/>
    </row>
    <row r="42" spans="1:8" ht="19.2" customHeight="1">
      <c r="A42" s="277" t="s">
        <v>5781</v>
      </c>
      <c r="B42" s="278" t="s">
        <v>1096</v>
      </c>
      <c r="C42" s="277"/>
      <c r="D42" s="277"/>
      <c r="E42" s="277"/>
      <c r="F42" s="277"/>
      <c r="G42" s="279" t="str">
        <f t="shared" si="2"/>
        <v>🟡</v>
      </c>
      <c r="H42" s="277"/>
    </row>
    <row r="43" spans="1:8" ht="21.6" customHeight="1">
      <c r="A43" s="277" t="s">
        <v>178</v>
      </c>
      <c r="B43" s="278" t="s">
        <v>1096</v>
      </c>
      <c r="C43" s="277"/>
      <c r="D43" s="277"/>
      <c r="E43" s="277"/>
      <c r="F43" s="277"/>
      <c r="G43" s="279" t="str">
        <f t="shared" si="2"/>
        <v>🟡</v>
      </c>
      <c r="H43" s="277"/>
    </row>
    <row r="44" spans="1:8" ht="29.4" customHeight="1">
      <c r="A44" s="277" t="s">
        <v>5782</v>
      </c>
      <c r="B44" s="278" t="s">
        <v>1096</v>
      </c>
      <c r="C44" s="277"/>
      <c r="D44" s="277"/>
      <c r="E44" s="277"/>
      <c r="F44" s="277"/>
      <c r="G44" s="279" t="str">
        <f t="shared" si="2"/>
        <v>🟡</v>
      </c>
      <c r="H44" s="277"/>
    </row>
    <row r="45" spans="1:8">
      <c r="A45" s="324" t="s">
        <v>4946</v>
      </c>
      <c r="B45" s="324" t="s">
        <v>5790</v>
      </c>
      <c r="E45" s="324" t="s">
        <v>5791</v>
      </c>
    </row>
    <row r="46" spans="1:8" ht="47.4" customHeight="1">
      <c r="A46" s="291" t="s">
        <v>5777</v>
      </c>
      <c r="B46" s="768" t="s">
        <v>5792</v>
      </c>
      <c r="C46" s="768"/>
      <c r="D46" s="768"/>
      <c r="E46" s="768" t="s">
        <v>5793</v>
      </c>
      <c r="F46" s="768"/>
      <c r="G46" s="768"/>
    </row>
    <row r="47" spans="1:8" ht="37.799999999999997" customHeight="1">
      <c r="A47" s="291" t="s">
        <v>5778</v>
      </c>
      <c r="B47" s="768" t="s">
        <v>5794</v>
      </c>
      <c r="C47" s="768"/>
      <c r="D47" s="768"/>
      <c r="E47" s="768" t="s">
        <v>5795</v>
      </c>
      <c r="F47" s="768"/>
      <c r="G47" s="768"/>
    </row>
    <row r="48" spans="1:8" ht="37.200000000000003" customHeight="1">
      <c r="A48" s="291" t="s">
        <v>5779</v>
      </c>
      <c r="B48" s="768" t="s">
        <v>5796</v>
      </c>
      <c r="C48" s="768"/>
      <c r="D48" s="768"/>
      <c r="E48" s="768" t="s">
        <v>5797</v>
      </c>
      <c r="F48" s="768"/>
      <c r="G48" s="768"/>
    </row>
    <row r="49" spans="1:8" ht="28.8" customHeight="1">
      <c r="A49" s="291" t="s">
        <v>5168</v>
      </c>
      <c r="B49" s="768" t="s">
        <v>5798</v>
      </c>
      <c r="C49" s="768"/>
      <c r="D49" s="768"/>
      <c r="E49" s="768" t="s">
        <v>5799</v>
      </c>
      <c r="F49" s="768"/>
      <c r="G49" s="768"/>
    </row>
    <row r="50" spans="1:8" ht="27" customHeight="1">
      <c r="A50" s="291" t="s">
        <v>5780</v>
      </c>
      <c r="B50" s="768" t="s">
        <v>5800</v>
      </c>
      <c r="C50" s="768"/>
      <c r="D50" s="768"/>
      <c r="E50" s="768" t="s">
        <v>5801</v>
      </c>
      <c r="F50" s="768"/>
      <c r="G50" s="768"/>
    </row>
    <row r="51" spans="1:8" ht="36.6" customHeight="1">
      <c r="A51" s="291" t="s">
        <v>5781</v>
      </c>
      <c r="B51" s="768" t="s">
        <v>5802</v>
      </c>
      <c r="C51" s="768"/>
      <c r="D51" s="768"/>
      <c r="E51" s="768" t="s">
        <v>5803</v>
      </c>
      <c r="F51" s="768"/>
      <c r="G51" s="768"/>
    </row>
    <row r="52" spans="1:8" ht="37.799999999999997" customHeight="1">
      <c r="A52" s="291" t="s">
        <v>178</v>
      </c>
      <c r="B52" s="768" t="s">
        <v>5804</v>
      </c>
      <c r="C52" s="768"/>
      <c r="D52" s="768"/>
      <c r="E52" s="768" t="s">
        <v>5805</v>
      </c>
      <c r="F52" s="768"/>
      <c r="G52" s="768"/>
    </row>
    <row r="53" spans="1:8" ht="37.799999999999997" customHeight="1">
      <c r="A53" s="291" t="s">
        <v>5782</v>
      </c>
      <c r="B53" s="768" t="s">
        <v>5806</v>
      </c>
      <c r="C53" s="768"/>
      <c r="D53" s="768"/>
      <c r="E53" s="768" t="s">
        <v>5807</v>
      </c>
      <c r="F53" s="768"/>
      <c r="G53" s="768"/>
    </row>
    <row r="54" spans="1:8" ht="27" customHeight="1">
      <c r="A54" s="276" t="s">
        <v>5783</v>
      </c>
      <c r="B54" s="280" t="str">
        <f>IF(COUNTIF(B37:B44,"No")=0,"🟢 PILOT COMPLETE / ACCEPTANCE READY","🟡 NOT COMPLETE — ACCEPTANCE GATES OPEN")</f>
        <v>🟡 NOT COMPLETE — ACCEPTANCE GATES OPEN</v>
      </c>
      <c r="C54" s="280"/>
      <c r="D54" s="280"/>
      <c r="E54" s="280"/>
      <c r="F54" s="280"/>
      <c r="G54" s="280"/>
      <c r="H54" s="280"/>
    </row>
    <row r="55" spans="1:8">
      <c r="A55" s="276" t="s">
        <v>5784</v>
      </c>
      <c r="B55" s="280">
        <f>COUNTIF(B37:B44,"No")</f>
        <v>8</v>
      </c>
      <c r="C55" s="280"/>
      <c r="D55" s="280"/>
      <c r="E55" s="280"/>
      <c r="F55" s="280"/>
      <c r="G55" s="280"/>
      <c r="H55" s="280"/>
    </row>
    <row r="56" spans="1:8" ht="22.2" customHeight="1">
      <c r="A56" s="276" t="s">
        <v>5785</v>
      </c>
      <c r="B56" s="280" t="str">
        <f>COUNTIF(B37:B44,"Yes")&amp;" / 8 Complete"</f>
        <v>0 / 8 Complete</v>
      </c>
      <c r="C56" s="280"/>
      <c r="D56" s="280"/>
      <c r="E56" s="280"/>
      <c r="F56" s="280"/>
      <c r="G56" s="280"/>
      <c r="H56" s="280"/>
    </row>
    <row r="57" spans="1:8" ht="66">
      <c r="A57" s="528" t="s">
        <v>5786</v>
      </c>
      <c r="B57" s="282" t="s">
        <v>5787</v>
      </c>
      <c r="C57" s="282"/>
      <c r="D57" s="282"/>
      <c r="E57" s="282"/>
      <c r="F57" s="282"/>
      <c r="G57" s="282"/>
      <c r="H57" s="282"/>
    </row>
    <row r="58" spans="1:8">
      <c r="A58" s="281"/>
      <c r="B58" s="282"/>
      <c r="C58" s="282"/>
      <c r="D58" s="282"/>
      <c r="E58" s="282"/>
      <c r="F58" s="282"/>
      <c r="G58" s="282"/>
      <c r="H58" s="282"/>
    </row>
    <row r="59" spans="1:8" ht="52.8">
      <c r="A59" s="528" t="s">
        <v>5788</v>
      </c>
      <c r="B59" s="282" t="s">
        <v>5789</v>
      </c>
      <c r="C59" s="282"/>
      <c r="D59" s="282"/>
      <c r="E59" s="282"/>
      <c r="F59" s="282"/>
      <c r="G59" s="282"/>
      <c r="H59" s="282"/>
    </row>
    <row r="60" spans="1:8" ht="14.4">
      <c r="A60" s="8"/>
      <c r="B60" s="8"/>
      <c r="C60" s="8"/>
      <c r="D60" s="8"/>
      <c r="E60" s="8"/>
      <c r="F60" s="8"/>
      <c r="G60" s="8"/>
      <c r="H60" s="8"/>
    </row>
  </sheetData>
  <mergeCells count="23">
    <mergeCell ref="B51:D51"/>
    <mergeCell ref="E51:G51"/>
    <mergeCell ref="B52:D52"/>
    <mergeCell ref="E52:G52"/>
    <mergeCell ref="B53:D53"/>
    <mergeCell ref="E53:G53"/>
    <mergeCell ref="B48:D48"/>
    <mergeCell ref="E48:G48"/>
    <mergeCell ref="B49:D49"/>
    <mergeCell ref="E49:G49"/>
    <mergeCell ref="B50:D50"/>
    <mergeCell ref="E50:G50"/>
    <mergeCell ref="B33:H33"/>
    <mergeCell ref="B34:H34"/>
    <mergeCell ref="B46:D46"/>
    <mergeCell ref="E46:G46"/>
    <mergeCell ref="B47:D47"/>
    <mergeCell ref="E47:G47"/>
    <mergeCell ref="A1:J1"/>
    <mergeCell ref="A2:J2"/>
    <mergeCell ref="A17:J17"/>
    <mergeCell ref="B18:H18"/>
    <mergeCell ref="A32:H32"/>
  </mergeCells>
  <conditionalFormatting sqref="B37:B44">
    <cfRule type="expression" dxfId="1526" priority="1">
      <formula>B37="Yes"</formula>
    </cfRule>
    <cfRule type="expression" dxfId="1525" priority="2">
      <formula>B37="N/A"</formula>
    </cfRule>
    <cfRule type="expression" dxfId="1524" priority="3">
      <formula>B37="No"</formula>
    </cfRule>
  </conditionalFormatting>
  <conditionalFormatting sqref="B54:H54">
    <cfRule type="expression" dxfId="1523" priority="4">
      <formula>COUNTIF($B$6:$B$13,"No")=0</formula>
    </cfRule>
    <cfRule type="expression" dxfId="1522" priority="5">
      <formula>COUNTIF($B$6:$B$13,"No")&gt;0</formula>
    </cfRule>
  </conditionalFormatting>
  <dataValidations count="3">
    <dataValidation type="list" sqref="E23:E29" xr:uid="{36B09F63-27F0-415C-BFB2-C79ED4262DB6}">
      <formula1>"Open,In Progress,Complete,Rejected"</formula1>
    </dataValidation>
    <dataValidation type="list" sqref="C5:C12 E5:E12" xr:uid="{86969FF9-2855-4EEF-AAF4-E80F11FFA1B5}">
      <formula1>"1,2,3,4,5"</formula1>
    </dataValidation>
    <dataValidation type="list" sqref="B37:B44" xr:uid="{48AE2412-FEF8-4488-B830-EB8E1E17EF09}">
      <formula1>"No,Yes,N/A"</formula1>
    </dataValidation>
  </dataValidations>
  <pageMargins left="0.7" right="0.7" top="0.75" bottom="0.75" header="0.3" footer="0.3"/>
  <pageSetup scale="47" fitToWidth="0"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88132-F5DD-4F09-AF9A-3996C188ADAC}">
  <dimension ref="A1:G201"/>
  <sheetViews>
    <sheetView workbookViewId="0"/>
  </sheetViews>
  <sheetFormatPr defaultColWidth="8.88671875" defaultRowHeight="14.4"/>
  <cols>
    <col min="1" max="2" width="22" style="8" customWidth="1"/>
    <col min="3" max="3" width="26" style="8" customWidth="1"/>
    <col min="4" max="4" width="16" style="8" customWidth="1"/>
    <col min="5" max="5" width="28" style="8" customWidth="1"/>
    <col min="6" max="6" width="26" style="8" customWidth="1"/>
    <col min="7" max="7" width="42" style="8" customWidth="1"/>
  </cols>
  <sheetData>
    <row r="1" spans="1:7" ht="7.65" customHeight="1">
      <c r="A1" s="69" t="s">
        <v>454</v>
      </c>
    </row>
    <row r="2" spans="1:7" ht="6.15" customHeight="1">
      <c r="A2" s="70" t="s">
        <v>455</v>
      </c>
    </row>
    <row r="3" spans="1:7" ht="6.45" customHeight="1">
      <c r="A3" s="66" t="s">
        <v>302</v>
      </c>
      <c r="B3" s="66" t="s">
        <v>303</v>
      </c>
      <c r="C3" s="66" t="s">
        <v>304</v>
      </c>
      <c r="D3" s="66" t="s">
        <v>305</v>
      </c>
      <c r="E3" s="66" t="s">
        <v>306</v>
      </c>
      <c r="F3" s="66" t="s">
        <v>456</v>
      </c>
      <c r="G3" s="66" t="s">
        <v>11</v>
      </c>
    </row>
    <row r="4" spans="1:7" ht="5.4" customHeight="1">
      <c r="A4" s="12" t="s">
        <v>189</v>
      </c>
      <c r="B4" s="12" t="s">
        <v>457</v>
      </c>
      <c r="C4" s="12" t="s">
        <v>458</v>
      </c>
      <c r="D4" s="12" t="s">
        <v>459</v>
      </c>
      <c r="E4" s="12" t="s">
        <v>460</v>
      </c>
      <c r="F4" s="12" t="s">
        <v>461</v>
      </c>
      <c r="G4" s="12" t="s">
        <v>462</v>
      </c>
    </row>
    <row r="5" spans="1:7" ht="7.35" customHeight="1">
      <c r="A5" s="12" t="s">
        <v>463</v>
      </c>
      <c r="B5" s="12" t="s">
        <v>457</v>
      </c>
      <c r="C5" s="12" t="s">
        <v>464</v>
      </c>
      <c r="D5" s="12" t="s">
        <v>465</v>
      </c>
      <c r="E5" s="71" t="s">
        <v>466</v>
      </c>
      <c r="F5" s="12"/>
      <c r="G5" s="12"/>
    </row>
    <row r="6" spans="1:7" ht="7.35" customHeight="1">
      <c r="A6" s="12" t="s">
        <v>191</v>
      </c>
      <c r="B6" s="12" t="s">
        <v>241</v>
      </c>
      <c r="C6" s="12" t="s">
        <v>467</v>
      </c>
      <c r="D6" s="12" t="s">
        <v>468</v>
      </c>
      <c r="E6" s="12" t="s">
        <v>469</v>
      </c>
      <c r="F6" s="12" t="s">
        <v>470</v>
      </c>
      <c r="G6" s="12" t="s">
        <v>471</v>
      </c>
    </row>
    <row r="7" spans="1:7" ht="5.4" customHeight="1">
      <c r="A7" s="12" t="s">
        <v>472</v>
      </c>
      <c r="B7" s="12" t="s">
        <v>241</v>
      </c>
      <c r="C7" s="12" t="s">
        <v>473</v>
      </c>
      <c r="D7" s="12" t="s">
        <v>474</v>
      </c>
      <c r="E7" s="12" t="s">
        <v>475</v>
      </c>
      <c r="F7" s="12" t="s">
        <v>476</v>
      </c>
      <c r="G7" s="12"/>
    </row>
    <row r="8" spans="1:7" ht="14.7" customHeight="1">
      <c r="A8" s="12" t="s">
        <v>477</v>
      </c>
      <c r="B8" s="12" t="s">
        <v>241</v>
      </c>
      <c r="C8" s="12" t="s">
        <v>478</v>
      </c>
      <c r="D8" s="12" t="s">
        <v>479</v>
      </c>
      <c r="E8" s="71" t="s">
        <v>480</v>
      </c>
      <c r="F8" s="12" t="s">
        <v>481</v>
      </c>
      <c r="G8" s="12"/>
    </row>
    <row r="9" spans="1:7" ht="7.35" customHeight="1">
      <c r="A9" s="12"/>
      <c r="B9" s="12"/>
      <c r="C9" s="12"/>
      <c r="D9" s="12"/>
      <c r="E9" s="12"/>
      <c r="F9" s="12"/>
      <c r="G9" s="12"/>
    </row>
    <row r="10" spans="1:7" ht="7.35" customHeight="1">
      <c r="A10" s="12"/>
      <c r="B10" s="12"/>
      <c r="C10" s="12"/>
      <c r="D10" s="12"/>
      <c r="E10" s="12"/>
      <c r="F10" s="12"/>
      <c r="G10" s="12"/>
    </row>
    <row r="11" spans="1:7" ht="7.35" customHeight="1">
      <c r="A11" s="12"/>
      <c r="B11" s="12"/>
      <c r="C11" s="12"/>
      <c r="D11" s="12"/>
      <c r="E11" s="12"/>
      <c r="F11" s="12"/>
      <c r="G11" s="12"/>
    </row>
    <row r="12" spans="1:7" ht="7.35" customHeight="1">
      <c r="A12" s="12"/>
      <c r="B12" s="12"/>
      <c r="C12" s="12"/>
      <c r="D12" s="12"/>
      <c r="E12" s="12"/>
      <c r="F12" s="12"/>
      <c r="G12" s="12"/>
    </row>
    <row r="13" spans="1:7" ht="7.35" customHeight="1">
      <c r="A13" s="12"/>
      <c r="B13" s="12"/>
      <c r="C13" s="12"/>
      <c r="D13" s="12"/>
      <c r="E13" s="12"/>
      <c r="F13" s="12"/>
      <c r="G13" s="12"/>
    </row>
    <row r="14" spans="1:7" ht="7.35" customHeight="1">
      <c r="A14" s="12"/>
      <c r="B14" s="12"/>
      <c r="C14" s="12"/>
      <c r="D14" s="12"/>
      <c r="E14" s="12"/>
      <c r="F14" s="12"/>
      <c r="G14" s="12"/>
    </row>
    <row r="15" spans="1:7" ht="7.35" customHeight="1">
      <c r="A15" s="12"/>
      <c r="B15" s="12"/>
      <c r="C15" s="12"/>
      <c r="D15" s="12"/>
      <c r="E15" s="12"/>
      <c r="F15" s="12"/>
      <c r="G15" s="12"/>
    </row>
    <row r="16" spans="1:7" ht="7.35" customHeight="1">
      <c r="A16" s="12"/>
      <c r="B16" s="12"/>
      <c r="C16" s="12"/>
      <c r="D16" s="12"/>
      <c r="E16" s="12"/>
      <c r="F16" s="12"/>
      <c r="G16" s="12"/>
    </row>
    <row r="17" spans="1:7" ht="7.35" customHeight="1">
      <c r="A17" s="12"/>
      <c r="B17" s="12"/>
      <c r="C17" s="12"/>
      <c r="D17" s="12"/>
      <c r="E17" s="12"/>
      <c r="F17" s="12"/>
      <c r="G17" s="12"/>
    </row>
    <row r="18" spans="1:7" ht="7.35" customHeight="1">
      <c r="A18" s="12"/>
      <c r="B18" s="12"/>
      <c r="C18" s="12"/>
      <c r="D18" s="12"/>
      <c r="E18" s="12"/>
      <c r="F18" s="12"/>
      <c r="G18" s="12"/>
    </row>
    <row r="19" spans="1:7" ht="7.35" customHeight="1">
      <c r="A19" s="12"/>
      <c r="B19" s="12"/>
      <c r="C19" s="12"/>
      <c r="D19" s="12"/>
      <c r="E19" s="12"/>
      <c r="F19" s="12"/>
      <c r="G19" s="12"/>
    </row>
    <row r="20" spans="1:7" ht="7.35" customHeight="1">
      <c r="A20" s="12"/>
      <c r="B20" s="12"/>
      <c r="C20" s="12"/>
      <c r="D20" s="12"/>
      <c r="E20" s="12"/>
      <c r="F20" s="12"/>
      <c r="G20" s="12"/>
    </row>
    <row r="21" spans="1:7" ht="7.35" customHeight="1">
      <c r="A21" s="12"/>
      <c r="B21" s="12"/>
      <c r="C21" s="12"/>
      <c r="D21" s="12"/>
      <c r="E21" s="12"/>
      <c r="F21" s="12"/>
      <c r="G21" s="12"/>
    </row>
    <row r="22" spans="1:7" ht="7.35" customHeight="1">
      <c r="A22" s="12"/>
      <c r="B22" s="12"/>
      <c r="C22" s="12"/>
      <c r="D22" s="12"/>
      <c r="E22" s="12"/>
      <c r="F22" s="12"/>
      <c r="G22" s="12"/>
    </row>
    <row r="23" spans="1:7" ht="7.35" customHeight="1">
      <c r="A23" s="12"/>
      <c r="B23" s="12"/>
      <c r="C23" s="12"/>
      <c r="D23" s="12"/>
      <c r="E23" s="12"/>
      <c r="F23" s="12"/>
      <c r="G23" s="12"/>
    </row>
    <row r="24" spans="1:7" ht="7.35" customHeight="1">
      <c r="A24" s="12"/>
      <c r="B24" s="12"/>
      <c r="C24" s="12"/>
      <c r="D24" s="12"/>
      <c r="E24" s="12"/>
      <c r="F24" s="12"/>
      <c r="G24" s="12"/>
    </row>
    <row r="25" spans="1:7" ht="7.35" customHeight="1">
      <c r="A25" s="12"/>
      <c r="B25" s="12"/>
      <c r="C25" s="12"/>
      <c r="D25" s="12"/>
      <c r="E25" s="12"/>
      <c r="F25" s="12"/>
      <c r="G25" s="12"/>
    </row>
    <row r="26" spans="1:7" ht="7.35" customHeight="1">
      <c r="A26" s="12"/>
      <c r="B26" s="12"/>
      <c r="C26" s="12"/>
      <c r="D26" s="12"/>
      <c r="E26" s="12"/>
      <c r="F26" s="12"/>
      <c r="G26" s="12"/>
    </row>
    <row r="27" spans="1:7" ht="7.35" customHeight="1">
      <c r="A27" s="12"/>
      <c r="B27" s="12"/>
      <c r="C27" s="12"/>
      <c r="D27" s="12"/>
      <c r="E27" s="12"/>
      <c r="F27" s="12"/>
      <c r="G27" s="12"/>
    </row>
    <row r="28" spans="1:7" ht="7.35" customHeight="1">
      <c r="A28" s="12"/>
      <c r="B28" s="12"/>
      <c r="C28" s="12"/>
      <c r="D28" s="12"/>
      <c r="E28" s="12"/>
      <c r="F28" s="12"/>
      <c r="G28" s="12"/>
    </row>
    <row r="29" spans="1:7" ht="7.35" customHeight="1">
      <c r="A29" s="12"/>
      <c r="B29" s="12"/>
      <c r="C29" s="12"/>
      <c r="D29" s="12"/>
      <c r="E29" s="12"/>
      <c r="F29" s="12"/>
      <c r="G29" s="12"/>
    </row>
    <row r="30" spans="1:7" ht="7.35" customHeight="1">
      <c r="A30" s="12"/>
      <c r="B30" s="12"/>
      <c r="C30" s="12"/>
      <c r="D30" s="12"/>
      <c r="E30" s="12"/>
      <c r="F30" s="12"/>
      <c r="G30" s="12"/>
    </row>
    <row r="31" spans="1:7" ht="7.35" customHeight="1">
      <c r="A31" s="12"/>
      <c r="B31" s="12"/>
      <c r="C31" s="12"/>
      <c r="D31" s="12"/>
      <c r="E31" s="12"/>
      <c r="F31" s="12"/>
      <c r="G31" s="12"/>
    </row>
    <row r="32" spans="1:7" ht="7.35" customHeight="1">
      <c r="A32" s="12"/>
      <c r="B32" s="12"/>
      <c r="C32" s="12"/>
      <c r="D32" s="12"/>
      <c r="E32" s="12"/>
      <c r="F32" s="12"/>
      <c r="G32" s="12"/>
    </row>
    <row r="33" spans="1:7" ht="7.35" customHeight="1">
      <c r="A33" s="12"/>
      <c r="B33" s="12"/>
      <c r="C33" s="12"/>
      <c r="D33" s="12"/>
      <c r="E33" s="12"/>
      <c r="F33" s="12"/>
      <c r="G33" s="12"/>
    </row>
    <row r="34" spans="1:7" ht="7.35" customHeight="1">
      <c r="A34" s="12"/>
      <c r="B34" s="12"/>
      <c r="C34" s="12"/>
      <c r="D34" s="12"/>
      <c r="E34" s="12"/>
      <c r="F34" s="12"/>
      <c r="G34" s="12"/>
    </row>
    <row r="35" spans="1:7" ht="7.35" customHeight="1">
      <c r="A35" s="12"/>
      <c r="B35" s="12"/>
      <c r="C35" s="12"/>
      <c r="D35" s="12"/>
      <c r="E35" s="12"/>
      <c r="F35" s="12"/>
      <c r="G35" s="12"/>
    </row>
    <row r="36" spans="1:7" ht="7.35" customHeight="1">
      <c r="A36" s="12"/>
      <c r="B36" s="12"/>
      <c r="C36" s="12"/>
      <c r="D36" s="12"/>
      <c r="E36" s="12"/>
      <c r="F36" s="12"/>
      <c r="G36" s="12"/>
    </row>
    <row r="37" spans="1:7" ht="7.35" customHeight="1">
      <c r="A37" s="12"/>
      <c r="B37" s="12"/>
      <c r="C37" s="12"/>
      <c r="D37" s="12"/>
      <c r="E37" s="12"/>
      <c r="F37" s="12"/>
      <c r="G37" s="12"/>
    </row>
    <row r="38" spans="1:7" ht="7.35" customHeight="1">
      <c r="A38" s="12"/>
      <c r="B38" s="12"/>
      <c r="C38" s="12"/>
      <c r="D38" s="12"/>
      <c r="E38" s="12"/>
      <c r="F38" s="12"/>
      <c r="G38" s="12"/>
    </row>
    <row r="39" spans="1:7" ht="7.35" customHeight="1">
      <c r="A39" s="12"/>
      <c r="B39" s="12"/>
      <c r="C39" s="12"/>
      <c r="D39" s="12"/>
      <c r="E39" s="12"/>
      <c r="F39" s="12"/>
      <c r="G39" s="12"/>
    </row>
    <row r="40" spans="1:7" ht="7.35" customHeight="1">
      <c r="A40" s="12"/>
      <c r="B40" s="12"/>
      <c r="C40" s="12"/>
      <c r="D40" s="12"/>
      <c r="E40" s="12"/>
      <c r="F40" s="12"/>
      <c r="G40" s="12"/>
    </row>
    <row r="41" spans="1:7" ht="7.35" customHeight="1">
      <c r="A41" s="12"/>
      <c r="B41" s="12"/>
      <c r="C41" s="12"/>
      <c r="D41" s="12"/>
      <c r="E41" s="12"/>
      <c r="F41" s="12"/>
      <c r="G41" s="12"/>
    </row>
    <row r="42" spans="1:7" ht="7.35" customHeight="1">
      <c r="A42" s="12"/>
      <c r="B42" s="12"/>
      <c r="C42" s="12"/>
      <c r="D42" s="12"/>
      <c r="E42" s="12"/>
      <c r="F42" s="12"/>
      <c r="G42" s="12"/>
    </row>
    <row r="43" spans="1:7" ht="7.35" customHeight="1">
      <c r="A43" s="12"/>
      <c r="B43" s="12"/>
      <c r="C43" s="12"/>
      <c r="D43" s="12"/>
      <c r="E43" s="12"/>
      <c r="F43" s="12"/>
      <c r="G43" s="12"/>
    </row>
    <row r="44" spans="1:7" ht="7.35" customHeight="1">
      <c r="A44" s="12"/>
      <c r="B44" s="12"/>
      <c r="C44" s="12"/>
      <c r="D44" s="12"/>
      <c r="E44" s="12"/>
      <c r="F44" s="12"/>
      <c r="G44" s="12"/>
    </row>
    <row r="45" spans="1:7" ht="7.35" customHeight="1">
      <c r="A45" s="12"/>
      <c r="B45" s="12"/>
      <c r="C45" s="12"/>
      <c r="D45" s="12"/>
      <c r="E45" s="12"/>
      <c r="F45" s="12"/>
      <c r="G45" s="12"/>
    </row>
    <row r="46" spans="1:7" ht="7.35" customHeight="1">
      <c r="A46" s="12"/>
      <c r="B46" s="12"/>
      <c r="C46" s="12"/>
      <c r="D46" s="12"/>
      <c r="E46" s="12"/>
      <c r="F46" s="12"/>
      <c r="G46" s="12"/>
    </row>
    <row r="47" spans="1:7" ht="7.35" customHeight="1">
      <c r="A47" s="12"/>
      <c r="B47" s="12"/>
      <c r="C47" s="12"/>
      <c r="D47" s="12"/>
      <c r="E47" s="12"/>
      <c r="F47" s="12"/>
      <c r="G47" s="12"/>
    </row>
    <row r="48" spans="1:7" ht="7.35" customHeight="1">
      <c r="A48" s="12"/>
      <c r="B48" s="12"/>
      <c r="C48" s="12"/>
      <c r="D48" s="12"/>
      <c r="E48" s="12"/>
      <c r="F48" s="12"/>
      <c r="G48" s="12"/>
    </row>
    <row r="49" spans="1:7" ht="7.35" customHeight="1">
      <c r="A49" s="12"/>
      <c r="B49" s="12"/>
      <c r="C49" s="12"/>
      <c r="D49" s="12"/>
      <c r="E49" s="12"/>
      <c r="F49" s="12"/>
      <c r="G49" s="12"/>
    </row>
    <row r="50" spans="1:7" ht="7.35" customHeight="1">
      <c r="A50" s="12"/>
      <c r="B50" s="12"/>
      <c r="C50" s="12"/>
      <c r="D50" s="12"/>
      <c r="E50" s="12"/>
      <c r="F50" s="12"/>
      <c r="G50" s="12"/>
    </row>
    <row r="51" spans="1:7" ht="7.35" customHeight="1">
      <c r="A51" s="12"/>
      <c r="B51" s="12"/>
      <c r="C51" s="12"/>
      <c r="D51" s="12"/>
      <c r="E51" s="12"/>
      <c r="F51" s="12"/>
      <c r="G51" s="12"/>
    </row>
    <row r="52" spans="1:7" ht="7.35" customHeight="1">
      <c r="A52" s="12"/>
      <c r="B52" s="12"/>
      <c r="C52" s="12"/>
      <c r="D52" s="12"/>
      <c r="E52" s="12"/>
      <c r="F52" s="12"/>
      <c r="G52" s="12"/>
    </row>
    <row r="53" spans="1:7" ht="7.35" customHeight="1">
      <c r="A53" s="12"/>
      <c r="B53" s="12"/>
      <c r="C53" s="12"/>
      <c r="D53" s="12"/>
      <c r="E53" s="12"/>
      <c r="F53" s="12"/>
      <c r="G53" s="12"/>
    </row>
    <row r="54" spans="1:7" ht="7.35" customHeight="1">
      <c r="A54" s="12"/>
      <c r="B54" s="12"/>
      <c r="C54" s="12"/>
      <c r="D54" s="12"/>
      <c r="E54" s="12"/>
      <c r="F54" s="12"/>
      <c r="G54" s="12"/>
    </row>
    <row r="55" spans="1:7" ht="7.35" customHeight="1">
      <c r="A55" s="12"/>
      <c r="B55" s="12"/>
      <c r="C55" s="12"/>
      <c r="D55" s="12"/>
      <c r="E55" s="12"/>
      <c r="F55" s="12"/>
      <c r="G55" s="12"/>
    </row>
    <row r="56" spans="1:7" ht="7.35" customHeight="1">
      <c r="A56" s="12"/>
      <c r="B56" s="12"/>
      <c r="C56" s="12"/>
      <c r="D56" s="12"/>
      <c r="E56" s="12"/>
      <c r="F56" s="12"/>
      <c r="G56" s="12"/>
    </row>
    <row r="57" spans="1:7" ht="7.35" customHeight="1">
      <c r="A57" s="12"/>
      <c r="B57" s="12"/>
      <c r="C57" s="12"/>
      <c r="D57" s="12"/>
      <c r="E57" s="12"/>
      <c r="F57" s="12"/>
      <c r="G57" s="12"/>
    </row>
    <row r="58" spans="1:7" ht="7.35" customHeight="1">
      <c r="A58" s="12"/>
      <c r="B58" s="12"/>
      <c r="C58" s="12"/>
      <c r="D58" s="12"/>
      <c r="E58" s="12"/>
      <c r="F58" s="12"/>
      <c r="G58" s="12"/>
    </row>
    <row r="59" spans="1:7" ht="7.35" customHeight="1">
      <c r="A59" s="12"/>
      <c r="B59" s="12"/>
      <c r="C59" s="12"/>
      <c r="D59" s="12"/>
      <c r="E59" s="12"/>
      <c r="F59" s="12"/>
      <c r="G59" s="12"/>
    </row>
    <row r="60" spans="1:7" ht="7.35" customHeight="1">
      <c r="A60" s="12"/>
      <c r="B60" s="12"/>
      <c r="C60" s="12"/>
      <c r="D60" s="12"/>
      <c r="E60" s="12"/>
      <c r="F60" s="12"/>
      <c r="G60" s="12"/>
    </row>
    <row r="61" spans="1:7" ht="7.35" customHeight="1">
      <c r="A61" s="12"/>
      <c r="B61" s="12"/>
      <c r="C61" s="12"/>
      <c r="D61" s="12"/>
      <c r="E61" s="12"/>
      <c r="F61" s="12"/>
      <c r="G61" s="12"/>
    </row>
    <row r="62" spans="1:7" ht="7.35" customHeight="1">
      <c r="A62" s="12"/>
      <c r="B62" s="12"/>
      <c r="C62" s="12"/>
      <c r="D62" s="12"/>
      <c r="E62" s="12"/>
      <c r="F62" s="12"/>
      <c r="G62" s="12"/>
    </row>
    <row r="63" spans="1:7" ht="7.35" customHeight="1">
      <c r="A63" s="12"/>
      <c r="B63" s="12"/>
      <c r="C63" s="12"/>
      <c r="D63" s="12"/>
      <c r="E63" s="12"/>
      <c r="F63" s="12"/>
      <c r="G63" s="12"/>
    </row>
    <row r="64" spans="1:7" ht="7.35" customHeight="1">
      <c r="A64" s="12"/>
      <c r="B64" s="12"/>
      <c r="C64" s="12"/>
      <c r="D64" s="12"/>
      <c r="E64" s="12"/>
      <c r="F64" s="12"/>
      <c r="G64" s="12"/>
    </row>
    <row r="65" spans="1:7" ht="7.35" customHeight="1">
      <c r="A65" s="12"/>
      <c r="B65" s="12"/>
      <c r="C65" s="12"/>
      <c r="D65" s="12"/>
      <c r="E65" s="12"/>
      <c r="F65" s="12"/>
      <c r="G65" s="12"/>
    </row>
    <row r="66" spans="1:7" ht="7.35" customHeight="1">
      <c r="A66" s="12"/>
      <c r="B66" s="12"/>
      <c r="C66" s="12"/>
      <c r="D66" s="12"/>
      <c r="E66" s="12"/>
      <c r="F66" s="12"/>
      <c r="G66" s="12"/>
    </row>
    <row r="67" spans="1:7" ht="7.35" customHeight="1">
      <c r="A67" s="12"/>
      <c r="B67" s="12"/>
      <c r="C67" s="12"/>
      <c r="D67" s="12"/>
      <c r="E67" s="12"/>
      <c r="F67" s="12"/>
      <c r="G67" s="12"/>
    </row>
    <row r="68" spans="1:7" ht="7.35" customHeight="1">
      <c r="A68" s="12"/>
      <c r="B68" s="12"/>
      <c r="C68" s="12"/>
      <c r="D68" s="12"/>
      <c r="E68" s="12"/>
      <c r="F68" s="12"/>
      <c r="G68" s="12"/>
    </row>
    <row r="69" spans="1:7" ht="7.35" customHeight="1">
      <c r="A69" s="12"/>
      <c r="B69" s="12"/>
      <c r="C69" s="12"/>
      <c r="D69" s="12"/>
      <c r="E69" s="12"/>
      <c r="F69" s="12"/>
      <c r="G69" s="12"/>
    </row>
    <row r="70" spans="1:7" ht="7.35" customHeight="1">
      <c r="A70" s="12"/>
      <c r="B70" s="12"/>
      <c r="C70" s="12"/>
      <c r="D70" s="12"/>
      <c r="E70" s="12"/>
      <c r="F70" s="12"/>
      <c r="G70" s="12"/>
    </row>
    <row r="71" spans="1:7" ht="7.35" customHeight="1">
      <c r="A71" s="12"/>
      <c r="B71" s="12"/>
      <c r="C71" s="12"/>
      <c r="D71" s="12"/>
      <c r="E71" s="12"/>
      <c r="F71" s="12"/>
      <c r="G71" s="12"/>
    </row>
    <row r="72" spans="1:7" ht="7.35" customHeight="1">
      <c r="A72" s="12"/>
      <c r="B72" s="12"/>
      <c r="C72" s="12"/>
      <c r="D72" s="12"/>
      <c r="E72" s="12"/>
      <c r="F72" s="12"/>
      <c r="G72" s="12"/>
    </row>
    <row r="73" spans="1:7" ht="7.35" customHeight="1">
      <c r="A73" s="12"/>
      <c r="B73" s="12"/>
      <c r="C73" s="12"/>
      <c r="D73" s="12"/>
      <c r="E73" s="12"/>
      <c r="F73" s="12"/>
      <c r="G73" s="12"/>
    </row>
    <row r="74" spans="1:7" ht="7.35" customHeight="1">
      <c r="A74" s="12"/>
      <c r="B74" s="12"/>
      <c r="C74" s="12"/>
      <c r="D74" s="12"/>
      <c r="E74" s="12"/>
      <c r="F74" s="12"/>
      <c r="G74" s="12"/>
    </row>
    <row r="75" spans="1:7" ht="7.35" customHeight="1">
      <c r="A75" s="12"/>
      <c r="B75" s="12"/>
      <c r="C75" s="12"/>
      <c r="D75" s="12"/>
      <c r="E75" s="12"/>
      <c r="F75" s="12"/>
      <c r="G75" s="12"/>
    </row>
    <row r="76" spans="1:7" ht="7.35" customHeight="1">
      <c r="A76" s="12"/>
      <c r="B76" s="12"/>
      <c r="C76" s="12"/>
      <c r="D76" s="12"/>
      <c r="E76" s="12"/>
      <c r="F76" s="12"/>
      <c r="G76" s="12"/>
    </row>
    <row r="77" spans="1:7" ht="7.35" customHeight="1">
      <c r="A77" s="12"/>
      <c r="B77" s="12"/>
      <c r="C77" s="12"/>
      <c r="D77" s="12"/>
      <c r="E77" s="12"/>
      <c r="F77" s="12"/>
      <c r="G77" s="12"/>
    </row>
    <row r="78" spans="1:7" ht="7.35" customHeight="1">
      <c r="A78" s="12"/>
      <c r="B78" s="12"/>
      <c r="C78" s="12"/>
      <c r="D78" s="12"/>
      <c r="E78" s="12"/>
      <c r="F78" s="12"/>
      <c r="G78" s="12"/>
    </row>
    <row r="79" spans="1:7" ht="7.35" customHeight="1">
      <c r="A79" s="12"/>
      <c r="B79" s="12"/>
      <c r="C79" s="12"/>
      <c r="D79" s="12"/>
      <c r="E79" s="12"/>
      <c r="F79" s="12"/>
      <c r="G79" s="12"/>
    </row>
    <row r="80" spans="1:7" ht="7.35" customHeight="1">
      <c r="A80" s="12"/>
      <c r="B80" s="12"/>
      <c r="C80" s="12"/>
      <c r="D80" s="12"/>
      <c r="E80" s="12"/>
      <c r="F80" s="12"/>
      <c r="G80" s="12"/>
    </row>
    <row r="81" spans="1:7" ht="7.35" customHeight="1">
      <c r="A81" s="12"/>
      <c r="B81" s="12"/>
      <c r="C81" s="12"/>
      <c r="D81" s="12"/>
      <c r="E81" s="12"/>
      <c r="F81" s="12"/>
      <c r="G81" s="12"/>
    </row>
    <row r="82" spans="1:7" ht="7.35" customHeight="1">
      <c r="A82" s="12"/>
      <c r="B82" s="12"/>
      <c r="C82" s="12"/>
      <c r="D82" s="12"/>
      <c r="E82" s="12"/>
      <c r="F82" s="12"/>
      <c r="G82" s="12"/>
    </row>
    <row r="83" spans="1:7" ht="7.35" customHeight="1">
      <c r="A83" s="12"/>
      <c r="B83" s="12"/>
      <c r="C83" s="12"/>
      <c r="D83" s="12"/>
      <c r="E83" s="12"/>
      <c r="F83" s="12"/>
      <c r="G83" s="12"/>
    </row>
    <row r="84" spans="1:7" ht="7.35" customHeight="1">
      <c r="A84" s="12"/>
      <c r="B84" s="12"/>
      <c r="C84" s="12"/>
      <c r="D84" s="12"/>
      <c r="E84" s="12"/>
      <c r="F84" s="12"/>
      <c r="G84" s="12"/>
    </row>
    <row r="85" spans="1:7" ht="7.35" customHeight="1">
      <c r="A85" s="12"/>
      <c r="B85" s="12"/>
      <c r="C85" s="12"/>
      <c r="D85" s="12"/>
      <c r="E85" s="12"/>
      <c r="F85" s="12"/>
      <c r="G85" s="12"/>
    </row>
    <row r="86" spans="1:7" ht="7.35" customHeight="1">
      <c r="A86" s="12"/>
      <c r="B86" s="12"/>
      <c r="C86" s="12"/>
      <c r="D86" s="12"/>
      <c r="E86" s="12"/>
      <c r="F86" s="12"/>
      <c r="G86" s="12"/>
    </row>
    <row r="87" spans="1:7" ht="7.35" customHeight="1">
      <c r="A87" s="12"/>
      <c r="B87" s="12"/>
      <c r="C87" s="12"/>
      <c r="D87" s="12"/>
      <c r="E87" s="12"/>
      <c r="F87" s="12"/>
      <c r="G87" s="12"/>
    </row>
    <row r="88" spans="1:7" ht="7.35" customHeight="1">
      <c r="A88" s="12"/>
      <c r="B88" s="12"/>
      <c r="C88" s="12"/>
      <c r="D88" s="12"/>
      <c r="E88" s="12"/>
      <c r="F88" s="12"/>
      <c r="G88" s="12"/>
    </row>
    <row r="89" spans="1:7" ht="7.35" customHeight="1">
      <c r="A89" s="12"/>
      <c r="B89" s="12"/>
      <c r="C89" s="12"/>
      <c r="D89" s="12"/>
      <c r="E89" s="12"/>
      <c r="F89" s="12"/>
      <c r="G89" s="12"/>
    </row>
    <row r="90" spans="1:7" ht="7.35" customHeight="1">
      <c r="A90" s="12"/>
      <c r="B90" s="12"/>
      <c r="C90" s="12"/>
      <c r="D90" s="12"/>
      <c r="E90" s="12"/>
      <c r="F90" s="12"/>
      <c r="G90" s="12"/>
    </row>
    <row r="91" spans="1:7" ht="7.35" customHeight="1">
      <c r="A91" s="12"/>
      <c r="B91" s="12"/>
      <c r="C91" s="12"/>
      <c r="D91" s="12"/>
      <c r="E91" s="12"/>
      <c r="F91" s="12"/>
      <c r="G91" s="12"/>
    </row>
    <row r="92" spans="1:7" ht="7.35" customHeight="1">
      <c r="A92" s="12"/>
      <c r="B92" s="12"/>
      <c r="C92" s="12"/>
      <c r="D92" s="12"/>
      <c r="E92" s="12"/>
      <c r="F92" s="12"/>
      <c r="G92" s="12"/>
    </row>
    <row r="93" spans="1:7" ht="7.35" customHeight="1">
      <c r="A93" s="12"/>
      <c r="B93" s="12"/>
      <c r="C93" s="12"/>
      <c r="D93" s="12"/>
      <c r="E93" s="12"/>
      <c r="F93" s="12"/>
      <c r="G93" s="12"/>
    </row>
    <row r="94" spans="1:7" ht="7.35" customHeight="1">
      <c r="A94" s="12"/>
      <c r="B94" s="12"/>
      <c r="C94" s="12"/>
      <c r="D94" s="12"/>
      <c r="E94" s="12"/>
      <c r="F94" s="12"/>
      <c r="G94" s="12"/>
    </row>
    <row r="95" spans="1:7" ht="7.35" customHeight="1">
      <c r="A95" s="12"/>
      <c r="B95" s="12"/>
      <c r="C95" s="12"/>
      <c r="D95" s="12"/>
      <c r="E95" s="12"/>
      <c r="F95" s="12"/>
      <c r="G95" s="12"/>
    </row>
    <row r="96" spans="1:7" ht="7.35" customHeight="1">
      <c r="A96" s="12"/>
      <c r="B96" s="12"/>
      <c r="C96" s="12"/>
      <c r="D96" s="12"/>
      <c r="E96" s="12"/>
      <c r="F96" s="12"/>
      <c r="G96" s="12"/>
    </row>
    <row r="97" spans="1:7" ht="7.35" customHeight="1">
      <c r="A97" s="12"/>
      <c r="B97" s="12"/>
      <c r="C97" s="12"/>
      <c r="D97" s="12"/>
      <c r="E97" s="12"/>
      <c r="F97" s="12"/>
      <c r="G97" s="12"/>
    </row>
    <row r="98" spans="1:7" ht="7.35" customHeight="1">
      <c r="A98" s="12"/>
      <c r="B98" s="12"/>
      <c r="C98" s="12"/>
      <c r="D98" s="12"/>
      <c r="E98" s="12"/>
      <c r="F98" s="12"/>
      <c r="G98" s="12"/>
    </row>
    <row r="99" spans="1:7" ht="7.35" customHeight="1">
      <c r="A99" s="12"/>
      <c r="B99" s="12"/>
      <c r="C99" s="12"/>
      <c r="D99" s="12"/>
      <c r="E99" s="12"/>
      <c r="F99" s="12"/>
      <c r="G99" s="12"/>
    </row>
    <row r="100" spans="1:7" ht="7.35" customHeight="1">
      <c r="A100" s="12"/>
      <c r="B100" s="12"/>
      <c r="C100" s="12"/>
      <c r="D100" s="12"/>
      <c r="E100" s="12"/>
      <c r="F100" s="12"/>
      <c r="G100" s="12"/>
    </row>
    <row r="101" spans="1:7" ht="7.35" customHeight="1">
      <c r="A101" s="12"/>
      <c r="B101" s="12"/>
      <c r="C101" s="12"/>
      <c r="D101" s="12"/>
      <c r="E101" s="12"/>
      <c r="F101" s="12"/>
      <c r="G101" s="12"/>
    </row>
    <row r="102" spans="1:7" ht="7.35" customHeight="1">
      <c r="A102" s="12"/>
      <c r="B102" s="12"/>
      <c r="C102" s="12"/>
      <c r="D102" s="12"/>
      <c r="E102" s="12"/>
      <c r="F102" s="12"/>
      <c r="G102" s="12"/>
    </row>
    <row r="103" spans="1:7" ht="7.35" customHeight="1">
      <c r="A103" s="12"/>
      <c r="B103" s="12"/>
      <c r="C103" s="12"/>
      <c r="D103" s="12"/>
      <c r="E103" s="12"/>
      <c r="F103" s="12"/>
      <c r="G103" s="12"/>
    </row>
    <row r="104" spans="1:7" ht="7.35" customHeight="1">
      <c r="A104" s="12"/>
      <c r="B104" s="12"/>
      <c r="C104" s="12"/>
      <c r="D104" s="12"/>
      <c r="E104" s="12"/>
      <c r="F104" s="12"/>
      <c r="G104" s="12"/>
    </row>
    <row r="105" spans="1:7" ht="7.35" customHeight="1">
      <c r="A105" s="12"/>
      <c r="B105" s="12"/>
      <c r="C105" s="12"/>
      <c r="D105" s="12"/>
      <c r="E105" s="12"/>
      <c r="F105" s="12"/>
      <c r="G105" s="12"/>
    </row>
    <row r="106" spans="1:7" ht="7.35" customHeight="1">
      <c r="A106" s="12"/>
      <c r="B106" s="12"/>
      <c r="C106" s="12"/>
      <c r="D106" s="12"/>
      <c r="E106" s="12"/>
      <c r="F106" s="12"/>
      <c r="G106" s="12"/>
    </row>
    <row r="107" spans="1:7" ht="7.35" customHeight="1">
      <c r="A107" s="12"/>
      <c r="B107" s="12"/>
      <c r="C107" s="12"/>
      <c r="D107" s="12"/>
      <c r="E107" s="12"/>
      <c r="F107" s="12"/>
      <c r="G107" s="12"/>
    </row>
    <row r="108" spans="1:7" ht="7.35" customHeight="1">
      <c r="A108" s="12"/>
      <c r="B108" s="12"/>
      <c r="C108" s="12"/>
      <c r="D108" s="12"/>
      <c r="E108" s="12"/>
      <c r="F108" s="12"/>
      <c r="G108" s="12"/>
    </row>
    <row r="109" spans="1:7" ht="7.35" customHeight="1">
      <c r="A109" s="12"/>
      <c r="B109" s="12"/>
      <c r="C109" s="12"/>
      <c r="D109" s="12"/>
      <c r="E109" s="12"/>
      <c r="F109" s="12"/>
      <c r="G109" s="12"/>
    </row>
    <row r="110" spans="1:7" ht="7.35" customHeight="1">
      <c r="A110" s="12"/>
      <c r="B110" s="12"/>
      <c r="C110" s="12"/>
      <c r="D110" s="12"/>
      <c r="E110" s="12"/>
      <c r="F110" s="12"/>
      <c r="G110" s="12"/>
    </row>
    <row r="111" spans="1:7" ht="7.35" customHeight="1">
      <c r="A111" s="12"/>
      <c r="B111" s="12"/>
      <c r="C111" s="12"/>
      <c r="D111" s="12"/>
      <c r="E111" s="12"/>
      <c r="F111" s="12"/>
      <c r="G111" s="12"/>
    </row>
    <row r="112" spans="1:7" ht="7.35" customHeight="1">
      <c r="A112" s="12"/>
      <c r="B112" s="12"/>
      <c r="C112" s="12"/>
      <c r="D112" s="12"/>
      <c r="E112" s="12"/>
      <c r="F112" s="12"/>
      <c r="G112" s="12"/>
    </row>
    <row r="113" spans="1:7" ht="7.35" customHeight="1">
      <c r="A113" s="12"/>
      <c r="B113" s="12"/>
      <c r="C113" s="12"/>
      <c r="D113" s="12"/>
      <c r="E113" s="12"/>
      <c r="F113" s="12"/>
      <c r="G113" s="12"/>
    </row>
    <row r="114" spans="1:7" ht="7.35" customHeight="1">
      <c r="A114" s="12"/>
      <c r="B114" s="12"/>
      <c r="C114" s="12"/>
      <c r="D114" s="12"/>
      <c r="E114" s="12"/>
      <c r="F114" s="12"/>
      <c r="G114" s="12"/>
    </row>
    <row r="115" spans="1:7" ht="7.35" customHeight="1">
      <c r="A115" s="12"/>
      <c r="B115" s="12"/>
      <c r="C115" s="12"/>
      <c r="D115" s="12"/>
      <c r="E115" s="12"/>
      <c r="F115" s="12"/>
      <c r="G115" s="12"/>
    </row>
    <row r="116" spans="1:7" ht="7.35" customHeight="1">
      <c r="A116" s="12"/>
      <c r="B116" s="12"/>
      <c r="C116" s="12"/>
      <c r="D116" s="12"/>
      <c r="E116" s="12"/>
      <c r="F116" s="12"/>
      <c r="G116" s="12"/>
    </row>
    <row r="117" spans="1:7" ht="7.35" customHeight="1">
      <c r="A117" s="12"/>
      <c r="B117" s="12"/>
      <c r="C117" s="12"/>
      <c r="D117" s="12"/>
      <c r="E117" s="12"/>
      <c r="F117" s="12"/>
      <c r="G117" s="12"/>
    </row>
    <row r="118" spans="1:7" ht="7.35" customHeight="1">
      <c r="A118" s="12"/>
      <c r="B118" s="12"/>
      <c r="C118" s="12"/>
      <c r="D118" s="12"/>
      <c r="E118" s="12"/>
      <c r="F118" s="12"/>
      <c r="G118" s="12"/>
    </row>
    <row r="119" spans="1:7" ht="7.35" customHeight="1">
      <c r="A119" s="12"/>
      <c r="B119" s="12"/>
      <c r="C119" s="12"/>
      <c r="D119" s="12"/>
      <c r="E119" s="12"/>
      <c r="F119" s="12"/>
      <c r="G119" s="12"/>
    </row>
    <row r="120" spans="1:7" ht="7.35" customHeight="1">
      <c r="A120" s="12"/>
      <c r="B120" s="12"/>
      <c r="C120" s="12"/>
      <c r="D120" s="12"/>
      <c r="E120" s="12"/>
      <c r="F120" s="12"/>
      <c r="G120" s="12"/>
    </row>
    <row r="121" spans="1:7" ht="7.35" customHeight="1">
      <c r="A121" s="12"/>
      <c r="B121" s="12"/>
      <c r="C121" s="12"/>
      <c r="D121" s="12"/>
      <c r="E121" s="12"/>
      <c r="F121" s="12"/>
      <c r="G121" s="12"/>
    </row>
    <row r="122" spans="1:7" ht="7.35" customHeight="1">
      <c r="A122" s="12"/>
      <c r="B122" s="12"/>
      <c r="C122" s="12"/>
      <c r="D122" s="12"/>
      <c r="E122" s="12"/>
      <c r="F122" s="12"/>
      <c r="G122" s="12"/>
    </row>
    <row r="123" spans="1:7" ht="7.35" customHeight="1">
      <c r="A123" s="12"/>
      <c r="B123" s="12"/>
      <c r="C123" s="12"/>
      <c r="D123" s="12"/>
      <c r="E123" s="12"/>
      <c r="F123" s="12"/>
      <c r="G123" s="12"/>
    </row>
    <row r="124" spans="1:7" ht="7.35" customHeight="1">
      <c r="A124" s="12"/>
      <c r="B124" s="12"/>
      <c r="C124" s="12"/>
      <c r="D124" s="12"/>
      <c r="E124" s="12"/>
      <c r="F124" s="12"/>
      <c r="G124" s="12"/>
    </row>
    <row r="125" spans="1:7" ht="7.35" customHeight="1">
      <c r="A125" s="12"/>
      <c r="B125" s="12"/>
      <c r="C125" s="12"/>
      <c r="D125" s="12"/>
      <c r="E125" s="12"/>
      <c r="F125" s="12"/>
      <c r="G125" s="12"/>
    </row>
    <row r="126" spans="1:7" ht="7.35" customHeight="1">
      <c r="A126" s="12"/>
      <c r="B126" s="12"/>
      <c r="C126" s="12"/>
      <c r="D126" s="12"/>
      <c r="E126" s="12"/>
      <c r="F126" s="12"/>
      <c r="G126" s="12"/>
    </row>
    <row r="127" spans="1:7" ht="7.35" customHeight="1">
      <c r="A127" s="12"/>
      <c r="B127" s="12"/>
      <c r="C127" s="12"/>
      <c r="D127" s="12"/>
      <c r="E127" s="12"/>
      <c r="F127" s="12"/>
      <c r="G127" s="12"/>
    </row>
    <row r="128" spans="1:7" ht="7.35" customHeight="1">
      <c r="A128" s="12"/>
      <c r="B128" s="12"/>
      <c r="C128" s="12"/>
      <c r="D128" s="12"/>
      <c r="E128" s="12"/>
      <c r="F128" s="12"/>
      <c r="G128" s="12"/>
    </row>
    <row r="129" spans="1:7" ht="7.35" customHeight="1">
      <c r="A129" s="12"/>
      <c r="B129" s="12"/>
      <c r="C129" s="12"/>
      <c r="D129" s="12"/>
      <c r="E129" s="12"/>
      <c r="F129" s="12"/>
      <c r="G129" s="12"/>
    </row>
    <row r="130" spans="1:7" ht="7.35" customHeight="1">
      <c r="A130" s="12"/>
      <c r="B130" s="12"/>
      <c r="C130" s="12"/>
      <c r="D130" s="12"/>
      <c r="E130" s="12"/>
      <c r="F130" s="12"/>
      <c r="G130" s="12"/>
    </row>
    <row r="131" spans="1:7" ht="7.35" customHeight="1">
      <c r="A131" s="12"/>
      <c r="B131" s="12"/>
      <c r="C131" s="12"/>
      <c r="D131" s="12"/>
      <c r="E131" s="12"/>
      <c r="F131" s="12"/>
      <c r="G131" s="12"/>
    </row>
    <row r="132" spans="1:7" ht="7.35" customHeight="1">
      <c r="A132" s="12"/>
      <c r="B132" s="12"/>
      <c r="C132" s="12"/>
      <c r="D132" s="12"/>
      <c r="E132" s="12"/>
      <c r="F132" s="12"/>
      <c r="G132" s="12"/>
    </row>
    <row r="133" spans="1:7" ht="7.35" customHeight="1">
      <c r="A133" s="12"/>
      <c r="B133" s="12"/>
      <c r="C133" s="12"/>
      <c r="D133" s="12"/>
      <c r="E133" s="12"/>
      <c r="F133" s="12"/>
      <c r="G133" s="12"/>
    </row>
    <row r="134" spans="1:7" ht="7.35" customHeight="1">
      <c r="A134" s="12"/>
      <c r="B134" s="12"/>
      <c r="C134" s="12"/>
      <c r="D134" s="12"/>
      <c r="E134" s="12"/>
      <c r="F134" s="12"/>
      <c r="G134" s="12"/>
    </row>
    <row r="135" spans="1:7" ht="7.35" customHeight="1">
      <c r="A135" s="12"/>
      <c r="B135" s="12"/>
      <c r="C135" s="12"/>
      <c r="D135" s="12"/>
      <c r="E135" s="12"/>
      <c r="F135" s="12"/>
      <c r="G135" s="12"/>
    </row>
    <row r="136" spans="1:7" ht="7.35" customHeight="1">
      <c r="A136" s="12"/>
      <c r="B136" s="12"/>
      <c r="C136" s="12"/>
      <c r="D136" s="12"/>
      <c r="E136" s="12"/>
      <c r="F136" s="12"/>
      <c r="G136" s="12"/>
    </row>
    <row r="137" spans="1:7" ht="7.35" customHeight="1">
      <c r="A137" s="12"/>
      <c r="B137" s="12"/>
      <c r="C137" s="12"/>
      <c r="D137" s="12"/>
      <c r="E137" s="12"/>
      <c r="F137" s="12"/>
      <c r="G137" s="12"/>
    </row>
    <row r="138" spans="1:7" ht="7.35" customHeight="1">
      <c r="A138" s="12"/>
      <c r="B138" s="12"/>
      <c r="C138" s="12"/>
      <c r="D138" s="12"/>
      <c r="E138" s="12"/>
      <c r="F138" s="12"/>
      <c r="G138" s="12"/>
    </row>
    <row r="139" spans="1:7" ht="7.35" customHeight="1">
      <c r="A139" s="12"/>
      <c r="B139" s="12"/>
      <c r="C139" s="12"/>
      <c r="D139" s="12"/>
      <c r="E139" s="12"/>
      <c r="F139" s="12"/>
      <c r="G139" s="12"/>
    </row>
    <row r="140" spans="1:7" ht="7.35" customHeight="1">
      <c r="A140" s="12"/>
      <c r="B140" s="12"/>
      <c r="C140" s="12"/>
      <c r="D140" s="12"/>
      <c r="E140" s="12"/>
      <c r="F140" s="12"/>
      <c r="G140" s="12"/>
    </row>
    <row r="141" spans="1:7" ht="7.35" customHeight="1">
      <c r="A141" s="12"/>
      <c r="B141" s="12"/>
      <c r="C141" s="12"/>
      <c r="D141" s="12"/>
      <c r="E141" s="12"/>
      <c r="F141" s="12"/>
      <c r="G141" s="12"/>
    </row>
    <row r="142" spans="1:7" ht="7.35" customHeight="1">
      <c r="A142" s="12"/>
      <c r="B142" s="12"/>
      <c r="C142" s="12"/>
      <c r="D142" s="12"/>
      <c r="E142" s="12"/>
      <c r="F142" s="12"/>
      <c r="G142" s="12"/>
    </row>
    <row r="143" spans="1:7" ht="7.35" customHeight="1">
      <c r="A143" s="12"/>
      <c r="B143" s="12"/>
      <c r="C143" s="12"/>
      <c r="D143" s="12"/>
      <c r="E143" s="12"/>
      <c r="F143" s="12"/>
      <c r="G143" s="12"/>
    </row>
    <row r="144" spans="1:7" ht="7.35" customHeight="1">
      <c r="A144" s="12"/>
      <c r="B144" s="12"/>
      <c r="C144" s="12"/>
      <c r="D144" s="12"/>
      <c r="E144" s="12"/>
      <c r="F144" s="12"/>
      <c r="G144" s="12"/>
    </row>
    <row r="145" spans="1:7" ht="7.35" customHeight="1">
      <c r="A145" s="12"/>
      <c r="B145" s="12"/>
      <c r="C145" s="12"/>
      <c r="D145" s="12"/>
      <c r="E145" s="12"/>
      <c r="F145" s="12"/>
      <c r="G145" s="12"/>
    </row>
    <row r="146" spans="1:7" ht="7.35" customHeight="1">
      <c r="A146" s="12"/>
      <c r="B146" s="12"/>
      <c r="C146" s="12"/>
      <c r="D146" s="12"/>
      <c r="E146" s="12"/>
      <c r="F146" s="12"/>
      <c r="G146" s="12"/>
    </row>
    <row r="147" spans="1:7" ht="7.35" customHeight="1">
      <c r="A147" s="12"/>
      <c r="B147" s="12"/>
      <c r="C147" s="12"/>
      <c r="D147" s="12"/>
      <c r="E147" s="12"/>
      <c r="F147" s="12"/>
      <c r="G147" s="12"/>
    </row>
    <row r="148" spans="1:7" ht="7.35" customHeight="1">
      <c r="A148" s="12"/>
      <c r="B148" s="12"/>
      <c r="C148" s="12"/>
      <c r="D148" s="12"/>
      <c r="E148" s="12"/>
      <c r="F148" s="12"/>
      <c r="G148" s="12"/>
    </row>
    <row r="149" spans="1:7" ht="7.35" customHeight="1">
      <c r="A149" s="12"/>
      <c r="B149" s="12"/>
      <c r="C149" s="12"/>
      <c r="D149" s="12"/>
      <c r="E149" s="12"/>
      <c r="F149" s="12"/>
      <c r="G149" s="12"/>
    </row>
    <row r="150" spans="1:7" ht="7.35" customHeight="1">
      <c r="A150" s="12"/>
      <c r="B150" s="12"/>
      <c r="C150" s="12"/>
      <c r="D150" s="12"/>
      <c r="E150" s="12"/>
      <c r="F150" s="12"/>
      <c r="G150" s="12"/>
    </row>
    <row r="151" spans="1:7" ht="7.35" customHeight="1">
      <c r="A151" s="12"/>
      <c r="B151" s="12"/>
      <c r="C151" s="12"/>
      <c r="D151" s="12"/>
      <c r="E151" s="12"/>
      <c r="F151" s="12"/>
      <c r="G151" s="12"/>
    </row>
    <row r="152" spans="1:7" ht="7.35" customHeight="1">
      <c r="A152" s="12"/>
      <c r="B152" s="12"/>
      <c r="C152" s="12"/>
      <c r="D152" s="12"/>
      <c r="E152" s="12"/>
      <c r="F152" s="12"/>
      <c r="G152" s="12"/>
    </row>
    <row r="153" spans="1:7" ht="7.35" customHeight="1">
      <c r="A153" s="12"/>
      <c r="B153" s="12"/>
      <c r="C153" s="12"/>
      <c r="D153" s="12"/>
      <c r="E153" s="12"/>
      <c r="F153" s="12"/>
      <c r="G153" s="12"/>
    </row>
    <row r="154" spans="1:7" ht="7.35" customHeight="1">
      <c r="A154" s="12"/>
      <c r="B154" s="12"/>
      <c r="C154" s="12"/>
      <c r="D154" s="12"/>
      <c r="E154" s="12"/>
      <c r="F154" s="12"/>
      <c r="G154" s="12"/>
    </row>
    <row r="155" spans="1:7" ht="7.35" customHeight="1">
      <c r="A155" s="12"/>
      <c r="B155" s="12"/>
      <c r="C155" s="12"/>
      <c r="D155" s="12"/>
      <c r="E155" s="12"/>
      <c r="F155" s="12"/>
      <c r="G155" s="12"/>
    </row>
    <row r="156" spans="1:7" ht="7.35" customHeight="1">
      <c r="A156" s="12"/>
      <c r="B156" s="12"/>
      <c r="C156" s="12"/>
      <c r="D156" s="12"/>
      <c r="E156" s="12"/>
      <c r="F156" s="12"/>
      <c r="G156" s="12"/>
    </row>
    <row r="157" spans="1:7" ht="7.35" customHeight="1">
      <c r="A157" s="12"/>
      <c r="B157" s="12"/>
      <c r="C157" s="12"/>
      <c r="D157" s="12"/>
      <c r="E157" s="12"/>
      <c r="F157" s="12"/>
      <c r="G157" s="12"/>
    </row>
    <row r="158" spans="1:7" ht="7.35" customHeight="1">
      <c r="A158" s="12"/>
      <c r="B158" s="12"/>
      <c r="C158" s="12"/>
      <c r="D158" s="12"/>
      <c r="E158" s="12"/>
      <c r="F158" s="12"/>
      <c r="G158" s="12"/>
    </row>
    <row r="159" spans="1:7" ht="7.35" customHeight="1">
      <c r="A159" s="12"/>
      <c r="B159" s="12"/>
      <c r="C159" s="12"/>
      <c r="D159" s="12"/>
      <c r="E159" s="12"/>
      <c r="F159" s="12"/>
      <c r="G159" s="12"/>
    </row>
    <row r="160" spans="1:7" ht="7.35" customHeight="1">
      <c r="A160" s="12"/>
      <c r="B160" s="12"/>
      <c r="C160" s="12"/>
      <c r="D160" s="12"/>
      <c r="E160" s="12"/>
      <c r="F160" s="12"/>
      <c r="G160" s="12"/>
    </row>
    <row r="161" spans="1:7" ht="7.35" customHeight="1">
      <c r="A161" s="12"/>
      <c r="B161" s="12"/>
      <c r="C161" s="12"/>
      <c r="D161" s="12"/>
      <c r="E161" s="12"/>
      <c r="F161" s="12"/>
      <c r="G161" s="12"/>
    </row>
    <row r="162" spans="1:7" ht="7.35" customHeight="1">
      <c r="A162" s="12"/>
      <c r="B162" s="12"/>
      <c r="C162" s="12"/>
      <c r="D162" s="12"/>
      <c r="E162" s="12"/>
      <c r="F162" s="12"/>
      <c r="G162" s="12"/>
    </row>
    <row r="163" spans="1:7" ht="7.35" customHeight="1">
      <c r="A163" s="12"/>
      <c r="B163" s="12"/>
      <c r="C163" s="12"/>
      <c r="D163" s="12"/>
      <c r="E163" s="12"/>
      <c r="F163" s="12"/>
      <c r="G163" s="12"/>
    </row>
    <row r="164" spans="1:7" ht="7.35" customHeight="1">
      <c r="A164" s="12"/>
      <c r="B164" s="12"/>
      <c r="C164" s="12"/>
      <c r="D164" s="12"/>
      <c r="E164" s="12"/>
      <c r="F164" s="12"/>
      <c r="G164" s="12"/>
    </row>
    <row r="165" spans="1:7" ht="7.35" customHeight="1">
      <c r="A165" s="12"/>
      <c r="B165" s="12"/>
      <c r="C165" s="12"/>
      <c r="D165" s="12"/>
      <c r="E165" s="12"/>
      <c r="F165" s="12"/>
      <c r="G165" s="12"/>
    </row>
    <row r="166" spans="1:7" ht="7.35" customHeight="1">
      <c r="A166" s="12"/>
      <c r="B166" s="12"/>
      <c r="C166" s="12"/>
      <c r="D166" s="12"/>
      <c r="E166" s="12"/>
      <c r="F166" s="12"/>
      <c r="G166" s="12"/>
    </row>
    <row r="167" spans="1:7" ht="7.35" customHeight="1">
      <c r="A167" s="12"/>
      <c r="B167" s="12"/>
      <c r="C167" s="12"/>
      <c r="D167" s="12"/>
      <c r="E167" s="12"/>
      <c r="F167" s="12"/>
      <c r="G167" s="12"/>
    </row>
    <row r="168" spans="1:7" ht="7.35" customHeight="1">
      <c r="A168" s="12"/>
      <c r="B168" s="12"/>
      <c r="C168" s="12"/>
      <c r="D168" s="12"/>
      <c r="E168" s="12"/>
      <c r="F168" s="12"/>
      <c r="G168" s="12"/>
    </row>
    <row r="169" spans="1:7" ht="7.35" customHeight="1">
      <c r="A169" s="12"/>
      <c r="B169" s="12"/>
      <c r="C169" s="12"/>
      <c r="D169" s="12"/>
      <c r="E169" s="12"/>
      <c r="F169" s="12"/>
      <c r="G169" s="12"/>
    </row>
    <row r="170" spans="1:7" ht="7.35" customHeight="1">
      <c r="A170" s="12"/>
      <c r="B170" s="12"/>
      <c r="C170" s="12"/>
      <c r="D170" s="12"/>
      <c r="E170" s="12"/>
      <c r="F170" s="12"/>
      <c r="G170" s="12"/>
    </row>
    <row r="171" spans="1:7" ht="7.35" customHeight="1">
      <c r="A171" s="12"/>
      <c r="B171" s="12"/>
      <c r="C171" s="12"/>
      <c r="D171" s="12"/>
      <c r="E171" s="12"/>
      <c r="F171" s="12"/>
      <c r="G171" s="12"/>
    </row>
    <row r="172" spans="1:7" ht="7.35" customHeight="1">
      <c r="A172" s="12"/>
      <c r="B172" s="12"/>
      <c r="C172" s="12"/>
      <c r="D172" s="12"/>
      <c r="E172" s="12"/>
      <c r="F172" s="12"/>
      <c r="G172" s="12"/>
    </row>
    <row r="173" spans="1:7" ht="7.35" customHeight="1">
      <c r="A173" s="12"/>
      <c r="B173" s="12"/>
      <c r="C173" s="12"/>
      <c r="D173" s="12"/>
      <c r="E173" s="12"/>
      <c r="F173" s="12"/>
      <c r="G173" s="12"/>
    </row>
    <row r="174" spans="1:7" ht="7.35" customHeight="1">
      <c r="A174" s="12"/>
      <c r="B174" s="12"/>
      <c r="C174" s="12"/>
      <c r="D174" s="12"/>
      <c r="E174" s="12"/>
      <c r="F174" s="12"/>
      <c r="G174" s="12"/>
    </row>
    <row r="175" spans="1:7" ht="7.35" customHeight="1">
      <c r="A175" s="12"/>
      <c r="B175" s="12"/>
      <c r="C175" s="12"/>
      <c r="D175" s="12"/>
      <c r="E175" s="12"/>
      <c r="F175" s="12"/>
      <c r="G175" s="12"/>
    </row>
    <row r="176" spans="1:7" ht="7.35" customHeight="1">
      <c r="A176" s="12"/>
      <c r="B176" s="12"/>
      <c r="C176" s="12"/>
      <c r="D176" s="12"/>
      <c r="E176" s="12"/>
      <c r="F176" s="12"/>
      <c r="G176" s="12"/>
    </row>
    <row r="177" spans="1:7" ht="7.35" customHeight="1">
      <c r="A177" s="12"/>
      <c r="B177" s="12"/>
      <c r="C177" s="12"/>
      <c r="D177" s="12"/>
      <c r="E177" s="12"/>
      <c r="F177" s="12"/>
      <c r="G177" s="12"/>
    </row>
    <row r="178" spans="1:7" ht="7.35" customHeight="1">
      <c r="A178" s="12"/>
      <c r="B178" s="12"/>
      <c r="C178" s="12"/>
      <c r="D178" s="12"/>
      <c r="E178" s="12"/>
      <c r="F178" s="12"/>
      <c r="G178" s="12"/>
    </row>
    <row r="179" spans="1:7" ht="7.35" customHeight="1">
      <c r="A179" s="12"/>
      <c r="B179" s="12"/>
      <c r="C179" s="12"/>
      <c r="D179" s="12"/>
      <c r="E179" s="12"/>
      <c r="F179" s="12"/>
      <c r="G179" s="12"/>
    </row>
    <row r="180" spans="1:7" ht="7.35" customHeight="1">
      <c r="A180" s="12"/>
      <c r="B180" s="12"/>
      <c r="C180" s="12"/>
      <c r="D180" s="12"/>
      <c r="E180" s="12"/>
      <c r="F180" s="12"/>
      <c r="G180" s="12"/>
    </row>
    <row r="181" spans="1:7" ht="7.35" customHeight="1">
      <c r="A181" s="12"/>
      <c r="B181" s="12"/>
      <c r="C181" s="12"/>
      <c r="D181" s="12"/>
      <c r="E181" s="12"/>
      <c r="F181" s="12"/>
      <c r="G181" s="12"/>
    </row>
    <row r="182" spans="1:7" ht="7.35" customHeight="1">
      <c r="A182" s="12"/>
      <c r="B182" s="12"/>
      <c r="C182" s="12"/>
      <c r="D182" s="12"/>
      <c r="E182" s="12"/>
      <c r="F182" s="12"/>
      <c r="G182" s="12"/>
    </row>
    <row r="183" spans="1:7" ht="7.35" customHeight="1">
      <c r="A183" s="12"/>
      <c r="B183" s="12"/>
      <c r="C183" s="12"/>
      <c r="D183" s="12"/>
      <c r="E183" s="12"/>
      <c r="F183" s="12"/>
      <c r="G183" s="12"/>
    </row>
    <row r="184" spans="1:7" ht="7.35" customHeight="1">
      <c r="A184" s="12"/>
      <c r="B184" s="12"/>
      <c r="C184" s="12"/>
      <c r="D184" s="12"/>
      <c r="E184" s="12"/>
      <c r="F184" s="12"/>
      <c r="G184" s="12"/>
    </row>
    <row r="185" spans="1:7" ht="7.35" customHeight="1">
      <c r="A185" s="12"/>
      <c r="B185" s="12"/>
      <c r="C185" s="12"/>
      <c r="D185" s="12"/>
      <c r="E185" s="12"/>
      <c r="F185" s="12"/>
      <c r="G185" s="12"/>
    </row>
    <row r="186" spans="1:7" ht="7.35" customHeight="1">
      <c r="A186" s="12"/>
      <c r="B186" s="12"/>
      <c r="C186" s="12"/>
      <c r="D186" s="12"/>
      <c r="E186" s="12"/>
      <c r="F186" s="12"/>
      <c r="G186" s="12"/>
    </row>
    <row r="187" spans="1:7" ht="7.35" customHeight="1">
      <c r="A187" s="12"/>
      <c r="B187" s="12"/>
      <c r="C187" s="12"/>
      <c r="D187" s="12"/>
      <c r="E187" s="12"/>
      <c r="F187" s="12"/>
      <c r="G187" s="12"/>
    </row>
    <row r="188" spans="1:7" ht="7.35" customHeight="1">
      <c r="A188" s="12"/>
      <c r="B188" s="12"/>
      <c r="C188" s="12"/>
      <c r="D188" s="12"/>
      <c r="E188" s="12"/>
      <c r="F188" s="12"/>
      <c r="G188" s="12"/>
    </row>
    <row r="189" spans="1:7" ht="7.35" customHeight="1">
      <c r="A189" s="12"/>
      <c r="B189" s="12"/>
      <c r="C189" s="12"/>
      <c r="D189" s="12"/>
      <c r="E189" s="12"/>
      <c r="F189" s="12"/>
      <c r="G189" s="12"/>
    </row>
    <row r="190" spans="1:7" ht="7.35" customHeight="1">
      <c r="A190" s="12"/>
      <c r="B190" s="12"/>
      <c r="C190" s="12"/>
      <c r="D190" s="12"/>
      <c r="E190" s="12"/>
      <c r="F190" s="12"/>
      <c r="G190" s="12"/>
    </row>
    <row r="191" spans="1:7" ht="7.35" customHeight="1">
      <c r="A191" s="12"/>
      <c r="B191" s="12"/>
      <c r="C191" s="12"/>
      <c r="D191" s="12"/>
      <c r="E191" s="12"/>
      <c r="F191" s="12"/>
      <c r="G191" s="12"/>
    </row>
    <row r="192" spans="1:7" ht="7.35" customHeight="1">
      <c r="A192" s="12"/>
      <c r="B192" s="12"/>
      <c r="C192" s="12"/>
      <c r="D192" s="12"/>
      <c r="E192" s="12"/>
      <c r="F192" s="12"/>
      <c r="G192" s="12"/>
    </row>
    <row r="193" spans="1:7" ht="7.35" customHeight="1">
      <c r="A193" s="12"/>
      <c r="B193" s="12"/>
      <c r="C193" s="12"/>
      <c r="D193" s="12"/>
      <c r="E193" s="12"/>
      <c r="F193" s="12"/>
      <c r="G193" s="12"/>
    </row>
    <row r="194" spans="1:7" ht="7.35" customHeight="1">
      <c r="A194" s="12"/>
      <c r="B194" s="12"/>
      <c r="C194" s="12"/>
      <c r="D194" s="12"/>
      <c r="E194" s="12"/>
      <c r="F194" s="12"/>
      <c r="G194" s="12"/>
    </row>
    <row r="195" spans="1:7" ht="7.35" customHeight="1">
      <c r="A195" s="12"/>
      <c r="B195" s="12"/>
      <c r="C195" s="12"/>
      <c r="D195" s="12"/>
      <c r="E195" s="12"/>
      <c r="F195" s="12"/>
      <c r="G195" s="12"/>
    </row>
    <row r="196" spans="1:7" ht="7.35" customHeight="1">
      <c r="A196" s="12"/>
      <c r="B196" s="12"/>
      <c r="C196" s="12"/>
      <c r="D196" s="12"/>
      <c r="E196" s="12"/>
      <c r="F196" s="12"/>
      <c r="G196" s="12"/>
    </row>
    <row r="197" spans="1:7" ht="7.35" customHeight="1">
      <c r="A197" s="12"/>
      <c r="B197" s="12"/>
      <c r="C197" s="12"/>
      <c r="D197" s="12"/>
      <c r="E197" s="12"/>
      <c r="F197" s="12"/>
      <c r="G197" s="12"/>
    </row>
    <row r="198" spans="1:7" ht="7.35" customHeight="1">
      <c r="A198" s="12"/>
      <c r="B198" s="12"/>
      <c r="C198" s="12"/>
      <c r="D198" s="12"/>
      <c r="E198" s="12"/>
      <c r="F198" s="12"/>
      <c r="G198" s="12"/>
    </row>
    <row r="199" spans="1:7" ht="7.35" customHeight="1">
      <c r="A199" s="12"/>
      <c r="B199" s="12"/>
      <c r="C199" s="12"/>
      <c r="D199" s="12"/>
      <c r="E199" s="12"/>
      <c r="F199" s="12"/>
      <c r="G199" s="12"/>
    </row>
    <row r="200" spans="1:7" ht="7.35" customHeight="1">
      <c r="A200" s="12"/>
      <c r="B200" s="12"/>
      <c r="C200" s="12"/>
      <c r="D200" s="12"/>
      <c r="E200" s="12"/>
      <c r="F200" s="12"/>
      <c r="G200" s="12"/>
    </row>
    <row r="201" spans="1:7" ht="7.35" customHeight="1">
      <c r="A201" s="12"/>
      <c r="B201" s="12"/>
      <c r="C201" s="12"/>
      <c r="D201" s="12"/>
      <c r="E201" s="12"/>
      <c r="F201" s="12"/>
      <c r="G201" s="1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21D6C-8E19-42EE-A5A9-D4B669F9C5A6}">
  <dimension ref="A1:B33"/>
  <sheetViews>
    <sheetView workbookViewId="0">
      <selection activeCell="D11" sqref="D11"/>
    </sheetView>
  </sheetViews>
  <sheetFormatPr defaultColWidth="8.6640625" defaultRowHeight="12.75" customHeight="1"/>
  <sheetData>
    <row r="1" spans="1:2" ht="12.75" customHeight="1">
      <c r="A1" t="s">
        <v>867</v>
      </c>
      <c r="B1" t="s">
        <v>5326</v>
      </c>
    </row>
    <row r="2" spans="1:2" ht="12.75" customHeight="1">
      <c r="A2" t="s">
        <v>394</v>
      </c>
      <c r="B2" t="s">
        <v>394</v>
      </c>
    </row>
    <row r="3" spans="1:2" ht="12.75" customHeight="1">
      <c r="A3" t="s">
        <v>12</v>
      </c>
      <c r="B3" t="s">
        <v>143</v>
      </c>
    </row>
    <row r="4" spans="1:2" ht="12.75" customHeight="1">
      <c r="A4" t="s">
        <v>14</v>
      </c>
      <c r="B4" t="s">
        <v>604</v>
      </c>
    </row>
    <row r="5" spans="1:2" ht="12.75" customHeight="1">
      <c r="A5" t="s">
        <v>16</v>
      </c>
      <c r="B5" t="s">
        <v>625</v>
      </c>
    </row>
    <row r="6" spans="1:2" ht="12.75" customHeight="1">
      <c r="A6" t="s">
        <v>18</v>
      </c>
      <c r="B6" t="s">
        <v>641</v>
      </c>
    </row>
    <row r="7" spans="1:2" ht="12.75" customHeight="1">
      <c r="A7" t="s">
        <v>20</v>
      </c>
      <c r="B7" t="s">
        <v>1462</v>
      </c>
    </row>
    <row r="8" spans="1:2" ht="12.75" customHeight="1">
      <c r="A8" t="s">
        <v>22</v>
      </c>
      <c r="B8" t="s">
        <v>1566</v>
      </c>
    </row>
    <row r="9" spans="1:2" ht="12.75" customHeight="1">
      <c r="A9" t="s">
        <v>24</v>
      </c>
      <c r="B9" t="s">
        <v>1680</v>
      </c>
    </row>
    <row r="10" spans="1:2" ht="12.75" customHeight="1">
      <c r="A10" t="s">
        <v>26</v>
      </c>
      <c r="B10" t="s">
        <v>1778</v>
      </c>
    </row>
    <row r="11" spans="1:2" ht="12.75" customHeight="1">
      <c r="A11" t="s">
        <v>28</v>
      </c>
      <c r="B11" t="s">
        <v>1884</v>
      </c>
    </row>
    <row r="12" spans="1:2" ht="12.75" customHeight="1">
      <c r="A12" t="s">
        <v>30</v>
      </c>
      <c r="B12" t="s">
        <v>697</v>
      </c>
    </row>
    <row r="13" spans="1:2" ht="12.75" customHeight="1">
      <c r="A13" t="s">
        <v>32</v>
      </c>
      <c r="B13" t="s">
        <v>2096</v>
      </c>
    </row>
    <row r="14" spans="1:2" ht="12.75" customHeight="1">
      <c r="A14" t="s">
        <v>34</v>
      </c>
      <c r="B14" t="s">
        <v>698</v>
      </c>
    </row>
    <row r="15" spans="1:2" ht="12.75" customHeight="1">
      <c r="A15" t="s">
        <v>36</v>
      </c>
      <c r="B15" t="s">
        <v>700</v>
      </c>
    </row>
    <row r="16" spans="1:2" ht="12.75" customHeight="1">
      <c r="A16" t="s">
        <v>38</v>
      </c>
      <c r="B16" t="s">
        <v>702</v>
      </c>
    </row>
    <row r="17" spans="1:2" ht="12.75" customHeight="1">
      <c r="A17" t="s">
        <v>40</v>
      </c>
      <c r="B17" t="s">
        <v>703</v>
      </c>
    </row>
    <row r="18" spans="1:2" ht="12.75" customHeight="1">
      <c r="A18" t="s">
        <v>42</v>
      </c>
      <c r="B18" t="s">
        <v>2557</v>
      </c>
    </row>
    <row r="19" spans="1:2" ht="12.75" customHeight="1">
      <c r="A19" t="s">
        <v>44</v>
      </c>
      <c r="B19" t="s">
        <v>705</v>
      </c>
    </row>
    <row r="20" spans="1:2" ht="12.75" customHeight="1">
      <c r="A20" t="s">
        <v>46</v>
      </c>
      <c r="B20" t="s">
        <v>2756</v>
      </c>
    </row>
    <row r="21" spans="1:2" ht="12.75" customHeight="1">
      <c r="A21" t="s">
        <v>48</v>
      </c>
      <c r="B21" t="s">
        <v>2877</v>
      </c>
    </row>
    <row r="22" spans="1:2" ht="12.75" customHeight="1">
      <c r="A22" t="s">
        <v>50</v>
      </c>
      <c r="B22" t="s">
        <v>707</v>
      </c>
    </row>
    <row r="23" spans="1:2" ht="12.75" customHeight="1">
      <c r="A23" t="s">
        <v>52</v>
      </c>
      <c r="B23" t="s">
        <v>372</v>
      </c>
    </row>
    <row r="24" spans="1:2" ht="12.75" customHeight="1">
      <c r="A24" t="s">
        <v>54</v>
      </c>
      <c r="B24" t="s">
        <v>374</v>
      </c>
    </row>
    <row r="25" spans="1:2" ht="12.75" customHeight="1">
      <c r="A25" t="s">
        <v>56</v>
      </c>
      <c r="B25" t="s">
        <v>376</v>
      </c>
    </row>
    <row r="26" spans="1:2" ht="12.75" customHeight="1">
      <c r="A26" t="s">
        <v>58</v>
      </c>
      <c r="B26" t="s">
        <v>379</v>
      </c>
    </row>
    <row r="27" spans="1:2" ht="12.75" customHeight="1">
      <c r="A27" t="s">
        <v>5303</v>
      </c>
      <c r="B27" t="s">
        <v>381</v>
      </c>
    </row>
    <row r="28" spans="1:2" ht="12.75" customHeight="1">
      <c r="A28" t="s">
        <v>62</v>
      </c>
      <c r="B28" t="s">
        <v>384</v>
      </c>
    </row>
    <row r="29" spans="1:2" ht="12.75" customHeight="1">
      <c r="A29" t="s">
        <v>5304</v>
      </c>
      <c r="B29" t="s">
        <v>388</v>
      </c>
    </row>
    <row r="30" spans="1:2" ht="12.75" customHeight="1">
      <c r="A30" t="s">
        <v>3884</v>
      </c>
      <c r="B30" t="s">
        <v>3884</v>
      </c>
    </row>
    <row r="31" spans="1:2" ht="12.75" customHeight="1">
      <c r="A31" t="s">
        <v>68</v>
      </c>
      <c r="B31" t="s">
        <v>68</v>
      </c>
    </row>
    <row r="32" spans="1:2" ht="12.75" customHeight="1">
      <c r="A32" t="s">
        <v>70</v>
      </c>
      <c r="B32" t="s">
        <v>70</v>
      </c>
    </row>
    <row r="33" spans="1:2" ht="12.75" customHeight="1">
      <c r="A33" t="s">
        <v>5305</v>
      </c>
      <c r="B33" t="s">
        <v>5305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F7C92-7255-4779-B872-54296773C399}">
  <dimension ref="A1:H30"/>
  <sheetViews>
    <sheetView workbookViewId="0">
      <selection activeCell="G6" sqref="G6"/>
    </sheetView>
  </sheetViews>
  <sheetFormatPr defaultColWidth="8.6640625" defaultRowHeight="13.2"/>
  <cols>
    <col min="1" max="1" width="22" customWidth="1"/>
    <col min="2" max="2" width="14" customWidth="1"/>
    <col min="3" max="3" width="34" customWidth="1"/>
    <col min="4" max="4" width="38" customWidth="1"/>
    <col min="5" max="5" width="7.5546875" customWidth="1"/>
    <col min="6" max="6" width="18" customWidth="1"/>
    <col min="7" max="7" width="26" customWidth="1"/>
    <col min="8" max="8" width="14" customWidth="1"/>
  </cols>
  <sheetData>
    <row r="1" spans="1:8" ht="39.6" customHeight="1">
      <c r="A1" s="832" t="s">
        <v>5327</v>
      </c>
      <c r="B1" s="830"/>
      <c r="C1" s="830"/>
      <c r="D1" s="830"/>
      <c r="E1" s="830"/>
      <c r="F1" s="830"/>
      <c r="G1" s="830"/>
      <c r="H1" s="831"/>
    </row>
    <row r="2" spans="1:8">
      <c r="A2" s="829" t="s">
        <v>5328</v>
      </c>
      <c r="B2" s="830"/>
      <c r="C2" s="830"/>
      <c r="D2" s="830"/>
      <c r="E2" s="830"/>
      <c r="F2" s="830"/>
      <c r="G2" s="830"/>
      <c r="H2" s="831"/>
    </row>
    <row r="3" spans="1:8">
      <c r="A3" s="154"/>
      <c r="B3" s="154"/>
      <c r="C3" s="154"/>
      <c r="D3" s="154"/>
      <c r="E3" s="154"/>
      <c r="F3" s="154"/>
      <c r="G3" s="154"/>
      <c r="H3" s="154"/>
    </row>
    <row r="4" spans="1:8" ht="13.8">
      <c r="A4" s="155" t="s">
        <v>5329</v>
      </c>
      <c r="B4" s="155" t="s">
        <v>5330</v>
      </c>
      <c r="C4" s="155" t="s">
        <v>5331</v>
      </c>
      <c r="D4" s="155" t="s">
        <v>11</v>
      </c>
      <c r="E4" s="155" t="s">
        <v>5332</v>
      </c>
      <c r="F4" s="155" t="s">
        <v>77</v>
      </c>
      <c r="G4" s="155" t="s">
        <v>5333</v>
      </c>
      <c r="H4" s="155" t="s">
        <v>5334</v>
      </c>
    </row>
    <row r="5" spans="1:8">
      <c r="A5" s="154" t="s">
        <v>5335</v>
      </c>
      <c r="B5" s="154" t="s">
        <v>5336</v>
      </c>
      <c r="C5" s="154" t="s">
        <v>5337</v>
      </c>
      <c r="D5" s="154" t="s">
        <v>5338</v>
      </c>
      <c r="E5" s="154"/>
      <c r="F5" s="154" t="s">
        <v>175</v>
      </c>
      <c r="G5" s="154" t="s">
        <v>5339</v>
      </c>
      <c r="H5" s="154">
        <v>1</v>
      </c>
    </row>
    <row r="6" spans="1:8">
      <c r="A6" s="154" t="s">
        <v>5340</v>
      </c>
      <c r="B6" s="154" t="s">
        <v>5341</v>
      </c>
      <c r="C6" s="154" t="s">
        <v>5342</v>
      </c>
      <c r="D6" s="154" t="s">
        <v>5343</v>
      </c>
      <c r="E6" s="154"/>
      <c r="F6" s="154" t="s">
        <v>5344</v>
      </c>
      <c r="G6" s="154" t="s">
        <v>5345</v>
      </c>
      <c r="H6" s="154">
        <v>2</v>
      </c>
    </row>
    <row r="7" spans="1:8">
      <c r="A7" s="154" t="s">
        <v>5346</v>
      </c>
      <c r="B7" s="154" t="s">
        <v>5347</v>
      </c>
      <c r="C7" s="154" t="s">
        <v>5348</v>
      </c>
      <c r="D7" s="154" t="s">
        <v>5349</v>
      </c>
      <c r="E7" s="154"/>
      <c r="F7" s="154" t="s">
        <v>5350</v>
      </c>
      <c r="G7" s="154" t="s">
        <v>5351</v>
      </c>
      <c r="H7" s="154">
        <v>3</v>
      </c>
    </row>
    <row r="8" spans="1:8">
      <c r="A8" s="154" t="s">
        <v>5352</v>
      </c>
      <c r="B8" s="154" t="s">
        <v>5353</v>
      </c>
      <c r="C8" s="154" t="s">
        <v>5354</v>
      </c>
      <c r="D8" s="154" t="s">
        <v>5355</v>
      </c>
      <c r="E8" s="154"/>
      <c r="F8" s="154" t="s">
        <v>492</v>
      </c>
      <c r="G8" s="154" t="s">
        <v>5356</v>
      </c>
      <c r="H8" s="154">
        <v>4</v>
      </c>
    </row>
    <row r="9" spans="1:8">
      <c r="A9" s="154" t="s">
        <v>5357</v>
      </c>
      <c r="B9" s="154" t="s">
        <v>5358</v>
      </c>
      <c r="C9" s="154" t="s">
        <v>5359</v>
      </c>
      <c r="D9" s="154" t="s">
        <v>5360</v>
      </c>
      <c r="E9" s="154"/>
      <c r="F9" s="154" t="s">
        <v>484</v>
      </c>
      <c r="G9" s="154" t="s">
        <v>5361</v>
      </c>
      <c r="H9" s="154">
        <v>5</v>
      </c>
    </row>
    <row r="10" spans="1:8">
      <c r="A10" s="154" t="s">
        <v>5362</v>
      </c>
      <c r="B10" s="154" t="s">
        <v>5363</v>
      </c>
      <c r="C10" s="154" t="s">
        <v>5364</v>
      </c>
      <c r="D10" s="154" t="s">
        <v>5365</v>
      </c>
      <c r="E10" s="154"/>
      <c r="F10" s="154" t="s">
        <v>502</v>
      </c>
      <c r="G10" s="154" t="s">
        <v>5366</v>
      </c>
      <c r="H10" s="154">
        <v>6</v>
      </c>
    </row>
    <row r="11" spans="1:8">
      <c r="A11" s="154"/>
      <c r="B11" s="154"/>
      <c r="C11" s="154"/>
      <c r="D11" s="154"/>
      <c r="E11" s="154"/>
      <c r="F11" s="154"/>
      <c r="G11" s="154"/>
      <c r="H11" s="154"/>
    </row>
    <row r="12" spans="1:8" ht="13.8">
      <c r="A12" s="155" t="s">
        <v>5367</v>
      </c>
      <c r="B12" s="155" t="s">
        <v>544</v>
      </c>
      <c r="C12" s="155" t="s">
        <v>5368</v>
      </c>
      <c r="D12" s="155" t="s">
        <v>5369</v>
      </c>
      <c r="E12" s="155" t="s">
        <v>5332</v>
      </c>
      <c r="F12" s="155" t="s">
        <v>5333</v>
      </c>
      <c r="G12" s="155" t="s">
        <v>5368</v>
      </c>
      <c r="H12" s="155" t="s">
        <v>5370</v>
      </c>
    </row>
    <row r="13" spans="1:8">
      <c r="A13" s="154" t="s">
        <v>5371</v>
      </c>
      <c r="B13" s="154">
        <v>0.9</v>
      </c>
      <c r="C13" s="154" t="s">
        <v>5372</v>
      </c>
      <c r="D13" s="154" t="s">
        <v>5373</v>
      </c>
      <c r="E13" s="154"/>
      <c r="F13" s="154" t="s">
        <v>5374</v>
      </c>
      <c r="G13" s="154" t="s">
        <v>5375</v>
      </c>
      <c r="H13" s="154" t="s">
        <v>5376</v>
      </c>
    </row>
    <row r="14" spans="1:8" ht="26.4">
      <c r="A14" s="154" t="s">
        <v>5377</v>
      </c>
      <c r="B14" s="154">
        <v>0.65</v>
      </c>
      <c r="C14" s="154" t="s">
        <v>5378</v>
      </c>
      <c r="D14" s="154" t="s">
        <v>5373</v>
      </c>
      <c r="E14" s="154"/>
      <c r="F14" s="154" t="s">
        <v>5379</v>
      </c>
      <c r="G14" s="154" t="s">
        <v>5380</v>
      </c>
      <c r="H14" s="154" t="s">
        <v>5381</v>
      </c>
    </row>
    <row r="15" spans="1:8" ht="26.4">
      <c r="A15" s="154" t="s">
        <v>5382</v>
      </c>
      <c r="B15" s="154">
        <v>7</v>
      </c>
      <c r="C15" s="154" t="s">
        <v>5383</v>
      </c>
      <c r="D15" s="154" t="s">
        <v>5384</v>
      </c>
      <c r="E15" s="154"/>
      <c r="F15" s="154" t="s">
        <v>5385</v>
      </c>
      <c r="G15" s="154" t="s">
        <v>5386</v>
      </c>
      <c r="H15" s="154" t="s">
        <v>5387</v>
      </c>
    </row>
    <row r="16" spans="1:8" ht="26.4">
      <c r="A16" s="154" t="s">
        <v>5388</v>
      </c>
      <c r="B16" s="154">
        <v>1</v>
      </c>
      <c r="C16" s="154" t="s">
        <v>5389</v>
      </c>
      <c r="D16" s="154" t="s">
        <v>5390</v>
      </c>
      <c r="E16" s="154"/>
      <c r="F16" s="154" t="s">
        <v>5391</v>
      </c>
      <c r="G16" s="154" t="s">
        <v>5392</v>
      </c>
      <c r="H16" s="154" t="s">
        <v>5393</v>
      </c>
    </row>
    <row r="17" spans="1:8">
      <c r="A17" s="154"/>
      <c r="B17" s="154"/>
      <c r="C17" s="154"/>
      <c r="D17" s="154"/>
      <c r="E17" s="154"/>
      <c r="F17" s="154"/>
      <c r="G17" s="154"/>
      <c r="H17" s="154"/>
    </row>
    <row r="18" spans="1:8" ht="13.8">
      <c r="A18" s="156" t="s">
        <v>5394</v>
      </c>
      <c r="B18" s="156" t="s">
        <v>5395</v>
      </c>
      <c r="C18" s="156" t="s">
        <v>5396</v>
      </c>
      <c r="D18" s="156"/>
      <c r="E18" s="156" t="s">
        <v>5332</v>
      </c>
      <c r="F18" s="156" t="s">
        <v>5397</v>
      </c>
      <c r="G18" s="156" t="s">
        <v>5398</v>
      </c>
      <c r="H18" s="156"/>
    </row>
    <row r="19" spans="1:8" ht="26.4">
      <c r="A19" s="154" t="s">
        <v>5399</v>
      </c>
      <c r="B19" s="154" t="s">
        <v>5400</v>
      </c>
      <c r="C19" s="154" t="s">
        <v>5401</v>
      </c>
      <c r="D19" s="154"/>
      <c r="E19" s="154"/>
      <c r="F19" s="154" t="s">
        <v>77</v>
      </c>
      <c r="G19" s="154" t="s">
        <v>5402</v>
      </c>
      <c r="H19" s="154"/>
    </row>
    <row r="20" spans="1:8" ht="26.4">
      <c r="A20" s="154" t="s">
        <v>5403</v>
      </c>
      <c r="B20" s="154" t="s">
        <v>5404</v>
      </c>
      <c r="C20" s="154" t="s">
        <v>5405</v>
      </c>
      <c r="D20" s="154"/>
      <c r="E20" s="154"/>
      <c r="F20" s="154" t="s">
        <v>224</v>
      </c>
      <c r="G20" s="154" t="s">
        <v>5406</v>
      </c>
      <c r="H20" s="154"/>
    </row>
    <row r="21" spans="1:8" ht="26.4">
      <c r="A21" s="154" t="s">
        <v>5407</v>
      </c>
      <c r="B21" s="154" t="s">
        <v>5408</v>
      </c>
      <c r="C21" s="154" t="s">
        <v>5409</v>
      </c>
      <c r="D21" s="154"/>
      <c r="E21" s="154"/>
      <c r="F21" s="154" t="s">
        <v>216</v>
      </c>
      <c r="G21" s="154" t="s">
        <v>5410</v>
      </c>
      <c r="H21" s="154"/>
    </row>
    <row r="22" spans="1:8">
      <c r="A22" s="154" t="s">
        <v>5411</v>
      </c>
      <c r="B22" s="154" t="s">
        <v>5412</v>
      </c>
      <c r="C22" s="154" t="s">
        <v>5413</v>
      </c>
      <c r="D22" s="154"/>
      <c r="E22" s="154"/>
      <c r="F22" s="154" t="s">
        <v>5414</v>
      </c>
      <c r="G22" s="154" t="s">
        <v>5415</v>
      </c>
      <c r="H22" s="154"/>
    </row>
    <row r="23" spans="1:8">
      <c r="A23" s="154" t="s">
        <v>5416</v>
      </c>
      <c r="B23" s="154" t="s">
        <v>515</v>
      </c>
      <c r="C23" s="154" t="s">
        <v>5417</v>
      </c>
      <c r="D23" s="154"/>
      <c r="E23" s="154"/>
      <c r="F23" s="154"/>
      <c r="G23" s="154"/>
      <c r="H23" s="154"/>
    </row>
    <row r="24" spans="1:8" ht="26.4">
      <c r="A24" s="154" t="s">
        <v>179</v>
      </c>
      <c r="B24" s="154" t="s">
        <v>5418</v>
      </c>
      <c r="C24" s="154" t="s">
        <v>5419</v>
      </c>
      <c r="D24" s="154"/>
      <c r="E24" s="154"/>
      <c r="F24" s="154"/>
      <c r="G24" s="154"/>
      <c r="H24" s="154"/>
    </row>
    <row r="25" spans="1:8">
      <c r="A25" s="154"/>
      <c r="B25" s="154"/>
      <c r="C25" s="154"/>
      <c r="D25" s="154"/>
      <c r="E25" s="154"/>
      <c r="F25" s="154"/>
      <c r="G25" s="154"/>
      <c r="H25" s="154"/>
    </row>
    <row r="26" spans="1:8" ht="13.8">
      <c r="A26" s="157" t="s">
        <v>5420</v>
      </c>
      <c r="B26" s="157"/>
      <c r="C26" s="157"/>
      <c r="D26" s="157"/>
      <c r="E26" s="157"/>
      <c r="F26" s="157"/>
      <c r="G26" s="157"/>
      <c r="H26" s="157"/>
    </row>
    <row r="27" spans="1:8" ht="39.6">
      <c r="A27" s="154" t="s">
        <v>5421</v>
      </c>
      <c r="B27" s="154"/>
      <c r="C27" s="154"/>
      <c r="D27" s="154"/>
      <c r="E27" s="154"/>
      <c r="F27" s="154"/>
      <c r="G27" s="154"/>
      <c r="H27" s="154"/>
    </row>
    <row r="28" spans="1:8" ht="52.8">
      <c r="A28" s="154" t="s">
        <v>5422</v>
      </c>
      <c r="B28" s="154"/>
      <c r="C28" s="154"/>
      <c r="D28" s="154"/>
      <c r="E28" s="154"/>
      <c r="F28" s="154"/>
      <c r="G28" s="154"/>
      <c r="H28" s="154"/>
    </row>
    <row r="29" spans="1:8" ht="39.6">
      <c r="A29" s="154" t="s">
        <v>5423</v>
      </c>
      <c r="B29" s="154"/>
      <c r="C29" s="154"/>
      <c r="D29" s="154"/>
      <c r="E29" s="154"/>
      <c r="F29" s="154"/>
      <c r="G29" s="154"/>
      <c r="H29" s="154"/>
    </row>
    <row r="30" spans="1:8" ht="39.6">
      <c r="A30" s="154" t="s">
        <v>5424</v>
      </c>
      <c r="B30" s="154"/>
      <c r="C30" s="154"/>
      <c r="D30" s="154"/>
      <c r="E30" s="154"/>
      <c r="F30" s="154"/>
      <c r="G30" s="154"/>
      <c r="H30" s="154"/>
    </row>
  </sheetData>
  <mergeCells count="2">
    <mergeCell ref="A2:H2"/>
    <mergeCell ref="A1:H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B6A4E-0B0A-4611-89AA-EFBB94373565}">
  <dimension ref="A1:V49"/>
  <sheetViews>
    <sheetView workbookViewId="0">
      <selection activeCell="K24" sqref="K24"/>
    </sheetView>
  </sheetViews>
  <sheetFormatPr defaultColWidth="8.6640625" defaultRowHeight="12.75" customHeight="1"/>
  <cols>
    <col min="1" max="1" width="45.5546875" style="8" customWidth="1"/>
    <col min="2" max="2" width="23.6640625" customWidth="1"/>
    <col min="3" max="3" width="27" style="8" customWidth="1"/>
    <col min="5" max="5" width="18" style="8" customWidth="1"/>
    <col min="7" max="7" width="18" style="8" customWidth="1"/>
    <col min="8" max="8" width="26.44140625" customWidth="1"/>
    <col min="9" max="9" width="22" style="8" customWidth="1"/>
    <col min="11" max="11" width="10.44140625" bestFit="1" customWidth="1"/>
    <col min="12" max="12" width="13.109375" bestFit="1" customWidth="1"/>
    <col min="13" max="13" width="27.88671875" bestFit="1" customWidth="1"/>
  </cols>
  <sheetData>
    <row r="1" spans="1:22" s="196" customFormat="1" ht="10.199999999999999" customHeight="1">
      <c r="A1" s="908" t="s">
        <v>495</v>
      </c>
      <c r="B1" s="909"/>
      <c r="C1" s="909"/>
      <c r="D1" s="909"/>
      <c r="E1" s="909"/>
      <c r="F1" s="909"/>
      <c r="G1" s="909"/>
      <c r="H1" s="909"/>
      <c r="I1" s="909"/>
      <c r="J1" s="909"/>
    </row>
    <row r="2" spans="1:22" s="196" customFormat="1" ht="10.199999999999999" customHeight="1">
      <c r="A2" s="910" t="s">
        <v>496</v>
      </c>
      <c r="B2" s="909"/>
      <c r="C2" s="909"/>
      <c r="D2" s="909"/>
      <c r="E2" s="909"/>
      <c r="F2" s="909"/>
      <c r="G2" s="909"/>
      <c r="H2" s="909"/>
      <c r="I2" s="909"/>
      <c r="J2" s="909"/>
    </row>
    <row r="3" spans="1:22" s="196" customFormat="1" ht="14.4">
      <c r="A3" s="909"/>
      <c r="C3" s="909"/>
      <c r="E3" s="909"/>
      <c r="G3" s="909"/>
      <c r="I3" s="909"/>
    </row>
    <row r="4" spans="1:22" s="196" customFormat="1" ht="10.199999999999999" customHeight="1">
      <c r="A4" s="911" t="s">
        <v>77</v>
      </c>
      <c r="C4" s="911" t="s">
        <v>224</v>
      </c>
      <c r="E4" s="911" t="s">
        <v>257</v>
      </c>
      <c r="G4" s="911" t="s">
        <v>215</v>
      </c>
      <c r="I4" s="911" t="s">
        <v>497</v>
      </c>
      <c r="K4" s="912" t="s">
        <v>5860</v>
      </c>
      <c r="L4" s="713"/>
      <c r="M4" s="713"/>
      <c r="N4" s="905" t="s">
        <v>5970</v>
      </c>
      <c r="O4" s="905" t="s">
        <v>493</v>
      </c>
      <c r="P4" s="905" t="s">
        <v>284</v>
      </c>
      <c r="Q4" s="905" t="s">
        <v>216</v>
      </c>
      <c r="R4" s="905" t="s">
        <v>5974</v>
      </c>
      <c r="S4" s="905" t="s">
        <v>215</v>
      </c>
      <c r="T4" s="905" t="s">
        <v>6123</v>
      </c>
      <c r="U4" s="905" t="s">
        <v>6090</v>
      </c>
      <c r="V4" s="905" t="s">
        <v>6159</v>
      </c>
    </row>
    <row r="5" spans="1:22" s="196" customFormat="1" ht="10.199999999999999" customHeight="1">
      <c r="A5" s="913" t="s">
        <v>235</v>
      </c>
      <c r="C5" s="913" t="s">
        <v>498</v>
      </c>
      <c r="E5" s="913" t="s">
        <v>498</v>
      </c>
      <c r="G5" s="913" t="s">
        <v>498</v>
      </c>
      <c r="I5" s="913" t="s">
        <v>487</v>
      </c>
      <c r="K5" s="914" t="s">
        <v>77</v>
      </c>
      <c r="L5" s="914" t="s">
        <v>5861</v>
      </c>
      <c r="M5" s="914" t="s">
        <v>5851</v>
      </c>
      <c r="N5" s="196" t="s">
        <v>5225</v>
      </c>
      <c r="O5" s="196" t="s">
        <v>6106</v>
      </c>
      <c r="P5" s="196" t="s">
        <v>732</v>
      </c>
      <c r="Q5" s="196" t="s">
        <v>229</v>
      </c>
      <c r="R5" s="196" t="s">
        <v>6124</v>
      </c>
      <c r="S5" s="196" t="s">
        <v>6103</v>
      </c>
      <c r="T5" s="196" t="s">
        <v>392</v>
      </c>
      <c r="U5" s="196" t="s">
        <v>6125</v>
      </c>
      <c r="V5" s="196" t="s">
        <v>484</v>
      </c>
    </row>
    <row r="6" spans="1:22" s="196" customFormat="1" ht="10.199999999999999" customHeight="1">
      <c r="A6" s="913" t="s">
        <v>230</v>
      </c>
      <c r="C6" s="913" t="s">
        <v>488</v>
      </c>
      <c r="E6" s="913" t="s">
        <v>488</v>
      </c>
      <c r="G6" s="913" t="s">
        <v>488</v>
      </c>
      <c r="I6" s="913" t="s">
        <v>499</v>
      </c>
      <c r="K6" s="317" t="s">
        <v>484</v>
      </c>
      <c r="L6" s="317" t="s">
        <v>392</v>
      </c>
      <c r="M6" s="317" t="s">
        <v>348</v>
      </c>
      <c r="N6" s="196" t="s">
        <v>264</v>
      </c>
      <c r="O6" s="196" t="s">
        <v>6119</v>
      </c>
      <c r="P6" s="196" t="s">
        <v>3463</v>
      </c>
      <c r="Q6" s="196" t="s">
        <v>5981</v>
      </c>
      <c r="R6" s="196" t="s">
        <v>5982</v>
      </c>
      <c r="S6" s="196" t="s">
        <v>6105</v>
      </c>
      <c r="T6" s="196" t="s">
        <v>1096</v>
      </c>
      <c r="U6" s="196" t="s">
        <v>6126</v>
      </c>
      <c r="V6" s="196" t="s">
        <v>235</v>
      </c>
    </row>
    <row r="7" spans="1:22" s="196" customFormat="1" ht="10.199999999999999" customHeight="1">
      <c r="A7" s="913" t="s">
        <v>348</v>
      </c>
      <c r="C7" s="913" t="s">
        <v>391</v>
      </c>
      <c r="E7" s="913" t="s">
        <v>391</v>
      </c>
      <c r="G7" s="913" t="s">
        <v>391</v>
      </c>
      <c r="I7" s="913" t="s">
        <v>500</v>
      </c>
      <c r="K7" s="317" t="s">
        <v>230</v>
      </c>
      <c r="L7" s="317" t="s">
        <v>1096</v>
      </c>
      <c r="M7" s="317" t="s">
        <v>546</v>
      </c>
      <c r="N7" s="196" t="s">
        <v>152</v>
      </c>
      <c r="O7" s="196" t="s">
        <v>6127</v>
      </c>
      <c r="P7" s="196" t="s">
        <v>146</v>
      </c>
      <c r="Q7" s="196" t="s">
        <v>5978</v>
      </c>
      <c r="R7" s="196" t="s">
        <v>5987</v>
      </c>
      <c r="S7" s="196" t="s">
        <v>6109</v>
      </c>
      <c r="U7" s="196" t="s">
        <v>6128</v>
      </c>
      <c r="V7" s="196" t="s">
        <v>230</v>
      </c>
    </row>
    <row r="8" spans="1:22" s="196" customFormat="1" ht="10.199999999999999" customHeight="1">
      <c r="A8" s="913" t="s">
        <v>501</v>
      </c>
      <c r="C8" s="913" t="s">
        <v>492</v>
      </c>
      <c r="E8" s="909"/>
      <c r="G8" s="913" t="s">
        <v>492</v>
      </c>
      <c r="I8" s="913" t="s">
        <v>483</v>
      </c>
      <c r="K8" s="317" t="s">
        <v>482</v>
      </c>
      <c r="L8" s="317" t="s">
        <v>679</v>
      </c>
      <c r="M8" s="317" t="s">
        <v>547</v>
      </c>
      <c r="N8" s="196" t="s">
        <v>6129</v>
      </c>
      <c r="O8" s="196" t="s">
        <v>4797</v>
      </c>
      <c r="P8" s="196" t="s">
        <v>157</v>
      </c>
      <c r="Q8" s="196" t="s">
        <v>6130</v>
      </c>
      <c r="R8" s="196" t="s">
        <v>6001</v>
      </c>
      <c r="U8" s="196" t="s">
        <v>6110</v>
      </c>
      <c r="V8" s="196" t="s">
        <v>5968</v>
      </c>
    </row>
    <row r="9" spans="1:22" s="196" customFormat="1" ht="10.199999999999999" customHeight="1">
      <c r="A9" s="913" t="s">
        <v>502</v>
      </c>
      <c r="C9" s="909"/>
      <c r="E9" s="909"/>
      <c r="G9" s="909"/>
      <c r="I9" s="913" t="s">
        <v>503</v>
      </c>
      <c r="K9" s="317" t="s">
        <v>5862</v>
      </c>
      <c r="L9" s="317"/>
      <c r="M9" s="317" t="s">
        <v>679</v>
      </c>
      <c r="N9" s="196" t="s">
        <v>6131</v>
      </c>
      <c r="O9" s="196" t="s">
        <v>6113</v>
      </c>
      <c r="P9" s="196" t="s">
        <v>3480</v>
      </c>
      <c r="Q9" s="196" t="s">
        <v>6132</v>
      </c>
      <c r="R9" s="196" t="s">
        <v>6133</v>
      </c>
      <c r="U9" s="196" t="s">
        <v>6116</v>
      </c>
      <c r="V9" s="196" t="s">
        <v>348</v>
      </c>
    </row>
    <row r="10" spans="1:22" s="196" customFormat="1" ht="10.199999999999999" customHeight="1">
      <c r="A10" s="913" t="s">
        <v>482</v>
      </c>
      <c r="C10" s="909"/>
      <c r="E10" s="909"/>
      <c r="G10" s="909"/>
      <c r="I10" s="913" t="s">
        <v>485</v>
      </c>
      <c r="K10" s="317" t="s">
        <v>5863</v>
      </c>
      <c r="L10" s="317"/>
      <c r="M10" s="317"/>
      <c r="N10" s="196" t="s">
        <v>4788</v>
      </c>
      <c r="O10" s="196" t="s">
        <v>6117</v>
      </c>
      <c r="P10" s="196" t="s">
        <v>3349</v>
      </c>
      <c r="Q10" s="196" t="s">
        <v>6134</v>
      </c>
      <c r="R10" s="196" t="s">
        <v>6135</v>
      </c>
      <c r="U10" s="196" t="s">
        <v>6136</v>
      </c>
      <c r="V10" s="196" t="s">
        <v>5862</v>
      </c>
    </row>
    <row r="11" spans="1:22" s="196" customFormat="1" ht="10.199999999999999" customHeight="1">
      <c r="A11" s="913" t="s">
        <v>484</v>
      </c>
      <c r="C11" s="909"/>
      <c r="E11" s="909"/>
      <c r="G11" s="909"/>
      <c r="I11" s="913" t="s">
        <v>486</v>
      </c>
      <c r="N11" s="196" t="s">
        <v>5989</v>
      </c>
      <c r="O11" s="196" t="s">
        <v>485</v>
      </c>
      <c r="P11" s="196" t="s">
        <v>5456</v>
      </c>
      <c r="Q11" s="196" t="s">
        <v>6137</v>
      </c>
      <c r="R11" s="196" t="s">
        <v>6138</v>
      </c>
      <c r="U11" s="196" t="s">
        <v>6122</v>
      </c>
      <c r="V11" s="196" t="s">
        <v>501</v>
      </c>
    </row>
    <row r="12" spans="1:22" s="196" customFormat="1" ht="10.199999999999999" customHeight="1">
      <c r="A12" s="909"/>
      <c r="C12" s="909"/>
      <c r="E12" s="909"/>
      <c r="G12" s="909"/>
      <c r="I12" s="909"/>
      <c r="K12" s="912" t="s">
        <v>5864</v>
      </c>
      <c r="L12" s="713"/>
      <c r="M12" s="713"/>
      <c r="N12" s="196" t="s">
        <v>6139</v>
      </c>
      <c r="O12" s="196" t="s">
        <v>486</v>
      </c>
      <c r="P12" s="196" t="s">
        <v>5457</v>
      </c>
      <c r="Q12" s="196" t="s">
        <v>5238</v>
      </c>
      <c r="R12" s="196" t="s">
        <v>6140</v>
      </c>
      <c r="U12" s="196" t="s">
        <v>6104</v>
      </c>
      <c r="V12" s="196" t="s">
        <v>5863</v>
      </c>
    </row>
    <row r="13" spans="1:22" s="196" customFormat="1" ht="13.2">
      <c r="A13" s="534" t="s">
        <v>5970</v>
      </c>
      <c r="B13" s="534" t="s">
        <v>493</v>
      </c>
      <c r="C13" s="534" t="s">
        <v>284</v>
      </c>
      <c r="D13" s="534" t="s">
        <v>216</v>
      </c>
      <c r="E13" s="534" t="s">
        <v>5974</v>
      </c>
      <c r="F13" s="534" t="s">
        <v>215</v>
      </c>
      <c r="G13" s="534" t="s">
        <v>6123</v>
      </c>
      <c r="H13" s="534" t="s">
        <v>6090</v>
      </c>
      <c r="I13" s="534" t="s">
        <v>77</v>
      </c>
    </row>
    <row r="14" spans="1:22" s="196" customFormat="1" ht="13.2">
      <c r="A14" s="196" t="s">
        <v>5225</v>
      </c>
      <c r="B14" s="196" t="s">
        <v>6106</v>
      </c>
      <c r="C14" s="196" t="s">
        <v>732</v>
      </c>
      <c r="D14" s="196" t="s">
        <v>229</v>
      </c>
      <c r="E14" s="196" t="s">
        <v>6124</v>
      </c>
      <c r="F14" s="196" t="s">
        <v>6103</v>
      </c>
      <c r="G14" s="196" t="s">
        <v>392</v>
      </c>
      <c r="H14" s="196" t="s">
        <v>6125</v>
      </c>
      <c r="I14" s="196" t="s">
        <v>484</v>
      </c>
    </row>
    <row r="15" spans="1:22" s="196" customFormat="1" ht="13.2">
      <c r="A15" s="196" t="s">
        <v>264</v>
      </c>
      <c r="B15" s="196" t="s">
        <v>6119</v>
      </c>
      <c r="C15" s="196" t="s">
        <v>3463</v>
      </c>
      <c r="D15" s="196" t="s">
        <v>5981</v>
      </c>
      <c r="E15" s="196" t="s">
        <v>5982</v>
      </c>
      <c r="F15" s="196" t="s">
        <v>6105</v>
      </c>
      <c r="G15" s="196" t="s">
        <v>1096</v>
      </c>
      <c r="H15" s="196" t="s">
        <v>6126</v>
      </c>
      <c r="I15" s="196" t="s">
        <v>235</v>
      </c>
    </row>
    <row r="16" spans="1:22" s="196" customFormat="1" ht="13.2">
      <c r="A16" s="196" t="s">
        <v>152</v>
      </c>
      <c r="B16" s="196" t="s">
        <v>6127</v>
      </c>
      <c r="C16" s="196" t="s">
        <v>146</v>
      </c>
      <c r="D16" s="196" t="s">
        <v>5978</v>
      </c>
      <c r="E16" s="196" t="s">
        <v>5987</v>
      </c>
      <c r="F16" s="196" t="s">
        <v>6109</v>
      </c>
      <c r="H16" s="196" t="s">
        <v>6128</v>
      </c>
      <c r="I16" s="196" t="s">
        <v>230</v>
      </c>
    </row>
    <row r="17" spans="1:10" s="196" customFormat="1" ht="13.2">
      <c r="A17" s="196" t="s">
        <v>6129</v>
      </c>
      <c r="B17" s="196" t="s">
        <v>4797</v>
      </c>
      <c r="C17" s="196" t="s">
        <v>157</v>
      </c>
      <c r="D17" s="196" t="s">
        <v>6130</v>
      </c>
      <c r="E17" s="196" t="s">
        <v>6001</v>
      </c>
      <c r="H17" s="196" t="s">
        <v>6110</v>
      </c>
      <c r="I17" s="196" t="s">
        <v>5968</v>
      </c>
    </row>
    <row r="18" spans="1:10" s="196" customFormat="1" ht="13.2">
      <c r="A18" s="196" t="s">
        <v>6131</v>
      </c>
      <c r="B18" s="196" t="s">
        <v>6113</v>
      </c>
      <c r="C18" s="196" t="s">
        <v>3480</v>
      </c>
      <c r="D18" s="196" t="s">
        <v>6132</v>
      </c>
      <c r="E18" s="196" t="s">
        <v>6133</v>
      </c>
      <c r="H18" s="196" t="s">
        <v>6116</v>
      </c>
      <c r="I18" s="196" t="s">
        <v>348</v>
      </c>
    </row>
    <row r="19" spans="1:10" s="196" customFormat="1" ht="13.2">
      <c r="A19" s="196" t="s">
        <v>4788</v>
      </c>
      <c r="B19" s="196" t="s">
        <v>6117</v>
      </c>
      <c r="C19" s="196" t="s">
        <v>3349</v>
      </c>
      <c r="D19" s="196" t="s">
        <v>6134</v>
      </c>
      <c r="E19" s="196" t="s">
        <v>6135</v>
      </c>
      <c r="H19" s="196" t="s">
        <v>6136</v>
      </c>
      <c r="I19" s="196" t="s">
        <v>5862</v>
      </c>
    </row>
    <row r="20" spans="1:10" s="196" customFormat="1" ht="13.2">
      <c r="A20" s="196" t="s">
        <v>5989</v>
      </c>
      <c r="B20" s="196" t="s">
        <v>485</v>
      </c>
      <c r="C20" s="196" t="s">
        <v>5456</v>
      </c>
      <c r="D20" s="196" t="s">
        <v>6137</v>
      </c>
      <c r="E20" s="196" t="s">
        <v>6138</v>
      </c>
      <c r="H20" s="196" t="s">
        <v>6122</v>
      </c>
      <c r="I20" s="196" t="s">
        <v>501</v>
      </c>
    </row>
    <row r="21" spans="1:10" s="196" customFormat="1" ht="13.2">
      <c r="A21" s="196" t="s">
        <v>6139</v>
      </c>
      <c r="B21" s="196" t="s">
        <v>486</v>
      </c>
      <c r="C21" s="196" t="s">
        <v>5457</v>
      </c>
      <c r="D21" s="196" t="s">
        <v>5238</v>
      </c>
      <c r="E21" s="196" t="s">
        <v>6140</v>
      </c>
      <c r="H21" s="196" t="s">
        <v>6104</v>
      </c>
      <c r="I21" s="196" t="s">
        <v>5863</v>
      </c>
    </row>
    <row r="22" spans="1:10" s="196" customFormat="1" ht="13.2">
      <c r="A22" s="196" t="s">
        <v>485</v>
      </c>
      <c r="B22" s="196" t="s">
        <v>6111</v>
      </c>
      <c r="C22" s="196" t="s">
        <v>6141</v>
      </c>
      <c r="D22" s="196" t="s">
        <v>6142</v>
      </c>
      <c r="H22" s="196" t="s">
        <v>6121</v>
      </c>
      <c r="I22" s="196" t="s">
        <v>482</v>
      </c>
    </row>
    <row r="23" spans="1:10" s="196" customFormat="1" ht="13.2">
      <c r="A23" s="196" t="s">
        <v>6000</v>
      </c>
      <c r="B23" s="196" t="s">
        <v>491</v>
      </c>
      <c r="C23" s="196" t="s">
        <v>485</v>
      </c>
      <c r="D23" s="196" t="s">
        <v>6143</v>
      </c>
      <c r="H23" s="196" t="s">
        <v>6144</v>
      </c>
      <c r="I23" s="196" t="s">
        <v>502</v>
      </c>
    </row>
    <row r="24" spans="1:10" s="196" customFormat="1" ht="13.2">
      <c r="A24" s="196" t="s">
        <v>573</v>
      </c>
      <c r="B24" s="196" t="s">
        <v>6145</v>
      </c>
      <c r="C24" s="196" t="s">
        <v>6120</v>
      </c>
      <c r="D24" s="196" t="s">
        <v>6146</v>
      </c>
      <c r="I24" s="196" t="s">
        <v>6147</v>
      </c>
    </row>
    <row r="25" spans="1:10" s="196" customFormat="1" ht="13.2">
      <c r="A25" s="196" t="s">
        <v>6148</v>
      </c>
      <c r="C25" s="196" t="s">
        <v>6114</v>
      </c>
    </row>
    <row r="26" spans="1:10" s="196" customFormat="1" ht="13.2">
      <c r="A26" s="196" t="s">
        <v>6149</v>
      </c>
      <c r="C26" s="196" t="s">
        <v>6117</v>
      </c>
    </row>
    <row r="27" spans="1:10" s="196" customFormat="1" ht="13.2">
      <c r="A27" s="196" t="s">
        <v>5994</v>
      </c>
    </row>
    <row r="28" spans="1:10" s="196" customFormat="1" ht="13.2">
      <c r="A28" s="196" t="s">
        <v>5984</v>
      </c>
    </row>
    <row r="29" spans="1:10" s="196" customFormat="1" ht="13.2">
      <c r="A29" s="196" t="s">
        <v>6150</v>
      </c>
    </row>
    <row r="30" spans="1:10" s="196" customFormat="1" ht="13.2">
      <c r="A30" s="196" t="s">
        <v>6151</v>
      </c>
    </row>
    <row r="31" spans="1:10" s="196" customFormat="1" ht="13.2">
      <c r="A31" s="196" t="s">
        <v>6152</v>
      </c>
    </row>
    <row r="32" spans="1:10" ht="12.75" customHeight="1">
      <c r="A32" s="9" t="s">
        <v>495</v>
      </c>
      <c r="B32" s="8"/>
      <c r="D32" s="8"/>
      <c r="F32" s="8"/>
      <c r="H32" s="8"/>
      <c r="J32" s="8"/>
    </row>
    <row r="33" spans="1:13" ht="12.75" customHeight="1">
      <c r="A33" s="10" t="s">
        <v>496</v>
      </c>
      <c r="B33" s="8"/>
      <c r="D33" s="8"/>
      <c r="F33" s="8"/>
      <c r="H33" s="8"/>
      <c r="J33" s="8"/>
    </row>
    <row r="35" spans="1:13" ht="12.75" customHeight="1">
      <c r="A35" s="76" t="s">
        <v>77</v>
      </c>
      <c r="C35" s="76" t="s">
        <v>224</v>
      </c>
      <c r="E35" s="76" t="s">
        <v>257</v>
      </c>
      <c r="G35" s="76" t="s">
        <v>215</v>
      </c>
      <c r="I35" s="76" t="s">
        <v>497</v>
      </c>
      <c r="K35" s="833" t="s">
        <v>5860</v>
      </c>
      <c r="L35" s="713"/>
      <c r="M35" s="713"/>
    </row>
    <row r="36" spans="1:13" ht="12.75" customHeight="1">
      <c r="A36" s="77" t="s">
        <v>235</v>
      </c>
      <c r="C36" s="77" t="s">
        <v>498</v>
      </c>
      <c r="E36" s="77" t="s">
        <v>498</v>
      </c>
      <c r="G36" s="77" t="s">
        <v>498</v>
      </c>
      <c r="I36" s="77" t="s">
        <v>487</v>
      </c>
      <c r="K36" s="316" t="s">
        <v>77</v>
      </c>
      <c r="L36" s="316" t="s">
        <v>5861</v>
      </c>
      <c r="M36" s="316" t="s">
        <v>5851</v>
      </c>
    </row>
    <row r="37" spans="1:13" ht="12.75" customHeight="1">
      <c r="A37" s="77" t="s">
        <v>230</v>
      </c>
      <c r="C37" s="77" t="s">
        <v>488</v>
      </c>
      <c r="E37" s="77" t="s">
        <v>488</v>
      </c>
      <c r="G37" s="77" t="s">
        <v>488</v>
      </c>
      <c r="I37" s="77" t="s">
        <v>499</v>
      </c>
      <c r="K37" s="317" t="s">
        <v>484</v>
      </c>
      <c r="L37" s="317" t="s">
        <v>392</v>
      </c>
      <c r="M37" s="317" t="s">
        <v>348</v>
      </c>
    </row>
    <row r="38" spans="1:13" ht="12.75" customHeight="1">
      <c r="A38" s="77" t="s">
        <v>348</v>
      </c>
      <c r="C38" s="77" t="s">
        <v>391</v>
      </c>
      <c r="E38" s="77" t="s">
        <v>391</v>
      </c>
      <c r="G38" s="77" t="s">
        <v>391</v>
      </c>
      <c r="I38" s="77" t="s">
        <v>500</v>
      </c>
      <c r="K38" s="317" t="s">
        <v>230</v>
      </c>
      <c r="L38" s="317" t="s">
        <v>1096</v>
      </c>
      <c r="M38" s="317" t="s">
        <v>546</v>
      </c>
    </row>
    <row r="39" spans="1:13" ht="12.75" customHeight="1">
      <c r="A39" s="77" t="s">
        <v>501</v>
      </c>
      <c r="C39" s="77" t="s">
        <v>492</v>
      </c>
      <c r="G39" s="77" t="s">
        <v>492</v>
      </c>
      <c r="I39" s="77" t="s">
        <v>483</v>
      </c>
      <c r="K39" s="317" t="s">
        <v>482</v>
      </c>
      <c r="L39" s="317" t="s">
        <v>679</v>
      </c>
      <c r="M39" s="317" t="s">
        <v>547</v>
      </c>
    </row>
    <row r="40" spans="1:13" ht="12.75" customHeight="1">
      <c r="A40" s="77" t="s">
        <v>502</v>
      </c>
      <c r="I40" s="77" t="s">
        <v>503</v>
      </c>
      <c r="K40" s="317" t="s">
        <v>5862</v>
      </c>
      <c r="L40" s="317"/>
      <c r="M40" s="317" t="s">
        <v>679</v>
      </c>
    </row>
    <row r="41" spans="1:13" ht="12.75" customHeight="1">
      <c r="A41" s="77" t="s">
        <v>482</v>
      </c>
      <c r="I41" s="77" t="s">
        <v>485</v>
      </c>
      <c r="K41" s="317" t="s">
        <v>5863</v>
      </c>
      <c r="L41" s="317"/>
      <c r="M41" s="317"/>
    </row>
    <row r="42" spans="1:13" ht="12.75" customHeight="1">
      <c r="A42" s="77" t="s">
        <v>484</v>
      </c>
      <c r="I42" s="77" t="s">
        <v>486</v>
      </c>
      <c r="K42" s="196"/>
      <c r="L42" s="196"/>
      <c r="M42" s="196"/>
    </row>
    <row r="43" spans="1:13" ht="12.75" customHeight="1">
      <c r="K43" s="833" t="s">
        <v>5864</v>
      </c>
      <c r="L43" s="713"/>
      <c r="M43" s="713"/>
    </row>
    <row r="44" spans="1:13" ht="12.75" customHeight="1">
      <c r="K44" s="318" t="s">
        <v>5843</v>
      </c>
      <c r="L44" s="317" t="s">
        <v>5865</v>
      </c>
      <c r="M44" s="317" t="s">
        <v>5866</v>
      </c>
    </row>
    <row r="45" spans="1:13" ht="12.75" customHeight="1">
      <c r="K45" s="318" t="s">
        <v>5848</v>
      </c>
      <c r="L45" s="317" t="s">
        <v>5867</v>
      </c>
      <c r="M45" s="317" t="s">
        <v>5868</v>
      </c>
    </row>
    <row r="46" spans="1:13" ht="12.75" customHeight="1">
      <c r="K46" s="318" t="s">
        <v>5854</v>
      </c>
      <c r="L46" s="317" t="s">
        <v>5869</v>
      </c>
      <c r="M46" s="317" t="s">
        <v>5870</v>
      </c>
    </row>
    <row r="47" spans="1:13" ht="12.75" customHeight="1">
      <c r="K47" s="318" t="s">
        <v>5856</v>
      </c>
      <c r="L47" s="317" t="s">
        <v>5871</v>
      </c>
      <c r="M47" s="317" t="s">
        <v>5870</v>
      </c>
    </row>
    <row r="48" spans="1:13" ht="12.75" customHeight="1">
      <c r="K48" s="318" t="s">
        <v>5858</v>
      </c>
      <c r="L48" s="317" t="s">
        <v>5869</v>
      </c>
      <c r="M48" s="317" t="s">
        <v>5870</v>
      </c>
    </row>
    <row r="49" spans="11:13" ht="12.75" customHeight="1">
      <c r="K49" s="318" t="s">
        <v>5872</v>
      </c>
      <c r="L49" s="317" t="s">
        <v>5873</v>
      </c>
      <c r="M49" s="317" t="s">
        <v>5874</v>
      </c>
    </row>
  </sheetData>
  <mergeCells count="4">
    <mergeCell ref="K35:M35"/>
    <mergeCell ref="K43:M43"/>
    <mergeCell ref="K4:M4"/>
    <mergeCell ref="K12:M12"/>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12010-B2C0-4F3F-BCB1-CF6E39CF7FBF}">
  <dimension ref="A1:J23"/>
  <sheetViews>
    <sheetView workbookViewId="0"/>
  </sheetViews>
  <sheetFormatPr defaultColWidth="8.6640625" defaultRowHeight="14.4"/>
  <cols>
    <col min="1" max="1" width="61.109375" style="8" customWidth="1"/>
    <col min="2" max="2" width="42" style="8" customWidth="1"/>
    <col min="3" max="3" width="72" style="8" customWidth="1"/>
  </cols>
  <sheetData>
    <row r="1" spans="1:10" ht="6.9" customHeight="1">
      <c r="A1" s="9" t="s">
        <v>504</v>
      </c>
      <c r="D1" s="8"/>
      <c r="E1" s="8"/>
      <c r="F1" s="8"/>
      <c r="G1" s="8"/>
      <c r="H1" s="8"/>
      <c r="I1" s="8"/>
      <c r="J1" s="8"/>
    </row>
    <row r="2" spans="1:10" ht="4.2" customHeight="1">
      <c r="A2" s="10" t="s">
        <v>505</v>
      </c>
      <c r="D2" s="8"/>
      <c r="E2" s="8"/>
      <c r="F2" s="8"/>
      <c r="G2" s="8"/>
      <c r="H2" s="8"/>
      <c r="I2" s="8"/>
      <c r="J2" s="8"/>
    </row>
    <row r="4" spans="1:10" ht="5.0999999999999996" customHeight="1">
      <c r="A4" s="78" t="s">
        <v>506</v>
      </c>
      <c r="D4" s="8"/>
      <c r="E4" s="8"/>
      <c r="F4" s="8"/>
      <c r="G4" s="8"/>
      <c r="H4" s="8"/>
      <c r="I4" s="8"/>
      <c r="J4" s="8"/>
    </row>
    <row r="5" spans="1:10" ht="19.2" customHeight="1">
      <c r="A5" s="79" t="s">
        <v>507</v>
      </c>
      <c r="D5" s="8"/>
      <c r="E5" s="8"/>
      <c r="F5" s="8"/>
      <c r="G5" s="8"/>
      <c r="H5" s="8"/>
      <c r="I5" s="8"/>
      <c r="J5" s="8"/>
    </row>
    <row r="6" spans="1:10" ht="7.35" customHeight="1">
      <c r="J6" s="8"/>
    </row>
    <row r="7" spans="1:10" ht="7.35" customHeight="1">
      <c r="J7" s="8"/>
    </row>
    <row r="8" spans="1:10" ht="7.35" customHeight="1">
      <c r="J8" s="8"/>
    </row>
    <row r="9" spans="1:10" ht="7.35" customHeight="1">
      <c r="J9" s="8"/>
    </row>
    <row r="10" spans="1:10" ht="7.35" customHeight="1">
      <c r="J10" s="8"/>
    </row>
    <row r="11" spans="1:10" ht="7.35" customHeight="1">
      <c r="J11" s="8"/>
    </row>
    <row r="12" spans="1:10" ht="7.35" customHeight="1">
      <c r="D12" s="8"/>
      <c r="E12" s="8"/>
      <c r="F12" s="8"/>
      <c r="G12" s="8"/>
      <c r="H12" s="8"/>
      <c r="I12" s="8"/>
      <c r="J12" s="8"/>
    </row>
    <row r="15" spans="1:10" ht="5.7" customHeight="1">
      <c r="A15" s="50" t="s">
        <v>508</v>
      </c>
      <c r="B15" s="50" t="s">
        <v>2</v>
      </c>
      <c r="C15" s="50" t="s">
        <v>509</v>
      </c>
    </row>
    <row r="16" spans="1:10" ht="13.95" customHeight="1">
      <c r="A16" s="13" t="s">
        <v>510</v>
      </c>
      <c r="B16" s="13" t="s">
        <v>511</v>
      </c>
      <c r="C16" s="13" t="s">
        <v>512</v>
      </c>
    </row>
    <row r="17" spans="1:3" ht="5.4" customHeight="1">
      <c r="A17" s="13" t="s">
        <v>489</v>
      </c>
      <c r="B17" s="13" t="s">
        <v>513</v>
      </c>
      <c r="C17" s="13" t="s">
        <v>514</v>
      </c>
    </row>
    <row r="18" spans="1:3" ht="6.9" customHeight="1">
      <c r="A18" s="13" t="s">
        <v>515</v>
      </c>
      <c r="B18" s="13" t="s">
        <v>516</v>
      </c>
      <c r="C18" s="13" t="s">
        <v>517</v>
      </c>
    </row>
    <row r="19" spans="1:3" ht="6.9" customHeight="1">
      <c r="A19" s="13" t="s">
        <v>518</v>
      </c>
      <c r="B19" s="13" t="s">
        <v>519</v>
      </c>
      <c r="C19" s="13" t="s">
        <v>520</v>
      </c>
    </row>
    <row r="20" spans="1:3" ht="13.95" customHeight="1">
      <c r="A20" s="13" t="s">
        <v>199</v>
      </c>
      <c r="B20" s="13" t="s">
        <v>521</v>
      </c>
      <c r="C20" s="13" t="s">
        <v>520</v>
      </c>
    </row>
    <row r="21" spans="1:3" ht="5.4" customHeight="1">
      <c r="A21" s="13" t="s">
        <v>522</v>
      </c>
      <c r="B21" s="13" t="s">
        <v>523</v>
      </c>
      <c r="C21" s="13" t="s">
        <v>524</v>
      </c>
    </row>
    <row r="22" spans="1:3" ht="5.4" customHeight="1">
      <c r="A22" s="13" t="s">
        <v>490</v>
      </c>
      <c r="B22" s="13" t="s">
        <v>525</v>
      </c>
      <c r="C22" s="13" t="s">
        <v>526</v>
      </c>
    </row>
    <row r="23" spans="1:3" ht="6.9" customHeight="1">
      <c r="A23" s="13" t="s">
        <v>527</v>
      </c>
      <c r="B23" s="13" t="s">
        <v>528</v>
      </c>
      <c r="C23" s="13" t="s">
        <v>529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EA21E-D96A-4F9D-854A-414FFEA17C43}">
  <dimension ref="A1:Q77"/>
  <sheetViews>
    <sheetView showGridLines="0" workbookViewId="0">
      <selection sqref="A1:P1"/>
    </sheetView>
  </sheetViews>
  <sheetFormatPr defaultColWidth="8.6640625" defaultRowHeight="14.4"/>
  <cols>
    <col min="1" max="7" width="16" style="8" customWidth="1"/>
    <col min="8" max="8" width="21.5546875" style="8" customWidth="1"/>
    <col min="9" max="12" width="16" style="8" customWidth="1"/>
    <col min="13" max="14" width="20" style="8" customWidth="1"/>
    <col min="15" max="15" width="31.6640625" style="8" customWidth="1"/>
    <col min="16" max="16" width="46.6640625" style="8" customWidth="1"/>
    <col min="17" max="17" width="12" customWidth="1"/>
  </cols>
  <sheetData>
    <row r="1" spans="1:17" ht="15" customHeight="1">
      <c r="A1" s="843" t="s">
        <v>530</v>
      </c>
      <c r="B1" s="839"/>
      <c r="C1" s="839"/>
      <c r="D1" s="839"/>
      <c r="E1" s="839"/>
      <c r="F1" s="839"/>
      <c r="G1" s="839"/>
      <c r="H1" s="839"/>
      <c r="I1" s="839"/>
      <c r="J1" s="839"/>
      <c r="K1" s="839"/>
      <c r="L1" s="839"/>
      <c r="M1" s="839"/>
      <c r="N1" s="839"/>
      <c r="O1" s="839"/>
      <c r="P1" s="839"/>
      <c r="Q1" s="80" t="str">
        <f>HYPERLINK("#'PMIS_Data'!A1","Data")</f>
        <v>Data</v>
      </c>
    </row>
    <row r="2" spans="1:17" ht="15" customHeight="1">
      <c r="A2" s="846" t="s">
        <v>531</v>
      </c>
      <c r="B2" s="839"/>
      <c r="C2" s="839"/>
      <c r="D2" s="839"/>
      <c r="E2" s="839"/>
      <c r="F2" s="839"/>
      <c r="G2" s="839"/>
      <c r="H2" s="839"/>
      <c r="I2" s="839"/>
      <c r="J2" s="839"/>
      <c r="K2" s="839"/>
      <c r="L2" s="839"/>
      <c r="M2" s="839"/>
      <c r="N2" s="839"/>
      <c r="O2" s="839"/>
      <c r="P2" s="839"/>
    </row>
    <row r="4" spans="1:17" ht="22.5" customHeight="1">
      <c r="A4" s="81" t="s">
        <v>532</v>
      </c>
      <c r="B4" s="82" t="s">
        <v>394</v>
      </c>
      <c r="C4" s="83"/>
      <c r="D4" s="83" t="s">
        <v>198</v>
      </c>
      <c r="E4" s="84">
        <v>46199.720539421287</v>
      </c>
      <c r="F4" s="83"/>
      <c r="G4" s="83" t="s">
        <v>533</v>
      </c>
      <c r="H4" s="847" t="str">
        <f>"30 formula-fed assessments / "&amp;SUM(PMIS_Data!$G$3:$G$32)&amp;" rooms / "&amp;COUNTA(PMIS_Data!$C$33:$C$260)&amp;" risks / "&amp;COUNTA(PMIS_Data!$C$266:$C$496)&amp;" questions"</f>
        <v>30 formula-fed assessments / 814 rooms / 66 risks / 231 questions</v>
      </c>
      <c r="I4" s="839"/>
      <c r="J4" s="83"/>
      <c r="K4" s="83" t="s">
        <v>205</v>
      </c>
      <c r="L4" s="83" t="s">
        <v>534</v>
      </c>
      <c r="M4" s="83"/>
      <c r="N4" s="83"/>
      <c r="O4" s="83"/>
      <c r="P4" s="83"/>
    </row>
    <row r="6" spans="1:17" ht="15" customHeight="1">
      <c r="A6" s="842" t="s">
        <v>535</v>
      </c>
      <c r="B6" s="839"/>
      <c r="C6" s="839"/>
      <c r="D6" s="85"/>
      <c r="E6" s="85"/>
      <c r="F6" s="85"/>
      <c r="G6" s="85"/>
      <c r="H6" s="85"/>
      <c r="I6" s="85"/>
      <c r="J6" s="85"/>
      <c r="K6" s="85"/>
      <c r="L6" s="85"/>
      <c r="M6" s="86"/>
      <c r="N6" s="86"/>
      <c r="O6" s="86"/>
      <c r="P6" s="86"/>
    </row>
    <row r="7" spans="1:17" s="87" customFormat="1" ht="17.25" customHeight="1">
      <c r="A7" s="850" t="s">
        <v>536</v>
      </c>
      <c r="B7" s="835"/>
      <c r="C7" s="834" t="s">
        <v>537</v>
      </c>
      <c r="D7" s="835"/>
      <c r="E7" s="834" t="s">
        <v>538</v>
      </c>
      <c r="F7" s="835"/>
      <c r="G7" s="834" t="s">
        <v>154</v>
      </c>
      <c r="H7" s="835"/>
      <c r="I7" s="834" t="s">
        <v>161</v>
      </c>
      <c r="J7" s="835"/>
      <c r="K7" s="834" t="s">
        <v>539</v>
      </c>
      <c r="L7" s="835"/>
      <c r="M7" s="834" t="s">
        <v>199</v>
      </c>
      <c r="N7" s="835"/>
      <c r="O7" s="834" t="s">
        <v>540</v>
      </c>
      <c r="P7" s="835"/>
    </row>
    <row r="8" spans="1:17" ht="16.5" customHeight="1">
      <c r="A8" s="849">
        <f>IF($B$4="Campus",COUNTA(PMIS_Data!$A$3:$A$32),1)</f>
        <v>30</v>
      </c>
      <c r="B8" s="839"/>
      <c r="C8" s="848">
        <f>IF($B$4="Campus",SUM(PMIS_Data!$G$3:$G$32),IFERROR(INDEX(PMIS_Data!$G$3:$G$32,MATCH($B$4,PMIS_Data!$A$3:$A$32,0)),0))</f>
        <v>814</v>
      </c>
      <c r="D8" s="839"/>
      <c r="E8" s="844">
        <f>IF($B$4="Campus",AVERAGE(PMIS_Data!$E$3:$E$32),IFERROR(INDEX(PMIS_Data!$E$3:$E$32,MATCH($B$4,PMIS_Data!$A$3:$A$32,0)),0))</f>
        <v>0.5066666666666666</v>
      </c>
      <c r="F8" s="839"/>
      <c r="G8" s="845">
        <f>IF($B$4="Campus",COUNTIF(PMIS_Data!$F$3:$F$32,"Yes"),IFERROR(INDEX(PMIS_Data!$F$3:$F$32,MATCH($B$4,PMIS_Data!$A$3:$A$32,0)),"No"))</f>
        <v>1</v>
      </c>
      <c r="H8" s="839"/>
      <c r="I8" s="848">
        <f>IF($B$4="Campus",COUNTIFS(PMIS_Data!$K$33:$K$260,"Open"),COUNTIFS(PMIS_Data!$A$33:$A$260,$B$4,PMIS_Data!$K$33:$K$260,"Open"))</f>
        <v>0</v>
      </c>
      <c r="J8" s="839"/>
      <c r="K8" s="848">
        <f>IF($B$4="Campus",COUNTIFS(PMIS_Data!$K$33:$K$260,"Open",PMIS_Data!$F$33:$F$260,"Critical"),COUNTIFS(PMIS_Data!$A$33:$A$260,$B$4,PMIS_Data!$K$33:$K$260,"Open",PMIS_Data!$F$33:$F$260,"Critical"))</f>
        <v>0</v>
      </c>
      <c r="L8" s="839"/>
      <c r="M8" s="848">
        <f>IF($B$4="Campus",COUNTIFS(PMIS_Data!$F$266:$F$496,"Open"),COUNTIFS(PMIS_Data!$A$266:$A$496,$B$4,PMIS_Data!$F$266:$F$496,"Open"))</f>
        <v>0</v>
      </c>
      <c r="N8" s="839"/>
      <c r="O8" s="848">
        <f>IF($B$4="Campus",COUNTIFS(PMIS_Data!$K$596:$K$822,"Open"),COUNTIFS(PMIS_Data!$A$596:$A$822,$B$4,PMIS_Data!$K$596:$K$822,"Open"))</f>
        <v>0</v>
      </c>
      <c r="P8" s="839"/>
    </row>
    <row r="9" spans="1:17" ht="16.5" customHeight="1">
      <c r="A9" s="839"/>
      <c r="B9" s="839"/>
      <c r="C9" s="839"/>
      <c r="D9" s="839"/>
      <c r="E9" s="839"/>
      <c r="F9" s="839"/>
      <c r="G9" s="839"/>
      <c r="H9" s="839"/>
      <c r="I9" s="839"/>
      <c r="J9" s="839"/>
      <c r="K9" s="839"/>
      <c r="L9" s="839"/>
      <c r="M9" s="839"/>
      <c r="N9" s="839"/>
      <c r="O9" s="839"/>
      <c r="P9" s="839"/>
    </row>
    <row r="11" spans="1:17" ht="19.5" customHeight="1">
      <c r="A11" s="88"/>
      <c r="B11" s="88"/>
      <c r="C11" s="88"/>
      <c r="D11" s="88"/>
      <c r="E11" s="88"/>
      <c r="F11" s="88"/>
      <c r="G11" s="88"/>
      <c r="H11" s="88"/>
      <c r="I11" s="88"/>
      <c r="J11" s="88"/>
      <c r="K11" s="88"/>
      <c r="L11" s="88"/>
      <c r="M11" s="88"/>
      <c r="N11" s="88"/>
      <c r="O11" s="88"/>
      <c r="P11" s="88"/>
    </row>
    <row r="12" spans="1:17" ht="27" customHeight="1">
      <c r="A12" s="842" t="s">
        <v>541</v>
      </c>
      <c r="B12" s="839"/>
      <c r="C12" s="839"/>
      <c r="D12" s="85"/>
      <c r="E12" s="85"/>
      <c r="F12" s="85"/>
      <c r="G12" s="85"/>
      <c r="H12" s="88"/>
      <c r="I12" s="842" t="s">
        <v>542</v>
      </c>
      <c r="J12" s="839"/>
      <c r="K12" s="839"/>
      <c r="L12" s="19"/>
      <c r="M12" s="52"/>
      <c r="N12" s="52"/>
      <c r="O12" s="52"/>
      <c r="P12" s="52"/>
    </row>
    <row r="13" spans="1:17" ht="15" customHeight="1">
      <c r="A13" s="89" t="s">
        <v>543</v>
      </c>
      <c r="B13" s="89" t="s">
        <v>544</v>
      </c>
      <c r="C13" s="89" t="s">
        <v>543</v>
      </c>
      <c r="D13" s="89" t="s">
        <v>544</v>
      </c>
      <c r="E13" s="89" t="s">
        <v>543</v>
      </c>
      <c r="F13" s="89" t="s">
        <v>544</v>
      </c>
      <c r="G13" s="89" t="s">
        <v>11</v>
      </c>
      <c r="H13" s="88"/>
      <c r="I13" s="89" t="s">
        <v>284</v>
      </c>
      <c r="J13" s="89" t="s">
        <v>545</v>
      </c>
      <c r="K13" s="89" t="s">
        <v>546</v>
      </c>
      <c r="L13" s="89" t="s">
        <v>547</v>
      </c>
      <c r="M13" s="90" t="s">
        <v>548</v>
      </c>
      <c r="N13" s="90" t="s">
        <v>11</v>
      </c>
      <c r="O13" s="90"/>
      <c r="P13" s="90"/>
    </row>
    <row r="14" spans="1:17" ht="41.25" customHeight="1">
      <c r="A14" s="91" t="s">
        <v>151</v>
      </c>
      <c r="B14" s="91" t="str">
        <f>IF($B$4="Campus","Campus Rollup",IFERROR(INDEX(PMIS_Data!$C$3:$C$32,MATCH($B$4,PMIS_Data!$A$3:$A$32,0)),""))</f>
        <v>Campus Rollup</v>
      </c>
      <c r="C14" s="91" t="s">
        <v>549</v>
      </c>
      <c r="D14" s="92">
        <f>IF($B$4="Campus",AVERAGE(PMIS_Data!$E$3:$E$32),IFERROR(INDEX(PMIS_Data!$E$3:$E$32,MATCH($B$4,PMIS_Data!$A$3:$A$32,0)),0))</f>
        <v>0.5066666666666666</v>
      </c>
      <c r="E14" s="91" t="s">
        <v>179</v>
      </c>
      <c r="F14" s="91">
        <f>IF($B$4="Campus",SUM(PMIS_Data!$Q$3:$Q$32),IFERROR(INDEX(PMIS_Data!$Q$3:$Q$32,MATCH($B$4,PMIS_Data!$A$3:$A$32,0)),0))</f>
        <v>0</v>
      </c>
      <c r="G14" s="91"/>
      <c r="H14" s="88"/>
      <c r="I14" s="91" t="s">
        <v>148</v>
      </c>
      <c r="J14" s="93">
        <f>IF($B$4="Campus",COUNTIFS(PMIS_Data!$C$1006:$C$1434,"HVAC",PMIS_Data!$E$1006:$E$1434,"Verify")+COUNTIFS(PMIS_Data!$C$1006:$C$1434,"HVAC",PMIS_Data!$E$1006:$E$1434,"Existing / Verify")+COUNTIFS(PMIS_Data!$C$1006:$C$1434,"HVAC",PMIS_Data!$E$1006:$E$1434,"N/A / Verify")+COUNTIFS(PMIS_Data!$C$1006:$C$1434,"HVAC",PMIS_Data!$E$1006:$E$1434,"Excluded / Verify")+COUNTIFS(PMIS_Data!$C$1006:$C$1434,"HVAC",PMIS_Data!$E$1006:$E$1434,"Excluded / Verify Existing")+COUNTIFS(PMIS_Data!$C$1006:$C$1434,"HVAC",PMIS_Data!$E$1006:$E$1434,"Excluded / Firestop Only"),COUNTIFS(PMIS_Data!$A$1006:$A$1434,$B$4,PMIS_Data!$C$1006:$C$1434,"HVAC",PMIS_Data!$E$1006:$E$1434,"Verify")+COUNTIFS(PMIS_Data!$A$1006:$A$1434,$B$4,PMIS_Data!$C$1006:$C$1434,"HVAC",PMIS_Data!$E$1006:$E$1434,"Existing / Verify")+COUNTIFS(PMIS_Data!$A$1006:$A$1434,$B$4,PMIS_Data!$C$1006:$C$1434,"HVAC",PMIS_Data!$E$1006:$E$1434,"N/A / Verify")+COUNTIFS(PMIS_Data!$A$1006:$A$1434,$B$4,PMIS_Data!$C$1006:$C$1434,"HVAC",PMIS_Data!$E$1006:$E$1434,"Excluded / Verify")+COUNTIFS(PMIS_Data!$A$1006:$A$1434,$B$4,PMIS_Data!$C$1006:$C$1434,"HVAC",PMIS_Data!$E$1006:$E$1434,"Excluded / Verify Existing")+COUNTIFS(PMIS_Data!$A$1006:$A$1434,$B$4,PMIS_Data!$C$1006:$C$1434,"HVAC",PMIS_Data!$E$1006:$E$1434,"Excluded / Firestop Only"))</f>
        <v>73</v>
      </c>
      <c r="K14" s="93">
        <f>IF($B$4="Campus",COUNTIFS(PMIS_Data!$C$1006:$C$1434,"HVAC",PMIS_Data!$E$1006:$E$1434,"Pass"),COUNTIFS(PMIS_Data!$A$1006:$A$1434,$B$4,PMIS_Data!$C$1006:$C$1434,"HVAC",PMIS_Data!$E$1006:$E$1434,"Pass"))</f>
        <v>0</v>
      </c>
      <c r="L14" s="93">
        <f>IF($B$4="Campus",COUNTIFS(PMIS_Data!$C$1006:$C$1434,"HVAC",PMIS_Data!$E$1006:$E$1434,"Fail"),COUNTIFS(PMIS_Data!$A$1006:$A$1434,$B$4,PMIS_Data!$C$1006:$C$1434,"HVAC",PMIS_Data!$E$1006:$E$1434,"Fail"))</f>
        <v>0</v>
      </c>
      <c r="M14" s="94">
        <f>IF($B$4="Campus",COUNTIFS(PMIS_Data!$K$33:$K$260,"Open",PMIS_Data!$E$33:$E$260,"*HVAC*"),COUNTIFS(PMIS_Data!$A$33:$A$260,$B$4,PMIS_Data!$K$33:$K$260,"Open",PMIS_Data!$E$33:$E$260,"*HVAC*"))</f>
        <v>0</v>
      </c>
      <c r="N14" s="94" t="s">
        <v>550</v>
      </c>
      <c r="O14" s="94"/>
      <c r="P14" s="94"/>
    </row>
    <row r="15" spans="1:17" ht="61.5" customHeight="1">
      <c r="A15" s="91" t="s">
        <v>551</v>
      </c>
      <c r="B15" s="91" t="str">
        <f>IF($B$4="Campus","All mapped buildings, MCR, SITE, BCH, and TR packages.",IFERROR(INDEX(PMIS_Data!$R$3:$R$32,MATCH($B$4,PMIS_Data!$A$3:$A$32,0)),""))</f>
        <v>All mapped buildings, MCR, SITE, BCH, and TR packages.</v>
      </c>
      <c r="C15" s="91"/>
      <c r="D15" s="91"/>
      <c r="E15" s="91"/>
      <c r="F15" s="91"/>
      <c r="G15" s="91"/>
      <c r="H15" s="88"/>
      <c r="I15" s="91" t="s">
        <v>153</v>
      </c>
      <c r="J15" s="93">
        <f>IF($B$4="Campus",COUNTIFS(PMIS_Data!$C$1006:$C$1434,"Electrical",PMIS_Data!$E$1006:$E$1434,"Verify")+COUNTIFS(PMIS_Data!$C$1006:$C$1434,"Electrical",PMIS_Data!$E$1006:$E$1434,"Existing / Verify")+COUNTIFS(PMIS_Data!$C$1006:$C$1434,"Electrical",PMIS_Data!$E$1006:$E$1434,"N/A / Verify")+COUNTIFS(PMIS_Data!$C$1006:$C$1434,"Electrical",PMIS_Data!$E$1006:$E$1434,"Excluded / Verify")+COUNTIFS(PMIS_Data!$C$1006:$C$1434,"Electrical",PMIS_Data!$E$1006:$E$1434,"Excluded / Verify Existing")+COUNTIFS(PMIS_Data!$C$1006:$C$1434,"Electrical",PMIS_Data!$E$1006:$E$1434,"Excluded / Firestop Only"),COUNTIFS(PMIS_Data!$A$1006:$A$1434,$B$4,PMIS_Data!$C$1006:$C$1434,"Electrical",PMIS_Data!$E$1006:$E$1434,"Verify")+COUNTIFS(PMIS_Data!$A$1006:$A$1434,$B$4,PMIS_Data!$C$1006:$C$1434,"Electrical",PMIS_Data!$E$1006:$E$1434,"Existing / Verify")+COUNTIFS(PMIS_Data!$A$1006:$A$1434,$B$4,PMIS_Data!$C$1006:$C$1434,"Electrical",PMIS_Data!$E$1006:$E$1434,"N/A / Verify")+COUNTIFS(PMIS_Data!$A$1006:$A$1434,$B$4,PMIS_Data!$C$1006:$C$1434,"Electrical",PMIS_Data!$E$1006:$E$1434,"Excluded / Verify")+COUNTIFS(PMIS_Data!$A$1006:$A$1434,$B$4,PMIS_Data!$C$1006:$C$1434,"Electrical",PMIS_Data!$E$1006:$E$1434,"Excluded / Verify Existing")+COUNTIFS(PMIS_Data!$A$1006:$A$1434,$B$4,PMIS_Data!$C$1006:$C$1434,"Electrical",PMIS_Data!$E$1006:$E$1434,"Excluded / Firestop Only"))</f>
        <v>94</v>
      </c>
      <c r="K15" s="93">
        <f>IF($B$4="Campus",COUNTIFS(PMIS_Data!$C$1006:$C$1434,"Electrical",PMIS_Data!$E$1006:$E$1434,"Pass"),COUNTIFS(PMIS_Data!$A$1006:$A$1434,$B$4,PMIS_Data!$C$1006:$C$1434,"Electrical",PMIS_Data!$E$1006:$E$1434,"Pass"))</f>
        <v>0</v>
      </c>
      <c r="L15" s="93">
        <f>IF($B$4="Campus",COUNTIFS(PMIS_Data!$C$1006:$C$1434,"Electrical",PMIS_Data!$E$1006:$E$1434,"Fail"),COUNTIFS(PMIS_Data!$A$1006:$A$1434,$B$4,PMIS_Data!$C$1006:$C$1434,"Electrical",PMIS_Data!$E$1006:$E$1434,"Fail"))</f>
        <v>0</v>
      </c>
      <c r="M15" s="94">
        <f>IF($B$4="Campus",COUNTIFS(PMIS_Data!$K$33:$K$260,"Open",PMIS_Data!$E$33:$E$260,"*Electrical*"),COUNTIFS(PMIS_Data!$A$33:$A$260,$B$4,PMIS_Data!$K$33:$K$260,"Open",PMIS_Data!$E$33:$E$260,"*Electrical*"))</f>
        <v>0</v>
      </c>
      <c r="N15" s="94" t="s">
        <v>552</v>
      </c>
      <c r="O15" s="94"/>
      <c r="P15" s="94"/>
    </row>
    <row r="16" spans="1:17" ht="96" customHeight="1">
      <c r="A16" s="95" t="s">
        <v>553</v>
      </c>
      <c r="B16" s="838" t="str">
        <f>IF($B$4="Campus","Campus-wide concern: active-service protection, commissioning, site fiber, MCR activation, firestopping, and turnover documentation.",IFERROR(INDEX(PMIS_Data!$S$3:$S$32,MATCH($B$4,PMIS_Data!$A$3:$A$32,0)),""))</f>
        <v>Campus-wide concern: active-service protection, commissioning, site fiber, MCR activation, firestopping, and turnover documentation.</v>
      </c>
      <c r="C16" s="839"/>
      <c r="D16" s="839"/>
      <c r="E16" s="839"/>
      <c r="F16" s="839"/>
      <c r="G16" s="839"/>
      <c r="H16" s="88"/>
      <c r="I16" s="95" t="s">
        <v>155</v>
      </c>
      <c r="J16" s="96">
        <f>IF($B$4="Campus",COUNTIFS(PMIS_Data!$C$1006:$C$1434,"Telecom",PMIS_Data!$E$1006:$E$1434,"Verify")+COUNTIFS(PMIS_Data!$C$1006:$C$1434,"Telecom",PMIS_Data!$E$1006:$E$1434,"Existing / Verify")+COUNTIFS(PMIS_Data!$C$1006:$C$1434,"Telecom",PMIS_Data!$E$1006:$E$1434,"N/A / Verify")+COUNTIFS(PMIS_Data!$C$1006:$C$1434,"Telecom",PMIS_Data!$E$1006:$E$1434,"Excluded / Verify")+COUNTIFS(PMIS_Data!$C$1006:$C$1434,"Telecom",PMIS_Data!$E$1006:$E$1434,"Excluded / Verify Existing")+COUNTIFS(PMIS_Data!$C$1006:$C$1434,"Telecom",PMIS_Data!$E$1006:$E$1434,"Excluded / Firestop Only"),COUNTIFS(PMIS_Data!$A$1006:$A$1434,$B$4,PMIS_Data!$C$1006:$C$1434,"Telecom",PMIS_Data!$E$1006:$E$1434,"Verify")+COUNTIFS(PMIS_Data!$A$1006:$A$1434,$B$4,PMIS_Data!$C$1006:$C$1434,"Telecom",PMIS_Data!$E$1006:$E$1434,"Existing / Verify")+COUNTIFS(PMIS_Data!$A$1006:$A$1434,$B$4,PMIS_Data!$C$1006:$C$1434,"Telecom",PMIS_Data!$E$1006:$E$1434,"N/A / Verify")+COUNTIFS(PMIS_Data!$A$1006:$A$1434,$B$4,PMIS_Data!$C$1006:$C$1434,"Telecom",PMIS_Data!$E$1006:$E$1434,"Excluded / Verify")+COUNTIFS(PMIS_Data!$A$1006:$A$1434,$B$4,PMIS_Data!$C$1006:$C$1434,"Telecom",PMIS_Data!$E$1006:$E$1434,"Excluded / Verify Existing")+COUNTIFS(PMIS_Data!$A$1006:$A$1434,$B$4,PMIS_Data!$C$1006:$C$1434,"Telecom",PMIS_Data!$E$1006:$E$1434,"Excluded / Firestop Only"))</f>
        <v>84</v>
      </c>
      <c r="K16" s="96">
        <f>IF($B$4="Campus",COUNTIFS(PMIS_Data!$C$1006:$C$1434,"Telecom",PMIS_Data!$E$1006:$E$1434,"Pass"),COUNTIFS(PMIS_Data!$A$1006:$A$1434,$B$4,PMIS_Data!$C$1006:$C$1434,"Telecom",PMIS_Data!$E$1006:$E$1434,"Pass"))</f>
        <v>0</v>
      </c>
      <c r="L16" s="96">
        <f>IF($B$4="Campus",COUNTIFS(PMIS_Data!$C$1006:$C$1434,"Telecom",PMIS_Data!$E$1006:$E$1434,"Fail"),COUNTIFS(PMIS_Data!$A$1006:$A$1434,$B$4,PMIS_Data!$C$1006:$C$1434,"Telecom",PMIS_Data!$E$1006:$E$1434,"Fail"))</f>
        <v>0</v>
      </c>
      <c r="M16" s="94">
        <f>IF($B$4="Campus",COUNTIFS(PMIS_Data!$K$33:$K$260,"Open",PMIS_Data!$E$33:$E$260,"*Telecom*"),COUNTIFS(PMIS_Data!$A$33:$A$260,$B$4,PMIS_Data!$K$33:$K$260,"Open",PMIS_Data!$E$33:$E$260,"*Telecom*"))</f>
        <v>0</v>
      </c>
      <c r="N16" s="94" t="s">
        <v>554</v>
      </c>
      <c r="O16" s="94"/>
      <c r="P16" s="94"/>
    </row>
    <row r="17" spans="1:16" ht="27" customHeight="1">
      <c r="A17" s="91" t="s">
        <v>148</v>
      </c>
      <c r="B17" s="91">
        <f>IF($B$4="Campus",COUNTIF(PMIS_Data!$K$3:$K$32,"Verify")+COUNTIF(PMIS_Data!$K$3:$K$32,"Existing / Verify")+COUNTIF(PMIS_Data!$K$3:$K$32,"N/A / Verify")+COUNTIF(PMIS_Data!$K$3:$K$32,"Excluded / Verify")+COUNTIF(PMIS_Data!$K$3:$K$32,"Excluded / Verify Existing")+COUNTIF(PMIS_Data!$K$3:$K$32,"Excluded / Firestop Only"),IFERROR(INDEX(PMIS_Data!$K$3:$K$32,MATCH($B$4,PMIS_Data!$A$3:$A$32,0)),""))</f>
        <v>23</v>
      </c>
      <c r="C17" s="91" t="s">
        <v>153</v>
      </c>
      <c r="D17" s="91">
        <f>IF($B$4="Campus",COUNTIF(PMIS_Data!$L$3:$L$32,"Verify")+COUNTIF(PMIS_Data!$L$3:$L$32,"Existing / Verify")+COUNTIF(PMIS_Data!$L$3:$L$32,"N/A / Verify")+COUNTIF(PMIS_Data!$L$3:$L$32,"Excluded / Verify")+COUNTIF(PMIS_Data!$L$3:$L$32,"Excluded / Verify Existing")+COUNTIF(PMIS_Data!$L$3:$L$32,"Excluded / Firestop Only"),IFERROR(INDEX(PMIS_Data!$L$3:$L$32,MATCH($B$4,PMIS_Data!$A$3:$A$32,0)),""))</f>
        <v>26</v>
      </c>
      <c r="E17" s="91" t="s">
        <v>155</v>
      </c>
      <c r="F17" s="91">
        <f>IF($B$4="Campus",COUNTIF(PMIS_Data!$M$3:$M$32,"Verify")+COUNTIF(PMIS_Data!$M$3:$M$32,"Existing / Verify")+COUNTIF(PMIS_Data!$M$3:$M$32,"N/A / Verify")+COUNTIF(PMIS_Data!$M$3:$M$32,"Excluded / Verify")+COUNTIF(PMIS_Data!$M$3:$M$32,"Excluded / Verify Existing")+COUNTIF(PMIS_Data!$M$3:$M$32,"Excluded / Firestop Only"),IFERROR(INDEX(PMIS_Data!$M$3:$M$32,MATCH($B$4,PMIS_Data!$A$3:$A$32,0)),""))</f>
        <v>26</v>
      </c>
      <c r="G17" s="91"/>
      <c r="H17" s="88"/>
      <c r="I17" s="91" t="s">
        <v>146</v>
      </c>
      <c r="J17" s="93">
        <f>IF($B$4="Campus",COUNTIFS(PMIS_Data!$C$1006:$C$1434,"Fire",PMIS_Data!$E$1006:$E$1434,"Verify")+COUNTIFS(PMIS_Data!$C$1006:$C$1434,"Fire",PMIS_Data!$E$1006:$E$1434,"Existing / Verify")+COUNTIFS(PMIS_Data!$C$1006:$C$1434,"Fire",PMIS_Data!$E$1006:$E$1434,"N/A / Verify")+COUNTIFS(PMIS_Data!$C$1006:$C$1434,"Fire",PMIS_Data!$E$1006:$E$1434,"Excluded / Verify")+COUNTIFS(PMIS_Data!$C$1006:$C$1434,"Fire",PMIS_Data!$E$1006:$E$1434,"Excluded / Verify Existing")+COUNTIFS(PMIS_Data!$C$1006:$C$1434,"Fire",PMIS_Data!$E$1006:$E$1434,"Excluded / Firestop Only"),COUNTIFS(PMIS_Data!$A$1006:$A$1434,$B$4,PMIS_Data!$C$1006:$C$1434,"Fire",PMIS_Data!$E$1006:$E$1434,"Verify")+COUNTIFS(PMIS_Data!$A$1006:$A$1434,$B$4,PMIS_Data!$C$1006:$C$1434,"Fire",PMIS_Data!$E$1006:$E$1434,"Existing / Verify")+COUNTIFS(PMIS_Data!$A$1006:$A$1434,$B$4,PMIS_Data!$C$1006:$C$1434,"Fire",PMIS_Data!$E$1006:$E$1434,"N/A / Verify")+COUNTIFS(PMIS_Data!$A$1006:$A$1434,$B$4,PMIS_Data!$C$1006:$C$1434,"Fire",PMIS_Data!$E$1006:$E$1434,"Excluded / Verify")+COUNTIFS(PMIS_Data!$A$1006:$A$1434,$B$4,PMIS_Data!$C$1006:$C$1434,"Fire",PMIS_Data!$E$1006:$E$1434,"Excluded / Verify Existing")+COUNTIFS(PMIS_Data!$A$1006:$A$1434,$B$4,PMIS_Data!$C$1006:$C$1434,"Fire",PMIS_Data!$E$1006:$E$1434,"Excluded / Firestop Only"))</f>
        <v>86</v>
      </c>
      <c r="K17" s="93">
        <f>IF($B$4="Campus",COUNTIFS(PMIS_Data!$C$1006:$C$1434,"Fire",PMIS_Data!$E$1006:$E$1434,"Pass"),COUNTIFS(PMIS_Data!$A$1006:$A$1434,$B$4,PMIS_Data!$C$1006:$C$1434,"Fire",PMIS_Data!$E$1006:$E$1434,"Pass"))</f>
        <v>0</v>
      </c>
      <c r="L17" s="93">
        <f>IF($B$4="Campus",COUNTIFS(PMIS_Data!$C$1006:$C$1434,"Fire",PMIS_Data!$E$1006:$E$1434,"Fail"),COUNTIFS(PMIS_Data!$A$1006:$A$1434,$B$4,PMIS_Data!$C$1006:$C$1434,"Fire",PMIS_Data!$E$1006:$E$1434,"Fail"))</f>
        <v>0</v>
      </c>
      <c r="M17" s="94">
        <f>IF($B$4="Campus",COUNTIFS(PMIS_Data!$K$33:$K$260,"Open",PMIS_Data!$E$33:$E$260,"*Fire*"),COUNTIFS(PMIS_Data!$A$33:$A$260,$B$4,PMIS_Data!$K$33:$K$260,"Open",PMIS_Data!$E$33:$E$260,"*Fire*"))</f>
        <v>0</v>
      </c>
      <c r="N17" s="94" t="s">
        <v>555</v>
      </c>
      <c r="O17" s="94"/>
      <c r="P17" s="94"/>
    </row>
    <row r="18" spans="1:16" ht="27" customHeight="1">
      <c r="A18" s="91" t="s">
        <v>146</v>
      </c>
      <c r="B18" s="91">
        <f>IF($B$4="Campus",COUNTIF(PMIS_Data!$N$3:$N$32,"Verify")+COUNTIF(PMIS_Data!$N$3:$N$32,"Existing / Verify")+COUNTIF(PMIS_Data!$N$3:$N$32,"N/A / Verify")+COUNTIF(PMIS_Data!$N$3:$N$32,"Excluded / Verify")+COUNTIF(PMIS_Data!$N$3:$N$32,"Excluded / Verify Existing")+COUNTIF(PMIS_Data!$N$3:$N$32,"Excluded / Firestop Only"),IFERROR(INDEX(PMIS_Data!$N$3:$N$32,MATCH($B$4,PMIS_Data!$A$3:$A$32,0)),""))</f>
        <v>24</v>
      </c>
      <c r="C18" s="91" t="s">
        <v>157</v>
      </c>
      <c r="D18" s="91">
        <f>IF($B$4="Campus",COUNTIF(PMIS_Data!$O$3:$O$32,"Verify")+COUNTIF(PMIS_Data!$O$3:$O$32,"Existing / Verify")+COUNTIF(PMIS_Data!$O$3:$O$32,"N/A / Verify")+COUNTIF(PMIS_Data!$O$3:$O$32,"Excluded / Verify")+COUNTIF(PMIS_Data!$O$3:$O$32,"Excluded / Verify Existing")+COUNTIF(PMIS_Data!$O$3:$O$32,"Excluded / Firestop Only"),IFERROR(INDEX(PMIS_Data!$O$3:$O$32,MATCH($B$4,PMIS_Data!$A$3:$A$32,0)),""))</f>
        <v>19</v>
      </c>
      <c r="E18" s="91" t="s">
        <v>556</v>
      </c>
      <c r="F18" s="91">
        <f>IF($B$4="Campus",COUNTIF(PMIS_Data!$P$3:$P$32,"Verify")+COUNTIF(PMIS_Data!$P$3:$P$32,"Existing / Verify")+COUNTIF(PMIS_Data!$P$3:$P$32,"N/A / Verify")+COUNTIF(PMIS_Data!$P$3:$P$32,"Excluded / Verify")+COUNTIF(PMIS_Data!$P$3:$P$32,"Excluded / Verify Existing")+COUNTIF(PMIS_Data!$P$3:$P$32,"Excluded / Firestop Only"),IFERROR(INDEX(PMIS_Data!$P$3:$P$32,MATCH($B$4,PMIS_Data!$A$3:$A$32,0)),""))</f>
        <v>20</v>
      </c>
      <c r="G18" s="91"/>
      <c r="H18" s="88"/>
      <c r="I18" s="91" t="s">
        <v>556</v>
      </c>
      <c r="J18" s="93">
        <f>IF($B$4="Campus",COUNTIFS(PMIS_Data!$C$1006:$C$1434,"Security",PMIS_Data!$E$1006:$E$1434,"Verify")+COUNTIFS(PMIS_Data!$C$1006:$C$1434,"Security",PMIS_Data!$E$1006:$E$1434,"Existing / Verify")+COUNTIFS(PMIS_Data!$C$1006:$C$1434,"Security",PMIS_Data!$E$1006:$E$1434,"N/A / Verify")+COUNTIFS(PMIS_Data!$C$1006:$C$1434,"Security",PMIS_Data!$E$1006:$E$1434,"Excluded / Verify")+COUNTIFS(PMIS_Data!$C$1006:$C$1434,"Security",PMIS_Data!$E$1006:$E$1434,"Excluded / Verify Existing")+COUNTIFS(PMIS_Data!$C$1006:$C$1434,"Security",PMIS_Data!$E$1006:$E$1434,"Excluded / Firestop Only"),COUNTIFS(PMIS_Data!$A$1006:$A$1434,$B$4,PMIS_Data!$C$1006:$C$1434,"Security",PMIS_Data!$E$1006:$E$1434,"Verify")+COUNTIFS(PMIS_Data!$A$1006:$A$1434,$B$4,PMIS_Data!$C$1006:$C$1434,"Security",PMIS_Data!$E$1006:$E$1434,"Existing / Verify")+COUNTIFS(PMIS_Data!$A$1006:$A$1434,$B$4,PMIS_Data!$C$1006:$C$1434,"Security",PMIS_Data!$E$1006:$E$1434,"N/A / Verify")+COUNTIFS(PMIS_Data!$A$1006:$A$1434,$B$4,PMIS_Data!$C$1006:$C$1434,"Security",PMIS_Data!$E$1006:$E$1434,"Excluded / Verify")+COUNTIFS(PMIS_Data!$A$1006:$A$1434,$B$4,PMIS_Data!$C$1006:$C$1434,"Security",PMIS_Data!$E$1006:$E$1434,"Excluded / Verify Existing")+COUNTIFS(PMIS_Data!$A$1006:$A$1434,$B$4,PMIS_Data!$C$1006:$C$1434,"Security",PMIS_Data!$E$1006:$E$1434,"Excluded / Firestop Only"))</f>
        <v>79</v>
      </c>
      <c r="K18" s="93">
        <f>IF($B$4="Campus",COUNTIFS(PMIS_Data!$C$1006:$C$1434,"Security",PMIS_Data!$E$1006:$E$1434,"Pass"),COUNTIFS(PMIS_Data!$A$1006:$A$1434,$B$4,PMIS_Data!$C$1006:$C$1434,"Security",PMIS_Data!$E$1006:$E$1434,"Pass"))</f>
        <v>0</v>
      </c>
      <c r="L18" s="93">
        <f>IF($B$4="Campus",COUNTIFS(PMIS_Data!$C$1006:$C$1434,"Security",PMIS_Data!$E$1006:$E$1434,"Fail"),COUNTIFS(PMIS_Data!$A$1006:$A$1434,$B$4,PMIS_Data!$C$1006:$C$1434,"Security",PMIS_Data!$E$1006:$E$1434,"Fail"))</f>
        <v>0</v>
      </c>
      <c r="M18" s="94">
        <f>IF($B$4="Campus",COUNTIFS(PMIS_Data!$K$33:$K$260,"Open",PMIS_Data!$E$33:$E$260,"*Security*"),COUNTIFS(PMIS_Data!$A$33:$A$260,$B$4,PMIS_Data!$K$33:$K$260,"Open",PMIS_Data!$E$33:$E$260,"*Security*"))</f>
        <v>0</v>
      </c>
      <c r="N18" s="94" t="s">
        <v>557</v>
      </c>
      <c r="O18" s="94"/>
      <c r="P18" s="94"/>
    </row>
    <row r="19" spans="1:16" ht="27" customHeight="1">
      <c r="A19" s="91" t="s">
        <v>199</v>
      </c>
      <c r="B19" s="91">
        <f>IF($B$4="Campus",COUNTIFS(PMIS_Data!$F$266:$F$496,"Open"),COUNTIFS(PMIS_Data!$A$266:$A$496,$B$4,PMIS_Data!$F$266:$F$496,"Open"))</f>
        <v>0</v>
      </c>
      <c r="C19" s="91" t="s">
        <v>161</v>
      </c>
      <c r="D19" s="91">
        <f>IF($B$4="Campus",COUNTIFS(PMIS_Data!$K$33:$K$260,"Open"),COUNTIFS(PMIS_Data!$A$33:$A$260,$B$4,PMIS_Data!$K$33:$K$260,"Open"))</f>
        <v>0</v>
      </c>
      <c r="E19" s="91" t="s">
        <v>540</v>
      </c>
      <c r="F19" s="91">
        <f>IF($B$4="Campus",COUNTIFS(PMIS_Data!$K$596:$K$822,"Open"),COUNTIFS(PMIS_Data!$A$596:$A$822,$B$4,PMIS_Data!$K$596:$K$822,"Open"))</f>
        <v>0</v>
      </c>
      <c r="G19" s="91"/>
      <c r="H19" s="88"/>
      <c r="I19" s="91" t="s">
        <v>558</v>
      </c>
      <c r="J19" s="93">
        <f>IF($B$4="Campus",COUNTIFS(PMIS_Data!$E$33:$E$260,"*Site*",PMIS_Data!$K$33:$K$260,"Open")+COUNTIFS(PMIS_Data!$E$33:$E$260,"*duct*",PMIS_Data!$K$33:$K$260,"Open"),COUNTIFS(PMIS_Data!$A$33:$A$260,$B$4,PMIS_Data!$E$33:$E$260,"*Site*",PMIS_Data!$K$33:$K$260,"Open"))</f>
        <v>0</v>
      </c>
      <c r="K19" s="93"/>
      <c r="L19" s="93"/>
      <c r="M19" s="94"/>
      <c r="N19" s="94" t="s">
        <v>559</v>
      </c>
      <c r="O19" s="94"/>
      <c r="P19" s="94"/>
    </row>
    <row r="20" spans="1:16" ht="30.75" customHeight="1">
      <c r="A20" s="91" t="s">
        <v>154</v>
      </c>
      <c r="B20" s="97">
        <f>IF($B$4="Campus",COUNTIF(PMIS_Data!$F$3:$F$32,"Yes"),IFERROR(INDEX(PMIS_Data!$F$3:$F$32,MATCH($B$4,PMIS_Data!$A$3:$A$32,0)),"No"))</f>
        <v>1</v>
      </c>
      <c r="C20" s="91" t="s">
        <v>560</v>
      </c>
      <c r="D20" s="91" t="s">
        <v>561</v>
      </c>
      <c r="E20" s="91"/>
      <c r="F20" s="91"/>
      <c r="G20" s="91"/>
      <c r="H20" s="88"/>
      <c r="I20" s="91" t="s">
        <v>491</v>
      </c>
      <c r="J20" s="93">
        <f>IF($B$4="Campus",COUNTIFS(PMIS_Data!$K$596:$K$822,"Open"),COUNTIFS(PMIS_Data!$A$596:$A$822,$B$4,PMIS_Data!$K$596:$K$822,"Open"))</f>
        <v>0</v>
      </c>
      <c r="K20" s="93"/>
      <c r="L20" s="93"/>
      <c r="M20" s="94"/>
      <c r="N20" s="94" t="s">
        <v>562</v>
      </c>
      <c r="O20" s="94"/>
      <c r="P20" s="94"/>
    </row>
    <row r="21" spans="1:16" ht="20.25" customHeight="1">
      <c r="A21" s="98" t="s">
        <v>563</v>
      </c>
      <c r="B21" s="98"/>
      <c r="C21" s="98"/>
      <c r="D21" s="98"/>
      <c r="E21" s="98"/>
      <c r="F21" s="98"/>
      <c r="G21" s="98"/>
      <c r="H21" s="98"/>
      <c r="I21" s="98"/>
      <c r="J21" s="98"/>
      <c r="K21" s="98"/>
      <c r="L21" s="98"/>
      <c r="M21" s="98"/>
      <c r="N21" s="98"/>
      <c r="O21" s="98"/>
      <c r="P21" s="98"/>
    </row>
    <row r="22" spans="1:16" ht="21.75" hidden="1" customHeight="1">
      <c r="A22" s="840" t="s">
        <v>564</v>
      </c>
      <c r="B22" s="839"/>
      <c r="C22" s="839"/>
      <c r="D22" s="839"/>
      <c r="E22" s="839"/>
      <c r="F22" s="839"/>
      <c r="G22" s="839"/>
      <c r="H22" s="839"/>
      <c r="I22" s="839"/>
      <c r="J22" s="839"/>
      <c r="K22" s="839"/>
      <c r="L22" s="839"/>
      <c r="M22" s="99"/>
      <c r="N22" s="99"/>
      <c r="O22" s="99"/>
      <c r="P22" s="99"/>
    </row>
    <row r="23" spans="1:16" ht="33" customHeight="1">
      <c r="A23" s="841" t="s">
        <v>565</v>
      </c>
      <c r="B23" s="839"/>
      <c r="C23" s="839"/>
      <c r="D23" s="839"/>
      <c r="E23" s="100"/>
      <c r="F23" s="100"/>
      <c r="G23" s="100"/>
      <c r="H23" s="100"/>
      <c r="I23" s="100"/>
      <c r="J23" s="100"/>
      <c r="K23" s="100"/>
      <c r="L23" s="100"/>
      <c r="M23" s="52"/>
      <c r="N23" s="52"/>
      <c r="O23" s="52"/>
      <c r="P23" s="52"/>
    </row>
    <row r="24" spans="1:16" ht="14.25" customHeight="1">
      <c r="A24" s="89" t="s">
        <v>142</v>
      </c>
      <c r="B24" s="89" t="s">
        <v>173</v>
      </c>
      <c r="C24" s="89" t="s">
        <v>77</v>
      </c>
      <c r="D24" s="89" t="s">
        <v>174</v>
      </c>
      <c r="E24" s="89" t="s">
        <v>145</v>
      </c>
      <c r="F24" s="89" t="s">
        <v>176</v>
      </c>
      <c r="G24" s="89" t="s">
        <v>177</v>
      </c>
      <c r="H24" s="89" t="s">
        <v>178</v>
      </c>
      <c r="I24" s="89" t="s">
        <v>148</v>
      </c>
      <c r="J24" s="89" t="s">
        <v>153</v>
      </c>
      <c r="K24" s="89" t="s">
        <v>155</v>
      </c>
      <c r="L24" s="89" t="s">
        <v>566</v>
      </c>
      <c r="M24" s="90" t="s">
        <v>567</v>
      </c>
      <c r="N24" s="90" t="s">
        <v>556</v>
      </c>
      <c r="O24" s="90" t="s">
        <v>179</v>
      </c>
      <c r="P24" s="90" t="s">
        <v>568</v>
      </c>
    </row>
    <row r="25" spans="1:16" ht="102" customHeight="1">
      <c r="A25" s="101" t="str">
        <f>PMIS_Data!A3</f>
        <v>01</v>
      </c>
      <c r="B25" s="102" t="str">
        <f>PMIS_Data!B3</f>
        <v>B01_Assessment</v>
      </c>
      <c r="C25" s="103" t="str">
        <f>PMIS_Data!C3</f>
        <v>Yellow</v>
      </c>
      <c r="D25" s="104">
        <f>PMIS_Data!E3</f>
        <v>0.5</v>
      </c>
      <c r="E25" s="103">
        <f>PMIS_Data!G3</f>
        <v>29</v>
      </c>
      <c r="F25" s="105">
        <f>PMIS_Data!H3</f>
        <v>0</v>
      </c>
      <c r="G25" s="103">
        <f>PMIS_Data!I3</f>
        <v>0</v>
      </c>
      <c r="H25" s="103">
        <f>PMIS_Data!J3</f>
        <v>0</v>
      </c>
      <c r="I25" s="103" t="str">
        <f>PMIS_Data!K3</f>
        <v>Not Started</v>
      </c>
      <c r="J25" s="103" t="str">
        <f>PMIS_Data!L3</f>
        <v>Not Started</v>
      </c>
      <c r="K25" s="103" t="str">
        <f>PMIS_Data!M3</f>
        <v>Not Started</v>
      </c>
      <c r="L25" s="103" t="str">
        <f>PMIS_Data!N3</f>
        <v>Not Started</v>
      </c>
      <c r="M25" s="106" t="str">
        <f>PMIS_Data!O3</f>
        <v>Not Started</v>
      </c>
      <c r="N25" s="106" t="str">
        <f>PMIS_Data!P3</f>
        <v>Not Started</v>
      </c>
      <c r="O25" s="106" t="str">
        <f>PMIS_Data!Q3</f>
        <v>Field verify Room 107, existing B02, 138, and 282; confirm active services, existing rack/equipment transfer, B01-TR107A/B panel sources, IU-1-01/CU-1-01 cooling, fire alarm/sprinkler impacts, FEC location, PACS/CCTV scope, 394 ft cable tray routes, and telecom cutover sequence.</v>
      </c>
      <c r="P25" s="107">
        <f>PMIS_Data!S3</f>
        <v>0</v>
      </c>
    </row>
    <row r="26" spans="1:16" ht="102" customHeight="1">
      <c r="A26" s="101" t="str">
        <f>PMIS_Data!A4</f>
        <v>02</v>
      </c>
      <c r="B26" s="102" t="str">
        <f>PMIS_Data!B4</f>
        <v>B02_Assessment</v>
      </c>
      <c r="C26" s="103" t="str">
        <f>PMIS_Data!C4</f>
        <v>Yellow</v>
      </c>
      <c r="D26" s="104">
        <f>PMIS_Data!E4</f>
        <v>0.5</v>
      </c>
      <c r="E26" s="103">
        <f>PMIS_Data!G4</f>
        <v>30</v>
      </c>
      <c r="F26" s="105">
        <f>PMIS_Data!H4</f>
        <v>0</v>
      </c>
      <c r="G26" s="103">
        <f>PMIS_Data!I4</f>
        <v>0</v>
      </c>
      <c r="H26" s="103">
        <f>PMIS_Data!J4</f>
        <v>0</v>
      </c>
      <c r="I26" s="103" t="str">
        <f>PMIS_Data!K4</f>
        <v>Not Started</v>
      </c>
      <c r="J26" s="103" t="str">
        <f>PMIS_Data!L4</f>
        <v>Not Started</v>
      </c>
      <c r="K26" s="103" t="str">
        <f>PMIS_Data!M4</f>
        <v>Not Started</v>
      </c>
      <c r="L26" s="103" t="str">
        <f>PMIS_Data!N4</f>
        <v>Not Started</v>
      </c>
      <c r="M26" s="106" t="str">
        <f>PMIS_Data!O4</f>
        <v>Not Started</v>
      </c>
      <c r="N26" s="106" t="str">
        <f>PMIS_Data!P4</f>
        <v>Not Started</v>
      </c>
      <c r="O26" s="106" t="str">
        <f>PMIS_Data!Q4</f>
        <v>Field verify new Rooms 141, 236, 342 and existing B-06/141/236; confirm active services, rack/equipment transfer, B02-TR141A/B, B02-TR236A/B, B02-TR342A/B panel sources, CU-1-01/CU-2-01/CU-3-01 cooling assignments, fire alarm/sprinkler impacts, FEC locations, PACS/CCTV scope, 2,560 ft cable tray routes, and telecom cutover sequence.</v>
      </c>
      <c r="P26" s="107">
        <f>PMIS_Data!S4</f>
        <v>0</v>
      </c>
    </row>
    <row r="27" spans="1:16" ht="114" customHeight="1">
      <c r="A27" s="101" t="str">
        <f>PMIS_Data!A5</f>
        <v>03</v>
      </c>
      <c r="B27" s="102" t="str">
        <f>PMIS_Data!B5</f>
        <v>B03_Assessment</v>
      </c>
      <c r="C27" s="103" t="str">
        <f>PMIS_Data!C5</f>
        <v>Yellow</v>
      </c>
      <c r="D27" s="104">
        <f>PMIS_Data!E5</f>
        <v>0.5</v>
      </c>
      <c r="E27" s="103">
        <f>PMIS_Data!G5</f>
        <v>29</v>
      </c>
      <c r="F27" s="105">
        <f>PMIS_Data!H5</f>
        <v>0</v>
      </c>
      <c r="G27" s="103">
        <f>PMIS_Data!I5</f>
        <v>0</v>
      </c>
      <c r="H27" s="103">
        <f>PMIS_Data!J5</f>
        <v>0</v>
      </c>
      <c r="I27" s="103" t="str">
        <f>PMIS_Data!K5</f>
        <v>Not Started</v>
      </c>
      <c r="J27" s="103" t="str">
        <f>PMIS_Data!L5</f>
        <v>Not Started</v>
      </c>
      <c r="K27" s="103" t="str">
        <f>PMIS_Data!M5</f>
        <v>Not Started</v>
      </c>
      <c r="L27" s="103" t="str">
        <f>PMIS_Data!N5</f>
        <v>Not Started</v>
      </c>
      <c r="M27" s="106" t="str">
        <f>PMIS_Data!O5</f>
        <v>Not Started</v>
      </c>
      <c r="N27" s="106" t="str">
        <f>PMIS_Data!P5</f>
        <v>Not Started</v>
      </c>
      <c r="O27" s="106" t="str">
        <f>PMIS_Data!Q5</f>
        <v>Field verify Room 101E, existing Room 107, and existing DMARC Room 101C; confirm active services, existing rack/equipment transfer, B03-TR101CA/B panel sources, CU-01 cooling assignment, fire alarm/sprinkler impacts, FEC location, PACS/CCTV scope, 961 ft cable tray routes, Room 107 inventory, and telecom cutover/fiber transfer sequence.</v>
      </c>
      <c r="P27" s="107">
        <f>PMIS_Data!S5</f>
        <v>0</v>
      </c>
    </row>
    <row r="28" spans="1:16" ht="33.75" customHeight="1">
      <c r="A28" s="101" t="str">
        <f>PMIS_Data!A6</f>
        <v>04</v>
      </c>
      <c r="B28" s="102" t="str">
        <f>PMIS_Data!B6</f>
        <v>B04_Assessment</v>
      </c>
      <c r="C28" s="103" t="str">
        <f>PMIS_Data!C6</f>
        <v>Yellow</v>
      </c>
      <c r="D28" s="104">
        <f>PMIS_Data!E6</f>
        <v>0.5</v>
      </c>
      <c r="E28" s="103">
        <f>PMIS_Data!G6</f>
        <v>27</v>
      </c>
      <c r="F28" s="105">
        <f>PMIS_Data!H6</f>
        <v>0</v>
      </c>
      <c r="G28" s="103">
        <f>PMIS_Data!I6</f>
        <v>0</v>
      </c>
      <c r="H28" s="103">
        <f>PMIS_Data!J6</f>
        <v>0</v>
      </c>
      <c r="I28" s="103" t="str">
        <f>PMIS_Data!K6</f>
        <v>Verify</v>
      </c>
      <c r="J28" s="103" t="str">
        <f>PMIS_Data!L6</f>
        <v>Verify</v>
      </c>
      <c r="K28" s="103" t="str">
        <f>PMIS_Data!M6</f>
        <v>Verify</v>
      </c>
      <c r="L28" s="103" t="str">
        <f>PMIS_Data!N6</f>
        <v>Verify</v>
      </c>
      <c r="M28" s="106" t="str">
        <f>PMIS_Data!O6</f>
        <v>Verify</v>
      </c>
      <c r="N28" s="106" t="str">
        <f>PMIS_Data!P6</f>
        <v>Verify</v>
      </c>
      <c r="O28" s="106" t="str">
        <f>PMIS_Data!Q6</f>
        <v>Field verify TR rooms B05, 141, and 244A; confirm cooling, panel/circuiting, fire alarm/sprinkler impacts, FEC locations, and cutover/phasing plan.</v>
      </c>
      <c r="P28" s="107">
        <f>PMIS_Data!S6</f>
        <v>0</v>
      </c>
    </row>
    <row r="29" spans="1:16" ht="33.75" customHeight="1">
      <c r="A29" s="101" t="str">
        <f>PMIS_Data!A7</f>
        <v>05</v>
      </c>
      <c r="B29" s="102" t="str">
        <f>PMIS_Data!B7</f>
        <v>B05_Assessment</v>
      </c>
      <c r="C29" s="103" t="str">
        <f>PMIS_Data!C7</f>
        <v>Yellow</v>
      </c>
      <c r="D29" s="104">
        <f>PMIS_Data!E7</f>
        <v>0.55000000000000004</v>
      </c>
      <c r="E29" s="103">
        <f>PMIS_Data!G7</f>
        <v>26</v>
      </c>
      <c r="F29" s="105">
        <f>PMIS_Data!H7</f>
        <v>0</v>
      </c>
      <c r="G29" s="103">
        <f>PMIS_Data!I7</f>
        <v>0</v>
      </c>
      <c r="H29" s="103">
        <f>PMIS_Data!J7</f>
        <v>0</v>
      </c>
      <c r="I29" s="103" t="str">
        <f>PMIS_Data!K7</f>
        <v>N/A</v>
      </c>
      <c r="J29" s="103" t="str">
        <f>PMIS_Data!L7</f>
        <v>Verify</v>
      </c>
      <c r="K29" s="103" t="str">
        <f>PMIS_Data!M7</f>
        <v>Verify</v>
      </c>
      <c r="L29" s="103" t="str">
        <f>PMIS_Data!N7</f>
        <v>N/A</v>
      </c>
      <c r="M29" s="106" t="str">
        <f>PMIS_Data!O7</f>
        <v>Verify</v>
      </c>
      <c r="N29" s="106" t="str">
        <f>PMIS_Data!P7</f>
        <v>Verify</v>
      </c>
      <c r="O29" s="106" t="str">
        <f>PMIS_Data!Q7</f>
        <v>Field verify Room 150 TE location, existing 153-A equipment to remain/transition, electrical source, UPS/PDU receptacles, PACS/CCTV requirements, firestopping, and cutover sequence.</v>
      </c>
      <c r="P29" s="107">
        <f>PMIS_Data!S7</f>
        <v>0</v>
      </c>
    </row>
    <row r="30" spans="1:16" ht="33.75" customHeight="1">
      <c r="A30" s="101" t="str">
        <f>PMIS_Data!A8</f>
        <v>06</v>
      </c>
      <c r="B30" s="102" t="str">
        <f>PMIS_Data!B8</f>
        <v>B06_Assessment</v>
      </c>
      <c r="C30" s="103" t="str">
        <f>PMIS_Data!C8</f>
        <v>Yellow</v>
      </c>
      <c r="D30" s="104">
        <f>PMIS_Data!E8</f>
        <v>0.5</v>
      </c>
      <c r="E30" s="103">
        <f>PMIS_Data!G8</f>
        <v>27</v>
      </c>
      <c r="F30" s="105">
        <f>PMIS_Data!H8</f>
        <v>0</v>
      </c>
      <c r="G30" s="103">
        <f>PMIS_Data!I8</f>
        <v>0</v>
      </c>
      <c r="H30" s="103">
        <f>PMIS_Data!J8</f>
        <v>0</v>
      </c>
      <c r="I30" s="103" t="str">
        <f>PMIS_Data!K8</f>
        <v>Verify</v>
      </c>
      <c r="J30" s="103" t="str">
        <f>PMIS_Data!L8</f>
        <v>Verify</v>
      </c>
      <c r="K30" s="103" t="str">
        <f>PMIS_Data!M8</f>
        <v>Verify</v>
      </c>
      <c r="L30" s="103" t="str">
        <f>PMIS_Data!N8</f>
        <v>Verify</v>
      </c>
      <c r="M30" s="106" t="str">
        <f>PMIS_Data!O8</f>
        <v>Verify</v>
      </c>
      <c r="N30" s="106" t="str">
        <f>PMIS_Data!P8</f>
        <v>Verify</v>
      </c>
      <c r="O30" s="106" t="str">
        <f>PMIS_Data!Q8</f>
        <v>Field verify existing B-01 equipment, Rooms 178 and 233, panel sources, IU/CU cooling, fire alarm/sprinkler impacts, FEC locations, and telecom cutover sequence.</v>
      </c>
      <c r="P30" s="107">
        <f>PMIS_Data!S8</f>
        <v>0</v>
      </c>
    </row>
    <row r="31" spans="1:16" ht="33.75" customHeight="1">
      <c r="A31" s="101" t="str">
        <f>PMIS_Data!A9</f>
        <v>07</v>
      </c>
      <c r="B31" s="102" t="str">
        <f>PMIS_Data!B9</f>
        <v>B07_Assessment</v>
      </c>
      <c r="C31" s="103" t="str">
        <f>PMIS_Data!C9</f>
        <v>Yellow</v>
      </c>
      <c r="D31" s="104">
        <f>PMIS_Data!E9</f>
        <v>0.5</v>
      </c>
      <c r="E31" s="103">
        <f>PMIS_Data!G9</f>
        <v>26</v>
      </c>
      <c r="F31" s="105">
        <f>PMIS_Data!H9</f>
        <v>0</v>
      </c>
      <c r="G31" s="103">
        <f>PMIS_Data!I9</f>
        <v>0</v>
      </c>
      <c r="H31" s="103">
        <f>PMIS_Data!J9</f>
        <v>0</v>
      </c>
      <c r="I31" s="103" t="str">
        <f>PMIS_Data!K9</f>
        <v>Verify</v>
      </c>
      <c r="J31" s="103" t="str">
        <f>PMIS_Data!L9</f>
        <v>Verify</v>
      </c>
      <c r="K31" s="103" t="str">
        <f>PMIS_Data!M9</f>
        <v>Verify</v>
      </c>
      <c r="L31" s="103" t="str">
        <f>PMIS_Data!N9</f>
        <v>Verify</v>
      </c>
      <c r="M31" s="106" t="str">
        <f>PMIS_Data!O9</f>
        <v>Verify</v>
      </c>
      <c r="N31" s="106" t="str">
        <f>PMIS_Data!P9</f>
        <v>Verify</v>
      </c>
      <c r="O31" s="106" t="str">
        <f>PMIS_Data!Q9</f>
        <v>Field verify TR B-18 and 228A; confirm rack/equipment layout, panel sources, IU/CU cooling, fire alarm/sprinkler impacts, FEC locations, PACS/CCTV scope, and telecom cutover sequence.</v>
      </c>
      <c r="P31" s="107">
        <f>PMIS_Data!S9</f>
        <v>0</v>
      </c>
    </row>
    <row r="32" spans="1:16" ht="60.75" customHeight="1">
      <c r="A32" s="101" t="str">
        <f>PMIS_Data!A10</f>
        <v>08</v>
      </c>
      <c r="B32" s="102" t="str">
        <f>PMIS_Data!B10</f>
        <v>B08_Assessment</v>
      </c>
      <c r="C32" s="103" t="str">
        <f>PMIS_Data!C10</f>
        <v>Yellow</v>
      </c>
      <c r="D32" s="104">
        <f>PMIS_Data!E10</f>
        <v>0.5</v>
      </c>
      <c r="E32" s="103">
        <f>PMIS_Data!G10</f>
        <v>27</v>
      </c>
      <c r="F32" s="105">
        <f>PMIS_Data!H10</f>
        <v>0</v>
      </c>
      <c r="G32" s="103">
        <f>PMIS_Data!I10</f>
        <v>0</v>
      </c>
      <c r="H32" s="103">
        <f>PMIS_Data!J10</f>
        <v>0</v>
      </c>
      <c r="I32" s="103" t="str">
        <f>PMIS_Data!K10</f>
        <v>Verify</v>
      </c>
      <c r="J32" s="103" t="str">
        <f>PMIS_Data!L10</f>
        <v>Verify</v>
      </c>
      <c r="K32" s="103" t="str">
        <f>PMIS_Data!M10</f>
        <v>Verify</v>
      </c>
      <c r="L32" s="103" t="str">
        <f>PMIS_Data!N10</f>
        <v>Verify</v>
      </c>
      <c r="M32" s="106" t="str">
        <f>PMIS_Data!O10</f>
        <v>Verify</v>
      </c>
      <c r="N32" s="106" t="str">
        <f>PMIS_Data!P10</f>
        <v>Verify</v>
      </c>
      <c r="O32" s="106" t="str">
        <f>PMIS_Data!Q10</f>
        <v>Field verify B-15, B12B, and 2065A; confirm active services, 2065A rack layout, panel/power source, IU/CU cooling, hazardous material/abatement impacts, FEC locations, PACS/CCTV, and telecom cutover sequence.</v>
      </c>
      <c r="P32" s="107">
        <f>PMIS_Data!S10</f>
        <v>0</v>
      </c>
    </row>
    <row r="33" spans="1:16" ht="45" customHeight="1">
      <c r="A33" s="101" t="str">
        <f>PMIS_Data!A11</f>
        <v>09</v>
      </c>
      <c r="B33" s="102" t="str">
        <f>PMIS_Data!B11</f>
        <v>B09_Assessment</v>
      </c>
      <c r="C33" s="103" t="str">
        <f>PMIS_Data!C11</f>
        <v>Yellow</v>
      </c>
      <c r="D33" s="104">
        <f>PMIS_Data!E11</f>
        <v>0.5</v>
      </c>
      <c r="E33" s="103">
        <f>PMIS_Data!G11</f>
        <v>27</v>
      </c>
      <c r="F33" s="105">
        <f>PMIS_Data!H11</f>
        <v>0</v>
      </c>
      <c r="G33" s="103">
        <f>PMIS_Data!I11</f>
        <v>0</v>
      </c>
      <c r="H33" s="103">
        <f>PMIS_Data!J11</f>
        <v>0</v>
      </c>
      <c r="I33" s="103" t="str">
        <f>PMIS_Data!K11</f>
        <v>Verify</v>
      </c>
      <c r="J33" s="103" t="str">
        <f>PMIS_Data!L11</f>
        <v>Verify</v>
      </c>
      <c r="K33" s="103" t="str">
        <f>PMIS_Data!M11</f>
        <v>Verify</v>
      </c>
      <c r="L33" s="103" t="str">
        <f>PMIS_Data!N11</f>
        <v>Verify</v>
      </c>
      <c r="M33" s="106" t="str">
        <f>PMIS_Data!O11</f>
        <v>Verify</v>
      </c>
      <c r="N33" s="106" t="str">
        <f>PMIS_Data!P11</f>
        <v>Verify</v>
      </c>
      <c r="O33" s="106" t="str">
        <f>PMIS_Data!Q11</f>
        <v>Field verify B01, 104B, and 206A; confirm existing equipment and active services, panel sources, IU/CU cooling, fire alarm/sprinkler impacts, FEC locations, PACS/CCTV scope, hazardous/abatement impacts, and telecom cutover sequence.</v>
      </c>
      <c r="P33" s="107">
        <f>PMIS_Data!S11</f>
        <v>0</v>
      </c>
    </row>
    <row r="34" spans="1:16" ht="45" customHeight="1">
      <c r="A34" s="101" t="str">
        <f>PMIS_Data!A12</f>
        <v>10</v>
      </c>
      <c r="B34" s="102" t="str">
        <f>PMIS_Data!B12</f>
        <v>B10_Assessment</v>
      </c>
      <c r="C34" s="103" t="str">
        <f>PMIS_Data!C12</f>
        <v>Yellow</v>
      </c>
      <c r="D34" s="104">
        <f>PMIS_Data!E12</f>
        <v>0.5</v>
      </c>
      <c r="E34" s="103">
        <f>PMIS_Data!G12</f>
        <v>27</v>
      </c>
      <c r="F34" s="105">
        <f>PMIS_Data!H12</f>
        <v>0</v>
      </c>
      <c r="G34" s="103">
        <f>PMIS_Data!I12</f>
        <v>0</v>
      </c>
      <c r="H34" s="103">
        <f>PMIS_Data!J12</f>
        <v>0</v>
      </c>
      <c r="I34" s="103" t="str">
        <f>PMIS_Data!K12</f>
        <v>Verify</v>
      </c>
      <c r="J34" s="103" t="str">
        <f>PMIS_Data!L12</f>
        <v>Verify</v>
      </c>
      <c r="K34" s="103" t="str">
        <f>PMIS_Data!M12</f>
        <v>Verify</v>
      </c>
      <c r="L34" s="103" t="str">
        <f>PMIS_Data!N12</f>
        <v>Verify</v>
      </c>
      <c r="M34" s="106" t="str">
        <f>PMIS_Data!O12</f>
        <v>Verify</v>
      </c>
      <c r="N34" s="106" t="str">
        <f>PMIS_Data!P12</f>
        <v>Verify</v>
      </c>
      <c r="O34" s="106" t="str">
        <f>PMIS_Data!Q12</f>
        <v>Field verify attic Telecom Room 200A, basement normal/emergency electrical source rooms B24/B25, existing wall-mounted rack/equipment, panel sources B10-TR200AA/AB, IU/CU-1-01 cooling, FEC/fire alarm/sprinkler impacts, hazardous/abatement scope, and telecom cutover plan.</v>
      </c>
      <c r="P34" s="107">
        <f>PMIS_Data!S12</f>
        <v>0</v>
      </c>
    </row>
    <row r="35" spans="1:16" ht="57" customHeight="1">
      <c r="A35" s="101" t="str">
        <f>PMIS_Data!A13</f>
        <v>12</v>
      </c>
      <c r="B35" s="102" t="str">
        <f>PMIS_Data!B13</f>
        <v>B12_Assessment</v>
      </c>
      <c r="C35" s="103" t="str">
        <f>PMIS_Data!C13</f>
        <v>Yellow</v>
      </c>
      <c r="D35" s="104">
        <f>PMIS_Data!E13</f>
        <v>0.6</v>
      </c>
      <c r="E35" s="103">
        <f>PMIS_Data!G13</f>
        <v>26</v>
      </c>
      <c r="F35" s="105">
        <f>PMIS_Data!H13</f>
        <v>0</v>
      </c>
      <c r="G35" s="103">
        <f>PMIS_Data!I13</f>
        <v>0</v>
      </c>
      <c r="H35" s="103">
        <f>PMIS_Data!J13</f>
        <v>0</v>
      </c>
      <c r="I35" s="103" t="str">
        <f>PMIS_Data!K13</f>
        <v>N/A</v>
      </c>
      <c r="J35" s="103" t="str">
        <f>PMIS_Data!L13</f>
        <v>N/A / Verify</v>
      </c>
      <c r="K35" s="103" t="str">
        <f>PMIS_Data!M13</f>
        <v>Verify</v>
      </c>
      <c r="L35" s="103" t="str">
        <f>PMIS_Data!N13</f>
        <v>N/A / Verify</v>
      </c>
      <c r="M35" s="106" t="str">
        <f>PMIS_Data!O13</f>
        <v>N/A / Verify</v>
      </c>
      <c r="N35" s="106" t="str">
        <f>PMIS_Data!P13</f>
        <v>N/A / Verify</v>
      </c>
      <c r="O35" s="106" t="str">
        <f>PMIS_Data!Q13</f>
        <v>Field verify existing fiber pathway through Building 12, existing rack/demarc/serving closet condition, floor/wall penetrations, routing from basement/first/second level telecom plans, phasing/cutover approach, and test/label/as-built deliverables.</v>
      </c>
      <c r="P35" s="107">
        <f>PMIS_Data!S13</f>
        <v>0</v>
      </c>
    </row>
    <row r="36" spans="1:16" ht="57" customHeight="1">
      <c r="A36" s="101" t="str">
        <f>PMIS_Data!A14</f>
        <v>13</v>
      </c>
      <c r="B36" s="102" t="str">
        <f>PMIS_Data!B14</f>
        <v>B13_Assessment</v>
      </c>
      <c r="C36" s="103" t="str">
        <f>PMIS_Data!C14</f>
        <v>Yellow</v>
      </c>
      <c r="D36" s="104">
        <f>PMIS_Data!E14</f>
        <v>0.5</v>
      </c>
      <c r="E36" s="103">
        <f>PMIS_Data!G14</f>
        <v>26</v>
      </c>
      <c r="F36" s="105">
        <f>PMIS_Data!H14</f>
        <v>0</v>
      </c>
      <c r="G36" s="103">
        <f>PMIS_Data!I14</f>
        <v>0</v>
      </c>
      <c r="H36" s="103">
        <f>PMIS_Data!J14</f>
        <v>0</v>
      </c>
      <c r="I36" s="103" t="str">
        <f>PMIS_Data!K14</f>
        <v>Verify</v>
      </c>
      <c r="J36" s="103" t="str">
        <f>PMIS_Data!L14</f>
        <v>Verify</v>
      </c>
      <c r="K36" s="103" t="str">
        <f>PMIS_Data!M14</f>
        <v>Verify</v>
      </c>
      <c r="L36" s="103" t="str">
        <f>PMIS_Data!N14</f>
        <v>Verify</v>
      </c>
      <c r="M36" s="106" t="str">
        <f>PMIS_Data!O14</f>
        <v>Verify</v>
      </c>
      <c r="N36" s="106" t="str">
        <f>PMIS_Data!P14</f>
        <v>Verify</v>
      </c>
      <c r="O36" s="106" t="str">
        <f>PMIS_Data!Q14</f>
        <v>Field verify Room 124 and existing Tel Room 222; confirm active services, rack/equipment transfer, B13-TR124AA/AB panel sources, IU/CU-1-01 cooling, fire alarm/sprinkler impacts, FEC location, PACS/CCTV scope, first-level hazardous/abatement impacts, and telecom cutover sequence.</v>
      </c>
      <c r="P36" s="107">
        <f>PMIS_Data!S14</f>
        <v>0</v>
      </c>
    </row>
    <row r="37" spans="1:16" ht="57" customHeight="1">
      <c r="A37" s="101" t="str">
        <f>PMIS_Data!A15</f>
        <v>14</v>
      </c>
      <c r="B37" s="102" t="str">
        <f>PMIS_Data!B15</f>
        <v>B14_Assessment</v>
      </c>
      <c r="C37" s="103" t="str">
        <f>PMIS_Data!C15</f>
        <v>Yellow</v>
      </c>
      <c r="D37" s="104">
        <f>PMIS_Data!E15</f>
        <v>0.5</v>
      </c>
      <c r="E37" s="103">
        <f>PMIS_Data!G15</f>
        <v>27</v>
      </c>
      <c r="F37" s="105">
        <f>PMIS_Data!H15</f>
        <v>0</v>
      </c>
      <c r="G37" s="103">
        <f>PMIS_Data!I15</f>
        <v>0</v>
      </c>
      <c r="H37" s="103">
        <f>PMIS_Data!J15</f>
        <v>0</v>
      </c>
      <c r="I37" s="103" t="str">
        <f>PMIS_Data!K15</f>
        <v>Verify</v>
      </c>
      <c r="J37" s="103" t="str">
        <f>PMIS_Data!L15</f>
        <v>Verify</v>
      </c>
      <c r="K37" s="103" t="str">
        <f>PMIS_Data!M15</f>
        <v>Verify</v>
      </c>
      <c r="L37" s="103" t="str">
        <f>PMIS_Data!N15</f>
        <v>Verify</v>
      </c>
      <c r="M37" s="106" t="str">
        <f>PMIS_Data!O15</f>
        <v>Verify</v>
      </c>
      <c r="N37" s="106" t="str">
        <f>PMIS_Data!P15</f>
        <v>Verify</v>
      </c>
      <c r="O37" s="106" t="str">
        <f>PMIS_Data!Q15</f>
        <v>Field verify Room 119 and existing basement Tel/F Panel B.01/B2; confirm active services, rack/equipment transfer, B14-TR119A/B panel sources, IU/CU-1-01 cooling, fire alarm/sprinkler impacts, FEC location, PACS/CCTV scope, first-level hazardous/abatement impacts, and telecom cutover sequence.</v>
      </c>
      <c r="P37" s="107">
        <f>PMIS_Data!S15</f>
        <v>0</v>
      </c>
    </row>
    <row r="38" spans="1:16" ht="68.25" customHeight="1">
      <c r="A38" s="101" t="str">
        <f>PMIS_Data!A16</f>
        <v>15</v>
      </c>
      <c r="B38" s="102" t="str">
        <f>PMIS_Data!B16</f>
        <v>B15_Assessment</v>
      </c>
      <c r="C38" s="103" t="str">
        <f>PMIS_Data!C16</f>
        <v>Yellow</v>
      </c>
      <c r="D38" s="104">
        <f>PMIS_Data!E16</f>
        <v>0.5</v>
      </c>
      <c r="E38" s="103">
        <f>PMIS_Data!G16</f>
        <v>27</v>
      </c>
      <c r="F38" s="105">
        <f>PMIS_Data!H16</f>
        <v>0</v>
      </c>
      <c r="G38" s="103">
        <f>PMIS_Data!I16</f>
        <v>0</v>
      </c>
      <c r="H38" s="103">
        <f>PMIS_Data!J16</f>
        <v>0</v>
      </c>
      <c r="I38" s="103" t="str">
        <f>PMIS_Data!K16</f>
        <v>Verify</v>
      </c>
      <c r="J38" s="103" t="str">
        <f>PMIS_Data!L16</f>
        <v>Verify</v>
      </c>
      <c r="K38" s="103" t="str">
        <f>PMIS_Data!M16</f>
        <v>Verify</v>
      </c>
      <c r="L38" s="103" t="str">
        <f>PMIS_Data!N16</f>
        <v>Verify</v>
      </c>
      <c r="M38" s="106" t="str">
        <f>PMIS_Data!O16</f>
        <v>Verify</v>
      </c>
      <c r="N38" s="106" t="str">
        <f>PMIS_Data!P16</f>
        <v>Verify</v>
      </c>
      <c r="O38" s="106" t="str">
        <f>PMIS_Data!Q16</f>
        <v>Field verify Room 124A, existing Tel Room 222 and basement B01; confirm active services, rack/equipment transfer, B15-TR124AA/AB panel sources, IU/CU-1-01 cooling, fire alarm/sprinkler impacts, FEC location, PACS/CCTV scope, first-level hazardous/abatement impacts, and telecom cutover sequence.</v>
      </c>
      <c r="P38" s="107">
        <f>PMIS_Data!S16</f>
        <v>0</v>
      </c>
    </row>
    <row r="39" spans="1:16" ht="57" customHeight="1">
      <c r="A39" s="101" t="str">
        <f>PMIS_Data!A17</f>
        <v>16</v>
      </c>
      <c r="B39" s="102" t="str">
        <f>PMIS_Data!B17</f>
        <v>B16_Assessment</v>
      </c>
      <c r="C39" s="103" t="str">
        <f>PMIS_Data!C17</f>
        <v>Yellow</v>
      </c>
      <c r="D39" s="104">
        <f>PMIS_Data!E17</f>
        <v>0.5</v>
      </c>
      <c r="E39" s="103">
        <f>PMIS_Data!G17</f>
        <v>26</v>
      </c>
      <c r="F39" s="105">
        <f>PMIS_Data!H17</f>
        <v>0</v>
      </c>
      <c r="G39" s="103">
        <f>PMIS_Data!I17</f>
        <v>0</v>
      </c>
      <c r="H39" s="103">
        <f>PMIS_Data!J17</f>
        <v>0</v>
      </c>
      <c r="I39" s="103" t="str">
        <f>PMIS_Data!K17</f>
        <v>Verify</v>
      </c>
      <c r="J39" s="103" t="str">
        <f>PMIS_Data!L17</f>
        <v>Verify</v>
      </c>
      <c r="K39" s="103" t="str">
        <f>PMIS_Data!M17</f>
        <v>Verify</v>
      </c>
      <c r="L39" s="103" t="str">
        <f>PMIS_Data!N17</f>
        <v>Verify</v>
      </c>
      <c r="M39" s="106" t="str">
        <f>PMIS_Data!O17</f>
        <v>Verify</v>
      </c>
      <c r="N39" s="106" t="str">
        <f>PMIS_Data!P17</f>
        <v>Verify</v>
      </c>
      <c r="O39" s="106" t="str">
        <f>PMIS_Data!Q17</f>
        <v>Field verify Room 015 and existing Room 014; confirm active services, rack/equipment transfer, B16-TR015A/B panel sources, IU/CU-1-01 cooling, fire alarm/sprinkler impacts, FEC location, PACS/CCTV scope, panel replacement/load measurement, and telecom cutover sequence.</v>
      </c>
      <c r="P39" s="107">
        <f>PMIS_Data!S17</f>
        <v>0</v>
      </c>
    </row>
    <row r="40" spans="1:16" ht="57" customHeight="1">
      <c r="A40" s="101" t="str">
        <f>PMIS_Data!A18</f>
        <v>17</v>
      </c>
      <c r="B40" s="102" t="str">
        <f>PMIS_Data!B18</f>
        <v>B17_Assessment</v>
      </c>
      <c r="C40" s="103" t="str">
        <f>PMIS_Data!C18</f>
        <v>Yellow</v>
      </c>
      <c r="D40" s="104">
        <f>PMIS_Data!E18</f>
        <v>0.5</v>
      </c>
      <c r="E40" s="103">
        <f>PMIS_Data!G18</f>
        <v>27</v>
      </c>
      <c r="F40" s="105">
        <f>PMIS_Data!H18</f>
        <v>0</v>
      </c>
      <c r="G40" s="103">
        <f>PMIS_Data!I18</f>
        <v>0</v>
      </c>
      <c r="H40" s="103">
        <f>PMIS_Data!J18</f>
        <v>0</v>
      </c>
      <c r="I40" s="103" t="str">
        <f>PMIS_Data!K18</f>
        <v>Verify</v>
      </c>
      <c r="J40" s="103" t="str">
        <f>PMIS_Data!L18</f>
        <v>Verify</v>
      </c>
      <c r="K40" s="103" t="str">
        <f>PMIS_Data!M18</f>
        <v>Verify</v>
      </c>
      <c r="L40" s="103" t="str">
        <f>PMIS_Data!N18</f>
        <v>Verify</v>
      </c>
      <c r="M40" s="106" t="str">
        <f>PMIS_Data!O18</f>
        <v>Verify</v>
      </c>
      <c r="N40" s="106" t="str">
        <f>PMIS_Data!P18</f>
        <v>Verify</v>
      </c>
      <c r="O40" s="106" t="str">
        <f>PMIS_Data!Q18</f>
        <v>Field verify Telecom Room 118, existing B35A, and Building 29 service path; confirm active services, B17-TR118A/B panel sources, BUS-B17-EQDP / BUS-B17-NPB1-R sources, IU/CU-1-01 cooling, FEC, fire alarm/sprinkler impacts, cable tray route, PACS/CCTV scope, hazardous material impacts, and cutover plan.</v>
      </c>
      <c r="P40" s="107">
        <f>PMIS_Data!S18</f>
        <v>0</v>
      </c>
    </row>
    <row r="41" spans="1:16" ht="57" customHeight="1">
      <c r="A41" s="101" t="str">
        <f>PMIS_Data!A19</f>
        <v>18</v>
      </c>
      <c r="B41" s="102" t="str">
        <f>PMIS_Data!B19</f>
        <v>B18_Assessment</v>
      </c>
      <c r="C41" s="103" t="str">
        <f>PMIS_Data!C19</f>
        <v>Yellow</v>
      </c>
      <c r="D41" s="104">
        <f>PMIS_Data!E19</f>
        <v>0.5</v>
      </c>
      <c r="E41" s="103">
        <f>PMIS_Data!G19</f>
        <v>27</v>
      </c>
      <c r="F41" s="105">
        <f>PMIS_Data!H19</f>
        <v>0</v>
      </c>
      <c r="G41" s="103">
        <f>PMIS_Data!I19</f>
        <v>0</v>
      </c>
      <c r="H41" s="103">
        <f>PMIS_Data!J19</f>
        <v>0</v>
      </c>
      <c r="I41" s="103" t="str">
        <f>PMIS_Data!K19</f>
        <v>Verify</v>
      </c>
      <c r="J41" s="103" t="str">
        <f>PMIS_Data!L19</f>
        <v>Verify</v>
      </c>
      <c r="K41" s="103" t="str">
        <f>PMIS_Data!M19</f>
        <v>Verify</v>
      </c>
      <c r="L41" s="103" t="str">
        <f>PMIS_Data!N19</f>
        <v>Verify</v>
      </c>
      <c r="M41" s="106" t="str">
        <f>PMIS_Data!O19</f>
        <v>Verify</v>
      </c>
      <c r="N41" s="106" t="str">
        <f>PMIS_Data!P19</f>
        <v>Verify</v>
      </c>
      <c r="O41" s="106" t="str">
        <f>PMIS_Data!Q19</f>
        <v>Field verify Telecom Room 110, existing TE 111B, existing Closet 213, and all active services; confirm B18-TR110A/B panel sources, IU/CU-1-01 cooling, FEC, fire alarm/sprinkler impacts, cable tray route, PACS/CCTV scope, lead-paint/hazardous impacts, and cutover plan.</v>
      </c>
      <c r="P41" s="107">
        <f>PMIS_Data!S19</f>
        <v>0</v>
      </c>
    </row>
    <row r="42" spans="1:16" ht="68.25" customHeight="1">
      <c r="A42" s="101" t="str">
        <f>PMIS_Data!A20</f>
        <v>20</v>
      </c>
      <c r="B42" s="102" t="str">
        <f>PMIS_Data!B20</f>
        <v>B20_Assessment</v>
      </c>
      <c r="C42" s="103" t="str">
        <f>PMIS_Data!C20</f>
        <v>Yellow</v>
      </c>
      <c r="D42" s="104">
        <f>PMIS_Data!E20</f>
        <v>0.5</v>
      </c>
      <c r="E42" s="103">
        <f>PMIS_Data!G20</f>
        <v>26</v>
      </c>
      <c r="F42" s="105">
        <f>PMIS_Data!H20</f>
        <v>0</v>
      </c>
      <c r="G42" s="103">
        <f>PMIS_Data!I20</f>
        <v>0</v>
      </c>
      <c r="H42" s="103">
        <f>PMIS_Data!J20</f>
        <v>0</v>
      </c>
      <c r="I42" s="103" t="str">
        <f>PMIS_Data!K20</f>
        <v>Excluded / Verify Existing</v>
      </c>
      <c r="J42" s="103" t="str">
        <f>PMIS_Data!L20</f>
        <v>Verify</v>
      </c>
      <c r="K42" s="103" t="str">
        <f>PMIS_Data!M20</f>
        <v>Verify</v>
      </c>
      <c r="L42" s="103" t="str">
        <f>PMIS_Data!N20</f>
        <v>Excluded / Firestop Only</v>
      </c>
      <c r="M42" s="106" t="str">
        <f>PMIS_Data!O20</f>
        <v>Verify Existing</v>
      </c>
      <c r="N42" s="106" t="str">
        <f>PMIS_Data!P20</f>
        <v>Verify Existing</v>
      </c>
      <c r="O42" s="106" t="str">
        <f>PMIS_Data!Q20</f>
        <v>Field verify Office 1B new TE location, existing Tel/Data Closet 8A, active services, TE01-1B-1 schedule, existing open TE cabinet, existing ground bar/patch panel/equipment box/indoor AC/backboard, 459 ft cable tray route, 10 Cat6A cross-connect cables, power/UPS/PDU source, and fiber Path A/B cutover.</v>
      </c>
      <c r="P42" s="107">
        <f>PMIS_Data!S20</f>
        <v>0</v>
      </c>
    </row>
    <row r="43" spans="1:16" ht="102" customHeight="1">
      <c r="A43" s="101" t="str">
        <f>PMIS_Data!A21</f>
        <v>21</v>
      </c>
      <c r="B43" s="102" t="str">
        <f>PMIS_Data!B21</f>
        <v>B21_Assessment</v>
      </c>
      <c r="C43" s="103" t="str">
        <f>PMIS_Data!C21</f>
        <v>Yellow</v>
      </c>
      <c r="D43" s="104">
        <f>PMIS_Data!E21</f>
        <v>0.5</v>
      </c>
      <c r="E43" s="103">
        <f>PMIS_Data!G21</f>
        <v>27</v>
      </c>
      <c r="F43" s="105">
        <f>PMIS_Data!H21</f>
        <v>0</v>
      </c>
      <c r="G43" s="103">
        <f>PMIS_Data!I21</f>
        <v>0</v>
      </c>
      <c r="H43" s="103">
        <f>PMIS_Data!J21</f>
        <v>0</v>
      </c>
      <c r="I43" s="103" t="str">
        <f>PMIS_Data!K21</f>
        <v>Verify</v>
      </c>
      <c r="J43" s="103" t="str">
        <f>PMIS_Data!L21</f>
        <v>Verify</v>
      </c>
      <c r="K43" s="103" t="str">
        <f>PMIS_Data!M21</f>
        <v>Verify</v>
      </c>
      <c r="L43" s="103" t="str">
        <f>PMIS_Data!N21</f>
        <v>Excluded / Firestop Only</v>
      </c>
      <c r="M43" s="106" t="str">
        <f>PMIS_Data!O21</f>
        <v>Verify Existing</v>
      </c>
      <c r="N43" s="106" t="str">
        <f>PMIS_Data!P21</f>
        <v>Verify Existing</v>
      </c>
      <c r="O43" s="106" t="str">
        <f>PMIS_Data!Q21</f>
        <v>Field verify new TE location at M&amp;O Foreman Office 100A, existing B21 B1.TR, existing B19 B05TR, B19-serving-B21 relationship, active services, TR01-104-1 / 100-A schedule, 659 ft cable tray route, 10 Cat6A cross-connect cables, UPS/PDU source, fiber paths A/B, and all firestopping/penetrations.</v>
      </c>
      <c r="P43" s="107">
        <f>PMIS_Data!S21</f>
        <v>0</v>
      </c>
    </row>
    <row r="44" spans="1:16" ht="68.25" customHeight="1">
      <c r="A44" s="101" t="str">
        <f>PMIS_Data!A22</f>
        <v>22</v>
      </c>
      <c r="B44" s="102" t="str">
        <f>PMIS_Data!B22</f>
        <v>B22_Assessment</v>
      </c>
      <c r="C44" s="103" t="str">
        <f>PMIS_Data!C22</f>
        <v>Yellow</v>
      </c>
      <c r="D44" s="104">
        <f>PMIS_Data!E22</f>
        <v>0.5</v>
      </c>
      <c r="E44" s="103">
        <f>PMIS_Data!G22</f>
        <v>26</v>
      </c>
      <c r="F44" s="105">
        <f>PMIS_Data!H22</f>
        <v>0</v>
      </c>
      <c r="G44" s="103">
        <f>PMIS_Data!I22</f>
        <v>0</v>
      </c>
      <c r="H44" s="103">
        <f>PMIS_Data!J22</f>
        <v>0</v>
      </c>
      <c r="I44" s="103" t="str">
        <f>PMIS_Data!K22</f>
        <v>Excluded / Verify Existing</v>
      </c>
      <c r="J44" s="103" t="str">
        <f>PMIS_Data!L22</f>
        <v>Verify</v>
      </c>
      <c r="K44" s="103" t="str">
        <f>PMIS_Data!M22</f>
        <v>Verify</v>
      </c>
      <c r="L44" s="103" t="str">
        <f>PMIS_Data!N22</f>
        <v>Excluded / Firestop Only</v>
      </c>
      <c r="M44" s="106" t="str">
        <f>PMIS_Data!O22</f>
        <v>Verify Existing</v>
      </c>
      <c r="N44" s="106" t="str">
        <f>PMIS_Data!P22</f>
        <v>Verify Existing</v>
      </c>
      <c r="O44" s="106" t="str">
        <f>PMIS_Data!Q22</f>
        <v>Field verify Break Room 102 new TE location, existing Room 103 wall/wall-mount TE, active services, TR01-102-1 schedule, 139 ft cable tray route, 10 Cat6A cross-connect cables, UPS/PDU source, fiber paths A/B, firestopping/sleeves, and existing B19 port relationship.</v>
      </c>
      <c r="P44" s="107">
        <f>PMIS_Data!S22</f>
        <v>0</v>
      </c>
    </row>
    <row r="45" spans="1:16" ht="79.5" customHeight="1">
      <c r="A45" s="101" t="str">
        <f>PMIS_Data!A23</f>
        <v>33</v>
      </c>
      <c r="B45" s="102" t="str">
        <f>PMIS_Data!B23</f>
        <v>B33_Assessment</v>
      </c>
      <c r="C45" s="103" t="str">
        <f>PMIS_Data!C23</f>
        <v>Yellow</v>
      </c>
      <c r="D45" s="104">
        <f>PMIS_Data!E23</f>
        <v>0.5</v>
      </c>
      <c r="E45" s="103">
        <f>PMIS_Data!G23</f>
        <v>26</v>
      </c>
      <c r="F45" s="105">
        <f>PMIS_Data!H23</f>
        <v>0</v>
      </c>
      <c r="G45" s="103">
        <f>PMIS_Data!I23</f>
        <v>0</v>
      </c>
      <c r="H45" s="103">
        <f>PMIS_Data!J23</f>
        <v>0</v>
      </c>
      <c r="I45" s="103" t="str">
        <f>PMIS_Data!K23</f>
        <v>Excluded / Verify Existing</v>
      </c>
      <c r="J45" s="103" t="str">
        <f>PMIS_Data!L23</f>
        <v>Verify</v>
      </c>
      <c r="K45" s="103" t="str">
        <f>PMIS_Data!M23</f>
        <v>Verify</v>
      </c>
      <c r="L45" s="103" t="str">
        <f>PMIS_Data!N23</f>
        <v>Excluded / Firestop Only</v>
      </c>
      <c r="M45" s="106" t="str">
        <f>PMIS_Data!O23</f>
        <v>Verify Existing</v>
      </c>
      <c r="N45" s="106" t="str">
        <f>PMIS_Data!P23</f>
        <v>Verify Existing</v>
      </c>
      <c r="O45" s="106" t="str">
        <f>PMIS_Data!Q23</f>
        <v>Field verify EEO Manager Office B23 new TE location, existing Tel Closet B17, active services, TE01-B23-1 schedule, 102 ft basement cable tray route, 10 Cat6A cross-connect cables, UPS/PDU source, fiber paths A/B, firestopping/sleeves, existing camera/security devices, and B17 legacy port/service relationships.</v>
      </c>
      <c r="P45" s="107">
        <f>PMIS_Data!S23</f>
        <v>0</v>
      </c>
    </row>
    <row r="46" spans="1:16" ht="102" customHeight="1">
      <c r="A46" s="101" t="str">
        <f>PMIS_Data!A24</f>
        <v>61</v>
      </c>
      <c r="B46" s="102" t="str">
        <f>PMIS_Data!B24</f>
        <v>B61_Assessment</v>
      </c>
      <c r="C46" s="103" t="str">
        <f>PMIS_Data!C24</f>
        <v>PILOT PHASE</v>
      </c>
      <c r="D46" s="104">
        <f>PMIS_Data!E24</f>
        <v>0.55000000000000004</v>
      </c>
      <c r="E46" s="103">
        <f>PMIS_Data!G24</f>
        <v>29</v>
      </c>
      <c r="F46" s="105">
        <f>PMIS_Data!H24</f>
        <v>0</v>
      </c>
      <c r="G46" s="103">
        <f>PMIS_Data!I24</f>
        <v>0</v>
      </c>
      <c r="H46" s="103">
        <f>PMIS_Data!J24</f>
        <v>0</v>
      </c>
      <c r="I46" s="103" t="str">
        <f>PMIS_Data!K24</f>
        <v>Not Started</v>
      </c>
      <c r="J46" s="103" t="str">
        <f>PMIS_Data!L24</f>
        <v>Not Started</v>
      </c>
      <c r="K46" s="103" t="str">
        <f>PMIS_Data!M24</f>
        <v>Not Started</v>
      </c>
      <c r="L46" s="103" t="str">
        <f>PMIS_Data!N24</f>
        <v>Not Started</v>
      </c>
      <c r="M46" s="106" t="str">
        <f>PMIS_Data!O24</f>
        <v>Not Started</v>
      </c>
      <c r="N46" s="106" t="str">
        <f>PMIS_Data!P24</f>
        <v>Not Started</v>
      </c>
      <c r="O46" s="106" t="str">
        <f>PMIS_Data!Q24</f>
        <v>Field verify B13H-A, 124, 226, and existing 137/137A; confirm active services, rack/equipment transfer, B61-TRB13A/B, B61-TR124A/B, B61-TR226A/B, B61-TR137AA/AB panel sources, IU/CU equipment, fire alarm/sprinkler impacts, FEC locations, PACS/CCTV scope, hazardous/abatement impacts, 1,966 ft cable tray routes, and cutover sequence.</v>
      </c>
      <c r="P46" s="107">
        <f>PMIS_Data!S24</f>
        <v>0</v>
      </c>
    </row>
    <row r="47" spans="1:16" ht="12.75" customHeight="1">
      <c r="A47" s="101" t="str">
        <f>PMIS_Data!A25</f>
        <v>62</v>
      </c>
      <c r="B47" s="102" t="str">
        <f>PMIS_Data!B25</f>
        <v>B62_TR_Assessment</v>
      </c>
      <c r="C47" s="103" t="str">
        <f>PMIS_Data!C25</f>
        <v>Yellow</v>
      </c>
      <c r="D47" s="104">
        <f>PMIS_Data!E25</f>
        <v>0.5</v>
      </c>
      <c r="E47" s="103">
        <f>PMIS_Data!G25</f>
        <v>23</v>
      </c>
      <c r="F47" s="105">
        <f>PMIS_Data!H25</f>
        <v>0</v>
      </c>
      <c r="G47" s="103">
        <f>PMIS_Data!I25</f>
        <v>0</v>
      </c>
      <c r="H47" s="103">
        <f>PMIS_Data!J25</f>
        <v>0</v>
      </c>
      <c r="I47" s="103" t="str">
        <f>PMIS_Data!K25</f>
        <v>Verify</v>
      </c>
      <c r="J47" s="103" t="str">
        <f>PMIS_Data!L25</f>
        <v>Verify</v>
      </c>
      <c r="K47" s="103" t="str">
        <f>PMIS_Data!M25</f>
        <v>Verify</v>
      </c>
      <c r="L47" s="103" t="str">
        <f>PMIS_Data!N25</f>
        <v>Verify</v>
      </c>
      <c r="M47" s="106" t="str">
        <f>PMIS_Data!O25</f>
        <v>Verify</v>
      </c>
      <c r="N47" s="106" t="str">
        <f>PMIS_Data!P25</f>
        <v>Verify</v>
      </c>
      <c r="O47" s="106" t="str">
        <f>PMIS_Data!Q25</f>
        <v>Verify cooling power path, firestopping, extinguisher location, and existing conditions</v>
      </c>
      <c r="P47" s="107">
        <f>PMIS_Data!S25</f>
        <v>0</v>
      </c>
    </row>
    <row r="48" spans="1:16" ht="12.75" customHeight="1">
      <c r="A48" s="101" t="str">
        <f>PMIS_Data!A26</f>
        <v>70</v>
      </c>
      <c r="B48" s="102" t="str">
        <f>PMIS_Data!B26</f>
        <v>B70_TR_Assessment</v>
      </c>
      <c r="C48" s="103" t="str">
        <f>PMIS_Data!C26</f>
        <v>Yellow</v>
      </c>
      <c r="D48" s="104">
        <f>PMIS_Data!E26</f>
        <v>0.5</v>
      </c>
      <c r="E48" s="103">
        <f>PMIS_Data!G26</f>
        <v>23</v>
      </c>
      <c r="F48" s="105">
        <f>PMIS_Data!H26</f>
        <v>0</v>
      </c>
      <c r="G48" s="103">
        <f>PMIS_Data!I26</f>
        <v>0</v>
      </c>
      <c r="H48" s="103">
        <f>PMIS_Data!J26</f>
        <v>0</v>
      </c>
      <c r="I48" s="103" t="str">
        <f>PMIS_Data!K26</f>
        <v>Verify</v>
      </c>
      <c r="J48" s="103" t="str">
        <f>PMIS_Data!L26</f>
        <v>Verify</v>
      </c>
      <c r="K48" s="103" t="str">
        <f>PMIS_Data!M26</f>
        <v>Verify</v>
      </c>
      <c r="L48" s="103" t="str">
        <f>PMIS_Data!N26</f>
        <v>Verify</v>
      </c>
      <c r="M48" s="106" t="str">
        <f>PMIS_Data!O26</f>
        <v>Verify</v>
      </c>
      <c r="N48" s="106" t="str">
        <f>PMIS_Data!P26</f>
        <v>Verify</v>
      </c>
      <c r="O48" s="106" t="str">
        <f>PMIS_Data!Q26</f>
        <v>Verify cooling power path, firestopping, extinguisher locations, and migration phasing</v>
      </c>
      <c r="P48" s="107">
        <f>PMIS_Data!S26</f>
        <v>0</v>
      </c>
    </row>
    <row r="49" spans="1:16" ht="90.75" customHeight="1">
      <c r="A49" s="101" t="str">
        <f>PMIS_Data!A27</f>
        <v>78</v>
      </c>
      <c r="B49" s="102" t="str">
        <f>PMIS_Data!B27</f>
        <v>B78_Assessment</v>
      </c>
      <c r="C49" s="103" t="str">
        <f>PMIS_Data!C27</f>
        <v>Yellow</v>
      </c>
      <c r="D49" s="104">
        <f>PMIS_Data!E27</f>
        <v>0.5</v>
      </c>
      <c r="E49" s="103">
        <f>PMIS_Data!G27</f>
        <v>32</v>
      </c>
      <c r="F49" s="105">
        <f>PMIS_Data!H27</f>
        <v>0</v>
      </c>
      <c r="G49" s="103">
        <f>PMIS_Data!I27</f>
        <v>0</v>
      </c>
      <c r="H49" s="103">
        <f>PMIS_Data!J27</f>
        <v>0</v>
      </c>
      <c r="I49" s="103" t="str">
        <f>PMIS_Data!K27</f>
        <v>Verify</v>
      </c>
      <c r="J49" s="103" t="str">
        <f>PMIS_Data!L27</f>
        <v>Verify</v>
      </c>
      <c r="K49" s="103" t="str">
        <f>PMIS_Data!M27</f>
        <v>Verify</v>
      </c>
      <c r="L49" s="103" t="str">
        <f>PMIS_Data!N27</f>
        <v>Verify</v>
      </c>
      <c r="M49" s="106" t="str">
        <f>PMIS_Data!O27</f>
        <v>Verify</v>
      </c>
      <c r="N49" s="106" t="str">
        <f>PMIS_Data!P27</f>
        <v>Verify</v>
      </c>
      <c r="O49" s="106" t="str">
        <f>PMIS_Data!Q27</f>
        <v>Field verify rooms B30, B35, 1232, 227A, 342, 401 and existing telecom rooms 15E, 1234, 353, 308A, 408A; confirm active equipment, rack transfers, HVAC units, panel sources, UPS/PDU power, FEC locations, FA/FP modifications, PACS/CCTV, hazardous material impacts, cable tray routes, firestopping, and cutover sequence.</v>
      </c>
      <c r="P49" s="107">
        <f>PMIS_Data!S27</f>
        <v>0</v>
      </c>
    </row>
    <row r="50" spans="1:16" ht="68.25" customHeight="1">
      <c r="A50" s="101" t="str">
        <f>PMIS_Data!A28</f>
        <v>80</v>
      </c>
      <c r="B50" s="102" t="str">
        <f>PMIS_Data!B28</f>
        <v>B80_Assessment</v>
      </c>
      <c r="C50" s="103" t="str">
        <f>PMIS_Data!C28</f>
        <v>Yellow</v>
      </c>
      <c r="D50" s="104">
        <f>PMIS_Data!E28</f>
        <v>0.5</v>
      </c>
      <c r="E50" s="103">
        <f>PMIS_Data!G28</f>
        <v>26</v>
      </c>
      <c r="F50" s="105">
        <f>PMIS_Data!H28</f>
        <v>0</v>
      </c>
      <c r="G50" s="103">
        <f>PMIS_Data!I28</f>
        <v>0</v>
      </c>
      <c r="H50" s="103">
        <f>PMIS_Data!J28</f>
        <v>0</v>
      </c>
      <c r="I50" s="103" t="str">
        <f>PMIS_Data!K28</f>
        <v>Verify</v>
      </c>
      <c r="J50" s="103" t="str">
        <f>PMIS_Data!L28</f>
        <v>Verify</v>
      </c>
      <c r="K50" s="103" t="str">
        <f>PMIS_Data!M28</f>
        <v>Verify</v>
      </c>
      <c r="L50" s="103" t="str">
        <f>PMIS_Data!N28</f>
        <v>Verify</v>
      </c>
      <c r="M50" s="106" t="str">
        <f>PMIS_Data!O28</f>
        <v>Verify</v>
      </c>
      <c r="N50" s="106" t="str">
        <f>PMIS_Data!P28</f>
        <v>Verify</v>
      </c>
      <c r="O50" s="106" t="str">
        <f>PMIS_Data!Q28</f>
        <v>Field verify Telecom Room 102 and existing 127A/126; confirm active services, existing rack/equipment transfer, B80-TR102A/B panel sources, IU-1-01/CU-1-01 cooling, fire alarm/sprinkler impacts, FEC location, PACS/CCTV scope, cable tray route, and telecom cutover sequence.</v>
      </c>
      <c r="P50" s="107">
        <f>PMIS_Data!S28</f>
        <v>0</v>
      </c>
    </row>
    <row r="51" spans="1:16" ht="102" customHeight="1">
      <c r="A51" s="101" t="str">
        <f>PMIS_Data!A29</f>
        <v>82</v>
      </c>
      <c r="B51" s="102" t="str">
        <f>PMIS_Data!B29</f>
        <v>B82_Assessment</v>
      </c>
      <c r="C51" s="103" t="str">
        <f>PMIS_Data!C29</f>
        <v>Yellow</v>
      </c>
      <c r="D51" s="104">
        <f>PMIS_Data!E29</f>
        <v>0.5</v>
      </c>
      <c r="E51" s="103">
        <f>PMIS_Data!G29</f>
        <v>26</v>
      </c>
      <c r="F51" s="105">
        <f>PMIS_Data!H29</f>
        <v>0</v>
      </c>
      <c r="G51" s="103">
        <f>PMIS_Data!I29</f>
        <v>0</v>
      </c>
      <c r="H51" s="103">
        <f>PMIS_Data!J29</f>
        <v>0</v>
      </c>
      <c r="I51" s="103" t="str">
        <f>PMIS_Data!K29</f>
        <v>Verify</v>
      </c>
      <c r="J51" s="103" t="str">
        <f>PMIS_Data!L29</f>
        <v>Verify</v>
      </c>
      <c r="K51" s="103" t="str">
        <f>PMIS_Data!M29</f>
        <v>Verify</v>
      </c>
      <c r="L51" s="103" t="str">
        <f>PMIS_Data!N29</f>
        <v>Excluded / Firestop Only</v>
      </c>
      <c r="M51" s="106" t="str">
        <f>PMIS_Data!O29</f>
        <v>Verify Existing</v>
      </c>
      <c r="N51" s="106" t="str">
        <f>PMIS_Data!P29</f>
        <v>Excluded / Verify Existing</v>
      </c>
      <c r="O51" s="106" t="str">
        <f>PMIS_Data!Q29</f>
        <v>Field verify Room 102 new TE location, existing B01-A, active services, TR01-102-01 schedule, 278 ft cable tray route, 10 Cat6A cable legend, UPS/PDU source, B82-MDP/B82-P-EMER connections, IU-1-01/CU-1-01 cooling, fiber paths A/B, firestopping/sleeves, existing cameras and TE cutover plan.</v>
      </c>
      <c r="P51" s="107">
        <f>PMIS_Data!S29</f>
        <v>0</v>
      </c>
    </row>
    <row r="52" spans="1:16" ht="79.5" customHeight="1">
      <c r="A52" s="101" t="str">
        <f>PMIS_Data!A30</f>
        <v>BCH</v>
      </c>
      <c r="B52" s="102" t="str">
        <f>PMIS_Data!B30</f>
        <v>BCH_Assessment</v>
      </c>
      <c r="C52" s="103" t="str">
        <f>PMIS_Data!C30</f>
        <v>Yellow</v>
      </c>
      <c r="D52" s="104">
        <f>PMIS_Data!E30</f>
        <v>0.5</v>
      </c>
      <c r="E52" s="103">
        <f>PMIS_Data!G30</f>
        <v>26</v>
      </c>
      <c r="F52" s="105">
        <f>PMIS_Data!H30</f>
        <v>0</v>
      </c>
      <c r="G52" s="103">
        <f>PMIS_Data!I30</f>
        <v>0</v>
      </c>
      <c r="H52" s="103">
        <f>PMIS_Data!J30</f>
        <v>0</v>
      </c>
      <c r="I52" s="103" t="str">
        <f>PMIS_Data!K30</f>
        <v>Verify</v>
      </c>
      <c r="J52" s="103" t="str">
        <f>PMIS_Data!L30</f>
        <v>Verify</v>
      </c>
      <c r="K52" s="103" t="str">
        <f>PMIS_Data!M30</f>
        <v>Verify</v>
      </c>
      <c r="L52" s="103" t="str">
        <f>PMIS_Data!N30</f>
        <v>Excluded / Firestop Only</v>
      </c>
      <c r="M52" s="106" t="str">
        <f>PMIS_Data!O30</f>
        <v>Verify Existing</v>
      </c>
      <c r="N52" s="106" t="str">
        <f>PMIS_Data!P30</f>
        <v>Verify Existing</v>
      </c>
      <c r="O52" s="106" t="str">
        <f>PMIS_Data!Q30</f>
        <v>Field verify Room 107, Room 00-107 rack/elevation reference, new TE/enclosure location, active services, cable tray route, power/UPS/PDU source, grounding/bonding, fiber Path A/B, 4-inch sleeve/firestop scope, camera/VMS scope, and confirm whether the BCH rack elevation is TE-only or new telecom room buildout.</v>
      </c>
      <c r="P52" s="107">
        <f>PMIS_Data!S30</f>
        <v>0</v>
      </c>
    </row>
    <row r="53" spans="1:16" ht="90.75" customHeight="1">
      <c r="A53" s="101" t="str">
        <f>PMIS_Data!A31</f>
        <v>MCR</v>
      </c>
      <c r="B53" s="102" t="str">
        <f>PMIS_Data!B31</f>
        <v>MCR_Assessment</v>
      </c>
      <c r="C53" s="103" t="str">
        <f>PMIS_Data!C31</f>
        <v>Yellow</v>
      </c>
      <c r="D53" s="104">
        <f>PMIS_Data!E31</f>
        <v>0.5</v>
      </c>
      <c r="E53" s="103">
        <f>PMIS_Data!G31</f>
        <v>31</v>
      </c>
      <c r="F53" s="105">
        <f>PMIS_Data!H31</f>
        <v>0</v>
      </c>
      <c r="G53" s="103">
        <f>PMIS_Data!I31</f>
        <v>0</v>
      </c>
      <c r="H53" s="103">
        <f>PMIS_Data!J31</f>
        <v>0</v>
      </c>
      <c r="I53" s="103" t="str">
        <f>PMIS_Data!K31</f>
        <v>Verify</v>
      </c>
      <c r="J53" s="103" t="str">
        <f>PMIS_Data!L31</f>
        <v>Verify</v>
      </c>
      <c r="K53" s="103" t="str">
        <f>PMIS_Data!M31</f>
        <v>Verify</v>
      </c>
      <c r="L53" s="103" t="str">
        <f>PMIS_Data!N31</f>
        <v>Verify</v>
      </c>
      <c r="M53" s="106" t="str">
        <f>PMIS_Data!O31</f>
        <v>Verify</v>
      </c>
      <c r="N53" s="106" t="str">
        <f>PMIS_Data!P31</f>
        <v>Verify</v>
      </c>
      <c r="O53" s="106" t="str">
        <f>PMIS_Data!Q31</f>
        <v>Field verify new MCR Room 107 / Room 031 naming, MDA-A/B and HDA-A/B rack rows, existing MCR/server equipment in 107/137, UPS-A/B, CRAC units, clean-agent/preaction/fire alarm systems, MCR panel/ATS/generator sources, camera/access control devices, fiber Path A/B, service provider entrance, cable tray/firestop scope, third-party inspections, and phased activation/cutover sequence.</v>
      </c>
      <c r="P53" s="107">
        <f>PMIS_Data!S31</f>
        <v>0</v>
      </c>
    </row>
    <row r="54" spans="1:16" ht="102" customHeight="1">
      <c r="A54" s="101" t="str">
        <f>PMIS_Data!A32</f>
        <v>SITE</v>
      </c>
      <c r="B54" s="102" t="str">
        <f>PMIS_Data!B32</f>
        <v>SITE_Assesment</v>
      </c>
      <c r="C54" s="103" t="str">
        <f>PMIS_Data!C32</f>
        <v>Yellow</v>
      </c>
      <c r="D54" s="104">
        <f>PMIS_Data!E32</f>
        <v>0.5</v>
      </c>
      <c r="E54" s="103">
        <f>PMIS_Data!G32</f>
        <v>32</v>
      </c>
      <c r="F54" s="105">
        <f>PMIS_Data!H32</f>
        <v>0</v>
      </c>
      <c r="G54" s="103">
        <f>PMIS_Data!I32</f>
        <v>0</v>
      </c>
      <c r="H54" s="103">
        <f>PMIS_Data!J32</f>
        <v>0</v>
      </c>
      <c r="I54" s="103" t="str">
        <f>PMIS_Data!K32</f>
        <v>N/A</v>
      </c>
      <c r="J54" s="103" t="str">
        <f>PMIS_Data!L32</f>
        <v>Verify</v>
      </c>
      <c r="K54" s="103" t="str">
        <f>PMIS_Data!M32</f>
        <v>Verify</v>
      </c>
      <c r="L54" s="103" t="str">
        <f>PMIS_Data!N32</f>
        <v>N/A / Maintain Access</v>
      </c>
      <c r="M54" s="106" t="str">
        <f>PMIS_Data!O32</f>
        <v>N/A</v>
      </c>
      <c r="N54" s="106" t="str">
        <f>PMIS_Data!P32</f>
        <v>Verify Site Access</v>
      </c>
      <c r="O54" s="106" t="str">
        <f>PMIS_Data!Q32</f>
        <v>Field verify all THH/manhole locations, utility depths, trench routes, concrete ductbank sizes, Path A/B conduit counts, building tie-in points, site electrical conflicts, MCR/provider entrance points, restoration limits, traffic/pedestrian controls, inspection hold points, and fiber testing/acceptance sequence.</v>
      </c>
      <c r="P54" s="107">
        <f>PMIS_Data!S32</f>
        <v>0</v>
      </c>
    </row>
    <row r="55" spans="1:16" ht="27" hidden="1" customHeight="1">
      <c r="A55" s="842" t="s">
        <v>569</v>
      </c>
      <c r="B55" s="839"/>
      <c r="C55" s="839"/>
      <c r="D55" s="108"/>
      <c r="E55" s="100"/>
      <c r="F55" s="100"/>
      <c r="G55" s="100"/>
      <c r="H55" s="100"/>
      <c r="I55" s="100"/>
      <c r="J55" s="100" t="s">
        <v>570</v>
      </c>
      <c r="K55" s="100"/>
      <c r="L55" s="100"/>
      <c r="M55" s="52"/>
      <c r="N55" s="52"/>
      <c r="O55" s="52"/>
      <c r="P55" s="52"/>
    </row>
    <row r="56" spans="1:16" ht="13.5" hidden="1" customHeight="1">
      <c r="A56" s="102" t="s">
        <v>142</v>
      </c>
      <c r="B56" s="102" t="s">
        <v>213</v>
      </c>
      <c r="C56" s="102" t="s">
        <v>275</v>
      </c>
      <c r="D56" s="102" t="s">
        <v>215</v>
      </c>
      <c r="E56" s="102" t="s">
        <v>571</v>
      </c>
      <c r="F56" s="102" t="s">
        <v>572</v>
      </c>
      <c r="G56" s="102" t="s">
        <v>216</v>
      </c>
      <c r="H56" s="102" t="s">
        <v>573</v>
      </c>
      <c r="I56" s="13"/>
      <c r="J56" s="102" t="s">
        <v>142</v>
      </c>
      <c r="K56" s="102" t="s">
        <v>221</v>
      </c>
      <c r="L56" s="102" t="s">
        <v>265</v>
      </c>
      <c r="M56" s="107" t="s">
        <v>77</v>
      </c>
      <c r="N56" s="107" t="s">
        <v>215</v>
      </c>
      <c r="O56" s="107" t="s">
        <v>222</v>
      </c>
      <c r="P56" s="107" t="s">
        <v>11</v>
      </c>
    </row>
    <row r="57" spans="1:16" ht="45" hidden="1" customHeight="1">
      <c r="A57" s="102" t="s">
        <v>70</v>
      </c>
      <c r="B57" s="102" t="s">
        <v>574</v>
      </c>
      <c r="C57" s="102" t="s">
        <v>575</v>
      </c>
      <c r="D57" s="102" t="s">
        <v>492</v>
      </c>
      <c r="E57" s="102" t="s">
        <v>391</v>
      </c>
      <c r="F57" s="102">
        <v>9</v>
      </c>
      <c r="G57" s="102" t="s">
        <v>576</v>
      </c>
      <c r="H57" s="102" t="s">
        <v>577</v>
      </c>
      <c r="I57" s="13"/>
      <c r="J57" s="102" t="s">
        <v>143</v>
      </c>
      <c r="K57" s="102" t="s">
        <v>578</v>
      </c>
      <c r="L57" s="102" t="s">
        <v>579</v>
      </c>
      <c r="M57" s="107" t="s">
        <v>235</v>
      </c>
      <c r="N57" s="107" t="s">
        <v>580</v>
      </c>
      <c r="O57" s="107" t="s">
        <v>581</v>
      </c>
      <c r="P57" s="107"/>
    </row>
    <row r="58" spans="1:16" ht="33.75" hidden="1" customHeight="1">
      <c r="A58" s="102" t="e">
        <f>PMIS_Data!#REF!</f>
        <v>#REF!</v>
      </c>
      <c r="B58" s="102" t="s">
        <v>582</v>
      </c>
      <c r="C58" s="102" t="s">
        <v>583</v>
      </c>
      <c r="D58" s="102" t="s">
        <v>492</v>
      </c>
      <c r="E58" s="102" t="s">
        <v>488</v>
      </c>
      <c r="F58" s="102">
        <v>8</v>
      </c>
      <c r="G58" s="102" t="s">
        <v>584</v>
      </c>
      <c r="H58" s="102" t="s">
        <v>585</v>
      </c>
      <c r="I58" s="13"/>
      <c r="J58" s="102" t="s">
        <v>143</v>
      </c>
      <c r="K58" s="102" t="s">
        <v>586</v>
      </c>
      <c r="L58" s="102" t="s">
        <v>587</v>
      </c>
      <c r="M58" s="107" t="s">
        <v>235</v>
      </c>
      <c r="N58" s="107" t="s">
        <v>588</v>
      </c>
      <c r="O58" s="107" t="s">
        <v>589</v>
      </c>
      <c r="P58" s="107"/>
    </row>
    <row r="59" spans="1:16" ht="33.75" hidden="1" customHeight="1">
      <c r="A59" s="102" t="s">
        <v>143</v>
      </c>
      <c r="B59" s="102" t="s">
        <v>590</v>
      </c>
      <c r="C59" s="102" t="s">
        <v>591</v>
      </c>
      <c r="D59" s="102" t="s">
        <v>492</v>
      </c>
      <c r="E59" s="102" t="s">
        <v>488</v>
      </c>
      <c r="F59" s="102">
        <v>8</v>
      </c>
      <c r="G59" s="102" t="s">
        <v>592</v>
      </c>
      <c r="H59" s="102" t="s">
        <v>593</v>
      </c>
      <c r="I59" s="13"/>
      <c r="J59" s="102" t="s">
        <v>143</v>
      </c>
      <c r="K59" s="102" t="s">
        <v>594</v>
      </c>
      <c r="L59" s="102" t="s">
        <v>595</v>
      </c>
      <c r="M59" s="107" t="s">
        <v>235</v>
      </c>
      <c r="N59" s="107" t="s">
        <v>596</v>
      </c>
      <c r="O59" s="107" t="s">
        <v>597</v>
      </c>
      <c r="P59" s="107"/>
    </row>
    <row r="60" spans="1:16" ht="45" hidden="1" customHeight="1">
      <c r="A60" s="102" t="s">
        <v>143</v>
      </c>
      <c r="B60" s="102" t="s">
        <v>598</v>
      </c>
      <c r="C60" s="102" t="s">
        <v>575</v>
      </c>
      <c r="D60" s="102" t="s">
        <v>492</v>
      </c>
      <c r="E60" s="102" t="s">
        <v>488</v>
      </c>
      <c r="F60" s="102">
        <v>8</v>
      </c>
      <c r="G60" s="102" t="s">
        <v>584</v>
      </c>
      <c r="H60" s="102" t="s">
        <v>599</v>
      </c>
      <c r="I60" s="13"/>
      <c r="J60" s="102" t="s">
        <v>143</v>
      </c>
      <c r="K60" s="102" t="s">
        <v>600</v>
      </c>
      <c r="L60" s="102" t="s">
        <v>601</v>
      </c>
      <c r="M60" s="107" t="s">
        <v>235</v>
      </c>
      <c r="N60" s="107" t="s">
        <v>602</v>
      </c>
      <c r="O60" s="107" t="s">
        <v>603</v>
      </c>
      <c r="P60" s="107"/>
    </row>
    <row r="61" spans="1:16" ht="33.75" hidden="1" customHeight="1">
      <c r="A61" s="102" t="s">
        <v>604</v>
      </c>
      <c r="B61" s="102" t="s">
        <v>605</v>
      </c>
      <c r="C61" s="102" t="s">
        <v>606</v>
      </c>
      <c r="D61" s="102" t="s">
        <v>492</v>
      </c>
      <c r="E61" s="102" t="s">
        <v>488</v>
      </c>
      <c r="F61" s="102">
        <v>8</v>
      </c>
      <c r="G61" s="102" t="s">
        <v>584</v>
      </c>
      <c r="H61" s="102" t="s">
        <v>607</v>
      </c>
      <c r="I61" s="13"/>
      <c r="J61" s="102" t="s">
        <v>143</v>
      </c>
      <c r="K61" s="102" t="s">
        <v>608</v>
      </c>
      <c r="L61" s="102" t="s">
        <v>609</v>
      </c>
      <c r="M61" s="107" t="s">
        <v>235</v>
      </c>
      <c r="N61" s="107" t="s">
        <v>610</v>
      </c>
      <c r="O61" s="107" t="s">
        <v>611</v>
      </c>
      <c r="P61" s="107"/>
    </row>
    <row r="62" spans="1:16" ht="33.75" hidden="1" customHeight="1">
      <c r="A62" s="102" t="s">
        <v>604</v>
      </c>
      <c r="B62" s="102" t="s">
        <v>612</v>
      </c>
      <c r="C62" s="102" t="s">
        <v>613</v>
      </c>
      <c r="D62" s="102" t="s">
        <v>492</v>
      </c>
      <c r="E62" s="102" t="s">
        <v>488</v>
      </c>
      <c r="F62" s="102">
        <v>8</v>
      </c>
      <c r="G62" s="102" t="s">
        <v>592</v>
      </c>
      <c r="H62" s="102" t="s">
        <v>614</v>
      </c>
      <c r="I62" s="13"/>
      <c r="J62" s="102" t="s">
        <v>143</v>
      </c>
      <c r="K62" s="102" t="s">
        <v>615</v>
      </c>
      <c r="L62" s="102" t="s">
        <v>616</v>
      </c>
      <c r="M62" s="107" t="s">
        <v>235</v>
      </c>
      <c r="N62" s="107" t="s">
        <v>617</v>
      </c>
      <c r="O62" s="107" t="s">
        <v>618</v>
      </c>
      <c r="P62" s="107"/>
    </row>
    <row r="63" spans="1:16" ht="45" hidden="1" customHeight="1">
      <c r="A63" s="102" t="s">
        <v>604</v>
      </c>
      <c r="B63" s="102" t="s">
        <v>619</v>
      </c>
      <c r="C63" s="102" t="s">
        <v>575</v>
      </c>
      <c r="D63" s="102" t="s">
        <v>492</v>
      </c>
      <c r="E63" s="102" t="s">
        <v>488</v>
      </c>
      <c r="F63" s="102">
        <v>8</v>
      </c>
      <c r="G63" s="102" t="s">
        <v>584</v>
      </c>
      <c r="H63" s="102" t="s">
        <v>620</v>
      </c>
      <c r="I63" s="13"/>
      <c r="J63" s="102" t="s">
        <v>143</v>
      </c>
      <c r="K63" s="102" t="s">
        <v>621</v>
      </c>
      <c r="L63" s="102" t="s">
        <v>622</v>
      </c>
      <c r="M63" s="107" t="s">
        <v>235</v>
      </c>
      <c r="N63" s="107" t="s">
        <v>623</v>
      </c>
      <c r="O63" s="107" t="s">
        <v>624</v>
      </c>
      <c r="P63" s="107"/>
    </row>
    <row r="64" spans="1:16" ht="33.75" hidden="1" customHeight="1">
      <c r="A64" s="107" t="s">
        <v>625</v>
      </c>
      <c r="B64" s="107" t="s">
        <v>626</v>
      </c>
      <c r="C64" s="107" t="s">
        <v>627</v>
      </c>
      <c r="D64" s="107" t="s">
        <v>492</v>
      </c>
      <c r="E64" s="107" t="s">
        <v>488</v>
      </c>
      <c r="F64" s="107">
        <v>8</v>
      </c>
      <c r="G64" s="107" t="s">
        <v>584</v>
      </c>
      <c r="H64" s="107" t="s">
        <v>628</v>
      </c>
      <c r="J64" s="107" t="s">
        <v>143</v>
      </c>
      <c r="K64" s="107" t="s">
        <v>629</v>
      </c>
      <c r="L64" s="107" t="s">
        <v>630</v>
      </c>
      <c r="M64" s="107" t="s">
        <v>235</v>
      </c>
      <c r="N64" s="107" t="s">
        <v>631</v>
      </c>
      <c r="O64" s="107" t="s">
        <v>632</v>
      </c>
      <c r="P64" s="107"/>
    </row>
    <row r="65" spans="1:16" ht="33.75" hidden="1" customHeight="1">
      <c r="A65" s="107" t="s">
        <v>625</v>
      </c>
      <c r="B65" s="107" t="s">
        <v>633</v>
      </c>
      <c r="C65" s="107" t="s">
        <v>634</v>
      </c>
      <c r="D65" s="107" t="s">
        <v>492</v>
      </c>
      <c r="E65" s="107" t="s">
        <v>488</v>
      </c>
      <c r="F65" s="107">
        <v>8</v>
      </c>
      <c r="G65" s="107" t="s">
        <v>592</v>
      </c>
      <c r="H65" s="107" t="s">
        <v>614</v>
      </c>
      <c r="J65" s="107" t="s">
        <v>604</v>
      </c>
      <c r="K65" s="107" t="s">
        <v>635</v>
      </c>
      <c r="L65" s="107" t="s">
        <v>579</v>
      </c>
      <c r="M65" s="107" t="s">
        <v>235</v>
      </c>
      <c r="N65" s="107" t="s">
        <v>580</v>
      </c>
      <c r="O65" s="107" t="s">
        <v>636</v>
      </c>
      <c r="P65" s="107"/>
    </row>
    <row r="66" spans="1:16" ht="45" hidden="1" customHeight="1">
      <c r="A66" s="107" t="s">
        <v>625</v>
      </c>
      <c r="B66" s="107" t="s">
        <v>637</v>
      </c>
      <c r="C66" s="107" t="s">
        <v>575</v>
      </c>
      <c r="D66" s="107" t="s">
        <v>492</v>
      </c>
      <c r="E66" s="107" t="s">
        <v>488</v>
      </c>
      <c r="F66" s="107">
        <v>8</v>
      </c>
      <c r="G66" s="107" t="s">
        <v>584</v>
      </c>
      <c r="H66" s="107" t="s">
        <v>638</v>
      </c>
      <c r="J66" s="107" t="s">
        <v>604</v>
      </c>
      <c r="K66" s="107" t="s">
        <v>639</v>
      </c>
      <c r="L66" s="107" t="s">
        <v>587</v>
      </c>
      <c r="M66" s="107" t="s">
        <v>235</v>
      </c>
      <c r="N66" s="107" t="s">
        <v>588</v>
      </c>
      <c r="O66" s="107" t="s">
        <v>640</v>
      </c>
      <c r="P66" s="107"/>
    </row>
    <row r="67" spans="1:16" ht="33.75" hidden="1" customHeight="1">
      <c r="A67" s="107" t="s">
        <v>641</v>
      </c>
      <c r="B67" s="107" t="s">
        <v>642</v>
      </c>
      <c r="C67" s="107" t="s">
        <v>575</v>
      </c>
      <c r="D67" s="107" t="s">
        <v>492</v>
      </c>
      <c r="E67" s="107" t="s">
        <v>488</v>
      </c>
      <c r="F67" s="107">
        <v>8</v>
      </c>
      <c r="G67" s="107" t="s">
        <v>643</v>
      </c>
      <c r="H67" s="107" t="s">
        <v>644</v>
      </c>
      <c r="J67" s="107" t="s">
        <v>604</v>
      </c>
      <c r="K67" s="107" t="s">
        <v>645</v>
      </c>
      <c r="L67" s="107" t="s">
        <v>595</v>
      </c>
      <c r="M67" s="107" t="s">
        <v>235</v>
      </c>
      <c r="N67" s="107" t="s">
        <v>596</v>
      </c>
      <c r="O67" s="107" t="s">
        <v>646</v>
      </c>
      <c r="P67" s="107"/>
    </row>
    <row r="68" spans="1:16" ht="33.75" hidden="1" customHeight="1">
      <c r="A68" s="102" t="s">
        <v>641</v>
      </c>
      <c r="B68" s="102" t="s">
        <v>647</v>
      </c>
      <c r="C68" s="102" t="s">
        <v>575</v>
      </c>
      <c r="D68" s="109" t="s">
        <v>492</v>
      </c>
      <c r="E68" s="109" t="s">
        <v>488</v>
      </c>
      <c r="F68" s="109">
        <v>8</v>
      </c>
      <c r="G68" s="102" t="s">
        <v>648</v>
      </c>
      <c r="H68" s="102" t="s">
        <v>649</v>
      </c>
      <c r="I68" s="13"/>
      <c r="J68" s="102" t="s">
        <v>604</v>
      </c>
      <c r="K68" s="107" t="s">
        <v>650</v>
      </c>
      <c r="L68" s="107" t="s">
        <v>601</v>
      </c>
      <c r="M68" s="107" t="s">
        <v>235</v>
      </c>
      <c r="N68" s="107" t="s">
        <v>602</v>
      </c>
      <c r="O68" s="107" t="s">
        <v>651</v>
      </c>
      <c r="P68" s="107"/>
    </row>
    <row r="69" spans="1:16" ht="15" customHeight="1">
      <c r="A69" s="841" t="s">
        <v>652</v>
      </c>
      <c r="B69" s="839"/>
      <c r="C69" s="839"/>
      <c r="D69" s="839"/>
      <c r="E69" s="100"/>
      <c r="F69" s="100"/>
      <c r="G69" s="100"/>
      <c r="H69" s="100"/>
      <c r="I69" s="100"/>
      <c r="J69" s="100"/>
      <c r="K69" s="100"/>
      <c r="L69" s="100"/>
      <c r="M69" s="52"/>
      <c r="N69" s="52"/>
      <c r="O69" s="52"/>
      <c r="P69" s="52"/>
    </row>
    <row r="70" spans="1:16" s="111" customFormat="1" ht="48" customHeight="1">
      <c r="A70" s="110" t="s">
        <v>364</v>
      </c>
      <c r="B70" s="110" t="s">
        <v>653</v>
      </c>
      <c r="C70" s="110" t="s">
        <v>654</v>
      </c>
      <c r="D70" s="110" t="s">
        <v>655</v>
      </c>
      <c r="E70" s="110" t="s">
        <v>654</v>
      </c>
      <c r="F70" s="110" t="s">
        <v>656</v>
      </c>
      <c r="G70" s="110"/>
      <c r="H70" s="110"/>
      <c r="I70" s="110" t="s">
        <v>368</v>
      </c>
      <c r="J70" s="110" t="s">
        <v>657</v>
      </c>
      <c r="K70" s="110" t="s">
        <v>654</v>
      </c>
      <c r="L70" s="110" t="s">
        <v>658</v>
      </c>
      <c r="M70" s="110" t="s">
        <v>654</v>
      </c>
      <c r="N70" s="110" t="s">
        <v>659</v>
      </c>
      <c r="O70" s="110"/>
      <c r="P70" s="110"/>
    </row>
    <row r="71" spans="1:16" s="111" customFormat="1" ht="81.75" customHeight="1">
      <c r="A71" s="110" t="s">
        <v>660</v>
      </c>
      <c r="B71" s="110" t="s">
        <v>661</v>
      </c>
      <c r="C71" s="110"/>
      <c r="D71" s="110"/>
      <c r="E71" s="110"/>
      <c r="F71" s="110"/>
      <c r="G71" s="836"/>
      <c r="H71" s="837"/>
      <c r="I71" s="110" t="s">
        <v>662</v>
      </c>
      <c r="J71" s="110" t="s">
        <v>663</v>
      </c>
      <c r="K71" s="110"/>
      <c r="L71" s="110"/>
      <c r="M71" s="110"/>
      <c r="N71" s="110"/>
      <c r="O71" s="110"/>
      <c r="P71" s="110"/>
    </row>
    <row r="72" spans="1:16" s="111" customFormat="1" ht="48" customHeight="1">
      <c r="A72" s="112" t="s">
        <v>664</v>
      </c>
      <c r="B72" s="112" t="s">
        <v>54</v>
      </c>
      <c r="C72" s="112"/>
      <c r="D72" s="112" t="s">
        <v>150</v>
      </c>
      <c r="E72" s="112" t="s">
        <v>665</v>
      </c>
      <c r="F72" s="112"/>
      <c r="G72" s="112"/>
      <c r="H72" s="112"/>
      <c r="I72" s="112" t="s">
        <v>666</v>
      </c>
      <c r="J72" s="112" t="s">
        <v>667</v>
      </c>
      <c r="K72" s="112"/>
      <c r="L72" s="112"/>
      <c r="M72" s="112"/>
      <c r="N72" s="112"/>
      <c r="O72" s="112"/>
      <c r="P72" s="112"/>
    </row>
    <row r="73" spans="1:16" s="111" customFormat="1" ht="96" customHeight="1">
      <c r="A73" s="110" t="s">
        <v>668</v>
      </c>
      <c r="B73" s="836" t="s">
        <v>669</v>
      </c>
      <c r="C73" s="837"/>
      <c r="D73" s="110"/>
      <c r="E73" s="110"/>
      <c r="F73" s="110"/>
      <c r="G73" s="110"/>
      <c r="H73" s="110"/>
      <c r="I73" s="110" t="s">
        <v>670</v>
      </c>
      <c r="J73" s="110" t="s">
        <v>671</v>
      </c>
      <c r="K73" s="110"/>
      <c r="L73" s="110"/>
      <c r="M73" s="110"/>
      <c r="N73" s="110"/>
      <c r="O73" s="110"/>
      <c r="P73" s="110"/>
    </row>
    <row r="74" spans="1:16" s="111" customFormat="1" ht="66.75" customHeight="1">
      <c r="A74" s="110" t="s">
        <v>672</v>
      </c>
      <c r="B74" s="836" t="s">
        <v>673</v>
      </c>
      <c r="C74" s="837"/>
      <c r="D74" s="110"/>
      <c r="E74" s="110"/>
      <c r="F74" s="110"/>
      <c r="G74" s="110"/>
      <c r="H74" s="110"/>
      <c r="I74" s="110" t="s">
        <v>674</v>
      </c>
      <c r="J74" s="113">
        <v>46199.653660312499</v>
      </c>
      <c r="K74" s="110"/>
      <c r="L74" s="110"/>
      <c r="M74" s="110"/>
      <c r="N74" s="110"/>
      <c r="O74" s="110"/>
      <c r="P74" s="110"/>
    </row>
    <row r="75" spans="1:16" ht="16.5" customHeight="1">
      <c r="A75" s="13"/>
      <c r="B75" s="13"/>
      <c r="C75" s="13"/>
      <c r="D75" s="13"/>
      <c r="E75" s="13"/>
      <c r="F75" s="13"/>
      <c r="G75" s="13"/>
      <c r="H75" s="13"/>
      <c r="I75" s="13"/>
      <c r="J75" s="13"/>
      <c r="K75" s="13"/>
      <c r="L75" s="13"/>
    </row>
    <row r="76" spans="1:16" ht="24.75" customHeight="1">
      <c r="A76" s="13"/>
      <c r="B76" s="13"/>
      <c r="C76" s="13"/>
      <c r="D76" s="13"/>
      <c r="E76" s="13"/>
      <c r="F76" s="13"/>
      <c r="G76" s="13"/>
      <c r="H76" s="13"/>
      <c r="I76" s="13"/>
      <c r="J76" s="13"/>
      <c r="K76" s="13"/>
      <c r="L76" s="13"/>
    </row>
    <row r="77" spans="1:16" ht="16.5" customHeight="1">
      <c r="A77" s="13"/>
      <c r="B77" s="13"/>
      <c r="C77" s="13"/>
      <c r="D77" s="13"/>
      <c r="E77" s="13"/>
      <c r="F77" s="13"/>
      <c r="G77" s="13"/>
      <c r="H77" s="13"/>
      <c r="I77" s="13"/>
      <c r="J77" s="13"/>
      <c r="K77" s="13"/>
      <c r="L77" s="13"/>
    </row>
  </sheetData>
  <mergeCells count="30">
    <mergeCell ref="M7:N7"/>
    <mergeCell ref="A1:P1"/>
    <mergeCell ref="E8:F9"/>
    <mergeCell ref="G8:H9"/>
    <mergeCell ref="A6:C6"/>
    <mergeCell ref="A2:P2"/>
    <mergeCell ref="O7:P7"/>
    <mergeCell ref="H4:I4"/>
    <mergeCell ref="I8:J9"/>
    <mergeCell ref="A8:B9"/>
    <mergeCell ref="K8:L9"/>
    <mergeCell ref="M8:N9"/>
    <mergeCell ref="C8:D9"/>
    <mergeCell ref="O8:P9"/>
    <mergeCell ref="A7:B7"/>
    <mergeCell ref="G7:H7"/>
    <mergeCell ref="I7:J7"/>
    <mergeCell ref="B74:C74"/>
    <mergeCell ref="B16:G16"/>
    <mergeCell ref="K7:L7"/>
    <mergeCell ref="C7:D7"/>
    <mergeCell ref="E7:F7"/>
    <mergeCell ref="A22:L22"/>
    <mergeCell ref="B73:C73"/>
    <mergeCell ref="G71:H71"/>
    <mergeCell ref="A69:D69"/>
    <mergeCell ref="A23:D23"/>
    <mergeCell ref="I12:K12"/>
    <mergeCell ref="A55:C55"/>
    <mergeCell ref="A12:C12"/>
  </mergeCells>
  <conditionalFormatting sqref="D25:D54">
    <cfRule type="colorScale" priority="16">
      <colorScale>
        <cfvo type="min"/>
        <cfvo type="percentile" val="50"/>
        <cfvo type="max"/>
        <color rgb="FFF4CCCC"/>
        <color rgb="FFFFF2CC"/>
        <color rgb="FFD9EAD3"/>
      </colorScale>
    </cfRule>
  </conditionalFormatting>
  <conditionalFormatting sqref="F73:F77">
    <cfRule type="expression" dxfId="1516" priority="6">
      <formula>F73="Open"</formula>
    </cfRule>
    <cfRule type="expression" dxfId="1515" priority="7">
      <formula>F73="Pending"</formula>
    </cfRule>
    <cfRule type="expression" dxfId="1514" priority="8">
      <formula>F73="In Progress"</formula>
    </cfRule>
    <cfRule type="expression" dxfId="1513" priority="9">
      <formula>F73="Closed"</formula>
    </cfRule>
  </conditionalFormatting>
  <conditionalFormatting sqref="F25:H54">
    <cfRule type="dataBar" priority="17">
      <dataBar>
        <cfvo type="min"/>
        <cfvo type="max"/>
        <color rgb="FFF4B183"/>
      </dataBar>
    </cfRule>
    <cfRule type="dataBar" priority="18">
      <dataBar>
        <cfvo type="min"/>
        <cfvo type="max"/>
        <color rgb="FFF4B183"/>
      </dataBar>
    </cfRule>
    <cfRule type="dataBar" priority="19">
      <dataBar>
        <cfvo type="min"/>
        <cfvo type="max"/>
        <color rgb="FFF4B183"/>
      </dataBar>
    </cfRule>
    <cfRule type="dataBar" priority="20">
      <dataBar>
        <cfvo type="min"/>
        <cfvo type="max"/>
        <color rgb="FFF4B183"/>
      </dataBar>
    </cfRule>
  </conditionalFormatting>
  <conditionalFormatting sqref="I68">
    <cfRule type="expression" dxfId="1512" priority="2">
      <formula>I68="Open"</formula>
    </cfRule>
    <cfRule type="expression" dxfId="1511" priority="3">
      <formula>I68="Pending"</formula>
    </cfRule>
    <cfRule type="expression" dxfId="1510" priority="4">
      <formula>I68="In Progress"</formula>
    </cfRule>
    <cfRule type="expression" dxfId="1509" priority="5">
      <formula>I68="Closed"</formula>
    </cfRule>
  </conditionalFormatting>
  <conditionalFormatting sqref="I8:J9">
    <cfRule type="cellIs" dxfId="1508" priority="15" operator="greaterThan">
      <formula>0</formula>
    </cfRule>
  </conditionalFormatting>
  <conditionalFormatting sqref="I25:N54">
    <cfRule type="expression" dxfId="1507" priority="21">
      <formula>ISNUMBER(SEARCH("Verify",I25))</formula>
    </cfRule>
  </conditionalFormatting>
  <conditionalFormatting sqref="J73:J77">
    <cfRule type="expression" dxfId="1506" priority="10">
      <formula>J73="Open"</formula>
    </cfRule>
    <cfRule type="expression" dxfId="1505" priority="11">
      <formula>J73="Pending"</formula>
    </cfRule>
    <cfRule type="expression" dxfId="1504" priority="12">
      <formula>J73="In Progress"</formula>
    </cfRule>
    <cfRule type="expression" dxfId="1503" priority="13">
      <formula>J73="Closed"</formula>
    </cfRule>
  </conditionalFormatting>
  <conditionalFormatting sqref="K8:L9">
    <cfRule type="cellIs" dxfId="1502" priority="14" operator="greaterThan">
      <formula>0</formula>
    </cfRule>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0AA82-A5A2-4B9C-B432-EC3CC352B594}">
  <dimension ref="A1:C6"/>
  <sheetViews>
    <sheetView workbookViewId="0">
      <selection sqref="A1:C8"/>
    </sheetView>
  </sheetViews>
  <sheetFormatPr defaultColWidth="8.6640625" defaultRowHeight="15.75" customHeight="1"/>
  <cols>
    <col min="1" max="3" width="18" style="8" customWidth="1"/>
    <col min="4" max="5" width="8.6640625" style="8" customWidth="1"/>
    <col min="6" max="16384" width="8.6640625" style="8"/>
  </cols>
  <sheetData>
    <row r="1" spans="1:3" ht="15.75" customHeight="1">
      <c r="A1" s="52" t="s">
        <v>77</v>
      </c>
      <c r="B1" s="52" t="s">
        <v>675</v>
      </c>
      <c r="C1" s="52" t="s">
        <v>676</v>
      </c>
    </row>
    <row r="2" spans="1:3" ht="15.75" customHeight="1">
      <c r="A2" s="8" t="s">
        <v>484</v>
      </c>
      <c r="B2" s="8" t="s">
        <v>498</v>
      </c>
      <c r="C2" s="8" t="s">
        <v>235</v>
      </c>
    </row>
    <row r="3" spans="1:3" ht="15.75" customHeight="1">
      <c r="A3" s="8" t="s">
        <v>677</v>
      </c>
      <c r="B3" s="8" t="s">
        <v>488</v>
      </c>
      <c r="C3" s="8" t="s">
        <v>230</v>
      </c>
    </row>
    <row r="4" spans="1:3" ht="15.75" customHeight="1">
      <c r="A4" s="8" t="s">
        <v>546</v>
      </c>
      <c r="B4" s="8" t="s">
        <v>391</v>
      </c>
      <c r="C4" s="8" t="s">
        <v>678</v>
      </c>
    </row>
    <row r="5" spans="1:3" ht="15.75" customHeight="1">
      <c r="A5" s="8" t="s">
        <v>547</v>
      </c>
      <c r="B5" s="8" t="s">
        <v>492</v>
      </c>
      <c r="C5" s="8" t="s">
        <v>502</v>
      </c>
    </row>
    <row r="6" spans="1:3" ht="15.75" customHeight="1">
      <c r="A6" s="8" t="s">
        <v>679</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F446A-D05D-4C99-9E78-C9394C3942A2}">
  <dimension ref="A1:L300"/>
  <sheetViews>
    <sheetView showGridLines="0" workbookViewId="0"/>
  </sheetViews>
  <sheetFormatPr defaultColWidth="8.6640625" defaultRowHeight="14.4"/>
  <cols>
    <col min="1" max="1" width="12" style="8" customWidth="1"/>
    <col min="2" max="3" width="16" style="8" customWidth="1"/>
    <col min="4" max="4" width="20" style="8" customWidth="1"/>
    <col min="5" max="7" width="18" style="8" customWidth="1"/>
    <col min="8" max="8" width="16" style="8" customWidth="1"/>
    <col min="9" max="9" width="36" style="8" customWidth="1"/>
    <col min="10" max="10" width="10" style="8" customWidth="1"/>
    <col min="11" max="12" width="13" customWidth="1"/>
  </cols>
  <sheetData>
    <row r="1" spans="1:12" ht="11.25" customHeight="1">
      <c r="A1" s="14" t="s">
        <v>680</v>
      </c>
      <c r="B1" s="58"/>
      <c r="C1" s="58"/>
      <c r="D1" s="58"/>
      <c r="E1" s="58"/>
      <c r="F1" s="58"/>
      <c r="G1" s="58"/>
      <c r="H1" s="58"/>
      <c r="I1" s="58"/>
      <c r="J1" s="58"/>
      <c r="K1" s="58"/>
      <c r="L1" s="58"/>
    </row>
    <row r="2" spans="1:12" ht="67.5" customHeight="1">
      <c r="A2" s="15" t="s">
        <v>681</v>
      </c>
      <c r="B2" s="16"/>
      <c r="C2" s="16"/>
      <c r="D2" s="16"/>
      <c r="E2" s="16"/>
      <c r="F2" s="16"/>
      <c r="G2" s="16"/>
      <c r="H2" s="16"/>
      <c r="I2" s="16"/>
      <c r="J2" s="16"/>
      <c r="K2" s="16"/>
      <c r="L2" s="16"/>
    </row>
    <row r="4" spans="1:12" ht="13.5" customHeight="1">
      <c r="A4" s="48" t="s">
        <v>142</v>
      </c>
      <c r="B4" s="48" t="s">
        <v>275</v>
      </c>
      <c r="C4" s="48" t="s">
        <v>276</v>
      </c>
      <c r="D4" s="48" t="s">
        <v>277</v>
      </c>
      <c r="E4" s="48" t="s">
        <v>278</v>
      </c>
      <c r="F4" s="48" t="s">
        <v>279</v>
      </c>
      <c r="G4" s="48" t="s">
        <v>280</v>
      </c>
      <c r="H4" s="48" t="s">
        <v>174</v>
      </c>
      <c r="I4" s="48" t="s">
        <v>11</v>
      </c>
      <c r="J4" s="75" t="s">
        <v>344</v>
      </c>
    </row>
    <row r="5" spans="1:12" ht="13.5" customHeight="1">
      <c r="A5" s="35" t="s">
        <v>364</v>
      </c>
      <c r="B5" s="35" t="s">
        <v>591</v>
      </c>
      <c r="C5" s="35" t="s">
        <v>369</v>
      </c>
      <c r="D5" s="35" t="s">
        <v>370</v>
      </c>
      <c r="E5" s="13"/>
      <c r="F5" s="13"/>
      <c r="G5" s="13"/>
      <c r="H5" s="35" t="s">
        <v>235</v>
      </c>
      <c r="I5" s="35" t="s">
        <v>371</v>
      </c>
      <c r="J5" s="73" t="str">
        <f>IF(AND($A5&lt;&gt;"",$A5&amp;""=PMIS_Home!$B$4&amp;""),MAX($J$4:J4)+1,"")</f>
        <v/>
      </c>
    </row>
    <row r="6" spans="1:12" ht="13.5" customHeight="1">
      <c r="A6" s="35" t="s">
        <v>368</v>
      </c>
      <c r="B6" s="35" t="s">
        <v>682</v>
      </c>
      <c r="C6" s="35" t="s">
        <v>369</v>
      </c>
      <c r="D6" s="35" t="s">
        <v>377</v>
      </c>
      <c r="E6" s="13"/>
      <c r="F6" s="13"/>
      <c r="G6" s="13"/>
      <c r="H6" s="35" t="s">
        <v>235</v>
      </c>
      <c r="I6" s="35" t="s">
        <v>378</v>
      </c>
      <c r="J6" s="73" t="str">
        <f>IF(AND($A6&lt;&gt;"",$A6&amp;""=PMIS_Home!$B$4&amp;""),MAX($J$4:J5)+1,"")</f>
        <v/>
      </c>
    </row>
    <row r="7" spans="1:12" ht="13.5" customHeight="1">
      <c r="A7" s="35" t="s">
        <v>368</v>
      </c>
      <c r="B7" s="35" t="s">
        <v>683</v>
      </c>
      <c r="C7" s="35" t="s">
        <v>369</v>
      </c>
      <c r="D7" s="35" t="s">
        <v>377</v>
      </c>
      <c r="E7" s="13"/>
      <c r="F7" s="13"/>
      <c r="G7" s="13"/>
      <c r="H7" s="35" t="s">
        <v>235</v>
      </c>
      <c r="I7" s="35" t="s">
        <v>380</v>
      </c>
      <c r="J7" s="73" t="str">
        <f>IF(AND($A7&lt;&gt;"",$A7&amp;""=PMIS_Home!$B$4&amp;""),MAX($J$4:J6)+1,"")</f>
        <v/>
      </c>
    </row>
    <row r="8" spans="1:12" ht="13.5" customHeight="1">
      <c r="A8" s="35" t="s">
        <v>368</v>
      </c>
      <c r="B8" s="35" t="s">
        <v>684</v>
      </c>
      <c r="C8" s="35" t="s">
        <v>369</v>
      </c>
      <c r="D8" s="35" t="s">
        <v>370</v>
      </c>
      <c r="E8" s="13"/>
      <c r="F8" s="13"/>
      <c r="G8" s="13"/>
      <c r="H8" s="35" t="s">
        <v>235</v>
      </c>
      <c r="I8" s="35" t="s">
        <v>382</v>
      </c>
      <c r="J8" s="73" t="str">
        <f>IF(AND($A8&lt;&gt;"",$A8&amp;""=PMIS_Home!$B$4&amp;""),MAX($J$4:J7)+1,"")</f>
        <v/>
      </c>
    </row>
    <row r="9" spans="1:12" ht="13.5" customHeight="1">
      <c r="A9" s="35" t="s">
        <v>685</v>
      </c>
      <c r="B9" s="35" t="s">
        <v>386</v>
      </c>
      <c r="C9" s="35" t="s">
        <v>369</v>
      </c>
      <c r="D9" s="35" t="s">
        <v>377</v>
      </c>
      <c r="E9" s="13"/>
      <c r="F9" s="13"/>
      <c r="G9" s="13"/>
      <c r="H9" s="35" t="s">
        <v>235</v>
      </c>
      <c r="I9" s="35" t="s">
        <v>387</v>
      </c>
      <c r="J9" s="73" t="str">
        <f>IF(AND($A9&lt;&gt;"",$A9&amp;""=PMIS_Home!$B$4&amp;""),MAX($J$4:J8)+1,"")</f>
        <v/>
      </c>
    </row>
    <row r="10" spans="1:12" ht="13.5" customHeight="1">
      <c r="A10" s="35" t="s">
        <v>686</v>
      </c>
      <c r="B10" s="35" t="s">
        <v>389</v>
      </c>
      <c r="C10" s="35" t="s">
        <v>369</v>
      </c>
      <c r="D10" s="35" t="s">
        <v>377</v>
      </c>
      <c r="E10" s="13"/>
      <c r="F10" s="13"/>
      <c r="G10" s="13"/>
      <c r="H10" s="35" t="s">
        <v>235</v>
      </c>
      <c r="I10" s="35" t="s">
        <v>390</v>
      </c>
      <c r="J10" s="73" t="str">
        <f>IF(AND($A10&lt;&gt;"",$A10&amp;""=PMIS_Home!$B$4&amp;""),MAX($J$4:J9)+1,"")</f>
        <v/>
      </c>
    </row>
    <row r="11" spans="1:12" ht="13.5" customHeight="1">
      <c r="A11" s="35" t="s">
        <v>686</v>
      </c>
      <c r="B11" s="35" t="s">
        <v>682</v>
      </c>
      <c r="C11" s="35" t="s">
        <v>369</v>
      </c>
      <c r="D11" s="35" t="s">
        <v>370</v>
      </c>
      <c r="E11" s="13"/>
      <c r="F11" s="13"/>
      <c r="G11" s="13"/>
      <c r="H11" s="35" t="s">
        <v>235</v>
      </c>
      <c r="I11" s="35" t="s">
        <v>393</v>
      </c>
      <c r="J11" s="73" t="str">
        <f>IF(AND($A11&lt;&gt;"",$A11&amp;""=PMIS_Home!$B$4&amp;""),MAX($J$4:J10)+1,"")</f>
        <v/>
      </c>
    </row>
    <row r="12" spans="1:12" ht="13.5" customHeight="1">
      <c r="A12" s="35" t="s">
        <v>686</v>
      </c>
      <c r="B12" s="35" t="s">
        <v>687</v>
      </c>
      <c r="C12" s="35" t="s">
        <v>369</v>
      </c>
      <c r="D12" s="35" t="s">
        <v>370</v>
      </c>
      <c r="E12" s="13"/>
      <c r="F12" s="13"/>
      <c r="G12" s="13"/>
      <c r="H12" s="35" t="s">
        <v>235</v>
      </c>
      <c r="I12" s="35" t="s">
        <v>395</v>
      </c>
      <c r="J12" s="73" t="str">
        <f>IF(AND($A12&lt;&gt;"",$A12&amp;""=PMIS_Home!$B$4&amp;""),MAX($J$4:J11)+1,"")</f>
        <v/>
      </c>
    </row>
    <row r="13" spans="1:12" ht="13.5" customHeight="1">
      <c r="A13" s="35" t="s">
        <v>688</v>
      </c>
      <c r="B13" s="35" t="s">
        <v>689</v>
      </c>
      <c r="C13" s="35" t="s">
        <v>396</v>
      </c>
      <c r="D13" s="35" t="s">
        <v>396</v>
      </c>
      <c r="E13" s="13"/>
      <c r="F13" s="13"/>
      <c r="G13" s="13"/>
      <c r="H13" s="35" t="s">
        <v>235</v>
      </c>
      <c r="I13" s="35" t="s">
        <v>397</v>
      </c>
      <c r="J13" s="73" t="str">
        <f>IF(AND($A13&lt;&gt;"",$A13&amp;""=PMIS_Home!$B$4&amp;""),MAX($J$4:J12)+1,"")</f>
        <v/>
      </c>
    </row>
    <row r="14" spans="1:12" ht="13.5" customHeight="1">
      <c r="A14" s="35" t="s">
        <v>690</v>
      </c>
      <c r="B14" s="35" t="s">
        <v>691</v>
      </c>
      <c r="C14" s="35" t="s">
        <v>369</v>
      </c>
      <c r="D14" s="35" t="s">
        <v>370</v>
      </c>
      <c r="E14" s="13"/>
      <c r="F14" s="13"/>
      <c r="G14" s="13"/>
      <c r="H14" s="35" t="s">
        <v>235</v>
      </c>
      <c r="I14" s="35" t="s">
        <v>387</v>
      </c>
      <c r="J14" s="73" t="str">
        <f>IF(AND($A14&lt;&gt;"",$A14&amp;""=PMIS_Home!$B$4&amp;""),MAX($J$4:J13)+1,"")</f>
        <v/>
      </c>
    </row>
    <row r="15" spans="1:12" ht="13.5" customHeight="1">
      <c r="A15" s="35" t="s">
        <v>690</v>
      </c>
      <c r="B15" s="35" t="s">
        <v>692</v>
      </c>
      <c r="C15" s="35" t="s">
        <v>369</v>
      </c>
      <c r="D15" s="35" t="s">
        <v>370</v>
      </c>
      <c r="E15" s="13"/>
      <c r="F15" s="13"/>
      <c r="G15" s="13"/>
      <c r="H15" s="35" t="s">
        <v>235</v>
      </c>
      <c r="I15" s="35" t="s">
        <v>400</v>
      </c>
      <c r="J15" s="73" t="str">
        <f>IF(AND($A15&lt;&gt;"",$A15&amp;""=PMIS_Home!$B$4&amp;""),MAX($J$4:J14)+1,"")</f>
        <v/>
      </c>
    </row>
    <row r="16" spans="1:12" ht="13.5" customHeight="1">
      <c r="A16" s="35" t="s">
        <v>693</v>
      </c>
      <c r="B16" s="35" t="s">
        <v>401</v>
      </c>
      <c r="C16" s="35" t="s">
        <v>369</v>
      </c>
      <c r="D16" s="35" t="s">
        <v>370</v>
      </c>
      <c r="E16" s="13"/>
      <c r="F16" s="13"/>
      <c r="G16" s="13"/>
      <c r="H16" s="35" t="s">
        <v>235</v>
      </c>
      <c r="I16" s="35" t="s">
        <v>402</v>
      </c>
      <c r="J16" s="73" t="str">
        <f>IF(AND($A16&lt;&gt;"",$A16&amp;""=PMIS_Home!$B$4&amp;""),MAX($J$4:J15)+1,"")</f>
        <v/>
      </c>
    </row>
    <row r="17" spans="1:10" ht="13.5" customHeight="1">
      <c r="A17" s="35" t="s">
        <v>693</v>
      </c>
      <c r="B17" s="35" t="s">
        <v>404</v>
      </c>
      <c r="C17" s="35" t="s">
        <v>369</v>
      </c>
      <c r="D17" s="35" t="s">
        <v>377</v>
      </c>
      <c r="E17" s="13"/>
      <c r="F17" s="13"/>
      <c r="G17" s="13"/>
      <c r="H17" s="35" t="s">
        <v>235</v>
      </c>
      <c r="I17" s="35" t="s">
        <v>405</v>
      </c>
      <c r="J17" s="73" t="str">
        <f>IF(AND($A17&lt;&gt;"",$A17&amp;""=PMIS_Home!$B$4&amp;""),MAX($J$4:J16)+1,"")</f>
        <v/>
      </c>
    </row>
    <row r="18" spans="1:10" ht="13.5" customHeight="1">
      <c r="A18" s="35" t="s">
        <v>694</v>
      </c>
      <c r="B18" s="35" t="s">
        <v>406</v>
      </c>
      <c r="C18" s="35" t="s">
        <v>369</v>
      </c>
      <c r="D18" s="35" t="s">
        <v>377</v>
      </c>
      <c r="E18" s="13"/>
      <c r="F18" s="13"/>
      <c r="G18" s="13"/>
      <c r="H18" s="35" t="s">
        <v>235</v>
      </c>
      <c r="I18" s="35" t="s">
        <v>387</v>
      </c>
      <c r="J18" s="73" t="str">
        <f>IF(AND($A18&lt;&gt;"",$A18&amp;""=PMIS_Home!$B$4&amp;""),MAX($J$4:J17)+1,"")</f>
        <v/>
      </c>
    </row>
    <row r="19" spans="1:10" ht="13.5" customHeight="1">
      <c r="A19" s="35" t="s">
        <v>695</v>
      </c>
      <c r="B19" s="35" t="s">
        <v>12</v>
      </c>
      <c r="C19" s="35" t="s">
        <v>369</v>
      </c>
      <c r="D19" s="35" t="s">
        <v>370</v>
      </c>
      <c r="E19" s="13"/>
      <c r="F19" s="13"/>
      <c r="G19" s="13"/>
      <c r="H19" s="35" t="s">
        <v>235</v>
      </c>
      <c r="I19" s="35" t="s">
        <v>407</v>
      </c>
      <c r="J19" s="73" t="str">
        <f>IF(AND($A19&lt;&gt;"",$A19&amp;""=PMIS_Home!$B$4&amp;""),MAX($J$4:J18)+1,"")</f>
        <v/>
      </c>
    </row>
    <row r="20" spans="1:10" ht="13.5" customHeight="1">
      <c r="A20" s="35" t="s">
        <v>695</v>
      </c>
      <c r="B20" s="35" t="s">
        <v>408</v>
      </c>
      <c r="C20" s="35" t="s">
        <v>369</v>
      </c>
      <c r="D20" s="35" t="s">
        <v>370</v>
      </c>
      <c r="E20" s="13"/>
      <c r="F20" s="13"/>
      <c r="G20" s="13"/>
      <c r="H20" s="35" t="s">
        <v>235</v>
      </c>
      <c r="I20" s="35" t="s">
        <v>409</v>
      </c>
      <c r="J20" s="73" t="str">
        <f>IF(AND($A20&lt;&gt;"",$A20&amp;""=PMIS_Home!$B$4&amp;""),MAX($J$4:J19)+1,"")</f>
        <v/>
      </c>
    </row>
    <row r="21" spans="1:10" ht="13.5" customHeight="1">
      <c r="A21" s="35" t="s">
        <v>695</v>
      </c>
      <c r="B21" s="35" t="s">
        <v>696</v>
      </c>
      <c r="C21" s="35" t="s">
        <v>369</v>
      </c>
      <c r="D21" s="35" t="s">
        <v>370</v>
      </c>
      <c r="E21" s="13"/>
      <c r="F21" s="13"/>
      <c r="G21" s="13"/>
      <c r="H21" s="35" t="s">
        <v>235</v>
      </c>
      <c r="I21" s="35" t="s">
        <v>410</v>
      </c>
      <c r="J21" s="73" t="str">
        <f>IF(AND($A21&lt;&gt;"",$A21&amp;""=PMIS_Home!$B$4&amp;""),MAX($J$4:J20)+1,"")</f>
        <v/>
      </c>
    </row>
    <row r="22" spans="1:10" ht="13.5" customHeight="1">
      <c r="A22" s="35" t="s">
        <v>697</v>
      </c>
      <c r="B22" s="35" t="s">
        <v>411</v>
      </c>
      <c r="C22" s="35" t="s">
        <v>369</v>
      </c>
      <c r="D22" s="35" t="s">
        <v>370</v>
      </c>
      <c r="E22" s="13"/>
      <c r="F22" s="13"/>
      <c r="G22" s="13"/>
      <c r="H22" s="35" t="s">
        <v>235</v>
      </c>
      <c r="I22" s="35" t="s">
        <v>412</v>
      </c>
      <c r="J22" s="73" t="str">
        <f>IF(AND($A22&lt;&gt;"",$A22&amp;""=PMIS_Home!$B$4&amp;""),MAX($J$4:J21)+1,"")</f>
        <v/>
      </c>
    </row>
    <row r="23" spans="1:10" ht="13.5" customHeight="1">
      <c r="A23" s="35" t="s">
        <v>698</v>
      </c>
      <c r="B23" s="35" t="s">
        <v>699</v>
      </c>
      <c r="C23" s="35" t="s">
        <v>369</v>
      </c>
      <c r="D23" s="35" t="s">
        <v>370</v>
      </c>
      <c r="E23" s="13"/>
      <c r="F23" s="13"/>
      <c r="G23" s="13"/>
      <c r="H23" s="35" t="s">
        <v>235</v>
      </c>
      <c r="I23" s="35" t="s">
        <v>414</v>
      </c>
      <c r="J23" s="73" t="str">
        <f>IF(AND($A23&lt;&gt;"",$A23&amp;""=PMIS_Home!$B$4&amp;""),MAX($J$4:J22)+1,"")</f>
        <v/>
      </c>
    </row>
    <row r="24" spans="1:10" ht="13.5" customHeight="1">
      <c r="A24" s="35" t="s">
        <v>700</v>
      </c>
      <c r="B24" s="35" t="s">
        <v>701</v>
      </c>
      <c r="C24" s="35" t="s">
        <v>369</v>
      </c>
      <c r="D24" s="35" t="s">
        <v>370</v>
      </c>
      <c r="E24" s="13"/>
      <c r="F24" s="13"/>
      <c r="G24" s="13"/>
      <c r="H24" s="35" t="s">
        <v>235</v>
      </c>
      <c r="I24" s="35" t="s">
        <v>415</v>
      </c>
      <c r="J24" s="73" t="str">
        <f>IF(AND($A24&lt;&gt;"",$A24&amp;""=PMIS_Home!$B$4&amp;""),MAX($J$4:J23)+1,"")</f>
        <v/>
      </c>
    </row>
    <row r="25" spans="1:10" ht="13.5" customHeight="1">
      <c r="A25" s="35" t="s">
        <v>702</v>
      </c>
      <c r="B25" s="35" t="s">
        <v>699</v>
      </c>
      <c r="C25" s="35" t="s">
        <v>369</v>
      </c>
      <c r="D25" s="35" t="s">
        <v>370</v>
      </c>
      <c r="E25" s="13"/>
      <c r="F25" s="13"/>
      <c r="G25" s="13"/>
      <c r="H25" s="35" t="s">
        <v>235</v>
      </c>
      <c r="I25" s="35" t="s">
        <v>416</v>
      </c>
      <c r="J25" s="73" t="str">
        <f>IF(AND($A25&lt;&gt;"",$A25&amp;""=PMIS_Home!$B$4&amp;""),MAX($J$4:J24)+1,"")</f>
        <v/>
      </c>
    </row>
    <row r="26" spans="1:10" ht="13.5" customHeight="1">
      <c r="A26" s="35" t="s">
        <v>703</v>
      </c>
      <c r="B26" s="35" t="s">
        <v>702</v>
      </c>
      <c r="C26" s="35" t="s">
        <v>369</v>
      </c>
      <c r="D26" s="35" t="s">
        <v>370</v>
      </c>
      <c r="E26" s="13"/>
      <c r="F26" s="13"/>
      <c r="G26" s="13"/>
      <c r="H26" s="35" t="s">
        <v>235</v>
      </c>
      <c r="I26" s="35" t="s">
        <v>387</v>
      </c>
      <c r="J26" s="73" t="str">
        <f>IF(AND($A26&lt;&gt;"",$A26&amp;""=PMIS_Home!$B$4&amp;""),MAX($J$4:J25)+1,"")</f>
        <v/>
      </c>
    </row>
    <row r="27" spans="1:10" ht="13.5" customHeight="1">
      <c r="A27" s="35" t="s">
        <v>418</v>
      </c>
      <c r="B27" s="35" t="s">
        <v>704</v>
      </c>
      <c r="C27" s="35" t="s">
        <v>369</v>
      </c>
      <c r="D27" s="35" t="s">
        <v>370</v>
      </c>
      <c r="E27" s="13"/>
      <c r="F27" s="13"/>
      <c r="G27" s="13"/>
      <c r="H27" s="35" t="s">
        <v>235</v>
      </c>
      <c r="I27" s="35" t="s">
        <v>415</v>
      </c>
      <c r="J27" s="73" t="str">
        <f>IF(AND($A27&lt;&gt;"",$A27&amp;""=PMIS_Home!$B$4&amp;""),MAX($J$4:J26)+1,"")</f>
        <v/>
      </c>
    </row>
    <row r="28" spans="1:10" ht="13.5" customHeight="1">
      <c r="A28" s="35" t="s">
        <v>705</v>
      </c>
      <c r="B28" s="35" t="s">
        <v>706</v>
      </c>
      <c r="C28" s="35" t="s">
        <v>369</v>
      </c>
      <c r="D28" s="35" t="s">
        <v>370</v>
      </c>
      <c r="E28" s="13"/>
      <c r="F28" s="13"/>
      <c r="G28" s="13"/>
      <c r="H28" s="35" t="s">
        <v>235</v>
      </c>
      <c r="I28" s="35" t="s">
        <v>382</v>
      </c>
      <c r="J28" s="73" t="str">
        <f>IF(AND($A28&lt;&gt;"",$A28&amp;""=PMIS_Home!$B$4&amp;""),MAX($J$4:J27)+1,"")</f>
        <v/>
      </c>
    </row>
    <row r="29" spans="1:10" ht="13.5" customHeight="1">
      <c r="A29" s="35" t="s">
        <v>420</v>
      </c>
      <c r="B29" s="35" t="s">
        <v>421</v>
      </c>
      <c r="C29" s="35" t="s">
        <v>396</v>
      </c>
      <c r="D29" s="35" t="s">
        <v>396</v>
      </c>
      <c r="E29" s="13"/>
      <c r="F29" s="13"/>
      <c r="G29" s="13"/>
      <c r="H29" s="35" t="s">
        <v>235</v>
      </c>
      <c r="I29" s="35" t="s">
        <v>422</v>
      </c>
      <c r="J29" s="73" t="str">
        <f>IF(AND($A29&lt;&gt;"",$A29&amp;""=PMIS_Home!$B$4&amp;""),MAX($J$4:J28)+1,"")</f>
        <v/>
      </c>
    </row>
    <row r="30" spans="1:10" ht="13.5" customHeight="1">
      <c r="A30" s="35" t="s">
        <v>423</v>
      </c>
      <c r="B30" s="35" t="s">
        <v>425</v>
      </c>
      <c r="C30" s="35" t="s">
        <v>396</v>
      </c>
      <c r="D30" s="35" t="s">
        <v>396</v>
      </c>
      <c r="E30" s="13"/>
      <c r="F30" s="13"/>
      <c r="G30" s="13"/>
      <c r="H30" s="35" t="s">
        <v>235</v>
      </c>
      <c r="I30" s="35" t="s">
        <v>426</v>
      </c>
      <c r="J30" s="73" t="str">
        <f>IF(AND($A30&lt;&gt;"",$A30&amp;""=PMIS_Home!$B$4&amp;""),MAX($J$4:J29)+1,"")</f>
        <v/>
      </c>
    </row>
    <row r="31" spans="1:10" ht="13.5" customHeight="1">
      <c r="A31" s="35" t="s">
        <v>707</v>
      </c>
      <c r="B31" s="35" t="s">
        <v>708</v>
      </c>
      <c r="C31" s="35" t="s">
        <v>396</v>
      </c>
      <c r="D31" s="35" t="s">
        <v>396</v>
      </c>
      <c r="E31" s="13"/>
      <c r="F31" s="13"/>
      <c r="G31" s="13"/>
      <c r="H31" s="35" t="s">
        <v>235</v>
      </c>
      <c r="I31" s="13"/>
      <c r="J31" s="73" t="str">
        <f>IF(AND($A31&lt;&gt;"",$A31&amp;""=PMIS_Home!$B$4&amp;""),MAX($J$4:J30)+1,"")</f>
        <v/>
      </c>
    </row>
    <row r="32" spans="1:10" ht="13.5" customHeight="1">
      <c r="A32" s="35" t="s">
        <v>372</v>
      </c>
      <c r="B32" s="35" t="s">
        <v>428</v>
      </c>
      <c r="C32" s="35" t="s">
        <v>396</v>
      </c>
      <c r="D32" s="35" t="s">
        <v>396</v>
      </c>
      <c r="E32" s="13"/>
      <c r="F32" s="13"/>
      <c r="G32" s="13"/>
      <c r="H32" s="35" t="s">
        <v>235</v>
      </c>
      <c r="I32" s="35" t="s">
        <v>429</v>
      </c>
      <c r="J32" s="73" t="str">
        <f>IF(AND($A32&lt;&gt;"",$A32&amp;""=PMIS_Home!$B$4&amp;""),MAX($J$4:J31)+1,"")</f>
        <v/>
      </c>
    </row>
    <row r="33" spans="1:10" ht="13.5" customHeight="1">
      <c r="A33" s="35" t="s">
        <v>374</v>
      </c>
      <c r="B33" s="35" t="s">
        <v>34</v>
      </c>
      <c r="C33" s="35" t="s">
        <v>369</v>
      </c>
      <c r="D33" s="35" t="s">
        <v>370</v>
      </c>
      <c r="E33" s="13"/>
      <c r="F33" s="13"/>
      <c r="G33" s="13"/>
      <c r="H33" s="35" t="s">
        <v>235</v>
      </c>
      <c r="I33" s="35" t="s">
        <v>431</v>
      </c>
      <c r="J33" s="73" t="str">
        <f>IF(AND($A33&lt;&gt;"",$A33&amp;""=PMIS_Home!$B$4&amp;""),MAX($J$4:J32)+1,"")</f>
        <v/>
      </c>
    </row>
    <row r="34" spans="1:10" ht="13.5" customHeight="1">
      <c r="A34" s="35" t="s">
        <v>374</v>
      </c>
      <c r="B34" s="35" t="s">
        <v>699</v>
      </c>
      <c r="C34" s="35" t="s">
        <v>369</v>
      </c>
      <c r="D34" s="35" t="s">
        <v>370</v>
      </c>
      <c r="E34" s="13"/>
      <c r="F34" s="13"/>
      <c r="G34" s="13"/>
      <c r="H34" s="35" t="s">
        <v>235</v>
      </c>
      <c r="I34" s="35" t="s">
        <v>432</v>
      </c>
      <c r="J34" s="73" t="str">
        <f>IF(AND($A34&lt;&gt;"",$A34&amp;""=PMIS_Home!$B$4&amp;""),MAX($J$4:J33)+1,"")</f>
        <v/>
      </c>
    </row>
    <row r="35" spans="1:10" ht="16.5" customHeight="1">
      <c r="A35" s="35" t="s">
        <v>374</v>
      </c>
      <c r="B35" s="35" t="s">
        <v>709</v>
      </c>
      <c r="C35" s="35" t="s">
        <v>369</v>
      </c>
      <c r="D35" s="35" t="s">
        <v>370</v>
      </c>
      <c r="E35" s="13"/>
      <c r="F35" s="13"/>
      <c r="G35" s="13"/>
      <c r="H35" s="35" t="s">
        <v>235</v>
      </c>
      <c r="I35" s="35" t="s">
        <v>433</v>
      </c>
      <c r="J35" s="73" t="str">
        <f>IF(AND($A35&lt;&gt;"",$A35&amp;""=PMIS_Home!$B$4&amp;""),MAX($J$4:J34)+1,"")</f>
        <v/>
      </c>
    </row>
    <row r="36" spans="1:10" ht="13.5" customHeight="1">
      <c r="A36" s="35" t="s">
        <v>376</v>
      </c>
      <c r="B36" s="35" t="s">
        <v>434</v>
      </c>
      <c r="C36" s="35" t="s">
        <v>369</v>
      </c>
      <c r="D36" s="35" t="s">
        <v>370</v>
      </c>
      <c r="E36" s="13"/>
      <c r="F36" s="13"/>
      <c r="G36" s="13"/>
      <c r="H36" s="35" t="s">
        <v>235</v>
      </c>
      <c r="I36" s="35" t="s">
        <v>435</v>
      </c>
      <c r="J36" s="73" t="str">
        <f>IF(AND($A36&lt;&gt;"",$A36&amp;""=PMIS_Home!$B$4&amp;""),MAX($J$4:J35)+1,"")</f>
        <v/>
      </c>
    </row>
    <row r="37" spans="1:10" ht="13.5" customHeight="1">
      <c r="A37" s="35" t="s">
        <v>376</v>
      </c>
      <c r="B37" s="35" t="s">
        <v>710</v>
      </c>
      <c r="C37" s="35" t="s">
        <v>369</v>
      </c>
      <c r="D37" s="35" t="s">
        <v>370</v>
      </c>
      <c r="E37" s="13"/>
      <c r="F37" s="13"/>
      <c r="G37" s="13"/>
      <c r="H37" s="35" t="s">
        <v>235</v>
      </c>
      <c r="I37" s="35" t="s">
        <v>436</v>
      </c>
      <c r="J37" s="73" t="str">
        <f>IF(AND($A37&lt;&gt;"",$A37&amp;""=PMIS_Home!$B$4&amp;""),MAX($J$4:J36)+1,"")</f>
        <v/>
      </c>
    </row>
    <row r="38" spans="1:10" ht="13.5" customHeight="1">
      <c r="A38" s="35" t="s">
        <v>376</v>
      </c>
      <c r="B38" s="35" t="s">
        <v>711</v>
      </c>
      <c r="C38" s="35" t="s">
        <v>369</v>
      </c>
      <c r="D38" s="35" t="s">
        <v>370</v>
      </c>
      <c r="E38" s="13"/>
      <c r="F38" s="13"/>
      <c r="G38" s="13"/>
      <c r="H38" s="35" t="s">
        <v>235</v>
      </c>
      <c r="I38" s="35" t="s">
        <v>415</v>
      </c>
      <c r="J38" s="73" t="str">
        <f>IF(AND($A38&lt;&gt;"",$A38&amp;""=PMIS_Home!$B$4&amp;""),MAX($J$4:J37)+1,"")</f>
        <v/>
      </c>
    </row>
    <row r="39" spans="1:10" ht="13.5" customHeight="1">
      <c r="A39" s="35" t="s">
        <v>379</v>
      </c>
      <c r="B39" s="35" t="s">
        <v>438</v>
      </c>
      <c r="C39" s="35" t="s">
        <v>369</v>
      </c>
      <c r="D39" s="35" t="s">
        <v>370</v>
      </c>
      <c r="E39" s="13"/>
      <c r="F39" s="13"/>
      <c r="G39" s="13"/>
      <c r="H39" s="35" t="s">
        <v>235</v>
      </c>
      <c r="I39" s="35" t="s">
        <v>415</v>
      </c>
      <c r="J39" s="73" t="str">
        <f>IF(AND($A39&lt;&gt;"",$A39&amp;""=PMIS_Home!$B$4&amp;""),MAX($J$4:J38)+1,"")</f>
        <v/>
      </c>
    </row>
    <row r="40" spans="1:10" ht="13.5" customHeight="1">
      <c r="A40" s="35" t="s">
        <v>379</v>
      </c>
      <c r="B40" s="35" t="s">
        <v>710</v>
      </c>
      <c r="C40" s="35" t="s">
        <v>369</v>
      </c>
      <c r="D40" s="35" t="s">
        <v>370</v>
      </c>
      <c r="E40" s="13"/>
      <c r="F40" s="13"/>
      <c r="G40" s="13"/>
      <c r="H40" s="35" t="s">
        <v>235</v>
      </c>
      <c r="I40" s="35" t="s">
        <v>439</v>
      </c>
      <c r="J40" s="73" t="str">
        <f>IF(AND($A40&lt;&gt;"",$A40&amp;""=PMIS_Home!$B$4&amp;""),MAX($J$4:J39)+1,"")</f>
        <v/>
      </c>
    </row>
    <row r="41" spans="1:10" ht="13.5" customHeight="1">
      <c r="A41" s="35" t="s">
        <v>379</v>
      </c>
      <c r="B41" s="35" t="s">
        <v>440</v>
      </c>
      <c r="C41" s="35" t="s">
        <v>369</v>
      </c>
      <c r="D41" s="35" t="s">
        <v>370</v>
      </c>
      <c r="E41" s="13"/>
      <c r="F41" s="13"/>
      <c r="G41" s="13"/>
      <c r="H41" s="35" t="s">
        <v>235</v>
      </c>
      <c r="I41" s="35" t="s">
        <v>415</v>
      </c>
      <c r="J41" s="73" t="str">
        <f>IF(AND($A41&lt;&gt;"",$A41&amp;""=PMIS_Home!$B$4&amp;""),MAX($J$4:J40)+1,"")</f>
        <v/>
      </c>
    </row>
    <row r="42" spans="1:10" ht="13.5" customHeight="1">
      <c r="A42" s="35" t="s">
        <v>441</v>
      </c>
      <c r="B42" s="35" t="s">
        <v>712</v>
      </c>
      <c r="C42" s="35" t="s">
        <v>369</v>
      </c>
      <c r="D42" s="35" t="s">
        <v>377</v>
      </c>
      <c r="E42" s="13"/>
      <c r="F42" s="13"/>
      <c r="G42" s="13"/>
      <c r="H42" s="35" t="s">
        <v>235</v>
      </c>
      <c r="I42" s="35" t="s">
        <v>415</v>
      </c>
      <c r="J42" s="73" t="str">
        <f>IF(AND($A42&lt;&gt;"",$A42&amp;""=PMIS_Home!$B$4&amp;""),MAX($J$4:J41)+1,"")</f>
        <v/>
      </c>
    </row>
    <row r="43" spans="1:10" ht="13.5" customHeight="1">
      <c r="A43" s="35" t="s">
        <v>441</v>
      </c>
      <c r="B43" s="35" t="s">
        <v>446</v>
      </c>
      <c r="C43" s="35" t="s">
        <v>369</v>
      </c>
      <c r="D43" s="35" t="s">
        <v>377</v>
      </c>
      <c r="E43" s="13"/>
      <c r="F43" s="13"/>
      <c r="G43" s="13"/>
      <c r="H43" s="35" t="s">
        <v>235</v>
      </c>
      <c r="I43" s="35" t="s">
        <v>382</v>
      </c>
      <c r="J43" s="73" t="str">
        <f>IF(AND($A43&lt;&gt;"",$A43&amp;""=PMIS_Home!$B$4&amp;""),MAX($J$4:J42)+1,"")</f>
        <v/>
      </c>
    </row>
    <row r="44" spans="1:10" ht="13.5" customHeight="1">
      <c r="A44" s="35" t="s">
        <v>441</v>
      </c>
      <c r="B44" s="35" t="s">
        <v>684</v>
      </c>
      <c r="C44" s="35" t="s">
        <v>369</v>
      </c>
      <c r="D44" s="35" t="s">
        <v>377</v>
      </c>
      <c r="E44" s="13"/>
      <c r="F44" s="13"/>
      <c r="G44" s="13"/>
      <c r="H44" s="35" t="s">
        <v>235</v>
      </c>
      <c r="I44" s="35" t="s">
        <v>447</v>
      </c>
      <c r="J44" s="73" t="str">
        <f>IF(AND($A44&lt;&gt;"",$A44&amp;""=PMIS_Home!$B$4&amp;""),MAX($J$4:J43)+1,"")</f>
        <v/>
      </c>
    </row>
    <row r="45" spans="1:10" ht="13.5" customHeight="1">
      <c r="A45" s="35" t="s">
        <v>441</v>
      </c>
      <c r="B45" s="35" t="s">
        <v>713</v>
      </c>
      <c r="C45" s="35" t="s">
        <v>369</v>
      </c>
      <c r="D45" s="35" t="s">
        <v>370</v>
      </c>
      <c r="E45" s="13"/>
      <c r="F45" s="13"/>
      <c r="G45" s="13"/>
      <c r="H45" s="35" t="s">
        <v>235</v>
      </c>
      <c r="I45" s="35" t="s">
        <v>448</v>
      </c>
      <c r="J45" s="73" t="str">
        <f>IF(AND($A45&lt;&gt;"",$A45&amp;""=PMIS_Home!$B$4&amp;""),MAX($J$4:J44)+1,"")</f>
        <v/>
      </c>
    </row>
    <row r="46" spans="1:10" ht="13.5" customHeight="1">
      <c r="A46" s="35" t="s">
        <v>384</v>
      </c>
      <c r="B46" s="35" t="s">
        <v>714</v>
      </c>
      <c r="C46" s="35" t="s">
        <v>369</v>
      </c>
      <c r="D46" s="35" t="s">
        <v>370</v>
      </c>
      <c r="E46" s="13"/>
      <c r="F46" s="13"/>
      <c r="G46" s="13"/>
      <c r="H46" s="35" t="s">
        <v>235</v>
      </c>
      <c r="I46" s="35" t="s">
        <v>449</v>
      </c>
      <c r="J46" s="73" t="str">
        <f>IF(AND($A46&lt;&gt;"",$A46&amp;""=PMIS_Home!$B$4&amp;""),MAX($J$4:J45)+1,"")</f>
        <v/>
      </c>
    </row>
    <row r="47" spans="1:10" ht="13.5" customHeight="1">
      <c r="A47" s="35" t="s">
        <v>385</v>
      </c>
      <c r="B47" s="35" t="s">
        <v>450</v>
      </c>
      <c r="C47" s="35" t="s">
        <v>396</v>
      </c>
      <c r="D47" s="35" t="s">
        <v>451</v>
      </c>
      <c r="E47" s="13"/>
      <c r="F47" s="13"/>
      <c r="G47" s="13"/>
      <c r="H47" s="35" t="s">
        <v>235</v>
      </c>
      <c r="I47" s="35" t="s">
        <v>412</v>
      </c>
      <c r="J47" s="73" t="str">
        <f>IF(AND($A47&lt;&gt;"",$A47&amp;""=PMIS_Home!$B$4&amp;""),MAX($J$4:J46)+1,"")</f>
        <v/>
      </c>
    </row>
    <row r="48" spans="1:10" ht="13.5" customHeight="1">
      <c r="A48" s="35" t="s">
        <v>388</v>
      </c>
      <c r="B48" s="35" t="s">
        <v>714</v>
      </c>
      <c r="C48" s="35" t="s">
        <v>396</v>
      </c>
      <c r="D48" s="35" t="s">
        <v>396</v>
      </c>
      <c r="E48" s="13"/>
      <c r="F48" s="13"/>
      <c r="G48" s="13"/>
      <c r="H48" s="35" t="s">
        <v>235</v>
      </c>
      <c r="I48" s="35" t="s">
        <v>382</v>
      </c>
      <c r="J48" s="73" t="str">
        <f>IF(AND($A48&lt;&gt;"",$A48&amp;""=PMIS_Home!$B$4&amp;""),MAX($J$4:J47)+1,"")</f>
        <v/>
      </c>
    </row>
    <row r="49" spans="1:10" ht="16.5" customHeight="1">
      <c r="A49" s="35" t="s">
        <v>452</v>
      </c>
      <c r="B49" s="35" t="s">
        <v>591</v>
      </c>
      <c r="C49" s="35" t="s">
        <v>396</v>
      </c>
      <c r="D49" s="35" t="s">
        <v>396</v>
      </c>
      <c r="E49" s="13"/>
      <c r="F49" s="13"/>
      <c r="G49" s="13"/>
      <c r="H49" s="35" t="s">
        <v>235</v>
      </c>
      <c r="I49" s="35" t="s">
        <v>453</v>
      </c>
      <c r="J49" s="73" t="str">
        <f>IF(AND($A49&lt;&gt;"",$A49&amp;""=PMIS_Home!$B$4&amp;""),MAX($J$4:J48)+1,"")</f>
        <v/>
      </c>
    </row>
    <row r="50" spans="1:10" ht="13.5" customHeight="1">
      <c r="A50" s="13"/>
      <c r="B50" s="13"/>
      <c r="C50" s="13"/>
      <c r="D50" s="13"/>
      <c r="E50" s="13"/>
      <c r="F50" s="13"/>
      <c r="G50" s="13"/>
      <c r="H50" s="13"/>
      <c r="I50" s="13"/>
      <c r="J50" s="73" t="str">
        <f>IF(AND($A50&lt;&gt;"",$A50&amp;""=PMIS_Home!$B$4&amp;""),MAX($J$4:J49)+1,"")</f>
        <v/>
      </c>
    </row>
    <row r="51" spans="1:10" ht="13.5" customHeight="1">
      <c r="A51" s="13"/>
      <c r="B51" s="13"/>
      <c r="C51" s="13"/>
      <c r="D51" s="13"/>
      <c r="E51" s="13"/>
      <c r="F51" s="13"/>
      <c r="G51" s="13"/>
      <c r="H51" s="13"/>
      <c r="I51" s="13"/>
      <c r="J51" s="73" t="str">
        <f>IF(AND($A51&lt;&gt;"",$A51&amp;""=PMIS_Home!$B$4&amp;""),MAX($J$4:J50)+1,"")</f>
        <v/>
      </c>
    </row>
    <row r="52" spans="1:10" ht="13.5" customHeight="1">
      <c r="A52" s="13"/>
      <c r="B52" s="13"/>
      <c r="C52" s="13"/>
      <c r="D52" s="13"/>
      <c r="E52" s="13"/>
      <c r="F52" s="13"/>
      <c r="G52" s="13"/>
      <c r="H52" s="13"/>
      <c r="I52" s="13"/>
      <c r="J52" s="73" t="str">
        <f>IF(AND($A52&lt;&gt;"",$A52&amp;""=PMIS_Home!$B$4&amp;""),MAX($J$4:J51)+1,"")</f>
        <v/>
      </c>
    </row>
    <row r="53" spans="1:10" ht="13.5" customHeight="1">
      <c r="A53" s="13"/>
      <c r="B53" s="13"/>
      <c r="C53" s="13"/>
      <c r="D53" s="13"/>
      <c r="E53" s="13"/>
      <c r="F53" s="13"/>
      <c r="G53" s="13"/>
      <c r="H53" s="13"/>
      <c r="I53" s="13"/>
      <c r="J53" s="73" t="str">
        <f>IF(AND($A53&lt;&gt;"",$A53&amp;""=PMIS_Home!$B$4&amp;""),MAX($J$4:J52)+1,"")</f>
        <v/>
      </c>
    </row>
    <row r="54" spans="1:10" ht="13.5" customHeight="1">
      <c r="A54" s="13"/>
      <c r="B54" s="13"/>
      <c r="C54" s="13"/>
      <c r="D54" s="13"/>
      <c r="E54" s="13"/>
      <c r="F54" s="13"/>
      <c r="G54" s="13"/>
      <c r="H54" s="13"/>
      <c r="I54" s="13"/>
      <c r="J54" s="73" t="str">
        <f>IF(AND($A54&lt;&gt;"",$A54&amp;""=PMIS_Home!$B$4&amp;""),MAX($J$4:J53)+1,"")</f>
        <v/>
      </c>
    </row>
    <row r="55" spans="1:10" ht="13.5" customHeight="1">
      <c r="A55" s="13"/>
      <c r="B55" s="13"/>
      <c r="C55" s="13"/>
      <c r="D55" s="13"/>
      <c r="E55" s="13"/>
      <c r="F55" s="13"/>
      <c r="G55" s="13"/>
      <c r="H55" s="13"/>
      <c r="I55" s="13"/>
      <c r="J55" s="73" t="str">
        <f>IF(AND($A55&lt;&gt;"",$A55&amp;""=PMIS_Home!$B$4&amp;""),MAX($J$4:J54)+1,"")</f>
        <v/>
      </c>
    </row>
    <row r="56" spans="1:10" ht="13.5" customHeight="1">
      <c r="A56" s="13"/>
      <c r="B56" s="13"/>
      <c r="C56" s="13"/>
      <c r="D56" s="13"/>
      <c r="E56" s="13"/>
      <c r="F56" s="13"/>
      <c r="G56" s="13"/>
      <c r="H56" s="13"/>
      <c r="I56" s="13"/>
      <c r="J56" s="73" t="str">
        <f>IF(AND($A56&lt;&gt;"",$A56&amp;""=PMIS_Home!$B$4&amp;""),MAX($J$4:J55)+1,"")</f>
        <v/>
      </c>
    </row>
    <row r="57" spans="1:10" ht="13.5" customHeight="1">
      <c r="A57" s="13"/>
      <c r="B57" s="13"/>
      <c r="C57" s="13"/>
      <c r="D57" s="13"/>
      <c r="E57" s="13"/>
      <c r="F57" s="13"/>
      <c r="G57" s="13"/>
      <c r="H57" s="13"/>
      <c r="I57" s="13"/>
      <c r="J57" s="73" t="str">
        <f>IF(AND($A57&lt;&gt;"",$A57&amp;""=PMIS_Home!$B$4&amp;""),MAX($J$4:J56)+1,"")</f>
        <v/>
      </c>
    </row>
    <row r="58" spans="1:10" ht="13.5" customHeight="1">
      <c r="A58" s="13"/>
      <c r="B58" s="13"/>
      <c r="C58" s="13"/>
      <c r="D58" s="13"/>
      <c r="E58" s="13"/>
      <c r="F58" s="13"/>
      <c r="G58" s="13"/>
      <c r="H58" s="13"/>
      <c r="I58" s="13"/>
      <c r="J58" s="73" t="str">
        <f>IF(AND($A58&lt;&gt;"",$A58&amp;""=PMIS_Home!$B$4&amp;""),MAX($J$4:J57)+1,"")</f>
        <v/>
      </c>
    </row>
    <row r="59" spans="1:10" ht="13.5" customHeight="1">
      <c r="A59" s="13"/>
      <c r="B59" s="13"/>
      <c r="C59" s="13"/>
      <c r="D59" s="13"/>
      <c r="E59" s="13"/>
      <c r="F59" s="13"/>
      <c r="G59" s="13"/>
      <c r="H59" s="13"/>
      <c r="I59" s="13"/>
      <c r="J59" s="73" t="str">
        <f>IF(AND($A59&lt;&gt;"",$A59&amp;""=PMIS_Home!$B$4&amp;""),MAX($J$4:J58)+1,"")</f>
        <v/>
      </c>
    </row>
    <row r="60" spans="1:10" ht="13.5" customHeight="1">
      <c r="A60" s="13"/>
      <c r="B60" s="13"/>
      <c r="C60" s="13"/>
      <c r="D60" s="13"/>
      <c r="E60" s="13"/>
      <c r="F60" s="13"/>
      <c r="G60" s="13"/>
      <c r="H60" s="13"/>
      <c r="I60" s="13"/>
      <c r="J60" s="73" t="str">
        <f>IF(AND($A60&lt;&gt;"",$A60&amp;""=PMIS_Home!$B$4&amp;""),MAX($J$4:J59)+1,"")</f>
        <v/>
      </c>
    </row>
    <row r="61" spans="1:10" ht="13.5" customHeight="1">
      <c r="A61" s="13"/>
      <c r="B61" s="13"/>
      <c r="C61" s="13"/>
      <c r="D61" s="13"/>
      <c r="E61" s="13"/>
      <c r="F61" s="13"/>
      <c r="G61" s="13"/>
      <c r="H61" s="13"/>
      <c r="I61" s="13"/>
      <c r="J61" s="73" t="str">
        <f>IF(AND($A61&lt;&gt;"",$A61&amp;""=PMIS_Home!$B$4&amp;""),MAX($J$4:J60)+1,"")</f>
        <v/>
      </c>
    </row>
    <row r="62" spans="1:10" ht="13.5" customHeight="1">
      <c r="A62" s="13"/>
      <c r="B62" s="13"/>
      <c r="C62" s="13"/>
      <c r="D62" s="13"/>
      <c r="E62" s="13"/>
      <c r="F62" s="13"/>
      <c r="G62" s="13"/>
      <c r="H62" s="13"/>
      <c r="I62" s="13"/>
      <c r="J62" s="73" t="str">
        <f>IF(AND($A62&lt;&gt;"",$A62&amp;""=PMIS_Home!$B$4&amp;""),MAX($J$4:J61)+1,"")</f>
        <v/>
      </c>
    </row>
    <row r="63" spans="1:10" ht="13.5" customHeight="1">
      <c r="A63" s="13"/>
      <c r="B63" s="13"/>
      <c r="C63" s="13"/>
      <c r="D63" s="13"/>
      <c r="E63" s="13"/>
      <c r="F63" s="13"/>
      <c r="G63" s="13"/>
      <c r="H63" s="13"/>
      <c r="I63" s="13"/>
      <c r="J63" s="73" t="str">
        <f>IF(AND($A63&lt;&gt;"",$A63&amp;""=PMIS_Home!$B$4&amp;""),MAX($J$4:J62)+1,"")</f>
        <v/>
      </c>
    </row>
    <row r="64" spans="1:10" ht="13.5" customHeight="1">
      <c r="A64" s="13"/>
      <c r="B64" s="13"/>
      <c r="C64" s="13"/>
      <c r="D64" s="13"/>
      <c r="E64" s="13"/>
      <c r="F64" s="13"/>
      <c r="G64" s="13"/>
      <c r="H64" s="13"/>
      <c r="I64" s="13"/>
      <c r="J64" s="73" t="str">
        <f>IF(AND($A64&lt;&gt;"",$A64&amp;""=PMIS_Home!$B$4&amp;""),MAX($J$4:J63)+1,"")</f>
        <v/>
      </c>
    </row>
    <row r="65" spans="1:10" ht="13.5" customHeight="1">
      <c r="A65" s="13"/>
      <c r="B65" s="13"/>
      <c r="C65" s="13"/>
      <c r="D65" s="13"/>
      <c r="E65" s="13"/>
      <c r="F65" s="13"/>
      <c r="G65" s="13"/>
      <c r="H65" s="13"/>
      <c r="I65" s="13"/>
      <c r="J65" s="73" t="str">
        <f>IF(AND($A65&lt;&gt;"",$A65&amp;""=PMIS_Home!$B$4&amp;""),MAX($J$4:J64)+1,"")</f>
        <v/>
      </c>
    </row>
    <row r="66" spans="1:10" ht="13.5" customHeight="1">
      <c r="A66" s="13"/>
      <c r="B66" s="13"/>
      <c r="C66" s="13"/>
      <c r="D66" s="13"/>
      <c r="E66" s="13"/>
      <c r="F66" s="13"/>
      <c r="G66" s="13"/>
      <c r="H66" s="13"/>
      <c r="I66" s="13"/>
      <c r="J66" s="73" t="str">
        <f>IF(AND($A66&lt;&gt;"",$A66&amp;""=PMIS_Home!$B$4&amp;""),MAX($J$4:J65)+1,"")</f>
        <v/>
      </c>
    </row>
    <row r="67" spans="1:10" ht="13.5" customHeight="1">
      <c r="A67" s="13"/>
      <c r="B67" s="13"/>
      <c r="C67" s="13"/>
      <c r="D67" s="13"/>
      <c r="E67" s="13"/>
      <c r="F67" s="13"/>
      <c r="G67" s="13"/>
      <c r="H67" s="13"/>
      <c r="I67" s="13"/>
      <c r="J67" s="73" t="str">
        <f>IF(AND($A67&lt;&gt;"",$A67&amp;""=PMIS_Home!$B$4&amp;""),MAX($J$4:J66)+1,"")</f>
        <v/>
      </c>
    </row>
    <row r="68" spans="1:10" ht="13.5" customHeight="1">
      <c r="A68" s="13"/>
      <c r="B68" s="13"/>
      <c r="C68" s="13"/>
      <c r="D68" s="13"/>
      <c r="E68" s="13"/>
      <c r="F68" s="13"/>
      <c r="G68" s="13"/>
      <c r="H68" s="13"/>
      <c r="I68" s="13"/>
      <c r="J68" s="73" t="str">
        <f>IF(AND($A68&lt;&gt;"",$A68&amp;""=PMIS_Home!$B$4&amp;""),MAX($J$4:J67)+1,"")</f>
        <v/>
      </c>
    </row>
    <row r="69" spans="1:10" ht="13.5" customHeight="1">
      <c r="A69" s="13"/>
      <c r="B69" s="13"/>
      <c r="C69" s="13"/>
      <c r="D69" s="13"/>
      <c r="E69" s="13"/>
      <c r="F69" s="13"/>
      <c r="G69" s="13"/>
      <c r="H69" s="13"/>
      <c r="I69" s="13"/>
      <c r="J69" s="73" t="str">
        <f>IF(AND($A69&lt;&gt;"",$A69&amp;""=PMIS_Home!$B$4&amp;""),MAX($J$4:J68)+1,"")</f>
        <v/>
      </c>
    </row>
    <row r="70" spans="1:10" ht="13.5" customHeight="1">
      <c r="A70" s="13"/>
      <c r="B70" s="13"/>
      <c r="C70" s="13"/>
      <c r="D70" s="13"/>
      <c r="E70" s="13"/>
      <c r="F70" s="13"/>
      <c r="G70" s="13"/>
      <c r="H70" s="13"/>
      <c r="I70" s="13"/>
      <c r="J70" s="73" t="str">
        <f>IF(AND($A70&lt;&gt;"",$A70&amp;""=PMIS_Home!$B$4&amp;""),MAX($J$4:J69)+1,"")</f>
        <v/>
      </c>
    </row>
    <row r="71" spans="1:10" ht="13.5" customHeight="1">
      <c r="A71" s="13"/>
      <c r="B71" s="13"/>
      <c r="C71" s="13"/>
      <c r="D71" s="13"/>
      <c r="E71" s="13"/>
      <c r="F71" s="13"/>
      <c r="G71" s="13"/>
      <c r="H71" s="13"/>
      <c r="I71" s="13"/>
      <c r="J71" s="73" t="str">
        <f>IF(AND($A71&lt;&gt;"",$A71&amp;""=PMIS_Home!$B$4&amp;""),MAX($J$4:J70)+1,"")</f>
        <v/>
      </c>
    </row>
    <row r="72" spans="1:10" ht="13.5" customHeight="1">
      <c r="A72" s="13"/>
      <c r="B72" s="13"/>
      <c r="C72" s="13"/>
      <c r="D72" s="13"/>
      <c r="E72" s="13"/>
      <c r="F72" s="13"/>
      <c r="G72" s="13"/>
      <c r="H72" s="13"/>
      <c r="I72" s="13"/>
      <c r="J72" s="73" t="str">
        <f>IF(AND($A72&lt;&gt;"",$A72&amp;""=PMIS_Home!$B$4&amp;""),MAX($J$4:J71)+1,"")</f>
        <v/>
      </c>
    </row>
    <row r="73" spans="1:10" ht="13.5" customHeight="1">
      <c r="A73" s="13"/>
      <c r="B73" s="13"/>
      <c r="C73" s="13"/>
      <c r="D73" s="13"/>
      <c r="E73" s="13"/>
      <c r="F73" s="13"/>
      <c r="G73" s="13"/>
      <c r="H73" s="13"/>
      <c r="I73" s="13"/>
      <c r="J73" s="73" t="str">
        <f>IF(AND($A73&lt;&gt;"",$A73&amp;""=PMIS_Home!$B$4&amp;""),MAX($J$4:J72)+1,"")</f>
        <v/>
      </c>
    </row>
    <row r="74" spans="1:10" ht="13.5" customHeight="1">
      <c r="A74" s="13"/>
      <c r="B74" s="13"/>
      <c r="C74" s="13"/>
      <c r="D74" s="13"/>
      <c r="E74" s="13"/>
      <c r="F74" s="13"/>
      <c r="G74" s="13"/>
      <c r="H74" s="13"/>
      <c r="I74" s="13"/>
      <c r="J74" s="73" t="str">
        <f>IF(AND($A74&lt;&gt;"",$A74&amp;""=PMIS_Home!$B$4&amp;""),MAX($J$4:J73)+1,"")</f>
        <v/>
      </c>
    </row>
    <row r="75" spans="1:10" ht="13.5" customHeight="1">
      <c r="A75" s="13"/>
      <c r="B75" s="13"/>
      <c r="C75" s="13"/>
      <c r="D75" s="13"/>
      <c r="E75" s="13"/>
      <c r="F75" s="13"/>
      <c r="G75" s="13"/>
      <c r="H75" s="13"/>
      <c r="I75" s="13"/>
      <c r="J75" s="73" t="str">
        <f>IF(AND($A75&lt;&gt;"",$A75&amp;""=PMIS_Home!$B$4&amp;""),MAX($J$4:J74)+1,"")</f>
        <v/>
      </c>
    </row>
    <row r="76" spans="1:10" ht="13.5" customHeight="1">
      <c r="A76" s="13"/>
      <c r="B76" s="13"/>
      <c r="C76" s="13"/>
      <c r="D76" s="13"/>
      <c r="E76" s="13"/>
      <c r="F76" s="13"/>
      <c r="G76" s="13"/>
      <c r="H76" s="13"/>
      <c r="I76" s="13"/>
      <c r="J76" s="73" t="str">
        <f>IF(AND($A76&lt;&gt;"",$A76&amp;""=PMIS_Home!$B$4&amp;""),MAX($J$4:J75)+1,"")</f>
        <v/>
      </c>
    </row>
    <row r="77" spans="1:10" ht="13.5" customHeight="1">
      <c r="A77" s="13"/>
      <c r="B77" s="13"/>
      <c r="C77" s="13"/>
      <c r="D77" s="13"/>
      <c r="E77" s="13"/>
      <c r="F77" s="13"/>
      <c r="G77" s="13"/>
      <c r="H77" s="13"/>
      <c r="I77" s="13"/>
      <c r="J77" s="73" t="str">
        <f>IF(AND($A77&lt;&gt;"",$A77&amp;""=PMIS_Home!$B$4&amp;""),MAX($J$4:J76)+1,"")</f>
        <v/>
      </c>
    </row>
    <row r="78" spans="1:10" ht="13.5" customHeight="1">
      <c r="A78" s="13"/>
      <c r="B78" s="13"/>
      <c r="C78" s="13"/>
      <c r="D78" s="13"/>
      <c r="E78" s="13"/>
      <c r="F78" s="13"/>
      <c r="G78" s="13"/>
      <c r="H78" s="13"/>
      <c r="I78" s="13"/>
      <c r="J78" s="73" t="str">
        <f>IF(AND($A78&lt;&gt;"",$A78&amp;""=PMIS_Home!$B$4&amp;""),MAX($J$4:J77)+1,"")</f>
        <v/>
      </c>
    </row>
    <row r="79" spans="1:10" ht="13.5" customHeight="1">
      <c r="A79" s="13"/>
      <c r="B79" s="13"/>
      <c r="C79" s="13"/>
      <c r="D79" s="13"/>
      <c r="E79" s="13"/>
      <c r="F79" s="13"/>
      <c r="G79" s="13"/>
      <c r="H79" s="13"/>
      <c r="I79" s="13"/>
      <c r="J79" s="73" t="str">
        <f>IF(AND($A79&lt;&gt;"",$A79&amp;""=PMIS_Home!$B$4&amp;""),MAX($J$4:J78)+1,"")</f>
        <v/>
      </c>
    </row>
    <row r="80" spans="1:10" ht="13.5" customHeight="1">
      <c r="A80" s="13"/>
      <c r="B80" s="13"/>
      <c r="C80" s="13"/>
      <c r="D80" s="13"/>
      <c r="E80" s="13"/>
      <c r="F80" s="13"/>
      <c r="G80" s="13"/>
      <c r="H80" s="13"/>
      <c r="I80" s="13"/>
      <c r="J80" s="73" t="str">
        <f>IF(AND($A80&lt;&gt;"",$A80&amp;""=PMIS_Home!$B$4&amp;""),MAX($J$4:J79)+1,"")</f>
        <v/>
      </c>
    </row>
    <row r="81" spans="1:10" ht="13.5" customHeight="1">
      <c r="A81" s="13"/>
      <c r="B81" s="13"/>
      <c r="C81" s="13"/>
      <c r="D81" s="13"/>
      <c r="E81" s="13"/>
      <c r="F81" s="13"/>
      <c r="G81" s="13"/>
      <c r="H81" s="13"/>
      <c r="I81" s="13"/>
      <c r="J81" s="73" t="str">
        <f>IF(AND($A81&lt;&gt;"",$A81&amp;""=PMIS_Home!$B$4&amp;""),MAX($J$4:J80)+1,"")</f>
        <v/>
      </c>
    </row>
    <row r="82" spans="1:10" ht="13.5" customHeight="1">
      <c r="A82" s="13"/>
      <c r="B82" s="13"/>
      <c r="C82" s="13"/>
      <c r="D82" s="13"/>
      <c r="E82" s="13"/>
      <c r="F82" s="13"/>
      <c r="G82" s="13"/>
      <c r="H82" s="13"/>
      <c r="I82" s="13"/>
      <c r="J82" s="73" t="str">
        <f>IF(AND($A82&lt;&gt;"",$A82&amp;""=PMIS_Home!$B$4&amp;""),MAX($J$4:J81)+1,"")</f>
        <v/>
      </c>
    </row>
    <row r="83" spans="1:10" ht="13.5" customHeight="1">
      <c r="A83" s="13"/>
      <c r="B83" s="13"/>
      <c r="C83" s="13"/>
      <c r="D83" s="13"/>
      <c r="E83" s="13"/>
      <c r="F83" s="13"/>
      <c r="G83" s="13"/>
      <c r="H83" s="13"/>
      <c r="I83" s="13"/>
      <c r="J83" s="73" t="str">
        <f>IF(AND($A83&lt;&gt;"",$A83&amp;""=PMIS_Home!$B$4&amp;""),MAX($J$4:J82)+1,"")</f>
        <v/>
      </c>
    </row>
    <row r="84" spans="1:10" ht="13.5" customHeight="1">
      <c r="A84" s="13"/>
      <c r="B84" s="13"/>
      <c r="C84" s="13"/>
      <c r="D84" s="13"/>
      <c r="E84" s="13"/>
      <c r="F84" s="13"/>
      <c r="G84" s="13"/>
      <c r="H84" s="13"/>
      <c r="I84" s="13"/>
      <c r="J84" s="73" t="str">
        <f>IF(AND($A84&lt;&gt;"",$A84&amp;""=PMIS_Home!$B$4&amp;""),MAX($J$4:J83)+1,"")</f>
        <v/>
      </c>
    </row>
    <row r="85" spans="1:10" ht="13.5" customHeight="1">
      <c r="A85" s="13"/>
      <c r="B85" s="13"/>
      <c r="C85" s="13"/>
      <c r="D85" s="13"/>
      <c r="E85" s="13"/>
      <c r="F85" s="13"/>
      <c r="G85" s="13"/>
      <c r="H85" s="13"/>
      <c r="I85" s="13"/>
      <c r="J85" s="73" t="str">
        <f>IF(AND($A85&lt;&gt;"",$A85&amp;""=PMIS_Home!$B$4&amp;""),MAX($J$4:J84)+1,"")</f>
        <v/>
      </c>
    </row>
    <row r="86" spans="1:10" ht="13.5" customHeight="1">
      <c r="A86" s="13"/>
      <c r="B86" s="13"/>
      <c r="C86" s="13"/>
      <c r="D86" s="13"/>
      <c r="E86" s="13"/>
      <c r="F86" s="13"/>
      <c r="G86" s="13"/>
      <c r="H86" s="13"/>
      <c r="I86" s="13"/>
      <c r="J86" s="73" t="str">
        <f>IF(AND($A86&lt;&gt;"",$A86&amp;""=PMIS_Home!$B$4&amp;""),MAX($J$4:J85)+1,"")</f>
        <v/>
      </c>
    </row>
    <row r="87" spans="1:10" ht="13.5" customHeight="1">
      <c r="A87" s="13"/>
      <c r="B87" s="13"/>
      <c r="C87" s="13"/>
      <c r="D87" s="13"/>
      <c r="E87" s="13"/>
      <c r="F87" s="13"/>
      <c r="G87" s="13"/>
      <c r="H87" s="13"/>
      <c r="I87" s="13"/>
      <c r="J87" s="73" t="str">
        <f>IF(AND($A87&lt;&gt;"",$A87&amp;""=PMIS_Home!$B$4&amp;""),MAX($J$4:J86)+1,"")</f>
        <v/>
      </c>
    </row>
    <row r="88" spans="1:10" ht="13.5" customHeight="1">
      <c r="A88" s="13"/>
      <c r="B88" s="13"/>
      <c r="C88" s="13"/>
      <c r="D88" s="13"/>
      <c r="E88" s="13"/>
      <c r="F88" s="13"/>
      <c r="G88" s="13"/>
      <c r="H88" s="13"/>
      <c r="I88" s="13"/>
      <c r="J88" s="73" t="str">
        <f>IF(AND($A88&lt;&gt;"",$A88&amp;""=PMIS_Home!$B$4&amp;""),MAX($J$4:J87)+1,"")</f>
        <v/>
      </c>
    </row>
    <row r="89" spans="1:10" ht="13.5" customHeight="1">
      <c r="A89" s="13"/>
      <c r="B89" s="13"/>
      <c r="C89" s="13"/>
      <c r="D89" s="13"/>
      <c r="E89" s="13"/>
      <c r="F89" s="13"/>
      <c r="G89" s="13"/>
      <c r="H89" s="13"/>
      <c r="I89" s="13"/>
      <c r="J89" s="73" t="str">
        <f>IF(AND($A89&lt;&gt;"",$A89&amp;""=PMIS_Home!$B$4&amp;""),MAX($J$4:J88)+1,"")</f>
        <v/>
      </c>
    </row>
    <row r="90" spans="1:10" ht="13.5" customHeight="1">
      <c r="A90" s="13"/>
      <c r="B90" s="13"/>
      <c r="C90" s="13"/>
      <c r="D90" s="13"/>
      <c r="E90" s="13"/>
      <c r="F90" s="13"/>
      <c r="G90" s="13"/>
      <c r="H90" s="13"/>
      <c r="I90" s="13"/>
      <c r="J90" s="73" t="str">
        <f>IF(AND($A90&lt;&gt;"",$A90&amp;""=PMIS_Home!$B$4&amp;""),MAX($J$4:J89)+1,"")</f>
        <v/>
      </c>
    </row>
    <row r="91" spans="1:10" ht="13.5" customHeight="1">
      <c r="A91" s="13"/>
      <c r="B91" s="13"/>
      <c r="C91" s="13"/>
      <c r="D91" s="13"/>
      <c r="E91" s="13"/>
      <c r="F91" s="13"/>
      <c r="G91" s="13"/>
      <c r="H91" s="13"/>
      <c r="I91" s="13"/>
      <c r="J91" s="73" t="str">
        <f>IF(AND($A91&lt;&gt;"",$A91&amp;""=PMIS_Home!$B$4&amp;""),MAX($J$4:J90)+1,"")</f>
        <v/>
      </c>
    </row>
    <row r="92" spans="1:10" ht="13.5" customHeight="1">
      <c r="A92" s="13"/>
      <c r="B92" s="13"/>
      <c r="C92" s="13"/>
      <c r="D92" s="13"/>
      <c r="E92" s="13"/>
      <c r="F92" s="13"/>
      <c r="G92" s="13"/>
      <c r="H92" s="13"/>
      <c r="I92" s="13"/>
      <c r="J92" s="73" t="str">
        <f>IF(AND($A92&lt;&gt;"",$A92&amp;""=PMIS_Home!$B$4&amp;""),MAX($J$4:J91)+1,"")</f>
        <v/>
      </c>
    </row>
    <row r="93" spans="1:10" ht="13.5" customHeight="1">
      <c r="A93" s="13"/>
      <c r="B93" s="13"/>
      <c r="C93" s="13"/>
      <c r="D93" s="13"/>
      <c r="E93" s="13"/>
      <c r="F93" s="13"/>
      <c r="G93" s="13"/>
      <c r="H93" s="13"/>
      <c r="I93" s="13"/>
      <c r="J93" s="73" t="str">
        <f>IF(AND($A93&lt;&gt;"",$A93&amp;""=PMIS_Home!$B$4&amp;""),MAX($J$4:J92)+1,"")</f>
        <v/>
      </c>
    </row>
    <row r="94" spans="1:10" ht="13.5" customHeight="1">
      <c r="A94" s="13"/>
      <c r="B94" s="13"/>
      <c r="C94" s="13"/>
      <c r="D94" s="13"/>
      <c r="E94" s="13"/>
      <c r="F94" s="13"/>
      <c r="G94" s="13"/>
      <c r="H94" s="13"/>
      <c r="I94" s="13"/>
      <c r="J94" s="73" t="str">
        <f>IF(AND($A94&lt;&gt;"",$A94&amp;""=PMIS_Home!$B$4&amp;""),MAX($J$4:J93)+1,"")</f>
        <v/>
      </c>
    </row>
    <row r="95" spans="1:10" ht="13.5" customHeight="1">
      <c r="A95" s="13"/>
      <c r="B95" s="13"/>
      <c r="C95" s="13"/>
      <c r="D95" s="13"/>
      <c r="E95" s="13"/>
      <c r="F95" s="13"/>
      <c r="G95" s="13"/>
      <c r="H95" s="13"/>
      <c r="I95" s="13"/>
      <c r="J95" s="73" t="str">
        <f>IF(AND($A95&lt;&gt;"",$A95&amp;""=PMIS_Home!$B$4&amp;""),MAX($J$4:J94)+1,"")</f>
        <v/>
      </c>
    </row>
    <row r="96" spans="1:10" ht="13.5" customHeight="1">
      <c r="A96" s="13"/>
      <c r="B96" s="13"/>
      <c r="C96" s="13"/>
      <c r="D96" s="13"/>
      <c r="E96" s="13"/>
      <c r="F96" s="13"/>
      <c r="G96" s="13"/>
      <c r="H96" s="13"/>
      <c r="I96" s="13"/>
      <c r="J96" s="73" t="str">
        <f>IF(AND($A96&lt;&gt;"",$A96&amp;""=PMIS_Home!$B$4&amp;""),MAX($J$4:J95)+1,"")</f>
        <v/>
      </c>
    </row>
    <row r="97" spans="1:10" ht="13.5" customHeight="1">
      <c r="A97" s="13"/>
      <c r="B97" s="13"/>
      <c r="C97" s="13"/>
      <c r="D97" s="13"/>
      <c r="E97" s="13"/>
      <c r="F97" s="13"/>
      <c r="G97" s="13"/>
      <c r="H97" s="13"/>
      <c r="I97" s="13"/>
      <c r="J97" s="73" t="str">
        <f>IF(AND($A97&lt;&gt;"",$A97&amp;""=PMIS_Home!$B$4&amp;""),MAX($J$4:J96)+1,"")</f>
        <v/>
      </c>
    </row>
    <row r="98" spans="1:10" ht="13.5" customHeight="1">
      <c r="A98" s="13"/>
      <c r="B98" s="13"/>
      <c r="C98" s="13"/>
      <c r="D98" s="13"/>
      <c r="E98" s="13"/>
      <c r="F98" s="13"/>
      <c r="G98" s="13"/>
      <c r="H98" s="13"/>
      <c r="I98" s="13"/>
      <c r="J98" s="73" t="str">
        <f>IF(AND($A98&lt;&gt;"",$A98&amp;""=PMIS_Home!$B$4&amp;""),MAX($J$4:J97)+1,"")</f>
        <v/>
      </c>
    </row>
    <row r="99" spans="1:10" ht="13.5" customHeight="1">
      <c r="A99" s="13"/>
      <c r="B99" s="13"/>
      <c r="C99" s="13"/>
      <c r="D99" s="13"/>
      <c r="E99" s="13"/>
      <c r="F99" s="13"/>
      <c r="G99" s="13"/>
      <c r="H99" s="13"/>
      <c r="I99" s="13"/>
      <c r="J99" s="73" t="str">
        <f>IF(AND($A99&lt;&gt;"",$A99&amp;""=PMIS_Home!$B$4&amp;""),MAX($J$4:J98)+1,"")</f>
        <v/>
      </c>
    </row>
    <row r="100" spans="1:10" ht="13.5" customHeight="1">
      <c r="A100" s="13"/>
      <c r="B100" s="13"/>
      <c r="C100" s="13"/>
      <c r="D100" s="13"/>
      <c r="E100" s="13"/>
      <c r="F100" s="13"/>
      <c r="G100" s="13"/>
      <c r="H100" s="13"/>
      <c r="I100" s="13"/>
      <c r="J100" s="73" t="str">
        <f>IF(AND($A100&lt;&gt;"",$A100&amp;""=PMIS_Home!$B$4&amp;""),MAX($J$4:J99)+1,"")</f>
        <v/>
      </c>
    </row>
    <row r="101" spans="1:10" ht="13.5" customHeight="1">
      <c r="A101" s="13"/>
      <c r="B101" s="13"/>
      <c r="C101" s="13"/>
      <c r="D101" s="13"/>
      <c r="E101" s="13"/>
      <c r="F101" s="13"/>
      <c r="G101" s="13"/>
      <c r="H101" s="13"/>
      <c r="I101" s="13"/>
      <c r="J101" s="73" t="str">
        <f>IF(AND($A101&lt;&gt;"",$A101&amp;""=PMIS_Home!$B$4&amp;""),MAX($J$4:J100)+1,"")</f>
        <v/>
      </c>
    </row>
    <row r="102" spans="1:10" ht="13.5" customHeight="1">
      <c r="A102" s="13"/>
      <c r="B102" s="13"/>
      <c r="C102" s="13"/>
      <c r="D102" s="13"/>
      <c r="E102" s="13"/>
      <c r="F102" s="13"/>
      <c r="G102" s="13"/>
      <c r="H102" s="13"/>
      <c r="I102" s="13"/>
      <c r="J102" s="73" t="str">
        <f>IF(AND($A102&lt;&gt;"",$A102&amp;""=PMIS_Home!$B$4&amp;""),MAX($J$4:J101)+1,"")</f>
        <v/>
      </c>
    </row>
    <row r="103" spans="1:10" ht="13.5" customHeight="1">
      <c r="A103" s="13"/>
      <c r="B103" s="13"/>
      <c r="C103" s="13"/>
      <c r="D103" s="13"/>
      <c r="E103" s="13"/>
      <c r="F103" s="13"/>
      <c r="G103" s="13"/>
      <c r="H103" s="13"/>
      <c r="I103" s="13"/>
      <c r="J103" s="73" t="str">
        <f>IF(AND($A103&lt;&gt;"",$A103&amp;""=PMIS_Home!$B$4&amp;""),MAX($J$4:J102)+1,"")</f>
        <v/>
      </c>
    </row>
    <row r="104" spans="1:10" ht="13.5" customHeight="1">
      <c r="A104" s="13"/>
      <c r="B104" s="13"/>
      <c r="C104" s="13"/>
      <c r="D104" s="13"/>
      <c r="E104" s="13"/>
      <c r="F104" s="13"/>
      <c r="G104" s="13"/>
      <c r="H104" s="13"/>
      <c r="I104" s="13"/>
      <c r="J104" s="73" t="str">
        <f>IF(AND($A104&lt;&gt;"",$A104&amp;""=PMIS_Home!$B$4&amp;""),MAX($J$4:J103)+1,"")</f>
        <v/>
      </c>
    </row>
    <row r="105" spans="1:10" ht="13.5" customHeight="1">
      <c r="A105" s="13"/>
      <c r="B105" s="13"/>
      <c r="C105" s="13"/>
      <c r="D105" s="13"/>
      <c r="E105" s="13"/>
      <c r="F105" s="13"/>
      <c r="G105" s="13"/>
      <c r="H105" s="13"/>
      <c r="I105" s="13"/>
      <c r="J105" s="73" t="str">
        <f>IF(AND($A105&lt;&gt;"",$A105&amp;""=PMIS_Home!$B$4&amp;""),MAX($J$4:J104)+1,"")</f>
        <v/>
      </c>
    </row>
    <row r="106" spans="1:10" ht="13.5" customHeight="1">
      <c r="A106" s="13"/>
      <c r="B106" s="13"/>
      <c r="C106" s="13"/>
      <c r="D106" s="13"/>
      <c r="E106" s="13"/>
      <c r="F106" s="13"/>
      <c r="G106" s="13"/>
      <c r="H106" s="13"/>
      <c r="I106" s="13"/>
      <c r="J106" s="73" t="str">
        <f>IF(AND($A106&lt;&gt;"",$A106&amp;""=PMIS_Home!$B$4&amp;""),MAX($J$4:J105)+1,"")</f>
        <v/>
      </c>
    </row>
    <row r="107" spans="1:10" ht="13.5" customHeight="1">
      <c r="A107" s="13"/>
      <c r="B107" s="13"/>
      <c r="C107" s="13"/>
      <c r="D107" s="13"/>
      <c r="E107" s="13"/>
      <c r="F107" s="13"/>
      <c r="G107" s="13"/>
      <c r="H107" s="13"/>
      <c r="I107" s="13"/>
      <c r="J107" s="73" t="str">
        <f>IF(AND($A107&lt;&gt;"",$A107&amp;""=PMIS_Home!$B$4&amp;""),MAX($J$4:J106)+1,"")</f>
        <v/>
      </c>
    </row>
    <row r="108" spans="1:10" ht="13.5" customHeight="1">
      <c r="A108" s="13"/>
      <c r="B108" s="13"/>
      <c r="C108" s="13"/>
      <c r="D108" s="13"/>
      <c r="E108" s="13"/>
      <c r="F108" s="13"/>
      <c r="G108" s="13"/>
      <c r="H108" s="13"/>
      <c r="I108" s="13"/>
      <c r="J108" s="73" t="str">
        <f>IF(AND($A108&lt;&gt;"",$A108&amp;""=PMIS_Home!$B$4&amp;""),MAX($J$4:J107)+1,"")</f>
        <v/>
      </c>
    </row>
    <row r="109" spans="1:10" ht="13.5" customHeight="1">
      <c r="A109" s="13"/>
      <c r="B109" s="13"/>
      <c r="C109" s="13"/>
      <c r="D109" s="13"/>
      <c r="E109" s="13"/>
      <c r="F109" s="13"/>
      <c r="G109" s="13"/>
      <c r="H109" s="13"/>
      <c r="I109" s="13"/>
      <c r="J109" s="73" t="str">
        <f>IF(AND($A109&lt;&gt;"",$A109&amp;""=PMIS_Home!$B$4&amp;""),MAX($J$4:J108)+1,"")</f>
        <v/>
      </c>
    </row>
    <row r="110" spans="1:10" ht="13.5" customHeight="1">
      <c r="A110" s="13"/>
      <c r="B110" s="13"/>
      <c r="C110" s="13"/>
      <c r="D110" s="13"/>
      <c r="E110" s="13"/>
      <c r="F110" s="13"/>
      <c r="G110" s="13"/>
      <c r="H110" s="13"/>
      <c r="I110" s="13"/>
      <c r="J110" s="73" t="str">
        <f>IF(AND($A110&lt;&gt;"",$A110&amp;""=PMIS_Home!$B$4&amp;""),MAX($J$4:J109)+1,"")</f>
        <v/>
      </c>
    </row>
    <row r="111" spans="1:10" ht="13.5" customHeight="1">
      <c r="A111" s="13"/>
      <c r="B111" s="13"/>
      <c r="C111" s="13"/>
      <c r="D111" s="13"/>
      <c r="E111" s="13"/>
      <c r="F111" s="13"/>
      <c r="G111" s="13"/>
      <c r="H111" s="13"/>
      <c r="I111" s="13"/>
      <c r="J111" s="73" t="str">
        <f>IF(AND($A111&lt;&gt;"",$A111&amp;""=PMIS_Home!$B$4&amp;""),MAX($J$4:J110)+1,"")</f>
        <v/>
      </c>
    </row>
    <row r="112" spans="1:10" ht="13.5" customHeight="1">
      <c r="A112" s="13"/>
      <c r="B112" s="13"/>
      <c r="C112" s="13"/>
      <c r="D112" s="13"/>
      <c r="E112" s="13"/>
      <c r="F112" s="13"/>
      <c r="G112" s="13"/>
      <c r="H112" s="13"/>
      <c r="I112" s="13"/>
      <c r="J112" s="73" t="str">
        <f>IF(AND($A112&lt;&gt;"",$A112&amp;""=PMIS_Home!$B$4&amp;""),MAX($J$4:J111)+1,"")</f>
        <v/>
      </c>
    </row>
    <row r="113" spans="1:10" ht="13.5" customHeight="1">
      <c r="A113" s="13"/>
      <c r="B113" s="13"/>
      <c r="C113" s="13"/>
      <c r="D113" s="13"/>
      <c r="E113" s="13"/>
      <c r="F113" s="13"/>
      <c r="G113" s="13"/>
      <c r="H113" s="13"/>
      <c r="I113" s="13"/>
      <c r="J113" s="73" t="str">
        <f>IF(AND($A113&lt;&gt;"",$A113&amp;""=PMIS_Home!$B$4&amp;""),MAX($J$4:J112)+1,"")</f>
        <v/>
      </c>
    </row>
    <row r="114" spans="1:10" ht="13.5" customHeight="1">
      <c r="A114" s="13"/>
      <c r="B114" s="13"/>
      <c r="C114" s="13"/>
      <c r="D114" s="13"/>
      <c r="E114" s="13"/>
      <c r="F114" s="13"/>
      <c r="G114" s="13"/>
      <c r="H114" s="13"/>
      <c r="I114" s="13"/>
      <c r="J114" s="73" t="str">
        <f>IF(AND($A114&lt;&gt;"",$A114&amp;""=PMIS_Home!$B$4&amp;""),MAX($J$4:J113)+1,"")</f>
        <v/>
      </c>
    </row>
    <row r="115" spans="1:10" ht="13.5" customHeight="1">
      <c r="A115" s="13"/>
      <c r="B115" s="13"/>
      <c r="C115" s="13"/>
      <c r="D115" s="13"/>
      <c r="E115" s="13"/>
      <c r="F115" s="13"/>
      <c r="G115" s="13"/>
      <c r="H115" s="13"/>
      <c r="I115" s="13"/>
      <c r="J115" s="73" t="str">
        <f>IF(AND($A115&lt;&gt;"",$A115&amp;""=PMIS_Home!$B$4&amp;""),MAX($J$4:J114)+1,"")</f>
        <v/>
      </c>
    </row>
    <row r="116" spans="1:10" ht="13.5" customHeight="1">
      <c r="A116" s="13"/>
      <c r="B116" s="13"/>
      <c r="C116" s="13"/>
      <c r="D116" s="13"/>
      <c r="E116" s="13"/>
      <c r="F116" s="13"/>
      <c r="G116" s="13"/>
      <c r="H116" s="13"/>
      <c r="I116" s="13"/>
      <c r="J116" s="73" t="str">
        <f>IF(AND($A116&lt;&gt;"",$A116&amp;""=PMIS_Home!$B$4&amp;""),MAX($J$4:J115)+1,"")</f>
        <v/>
      </c>
    </row>
    <row r="117" spans="1:10" ht="13.5" customHeight="1">
      <c r="A117" s="13"/>
      <c r="B117" s="13"/>
      <c r="C117" s="13"/>
      <c r="D117" s="13"/>
      <c r="E117" s="13"/>
      <c r="F117" s="13"/>
      <c r="G117" s="13"/>
      <c r="H117" s="13"/>
      <c r="I117" s="13"/>
      <c r="J117" s="73" t="str">
        <f>IF(AND($A117&lt;&gt;"",$A117&amp;""=PMIS_Home!$B$4&amp;""),MAX($J$4:J116)+1,"")</f>
        <v/>
      </c>
    </row>
    <row r="118" spans="1:10" ht="13.5" customHeight="1">
      <c r="A118" s="13"/>
      <c r="B118" s="13"/>
      <c r="C118" s="13"/>
      <c r="D118" s="13"/>
      <c r="E118" s="13"/>
      <c r="F118" s="13"/>
      <c r="G118" s="13"/>
      <c r="H118" s="13"/>
      <c r="I118" s="13"/>
      <c r="J118" s="73" t="str">
        <f>IF(AND($A118&lt;&gt;"",$A118&amp;""=PMIS_Home!$B$4&amp;""),MAX($J$4:J117)+1,"")</f>
        <v/>
      </c>
    </row>
    <row r="119" spans="1:10" ht="13.5" customHeight="1">
      <c r="A119" s="13"/>
      <c r="B119" s="13"/>
      <c r="C119" s="13"/>
      <c r="D119" s="13"/>
      <c r="E119" s="13"/>
      <c r="F119" s="13"/>
      <c r="G119" s="13"/>
      <c r="H119" s="13"/>
      <c r="I119" s="13"/>
      <c r="J119" s="73" t="str">
        <f>IF(AND($A119&lt;&gt;"",$A119&amp;""=PMIS_Home!$B$4&amp;""),MAX($J$4:J118)+1,"")</f>
        <v/>
      </c>
    </row>
    <row r="120" spans="1:10" ht="13.5" customHeight="1">
      <c r="A120" s="13"/>
      <c r="B120" s="13"/>
      <c r="C120" s="13"/>
      <c r="D120" s="13"/>
      <c r="E120" s="13"/>
      <c r="F120" s="13"/>
      <c r="G120" s="13"/>
      <c r="H120" s="13"/>
      <c r="I120" s="13"/>
      <c r="J120" s="73" t="str">
        <f>IF(AND($A120&lt;&gt;"",$A120&amp;""=PMIS_Home!$B$4&amp;""),MAX($J$4:J119)+1,"")</f>
        <v/>
      </c>
    </row>
    <row r="121" spans="1:10" ht="13.5" customHeight="1">
      <c r="A121" s="13"/>
      <c r="B121" s="13"/>
      <c r="C121" s="13"/>
      <c r="D121" s="13"/>
      <c r="E121" s="13"/>
      <c r="F121" s="13"/>
      <c r="G121" s="13"/>
      <c r="H121" s="13"/>
      <c r="I121" s="13"/>
      <c r="J121" s="73" t="str">
        <f>IF(AND($A121&lt;&gt;"",$A121&amp;""=PMIS_Home!$B$4&amp;""),MAX($J$4:J120)+1,"")</f>
        <v/>
      </c>
    </row>
    <row r="122" spans="1:10" ht="13.5" customHeight="1">
      <c r="A122" s="13"/>
      <c r="B122" s="13"/>
      <c r="C122" s="13"/>
      <c r="D122" s="13"/>
      <c r="E122" s="13"/>
      <c r="F122" s="13"/>
      <c r="G122" s="13"/>
      <c r="H122" s="13"/>
      <c r="I122" s="13"/>
      <c r="J122" s="73" t="str">
        <f>IF(AND($A122&lt;&gt;"",$A122&amp;""=PMIS_Home!$B$4&amp;""),MAX($J$4:J121)+1,"")</f>
        <v/>
      </c>
    </row>
    <row r="123" spans="1:10" ht="13.5" customHeight="1">
      <c r="A123" s="13"/>
      <c r="B123" s="13"/>
      <c r="C123" s="13"/>
      <c r="D123" s="13"/>
      <c r="E123" s="13"/>
      <c r="F123" s="13"/>
      <c r="G123" s="13"/>
      <c r="H123" s="13"/>
      <c r="I123" s="13"/>
      <c r="J123" s="73" t="str">
        <f>IF(AND($A123&lt;&gt;"",$A123&amp;""=PMIS_Home!$B$4&amp;""),MAX($J$4:J122)+1,"")</f>
        <v/>
      </c>
    </row>
    <row r="124" spans="1:10" ht="13.5" customHeight="1">
      <c r="A124" s="13"/>
      <c r="B124" s="13"/>
      <c r="C124" s="13"/>
      <c r="D124" s="13"/>
      <c r="E124" s="13"/>
      <c r="F124" s="13"/>
      <c r="G124" s="13"/>
      <c r="H124" s="13"/>
      <c r="I124" s="13"/>
      <c r="J124" s="73" t="str">
        <f>IF(AND($A124&lt;&gt;"",$A124&amp;""=PMIS_Home!$B$4&amp;""),MAX($J$4:J123)+1,"")</f>
        <v/>
      </c>
    </row>
    <row r="125" spans="1:10" ht="13.5" customHeight="1">
      <c r="A125" s="13"/>
      <c r="B125" s="13"/>
      <c r="C125" s="13"/>
      <c r="D125" s="13"/>
      <c r="E125" s="13"/>
      <c r="F125" s="13"/>
      <c r="G125" s="13"/>
      <c r="H125" s="13"/>
      <c r="I125" s="13"/>
      <c r="J125" s="73" t="str">
        <f>IF(AND($A125&lt;&gt;"",$A125&amp;""=PMIS_Home!$B$4&amp;""),MAX($J$4:J124)+1,"")</f>
        <v/>
      </c>
    </row>
    <row r="126" spans="1:10" ht="13.5" customHeight="1">
      <c r="A126" s="13"/>
      <c r="B126" s="13"/>
      <c r="C126" s="13"/>
      <c r="D126" s="13"/>
      <c r="E126" s="13"/>
      <c r="F126" s="13"/>
      <c r="G126" s="13"/>
      <c r="H126" s="13"/>
      <c r="I126" s="13"/>
      <c r="J126" s="73" t="str">
        <f>IF(AND($A126&lt;&gt;"",$A126&amp;""=PMIS_Home!$B$4&amp;""),MAX($J$4:J125)+1,"")</f>
        <v/>
      </c>
    </row>
    <row r="127" spans="1:10" ht="13.5" customHeight="1">
      <c r="A127" s="13"/>
      <c r="B127" s="13"/>
      <c r="C127" s="13"/>
      <c r="D127" s="13"/>
      <c r="E127" s="13"/>
      <c r="F127" s="13"/>
      <c r="G127" s="13"/>
      <c r="H127" s="13"/>
      <c r="I127" s="13"/>
      <c r="J127" s="73" t="str">
        <f>IF(AND($A127&lt;&gt;"",$A127&amp;""=PMIS_Home!$B$4&amp;""),MAX($J$4:J126)+1,"")</f>
        <v/>
      </c>
    </row>
    <row r="128" spans="1:10" ht="13.5" customHeight="1">
      <c r="A128" s="13"/>
      <c r="B128" s="13"/>
      <c r="C128" s="13"/>
      <c r="D128" s="13"/>
      <c r="E128" s="13"/>
      <c r="F128" s="13"/>
      <c r="G128" s="13"/>
      <c r="H128" s="13"/>
      <c r="I128" s="13"/>
      <c r="J128" s="73" t="str">
        <f>IF(AND($A128&lt;&gt;"",$A128&amp;""=PMIS_Home!$B$4&amp;""),MAX($J$4:J127)+1,"")</f>
        <v/>
      </c>
    </row>
    <row r="129" spans="1:10" ht="13.5" customHeight="1">
      <c r="A129" s="13"/>
      <c r="B129" s="13"/>
      <c r="C129" s="13"/>
      <c r="D129" s="13"/>
      <c r="E129" s="13"/>
      <c r="F129" s="13"/>
      <c r="G129" s="13"/>
      <c r="H129" s="13"/>
      <c r="I129" s="13"/>
      <c r="J129" s="73" t="str">
        <f>IF(AND($A129&lt;&gt;"",$A129&amp;""=PMIS_Home!$B$4&amp;""),MAX($J$4:J128)+1,"")</f>
        <v/>
      </c>
    </row>
    <row r="130" spans="1:10" ht="13.5" customHeight="1">
      <c r="A130" s="13"/>
      <c r="B130" s="13"/>
      <c r="C130" s="13"/>
      <c r="D130" s="13"/>
      <c r="E130" s="13"/>
      <c r="F130" s="13"/>
      <c r="G130" s="13"/>
      <c r="H130" s="13"/>
      <c r="I130" s="13"/>
      <c r="J130" s="73" t="str">
        <f>IF(AND($A130&lt;&gt;"",$A130&amp;""=PMIS_Home!$B$4&amp;""),MAX($J$4:J129)+1,"")</f>
        <v/>
      </c>
    </row>
    <row r="131" spans="1:10" ht="13.5" customHeight="1">
      <c r="A131" s="13"/>
      <c r="B131" s="13"/>
      <c r="C131" s="13"/>
      <c r="D131" s="13"/>
      <c r="E131" s="13"/>
      <c r="F131" s="13"/>
      <c r="G131" s="13"/>
      <c r="H131" s="13"/>
      <c r="I131" s="13"/>
      <c r="J131" s="73" t="str">
        <f>IF(AND($A131&lt;&gt;"",$A131&amp;""=PMIS_Home!$B$4&amp;""),MAX($J$4:J130)+1,"")</f>
        <v/>
      </c>
    </row>
    <row r="132" spans="1:10" ht="13.5" customHeight="1">
      <c r="A132" s="13"/>
      <c r="B132" s="13"/>
      <c r="C132" s="13"/>
      <c r="D132" s="13"/>
      <c r="E132" s="13"/>
      <c r="F132" s="13"/>
      <c r="G132" s="13"/>
      <c r="H132" s="13"/>
      <c r="I132" s="13"/>
      <c r="J132" s="73" t="str">
        <f>IF(AND($A132&lt;&gt;"",$A132&amp;""=PMIS_Home!$B$4&amp;""),MAX($J$4:J131)+1,"")</f>
        <v/>
      </c>
    </row>
    <row r="133" spans="1:10" ht="13.5" customHeight="1">
      <c r="A133" s="13"/>
      <c r="B133" s="13"/>
      <c r="C133" s="13"/>
      <c r="D133" s="13"/>
      <c r="E133" s="13"/>
      <c r="F133" s="13"/>
      <c r="G133" s="13"/>
      <c r="H133" s="13"/>
      <c r="I133" s="13"/>
      <c r="J133" s="73" t="str">
        <f>IF(AND($A133&lt;&gt;"",$A133&amp;""=PMIS_Home!$B$4&amp;""),MAX($J$4:J132)+1,"")</f>
        <v/>
      </c>
    </row>
    <row r="134" spans="1:10" ht="13.5" customHeight="1">
      <c r="A134" s="13"/>
      <c r="B134" s="13"/>
      <c r="C134" s="13"/>
      <c r="D134" s="13"/>
      <c r="E134" s="13"/>
      <c r="F134" s="13"/>
      <c r="G134" s="13"/>
      <c r="H134" s="13"/>
      <c r="I134" s="13"/>
      <c r="J134" s="73" t="str">
        <f>IF(AND($A134&lt;&gt;"",$A134&amp;""=PMIS_Home!$B$4&amp;""),MAX($J$4:J133)+1,"")</f>
        <v/>
      </c>
    </row>
    <row r="135" spans="1:10" ht="13.5" customHeight="1">
      <c r="A135" s="13"/>
      <c r="B135" s="13"/>
      <c r="C135" s="13"/>
      <c r="D135" s="13"/>
      <c r="E135" s="13"/>
      <c r="F135" s="13"/>
      <c r="G135" s="13"/>
      <c r="H135" s="13"/>
      <c r="I135" s="13"/>
      <c r="J135" s="73" t="str">
        <f>IF(AND($A135&lt;&gt;"",$A135&amp;""=PMIS_Home!$B$4&amp;""),MAX($J$4:J134)+1,"")</f>
        <v/>
      </c>
    </row>
    <row r="136" spans="1:10" ht="13.5" customHeight="1">
      <c r="A136" s="13"/>
      <c r="B136" s="13"/>
      <c r="C136" s="13"/>
      <c r="D136" s="13"/>
      <c r="E136" s="13"/>
      <c r="F136" s="13"/>
      <c r="G136" s="13"/>
      <c r="H136" s="13"/>
      <c r="I136" s="13"/>
      <c r="J136" s="73" t="str">
        <f>IF(AND($A136&lt;&gt;"",$A136&amp;""=PMIS_Home!$B$4&amp;""),MAX($J$4:J135)+1,"")</f>
        <v/>
      </c>
    </row>
    <row r="137" spans="1:10" ht="13.5" customHeight="1">
      <c r="A137" s="13"/>
      <c r="B137" s="13"/>
      <c r="C137" s="13"/>
      <c r="D137" s="13"/>
      <c r="E137" s="13"/>
      <c r="F137" s="13"/>
      <c r="G137" s="13"/>
      <c r="H137" s="13"/>
      <c r="I137" s="13"/>
      <c r="J137" s="73" t="str">
        <f>IF(AND($A137&lt;&gt;"",$A137&amp;""=PMIS_Home!$B$4&amp;""),MAX($J$4:J136)+1,"")</f>
        <v/>
      </c>
    </row>
    <row r="138" spans="1:10" ht="13.5" customHeight="1">
      <c r="A138" s="13"/>
      <c r="B138" s="13"/>
      <c r="C138" s="13"/>
      <c r="D138" s="13"/>
      <c r="E138" s="13"/>
      <c r="F138" s="13"/>
      <c r="G138" s="13"/>
      <c r="H138" s="13"/>
      <c r="I138" s="13"/>
      <c r="J138" s="73" t="str">
        <f>IF(AND($A138&lt;&gt;"",$A138&amp;""=PMIS_Home!$B$4&amp;""),MAX($J$4:J137)+1,"")</f>
        <v/>
      </c>
    </row>
    <row r="139" spans="1:10" ht="13.5" customHeight="1">
      <c r="A139" s="13"/>
      <c r="B139" s="13"/>
      <c r="C139" s="13"/>
      <c r="D139" s="13"/>
      <c r="E139" s="13"/>
      <c r="F139" s="13"/>
      <c r="G139" s="13"/>
      <c r="H139" s="13"/>
      <c r="I139" s="13"/>
      <c r="J139" s="73" t="str">
        <f>IF(AND($A139&lt;&gt;"",$A139&amp;""=PMIS_Home!$B$4&amp;""),MAX($J$4:J138)+1,"")</f>
        <v/>
      </c>
    </row>
    <row r="140" spans="1:10" ht="13.5" customHeight="1">
      <c r="A140" s="13"/>
      <c r="B140" s="13"/>
      <c r="C140" s="13"/>
      <c r="D140" s="13"/>
      <c r="E140" s="13"/>
      <c r="F140" s="13"/>
      <c r="G140" s="13"/>
      <c r="H140" s="13"/>
      <c r="I140" s="13"/>
      <c r="J140" s="73" t="str">
        <f>IF(AND($A140&lt;&gt;"",$A140&amp;""=PMIS_Home!$B$4&amp;""),MAX($J$4:J139)+1,"")</f>
        <v/>
      </c>
    </row>
    <row r="141" spans="1:10" ht="13.5" customHeight="1">
      <c r="A141" s="13"/>
      <c r="B141" s="13"/>
      <c r="C141" s="13"/>
      <c r="D141" s="13"/>
      <c r="E141" s="13"/>
      <c r="F141" s="13"/>
      <c r="G141" s="13"/>
      <c r="H141" s="13"/>
      <c r="I141" s="13"/>
      <c r="J141" s="73" t="str">
        <f>IF(AND($A141&lt;&gt;"",$A141&amp;""=PMIS_Home!$B$4&amp;""),MAX($J$4:J140)+1,"")</f>
        <v/>
      </c>
    </row>
    <row r="142" spans="1:10" ht="13.5" customHeight="1">
      <c r="A142" s="13"/>
      <c r="B142" s="13"/>
      <c r="C142" s="13"/>
      <c r="D142" s="13"/>
      <c r="E142" s="13"/>
      <c r="F142" s="13"/>
      <c r="G142" s="13"/>
      <c r="H142" s="13"/>
      <c r="I142" s="13"/>
      <c r="J142" s="73" t="str">
        <f>IF(AND($A142&lt;&gt;"",$A142&amp;""=PMIS_Home!$B$4&amp;""),MAX($J$4:J141)+1,"")</f>
        <v/>
      </c>
    </row>
    <row r="143" spans="1:10" ht="13.5" customHeight="1">
      <c r="A143" s="13"/>
      <c r="B143" s="13"/>
      <c r="C143" s="13"/>
      <c r="D143" s="13"/>
      <c r="E143" s="13"/>
      <c r="F143" s="13"/>
      <c r="G143" s="13"/>
      <c r="H143" s="13"/>
      <c r="I143" s="13"/>
      <c r="J143" s="73" t="str">
        <f>IF(AND($A143&lt;&gt;"",$A143&amp;""=PMIS_Home!$B$4&amp;""),MAX($J$4:J142)+1,"")</f>
        <v/>
      </c>
    </row>
    <row r="144" spans="1:10" ht="13.5" customHeight="1">
      <c r="A144" s="13"/>
      <c r="B144" s="13"/>
      <c r="C144" s="13"/>
      <c r="D144" s="13"/>
      <c r="E144" s="13"/>
      <c r="F144" s="13"/>
      <c r="G144" s="13"/>
      <c r="H144" s="13"/>
      <c r="I144" s="13"/>
      <c r="J144" s="73" t="str">
        <f>IF(AND($A144&lt;&gt;"",$A144&amp;""=PMIS_Home!$B$4&amp;""),MAX($J$4:J143)+1,"")</f>
        <v/>
      </c>
    </row>
    <row r="145" spans="1:10" ht="13.5" customHeight="1">
      <c r="A145" s="13"/>
      <c r="B145" s="13"/>
      <c r="C145" s="13"/>
      <c r="D145" s="13"/>
      <c r="E145" s="13"/>
      <c r="F145" s="13"/>
      <c r="G145" s="13"/>
      <c r="H145" s="13"/>
      <c r="I145" s="13"/>
      <c r="J145" s="73" t="str">
        <f>IF(AND($A145&lt;&gt;"",$A145&amp;""=PMIS_Home!$B$4&amp;""),MAX($J$4:J144)+1,"")</f>
        <v/>
      </c>
    </row>
    <row r="146" spans="1:10" ht="13.5" customHeight="1">
      <c r="A146" s="13"/>
      <c r="B146" s="13"/>
      <c r="C146" s="13"/>
      <c r="D146" s="13"/>
      <c r="E146" s="13"/>
      <c r="F146" s="13"/>
      <c r="G146" s="13"/>
      <c r="H146" s="13"/>
      <c r="I146" s="13"/>
      <c r="J146" s="73" t="str">
        <f>IF(AND($A146&lt;&gt;"",$A146&amp;""=PMIS_Home!$B$4&amp;""),MAX($J$4:J145)+1,"")</f>
        <v/>
      </c>
    </row>
    <row r="147" spans="1:10" ht="13.5" customHeight="1">
      <c r="A147" s="13"/>
      <c r="B147" s="13"/>
      <c r="C147" s="13"/>
      <c r="D147" s="13"/>
      <c r="E147" s="13"/>
      <c r="F147" s="13"/>
      <c r="G147" s="13"/>
      <c r="H147" s="13"/>
      <c r="I147" s="13"/>
      <c r="J147" s="73" t="str">
        <f>IF(AND($A147&lt;&gt;"",$A147&amp;""=PMIS_Home!$B$4&amp;""),MAX($J$4:J146)+1,"")</f>
        <v/>
      </c>
    </row>
    <row r="148" spans="1:10" ht="13.5" customHeight="1">
      <c r="A148" s="13"/>
      <c r="B148" s="13"/>
      <c r="C148" s="13"/>
      <c r="D148" s="13"/>
      <c r="E148" s="13"/>
      <c r="F148" s="13"/>
      <c r="G148" s="13"/>
      <c r="H148" s="13"/>
      <c r="I148" s="13"/>
      <c r="J148" s="73" t="str">
        <f>IF(AND($A148&lt;&gt;"",$A148&amp;""=PMIS_Home!$B$4&amp;""),MAX($J$4:J147)+1,"")</f>
        <v/>
      </c>
    </row>
    <row r="149" spans="1:10" ht="13.5" customHeight="1">
      <c r="A149" s="13"/>
      <c r="B149" s="13"/>
      <c r="C149" s="13"/>
      <c r="D149" s="13"/>
      <c r="E149" s="13"/>
      <c r="F149" s="13"/>
      <c r="G149" s="13"/>
      <c r="H149" s="13"/>
      <c r="I149" s="13"/>
      <c r="J149" s="73" t="str">
        <f>IF(AND($A149&lt;&gt;"",$A149&amp;""=PMIS_Home!$B$4&amp;""),MAX($J$4:J148)+1,"")</f>
        <v/>
      </c>
    </row>
    <row r="150" spans="1:10" ht="13.5" customHeight="1">
      <c r="A150" s="13"/>
      <c r="B150" s="13"/>
      <c r="C150" s="13"/>
      <c r="D150" s="13"/>
      <c r="E150" s="13"/>
      <c r="F150" s="13"/>
      <c r="G150" s="13"/>
      <c r="H150" s="13"/>
      <c r="I150" s="13"/>
      <c r="J150" s="73" t="str">
        <f>IF(AND($A150&lt;&gt;"",$A150&amp;""=PMIS_Home!$B$4&amp;""),MAX($J$4:J149)+1,"")</f>
        <v/>
      </c>
    </row>
    <row r="151" spans="1:10" ht="13.5" customHeight="1">
      <c r="A151" s="13"/>
      <c r="B151" s="13"/>
      <c r="C151" s="13"/>
      <c r="D151" s="13"/>
      <c r="E151" s="13"/>
      <c r="F151" s="13"/>
      <c r="G151" s="13"/>
      <c r="H151" s="13"/>
      <c r="I151" s="13"/>
      <c r="J151" s="73" t="str">
        <f>IF(AND($A151&lt;&gt;"",$A151&amp;""=PMIS_Home!$B$4&amp;""),MAX($J$4:J150)+1,"")</f>
        <v/>
      </c>
    </row>
    <row r="152" spans="1:10" ht="13.5" customHeight="1">
      <c r="A152" s="13"/>
      <c r="B152" s="13"/>
      <c r="C152" s="13"/>
      <c r="D152" s="13"/>
      <c r="E152" s="13"/>
      <c r="F152" s="13"/>
      <c r="G152" s="13"/>
      <c r="H152" s="13"/>
      <c r="I152" s="13"/>
      <c r="J152" s="73" t="str">
        <f>IF(AND($A152&lt;&gt;"",$A152&amp;""=PMIS_Home!$B$4&amp;""),MAX($J$4:J151)+1,"")</f>
        <v/>
      </c>
    </row>
    <row r="153" spans="1:10" ht="13.5" customHeight="1">
      <c r="A153" s="13"/>
      <c r="B153" s="13"/>
      <c r="C153" s="13"/>
      <c r="D153" s="13"/>
      <c r="E153" s="13"/>
      <c r="F153" s="13"/>
      <c r="G153" s="13"/>
      <c r="H153" s="13"/>
      <c r="I153" s="13"/>
      <c r="J153" s="73" t="str">
        <f>IF(AND($A153&lt;&gt;"",$A153&amp;""=PMIS_Home!$B$4&amp;""),MAX($J$4:J152)+1,"")</f>
        <v/>
      </c>
    </row>
    <row r="154" spans="1:10" ht="13.5" customHeight="1">
      <c r="A154" s="13"/>
      <c r="B154" s="13"/>
      <c r="C154" s="13"/>
      <c r="D154" s="13"/>
      <c r="E154" s="13"/>
      <c r="F154" s="13"/>
      <c r="G154" s="13"/>
      <c r="H154" s="13"/>
      <c r="I154" s="13"/>
      <c r="J154" s="73" t="str">
        <f>IF(AND($A154&lt;&gt;"",$A154&amp;""=PMIS_Home!$B$4&amp;""),MAX($J$4:J153)+1,"")</f>
        <v/>
      </c>
    </row>
    <row r="155" spans="1:10" ht="13.5" customHeight="1">
      <c r="A155" s="13"/>
      <c r="B155" s="13"/>
      <c r="C155" s="13"/>
      <c r="D155" s="13"/>
      <c r="E155" s="13"/>
      <c r="F155" s="13"/>
      <c r="G155" s="13"/>
      <c r="H155" s="13"/>
      <c r="I155" s="13"/>
      <c r="J155" s="73" t="str">
        <f>IF(AND($A155&lt;&gt;"",$A155&amp;""=PMIS_Home!$B$4&amp;""),MAX($J$4:J154)+1,"")</f>
        <v/>
      </c>
    </row>
    <row r="156" spans="1:10" ht="13.5" customHeight="1">
      <c r="A156" s="13"/>
      <c r="B156" s="13"/>
      <c r="C156" s="13"/>
      <c r="D156" s="13"/>
      <c r="E156" s="13"/>
      <c r="F156" s="13"/>
      <c r="G156" s="13"/>
      <c r="H156" s="13"/>
      <c r="I156" s="13"/>
      <c r="J156" s="73" t="str">
        <f>IF(AND($A156&lt;&gt;"",$A156&amp;""=PMIS_Home!$B$4&amp;""),MAX($J$4:J155)+1,"")</f>
        <v/>
      </c>
    </row>
    <row r="157" spans="1:10" ht="13.5" customHeight="1">
      <c r="A157" s="13"/>
      <c r="B157" s="13"/>
      <c r="C157" s="13"/>
      <c r="D157" s="13"/>
      <c r="E157" s="13"/>
      <c r="F157" s="13"/>
      <c r="G157" s="13"/>
      <c r="H157" s="13"/>
      <c r="I157" s="13"/>
      <c r="J157" s="73" t="str">
        <f>IF(AND($A157&lt;&gt;"",$A157&amp;""=PMIS_Home!$B$4&amp;""),MAX($J$4:J156)+1,"")</f>
        <v/>
      </c>
    </row>
    <row r="158" spans="1:10" ht="13.5" customHeight="1">
      <c r="A158" s="13"/>
      <c r="B158" s="13"/>
      <c r="C158" s="13"/>
      <c r="D158" s="13"/>
      <c r="E158" s="13"/>
      <c r="F158" s="13"/>
      <c r="G158" s="13"/>
      <c r="H158" s="13"/>
      <c r="I158" s="13"/>
      <c r="J158" s="73" t="str">
        <f>IF(AND($A158&lt;&gt;"",$A158&amp;""=PMIS_Home!$B$4&amp;""),MAX($J$4:J157)+1,"")</f>
        <v/>
      </c>
    </row>
    <row r="159" spans="1:10" ht="13.5" customHeight="1">
      <c r="A159" s="13"/>
      <c r="B159" s="13"/>
      <c r="C159" s="13"/>
      <c r="D159" s="13"/>
      <c r="E159" s="13"/>
      <c r="F159" s="13"/>
      <c r="G159" s="13"/>
      <c r="H159" s="13"/>
      <c r="I159" s="13"/>
      <c r="J159" s="73" t="str">
        <f>IF(AND($A159&lt;&gt;"",$A159&amp;""=PMIS_Home!$B$4&amp;""),MAX($J$4:J158)+1,"")</f>
        <v/>
      </c>
    </row>
    <row r="160" spans="1:10" ht="13.5" customHeight="1">
      <c r="A160" s="13"/>
      <c r="B160" s="13"/>
      <c r="C160" s="13"/>
      <c r="D160" s="13"/>
      <c r="E160" s="13"/>
      <c r="F160" s="13"/>
      <c r="G160" s="13"/>
      <c r="H160" s="13"/>
      <c r="I160" s="13"/>
      <c r="J160" s="73" t="str">
        <f>IF(AND($A160&lt;&gt;"",$A160&amp;""=PMIS_Home!$B$4&amp;""),MAX($J$4:J159)+1,"")</f>
        <v/>
      </c>
    </row>
    <row r="161" spans="1:10" ht="13.5" customHeight="1">
      <c r="A161" s="13"/>
      <c r="B161" s="13"/>
      <c r="C161" s="13"/>
      <c r="D161" s="13"/>
      <c r="E161" s="13"/>
      <c r="F161" s="13"/>
      <c r="G161" s="13"/>
      <c r="H161" s="13"/>
      <c r="I161" s="13"/>
      <c r="J161" s="73" t="str">
        <f>IF(AND($A161&lt;&gt;"",$A161&amp;""=PMIS_Home!$B$4&amp;""),MAX($J$4:J160)+1,"")</f>
        <v/>
      </c>
    </row>
    <row r="162" spans="1:10" ht="13.5" customHeight="1">
      <c r="A162" s="13"/>
      <c r="B162" s="13"/>
      <c r="C162" s="13"/>
      <c r="D162" s="13"/>
      <c r="E162" s="13"/>
      <c r="F162" s="13"/>
      <c r="G162" s="13"/>
      <c r="H162" s="13"/>
      <c r="I162" s="13"/>
      <c r="J162" s="73" t="str">
        <f>IF(AND($A162&lt;&gt;"",$A162&amp;""=PMIS_Home!$B$4&amp;""),MAX($J$4:J161)+1,"")</f>
        <v/>
      </c>
    </row>
    <row r="163" spans="1:10" ht="13.5" customHeight="1">
      <c r="A163" s="13"/>
      <c r="B163" s="13"/>
      <c r="C163" s="13"/>
      <c r="D163" s="13"/>
      <c r="E163" s="13"/>
      <c r="F163" s="13"/>
      <c r="G163" s="13"/>
      <c r="H163" s="13"/>
      <c r="I163" s="13"/>
      <c r="J163" s="73" t="str">
        <f>IF(AND($A163&lt;&gt;"",$A163&amp;""=PMIS_Home!$B$4&amp;""),MAX($J$4:J162)+1,"")</f>
        <v/>
      </c>
    </row>
    <row r="164" spans="1:10" ht="13.5" customHeight="1">
      <c r="A164" s="13"/>
      <c r="B164" s="13"/>
      <c r="C164" s="13"/>
      <c r="D164" s="13"/>
      <c r="E164" s="13"/>
      <c r="F164" s="13"/>
      <c r="G164" s="13"/>
      <c r="H164" s="13"/>
      <c r="I164" s="13"/>
      <c r="J164" s="73" t="str">
        <f>IF(AND($A164&lt;&gt;"",$A164&amp;""=PMIS_Home!$B$4&amp;""),MAX($J$4:J163)+1,"")</f>
        <v/>
      </c>
    </row>
    <row r="165" spans="1:10" ht="13.5" customHeight="1">
      <c r="A165" s="13"/>
      <c r="B165" s="13"/>
      <c r="C165" s="13"/>
      <c r="D165" s="13"/>
      <c r="E165" s="13"/>
      <c r="F165" s="13"/>
      <c r="G165" s="13"/>
      <c r="H165" s="13"/>
      <c r="I165" s="13"/>
      <c r="J165" s="73" t="str">
        <f>IF(AND($A165&lt;&gt;"",$A165&amp;""=PMIS_Home!$B$4&amp;""),MAX($J$4:J164)+1,"")</f>
        <v/>
      </c>
    </row>
    <row r="166" spans="1:10" ht="13.5" customHeight="1">
      <c r="A166" s="13"/>
      <c r="B166" s="13"/>
      <c r="C166" s="13"/>
      <c r="D166" s="13"/>
      <c r="E166" s="13"/>
      <c r="F166" s="13"/>
      <c r="G166" s="13"/>
      <c r="H166" s="13"/>
      <c r="I166" s="13"/>
      <c r="J166" s="73" t="str">
        <f>IF(AND($A166&lt;&gt;"",$A166&amp;""=PMIS_Home!$B$4&amp;""),MAX($J$4:J165)+1,"")</f>
        <v/>
      </c>
    </row>
    <row r="167" spans="1:10" ht="13.5" customHeight="1">
      <c r="A167" s="13"/>
      <c r="B167" s="13"/>
      <c r="C167" s="13"/>
      <c r="D167" s="13"/>
      <c r="E167" s="13"/>
      <c r="F167" s="13"/>
      <c r="G167" s="13"/>
      <c r="H167" s="13"/>
      <c r="I167" s="13"/>
      <c r="J167" s="73" t="str">
        <f>IF(AND($A167&lt;&gt;"",$A167&amp;""=PMIS_Home!$B$4&amp;""),MAX($J$4:J166)+1,"")</f>
        <v/>
      </c>
    </row>
    <row r="168" spans="1:10" ht="13.5" customHeight="1">
      <c r="A168" s="13"/>
      <c r="B168" s="13"/>
      <c r="C168" s="13"/>
      <c r="D168" s="13"/>
      <c r="E168" s="13"/>
      <c r="F168" s="13"/>
      <c r="G168" s="13"/>
      <c r="H168" s="13"/>
      <c r="I168" s="13"/>
      <c r="J168" s="73" t="str">
        <f>IF(AND($A168&lt;&gt;"",$A168&amp;""=PMIS_Home!$B$4&amp;""),MAX($J$4:J167)+1,"")</f>
        <v/>
      </c>
    </row>
    <row r="169" spans="1:10" ht="13.5" customHeight="1">
      <c r="A169" s="13"/>
      <c r="B169" s="13"/>
      <c r="C169" s="13"/>
      <c r="D169" s="13"/>
      <c r="E169" s="13"/>
      <c r="F169" s="13"/>
      <c r="G169" s="13"/>
      <c r="H169" s="13"/>
      <c r="I169" s="13"/>
      <c r="J169" s="73" t="str">
        <f>IF(AND($A169&lt;&gt;"",$A169&amp;""=PMIS_Home!$B$4&amp;""),MAX($J$4:J168)+1,"")</f>
        <v/>
      </c>
    </row>
    <row r="170" spans="1:10" ht="13.5" customHeight="1">
      <c r="A170" s="13"/>
      <c r="B170" s="13"/>
      <c r="C170" s="13"/>
      <c r="D170" s="13"/>
      <c r="E170" s="13"/>
      <c r="F170" s="13"/>
      <c r="G170" s="13"/>
      <c r="H170" s="13"/>
      <c r="I170" s="13"/>
      <c r="J170" s="73" t="str">
        <f>IF(AND($A170&lt;&gt;"",$A170&amp;""=PMIS_Home!$B$4&amp;""),MAX($J$4:J169)+1,"")</f>
        <v/>
      </c>
    </row>
    <row r="171" spans="1:10" ht="13.5" customHeight="1">
      <c r="A171" s="13"/>
      <c r="B171" s="13"/>
      <c r="C171" s="13"/>
      <c r="D171" s="13"/>
      <c r="E171" s="13"/>
      <c r="F171" s="13"/>
      <c r="G171" s="13"/>
      <c r="H171" s="13"/>
      <c r="I171" s="13"/>
      <c r="J171" s="73" t="str">
        <f>IF(AND($A171&lt;&gt;"",$A171&amp;""=PMIS_Home!$B$4&amp;""),MAX($J$4:J170)+1,"")</f>
        <v/>
      </c>
    </row>
    <row r="172" spans="1:10" ht="13.5" customHeight="1">
      <c r="A172" s="13"/>
      <c r="B172" s="13"/>
      <c r="C172" s="13"/>
      <c r="D172" s="13"/>
      <c r="E172" s="13"/>
      <c r="F172" s="13"/>
      <c r="G172" s="13"/>
      <c r="H172" s="13"/>
      <c r="I172" s="13"/>
      <c r="J172" s="73" t="str">
        <f>IF(AND($A172&lt;&gt;"",$A172&amp;""=PMIS_Home!$B$4&amp;""),MAX($J$4:J171)+1,"")</f>
        <v/>
      </c>
    </row>
    <row r="173" spans="1:10" ht="13.5" customHeight="1">
      <c r="A173" s="13"/>
      <c r="B173" s="13"/>
      <c r="C173" s="13"/>
      <c r="D173" s="13"/>
      <c r="E173" s="13"/>
      <c r="F173" s="13"/>
      <c r="G173" s="13"/>
      <c r="H173" s="13"/>
      <c r="I173" s="13"/>
      <c r="J173" s="73" t="str">
        <f>IF(AND($A173&lt;&gt;"",$A173&amp;""=PMIS_Home!$B$4&amp;""),MAX($J$4:J172)+1,"")</f>
        <v/>
      </c>
    </row>
    <row r="174" spans="1:10" ht="13.5" customHeight="1">
      <c r="A174" s="13"/>
      <c r="B174" s="13"/>
      <c r="C174" s="13"/>
      <c r="D174" s="13"/>
      <c r="E174" s="13"/>
      <c r="F174" s="13"/>
      <c r="G174" s="13"/>
      <c r="H174" s="13"/>
      <c r="I174" s="13"/>
      <c r="J174" s="73" t="str">
        <f>IF(AND($A174&lt;&gt;"",$A174&amp;""=PMIS_Home!$B$4&amp;""),MAX($J$4:J173)+1,"")</f>
        <v/>
      </c>
    </row>
    <row r="175" spans="1:10" ht="13.5" customHeight="1">
      <c r="A175" s="13"/>
      <c r="B175" s="13"/>
      <c r="C175" s="13"/>
      <c r="D175" s="13"/>
      <c r="E175" s="13"/>
      <c r="F175" s="13"/>
      <c r="G175" s="13"/>
      <c r="H175" s="13"/>
      <c r="I175" s="13"/>
      <c r="J175" s="73" t="str">
        <f>IF(AND($A175&lt;&gt;"",$A175&amp;""=PMIS_Home!$B$4&amp;""),MAX($J$4:J174)+1,"")</f>
        <v/>
      </c>
    </row>
    <row r="176" spans="1:10" ht="13.5" customHeight="1">
      <c r="A176" s="13"/>
      <c r="B176" s="13"/>
      <c r="C176" s="13"/>
      <c r="D176" s="13"/>
      <c r="E176" s="13"/>
      <c r="F176" s="13"/>
      <c r="G176" s="13"/>
      <c r="H176" s="13"/>
      <c r="I176" s="13"/>
      <c r="J176" s="73" t="str">
        <f>IF(AND($A176&lt;&gt;"",$A176&amp;""=PMIS_Home!$B$4&amp;""),MAX($J$4:J175)+1,"")</f>
        <v/>
      </c>
    </row>
    <row r="177" spans="1:10" ht="13.5" customHeight="1">
      <c r="A177" s="13"/>
      <c r="B177" s="13"/>
      <c r="C177" s="13"/>
      <c r="D177" s="13"/>
      <c r="E177" s="13"/>
      <c r="F177" s="13"/>
      <c r="G177" s="13"/>
      <c r="H177" s="13"/>
      <c r="I177" s="13"/>
      <c r="J177" s="73" t="str">
        <f>IF(AND($A177&lt;&gt;"",$A177&amp;""=PMIS_Home!$B$4&amp;""),MAX($J$4:J176)+1,"")</f>
        <v/>
      </c>
    </row>
    <row r="178" spans="1:10" ht="13.5" customHeight="1">
      <c r="A178" s="13"/>
      <c r="B178" s="13"/>
      <c r="C178" s="13"/>
      <c r="D178" s="13"/>
      <c r="E178" s="13"/>
      <c r="F178" s="13"/>
      <c r="G178" s="13"/>
      <c r="H178" s="13"/>
      <c r="I178" s="13"/>
      <c r="J178" s="73" t="str">
        <f>IF(AND($A178&lt;&gt;"",$A178&amp;""=PMIS_Home!$B$4&amp;""),MAX($J$4:J177)+1,"")</f>
        <v/>
      </c>
    </row>
    <row r="179" spans="1:10" ht="13.5" customHeight="1">
      <c r="A179" s="13"/>
      <c r="B179" s="13"/>
      <c r="C179" s="13"/>
      <c r="D179" s="13"/>
      <c r="E179" s="13"/>
      <c r="F179" s="13"/>
      <c r="G179" s="13"/>
      <c r="H179" s="13"/>
      <c r="I179" s="13"/>
      <c r="J179" s="73" t="str">
        <f>IF(AND($A179&lt;&gt;"",$A179&amp;""=PMIS_Home!$B$4&amp;""),MAX($J$4:J178)+1,"")</f>
        <v/>
      </c>
    </row>
    <row r="180" spans="1:10" ht="13.5" customHeight="1">
      <c r="A180" s="13"/>
      <c r="B180" s="13"/>
      <c r="C180" s="13"/>
      <c r="D180" s="13"/>
      <c r="E180" s="13"/>
      <c r="F180" s="13"/>
      <c r="G180" s="13"/>
      <c r="H180" s="13"/>
      <c r="I180" s="13"/>
      <c r="J180" s="73" t="str">
        <f>IF(AND($A180&lt;&gt;"",$A180&amp;""=PMIS_Home!$B$4&amp;""),MAX($J$4:J179)+1,"")</f>
        <v/>
      </c>
    </row>
    <row r="181" spans="1:10" ht="13.5" customHeight="1">
      <c r="A181" s="13"/>
      <c r="B181" s="13"/>
      <c r="C181" s="13"/>
      <c r="D181" s="13"/>
      <c r="E181" s="13"/>
      <c r="F181" s="13"/>
      <c r="G181" s="13"/>
      <c r="H181" s="13"/>
      <c r="I181" s="13"/>
      <c r="J181" s="73" t="str">
        <f>IF(AND($A181&lt;&gt;"",$A181&amp;""=PMIS_Home!$B$4&amp;""),MAX($J$4:J180)+1,"")</f>
        <v/>
      </c>
    </row>
    <row r="182" spans="1:10" ht="13.5" customHeight="1">
      <c r="A182" s="13"/>
      <c r="B182" s="13"/>
      <c r="C182" s="13"/>
      <c r="D182" s="13"/>
      <c r="E182" s="13"/>
      <c r="F182" s="13"/>
      <c r="G182" s="13"/>
      <c r="H182" s="13"/>
      <c r="I182" s="13"/>
      <c r="J182" s="73" t="str">
        <f>IF(AND($A182&lt;&gt;"",$A182&amp;""=PMIS_Home!$B$4&amp;""),MAX($J$4:J181)+1,"")</f>
        <v/>
      </c>
    </row>
    <row r="183" spans="1:10" ht="13.5" customHeight="1">
      <c r="A183" s="13"/>
      <c r="B183" s="13"/>
      <c r="C183" s="13"/>
      <c r="D183" s="13"/>
      <c r="E183" s="13"/>
      <c r="F183" s="13"/>
      <c r="G183" s="13"/>
      <c r="H183" s="13"/>
      <c r="I183" s="13"/>
      <c r="J183" s="73" t="str">
        <f>IF(AND($A183&lt;&gt;"",$A183&amp;""=PMIS_Home!$B$4&amp;""),MAX($J$4:J182)+1,"")</f>
        <v/>
      </c>
    </row>
    <row r="184" spans="1:10" ht="13.5" customHeight="1">
      <c r="A184" s="13"/>
      <c r="B184" s="13"/>
      <c r="C184" s="13"/>
      <c r="D184" s="13"/>
      <c r="E184" s="13"/>
      <c r="F184" s="13"/>
      <c r="G184" s="13"/>
      <c r="H184" s="13"/>
      <c r="I184" s="13"/>
      <c r="J184" s="73" t="str">
        <f>IF(AND($A184&lt;&gt;"",$A184&amp;""=PMIS_Home!$B$4&amp;""),MAX($J$4:J183)+1,"")</f>
        <v/>
      </c>
    </row>
    <row r="185" spans="1:10" ht="13.5" customHeight="1">
      <c r="A185" s="13"/>
      <c r="B185" s="13"/>
      <c r="C185" s="13"/>
      <c r="D185" s="13"/>
      <c r="E185" s="13"/>
      <c r="F185" s="13"/>
      <c r="G185" s="13"/>
      <c r="H185" s="13"/>
      <c r="I185" s="13"/>
      <c r="J185" s="73" t="str">
        <f>IF(AND($A185&lt;&gt;"",$A185&amp;""=PMIS_Home!$B$4&amp;""),MAX($J$4:J184)+1,"")</f>
        <v/>
      </c>
    </row>
    <row r="186" spans="1:10" ht="13.5" customHeight="1">
      <c r="A186" s="13"/>
      <c r="B186" s="13"/>
      <c r="C186" s="13"/>
      <c r="D186" s="13"/>
      <c r="E186" s="13"/>
      <c r="F186" s="13"/>
      <c r="G186" s="13"/>
      <c r="H186" s="13"/>
      <c r="I186" s="13"/>
      <c r="J186" s="73" t="str">
        <f>IF(AND($A186&lt;&gt;"",$A186&amp;""=PMIS_Home!$B$4&amp;""),MAX($J$4:J185)+1,"")</f>
        <v/>
      </c>
    </row>
    <row r="187" spans="1:10" ht="13.5" customHeight="1">
      <c r="A187" s="13"/>
      <c r="B187" s="13"/>
      <c r="C187" s="13"/>
      <c r="D187" s="13"/>
      <c r="E187" s="13"/>
      <c r="F187" s="13"/>
      <c r="G187" s="13"/>
      <c r="H187" s="13"/>
      <c r="I187" s="13"/>
      <c r="J187" s="73" t="str">
        <f>IF(AND($A187&lt;&gt;"",$A187&amp;""=PMIS_Home!$B$4&amp;""),MAX($J$4:J186)+1,"")</f>
        <v/>
      </c>
    </row>
    <row r="188" spans="1:10" ht="13.5" customHeight="1">
      <c r="A188" s="13"/>
      <c r="B188" s="13"/>
      <c r="C188" s="13"/>
      <c r="D188" s="13"/>
      <c r="E188" s="13"/>
      <c r="F188" s="13"/>
      <c r="G188" s="13"/>
      <c r="H188" s="13"/>
      <c r="I188" s="13"/>
      <c r="J188" s="73" t="str">
        <f>IF(AND($A188&lt;&gt;"",$A188&amp;""=PMIS_Home!$B$4&amp;""),MAX($J$4:J187)+1,"")</f>
        <v/>
      </c>
    </row>
    <row r="189" spans="1:10" ht="13.5" customHeight="1">
      <c r="A189" s="13"/>
      <c r="B189" s="13"/>
      <c r="C189" s="13"/>
      <c r="D189" s="13"/>
      <c r="E189" s="13"/>
      <c r="F189" s="13"/>
      <c r="G189" s="13"/>
      <c r="H189" s="13"/>
      <c r="I189" s="13"/>
      <c r="J189" s="73" t="str">
        <f>IF(AND($A189&lt;&gt;"",$A189&amp;""=PMIS_Home!$B$4&amp;""),MAX($J$4:J188)+1,"")</f>
        <v/>
      </c>
    </row>
    <row r="190" spans="1:10" ht="13.5" customHeight="1">
      <c r="A190" s="13"/>
      <c r="B190" s="13"/>
      <c r="C190" s="13"/>
      <c r="D190" s="13"/>
      <c r="E190" s="13"/>
      <c r="F190" s="13"/>
      <c r="G190" s="13"/>
      <c r="H190" s="13"/>
      <c r="I190" s="13"/>
      <c r="J190" s="73" t="str">
        <f>IF(AND($A190&lt;&gt;"",$A190&amp;""=PMIS_Home!$B$4&amp;""),MAX($J$4:J189)+1,"")</f>
        <v/>
      </c>
    </row>
    <row r="191" spans="1:10" ht="13.5" customHeight="1">
      <c r="A191" s="13"/>
      <c r="B191" s="13"/>
      <c r="C191" s="13"/>
      <c r="D191" s="13"/>
      <c r="E191" s="13"/>
      <c r="F191" s="13"/>
      <c r="G191" s="13"/>
      <c r="H191" s="13"/>
      <c r="I191" s="13"/>
      <c r="J191" s="73" t="str">
        <f>IF(AND($A191&lt;&gt;"",$A191&amp;""=PMIS_Home!$B$4&amp;""),MAX($J$4:J190)+1,"")</f>
        <v/>
      </c>
    </row>
    <row r="192" spans="1:10" ht="13.5" customHeight="1">
      <c r="A192" s="13"/>
      <c r="B192" s="13"/>
      <c r="C192" s="13"/>
      <c r="D192" s="13"/>
      <c r="E192" s="13"/>
      <c r="F192" s="13"/>
      <c r="G192" s="13"/>
      <c r="H192" s="13"/>
      <c r="I192" s="13"/>
      <c r="J192" s="73" t="str">
        <f>IF(AND($A192&lt;&gt;"",$A192&amp;""=PMIS_Home!$B$4&amp;""),MAX($J$4:J191)+1,"")</f>
        <v/>
      </c>
    </row>
    <row r="193" spans="1:10" ht="13.5" customHeight="1">
      <c r="A193" s="13"/>
      <c r="B193" s="13"/>
      <c r="C193" s="13"/>
      <c r="D193" s="13"/>
      <c r="E193" s="13"/>
      <c r="F193" s="13"/>
      <c r="G193" s="13"/>
      <c r="H193" s="13"/>
      <c r="I193" s="13"/>
      <c r="J193" s="73" t="str">
        <f>IF(AND($A193&lt;&gt;"",$A193&amp;""=PMIS_Home!$B$4&amp;""),MAX($J$4:J192)+1,"")</f>
        <v/>
      </c>
    </row>
    <row r="194" spans="1:10" ht="13.5" customHeight="1">
      <c r="A194" s="13"/>
      <c r="B194" s="13"/>
      <c r="C194" s="13"/>
      <c r="D194" s="13"/>
      <c r="E194" s="13"/>
      <c r="F194" s="13"/>
      <c r="G194" s="13"/>
      <c r="H194" s="13"/>
      <c r="I194" s="13"/>
      <c r="J194" s="73" t="str">
        <f>IF(AND($A194&lt;&gt;"",$A194&amp;""=PMIS_Home!$B$4&amp;""),MAX($J$4:J193)+1,"")</f>
        <v/>
      </c>
    </row>
    <row r="195" spans="1:10" ht="13.5" customHeight="1">
      <c r="A195" s="13"/>
      <c r="B195" s="13"/>
      <c r="C195" s="13"/>
      <c r="D195" s="13"/>
      <c r="E195" s="13"/>
      <c r="F195" s="13"/>
      <c r="G195" s="13"/>
      <c r="H195" s="13"/>
      <c r="I195" s="13"/>
      <c r="J195" s="73" t="str">
        <f>IF(AND($A195&lt;&gt;"",$A195&amp;""=PMIS_Home!$B$4&amp;""),MAX($J$4:J194)+1,"")</f>
        <v/>
      </c>
    </row>
    <row r="196" spans="1:10" ht="13.5" customHeight="1">
      <c r="A196" s="13"/>
      <c r="B196" s="13"/>
      <c r="C196" s="13"/>
      <c r="D196" s="13"/>
      <c r="E196" s="13"/>
      <c r="F196" s="13"/>
      <c r="G196" s="13"/>
      <c r="H196" s="13"/>
      <c r="I196" s="13"/>
      <c r="J196" s="73" t="str">
        <f>IF(AND($A196&lt;&gt;"",$A196&amp;""=PMIS_Home!$B$4&amp;""),MAX($J$4:J195)+1,"")</f>
        <v/>
      </c>
    </row>
    <row r="197" spans="1:10" ht="13.5" customHeight="1">
      <c r="A197" s="13"/>
      <c r="B197" s="13"/>
      <c r="C197" s="13"/>
      <c r="D197" s="13"/>
      <c r="E197" s="13"/>
      <c r="F197" s="13"/>
      <c r="G197" s="13"/>
      <c r="H197" s="13"/>
      <c r="I197" s="13"/>
      <c r="J197" s="73" t="str">
        <f>IF(AND($A197&lt;&gt;"",$A197&amp;""=PMIS_Home!$B$4&amp;""),MAX($J$4:J196)+1,"")</f>
        <v/>
      </c>
    </row>
    <row r="198" spans="1:10" ht="13.5" customHeight="1">
      <c r="A198" s="13"/>
      <c r="B198" s="13"/>
      <c r="C198" s="13"/>
      <c r="D198" s="13"/>
      <c r="E198" s="13"/>
      <c r="F198" s="13"/>
      <c r="G198" s="13"/>
      <c r="H198" s="13"/>
      <c r="I198" s="13"/>
      <c r="J198" s="73" t="str">
        <f>IF(AND($A198&lt;&gt;"",$A198&amp;""=PMIS_Home!$B$4&amp;""),MAX($J$4:J197)+1,"")</f>
        <v/>
      </c>
    </row>
    <row r="199" spans="1:10" ht="13.5" customHeight="1">
      <c r="A199" s="13"/>
      <c r="B199" s="13"/>
      <c r="C199" s="13"/>
      <c r="D199" s="13"/>
      <c r="E199" s="13"/>
      <c r="F199" s="13"/>
      <c r="G199" s="13"/>
      <c r="H199" s="13"/>
      <c r="I199" s="13"/>
      <c r="J199" s="73" t="str">
        <f>IF(AND($A199&lt;&gt;"",$A199&amp;""=PMIS_Home!$B$4&amp;""),MAX($J$4:J198)+1,"")</f>
        <v/>
      </c>
    </row>
    <row r="200" spans="1:10" ht="13.5" customHeight="1">
      <c r="A200" s="13"/>
      <c r="B200" s="13"/>
      <c r="C200" s="13"/>
      <c r="D200" s="13"/>
      <c r="E200" s="13"/>
      <c r="F200" s="13"/>
      <c r="G200" s="13"/>
      <c r="H200" s="13"/>
      <c r="I200" s="13"/>
      <c r="J200" s="73" t="str">
        <f>IF(AND($A200&lt;&gt;"",$A200&amp;""=PMIS_Home!$B$4&amp;""),MAX($J$4:J199)+1,"")</f>
        <v/>
      </c>
    </row>
    <row r="201" spans="1:10" ht="13.5" customHeight="1">
      <c r="A201" s="13"/>
      <c r="B201" s="13"/>
      <c r="C201" s="13"/>
      <c r="D201" s="13"/>
      <c r="E201" s="13"/>
      <c r="F201" s="13"/>
      <c r="G201" s="13"/>
      <c r="H201" s="13"/>
      <c r="I201" s="13"/>
      <c r="J201" s="73" t="str">
        <f>IF(AND($A201&lt;&gt;"",$A201&amp;""=PMIS_Home!$B$4&amp;""),MAX($J$4:J200)+1,"")</f>
        <v/>
      </c>
    </row>
    <row r="202" spans="1:10" ht="13.5" customHeight="1">
      <c r="A202" s="13"/>
      <c r="B202" s="13"/>
      <c r="C202" s="13"/>
      <c r="D202" s="13"/>
      <c r="E202" s="13"/>
      <c r="F202" s="13"/>
      <c r="G202" s="13"/>
      <c r="H202" s="13"/>
      <c r="I202" s="13"/>
      <c r="J202" s="73" t="str">
        <f>IF(AND($A202&lt;&gt;"",$A202&amp;""=PMIS_Home!$B$4&amp;""),MAX($J$4:J201)+1,"")</f>
        <v/>
      </c>
    </row>
    <row r="203" spans="1:10" ht="13.5" customHeight="1">
      <c r="A203" s="13"/>
      <c r="B203" s="13"/>
      <c r="C203" s="13"/>
      <c r="D203" s="13"/>
      <c r="E203" s="13"/>
      <c r="F203" s="13"/>
      <c r="G203" s="13"/>
      <c r="H203" s="13"/>
      <c r="I203" s="13"/>
      <c r="J203" s="73" t="str">
        <f>IF(AND($A203&lt;&gt;"",$A203&amp;""=PMIS_Home!$B$4&amp;""),MAX($J$4:J202)+1,"")</f>
        <v/>
      </c>
    </row>
    <row r="204" spans="1:10" ht="13.5" customHeight="1">
      <c r="A204" s="13"/>
      <c r="B204" s="13"/>
      <c r="C204" s="13"/>
      <c r="D204" s="13"/>
      <c r="E204" s="13"/>
      <c r="F204" s="13"/>
      <c r="G204" s="13"/>
      <c r="H204" s="13"/>
      <c r="I204" s="13"/>
      <c r="J204" s="73" t="str">
        <f>IF(AND($A204&lt;&gt;"",$A204&amp;""=PMIS_Home!$B$4&amp;""),MAX($J$4:J203)+1,"")</f>
        <v/>
      </c>
    </row>
    <row r="205" spans="1:10" ht="13.5" customHeight="1">
      <c r="A205" s="13"/>
      <c r="B205" s="13"/>
      <c r="C205" s="13"/>
      <c r="D205" s="13"/>
      <c r="E205" s="13"/>
      <c r="F205" s="13"/>
      <c r="G205" s="13"/>
      <c r="H205" s="13"/>
      <c r="I205" s="13"/>
      <c r="J205" s="73" t="str">
        <f>IF(AND($A205&lt;&gt;"",$A205&amp;""=PMIS_Home!$B$4&amp;""),MAX($J$4:J204)+1,"")</f>
        <v/>
      </c>
    </row>
    <row r="206" spans="1:10" ht="13.5" customHeight="1">
      <c r="A206" s="13"/>
      <c r="B206" s="13"/>
      <c r="C206" s="13"/>
      <c r="D206" s="13"/>
      <c r="E206" s="13"/>
      <c r="F206" s="13"/>
      <c r="G206" s="13"/>
      <c r="H206" s="13"/>
      <c r="I206" s="13"/>
      <c r="J206" s="73" t="str">
        <f>IF(AND($A206&lt;&gt;"",$A206&amp;""=PMIS_Home!$B$4&amp;""),MAX($J$4:J205)+1,"")</f>
        <v/>
      </c>
    </row>
    <row r="207" spans="1:10" ht="13.5" customHeight="1">
      <c r="A207" s="13"/>
      <c r="B207" s="13"/>
      <c r="C207" s="13"/>
      <c r="D207" s="13"/>
      <c r="E207" s="13"/>
      <c r="F207" s="13"/>
      <c r="G207" s="13"/>
      <c r="H207" s="13"/>
      <c r="I207" s="13"/>
      <c r="J207" s="73" t="str">
        <f>IF(AND($A207&lt;&gt;"",$A207&amp;""=PMIS_Home!$B$4&amp;""),MAX($J$4:J206)+1,"")</f>
        <v/>
      </c>
    </row>
    <row r="208" spans="1:10" ht="13.5" customHeight="1">
      <c r="A208" s="13"/>
      <c r="B208" s="13"/>
      <c r="C208" s="13"/>
      <c r="D208" s="13"/>
      <c r="E208" s="13"/>
      <c r="F208" s="13"/>
      <c r="G208" s="13"/>
      <c r="H208" s="13"/>
      <c r="I208" s="13"/>
      <c r="J208" s="73" t="str">
        <f>IF(AND($A208&lt;&gt;"",$A208&amp;""=PMIS_Home!$B$4&amp;""),MAX($J$4:J207)+1,"")</f>
        <v/>
      </c>
    </row>
    <row r="209" spans="1:10" ht="13.5" customHeight="1">
      <c r="A209" s="13"/>
      <c r="B209" s="13"/>
      <c r="C209" s="13"/>
      <c r="D209" s="13"/>
      <c r="E209" s="13"/>
      <c r="F209" s="13"/>
      <c r="G209" s="13"/>
      <c r="H209" s="13"/>
      <c r="I209" s="13"/>
      <c r="J209" s="73" t="str">
        <f>IF(AND($A209&lt;&gt;"",$A209&amp;""=PMIS_Home!$B$4&amp;""),MAX($J$4:J208)+1,"")</f>
        <v/>
      </c>
    </row>
    <row r="210" spans="1:10" ht="13.5" customHeight="1">
      <c r="A210" s="13"/>
      <c r="B210" s="13"/>
      <c r="C210" s="13"/>
      <c r="D210" s="13"/>
      <c r="E210" s="13"/>
      <c r="F210" s="13"/>
      <c r="G210" s="13"/>
      <c r="H210" s="13"/>
      <c r="I210" s="13"/>
      <c r="J210" s="73" t="str">
        <f>IF(AND($A210&lt;&gt;"",$A210&amp;""=PMIS_Home!$B$4&amp;""),MAX($J$4:J209)+1,"")</f>
        <v/>
      </c>
    </row>
    <row r="211" spans="1:10" ht="13.5" customHeight="1">
      <c r="A211" s="13"/>
      <c r="B211" s="13"/>
      <c r="C211" s="13"/>
      <c r="D211" s="13"/>
      <c r="E211" s="13"/>
      <c r="F211" s="13"/>
      <c r="G211" s="13"/>
      <c r="H211" s="13"/>
      <c r="I211" s="13"/>
      <c r="J211" s="73" t="str">
        <f>IF(AND($A211&lt;&gt;"",$A211&amp;""=PMIS_Home!$B$4&amp;""),MAX($J$4:J210)+1,"")</f>
        <v/>
      </c>
    </row>
    <row r="212" spans="1:10" ht="13.5" customHeight="1">
      <c r="A212" s="13"/>
      <c r="B212" s="13"/>
      <c r="C212" s="13"/>
      <c r="D212" s="13"/>
      <c r="E212" s="13"/>
      <c r="F212" s="13"/>
      <c r="G212" s="13"/>
      <c r="H212" s="13"/>
      <c r="I212" s="13"/>
      <c r="J212" s="73" t="str">
        <f>IF(AND($A212&lt;&gt;"",$A212&amp;""=PMIS_Home!$B$4&amp;""),MAX($J$4:J211)+1,"")</f>
        <v/>
      </c>
    </row>
    <row r="213" spans="1:10" ht="13.5" customHeight="1">
      <c r="A213" s="13"/>
      <c r="B213" s="13"/>
      <c r="C213" s="13"/>
      <c r="D213" s="13"/>
      <c r="E213" s="13"/>
      <c r="F213" s="13"/>
      <c r="G213" s="13"/>
      <c r="H213" s="13"/>
      <c r="I213" s="13"/>
      <c r="J213" s="73" t="str">
        <f>IF(AND($A213&lt;&gt;"",$A213&amp;""=PMIS_Home!$B$4&amp;""),MAX($J$4:J212)+1,"")</f>
        <v/>
      </c>
    </row>
    <row r="214" spans="1:10" ht="13.5" customHeight="1">
      <c r="A214" s="13"/>
      <c r="B214" s="13"/>
      <c r="C214" s="13"/>
      <c r="D214" s="13"/>
      <c r="E214" s="13"/>
      <c r="F214" s="13"/>
      <c r="G214" s="13"/>
      <c r="H214" s="13"/>
      <c r="I214" s="13"/>
      <c r="J214" s="73" t="str">
        <f>IF(AND($A214&lt;&gt;"",$A214&amp;""=PMIS_Home!$B$4&amp;""),MAX($J$4:J213)+1,"")</f>
        <v/>
      </c>
    </row>
    <row r="215" spans="1:10" ht="13.5" customHeight="1">
      <c r="A215" s="13"/>
      <c r="B215" s="13"/>
      <c r="C215" s="13"/>
      <c r="D215" s="13"/>
      <c r="E215" s="13"/>
      <c r="F215" s="13"/>
      <c r="G215" s="13"/>
      <c r="H215" s="13"/>
      <c r="I215" s="13"/>
      <c r="J215" s="73" t="str">
        <f>IF(AND($A215&lt;&gt;"",$A215&amp;""=PMIS_Home!$B$4&amp;""),MAX($J$4:J214)+1,"")</f>
        <v/>
      </c>
    </row>
    <row r="216" spans="1:10" ht="13.5" customHeight="1">
      <c r="A216" s="13"/>
      <c r="B216" s="13"/>
      <c r="C216" s="13"/>
      <c r="D216" s="13"/>
      <c r="E216" s="13"/>
      <c r="F216" s="13"/>
      <c r="G216" s="13"/>
      <c r="H216" s="13"/>
      <c r="I216" s="13"/>
      <c r="J216" s="73" t="str">
        <f>IF(AND($A216&lt;&gt;"",$A216&amp;""=PMIS_Home!$B$4&amp;""),MAX($J$4:J215)+1,"")</f>
        <v/>
      </c>
    </row>
    <row r="217" spans="1:10" ht="13.5" customHeight="1">
      <c r="A217" s="13"/>
      <c r="B217" s="13"/>
      <c r="C217" s="13"/>
      <c r="D217" s="13"/>
      <c r="E217" s="13"/>
      <c r="F217" s="13"/>
      <c r="G217" s="13"/>
      <c r="H217" s="13"/>
      <c r="I217" s="13"/>
      <c r="J217" s="73" t="str">
        <f>IF(AND($A217&lt;&gt;"",$A217&amp;""=PMIS_Home!$B$4&amp;""),MAX($J$4:J216)+1,"")</f>
        <v/>
      </c>
    </row>
    <row r="218" spans="1:10" ht="13.5" customHeight="1">
      <c r="A218" s="13"/>
      <c r="B218" s="13"/>
      <c r="C218" s="13"/>
      <c r="D218" s="13"/>
      <c r="E218" s="13"/>
      <c r="F218" s="13"/>
      <c r="G218" s="13"/>
      <c r="H218" s="13"/>
      <c r="I218" s="13"/>
      <c r="J218" s="73" t="str">
        <f>IF(AND($A218&lt;&gt;"",$A218&amp;""=PMIS_Home!$B$4&amp;""),MAX($J$4:J217)+1,"")</f>
        <v/>
      </c>
    </row>
    <row r="219" spans="1:10" ht="13.5" customHeight="1">
      <c r="A219" s="13"/>
      <c r="B219" s="13"/>
      <c r="C219" s="13"/>
      <c r="D219" s="13"/>
      <c r="E219" s="13"/>
      <c r="F219" s="13"/>
      <c r="G219" s="13"/>
      <c r="H219" s="13"/>
      <c r="I219" s="13"/>
      <c r="J219" s="73" t="str">
        <f>IF(AND($A219&lt;&gt;"",$A219&amp;""=PMIS_Home!$B$4&amp;""),MAX($J$4:J218)+1,"")</f>
        <v/>
      </c>
    </row>
    <row r="220" spans="1:10" ht="13.5" customHeight="1">
      <c r="A220" s="13"/>
      <c r="B220" s="13"/>
      <c r="C220" s="13"/>
      <c r="D220" s="13"/>
      <c r="E220" s="13"/>
      <c r="F220" s="13"/>
      <c r="G220" s="13"/>
      <c r="H220" s="13"/>
      <c r="I220" s="13"/>
      <c r="J220" s="73" t="str">
        <f>IF(AND($A220&lt;&gt;"",$A220&amp;""=PMIS_Home!$B$4&amp;""),MAX($J$4:J219)+1,"")</f>
        <v/>
      </c>
    </row>
    <row r="221" spans="1:10" ht="14.25" customHeight="1">
      <c r="J221" s="73" t="str">
        <f>IF(AND($A221&lt;&gt;"",$A221&amp;""=PMIS_Home!$B$4&amp;""),MAX($J$4:J220)+1,"")</f>
        <v/>
      </c>
    </row>
    <row r="222" spans="1:10" ht="14.25" customHeight="1">
      <c r="J222" s="73" t="str">
        <f>IF(AND($A222&lt;&gt;"",$A222&amp;""=PMIS_Home!$B$4&amp;""),MAX($J$4:J221)+1,"")</f>
        <v/>
      </c>
    </row>
    <row r="223" spans="1:10" ht="14.25" customHeight="1">
      <c r="J223" s="73" t="str">
        <f>IF(AND($A223&lt;&gt;"",$A223&amp;""=PMIS_Home!$B$4&amp;""),MAX($J$4:J222)+1,"")</f>
        <v/>
      </c>
    </row>
    <row r="224" spans="1:10" ht="14.25" customHeight="1">
      <c r="J224" s="73" t="str">
        <f>IF(AND($A224&lt;&gt;"",$A224&amp;""=PMIS_Home!$B$4&amp;""),MAX($J$4:J223)+1,"")</f>
        <v/>
      </c>
    </row>
    <row r="225" spans="10:10" ht="14.25" customHeight="1">
      <c r="J225" s="73" t="str">
        <f>IF(AND($A225&lt;&gt;"",$A225&amp;""=PMIS_Home!$B$4&amp;""),MAX($J$4:J224)+1,"")</f>
        <v/>
      </c>
    </row>
    <row r="226" spans="10:10" ht="14.25" customHeight="1">
      <c r="J226" s="73" t="str">
        <f>IF(AND($A226&lt;&gt;"",$A226&amp;""=PMIS_Home!$B$4&amp;""),MAX($J$4:J225)+1,"")</f>
        <v/>
      </c>
    </row>
    <row r="227" spans="10:10" ht="14.25" customHeight="1">
      <c r="J227" s="73" t="str">
        <f>IF(AND($A227&lt;&gt;"",$A227&amp;""=PMIS_Home!$B$4&amp;""),MAX($J$4:J226)+1,"")</f>
        <v/>
      </c>
    </row>
    <row r="228" spans="10:10" ht="14.25" customHeight="1">
      <c r="J228" s="73" t="str">
        <f>IF(AND($A228&lt;&gt;"",$A228&amp;""=PMIS_Home!$B$4&amp;""),MAX($J$4:J227)+1,"")</f>
        <v/>
      </c>
    </row>
    <row r="229" spans="10:10" ht="14.25" customHeight="1">
      <c r="J229" s="73" t="str">
        <f>IF(AND($A229&lt;&gt;"",$A229&amp;""=PMIS_Home!$B$4&amp;""),MAX($J$4:J228)+1,"")</f>
        <v/>
      </c>
    </row>
    <row r="230" spans="10:10" ht="14.25" customHeight="1">
      <c r="J230" s="73" t="str">
        <f>IF(AND($A230&lt;&gt;"",$A230&amp;""=PMIS_Home!$B$4&amp;""),MAX($J$4:J229)+1,"")</f>
        <v/>
      </c>
    </row>
    <row r="231" spans="10:10" ht="14.25" customHeight="1">
      <c r="J231" s="73" t="str">
        <f>IF(AND($A231&lt;&gt;"",$A231&amp;""=PMIS_Home!$B$4&amp;""),MAX($J$4:J230)+1,"")</f>
        <v/>
      </c>
    </row>
    <row r="232" spans="10:10" ht="14.25" customHeight="1">
      <c r="J232" s="73" t="str">
        <f>IF(AND($A232&lt;&gt;"",$A232&amp;""=PMIS_Home!$B$4&amp;""),MAX($J$4:J231)+1,"")</f>
        <v/>
      </c>
    </row>
    <row r="233" spans="10:10" ht="14.25" customHeight="1">
      <c r="J233" s="73" t="str">
        <f>IF(AND($A233&lt;&gt;"",$A233&amp;""=PMIS_Home!$B$4&amp;""),MAX($J$4:J232)+1,"")</f>
        <v/>
      </c>
    </row>
    <row r="234" spans="10:10" ht="14.25" customHeight="1">
      <c r="J234" s="73" t="str">
        <f>IF(AND($A234&lt;&gt;"",$A234&amp;""=PMIS_Home!$B$4&amp;""),MAX($J$4:J233)+1,"")</f>
        <v/>
      </c>
    </row>
    <row r="235" spans="10:10" ht="14.25" customHeight="1">
      <c r="J235" s="73" t="str">
        <f>IF(AND($A235&lt;&gt;"",$A235&amp;""=PMIS_Home!$B$4&amp;""),MAX($J$4:J234)+1,"")</f>
        <v/>
      </c>
    </row>
    <row r="236" spans="10:10" ht="14.25" customHeight="1">
      <c r="J236" s="73" t="str">
        <f>IF(AND($A236&lt;&gt;"",$A236&amp;""=PMIS_Home!$B$4&amp;""),MAX($J$4:J235)+1,"")</f>
        <v/>
      </c>
    </row>
    <row r="237" spans="10:10" ht="14.25" customHeight="1">
      <c r="J237" s="73" t="str">
        <f>IF(AND($A237&lt;&gt;"",$A237&amp;""=PMIS_Home!$B$4&amp;""),MAX($J$4:J236)+1,"")</f>
        <v/>
      </c>
    </row>
    <row r="238" spans="10:10" ht="14.25" customHeight="1">
      <c r="J238" s="73" t="str">
        <f>IF(AND($A238&lt;&gt;"",$A238&amp;""=PMIS_Home!$B$4&amp;""),MAX($J$4:J237)+1,"")</f>
        <v/>
      </c>
    </row>
    <row r="239" spans="10:10" ht="14.25" customHeight="1">
      <c r="J239" s="73" t="str">
        <f>IF(AND($A239&lt;&gt;"",$A239&amp;""=PMIS_Home!$B$4&amp;""),MAX($J$4:J238)+1,"")</f>
        <v/>
      </c>
    </row>
    <row r="240" spans="10:10" ht="14.25" customHeight="1">
      <c r="J240" s="73" t="str">
        <f>IF(AND($A240&lt;&gt;"",$A240&amp;""=PMIS_Home!$B$4&amp;""),MAX($J$4:J239)+1,"")</f>
        <v/>
      </c>
    </row>
    <row r="241" spans="10:10" ht="14.25" customHeight="1">
      <c r="J241" s="73" t="str">
        <f>IF(AND($A241&lt;&gt;"",$A241&amp;""=PMIS_Home!$B$4&amp;""),MAX($J$4:J240)+1,"")</f>
        <v/>
      </c>
    </row>
    <row r="242" spans="10:10" ht="14.25" customHeight="1">
      <c r="J242" s="73" t="str">
        <f>IF(AND($A242&lt;&gt;"",$A242&amp;""=PMIS_Home!$B$4&amp;""),MAX($J$4:J241)+1,"")</f>
        <v/>
      </c>
    </row>
    <row r="243" spans="10:10" ht="14.25" customHeight="1">
      <c r="J243" s="73" t="str">
        <f>IF(AND($A243&lt;&gt;"",$A243&amp;""=PMIS_Home!$B$4&amp;""),MAX($J$4:J242)+1,"")</f>
        <v/>
      </c>
    </row>
    <row r="244" spans="10:10" ht="14.25" customHeight="1">
      <c r="J244" s="73" t="str">
        <f>IF(AND($A244&lt;&gt;"",$A244&amp;""=PMIS_Home!$B$4&amp;""),MAX($J$4:J243)+1,"")</f>
        <v/>
      </c>
    </row>
    <row r="245" spans="10:10" ht="14.25" customHeight="1">
      <c r="J245" s="73" t="str">
        <f>IF(AND($A245&lt;&gt;"",$A245&amp;""=PMIS_Home!$B$4&amp;""),MAX($J$4:J244)+1,"")</f>
        <v/>
      </c>
    </row>
    <row r="246" spans="10:10" ht="14.25" customHeight="1">
      <c r="J246" s="73" t="str">
        <f>IF(AND($A246&lt;&gt;"",$A246&amp;""=PMIS_Home!$B$4&amp;""),MAX($J$4:J245)+1,"")</f>
        <v/>
      </c>
    </row>
    <row r="247" spans="10:10" ht="14.25" customHeight="1">
      <c r="J247" s="73" t="str">
        <f>IF(AND($A247&lt;&gt;"",$A247&amp;""=PMIS_Home!$B$4&amp;""),MAX($J$4:J246)+1,"")</f>
        <v/>
      </c>
    </row>
    <row r="248" spans="10:10" ht="14.25" customHeight="1">
      <c r="J248" s="73" t="str">
        <f>IF(AND($A248&lt;&gt;"",$A248&amp;""=PMIS_Home!$B$4&amp;""),MAX($J$4:J247)+1,"")</f>
        <v/>
      </c>
    </row>
    <row r="249" spans="10:10" ht="14.25" customHeight="1">
      <c r="J249" s="73" t="str">
        <f>IF(AND($A249&lt;&gt;"",$A249&amp;""=PMIS_Home!$B$4&amp;""),MAX($J$4:J248)+1,"")</f>
        <v/>
      </c>
    </row>
    <row r="250" spans="10:10" ht="14.25" customHeight="1">
      <c r="J250" s="73" t="str">
        <f>IF(AND($A250&lt;&gt;"",$A250&amp;""=PMIS_Home!$B$4&amp;""),MAX($J$4:J249)+1,"")</f>
        <v/>
      </c>
    </row>
    <row r="251" spans="10:10" ht="14.25" customHeight="1">
      <c r="J251" s="74" t="str">
        <f>IF(AND($A251&lt;&gt;"",$A251&amp;""=PMIS_Home!$B$4&amp;""),MAX($J$4:J250)+1,"")</f>
        <v/>
      </c>
    </row>
    <row r="252" spans="10:10" ht="14.25" customHeight="1">
      <c r="J252" s="74" t="str">
        <f>IF(AND($A252&lt;&gt;"",$A252&amp;""=PMIS_Home!$B$4&amp;""),MAX($J$4:J251)+1,"")</f>
        <v/>
      </c>
    </row>
    <row r="253" spans="10:10" ht="14.25" customHeight="1">
      <c r="J253" s="74" t="str">
        <f>IF(AND($A253&lt;&gt;"",$A253&amp;""=PMIS_Home!$B$4&amp;""),MAX($J$4:J252)+1,"")</f>
        <v/>
      </c>
    </row>
    <row r="254" spans="10:10" ht="14.25" customHeight="1">
      <c r="J254" s="74" t="str">
        <f>IF(AND($A254&lt;&gt;"",$A254&amp;""=PMIS_Home!$B$4&amp;""),MAX($J$4:J253)+1,"")</f>
        <v/>
      </c>
    </row>
    <row r="255" spans="10:10" ht="14.25" customHeight="1">
      <c r="J255" s="74" t="str">
        <f>IF(AND($A255&lt;&gt;"",$A255&amp;""=PMIS_Home!$B$4&amp;""),MAX($J$4:J254)+1,"")</f>
        <v/>
      </c>
    </row>
    <row r="256" spans="10:10" ht="14.25" customHeight="1">
      <c r="J256" s="74" t="str">
        <f>IF(AND($A256&lt;&gt;"",$A256&amp;""=PMIS_Home!$B$4&amp;""),MAX($J$4:J255)+1,"")</f>
        <v/>
      </c>
    </row>
    <row r="257" spans="10:10" ht="14.25" customHeight="1">
      <c r="J257" s="74" t="str">
        <f>IF(AND($A257&lt;&gt;"",$A257&amp;""=PMIS_Home!$B$4&amp;""),MAX($J$4:J256)+1,"")</f>
        <v/>
      </c>
    </row>
    <row r="258" spans="10:10" ht="14.25" customHeight="1">
      <c r="J258" s="74" t="str">
        <f>IF(AND($A258&lt;&gt;"",$A258&amp;""=PMIS_Home!$B$4&amp;""),MAX($J$4:J257)+1,"")</f>
        <v/>
      </c>
    </row>
    <row r="259" spans="10:10" ht="14.25" customHeight="1">
      <c r="J259" s="74" t="str">
        <f>IF(AND($A259&lt;&gt;"",$A259&amp;""=PMIS_Home!$B$4&amp;""),MAX($J$4:J258)+1,"")</f>
        <v/>
      </c>
    </row>
    <row r="260" spans="10:10" ht="14.25" customHeight="1">
      <c r="J260" s="74" t="str">
        <f>IF(AND($A260&lt;&gt;"",$A260&amp;""=PMIS_Home!$B$4&amp;""),MAX($J$4:J259)+1,"")</f>
        <v/>
      </c>
    </row>
    <row r="261" spans="10:10" ht="14.25" customHeight="1">
      <c r="J261" s="74" t="str">
        <f>IF(AND($A261&lt;&gt;"",$A261&amp;""=PMIS_Home!$B$4&amp;""),MAX($J$4:J260)+1,"")</f>
        <v/>
      </c>
    </row>
    <row r="262" spans="10:10" ht="14.25" customHeight="1">
      <c r="J262" s="74" t="str">
        <f>IF(AND($A262&lt;&gt;"",$A262&amp;""=PMIS_Home!$B$4&amp;""),MAX($J$4:J261)+1,"")</f>
        <v/>
      </c>
    </row>
    <row r="263" spans="10:10" ht="14.25" customHeight="1">
      <c r="J263" s="74" t="str">
        <f>IF(AND($A263&lt;&gt;"",$A263&amp;""=PMIS_Home!$B$4&amp;""),MAX($J$4:J262)+1,"")</f>
        <v/>
      </c>
    </row>
    <row r="264" spans="10:10" ht="14.25" customHeight="1">
      <c r="J264" s="74" t="str">
        <f>IF(AND($A264&lt;&gt;"",$A264&amp;""=PMIS_Home!$B$4&amp;""),MAX($J$4:J263)+1,"")</f>
        <v/>
      </c>
    </row>
    <row r="265" spans="10:10" ht="14.25" customHeight="1">
      <c r="J265" s="74" t="str">
        <f>IF(AND($A265&lt;&gt;"",$A265&amp;""=PMIS_Home!$B$4&amp;""),MAX($J$4:J264)+1,"")</f>
        <v/>
      </c>
    </row>
    <row r="266" spans="10:10" ht="14.25" customHeight="1">
      <c r="J266" s="74" t="str">
        <f>IF(AND($A266&lt;&gt;"",$A266&amp;""=PMIS_Home!$B$4&amp;""),MAX($J$4:J265)+1,"")</f>
        <v/>
      </c>
    </row>
    <row r="267" spans="10:10" ht="14.25" customHeight="1">
      <c r="J267" s="74" t="str">
        <f>IF(AND($A267&lt;&gt;"",$A267&amp;""=PMIS_Home!$B$4&amp;""),MAX($J$4:J266)+1,"")</f>
        <v/>
      </c>
    </row>
    <row r="268" spans="10:10" ht="14.25" customHeight="1">
      <c r="J268" s="74" t="str">
        <f>IF(AND($A268&lt;&gt;"",$A268&amp;""=PMIS_Home!$B$4&amp;""),MAX($J$4:J267)+1,"")</f>
        <v/>
      </c>
    </row>
    <row r="269" spans="10:10" ht="14.25" customHeight="1">
      <c r="J269" s="74" t="str">
        <f>IF(AND($A269&lt;&gt;"",$A269&amp;""=PMIS_Home!$B$4&amp;""),MAX($J$4:J268)+1,"")</f>
        <v/>
      </c>
    </row>
    <row r="270" spans="10:10" ht="14.25" customHeight="1">
      <c r="J270" s="74" t="str">
        <f>IF(AND($A270&lt;&gt;"",$A270&amp;""=PMIS_Home!$B$4&amp;""),MAX($J$4:J269)+1,"")</f>
        <v/>
      </c>
    </row>
    <row r="271" spans="10:10" ht="14.25" customHeight="1">
      <c r="J271" s="74" t="str">
        <f>IF(AND($A271&lt;&gt;"",$A271&amp;""=PMIS_Home!$B$4&amp;""),MAX($J$4:J270)+1,"")</f>
        <v/>
      </c>
    </row>
    <row r="272" spans="10:10" ht="14.25" customHeight="1">
      <c r="J272" s="74" t="str">
        <f>IF(AND($A272&lt;&gt;"",$A272&amp;""=PMIS_Home!$B$4&amp;""),MAX($J$4:J271)+1,"")</f>
        <v/>
      </c>
    </row>
    <row r="273" spans="10:10" ht="14.25" customHeight="1">
      <c r="J273" s="74" t="str">
        <f>IF(AND($A273&lt;&gt;"",$A273&amp;""=PMIS_Home!$B$4&amp;""),MAX($J$4:J272)+1,"")</f>
        <v/>
      </c>
    </row>
    <row r="274" spans="10:10" ht="14.25" customHeight="1">
      <c r="J274" s="74" t="str">
        <f>IF(AND($A274&lt;&gt;"",$A274&amp;""=PMIS_Home!$B$4&amp;""),MAX($J$4:J273)+1,"")</f>
        <v/>
      </c>
    </row>
    <row r="275" spans="10:10" ht="14.25" customHeight="1">
      <c r="J275" s="74" t="str">
        <f>IF(AND($A275&lt;&gt;"",$A275&amp;""=PMIS_Home!$B$4&amp;""),MAX($J$4:J274)+1,"")</f>
        <v/>
      </c>
    </row>
    <row r="276" spans="10:10" ht="14.25" customHeight="1">
      <c r="J276" s="74" t="str">
        <f>IF(AND($A276&lt;&gt;"",$A276&amp;""=PMIS_Home!$B$4&amp;""),MAX($J$4:J275)+1,"")</f>
        <v/>
      </c>
    </row>
    <row r="277" spans="10:10" ht="14.25" customHeight="1">
      <c r="J277" s="74" t="str">
        <f>IF(AND($A277&lt;&gt;"",$A277&amp;""=PMIS_Home!$B$4&amp;""),MAX($J$4:J276)+1,"")</f>
        <v/>
      </c>
    </row>
    <row r="278" spans="10:10" ht="14.25" customHeight="1">
      <c r="J278" s="74" t="str">
        <f>IF(AND($A278&lt;&gt;"",$A278&amp;""=PMIS_Home!$B$4&amp;""),MAX($J$4:J277)+1,"")</f>
        <v/>
      </c>
    </row>
    <row r="279" spans="10:10" ht="14.25" customHeight="1">
      <c r="J279" s="74" t="str">
        <f>IF(AND($A279&lt;&gt;"",$A279&amp;""=PMIS_Home!$B$4&amp;""),MAX($J$4:J278)+1,"")</f>
        <v/>
      </c>
    </row>
    <row r="280" spans="10:10" ht="14.25" customHeight="1">
      <c r="J280" s="74" t="str">
        <f>IF(AND($A280&lt;&gt;"",$A280&amp;""=PMIS_Home!$B$4&amp;""),MAX($J$4:J279)+1,"")</f>
        <v/>
      </c>
    </row>
    <row r="281" spans="10:10" ht="14.25" customHeight="1">
      <c r="J281" s="74" t="str">
        <f>IF(AND($A281&lt;&gt;"",$A281&amp;""=PMIS_Home!$B$4&amp;""),MAX($J$4:J280)+1,"")</f>
        <v/>
      </c>
    </row>
    <row r="282" spans="10:10" ht="14.25" customHeight="1">
      <c r="J282" s="74" t="str">
        <f>IF(AND($A282&lt;&gt;"",$A282&amp;""=PMIS_Home!$B$4&amp;""),MAX($J$4:J281)+1,"")</f>
        <v/>
      </c>
    </row>
    <row r="283" spans="10:10" ht="14.25" customHeight="1">
      <c r="J283" s="74" t="str">
        <f>IF(AND($A283&lt;&gt;"",$A283&amp;""=PMIS_Home!$B$4&amp;""),MAX($J$4:J282)+1,"")</f>
        <v/>
      </c>
    </row>
    <row r="284" spans="10:10" ht="14.25" customHeight="1">
      <c r="J284" s="74" t="str">
        <f>IF(AND($A284&lt;&gt;"",$A284&amp;""=PMIS_Home!$B$4&amp;""),MAX($J$4:J283)+1,"")</f>
        <v/>
      </c>
    </row>
    <row r="285" spans="10:10" ht="14.25" customHeight="1">
      <c r="J285" s="74" t="str">
        <f>IF(AND($A285&lt;&gt;"",$A285&amp;""=PMIS_Home!$B$4&amp;""),MAX($J$4:J284)+1,"")</f>
        <v/>
      </c>
    </row>
    <row r="286" spans="10:10" ht="14.25" customHeight="1">
      <c r="J286" s="74" t="str">
        <f>IF(AND($A286&lt;&gt;"",$A286&amp;""=PMIS_Home!$B$4&amp;""),MAX($J$4:J285)+1,"")</f>
        <v/>
      </c>
    </row>
    <row r="287" spans="10:10" ht="14.25" customHeight="1">
      <c r="J287" s="74" t="str">
        <f>IF(AND($A287&lt;&gt;"",$A287&amp;""=PMIS_Home!$B$4&amp;""),MAX($J$4:J286)+1,"")</f>
        <v/>
      </c>
    </row>
    <row r="288" spans="10:10" ht="14.25" customHeight="1">
      <c r="J288" s="74" t="str">
        <f>IF(AND($A288&lt;&gt;"",$A288&amp;""=PMIS_Home!$B$4&amp;""),MAX($J$4:J287)+1,"")</f>
        <v/>
      </c>
    </row>
    <row r="289" spans="10:10" ht="14.25" customHeight="1">
      <c r="J289" s="74" t="str">
        <f>IF(AND($A289&lt;&gt;"",$A289&amp;""=PMIS_Home!$B$4&amp;""),MAX($J$4:J288)+1,"")</f>
        <v/>
      </c>
    </row>
    <row r="290" spans="10:10" ht="14.25" customHeight="1">
      <c r="J290" s="74" t="str">
        <f>IF(AND($A290&lt;&gt;"",$A290&amp;""=PMIS_Home!$B$4&amp;""),MAX($J$4:J289)+1,"")</f>
        <v/>
      </c>
    </row>
    <row r="291" spans="10:10" ht="14.25" customHeight="1">
      <c r="J291" s="74" t="str">
        <f>IF(AND($A291&lt;&gt;"",$A291&amp;""=PMIS_Home!$B$4&amp;""),MAX($J$4:J290)+1,"")</f>
        <v/>
      </c>
    </row>
    <row r="292" spans="10:10" ht="14.25" customHeight="1">
      <c r="J292" s="74" t="str">
        <f>IF(AND($A292&lt;&gt;"",$A292&amp;""=PMIS_Home!$B$4&amp;""),MAX($J$4:J291)+1,"")</f>
        <v/>
      </c>
    </row>
    <row r="293" spans="10:10" ht="14.25" customHeight="1">
      <c r="J293" s="74" t="str">
        <f>IF(AND($A293&lt;&gt;"",$A293&amp;""=PMIS_Home!$B$4&amp;""),MAX($J$4:J292)+1,"")</f>
        <v/>
      </c>
    </row>
    <row r="294" spans="10:10" ht="14.25" customHeight="1">
      <c r="J294" s="74" t="str">
        <f>IF(AND($A294&lt;&gt;"",$A294&amp;""=PMIS_Home!$B$4&amp;""),MAX($J$4:J293)+1,"")</f>
        <v/>
      </c>
    </row>
    <row r="295" spans="10:10" ht="14.25" customHeight="1">
      <c r="J295" s="74" t="str">
        <f>IF(AND($A295&lt;&gt;"",$A295&amp;""=PMIS_Home!$B$4&amp;""),MAX($J$4:J294)+1,"")</f>
        <v/>
      </c>
    </row>
    <row r="296" spans="10:10" ht="14.25" customHeight="1">
      <c r="J296" s="74" t="str">
        <f>IF(AND($A296&lt;&gt;"",$A296&amp;""=PMIS_Home!$B$4&amp;""),MAX($J$4:J295)+1,"")</f>
        <v/>
      </c>
    </row>
    <row r="297" spans="10:10" ht="14.25" customHeight="1">
      <c r="J297" s="74" t="str">
        <f>IF(AND($A297&lt;&gt;"",$A297&amp;""=PMIS_Home!$B$4&amp;""),MAX($J$4:J296)+1,"")</f>
        <v/>
      </c>
    </row>
    <row r="298" spans="10:10" ht="14.25" customHeight="1">
      <c r="J298" s="74" t="str">
        <f>IF(AND($A298&lt;&gt;"",$A298&amp;""=PMIS_Home!$B$4&amp;""),MAX($J$4:J297)+1,"")</f>
        <v/>
      </c>
    </row>
    <row r="299" spans="10:10" ht="14.25" customHeight="1">
      <c r="J299" s="74" t="str">
        <f>IF(AND($A299&lt;&gt;"",$A299&amp;""=PMIS_Home!$B$4&amp;""),MAX($J$4:J298)+1,"")</f>
        <v/>
      </c>
    </row>
    <row r="300" spans="10:10" ht="14.25" customHeight="1">
      <c r="J300" s="74" t="str">
        <f>IF(AND($A300&lt;&gt;"",$A300&amp;""=PMIS_Home!$B$4&amp;""),MAX($J$4:J299)+1,"")</f>
        <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116F2-8511-4656-A579-00A6399AE7E0}">
  <dimension ref="A1:L300"/>
  <sheetViews>
    <sheetView workbookViewId="0"/>
  </sheetViews>
  <sheetFormatPr defaultColWidth="8.6640625" defaultRowHeight="14.4"/>
  <cols>
    <col min="1" max="1" width="14" style="8" customWidth="1"/>
    <col min="2" max="2" width="22" style="8" customWidth="1"/>
    <col min="3" max="3" width="20" style="8" customWidth="1"/>
    <col min="4" max="4" width="30" style="8" customWidth="1"/>
    <col min="5" max="5" width="16" style="8" customWidth="1"/>
    <col min="6" max="7" width="28" style="8" customWidth="1"/>
    <col min="8" max="8" width="42" style="8" customWidth="1"/>
    <col min="9" max="9" width="10" style="8" customWidth="1"/>
  </cols>
  <sheetData>
    <row r="1" spans="1:12" ht="5.7" customHeight="1">
      <c r="A1" s="58" t="s">
        <v>715</v>
      </c>
      <c r="B1" s="58"/>
      <c r="C1" s="58"/>
      <c r="D1" s="58"/>
      <c r="E1" s="58"/>
      <c r="F1" s="58"/>
      <c r="G1" s="58"/>
      <c r="H1" s="58"/>
      <c r="I1" s="58"/>
      <c r="J1" s="58"/>
      <c r="K1" s="58"/>
      <c r="L1" s="58"/>
    </row>
    <row r="2" spans="1:12" ht="34.5" customHeight="1">
      <c r="A2" s="16" t="s">
        <v>716</v>
      </c>
      <c r="B2" s="16"/>
      <c r="C2" s="16"/>
      <c r="D2" s="16"/>
      <c r="E2" s="16"/>
      <c r="F2" s="16"/>
      <c r="G2" s="16"/>
      <c r="H2" s="16"/>
      <c r="I2" s="16"/>
      <c r="J2" s="16"/>
      <c r="K2" s="16"/>
      <c r="L2" s="16"/>
    </row>
    <row r="4" spans="1:12" ht="6.9" customHeight="1">
      <c r="A4" s="50" t="s">
        <v>142</v>
      </c>
      <c r="B4" s="50" t="s">
        <v>302</v>
      </c>
      <c r="C4" s="50" t="s">
        <v>303</v>
      </c>
      <c r="D4" s="50" t="s">
        <v>304</v>
      </c>
      <c r="E4" s="50" t="s">
        <v>305</v>
      </c>
      <c r="F4" s="50" t="s">
        <v>306</v>
      </c>
      <c r="G4" s="50" t="s">
        <v>307</v>
      </c>
      <c r="H4" s="50" t="s">
        <v>11</v>
      </c>
      <c r="I4" s="61" t="s">
        <v>344</v>
      </c>
    </row>
    <row r="5" spans="1:12" ht="8.4" customHeight="1">
      <c r="A5" s="13" t="s">
        <v>394</v>
      </c>
      <c r="B5" s="13" t="s">
        <v>189</v>
      </c>
      <c r="C5" s="13" t="s">
        <v>457</v>
      </c>
      <c r="D5" s="13" t="s">
        <v>717</v>
      </c>
      <c r="E5" s="13"/>
      <c r="F5" s="13"/>
      <c r="G5" s="13" t="s">
        <v>718</v>
      </c>
      <c r="H5" s="13"/>
      <c r="I5" s="114">
        <f>IF(AND($A5&lt;&gt;"",OR($A5&amp;""=PMIS_Home!$B$4&amp;"",$A5&amp;""="Campus")),MAX($I$4:I4)+1,"")</f>
        <v>1</v>
      </c>
    </row>
    <row r="6" spans="1:12" ht="8.4" customHeight="1">
      <c r="A6" s="13" t="s">
        <v>394</v>
      </c>
      <c r="B6" s="13" t="s">
        <v>191</v>
      </c>
      <c r="C6" s="13" t="s">
        <v>241</v>
      </c>
      <c r="D6" s="13" t="s">
        <v>719</v>
      </c>
      <c r="E6" s="13"/>
      <c r="F6" s="13"/>
      <c r="G6" s="13" t="s">
        <v>720</v>
      </c>
      <c r="H6" s="13"/>
      <c r="I6" s="114">
        <f>IF(AND($A6&lt;&gt;"",OR($A6&amp;""=PMIS_Home!$B$4&amp;"",$A6&amp;""="Campus")),MAX($I$4:I5)+1,"")</f>
        <v>2</v>
      </c>
    </row>
    <row r="7" spans="1:12" ht="6.9" customHeight="1">
      <c r="A7" s="13" t="s">
        <v>394</v>
      </c>
      <c r="B7" s="13" t="s">
        <v>721</v>
      </c>
      <c r="C7" s="13" t="s">
        <v>241</v>
      </c>
      <c r="D7" s="13" t="s">
        <v>478</v>
      </c>
      <c r="E7" s="13"/>
      <c r="F7" s="13"/>
      <c r="G7" s="13" t="s">
        <v>722</v>
      </c>
      <c r="H7" s="13"/>
      <c r="I7" s="114">
        <f>IF(AND($A7&lt;&gt;"",OR($A7&amp;""=PMIS_Home!$B$4&amp;"",$A7&amp;""="Campus")),MAX($I$4:I6)+1,"")</f>
        <v>3</v>
      </c>
    </row>
    <row r="8" spans="1:12" ht="6.9" customHeight="1">
      <c r="A8" s="13"/>
      <c r="B8" s="13"/>
      <c r="C8" s="13"/>
      <c r="D8" s="13"/>
      <c r="E8" s="13"/>
      <c r="F8" s="13"/>
      <c r="G8" s="13"/>
      <c r="H8" s="13"/>
      <c r="I8" s="114" t="str">
        <f>IF(AND($A8&lt;&gt;"",OR($A8&amp;""=PMIS_Home!$B$4&amp;"",$A8&amp;""="Campus")),MAX($I$4:I7)+1,"")</f>
        <v/>
      </c>
    </row>
    <row r="9" spans="1:12" ht="6.9" customHeight="1">
      <c r="A9" s="13"/>
      <c r="B9" s="13"/>
      <c r="C9" s="13"/>
      <c r="D9" s="13"/>
      <c r="E9" s="13"/>
      <c r="F9" s="13"/>
      <c r="G9" s="13"/>
      <c r="H9" s="13"/>
      <c r="I9" s="114" t="str">
        <f>IF(AND($A9&lt;&gt;"",OR($A9&amp;""=PMIS_Home!$B$4&amp;"",$A9&amp;""="Campus")),MAX($I$4:I8)+1,"")</f>
        <v/>
      </c>
    </row>
    <row r="10" spans="1:12" ht="6.9" customHeight="1">
      <c r="A10" s="13"/>
      <c r="B10" s="13"/>
      <c r="C10" s="13"/>
      <c r="D10" s="13"/>
      <c r="E10" s="13"/>
      <c r="F10" s="13"/>
      <c r="G10" s="13"/>
      <c r="H10" s="13"/>
      <c r="I10" s="114" t="str">
        <f>IF(AND($A10&lt;&gt;"",OR($A10&amp;""=PMIS_Home!$B$4&amp;"",$A10&amp;""="Campus")),MAX($I$4:I9)+1,"")</f>
        <v/>
      </c>
    </row>
    <row r="11" spans="1:12" ht="6.9" customHeight="1">
      <c r="A11" s="13"/>
      <c r="B11" s="13"/>
      <c r="C11" s="13"/>
      <c r="D11" s="13"/>
      <c r="E11" s="13"/>
      <c r="F11" s="13"/>
      <c r="G11" s="13"/>
      <c r="H11" s="13"/>
      <c r="I11" s="114" t="str">
        <f>IF(AND($A11&lt;&gt;"",OR($A11&amp;""=PMIS_Home!$B$4&amp;"",$A11&amp;""="Campus")),MAX($I$4:I10)+1,"")</f>
        <v/>
      </c>
    </row>
    <row r="12" spans="1:12" ht="6.9" customHeight="1">
      <c r="A12" s="13"/>
      <c r="B12" s="13"/>
      <c r="C12" s="13"/>
      <c r="D12" s="13"/>
      <c r="E12" s="13"/>
      <c r="F12" s="13"/>
      <c r="G12" s="13"/>
      <c r="H12" s="13"/>
      <c r="I12" s="114" t="str">
        <f>IF(AND($A12&lt;&gt;"",OR($A12&amp;""=PMIS_Home!$B$4&amp;"",$A12&amp;""="Campus")),MAX($I$4:I11)+1,"")</f>
        <v/>
      </c>
    </row>
    <row r="13" spans="1:12" ht="6.9" customHeight="1">
      <c r="A13" s="13"/>
      <c r="B13" s="13"/>
      <c r="C13" s="13"/>
      <c r="D13" s="13"/>
      <c r="E13" s="13"/>
      <c r="F13" s="13"/>
      <c r="G13" s="13"/>
      <c r="H13" s="13"/>
      <c r="I13" s="114" t="str">
        <f>IF(AND($A13&lt;&gt;"",OR($A13&amp;""=PMIS_Home!$B$4&amp;"",$A13&amp;""="Campus")),MAX($I$4:I12)+1,"")</f>
        <v/>
      </c>
    </row>
    <row r="14" spans="1:12" ht="6.9" customHeight="1">
      <c r="A14" s="13"/>
      <c r="B14" s="13"/>
      <c r="C14" s="13"/>
      <c r="D14" s="13"/>
      <c r="E14" s="13"/>
      <c r="F14" s="13"/>
      <c r="G14" s="13"/>
      <c r="H14" s="13"/>
      <c r="I14" s="114" t="str">
        <f>IF(AND($A14&lt;&gt;"",OR($A14&amp;""=PMIS_Home!$B$4&amp;"",$A14&amp;""="Campus")),MAX($I$4:I13)+1,"")</f>
        <v/>
      </c>
    </row>
    <row r="15" spans="1:12" ht="6.9" customHeight="1">
      <c r="A15" s="13"/>
      <c r="B15" s="13"/>
      <c r="C15" s="13"/>
      <c r="D15" s="13"/>
      <c r="E15" s="13"/>
      <c r="F15" s="13"/>
      <c r="G15" s="13"/>
      <c r="H15" s="13"/>
      <c r="I15" s="114" t="str">
        <f>IF(AND($A15&lt;&gt;"",OR($A15&amp;""=PMIS_Home!$B$4&amp;"",$A15&amp;""="Campus")),MAX($I$4:I14)+1,"")</f>
        <v/>
      </c>
    </row>
    <row r="16" spans="1:12" ht="6.9" customHeight="1">
      <c r="A16" s="13"/>
      <c r="B16" s="13"/>
      <c r="C16" s="13"/>
      <c r="D16" s="13"/>
      <c r="E16" s="13"/>
      <c r="F16" s="13"/>
      <c r="G16" s="13"/>
      <c r="H16" s="13"/>
      <c r="I16" s="114" t="str">
        <f>IF(AND($A16&lt;&gt;"",OR($A16&amp;""=PMIS_Home!$B$4&amp;"",$A16&amp;""="Campus")),MAX($I$4:I15)+1,"")</f>
        <v/>
      </c>
    </row>
    <row r="17" spans="1:9" ht="6.9" customHeight="1">
      <c r="A17" s="13"/>
      <c r="B17" s="13"/>
      <c r="C17" s="13"/>
      <c r="D17" s="13"/>
      <c r="E17" s="13"/>
      <c r="F17" s="13"/>
      <c r="G17" s="13"/>
      <c r="H17" s="13"/>
      <c r="I17" s="114" t="str">
        <f>IF(AND($A17&lt;&gt;"",OR($A17&amp;""=PMIS_Home!$B$4&amp;"",$A17&amp;""="Campus")),MAX($I$4:I16)+1,"")</f>
        <v/>
      </c>
    </row>
    <row r="18" spans="1:9" ht="6.9" customHeight="1">
      <c r="A18" s="13"/>
      <c r="B18" s="13"/>
      <c r="C18" s="13"/>
      <c r="D18" s="13"/>
      <c r="E18" s="13"/>
      <c r="F18" s="13"/>
      <c r="G18" s="13"/>
      <c r="H18" s="13"/>
      <c r="I18" s="114" t="str">
        <f>IF(AND($A18&lt;&gt;"",OR($A18&amp;""=PMIS_Home!$B$4&amp;"",$A18&amp;""="Campus")),MAX($I$4:I17)+1,"")</f>
        <v/>
      </c>
    </row>
    <row r="19" spans="1:9" ht="6.9" customHeight="1">
      <c r="A19" s="13"/>
      <c r="B19" s="13"/>
      <c r="C19" s="13"/>
      <c r="D19" s="13"/>
      <c r="E19" s="13"/>
      <c r="F19" s="13"/>
      <c r="G19" s="13"/>
      <c r="H19" s="13"/>
      <c r="I19" s="114" t="str">
        <f>IF(AND($A19&lt;&gt;"",OR($A19&amp;""=PMIS_Home!$B$4&amp;"",$A19&amp;""="Campus")),MAX($I$4:I18)+1,"")</f>
        <v/>
      </c>
    </row>
    <row r="20" spans="1:9" ht="6.9" customHeight="1">
      <c r="A20" s="13"/>
      <c r="B20" s="13"/>
      <c r="C20" s="13"/>
      <c r="D20" s="13"/>
      <c r="E20" s="13"/>
      <c r="F20" s="13"/>
      <c r="G20" s="13"/>
      <c r="H20" s="13"/>
      <c r="I20" s="114" t="str">
        <f>IF(AND($A20&lt;&gt;"",OR($A20&amp;""=PMIS_Home!$B$4&amp;"",$A20&amp;""="Campus")),MAX($I$4:I19)+1,"")</f>
        <v/>
      </c>
    </row>
    <row r="21" spans="1:9" ht="6.9" customHeight="1">
      <c r="A21" s="13"/>
      <c r="B21" s="13"/>
      <c r="C21" s="13"/>
      <c r="D21" s="13"/>
      <c r="E21" s="13"/>
      <c r="F21" s="13"/>
      <c r="G21" s="13"/>
      <c r="H21" s="13"/>
      <c r="I21" s="114" t="str">
        <f>IF(AND($A21&lt;&gt;"",OR($A21&amp;""=PMIS_Home!$B$4&amp;"",$A21&amp;""="Campus")),MAX($I$4:I20)+1,"")</f>
        <v/>
      </c>
    </row>
    <row r="22" spans="1:9" ht="6.9" customHeight="1">
      <c r="A22" s="13"/>
      <c r="B22" s="13"/>
      <c r="C22" s="13"/>
      <c r="D22" s="13"/>
      <c r="E22" s="13"/>
      <c r="F22" s="13"/>
      <c r="G22" s="13"/>
      <c r="H22" s="13"/>
      <c r="I22" s="114" t="str">
        <f>IF(AND($A22&lt;&gt;"",OR($A22&amp;""=PMIS_Home!$B$4&amp;"",$A22&amp;""="Campus")),MAX($I$4:I21)+1,"")</f>
        <v/>
      </c>
    </row>
    <row r="23" spans="1:9" ht="6.9" customHeight="1">
      <c r="A23" s="13"/>
      <c r="B23" s="13"/>
      <c r="C23" s="13"/>
      <c r="D23" s="13"/>
      <c r="E23" s="13"/>
      <c r="F23" s="13"/>
      <c r="G23" s="13"/>
      <c r="H23" s="13"/>
      <c r="I23" s="114" t="str">
        <f>IF(AND($A23&lt;&gt;"",OR($A23&amp;""=PMIS_Home!$B$4&amp;"",$A23&amp;""="Campus")),MAX($I$4:I22)+1,"")</f>
        <v/>
      </c>
    </row>
    <row r="24" spans="1:9" ht="6.9" customHeight="1">
      <c r="A24" s="13"/>
      <c r="B24" s="13"/>
      <c r="C24" s="13"/>
      <c r="D24" s="13"/>
      <c r="E24" s="13"/>
      <c r="F24" s="13"/>
      <c r="G24" s="13"/>
      <c r="H24" s="13"/>
      <c r="I24" s="114" t="str">
        <f>IF(AND($A24&lt;&gt;"",OR($A24&amp;""=PMIS_Home!$B$4&amp;"",$A24&amp;""="Campus")),MAX($I$4:I23)+1,"")</f>
        <v/>
      </c>
    </row>
    <row r="25" spans="1:9" ht="6.9" customHeight="1">
      <c r="A25" s="13"/>
      <c r="B25" s="13"/>
      <c r="C25" s="13"/>
      <c r="D25" s="13"/>
      <c r="E25" s="13"/>
      <c r="F25" s="13"/>
      <c r="G25" s="13"/>
      <c r="H25" s="13"/>
      <c r="I25" s="114" t="str">
        <f>IF(AND($A25&lt;&gt;"",OR($A25&amp;""=PMIS_Home!$B$4&amp;"",$A25&amp;""="Campus")),MAX($I$4:I24)+1,"")</f>
        <v/>
      </c>
    </row>
    <row r="26" spans="1:9" ht="6.9" customHeight="1">
      <c r="A26" s="13"/>
      <c r="B26" s="13"/>
      <c r="C26" s="13"/>
      <c r="D26" s="13"/>
      <c r="E26" s="13"/>
      <c r="F26" s="13"/>
      <c r="G26" s="13"/>
      <c r="H26" s="13"/>
      <c r="I26" s="114" t="str">
        <f>IF(AND($A26&lt;&gt;"",OR($A26&amp;""=PMIS_Home!$B$4&amp;"",$A26&amp;""="Campus")),MAX($I$4:I25)+1,"")</f>
        <v/>
      </c>
    </row>
    <row r="27" spans="1:9" ht="6.9" customHeight="1">
      <c r="A27" s="13"/>
      <c r="B27" s="13"/>
      <c r="C27" s="13"/>
      <c r="D27" s="13"/>
      <c r="E27" s="13"/>
      <c r="F27" s="13"/>
      <c r="G27" s="13"/>
      <c r="H27" s="13"/>
      <c r="I27" s="114" t="str">
        <f>IF(AND($A27&lt;&gt;"",OR($A27&amp;""=PMIS_Home!$B$4&amp;"",$A27&amp;""="Campus")),MAX($I$4:I26)+1,"")</f>
        <v/>
      </c>
    </row>
    <row r="28" spans="1:9" ht="6.9" customHeight="1">
      <c r="A28" s="13"/>
      <c r="B28" s="13"/>
      <c r="C28" s="13"/>
      <c r="D28" s="13"/>
      <c r="E28" s="13"/>
      <c r="F28" s="13"/>
      <c r="G28" s="13"/>
      <c r="H28" s="13"/>
      <c r="I28" s="114" t="str">
        <f>IF(AND($A28&lt;&gt;"",OR($A28&amp;""=PMIS_Home!$B$4&amp;"",$A28&amp;""="Campus")),MAX($I$4:I27)+1,"")</f>
        <v/>
      </c>
    </row>
    <row r="29" spans="1:9" ht="6.9" customHeight="1">
      <c r="A29" s="13"/>
      <c r="B29" s="13"/>
      <c r="C29" s="13"/>
      <c r="D29" s="13"/>
      <c r="E29" s="13"/>
      <c r="F29" s="13"/>
      <c r="G29" s="13"/>
      <c r="H29" s="13"/>
      <c r="I29" s="114" t="str">
        <f>IF(AND($A29&lt;&gt;"",OR($A29&amp;""=PMIS_Home!$B$4&amp;"",$A29&amp;""="Campus")),MAX($I$4:I28)+1,"")</f>
        <v/>
      </c>
    </row>
    <row r="30" spans="1:9" ht="6.9" customHeight="1">
      <c r="A30" s="13"/>
      <c r="B30" s="13"/>
      <c r="C30" s="13"/>
      <c r="D30" s="13"/>
      <c r="E30" s="13"/>
      <c r="F30" s="13"/>
      <c r="G30" s="13"/>
      <c r="H30" s="13"/>
      <c r="I30" s="114" t="str">
        <f>IF(AND($A30&lt;&gt;"",OR($A30&amp;""=PMIS_Home!$B$4&amp;"",$A30&amp;""="Campus")),MAX($I$4:I29)+1,"")</f>
        <v/>
      </c>
    </row>
    <row r="31" spans="1:9" ht="6.9" customHeight="1">
      <c r="A31" s="13"/>
      <c r="B31" s="13"/>
      <c r="C31" s="13"/>
      <c r="D31" s="13"/>
      <c r="E31" s="13"/>
      <c r="F31" s="13"/>
      <c r="G31" s="13"/>
      <c r="H31" s="13"/>
      <c r="I31" s="114" t="str">
        <f>IF(AND($A31&lt;&gt;"",OR($A31&amp;""=PMIS_Home!$B$4&amp;"",$A31&amp;""="Campus")),MAX($I$4:I30)+1,"")</f>
        <v/>
      </c>
    </row>
    <row r="32" spans="1:9" ht="6.9" customHeight="1">
      <c r="A32" s="13"/>
      <c r="B32" s="13"/>
      <c r="C32" s="13"/>
      <c r="D32" s="13"/>
      <c r="E32" s="13"/>
      <c r="F32" s="13"/>
      <c r="G32" s="13"/>
      <c r="H32" s="13"/>
      <c r="I32" s="114" t="str">
        <f>IF(AND($A32&lt;&gt;"",OR($A32&amp;""=PMIS_Home!$B$4&amp;"",$A32&amp;""="Campus")),MAX($I$4:I31)+1,"")</f>
        <v/>
      </c>
    </row>
    <row r="33" spans="1:9" ht="6.9" customHeight="1">
      <c r="A33" s="13"/>
      <c r="B33" s="13"/>
      <c r="C33" s="13"/>
      <c r="D33" s="13"/>
      <c r="E33" s="13"/>
      <c r="F33" s="13"/>
      <c r="G33" s="13"/>
      <c r="H33" s="13"/>
      <c r="I33" s="114" t="str">
        <f>IF(AND($A33&lt;&gt;"",OR($A33&amp;""=PMIS_Home!$B$4&amp;"",$A33&amp;""="Campus")),MAX($I$4:I32)+1,"")</f>
        <v/>
      </c>
    </row>
    <row r="34" spans="1:9" ht="6.9" customHeight="1">
      <c r="A34" s="13"/>
      <c r="B34" s="13"/>
      <c r="C34" s="13"/>
      <c r="D34" s="13"/>
      <c r="E34" s="13"/>
      <c r="F34" s="13"/>
      <c r="G34" s="13"/>
      <c r="H34" s="13"/>
      <c r="I34" s="114" t="str">
        <f>IF(AND($A34&lt;&gt;"",OR($A34&amp;""=PMIS_Home!$B$4&amp;"",$A34&amp;""="Campus")),MAX($I$4:I33)+1,"")</f>
        <v/>
      </c>
    </row>
    <row r="35" spans="1:9" ht="6.9" customHeight="1">
      <c r="A35" s="13"/>
      <c r="B35" s="13"/>
      <c r="C35" s="13"/>
      <c r="D35" s="13"/>
      <c r="E35" s="13"/>
      <c r="F35" s="13"/>
      <c r="G35" s="13"/>
      <c r="H35" s="13"/>
      <c r="I35" s="114" t="str">
        <f>IF(AND($A35&lt;&gt;"",OR($A35&amp;""=PMIS_Home!$B$4&amp;"",$A35&amp;""="Campus")),MAX($I$4:I34)+1,"")</f>
        <v/>
      </c>
    </row>
    <row r="36" spans="1:9" ht="6.9" customHeight="1">
      <c r="A36" s="13"/>
      <c r="B36" s="13"/>
      <c r="C36" s="13"/>
      <c r="D36" s="13"/>
      <c r="E36" s="13"/>
      <c r="F36" s="13"/>
      <c r="G36" s="13"/>
      <c r="H36" s="13"/>
      <c r="I36" s="114" t="str">
        <f>IF(AND($A36&lt;&gt;"",OR($A36&amp;""=PMIS_Home!$B$4&amp;"",$A36&amp;""="Campus")),MAX($I$4:I35)+1,"")</f>
        <v/>
      </c>
    </row>
    <row r="37" spans="1:9" ht="6.9" customHeight="1">
      <c r="A37" s="13"/>
      <c r="B37" s="13"/>
      <c r="C37" s="13"/>
      <c r="D37" s="13"/>
      <c r="E37" s="13"/>
      <c r="F37" s="13"/>
      <c r="G37" s="13"/>
      <c r="H37" s="13"/>
      <c r="I37" s="114" t="str">
        <f>IF(AND($A37&lt;&gt;"",OR($A37&amp;""=PMIS_Home!$B$4&amp;"",$A37&amp;""="Campus")),MAX($I$4:I36)+1,"")</f>
        <v/>
      </c>
    </row>
    <row r="38" spans="1:9" ht="6.9" customHeight="1">
      <c r="A38" s="13"/>
      <c r="B38" s="13"/>
      <c r="C38" s="13"/>
      <c r="D38" s="13"/>
      <c r="E38" s="13"/>
      <c r="F38" s="13"/>
      <c r="G38" s="13"/>
      <c r="H38" s="13"/>
      <c r="I38" s="114" t="str">
        <f>IF(AND($A38&lt;&gt;"",OR($A38&amp;""=PMIS_Home!$B$4&amp;"",$A38&amp;""="Campus")),MAX($I$4:I37)+1,"")</f>
        <v/>
      </c>
    </row>
    <row r="39" spans="1:9" ht="6.9" customHeight="1">
      <c r="A39" s="13"/>
      <c r="B39" s="13"/>
      <c r="C39" s="13"/>
      <c r="D39" s="13"/>
      <c r="E39" s="13"/>
      <c r="F39" s="13"/>
      <c r="G39" s="13"/>
      <c r="H39" s="13"/>
      <c r="I39" s="114" t="str">
        <f>IF(AND($A39&lt;&gt;"",OR($A39&amp;""=PMIS_Home!$B$4&amp;"",$A39&amp;""="Campus")),MAX($I$4:I38)+1,"")</f>
        <v/>
      </c>
    </row>
    <row r="40" spans="1:9" ht="6.9" customHeight="1">
      <c r="A40" s="13"/>
      <c r="B40" s="13"/>
      <c r="C40" s="13"/>
      <c r="D40" s="13"/>
      <c r="E40" s="13"/>
      <c r="F40" s="13"/>
      <c r="G40" s="13"/>
      <c r="H40" s="13"/>
      <c r="I40" s="114" t="str">
        <f>IF(AND($A40&lt;&gt;"",OR($A40&amp;""=PMIS_Home!$B$4&amp;"",$A40&amp;""="Campus")),MAX($I$4:I39)+1,"")</f>
        <v/>
      </c>
    </row>
    <row r="41" spans="1:9" ht="6.9" customHeight="1">
      <c r="A41" s="13"/>
      <c r="B41" s="13"/>
      <c r="C41" s="13"/>
      <c r="D41" s="13"/>
      <c r="E41" s="13"/>
      <c r="F41" s="13"/>
      <c r="G41" s="13"/>
      <c r="H41" s="13"/>
      <c r="I41" s="114" t="str">
        <f>IF(AND($A41&lt;&gt;"",OR($A41&amp;""=PMIS_Home!$B$4&amp;"",$A41&amp;""="Campus")),MAX($I$4:I40)+1,"")</f>
        <v/>
      </c>
    </row>
    <row r="42" spans="1:9" ht="6.9" customHeight="1">
      <c r="A42" s="13"/>
      <c r="B42" s="13"/>
      <c r="C42" s="13"/>
      <c r="D42" s="13"/>
      <c r="E42" s="13"/>
      <c r="F42" s="13"/>
      <c r="G42" s="13"/>
      <c r="H42" s="13"/>
      <c r="I42" s="114" t="str">
        <f>IF(AND($A42&lt;&gt;"",OR($A42&amp;""=PMIS_Home!$B$4&amp;"",$A42&amp;""="Campus")),MAX($I$4:I41)+1,"")</f>
        <v/>
      </c>
    </row>
    <row r="43" spans="1:9" ht="6.9" customHeight="1">
      <c r="A43" s="13"/>
      <c r="B43" s="13"/>
      <c r="C43" s="13"/>
      <c r="D43" s="13"/>
      <c r="E43" s="13"/>
      <c r="F43" s="13"/>
      <c r="G43" s="13"/>
      <c r="H43" s="13"/>
      <c r="I43" s="114" t="str">
        <f>IF(AND($A43&lt;&gt;"",OR($A43&amp;""=PMIS_Home!$B$4&amp;"",$A43&amp;""="Campus")),MAX($I$4:I42)+1,"")</f>
        <v/>
      </c>
    </row>
    <row r="44" spans="1:9" ht="6.9" customHeight="1">
      <c r="A44" s="13"/>
      <c r="B44" s="13"/>
      <c r="C44" s="13"/>
      <c r="D44" s="13"/>
      <c r="E44" s="13"/>
      <c r="F44" s="13"/>
      <c r="G44" s="13"/>
      <c r="H44" s="13"/>
      <c r="I44" s="114" t="str">
        <f>IF(AND($A44&lt;&gt;"",OR($A44&amp;""=PMIS_Home!$B$4&amp;"",$A44&amp;""="Campus")),MAX($I$4:I43)+1,"")</f>
        <v/>
      </c>
    </row>
    <row r="45" spans="1:9" ht="6.9" customHeight="1">
      <c r="A45" s="13"/>
      <c r="B45" s="13"/>
      <c r="C45" s="13"/>
      <c r="D45" s="13"/>
      <c r="E45" s="13"/>
      <c r="F45" s="13"/>
      <c r="G45" s="13"/>
      <c r="H45" s="13"/>
      <c r="I45" s="114" t="str">
        <f>IF(AND($A45&lt;&gt;"",OR($A45&amp;""=PMIS_Home!$B$4&amp;"",$A45&amp;""="Campus")),MAX($I$4:I44)+1,"")</f>
        <v/>
      </c>
    </row>
    <row r="46" spans="1:9" ht="6.9" customHeight="1">
      <c r="A46" s="13"/>
      <c r="B46" s="13"/>
      <c r="C46" s="13"/>
      <c r="D46" s="13"/>
      <c r="E46" s="13"/>
      <c r="F46" s="13"/>
      <c r="G46" s="13"/>
      <c r="H46" s="13"/>
      <c r="I46" s="114" t="str">
        <f>IF(AND($A46&lt;&gt;"",OR($A46&amp;""=PMIS_Home!$B$4&amp;"",$A46&amp;""="Campus")),MAX($I$4:I45)+1,"")</f>
        <v/>
      </c>
    </row>
    <row r="47" spans="1:9" ht="6.9" customHeight="1">
      <c r="A47" s="13"/>
      <c r="B47" s="13"/>
      <c r="C47" s="13"/>
      <c r="D47" s="13"/>
      <c r="E47" s="13"/>
      <c r="F47" s="13"/>
      <c r="G47" s="13"/>
      <c r="H47" s="13"/>
      <c r="I47" s="114" t="str">
        <f>IF(AND($A47&lt;&gt;"",OR($A47&amp;""=PMIS_Home!$B$4&amp;"",$A47&amp;""="Campus")),MAX($I$4:I46)+1,"")</f>
        <v/>
      </c>
    </row>
    <row r="48" spans="1:9" ht="6.9" customHeight="1">
      <c r="A48" s="13"/>
      <c r="B48" s="13"/>
      <c r="C48" s="13"/>
      <c r="D48" s="13"/>
      <c r="E48" s="13"/>
      <c r="F48" s="13"/>
      <c r="G48" s="13"/>
      <c r="H48" s="13"/>
      <c r="I48" s="114" t="str">
        <f>IF(AND($A48&lt;&gt;"",OR($A48&amp;""=PMIS_Home!$B$4&amp;"",$A48&amp;""="Campus")),MAX($I$4:I47)+1,"")</f>
        <v/>
      </c>
    </row>
    <row r="49" spans="1:9" ht="6.9" customHeight="1">
      <c r="A49" s="13"/>
      <c r="B49" s="13"/>
      <c r="C49" s="13"/>
      <c r="D49" s="13"/>
      <c r="E49" s="13"/>
      <c r="F49" s="13"/>
      <c r="G49" s="13"/>
      <c r="H49" s="13"/>
      <c r="I49" s="114" t="str">
        <f>IF(AND($A49&lt;&gt;"",OR($A49&amp;""=PMIS_Home!$B$4&amp;"",$A49&amp;""="Campus")),MAX($I$4:I48)+1,"")</f>
        <v/>
      </c>
    </row>
    <row r="50" spans="1:9" ht="6.9" customHeight="1">
      <c r="A50" s="13"/>
      <c r="B50" s="13"/>
      <c r="C50" s="13"/>
      <c r="D50" s="13"/>
      <c r="E50" s="13"/>
      <c r="F50" s="13"/>
      <c r="G50" s="13"/>
      <c r="H50" s="13"/>
      <c r="I50" s="114" t="str">
        <f>IF(AND($A50&lt;&gt;"",OR($A50&amp;""=PMIS_Home!$B$4&amp;"",$A50&amp;""="Campus")),MAX($I$4:I49)+1,"")</f>
        <v/>
      </c>
    </row>
    <row r="51" spans="1:9" ht="6.9" customHeight="1">
      <c r="A51" s="13"/>
      <c r="B51" s="13"/>
      <c r="C51" s="13"/>
      <c r="D51" s="13"/>
      <c r="E51" s="13"/>
      <c r="F51" s="13"/>
      <c r="G51" s="13"/>
      <c r="H51" s="13"/>
      <c r="I51" s="114" t="str">
        <f>IF(AND($A51&lt;&gt;"",OR($A51&amp;""=PMIS_Home!$B$4&amp;"",$A51&amp;""="Campus")),MAX($I$4:I50)+1,"")</f>
        <v/>
      </c>
    </row>
    <row r="52" spans="1:9" ht="6.9" customHeight="1">
      <c r="A52" s="13"/>
      <c r="B52" s="13"/>
      <c r="C52" s="13"/>
      <c r="D52" s="13"/>
      <c r="E52" s="13"/>
      <c r="F52" s="13"/>
      <c r="G52" s="13"/>
      <c r="H52" s="13"/>
      <c r="I52" s="114" t="str">
        <f>IF(AND($A52&lt;&gt;"",OR($A52&amp;""=PMIS_Home!$B$4&amp;"",$A52&amp;""="Campus")),MAX($I$4:I51)+1,"")</f>
        <v/>
      </c>
    </row>
    <row r="53" spans="1:9" ht="6.9" customHeight="1">
      <c r="A53" s="13"/>
      <c r="B53" s="13"/>
      <c r="C53" s="13"/>
      <c r="D53" s="13"/>
      <c r="E53" s="13"/>
      <c r="F53" s="13"/>
      <c r="G53" s="13"/>
      <c r="H53" s="13"/>
      <c r="I53" s="114" t="str">
        <f>IF(AND($A53&lt;&gt;"",OR($A53&amp;""=PMIS_Home!$B$4&amp;"",$A53&amp;""="Campus")),MAX($I$4:I52)+1,"")</f>
        <v/>
      </c>
    </row>
    <row r="54" spans="1:9" ht="6.9" customHeight="1">
      <c r="A54" s="13"/>
      <c r="B54" s="13"/>
      <c r="C54" s="13"/>
      <c r="D54" s="13"/>
      <c r="E54" s="13"/>
      <c r="F54" s="13"/>
      <c r="G54" s="13"/>
      <c r="H54" s="13"/>
      <c r="I54" s="114" t="str">
        <f>IF(AND($A54&lt;&gt;"",OR($A54&amp;""=PMIS_Home!$B$4&amp;"",$A54&amp;""="Campus")),MAX($I$4:I53)+1,"")</f>
        <v/>
      </c>
    </row>
    <row r="55" spans="1:9" ht="6.9" customHeight="1">
      <c r="A55" s="13"/>
      <c r="B55" s="13"/>
      <c r="C55" s="13"/>
      <c r="D55" s="13"/>
      <c r="E55" s="13"/>
      <c r="F55" s="13"/>
      <c r="G55" s="13"/>
      <c r="H55" s="13"/>
      <c r="I55" s="114" t="str">
        <f>IF(AND($A55&lt;&gt;"",OR($A55&amp;""=PMIS_Home!$B$4&amp;"",$A55&amp;""="Campus")),MAX($I$4:I54)+1,"")</f>
        <v/>
      </c>
    </row>
    <row r="56" spans="1:9" ht="6.9" customHeight="1">
      <c r="A56" s="13"/>
      <c r="B56" s="13"/>
      <c r="C56" s="13"/>
      <c r="D56" s="13"/>
      <c r="E56" s="13"/>
      <c r="F56" s="13"/>
      <c r="G56" s="13"/>
      <c r="H56" s="13"/>
      <c r="I56" s="114" t="str">
        <f>IF(AND($A56&lt;&gt;"",OR($A56&amp;""=PMIS_Home!$B$4&amp;"",$A56&amp;""="Campus")),MAX($I$4:I55)+1,"")</f>
        <v/>
      </c>
    </row>
    <row r="57" spans="1:9" ht="6.9" customHeight="1">
      <c r="A57" s="13"/>
      <c r="B57" s="13"/>
      <c r="C57" s="13"/>
      <c r="D57" s="13"/>
      <c r="E57" s="13"/>
      <c r="F57" s="13"/>
      <c r="G57" s="13"/>
      <c r="H57" s="13"/>
      <c r="I57" s="114" t="str">
        <f>IF(AND($A57&lt;&gt;"",OR($A57&amp;""=PMIS_Home!$B$4&amp;"",$A57&amp;""="Campus")),MAX($I$4:I56)+1,"")</f>
        <v/>
      </c>
    </row>
    <row r="58" spans="1:9" ht="6.9" customHeight="1">
      <c r="A58" s="13"/>
      <c r="B58" s="13"/>
      <c r="C58" s="13"/>
      <c r="D58" s="13"/>
      <c r="E58" s="13"/>
      <c r="F58" s="13"/>
      <c r="G58" s="13"/>
      <c r="H58" s="13"/>
      <c r="I58" s="114" t="str">
        <f>IF(AND($A58&lt;&gt;"",OR($A58&amp;""=PMIS_Home!$B$4&amp;"",$A58&amp;""="Campus")),MAX($I$4:I57)+1,"")</f>
        <v/>
      </c>
    </row>
    <row r="59" spans="1:9" ht="6.9" customHeight="1">
      <c r="A59" s="13"/>
      <c r="B59" s="13"/>
      <c r="C59" s="13"/>
      <c r="D59" s="13"/>
      <c r="E59" s="13"/>
      <c r="F59" s="13"/>
      <c r="G59" s="13"/>
      <c r="H59" s="13"/>
      <c r="I59" s="114" t="str">
        <f>IF(AND($A59&lt;&gt;"",OR($A59&amp;""=PMIS_Home!$B$4&amp;"",$A59&amp;""="Campus")),MAX($I$4:I58)+1,"")</f>
        <v/>
      </c>
    </row>
    <row r="60" spans="1:9" ht="6.9" customHeight="1">
      <c r="A60" s="13"/>
      <c r="B60" s="13"/>
      <c r="C60" s="13"/>
      <c r="D60" s="13"/>
      <c r="E60" s="13"/>
      <c r="F60" s="13"/>
      <c r="G60" s="13"/>
      <c r="H60" s="13"/>
      <c r="I60" s="114" t="str">
        <f>IF(AND($A60&lt;&gt;"",OR($A60&amp;""=PMIS_Home!$B$4&amp;"",$A60&amp;""="Campus")),MAX($I$4:I59)+1,"")</f>
        <v/>
      </c>
    </row>
    <row r="61" spans="1:9" ht="6.9" customHeight="1">
      <c r="A61" s="13"/>
      <c r="B61" s="13"/>
      <c r="C61" s="13"/>
      <c r="D61" s="13"/>
      <c r="E61" s="13"/>
      <c r="F61" s="13"/>
      <c r="G61" s="13"/>
      <c r="H61" s="13"/>
      <c r="I61" s="114" t="str">
        <f>IF(AND($A61&lt;&gt;"",OR($A61&amp;""=PMIS_Home!$B$4&amp;"",$A61&amp;""="Campus")),MAX($I$4:I60)+1,"")</f>
        <v/>
      </c>
    </row>
    <row r="62" spans="1:9" ht="6.9" customHeight="1">
      <c r="A62" s="13"/>
      <c r="B62" s="13"/>
      <c r="C62" s="13"/>
      <c r="D62" s="13"/>
      <c r="E62" s="13"/>
      <c r="F62" s="13"/>
      <c r="G62" s="13"/>
      <c r="H62" s="13"/>
      <c r="I62" s="114" t="str">
        <f>IF(AND($A62&lt;&gt;"",OR($A62&amp;""=PMIS_Home!$B$4&amp;"",$A62&amp;""="Campus")),MAX($I$4:I61)+1,"")</f>
        <v/>
      </c>
    </row>
    <row r="63" spans="1:9" ht="6.9" customHeight="1">
      <c r="A63" s="13"/>
      <c r="B63" s="13"/>
      <c r="C63" s="13"/>
      <c r="D63" s="13"/>
      <c r="E63" s="13"/>
      <c r="F63" s="13"/>
      <c r="G63" s="13"/>
      <c r="H63" s="13"/>
      <c r="I63" s="114" t="str">
        <f>IF(AND($A63&lt;&gt;"",OR($A63&amp;""=PMIS_Home!$B$4&amp;"",$A63&amp;""="Campus")),MAX($I$4:I62)+1,"")</f>
        <v/>
      </c>
    </row>
    <row r="64" spans="1:9" ht="6.9" customHeight="1">
      <c r="A64" s="13"/>
      <c r="B64" s="13"/>
      <c r="C64" s="13"/>
      <c r="D64" s="13"/>
      <c r="E64" s="13"/>
      <c r="F64" s="13"/>
      <c r="G64" s="13"/>
      <c r="H64" s="13"/>
      <c r="I64" s="114" t="str">
        <f>IF(AND($A64&lt;&gt;"",OR($A64&amp;""=PMIS_Home!$B$4&amp;"",$A64&amp;""="Campus")),MAX($I$4:I63)+1,"")</f>
        <v/>
      </c>
    </row>
    <row r="65" spans="1:9" ht="6.9" customHeight="1">
      <c r="A65" s="13"/>
      <c r="B65" s="13"/>
      <c r="C65" s="13"/>
      <c r="D65" s="13"/>
      <c r="E65" s="13"/>
      <c r="F65" s="13"/>
      <c r="G65" s="13"/>
      <c r="H65" s="13"/>
      <c r="I65" s="114" t="str">
        <f>IF(AND($A65&lt;&gt;"",OR($A65&amp;""=PMIS_Home!$B$4&amp;"",$A65&amp;""="Campus")),MAX($I$4:I64)+1,"")</f>
        <v/>
      </c>
    </row>
    <row r="66" spans="1:9" ht="6.9" customHeight="1">
      <c r="A66" s="13"/>
      <c r="B66" s="13"/>
      <c r="C66" s="13"/>
      <c r="D66" s="13"/>
      <c r="E66" s="13"/>
      <c r="F66" s="13"/>
      <c r="G66" s="13"/>
      <c r="H66" s="13"/>
      <c r="I66" s="114" t="str">
        <f>IF(AND($A66&lt;&gt;"",OR($A66&amp;""=PMIS_Home!$B$4&amp;"",$A66&amp;""="Campus")),MAX($I$4:I65)+1,"")</f>
        <v/>
      </c>
    </row>
    <row r="67" spans="1:9" ht="6.9" customHeight="1">
      <c r="A67" s="13"/>
      <c r="B67" s="13"/>
      <c r="C67" s="13"/>
      <c r="D67" s="13"/>
      <c r="E67" s="13"/>
      <c r="F67" s="13"/>
      <c r="G67" s="13"/>
      <c r="H67" s="13"/>
      <c r="I67" s="114" t="str">
        <f>IF(AND($A67&lt;&gt;"",OR($A67&amp;""=PMIS_Home!$B$4&amp;"",$A67&amp;""="Campus")),MAX($I$4:I66)+1,"")</f>
        <v/>
      </c>
    </row>
    <row r="68" spans="1:9" ht="6.9" customHeight="1">
      <c r="A68" s="13"/>
      <c r="B68" s="13"/>
      <c r="C68" s="13"/>
      <c r="D68" s="13"/>
      <c r="E68" s="13"/>
      <c r="F68" s="13"/>
      <c r="G68" s="13"/>
      <c r="H68" s="13"/>
      <c r="I68" s="114" t="str">
        <f>IF(AND($A68&lt;&gt;"",OR($A68&amp;""=PMIS_Home!$B$4&amp;"",$A68&amp;""="Campus")),MAX($I$4:I67)+1,"")</f>
        <v/>
      </c>
    </row>
    <row r="69" spans="1:9" ht="6.9" customHeight="1">
      <c r="A69" s="13"/>
      <c r="B69" s="13"/>
      <c r="C69" s="13"/>
      <c r="D69" s="13"/>
      <c r="E69" s="13"/>
      <c r="F69" s="13"/>
      <c r="G69" s="13"/>
      <c r="H69" s="13"/>
      <c r="I69" s="114" t="str">
        <f>IF(AND($A69&lt;&gt;"",OR($A69&amp;""=PMIS_Home!$B$4&amp;"",$A69&amp;""="Campus")),MAX($I$4:I68)+1,"")</f>
        <v/>
      </c>
    </row>
    <row r="70" spans="1:9" ht="6.9" customHeight="1">
      <c r="A70" s="13"/>
      <c r="B70" s="13"/>
      <c r="C70" s="13"/>
      <c r="D70" s="13"/>
      <c r="E70" s="13"/>
      <c r="F70" s="13"/>
      <c r="G70" s="13"/>
      <c r="H70" s="13"/>
      <c r="I70" s="114" t="str">
        <f>IF(AND($A70&lt;&gt;"",OR($A70&amp;""=PMIS_Home!$B$4&amp;"",$A70&amp;""="Campus")),MAX($I$4:I69)+1,"")</f>
        <v/>
      </c>
    </row>
    <row r="71" spans="1:9" ht="6.9" customHeight="1">
      <c r="A71" s="13"/>
      <c r="B71" s="13"/>
      <c r="C71" s="13"/>
      <c r="D71" s="13"/>
      <c r="E71" s="13"/>
      <c r="F71" s="13"/>
      <c r="G71" s="13"/>
      <c r="H71" s="13"/>
      <c r="I71" s="114" t="str">
        <f>IF(AND($A71&lt;&gt;"",OR($A71&amp;""=PMIS_Home!$B$4&amp;"",$A71&amp;""="Campus")),MAX($I$4:I70)+1,"")</f>
        <v/>
      </c>
    </row>
    <row r="72" spans="1:9" ht="6.9" customHeight="1">
      <c r="A72" s="13"/>
      <c r="B72" s="13"/>
      <c r="C72" s="13"/>
      <c r="D72" s="13"/>
      <c r="E72" s="13"/>
      <c r="F72" s="13"/>
      <c r="G72" s="13"/>
      <c r="H72" s="13"/>
      <c r="I72" s="114" t="str">
        <f>IF(AND($A72&lt;&gt;"",OR($A72&amp;""=PMIS_Home!$B$4&amp;"",$A72&amp;""="Campus")),MAX($I$4:I71)+1,"")</f>
        <v/>
      </c>
    </row>
    <row r="73" spans="1:9" ht="6.9" customHeight="1">
      <c r="A73" s="13"/>
      <c r="B73" s="13"/>
      <c r="C73" s="13"/>
      <c r="D73" s="13"/>
      <c r="E73" s="13"/>
      <c r="F73" s="13"/>
      <c r="G73" s="13"/>
      <c r="H73" s="13"/>
      <c r="I73" s="114" t="str">
        <f>IF(AND($A73&lt;&gt;"",OR($A73&amp;""=PMIS_Home!$B$4&amp;"",$A73&amp;""="Campus")),MAX($I$4:I72)+1,"")</f>
        <v/>
      </c>
    </row>
    <row r="74" spans="1:9" ht="6.9" customHeight="1">
      <c r="A74" s="13"/>
      <c r="B74" s="13"/>
      <c r="C74" s="13"/>
      <c r="D74" s="13"/>
      <c r="E74" s="13"/>
      <c r="F74" s="13"/>
      <c r="G74" s="13"/>
      <c r="H74" s="13"/>
      <c r="I74" s="114" t="str">
        <f>IF(AND($A74&lt;&gt;"",OR($A74&amp;""=PMIS_Home!$B$4&amp;"",$A74&amp;""="Campus")),MAX($I$4:I73)+1,"")</f>
        <v/>
      </c>
    </row>
    <row r="75" spans="1:9" ht="6.9" customHeight="1">
      <c r="A75" s="13"/>
      <c r="B75" s="13"/>
      <c r="C75" s="13"/>
      <c r="D75" s="13"/>
      <c r="E75" s="13"/>
      <c r="F75" s="13"/>
      <c r="G75" s="13"/>
      <c r="H75" s="13"/>
      <c r="I75" s="114" t="str">
        <f>IF(AND($A75&lt;&gt;"",OR($A75&amp;""=PMIS_Home!$B$4&amp;"",$A75&amp;""="Campus")),MAX($I$4:I74)+1,"")</f>
        <v/>
      </c>
    </row>
    <row r="76" spans="1:9" ht="6.9" customHeight="1">
      <c r="A76" s="13"/>
      <c r="B76" s="13"/>
      <c r="C76" s="13"/>
      <c r="D76" s="13"/>
      <c r="E76" s="13"/>
      <c r="F76" s="13"/>
      <c r="G76" s="13"/>
      <c r="H76" s="13"/>
      <c r="I76" s="114" t="str">
        <f>IF(AND($A76&lt;&gt;"",OR($A76&amp;""=PMIS_Home!$B$4&amp;"",$A76&amp;""="Campus")),MAX($I$4:I75)+1,"")</f>
        <v/>
      </c>
    </row>
    <row r="77" spans="1:9" ht="6.9" customHeight="1">
      <c r="A77" s="13"/>
      <c r="B77" s="13"/>
      <c r="C77" s="13"/>
      <c r="D77" s="13"/>
      <c r="E77" s="13"/>
      <c r="F77" s="13"/>
      <c r="G77" s="13"/>
      <c r="H77" s="13"/>
      <c r="I77" s="114" t="str">
        <f>IF(AND($A77&lt;&gt;"",OR($A77&amp;""=PMIS_Home!$B$4&amp;"",$A77&amp;""="Campus")),MAX($I$4:I76)+1,"")</f>
        <v/>
      </c>
    </row>
    <row r="78" spans="1:9" ht="6.9" customHeight="1">
      <c r="A78" s="13"/>
      <c r="B78" s="13"/>
      <c r="C78" s="13"/>
      <c r="D78" s="13"/>
      <c r="E78" s="13"/>
      <c r="F78" s="13"/>
      <c r="G78" s="13"/>
      <c r="H78" s="13"/>
      <c r="I78" s="114" t="str">
        <f>IF(AND($A78&lt;&gt;"",OR($A78&amp;""=PMIS_Home!$B$4&amp;"",$A78&amp;""="Campus")),MAX($I$4:I77)+1,"")</f>
        <v/>
      </c>
    </row>
    <row r="79" spans="1:9" ht="6.9" customHeight="1">
      <c r="A79" s="13"/>
      <c r="B79" s="13"/>
      <c r="C79" s="13"/>
      <c r="D79" s="13"/>
      <c r="E79" s="13"/>
      <c r="F79" s="13"/>
      <c r="G79" s="13"/>
      <c r="H79" s="13"/>
      <c r="I79" s="114" t="str">
        <f>IF(AND($A79&lt;&gt;"",OR($A79&amp;""=PMIS_Home!$B$4&amp;"",$A79&amp;""="Campus")),MAX($I$4:I78)+1,"")</f>
        <v/>
      </c>
    </row>
    <row r="80" spans="1:9" ht="6.9" customHeight="1">
      <c r="A80" s="13"/>
      <c r="B80" s="13"/>
      <c r="C80" s="13"/>
      <c r="D80" s="13"/>
      <c r="E80" s="13"/>
      <c r="F80" s="13"/>
      <c r="G80" s="13"/>
      <c r="H80" s="13"/>
      <c r="I80" s="114" t="str">
        <f>IF(AND($A80&lt;&gt;"",OR($A80&amp;""=PMIS_Home!$B$4&amp;"",$A80&amp;""="Campus")),MAX($I$4:I79)+1,"")</f>
        <v/>
      </c>
    </row>
    <row r="81" spans="1:9" ht="6.9" customHeight="1">
      <c r="A81" s="13"/>
      <c r="B81" s="13"/>
      <c r="C81" s="13"/>
      <c r="D81" s="13"/>
      <c r="E81" s="13"/>
      <c r="F81" s="13"/>
      <c r="G81" s="13"/>
      <c r="H81" s="13"/>
      <c r="I81" s="114" t="str">
        <f>IF(AND($A81&lt;&gt;"",OR($A81&amp;""=PMIS_Home!$B$4&amp;"",$A81&amp;""="Campus")),MAX($I$4:I80)+1,"")</f>
        <v/>
      </c>
    </row>
    <row r="82" spans="1:9" ht="6.9" customHeight="1">
      <c r="A82" s="13"/>
      <c r="B82" s="13"/>
      <c r="C82" s="13"/>
      <c r="D82" s="13"/>
      <c r="E82" s="13"/>
      <c r="F82" s="13"/>
      <c r="G82" s="13"/>
      <c r="H82" s="13"/>
      <c r="I82" s="114" t="str">
        <f>IF(AND($A82&lt;&gt;"",OR($A82&amp;""=PMIS_Home!$B$4&amp;"",$A82&amp;""="Campus")),MAX($I$4:I81)+1,"")</f>
        <v/>
      </c>
    </row>
    <row r="83" spans="1:9" ht="6.9" customHeight="1">
      <c r="A83" s="13"/>
      <c r="B83" s="13"/>
      <c r="C83" s="13"/>
      <c r="D83" s="13"/>
      <c r="E83" s="13"/>
      <c r="F83" s="13"/>
      <c r="G83" s="13"/>
      <c r="H83" s="13"/>
      <c r="I83" s="114" t="str">
        <f>IF(AND($A83&lt;&gt;"",OR($A83&amp;""=PMIS_Home!$B$4&amp;"",$A83&amp;""="Campus")),MAX($I$4:I82)+1,"")</f>
        <v/>
      </c>
    </row>
    <row r="84" spans="1:9" ht="6.9" customHeight="1">
      <c r="A84" s="13"/>
      <c r="B84" s="13"/>
      <c r="C84" s="13"/>
      <c r="D84" s="13"/>
      <c r="E84" s="13"/>
      <c r="F84" s="13"/>
      <c r="G84" s="13"/>
      <c r="H84" s="13"/>
      <c r="I84" s="114" t="str">
        <f>IF(AND($A84&lt;&gt;"",OR($A84&amp;""=PMIS_Home!$B$4&amp;"",$A84&amp;""="Campus")),MAX($I$4:I83)+1,"")</f>
        <v/>
      </c>
    </row>
    <row r="85" spans="1:9" ht="6.9" customHeight="1">
      <c r="A85" s="13"/>
      <c r="B85" s="13"/>
      <c r="C85" s="13"/>
      <c r="D85" s="13"/>
      <c r="E85" s="13"/>
      <c r="F85" s="13"/>
      <c r="G85" s="13"/>
      <c r="H85" s="13"/>
      <c r="I85" s="114" t="str">
        <f>IF(AND($A85&lt;&gt;"",OR($A85&amp;""=PMIS_Home!$B$4&amp;"",$A85&amp;""="Campus")),MAX($I$4:I84)+1,"")</f>
        <v/>
      </c>
    </row>
    <row r="86" spans="1:9" ht="6.9" customHeight="1">
      <c r="A86" s="13"/>
      <c r="B86" s="13"/>
      <c r="C86" s="13"/>
      <c r="D86" s="13"/>
      <c r="E86" s="13"/>
      <c r="F86" s="13"/>
      <c r="G86" s="13"/>
      <c r="H86" s="13"/>
      <c r="I86" s="114" t="str">
        <f>IF(AND($A86&lt;&gt;"",OR($A86&amp;""=PMIS_Home!$B$4&amp;"",$A86&amp;""="Campus")),MAX($I$4:I85)+1,"")</f>
        <v/>
      </c>
    </row>
    <row r="87" spans="1:9" ht="6.9" customHeight="1">
      <c r="A87" s="13"/>
      <c r="B87" s="13"/>
      <c r="C87" s="13"/>
      <c r="D87" s="13"/>
      <c r="E87" s="13"/>
      <c r="F87" s="13"/>
      <c r="G87" s="13"/>
      <c r="H87" s="13"/>
      <c r="I87" s="114" t="str">
        <f>IF(AND($A87&lt;&gt;"",OR($A87&amp;""=PMIS_Home!$B$4&amp;"",$A87&amp;""="Campus")),MAX($I$4:I86)+1,"")</f>
        <v/>
      </c>
    </row>
    <row r="88" spans="1:9" ht="6.9" customHeight="1">
      <c r="A88" s="13"/>
      <c r="B88" s="13"/>
      <c r="C88" s="13"/>
      <c r="D88" s="13"/>
      <c r="E88" s="13"/>
      <c r="F88" s="13"/>
      <c r="G88" s="13"/>
      <c r="H88" s="13"/>
      <c r="I88" s="114" t="str">
        <f>IF(AND($A88&lt;&gt;"",OR($A88&amp;""=PMIS_Home!$B$4&amp;"",$A88&amp;""="Campus")),MAX($I$4:I87)+1,"")</f>
        <v/>
      </c>
    </row>
    <row r="89" spans="1:9" ht="6.9" customHeight="1">
      <c r="A89" s="13"/>
      <c r="B89" s="13"/>
      <c r="C89" s="13"/>
      <c r="D89" s="13"/>
      <c r="E89" s="13"/>
      <c r="F89" s="13"/>
      <c r="G89" s="13"/>
      <c r="H89" s="13"/>
      <c r="I89" s="114" t="str">
        <f>IF(AND($A89&lt;&gt;"",OR($A89&amp;""=PMIS_Home!$B$4&amp;"",$A89&amp;""="Campus")),MAX($I$4:I88)+1,"")</f>
        <v/>
      </c>
    </row>
    <row r="90" spans="1:9" ht="6.9" customHeight="1">
      <c r="A90" s="13"/>
      <c r="B90" s="13"/>
      <c r="C90" s="13"/>
      <c r="D90" s="13"/>
      <c r="E90" s="13"/>
      <c r="F90" s="13"/>
      <c r="G90" s="13"/>
      <c r="H90" s="13"/>
      <c r="I90" s="114" t="str">
        <f>IF(AND($A90&lt;&gt;"",OR($A90&amp;""=PMIS_Home!$B$4&amp;"",$A90&amp;""="Campus")),MAX($I$4:I89)+1,"")</f>
        <v/>
      </c>
    </row>
    <row r="91" spans="1:9" ht="6.9" customHeight="1">
      <c r="A91" s="13"/>
      <c r="B91" s="13"/>
      <c r="C91" s="13"/>
      <c r="D91" s="13"/>
      <c r="E91" s="13"/>
      <c r="F91" s="13"/>
      <c r="G91" s="13"/>
      <c r="H91" s="13"/>
      <c r="I91" s="114" t="str">
        <f>IF(AND($A91&lt;&gt;"",OR($A91&amp;""=PMIS_Home!$B$4&amp;"",$A91&amp;""="Campus")),MAX($I$4:I90)+1,"")</f>
        <v/>
      </c>
    </row>
    <row r="92" spans="1:9" ht="6.9" customHeight="1">
      <c r="A92" s="13"/>
      <c r="B92" s="13"/>
      <c r="C92" s="13"/>
      <c r="D92" s="13"/>
      <c r="E92" s="13"/>
      <c r="F92" s="13"/>
      <c r="G92" s="13"/>
      <c r="H92" s="13"/>
      <c r="I92" s="114" t="str">
        <f>IF(AND($A92&lt;&gt;"",OR($A92&amp;""=PMIS_Home!$B$4&amp;"",$A92&amp;""="Campus")),MAX($I$4:I91)+1,"")</f>
        <v/>
      </c>
    </row>
    <row r="93" spans="1:9" ht="6.9" customHeight="1">
      <c r="A93" s="13"/>
      <c r="B93" s="13"/>
      <c r="C93" s="13"/>
      <c r="D93" s="13"/>
      <c r="E93" s="13"/>
      <c r="F93" s="13"/>
      <c r="G93" s="13"/>
      <c r="H93" s="13"/>
      <c r="I93" s="114" t="str">
        <f>IF(AND($A93&lt;&gt;"",OR($A93&amp;""=PMIS_Home!$B$4&amp;"",$A93&amp;""="Campus")),MAX($I$4:I92)+1,"")</f>
        <v/>
      </c>
    </row>
    <row r="94" spans="1:9" ht="6.9" customHeight="1">
      <c r="A94" s="13"/>
      <c r="B94" s="13"/>
      <c r="C94" s="13"/>
      <c r="D94" s="13"/>
      <c r="E94" s="13"/>
      <c r="F94" s="13"/>
      <c r="G94" s="13"/>
      <c r="H94" s="13"/>
      <c r="I94" s="114" t="str">
        <f>IF(AND($A94&lt;&gt;"",OR($A94&amp;""=PMIS_Home!$B$4&amp;"",$A94&amp;""="Campus")),MAX($I$4:I93)+1,"")</f>
        <v/>
      </c>
    </row>
    <row r="95" spans="1:9" ht="6.9" customHeight="1">
      <c r="A95" s="13"/>
      <c r="B95" s="13"/>
      <c r="C95" s="13"/>
      <c r="D95" s="13"/>
      <c r="E95" s="13"/>
      <c r="F95" s="13"/>
      <c r="G95" s="13"/>
      <c r="H95" s="13"/>
      <c r="I95" s="114" t="str">
        <f>IF(AND($A95&lt;&gt;"",OR($A95&amp;""=PMIS_Home!$B$4&amp;"",$A95&amp;""="Campus")),MAX($I$4:I94)+1,"")</f>
        <v/>
      </c>
    </row>
    <row r="96" spans="1:9" ht="6.9" customHeight="1">
      <c r="A96" s="13"/>
      <c r="B96" s="13"/>
      <c r="C96" s="13"/>
      <c r="D96" s="13"/>
      <c r="E96" s="13"/>
      <c r="F96" s="13"/>
      <c r="G96" s="13"/>
      <c r="H96" s="13"/>
      <c r="I96" s="114" t="str">
        <f>IF(AND($A96&lt;&gt;"",OR($A96&amp;""=PMIS_Home!$B$4&amp;"",$A96&amp;""="Campus")),MAX($I$4:I95)+1,"")</f>
        <v/>
      </c>
    </row>
    <row r="97" spans="1:9" ht="6.9" customHeight="1">
      <c r="A97" s="13"/>
      <c r="B97" s="13"/>
      <c r="C97" s="13"/>
      <c r="D97" s="13"/>
      <c r="E97" s="13"/>
      <c r="F97" s="13"/>
      <c r="G97" s="13"/>
      <c r="H97" s="13"/>
      <c r="I97" s="114" t="str">
        <f>IF(AND($A97&lt;&gt;"",OR($A97&amp;""=PMIS_Home!$B$4&amp;"",$A97&amp;""="Campus")),MAX($I$4:I96)+1,"")</f>
        <v/>
      </c>
    </row>
    <row r="98" spans="1:9" ht="6.9" customHeight="1">
      <c r="A98" s="13"/>
      <c r="B98" s="13"/>
      <c r="C98" s="13"/>
      <c r="D98" s="13"/>
      <c r="E98" s="13"/>
      <c r="F98" s="13"/>
      <c r="G98" s="13"/>
      <c r="H98" s="13"/>
      <c r="I98" s="114" t="str">
        <f>IF(AND($A98&lt;&gt;"",OR($A98&amp;""=PMIS_Home!$B$4&amp;"",$A98&amp;""="Campus")),MAX($I$4:I97)+1,"")</f>
        <v/>
      </c>
    </row>
    <row r="99" spans="1:9" ht="6.9" customHeight="1">
      <c r="A99" s="13"/>
      <c r="B99" s="13"/>
      <c r="C99" s="13"/>
      <c r="D99" s="13"/>
      <c r="E99" s="13"/>
      <c r="F99" s="13"/>
      <c r="G99" s="13"/>
      <c r="H99" s="13"/>
      <c r="I99" s="114" t="str">
        <f>IF(AND($A99&lt;&gt;"",OR($A99&amp;""=PMIS_Home!$B$4&amp;"",$A99&amp;""="Campus")),MAX($I$4:I98)+1,"")</f>
        <v/>
      </c>
    </row>
    <row r="100" spans="1:9" ht="6.9" customHeight="1">
      <c r="A100" s="13"/>
      <c r="B100" s="13"/>
      <c r="C100" s="13"/>
      <c r="D100" s="13"/>
      <c r="E100" s="13"/>
      <c r="F100" s="13"/>
      <c r="G100" s="13"/>
      <c r="H100" s="13"/>
      <c r="I100" s="114" t="str">
        <f>IF(AND($A100&lt;&gt;"",OR($A100&amp;""=PMIS_Home!$B$4&amp;"",$A100&amp;""="Campus")),MAX($I$4:I99)+1,"")</f>
        <v/>
      </c>
    </row>
    <row r="101" spans="1:9" ht="6.9" customHeight="1">
      <c r="A101" s="13"/>
      <c r="B101" s="13"/>
      <c r="C101" s="13"/>
      <c r="D101" s="13"/>
      <c r="E101" s="13"/>
      <c r="F101" s="13"/>
      <c r="G101" s="13"/>
      <c r="H101" s="13"/>
      <c r="I101" s="114" t="str">
        <f>IF(AND($A101&lt;&gt;"",OR($A101&amp;""=PMIS_Home!$B$4&amp;"",$A101&amp;""="Campus")),MAX($I$4:I100)+1,"")</f>
        <v/>
      </c>
    </row>
    <row r="102" spans="1:9" ht="6.9" customHeight="1">
      <c r="A102" s="13"/>
      <c r="B102" s="13"/>
      <c r="C102" s="13"/>
      <c r="D102" s="13"/>
      <c r="E102" s="13"/>
      <c r="F102" s="13"/>
      <c r="G102" s="13"/>
      <c r="H102" s="13"/>
      <c r="I102" s="114" t="str">
        <f>IF(AND($A102&lt;&gt;"",OR($A102&amp;""=PMIS_Home!$B$4&amp;"",$A102&amp;""="Campus")),MAX($I$4:I101)+1,"")</f>
        <v/>
      </c>
    </row>
    <row r="103" spans="1:9" ht="6.9" customHeight="1">
      <c r="A103" s="13"/>
      <c r="B103" s="13"/>
      <c r="C103" s="13"/>
      <c r="D103" s="13"/>
      <c r="E103" s="13"/>
      <c r="F103" s="13"/>
      <c r="G103" s="13"/>
      <c r="H103" s="13"/>
      <c r="I103" s="114" t="str">
        <f>IF(AND($A103&lt;&gt;"",OR($A103&amp;""=PMIS_Home!$B$4&amp;"",$A103&amp;""="Campus")),MAX($I$4:I102)+1,"")</f>
        <v/>
      </c>
    </row>
    <row r="104" spans="1:9" ht="6.9" customHeight="1">
      <c r="A104" s="13"/>
      <c r="B104" s="13"/>
      <c r="C104" s="13"/>
      <c r="D104" s="13"/>
      <c r="E104" s="13"/>
      <c r="F104" s="13"/>
      <c r="G104" s="13"/>
      <c r="H104" s="13"/>
      <c r="I104" s="114" t="str">
        <f>IF(AND($A104&lt;&gt;"",OR($A104&amp;""=PMIS_Home!$B$4&amp;"",$A104&amp;""="Campus")),MAX($I$4:I103)+1,"")</f>
        <v/>
      </c>
    </row>
    <row r="105" spans="1:9" ht="6.9" customHeight="1">
      <c r="A105" s="13"/>
      <c r="B105" s="13"/>
      <c r="C105" s="13"/>
      <c r="D105" s="13"/>
      <c r="E105" s="13"/>
      <c r="F105" s="13"/>
      <c r="G105" s="13"/>
      <c r="H105" s="13"/>
      <c r="I105" s="114" t="str">
        <f>IF(AND($A105&lt;&gt;"",OR($A105&amp;""=PMIS_Home!$B$4&amp;"",$A105&amp;""="Campus")),MAX($I$4:I104)+1,"")</f>
        <v/>
      </c>
    </row>
    <row r="106" spans="1:9" ht="6.9" customHeight="1">
      <c r="A106" s="13"/>
      <c r="B106" s="13"/>
      <c r="C106" s="13"/>
      <c r="D106" s="13"/>
      <c r="E106" s="13"/>
      <c r="F106" s="13"/>
      <c r="G106" s="13"/>
      <c r="H106" s="13"/>
      <c r="I106" s="114" t="str">
        <f>IF(AND($A106&lt;&gt;"",OR($A106&amp;""=PMIS_Home!$B$4&amp;"",$A106&amp;""="Campus")),MAX($I$4:I105)+1,"")</f>
        <v/>
      </c>
    </row>
    <row r="107" spans="1:9" ht="6.9" customHeight="1">
      <c r="A107" s="13"/>
      <c r="B107" s="13"/>
      <c r="C107" s="13"/>
      <c r="D107" s="13"/>
      <c r="E107" s="13"/>
      <c r="F107" s="13"/>
      <c r="G107" s="13"/>
      <c r="H107" s="13"/>
      <c r="I107" s="114" t="str">
        <f>IF(AND($A107&lt;&gt;"",OR($A107&amp;""=PMIS_Home!$B$4&amp;"",$A107&amp;""="Campus")),MAX($I$4:I106)+1,"")</f>
        <v/>
      </c>
    </row>
    <row r="108" spans="1:9" ht="6.9" customHeight="1">
      <c r="A108" s="13"/>
      <c r="B108" s="13"/>
      <c r="C108" s="13"/>
      <c r="D108" s="13"/>
      <c r="E108" s="13"/>
      <c r="F108" s="13"/>
      <c r="G108" s="13"/>
      <c r="H108" s="13"/>
      <c r="I108" s="114" t="str">
        <f>IF(AND($A108&lt;&gt;"",OR($A108&amp;""=PMIS_Home!$B$4&amp;"",$A108&amp;""="Campus")),MAX($I$4:I107)+1,"")</f>
        <v/>
      </c>
    </row>
    <row r="109" spans="1:9" ht="6.9" customHeight="1">
      <c r="A109" s="13"/>
      <c r="B109" s="13"/>
      <c r="C109" s="13"/>
      <c r="D109" s="13"/>
      <c r="E109" s="13"/>
      <c r="F109" s="13"/>
      <c r="G109" s="13"/>
      <c r="H109" s="13"/>
      <c r="I109" s="114" t="str">
        <f>IF(AND($A109&lt;&gt;"",OR($A109&amp;""=PMIS_Home!$B$4&amp;"",$A109&amp;""="Campus")),MAX($I$4:I108)+1,"")</f>
        <v/>
      </c>
    </row>
    <row r="110" spans="1:9" ht="6.9" customHeight="1">
      <c r="A110" s="13"/>
      <c r="B110" s="13"/>
      <c r="C110" s="13"/>
      <c r="D110" s="13"/>
      <c r="E110" s="13"/>
      <c r="F110" s="13"/>
      <c r="G110" s="13"/>
      <c r="H110" s="13"/>
      <c r="I110" s="114" t="str">
        <f>IF(AND($A110&lt;&gt;"",OR($A110&amp;""=PMIS_Home!$B$4&amp;"",$A110&amp;""="Campus")),MAX($I$4:I109)+1,"")</f>
        <v/>
      </c>
    </row>
    <row r="111" spans="1:9" ht="6.9" customHeight="1">
      <c r="A111" s="13"/>
      <c r="B111" s="13"/>
      <c r="C111" s="13"/>
      <c r="D111" s="13"/>
      <c r="E111" s="13"/>
      <c r="F111" s="13"/>
      <c r="G111" s="13"/>
      <c r="H111" s="13"/>
      <c r="I111" s="114" t="str">
        <f>IF(AND($A111&lt;&gt;"",OR($A111&amp;""=PMIS_Home!$B$4&amp;"",$A111&amp;""="Campus")),MAX($I$4:I110)+1,"")</f>
        <v/>
      </c>
    </row>
    <row r="112" spans="1:9" ht="6.9" customHeight="1">
      <c r="A112" s="13"/>
      <c r="B112" s="13"/>
      <c r="C112" s="13"/>
      <c r="D112" s="13"/>
      <c r="E112" s="13"/>
      <c r="F112" s="13"/>
      <c r="G112" s="13"/>
      <c r="H112" s="13"/>
      <c r="I112" s="114" t="str">
        <f>IF(AND($A112&lt;&gt;"",OR($A112&amp;""=PMIS_Home!$B$4&amp;"",$A112&amp;""="Campus")),MAX($I$4:I111)+1,"")</f>
        <v/>
      </c>
    </row>
    <row r="113" spans="1:9" ht="6.9" customHeight="1">
      <c r="A113" s="13"/>
      <c r="B113" s="13"/>
      <c r="C113" s="13"/>
      <c r="D113" s="13"/>
      <c r="E113" s="13"/>
      <c r="F113" s="13"/>
      <c r="G113" s="13"/>
      <c r="H113" s="13"/>
      <c r="I113" s="114" t="str">
        <f>IF(AND($A113&lt;&gt;"",OR($A113&amp;""=PMIS_Home!$B$4&amp;"",$A113&amp;""="Campus")),MAX($I$4:I112)+1,"")</f>
        <v/>
      </c>
    </row>
    <row r="114" spans="1:9" ht="6.9" customHeight="1">
      <c r="A114" s="13"/>
      <c r="B114" s="13"/>
      <c r="C114" s="13"/>
      <c r="D114" s="13"/>
      <c r="E114" s="13"/>
      <c r="F114" s="13"/>
      <c r="G114" s="13"/>
      <c r="H114" s="13"/>
      <c r="I114" s="114" t="str">
        <f>IF(AND($A114&lt;&gt;"",OR($A114&amp;""=PMIS_Home!$B$4&amp;"",$A114&amp;""="Campus")),MAX($I$4:I113)+1,"")</f>
        <v/>
      </c>
    </row>
    <row r="115" spans="1:9" ht="6.9" customHeight="1">
      <c r="A115" s="13"/>
      <c r="B115" s="13"/>
      <c r="C115" s="13"/>
      <c r="D115" s="13"/>
      <c r="E115" s="13"/>
      <c r="F115" s="13"/>
      <c r="G115" s="13"/>
      <c r="H115" s="13"/>
      <c r="I115" s="114" t="str">
        <f>IF(AND($A115&lt;&gt;"",OR($A115&amp;""=PMIS_Home!$B$4&amp;"",$A115&amp;""="Campus")),MAX($I$4:I114)+1,"")</f>
        <v/>
      </c>
    </row>
    <row r="116" spans="1:9" ht="6.9" customHeight="1">
      <c r="A116" s="13"/>
      <c r="B116" s="13"/>
      <c r="C116" s="13"/>
      <c r="D116" s="13"/>
      <c r="E116" s="13"/>
      <c r="F116" s="13"/>
      <c r="G116" s="13"/>
      <c r="H116" s="13"/>
      <c r="I116" s="114" t="str">
        <f>IF(AND($A116&lt;&gt;"",OR($A116&amp;""=PMIS_Home!$B$4&amp;"",$A116&amp;""="Campus")),MAX($I$4:I115)+1,"")</f>
        <v/>
      </c>
    </row>
    <row r="117" spans="1:9" ht="6.9" customHeight="1">
      <c r="A117" s="13"/>
      <c r="B117" s="13"/>
      <c r="C117" s="13"/>
      <c r="D117" s="13"/>
      <c r="E117" s="13"/>
      <c r="F117" s="13"/>
      <c r="G117" s="13"/>
      <c r="H117" s="13"/>
      <c r="I117" s="114" t="str">
        <f>IF(AND($A117&lt;&gt;"",OR($A117&amp;""=PMIS_Home!$B$4&amp;"",$A117&amp;""="Campus")),MAX($I$4:I116)+1,"")</f>
        <v/>
      </c>
    </row>
    <row r="118" spans="1:9" ht="6.9" customHeight="1">
      <c r="A118" s="13"/>
      <c r="B118" s="13"/>
      <c r="C118" s="13"/>
      <c r="D118" s="13"/>
      <c r="E118" s="13"/>
      <c r="F118" s="13"/>
      <c r="G118" s="13"/>
      <c r="H118" s="13"/>
      <c r="I118" s="114" t="str">
        <f>IF(AND($A118&lt;&gt;"",OR($A118&amp;""=PMIS_Home!$B$4&amp;"",$A118&amp;""="Campus")),MAX($I$4:I117)+1,"")</f>
        <v/>
      </c>
    </row>
    <row r="119" spans="1:9" ht="6.9" customHeight="1">
      <c r="A119" s="13"/>
      <c r="B119" s="13"/>
      <c r="C119" s="13"/>
      <c r="D119" s="13"/>
      <c r="E119" s="13"/>
      <c r="F119" s="13"/>
      <c r="G119" s="13"/>
      <c r="H119" s="13"/>
      <c r="I119" s="114" t="str">
        <f>IF(AND($A119&lt;&gt;"",OR($A119&amp;""=PMIS_Home!$B$4&amp;"",$A119&amp;""="Campus")),MAX($I$4:I118)+1,"")</f>
        <v/>
      </c>
    </row>
    <row r="120" spans="1:9" ht="6.9" customHeight="1">
      <c r="A120" s="13"/>
      <c r="B120" s="13"/>
      <c r="C120" s="13"/>
      <c r="D120" s="13"/>
      <c r="E120" s="13"/>
      <c r="F120" s="13"/>
      <c r="G120" s="13"/>
      <c r="H120" s="13"/>
      <c r="I120" s="114" t="str">
        <f>IF(AND($A120&lt;&gt;"",OR($A120&amp;""=PMIS_Home!$B$4&amp;"",$A120&amp;""="Campus")),MAX($I$4:I119)+1,"")</f>
        <v/>
      </c>
    </row>
    <row r="121" spans="1:9" ht="6.9" customHeight="1">
      <c r="A121" s="13"/>
      <c r="B121" s="13"/>
      <c r="C121" s="13"/>
      <c r="D121" s="13"/>
      <c r="E121" s="13"/>
      <c r="F121" s="13"/>
      <c r="G121" s="13"/>
      <c r="H121" s="13"/>
      <c r="I121" s="114" t="str">
        <f>IF(AND($A121&lt;&gt;"",OR($A121&amp;""=PMIS_Home!$B$4&amp;"",$A121&amp;""="Campus")),MAX($I$4:I120)+1,"")</f>
        <v/>
      </c>
    </row>
    <row r="122" spans="1:9" ht="6.9" customHeight="1">
      <c r="A122" s="13"/>
      <c r="B122" s="13"/>
      <c r="C122" s="13"/>
      <c r="D122" s="13"/>
      <c r="E122" s="13"/>
      <c r="F122" s="13"/>
      <c r="G122" s="13"/>
      <c r="H122" s="13"/>
      <c r="I122" s="114" t="str">
        <f>IF(AND($A122&lt;&gt;"",OR($A122&amp;""=PMIS_Home!$B$4&amp;"",$A122&amp;""="Campus")),MAX($I$4:I121)+1,"")</f>
        <v/>
      </c>
    </row>
    <row r="123" spans="1:9" ht="6.9" customHeight="1">
      <c r="A123" s="13"/>
      <c r="B123" s="13"/>
      <c r="C123" s="13"/>
      <c r="D123" s="13"/>
      <c r="E123" s="13"/>
      <c r="F123" s="13"/>
      <c r="G123" s="13"/>
      <c r="H123" s="13"/>
      <c r="I123" s="114" t="str">
        <f>IF(AND($A123&lt;&gt;"",OR($A123&amp;""=PMIS_Home!$B$4&amp;"",$A123&amp;""="Campus")),MAX($I$4:I122)+1,"")</f>
        <v/>
      </c>
    </row>
    <row r="124" spans="1:9" ht="6.9" customHeight="1">
      <c r="A124" s="13"/>
      <c r="B124" s="13"/>
      <c r="C124" s="13"/>
      <c r="D124" s="13"/>
      <c r="E124" s="13"/>
      <c r="F124" s="13"/>
      <c r="G124" s="13"/>
      <c r="H124" s="13"/>
      <c r="I124" s="114" t="str">
        <f>IF(AND($A124&lt;&gt;"",OR($A124&amp;""=PMIS_Home!$B$4&amp;"",$A124&amp;""="Campus")),MAX($I$4:I123)+1,"")</f>
        <v/>
      </c>
    </row>
    <row r="125" spans="1:9" ht="6.9" customHeight="1">
      <c r="A125" s="13"/>
      <c r="B125" s="13"/>
      <c r="C125" s="13"/>
      <c r="D125" s="13"/>
      <c r="E125" s="13"/>
      <c r="F125" s="13"/>
      <c r="G125" s="13"/>
      <c r="H125" s="13"/>
      <c r="I125" s="114" t="str">
        <f>IF(AND($A125&lt;&gt;"",OR($A125&amp;""=PMIS_Home!$B$4&amp;"",$A125&amp;""="Campus")),MAX($I$4:I124)+1,"")</f>
        <v/>
      </c>
    </row>
    <row r="126" spans="1:9" ht="6.9" customHeight="1">
      <c r="A126" s="13"/>
      <c r="B126" s="13"/>
      <c r="C126" s="13"/>
      <c r="D126" s="13"/>
      <c r="E126" s="13"/>
      <c r="F126" s="13"/>
      <c r="G126" s="13"/>
      <c r="H126" s="13"/>
      <c r="I126" s="114" t="str">
        <f>IF(AND($A126&lt;&gt;"",OR($A126&amp;""=PMIS_Home!$B$4&amp;"",$A126&amp;""="Campus")),MAX($I$4:I125)+1,"")</f>
        <v/>
      </c>
    </row>
    <row r="127" spans="1:9" ht="6.9" customHeight="1">
      <c r="A127" s="13"/>
      <c r="B127" s="13"/>
      <c r="C127" s="13"/>
      <c r="D127" s="13"/>
      <c r="E127" s="13"/>
      <c r="F127" s="13"/>
      <c r="G127" s="13"/>
      <c r="H127" s="13"/>
      <c r="I127" s="114" t="str">
        <f>IF(AND($A127&lt;&gt;"",OR($A127&amp;""=PMIS_Home!$B$4&amp;"",$A127&amp;""="Campus")),MAX($I$4:I126)+1,"")</f>
        <v/>
      </c>
    </row>
    <row r="128" spans="1:9" ht="6.9" customHeight="1">
      <c r="A128" s="13"/>
      <c r="B128" s="13"/>
      <c r="C128" s="13"/>
      <c r="D128" s="13"/>
      <c r="E128" s="13"/>
      <c r="F128" s="13"/>
      <c r="G128" s="13"/>
      <c r="H128" s="13"/>
      <c r="I128" s="114" t="str">
        <f>IF(AND($A128&lt;&gt;"",OR($A128&amp;""=PMIS_Home!$B$4&amp;"",$A128&amp;""="Campus")),MAX($I$4:I127)+1,"")</f>
        <v/>
      </c>
    </row>
    <row r="129" spans="1:9" ht="6.9" customHeight="1">
      <c r="A129" s="13"/>
      <c r="B129" s="13"/>
      <c r="C129" s="13"/>
      <c r="D129" s="13"/>
      <c r="E129" s="13"/>
      <c r="F129" s="13"/>
      <c r="G129" s="13"/>
      <c r="H129" s="13"/>
      <c r="I129" s="114" t="str">
        <f>IF(AND($A129&lt;&gt;"",OR($A129&amp;""=PMIS_Home!$B$4&amp;"",$A129&amp;""="Campus")),MAX($I$4:I128)+1,"")</f>
        <v/>
      </c>
    </row>
    <row r="130" spans="1:9" ht="6.9" customHeight="1">
      <c r="A130" s="13"/>
      <c r="B130" s="13"/>
      <c r="C130" s="13"/>
      <c r="D130" s="13"/>
      <c r="E130" s="13"/>
      <c r="F130" s="13"/>
      <c r="G130" s="13"/>
      <c r="H130" s="13"/>
      <c r="I130" s="114" t="str">
        <f>IF(AND($A130&lt;&gt;"",OR($A130&amp;""=PMIS_Home!$B$4&amp;"",$A130&amp;""="Campus")),MAX($I$4:I129)+1,"")</f>
        <v/>
      </c>
    </row>
    <row r="131" spans="1:9" ht="6.9" customHeight="1">
      <c r="A131" s="13"/>
      <c r="B131" s="13"/>
      <c r="C131" s="13"/>
      <c r="D131" s="13"/>
      <c r="E131" s="13"/>
      <c r="F131" s="13"/>
      <c r="G131" s="13"/>
      <c r="H131" s="13"/>
      <c r="I131" s="114" t="str">
        <f>IF(AND($A131&lt;&gt;"",OR($A131&amp;""=PMIS_Home!$B$4&amp;"",$A131&amp;""="Campus")),MAX($I$4:I130)+1,"")</f>
        <v/>
      </c>
    </row>
    <row r="132" spans="1:9" ht="6.9" customHeight="1">
      <c r="A132" s="13"/>
      <c r="B132" s="13"/>
      <c r="C132" s="13"/>
      <c r="D132" s="13"/>
      <c r="E132" s="13"/>
      <c r="F132" s="13"/>
      <c r="G132" s="13"/>
      <c r="H132" s="13"/>
      <c r="I132" s="114" t="str">
        <f>IF(AND($A132&lt;&gt;"",OR($A132&amp;""=PMIS_Home!$B$4&amp;"",$A132&amp;""="Campus")),MAX($I$4:I131)+1,"")</f>
        <v/>
      </c>
    </row>
    <row r="133" spans="1:9" ht="6.9" customHeight="1">
      <c r="A133" s="13"/>
      <c r="B133" s="13"/>
      <c r="C133" s="13"/>
      <c r="D133" s="13"/>
      <c r="E133" s="13"/>
      <c r="F133" s="13"/>
      <c r="G133" s="13"/>
      <c r="H133" s="13"/>
      <c r="I133" s="114" t="str">
        <f>IF(AND($A133&lt;&gt;"",OR($A133&amp;""=PMIS_Home!$B$4&amp;"",$A133&amp;""="Campus")),MAX($I$4:I132)+1,"")</f>
        <v/>
      </c>
    </row>
    <row r="134" spans="1:9" ht="6.9" customHeight="1">
      <c r="A134" s="13"/>
      <c r="B134" s="13"/>
      <c r="C134" s="13"/>
      <c r="D134" s="13"/>
      <c r="E134" s="13"/>
      <c r="F134" s="13"/>
      <c r="G134" s="13"/>
      <c r="H134" s="13"/>
      <c r="I134" s="114" t="str">
        <f>IF(AND($A134&lt;&gt;"",OR($A134&amp;""=PMIS_Home!$B$4&amp;"",$A134&amp;""="Campus")),MAX($I$4:I133)+1,"")</f>
        <v/>
      </c>
    </row>
    <row r="135" spans="1:9" ht="6.9" customHeight="1">
      <c r="A135" s="13"/>
      <c r="B135" s="13"/>
      <c r="C135" s="13"/>
      <c r="D135" s="13"/>
      <c r="E135" s="13"/>
      <c r="F135" s="13"/>
      <c r="G135" s="13"/>
      <c r="H135" s="13"/>
      <c r="I135" s="114" t="str">
        <f>IF(AND($A135&lt;&gt;"",OR($A135&amp;""=PMIS_Home!$B$4&amp;"",$A135&amp;""="Campus")),MAX($I$4:I134)+1,"")</f>
        <v/>
      </c>
    </row>
    <row r="136" spans="1:9" ht="6.9" customHeight="1">
      <c r="A136" s="13"/>
      <c r="B136" s="13"/>
      <c r="C136" s="13"/>
      <c r="D136" s="13"/>
      <c r="E136" s="13"/>
      <c r="F136" s="13"/>
      <c r="G136" s="13"/>
      <c r="H136" s="13"/>
      <c r="I136" s="114" t="str">
        <f>IF(AND($A136&lt;&gt;"",OR($A136&amp;""=PMIS_Home!$B$4&amp;"",$A136&amp;""="Campus")),MAX($I$4:I135)+1,"")</f>
        <v/>
      </c>
    </row>
    <row r="137" spans="1:9" ht="6.9" customHeight="1">
      <c r="A137" s="13"/>
      <c r="B137" s="13"/>
      <c r="C137" s="13"/>
      <c r="D137" s="13"/>
      <c r="E137" s="13"/>
      <c r="F137" s="13"/>
      <c r="G137" s="13"/>
      <c r="H137" s="13"/>
      <c r="I137" s="114" t="str">
        <f>IF(AND($A137&lt;&gt;"",OR($A137&amp;""=PMIS_Home!$B$4&amp;"",$A137&amp;""="Campus")),MAX($I$4:I136)+1,"")</f>
        <v/>
      </c>
    </row>
    <row r="138" spans="1:9" ht="6.9" customHeight="1">
      <c r="A138" s="13"/>
      <c r="B138" s="13"/>
      <c r="C138" s="13"/>
      <c r="D138" s="13"/>
      <c r="E138" s="13"/>
      <c r="F138" s="13"/>
      <c r="G138" s="13"/>
      <c r="H138" s="13"/>
      <c r="I138" s="114" t="str">
        <f>IF(AND($A138&lt;&gt;"",OR($A138&amp;""=PMIS_Home!$B$4&amp;"",$A138&amp;""="Campus")),MAX($I$4:I137)+1,"")</f>
        <v/>
      </c>
    </row>
    <row r="139" spans="1:9" ht="6.9" customHeight="1">
      <c r="A139" s="13"/>
      <c r="B139" s="13"/>
      <c r="C139" s="13"/>
      <c r="D139" s="13"/>
      <c r="E139" s="13"/>
      <c r="F139" s="13"/>
      <c r="G139" s="13"/>
      <c r="H139" s="13"/>
      <c r="I139" s="114" t="str">
        <f>IF(AND($A139&lt;&gt;"",OR($A139&amp;""=PMIS_Home!$B$4&amp;"",$A139&amp;""="Campus")),MAX($I$4:I138)+1,"")</f>
        <v/>
      </c>
    </row>
    <row r="140" spans="1:9" ht="6.9" customHeight="1">
      <c r="A140" s="13"/>
      <c r="B140" s="13"/>
      <c r="C140" s="13"/>
      <c r="D140" s="13"/>
      <c r="E140" s="13"/>
      <c r="F140" s="13"/>
      <c r="G140" s="13"/>
      <c r="H140" s="13"/>
      <c r="I140" s="114" t="str">
        <f>IF(AND($A140&lt;&gt;"",OR($A140&amp;""=PMIS_Home!$B$4&amp;"",$A140&amp;""="Campus")),MAX($I$4:I139)+1,"")</f>
        <v/>
      </c>
    </row>
    <row r="141" spans="1:9" ht="6.9" customHeight="1">
      <c r="A141" s="13"/>
      <c r="B141" s="13"/>
      <c r="C141" s="13"/>
      <c r="D141" s="13"/>
      <c r="E141" s="13"/>
      <c r="F141" s="13"/>
      <c r="G141" s="13"/>
      <c r="H141" s="13"/>
      <c r="I141" s="114" t="str">
        <f>IF(AND($A141&lt;&gt;"",OR($A141&amp;""=PMIS_Home!$B$4&amp;"",$A141&amp;""="Campus")),MAX($I$4:I140)+1,"")</f>
        <v/>
      </c>
    </row>
    <row r="142" spans="1:9" ht="6.9" customHeight="1">
      <c r="A142" s="13"/>
      <c r="B142" s="13"/>
      <c r="C142" s="13"/>
      <c r="D142" s="13"/>
      <c r="E142" s="13"/>
      <c r="F142" s="13"/>
      <c r="G142" s="13"/>
      <c r="H142" s="13"/>
      <c r="I142" s="114" t="str">
        <f>IF(AND($A142&lt;&gt;"",OR($A142&amp;""=PMIS_Home!$B$4&amp;"",$A142&amp;""="Campus")),MAX($I$4:I141)+1,"")</f>
        <v/>
      </c>
    </row>
    <row r="143" spans="1:9" ht="6.9" customHeight="1">
      <c r="A143" s="13"/>
      <c r="B143" s="13"/>
      <c r="C143" s="13"/>
      <c r="D143" s="13"/>
      <c r="E143" s="13"/>
      <c r="F143" s="13"/>
      <c r="G143" s="13"/>
      <c r="H143" s="13"/>
      <c r="I143" s="114" t="str">
        <f>IF(AND($A143&lt;&gt;"",OR($A143&amp;""=PMIS_Home!$B$4&amp;"",$A143&amp;""="Campus")),MAX($I$4:I142)+1,"")</f>
        <v/>
      </c>
    </row>
    <row r="144" spans="1:9" ht="6.9" customHeight="1">
      <c r="A144" s="13"/>
      <c r="B144" s="13"/>
      <c r="C144" s="13"/>
      <c r="D144" s="13"/>
      <c r="E144" s="13"/>
      <c r="F144" s="13"/>
      <c r="G144" s="13"/>
      <c r="H144" s="13"/>
      <c r="I144" s="114" t="str">
        <f>IF(AND($A144&lt;&gt;"",OR($A144&amp;""=PMIS_Home!$B$4&amp;"",$A144&amp;""="Campus")),MAX($I$4:I143)+1,"")</f>
        <v/>
      </c>
    </row>
    <row r="145" spans="1:9" ht="6.9" customHeight="1">
      <c r="A145" s="13"/>
      <c r="B145" s="13"/>
      <c r="C145" s="13"/>
      <c r="D145" s="13"/>
      <c r="E145" s="13"/>
      <c r="F145" s="13"/>
      <c r="G145" s="13"/>
      <c r="H145" s="13"/>
      <c r="I145" s="114" t="str">
        <f>IF(AND($A145&lt;&gt;"",OR($A145&amp;""=PMIS_Home!$B$4&amp;"",$A145&amp;""="Campus")),MAX($I$4:I144)+1,"")</f>
        <v/>
      </c>
    </row>
    <row r="146" spans="1:9" ht="6.9" customHeight="1">
      <c r="A146" s="13"/>
      <c r="B146" s="13"/>
      <c r="C146" s="13"/>
      <c r="D146" s="13"/>
      <c r="E146" s="13"/>
      <c r="F146" s="13"/>
      <c r="G146" s="13"/>
      <c r="H146" s="13"/>
      <c r="I146" s="114" t="str">
        <f>IF(AND($A146&lt;&gt;"",OR($A146&amp;""=PMIS_Home!$B$4&amp;"",$A146&amp;""="Campus")),MAX($I$4:I145)+1,"")</f>
        <v/>
      </c>
    </row>
    <row r="147" spans="1:9" ht="6.9" customHeight="1">
      <c r="A147" s="13"/>
      <c r="B147" s="13"/>
      <c r="C147" s="13"/>
      <c r="D147" s="13"/>
      <c r="E147" s="13"/>
      <c r="F147" s="13"/>
      <c r="G147" s="13"/>
      <c r="H147" s="13"/>
      <c r="I147" s="114" t="str">
        <f>IF(AND($A147&lt;&gt;"",OR($A147&amp;""=PMIS_Home!$B$4&amp;"",$A147&amp;""="Campus")),MAX($I$4:I146)+1,"")</f>
        <v/>
      </c>
    </row>
    <row r="148" spans="1:9" ht="6.9" customHeight="1">
      <c r="A148" s="13"/>
      <c r="B148" s="13"/>
      <c r="C148" s="13"/>
      <c r="D148" s="13"/>
      <c r="E148" s="13"/>
      <c r="F148" s="13"/>
      <c r="G148" s="13"/>
      <c r="H148" s="13"/>
      <c r="I148" s="114" t="str">
        <f>IF(AND($A148&lt;&gt;"",OR($A148&amp;""=PMIS_Home!$B$4&amp;"",$A148&amp;""="Campus")),MAX($I$4:I147)+1,"")</f>
        <v/>
      </c>
    </row>
    <row r="149" spans="1:9" ht="6.9" customHeight="1">
      <c r="A149" s="13"/>
      <c r="B149" s="13"/>
      <c r="C149" s="13"/>
      <c r="D149" s="13"/>
      <c r="E149" s="13"/>
      <c r="F149" s="13"/>
      <c r="G149" s="13"/>
      <c r="H149" s="13"/>
      <c r="I149" s="114" t="str">
        <f>IF(AND($A149&lt;&gt;"",OR($A149&amp;""=PMIS_Home!$B$4&amp;"",$A149&amp;""="Campus")),MAX($I$4:I148)+1,"")</f>
        <v/>
      </c>
    </row>
    <row r="150" spans="1:9" ht="6.9" customHeight="1">
      <c r="A150" s="13"/>
      <c r="B150" s="13"/>
      <c r="C150" s="13"/>
      <c r="D150" s="13"/>
      <c r="E150" s="13"/>
      <c r="F150" s="13"/>
      <c r="G150" s="13"/>
      <c r="H150" s="13"/>
      <c r="I150" s="114" t="str">
        <f>IF(AND($A150&lt;&gt;"",OR($A150&amp;""=PMIS_Home!$B$4&amp;"",$A150&amp;""="Campus")),MAX($I$4:I149)+1,"")</f>
        <v/>
      </c>
    </row>
    <row r="151" spans="1:9" ht="6.9" customHeight="1">
      <c r="A151" s="13"/>
      <c r="B151" s="13"/>
      <c r="C151" s="13"/>
      <c r="D151" s="13"/>
      <c r="E151" s="13"/>
      <c r="F151" s="13"/>
      <c r="G151" s="13"/>
      <c r="H151" s="13"/>
      <c r="I151" s="114" t="str">
        <f>IF(AND($A151&lt;&gt;"",OR($A151&amp;""=PMIS_Home!$B$4&amp;"",$A151&amp;""="Campus")),MAX($I$4:I150)+1,"")</f>
        <v/>
      </c>
    </row>
    <row r="152" spans="1:9" ht="6.9" customHeight="1">
      <c r="A152" s="13"/>
      <c r="B152" s="13"/>
      <c r="C152" s="13"/>
      <c r="D152" s="13"/>
      <c r="E152" s="13"/>
      <c r="F152" s="13"/>
      <c r="G152" s="13"/>
      <c r="H152" s="13"/>
      <c r="I152" s="114" t="str">
        <f>IF(AND($A152&lt;&gt;"",OR($A152&amp;""=PMIS_Home!$B$4&amp;"",$A152&amp;""="Campus")),MAX($I$4:I151)+1,"")</f>
        <v/>
      </c>
    </row>
    <row r="153" spans="1:9" ht="6.9" customHeight="1">
      <c r="A153" s="13"/>
      <c r="B153" s="13"/>
      <c r="C153" s="13"/>
      <c r="D153" s="13"/>
      <c r="E153" s="13"/>
      <c r="F153" s="13"/>
      <c r="G153" s="13"/>
      <c r="H153" s="13"/>
      <c r="I153" s="114" t="str">
        <f>IF(AND($A153&lt;&gt;"",OR($A153&amp;""=PMIS_Home!$B$4&amp;"",$A153&amp;""="Campus")),MAX($I$4:I152)+1,"")</f>
        <v/>
      </c>
    </row>
    <row r="154" spans="1:9" ht="6.9" customHeight="1">
      <c r="A154" s="13"/>
      <c r="B154" s="13"/>
      <c r="C154" s="13"/>
      <c r="D154" s="13"/>
      <c r="E154" s="13"/>
      <c r="F154" s="13"/>
      <c r="G154" s="13"/>
      <c r="H154" s="13"/>
      <c r="I154" s="114" t="str">
        <f>IF(AND($A154&lt;&gt;"",OR($A154&amp;""=PMIS_Home!$B$4&amp;"",$A154&amp;""="Campus")),MAX($I$4:I153)+1,"")</f>
        <v/>
      </c>
    </row>
    <row r="155" spans="1:9" ht="6.9" customHeight="1">
      <c r="A155" s="13"/>
      <c r="B155" s="13"/>
      <c r="C155" s="13"/>
      <c r="D155" s="13"/>
      <c r="E155" s="13"/>
      <c r="F155" s="13"/>
      <c r="G155" s="13"/>
      <c r="H155" s="13"/>
      <c r="I155" s="114" t="str">
        <f>IF(AND($A155&lt;&gt;"",OR($A155&amp;""=PMIS_Home!$B$4&amp;"",$A155&amp;""="Campus")),MAX($I$4:I154)+1,"")</f>
        <v/>
      </c>
    </row>
    <row r="156" spans="1:9" ht="6.9" customHeight="1">
      <c r="A156" s="13"/>
      <c r="B156" s="13"/>
      <c r="C156" s="13"/>
      <c r="D156" s="13"/>
      <c r="E156" s="13"/>
      <c r="F156" s="13"/>
      <c r="G156" s="13"/>
      <c r="H156" s="13"/>
      <c r="I156" s="114" t="str">
        <f>IF(AND($A156&lt;&gt;"",OR($A156&amp;""=PMIS_Home!$B$4&amp;"",$A156&amp;""="Campus")),MAX($I$4:I155)+1,"")</f>
        <v/>
      </c>
    </row>
    <row r="157" spans="1:9" ht="6.9" customHeight="1">
      <c r="A157" s="13"/>
      <c r="B157" s="13"/>
      <c r="C157" s="13"/>
      <c r="D157" s="13"/>
      <c r="E157" s="13"/>
      <c r="F157" s="13"/>
      <c r="G157" s="13"/>
      <c r="H157" s="13"/>
      <c r="I157" s="114" t="str">
        <f>IF(AND($A157&lt;&gt;"",OR($A157&amp;""=PMIS_Home!$B$4&amp;"",$A157&amp;""="Campus")),MAX($I$4:I156)+1,"")</f>
        <v/>
      </c>
    </row>
    <row r="158" spans="1:9" ht="6.9" customHeight="1">
      <c r="A158" s="13"/>
      <c r="B158" s="13"/>
      <c r="C158" s="13"/>
      <c r="D158" s="13"/>
      <c r="E158" s="13"/>
      <c r="F158" s="13"/>
      <c r="G158" s="13"/>
      <c r="H158" s="13"/>
      <c r="I158" s="114" t="str">
        <f>IF(AND($A158&lt;&gt;"",OR($A158&amp;""=PMIS_Home!$B$4&amp;"",$A158&amp;""="Campus")),MAX($I$4:I157)+1,"")</f>
        <v/>
      </c>
    </row>
    <row r="159" spans="1:9" ht="6.9" customHeight="1">
      <c r="A159" s="13"/>
      <c r="B159" s="13"/>
      <c r="C159" s="13"/>
      <c r="D159" s="13"/>
      <c r="E159" s="13"/>
      <c r="F159" s="13"/>
      <c r="G159" s="13"/>
      <c r="H159" s="13"/>
      <c r="I159" s="114" t="str">
        <f>IF(AND($A159&lt;&gt;"",OR($A159&amp;""=PMIS_Home!$B$4&amp;"",$A159&amp;""="Campus")),MAX($I$4:I158)+1,"")</f>
        <v/>
      </c>
    </row>
    <row r="160" spans="1:9" ht="6.9" customHeight="1">
      <c r="A160" s="13"/>
      <c r="B160" s="13"/>
      <c r="C160" s="13"/>
      <c r="D160" s="13"/>
      <c r="E160" s="13"/>
      <c r="F160" s="13"/>
      <c r="G160" s="13"/>
      <c r="H160" s="13"/>
      <c r="I160" s="114" t="str">
        <f>IF(AND($A160&lt;&gt;"",OR($A160&amp;""=PMIS_Home!$B$4&amp;"",$A160&amp;""="Campus")),MAX($I$4:I159)+1,"")</f>
        <v/>
      </c>
    </row>
    <row r="161" spans="1:9" ht="6.9" customHeight="1">
      <c r="A161" s="13"/>
      <c r="B161" s="13"/>
      <c r="C161" s="13"/>
      <c r="D161" s="13"/>
      <c r="E161" s="13"/>
      <c r="F161" s="13"/>
      <c r="G161" s="13"/>
      <c r="H161" s="13"/>
      <c r="I161" s="114" t="str">
        <f>IF(AND($A161&lt;&gt;"",OR($A161&amp;""=PMIS_Home!$B$4&amp;"",$A161&amp;""="Campus")),MAX($I$4:I160)+1,"")</f>
        <v/>
      </c>
    </row>
    <row r="162" spans="1:9" ht="6.9" customHeight="1">
      <c r="A162" s="13"/>
      <c r="B162" s="13"/>
      <c r="C162" s="13"/>
      <c r="D162" s="13"/>
      <c r="E162" s="13"/>
      <c r="F162" s="13"/>
      <c r="G162" s="13"/>
      <c r="H162" s="13"/>
      <c r="I162" s="114" t="str">
        <f>IF(AND($A162&lt;&gt;"",OR($A162&amp;""=PMIS_Home!$B$4&amp;"",$A162&amp;""="Campus")),MAX($I$4:I161)+1,"")</f>
        <v/>
      </c>
    </row>
    <row r="163" spans="1:9" ht="6.9" customHeight="1">
      <c r="A163" s="13"/>
      <c r="B163" s="13"/>
      <c r="C163" s="13"/>
      <c r="D163" s="13"/>
      <c r="E163" s="13"/>
      <c r="F163" s="13"/>
      <c r="G163" s="13"/>
      <c r="H163" s="13"/>
      <c r="I163" s="114" t="str">
        <f>IF(AND($A163&lt;&gt;"",OR($A163&amp;""=PMIS_Home!$B$4&amp;"",$A163&amp;""="Campus")),MAX($I$4:I162)+1,"")</f>
        <v/>
      </c>
    </row>
    <row r="164" spans="1:9" ht="6.9" customHeight="1">
      <c r="A164" s="13"/>
      <c r="B164" s="13"/>
      <c r="C164" s="13"/>
      <c r="D164" s="13"/>
      <c r="E164" s="13"/>
      <c r="F164" s="13"/>
      <c r="G164" s="13"/>
      <c r="H164" s="13"/>
      <c r="I164" s="114" t="str">
        <f>IF(AND($A164&lt;&gt;"",OR($A164&amp;""=PMIS_Home!$B$4&amp;"",$A164&amp;""="Campus")),MAX($I$4:I163)+1,"")</f>
        <v/>
      </c>
    </row>
    <row r="165" spans="1:9" ht="6.9" customHeight="1">
      <c r="A165" s="13"/>
      <c r="B165" s="13"/>
      <c r="C165" s="13"/>
      <c r="D165" s="13"/>
      <c r="E165" s="13"/>
      <c r="F165" s="13"/>
      <c r="G165" s="13"/>
      <c r="H165" s="13"/>
      <c r="I165" s="114" t="str">
        <f>IF(AND($A165&lt;&gt;"",OR($A165&amp;""=PMIS_Home!$B$4&amp;"",$A165&amp;""="Campus")),MAX($I$4:I164)+1,"")</f>
        <v/>
      </c>
    </row>
    <row r="166" spans="1:9" ht="6.9" customHeight="1">
      <c r="A166" s="13"/>
      <c r="B166" s="13"/>
      <c r="C166" s="13"/>
      <c r="D166" s="13"/>
      <c r="E166" s="13"/>
      <c r="F166" s="13"/>
      <c r="G166" s="13"/>
      <c r="H166" s="13"/>
      <c r="I166" s="114" t="str">
        <f>IF(AND($A166&lt;&gt;"",OR($A166&amp;""=PMIS_Home!$B$4&amp;"",$A166&amp;""="Campus")),MAX($I$4:I165)+1,"")</f>
        <v/>
      </c>
    </row>
    <row r="167" spans="1:9" ht="6.9" customHeight="1">
      <c r="A167" s="13"/>
      <c r="B167" s="13"/>
      <c r="C167" s="13"/>
      <c r="D167" s="13"/>
      <c r="E167" s="13"/>
      <c r="F167" s="13"/>
      <c r="G167" s="13"/>
      <c r="H167" s="13"/>
      <c r="I167" s="114" t="str">
        <f>IF(AND($A167&lt;&gt;"",OR($A167&amp;""=PMIS_Home!$B$4&amp;"",$A167&amp;""="Campus")),MAX($I$4:I166)+1,"")</f>
        <v/>
      </c>
    </row>
    <row r="168" spans="1:9" ht="6.9" customHeight="1">
      <c r="A168" s="13"/>
      <c r="B168" s="13"/>
      <c r="C168" s="13"/>
      <c r="D168" s="13"/>
      <c r="E168" s="13"/>
      <c r="F168" s="13"/>
      <c r="G168" s="13"/>
      <c r="H168" s="13"/>
      <c r="I168" s="114" t="str">
        <f>IF(AND($A168&lt;&gt;"",OR($A168&amp;""=PMIS_Home!$B$4&amp;"",$A168&amp;""="Campus")),MAX($I$4:I167)+1,"")</f>
        <v/>
      </c>
    </row>
    <row r="169" spans="1:9" ht="6.9" customHeight="1">
      <c r="A169" s="13"/>
      <c r="B169" s="13"/>
      <c r="C169" s="13"/>
      <c r="D169" s="13"/>
      <c r="E169" s="13"/>
      <c r="F169" s="13"/>
      <c r="G169" s="13"/>
      <c r="H169" s="13"/>
      <c r="I169" s="114" t="str">
        <f>IF(AND($A169&lt;&gt;"",OR($A169&amp;""=PMIS_Home!$B$4&amp;"",$A169&amp;""="Campus")),MAX($I$4:I168)+1,"")</f>
        <v/>
      </c>
    </row>
    <row r="170" spans="1:9" ht="6.9" customHeight="1">
      <c r="A170" s="13"/>
      <c r="B170" s="13"/>
      <c r="C170" s="13"/>
      <c r="D170" s="13"/>
      <c r="E170" s="13"/>
      <c r="F170" s="13"/>
      <c r="G170" s="13"/>
      <c r="H170" s="13"/>
      <c r="I170" s="114" t="str">
        <f>IF(AND($A170&lt;&gt;"",OR($A170&amp;""=PMIS_Home!$B$4&amp;"",$A170&amp;""="Campus")),MAX($I$4:I169)+1,"")</f>
        <v/>
      </c>
    </row>
    <row r="171" spans="1:9" ht="6.9" customHeight="1">
      <c r="A171" s="13"/>
      <c r="B171" s="13"/>
      <c r="C171" s="13"/>
      <c r="D171" s="13"/>
      <c r="E171" s="13"/>
      <c r="F171" s="13"/>
      <c r="G171" s="13"/>
      <c r="H171" s="13"/>
      <c r="I171" s="114" t="str">
        <f>IF(AND($A171&lt;&gt;"",OR($A171&amp;""=PMIS_Home!$B$4&amp;"",$A171&amp;""="Campus")),MAX($I$4:I170)+1,"")</f>
        <v/>
      </c>
    </row>
    <row r="172" spans="1:9" ht="6.9" customHeight="1">
      <c r="A172" s="13"/>
      <c r="B172" s="13"/>
      <c r="C172" s="13"/>
      <c r="D172" s="13"/>
      <c r="E172" s="13"/>
      <c r="F172" s="13"/>
      <c r="G172" s="13"/>
      <c r="H172" s="13"/>
      <c r="I172" s="114" t="str">
        <f>IF(AND($A172&lt;&gt;"",OR($A172&amp;""=PMIS_Home!$B$4&amp;"",$A172&amp;""="Campus")),MAX($I$4:I171)+1,"")</f>
        <v/>
      </c>
    </row>
    <row r="173" spans="1:9" ht="6.9" customHeight="1">
      <c r="A173" s="13"/>
      <c r="B173" s="13"/>
      <c r="C173" s="13"/>
      <c r="D173" s="13"/>
      <c r="E173" s="13"/>
      <c r="F173" s="13"/>
      <c r="G173" s="13"/>
      <c r="H173" s="13"/>
      <c r="I173" s="114" t="str">
        <f>IF(AND($A173&lt;&gt;"",OR($A173&amp;""=PMIS_Home!$B$4&amp;"",$A173&amp;""="Campus")),MAX($I$4:I172)+1,"")</f>
        <v/>
      </c>
    </row>
    <row r="174" spans="1:9" ht="6.9" customHeight="1">
      <c r="A174" s="13"/>
      <c r="B174" s="13"/>
      <c r="C174" s="13"/>
      <c r="D174" s="13"/>
      <c r="E174" s="13"/>
      <c r="F174" s="13"/>
      <c r="G174" s="13"/>
      <c r="H174" s="13"/>
      <c r="I174" s="114" t="str">
        <f>IF(AND($A174&lt;&gt;"",OR($A174&amp;""=PMIS_Home!$B$4&amp;"",$A174&amp;""="Campus")),MAX($I$4:I173)+1,"")</f>
        <v/>
      </c>
    </row>
    <row r="175" spans="1:9" ht="6.9" customHeight="1">
      <c r="A175" s="13"/>
      <c r="B175" s="13"/>
      <c r="C175" s="13"/>
      <c r="D175" s="13"/>
      <c r="E175" s="13"/>
      <c r="F175" s="13"/>
      <c r="G175" s="13"/>
      <c r="H175" s="13"/>
      <c r="I175" s="114" t="str">
        <f>IF(AND($A175&lt;&gt;"",OR($A175&amp;""=PMIS_Home!$B$4&amp;"",$A175&amp;""="Campus")),MAX($I$4:I174)+1,"")</f>
        <v/>
      </c>
    </row>
    <row r="176" spans="1:9" ht="6.9" customHeight="1">
      <c r="A176" s="13"/>
      <c r="B176" s="13"/>
      <c r="C176" s="13"/>
      <c r="D176" s="13"/>
      <c r="E176" s="13"/>
      <c r="F176" s="13"/>
      <c r="G176" s="13"/>
      <c r="H176" s="13"/>
      <c r="I176" s="114" t="str">
        <f>IF(AND($A176&lt;&gt;"",OR($A176&amp;""=PMIS_Home!$B$4&amp;"",$A176&amp;""="Campus")),MAX($I$4:I175)+1,"")</f>
        <v/>
      </c>
    </row>
    <row r="177" spans="1:9" ht="6.9" customHeight="1">
      <c r="A177" s="13"/>
      <c r="B177" s="13"/>
      <c r="C177" s="13"/>
      <c r="D177" s="13"/>
      <c r="E177" s="13"/>
      <c r="F177" s="13"/>
      <c r="G177" s="13"/>
      <c r="H177" s="13"/>
      <c r="I177" s="114" t="str">
        <f>IF(AND($A177&lt;&gt;"",OR($A177&amp;""=PMIS_Home!$B$4&amp;"",$A177&amp;""="Campus")),MAX($I$4:I176)+1,"")</f>
        <v/>
      </c>
    </row>
    <row r="178" spans="1:9" ht="6.9" customHeight="1">
      <c r="A178" s="13"/>
      <c r="B178" s="13"/>
      <c r="C178" s="13"/>
      <c r="D178" s="13"/>
      <c r="E178" s="13"/>
      <c r="F178" s="13"/>
      <c r="G178" s="13"/>
      <c r="H178" s="13"/>
      <c r="I178" s="114" t="str">
        <f>IF(AND($A178&lt;&gt;"",OR($A178&amp;""=PMIS_Home!$B$4&amp;"",$A178&amp;""="Campus")),MAX($I$4:I177)+1,"")</f>
        <v/>
      </c>
    </row>
    <row r="179" spans="1:9" ht="6.9" customHeight="1">
      <c r="A179" s="13"/>
      <c r="B179" s="13"/>
      <c r="C179" s="13"/>
      <c r="D179" s="13"/>
      <c r="E179" s="13"/>
      <c r="F179" s="13"/>
      <c r="G179" s="13"/>
      <c r="H179" s="13"/>
      <c r="I179" s="114" t="str">
        <f>IF(AND($A179&lt;&gt;"",OR($A179&amp;""=PMIS_Home!$B$4&amp;"",$A179&amp;""="Campus")),MAX($I$4:I178)+1,"")</f>
        <v/>
      </c>
    </row>
    <row r="180" spans="1:9" ht="6.9" customHeight="1">
      <c r="A180" s="13"/>
      <c r="B180" s="13"/>
      <c r="C180" s="13"/>
      <c r="D180" s="13"/>
      <c r="E180" s="13"/>
      <c r="F180" s="13"/>
      <c r="G180" s="13"/>
      <c r="H180" s="13"/>
      <c r="I180" s="114" t="str">
        <f>IF(AND($A180&lt;&gt;"",OR($A180&amp;""=PMIS_Home!$B$4&amp;"",$A180&amp;""="Campus")),MAX($I$4:I179)+1,"")</f>
        <v/>
      </c>
    </row>
    <row r="181" spans="1:9" ht="6.9" customHeight="1">
      <c r="A181" s="13"/>
      <c r="B181" s="13"/>
      <c r="C181" s="13"/>
      <c r="D181" s="13"/>
      <c r="E181" s="13"/>
      <c r="F181" s="13"/>
      <c r="G181" s="13"/>
      <c r="H181" s="13"/>
      <c r="I181" s="114" t="str">
        <f>IF(AND($A181&lt;&gt;"",OR($A181&amp;""=PMIS_Home!$B$4&amp;"",$A181&amp;""="Campus")),MAX($I$4:I180)+1,"")</f>
        <v/>
      </c>
    </row>
    <row r="182" spans="1:9" ht="6.9" customHeight="1">
      <c r="A182" s="13"/>
      <c r="B182" s="13"/>
      <c r="C182" s="13"/>
      <c r="D182" s="13"/>
      <c r="E182" s="13"/>
      <c r="F182" s="13"/>
      <c r="G182" s="13"/>
      <c r="H182" s="13"/>
      <c r="I182" s="114" t="str">
        <f>IF(AND($A182&lt;&gt;"",OR($A182&amp;""=PMIS_Home!$B$4&amp;"",$A182&amp;""="Campus")),MAX($I$4:I181)+1,"")</f>
        <v/>
      </c>
    </row>
    <row r="183" spans="1:9" ht="6.9" customHeight="1">
      <c r="A183" s="13"/>
      <c r="B183" s="13"/>
      <c r="C183" s="13"/>
      <c r="D183" s="13"/>
      <c r="E183" s="13"/>
      <c r="F183" s="13"/>
      <c r="G183" s="13"/>
      <c r="H183" s="13"/>
      <c r="I183" s="114" t="str">
        <f>IF(AND($A183&lt;&gt;"",OR($A183&amp;""=PMIS_Home!$B$4&amp;"",$A183&amp;""="Campus")),MAX($I$4:I182)+1,"")</f>
        <v/>
      </c>
    </row>
    <row r="184" spans="1:9" ht="6.9" customHeight="1">
      <c r="A184" s="13"/>
      <c r="B184" s="13"/>
      <c r="C184" s="13"/>
      <c r="D184" s="13"/>
      <c r="E184" s="13"/>
      <c r="F184" s="13"/>
      <c r="G184" s="13"/>
      <c r="H184" s="13"/>
      <c r="I184" s="114" t="str">
        <f>IF(AND($A184&lt;&gt;"",OR($A184&amp;""=PMIS_Home!$B$4&amp;"",$A184&amp;""="Campus")),MAX($I$4:I183)+1,"")</f>
        <v/>
      </c>
    </row>
    <row r="185" spans="1:9" ht="6.9" customHeight="1">
      <c r="A185" s="13"/>
      <c r="B185" s="13"/>
      <c r="C185" s="13"/>
      <c r="D185" s="13"/>
      <c r="E185" s="13"/>
      <c r="F185" s="13"/>
      <c r="G185" s="13"/>
      <c r="H185" s="13"/>
      <c r="I185" s="114" t="str">
        <f>IF(AND($A185&lt;&gt;"",OR($A185&amp;""=PMIS_Home!$B$4&amp;"",$A185&amp;""="Campus")),MAX($I$4:I184)+1,"")</f>
        <v/>
      </c>
    </row>
    <row r="186" spans="1:9" ht="6.9" customHeight="1">
      <c r="A186" s="13"/>
      <c r="B186" s="13"/>
      <c r="C186" s="13"/>
      <c r="D186" s="13"/>
      <c r="E186" s="13"/>
      <c r="F186" s="13"/>
      <c r="G186" s="13"/>
      <c r="H186" s="13"/>
      <c r="I186" s="114" t="str">
        <f>IF(AND($A186&lt;&gt;"",OR($A186&amp;""=PMIS_Home!$B$4&amp;"",$A186&amp;""="Campus")),MAX($I$4:I185)+1,"")</f>
        <v/>
      </c>
    </row>
    <row r="187" spans="1:9" ht="6.9" customHeight="1">
      <c r="A187" s="13"/>
      <c r="B187" s="13"/>
      <c r="C187" s="13"/>
      <c r="D187" s="13"/>
      <c r="E187" s="13"/>
      <c r="F187" s="13"/>
      <c r="G187" s="13"/>
      <c r="H187" s="13"/>
      <c r="I187" s="114" t="str">
        <f>IF(AND($A187&lt;&gt;"",OR($A187&amp;""=PMIS_Home!$B$4&amp;"",$A187&amp;""="Campus")),MAX($I$4:I186)+1,"")</f>
        <v/>
      </c>
    </row>
    <row r="188" spans="1:9" ht="6.9" customHeight="1">
      <c r="A188" s="13"/>
      <c r="B188" s="13"/>
      <c r="C188" s="13"/>
      <c r="D188" s="13"/>
      <c r="E188" s="13"/>
      <c r="F188" s="13"/>
      <c r="G188" s="13"/>
      <c r="H188" s="13"/>
      <c r="I188" s="114" t="str">
        <f>IF(AND($A188&lt;&gt;"",OR($A188&amp;""=PMIS_Home!$B$4&amp;"",$A188&amp;""="Campus")),MAX($I$4:I187)+1,"")</f>
        <v/>
      </c>
    </row>
    <row r="189" spans="1:9" ht="6.9" customHeight="1">
      <c r="A189" s="13"/>
      <c r="B189" s="13"/>
      <c r="C189" s="13"/>
      <c r="D189" s="13"/>
      <c r="E189" s="13"/>
      <c r="F189" s="13"/>
      <c r="G189" s="13"/>
      <c r="H189" s="13"/>
      <c r="I189" s="114" t="str">
        <f>IF(AND($A189&lt;&gt;"",OR($A189&amp;""=PMIS_Home!$B$4&amp;"",$A189&amp;""="Campus")),MAX($I$4:I188)+1,"")</f>
        <v/>
      </c>
    </row>
    <row r="190" spans="1:9" ht="6.9" customHeight="1">
      <c r="A190" s="13"/>
      <c r="B190" s="13"/>
      <c r="C190" s="13"/>
      <c r="D190" s="13"/>
      <c r="E190" s="13"/>
      <c r="F190" s="13"/>
      <c r="G190" s="13"/>
      <c r="H190" s="13"/>
      <c r="I190" s="114" t="str">
        <f>IF(AND($A190&lt;&gt;"",OR($A190&amp;""=PMIS_Home!$B$4&amp;"",$A190&amp;""="Campus")),MAX($I$4:I189)+1,"")</f>
        <v/>
      </c>
    </row>
    <row r="191" spans="1:9" ht="6.9" customHeight="1">
      <c r="A191" s="13"/>
      <c r="B191" s="13"/>
      <c r="C191" s="13"/>
      <c r="D191" s="13"/>
      <c r="E191" s="13"/>
      <c r="F191" s="13"/>
      <c r="G191" s="13"/>
      <c r="H191" s="13"/>
      <c r="I191" s="114" t="str">
        <f>IF(AND($A191&lt;&gt;"",OR($A191&amp;""=PMIS_Home!$B$4&amp;"",$A191&amp;""="Campus")),MAX($I$4:I190)+1,"")</f>
        <v/>
      </c>
    </row>
    <row r="192" spans="1:9" ht="6.9" customHeight="1">
      <c r="A192" s="13"/>
      <c r="B192" s="13"/>
      <c r="C192" s="13"/>
      <c r="D192" s="13"/>
      <c r="E192" s="13"/>
      <c r="F192" s="13"/>
      <c r="G192" s="13"/>
      <c r="H192" s="13"/>
      <c r="I192" s="114" t="str">
        <f>IF(AND($A192&lt;&gt;"",OR($A192&amp;""=PMIS_Home!$B$4&amp;"",$A192&amp;""="Campus")),MAX($I$4:I191)+1,"")</f>
        <v/>
      </c>
    </row>
    <row r="193" spans="1:9" ht="6.9" customHeight="1">
      <c r="A193" s="13"/>
      <c r="B193" s="13"/>
      <c r="C193" s="13"/>
      <c r="D193" s="13"/>
      <c r="E193" s="13"/>
      <c r="F193" s="13"/>
      <c r="G193" s="13"/>
      <c r="H193" s="13"/>
      <c r="I193" s="114" t="str">
        <f>IF(AND($A193&lt;&gt;"",OR($A193&amp;""=PMIS_Home!$B$4&amp;"",$A193&amp;""="Campus")),MAX($I$4:I192)+1,"")</f>
        <v/>
      </c>
    </row>
    <row r="194" spans="1:9" ht="6.9" customHeight="1">
      <c r="A194" s="13"/>
      <c r="B194" s="13"/>
      <c r="C194" s="13"/>
      <c r="D194" s="13"/>
      <c r="E194" s="13"/>
      <c r="F194" s="13"/>
      <c r="G194" s="13"/>
      <c r="H194" s="13"/>
      <c r="I194" s="114" t="str">
        <f>IF(AND($A194&lt;&gt;"",OR($A194&amp;""=PMIS_Home!$B$4&amp;"",$A194&amp;""="Campus")),MAX($I$4:I193)+1,"")</f>
        <v/>
      </c>
    </row>
    <row r="195" spans="1:9" ht="6.9" customHeight="1">
      <c r="A195" s="13"/>
      <c r="B195" s="13"/>
      <c r="C195" s="13"/>
      <c r="D195" s="13"/>
      <c r="E195" s="13"/>
      <c r="F195" s="13"/>
      <c r="G195" s="13"/>
      <c r="H195" s="13"/>
      <c r="I195" s="114" t="str">
        <f>IF(AND($A195&lt;&gt;"",OR($A195&amp;""=PMIS_Home!$B$4&amp;"",$A195&amp;""="Campus")),MAX($I$4:I194)+1,"")</f>
        <v/>
      </c>
    </row>
    <row r="196" spans="1:9" ht="6.9" customHeight="1">
      <c r="A196" s="13"/>
      <c r="B196" s="13"/>
      <c r="C196" s="13"/>
      <c r="D196" s="13"/>
      <c r="E196" s="13"/>
      <c r="F196" s="13"/>
      <c r="G196" s="13"/>
      <c r="H196" s="13"/>
      <c r="I196" s="114" t="str">
        <f>IF(AND($A196&lt;&gt;"",OR($A196&amp;""=PMIS_Home!$B$4&amp;"",$A196&amp;""="Campus")),MAX($I$4:I195)+1,"")</f>
        <v/>
      </c>
    </row>
    <row r="197" spans="1:9" ht="6.9" customHeight="1">
      <c r="A197" s="13"/>
      <c r="B197" s="13"/>
      <c r="C197" s="13"/>
      <c r="D197" s="13"/>
      <c r="E197" s="13"/>
      <c r="F197" s="13"/>
      <c r="G197" s="13"/>
      <c r="H197" s="13"/>
      <c r="I197" s="114" t="str">
        <f>IF(AND($A197&lt;&gt;"",OR($A197&amp;""=PMIS_Home!$B$4&amp;"",$A197&amp;""="Campus")),MAX($I$4:I196)+1,"")</f>
        <v/>
      </c>
    </row>
    <row r="198" spans="1:9" ht="6.9" customHeight="1">
      <c r="A198" s="13"/>
      <c r="B198" s="13"/>
      <c r="C198" s="13"/>
      <c r="D198" s="13"/>
      <c r="E198" s="13"/>
      <c r="F198" s="13"/>
      <c r="G198" s="13"/>
      <c r="H198" s="13"/>
      <c r="I198" s="114" t="str">
        <f>IF(AND($A198&lt;&gt;"",OR($A198&amp;""=PMIS_Home!$B$4&amp;"",$A198&amp;""="Campus")),MAX($I$4:I197)+1,"")</f>
        <v/>
      </c>
    </row>
    <row r="199" spans="1:9" ht="6.9" customHeight="1">
      <c r="A199" s="13"/>
      <c r="B199" s="13"/>
      <c r="C199" s="13"/>
      <c r="D199" s="13"/>
      <c r="E199" s="13"/>
      <c r="F199" s="13"/>
      <c r="G199" s="13"/>
      <c r="H199" s="13"/>
      <c r="I199" s="114" t="str">
        <f>IF(AND($A199&lt;&gt;"",OR($A199&amp;""=PMIS_Home!$B$4&amp;"",$A199&amp;""="Campus")),MAX($I$4:I198)+1,"")</f>
        <v/>
      </c>
    </row>
    <row r="200" spans="1:9" ht="6.9" customHeight="1">
      <c r="A200" s="13"/>
      <c r="B200" s="13"/>
      <c r="C200" s="13"/>
      <c r="D200" s="13"/>
      <c r="E200" s="13"/>
      <c r="F200" s="13"/>
      <c r="G200" s="13"/>
      <c r="H200" s="13"/>
      <c r="I200" s="114" t="str">
        <f>IF(AND($A200&lt;&gt;"",OR($A200&amp;""=PMIS_Home!$B$4&amp;"",$A200&amp;""="Campus")),MAX($I$4:I199)+1,"")</f>
        <v/>
      </c>
    </row>
    <row r="201" spans="1:9" ht="6.9" customHeight="1">
      <c r="A201" s="13"/>
      <c r="B201" s="13"/>
      <c r="C201" s="13"/>
      <c r="D201" s="13"/>
      <c r="E201" s="13"/>
      <c r="F201" s="13"/>
      <c r="G201" s="13"/>
      <c r="H201" s="13"/>
      <c r="I201" s="114" t="str">
        <f>IF(AND($A201&lt;&gt;"",OR($A201&amp;""=PMIS_Home!$B$4&amp;"",$A201&amp;""="Campus")),MAX($I$4:I200)+1,"")</f>
        <v/>
      </c>
    </row>
    <row r="202" spans="1:9" ht="6.9" customHeight="1">
      <c r="A202" s="13"/>
      <c r="B202" s="13"/>
      <c r="C202" s="13"/>
      <c r="D202" s="13"/>
      <c r="E202" s="13"/>
      <c r="F202" s="13"/>
      <c r="G202" s="13"/>
      <c r="H202" s="13"/>
      <c r="I202" s="114" t="str">
        <f>IF(AND($A202&lt;&gt;"",OR($A202&amp;""=PMIS_Home!$B$4&amp;"",$A202&amp;""="Campus")),MAX($I$4:I201)+1,"")</f>
        <v/>
      </c>
    </row>
    <row r="203" spans="1:9" ht="6.9" customHeight="1">
      <c r="A203" s="13"/>
      <c r="B203" s="13"/>
      <c r="C203" s="13"/>
      <c r="D203" s="13"/>
      <c r="E203" s="13"/>
      <c r="F203" s="13"/>
      <c r="G203" s="13"/>
      <c r="H203" s="13"/>
      <c r="I203" s="114" t="str">
        <f>IF(AND($A203&lt;&gt;"",OR($A203&amp;""=PMIS_Home!$B$4&amp;"",$A203&amp;""="Campus")),MAX($I$4:I202)+1,"")</f>
        <v/>
      </c>
    </row>
    <row r="204" spans="1:9" ht="6.9" customHeight="1">
      <c r="A204" s="13"/>
      <c r="B204" s="13"/>
      <c r="C204" s="13"/>
      <c r="D204" s="13"/>
      <c r="E204" s="13"/>
      <c r="F204" s="13"/>
      <c r="G204" s="13"/>
      <c r="H204" s="13"/>
      <c r="I204" s="114" t="str">
        <f>IF(AND($A204&lt;&gt;"",OR($A204&amp;""=PMIS_Home!$B$4&amp;"",$A204&amp;""="Campus")),MAX($I$4:I203)+1,"")</f>
        <v/>
      </c>
    </row>
    <row r="205" spans="1:9" ht="6.9" customHeight="1">
      <c r="A205" s="13"/>
      <c r="B205" s="13"/>
      <c r="C205" s="13"/>
      <c r="D205" s="13"/>
      <c r="E205" s="13"/>
      <c r="F205" s="13"/>
      <c r="G205" s="13"/>
      <c r="H205" s="13"/>
      <c r="I205" s="114" t="str">
        <f>IF(AND($A205&lt;&gt;"",OR($A205&amp;""=PMIS_Home!$B$4&amp;"",$A205&amp;""="Campus")),MAX($I$4:I204)+1,"")</f>
        <v/>
      </c>
    </row>
    <row r="206" spans="1:9" ht="6.9" customHeight="1">
      <c r="A206" s="13"/>
      <c r="B206" s="13"/>
      <c r="C206" s="13"/>
      <c r="D206" s="13"/>
      <c r="E206" s="13"/>
      <c r="F206" s="13"/>
      <c r="G206" s="13"/>
      <c r="H206" s="13"/>
      <c r="I206" s="114" t="str">
        <f>IF(AND($A206&lt;&gt;"",OR($A206&amp;""=PMIS_Home!$B$4&amp;"",$A206&amp;""="Campus")),MAX($I$4:I205)+1,"")</f>
        <v/>
      </c>
    </row>
    <row r="207" spans="1:9" ht="6.9" customHeight="1">
      <c r="A207" s="13"/>
      <c r="B207" s="13"/>
      <c r="C207" s="13"/>
      <c r="D207" s="13"/>
      <c r="E207" s="13"/>
      <c r="F207" s="13"/>
      <c r="G207" s="13"/>
      <c r="H207" s="13"/>
      <c r="I207" s="114" t="str">
        <f>IF(AND($A207&lt;&gt;"",OR($A207&amp;""=PMIS_Home!$B$4&amp;"",$A207&amp;""="Campus")),MAX($I$4:I206)+1,"")</f>
        <v/>
      </c>
    </row>
    <row r="208" spans="1:9" ht="6.9" customHeight="1">
      <c r="A208" s="13"/>
      <c r="B208" s="13"/>
      <c r="C208" s="13"/>
      <c r="D208" s="13"/>
      <c r="E208" s="13"/>
      <c r="F208" s="13"/>
      <c r="G208" s="13"/>
      <c r="H208" s="13"/>
      <c r="I208" s="114" t="str">
        <f>IF(AND($A208&lt;&gt;"",OR($A208&amp;""=PMIS_Home!$B$4&amp;"",$A208&amp;""="Campus")),MAX($I$4:I207)+1,"")</f>
        <v/>
      </c>
    </row>
    <row r="209" spans="1:9" ht="6.9" customHeight="1">
      <c r="A209" s="13"/>
      <c r="B209" s="13"/>
      <c r="C209" s="13"/>
      <c r="D209" s="13"/>
      <c r="E209" s="13"/>
      <c r="F209" s="13"/>
      <c r="G209" s="13"/>
      <c r="H209" s="13"/>
      <c r="I209" s="114" t="str">
        <f>IF(AND($A209&lt;&gt;"",OR($A209&amp;""=PMIS_Home!$B$4&amp;"",$A209&amp;""="Campus")),MAX($I$4:I208)+1,"")</f>
        <v/>
      </c>
    </row>
    <row r="210" spans="1:9" ht="6.9" customHeight="1">
      <c r="A210" s="13"/>
      <c r="B210" s="13"/>
      <c r="C210" s="13"/>
      <c r="D210" s="13"/>
      <c r="E210" s="13"/>
      <c r="F210" s="13"/>
      <c r="G210" s="13"/>
      <c r="H210" s="13"/>
      <c r="I210" s="114" t="str">
        <f>IF(AND($A210&lt;&gt;"",OR($A210&amp;""=PMIS_Home!$B$4&amp;"",$A210&amp;""="Campus")),MAX($I$4:I209)+1,"")</f>
        <v/>
      </c>
    </row>
    <row r="211" spans="1:9" ht="6.9" customHeight="1">
      <c r="A211" s="13"/>
      <c r="B211" s="13"/>
      <c r="C211" s="13"/>
      <c r="D211" s="13"/>
      <c r="E211" s="13"/>
      <c r="F211" s="13"/>
      <c r="G211" s="13"/>
      <c r="H211" s="13"/>
      <c r="I211" s="114" t="str">
        <f>IF(AND($A211&lt;&gt;"",OR($A211&amp;""=PMIS_Home!$B$4&amp;"",$A211&amp;""="Campus")),MAX($I$4:I210)+1,"")</f>
        <v/>
      </c>
    </row>
    <row r="212" spans="1:9" ht="6.9" customHeight="1">
      <c r="A212" s="13"/>
      <c r="B212" s="13"/>
      <c r="C212" s="13"/>
      <c r="D212" s="13"/>
      <c r="E212" s="13"/>
      <c r="F212" s="13"/>
      <c r="G212" s="13"/>
      <c r="H212" s="13"/>
      <c r="I212" s="114" t="str">
        <f>IF(AND($A212&lt;&gt;"",OR($A212&amp;""=PMIS_Home!$B$4&amp;"",$A212&amp;""="Campus")),MAX($I$4:I211)+1,"")</f>
        <v/>
      </c>
    </row>
    <row r="213" spans="1:9" ht="6.9" customHeight="1">
      <c r="A213" s="13"/>
      <c r="B213" s="13"/>
      <c r="C213" s="13"/>
      <c r="D213" s="13"/>
      <c r="E213" s="13"/>
      <c r="F213" s="13"/>
      <c r="G213" s="13"/>
      <c r="H213" s="13"/>
      <c r="I213" s="114" t="str">
        <f>IF(AND($A213&lt;&gt;"",OR($A213&amp;""=PMIS_Home!$B$4&amp;"",$A213&amp;""="Campus")),MAX($I$4:I212)+1,"")</f>
        <v/>
      </c>
    </row>
    <row r="214" spans="1:9" ht="6.9" customHeight="1">
      <c r="A214" s="13"/>
      <c r="B214" s="13"/>
      <c r="C214" s="13"/>
      <c r="D214" s="13"/>
      <c r="E214" s="13"/>
      <c r="F214" s="13"/>
      <c r="G214" s="13"/>
      <c r="H214" s="13"/>
      <c r="I214" s="114" t="str">
        <f>IF(AND($A214&lt;&gt;"",OR($A214&amp;""=PMIS_Home!$B$4&amp;"",$A214&amp;""="Campus")),MAX($I$4:I213)+1,"")</f>
        <v/>
      </c>
    </row>
    <row r="215" spans="1:9" ht="6.9" customHeight="1">
      <c r="A215" s="13"/>
      <c r="B215" s="13"/>
      <c r="C215" s="13"/>
      <c r="D215" s="13"/>
      <c r="E215" s="13"/>
      <c r="F215" s="13"/>
      <c r="G215" s="13"/>
      <c r="H215" s="13"/>
      <c r="I215" s="114" t="str">
        <f>IF(AND($A215&lt;&gt;"",OR($A215&amp;""=PMIS_Home!$B$4&amp;"",$A215&amp;""="Campus")),MAX($I$4:I214)+1,"")</f>
        <v/>
      </c>
    </row>
    <row r="216" spans="1:9" ht="6.9" customHeight="1">
      <c r="A216" s="13"/>
      <c r="B216" s="13"/>
      <c r="C216" s="13"/>
      <c r="D216" s="13"/>
      <c r="E216" s="13"/>
      <c r="F216" s="13"/>
      <c r="G216" s="13"/>
      <c r="H216" s="13"/>
      <c r="I216" s="114" t="str">
        <f>IF(AND($A216&lt;&gt;"",OR($A216&amp;""=PMIS_Home!$B$4&amp;"",$A216&amp;""="Campus")),MAX($I$4:I215)+1,"")</f>
        <v/>
      </c>
    </row>
    <row r="217" spans="1:9" ht="6.9" customHeight="1">
      <c r="A217" s="13"/>
      <c r="B217" s="13"/>
      <c r="C217" s="13"/>
      <c r="D217" s="13"/>
      <c r="E217" s="13"/>
      <c r="F217" s="13"/>
      <c r="G217" s="13"/>
      <c r="H217" s="13"/>
      <c r="I217" s="114" t="str">
        <f>IF(AND($A217&lt;&gt;"",OR($A217&amp;""=PMIS_Home!$B$4&amp;"",$A217&amp;""="Campus")),MAX($I$4:I216)+1,"")</f>
        <v/>
      </c>
    </row>
    <row r="218" spans="1:9" ht="6.9" customHeight="1">
      <c r="A218" s="13"/>
      <c r="B218" s="13"/>
      <c r="C218" s="13"/>
      <c r="D218" s="13"/>
      <c r="E218" s="13"/>
      <c r="F218" s="13"/>
      <c r="G218" s="13"/>
      <c r="H218" s="13"/>
      <c r="I218" s="114" t="str">
        <f>IF(AND($A218&lt;&gt;"",OR($A218&amp;""=PMIS_Home!$B$4&amp;"",$A218&amp;""="Campus")),MAX($I$4:I217)+1,"")</f>
        <v/>
      </c>
    </row>
    <row r="219" spans="1:9" ht="6.9" customHeight="1">
      <c r="A219" s="13"/>
      <c r="B219" s="13"/>
      <c r="C219" s="13"/>
      <c r="D219" s="13"/>
      <c r="E219" s="13"/>
      <c r="F219" s="13"/>
      <c r="G219" s="13"/>
      <c r="H219" s="13"/>
      <c r="I219" s="114" t="str">
        <f>IF(AND($A219&lt;&gt;"",OR($A219&amp;""=PMIS_Home!$B$4&amp;"",$A219&amp;""="Campus")),MAX($I$4:I218)+1,"")</f>
        <v/>
      </c>
    </row>
    <row r="220" spans="1:9" ht="6.9" customHeight="1">
      <c r="A220" s="13"/>
      <c r="B220" s="13"/>
      <c r="C220" s="13"/>
      <c r="D220" s="13"/>
      <c r="E220" s="13"/>
      <c r="F220" s="13"/>
      <c r="G220" s="13"/>
      <c r="H220" s="13"/>
      <c r="I220" s="114" t="str">
        <f>IF(AND($A220&lt;&gt;"",OR($A220&amp;""=PMIS_Home!$B$4&amp;"",$A220&amp;""="Campus")),MAX($I$4:I219)+1,"")</f>
        <v/>
      </c>
    </row>
    <row r="221" spans="1:9" ht="7.35" customHeight="1">
      <c r="I221" s="74" t="str">
        <f>IF(AND($A221&lt;&gt;"",OR($A221&amp;""=PMIS_Home!$B$4&amp;"",$A221&amp;""="Campus")),MAX($I$4:I220)+1,"")</f>
        <v/>
      </c>
    </row>
    <row r="222" spans="1:9" ht="7.35" customHeight="1">
      <c r="I222" s="74" t="str">
        <f>IF(AND($A222&lt;&gt;"",OR($A222&amp;""=PMIS_Home!$B$4&amp;"",$A222&amp;""="Campus")),MAX($I$4:I221)+1,"")</f>
        <v/>
      </c>
    </row>
    <row r="223" spans="1:9" ht="7.35" customHeight="1">
      <c r="I223" s="74" t="str">
        <f>IF(AND($A223&lt;&gt;"",OR($A223&amp;""=PMIS_Home!$B$4&amp;"",$A223&amp;""="Campus")),MAX($I$4:I222)+1,"")</f>
        <v/>
      </c>
    </row>
    <row r="224" spans="1:9" ht="7.35" customHeight="1">
      <c r="I224" s="74" t="str">
        <f>IF(AND($A224&lt;&gt;"",OR($A224&amp;""=PMIS_Home!$B$4&amp;"",$A224&amp;""="Campus")),MAX($I$4:I223)+1,"")</f>
        <v/>
      </c>
    </row>
    <row r="225" spans="9:9" ht="7.35" customHeight="1">
      <c r="I225" s="74" t="str">
        <f>IF(AND($A225&lt;&gt;"",OR($A225&amp;""=PMIS_Home!$B$4&amp;"",$A225&amp;""="Campus")),MAX($I$4:I224)+1,"")</f>
        <v/>
      </c>
    </row>
    <row r="226" spans="9:9" ht="7.35" customHeight="1">
      <c r="I226" s="74" t="str">
        <f>IF(AND($A226&lt;&gt;"",OR($A226&amp;""=PMIS_Home!$B$4&amp;"",$A226&amp;""="Campus")),MAX($I$4:I225)+1,"")</f>
        <v/>
      </c>
    </row>
    <row r="227" spans="9:9" ht="7.35" customHeight="1">
      <c r="I227" s="74" t="str">
        <f>IF(AND($A227&lt;&gt;"",OR($A227&amp;""=PMIS_Home!$B$4&amp;"",$A227&amp;""="Campus")),MAX($I$4:I226)+1,"")</f>
        <v/>
      </c>
    </row>
    <row r="228" spans="9:9" ht="7.35" customHeight="1">
      <c r="I228" s="74" t="str">
        <f>IF(AND($A228&lt;&gt;"",OR($A228&amp;""=PMIS_Home!$B$4&amp;"",$A228&amp;""="Campus")),MAX($I$4:I227)+1,"")</f>
        <v/>
      </c>
    </row>
    <row r="229" spans="9:9" ht="7.35" customHeight="1">
      <c r="I229" s="74" t="str">
        <f>IF(AND($A229&lt;&gt;"",OR($A229&amp;""=PMIS_Home!$B$4&amp;"",$A229&amp;""="Campus")),MAX($I$4:I228)+1,"")</f>
        <v/>
      </c>
    </row>
    <row r="230" spans="9:9" ht="7.35" customHeight="1">
      <c r="I230" s="74" t="str">
        <f>IF(AND($A230&lt;&gt;"",OR($A230&amp;""=PMIS_Home!$B$4&amp;"",$A230&amp;""="Campus")),MAX($I$4:I229)+1,"")</f>
        <v/>
      </c>
    </row>
    <row r="231" spans="9:9" ht="7.35" customHeight="1">
      <c r="I231" s="74" t="str">
        <f>IF(AND($A231&lt;&gt;"",OR($A231&amp;""=PMIS_Home!$B$4&amp;"",$A231&amp;""="Campus")),MAX($I$4:I230)+1,"")</f>
        <v/>
      </c>
    </row>
    <row r="232" spans="9:9" ht="7.35" customHeight="1">
      <c r="I232" s="74" t="str">
        <f>IF(AND($A232&lt;&gt;"",OR($A232&amp;""=PMIS_Home!$B$4&amp;"",$A232&amp;""="Campus")),MAX($I$4:I231)+1,"")</f>
        <v/>
      </c>
    </row>
    <row r="233" spans="9:9" ht="7.35" customHeight="1">
      <c r="I233" s="74" t="str">
        <f>IF(AND($A233&lt;&gt;"",OR($A233&amp;""=PMIS_Home!$B$4&amp;"",$A233&amp;""="Campus")),MAX($I$4:I232)+1,"")</f>
        <v/>
      </c>
    </row>
    <row r="234" spans="9:9" ht="7.35" customHeight="1">
      <c r="I234" s="74" t="str">
        <f>IF(AND($A234&lt;&gt;"",OR($A234&amp;""=PMIS_Home!$B$4&amp;"",$A234&amp;""="Campus")),MAX($I$4:I233)+1,"")</f>
        <v/>
      </c>
    </row>
    <row r="235" spans="9:9" ht="7.35" customHeight="1">
      <c r="I235" s="74" t="str">
        <f>IF(AND($A235&lt;&gt;"",OR($A235&amp;""=PMIS_Home!$B$4&amp;"",$A235&amp;""="Campus")),MAX($I$4:I234)+1,"")</f>
        <v/>
      </c>
    </row>
    <row r="236" spans="9:9" ht="7.35" customHeight="1">
      <c r="I236" s="74" t="str">
        <f>IF(AND($A236&lt;&gt;"",OR($A236&amp;""=PMIS_Home!$B$4&amp;"",$A236&amp;""="Campus")),MAX($I$4:I235)+1,"")</f>
        <v/>
      </c>
    </row>
    <row r="237" spans="9:9" ht="7.35" customHeight="1">
      <c r="I237" s="74" t="str">
        <f>IF(AND($A237&lt;&gt;"",OR($A237&amp;""=PMIS_Home!$B$4&amp;"",$A237&amp;""="Campus")),MAX($I$4:I236)+1,"")</f>
        <v/>
      </c>
    </row>
    <row r="238" spans="9:9" ht="7.35" customHeight="1">
      <c r="I238" s="74" t="str">
        <f>IF(AND($A238&lt;&gt;"",OR($A238&amp;""=PMIS_Home!$B$4&amp;"",$A238&amp;""="Campus")),MAX($I$4:I237)+1,"")</f>
        <v/>
      </c>
    </row>
    <row r="239" spans="9:9" ht="7.35" customHeight="1">
      <c r="I239" s="74" t="str">
        <f>IF(AND($A239&lt;&gt;"",OR($A239&amp;""=PMIS_Home!$B$4&amp;"",$A239&amp;""="Campus")),MAX($I$4:I238)+1,"")</f>
        <v/>
      </c>
    </row>
    <row r="240" spans="9:9" ht="7.35" customHeight="1">
      <c r="I240" s="74" t="str">
        <f>IF(AND($A240&lt;&gt;"",OR($A240&amp;""=PMIS_Home!$B$4&amp;"",$A240&amp;""="Campus")),MAX($I$4:I239)+1,"")</f>
        <v/>
      </c>
    </row>
    <row r="241" spans="9:9" ht="7.35" customHeight="1">
      <c r="I241" s="74" t="str">
        <f>IF(AND($A241&lt;&gt;"",OR($A241&amp;""=PMIS_Home!$B$4&amp;"",$A241&amp;""="Campus")),MAX($I$4:I240)+1,"")</f>
        <v/>
      </c>
    </row>
    <row r="242" spans="9:9" ht="7.35" customHeight="1">
      <c r="I242" s="74" t="str">
        <f>IF(AND($A242&lt;&gt;"",OR($A242&amp;""=PMIS_Home!$B$4&amp;"",$A242&amp;""="Campus")),MAX($I$4:I241)+1,"")</f>
        <v/>
      </c>
    </row>
    <row r="243" spans="9:9" ht="7.35" customHeight="1">
      <c r="I243" s="74" t="str">
        <f>IF(AND($A243&lt;&gt;"",OR($A243&amp;""=PMIS_Home!$B$4&amp;"",$A243&amp;""="Campus")),MAX($I$4:I242)+1,"")</f>
        <v/>
      </c>
    </row>
    <row r="244" spans="9:9" ht="7.35" customHeight="1">
      <c r="I244" s="74" t="str">
        <f>IF(AND($A244&lt;&gt;"",OR($A244&amp;""=PMIS_Home!$B$4&amp;"",$A244&amp;""="Campus")),MAX($I$4:I243)+1,"")</f>
        <v/>
      </c>
    </row>
    <row r="245" spans="9:9" ht="7.35" customHeight="1">
      <c r="I245" s="74" t="str">
        <f>IF(AND($A245&lt;&gt;"",OR($A245&amp;""=PMIS_Home!$B$4&amp;"",$A245&amp;""="Campus")),MAX($I$4:I244)+1,"")</f>
        <v/>
      </c>
    </row>
    <row r="246" spans="9:9" ht="7.35" customHeight="1">
      <c r="I246" s="74" t="str">
        <f>IF(AND($A246&lt;&gt;"",OR($A246&amp;""=PMIS_Home!$B$4&amp;"",$A246&amp;""="Campus")),MAX($I$4:I245)+1,"")</f>
        <v/>
      </c>
    </row>
    <row r="247" spans="9:9" ht="7.35" customHeight="1">
      <c r="I247" s="74" t="str">
        <f>IF(AND($A247&lt;&gt;"",OR($A247&amp;""=PMIS_Home!$B$4&amp;"",$A247&amp;""="Campus")),MAX($I$4:I246)+1,"")</f>
        <v/>
      </c>
    </row>
    <row r="248" spans="9:9" ht="7.35" customHeight="1">
      <c r="I248" s="74" t="str">
        <f>IF(AND($A248&lt;&gt;"",OR($A248&amp;""=PMIS_Home!$B$4&amp;"",$A248&amp;""="Campus")),MAX($I$4:I247)+1,"")</f>
        <v/>
      </c>
    </row>
    <row r="249" spans="9:9" ht="7.35" customHeight="1">
      <c r="I249" s="74" t="str">
        <f>IF(AND($A249&lt;&gt;"",OR($A249&amp;""=PMIS_Home!$B$4&amp;"",$A249&amp;""="Campus")),MAX($I$4:I248)+1,"")</f>
        <v/>
      </c>
    </row>
    <row r="250" spans="9:9" ht="7.35" customHeight="1">
      <c r="I250" s="74" t="str">
        <f>IF(AND($A250&lt;&gt;"",OR($A250&amp;""=PMIS_Home!$B$4&amp;"",$A250&amp;""="Campus")),MAX($I$4:I249)+1,"")</f>
        <v/>
      </c>
    </row>
    <row r="251" spans="9:9" ht="7.35" customHeight="1">
      <c r="I251" s="74" t="str">
        <f>IF(AND($A251&lt;&gt;"",OR($A251&amp;""=PMIS_Home!$B$4&amp;"",$A251&amp;""="Campus")),MAX($I$4:I250)+1,"")</f>
        <v/>
      </c>
    </row>
    <row r="252" spans="9:9" ht="7.35" customHeight="1">
      <c r="I252" s="74" t="str">
        <f>IF(AND($A252&lt;&gt;"",OR($A252&amp;""=PMIS_Home!$B$4&amp;"",$A252&amp;""="Campus")),MAX($I$4:I251)+1,"")</f>
        <v/>
      </c>
    </row>
    <row r="253" spans="9:9" ht="7.35" customHeight="1">
      <c r="I253" s="74" t="str">
        <f>IF(AND($A253&lt;&gt;"",OR($A253&amp;""=PMIS_Home!$B$4&amp;"",$A253&amp;""="Campus")),MAX($I$4:I252)+1,"")</f>
        <v/>
      </c>
    </row>
    <row r="254" spans="9:9" ht="7.35" customHeight="1">
      <c r="I254" s="74" t="str">
        <f>IF(AND($A254&lt;&gt;"",OR($A254&amp;""=PMIS_Home!$B$4&amp;"",$A254&amp;""="Campus")),MAX($I$4:I253)+1,"")</f>
        <v/>
      </c>
    </row>
    <row r="255" spans="9:9" ht="7.35" customHeight="1">
      <c r="I255" s="74" t="str">
        <f>IF(AND($A255&lt;&gt;"",OR($A255&amp;""=PMIS_Home!$B$4&amp;"",$A255&amp;""="Campus")),MAX($I$4:I254)+1,"")</f>
        <v/>
      </c>
    </row>
    <row r="256" spans="9:9" ht="7.35" customHeight="1">
      <c r="I256" s="74" t="str">
        <f>IF(AND($A256&lt;&gt;"",OR($A256&amp;""=PMIS_Home!$B$4&amp;"",$A256&amp;""="Campus")),MAX($I$4:I255)+1,"")</f>
        <v/>
      </c>
    </row>
    <row r="257" spans="9:9" ht="7.35" customHeight="1">
      <c r="I257" s="74" t="str">
        <f>IF(AND($A257&lt;&gt;"",OR($A257&amp;""=PMIS_Home!$B$4&amp;"",$A257&amp;""="Campus")),MAX($I$4:I256)+1,"")</f>
        <v/>
      </c>
    </row>
    <row r="258" spans="9:9" ht="7.35" customHeight="1">
      <c r="I258" s="74" t="str">
        <f>IF(AND($A258&lt;&gt;"",OR($A258&amp;""=PMIS_Home!$B$4&amp;"",$A258&amp;""="Campus")),MAX($I$4:I257)+1,"")</f>
        <v/>
      </c>
    </row>
    <row r="259" spans="9:9" ht="7.35" customHeight="1">
      <c r="I259" s="74" t="str">
        <f>IF(AND($A259&lt;&gt;"",OR($A259&amp;""=PMIS_Home!$B$4&amp;"",$A259&amp;""="Campus")),MAX($I$4:I258)+1,"")</f>
        <v/>
      </c>
    </row>
    <row r="260" spans="9:9" ht="7.35" customHeight="1">
      <c r="I260" s="74" t="str">
        <f>IF(AND($A260&lt;&gt;"",OR($A260&amp;""=PMIS_Home!$B$4&amp;"",$A260&amp;""="Campus")),MAX($I$4:I259)+1,"")</f>
        <v/>
      </c>
    </row>
    <row r="261" spans="9:9" ht="7.35" customHeight="1">
      <c r="I261" s="74" t="str">
        <f>IF(AND($A261&lt;&gt;"",OR($A261&amp;""=PMIS_Home!$B$4&amp;"",$A261&amp;""="Campus")),MAX($I$4:I260)+1,"")</f>
        <v/>
      </c>
    </row>
    <row r="262" spans="9:9" ht="7.35" customHeight="1">
      <c r="I262" s="74" t="str">
        <f>IF(AND($A262&lt;&gt;"",OR($A262&amp;""=PMIS_Home!$B$4&amp;"",$A262&amp;""="Campus")),MAX($I$4:I261)+1,"")</f>
        <v/>
      </c>
    </row>
    <row r="263" spans="9:9" ht="7.35" customHeight="1">
      <c r="I263" s="74" t="str">
        <f>IF(AND($A263&lt;&gt;"",OR($A263&amp;""=PMIS_Home!$B$4&amp;"",$A263&amp;""="Campus")),MAX($I$4:I262)+1,"")</f>
        <v/>
      </c>
    </row>
    <row r="264" spans="9:9" ht="7.35" customHeight="1">
      <c r="I264" s="74" t="str">
        <f>IF(AND($A264&lt;&gt;"",OR($A264&amp;""=PMIS_Home!$B$4&amp;"",$A264&amp;""="Campus")),MAX($I$4:I263)+1,"")</f>
        <v/>
      </c>
    </row>
    <row r="265" spans="9:9" ht="7.35" customHeight="1">
      <c r="I265" s="74" t="str">
        <f>IF(AND($A265&lt;&gt;"",OR($A265&amp;""=PMIS_Home!$B$4&amp;"",$A265&amp;""="Campus")),MAX($I$4:I264)+1,"")</f>
        <v/>
      </c>
    </row>
    <row r="266" spans="9:9" ht="7.35" customHeight="1">
      <c r="I266" s="74" t="str">
        <f>IF(AND($A266&lt;&gt;"",OR($A266&amp;""=PMIS_Home!$B$4&amp;"",$A266&amp;""="Campus")),MAX($I$4:I265)+1,"")</f>
        <v/>
      </c>
    </row>
    <row r="267" spans="9:9" ht="7.35" customHeight="1">
      <c r="I267" s="74" t="str">
        <f>IF(AND($A267&lt;&gt;"",OR($A267&amp;""=PMIS_Home!$B$4&amp;"",$A267&amp;""="Campus")),MAX($I$4:I266)+1,"")</f>
        <v/>
      </c>
    </row>
    <row r="268" spans="9:9" ht="7.35" customHeight="1">
      <c r="I268" s="74" t="str">
        <f>IF(AND($A268&lt;&gt;"",OR($A268&amp;""=PMIS_Home!$B$4&amp;"",$A268&amp;""="Campus")),MAX($I$4:I267)+1,"")</f>
        <v/>
      </c>
    </row>
    <row r="269" spans="9:9" ht="7.35" customHeight="1">
      <c r="I269" s="74" t="str">
        <f>IF(AND($A269&lt;&gt;"",OR($A269&amp;""=PMIS_Home!$B$4&amp;"",$A269&amp;""="Campus")),MAX($I$4:I268)+1,"")</f>
        <v/>
      </c>
    </row>
    <row r="270" spans="9:9" ht="7.35" customHeight="1">
      <c r="I270" s="74" t="str">
        <f>IF(AND($A270&lt;&gt;"",OR($A270&amp;""=PMIS_Home!$B$4&amp;"",$A270&amp;""="Campus")),MAX($I$4:I269)+1,"")</f>
        <v/>
      </c>
    </row>
    <row r="271" spans="9:9" ht="7.35" customHeight="1">
      <c r="I271" s="74" t="str">
        <f>IF(AND($A271&lt;&gt;"",OR($A271&amp;""=PMIS_Home!$B$4&amp;"",$A271&amp;""="Campus")),MAX($I$4:I270)+1,"")</f>
        <v/>
      </c>
    </row>
    <row r="272" spans="9:9" ht="7.35" customHeight="1">
      <c r="I272" s="74" t="str">
        <f>IF(AND($A272&lt;&gt;"",OR($A272&amp;""=PMIS_Home!$B$4&amp;"",$A272&amp;""="Campus")),MAX($I$4:I271)+1,"")</f>
        <v/>
      </c>
    </row>
    <row r="273" spans="9:9" ht="7.35" customHeight="1">
      <c r="I273" s="74" t="str">
        <f>IF(AND($A273&lt;&gt;"",OR($A273&amp;""=PMIS_Home!$B$4&amp;"",$A273&amp;""="Campus")),MAX($I$4:I272)+1,"")</f>
        <v/>
      </c>
    </row>
    <row r="274" spans="9:9" ht="7.35" customHeight="1">
      <c r="I274" s="74" t="str">
        <f>IF(AND($A274&lt;&gt;"",OR($A274&amp;""=PMIS_Home!$B$4&amp;"",$A274&amp;""="Campus")),MAX($I$4:I273)+1,"")</f>
        <v/>
      </c>
    </row>
    <row r="275" spans="9:9" ht="7.35" customHeight="1">
      <c r="I275" s="74" t="str">
        <f>IF(AND($A275&lt;&gt;"",OR($A275&amp;""=PMIS_Home!$B$4&amp;"",$A275&amp;""="Campus")),MAX($I$4:I274)+1,"")</f>
        <v/>
      </c>
    </row>
    <row r="276" spans="9:9" ht="7.35" customHeight="1">
      <c r="I276" s="74" t="str">
        <f>IF(AND($A276&lt;&gt;"",OR($A276&amp;""=PMIS_Home!$B$4&amp;"",$A276&amp;""="Campus")),MAX($I$4:I275)+1,"")</f>
        <v/>
      </c>
    </row>
    <row r="277" spans="9:9" ht="7.35" customHeight="1">
      <c r="I277" s="74" t="str">
        <f>IF(AND($A277&lt;&gt;"",OR($A277&amp;""=PMIS_Home!$B$4&amp;"",$A277&amp;""="Campus")),MAX($I$4:I276)+1,"")</f>
        <v/>
      </c>
    </row>
    <row r="278" spans="9:9" ht="7.35" customHeight="1">
      <c r="I278" s="74" t="str">
        <f>IF(AND($A278&lt;&gt;"",OR($A278&amp;""=PMIS_Home!$B$4&amp;"",$A278&amp;""="Campus")),MAX($I$4:I277)+1,"")</f>
        <v/>
      </c>
    </row>
    <row r="279" spans="9:9" ht="7.35" customHeight="1">
      <c r="I279" s="74" t="str">
        <f>IF(AND($A279&lt;&gt;"",OR($A279&amp;""=PMIS_Home!$B$4&amp;"",$A279&amp;""="Campus")),MAX($I$4:I278)+1,"")</f>
        <v/>
      </c>
    </row>
    <row r="280" spans="9:9" ht="7.35" customHeight="1">
      <c r="I280" s="74" t="str">
        <f>IF(AND($A280&lt;&gt;"",OR($A280&amp;""=PMIS_Home!$B$4&amp;"",$A280&amp;""="Campus")),MAX($I$4:I279)+1,"")</f>
        <v/>
      </c>
    </row>
    <row r="281" spans="9:9" ht="7.35" customHeight="1">
      <c r="I281" s="74" t="str">
        <f>IF(AND($A281&lt;&gt;"",OR($A281&amp;""=PMIS_Home!$B$4&amp;"",$A281&amp;""="Campus")),MAX($I$4:I280)+1,"")</f>
        <v/>
      </c>
    </row>
    <row r="282" spans="9:9" ht="7.35" customHeight="1">
      <c r="I282" s="74" t="str">
        <f>IF(AND($A282&lt;&gt;"",OR($A282&amp;""=PMIS_Home!$B$4&amp;"",$A282&amp;""="Campus")),MAX($I$4:I281)+1,"")</f>
        <v/>
      </c>
    </row>
    <row r="283" spans="9:9" ht="7.35" customHeight="1">
      <c r="I283" s="74" t="str">
        <f>IF(AND($A283&lt;&gt;"",OR($A283&amp;""=PMIS_Home!$B$4&amp;"",$A283&amp;""="Campus")),MAX($I$4:I282)+1,"")</f>
        <v/>
      </c>
    </row>
    <row r="284" spans="9:9" ht="7.35" customHeight="1">
      <c r="I284" s="74" t="str">
        <f>IF(AND($A284&lt;&gt;"",OR($A284&amp;""=PMIS_Home!$B$4&amp;"",$A284&amp;""="Campus")),MAX($I$4:I283)+1,"")</f>
        <v/>
      </c>
    </row>
    <row r="285" spans="9:9" ht="7.35" customHeight="1">
      <c r="I285" s="74" t="str">
        <f>IF(AND($A285&lt;&gt;"",OR($A285&amp;""=PMIS_Home!$B$4&amp;"",$A285&amp;""="Campus")),MAX($I$4:I284)+1,"")</f>
        <v/>
      </c>
    </row>
    <row r="286" spans="9:9" ht="7.35" customHeight="1">
      <c r="I286" s="74" t="str">
        <f>IF(AND($A286&lt;&gt;"",OR($A286&amp;""=PMIS_Home!$B$4&amp;"",$A286&amp;""="Campus")),MAX($I$4:I285)+1,"")</f>
        <v/>
      </c>
    </row>
    <row r="287" spans="9:9" ht="7.35" customHeight="1">
      <c r="I287" s="74" t="str">
        <f>IF(AND($A287&lt;&gt;"",OR($A287&amp;""=PMIS_Home!$B$4&amp;"",$A287&amp;""="Campus")),MAX($I$4:I286)+1,"")</f>
        <v/>
      </c>
    </row>
    <row r="288" spans="9:9" ht="7.35" customHeight="1">
      <c r="I288" s="74" t="str">
        <f>IF(AND($A288&lt;&gt;"",OR($A288&amp;""=PMIS_Home!$B$4&amp;"",$A288&amp;""="Campus")),MAX($I$4:I287)+1,"")</f>
        <v/>
      </c>
    </row>
    <row r="289" spans="9:9" ht="7.35" customHeight="1">
      <c r="I289" s="74" t="str">
        <f>IF(AND($A289&lt;&gt;"",OR($A289&amp;""=PMIS_Home!$B$4&amp;"",$A289&amp;""="Campus")),MAX($I$4:I288)+1,"")</f>
        <v/>
      </c>
    </row>
    <row r="290" spans="9:9" ht="7.35" customHeight="1">
      <c r="I290" s="74" t="str">
        <f>IF(AND($A290&lt;&gt;"",OR($A290&amp;""=PMIS_Home!$B$4&amp;"",$A290&amp;""="Campus")),MAX($I$4:I289)+1,"")</f>
        <v/>
      </c>
    </row>
    <row r="291" spans="9:9" ht="7.35" customHeight="1">
      <c r="I291" s="74" t="str">
        <f>IF(AND($A291&lt;&gt;"",OR($A291&amp;""=PMIS_Home!$B$4&amp;"",$A291&amp;""="Campus")),MAX($I$4:I290)+1,"")</f>
        <v/>
      </c>
    </row>
    <row r="292" spans="9:9" ht="7.35" customHeight="1">
      <c r="I292" s="74" t="str">
        <f>IF(AND($A292&lt;&gt;"",OR($A292&amp;""=PMIS_Home!$B$4&amp;"",$A292&amp;""="Campus")),MAX($I$4:I291)+1,"")</f>
        <v/>
      </c>
    </row>
    <row r="293" spans="9:9" ht="7.35" customHeight="1">
      <c r="I293" s="74" t="str">
        <f>IF(AND($A293&lt;&gt;"",OR($A293&amp;""=PMIS_Home!$B$4&amp;"",$A293&amp;""="Campus")),MAX($I$4:I292)+1,"")</f>
        <v/>
      </c>
    </row>
    <row r="294" spans="9:9" ht="7.35" customHeight="1">
      <c r="I294" s="74" t="str">
        <f>IF(AND($A294&lt;&gt;"",OR($A294&amp;""=PMIS_Home!$B$4&amp;"",$A294&amp;""="Campus")),MAX($I$4:I293)+1,"")</f>
        <v/>
      </c>
    </row>
    <row r="295" spans="9:9" ht="7.35" customHeight="1">
      <c r="I295" s="74" t="str">
        <f>IF(AND($A295&lt;&gt;"",OR($A295&amp;""=PMIS_Home!$B$4&amp;"",$A295&amp;""="Campus")),MAX($I$4:I294)+1,"")</f>
        <v/>
      </c>
    </row>
    <row r="296" spans="9:9" ht="7.35" customHeight="1">
      <c r="I296" s="74" t="str">
        <f>IF(AND($A296&lt;&gt;"",OR($A296&amp;""=PMIS_Home!$B$4&amp;"",$A296&amp;""="Campus")),MAX($I$4:I295)+1,"")</f>
        <v/>
      </c>
    </row>
    <row r="297" spans="9:9" ht="7.35" customHeight="1">
      <c r="I297" s="74" t="str">
        <f>IF(AND($A297&lt;&gt;"",OR($A297&amp;""=PMIS_Home!$B$4&amp;"",$A297&amp;""="Campus")),MAX($I$4:I296)+1,"")</f>
        <v/>
      </c>
    </row>
    <row r="298" spans="9:9" ht="7.35" customHeight="1">
      <c r="I298" s="74" t="str">
        <f>IF(AND($A298&lt;&gt;"",OR($A298&amp;""=PMIS_Home!$B$4&amp;"",$A298&amp;""="Campus")),MAX($I$4:I297)+1,"")</f>
        <v/>
      </c>
    </row>
    <row r="299" spans="9:9" ht="7.35" customHeight="1">
      <c r="I299" s="74" t="str">
        <f>IF(AND($A299&lt;&gt;"",OR($A299&amp;""=PMIS_Home!$B$4&amp;"",$A299&amp;""="Campus")),MAX($I$4:I298)+1,"")</f>
        <v/>
      </c>
    </row>
    <row r="300" spans="9:9" ht="7.35" customHeight="1">
      <c r="I300" s="74" t="str">
        <f>IF(AND($A300&lt;&gt;"",OR($A300&amp;""=PMIS_Home!$B$4&amp;"",$A300&amp;""="Campus")),MAX($I$4:I299)+1,"")</f>
        <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D1758-5FBD-4B87-A4E3-CAD092EEC43D}">
  <dimension ref="A1:L300"/>
  <sheetViews>
    <sheetView showGridLines="0" workbookViewId="0"/>
  </sheetViews>
  <sheetFormatPr defaultColWidth="8.6640625" defaultRowHeight="14.4"/>
  <cols>
    <col min="1" max="1" width="14" style="8" customWidth="1"/>
    <col min="2" max="2" width="22" style="8" customWidth="1"/>
    <col min="3" max="3" width="36" style="8" customWidth="1"/>
    <col min="4" max="4" width="32" style="8" customWidth="1"/>
    <col min="5" max="5" width="18" style="8" customWidth="1"/>
    <col min="6" max="6" width="36" style="8" customWidth="1"/>
    <col min="7" max="7" width="20" style="8" customWidth="1"/>
    <col min="8" max="8" width="14" style="8" customWidth="1"/>
    <col min="9" max="9" width="10" style="8" customWidth="1"/>
    <col min="10" max="12" width="13" customWidth="1"/>
  </cols>
  <sheetData>
    <row r="1" spans="1:12" ht="11.25" customHeight="1">
      <c r="A1" s="14" t="s">
        <v>267</v>
      </c>
      <c r="B1" s="58"/>
      <c r="C1" s="58"/>
      <c r="D1" s="58"/>
      <c r="E1" s="58"/>
      <c r="F1" s="58"/>
      <c r="G1" s="58"/>
      <c r="H1" s="58"/>
      <c r="I1" s="58"/>
      <c r="J1" s="58"/>
      <c r="K1" s="58"/>
      <c r="L1" s="58"/>
    </row>
    <row r="2" spans="1:12" ht="67.5" customHeight="1">
      <c r="A2" s="15" t="s">
        <v>723</v>
      </c>
      <c r="B2" s="16"/>
      <c r="C2" s="16"/>
      <c r="D2" s="16"/>
      <c r="E2" s="16"/>
      <c r="F2" s="16"/>
      <c r="G2" s="16"/>
      <c r="H2" s="16"/>
      <c r="I2" s="16"/>
      <c r="J2" s="16"/>
      <c r="K2" s="16"/>
      <c r="L2" s="16"/>
    </row>
    <row r="4" spans="1:12" ht="13.5" customHeight="1">
      <c r="A4" s="48" t="s">
        <v>142</v>
      </c>
      <c r="B4" s="48" t="s">
        <v>268</v>
      </c>
      <c r="C4" s="48" t="s">
        <v>269</v>
      </c>
      <c r="D4" s="48" t="s">
        <v>270</v>
      </c>
      <c r="E4" s="48" t="s">
        <v>271</v>
      </c>
      <c r="F4" s="48" t="s">
        <v>272</v>
      </c>
      <c r="G4" s="48" t="s">
        <v>273</v>
      </c>
      <c r="H4" s="48" t="s">
        <v>263</v>
      </c>
      <c r="I4" s="75" t="s">
        <v>344</v>
      </c>
    </row>
    <row r="5" spans="1:12" ht="13.5" customHeight="1">
      <c r="A5" s="13"/>
      <c r="B5" s="13"/>
      <c r="C5" s="13"/>
      <c r="D5" s="13"/>
      <c r="E5" s="13"/>
      <c r="F5" s="13"/>
      <c r="G5" s="13"/>
      <c r="H5" s="13"/>
      <c r="I5" s="73" t="str">
        <f>IF(AND($A5&lt;&gt;"",$A5&amp;""=PMIS_Home!$B$4&amp;""),MAX($I$4:I4)+1,"")</f>
        <v/>
      </c>
    </row>
    <row r="6" spans="1:12" ht="13.5" customHeight="1">
      <c r="A6" s="13"/>
      <c r="B6" s="13"/>
      <c r="C6" s="13"/>
      <c r="D6" s="13"/>
      <c r="E6" s="13"/>
      <c r="F6" s="13"/>
      <c r="G6" s="13"/>
      <c r="H6" s="13"/>
      <c r="I6" s="73" t="str">
        <f>IF(AND($A6&lt;&gt;"",$A6&amp;""=PMIS_Home!$B$4&amp;""),MAX($I$4:I5)+1,"")</f>
        <v/>
      </c>
    </row>
    <row r="7" spans="1:12" ht="13.5" customHeight="1">
      <c r="A7" s="13"/>
      <c r="B7" s="13"/>
      <c r="C7" s="13"/>
      <c r="D7" s="13"/>
      <c r="E7" s="13"/>
      <c r="F7" s="13"/>
      <c r="G7" s="13"/>
      <c r="H7" s="13"/>
      <c r="I7" s="73" t="str">
        <f>IF(AND($A7&lt;&gt;"",$A7&amp;""=PMIS_Home!$B$4&amp;""),MAX($I$4:I6)+1,"")</f>
        <v/>
      </c>
    </row>
    <row r="8" spans="1:12" ht="13.5" customHeight="1">
      <c r="A8" s="13"/>
      <c r="B8" s="13"/>
      <c r="C8" s="13"/>
      <c r="D8" s="13"/>
      <c r="E8" s="13"/>
      <c r="F8" s="13"/>
      <c r="G8" s="13"/>
      <c r="H8" s="13"/>
      <c r="I8" s="73" t="str">
        <f>IF(AND($A8&lt;&gt;"",$A8&amp;""=PMIS_Home!$B$4&amp;""),MAX($I$4:I7)+1,"")</f>
        <v/>
      </c>
    </row>
    <row r="9" spans="1:12" ht="13.5" customHeight="1">
      <c r="A9" s="13"/>
      <c r="B9" s="13"/>
      <c r="C9" s="13"/>
      <c r="D9" s="13"/>
      <c r="E9" s="13"/>
      <c r="F9" s="13"/>
      <c r="G9" s="13"/>
      <c r="H9" s="13"/>
      <c r="I9" s="73" t="str">
        <f>IF(AND($A9&lt;&gt;"",$A9&amp;""=PMIS_Home!$B$4&amp;""),MAX($I$4:I8)+1,"")</f>
        <v/>
      </c>
    </row>
    <row r="10" spans="1:12" ht="13.5" customHeight="1">
      <c r="A10" s="13"/>
      <c r="B10" s="13"/>
      <c r="C10" s="13"/>
      <c r="D10" s="13"/>
      <c r="E10" s="13"/>
      <c r="F10" s="13"/>
      <c r="G10" s="13"/>
      <c r="H10" s="13"/>
      <c r="I10" s="73" t="str">
        <f>IF(AND($A10&lt;&gt;"",$A10&amp;""=PMIS_Home!$B$4&amp;""),MAX($I$4:I9)+1,"")</f>
        <v/>
      </c>
    </row>
    <row r="11" spans="1:12" ht="13.5" customHeight="1">
      <c r="A11" s="13"/>
      <c r="B11" s="13"/>
      <c r="C11" s="13"/>
      <c r="D11" s="13"/>
      <c r="E11" s="13"/>
      <c r="F11" s="13"/>
      <c r="G11" s="13"/>
      <c r="H11" s="13"/>
      <c r="I11" s="73" t="str">
        <f>IF(AND($A11&lt;&gt;"",$A11&amp;""=PMIS_Home!$B$4&amp;""),MAX($I$4:I10)+1,"")</f>
        <v/>
      </c>
    </row>
    <row r="12" spans="1:12" ht="13.5" customHeight="1">
      <c r="A12" s="13"/>
      <c r="B12" s="13"/>
      <c r="C12" s="13"/>
      <c r="D12" s="13"/>
      <c r="E12" s="13"/>
      <c r="F12" s="13"/>
      <c r="G12" s="13"/>
      <c r="H12" s="13"/>
      <c r="I12" s="73" t="str">
        <f>IF(AND($A12&lt;&gt;"",$A12&amp;""=PMIS_Home!$B$4&amp;""),MAX($I$4:I11)+1,"")</f>
        <v/>
      </c>
    </row>
    <row r="13" spans="1:12" ht="13.5" customHeight="1">
      <c r="A13" s="13"/>
      <c r="B13" s="13"/>
      <c r="C13" s="13"/>
      <c r="D13" s="13"/>
      <c r="E13" s="13"/>
      <c r="F13" s="13"/>
      <c r="G13" s="13"/>
      <c r="H13" s="13"/>
      <c r="I13" s="73" t="str">
        <f>IF(AND($A13&lt;&gt;"",$A13&amp;""=PMIS_Home!$B$4&amp;""),MAX($I$4:I12)+1,"")</f>
        <v/>
      </c>
    </row>
    <row r="14" spans="1:12" ht="13.5" customHeight="1">
      <c r="A14" s="13"/>
      <c r="B14" s="13"/>
      <c r="C14" s="13"/>
      <c r="D14" s="13"/>
      <c r="E14" s="13"/>
      <c r="F14" s="13"/>
      <c r="G14" s="13"/>
      <c r="H14" s="13"/>
      <c r="I14" s="73" t="str">
        <f>IF(AND($A14&lt;&gt;"",$A14&amp;""=PMIS_Home!$B$4&amp;""),MAX($I$4:I13)+1,"")</f>
        <v/>
      </c>
    </row>
    <row r="15" spans="1:12" ht="13.5" customHeight="1">
      <c r="A15" s="13"/>
      <c r="B15" s="13"/>
      <c r="C15" s="13"/>
      <c r="D15" s="13"/>
      <c r="E15" s="13"/>
      <c r="F15" s="13"/>
      <c r="G15" s="13"/>
      <c r="H15" s="13"/>
      <c r="I15" s="73" t="str">
        <f>IF(AND($A15&lt;&gt;"",$A15&amp;""=PMIS_Home!$B$4&amp;""),MAX($I$4:I14)+1,"")</f>
        <v/>
      </c>
    </row>
    <row r="16" spans="1:12" ht="13.5" customHeight="1">
      <c r="A16" s="13"/>
      <c r="B16" s="13"/>
      <c r="C16" s="13"/>
      <c r="D16" s="13"/>
      <c r="E16" s="13"/>
      <c r="F16" s="13"/>
      <c r="G16" s="13"/>
      <c r="H16" s="13"/>
      <c r="I16" s="73" t="str">
        <f>IF(AND($A16&lt;&gt;"",$A16&amp;""=PMIS_Home!$B$4&amp;""),MAX($I$4:I15)+1,"")</f>
        <v/>
      </c>
    </row>
    <row r="17" spans="1:9" ht="13.5" customHeight="1">
      <c r="A17" s="13"/>
      <c r="B17" s="13"/>
      <c r="C17" s="13"/>
      <c r="D17" s="13"/>
      <c r="E17" s="13"/>
      <c r="F17" s="13"/>
      <c r="G17" s="13"/>
      <c r="H17" s="13"/>
      <c r="I17" s="73" t="str">
        <f>IF(AND($A17&lt;&gt;"",$A17&amp;""=PMIS_Home!$B$4&amp;""),MAX($I$4:I16)+1,"")</f>
        <v/>
      </c>
    </row>
    <row r="18" spans="1:9" ht="13.5" customHeight="1">
      <c r="A18" s="13"/>
      <c r="B18" s="13"/>
      <c r="C18" s="13"/>
      <c r="D18" s="13"/>
      <c r="E18" s="13"/>
      <c r="F18" s="13"/>
      <c r="G18" s="13"/>
      <c r="H18" s="13"/>
      <c r="I18" s="73" t="str">
        <f>IF(AND($A18&lt;&gt;"",$A18&amp;""=PMIS_Home!$B$4&amp;""),MAX($I$4:I17)+1,"")</f>
        <v/>
      </c>
    </row>
    <row r="19" spans="1:9" ht="13.5" customHeight="1">
      <c r="A19" s="13"/>
      <c r="B19" s="13"/>
      <c r="C19" s="13"/>
      <c r="D19" s="13"/>
      <c r="E19" s="13"/>
      <c r="F19" s="13"/>
      <c r="G19" s="13"/>
      <c r="H19" s="13"/>
      <c r="I19" s="73" t="str">
        <f>IF(AND($A19&lt;&gt;"",$A19&amp;""=PMIS_Home!$B$4&amp;""),MAX($I$4:I18)+1,"")</f>
        <v/>
      </c>
    </row>
    <row r="20" spans="1:9" ht="13.5" customHeight="1">
      <c r="A20" s="13"/>
      <c r="B20" s="13"/>
      <c r="C20" s="13"/>
      <c r="D20" s="13"/>
      <c r="E20" s="13"/>
      <c r="F20" s="13"/>
      <c r="G20" s="13"/>
      <c r="H20" s="13"/>
      <c r="I20" s="73" t="str">
        <f>IF(AND($A20&lt;&gt;"",$A20&amp;""=PMIS_Home!$B$4&amp;""),MAX($I$4:I19)+1,"")</f>
        <v/>
      </c>
    </row>
    <row r="21" spans="1:9" ht="13.5" customHeight="1">
      <c r="A21" s="13"/>
      <c r="B21" s="13"/>
      <c r="C21" s="13"/>
      <c r="D21" s="13"/>
      <c r="E21" s="13"/>
      <c r="F21" s="13"/>
      <c r="G21" s="13"/>
      <c r="H21" s="13"/>
      <c r="I21" s="73" t="str">
        <f>IF(AND($A21&lt;&gt;"",$A21&amp;""=PMIS_Home!$B$4&amp;""),MAX($I$4:I20)+1,"")</f>
        <v/>
      </c>
    </row>
    <row r="22" spans="1:9" ht="13.5" customHeight="1">
      <c r="A22" s="13"/>
      <c r="B22" s="13"/>
      <c r="C22" s="13"/>
      <c r="D22" s="13"/>
      <c r="E22" s="13"/>
      <c r="F22" s="13"/>
      <c r="G22" s="13"/>
      <c r="H22" s="13"/>
      <c r="I22" s="73" t="str">
        <f>IF(AND($A22&lt;&gt;"",$A22&amp;""=PMIS_Home!$B$4&amp;""),MAX($I$4:I21)+1,"")</f>
        <v/>
      </c>
    </row>
    <row r="23" spans="1:9" ht="13.5" customHeight="1">
      <c r="A23" s="13"/>
      <c r="B23" s="13"/>
      <c r="C23" s="13"/>
      <c r="D23" s="13"/>
      <c r="E23" s="13"/>
      <c r="F23" s="13"/>
      <c r="G23" s="13"/>
      <c r="H23" s="13"/>
      <c r="I23" s="73" t="str">
        <f>IF(AND($A23&lt;&gt;"",$A23&amp;""=PMIS_Home!$B$4&amp;""),MAX($I$4:I22)+1,"")</f>
        <v/>
      </c>
    </row>
    <row r="24" spans="1:9" ht="13.5" customHeight="1">
      <c r="A24" s="13"/>
      <c r="B24" s="13"/>
      <c r="C24" s="13"/>
      <c r="D24" s="13"/>
      <c r="E24" s="13"/>
      <c r="F24" s="13"/>
      <c r="G24" s="13"/>
      <c r="H24" s="13"/>
      <c r="I24" s="73" t="str">
        <f>IF(AND($A24&lt;&gt;"",$A24&amp;""=PMIS_Home!$B$4&amp;""),MAX($I$4:I23)+1,"")</f>
        <v/>
      </c>
    </row>
    <row r="25" spans="1:9" ht="13.5" customHeight="1">
      <c r="A25" s="13"/>
      <c r="B25" s="13"/>
      <c r="C25" s="13"/>
      <c r="D25" s="13"/>
      <c r="E25" s="13"/>
      <c r="F25" s="13"/>
      <c r="G25" s="13"/>
      <c r="H25" s="13"/>
      <c r="I25" s="73" t="str">
        <f>IF(AND($A25&lt;&gt;"",$A25&amp;""=PMIS_Home!$B$4&amp;""),MAX($I$4:I24)+1,"")</f>
        <v/>
      </c>
    </row>
    <row r="26" spans="1:9" ht="13.5" customHeight="1">
      <c r="A26" s="13"/>
      <c r="B26" s="13"/>
      <c r="C26" s="13"/>
      <c r="D26" s="13"/>
      <c r="E26" s="13"/>
      <c r="F26" s="13"/>
      <c r="G26" s="13"/>
      <c r="H26" s="13"/>
      <c r="I26" s="73" t="str">
        <f>IF(AND($A26&lt;&gt;"",$A26&amp;""=PMIS_Home!$B$4&amp;""),MAX($I$4:I25)+1,"")</f>
        <v/>
      </c>
    </row>
    <row r="27" spans="1:9" ht="13.5" customHeight="1">
      <c r="A27" s="13"/>
      <c r="B27" s="13"/>
      <c r="C27" s="13"/>
      <c r="D27" s="13"/>
      <c r="E27" s="13"/>
      <c r="F27" s="13"/>
      <c r="G27" s="13"/>
      <c r="H27" s="13"/>
      <c r="I27" s="73" t="str">
        <f>IF(AND($A27&lt;&gt;"",$A27&amp;""=PMIS_Home!$B$4&amp;""),MAX($I$4:I26)+1,"")</f>
        <v/>
      </c>
    </row>
    <row r="28" spans="1:9" ht="13.5" customHeight="1">
      <c r="A28" s="13"/>
      <c r="B28" s="13"/>
      <c r="C28" s="13"/>
      <c r="D28" s="13"/>
      <c r="E28" s="13"/>
      <c r="F28" s="13"/>
      <c r="G28" s="13"/>
      <c r="H28" s="13"/>
      <c r="I28" s="73" t="str">
        <f>IF(AND($A28&lt;&gt;"",$A28&amp;""=PMIS_Home!$B$4&amp;""),MAX($I$4:I27)+1,"")</f>
        <v/>
      </c>
    </row>
    <row r="29" spans="1:9" ht="13.5" customHeight="1">
      <c r="A29" s="13"/>
      <c r="B29" s="13"/>
      <c r="C29" s="13"/>
      <c r="D29" s="13"/>
      <c r="E29" s="13"/>
      <c r="F29" s="13"/>
      <c r="G29" s="13"/>
      <c r="H29" s="13"/>
      <c r="I29" s="73" t="str">
        <f>IF(AND($A29&lt;&gt;"",$A29&amp;""=PMIS_Home!$B$4&amp;""),MAX($I$4:I28)+1,"")</f>
        <v/>
      </c>
    </row>
    <row r="30" spans="1:9" ht="13.5" customHeight="1">
      <c r="A30" s="13"/>
      <c r="B30" s="13"/>
      <c r="C30" s="13"/>
      <c r="D30" s="13"/>
      <c r="E30" s="13"/>
      <c r="F30" s="13"/>
      <c r="G30" s="13"/>
      <c r="H30" s="13"/>
      <c r="I30" s="73" t="str">
        <f>IF(AND($A30&lt;&gt;"",$A30&amp;""=PMIS_Home!$B$4&amp;""),MAX($I$4:I29)+1,"")</f>
        <v/>
      </c>
    </row>
    <row r="31" spans="1:9" ht="13.5" customHeight="1">
      <c r="A31" s="13"/>
      <c r="B31" s="13"/>
      <c r="C31" s="13"/>
      <c r="D31" s="13"/>
      <c r="E31" s="13"/>
      <c r="F31" s="13"/>
      <c r="G31" s="13"/>
      <c r="H31" s="13"/>
      <c r="I31" s="73" t="str">
        <f>IF(AND($A31&lt;&gt;"",$A31&amp;""=PMIS_Home!$B$4&amp;""),MAX($I$4:I30)+1,"")</f>
        <v/>
      </c>
    </row>
    <row r="32" spans="1:9" ht="13.5" customHeight="1">
      <c r="A32" s="13"/>
      <c r="B32" s="13"/>
      <c r="C32" s="13"/>
      <c r="D32" s="13"/>
      <c r="E32" s="13"/>
      <c r="F32" s="13"/>
      <c r="G32" s="13"/>
      <c r="H32" s="13"/>
      <c r="I32" s="73" t="str">
        <f>IF(AND($A32&lt;&gt;"",$A32&amp;""=PMIS_Home!$B$4&amp;""),MAX($I$4:I31)+1,"")</f>
        <v/>
      </c>
    </row>
    <row r="33" spans="1:9" ht="13.5" customHeight="1">
      <c r="A33" s="13"/>
      <c r="B33" s="13"/>
      <c r="C33" s="13"/>
      <c r="D33" s="13"/>
      <c r="E33" s="13"/>
      <c r="F33" s="13"/>
      <c r="G33" s="13"/>
      <c r="H33" s="13"/>
      <c r="I33" s="73" t="str">
        <f>IF(AND($A33&lt;&gt;"",$A33&amp;""=PMIS_Home!$B$4&amp;""),MAX($I$4:I32)+1,"")</f>
        <v/>
      </c>
    </row>
    <row r="34" spans="1:9" ht="13.5" customHeight="1">
      <c r="A34" s="13"/>
      <c r="B34" s="13"/>
      <c r="C34" s="13"/>
      <c r="D34" s="13"/>
      <c r="E34" s="13"/>
      <c r="F34" s="13"/>
      <c r="G34" s="13"/>
      <c r="H34" s="13"/>
      <c r="I34" s="73" t="str">
        <f>IF(AND($A34&lt;&gt;"",$A34&amp;""=PMIS_Home!$B$4&amp;""),MAX($I$4:I33)+1,"")</f>
        <v/>
      </c>
    </row>
    <row r="35" spans="1:9" ht="13.5" customHeight="1">
      <c r="A35" s="13"/>
      <c r="B35" s="13"/>
      <c r="C35" s="13"/>
      <c r="D35" s="13"/>
      <c r="E35" s="13"/>
      <c r="F35" s="13"/>
      <c r="G35" s="13"/>
      <c r="H35" s="13"/>
      <c r="I35" s="73" t="str">
        <f>IF(AND($A35&lt;&gt;"",$A35&amp;""=PMIS_Home!$B$4&amp;""),MAX($I$4:I34)+1,"")</f>
        <v/>
      </c>
    </row>
    <row r="36" spans="1:9" ht="13.5" customHeight="1">
      <c r="A36" s="13"/>
      <c r="B36" s="13"/>
      <c r="C36" s="13"/>
      <c r="D36" s="13"/>
      <c r="E36" s="13"/>
      <c r="F36" s="13"/>
      <c r="G36" s="13"/>
      <c r="H36" s="13"/>
      <c r="I36" s="73" t="str">
        <f>IF(AND($A36&lt;&gt;"",$A36&amp;""=PMIS_Home!$B$4&amp;""),MAX($I$4:I35)+1,"")</f>
        <v/>
      </c>
    </row>
    <row r="37" spans="1:9" ht="13.5" customHeight="1">
      <c r="A37" s="13"/>
      <c r="B37" s="13"/>
      <c r="C37" s="13"/>
      <c r="D37" s="13"/>
      <c r="E37" s="13"/>
      <c r="F37" s="13"/>
      <c r="G37" s="13"/>
      <c r="H37" s="13"/>
      <c r="I37" s="73" t="str">
        <f>IF(AND($A37&lt;&gt;"",$A37&amp;""=PMIS_Home!$B$4&amp;""),MAX($I$4:I36)+1,"")</f>
        <v/>
      </c>
    </row>
    <row r="38" spans="1:9" ht="13.5" customHeight="1">
      <c r="A38" s="13"/>
      <c r="B38" s="13"/>
      <c r="C38" s="13"/>
      <c r="D38" s="13"/>
      <c r="E38" s="13"/>
      <c r="F38" s="13"/>
      <c r="G38" s="13"/>
      <c r="H38" s="13"/>
      <c r="I38" s="73" t="str">
        <f>IF(AND($A38&lt;&gt;"",$A38&amp;""=PMIS_Home!$B$4&amp;""),MAX($I$4:I37)+1,"")</f>
        <v/>
      </c>
    </row>
    <row r="39" spans="1:9" ht="13.5" customHeight="1">
      <c r="A39" s="13"/>
      <c r="B39" s="13"/>
      <c r="C39" s="13"/>
      <c r="D39" s="13"/>
      <c r="E39" s="13"/>
      <c r="F39" s="13"/>
      <c r="G39" s="13"/>
      <c r="H39" s="13"/>
      <c r="I39" s="73" t="str">
        <f>IF(AND($A39&lt;&gt;"",$A39&amp;""=PMIS_Home!$B$4&amp;""),MAX($I$4:I38)+1,"")</f>
        <v/>
      </c>
    </row>
    <row r="40" spans="1:9" ht="13.5" customHeight="1">
      <c r="A40" s="13"/>
      <c r="B40" s="13"/>
      <c r="C40" s="13"/>
      <c r="D40" s="13"/>
      <c r="E40" s="13"/>
      <c r="F40" s="13"/>
      <c r="G40" s="13"/>
      <c r="H40" s="13"/>
      <c r="I40" s="73" t="str">
        <f>IF(AND($A40&lt;&gt;"",$A40&amp;""=PMIS_Home!$B$4&amp;""),MAX($I$4:I39)+1,"")</f>
        <v/>
      </c>
    </row>
    <row r="41" spans="1:9" ht="13.5" customHeight="1">
      <c r="A41" s="13"/>
      <c r="B41" s="13"/>
      <c r="C41" s="13"/>
      <c r="D41" s="13"/>
      <c r="E41" s="13"/>
      <c r="F41" s="13"/>
      <c r="G41" s="13"/>
      <c r="H41" s="13"/>
      <c r="I41" s="73" t="str">
        <f>IF(AND($A41&lt;&gt;"",$A41&amp;""=PMIS_Home!$B$4&amp;""),MAX($I$4:I40)+1,"")</f>
        <v/>
      </c>
    </row>
    <row r="42" spans="1:9" ht="13.5" customHeight="1">
      <c r="A42" s="13"/>
      <c r="B42" s="13"/>
      <c r="C42" s="13"/>
      <c r="D42" s="13"/>
      <c r="E42" s="13"/>
      <c r="F42" s="13"/>
      <c r="G42" s="13"/>
      <c r="H42" s="13"/>
      <c r="I42" s="73" t="str">
        <f>IF(AND($A42&lt;&gt;"",$A42&amp;""=PMIS_Home!$B$4&amp;""),MAX($I$4:I41)+1,"")</f>
        <v/>
      </c>
    </row>
    <row r="43" spans="1:9" ht="13.5" customHeight="1">
      <c r="A43" s="13"/>
      <c r="B43" s="13"/>
      <c r="C43" s="13"/>
      <c r="D43" s="13"/>
      <c r="E43" s="13"/>
      <c r="F43" s="13"/>
      <c r="G43" s="13"/>
      <c r="H43" s="13"/>
      <c r="I43" s="73" t="str">
        <f>IF(AND($A43&lt;&gt;"",$A43&amp;""=PMIS_Home!$B$4&amp;""),MAX($I$4:I42)+1,"")</f>
        <v/>
      </c>
    </row>
    <row r="44" spans="1:9" ht="13.5" customHeight="1">
      <c r="A44" s="13"/>
      <c r="B44" s="13"/>
      <c r="C44" s="13"/>
      <c r="D44" s="13"/>
      <c r="E44" s="13"/>
      <c r="F44" s="13"/>
      <c r="G44" s="13"/>
      <c r="H44" s="13"/>
      <c r="I44" s="73" t="str">
        <f>IF(AND($A44&lt;&gt;"",$A44&amp;""=PMIS_Home!$B$4&amp;""),MAX($I$4:I43)+1,"")</f>
        <v/>
      </c>
    </row>
    <row r="45" spans="1:9" ht="13.5" customHeight="1">
      <c r="A45" s="13"/>
      <c r="B45" s="13"/>
      <c r="C45" s="13"/>
      <c r="D45" s="13"/>
      <c r="E45" s="13"/>
      <c r="F45" s="13"/>
      <c r="G45" s="13"/>
      <c r="H45" s="13"/>
      <c r="I45" s="73" t="str">
        <f>IF(AND($A45&lt;&gt;"",$A45&amp;""=PMIS_Home!$B$4&amp;""),MAX($I$4:I44)+1,"")</f>
        <v/>
      </c>
    </row>
    <row r="46" spans="1:9" ht="13.5" customHeight="1">
      <c r="A46" s="13"/>
      <c r="B46" s="13"/>
      <c r="C46" s="13"/>
      <c r="D46" s="13"/>
      <c r="E46" s="13"/>
      <c r="F46" s="13"/>
      <c r="G46" s="13"/>
      <c r="H46" s="13"/>
      <c r="I46" s="73" t="str">
        <f>IF(AND($A46&lt;&gt;"",$A46&amp;""=PMIS_Home!$B$4&amp;""),MAX($I$4:I45)+1,"")</f>
        <v/>
      </c>
    </row>
    <row r="47" spans="1:9" ht="13.5" customHeight="1">
      <c r="A47" s="13"/>
      <c r="B47" s="13"/>
      <c r="C47" s="13"/>
      <c r="D47" s="13"/>
      <c r="E47" s="13"/>
      <c r="F47" s="13"/>
      <c r="G47" s="13"/>
      <c r="H47" s="13"/>
      <c r="I47" s="73" t="str">
        <f>IF(AND($A47&lt;&gt;"",$A47&amp;""=PMIS_Home!$B$4&amp;""),MAX($I$4:I46)+1,"")</f>
        <v/>
      </c>
    </row>
    <row r="48" spans="1:9" ht="13.5" customHeight="1">
      <c r="A48" s="13"/>
      <c r="B48" s="13"/>
      <c r="C48" s="13"/>
      <c r="D48" s="13"/>
      <c r="E48" s="13"/>
      <c r="F48" s="13"/>
      <c r="G48" s="13"/>
      <c r="H48" s="13"/>
      <c r="I48" s="73" t="str">
        <f>IF(AND($A48&lt;&gt;"",$A48&amp;""=PMIS_Home!$B$4&amp;""),MAX($I$4:I47)+1,"")</f>
        <v/>
      </c>
    </row>
    <row r="49" spans="1:9" ht="13.5" customHeight="1">
      <c r="A49" s="13"/>
      <c r="B49" s="13"/>
      <c r="C49" s="13"/>
      <c r="D49" s="13"/>
      <c r="E49" s="13"/>
      <c r="F49" s="13"/>
      <c r="G49" s="13"/>
      <c r="H49" s="13"/>
      <c r="I49" s="73" t="str">
        <f>IF(AND($A49&lt;&gt;"",$A49&amp;""=PMIS_Home!$B$4&amp;""),MAX($I$4:I48)+1,"")</f>
        <v/>
      </c>
    </row>
    <row r="50" spans="1:9" ht="13.5" customHeight="1">
      <c r="A50" s="13"/>
      <c r="B50" s="13"/>
      <c r="C50" s="13"/>
      <c r="D50" s="13"/>
      <c r="E50" s="13"/>
      <c r="F50" s="13"/>
      <c r="G50" s="13"/>
      <c r="H50" s="13"/>
      <c r="I50" s="73" t="str">
        <f>IF(AND($A50&lt;&gt;"",$A50&amp;""=PMIS_Home!$B$4&amp;""),MAX($I$4:I49)+1,"")</f>
        <v/>
      </c>
    </row>
    <row r="51" spans="1:9" ht="13.5" customHeight="1">
      <c r="A51" s="13"/>
      <c r="B51" s="13"/>
      <c r="C51" s="13"/>
      <c r="D51" s="13"/>
      <c r="E51" s="13"/>
      <c r="F51" s="13"/>
      <c r="G51" s="13"/>
      <c r="H51" s="13"/>
      <c r="I51" s="73" t="str">
        <f>IF(AND($A51&lt;&gt;"",$A51&amp;""=PMIS_Home!$B$4&amp;""),MAX($I$4:I50)+1,"")</f>
        <v/>
      </c>
    </row>
    <row r="52" spans="1:9" ht="13.5" customHeight="1">
      <c r="A52" s="13"/>
      <c r="B52" s="13"/>
      <c r="C52" s="13"/>
      <c r="D52" s="13"/>
      <c r="E52" s="13"/>
      <c r="F52" s="13"/>
      <c r="G52" s="13"/>
      <c r="H52" s="13"/>
      <c r="I52" s="73" t="str">
        <f>IF(AND($A52&lt;&gt;"",$A52&amp;""=PMIS_Home!$B$4&amp;""),MAX($I$4:I51)+1,"")</f>
        <v/>
      </c>
    </row>
    <row r="53" spans="1:9" ht="13.5" customHeight="1">
      <c r="A53" s="13"/>
      <c r="B53" s="13"/>
      <c r="C53" s="13"/>
      <c r="D53" s="13"/>
      <c r="E53" s="13"/>
      <c r="F53" s="13"/>
      <c r="G53" s="13"/>
      <c r="H53" s="13"/>
      <c r="I53" s="73" t="str">
        <f>IF(AND($A53&lt;&gt;"",$A53&amp;""=PMIS_Home!$B$4&amp;""),MAX($I$4:I52)+1,"")</f>
        <v/>
      </c>
    </row>
    <row r="54" spans="1:9" ht="13.5" customHeight="1">
      <c r="A54" s="13"/>
      <c r="B54" s="13"/>
      <c r="C54" s="13"/>
      <c r="D54" s="13"/>
      <c r="E54" s="13"/>
      <c r="F54" s="13"/>
      <c r="G54" s="13"/>
      <c r="H54" s="13"/>
      <c r="I54" s="73" t="str">
        <f>IF(AND($A54&lt;&gt;"",$A54&amp;""=PMIS_Home!$B$4&amp;""),MAX($I$4:I53)+1,"")</f>
        <v/>
      </c>
    </row>
    <row r="55" spans="1:9" ht="13.5" customHeight="1">
      <c r="A55" s="13"/>
      <c r="B55" s="13"/>
      <c r="C55" s="13"/>
      <c r="D55" s="13"/>
      <c r="E55" s="13"/>
      <c r="F55" s="13"/>
      <c r="G55" s="13"/>
      <c r="H55" s="13"/>
      <c r="I55" s="73" t="str">
        <f>IF(AND($A55&lt;&gt;"",$A55&amp;""=PMIS_Home!$B$4&amp;""),MAX($I$4:I54)+1,"")</f>
        <v/>
      </c>
    </row>
    <row r="56" spans="1:9" ht="13.5" customHeight="1">
      <c r="A56" s="13"/>
      <c r="B56" s="13"/>
      <c r="C56" s="13"/>
      <c r="D56" s="13"/>
      <c r="E56" s="13"/>
      <c r="F56" s="13"/>
      <c r="G56" s="13"/>
      <c r="H56" s="13"/>
      <c r="I56" s="73" t="str">
        <f>IF(AND($A56&lt;&gt;"",$A56&amp;""=PMIS_Home!$B$4&amp;""),MAX($I$4:I55)+1,"")</f>
        <v/>
      </c>
    </row>
    <row r="57" spans="1:9" ht="13.5" customHeight="1">
      <c r="A57" s="13"/>
      <c r="B57" s="13"/>
      <c r="C57" s="13"/>
      <c r="D57" s="13"/>
      <c r="E57" s="13"/>
      <c r="F57" s="13"/>
      <c r="G57" s="13"/>
      <c r="H57" s="13"/>
      <c r="I57" s="73" t="str">
        <f>IF(AND($A57&lt;&gt;"",$A57&amp;""=PMIS_Home!$B$4&amp;""),MAX($I$4:I56)+1,"")</f>
        <v/>
      </c>
    </row>
    <row r="58" spans="1:9" ht="13.5" customHeight="1">
      <c r="A58" s="13"/>
      <c r="B58" s="13"/>
      <c r="C58" s="13"/>
      <c r="D58" s="13"/>
      <c r="E58" s="13"/>
      <c r="F58" s="13"/>
      <c r="G58" s="13"/>
      <c r="H58" s="13"/>
      <c r="I58" s="73" t="str">
        <f>IF(AND($A58&lt;&gt;"",$A58&amp;""=PMIS_Home!$B$4&amp;""),MAX($I$4:I57)+1,"")</f>
        <v/>
      </c>
    </row>
    <row r="59" spans="1:9" ht="13.5" customHeight="1">
      <c r="A59" s="13"/>
      <c r="B59" s="13"/>
      <c r="C59" s="13"/>
      <c r="D59" s="13"/>
      <c r="E59" s="13"/>
      <c r="F59" s="13"/>
      <c r="G59" s="13"/>
      <c r="H59" s="13"/>
      <c r="I59" s="73" t="str">
        <f>IF(AND($A59&lt;&gt;"",$A59&amp;""=PMIS_Home!$B$4&amp;""),MAX($I$4:I58)+1,"")</f>
        <v/>
      </c>
    </row>
    <row r="60" spans="1:9" ht="13.5" customHeight="1">
      <c r="A60" s="13"/>
      <c r="B60" s="13"/>
      <c r="C60" s="13"/>
      <c r="D60" s="13"/>
      <c r="E60" s="13"/>
      <c r="F60" s="13"/>
      <c r="G60" s="13"/>
      <c r="H60" s="13"/>
      <c r="I60" s="73" t="str">
        <f>IF(AND($A60&lt;&gt;"",$A60&amp;""=PMIS_Home!$B$4&amp;""),MAX($I$4:I59)+1,"")</f>
        <v/>
      </c>
    </row>
    <row r="61" spans="1:9" ht="13.5" customHeight="1">
      <c r="A61" s="13"/>
      <c r="B61" s="13"/>
      <c r="C61" s="13"/>
      <c r="D61" s="13"/>
      <c r="E61" s="13"/>
      <c r="F61" s="13"/>
      <c r="G61" s="13"/>
      <c r="H61" s="13"/>
      <c r="I61" s="73" t="str">
        <f>IF(AND($A61&lt;&gt;"",$A61&amp;""=PMIS_Home!$B$4&amp;""),MAX($I$4:I60)+1,"")</f>
        <v/>
      </c>
    </row>
    <row r="62" spans="1:9" ht="13.5" customHeight="1">
      <c r="A62" s="13"/>
      <c r="B62" s="13"/>
      <c r="C62" s="13"/>
      <c r="D62" s="13"/>
      <c r="E62" s="13"/>
      <c r="F62" s="13"/>
      <c r="G62" s="13"/>
      <c r="H62" s="13"/>
      <c r="I62" s="73" t="str">
        <f>IF(AND($A62&lt;&gt;"",$A62&amp;""=PMIS_Home!$B$4&amp;""),MAX($I$4:I61)+1,"")</f>
        <v/>
      </c>
    </row>
    <row r="63" spans="1:9" ht="13.5" customHeight="1">
      <c r="A63" s="13"/>
      <c r="B63" s="13"/>
      <c r="C63" s="13"/>
      <c r="D63" s="13"/>
      <c r="E63" s="13"/>
      <c r="F63" s="13"/>
      <c r="G63" s="13"/>
      <c r="H63" s="13"/>
      <c r="I63" s="73" t="str">
        <f>IF(AND($A63&lt;&gt;"",$A63&amp;""=PMIS_Home!$B$4&amp;""),MAX($I$4:I62)+1,"")</f>
        <v/>
      </c>
    </row>
    <row r="64" spans="1:9" ht="13.5" customHeight="1">
      <c r="A64" s="13"/>
      <c r="B64" s="13"/>
      <c r="C64" s="13"/>
      <c r="D64" s="13"/>
      <c r="E64" s="13"/>
      <c r="F64" s="13"/>
      <c r="G64" s="13"/>
      <c r="H64" s="13"/>
      <c r="I64" s="73" t="str">
        <f>IF(AND($A64&lt;&gt;"",$A64&amp;""=PMIS_Home!$B$4&amp;""),MAX($I$4:I63)+1,"")</f>
        <v/>
      </c>
    </row>
    <row r="65" spans="1:9" ht="13.5" customHeight="1">
      <c r="A65" s="13"/>
      <c r="B65" s="13"/>
      <c r="C65" s="13"/>
      <c r="D65" s="13"/>
      <c r="E65" s="13"/>
      <c r="F65" s="13"/>
      <c r="G65" s="13"/>
      <c r="H65" s="13"/>
      <c r="I65" s="73" t="str">
        <f>IF(AND($A65&lt;&gt;"",$A65&amp;""=PMIS_Home!$B$4&amp;""),MAX($I$4:I64)+1,"")</f>
        <v/>
      </c>
    </row>
    <row r="66" spans="1:9" ht="13.5" customHeight="1">
      <c r="A66" s="13"/>
      <c r="B66" s="13"/>
      <c r="C66" s="13"/>
      <c r="D66" s="13"/>
      <c r="E66" s="13"/>
      <c r="F66" s="13"/>
      <c r="G66" s="13"/>
      <c r="H66" s="13"/>
      <c r="I66" s="73" t="str">
        <f>IF(AND($A66&lt;&gt;"",$A66&amp;""=PMIS_Home!$B$4&amp;""),MAX($I$4:I65)+1,"")</f>
        <v/>
      </c>
    </row>
    <row r="67" spans="1:9" ht="13.5" customHeight="1">
      <c r="A67" s="13"/>
      <c r="B67" s="13"/>
      <c r="C67" s="13"/>
      <c r="D67" s="13"/>
      <c r="E67" s="13"/>
      <c r="F67" s="13"/>
      <c r="G67" s="13"/>
      <c r="H67" s="13"/>
      <c r="I67" s="73" t="str">
        <f>IF(AND($A67&lt;&gt;"",$A67&amp;""=PMIS_Home!$B$4&amp;""),MAX($I$4:I66)+1,"")</f>
        <v/>
      </c>
    </row>
    <row r="68" spans="1:9" ht="13.5" customHeight="1">
      <c r="A68" s="13"/>
      <c r="B68" s="13"/>
      <c r="C68" s="13"/>
      <c r="D68" s="13"/>
      <c r="E68" s="13"/>
      <c r="F68" s="13"/>
      <c r="G68" s="13"/>
      <c r="H68" s="13"/>
      <c r="I68" s="73" t="str">
        <f>IF(AND($A68&lt;&gt;"",$A68&amp;""=PMIS_Home!$B$4&amp;""),MAX($I$4:I67)+1,"")</f>
        <v/>
      </c>
    </row>
    <row r="69" spans="1:9" ht="13.5" customHeight="1">
      <c r="A69" s="13"/>
      <c r="B69" s="13"/>
      <c r="C69" s="13"/>
      <c r="D69" s="13"/>
      <c r="E69" s="13"/>
      <c r="F69" s="13"/>
      <c r="G69" s="13"/>
      <c r="H69" s="13"/>
      <c r="I69" s="73" t="str">
        <f>IF(AND($A69&lt;&gt;"",$A69&amp;""=PMIS_Home!$B$4&amp;""),MAX($I$4:I68)+1,"")</f>
        <v/>
      </c>
    </row>
    <row r="70" spans="1:9" ht="13.5" customHeight="1">
      <c r="A70" s="13"/>
      <c r="B70" s="13"/>
      <c r="C70" s="13"/>
      <c r="D70" s="13"/>
      <c r="E70" s="13"/>
      <c r="F70" s="13"/>
      <c r="G70" s="13"/>
      <c r="H70" s="13"/>
      <c r="I70" s="73" t="str">
        <f>IF(AND($A70&lt;&gt;"",$A70&amp;""=PMIS_Home!$B$4&amp;""),MAX($I$4:I69)+1,"")</f>
        <v/>
      </c>
    </row>
    <row r="71" spans="1:9" ht="13.5" customHeight="1">
      <c r="A71" s="13"/>
      <c r="B71" s="13"/>
      <c r="C71" s="13"/>
      <c r="D71" s="13"/>
      <c r="E71" s="13"/>
      <c r="F71" s="13"/>
      <c r="G71" s="13"/>
      <c r="H71" s="13"/>
      <c r="I71" s="73" t="str">
        <f>IF(AND($A71&lt;&gt;"",$A71&amp;""=PMIS_Home!$B$4&amp;""),MAX($I$4:I70)+1,"")</f>
        <v/>
      </c>
    </row>
    <row r="72" spans="1:9" ht="13.5" customHeight="1">
      <c r="A72" s="13"/>
      <c r="B72" s="13"/>
      <c r="C72" s="13"/>
      <c r="D72" s="13"/>
      <c r="E72" s="13"/>
      <c r="F72" s="13"/>
      <c r="G72" s="13"/>
      <c r="H72" s="13"/>
      <c r="I72" s="73" t="str">
        <f>IF(AND($A72&lt;&gt;"",$A72&amp;""=PMIS_Home!$B$4&amp;""),MAX($I$4:I71)+1,"")</f>
        <v/>
      </c>
    </row>
    <row r="73" spans="1:9" ht="13.5" customHeight="1">
      <c r="A73" s="13"/>
      <c r="B73" s="13"/>
      <c r="C73" s="13"/>
      <c r="D73" s="13"/>
      <c r="E73" s="13"/>
      <c r="F73" s="13"/>
      <c r="G73" s="13"/>
      <c r="H73" s="13"/>
      <c r="I73" s="73" t="str">
        <f>IF(AND($A73&lt;&gt;"",$A73&amp;""=PMIS_Home!$B$4&amp;""),MAX($I$4:I72)+1,"")</f>
        <v/>
      </c>
    </row>
    <row r="74" spans="1:9" ht="13.5" customHeight="1">
      <c r="A74" s="13"/>
      <c r="B74" s="13"/>
      <c r="C74" s="13"/>
      <c r="D74" s="13"/>
      <c r="E74" s="13"/>
      <c r="F74" s="13"/>
      <c r="G74" s="13"/>
      <c r="H74" s="13"/>
      <c r="I74" s="73" t="str">
        <f>IF(AND($A74&lt;&gt;"",$A74&amp;""=PMIS_Home!$B$4&amp;""),MAX($I$4:I73)+1,"")</f>
        <v/>
      </c>
    </row>
    <row r="75" spans="1:9" ht="13.5" customHeight="1">
      <c r="A75" s="13"/>
      <c r="B75" s="13"/>
      <c r="C75" s="13"/>
      <c r="D75" s="13"/>
      <c r="E75" s="13"/>
      <c r="F75" s="13"/>
      <c r="G75" s="13"/>
      <c r="H75" s="13"/>
      <c r="I75" s="73" t="str">
        <f>IF(AND($A75&lt;&gt;"",$A75&amp;""=PMIS_Home!$B$4&amp;""),MAX($I$4:I74)+1,"")</f>
        <v/>
      </c>
    </row>
    <row r="76" spans="1:9" ht="13.5" customHeight="1">
      <c r="A76" s="13"/>
      <c r="B76" s="13"/>
      <c r="C76" s="13"/>
      <c r="D76" s="13"/>
      <c r="E76" s="13"/>
      <c r="F76" s="13"/>
      <c r="G76" s="13"/>
      <c r="H76" s="13"/>
      <c r="I76" s="73" t="str">
        <f>IF(AND($A76&lt;&gt;"",$A76&amp;""=PMIS_Home!$B$4&amp;""),MAX($I$4:I75)+1,"")</f>
        <v/>
      </c>
    </row>
    <row r="77" spans="1:9" ht="13.5" customHeight="1">
      <c r="A77" s="13"/>
      <c r="B77" s="13"/>
      <c r="C77" s="13"/>
      <c r="D77" s="13"/>
      <c r="E77" s="13"/>
      <c r="F77" s="13"/>
      <c r="G77" s="13"/>
      <c r="H77" s="13"/>
      <c r="I77" s="73" t="str">
        <f>IF(AND($A77&lt;&gt;"",$A77&amp;""=PMIS_Home!$B$4&amp;""),MAX($I$4:I76)+1,"")</f>
        <v/>
      </c>
    </row>
    <row r="78" spans="1:9" ht="13.5" customHeight="1">
      <c r="A78" s="13"/>
      <c r="B78" s="13"/>
      <c r="C78" s="13"/>
      <c r="D78" s="13"/>
      <c r="E78" s="13"/>
      <c r="F78" s="13"/>
      <c r="G78" s="13"/>
      <c r="H78" s="13"/>
      <c r="I78" s="73" t="str">
        <f>IF(AND($A78&lt;&gt;"",$A78&amp;""=PMIS_Home!$B$4&amp;""),MAX($I$4:I77)+1,"")</f>
        <v/>
      </c>
    </row>
    <row r="79" spans="1:9" ht="13.5" customHeight="1">
      <c r="A79" s="13"/>
      <c r="B79" s="13"/>
      <c r="C79" s="13"/>
      <c r="D79" s="13"/>
      <c r="E79" s="13"/>
      <c r="F79" s="13"/>
      <c r="G79" s="13"/>
      <c r="H79" s="13"/>
      <c r="I79" s="73" t="str">
        <f>IF(AND($A79&lt;&gt;"",$A79&amp;""=PMIS_Home!$B$4&amp;""),MAX($I$4:I78)+1,"")</f>
        <v/>
      </c>
    </row>
    <row r="80" spans="1:9" ht="13.5" customHeight="1">
      <c r="A80" s="13"/>
      <c r="B80" s="13"/>
      <c r="C80" s="13"/>
      <c r="D80" s="13"/>
      <c r="E80" s="13"/>
      <c r="F80" s="13"/>
      <c r="G80" s="13"/>
      <c r="H80" s="13"/>
      <c r="I80" s="73" t="str">
        <f>IF(AND($A80&lt;&gt;"",$A80&amp;""=PMIS_Home!$B$4&amp;""),MAX($I$4:I79)+1,"")</f>
        <v/>
      </c>
    </row>
    <row r="81" spans="1:9" ht="13.5" customHeight="1">
      <c r="A81" s="13"/>
      <c r="B81" s="13"/>
      <c r="C81" s="13"/>
      <c r="D81" s="13"/>
      <c r="E81" s="13"/>
      <c r="F81" s="13"/>
      <c r="G81" s="13"/>
      <c r="H81" s="13"/>
      <c r="I81" s="73" t="str">
        <f>IF(AND($A81&lt;&gt;"",$A81&amp;""=PMIS_Home!$B$4&amp;""),MAX($I$4:I80)+1,"")</f>
        <v/>
      </c>
    </row>
    <row r="82" spans="1:9" ht="13.5" customHeight="1">
      <c r="A82" s="13"/>
      <c r="B82" s="13"/>
      <c r="C82" s="13"/>
      <c r="D82" s="13"/>
      <c r="E82" s="13"/>
      <c r="F82" s="13"/>
      <c r="G82" s="13"/>
      <c r="H82" s="13"/>
      <c r="I82" s="73" t="str">
        <f>IF(AND($A82&lt;&gt;"",$A82&amp;""=PMIS_Home!$B$4&amp;""),MAX($I$4:I81)+1,"")</f>
        <v/>
      </c>
    </row>
    <row r="83" spans="1:9" ht="13.5" customHeight="1">
      <c r="A83" s="13"/>
      <c r="B83" s="13"/>
      <c r="C83" s="13"/>
      <c r="D83" s="13"/>
      <c r="E83" s="13"/>
      <c r="F83" s="13"/>
      <c r="G83" s="13"/>
      <c r="H83" s="13"/>
      <c r="I83" s="73" t="str">
        <f>IF(AND($A83&lt;&gt;"",$A83&amp;""=PMIS_Home!$B$4&amp;""),MAX($I$4:I82)+1,"")</f>
        <v/>
      </c>
    </row>
    <row r="84" spans="1:9" ht="13.5" customHeight="1">
      <c r="A84" s="13"/>
      <c r="B84" s="13"/>
      <c r="C84" s="13"/>
      <c r="D84" s="13"/>
      <c r="E84" s="13"/>
      <c r="F84" s="13"/>
      <c r="G84" s="13"/>
      <c r="H84" s="13"/>
      <c r="I84" s="73" t="str">
        <f>IF(AND($A84&lt;&gt;"",$A84&amp;""=PMIS_Home!$B$4&amp;""),MAX($I$4:I83)+1,"")</f>
        <v/>
      </c>
    </row>
    <row r="85" spans="1:9" ht="13.5" customHeight="1">
      <c r="A85" s="13"/>
      <c r="B85" s="13"/>
      <c r="C85" s="13"/>
      <c r="D85" s="13"/>
      <c r="E85" s="13"/>
      <c r="F85" s="13"/>
      <c r="G85" s="13"/>
      <c r="H85" s="13"/>
      <c r="I85" s="73" t="str">
        <f>IF(AND($A85&lt;&gt;"",$A85&amp;""=PMIS_Home!$B$4&amp;""),MAX($I$4:I84)+1,"")</f>
        <v/>
      </c>
    </row>
    <row r="86" spans="1:9" ht="13.5" customHeight="1">
      <c r="A86" s="13"/>
      <c r="B86" s="13"/>
      <c r="C86" s="13"/>
      <c r="D86" s="13"/>
      <c r="E86" s="13"/>
      <c r="F86" s="13"/>
      <c r="G86" s="13"/>
      <c r="H86" s="13"/>
      <c r="I86" s="73" t="str">
        <f>IF(AND($A86&lt;&gt;"",$A86&amp;""=PMIS_Home!$B$4&amp;""),MAX($I$4:I85)+1,"")</f>
        <v/>
      </c>
    </row>
    <row r="87" spans="1:9" ht="13.5" customHeight="1">
      <c r="A87" s="13"/>
      <c r="B87" s="13"/>
      <c r="C87" s="13"/>
      <c r="D87" s="13"/>
      <c r="E87" s="13"/>
      <c r="F87" s="13"/>
      <c r="G87" s="13"/>
      <c r="H87" s="13"/>
      <c r="I87" s="73" t="str">
        <f>IF(AND($A87&lt;&gt;"",$A87&amp;""=PMIS_Home!$B$4&amp;""),MAX($I$4:I86)+1,"")</f>
        <v/>
      </c>
    </row>
    <row r="88" spans="1:9" ht="13.5" customHeight="1">
      <c r="A88" s="13"/>
      <c r="B88" s="13"/>
      <c r="C88" s="13"/>
      <c r="D88" s="13"/>
      <c r="E88" s="13"/>
      <c r="F88" s="13"/>
      <c r="G88" s="13"/>
      <c r="H88" s="13"/>
      <c r="I88" s="73" t="str">
        <f>IF(AND($A88&lt;&gt;"",$A88&amp;""=PMIS_Home!$B$4&amp;""),MAX($I$4:I87)+1,"")</f>
        <v/>
      </c>
    </row>
    <row r="89" spans="1:9" ht="13.5" customHeight="1">
      <c r="A89" s="13"/>
      <c r="B89" s="13"/>
      <c r="C89" s="13"/>
      <c r="D89" s="13"/>
      <c r="E89" s="13"/>
      <c r="F89" s="13"/>
      <c r="G89" s="13"/>
      <c r="H89" s="13"/>
      <c r="I89" s="73" t="str">
        <f>IF(AND($A89&lt;&gt;"",$A89&amp;""=PMIS_Home!$B$4&amp;""),MAX($I$4:I88)+1,"")</f>
        <v/>
      </c>
    </row>
    <row r="90" spans="1:9" ht="13.5" customHeight="1">
      <c r="A90" s="13"/>
      <c r="B90" s="13"/>
      <c r="C90" s="13"/>
      <c r="D90" s="13"/>
      <c r="E90" s="13"/>
      <c r="F90" s="13"/>
      <c r="G90" s="13"/>
      <c r="H90" s="13"/>
      <c r="I90" s="73" t="str">
        <f>IF(AND($A90&lt;&gt;"",$A90&amp;""=PMIS_Home!$B$4&amp;""),MAX($I$4:I89)+1,"")</f>
        <v/>
      </c>
    </row>
    <row r="91" spans="1:9" ht="13.5" customHeight="1">
      <c r="A91" s="13"/>
      <c r="B91" s="13"/>
      <c r="C91" s="13"/>
      <c r="D91" s="13"/>
      <c r="E91" s="13"/>
      <c r="F91" s="13"/>
      <c r="G91" s="13"/>
      <c r="H91" s="13"/>
      <c r="I91" s="73" t="str">
        <f>IF(AND($A91&lt;&gt;"",$A91&amp;""=PMIS_Home!$B$4&amp;""),MAX($I$4:I90)+1,"")</f>
        <v/>
      </c>
    </row>
    <row r="92" spans="1:9" ht="13.5" customHeight="1">
      <c r="A92" s="13"/>
      <c r="B92" s="13"/>
      <c r="C92" s="13"/>
      <c r="D92" s="13"/>
      <c r="E92" s="13"/>
      <c r="F92" s="13"/>
      <c r="G92" s="13"/>
      <c r="H92" s="13"/>
      <c r="I92" s="73" t="str">
        <f>IF(AND($A92&lt;&gt;"",$A92&amp;""=PMIS_Home!$B$4&amp;""),MAX($I$4:I91)+1,"")</f>
        <v/>
      </c>
    </row>
    <row r="93" spans="1:9" ht="13.5" customHeight="1">
      <c r="A93" s="13"/>
      <c r="B93" s="13"/>
      <c r="C93" s="13"/>
      <c r="D93" s="13"/>
      <c r="E93" s="13"/>
      <c r="F93" s="13"/>
      <c r="G93" s="13"/>
      <c r="H93" s="13"/>
      <c r="I93" s="73" t="str">
        <f>IF(AND($A93&lt;&gt;"",$A93&amp;""=PMIS_Home!$B$4&amp;""),MAX($I$4:I92)+1,"")</f>
        <v/>
      </c>
    </row>
    <row r="94" spans="1:9" ht="13.5" customHeight="1">
      <c r="A94" s="13"/>
      <c r="B94" s="13"/>
      <c r="C94" s="13"/>
      <c r="D94" s="13"/>
      <c r="E94" s="13"/>
      <c r="F94" s="13"/>
      <c r="G94" s="13"/>
      <c r="H94" s="13"/>
      <c r="I94" s="73" t="str">
        <f>IF(AND($A94&lt;&gt;"",$A94&amp;""=PMIS_Home!$B$4&amp;""),MAX($I$4:I93)+1,"")</f>
        <v/>
      </c>
    </row>
    <row r="95" spans="1:9" ht="13.5" customHeight="1">
      <c r="A95" s="13"/>
      <c r="B95" s="13"/>
      <c r="C95" s="13"/>
      <c r="D95" s="13"/>
      <c r="E95" s="13"/>
      <c r="F95" s="13"/>
      <c r="G95" s="13"/>
      <c r="H95" s="13"/>
      <c r="I95" s="73" t="str">
        <f>IF(AND($A95&lt;&gt;"",$A95&amp;""=PMIS_Home!$B$4&amp;""),MAX($I$4:I94)+1,"")</f>
        <v/>
      </c>
    </row>
    <row r="96" spans="1:9" ht="13.5" customHeight="1">
      <c r="A96" s="13"/>
      <c r="B96" s="13"/>
      <c r="C96" s="13"/>
      <c r="D96" s="13"/>
      <c r="E96" s="13"/>
      <c r="F96" s="13"/>
      <c r="G96" s="13"/>
      <c r="H96" s="13"/>
      <c r="I96" s="73" t="str">
        <f>IF(AND($A96&lt;&gt;"",$A96&amp;""=PMIS_Home!$B$4&amp;""),MAX($I$4:I95)+1,"")</f>
        <v/>
      </c>
    </row>
    <row r="97" spans="1:9" ht="13.5" customHeight="1">
      <c r="A97" s="13"/>
      <c r="B97" s="13"/>
      <c r="C97" s="13"/>
      <c r="D97" s="13"/>
      <c r="E97" s="13"/>
      <c r="F97" s="13"/>
      <c r="G97" s="13"/>
      <c r="H97" s="13"/>
      <c r="I97" s="73" t="str">
        <f>IF(AND($A97&lt;&gt;"",$A97&amp;""=PMIS_Home!$B$4&amp;""),MAX($I$4:I96)+1,"")</f>
        <v/>
      </c>
    </row>
    <row r="98" spans="1:9" ht="13.5" customHeight="1">
      <c r="A98" s="13"/>
      <c r="B98" s="13"/>
      <c r="C98" s="13"/>
      <c r="D98" s="13"/>
      <c r="E98" s="13"/>
      <c r="F98" s="13"/>
      <c r="G98" s="13"/>
      <c r="H98" s="13"/>
      <c r="I98" s="73" t="str">
        <f>IF(AND($A98&lt;&gt;"",$A98&amp;""=PMIS_Home!$B$4&amp;""),MAX($I$4:I97)+1,"")</f>
        <v/>
      </c>
    </row>
    <row r="99" spans="1:9" ht="13.5" customHeight="1">
      <c r="A99" s="13"/>
      <c r="B99" s="13"/>
      <c r="C99" s="13"/>
      <c r="D99" s="13"/>
      <c r="E99" s="13"/>
      <c r="F99" s="13"/>
      <c r="G99" s="13"/>
      <c r="H99" s="13"/>
      <c r="I99" s="73" t="str">
        <f>IF(AND($A99&lt;&gt;"",$A99&amp;""=PMIS_Home!$B$4&amp;""),MAX($I$4:I98)+1,"")</f>
        <v/>
      </c>
    </row>
    <row r="100" spans="1:9" ht="13.5" customHeight="1">
      <c r="A100" s="13"/>
      <c r="B100" s="13"/>
      <c r="C100" s="13"/>
      <c r="D100" s="13"/>
      <c r="E100" s="13"/>
      <c r="F100" s="13"/>
      <c r="G100" s="13"/>
      <c r="H100" s="13"/>
      <c r="I100" s="73" t="str">
        <f>IF(AND($A100&lt;&gt;"",$A100&amp;""=PMIS_Home!$B$4&amp;""),MAX($I$4:I99)+1,"")</f>
        <v/>
      </c>
    </row>
    <row r="101" spans="1:9" ht="13.5" customHeight="1">
      <c r="A101" s="13"/>
      <c r="B101" s="13"/>
      <c r="C101" s="13"/>
      <c r="D101" s="13"/>
      <c r="E101" s="13"/>
      <c r="F101" s="13"/>
      <c r="G101" s="13"/>
      <c r="H101" s="13"/>
      <c r="I101" s="73" t="str">
        <f>IF(AND($A101&lt;&gt;"",$A101&amp;""=PMIS_Home!$B$4&amp;""),MAX($I$4:I100)+1,"")</f>
        <v/>
      </c>
    </row>
    <row r="102" spans="1:9" ht="13.5" customHeight="1">
      <c r="A102" s="13"/>
      <c r="B102" s="13"/>
      <c r="C102" s="13"/>
      <c r="D102" s="13"/>
      <c r="E102" s="13"/>
      <c r="F102" s="13"/>
      <c r="G102" s="13"/>
      <c r="H102" s="13"/>
      <c r="I102" s="73" t="str">
        <f>IF(AND($A102&lt;&gt;"",$A102&amp;""=PMIS_Home!$B$4&amp;""),MAX($I$4:I101)+1,"")</f>
        <v/>
      </c>
    </row>
    <row r="103" spans="1:9" ht="13.5" customHeight="1">
      <c r="A103" s="13"/>
      <c r="B103" s="13"/>
      <c r="C103" s="13"/>
      <c r="D103" s="13"/>
      <c r="E103" s="13"/>
      <c r="F103" s="13"/>
      <c r="G103" s="13"/>
      <c r="H103" s="13"/>
      <c r="I103" s="73" t="str">
        <f>IF(AND($A103&lt;&gt;"",$A103&amp;""=PMIS_Home!$B$4&amp;""),MAX($I$4:I102)+1,"")</f>
        <v/>
      </c>
    </row>
    <row r="104" spans="1:9" ht="13.5" customHeight="1">
      <c r="A104" s="13"/>
      <c r="B104" s="13"/>
      <c r="C104" s="13"/>
      <c r="D104" s="13"/>
      <c r="E104" s="13"/>
      <c r="F104" s="13"/>
      <c r="G104" s="13"/>
      <c r="H104" s="13"/>
      <c r="I104" s="73" t="str">
        <f>IF(AND($A104&lt;&gt;"",$A104&amp;""=PMIS_Home!$B$4&amp;""),MAX($I$4:I103)+1,"")</f>
        <v/>
      </c>
    </row>
    <row r="105" spans="1:9" ht="13.5" customHeight="1">
      <c r="A105" s="13"/>
      <c r="B105" s="13"/>
      <c r="C105" s="13"/>
      <c r="D105" s="13"/>
      <c r="E105" s="13"/>
      <c r="F105" s="13"/>
      <c r="G105" s="13"/>
      <c r="H105" s="13"/>
      <c r="I105" s="73" t="str">
        <f>IF(AND($A105&lt;&gt;"",$A105&amp;""=PMIS_Home!$B$4&amp;""),MAX($I$4:I104)+1,"")</f>
        <v/>
      </c>
    </row>
    <row r="106" spans="1:9" ht="13.5" customHeight="1">
      <c r="A106" s="13"/>
      <c r="B106" s="13"/>
      <c r="C106" s="13"/>
      <c r="D106" s="13"/>
      <c r="E106" s="13"/>
      <c r="F106" s="13"/>
      <c r="G106" s="13"/>
      <c r="H106" s="13"/>
      <c r="I106" s="73" t="str">
        <f>IF(AND($A106&lt;&gt;"",$A106&amp;""=PMIS_Home!$B$4&amp;""),MAX($I$4:I105)+1,"")</f>
        <v/>
      </c>
    </row>
    <row r="107" spans="1:9" ht="13.5" customHeight="1">
      <c r="A107" s="13"/>
      <c r="B107" s="13"/>
      <c r="C107" s="13"/>
      <c r="D107" s="13"/>
      <c r="E107" s="13"/>
      <c r="F107" s="13"/>
      <c r="G107" s="13"/>
      <c r="H107" s="13"/>
      <c r="I107" s="73" t="str">
        <f>IF(AND($A107&lt;&gt;"",$A107&amp;""=PMIS_Home!$B$4&amp;""),MAX($I$4:I106)+1,"")</f>
        <v/>
      </c>
    </row>
    <row r="108" spans="1:9" ht="13.5" customHeight="1">
      <c r="A108" s="13"/>
      <c r="B108" s="13"/>
      <c r="C108" s="13"/>
      <c r="D108" s="13"/>
      <c r="E108" s="13"/>
      <c r="F108" s="13"/>
      <c r="G108" s="13"/>
      <c r="H108" s="13"/>
      <c r="I108" s="73" t="str">
        <f>IF(AND($A108&lt;&gt;"",$A108&amp;""=PMIS_Home!$B$4&amp;""),MAX($I$4:I107)+1,"")</f>
        <v/>
      </c>
    </row>
    <row r="109" spans="1:9" ht="13.5" customHeight="1">
      <c r="A109" s="13"/>
      <c r="B109" s="13"/>
      <c r="C109" s="13"/>
      <c r="D109" s="13"/>
      <c r="E109" s="13"/>
      <c r="F109" s="13"/>
      <c r="G109" s="13"/>
      <c r="H109" s="13"/>
      <c r="I109" s="73" t="str">
        <f>IF(AND($A109&lt;&gt;"",$A109&amp;""=PMIS_Home!$B$4&amp;""),MAX($I$4:I108)+1,"")</f>
        <v/>
      </c>
    </row>
    <row r="110" spans="1:9" ht="13.5" customHeight="1">
      <c r="A110" s="13"/>
      <c r="B110" s="13"/>
      <c r="C110" s="13"/>
      <c r="D110" s="13"/>
      <c r="E110" s="13"/>
      <c r="F110" s="13"/>
      <c r="G110" s="13"/>
      <c r="H110" s="13"/>
      <c r="I110" s="73" t="str">
        <f>IF(AND($A110&lt;&gt;"",$A110&amp;""=PMIS_Home!$B$4&amp;""),MAX($I$4:I109)+1,"")</f>
        <v/>
      </c>
    </row>
    <row r="111" spans="1:9" ht="13.5" customHeight="1">
      <c r="A111" s="13"/>
      <c r="B111" s="13"/>
      <c r="C111" s="13"/>
      <c r="D111" s="13"/>
      <c r="E111" s="13"/>
      <c r="F111" s="13"/>
      <c r="G111" s="13"/>
      <c r="H111" s="13"/>
      <c r="I111" s="73" t="str">
        <f>IF(AND($A111&lt;&gt;"",$A111&amp;""=PMIS_Home!$B$4&amp;""),MAX($I$4:I110)+1,"")</f>
        <v/>
      </c>
    </row>
    <row r="112" spans="1:9" ht="13.5" customHeight="1">
      <c r="A112" s="13"/>
      <c r="B112" s="13"/>
      <c r="C112" s="13"/>
      <c r="D112" s="13"/>
      <c r="E112" s="13"/>
      <c r="F112" s="13"/>
      <c r="G112" s="13"/>
      <c r="H112" s="13"/>
      <c r="I112" s="73" t="str">
        <f>IF(AND($A112&lt;&gt;"",$A112&amp;""=PMIS_Home!$B$4&amp;""),MAX($I$4:I111)+1,"")</f>
        <v/>
      </c>
    </row>
    <row r="113" spans="1:9" ht="13.5" customHeight="1">
      <c r="A113" s="13"/>
      <c r="B113" s="13"/>
      <c r="C113" s="13"/>
      <c r="D113" s="13"/>
      <c r="E113" s="13"/>
      <c r="F113" s="13"/>
      <c r="G113" s="13"/>
      <c r="H113" s="13"/>
      <c r="I113" s="73" t="str">
        <f>IF(AND($A113&lt;&gt;"",$A113&amp;""=PMIS_Home!$B$4&amp;""),MAX($I$4:I112)+1,"")</f>
        <v/>
      </c>
    </row>
    <row r="114" spans="1:9" ht="13.5" customHeight="1">
      <c r="A114" s="13"/>
      <c r="B114" s="13"/>
      <c r="C114" s="13"/>
      <c r="D114" s="13"/>
      <c r="E114" s="13"/>
      <c r="F114" s="13"/>
      <c r="G114" s="13"/>
      <c r="H114" s="13"/>
      <c r="I114" s="73" t="str">
        <f>IF(AND($A114&lt;&gt;"",$A114&amp;""=PMIS_Home!$B$4&amp;""),MAX($I$4:I113)+1,"")</f>
        <v/>
      </c>
    </row>
    <row r="115" spans="1:9" ht="13.5" customHeight="1">
      <c r="A115" s="13"/>
      <c r="B115" s="13"/>
      <c r="C115" s="13"/>
      <c r="D115" s="13"/>
      <c r="E115" s="13"/>
      <c r="F115" s="13"/>
      <c r="G115" s="13"/>
      <c r="H115" s="13"/>
      <c r="I115" s="73" t="str">
        <f>IF(AND($A115&lt;&gt;"",$A115&amp;""=PMIS_Home!$B$4&amp;""),MAX($I$4:I114)+1,"")</f>
        <v/>
      </c>
    </row>
    <row r="116" spans="1:9" ht="13.5" customHeight="1">
      <c r="A116" s="13"/>
      <c r="B116" s="13"/>
      <c r="C116" s="13"/>
      <c r="D116" s="13"/>
      <c r="E116" s="13"/>
      <c r="F116" s="13"/>
      <c r="G116" s="13"/>
      <c r="H116" s="13"/>
      <c r="I116" s="73" t="str">
        <f>IF(AND($A116&lt;&gt;"",$A116&amp;""=PMIS_Home!$B$4&amp;""),MAX($I$4:I115)+1,"")</f>
        <v/>
      </c>
    </row>
    <row r="117" spans="1:9" ht="13.5" customHeight="1">
      <c r="A117" s="13"/>
      <c r="B117" s="13"/>
      <c r="C117" s="13"/>
      <c r="D117" s="13"/>
      <c r="E117" s="13"/>
      <c r="F117" s="13"/>
      <c r="G117" s="13"/>
      <c r="H117" s="13"/>
      <c r="I117" s="73" t="str">
        <f>IF(AND($A117&lt;&gt;"",$A117&amp;""=PMIS_Home!$B$4&amp;""),MAX($I$4:I116)+1,"")</f>
        <v/>
      </c>
    </row>
    <row r="118" spans="1:9" ht="13.5" customHeight="1">
      <c r="A118" s="13"/>
      <c r="B118" s="13"/>
      <c r="C118" s="13"/>
      <c r="D118" s="13"/>
      <c r="E118" s="13"/>
      <c r="F118" s="13"/>
      <c r="G118" s="13"/>
      <c r="H118" s="13"/>
      <c r="I118" s="73" t="str">
        <f>IF(AND($A118&lt;&gt;"",$A118&amp;""=PMIS_Home!$B$4&amp;""),MAX($I$4:I117)+1,"")</f>
        <v/>
      </c>
    </row>
    <row r="119" spans="1:9" ht="13.5" customHeight="1">
      <c r="A119" s="13"/>
      <c r="B119" s="13"/>
      <c r="C119" s="13"/>
      <c r="D119" s="13"/>
      <c r="E119" s="13"/>
      <c r="F119" s="13"/>
      <c r="G119" s="13"/>
      <c r="H119" s="13"/>
      <c r="I119" s="73" t="str">
        <f>IF(AND($A119&lt;&gt;"",$A119&amp;""=PMIS_Home!$B$4&amp;""),MAX($I$4:I118)+1,"")</f>
        <v/>
      </c>
    </row>
    <row r="120" spans="1:9" ht="13.5" customHeight="1">
      <c r="A120" s="13"/>
      <c r="B120" s="13"/>
      <c r="C120" s="13"/>
      <c r="D120" s="13"/>
      <c r="E120" s="13"/>
      <c r="F120" s="13"/>
      <c r="G120" s="13"/>
      <c r="H120" s="13"/>
      <c r="I120" s="73" t="str">
        <f>IF(AND($A120&lt;&gt;"",$A120&amp;""=PMIS_Home!$B$4&amp;""),MAX($I$4:I119)+1,"")</f>
        <v/>
      </c>
    </row>
    <row r="121" spans="1:9" ht="13.5" customHeight="1">
      <c r="A121" s="13"/>
      <c r="B121" s="13"/>
      <c r="C121" s="13"/>
      <c r="D121" s="13"/>
      <c r="E121" s="13"/>
      <c r="F121" s="13"/>
      <c r="G121" s="13"/>
      <c r="H121" s="13"/>
      <c r="I121" s="73" t="str">
        <f>IF(AND($A121&lt;&gt;"",$A121&amp;""=PMIS_Home!$B$4&amp;""),MAX($I$4:I120)+1,"")</f>
        <v/>
      </c>
    </row>
    <row r="122" spans="1:9" ht="13.5" customHeight="1">
      <c r="A122" s="13"/>
      <c r="B122" s="13"/>
      <c r="C122" s="13"/>
      <c r="D122" s="13"/>
      <c r="E122" s="13"/>
      <c r="F122" s="13"/>
      <c r="G122" s="13"/>
      <c r="H122" s="13"/>
      <c r="I122" s="73" t="str">
        <f>IF(AND($A122&lt;&gt;"",$A122&amp;""=PMIS_Home!$B$4&amp;""),MAX($I$4:I121)+1,"")</f>
        <v/>
      </c>
    </row>
    <row r="123" spans="1:9" ht="13.5" customHeight="1">
      <c r="A123" s="13"/>
      <c r="B123" s="13"/>
      <c r="C123" s="13"/>
      <c r="D123" s="13"/>
      <c r="E123" s="13"/>
      <c r="F123" s="13"/>
      <c r="G123" s="13"/>
      <c r="H123" s="13"/>
      <c r="I123" s="73" t="str">
        <f>IF(AND($A123&lt;&gt;"",$A123&amp;""=PMIS_Home!$B$4&amp;""),MAX($I$4:I122)+1,"")</f>
        <v/>
      </c>
    </row>
    <row r="124" spans="1:9" ht="13.5" customHeight="1">
      <c r="A124" s="13"/>
      <c r="B124" s="13"/>
      <c r="C124" s="13"/>
      <c r="D124" s="13"/>
      <c r="E124" s="13"/>
      <c r="F124" s="13"/>
      <c r="G124" s="13"/>
      <c r="H124" s="13"/>
      <c r="I124" s="73" t="str">
        <f>IF(AND($A124&lt;&gt;"",$A124&amp;""=PMIS_Home!$B$4&amp;""),MAX($I$4:I123)+1,"")</f>
        <v/>
      </c>
    </row>
    <row r="125" spans="1:9" ht="13.5" customHeight="1">
      <c r="A125" s="13"/>
      <c r="B125" s="13"/>
      <c r="C125" s="13"/>
      <c r="D125" s="13"/>
      <c r="E125" s="13"/>
      <c r="F125" s="13"/>
      <c r="G125" s="13"/>
      <c r="H125" s="13"/>
      <c r="I125" s="73" t="str">
        <f>IF(AND($A125&lt;&gt;"",$A125&amp;""=PMIS_Home!$B$4&amp;""),MAX($I$4:I124)+1,"")</f>
        <v/>
      </c>
    </row>
    <row r="126" spans="1:9" ht="13.5" customHeight="1">
      <c r="A126" s="13"/>
      <c r="B126" s="13"/>
      <c r="C126" s="13"/>
      <c r="D126" s="13"/>
      <c r="E126" s="13"/>
      <c r="F126" s="13"/>
      <c r="G126" s="13"/>
      <c r="H126" s="13"/>
      <c r="I126" s="73" t="str">
        <f>IF(AND($A126&lt;&gt;"",$A126&amp;""=PMIS_Home!$B$4&amp;""),MAX($I$4:I125)+1,"")</f>
        <v/>
      </c>
    </row>
    <row r="127" spans="1:9" ht="13.5" customHeight="1">
      <c r="A127" s="13"/>
      <c r="B127" s="13"/>
      <c r="C127" s="13"/>
      <c r="D127" s="13"/>
      <c r="E127" s="13"/>
      <c r="F127" s="13"/>
      <c r="G127" s="13"/>
      <c r="H127" s="13"/>
      <c r="I127" s="73" t="str">
        <f>IF(AND($A127&lt;&gt;"",$A127&amp;""=PMIS_Home!$B$4&amp;""),MAX($I$4:I126)+1,"")</f>
        <v/>
      </c>
    </row>
    <row r="128" spans="1:9" ht="13.5" customHeight="1">
      <c r="A128" s="13"/>
      <c r="B128" s="13"/>
      <c r="C128" s="13"/>
      <c r="D128" s="13"/>
      <c r="E128" s="13"/>
      <c r="F128" s="13"/>
      <c r="G128" s="13"/>
      <c r="H128" s="13"/>
      <c r="I128" s="73" t="str">
        <f>IF(AND($A128&lt;&gt;"",$A128&amp;""=PMIS_Home!$B$4&amp;""),MAX($I$4:I127)+1,"")</f>
        <v/>
      </c>
    </row>
    <row r="129" spans="1:9" ht="13.5" customHeight="1">
      <c r="A129" s="13"/>
      <c r="B129" s="13"/>
      <c r="C129" s="13"/>
      <c r="D129" s="13"/>
      <c r="E129" s="13"/>
      <c r="F129" s="13"/>
      <c r="G129" s="13"/>
      <c r="H129" s="13"/>
      <c r="I129" s="73" t="str">
        <f>IF(AND($A129&lt;&gt;"",$A129&amp;""=PMIS_Home!$B$4&amp;""),MAX($I$4:I128)+1,"")</f>
        <v/>
      </c>
    </row>
    <row r="130" spans="1:9" ht="13.5" customHeight="1">
      <c r="A130" s="13"/>
      <c r="B130" s="13"/>
      <c r="C130" s="13"/>
      <c r="D130" s="13"/>
      <c r="E130" s="13"/>
      <c r="F130" s="13"/>
      <c r="G130" s="13"/>
      <c r="H130" s="13"/>
      <c r="I130" s="73" t="str">
        <f>IF(AND($A130&lt;&gt;"",$A130&amp;""=PMIS_Home!$B$4&amp;""),MAX($I$4:I129)+1,"")</f>
        <v/>
      </c>
    </row>
    <row r="131" spans="1:9" ht="13.5" customHeight="1">
      <c r="A131" s="13"/>
      <c r="B131" s="13"/>
      <c r="C131" s="13"/>
      <c r="D131" s="13"/>
      <c r="E131" s="13"/>
      <c r="F131" s="13"/>
      <c r="G131" s="13"/>
      <c r="H131" s="13"/>
      <c r="I131" s="73" t="str">
        <f>IF(AND($A131&lt;&gt;"",$A131&amp;""=PMIS_Home!$B$4&amp;""),MAX($I$4:I130)+1,"")</f>
        <v/>
      </c>
    </row>
    <row r="132" spans="1:9" ht="13.5" customHeight="1">
      <c r="A132" s="13"/>
      <c r="B132" s="13"/>
      <c r="C132" s="13"/>
      <c r="D132" s="13"/>
      <c r="E132" s="13"/>
      <c r="F132" s="13"/>
      <c r="G132" s="13"/>
      <c r="H132" s="13"/>
      <c r="I132" s="73" t="str">
        <f>IF(AND($A132&lt;&gt;"",$A132&amp;""=PMIS_Home!$B$4&amp;""),MAX($I$4:I131)+1,"")</f>
        <v/>
      </c>
    </row>
    <row r="133" spans="1:9" ht="13.5" customHeight="1">
      <c r="A133" s="13"/>
      <c r="B133" s="13"/>
      <c r="C133" s="13"/>
      <c r="D133" s="13"/>
      <c r="E133" s="13"/>
      <c r="F133" s="13"/>
      <c r="G133" s="13"/>
      <c r="H133" s="13"/>
      <c r="I133" s="73" t="str">
        <f>IF(AND($A133&lt;&gt;"",$A133&amp;""=PMIS_Home!$B$4&amp;""),MAX($I$4:I132)+1,"")</f>
        <v/>
      </c>
    </row>
    <row r="134" spans="1:9" ht="13.5" customHeight="1">
      <c r="A134" s="13"/>
      <c r="B134" s="13"/>
      <c r="C134" s="13"/>
      <c r="D134" s="13"/>
      <c r="E134" s="13"/>
      <c r="F134" s="13"/>
      <c r="G134" s="13"/>
      <c r="H134" s="13"/>
      <c r="I134" s="73" t="str">
        <f>IF(AND($A134&lt;&gt;"",$A134&amp;""=PMIS_Home!$B$4&amp;""),MAX($I$4:I133)+1,"")</f>
        <v/>
      </c>
    </row>
    <row r="135" spans="1:9" ht="13.5" customHeight="1">
      <c r="A135" s="13"/>
      <c r="B135" s="13"/>
      <c r="C135" s="13"/>
      <c r="D135" s="13"/>
      <c r="E135" s="13"/>
      <c r="F135" s="13"/>
      <c r="G135" s="13"/>
      <c r="H135" s="13"/>
      <c r="I135" s="73" t="str">
        <f>IF(AND($A135&lt;&gt;"",$A135&amp;""=PMIS_Home!$B$4&amp;""),MAX($I$4:I134)+1,"")</f>
        <v/>
      </c>
    </row>
    <row r="136" spans="1:9" ht="13.5" customHeight="1">
      <c r="A136" s="13"/>
      <c r="B136" s="13"/>
      <c r="C136" s="13"/>
      <c r="D136" s="13"/>
      <c r="E136" s="13"/>
      <c r="F136" s="13"/>
      <c r="G136" s="13"/>
      <c r="H136" s="13"/>
      <c r="I136" s="73" t="str">
        <f>IF(AND($A136&lt;&gt;"",$A136&amp;""=PMIS_Home!$B$4&amp;""),MAX($I$4:I135)+1,"")</f>
        <v/>
      </c>
    </row>
    <row r="137" spans="1:9" ht="13.5" customHeight="1">
      <c r="A137" s="13"/>
      <c r="B137" s="13"/>
      <c r="C137" s="13"/>
      <c r="D137" s="13"/>
      <c r="E137" s="13"/>
      <c r="F137" s="13"/>
      <c r="G137" s="13"/>
      <c r="H137" s="13"/>
      <c r="I137" s="73" t="str">
        <f>IF(AND($A137&lt;&gt;"",$A137&amp;""=PMIS_Home!$B$4&amp;""),MAX($I$4:I136)+1,"")</f>
        <v/>
      </c>
    </row>
    <row r="138" spans="1:9" ht="13.5" customHeight="1">
      <c r="A138" s="13"/>
      <c r="B138" s="13"/>
      <c r="C138" s="13"/>
      <c r="D138" s="13"/>
      <c r="E138" s="13"/>
      <c r="F138" s="13"/>
      <c r="G138" s="13"/>
      <c r="H138" s="13"/>
      <c r="I138" s="73" t="str">
        <f>IF(AND($A138&lt;&gt;"",$A138&amp;""=PMIS_Home!$B$4&amp;""),MAX($I$4:I137)+1,"")</f>
        <v/>
      </c>
    </row>
    <row r="139" spans="1:9" ht="13.5" customHeight="1">
      <c r="A139" s="13"/>
      <c r="B139" s="13"/>
      <c r="C139" s="13"/>
      <c r="D139" s="13"/>
      <c r="E139" s="13"/>
      <c r="F139" s="13"/>
      <c r="G139" s="13"/>
      <c r="H139" s="13"/>
      <c r="I139" s="73" t="str">
        <f>IF(AND($A139&lt;&gt;"",$A139&amp;""=PMIS_Home!$B$4&amp;""),MAX($I$4:I138)+1,"")</f>
        <v/>
      </c>
    </row>
    <row r="140" spans="1:9" ht="13.5" customHeight="1">
      <c r="A140" s="13"/>
      <c r="B140" s="13"/>
      <c r="C140" s="13"/>
      <c r="D140" s="13"/>
      <c r="E140" s="13"/>
      <c r="F140" s="13"/>
      <c r="G140" s="13"/>
      <c r="H140" s="13"/>
      <c r="I140" s="73" t="str">
        <f>IF(AND($A140&lt;&gt;"",$A140&amp;""=PMIS_Home!$B$4&amp;""),MAX($I$4:I139)+1,"")</f>
        <v/>
      </c>
    </row>
    <row r="141" spans="1:9" ht="13.5" customHeight="1">
      <c r="A141" s="13"/>
      <c r="B141" s="13"/>
      <c r="C141" s="13"/>
      <c r="D141" s="13"/>
      <c r="E141" s="13"/>
      <c r="F141" s="13"/>
      <c r="G141" s="13"/>
      <c r="H141" s="13"/>
      <c r="I141" s="73" t="str">
        <f>IF(AND($A141&lt;&gt;"",$A141&amp;""=PMIS_Home!$B$4&amp;""),MAX($I$4:I140)+1,"")</f>
        <v/>
      </c>
    </row>
    <row r="142" spans="1:9" ht="13.5" customHeight="1">
      <c r="A142" s="13"/>
      <c r="B142" s="13"/>
      <c r="C142" s="13"/>
      <c r="D142" s="13"/>
      <c r="E142" s="13"/>
      <c r="F142" s="13"/>
      <c r="G142" s="13"/>
      <c r="H142" s="13"/>
      <c r="I142" s="73" t="str">
        <f>IF(AND($A142&lt;&gt;"",$A142&amp;""=PMIS_Home!$B$4&amp;""),MAX($I$4:I141)+1,"")</f>
        <v/>
      </c>
    </row>
    <row r="143" spans="1:9" ht="13.5" customHeight="1">
      <c r="A143" s="13"/>
      <c r="B143" s="13"/>
      <c r="C143" s="13"/>
      <c r="D143" s="13"/>
      <c r="E143" s="13"/>
      <c r="F143" s="13"/>
      <c r="G143" s="13"/>
      <c r="H143" s="13"/>
      <c r="I143" s="73" t="str">
        <f>IF(AND($A143&lt;&gt;"",$A143&amp;""=PMIS_Home!$B$4&amp;""),MAX($I$4:I142)+1,"")</f>
        <v/>
      </c>
    </row>
    <row r="144" spans="1:9" ht="13.5" customHeight="1">
      <c r="A144" s="13"/>
      <c r="B144" s="13"/>
      <c r="C144" s="13"/>
      <c r="D144" s="13"/>
      <c r="E144" s="13"/>
      <c r="F144" s="13"/>
      <c r="G144" s="13"/>
      <c r="H144" s="13"/>
      <c r="I144" s="73" t="str">
        <f>IF(AND($A144&lt;&gt;"",$A144&amp;""=PMIS_Home!$B$4&amp;""),MAX($I$4:I143)+1,"")</f>
        <v/>
      </c>
    </row>
    <row r="145" spans="1:9" ht="13.5" customHeight="1">
      <c r="A145" s="13"/>
      <c r="B145" s="13"/>
      <c r="C145" s="13"/>
      <c r="D145" s="13"/>
      <c r="E145" s="13"/>
      <c r="F145" s="13"/>
      <c r="G145" s="13"/>
      <c r="H145" s="13"/>
      <c r="I145" s="73" t="str">
        <f>IF(AND($A145&lt;&gt;"",$A145&amp;""=PMIS_Home!$B$4&amp;""),MAX($I$4:I144)+1,"")</f>
        <v/>
      </c>
    </row>
    <row r="146" spans="1:9" ht="13.5" customHeight="1">
      <c r="A146" s="13"/>
      <c r="B146" s="13"/>
      <c r="C146" s="13"/>
      <c r="D146" s="13"/>
      <c r="E146" s="13"/>
      <c r="F146" s="13"/>
      <c r="G146" s="13"/>
      <c r="H146" s="13"/>
      <c r="I146" s="73" t="str">
        <f>IF(AND($A146&lt;&gt;"",$A146&amp;""=PMIS_Home!$B$4&amp;""),MAX($I$4:I145)+1,"")</f>
        <v/>
      </c>
    </row>
    <row r="147" spans="1:9" ht="13.5" customHeight="1">
      <c r="A147" s="13"/>
      <c r="B147" s="13"/>
      <c r="C147" s="13"/>
      <c r="D147" s="13"/>
      <c r="E147" s="13"/>
      <c r="F147" s="13"/>
      <c r="G147" s="13"/>
      <c r="H147" s="13"/>
      <c r="I147" s="73" t="str">
        <f>IF(AND($A147&lt;&gt;"",$A147&amp;""=PMIS_Home!$B$4&amp;""),MAX($I$4:I146)+1,"")</f>
        <v/>
      </c>
    </row>
    <row r="148" spans="1:9" ht="13.5" customHeight="1">
      <c r="A148" s="13"/>
      <c r="B148" s="13"/>
      <c r="C148" s="13"/>
      <c r="D148" s="13"/>
      <c r="E148" s="13"/>
      <c r="F148" s="13"/>
      <c r="G148" s="13"/>
      <c r="H148" s="13"/>
      <c r="I148" s="73" t="str">
        <f>IF(AND($A148&lt;&gt;"",$A148&amp;""=PMIS_Home!$B$4&amp;""),MAX($I$4:I147)+1,"")</f>
        <v/>
      </c>
    </row>
    <row r="149" spans="1:9" ht="13.5" customHeight="1">
      <c r="A149" s="13"/>
      <c r="B149" s="13"/>
      <c r="C149" s="13"/>
      <c r="D149" s="13"/>
      <c r="E149" s="13"/>
      <c r="F149" s="13"/>
      <c r="G149" s="13"/>
      <c r="H149" s="13"/>
      <c r="I149" s="73" t="str">
        <f>IF(AND($A149&lt;&gt;"",$A149&amp;""=PMIS_Home!$B$4&amp;""),MAX($I$4:I148)+1,"")</f>
        <v/>
      </c>
    </row>
    <row r="150" spans="1:9" ht="13.5" customHeight="1">
      <c r="A150" s="13"/>
      <c r="B150" s="13"/>
      <c r="C150" s="13"/>
      <c r="D150" s="13"/>
      <c r="E150" s="13"/>
      <c r="F150" s="13"/>
      <c r="G150" s="13"/>
      <c r="H150" s="13"/>
      <c r="I150" s="73" t="str">
        <f>IF(AND($A150&lt;&gt;"",$A150&amp;""=PMIS_Home!$B$4&amp;""),MAX($I$4:I149)+1,"")</f>
        <v/>
      </c>
    </row>
    <row r="151" spans="1:9" ht="13.5" customHeight="1">
      <c r="A151" s="13"/>
      <c r="B151" s="13"/>
      <c r="C151" s="13"/>
      <c r="D151" s="13"/>
      <c r="E151" s="13"/>
      <c r="F151" s="13"/>
      <c r="G151" s="13"/>
      <c r="H151" s="13"/>
      <c r="I151" s="73" t="str">
        <f>IF(AND($A151&lt;&gt;"",$A151&amp;""=PMIS_Home!$B$4&amp;""),MAX($I$4:I150)+1,"")</f>
        <v/>
      </c>
    </row>
    <row r="152" spans="1:9" ht="13.5" customHeight="1">
      <c r="A152" s="13"/>
      <c r="B152" s="13"/>
      <c r="C152" s="13"/>
      <c r="D152" s="13"/>
      <c r="E152" s="13"/>
      <c r="F152" s="13"/>
      <c r="G152" s="13"/>
      <c r="H152" s="13"/>
      <c r="I152" s="73" t="str">
        <f>IF(AND($A152&lt;&gt;"",$A152&amp;""=PMIS_Home!$B$4&amp;""),MAX($I$4:I151)+1,"")</f>
        <v/>
      </c>
    </row>
    <row r="153" spans="1:9" ht="13.5" customHeight="1">
      <c r="A153" s="13"/>
      <c r="B153" s="13"/>
      <c r="C153" s="13"/>
      <c r="D153" s="13"/>
      <c r="E153" s="13"/>
      <c r="F153" s="13"/>
      <c r="G153" s="13"/>
      <c r="H153" s="13"/>
      <c r="I153" s="73" t="str">
        <f>IF(AND($A153&lt;&gt;"",$A153&amp;""=PMIS_Home!$B$4&amp;""),MAX($I$4:I152)+1,"")</f>
        <v/>
      </c>
    </row>
    <row r="154" spans="1:9" ht="13.5" customHeight="1">
      <c r="A154" s="13"/>
      <c r="B154" s="13"/>
      <c r="C154" s="13"/>
      <c r="D154" s="13"/>
      <c r="E154" s="13"/>
      <c r="F154" s="13"/>
      <c r="G154" s="13"/>
      <c r="H154" s="13"/>
      <c r="I154" s="73" t="str">
        <f>IF(AND($A154&lt;&gt;"",$A154&amp;""=PMIS_Home!$B$4&amp;""),MAX($I$4:I153)+1,"")</f>
        <v/>
      </c>
    </row>
    <row r="155" spans="1:9" ht="13.5" customHeight="1">
      <c r="A155" s="13"/>
      <c r="B155" s="13"/>
      <c r="C155" s="13"/>
      <c r="D155" s="13"/>
      <c r="E155" s="13"/>
      <c r="F155" s="13"/>
      <c r="G155" s="13"/>
      <c r="H155" s="13"/>
      <c r="I155" s="73" t="str">
        <f>IF(AND($A155&lt;&gt;"",$A155&amp;""=PMIS_Home!$B$4&amp;""),MAX($I$4:I154)+1,"")</f>
        <v/>
      </c>
    </row>
    <row r="156" spans="1:9" ht="13.5" customHeight="1">
      <c r="A156" s="13"/>
      <c r="B156" s="13"/>
      <c r="C156" s="13"/>
      <c r="D156" s="13"/>
      <c r="E156" s="13"/>
      <c r="F156" s="13"/>
      <c r="G156" s="13"/>
      <c r="H156" s="13"/>
      <c r="I156" s="73" t="str">
        <f>IF(AND($A156&lt;&gt;"",$A156&amp;""=PMIS_Home!$B$4&amp;""),MAX($I$4:I155)+1,"")</f>
        <v/>
      </c>
    </row>
    <row r="157" spans="1:9" ht="13.5" customHeight="1">
      <c r="A157" s="13"/>
      <c r="B157" s="13"/>
      <c r="C157" s="13"/>
      <c r="D157" s="13"/>
      <c r="E157" s="13"/>
      <c r="F157" s="13"/>
      <c r="G157" s="13"/>
      <c r="H157" s="13"/>
      <c r="I157" s="73" t="str">
        <f>IF(AND($A157&lt;&gt;"",$A157&amp;""=PMIS_Home!$B$4&amp;""),MAX($I$4:I156)+1,"")</f>
        <v/>
      </c>
    </row>
    <row r="158" spans="1:9" ht="13.5" customHeight="1">
      <c r="A158" s="13"/>
      <c r="B158" s="13"/>
      <c r="C158" s="13"/>
      <c r="D158" s="13"/>
      <c r="E158" s="13"/>
      <c r="F158" s="13"/>
      <c r="G158" s="13"/>
      <c r="H158" s="13"/>
      <c r="I158" s="73" t="str">
        <f>IF(AND($A158&lt;&gt;"",$A158&amp;""=PMIS_Home!$B$4&amp;""),MAX($I$4:I157)+1,"")</f>
        <v/>
      </c>
    </row>
    <row r="159" spans="1:9" ht="13.5" customHeight="1">
      <c r="A159" s="13"/>
      <c r="B159" s="13"/>
      <c r="C159" s="13"/>
      <c r="D159" s="13"/>
      <c r="E159" s="13"/>
      <c r="F159" s="13"/>
      <c r="G159" s="13"/>
      <c r="H159" s="13"/>
      <c r="I159" s="73" t="str">
        <f>IF(AND($A159&lt;&gt;"",$A159&amp;""=PMIS_Home!$B$4&amp;""),MAX($I$4:I158)+1,"")</f>
        <v/>
      </c>
    </row>
    <row r="160" spans="1:9" ht="13.5" customHeight="1">
      <c r="A160" s="13"/>
      <c r="B160" s="13"/>
      <c r="C160" s="13"/>
      <c r="D160" s="13"/>
      <c r="E160" s="13"/>
      <c r="F160" s="13"/>
      <c r="G160" s="13"/>
      <c r="H160" s="13"/>
      <c r="I160" s="73" t="str">
        <f>IF(AND($A160&lt;&gt;"",$A160&amp;""=PMIS_Home!$B$4&amp;""),MAX($I$4:I159)+1,"")</f>
        <v/>
      </c>
    </row>
    <row r="161" spans="1:9" ht="13.5" customHeight="1">
      <c r="A161" s="13"/>
      <c r="B161" s="13"/>
      <c r="C161" s="13"/>
      <c r="D161" s="13"/>
      <c r="E161" s="13"/>
      <c r="F161" s="13"/>
      <c r="G161" s="13"/>
      <c r="H161" s="13"/>
      <c r="I161" s="73" t="str">
        <f>IF(AND($A161&lt;&gt;"",$A161&amp;""=PMIS_Home!$B$4&amp;""),MAX($I$4:I160)+1,"")</f>
        <v/>
      </c>
    </row>
    <row r="162" spans="1:9" ht="13.5" customHeight="1">
      <c r="A162" s="13"/>
      <c r="B162" s="13"/>
      <c r="C162" s="13"/>
      <c r="D162" s="13"/>
      <c r="E162" s="13"/>
      <c r="F162" s="13"/>
      <c r="G162" s="13"/>
      <c r="H162" s="13"/>
      <c r="I162" s="73" t="str">
        <f>IF(AND($A162&lt;&gt;"",$A162&amp;""=PMIS_Home!$B$4&amp;""),MAX($I$4:I161)+1,"")</f>
        <v/>
      </c>
    </row>
    <row r="163" spans="1:9" ht="13.5" customHeight="1">
      <c r="A163" s="13"/>
      <c r="B163" s="13"/>
      <c r="C163" s="13"/>
      <c r="D163" s="13"/>
      <c r="E163" s="13"/>
      <c r="F163" s="13"/>
      <c r="G163" s="13"/>
      <c r="H163" s="13"/>
      <c r="I163" s="73" t="str">
        <f>IF(AND($A163&lt;&gt;"",$A163&amp;""=PMIS_Home!$B$4&amp;""),MAX($I$4:I162)+1,"")</f>
        <v/>
      </c>
    </row>
    <row r="164" spans="1:9" ht="13.5" customHeight="1">
      <c r="A164" s="13"/>
      <c r="B164" s="13"/>
      <c r="C164" s="13"/>
      <c r="D164" s="13"/>
      <c r="E164" s="13"/>
      <c r="F164" s="13"/>
      <c r="G164" s="13"/>
      <c r="H164" s="13"/>
      <c r="I164" s="73" t="str">
        <f>IF(AND($A164&lt;&gt;"",$A164&amp;""=PMIS_Home!$B$4&amp;""),MAX($I$4:I163)+1,"")</f>
        <v/>
      </c>
    </row>
    <row r="165" spans="1:9" ht="13.5" customHeight="1">
      <c r="A165" s="13"/>
      <c r="B165" s="13"/>
      <c r="C165" s="13"/>
      <c r="D165" s="13"/>
      <c r="E165" s="13"/>
      <c r="F165" s="13"/>
      <c r="G165" s="13"/>
      <c r="H165" s="13"/>
      <c r="I165" s="73" t="str">
        <f>IF(AND($A165&lt;&gt;"",$A165&amp;""=PMIS_Home!$B$4&amp;""),MAX($I$4:I164)+1,"")</f>
        <v/>
      </c>
    </row>
    <row r="166" spans="1:9" ht="13.5" customHeight="1">
      <c r="A166" s="13"/>
      <c r="B166" s="13"/>
      <c r="C166" s="13"/>
      <c r="D166" s="13"/>
      <c r="E166" s="13"/>
      <c r="F166" s="13"/>
      <c r="G166" s="13"/>
      <c r="H166" s="13"/>
      <c r="I166" s="73" t="str">
        <f>IF(AND($A166&lt;&gt;"",$A166&amp;""=PMIS_Home!$B$4&amp;""),MAX($I$4:I165)+1,"")</f>
        <v/>
      </c>
    </row>
    <row r="167" spans="1:9" ht="13.5" customHeight="1">
      <c r="A167" s="13"/>
      <c r="B167" s="13"/>
      <c r="C167" s="13"/>
      <c r="D167" s="13"/>
      <c r="E167" s="13"/>
      <c r="F167" s="13"/>
      <c r="G167" s="13"/>
      <c r="H167" s="13"/>
      <c r="I167" s="73" t="str">
        <f>IF(AND($A167&lt;&gt;"",$A167&amp;""=PMIS_Home!$B$4&amp;""),MAX($I$4:I166)+1,"")</f>
        <v/>
      </c>
    </row>
    <row r="168" spans="1:9" ht="13.5" customHeight="1">
      <c r="A168" s="13"/>
      <c r="B168" s="13"/>
      <c r="C168" s="13"/>
      <c r="D168" s="13"/>
      <c r="E168" s="13"/>
      <c r="F168" s="13"/>
      <c r="G168" s="13"/>
      <c r="H168" s="13"/>
      <c r="I168" s="73" t="str">
        <f>IF(AND($A168&lt;&gt;"",$A168&amp;""=PMIS_Home!$B$4&amp;""),MAX($I$4:I167)+1,"")</f>
        <v/>
      </c>
    </row>
    <row r="169" spans="1:9" ht="13.5" customHeight="1">
      <c r="A169" s="13"/>
      <c r="B169" s="13"/>
      <c r="C169" s="13"/>
      <c r="D169" s="13"/>
      <c r="E169" s="13"/>
      <c r="F169" s="13"/>
      <c r="G169" s="13"/>
      <c r="H169" s="13"/>
      <c r="I169" s="73" t="str">
        <f>IF(AND($A169&lt;&gt;"",$A169&amp;""=PMIS_Home!$B$4&amp;""),MAX($I$4:I168)+1,"")</f>
        <v/>
      </c>
    </row>
    <row r="170" spans="1:9" ht="13.5" customHeight="1">
      <c r="A170" s="13"/>
      <c r="B170" s="13"/>
      <c r="C170" s="13"/>
      <c r="D170" s="13"/>
      <c r="E170" s="13"/>
      <c r="F170" s="13"/>
      <c r="G170" s="13"/>
      <c r="H170" s="13"/>
      <c r="I170" s="73" t="str">
        <f>IF(AND($A170&lt;&gt;"",$A170&amp;""=PMIS_Home!$B$4&amp;""),MAX($I$4:I169)+1,"")</f>
        <v/>
      </c>
    </row>
    <row r="171" spans="1:9" ht="13.5" customHeight="1">
      <c r="A171" s="13"/>
      <c r="B171" s="13"/>
      <c r="C171" s="13"/>
      <c r="D171" s="13"/>
      <c r="E171" s="13"/>
      <c r="F171" s="13"/>
      <c r="G171" s="13"/>
      <c r="H171" s="13"/>
      <c r="I171" s="73" t="str">
        <f>IF(AND($A171&lt;&gt;"",$A171&amp;""=PMIS_Home!$B$4&amp;""),MAX($I$4:I170)+1,"")</f>
        <v/>
      </c>
    </row>
    <row r="172" spans="1:9" ht="13.5" customHeight="1">
      <c r="A172" s="13"/>
      <c r="B172" s="13"/>
      <c r="C172" s="13"/>
      <c r="D172" s="13"/>
      <c r="E172" s="13"/>
      <c r="F172" s="13"/>
      <c r="G172" s="13"/>
      <c r="H172" s="13"/>
      <c r="I172" s="73" t="str">
        <f>IF(AND($A172&lt;&gt;"",$A172&amp;""=PMIS_Home!$B$4&amp;""),MAX($I$4:I171)+1,"")</f>
        <v/>
      </c>
    </row>
    <row r="173" spans="1:9" ht="13.5" customHeight="1">
      <c r="A173" s="13"/>
      <c r="B173" s="13"/>
      <c r="C173" s="13"/>
      <c r="D173" s="13"/>
      <c r="E173" s="13"/>
      <c r="F173" s="13"/>
      <c r="G173" s="13"/>
      <c r="H173" s="13"/>
      <c r="I173" s="73" t="str">
        <f>IF(AND($A173&lt;&gt;"",$A173&amp;""=PMIS_Home!$B$4&amp;""),MAX($I$4:I172)+1,"")</f>
        <v/>
      </c>
    </row>
    <row r="174" spans="1:9" ht="13.5" customHeight="1">
      <c r="A174" s="13"/>
      <c r="B174" s="13"/>
      <c r="C174" s="13"/>
      <c r="D174" s="13"/>
      <c r="E174" s="13"/>
      <c r="F174" s="13"/>
      <c r="G174" s="13"/>
      <c r="H174" s="13"/>
      <c r="I174" s="73" t="str">
        <f>IF(AND($A174&lt;&gt;"",$A174&amp;""=PMIS_Home!$B$4&amp;""),MAX($I$4:I173)+1,"")</f>
        <v/>
      </c>
    </row>
    <row r="175" spans="1:9" ht="13.5" customHeight="1">
      <c r="A175" s="13"/>
      <c r="B175" s="13"/>
      <c r="C175" s="13"/>
      <c r="D175" s="13"/>
      <c r="E175" s="13"/>
      <c r="F175" s="13"/>
      <c r="G175" s="13"/>
      <c r="H175" s="13"/>
      <c r="I175" s="73" t="str">
        <f>IF(AND($A175&lt;&gt;"",$A175&amp;""=PMIS_Home!$B$4&amp;""),MAX($I$4:I174)+1,"")</f>
        <v/>
      </c>
    </row>
    <row r="176" spans="1:9" ht="13.5" customHeight="1">
      <c r="A176" s="13"/>
      <c r="B176" s="13"/>
      <c r="C176" s="13"/>
      <c r="D176" s="13"/>
      <c r="E176" s="13"/>
      <c r="F176" s="13"/>
      <c r="G176" s="13"/>
      <c r="H176" s="13"/>
      <c r="I176" s="73" t="str">
        <f>IF(AND($A176&lt;&gt;"",$A176&amp;""=PMIS_Home!$B$4&amp;""),MAX($I$4:I175)+1,"")</f>
        <v/>
      </c>
    </row>
    <row r="177" spans="1:9" ht="13.5" customHeight="1">
      <c r="A177" s="13"/>
      <c r="B177" s="13"/>
      <c r="C177" s="13"/>
      <c r="D177" s="13"/>
      <c r="E177" s="13"/>
      <c r="F177" s="13"/>
      <c r="G177" s="13"/>
      <c r="H177" s="13"/>
      <c r="I177" s="73" t="str">
        <f>IF(AND($A177&lt;&gt;"",$A177&amp;""=PMIS_Home!$B$4&amp;""),MAX($I$4:I176)+1,"")</f>
        <v/>
      </c>
    </row>
    <row r="178" spans="1:9" ht="13.5" customHeight="1">
      <c r="A178" s="13"/>
      <c r="B178" s="13"/>
      <c r="C178" s="13"/>
      <c r="D178" s="13"/>
      <c r="E178" s="13"/>
      <c r="F178" s="13"/>
      <c r="G178" s="13"/>
      <c r="H178" s="13"/>
      <c r="I178" s="73" t="str">
        <f>IF(AND($A178&lt;&gt;"",$A178&amp;""=PMIS_Home!$B$4&amp;""),MAX($I$4:I177)+1,"")</f>
        <v/>
      </c>
    </row>
    <row r="179" spans="1:9" ht="13.5" customHeight="1">
      <c r="A179" s="13"/>
      <c r="B179" s="13"/>
      <c r="C179" s="13"/>
      <c r="D179" s="13"/>
      <c r="E179" s="13"/>
      <c r="F179" s="13"/>
      <c r="G179" s="13"/>
      <c r="H179" s="13"/>
      <c r="I179" s="73" t="str">
        <f>IF(AND($A179&lt;&gt;"",$A179&amp;""=PMIS_Home!$B$4&amp;""),MAX($I$4:I178)+1,"")</f>
        <v/>
      </c>
    </row>
    <row r="180" spans="1:9" ht="13.5" customHeight="1">
      <c r="A180" s="13"/>
      <c r="B180" s="13"/>
      <c r="C180" s="13"/>
      <c r="D180" s="13"/>
      <c r="E180" s="13"/>
      <c r="F180" s="13"/>
      <c r="G180" s="13"/>
      <c r="H180" s="13"/>
      <c r="I180" s="73" t="str">
        <f>IF(AND($A180&lt;&gt;"",$A180&amp;""=PMIS_Home!$B$4&amp;""),MAX($I$4:I179)+1,"")</f>
        <v/>
      </c>
    </row>
    <row r="181" spans="1:9" ht="13.5" customHeight="1">
      <c r="A181" s="13"/>
      <c r="B181" s="13"/>
      <c r="C181" s="13"/>
      <c r="D181" s="13"/>
      <c r="E181" s="13"/>
      <c r="F181" s="13"/>
      <c r="G181" s="13"/>
      <c r="H181" s="13"/>
      <c r="I181" s="73" t="str">
        <f>IF(AND($A181&lt;&gt;"",$A181&amp;""=PMIS_Home!$B$4&amp;""),MAX($I$4:I180)+1,"")</f>
        <v/>
      </c>
    </row>
    <row r="182" spans="1:9" ht="13.5" customHeight="1">
      <c r="A182" s="13"/>
      <c r="B182" s="13"/>
      <c r="C182" s="13"/>
      <c r="D182" s="13"/>
      <c r="E182" s="13"/>
      <c r="F182" s="13"/>
      <c r="G182" s="13"/>
      <c r="H182" s="13"/>
      <c r="I182" s="73" t="str">
        <f>IF(AND($A182&lt;&gt;"",$A182&amp;""=PMIS_Home!$B$4&amp;""),MAX($I$4:I181)+1,"")</f>
        <v/>
      </c>
    </row>
    <row r="183" spans="1:9" ht="13.5" customHeight="1">
      <c r="A183" s="13"/>
      <c r="B183" s="13"/>
      <c r="C183" s="13"/>
      <c r="D183" s="13"/>
      <c r="E183" s="13"/>
      <c r="F183" s="13"/>
      <c r="G183" s="13"/>
      <c r="H183" s="13"/>
      <c r="I183" s="73" t="str">
        <f>IF(AND($A183&lt;&gt;"",$A183&amp;""=PMIS_Home!$B$4&amp;""),MAX($I$4:I182)+1,"")</f>
        <v/>
      </c>
    </row>
    <row r="184" spans="1:9" ht="13.5" customHeight="1">
      <c r="A184" s="13"/>
      <c r="B184" s="13"/>
      <c r="C184" s="13"/>
      <c r="D184" s="13"/>
      <c r="E184" s="13"/>
      <c r="F184" s="13"/>
      <c r="G184" s="13"/>
      <c r="H184" s="13"/>
      <c r="I184" s="73" t="str">
        <f>IF(AND($A184&lt;&gt;"",$A184&amp;""=PMIS_Home!$B$4&amp;""),MAX($I$4:I183)+1,"")</f>
        <v/>
      </c>
    </row>
    <row r="185" spans="1:9" ht="13.5" customHeight="1">
      <c r="A185" s="13"/>
      <c r="B185" s="13"/>
      <c r="C185" s="13"/>
      <c r="D185" s="13"/>
      <c r="E185" s="13"/>
      <c r="F185" s="13"/>
      <c r="G185" s="13"/>
      <c r="H185" s="13"/>
      <c r="I185" s="73" t="str">
        <f>IF(AND($A185&lt;&gt;"",$A185&amp;""=PMIS_Home!$B$4&amp;""),MAX($I$4:I184)+1,"")</f>
        <v/>
      </c>
    </row>
    <row r="186" spans="1:9" ht="13.5" customHeight="1">
      <c r="A186" s="13"/>
      <c r="B186" s="13"/>
      <c r="C186" s="13"/>
      <c r="D186" s="13"/>
      <c r="E186" s="13"/>
      <c r="F186" s="13"/>
      <c r="G186" s="13"/>
      <c r="H186" s="13"/>
      <c r="I186" s="73" t="str">
        <f>IF(AND($A186&lt;&gt;"",$A186&amp;""=PMIS_Home!$B$4&amp;""),MAX($I$4:I185)+1,"")</f>
        <v/>
      </c>
    </row>
    <row r="187" spans="1:9" ht="13.5" customHeight="1">
      <c r="A187" s="13"/>
      <c r="B187" s="13"/>
      <c r="C187" s="13"/>
      <c r="D187" s="13"/>
      <c r="E187" s="13"/>
      <c r="F187" s="13"/>
      <c r="G187" s="13"/>
      <c r="H187" s="13"/>
      <c r="I187" s="73" t="str">
        <f>IF(AND($A187&lt;&gt;"",$A187&amp;""=PMIS_Home!$B$4&amp;""),MAX($I$4:I186)+1,"")</f>
        <v/>
      </c>
    </row>
    <row r="188" spans="1:9" ht="13.5" customHeight="1">
      <c r="A188" s="13"/>
      <c r="B188" s="13"/>
      <c r="C188" s="13"/>
      <c r="D188" s="13"/>
      <c r="E188" s="13"/>
      <c r="F188" s="13"/>
      <c r="G188" s="13"/>
      <c r="H188" s="13"/>
      <c r="I188" s="73" t="str">
        <f>IF(AND($A188&lt;&gt;"",$A188&amp;""=PMIS_Home!$B$4&amp;""),MAX($I$4:I187)+1,"")</f>
        <v/>
      </c>
    </row>
    <row r="189" spans="1:9" ht="13.5" customHeight="1">
      <c r="A189" s="13"/>
      <c r="B189" s="13"/>
      <c r="C189" s="13"/>
      <c r="D189" s="13"/>
      <c r="E189" s="13"/>
      <c r="F189" s="13"/>
      <c r="G189" s="13"/>
      <c r="H189" s="13"/>
      <c r="I189" s="73" t="str">
        <f>IF(AND($A189&lt;&gt;"",$A189&amp;""=PMIS_Home!$B$4&amp;""),MAX($I$4:I188)+1,"")</f>
        <v/>
      </c>
    </row>
    <row r="190" spans="1:9" ht="13.5" customHeight="1">
      <c r="A190" s="13"/>
      <c r="B190" s="13"/>
      <c r="C190" s="13"/>
      <c r="D190" s="13"/>
      <c r="E190" s="13"/>
      <c r="F190" s="13"/>
      <c r="G190" s="13"/>
      <c r="H190" s="13"/>
      <c r="I190" s="73" t="str">
        <f>IF(AND($A190&lt;&gt;"",$A190&amp;""=PMIS_Home!$B$4&amp;""),MAX($I$4:I189)+1,"")</f>
        <v/>
      </c>
    </row>
    <row r="191" spans="1:9" ht="13.5" customHeight="1">
      <c r="A191" s="13"/>
      <c r="B191" s="13"/>
      <c r="C191" s="13"/>
      <c r="D191" s="13"/>
      <c r="E191" s="13"/>
      <c r="F191" s="13"/>
      <c r="G191" s="13"/>
      <c r="H191" s="13"/>
      <c r="I191" s="73" t="str">
        <f>IF(AND($A191&lt;&gt;"",$A191&amp;""=PMIS_Home!$B$4&amp;""),MAX($I$4:I190)+1,"")</f>
        <v/>
      </c>
    </row>
    <row r="192" spans="1:9" ht="13.5" customHeight="1">
      <c r="A192" s="13"/>
      <c r="B192" s="13"/>
      <c r="C192" s="13"/>
      <c r="D192" s="13"/>
      <c r="E192" s="13"/>
      <c r="F192" s="13"/>
      <c r="G192" s="13"/>
      <c r="H192" s="13"/>
      <c r="I192" s="73" t="str">
        <f>IF(AND($A192&lt;&gt;"",$A192&amp;""=PMIS_Home!$B$4&amp;""),MAX($I$4:I191)+1,"")</f>
        <v/>
      </c>
    </row>
    <row r="193" spans="1:9" ht="13.5" customHeight="1">
      <c r="A193" s="13"/>
      <c r="B193" s="13"/>
      <c r="C193" s="13"/>
      <c r="D193" s="13"/>
      <c r="E193" s="13"/>
      <c r="F193" s="13"/>
      <c r="G193" s="13"/>
      <c r="H193" s="13"/>
      <c r="I193" s="73" t="str">
        <f>IF(AND($A193&lt;&gt;"",$A193&amp;""=PMIS_Home!$B$4&amp;""),MAX($I$4:I192)+1,"")</f>
        <v/>
      </c>
    </row>
    <row r="194" spans="1:9" ht="13.5" customHeight="1">
      <c r="A194" s="13"/>
      <c r="B194" s="13"/>
      <c r="C194" s="13"/>
      <c r="D194" s="13"/>
      <c r="E194" s="13"/>
      <c r="F194" s="13"/>
      <c r="G194" s="13"/>
      <c r="H194" s="13"/>
      <c r="I194" s="73" t="str">
        <f>IF(AND($A194&lt;&gt;"",$A194&amp;""=PMIS_Home!$B$4&amp;""),MAX($I$4:I193)+1,"")</f>
        <v/>
      </c>
    </row>
    <row r="195" spans="1:9" ht="13.5" customHeight="1">
      <c r="A195" s="13"/>
      <c r="B195" s="13"/>
      <c r="C195" s="13"/>
      <c r="D195" s="13"/>
      <c r="E195" s="13"/>
      <c r="F195" s="13"/>
      <c r="G195" s="13"/>
      <c r="H195" s="13"/>
      <c r="I195" s="73" t="str">
        <f>IF(AND($A195&lt;&gt;"",$A195&amp;""=PMIS_Home!$B$4&amp;""),MAX($I$4:I194)+1,"")</f>
        <v/>
      </c>
    </row>
    <row r="196" spans="1:9" ht="13.5" customHeight="1">
      <c r="A196" s="13"/>
      <c r="B196" s="13"/>
      <c r="C196" s="13"/>
      <c r="D196" s="13"/>
      <c r="E196" s="13"/>
      <c r="F196" s="13"/>
      <c r="G196" s="13"/>
      <c r="H196" s="13"/>
      <c r="I196" s="73" t="str">
        <f>IF(AND($A196&lt;&gt;"",$A196&amp;""=PMIS_Home!$B$4&amp;""),MAX($I$4:I195)+1,"")</f>
        <v/>
      </c>
    </row>
    <row r="197" spans="1:9" ht="13.5" customHeight="1">
      <c r="A197" s="13"/>
      <c r="B197" s="13"/>
      <c r="C197" s="13"/>
      <c r="D197" s="13"/>
      <c r="E197" s="13"/>
      <c r="F197" s="13"/>
      <c r="G197" s="13"/>
      <c r="H197" s="13"/>
      <c r="I197" s="73" t="str">
        <f>IF(AND($A197&lt;&gt;"",$A197&amp;""=PMIS_Home!$B$4&amp;""),MAX($I$4:I196)+1,"")</f>
        <v/>
      </c>
    </row>
    <row r="198" spans="1:9" ht="13.5" customHeight="1">
      <c r="A198" s="13"/>
      <c r="B198" s="13"/>
      <c r="C198" s="13"/>
      <c r="D198" s="13"/>
      <c r="E198" s="13"/>
      <c r="F198" s="13"/>
      <c r="G198" s="13"/>
      <c r="H198" s="13"/>
      <c r="I198" s="73" t="str">
        <f>IF(AND($A198&lt;&gt;"",$A198&amp;""=PMIS_Home!$B$4&amp;""),MAX($I$4:I197)+1,"")</f>
        <v/>
      </c>
    </row>
    <row r="199" spans="1:9" ht="13.5" customHeight="1">
      <c r="A199" s="13"/>
      <c r="B199" s="13"/>
      <c r="C199" s="13"/>
      <c r="D199" s="13"/>
      <c r="E199" s="13"/>
      <c r="F199" s="13"/>
      <c r="G199" s="13"/>
      <c r="H199" s="13"/>
      <c r="I199" s="73" t="str">
        <f>IF(AND($A199&lt;&gt;"",$A199&amp;""=PMIS_Home!$B$4&amp;""),MAX($I$4:I198)+1,"")</f>
        <v/>
      </c>
    </row>
    <row r="200" spans="1:9" ht="13.5" customHeight="1">
      <c r="A200" s="13"/>
      <c r="B200" s="13"/>
      <c r="C200" s="13"/>
      <c r="D200" s="13"/>
      <c r="E200" s="13"/>
      <c r="F200" s="13"/>
      <c r="G200" s="13"/>
      <c r="H200" s="13"/>
      <c r="I200" s="73" t="str">
        <f>IF(AND($A200&lt;&gt;"",$A200&amp;""=PMIS_Home!$B$4&amp;""),MAX($I$4:I199)+1,"")</f>
        <v/>
      </c>
    </row>
    <row r="201" spans="1:9" ht="13.5" customHeight="1">
      <c r="A201" s="13"/>
      <c r="B201" s="13"/>
      <c r="C201" s="13"/>
      <c r="D201" s="13"/>
      <c r="E201" s="13"/>
      <c r="F201" s="13"/>
      <c r="G201" s="13"/>
      <c r="H201" s="13"/>
      <c r="I201" s="73" t="str">
        <f>IF(AND($A201&lt;&gt;"",$A201&amp;""=PMIS_Home!$B$4&amp;""),MAX($I$4:I200)+1,"")</f>
        <v/>
      </c>
    </row>
    <row r="202" spans="1:9" ht="13.5" customHeight="1">
      <c r="A202" s="13"/>
      <c r="B202" s="13"/>
      <c r="C202" s="13"/>
      <c r="D202" s="13"/>
      <c r="E202" s="13"/>
      <c r="F202" s="13"/>
      <c r="G202" s="13"/>
      <c r="H202" s="13"/>
      <c r="I202" s="73" t="str">
        <f>IF(AND($A202&lt;&gt;"",$A202&amp;""=PMIS_Home!$B$4&amp;""),MAX($I$4:I201)+1,"")</f>
        <v/>
      </c>
    </row>
    <row r="203" spans="1:9" ht="13.5" customHeight="1">
      <c r="A203" s="13"/>
      <c r="B203" s="13"/>
      <c r="C203" s="13"/>
      <c r="D203" s="13"/>
      <c r="E203" s="13"/>
      <c r="F203" s="13"/>
      <c r="G203" s="13"/>
      <c r="H203" s="13"/>
      <c r="I203" s="73" t="str">
        <f>IF(AND($A203&lt;&gt;"",$A203&amp;""=PMIS_Home!$B$4&amp;""),MAX($I$4:I202)+1,"")</f>
        <v/>
      </c>
    </row>
    <row r="204" spans="1:9" ht="13.5" customHeight="1">
      <c r="A204" s="13"/>
      <c r="B204" s="13"/>
      <c r="C204" s="13"/>
      <c r="D204" s="13"/>
      <c r="E204" s="13"/>
      <c r="F204" s="13"/>
      <c r="G204" s="13"/>
      <c r="H204" s="13"/>
      <c r="I204" s="73" t="str">
        <f>IF(AND($A204&lt;&gt;"",$A204&amp;""=PMIS_Home!$B$4&amp;""),MAX($I$4:I203)+1,"")</f>
        <v/>
      </c>
    </row>
    <row r="205" spans="1:9" ht="13.5" customHeight="1">
      <c r="A205" s="13"/>
      <c r="B205" s="13"/>
      <c r="C205" s="13"/>
      <c r="D205" s="13"/>
      <c r="E205" s="13"/>
      <c r="F205" s="13"/>
      <c r="G205" s="13"/>
      <c r="H205" s="13"/>
      <c r="I205" s="73" t="str">
        <f>IF(AND($A205&lt;&gt;"",$A205&amp;""=PMIS_Home!$B$4&amp;""),MAX($I$4:I204)+1,"")</f>
        <v/>
      </c>
    </row>
    <row r="206" spans="1:9" ht="13.5" customHeight="1">
      <c r="A206" s="13"/>
      <c r="B206" s="13"/>
      <c r="C206" s="13"/>
      <c r="D206" s="13"/>
      <c r="E206" s="13"/>
      <c r="F206" s="13"/>
      <c r="G206" s="13"/>
      <c r="H206" s="13"/>
      <c r="I206" s="73" t="str">
        <f>IF(AND($A206&lt;&gt;"",$A206&amp;""=PMIS_Home!$B$4&amp;""),MAX($I$4:I205)+1,"")</f>
        <v/>
      </c>
    </row>
    <row r="207" spans="1:9" ht="13.5" customHeight="1">
      <c r="A207" s="13"/>
      <c r="B207" s="13"/>
      <c r="C207" s="13"/>
      <c r="D207" s="13"/>
      <c r="E207" s="13"/>
      <c r="F207" s="13"/>
      <c r="G207" s="13"/>
      <c r="H207" s="13"/>
      <c r="I207" s="73" t="str">
        <f>IF(AND($A207&lt;&gt;"",$A207&amp;""=PMIS_Home!$B$4&amp;""),MAX($I$4:I206)+1,"")</f>
        <v/>
      </c>
    </row>
    <row r="208" spans="1:9" ht="13.5" customHeight="1">
      <c r="A208" s="13"/>
      <c r="B208" s="13"/>
      <c r="C208" s="13"/>
      <c r="D208" s="13"/>
      <c r="E208" s="13"/>
      <c r="F208" s="13"/>
      <c r="G208" s="13"/>
      <c r="H208" s="13"/>
      <c r="I208" s="73" t="str">
        <f>IF(AND($A208&lt;&gt;"",$A208&amp;""=PMIS_Home!$B$4&amp;""),MAX($I$4:I207)+1,"")</f>
        <v/>
      </c>
    </row>
    <row r="209" spans="1:9" ht="13.5" customHeight="1">
      <c r="A209" s="13"/>
      <c r="B209" s="13"/>
      <c r="C209" s="13"/>
      <c r="D209" s="13"/>
      <c r="E209" s="13"/>
      <c r="F209" s="13"/>
      <c r="G209" s="13"/>
      <c r="H209" s="13"/>
      <c r="I209" s="73" t="str">
        <f>IF(AND($A209&lt;&gt;"",$A209&amp;""=PMIS_Home!$B$4&amp;""),MAX($I$4:I208)+1,"")</f>
        <v/>
      </c>
    </row>
    <row r="210" spans="1:9" ht="13.5" customHeight="1">
      <c r="A210" s="13"/>
      <c r="B210" s="13"/>
      <c r="C210" s="13"/>
      <c r="D210" s="13"/>
      <c r="E210" s="13"/>
      <c r="F210" s="13"/>
      <c r="G210" s="13"/>
      <c r="H210" s="13"/>
      <c r="I210" s="73" t="str">
        <f>IF(AND($A210&lt;&gt;"",$A210&amp;""=PMIS_Home!$B$4&amp;""),MAX($I$4:I209)+1,"")</f>
        <v/>
      </c>
    </row>
    <row r="211" spans="1:9" ht="13.5" customHeight="1">
      <c r="A211" s="13"/>
      <c r="B211" s="13"/>
      <c r="C211" s="13"/>
      <c r="D211" s="13"/>
      <c r="E211" s="13"/>
      <c r="F211" s="13"/>
      <c r="G211" s="13"/>
      <c r="H211" s="13"/>
      <c r="I211" s="73" t="str">
        <f>IF(AND($A211&lt;&gt;"",$A211&amp;""=PMIS_Home!$B$4&amp;""),MAX($I$4:I210)+1,"")</f>
        <v/>
      </c>
    </row>
    <row r="212" spans="1:9" ht="13.5" customHeight="1">
      <c r="A212" s="13"/>
      <c r="B212" s="13"/>
      <c r="C212" s="13"/>
      <c r="D212" s="13"/>
      <c r="E212" s="13"/>
      <c r="F212" s="13"/>
      <c r="G212" s="13"/>
      <c r="H212" s="13"/>
      <c r="I212" s="73" t="str">
        <f>IF(AND($A212&lt;&gt;"",$A212&amp;""=PMIS_Home!$B$4&amp;""),MAX($I$4:I211)+1,"")</f>
        <v/>
      </c>
    </row>
    <row r="213" spans="1:9" ht="13.5" customHeight="1">
      <c r="A213" s="13"/>
      <c r="B213" s="13"/>
      <c r="C213" s="13"/>
      <c r="D213" s="13"/>
      <c r="E213" s="13"/>
      <c r="F213" s="13"/>
      <c r="G213" s="13"/>
      <c r="H213" s="13"/>
      <c r="I213" s="73" t="str">
        <f>IF(AND($A213&lt;&gt;"",$A213&amp;""=PMIS_Home!$B$4&amp;""),MAX($I$4:I212)+1,"")</f>
        <v/>
      </c>
    </row>
    <row r="214" spans="1:9" ht="13.5" customHeight="1">
      <c r="A214" s="13"/>
      <c r="B214" s="13"/>
      <c r="C214" s="13"/>
      <c r="D214" s="13"/>
      <c r="E214" s="13"/>
      <c r="F214" s="13"/>
      <c r="G214" s="13"/>
      <c r="H214" s="13"/>
      <c r="I214" s="73" t="str">
        <f>IF(AND($A214&lt;&gt;"",$A214&amp;""=PMIS_Home!$B$4&amp;""),MAX($I$4:I213)+1,"")</f>
        <v/>
      </c>
    </row>
    <row r="215" spans="1:9" ht="13.5" customHeight="1">
      <c r="A215" s="13"/>
      <c r="B215" s="13"/>
      <c r="C215" s="13"/>
      <c r="D215" s="13"/>
      <c r="E215" s="13"/>
      <c r="F215" s="13"/>
      <c r="G215" s="13"/>
      <c r="H215" s="13"/>
      <c r="I215" s="73" t="str">
        <f>IF(AND($A215&lt;&gt;"",$A215&amp;""=PMIS_Home!$B$4&amp;""),MAX($I$4:I214)+1,"")</f>
        <v/>
      </c>
    </row>
    <row r="216" spans="1:9" ht="13.5" customHeight="1">
      <c r="A216" s="13"/>
      <c r="B216" s="13"/>
      <c r="C216" s="13"/>
      <c r="D216" s="13"/>
      <c r="E216" s="13"/>
      <c r="F216" s="13"/>
      <c r="G216" s="13"/>
      <c r="H216" s="13"/>
      <c r="I216" s="73" t="str">
        <f>IF(AND($A216&lt;&gt;"",$A216&amp;""=PMIS_Home!$B$4&amp;""),MAX($I$4:I215)+1,"")</f>
        <v/>
      </c>
    </row>
    <row r="217" spans="1:9" ht="13.5" customHeight="1">
      <c r="A217" s="13"/>
      <c r="B217" s="13"/>
      <c r="C217" s="13"/>
      <c r="D217" s="13"/>
      <c r="E217" s="13"/>
      <c r="F217" s="13"/>
      <c r="G217" s="13"/>
      <c r="H217" s="13"/>
      <c r="I217" s="73" t="str">
        <f>IF(AND($A217&lt;&gt;"",$A217&amp;""=PMIS_Home!$B$4&amp;""),MAX($I$4:I216)+1,"")</f>
        <v/>
      </c>
    </row>
    <row r="218" spans="1:9" ht="13.5" customHeight="1">
      <c r="A218" s="13"/>
      <c r="B218" s="13"/>
      <c r="C218" s="13"/>
      <c r="D218" s="13"/>
      <c r="E218" s="13"/>
      <c r="F218" s="13"/>
      <c r="G218" s="13"/>
      <c r="H218" s="13"/>
      <c r="I218" s="73" t="str">
        <f>IF(AND($A218&lt;&gt;"",$A218&amp;""=PMIS_Home!$B$4&amp;""),MAX($I$4:I217)+1,"")</f>
        <v/>
      </c>
    </row>
    <row r="219" spans="1:9" ht="13.5" customHeight="1">
      <c r="A219" s="13"/>
      <c r="B219" s="13"/>
      <c r="C219" s="13"/>
      <c r="D219" s="13"/>
      <c r="E219" s="13"/>
      <c r="F219" s="13"/>
      <c r="G219" s="13"/>
      <c r="H219" s="13"/>
      <c r="I219" s="73" t="str">
        <f>IF(AND($A219&lt;&gt;"",$A219&amp;""=PMIS_Home!$B$4&amp;""),MAX($I$4:I218)+1,"")</f>
        <v/>
      </c>
    </row>
    <row r="220" spans="1:9" ht="13.5" customHeight="1">
      <c r="A220" s="13"/>
      <c r="B220" s="13"/>
      <c r="C220" s="13"/>
      <c r="D220" s="13"/>
      <c r="E220" s="13"/>
      <c r="F220" s="13"/>
      <c r="G220" s="13"/>
      <c r="H220" s="13"/>
      <c r="I220" s="73" t="str">
        <f>IF(AND($A220&lt;&gt;"",$A220&amp;""=PMIS_Home!$B$4&amp;""),MAX($I$4:I219)+1,"")</f>
        <v/>
      </c>
    </row>
    <row r="221" spans="1:9" ht="14.25" customHeight="1">
      <c r="I221" s="73" t="str">
        <f>IF(AND($A221&lt;&gt;"",$A221&amp;""=PMIS_Home!$B$4&amp;""),MAX($I$4:I220)+1,"")</f>
        <v/>
      </c>
    </row>
    <row r="222" spans="1:9" ht="14.25" customHeight="1">
      <c r="I222" s="73" t="str">
        <f>IF(AND($A222&lt;&gt;"",$A222&amp;""=PMIS_Home!$B$4&amp;""),MAX($I$4:I221)+1,"")</f>
        <v/>
      </c>
    </row>
    <row r="223" spans="1:9" ht="14.25" customHeight="1">
      <c r="I223" s="73" t="str">
        <f>IF(AND($A223&lt;&gt;"",$A223&amp;""=PMIS_Home!$B$4&amp;""),MAX($I$4:I222)+1,"")</f>
        <v/>
      </c>
    </row>
    <row r="224" spans="1:9" ht="14.25" customHeight="1">
      <c r="I224" s="73" t="str">
        <f>IF(AND($A224&lt;&gt;"",$A224&amp;""=PMIS_Home!$B$4&amp;""),MAX($I$4:I223)+1,"")</f>
        <v/>
      </c>
    </row>
    <row r="225" spans="9:9" ht="14.25" customHeight="1">
      <c r="I225" s="73" t="str">
        <f>IF(AND($A225&lt;&gt;"",$A225&amp;""=PMIS_Home!$B$4&amp;""),MAX($I$4:I224)+1,"")</f>
        <v/>
      </c>
    </row>
    <row r="226" spans="9:9" ht="14.25" customHeight="1">
      <c r="I226" s="73" t="str">
        <f>IF(AND($A226&lt;&gt;"",$A226&amp;""=PMIS_Home!$B$4&amp;""),MAX($I$4:I225)+1,"")</f>
        <v/>
      </c>
    </row>
    <row r="227" spans="9:9" ht="14.25" customHeight="1">
      <c r="I227" s="73" t="str">
        <f>IF(AND($A227&lt;&gt;"",$A227&amp;""=PMIS_Home!$B$4&amp;""),MAX($I$4:I226)+1,"")</f>
        <v/>
      </c>
    </row>
    <row r="228" spans="9:9" ht="14.25" customHeight="1">
      <c r="I228" s="73" t="str">
        <f>IF(AND($A228&lt;&gt;"",$A228&amp;""=PMIS_Home!$B$4&amp;""),MAX($I$4:I227)+1,"")</f>
        <v/>
      </c>
    </row>
    <row r="229" spans="9:9" ht="14.25" customHeight="1">
      <c r="I229" s="73" t="str">
        <f>IF(AND($A229&lt;&gt;"",$A229&amp;""=PMIS_Home!$B$4&amp;""),MAX($I$4:I228)+1,"")</f>
        <v/>
      </c>
    </row>
    <row r="230" spans="9:9" ht="14.25" customHeight="1">
      <c r="I230" s="73" t="str">
        <f>IF(AND($A230&lt;&gt;"",$A230&amp;""=PMIS_Home!$B$4&amp;""),MAX($I$4:I229)+1,"")</f>
        <v/>
      </c>
    </row>
    <row r="231" spans="9:9" ht="14.25" customHeight="1">
      <c r="I231" s="73" t="str">
        <f>IF(AND($A231&lt;&gt;"",$A231&amp;""=PMIS_Home!$B$4&amp;""),MAX($I$4:I230)+1,"")</f>
        <v/>
      </c>
    </row>
    <row r="232" spans="9:9" ht="14.25" customHeight="1">
      <c r="I232" s="73" t="str">
        <f>IF(AND($A232&lt;&gt;"",$A232&amp;""=PMIS_Home!$B$4&amp;""),MAX($I$4:I231)+1,"")</f>
        <v/>
      </c>
    </row>
    <row r="233" spans="9:9" ht="14.25" customHeight="1">
      <c r="I233" s="73" t="str">
        <f>IF(AND($A233&lt;&gt;"",$A233&amp;""=PMIS_Home!$B$4&amp;""),MAX($I$4:I232)+1,"")</f>
        <v/>
      </c>
    </row>
    <row r="234" spans="9:9" ht="14.25" customHeight="1">
      <c r="I234" s="73" t="str">
        <f>IF(AND($A234&lt;&gt;"",$A234&amp;""=PMIS_Home!$B$4&amp;""),MAX($I$4:I233)+1,"")</f>
        <v/>
      </c>
    </row>
    <row r="235" spans="9:9" ht="14.25" customHeight="1">
      <c r="I235" s="73" t="str">
        <f>IF(AND($A235&lt;&gt;"",$A235&amp;""=PMIS_Home!$B$4&amp;""),MAX($I$4:I234)+1,"")</f>
        <v/>
      </c>
    </row>
    <row r="236" spans="9:9" ht="14.25" customHeight="1">
      <c r="I236" s="73" t="str">
        <f>IF(AND($A236&lt;&gt;"",$A236&amp;""=PMIS_Home!$B$4&amp;""),MAX($I$4:I235)+1,"")</f>
        <v/>
      </c>
    </row>
    <row r="237" spans="9:9" ht="14.25" customHeight="1">
      <c r="I237" s="73" t="str">
        <f>IF(AND($A237&lt;&gt;"",$A237&amp;""=PMIS_Home!$B$4&amp;""),MAX($I$4:I236)+1,"")</f>
        <v/>
      </c>
    </row>
    <row r="238" spans="9:9" ht="14.25" customHeight="1">
      <c r="I238" s="73" t="str">
        <f>IF(AND($A238&lt;&gt;"",$A238&amp;""=PMIS_Home!$B$4&amp;""),MAX($I$4:I237)+1,"")</f>
        <v/>
      </c>
    </row>
    <row r="239" spans="9:9" ht="14.25" customHeight="1">
      <c r="I239" s="73" t="str">
        <f>IF(AND($A239&lt;&gt;"",$A239&amp;""=PMIS_Home!$B$4&amp;""),MAX($I$4:I238)+1,"")</f>
        <v/>
      </c>
    </row>
    <row r="240" spans="9:9" ht="14.25" customHeight="1">
      <c r="I240" s="73" t="str">
        <f>IF(AND($A240&lt;&gt;"",$A240&amp;""=PMIS_Home!$B$4&amp;""),MAX($I$4:I239)+1,"")</f>
        <v/>
      </c>
    </row>
    <row r="241" spans="9:9" ht="14.25" customHeight="1">
      <c r="I241" s="73" t="str">
        <f>IF(AND($A241&lt;&gt;"",$A241&amp;""=PMIS_Home!$B$4&amp;""),MAX($I$4:I240)+1,"")</f>
        <v/>
      </c>
    </row>
    <row r="242" spans="9:9" ht="14.25" customHeight="1">
      <c r="I242" s="73" t="str">
        <f>IF(AND($A242&lt;&gt;"",$A242&amp;""=PMIS_Home!$B$4&amp;""),MAX($I$4:I241)+1,"")</f>
        <v/>
      </c>
    </row>
    <row r="243" spans="9:9" ht="14.25" customHeight="1">
      <c r="I243" s="73" t="str">
        <f>IF(AND($A243&lt;&gt;"",$A243&amp;""=PMIS_Home!$B$4&amp;""),MAX($I$4:I242)+1,"")</f>
        <v/>
      </c>
    </row>
    <row r="244" spans="9:9" ht="14.25" customHeight="1">
      <c r="I244" s="73" t="str">
        <f>IF(AND($A244&lt;&gt;"",$A244&amp;""=PMIS_Home!$B$4&amp;""),MAX($I$4:I243)+1,"")</f>
        <v/>
      </c>
    </row>
    <row r="245" spans="9:9" ht="14.25" customHeight="1">
      <c r="I245" s="73" t="str">
        <f>IF(AND($A245&lt;&gt;"",$A245&amp;""=PMIS_Home!$B$4&amp;""),MAX($I$4:I244)+1,"")</f>
        <v/>
      </c>
    </row>
    <row r="246" spans="9:9" ht="14.25" customHeight="1">
      <c r="I246" s="73" t="str">
        <f>IF(AND($A246&lt;&gt;"",$A246&amp;""=PMIS_Home!$B$4&amp;""),MAX($I$4:I245)+1,"")</f>
        <v/>
      </c>
    </row>
    <row r="247" spans="9:9" ht="14.25" customHeight="1">
      <c r="I247" s="73" t="str">
        <f>IF(AND($A247&lt;&gt;"",$A247&amp;""=PMIS_Home!$B$4&amp;""),MAX($I$4:I246)+1,"")</f>
        <v/>
      </c>
    </row>
    <row r="248" spans="9:9" ht="14.25" customHeight="1">
      <c r="I248" s="73" t="str">
        <f>IF(AND($A248&lt;&gt;"",$A248&amp;""=PMIS_Home!$B$4&amp;""),MAX($I$4:I247)+1,"")</f>
        <v/>
      </c>
    </row>
    <row r="249" spans="9:9" ht="14.25" customHeight="1">
      <c r="I249" s="73" t="str">
        <f>IF(AND($A249&lt;&gt;"",$A249&amp;""=PMIS_Home!$B$4&amp;""),MAX($I$4:I248)+1,"")</f>
        <v/>
      </c>
    </row>
    <row r="250" spans="9:9" ht="14.25" customHeight="1">
      <c r="I250" s="73" t="str">
        <f>IF(AND($A250&lt;&gt;"",$A250&amp;""=PMIS_Home!$B$4&amp;""),MAX($I$4:I249)+1,"")</f>
        <v/>
      </c>
    </row>
    <row r="251" spans="9:9" ht="14.25" customHeight="1">
      <c r="I251" s="74" t="str">
        <f>IF(AND($A251&lt;&gt;"",$A251&amp;""=PMIS_Home!$B$4&amp;""),MAX($I$4:I250)+1,"")</f>
        <v/>
      </c>
    </row>
    <row r="252" spans="9:9" ht="14.25" customHeight="1">
      <c r="I252" s="74" t="str">
        <f>IF(AND($A252&lt;&gt;"",$A252&amp;""=PMIS_Home!$B$4&amp;""),MAX($I$4:I251)+1,"")</f>
        <v/>
      </c>
    </row>
    <row r="253" spans="9:9" ht="14.25" customHeight="1">
      <c r="I253" s="74" t="str">
        <f>IF(AND($A253&lt;&gt;"",$A253&amp;""=PMIS_Home!$B$4&amp;""),MAX($I$4:I252)+1,"")</f>
        <v/>
      </c>
    </row>
    <row r="254" spans="9:9" ht="14.25" customHeight="1">
      <c r="I254" s="74" t="str">
        <f>IF(AND($A254&lt;&gt;"",$A254&amp;""=PMIS_Home!$B$4&amp;""),MAX($I$4:I253)+1,"")</f>
        <v/>
      </c>
    </row>
    <row r="255" spans="9:9" ht="14.25" customHeight="1">
      <c r="I255" s="74" t="str">
        <f>IF(AND($A255&lt;&gt;"",$A255&amp;""=PMIS_Home!$B$4&amp;""),MAX($I$4:I254)+1,"")</f>
        <v/>
      </c>
    </row>
    <row r="256" spans="9:9" ht="14.25" customHeight="1">
      <c r="I256" s="74" t="str">
        <f>IF(AND($A256&lt;&gt;"",$A256&amp;""=PMIS_Home!$B$4&amp;""),MAX($I$4:I255)+1,"")</f>
        <v/>
      </c>
    </row>
    <row r="257" spans="9:9" ht="14.25" customHeight="1">
      <c r="I257" s="74" t="str">
        <f>IF(AND($A257&lt;&gt;"",$A257&amp;""=PMIS_Home!$B$4&amp;""),MAX($I$4:I256)+1,"")</f>
        <v/>
      </c>
    </row>
    <row r="258" spans="9:9" ht="14.25" customHeight="1">
      <c r="I258" s="74" t="str">
        <f>IF(AND($A258&lt;&gt;"",$A258&amp;""=PMIS_Home!$B$4&amp;""),MAX($I$4:I257)+1,"")</f>
        <v/>
      </c>
    </row>
    <row r="259" spans="9:9" ht="14.25" customHeight="1">
      <c r="I259" s="74" t="str">
        <f>IF(AND($A259&lt;&gt;"",$A259&amp;""=PMIS_Home!$B$4&amp;""),MAX($I$4:I258)+1,"")</f>
        <v/>
      </c>
    </row>
    <row r="260" spans="9:9" ht="14.25" customHeight="1">
      <c r="I260" s="74" t="str">
        <f>IF(AND($A260&lt;&gt;"",$A260&amp;""=PMIS_Home!$B$4&amp;""),MAX($I$4:I259)+1,"")</f>
        <v/>
      </c>
    </row>
    <row r="261" spans="9:9" ht="14.25" customHeight="1">
      <c r="I261" s="74" t="str">
        <f>IF(AND($A261&lt;&gt;"",$A261&amp;""=PMIS_Home!$B$4&amp;""),MAX($I$4:I260)+1,"")</f>
        <v/>
      </c>
    </row>
    <row r="262" spans="9:9" ht="14.25" customHeight="1">
      <c r="I262" s="74" t="str">
        <f>IF(AND($A262&lt;&gt;"",$A262&amp;""=PMIS_Home!$B$4&amp;""),MAX($I$4:I261)+1,"")</f>
        <v/>
      </c>
    </row>
    <row r="263" spans="9:9" ht="14.25" customHeight="1">
      <c r="I263" s="74" t="str">
        <f>IF(AND($A263&lt;&gt;"",$A263&amp;""=PMIS_Home!$B$4&amp;""),MAX($I$4:I262)+1,"")</f>
        <v/>
      </c>
    </row>
    <row r="264" spans="9:9" ht="14.25" customHeight="1">
      <c r="I264" s="74" t="str">
        <f>IF(AND($A264&lt;&gt;"",$A264&amp;""=PMIS_Home!$B$4&amp;""),MAX($I$4:I263)+1,"")</f>
        <v/>
      </c>
    </row>
    <row r="265" spans="9:9" ht="14.25" customHeight="1">
      <c r="I265" s="74" t="str">
        <f>IF(AND($A265&lt;&gt;"",$A265&amp;""=PMIS_Home!$B$4&amp;""),MAX($I$4:I264)+1,"")</f>
        <v/>
      </c>
    </row>
    <row r="266" spans="9:9" ht="14.25" customHeight="1">
      <c r="I266" s="74" t="str">
        <f>IF(AND($A266&lt;&gt;"",$A266&amp;""=PMIS_Home!$B$4&amp;""),MAX($I$4:I265)+1,"")</f>
        <v/>
      </c>
    </row>
    <row r="267" spans="9:9" ht="14.25" customHeight="1">
      <c r="I267" s="74" t="str">
        <f>IF(AND($A267&lt;&gt;"",$A267&amp;""=PMIS_Home!$B$4&amp;""),MAX($I$4:I266)+1,"")</f>
        <v/>
      </c>
    </row>
    <row r="268" spans="9:9" ht="14.25" customHeight="1">
      <c r="I268" s="74" t="str">
        <f>IF(AND($A268&lt;&gt;"",$A268&amp;""=PMIS_Home!$B$4&amp;""),MAX($I$4:I267)+1,"")</f>
        <v/>
      </c>
    </row>
    <row r="269" spans="9:9" ht="14.25" customHeight="1">
      <c r="I269" s="74" t="str">
        <f>IF(AND($A269&lt;&gt;"",$A269&amp;""=PMIS_Home!$B$4&amp;""),MAX($I$4:I268)+1,"")</f>
        <v/>
      </c>
    </row>
    <row r="270" spans="9:9" ht="14.25" customHeight="1">
      <c r="I270" s="74" t="str">
        <f>IF(AND($A270&lt;&gt;"",$A270&amp;""=PMIS_Home!$B$4&amp;""),MAX($I$4:I269)+1,"")</f>
        <v/>
      </c>
    </row>
    <row r="271" spans="9:9" ht="14.25" customHeight="1">
      <c r="I271" s="74" t="str">
        <f>IF(AND($A271&lt;&gt;"",$A271&amp;""=PMIS_Home!$B$4&amp;""),MAX($I$4:I270)+1,"")</f>
        <v/>
      </c>
    </row>
    <row r="272" spans="9:9" ht="14.25" customHeight="1">
      <c r="I272" s="74" t="str">
        <f>IF(AND($A272&lt;&gt;"",$A272&amp;""=PMIS_Home!$B$4&amp;""),MAX($I$4:I271)+1,"")</f>
        <v/>
      </c>
    </row>
    <row r="273" spans="9:9" ht="14.25" customHeight="1">
      <c r="I273" s="74" t="str">
        <f>IF(AND($A273&lt;&gt;"",$A273&amp;""=PMIS_Home!$B$4&amp;""),MAX($I$4:I272)+1,"")</f>
        <v/>
      </c>
    </row>
    <row r="274" spans="9:9" ht="14.25" customHeight="1">
      <c r="I274" s="74" t="str">
        <f>IF(AND($A274&lt;&gt;"",$A274&amp;""=PMIS_Home!$B$4&amp;""),MAX($I$4:I273)+1,"")</f>
        <v/>
      </c>
    </row>
    <row r="275" spans="9:9" ht="14.25" customHeight="1">
      <c r="I275" s="74" t="str">
        <f>IF(AND($A275&lt;&gt;"",$A275&amp;""=PMIS_Home!$B$4&amp;""),MAX($I$4:I274)+1,"")</f>
        <v/>
      </c>
    </row>
    <row r="276" spans="9:9" ht="14.25" customHeight="1">
      <c r="I276" s="74" t="str">
        <f>IF(AND($A276&lt;&gt;"",$A276&amp;""=PMIS_Home!$B$4&amp;""),MAX($I$4:I275)+1,"")</f>
        <v/>
      </c>
    </row>
    <row r="277" spans="9:9" ht="14.25" customHeight="1">
      <c r="I277" s="74" t="str">
        <f>IF(AND($A277&lt;&gt;"",$A277&amp;""=PMIS_Home!$B$4&amp;""),MAX($I$4:I276)+1,"")</f>
        <v/>
      </c>
    </row>
    <row r="278" spans="9:9" ht="14.25" customHeight="1">
      <c r="I278" s="74" t="str">
        <f>IF(AND($A278&lt;&gt;"",$A278&amp;""=PMIS_Home!$B$4&amp;""),MAX($I$4:I277)+1,"")</f>
        <v/>
      </c>
    </row>
    <row r="279" spans="9:9" ht="14.25" customHeight="1">
      <c r="I279" s="74" t="str">
        <f>IF(AND($A279&lt;&gt;"",$A279&amp;""=PMIS_Home!$B$4&amp;""),MAX($I$4:I278)+1,"")</f>
        <v/>
      </c>
    </row>
    <row r="280" spans="9:9" ht="14.25" customHeight="1">
      <c r="I280" s="74" t="str">
        <f>IF(AND($A280&lt;&gt;"",$A280&amp;""=PMIS_Home!$B$4&amp;""),MAX($I$4:I279)+1,"")</f>
        <v/>
      </c>
    </row>
    <row r="281" spans="9:9" ht="14.25" customHeight="1">
      <c r="I281" s="74" t="str">
        <f>IF(AND($A281&lt;&gt;"",$A281&amp;""=PMIS_Home!$B$4&amp;""),MAX($I$4:I280)+1,"")</f>
        <v/>
      </c>
    </row>
    <row r="282" spans="9:9" ht="14.25" customHeight="1">
      <c r="I282" s="74" t="str">
        <f>IF(AND($A282&lt;&gt;"",$A282&amp;""=PMIS_Home!$B$4&amp;""),MAX($I$4:I281)+1,"")</f>
        <v/>
      </c>
    </row>
    <row r="283" spans="9:9" ht="14.25" customHeight="1">
      <c r="I283" s="74" t="str">
        <f>IF(AND($A283&lt;&gt;"",$A283&amp;""=PMIS_Home!$B$4&amp;""),MAX($I$4:I282)+1,"")</f>
        <v/>
      </c>
    </row>
    <row r="284" spans="9:9" ht="14.25" customHeight="1">
      <c r="I284" s="74" t="str">
        <f>IF(AND($A284&lt;&gt;"",$A284&amp;""=PMIS_Home!$B$4&amp;""),MAX($I$4:I283)+1,"")</f>
        <v/>
      </c>
    </row>
    <row r="285" spans="9:9" ht="14.25" customHeight="1">
      <c r="I285" s="74" t="str">
        <f>IF(AND($A285&lt;&gt;"",$A285&amp;""=PMIS_Home!$B$4&amp;""),MAX($I$4:I284)+1,"")</f>
        <v/>
      </c>
    </row>
    <row r="286" spans="9:9" ht="14.25" customHeight="1">
      <c r="I286" s="74" t="str">
        <f>IF(AND($A286&lt;&gt;"",$A286&amp;""=PMIS_Home!$B$4&amp;""),MAX($I$4:I285)+1,"")</f>
        <v/>
      </c>
    </row>
    <row r="287" spans="9:9" ht="14.25" customHeight="1">
      <c r="I287" s="74" t="str">
        <f>IF(AND($A287&lt;&gt;"",$A287&amp;""=PMIS_Home!$B$4&amp;""),MAX($I$4:I286)+1,"")</f>
        <v/>
      </c>
    </row>
    <row r="288" spans="9:9" ht="14.25" customHeight="1">
      <c r="I288" s="74" t="str">
        <f>IF(AND($A288&lt;&gt;"",$A288&amp;""=PMIS_Home!$B$4&amp;""),MAX($I$4:I287)+1,"")</f>
        <v/>
      </c>
    </row>
    <row r="289" spans="9:9" ht="14.25" customHeight="1">
      <c r="I289" s="74" t="str">
        <f>IF(AND($A289&lt;&gt;"",$A289&amp;""=PMIS_Home!$B$4&amp;""),MAX($I$4:I288)+1,"")</f>
        <v/>
      </c>
    </row>
    <row r="290" spans="9:9" ht="14.25" customHeight="1">
      <c r="I290" s="74" t="str">
        <f>IF(AND($A290&lt;&gt;"",$A290&amp;""=PMIS_Home!$B$4&amp;""),MAX($I$4:I289)+1,"")</f>
        <v/>
      </c>
    </row>
    <row r="291" spans="9:9" ht="14.25" customHeight="1">
      <c r="I291" s="74" t="str">
        <f>IF(AND($A291&lt;&gt;"",$A291&amp;""=PMIS_Home!$B$4&amp;""),MAX($I$4:I290)+1,"")</f>
        <v/>
      </c>
    </row>
    <row r="292" spans="9:9" ht="14.25" customHeight="1">
      <c r="I292" s="74" t="str">
        <f>IF(AND($A292&lt;&gt;"",$A292&amp;""=PMIS_Home!$B$4&amp;""),MAX($I$4:I291)+1,"")</f>
        <v/>
      </c>
    </row>
    <row r="293" spans="9:9" ht="14.25" customHeight="1">
      <c r="I293" s="74" t="str">
        <f>IF(AND($A293&lt;&gt;"",$A293&amp;""=PMIS_Home!$B$4&amp;""),MAX($I$4:I292)+1,"")</f>
        <v/>
      </c>
    </row>
    <row r="294" spans="9:9" ht="14.25" customHeight="1">
      <c r="I294" s="74" t="str">
        <f>IF(AND($A294&lt;&gt;"",$A294&amp;""=PMIS_Home!$B$4&amp;""),MAX($I$4:I293)+1,"")</f>
        <v/>
      </c>
    </row>
    <row r="295" spans="9:9" ht="14.25" customHeight="1">
      <c r="I295" s="74" t="str">
        <f>IF(AND($A295&lt;&gt;"",$A295&amp;""=PMIS_Home!$B$4&amp;""),MAX($I$4:I294)+1,"")</f>
        <v/>
      </c>
    </row>
    <row r="296" spans="9:9" ht="14.25" customHeight="1">
      <c r="I296" s="74" t="str">
        <f>IF(AND($A296&lt;&gt;"",$A296&amp;""=PMIS_Home!$B$4&amp;""),MAX($I$4:I295)+1,"")</f>
        <v/>
      </c>
    </row>
    <row r="297" spans="9:9" ht="14.25" customHeight="1">
      <c r="I297" s="74" t="str">
        <f>IF(AND($A297&lt;&gt;"",$A297&amp;""=PMIS_Home!$B$4&amp;""),MAX($I$4:I296)+1,"")</f>
        <v/>
      </c>
    </row>
    <row r="298" spans="9:9" ht="14.25" customHeight="1">
      <c r="I298" s="74" t="str">
        <f>IF(AND($A298&lt;&gt;"",$A298&amp;""=PMIS_Home!$B$4&amp;""),MAX($I$4:I297)+1,"")</f>
        <v/>
      </c>
    </row>
    <row r="299" spans="9:9" ht="14.25" customHeight="1">
      <c r="I299" s="74" t="str">
        <f>IF(AND($A299&lt;&gt;"",$A299&amp;""=PMIS_Home!$B$4&amp;""),MAX($I$4:I298)+1,"")</f>
        <v/>
      </c>
    </row>
    <row r="300" spans="9:9" ht="14.25" customHeight="1">
      <c r="I300" s="74" t="str">
        <f>IF(AND($A300&lt;&gt;"",$A300&amp;""=PMIS_Home!$B$4&amp;""),MAX($I$4:I299)+1,"")</f>
        <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12BD3-2AAA-4187-8BCF-48CF381EA9A7}">
  <dimension ref="A1:L300"/>
  <sheetViews>
    <sheetView showGridLines="0" workbookViewId="0"/>
  </sheetViews>
  <sheetFormatPr defaultColWidth="8.6640625" defaultRowHeight="14.4"/>
  <cols>
    <col min="1" max="1" width="12" style="8" customWidth="1"/>
    <col min="2" max="2" width="36" style="8" customWidth="1"/>
    <col min="3" max="3" width="24" style="8" customWidth="1"/>
    <col min="4" max="4" width="14" style="8" customWidth="1"/>
    <col min="5" max="5" width="36" style="8" customWidth="1"/>
    <col min="6" max="6" width="12" style="8" customWidth="1"/>
    <col min="7" max="7" width="14" style="8" customWidth="1"/>
    <col min="8" max="8" width="16" style="8" customWidth="1"/>
    <col min="9" max="9" width="22" style="8" customWidth="1"/>
    <col min="10" max="10" width="32" style="8" customWidth="1"/>
    <col min="11" max="11" width="36" style="8" customWidth="1"/>
    <col min="12" max="12" width="10" style="8" customWidth="1"/>
  </cols>
  <sheetData>
    <row r="1" spans="1:12" ht="13.5" customHeight="1">
      <c r="A1" s="14" t="s">
        <v>724</v>
      </c>
    </row>
    <row r="2" spans="1:12" ht="8.25" customHeight="1">
      <c r="A2" s="21" t="s">
        <v>725</v>
      </c>
    </row>
    <row r="4" spans="1:12" ht="11.25" customHeight="1">
      <c r="A4" s="48" t="s">
        <v>282</v>
      </c>
      <c r="B4" s="48" t="s">
        <v>283</v>
      </c>
      <c r="C4" s="48" t="s">
        <v>284</v>
      </c>
      <c r="D4" s="48" t="s">
        <v>285</v>
      </c>
      <c r="E4" s="48" t="s">
        <v>286</v>
      </c>
      <c r="F4" s="48" t="s">
        <v>287</v>
      </c>
      <c r="G4" s="48" t="s">
        <v>263</v>
      </c>
      <c r="H4" s="48" t="s">
        <v>142</v>
      </c>
      <c r="I4" s="48" t="s">
        <v>218</v>
      </c>
      <c r="J4" s="48" t="s">
        <v>288</v>
      </c>
      <c r="K4" s="48" t="s">
        <v>289</v>
      </c>
      <c r="L4" s="72" t="s">
        <v>344</v>
      </c>
    </row>
    <row r="5" spans="1:12" ht="27" customHeight="1">
      <c r="A5" s="35" t="s">
        <v>726</v>
      </c>
      <c r="B5" s="35" t="s">
        <v>727</v>
      </c>
      <c r="C5" s="13"/>
      <c r="D5" s="13"/>
      <c r="E5" s="35" t="s">
        <v>727</v>
      </c>
      <c r="F5" s="13"/>
      <c r="G5" s="13"/>
      <c r="H5" s="35" t="s">
        <v>394</v>
      </c>
      <c r="I5" s="13"/>
      <c r="J5" s="13"/>
      <c r="K5" s="35" t="s">
        <v>728</v>
      </c>
      <c r="L5" s="73">
        <f>IF(AND($H5&lt;&gt;"",OR($H5&amp;""=PMIS_Home!$B$4&amp;"",$H5&amp;""="Campus")),MAX($L$4:L4)+1,"")</f>
        <v>1</v>
      </c>
    </row>
    <row r="6" spans="1:12" ht="13.5" customHeight="1">
      <c r="A6" s="35" t="s">
        <v>729</v>
      </c>
      <c r="B6" s="35" t="s">
        <v>730</v>
      </c>
      <c r="C6" s="35" t="s">
        <v>731</v>
      </c>
      <c r="D6" s="13"/>
      <c r="E6" s="35" t="s">
        <v>730</v>
      </c>
      <c r="F6" s="13"/>
      <c r="G6" s="13"/>
      <c r="H6" s="35" t="s">
        <v>394</v>
      </c>
      <c r="I6" s="35" t="s">
        <v>732</v>
      </c>
      <c r="J6" s="35" t="s">
        <v>733</v>
      </c>
      <c r="K6" s="35" t="s">
        <v>734</v>
      </c>
      <c r="L6" s="73">
        <f>IF(AND($H6&lt;&gt;"",OR($H6&amp;""=PMIS_Home!$B$4&amp;"",$H6&amp;""="Campus")),MAX($L$4:L5)+1,"")</f>
        <v>2</v>
      </c>
    </row>
    <row r="7" spans="1:12" ht="13.5" customHeight="1">
      <c r="A7" s="35" t="s">
        <v>735</v>
      </c>
      <c r="B7" s="35" t="s">
        <v>736</v>
      </c>
      <c r="C7" s="35" t="s">
        <v>737</v>
      </c>
      <c r="D7" s="13"/>
      <c r="E7" s="35" t="s">
        <v>736</v>
      </c>
      <c r="F7" s="13"/>
      <c r="G7" s="13"/>
      <c r="H7" s="35" t="s">
        <v>394</v>
      </c>
      <c r="I7" s="35" t="s">
        <v>738</v>
      </c>
      <c r="J7" s="35" t="s">
        <v>739</v>
      </c>
      <c r="K7" s="35" t="s">
        <v>740</v>
      </c>
      <c r="L7" s="73">
        <f>IF(AND($H7&lt;&gt;"",OR($H7&amp;""=PMIS_Home!$B$4&amp;"",$H7&amp;""="Campus")),MAX($L$4:L6)+1,"")</f>
        <v>3</v>
      </c>
    </row>
    <row r="8" spans="1:12" ht="10.5" customHeight="1">
      <c r="A8" s="35" t="s">
        <v>741</v>
      </c>
      <c r="B8" s="35" t="s">
        <v>742</v>
      </c>
      <c r="C8" s="35" t="s">
        <v>743</v>
      </c>
      <c r="D8" s="13"/>
      <c r="E8" s="35" t="s">
        <v>742</v>
      </c>
      <c r="F8" s="13"/>
      <c r="G8" s="13"/>
      <c r="H8" s="35" t="s">
        <v>394</v>
      </c>
      <c r="I8" s="35" t="s">
        <v>744</v>
      </c>
      <c r="J8" s="35" t="s">
        <v>745</v>
      </c>
      <c r="K8" s="35" t="s">
        <v>746</v>
      </c>
      <c r="L8" s="73">
        <f>IF(AND($H8&lt;&gt;"",OR($H8&amp;""=PMIS_Home!$B$4&amp;"",$H8&amp;""="Campus")),MAX($L$4:L7)+1,"")</f>
        <v>4</v>
      </c>
    </row>
    <row r="9" spans="1:12" ht="15.75" customHeight="1">
      <c r="A9" s="35" t="s">
        <v>747</v>
      </c>
      <c r="B9" s="35" t="s">
        <v>748</v>
      </c>
      <c r="C9" s="35" t="s">
        <v>749</v>
      </c>
      <c r="D9" s="13"/>
      <c r="E9" s="35" t="s">
        <v>748</v>
      </c>
      <c r="F9" s="13"/>
      <c r="G9" s="13"/>
      <c r="H9" s="35" t="s">
        <v>394</v>
      </c>
      <c r="I9" s="35" t="s">
        <v>750</v>
      </c>
      <c r="J9" s="35" t="s">
        <v>751</v>
      </c>
      <c r="K9" s="35" t="s">
        <v>752</v>
      </c>
      <c r="L9" s="73">
        <f>IF(AND($H9&lt;&gt;"",OR($H9&amp;""=PMIS_Home!$B$4&amp;"",$H9&amp;""="Campus")),MAX($L$4:L8)+1,"")</f>
        <v>5</v>
      </c>
    </row>
    <row r="10" spans="1:12" ht="13.5" customHeight="1">
      <c r="A10" s="35" t="s">
        <v>753</v>
      </c>
      <c r="B10" s="35" t="s">
        <v>754</v>
      </c>
      <c r="C10" s="35" t="s">
        <v>252</v>
      </c>
      <c r="D10" s="13"/>
      <c r="E10" s="35" t="s">
        <v>754</v>
      </c>
      <c r="F10" s="13"/>
      <c r="G10" s="13"/>
      <c r="H10" s="35" t="s">
        <v>394</v>
      </c>
      <c r="I10" s="35" t="s">
        <v>755</v>
      </c>
      <c r="J10" s="35" t="s">
        <v>756</v>
      </c>
      <c r="K10" s="35" t="s">
        <v>757</v>
      </c>
      <c r="L10" s="73">
        <f>IF(AND($H10&lt;&gt;"",OR($H10&amp;""=PMIS_Home!$B$4&amp;"",$H10&amp;""="Campus")),MAX($L$4:L9)+1,"")</f>
        <v>6</v>
      </c>
    </row>
    <row r="11" spans="1:12" ht="10.5" customHeight="1">
      <c r="A11" s="35" t="s">
        <v>758</v>
      </c>
      <c r="B11" s="35" t="s">
        <v>759</v>
      </c>
      <c r="C11" s="35" t="s">
        <v>760</v>
      </c>
      <c r="D11" s="13"/>
      <c r="E11" s="35" t="s">
        <v>759</v>
      </c>
      <c r="F11" s="13"/>
      <c r="G11" s="13"/>
      <c r="H11" s="35" t="s">
        <v>394</v>
      </c>
      <c r="I11" s="35" t="s">
        <v>761</v>
      </c>
      <c r="J11" s="35" t="s">
        <v>762</v>
      </c>
      <c r="K11" s="35" t="s">
        <v>763</v>
      </c>
      <c r="L11" s="73">
        <f>IF(AND($H11&lt;&gt;"",OR($H11&amp;""=PMIS_Home!$B$4&amp;"",$H11&amp;""="Campus")),MAX($L$4:L10)+1,"")</f>
        <v>7</v>
      </c>
    </row>
    <row r="12" spans="1:12" ht="13.5" customHeight="1">
      <c r="A12" s="35" t="s">
        <v>764</v>
      </c>
      <c r="B12" s="35" t="s">
        <v>765</v>
      </c>
      <c r="C12" s="35" t="s">
        <v>365</v>
      </c>
      <c r="D12" s="13"/>
      <c r="E12" s="35" t="s">
        <v>765</v>
      </c>
      <c r="F12" s="13"/>
      <c r="G12" s="13"/>
      <c r="H12" s="35" t="s">
        <v>394</v>
      </c>
      <c r="I12" s="35" t="s">
        <v>766</v>
      </c>
      <c r="J12" s="35" t="s">
        <v>767</v>
      </c>
      <c r="K12" s="35" t="s">
        <v>768</v>
      </c>
      <c r="L12" s="73">
        <f>IF(AND($H12&lt;&gt;"",OR($H12&amp;""=PMIS_Home!$B$4&amp;"",$H12&amp;""="Campus")),MAX($L$4:L11)+1,"")</f>
        <v>8</v>
      </c>
    </row>
    <row r="13" spans="1:12" ht="13.5" customHeight="1">
      <c r="A13" s="35" t="s">
        <v>769</v>
      </c>
      <c r="B13" s="35" t="s">
        <v>770</v>
      </c>
      <c r="C13" s="35" t="s">
        <v>365</v>
      </c>
      <c r="D13" s="13"/>
      <c r="E13" s="35" t="s">
        <v>770</v>
      </c>
      <c r="F13" s="13"/>
      <c r="G13" s="13"/>
      <c r="H13" s="35" t="s">
        <v>394</v>
      </c>
      <c r="I13" s="35" t="s">
        <v>766</v>
      </c>
      <c r="J13" s="35" t="s">
        <v>767</v>
      </c>
      <c r="K13" s="35" t="s">
        <v>771</v>
      </c>
      <c r="L13" s="73">
        <f>IF(AND($H13&lt;&gt;"",OR($H13&amp;""=PMIS_Home!$B$4&amp;"",$H13&amp;""="Campus")),MAX($L$4:L12)+1,"")</f>
        <v>9</v>
      </c>
    </row>
    <row r="14" spans="1:12" ht="13.5" customHeight="1">
      <c r="A14" s="35" t="s">
        <v>772</v>
      </c>
      <c r="B14" s="35" t="s">
        <v>773</v>
      </c>
      <c r="C14" s="35" t="s">
        <v>365</v>
      </c>
      <c r="D14" s="13"/>
      <c r="E14" s="35" t="s">
        <v>773</v>
      </c>
      <c r="F14" s="13"/>
      <c r="G14" s="13"/>
      <c r="H14" s="35" t="s">
        <v>394</v>
      </c>
      <c r="I14" s="35" t="s">
        <v>766</v>
      </c>
      <c r="J14" s="35" t="s">
        <v>767</v>
      </c>
      <c r="K14" s="35" t="s">
        <v>774</v>
      </c>
      <c r="L14" s="73">
        <f>IF(AND($H14&lt;&gt;"",OR($H14&amp;""=PMIS_Home!$B$4&amp;"",$H14&amp;""="Campus")),MAX($L$4:L13)+1,"")</f>
        <v>10</v>
      </c>
    </row>
    <row r="15" spans="1:12" ht="13.5" customHeight="1">
      <c r="A15" s="35" t="s">
        <v>775</v>
      </c>
      <c r="B15" s="35" t="s">
        <v>776</v>
      </c>
      <c r="C15" s="35" t="s">
        <v>365</v>
      </c>
      <c r="D15" s="13"/>
      <c r="E15" s="35" t="s">
        <v>776</v>
      </c>
      <c r="F15" s="13"/>
      <c r="G15" s="13"/>
      <c r="H15" s="35" t="s">
        <v>394</v>
      </c>
      <c r="I15" s="35" t="s">
        <v>766</v>
      </c>
      <c r="J15" s="35" t="s">
        <v>767</v>
      </c>
      <c r="K15" s="35" t="s">
        <v>777</v>
      </c>
      <c r="L15" s="73">
        <f>IF(AND($H15&lt;&gt;"",OR($H15&amp;""=PMIS_Home!$B$4&amp;"",$H15&amp;""="Campus")),MAX($L$4:L14)+1,"")</f>
        <v>11</v>
      </c>
    </row>
    <row r="16" spans="1:12" ht="13.5" customHeight="1">
      <c r="A16" s="35" t="s">
        <v>778</v>
      </c>
      <c r="B16" s="35" t="s">
        <v>779</v>
      </c>
      <c r="C16" s="35" t="s">
        <v>365</v>
      </c>
      <c r="D16" s="13"/>
      <c r="E16" s="35" t="s">
        <v>779</v>
      </c>
      <c r="F16" s="13"/>
      <c r="G16" s="13"/>
      <c r="H16" s="35" t="s">
        <v>394</v>
      </c>
      <c r="I16" s="35" t="s">
        <v>766</v>
      </c>
      <c r="J16" s="35" t="s">
        <v>767</v>
      </c>
      <c r="K16" s="35" t="s">
        <v>780</v>
      </c>
      <c r="L16" s="73">
        <f>IF(AND($H16&lt;&gt;"",OR($H16&amp;""=PMIS_Home!$B$4&amp;"",$H16&amp;""="Campus")),MAX($L$4:L15)+1,"")</f>
        <v>12</v>
      </c>
    </row>
    <row r="17" spans="1:12" ht="13.5" customHeight="1">
      <c r="A17" s="35" t="s">
        <v>781</v>
      </c>
      <c r="B17" s="35" t="s">
        <v>782</v>
      </c>
      <c r="C17" s="35" t="s">
        <v>365</v>
      </c>
      <c r="D17" s="13"/>
      <c r="E17" s="35" t="s">
        <v>782</v>
      </c>
      <c r="F17" s="13"/>
      <c r="G17" s="13"/>
      <c r="H17" s="35" t="s">
        <v>394</v>
      </c>
      <c r="I17" s="35" t="s">
        <v>766</v>
      </c>
      <c r="J17" s="35" t="s">
        <v>767</v>
      </c>
      <c r="K17" s="35" t="s">
        <v>783</v>
      </c>
      <c r="L17" s="73">
        <f>IF(AND($H17&lt;&gt;"",OR($H17&amp;""=PMIS_Home!$B$4&amp;"",$H17&amp;""="Campus")),MAX($L$4:L16)+1,"")</f>
        <v>13</v>
      </c>
    </row>
    <row r="18" spans="1:12" ht="13.5" customHeight="1">
      <c r="A18" s="35" t="s">
        <v>784</v>
      </c>
      <c r="B18" s="35" t="s">
        <v>785</v>
      </c>
      <c r="C18" s="35" t="s">
        <v>365</v>
      </c>
      <c r="D18" s="13"/>
      <c r="E18" s="35" t="s">
        <v>785</v>
      </c>
      <c r="F18" s="13"/>
      <c r="G18" s="13"/>
      <c r="H18" s="35" t="s">
        <v>394</v>
      </c>
      <c r="I18" s="35" t="s">
        <v>766</v>
      </c>
      <c r="J18" s="35" t="s">
        <v>767</v>
      </c>
      <c r="K18" s="35" t="s">
        <v>786</v>
      </c>
      <c r="L18" s="73">
        <f>IF(AND($H18&lt;&gt;"",OR($H18&amp;""=PMIS_Home!$B$4&amp;"",$H18&amp;""="Campus")),MAX($L$4:L17)+1,"")</f>
        <v>14</v>
      </c>
    </row>
    <row r="19" spans="1:12" ht="13.5" customHeight="1">
      <c r="A19" s="35" t="s">
        <v>787</v>
      </c>
      <c r="B19" s="35" t="s">
        <v>788</v>
      </c>
      <c r="C19" s="35" t="s">
        <v>365</v>
      </c>
      <c r="D19" s="13"/>
      <c r="E19" s="35" t="s">
        <v>788</v>
      </c>
      <c r="F19" s="13"/>
      <c r="G19" s="13"/>
      <c r="H19" s="35" t="s">
        <v>394</v>
      </c>
      <c r="I19" s="35" t="s">
        <v>766</v>
      </c>
      <c r="J19" s="35" t="s">
        <v>767</v>
      </c>
      <c r="K19" s="35" t="s">
        <v>789</v>
      </c>
      <c r="L19" s="73">
        <f>IF(AND($H19&lt;&gt;"",OR($H19&amp;""=PMIS_Home!$B$4&amp;"",$H19&amp;""="Campus")),MAX($L$4:L18)+1,"")</f>
        <v>15</v>
      </c>
    </row>
    <row r="20" spans="1:12" ht="13.5" customHeight="1">
      <c r="A20" s="35" t="s">
        <v>790</v>
      </c>
      <c r="B20" s="35" t="s">
        <v>791</v>
      </c>
      <c r="C20" s="35" t="s">
        <v>365</v>
      </c>
      <c r="D20" s="13"/>
      <c r="E20" s="35" t="s">
        <v>791</v>
      </c>
      <c r="F20" s="13"/>
      <c r="G20" s="13"/>
      <c r="H20" s="35" t="s">
        <v>394</v>
      </c>
      <c r="I20" s="35" t="s">
        <v>766</v>
      </c>
      <c r="J20" s="35" t="s">
        <v>767</v>
      </c>
      <c r="K20" s="35" t="s">
        <v>792</v>
      </c>
      <c r="L20" s="73">
        <f>IF(AND($H20&lt;&gt;"",OR($H20&amp;""=PMIS_Home!$B$4&amp;"",$H20&amp;""="Campus")),MAX($L$4:L19)+1,"")</f>
        <v>16</v>
      </c>
    </row>
    <row r="21" spans="1:12" ht="13.5" customHeight="1">
      <c r="A21" s="35" t="s">
        <v>793</v>
      </c>
      <c r="B21" s="35" t="s">
        <v>794</v>
      </c>
      <c r="C21" s="35" t="s">
        <v>365</v>
      </c>
      <c r="D21" s="13"/>
      <c r="E21" s="35" t="s">
        <v>794</v>
      </c>
      <c r="F21" s="13"/>
      <c r="G21" s="13"/>
      <c r="H21" s="35" t="s">
        <v>394</v>
      </c>
      <c r="I21" s="35" t="s">
        <v>766</v>
      </c>
      <c r="J21" s="35" t="s">
        <v>767</v>
      </c>
      <c r="K21" s="35" t="s">
        <v>795</v>
      </c>
      <c r="L21" s="73">
        <f>IF(AND($H21&lt;&gt;"",OR($H21&amp;""=PMIS_Home!$B$4&amp;"",$H21&amp;""="Campus")),MAX($L$4:L20)+1,"")</f>
        <v>17</v>
      </c>
    </row>
    <row r="22" spans="1:12" ht="13.5" customHeight="1">
      <c r="A22" s="35" t="s">
        <v>796</v>
      </c>
      <c r="B22" s="35" t="s">
        <v>797</v>
      </c>
      <c r="C22" s="35" t="s">
        <v>365</v>
      </c>
      <c r="D22" s="13"/>
      <c r="E22" s="35" t="s">
        <v>797</v>
      </c>
      <c r="F22" s="13"/>
      <c r="G22" s="13"/>
      <c r="H22" s="35" t="s">
        <v>394</v>
      </c>
      <c r="I22" s="35" t="s">
        <v>766</v>
      </c>
      <c r="J22" s="35" t="s">
        <v>767</v>
      </c>
      <c r="K22" s="35" t="s">
        <v>798</v>
      </c>
      <c r="L22" s="73">
        <f>IF(AND($H22&lt;&gt;"",OR($H22&amp;""=PMIS_Home!$B$4&amp;"",$H22&amp;""="Campus")),MAX($L$4:L21)+1,"")</f>
        <v>18</v>
      </c>
    </row>
    <row r="23" spans="1:12" ht="13.5" customHeight="1">
      <c r="A23" s="35" t="s">
        <v>799</v>
      </c>
      <c r="B23" s="35" t="s">
        <v>800</v>
      </c>
      <c r="C23" s="35" t="s">
        <v>365</v>
      </c>
      <c r="D23" s="13"/>
      <c r="E23" s="35" t="s">
        <v>800</v>
      </c>
      <c r="F23" s="13"/>
      <c r="G23" s="13"/>
      <c r="H23" s="35" t="s">
        <v>394</v>
      </c>
      <c r="I23" s="35" t="s">
        <v>766</v>
      </c>
      <c r="J23" s="35" t="s">
        <v>767</v>
      </c>
      <c r="K23" s="35" t="s">
        <v>801</v>
      </c>
      <c r="L23" s="73">
        <f>IF(AND($H23&lt;&gt;"",OR($H23&amp;""=PMIS_Home!$B$4&amp;"",$H23&amp;""="Campus")),MAX($L$4:L22)+1,"")</f>
        <v>19</v>
      </c>
    </row>
    <row r="24" spans="1:12" ht="13.5" customHeight="1">
      <c r="A24" s="35" t="s">
        <v>802</v>
      </c>
      <c r="B24" s="35" t="s">
        <v>803</v>
      </c>
      <c r="C24" s="35" t="s">
        <v>365</v>
      </c>
      <c r="D24" s="13"/>
      <c r="E24" s="35" t="s">
        <v>803</v>
      </c>
      <c r="F24" s="13"/>
      <c r="G24" s="13"/>
      <c r="H24" s="35" t="s">
        <v>394</v>
      </c>
      <c r="I24" s="35" t="s">
        <v>766</v>
      </c>
      <c r="J24" s="35" t="s">
        <v>767</v>
      </c>
      <c r="K24" s="35" t="s">
        <v>804</v>
      </c>
      <c r="L24" s="73">
        <f>IF(AND($H24&lt;&gt;"",OR($H24&amp;""=PMIS_Home!$B$4&amp;"",$H24&amp;""="Campus")),MAX($L$4:L23)+1,"")</f>
        <v>20</v>
      </c>
    </row>
    <row r="25" spans="1:12" ht="13.5" customHeight="1">
      <c r="A25" s="35" t="s">
        <v>805</v>
      </c>
      <c r="B25" s="35" t="s">
        <v>806</v>
      </c>
      <c r="C25" s="35" t="s">
        <v>365</v>
      </c>
      <c r="D25" s="13"/>
      <c r="E25" s="35" t="s">
        <v>806</v>
      </c>
      <c r="F25" s="13"/>
      <c r="G25" s="13"/>
      <c r="H25" s="35" t="s">
        <v>394</v>
      </c>
      <c r="I25" s="35" t="s">
        <v>766</v>
      </c>
      <c r="J25" s="35" t="s">
        <v>767</v>
      </c>
      <c r="K25" s="35" t="s">
        <v>807</v>
      </c>
      <c r="L25" s="73">
        <f>IF(AND($H25&lt;&gt;"",OR($H25&amp;""=PMIS_Home!$B$4&amp;"",$H25&amp;""="Campus")),MAX($L$4:L24)+1,"")</f>
        <v>21</v>
      </c>
    </row>
    <row r="26" spans="1:12" ht="13.5" customHeight="1">
      <c r="A26" s="35" t="s">
        <v>808</v>
      </c>
      <c r="B26" s="35" t="s">
        <v>809</v>
      </c>
      <c r="C26" s="35" t="s">
        <v>365</v>
      </c>
      <c r="D26" s="13"/>
      <c r="E26" s="35" t="s">
        <v>809</v>
      </c>
      <c r="F26" s="13"/>
      <c r="G26" s="13"/>
      <c r="H26" s="35" t="s">
        <v>394</v>
      </c>
      <c r="I26" s="35" t="s">
        <v>766</v>
      </c>
      <c r="J26" s="35" t="s">
        <v>767</v>
      </c>
      <c r="K26" s="35" t="s">
        <v>810</v>
      </c>
      <c r="L26" s="73">
        <f>IF(AND($H26&lt;&gt;"",OR($H26&amp;""=PMIS_Home!$B$4&amp;"",$H26&amp;""="Campus")),MAX($L$4:L25)+1,"")</f>
        <v>22</v>
      </c>
    </row>
    <row r="27" spans="1:12" ht="13.5" customHeight="1">
      <c r="A27" s="35" t="s">
        <v>811</v>
      </c>
      <c r="B27" s="35" t="s">
        <v>812</v>
      </c>
      <c r="C27" s="35" t="s">
        <v>365</v>
      </c>
      <c r="D27" s="13"/>
      <c r="E27" s="35" t="s">
        <v>812</v>
      </c>
      <c r="F27" s="13"/>
      <c r="G27" s="13"/>
      <c r="H27" s="35" t="s">
        <v>394</v>
      </c>
      <c r="I27" s="35" t="s">
        <v>766</v>
      </c>
      <c r="J27" s="35" t="s">
        <v>767</v>
      </c>
      <c r="K27" s="35" t="s">
        <v>813</v>
      </c>
      <c r="L27" s="73">
        <f>IF(AND($H27&lt;&gt;"",OR($H27&amp;""=PMIS_Home!$B$4&amp;"",$H27&amp;""="Campus")),MAX($L$4:L26)+1,"")</f>
        <v>23</v>
      </c>
    </row>
    <row r="28" spans="1:12" ht="13.5" customHeight="1">
      <c r="A28" s="35" t="s">
        <v>814</v>
      </c>
      <c r="B28" s="35" t="s">
        <v>815</v>
      </c>
      <c r="C28" s="35" t="s">
        <v>365</v>
      </c>
      <c r="D28" s="13"/>
      <c r="E28" s="35" t="s">
        <v>815</v>
      </c>
      <c r="F28" s="13"/>
      <c r="G28" s="13"/>
      <c r="H28" s="35" t="s">
        <v>394</v>
      </c>
      <c r="I28" s="35" t="s">
        <v>766</v>
      </c>
      <c r="J28" s="35" t="s">
        <v>767</v>
      </c>
      <c r="K28" s="35" t="s">
        <v>816</v>
      </c>
      <c r="L28" s="73">
        <f>IF(AND($H28&lt;&gt;"",OR($H28&amp;""=PMIS_Home!$B$4&amp;"",$H28&amp;""="Campus")),MAX($L$4:L27)+1,"")</f>
        <v>24</v>
      </c>
    </row>
    <row r="29" spans="1:12" ht="13.5" customHeight="1">
      <c r="A29" s="35" t="s">
        <v>817</v>
      </c>
      <c r="B29" s="35" t="s">
        <v>818</v>
      </c>
      <c r="C29" s="35" t="s">
        <v>365</v>
      </c>
      <c r="D29" s="13"/>
      <c r="E29" s="35" t="s">
        <v>818</v>
      </c>
      <c r="F29" s="13"/>
      <c r="G29" s="13"/>
      <c r="H29" s="35" t="s">
        <v>394</v>
      </c>
      <c r="I29" s="35" t="s">
        <v>766</v>
      </c>
      <c r="J29" s="35" t="s">
        <v>767</v>
      </c>
      <c r="K29" s="35" t="s">
        <v>819</v>
      </c>
      <c r="L29" s="73">
        <f>IF(AND($H29&lt;&gt;"",OR($H29&amp;""=PMIS_Home!$B$4&amp;"",$H29&amp;""="Campus")),MAX($L$4:L28)+1,"")</f>
        <v>25</v>
      </c>
    </row>
    <row r="30" spans="1:12" ht="13.5" customHeight="1">
      <c r="A30" s="35" t="s">
        <v>820</v>
      </c>
      <c r="B30" s="35" t="s">
        <v>821</v>
      </c>
      <c r="C30" s="35" t="s">
        <v>365</v>
      </c>
      <c r="D30" s="13"/>
      <c r="E30" s="35" t="s">
        <v>821</v>
      </c>
      <c r="F30" s="13"/>
      <c r="G30" s="13"/>
      <c r="H30" s="35" t="s">
        <v>394</v>
      </c>
      <c r="I30" s="35" t="s">
        <v>766</v>
      </c>
      <c r="J30" s="35" t="s">
        <v>767</v>
      </c>
      <c r="K30" s="35" t="s">
        <v>822</v>
      </c>
      <c r="L30" s="73">
        <f>IF(AND($H30&lt;&gt;"",OR($H30&amp;""=PMIS_Home!$B$4&amp;"",$H30&amp;""="Campus")),MAX($L$4:L29)+1,"")</f>
        <v>26</v>
      </c>
    </row>
    <row r="31" spans="1:12" ht="13.5" customHeight="1">
      <c r="A31" s="35" t="s">
        <v>823</v>
      </c>
      <c r="B31" s="35" t="s">
        <v>824</v>
      </c>
      <c r="C31" s="35" t="s">
        <v>365</v>
      </c>
      <c r="D31" s="13"/>
      <c r="E31" s="35" t="s">
        <v>824</v>
      </c>
      <c r="F31" s="13"/>
      <c r="G31" s="13"/>
      <c r="H31" s="35" t="s">
        <v>394</v>
      </c>
      <c r="I31" s="35" t="s">
        <v>766</v>
      </c>
      <c r="J31" s="35" t="s">
        <v>767</v>
      </c>
      <c r="K31" s="35" t="s">
        <v>825</v>
      </c>
      <c r="L31" s="73">
        <f>IF(AND($H31&lt;&gt;"",OR($H31&amp;""=PMIS_Home!$B$4&amp;"",$H31&amp;""="Campus")),MAX($L$4:L30)+1,"")</f>
        <v>27</v>
      </c>
    </row>
    <row r="32" spans="1:12" ht="13.5" customHeight="1">
      <c r="A32" s="35" t="s">
        <v>826</v>
      </c>
      <c r="B32" s="35" t="s">
        <v>827</v>
      </c>
      <c r="C32" s="35" t="s">
        <v>365</v>
      </c>
      <c r="D32" s="13"/>
      <c r="E32" s="35" t="s">
        <v>827</v>
      </c>
      <c r="F32" s="13"/>
      <c r="G32" s="13"/>
      <c r="H32" s="35" t="s">
        <v>394</v>
      </c>
      <c r="I32" s="35" t="s">
        <v>766</v>
      </c>
      <c r="J32" s="35" t="s">
        <v>767</v>
      </c>
      <c r="K32" s="35" t="s">
        <v>828</v>
      </c>
      <c r="L32" s="73">
        <f>IF(AND($H32&lt;&gt;"",OR($H32&amp;""=PMIS_Home!$B$4&amp;"",$H32&amp;""="Campus")),MAX($L$4:L31)+1,"")</f>
        <v>28</v>
      </c>
    </row>
    <row r="33" spans="1:12" ht="13.5" customHeight="1">
      <c r="A33" s="35" t="s">
        <v>829</v>
      </c>
      <c r="B33" s="35" t="s">
        <v>830</v>
      </c>
      <c r="C33" s="35" t="s">
        <v>365</v>
      </c>
      <c r="D33" s="13"/>
      <c r="E33" s="35" t="s">
        <v>830</v>
      </c>
      <c r="F33" s="13"/>
      <c r="G33" s="13"/>
      <c r="H33" s="35" t="s">
        <v>394</v>
      </c>
      <c r="I33" s="35" t="s">
        <v>766</v>
      </c>
      <c r="J33" s="35" t="s">
        <v>767</v>
      </c>
      <c r="K33" s="35" t="s">
        <v>831</v>
      </c>
      <c r="L33" s="73">
        <f>IF(AND($H33&lt;&gt;"",OR($H33&amp;""=PMIS_Home!$B$4&amp;"",$H33&amp;""="Campus")),MAX($L$4:L32)+1,"")</f>
        <v>29</v>
      </c>
    </row>
    <row r="34" spans="1:12" ht="13.5" customHeight="1">
      <c r="A34" s="35" t="s">
        <v>832</v>
      </c>
      <c r="B34" s="35" t="s">
        <v>833</v>
      </c>
      <c r="C34" s="35" t="s">
        <v>365</v>
      </c>
      <c r="D34" s="13"/>
      <c r="E34" s="35" t="s">
        <v>833</v>
      </c>
      <c r="F34" s="13"/>
      <c r="G34" s="13"/>
      <c r="H34" s="35" t="s">
        <v>394</v>
      </c>
      <c r="I34" s="35" t="s">
        <v>766</v>
      </c>
      <c r="J34" s="35" t="s">
        <v>767</v>
      </c>
      <c r="K34" s="35" t="s">
        <v>834</v>
      </c>
      <c r="L34" s="73">
        <f>IF(AND($H34&lt;&gt;"",OR($H34&amp;""=PMIS_Home!$B$4&amp;"",$H34&amp;""="Campus")),MAX($L$4:L33)+1,"")</f>
        <v>30</v>
      </c>
    </row>
    <row r="35" spans="1:12" ht="13.5" customHeight="1">
      <c r="A35" s="35" t="s">
        <v>835</v>
      </c>
      <c r="B35" s="35" t="s">
        <v>836</v>
      </c>
      <c r="C35" s="35" t="s">
        <v>365</v>
      </c>
      <c r="D35" s="13"/>
      <c r="E35" s="35" t="s">
        <v>836</v>
      </c>
      <c r="F35" s="13"/>
      <c r="G35" s="13"/>
      <c r="H35" s="35" t="s">
        <v>394</v>
      </c>
      <c r="I35" s="35" t="s">
        <v>766</v>
      </c>
      <c r="J35" s="35" t="s">
        <v>767</v>
      </c>
      <c r="K35" s="35" t="s">
        <v>837</v>
      </c>
      <c r="L35" s="73">
        <f>IF(AND($H35&lt;&gt;"",OR($H35&amp;""=PMIS_Home!$B$4&amp;"",$H35&amp;""="Campus")),MAX($L$4:L34)+1,"")</f>
        <v>31</v>
      </c>
    </row>
    <row r="36" spans="1:12" ht="13.5" customHeight="1">
      <c r="A36" s="35" t="s">
        <v>838</v>
      </c>
      <c r="B36" s="35" t="s">
        <v>839</v>
      </c>
      <c r="C36" s="35" t="s">
        <v>365</v>
      </c>
      <c r="D36" s="13"/>
      <c r="E36" s="35" t="s">
        <v>839</v>
      </c>
      <c r="F36" s="13"/>
      <c r="G36" s="13"/>
      <c r="H36" s="35" t="s">
        <v>394</v>
      </c>
      <c r="I36" s="35" t="s">
        <v>766</v>
      </c>
      <c r="J36" s="35" t="s">
        <v>767</v>
      </c>
      <c r="K36" s="35" t="s">
        <v>840</v>
      </c>
      <c r="L36" s="73">
        <f>IF(AND($H36&lt;&gt;"",OR($H36&amp;""=PMIS_Home!$B$4&amp;"",$H36&amp;""="Campus")),MAX($L$4:L35)+1,"")</f>
        <v>32</v>
      </c>
    </row>
    <row r="37" spans="1:12" ht="13.5" customHeight="1">
      <c r="A37" s="35" t="s">
        <v>841</v>
      </c>
      <c r="B37" s="35" t="s">
        <v>842</v>
      </c>
      <c r="C37" s="35" t="s">
        <v>365</v>
      </c>
      <c r="D37" s="13"/>
      <c r="E37" s="35" t="s">
        <v>842</v>
      </c>
      <c r="F37" s="13"/>
      <c r="G37" s="13"/>
      <c r="H37" s="35" t="s">
        <v>394</v>
      </c>
      <c r="I37" s="35" t="s">
        <v>766</v>
      </c>
      <c r="J37" s="35" t="s">
        <v>767</v>
      </c>
      <c r="K37" s="35" t="s">
        <v>843</v>
      </c>
      <c r="L37" s="73">
        <f>IF(AND($H37&lt;&gt;"",OR($H37&amp;""=PMIS_Home!$B$4&amp;"",$H37&amp;""="Campus")),MAX($L$4:L36)+1,"")</f>
        <v>33</v>
      </c>
    </row>
    <row r="38" spans="1:12" ht="13.5" customHeight="1">
      <c r="A38" s="35" t="s">
        <v>844</v>
      </c>
      <c r="B38" s="35" t="s">
        <v>845</v>
      </c>
      <c r="C38" s="35" t="s">
        <v>365</v>
      </c>
      <c r="D38" s="13"/>
      <c r="E38" s="35" t="s">
        <v>845</v>
      </c>
      <c r="F38" s="13"/>
      <c r="G38" s="13"/>
      <c r="H38" s="35" t="s">
        <v>394</v>
      </c>
      <c r="I38" s="35" t="s">
        <v>766</v>
      </c>
      <c r="J38" s="35" t="s">
        <v>767</v>
      </c>
      <c r="K38" s="35" t="s">
        <v>846</v>
      </c>
      <c r="L38" s="73">
        <f>IF(AND($H38&lt;&gt;"",OR($H38&amp;""=PMIS_Home!$B$4&amp;"",$H38&amp;""="Campus")),MAX($L$4:L37)+1,"")</f>
        <v>34</v>
      </c>
    </row>
    <row r="39" spans="1:12" ht="13.5" customHeight="1">
      <c r="A39" s="35" t="s">
        <v>847</v>
      </c>
      <c r="B39" s="35" t="s">
        <v>848</v>
      </c>
      <c r="C39" s="35" t="s">
        <v>365</v>
      </c>
      <c r="D39" s="13"/>
      <c r="E39" s="35" t="s">
        <v>848</v>
      </c>
      <c r="F39" s="13"/>
      <c r="G39" s="13"/>
      <c r="H39" s="35" t="s">
        <v>394</v>
      </c>
      <c r="I39" s="35" t="s">
        <v>766</v>
      </c>
      <c r="J39" s="35" t="s">
        <v>767</v>
      </c>
      <c r="K39" s="35" t="s">
        <v>849</v>
      </c>
      <c r="L39" s="73">
        <f>IF(AND($H39&lt;&gt;"",OR($H39&amp;""=PMIS_Home!$B$4&amp;"",$H39&amp;""="Campus")),MAX($L$4:L38)+1,"")</f>
        <v>35</v>
      </c>
    </row>
    <row r="40" spans="1:12" ht="13.5" customHeight="1">
      <c r="A40" s="35" t="s">
        <v>850</v>
      </c>
      <c r="B40" s="35" t="s">
        <v>851</v>
      </c>
      <c r="C40" s="35" t="s">
        <v>365</v>
      </c>
      <c r="D40" s="13"/>
      <c r="E40" s="35" t="s">
        <v>851</v>
      </c>
      <c r="F40" s="13"/>
      <c r="G40" s="13"/>
      <c r="H40" s="35" t="s">
        <v>394</v>
      </c>
      <c r="I40" s="35" t="s">
        <v>766</v>
      </c>
      <c r="J40" s="35" t="s">
        <v>767</v>
      </c>
      <c r="K40" s="35" t="s">
        <v>852</v>
      </c>
      <c r="L40" s="73">
        <f>IF(AND($H40&lt;&gt;"",OR($H40&amp;""=PMIS_Home!$B$4&amp;"",$H40&amp;""="Campus")),MAX($L$4:L39)+1,"")</f>
        <v>36</v>
      </c>
    </row>
    <row r="41" spans="1:12" ht="13.5" customHeight="1">
      <c r="A41" s="35" t="s">
        <v>853</v>
      </c>
      <c r="B41" s="35" t="s">
        <v>854</v>
      </c>
      <c r="C41" s="35" t="s">
        <v>365</v>
      </c>
      <c r="D41" s="13"/>
      <c r="E41" s="35" t="s">
        <v>854</v>
      </c>
      <c r="F41" s="13"/>
      <c r="G41" s="13"/>
      <c r="H41" s="35" t="s">
        <v>394</v>
      </c>
      <c r="I41" s="35" t="s">
        <v>766</v>
      </c>
      <c r="J41" s="35" t="s">
        <v>767</v>
      </c>
      <c r="K41" s="35" t="s">
        <v>855</v>
      </c>
      <c r="L41" s="73">
        <f>IF(AND($H41&lt;&gt;"",OR($H41&amp;""=PMIS_Home!$B$4&amp;"",$H41&amp;""="Campus")),MAX($L$4:L40)+1,"")</f>
        <v>37</v>
      </c>
    </row>
    <row r="42" spans="1:12" ht="13.5" customHeight="1">
      <c r="A42" s="35" t="s">
        <v>856</v>
      </c>
      <c r="B42" s="35" t="s">
        <v>857</v>
      </c>
      <c r="C42" s="35" t="s">
        <v>365</v>
      </c>
      <c r="D42" s="13"/>
      <c r="E42" s="35" t="s">
        <v>857</v>
      </c>
      <c r="F42" s="13"/>
      <c r="G42" s="13"/>
      <c r="H42" s="35" t="s">
        <v>394</v>
      </c>
      <c r="I42" s="35" t="s">
        <v>766</v>
      </c>
      <c r="J42" s="35" t="s">
        <v>767</v>
      </c>
      <c r="K42" s="35" t="s">
        <v>858</v>
      </c>
      <c r="L42" s="73">
        <f>IF(AND($H42&lt;&gt;"",OR($H42&amp;""=PMIS_Home!$B$4&amp;"",$H42&amp;""="Campus")),MAX($L$4:L41)+1,"")</f>
        <v>38</v>
      </c>
    </row>
    <row r="43" spans="1:12" ht="10.5" customHeight="1">
      <c r="A43" s="35" t="s">
        <v>859</v>
      </c>
      <c r="B43" s="35" t="s">
        <v>860</v>
      </c>
      <c r="C43" s="35" t="s">
        <v>365</v>
      </c>
      <c r="D43" s="13"/>
      <c r="E43" s="35" t="s">
        <v>860</v>
      </c>
      <c r="F43" s="13"/>
      <c r="G43" s="13"/>
      <c r="H43" s="35" t="s">
        <v>394</v>
      </c>
      <c r="I43" s="35" t="s">
        <v>766</v>
      </c>
      <c r="J43" s="35" t="s">
        <v>767</v>
      </c>
      <c r="K43" s="35" t="s">
        <v>861</v>
      </c>
      <c r="L43" s="73">
        <f>IF(AND($H43&lt;&gt;"",OR($H43&amp;""=PMIS_Home!$B$4&amp;"",$H43&amp;""="Campus")),MAX($L$4:L42)+1,"")</f>
        <v>39</v>
      </c>
    </row>
    <row r="44" spans="1:12" ht="13.5" customHeight="1">
      <c r="A44" s="35" t="s">
        <v>862</v>
      </c>
      <c r="B44" s="35" t="s">
        <v>863</v>
      </c>
      <c r="C44" s="13"/>
      <c r="D44" s="13"/>
      <c r="E44" s="35" t="s">
        <v>863</v>
      </c>
      <c r="F44" s="13"/>
      <c r="G44" s="13"/>
      <c r="H44" s="35" t="s">
        <v>394</v>
      </c>
      <c r="I44" s="13"/>
      <c r="J44" s="13"/>
      <c r="K44" s="35" t="s">
        <v>864</v>
      </c>
      <c r="L44" s="73">
        <f>IF(AND($H44&lt;&gt;"",OR($H44&amp;""=PMIS_Home!$B$4&amp;"",$H44&amp;""="Campus")),MAX($L$4:L43)+1,"")</f>
        <v>40</v>
      </c>
    </row>
    <row r="45" spans="1:12" ht="14.25" customHeight="1">
      <c r="L45" s="73" t="str">
        <f>IF(AND($H45&lt;&gt;"",OR($H45&amp;""=PMIS_Home!$B$4&amp;"",$H45&amp;""="Campus")),MAX($L$4:L44)+1,"")</f>
        <v/>
      </c>
    </row>
    <row r="46" spans="1:12" ht="14.25" customHeight="1">
      <c r="L46" s="73" t="str">
        <f>IF(AND($H46&lt;&gt;"",OR($H46&amp;""=PMIS_Home!$B$4&amp;"",$H46&amp;""="Campus")),MAX($L$4:L45)+1,"")</f>
        <v/>
      </c>
    </row>
    <row r="47" spans="1:12" ht="14.25" customHeight="1">
      <c r="L47" s="73" t="str">
        <f>IF(AND($H47&lt;&gt;"",OR($H47&amp;""=PMIS_Home!$B$4&amp;"",$H47&amp;""="Campus")),MAX($L$4:L46)+1,"")</f>
        <v/>
      </c>
    </row>
    <row r="48" spans="1:12" ht="14.25" customHeight="1">
      <c r="L48" s="73" t="str">
        <f>IF(AND($H48&lt;&gt;"",OR($H48&amp;""=PMIS_Home!$B$4&amp;"",$H48&amp;""="Campus")),MAX($L$4:L47)+1,"")</f>
        <v/>
      </c>
    </row>
    <row r="49" spans="12:12" ht="14.25" customHeight="1">
      <c r="L49" s="73" t="str">
        <f>IF(AND($H49&lt;&gt;"",OR($H49&amp;""=PMIS_Home!$B$4&amp;"",$H49&amp;""="Campus")),MAX($L$4:L48)+1,"")</f>
        <v/>
      </c>
    </row>
    <row r="50" spans="12:12" ht="14.25" customHeight="1">
      <c r="L50" s="73" t="str">
        <f>IF(AND($H50&lt;&gt;"",OR($H50&amp;""=PMIS_Home!$B$4&amp;"",$H50&amp;""="Campus")),MAX($L$4:L49)+1,"")</f>
        <v/>
      </c>
    </row>
    <row r="51" spans="12:12" ht="14.25" customHeight="1">
      <c r="L51" s="73" t="str">
        <f>IF(AND($H51&lt;&gt;"",OR($H51&amp;""=PMIS_Home!$B$4&amp;"",$H51&amp;""="Campus")),MAX($L$4:L50)+1,"")</f>
        <v/>
      </c>
    </row>
    <row r="52" spans="12:12" ht="14.25" customHeight="1">
      <c r="L52" s="73" t="str">
        <f>IF(AND($H52&lt;&gt;"",OR($H52&amp;""=PMIS_Home!$B$4&amp;"",$H52&amp;""="Campus")),MAX($L$4:L51)+1,"")</f>
        <v/>
      </c>
    </row>
    <row r="53" spans="12:12" ht="14.25" customHeight="1">
      <c r="L53" s="73" t="str">
        <f>IF(AND($H53&lt;&gt;"",OR($H53&amp;""=PMIS_Home!$B$4&amp;"",$H53&amp;""="Campus")),MAX($L$4:L52)+1,"")</f>
        <v/>
      </c>
    </row>
    <row r="54" spans="12:12" ht="14.25" customHeight="1">
      <c r="L54" s="73" t="str">
        <f>IF(AND($H54&lt;&gt;"",OR($H54&amp;""=PMIS_Home!$B$4&amp;"",$H54&amp;""="Campus")),MAX($L$4:L53)+1,"")</f>
        <v/>
      </c>
    </row>
    <row r="55" spans="12:12" ht="14.25" customHeight="1">
      <c r="L55" s="73" t="str">
        <f>IF(AND($H55&lt;&gt;"",OR($H55&amp;""=PMIS_Home!$B$4&amp;"",$H55&amp;""="Campus")),MAX($L$4:L54)+1,"")</f>
        <v/>
      </c>
    </row>
    <row r="56" spans="12:12" ht="14.25" customHeight="1">
      <c r="L56" s="73" t="str">
        <f>IF(AND($H56&lt;&gt;"",OR($H56&amp;""=PMIS_Home!$B$4&amp;"",$H56&amp;""="Campus")),MAX($L$4:L55)+1,"")</f>
        <v/>
      </c>
    </row>
    <row r="57" spans="12:12" ht="14.25" customHeight="1">
      <c r="L57" s="73" t="str">
        <f>IF(AND($H57&lt;&gt;"",OR($H57&amp;""=PMIS_Home!$B$4&amp;"",$H57&amp;""="Campus")),MAX($L$4:L56)+1,"")</f>
        <v/>
      </c>
    </row>
    <row r="58" spans="12:12" ht="14.25" customHeight="1">
      <c r="L58" s="73" t="str">
        <f>IF(AND($H58&lt;&gt;"",OR($H58&amp;""=PMIS_Home!$B$4&amp;"",$H58&amp;""="Campus")),MAX($L$4:L57)+1,"")</f>
        <v/>
      </c>
    </row>
    <row r="59" spans="12:12" ht="14.25" customHeight="1">
      <c r="L59" s="73" t="str">
        <f>IF(AND($H59&lt;&gt;"",OR($H59&amp;""=PMIS_Home!$B$4&amp;"",$H59&amp;""="Campus")),MAX($L$4:L58)+1,"")</f>
        <v/>
      </c>
    </row>
    <row r="60" spans="12:12" ht="14.25" customHeight="1">
      <c r="L60" s="73" t="str">
        <f>IF(AND($H60&lt;&gt;"",OR($H60&amp;""=PMIS_Home!$B$4&amp;"",$H60&amp;""="Campus")),MAX($L$4:L59)+1,"")</f>
        <v/>
      </c>
    </row>
    <row r="61" spans="12:12" ht="14.25" customHeight="1">
      <c r="L61" s="73" t="str">
        <f>IF(AND($H61&lt;&gt;"",OR($H61&amp;""=PMIS_Home!$B$4&amp;"",$H61&amp;""="Campus")),MAX($L$4:L60)+1,"")</f>
        <v/>
      </c>
    </row>
    <row r="62" spans="12:12" ht="14.25" customHeight="1">
      <c r="L62" s="73" t="str">
        <f>IF(AND($H62&lt;&gt;"",OR($H62&amp;""=PMIS_Home!$B$4&amp;"",$H62&amp;""="Campus")),MAX($L$4:L61)+1,"")</f>
        <v/>
      </c>
    </row>
    <row r="63" spans="12:12" ht="14.25" customHeight="1">
      <c r="L63" s="73" t="str">
        <f>IF(AND($H63&lt;&gt;"",OR($H63&amp;""=PMIS_Home!$B$4&amp;"",$H63&amp;""="Campus")),MAX($L$4:L62)+1,"")</f>
        <v/>
      </c>
    </row>
    <row r="64" spans="12:12" ht="14.25" customHeight="1">
      <c r="L64" s="73" t="str">
        <f>IF(AND($H64&lt;&gt;"",OR($H64&amp;""=PMIS_Home!$B$4&amp;"",$H64&amp;""="Campus")),MAX($L$4:L63)+1,"")</f>
        <v/>
      </c>
    </row>
    <row r="65" spans="12:12" ht="14.25" customHeight="1">
      <c r="L65" s="73" t="str">
        <f>IF(AND($H65&lt;&gt;"",OR($H65&amp;""=PMIS_Home!$B$4&amp;"",$H65&amp;""="Campus")),MAX($L$4:L64)+1,"")</f>
        <v/>
      </c>
    </row>
    <row r="66" spans="12:12" ht="14.25" customHeight="1">
      <c r="L66" s="73" t="str">
        <f>IF(AND($H66&lt;&gt;"",OR($H66&amp;""=PMIS_Home!$B$4&amp;"",$H66&amp;""="Campus")),MAX($L$4:L65)+1,"")</f>
        <v/>
      </c>
    </row>
    <row r="67" spans="12:12" ht="14.25" customHeight="1">
      <c r="L67" s="73" t="str">
        <f>IF(AND($H67&lt;&gt;"",OR($H67&amp;""=PMIS_Home!$B$4&amp;"",$H67&amp;""="Campus")),MAX($L$4:L66)+1,"")</f>
        <v/>
      </c>
    </row>
    <row r="68" spans="12:12" ht="14.25" customHeight="1">
      <c r="L68" s="73" t="str">
        <f>IF(AND($H68&lt;&gt;"",OR($H68&amp;""=PMIS_Home!$B$4&amp;"",$H68&amp;""="Campus")),MAX($L$4:L67)+1,"")</f>
        <v/>
      </c>
    </row>
    <row r="69" spans="12:12" ht="14.25" customHeight="1">
      <c r="L69" s="73" t="str">
        <f>IF(AND($H69&lt;&gt;"",OR($H69&amp;""=PMIS_Home!$B$4&amp;"",$H69&amp;""="Campus")),MAX($L$4:L68)+1,"")</f>
        <v/>
      </c>
    </row>
    <row r="70" spans="12:12" ht="14.25" customHeight="1">
      <c r="L70" s="73" t="str">
        <f>IF(AND($H70&lt;&gt;"",OR($H70&amp;""=PMIS_Home!$B$4&amp;"",$H70&amp;""="Campus")),MAX($L$4:L69)+1,"")</f>
        <v/>
      </c>
    </row>
    <row r="71" spans="12:12" ht="14.25" customHeight="1">
      <c r="L71" s="73" t="str">
        <f>IF(AND($H71&lt;&gt;"",OR($H71&amp;""=PMIS_Home!$B$4&amp;"",$H71&amp;""="Campus")),MAX($L$4:L70)+1,"")</f>
        <v/>
      </c>
    </row>
    <row r="72" spans="12:12" ht="14.25" customHeight="1">
      <c r="L72" s="73" t="str">
        <f>IF(AND($H72&lt;&gt;"",OR($H72&amp;""=PMIS_Home!$B$4&amp;"",$H72&amp;""="Campus")),MAX($L$4:L71)+1,"")</f>
        <v/>
      </c>
    </row>
    <row r="73" spans="12:12" ht="14.25" customHeight="1">
      <c r="L73" s="73" t="str">
        <f>IF(AND($H73&lt;&gt;"",OR($H73&amp;""=PMIS_Home!$B$4&amp;"",$H73&amp;""="Campus")),MAX($L$4:L72)+1,"")</f>
        <v/>
      </c>
    </row>
    <row r="74" spans="12:12" ht="14.25" customHeight="1">
      <c r="L74" s="73" t="str">
        <f>IF(AND($H74&lt;&gt;"",OR($H74&amp;""=PMIS_Home!$B$4&amp;"",$H74&amp;""="Campus")),MAX($L$4:L73)+1,"")</f>
        <v/>
      </c>
    </row>
    <row r="75" spans="12:12" ht="14.25" customHeight="1">
      <c r="L75" s="73" t="str">
        <f>IF(AND($H75&lt;&gt;"",OR($H75&amp;""=PMIS_Home!$B$4&amp;"",$H75&amp;""="Campus")),MAX($L$4:L74)+1,"")</f>
        <v/>
      </c>
    </row>
    <row r="76" spans="12:12" ht="14.25" customHeight="1">
      <c r="L76" s="73" t="str">
        <f>IF(AND($H76&lt;&gt;"",OR($H76&amp;""=PMIS_Home!$B$4&amp;"",$H76&amp;""="Campus")),MAX($L$4:L75)+1,"")</f>
        <v/>
      </c>
    </row>
    <row r="77" spans="12:12" ht="14.25" customHeight="1">
      <c r="L77" s="73" t="str">
        <f>IF(AND($H77&lt;&gt;"",OR($H77&amp;""=PMIS_Home!$B$4&amp;"",$H77&amp;""="Campus")),MAX($L$4:L76)+1,"")</f>
        <v/>
      </c>
    </row>
    <row r="78" spans="12:12" ht="14.25" customHeight="1">
      <c r="L78" s="73" t="str">
        <f>IF(AND($H78&lt;&gt;"",OR($H78&amp;""=PMIS_Home!$B$4&amp;"",$H78&amp;""="Campus")),MAX($L$4:L77)+1,"")</f>
        <v/>
      </c>
    </row>
    <row r="79" spans="12:12" ht="14.25" customHeight="1">
      <c r="L79" s="73" t="str">
        <f>IF(AND($H79&lt;&gt;"",OR($H79&amp;""=PMIS_Home!$B$4&amp;"",$H79&amp;""="Campus")),MAX($L$4:L78)+1,"")</f>
        <v/>
      </c>
    </row>
    <row r="80" spans="12:12" ht="14.25" customHeight="1">
      <c r="L80" s="73" t="str">
        <f>IF(AND($H80&lt;&gt;"",OR($H80&amp;""=PMIS_Home!$B$4&amp;"",$H80&amp;""="Campus")),MAX($L$4:L79)+1,"")</f>
        <v/>
      </c>
    </row>
    <row r="81" spans="12:12" ht="14.25" customHeight="1">
      <c r="L81" s="73" t="str">
        <f>IF(AND($H81&lt;&gt;"",OR($H81&amp;""=PMIS_Home!$B$4&amp;"",$H81&amp;""="Campus")),MAX($L$4:L80)+1,"")</f>
        <v/>
      </c>
    </row>
    <row r="82" spans="12:12" ht="14.25" customHeight="1">
      <c r="L82" s="73" t="str">
        <f>IF(AND($H82&lt;&gt;"",OR($H82&amp;""=PMIS_Home!$B$4&amp;"",$H82&amp;""="Campus")),MAX($L$4:L81)+1,"")</f>
        <v/>
      </c>
    </row>
    <row r="83" spans="12:12" ht="14.25" customHeight="1">
      <c r="L83" s="73" t="str">
        <f>IF(AND($H83&lt;&gt;"",OR($H83&amp;""=PMIS_Home!$B$4&amp;"",$H83&amp;""="Campus")),MAX($L$4:L82)+1,"")</f>
        <v/>
      </c>
    </row>
    <row r="84" spans="12:12" ht="14.25" customHeight="1">
      <c r="L84" s="73" t="str">
        <f>IF(AND($H84&lt;&gt;"",OR($H84&amp;""=PMIS_Home!$B$4&amp;"",$H84&amp;""="Campus")),MAX($L$4:L83)+1,"")</f>
        <v/>
      </c>
    </row>
    <row r="85" spans="12:12" ht="14.25" customHeight="1">
      <c r="L85" s="73" t="str">
        <f>IF(AND($H85&lt;&gt;"",OR($H85&amp;""=PMIS_Home!$B$4&amp;"",$H85&amp;""="Campus")),MAX($L$4:L84)+1,"")</f>
        <v/>
      </c>
    </row>
    <row r="86" spans="12:12" ht="14.25" customHeight="1">
      <c r="L86" s="73" t="str">
        <f>IF(AND($H86&lt;&gt;"",OR($H86&amp;""=PMIS_Home!$B$4&amp;"",$H86&amp;""="Campus")),MAX($L$4:L85)+1,"")</f>
        <v/>
      </c>
    </row>
    <row r="87" spans="12:12" ht="14.25" customHeight="1">
      <c r="L87" s="73" t="str">
        <f>IF(AND($H87&lt;&gt;"",OR($H87&amp;""=PMIS_Home!$B$4&amp;"",$H87&amp;""="Campus")),MAX($L$4:L86)+1,"")</f>
        <v/>
      </c>
    </row>
    <row r="88" spans="12:12" ht="14.25" customHeight="1">
      <c r="L88" s="73" t="str">
        <f>IF(AND($H88&lt;&gt;"",OR($H88&amp;""=PMIS_Home!$B$4&amp;"",$H88&amp;""="Campus")),MAX($L$4:L87)+1,"")</f>
        <v/>
      </c>
    </row>
    <row r="89" spans="12:12" ht="14.25" customHeight="1">
      <c r="L89" s="73" t="str">
        <f>IF(AND($H89&lt;&gt;"",OR($H89&amp;""=PMIS_Home!$B$4&amp;"",$H89&amp;""="Campus")),MAX($L$4:L88)+1,"")</f>
        <v/>
      </c>
    </row>
    <row r="90" spans="12:12" ht="14.25" customHeight="1">
      <c r="L90" s="73" t="str">
        <f>IF(AND($H90&lt;&gt;"",OR($H90&amp;""=PMIS_Home!$B$4&amp;"",$H90&amp;""="Campus")),MAX($L$4:L89)+1,"")</f>
        <v/>
      </c>
    </row>
    <row r="91" spans="12:12" ht="14.25" customHeight="1">
      <c r="L91" s="73" t="str">
        <f>IF(AND($H91&lt;&gt;"",OR($H91&amp;""=PMIS_Home!$B$4&amp;"",$H91&amp;""="Campus")),MAX($L$4:L90)+1,"")</f>
        <v/>
      </c>
    </row>
    <row r="92" spans="12:12" ht="14.25" customHeight="1">
      <c r="L92" s="73" t="str">
        <f>IF(AND($H92&lt;&gt;"",OR($H92&amp;""=PMIS_Home!$B$4&amp;"",$H92&amp;""="Campus")),MAX($L$4:L91)+1,"")</f>
        <v/>
      </c>
    </row>
    <row r="93" spans="12:12" ht="14.25" customHeight="1">
      <c r="L93" s="73" t="str">
        <f>IF(AND($H93&lt;&gt;"",OR($H93&amp;""=PMIS_Home!$B$4&amp;"",$H93&amp;""="Campus")),MAX($L$4:L92)+1,"")</f>
        <v/>
      </c>
    </row>
    <row r="94" spans="12:12" ht="14.25" customHeight="1">
      <c r="L94" s="73" t="str">
        <f>IF(AND($H94&lt;&gt;"",OR($H94&amp;""=PMIS_Home!$B$4&amp;"",$H94&amp;""="Campus")),MAX($L$4:L93)+1,"")</f>
        <v/>
      </c>
    </row>
    <row r="95" spans="12:12" ht="14.25" customHeight="1">
      <c r="L95" s="73" t="str">
        <f>IF(AND($H95&lt;&gt;"",OR($H95&amp;""=PMIS_Home!$B$4&amp;"",$H95&amp;""="Campus")),MAX($L$4:L94)+1,"")</f>
        <v/>
      </c>
    </row>
    <row r="96" spans="12:12" ht="14.25" customHeight="1">
      <c r="L96" s="73" t="str">
        <f>IF(AND($H96&lt;&gt;"",OR($H96&amp;""=PMIS_Home!$B$4&amp;"",$H96&amp;""="Campus")),MAX($L$4:L95)+1,"")</f>
        <v/>
      </c>
    </row>
    <row r="97" spans="12:12" ht="14.25" customHeight="1">
      <c r="L97" s="73" t="str">
        <f>IF(AND($H97&lt;&gt;"",OR($H97&amp;""=PMIS_Home!$B$4&amp;"",$H97&amp;""="Campus")),MAX($L$4:L96)+1,"")</f>
        <v/>
      </c>
    </row>
    <row r="98" spans="12:12" ht="14.25" customHeight="1">
      <c r="L98" s="73" t="str">
        <f>IF(AND($H98&lt;&gt;"",OR($H98&amp;""=PMIS_Home!$B$4&amp;"",$H98&amp;""="Campus")),MAX($L$4:L97)+1,"")</f>
        <v/>
      </c>
    </row>
    <row r="99" spans="12:12" ht="14.25" customHeight="1">
      <c r="L99" s="73" t="str">
        <f>IF(AND($H99&lt;&gt;"",OR($H99&amp;""=PMIS_Home!$B$4&amp;"",$H99&amp;""="Campus")),MAX($L$4:L98)+1,"")</f>
        <v/>
      </c>
    </row>
    <row r="100" spans="12:12" ht="14.25" customHeight="1">
      <c r="L100" s="73" t="str">
        <f>IF(AND($H100&lt;&gt;"",OR($H100&amp;""=PMIS_Home!$B$4&amp;"",$H100&amp;""="Campus")),MAX($L$4:L99)+1,"")</f>
        <v/>
      </c>
    </row>
    <row r="101" spans="12:12" ht="14.25" customHeight="1">
      <c r="L101" s="73" t="str">
        <f>IF(AND($H101&lt;&gt;"",OR($H101&amp;""=PMIS_Home!$B$4&amp;"",$H101&amp;""="Campus")),MAX($L$4:L100)+1,"")</f>
        <v/>
      </c>
    </row>
    <row r="102" spans="12:12" ht="14.25" customHeight="1">
      <c r="L102" s="73" t="str">
        <f>IF(AND($H102&lt;&gt;"",OR($H102&amp;""=PMIS_Home!$B$4&amp;"",$H102&amp;""="Campus")),MAX($L$4:L101)+1,"")</f>
        <v/>
      </c>
    </row>
    <row r="103" spans="12:12" ht="14.25" customHeight="1">
      <c r="L103" s="73" t="str">
        <f>IF(AND($H103&lt;&gt;"",OR($H103&amp;""=PMIS_Home!$B$4&amp;"",$H103&amp;""="Campus")),MAX($L$4:L102)+1,"")</f>
        <v/>
      </c>
    </row>
    <row r="104" spans="12:12" ht="14.25" customHeight="1">
      <c r="L104" s="73" t="str">
        <f>IF(AND($H104&lt;&gt;"",OR($H104&amp;""=PMIS_Home!$B$4&amp;"",$H104&amp;""="Campus")),MAX($L$4:L103)+1,"")</f>
        <v/>
      </c>
    </row>
    <row r="105" spans="12:12" ht="14.25" customHeight="1">
      <c r="L105" s="73" t="str">
        <f>IF(AND($H105&lt;&gt;"",OR($H105&amp;""=PMIS_Home!$B$4&amp;"",$H105&amp;""="Campus")),MAX($L$4:L104)+1,"")</f>
        <v/>
      </c>
    </row>
    <row r="106" spans="12:12" ht="14.25" customHeight="1">
      <c r="L106" s="73" t="str">
        <f>IF(AND($H106&lt;&gt;"",OR($H106&amp;""=PMIS_Home!$B$4&amp;"",$H106&amp;""="Campus")),MAX($L$4:L105)+1,"")</f>
        <v/>
      </c>
    </row>
    <row r="107" spans="12:12" ht="14.25" customHeight="1">
      <c r="L107" s="73" t="str">
        <f>IF(AND($H107&lt;&gt;"",OR($H107&amp;""=PMIS_Home!$B$4&amp;"",$H107&amp;""="Campus")),MAX($L$4:L106)+1,"")</f>
        <v/>
      </c>
    </row>
    <row r="108" spans="12:12" ht="14.25" customHeight="1">
      <c r="L108" s="73" t="str">
        <f>IF(AND($H108&lt;&gt;"",OR($H108&amp;""=PMIS_Home!$B$4&amp;"",$H108&amp;""="Campus")),MAX($L$4:L107)+1,"")</f>
        <v/>
      </c>
    </row>
    <row r="109" spans="12:12" ht="14.25" customHeight="1">
      <c r="L109" s="73" t="str">
        <f>IF(AND($H109&lt;&gt;"",OR($H109&amp;""=PMIS_Home!$B$4&amp;"",$H109&amp;""="Campus")),MAX($L$4:L108)+1,"")</f>
        <v/>
      </c>
    </row>
    <row r="110" spans="12:12" ht="14.25" customHeight="1">
      <c r="L110" s="73" t="str">
        <f>IF(AND($H110&lt;&gt;"",OR($H110&amp;""=PMIS_Home!$B$4&amp;"",$H110&amp;""="Campus")),MAX($L$4:L109)+1,"")</f>
        <v/>
      </c>
    </row>
    <row r="111" spans="12:12" ht="14.25" customHeight="1">
      <c r="L111" s="73" t="str">
        <f>IF(AND($H111&lt;&gt;"",OR($H111&amp;""=PMIS_Home!$B$4&amp;"",$H111&amp;""="Campus")),MAX($L$4:L110)+1,"")</f>
        <v/>
      </c>
    </row>
    <row r="112" spans="12:12" ht="14.25" customHeight="1">
      <c r="L112" s="73" t="str">
        <f>IF(AND($H112&lt;&gt;"",OR($H112&amp;""=PMIS_Home!$B$4&amp;"",$H112&amp;""="Campus")),MAX($L$4:L111)+1,"")</f>
        <v/>
      </c>
    </row>
    <row r="113" spans="12:12" ht="14.25" customHeight="1">
      <c r="L113" s="73" t="str">
        <f>IF(AND($H113&lt;&gt;"",OR($H113&amp;""=PMIS_Home!$B$4&amp;"",$H113&amp;""="Campus")),MAX($L$4:L112)+1,"")</f>
        <v/>
      </c>
    </row>
    <row r="114" spans="12:12" ht="14.25" customHeight="1">
      <c r="L114" s="73" t="str">
        <f>IF(AND($H114&lt;&gt;"",OR($H114&amp;""=PMIS_Home!$B$4&amp;"",$H114&amp;""="Campus")),MAX($L$4:L113)+1,"")</f>
        <v/>
      </c>
    </row>
    <row r="115" spans="12:12" ht="14.25" customHeight="1">
      <c r="L115" s="73" t="str">
        <f>IF(AND($H115&lt;&gt;"",OR($H115&amp;""=PMIS_Home!$B$4&amp;"",$H115&amp;""="Campus")),MAX($L$4:L114)+1,"")</f>
        <v/>
      </c>
    </row>
    <row r="116" spans="12:12" ht="14.25" customHeight="1">
      <c r="L116" s="73" t="str">
        <f>IF(AND($H116&lt;&gt;"",OR($H116&amp;""=PMIS_Home!$B$4&amp;"",$H116&amp;""="Campus")),MAX($L$4:L115)+1,"")</f>
        <v/>
      </c>
    </row>
    <row r="117" spans="12:12" ht="14.25" customHeight="1">
      <c r="L117" s="73" t="str">
        <f>IF(AND($H117&lt;&gt;"",OR($H117&amp;""=PMIS_Home!$B$4&amp;"",$H117&amp;""="Campus")),MAX($L$4:L116)+1,"")</f>
        <v/>
      </c>
    </row>
    <row r="118" spans="12:12" ht="14.25" customHeight="1">
      <c r="L118" s="73" t="str">
        <f>IF(AND($H118&lt;&gt;"",OR($H118&amp;""=PMIS_Home!$B$4&amp;"",$H118&amp;""="Campus")),MAX($L$4:L117)+1,"")</f>
        <v/>
      </c>
    </row>
    <row r="119" spans="12:12" ht="14.25" customHeight="1">
      <c r="L119" s="73" t="str">
        <f>IF(AND($H119&lt;&gt;"",OR($H119&amp;""=PMIS_Home!$B$4&amp;"",$H119&amp;""="Campus")),MAX($L$4:L118)+1,"")</f>
        <v/>
      </c>
    </row>
    <row r="120" spans="12:12" ht="14.25" customHeight="1">
      <c r="L120" s="73" t="str">
        <f>IF(AND($H120&lt;&gt;"",OR($H120&amp;""=PMIS_Home!$B$4&amp;"",$H120&amp;""="Campus")),MAX($L$4:L119)+1,"")</f>
        <v/>
      </c>
    </row>
    <row r="121" spans="12:12" ht="14.25" customHeight="1">
      <c r="L121" s="73" t="str">
        <f>IF(AND($H121&lt;&gt;"",OR($H121&amp;""=PMIS_Home!$B$4&amp;"",$H121&amp;""="Campus")),MAX($L$4:L120)+1,"")</f>
        <v/>
      </c>
    </row>
    <row r="122" spans="12:12" ht="14.25" customHeight="1">
      <c r="L122" s="73" t="str">
        <f>IF(AND($H122&lt;&gt;"",OR($H122&amp;""=PMIS_Home!$B$4&amp;"",$H122&amp;""="Campus")),MAX($L$4:L121)+1,"")</f>
        <v/>
      </c>
    </row>
    <row r="123" spans="12:12" ht="14.25" customHeight="1">
      <c r="L123" s="73" t="str">
        <f>IF(AND($H123&lt;&gt;"",OR($H123&amp;""=PMIS_Home!$B$4&amp;"",$H123&amp;""="Campus")),MAX($L$4:L122)+1,"")</f>
        <v/>
      </c>
    </row>
    <row r="124" spans="12:12" ht="14.25" customHeight="1">
      <c r="L124" s="73" t="str">
        <f>IF(AND($H124&lt;&gt;"",OR($H124&amp;""=PMIS_Home!$B$4&amp;"",$H124&amp;""="Campus")),MAX($L$4:L123)+1,"")</f>
        <v/>
      </c>
    </row>
    <row r="125" spans="12:12" ht="14.25" customHeight="1">
      <c r="L125" s="73" t="str">
        <f>IF(AND($H125&lt;&gt;"",OR($H125&amp;""=PMIS_Home!$B$4&amp;"",$H125&amp;""="Campus")),MAX($L$4:L124)+1,"")</f>
        <v/>
      </c>
    </row>
    <row r="126" spans="12:12" ht="14.25" customHeight="1">
      <c r="L126" s="73" t="str">
        <f>IF(AND($H126&lt;&gt;"",OR($H126&amp;""=PMIS_Home!$B$4&amp;"",$H126&amp;""="Campus")),MAX($L$4:L125)+1,"")</f>
        <v/>
      </c>
    </row>
    <row r="127" spans="12:12" ht="14.25" customHeight="1">
      <c r="L127" s="73" t="str">
        <f>IF(AND($H127&lt;&gt;"",OR($H127&amp;""=PMIS_Home!$B$4&amp;"",$H127&amp;""="Campus")),MAX($L$4:L126)+1,"")</f>
        <v/>
      </c>
    </row>
    <row r="128" spans="12:12" ht="14.25" customHeight="1">
      <c r="L128" s="73" t="str">
        <f>IF(AND($H128&lt;&gt;"",OR($H128&amp;""=PMIS_Home!$B$4&amp;"",$H128&amp;""="Campus")),MAX($L$4:L127)+1,"")</f>
        <v/>
      </c>
    </row>
    <row r="129" spans="12:12" ht="14.25" customHeight="1">
      <c r="L129" s="73" t="str">
        <f>IF(AND($H129&lt;&gt;"",OR($H129&amp;""=PMIS_Home!$B$4&amp;"",$H129&amp;""="Campus")),MAX($L$4:L128)+1,"")</f>
        <v/>
      </c>
    </row>
    <row r="130" spans="12:12" ht="14.25" customHeight="1">
      <c r="L130" s="73" t="str">
        <f>IF(AND($H130&lt;&gt;"",OR($H130&amp;""=PMIS_Home!$B$4&amp;"",$H130&amp;""="Campus")),MAX($L$4:L129)+1,"")</f>
        <v/>
      </c>
    </row>
    <row r="131" spans="12:12" ht="14.25" customHeight="1">
      <c r="L131" s="73" t="str">
        <f>IF(AND($H131&lt;&gt;"",OR($H131&amp;""=PMIS_Home!$B$4&amp;"",$H131&amp;""="Campus")),MAX($L$4:L130)+1,"")</f>
        <v/>
      </c>
    </row>
    <row r="132" spans="12:12" ht="14.25" customHeight="1">
      <c r="L132" s="73" t="str">
        <f>IF(AND($H132&lt;&gt;"",OR($H132&amp;""=PMIS_Home!$B$4&amp;"",$H132&amp;""="Campus")),MAX($L$4:L131)+1,"")</f>
        <v/>
      </c>
    </row>
    <row r="133" spans="12:12" ht="14.25" customHeight="1">
      <c r="L133" s="73" t="str">
        <f>IF(AND($H133&lt;&gt;"",OR($H133&amp;""=PMIS_Home!$B$4&amp;"",$H133&amp;""="Campus")),MAX($L$4:L132)+1,"")</f>
        <v/>
      </c>
    </row>
    <row r="134" spans="12:12" ht="14.25" customHeight="1">
      <c r="L134" s="73" t="str">
        <f>IF(AND($H134&lt;&gt;"",OR($H134&amp;""=PMIS_Home!$B$4&amp;"",$H134&amp;""="Campus")),MAX($L$4:L133)+1,"")</f>
        <v/>
      </c>
    </row>
    <row r="135" spans="12:12" ht="14.25" customHeight="1">
      <c r="L135" s="73" t="str">
        <f>IF(AND($H135&lt;&gt;"",OR($H135&amp;""=PMIS_Home!$B$4&amp;"",$H135&amp;""="Campus")),MAX($L$4:L134)+1,"")</f>
        <v/>
      </c>
    </row>
    <row r="136" spans="12:12" ht="14.25" customHeight="1">
      <c r="L136" s="73" t="str">
        <f>IF(AND($H136&lt;&gt;"",OR($H136&amp;""=PMIS_Home!$B$4&amp;"",$H136&amp;""="Campus")),MAX($L$4:L135)+1,"")</f>
        <v/>
      </c>
    </row>
    <row r="137" spans="12:12" ht="14.25" customHeight="1">
      <c r="L137" s="73" t="str">
        <f>IF(AND($H137&lt;&gt;"",OR($H137&amp;""=PMIS_Home!$B$4&amp;"",$H137&amp;""="Campus")),MAX($L$4:L136)+1,"")</f>
        <v/>
      </c>
    </row>
    <row r="138" spans="12:12" ht="14.25" customHeight="1">
      <c r="L138" s="73" t="str">
        <f>IF(AND($H138&lt;&gt;"",OR($H138&amp;""=PMIS_Home!$B$4&amp;"",$H138&amp;""="Campus")),MAX($L$4:L137)+1,"")</f>
        <v/>
      </c>
    </row>
    <row r="139" spans="12:12" ht="14.25" customHeight="1">
      <c r="L139" s="73" t="str">
        <f>IF(AND($H139&lt;&gt;"",OR($H139&amp;""=PMIS_Home!$B$4&amp;"",$H139&amp;""="Campus")),MAX($L$4:L138)+1,"")</f>
        <v/>
      </c>
    </row>
    <row r="140" spans="12:12" ht="14.25" customHeight="1">
      <c r="L140" s="73" t="str">
        <f>IF(AND($H140&lt;&gt;"",OR($H140&amp;""=PMIS_Home!$B$4&amp;"",$H140&amp;""="Campus")),MAX($L$4:L139)+1,"")</f>
        <v/>
      </c>
    </row>
    <row r="141" spans="12:12" ht="14.25" customHeight="1">
      <c r="L141" s="73" t="str">
        <f>IF(AND($H141&lt;&gt;"",OR($H141&amp;""=PMIS_Home!$B$4&amp;"",$H141&amp;""="Campus")),MAX($L$4:L140)+1,"")</f>
        <v/>
      </c>
    </row>
    <row r="142" spans="12:12" ht="14.25" customHeight="1">
      <c r="L142" s="73" t="str">
        <f>IF(AND($H142&lt;&gt;"",OR($H142&amp;""=PMIS_Home!$B$4&amp;"",$H142&amp;""="Campus")),MAX($L$4:L141)+1,"")</f>
        <v/>
      </c>
    </row>
    <row r="143" spans="12:12" ht="14.25" customHeight="1">
      <c r="L143" s="73" t="str">
        <f>IF(AND($H143&lt;&gt;"",OR($H143&amp;""=PMIS_Home!$B$4&amp;"",$H143&amp;""="Campus")),MAX($L$4:L142)+1,"")</f>
        <v/>
      </c>
    </row>
    <row r="144" spans="12:12" ht="14.25" customHeight="1">
      <c r="L144" s="73" t="str">
        <f>IF(AND($H144&lt;&gt;"",OR($H144&amp;""=PMIS_Home!$B$4&amp;"",$H144&amp;""="Campus")),MAX($L$4:L143)+1,"")</f>
        <v/>
      </c>
    </row>
    <row r="145" spans="12:12" ht="14.25" customHeight="1">
      <c r="L145" s="73" t="str">
        <f>IF(AND($H145&lt;&gt;"",OR($H145&amp;""=PMIS_Home!$B$4&amp;"",$H145&amp;""="Campus")),MAX($L$4:L144)+1,"")</f>
        <v/>
      </c>
    </row>
    <row r="146" spans="12:12" ht="14.25" customHeight="1">
      <c r="L146" s="73" t="str">
        <f>IF(AND($H146&lt;&gt;"",OR($H146&amp;""=PMIS_Home!$B$4&amp;"",$H146&amp;""="Campus")),MAX($L$4:L145)+1,"")</f>
        <v/>
      </c>
    </row>
    <row r="147" spans="12:12" ht="14.25" customHeight="1">
      <c r="L147" s="73" t="str">
        <f>IF(AND($H147&lt;&gt;"",OR($H147&amp;""=PMIS_Home!$B$4&amp;"",$H147&amp;""="Campus")),MAX($L$4:L146)+1,"")</f>
        <v/>
      </c>
    </row>
    <row r="148" spans="12:12" ht="14.25" customHeight="1">
      <c r="L148" s="73" t="str">
        <f>IF(AND($H148&lt;&gt;"",OR($H148&amp;""=PMIS_Home!$B$4&amp;"",$H148&amp;""="Campus")),MAX($L$4:L147)+1,"")</f>
        <v/>
      </c>
    </row>
    <row r="149" spans="12:12" ht="14.25" customHeight="1">
      <c r="L149" s="73" t="str">
        <f>IF(AND($H149&lt;&gt;"",OR($H149&amp;""=PMIS_Home!$B$4&amp;"",$H149&amp;""="Campus")),MAX($L$4:L148)+1,"")</f>
        <v/>
      </c>
    </row>
    <row r="150" spans="12:12" ht="14.25" customHeight="1">
      <c r="L150" s="73" t="str">
        <f>IF(AND($H150&lt;&gt;"",OR($H150&amp;""=PMIS_Home!$B$4&amp;"",$H150&amp;""="Campus")),MAX($L$4:L149)+1,"")</f>
        <v/>
      </c>
    </row>
    <row r="151" spans="12:12" ht="14.25" customHeight="1">
      <c r="L151" s="73" t="str">
        <f>IF(AND($H151&lt;&gt;"",OR($H151&amp;""=PMIS_Home!$B$4&amp;"",$H151&amp;""="Campus")),MAX($L$4:L150)+1,"")</f>
        <v/>
      </c>
    </row>
    <row r="152" spans="12:12" ht="14.25" customHeight="1">
      <c r="L152" s="73" t="str">
        <f>IF(AND($H152&lt;&gt;"",OR($H152&amp;""=PMIS_Home!$B$4&amp;"",$H152&amp;""="Campus")),MAX($L$4:L151)+1,"")</f>
        <v/>
      </c>
    </row>
    <row r="153" spans="12:12" ht="14.25" customHeight="1">
      <c r="L153" s="73" t="str">
        <f>IF(AND($H153&lt;&gt;"",OR($H153&amp;""=PMIS_Home!$B$4&amp;"",$H153&amp;""="Campus")),MAX($L$4:L152)+1,"")</f>
        <v/>
      </c>
    </row>
    <row r="154" spans="12:12" ht="14.25" customHeight="1">
      <c r="L154" s="73" t="str">
        <f>IF(AND($H154&lt;&gt;"",OR($H154&amp;""=PMIS_Home!$B$4&amp;"",$H154&amp;""="Campus")),MAX($L$4:L153)+1,"")</f>
        <v/>
      </c>
    </row>
    <row r="155" spans="12:12" ht="14.25" customHeight="1">
      <c r="L155" s="73" t="str">
        <f>IF(AND($H155&lt;&gt;"",OR($H155&amp;""=PMIS_Home!$B$4&amp;"",$H155&amp;""="Campus")),MAX($L$4:L154)+1,"")</f>
        <v/>
      </c>
    </row>
    <row r="156" spans="12:12" ht="14.25" customHeight="1">
      <c r="L156" s="73" t="str">
        <f>IF(AND($H156&lt;&gt;"",OR($H156&amp;""=PMIS_Home!$B$4&amp;"",$H156&amp;""="Campus")),MAX($L$4:L155)+1,"")</f>
        <v/>
      </c>
    </row>
    <row r="157" spans="12:12" ht="14.25" customHeight="1">
      <c r="L157" s="73" t="str">
        <f>IF(AND($H157&lt;&gt;"",OR($H157&amp;""=PMIS_Home!$B$4&amp;"",$H157&amp;""="Campus")),MAX($L$4:L156)+1,"")</f>
        <v/>
      </c>
    </row>
    <row r="158" spans="12:12" ht="14.25" customHeight="1">
      <c r="L158" s="73" t="str">
        <f>IF(AND($H158&lt;&gt;"",OR($H158&amp;""=PMIS_Home!$B$4&amp;"",$H158&amp;""="Campus")),MAX($L$4:L157)+1,"")</f>
        <v/>
      </c>
    </row>
    <row r="159" spans="12:12" ht="14.25" customHeight="1">
      <c r="L159" s="73" t="str">
        <f>IF(AND($H159&lt;&gt;"",OR($H159&amp;""=PMIS_Home!$B$4&amp;"",$H159&amp;""="Campus")),MAX($L$4:L158)+1,"")</f>
        <v/>
      </c>
    </row>
    <row r="160" spans="12:12" ht="14.25" customHeight="1">
      <c r="L160" s="73" t="str">
        <f>IF(AND($H160&lt;&gt;"",OR($H160&amp;""=PMIS_Home!$B$4&amp;"",$H160&amp;""="Campus")),MAX($L$4:L159)+1,"")</f>
        <v/>
      </c>
    </row>
    <row r="161" spans="12:12" ht="14.25" customHeight="1">
      <c r="L161" s="73" t="str">
        <f>IF(AND($H161&lt;&gt;"",OR($H161&amp;""=PMIS_Home!$B$4&amp;"",$H161&amp;""="Campus")),MAX($L$4:L160)+1,"")</f>
        <v/>
      </c>
    </row>
    <row r="162" spans="12:12" ht="14.25" customHeight="1">
      <c r="L162" s="73" t="str">
        <f>IF(AND($H162&lt;&gt;"",OR($H162&amp;""=PMIS_Home!$B$4&amp;"",$H162&amp;""="Campus")),MAX($L$4:L161)+1,"")</f>
        <v/>
      </c>
    </row>
    <row r="163" spans="12:12" ht="14.25" customHeight="1">
      <c r="L163" s="73" t="str">
        <f>IF(AND($H163&lt;&gt;"",OR($H163&amp;""=PMIS_Home!$B$4&amp;"",$H163&amp;""="Campus")),MAX($L$4:L162)+1,"")</f>
        <v/>
      </c>
    </row>
    <row r="164" spans="12:12" ht="14.25" customHeight="1">
      <c r="L164" s="73" t="str">
        <f>IF(AND($H164&lt;&gt;"",OR($H164&amp;""=PMIS_Home!$B$4&amp;"",$H164&amp;""="Campus")),MAX($L$4:L163)+1,"")</f>
        <v/>
      </c>
    </row>
    <row r="165" spans="12:12" ht="14.25" customHeight="1">
      <c r="L165" s="73" t="str">
        <f>IF(AND($H165&lt;&gt;"",OR($H165&amp;""=PMIS_Home!$B$4&amp;"",$H165&amp;""="Campus")),MAX($L$4:L164)+1,"")</f>
        <v/>
      </c>
    </row>
    <row r="166" spans="12:12" ht="14.25" customHeight="1">
      <c r="L166" s="73" t="str">
        <f>IF(AND($H166&lt;&gt;"",OR($H166&amp;""=PMIS_Home!$B$4&amp;"",$H166&amp;""="Campus")),MAX($L$4:L165)+1,"")</f>
        <v/>
      </c>
    </row>
    <row r="167" spans="12:12" ht="14.25" customHeight="1">
      <c r="L167" s="73" t="str">
        <f>IF(AND($H167&lt;&gt;"",OR($H167&amp;""=PMIS_Home!$B$4&amp;"",$H167&amp;""="Campus")),MAX($L$4:L166)+1,"")</f>
        <v/>
      </c>
    </row>
    <row r="168" spans="12:12" ht="14.25" customHeight="1">
      <c r="L168" s="73" t="str">
        <f>IF(AND($H168&lt;&gt;"",OR($H168&amp;""=PMIS_Home!$B$4&amp;"",$H168&amp;""="Campus")),MAX($L$4:L167)+1,"")</f>
        <v/>
      </c>
    </row>
    <row r="169" spans="12:12" ht="14.25" customHeight="1">
      <c r="L169" s="73" t="str">
        <f>IF(AND($H169&lt;&gt;"",OR($H169&amp;""=PMIS_Home!$B$4&amp;"",$H169&amp;""="Campus")),MAX($L$4:L168)+1,"")</f>
        <v/>
      </c>
    </row>
    <row r="170" spans="12:12" ht="14.25" customHeight="1">
      <c r="L170" s="73" t="str">
        <f>IF(AND($H170&lt;&gt;"",OR($H170&amp;""=PMIS_Home!$B$4&amp;"",$H170&amp;""="Campus")),MAX($L$4:L169)+1,"")</f>
        <v/>
      </c>
    </row>
    <row r="171" spans="12:12" ht="14.25" customHeight="1">
      <c r="L171" s="73" t="str">
        <f>IF(AND($H171&lt;&gt;"",OR($H171&amp;""=PMIS_Home!$B$4&amp;"",$H171&amp;""="Campus")),MAX($L$4:L170)+1,"")</f>
        <v/>
      </c>
    </row>
    <row r="172" spans="12:12" ht="14.25" customHeight="1">
      <c r="L172" s="73" t="str">
        <f>IF(AND($H172&lt;&gt;"",OR($H172&amp;""=PMIS_Home!$B$4&amp;"",$H172&amp;""="Campus")),MAX($L$4:L171)+1,"")</f>
        <v/>
      </c>
    </row>
    <row r="173" spans="12:12" ht="14.25" customHeight="1">
      <c r="L173" s="73" t="str">
        <f>IF(AND($H173&lt;&gt;"",OR($H173&amp;""=PMIS_Home!$B$4&amp;"",$H173&amp;""="Campus")),MAX($L$4:L172)+1,"")</f>
        <v/>
      </c>
    </row>
    <row r="174" spans="12:12" ht="14.25" customHeight="1">
      <c r="L174" s="73" t="str">
        <f>IF(AND($H174&lt;&gt;"",OR($H174&amp;""=PMIS_Home!$B$4&amp;"",$H174&amp;""="Campus")),MAX($L$4:L173)+1,"")</f>
        <v/>
      </c>
    </row>
    <row r="175" spans="12:12" ht="14.25" customHeight="1">
      <c r="L175" s="73" t="str">
        <f>IF(AND($H175&lt;&gt;"",OR($H175&amp;""=PMIS_Home!$B$4&amp;"",$H175&amp;""="Campus")),MAX($L$4:L174)+1,"")</f>
        <v/>
      </c>
    </row>
    <row r="176" spans="12:12" ht="14.25" customHeight="1">
      <c r="L176" s="73" t="str">
        <f>IF(AND($H176&lt;&gt;"",OR($H176&amp;""=PMIS_Home!$B$4&amp;"",$H176&amp;""="Campus")),MAX($L$4:L175)+1,"")</f>
        <v/>
      </c>
    </row>
    <row r="177" spans="12:12" ht="14.25" customHeight="1">
      <c r="L177" s="73" t="str">
        <f>IF(AND($H177&lt;&gt;"",OR($H177&amp;""=PMIS_Home!$B$4&amp;"",$H177&amp;""="Campus")),MAX($L$4:L176)+1,"")</f>
        <v/>
      </c>
    </row>
    <row r="178" spans="12:12" ht="14.25" customHeight="1">
      <c r="L178" s="73" t="str">
        <f>IF(AND($H178&lt;&gt;"",OR($H178&amp;""=PMIS_Home!$B$4&amp;"",$H178&amp;""="Campus")),MAX($L$4:L177)+1,"")</f>
        <v/>
      </c>
    </row>
    <row r="179" spans="12:12" ht="14.25" customHeight="1">
      <c r="L179" s="73" t="str">
        <f>IF(AND($H179&lt;&gt;"",OR($H179&amp;""=PMIS_Home!$B$4&amp;"",$H179&amp;""="Campus")),MAX($L$4:L178)+1,"")</f>
        <v/>
      </c>
    </row>
    <row r="180" spans="12:12" ht="14.25" customHeight="1">
      <c r="L180" s="73" t="str">
        <f>IF(AND($H180&lt;&gt;"",OR($H180&amp;""=PMIS_Home!$B$4&amp;"",$H180&amp;""="Campus")),MAX($L$4:L179)+1,"")</f>
        <v/>
      </c>
    </row>
    <row r="181" spans="12:12" ht="14.25" customHeight="1">
      <c r="L181" s="73" t="str">
        <f>IF(AND($H181&lt;&gt;"",OR($H181&amp;""=PMIS_Home!$B$4&amp;"",$H181&amp;""="Campus")),MAX($L$4:L180)+1,"")</f>
        <v/>
      </c>
    </row>
    <row r="182" spans="12:12" ht="14.25" customHeight="1">
      <c r="L182" s="73" t="str">
        <f>IF(AND($H182&lt;&gt;"",OR($H182&amp;""=PMIS_Home!$B$4&amp;"",$H182&amp;""="Campus")),MAX($L$4:L181)+1,"")</f>
        <v/>
      </c>
    </row>
    <row r="183" spans="12:12" ht="14.25" customHeight="1">
      <c r="L183" s="73" t="str">
        <f>IF(AND($H183&lt;&gt;"",OR($H183&amp;""=PMIS_Home!$B$4&amp;"",$H183&amp;""="Campus")),MAX($L$4:L182)+1,"")</f>
        <v/>
      </c>
    </row>
    <row r="184" spans="12:12" ht="14.25" customHeight="1">
      <c r="L184" s="73" t="str">
        <f>IF(AND($H184&lt;&gt;"",OR($H184&amp;""=PMIS_Home!$B$4&amp;"",$H184&amp;""="Campus")),MAX($L$4:L183)+1,"")</f>
        <v/>
      </c>
    </row>
    <row r="185" spans="12:12" ht="14.25" customHeight="1">
      <c r="L185" s="73" t="str">
        <f>IF(AND($H185&lt;&gt;"",OR($H185&amp;""=PMIS_Home!$B$4&amp;"",$H185&amp;""="Campus")),MAX($L$4:L184)+1,"")</f>
        <v/>
      </c>
    </row>
    <row r="186" spans="12:12" ht="14.25" customHeight="1">
      <c r="L186" s="73" t="str">
        <f>IF(AND($H186&lt;&gt;"",OR($H186&amp;""=PMIS_Home!$B$4&amp;"",$H186&amp;""="Campus")),MAX($L$4:L185)+1,"")</f>
        <v/>
      </c>
    </row>
    <row r="187" spans="12:12" ht="14.25" customHeight="1">
      <c r="L187" s="73" t="str">
        <f>IF(AND($H187&lt;&gt;"",OR($H187&amp;""=PMIS_Home!$B$4&amp;"",$H187&amp;""="Campus")),MAX($L$4:L186)+1,"")</f>
        <v/>
      </c>
    </row>
    <row r="188" spans="12:12" ht="14.25" customHeight="1">
      <c r="L188" s="73" t="str">
        <f>IF(AND($H188&lt;&gt;"",OR($H188&amp;""=PMIS_Home!$B$4&amp;"",$H188&amp;""="Campus")),MAX($L$4:L187)+1,"")</f>
        <v/>
      </c>
    </row>
    <row r="189" spans="12:12" ht="14.25" customHeight="1">
      <c r="L189" s="73" t="str">
        <f>IF(AND($H189&lt;&gt;"",OR($H189&amp;""=PMIS_Home!$B$4&amp;"",$H189&amp;""="Campus")),MAX($L$4:L188)+1,"")</f>
        <v/>
      </c>
    </row>
    <row r="190" spans="12:12" ht="14.25" customHeight="1">
      <c r="L190" s="73" t="str">
        <f>IF(AND($H190&lt;&gt;"",OR($H190&amp;""=PMIS_Home!$B$4&amp;"",$H190&amp;""="Campus")),MAX($L$4:L189)+1,"")</f>
        <v/>
      </c>
    </row>
    <row r="191" spans="12:12" ht="14.25" customHeight="1">
      <c r="L191" s="73" t="str">
        <f>IF(AND($H191&lt;&gt;"",OR($H191&amp;""=PMIS_Home!$B$4&amp;"",$H191&amp;""="Campus")),MAX($L$4:L190)+1,"")</f>
        <v/>
      </c>
    </row>
    <row r="192" spans="12:12" ht="14.25" customHeight="1">
      <c r="L192" s="73" t="str">
        <f>IF(AND($H192&lt;&gt;"",OR($H192&amp;""=PMIS_Home!$B$4&amp;"",$H192&amp;""="Campus")),MAX($L$4:L191)+1,"")</f>
        <v/>
      </c>
    </row>
    <row r="193" spans="12:12" ht="14.25" customHeight="1">
      <c r="L193" s="73" t="str">
        <f>IF(AND($H193&lt;&gt;"",OR($H193&amp;""=PMIS_Home!$B$4&amp;"",$H193&amp;""="Campus")),MAX($L$4:L192)+1,"")</f>
        <v/>
      </c>
    </row>
    <row r="194" spans="12:12" ht="14.25" customHeight="1">
      <c r="L194" s="73" t="str">
        <f>IF(AND($H194&lt;&gt;"",OR($H194&amp;""=PMIS_Home!$B$4&amp;"",$H194&amp;""="Campus")),MAX($L$4:L193)+1,"")</f>
        <v/>
      </c>
    </row>
    <row r="195" spans="12:12" ht="14.25" customHeight="1">
      <c r="L195" s="73" t="str">
        <f>IF(AND($H195&lt;&gt;"",OR($H195&amp;""=PMIS_Home!$B$4&amp;"",$H195&amp;""="Campus")),MAX($L$4:L194)+1,"")</f>
        <v/>
      </c>
    </row>
    <row r="196" spans="12:12" ht="14.25" customHeight="1">
      <c r="L196" s="73" t="str">
        <f>IF(AND($H196&lt;&gt;"",OR($H196&amp;""=PMIS_Home!$B$4&amp;"",$H196&amp;""="Campus")),MAX($L$4:L195)+1,"")</f>
        <v/>
      </c>
    </row>
    <row r="197" spans="12:12" ht="14.25" customHeight="1">
      <c r="L197" s="73" t="str">
        <f>IF(AND($H197&lt;&gt;"",OR($H197&amp;""=PMIS_Home!$B$4&amp;"",$H197&amp;""="Campus")),MAX($L$4:L196)+1,"")</f>
        <v/>
      </c>
    </row>
    <row r="198" spans="12:12" ht="14.25" customHeight="1">
      <c r="L198" s="73" t="str">
        <f>IF(AND($H198&lt;&gt;"",OR($H198&amp;""=PMIS_Home!$B$4&amp;"",$H198&amp;""="Campus")),MAX($L$4:L197)+1,"")</f>
        <v/>
      </c>
    </row>
    <row r="199" spans="12:12" ht="14.25" customHeight="1">
      <c r="L199" s="73" t="str">
        <f>IF(AND($H199&lt;&gt;"",OR($H199&amp;""=PMIS_Home!$B$4&amp;"",$H199&amp;""="Campus")),MAX($L$4:L198)+1,"")</f>
        <v/>
      </c>
    </row>
    <row r="200" spans="12:12" ht="14.25" customHeight="1">
      <c r="L200" s="73" t="str">
        <f>IF(AND($H200&lt;&gt;"",OR($H200&amp;""=PMIS_Home!$B$4&amp;"",$H200&amp;""="Campus")),MAX($L$4:L199)+1,"")</f>
        <v/>
      </c>
    </row>
    <row r="201" spans="12:12" ht="14.25" customHeight="1">
      <c r="L201" s="73" t="str">
        <f>IF(AND($H201&lt;&gt;"",OR($H201&amp;""=PMIS_Home!$B$4&amp;"",$H201&amp;""="Campus")),MAX($L$4:L200)+1,"")</f>
        <v/>
      </c>
    </row>
    <row r="202" spans="12:12" ht="14.25" customHeight="1">
      <c r="L202" s="73" t="str">
        <f>IF(AND($H202&lt;&gt;"",OR($H202&amp;""=PMIS_Home!$B$4&amp;"",$H202&amp;""="Campus")),MAX($L$4:L201)+1,"")</f>
        <v/>
      </c>
    </row>
    <row r="203" spans="12:12" ht="14.25" customHeight="1">
      <c r="L203" s="73" t="str">
        <f>IF(AND($H203&lt;&gt;"",OR($H203&amp;""=PMIS_Home!$B$4&amp;"",$H203&amp;""="Campus")),MAX($L$4:L202)+1,"")</f>
        <v/>
      </c>
    </row>
    <row r="204" spans="12:12" ht="14.25" customHeight="1">
      <c r="L204" s="73" t="str">
        <f>IF(AND($H204&lt;&gt;"",OR($H204&amp;""=PMIS_Home!$B$4&amp;"",$H204&amp;""="Campus")),MAX($L$4:L203)+1,"")</f>
        <v/>
      </c>
    </row>
    <row r="205" spans="12:12" ht="14.25" customHeight="1">
      <c r="L205" s="73" t="str">
        <f>IF(AND($H205&lt;&gt;"",OR($H205&amp;""=PMIS_Home!$B$4&amp;"",$H205&amp;""="Campus")),MAX($L$4:L204)+1,"")</f>
        <v/>
      </c>
    </row>
    <row r="206" spans="12:12" ht="14.25" customHeight="1">
      <c r="L206" s="73" t="str">
        <f>IF(AND($H206&lt;&gt;"",OR($H206&amp;""=PMIS_Home!$B$4&amp;"",$H206&amp;""="Campus")),MAX($L$4:L205)+1,"")</f>
        <v/>
      </c>
    </row>
    <row r="207" spans="12:12" ht="14.25" customHeight="1">
      <c r="L207" s="73" t="str">
        <f>IF(AND($H207&lt;&gt;"",OR($H207&amp;""=PMIS_Home!$B$4&amp;"",$H207&amp;""="Campus")),MAX($L$4:L206)+1,"")</f>
        <v/>
      </c>
    </row>
    <row r="208" spans="12:12" ht="14.25" customHeight="1">
      <c r="L208" s="73" t="str">
        <f>IF(AND($H208&lt;&gt;"",OR($H208&amp;""=PMIS_Home!$B$4&amp;"",$H208&amp;""="Campus")),MAX($L$4:L207)+1,"")</f>
        <v/>
      </c>
    </row>
    <row r="209" spans="12:12" ht="14.25" customHeight="1">
      <c r="L209" s="73" t="str">
        <f>IF(AND($H209&lt;&gt;"",OR($H209&amp;""=PMIS_Home!$B$4&amp;"",$H209&amp;""="Campus")),MAX($L$4:L208)+1,"")</f>
        <v/>
      </c>
    </row>
    <row r="210" spans="12:12" ht="14.25" customHeight="1">
      <c r="L210" s="73" t="str">
        <f>IF(AND($H210&lt;&gt;"",OR($H210&amp;""=PMIS_Home!$B$4&amp;"",$H210&amp;""="Campus")),MAX($L$4:L209)+1,"")</f>
        <v/>
      </c>
    </row>
    <row r="211" spans="12:12" ht="14.25" customHeight="1">
      <c r="L211" s="73" t="str">
        <f>IF(AND($H211&lt;&gt;"",OR($H211&amp;""=PMIS_Home!$B$4&amp;"",$H211&amp;""="Campus")),MAX($L$4:L210)+1,"")</f>
        <v/>
      </c>
    </row>
    <row r="212" spans="12:12" ht="14.25" customHeight="1">
      <c r="L212" s="73" t="str">
        <f>IF(AND($H212&lt;&gt;"",OR($H212&amp;""=PMIS_Home!$B$4&amp;"",$H212&amp;""="Campus")),MAX($L$4:L211)+1,"")</f>
        <v/>
      </c>
    </row>
    <row r="213" spans="12:12" ht="14.25" customHeight="1">
      <c r="L213" s="73" t="str">
        <f>IF(AND($H213&lt;&gt;"",OR($H213&amp;""=PMIS_Home!$B$4&amp;"",$H213&amp;""="Campus")),MAX($L$4:L212)+1,"")</f>
        <v/>
      </c>
    </row>
    <row r="214" spans="12:12" ht="14.25" customHeight="1">
      <c r="L214" s="73" t="str">
        <f>IF(AND($H214&lt;&gt;"",OR($H214&amp;""=PMIS_Home!$B$4&amp;"",$H214&amp;""="Campus")),MAX($L$4:L213)+1,"")</f>
        <v/>
      </c>
    </row>
    <row r="215" spans="12:12" ht="14.25" customHeight="1">
      <c r="L215" s="73" t="str">
        <f>IF(AND($H215&lt;&gt;"",OR($H215&amp;""=PMIS_Home!$B$4&amp;"",$H215&amp;""="Campus")),MAX($L$4:L214)+1,"")</f>
        <v/>
      </c>
    </row>
    <row r="216" spans="12:12" ht="14.25" customHeight="1">
      <c r="L216" s="73" t="str">
        <f>IF(AND($H216&lt;&gt;"",OR($H216&amp;""=PMIS_Home!$B$4&amp;"",$H216&amp;""="Campus")),MAX($L$4:L215)+1,"")</f>
        <v/>
      </c>
    </row>
    <row r="217" spans="12:12" ht="14.25" customHeight="1">
      <c r="L217" s="73" t="str">
        <f>IF(AND($H217&lt;&gt;"",OR($H217&amp;""=PMIS_Home!$B$4&amp;"",$H217&amp;""="Campus")),MAX($L$4:L216)+1,"")</f>
        <v/>
      </c>
    </row>
    <row r="218" spans="12:12" ht="14.25" customHeight="1">
      <c r="L218" s="73" t="str">
        <f>IF(AND($H218&lt;&gt;"",OR($H218&amp;""=PMIS_Home!$B$4&amp;"",$H218&amp;""="Campus")),MAX($L$4:L217)+1,"")</f>
        <v/>
      </c>
    </row>
    <row r="219" spans="12:12" ht="14.25" customHeight="1">
      <c r="L219" s="73" t="str">
        <f>IF(AND($H219&lt;&gt;"",OR($H219&amp;""=PMIS_Home!$B$4&amp;"",$H219&amp;""="Campus")),MAX($L$4:L218)+1,"")</f>
        <v/>
      </c>
    </row>
    <row r="220" spans="12:12" ht="14.25" customHeight="1">
      <c r="L220" s="73" t="str">
        <f>IF(AND($H220&lt;&gt;"",OR($H220&amp;""=PMIS_Home!$B$4&amp;"",$H220&amp;""="Campus")),MAX($L$4:L219)+1,"")</f>
        <v/>
      </c>
    </row>
    <row r="221" spans="12:12" ht="14.25" customHeight="1">
      <c r="L221" s="73" t="str">
        <f>IF(AND($H221&lt;&gt;"",OR($H221&amp;""=PMIS_Home!$B$4&amp;"",$H221&amp;""="Campus")),MAX($L$4:L220)+1,"")</f>
        <v/>
      </c>
    </row>
    <row r="222" spans="12:12" ht="14.25" customHeight="1">
      <c r="L222" s="73" t="str">
        <f>IF(AND($H222&lt;&gt;"",OR($H222&amp;""=PMIS_Home!$B$4&amp;"",$H222&amp;""="Campus")),MAX($L$4:L221)+1,"")</f>
        <v/>
      </c>
    </row>
    <row r="223" spans="12:12" ht="14.25" customHeight="1">
      <c r="L223" s="73" t="str">
        <f>IF(AND($H223&lt;&gt;"",OR($H223&amp;""=PMIS_Home!$B$4&amp;"",$H223&amp;""="Campus")),MAX($L$4:L222)+1,"")</f>
        <v/>
      </c>
    </row>
    <row r="224" spans="12:12" ht="14.25" customHeight="1">
      <c r="L224" s="73" t="str">
        <f>IF(AND($H224&lt;&gt;"",OR($H224&amp;""=PMIS_Home!$B$4&amp;"",$H224&amp;""="Campus")),MAX($L$4:L223)+1,"")</f>
        <v/>
      </c>
    </row>
    <row r="225" spans="12:12" ht="14.25" customHeight="1">
      <c r="L225" s="73" t="str">
        <f>IF(AND($H225&lt;&gt;"",OR($H225&amp;""=PMIS_Home!$B$4&amp;"",$H225&amp;""="Campus")),MAX($L$4:L224)+1,"")</f>
        <v/>
      </c>
    </row>
    <row r="226" spans="12:12" ht="14.25" customHeight="1">
      <c r="L226" s="73" t="str">
        <f>IF(AND($H226&lt;&gt;"",OR($H226&amp;""=PMIS_Home!$B$4&amp;"",$H226&amp;""="Campus")),MAX($L$4:L225)+1,"")</f>
        <v/>
      </c>
    </row>
    <row r="227" spans="12:12" ht="14.25" customHeight="1">
      <c r="L227" s="73" t="str">
        <f>IF(AND($H227&lt;&gt;"",OR($H227&amp;""=PMIS_Home!$B$4&amp;"",$H227&amp;""="Campus")),MAX($L$4:L226)+1,"")</f>
        <v/>
      </c>
    </row>
    <row r="228" spans="12:12" ht="14.25" customHeight="1">
      <c r="L228" s="73" t="str">
        <f>IF(AND($H228&lt;&gt;"",OR($H228&amp;""=PMIS_Home!$B$4&amp;"",$H228&amp;""="Campus")),MAX($L$4:L227)+1,"")</f>
        <v/>
      </c>
    </row>
    <row r="229" spans="12:12" ht="14.25" customHeight="1">
      <c r="L229" s="73" t="str">
        <f>IF(AND($H229&lt;&gt;"",OR($H229&amp;""=PMIS_Home!$B$4&amp;"",$H229&amp;""="Campus")),MAX($L$4:L228)+1,"")</f>
        <v/>
      </c>
    </row>
    <row r="230" spans="12:12" ht="14.25" customHeight="1">
      <c r="L230" s="73" t="str">
        <f>IF(AND($H230&lt;&gt;"",OR($H230&amp;""=PMIS_Home!$B$4&amp;"",$H230&amp;""="Campus")),MAX($L$4:L229)+1,"")</f>
        <v/>
      </c>
    </row>
    <row r="231" spans="12:12" ht="14.25" customHeight="1">
      <c r="L231" s="73" t="str">
        <f>IF(AND($H231&lt;&gt;"",OR($H231&amp;""=PMIS_Home!$B$4&amp;"",$H231&amp;""="Campus")),MAX($L$4:L230)+1,"")</f>
        <v/>
      </c>
    </row>
    <row r="232" spans="12:12" ht="14.25" customHeight="1">
      <c r="L232" s="73" t="str">
        <f>IF(AND($H232&lt;&gt;"",OR($H232&amp;""=PMIS_Home!$B$4&amp;"",$H232&amp;""="Campus")),MAX($L$4:L231)+1,"")</f>
        <v/>
      </c>
    </row>
    <row r="233" spans="12:12" ht="14.25" customHeight="1">
      <c r="L233" s="73" t="str">
        <f>IF(AND($H233&lt;&gt;"",OR($H233&amp;""=PMIS_Home!$B$4&amp;"",$H233&amp;""="Campus")),MAX($L$4:L232)+1,"")</f>
        <v/>
      </c>
    </row>
    <row r="234" spans="12:12" ht="14.25" customHeight="1">
      <c r="L234" s="73" t="str">
        <f>IF(AND($H234&lt;&gt;"",OR($H234&amp;""=PMIS_Home!$B$4&amp;"",$H234&amp;""="Campus")),MAX($L$4:L233)+1,"")</f>
        <v/>
      </c>
    </row>
    <row r="235" spans="12:12" ht="14.25" customHeight="1">
      <c r="L235" s="73" t="str">
        <f>IF(AND($H235&lt;&gt;"",OR($H235&amp;""=PMIS_Home!$B$4&amp;"",$H235&amp;""="Campus")),MAX($L$4:L234)+1,"")</f>
        <v/>
      </c>
    </row>
    <row r="236" spans="12:12" ht="14.25" customHeight="1">
      <c r="L236" s="73" t="str">
        <f>IF(AND($H236&lt;&gt;"",OR($H236&amp;""=PMIS_Home!$B$4&amp;"",$H236&amp;""="Campus")),MAX($L$4:L235)+1,"")</f>
        <v/>
      </c>
    </row>
    <row r="237" spans="12:12" ht="14.25" customHeight="1">
      <c r="L237" s="73" t="str">
        <f>IF(AND($H237&lt;&gt;"",OR($H237&amp;""=PMIS_Home!$B$4&amp;"",$H237&amp;""="Campus")),MAX($L$4:L236)+1,"")</f>
        <v/>
      </c>
    </row>
    <row r="238" spans="12:12" ht="14.25" customHeight="1">
      <c r="L238" s="73" t="str">
        <f>IF(AND($H238&lt;&gt;"",OR($H238&amp;""=PMIS_Home!$B$4&amp;"",$H238&amp;""="Campus")),MAX($L$4:L237)+1,"")</f>
        <v/>
      </c>
    </row>
    <row r="239" spans="12:12" ht="14.25" customHeight="1">
      <c r="L239" s="73" t="str">
        <f>IF(AND($H239&lt;&gt;"",OR($H239&amp;""=PMIS_Home!$B$4&amp;"",$H239&amp;""="Campus")),MAX($L$4:L238)+1,"")</f>
        <v/>
      </c>
    </row>
    <row r="240" spans="12:12" ht="14.25" customHeight="1">
      <c r="L240" s="73" t="str">
        <f>IF(AND($H240&lt;&gt;"",OR($H240&amp;""=PMIS_Home!$B$4&amp;"",$H240&amp;""="Campus")),MAX($L$4:L239)+1,"")</f>
        <v/>
      </c>
    </row>
    <row r="241" spans="12:12" ht="14.25" customHeight="1">
      <c r="L241" s="73" t="str">
        <f>IF(AND($H241&lt;&gt;"",OR($H241&amp;""=PMIS_Home!$B$4&amp;"",$H241&amp;""="Campus")),MAX($L$4:L240)+1,"")</f>
        <v/>
      </c>
    </row>
    <row r="242" spans="12:12" ht="14.25" customHeight="1">
      <c r="L242" s="73" t="str">
        <f>IF(AND($H242&lt;&gt;"",OR($H242&amp;""=PMIS_Home!$B$4&amp;"",$H242&amp;""="Campus")),MAX($L$4:L241)+1,"")</f>
        <v/>
      </c>
    </row>
    <row r="243" spans="12:12" ht="14.25" customHeight="1">
      <c r="L243" s="73" t="str">
        <f>IF(AND($H243&lt;&gt;"",OR($H243&amp;""=PMIS_Home!$B$4&amp;"",$H243&amp;""="Campus")),MAX($L$4:L242)+1,"")</f>
        <v/>
      </c>
    </row>
    <row r="244" spans="12:12" ht="14.25" customHeight="1">
      <c r="L244" s="73" t="str">
        <f>IF(AND($H244&lt;&gt;"",OR($H244&amp;""=PMIS_Home!$B$4&amp;"",$H244&amp;""="Campus")),MAX($L$4:L243)+1,"")</f>
        <v/>
      </c>
    </row>
    <row r="245" spans="12:12" ht="14.25" customHeight="1">
      <c r="L245" s="73" t="str">
        <f>IF(AND($H245&lt;&gt;"",OR($H245&amp;""=PMIS_Home!$B$4&amp;"",$H245&amp;""="Campus")),MAX($L$4:L244)+1,"")</f>
        <v/>
      </c>
    </row>
    <row r="246" spans="12:12" ht="14.25" customHeight="1">
      <c r="L246" s="73" t="str">
        <f>IF(AND($H246&lt;&gt;"",OR($H246&amp;""=PMIS_Home!$B$4&amp;"",$H246&amp;""="Campus")),MAX($L$4:L245)+1,"")</f>
        <v/>
      </c>
    </row>
    <row r="247" spans="12:12" ht="14.25" customHeight="1">
      <c r="L247" s="73" t="str">
        <f>IF(AND($H247&lt;&gt;"",OR($H247&amp;""=PMIS_Home!$B$4&amp;"",$H247&amp;""="Campus")),MAX($L$4:L246)+1,"")</f>
        <v/>
      </c>
    </row>
    <row r="248" spans="12:12" ht="14.25" customHeight="1">
      <c r="L248" s="73" t="str">
        <f>IF(AND($H248&lt;&gt;"",OR($H248&amp;""=PMIS_Home!$B$4&amp;"",$H248&amp;""="Campus")),MAX($L$4:L247)+1,"")</f>
        <v/>
      </c>
    </row>
    <row r="249" spans="12:12" ht="14.25" customHeight="1">
      <c r="L249" s="73" t="str">
        <f>IF(AND($H249&lt;&gt;"",OR($H249&amp;""=PMIS_Home!$B$4&amp;"",$H249&amp;""="Campus")),MAX($L$4:L248)+1,"")</f>
        <v/>
      </c>
    </row>
    <row r="250" spans="12:12" ht="14.25" customHeight="1">
      <c r="L250" s="73" t="str">
        <f>IF(AND($H250&lt;&gt;"",OR($H250&amp;""=PMIS_Home!$B$4&amp;"",$H250&amp;""="Campus")),MAX($L$4:L249)+1,"")</f>
        <v/>
      </c>
    </row>
    <row r="251" spans="12:12" ht="14.25" customHeight="1">
      <c r="L251" s="74" t="str">
        <f>IF(AND($H251&lt;&gt;"",OR($H251&amp;""=PMIS_Home!$B$4&amp;"",$H251&amp;""="Campus")),MAX($L$4:L250)+1,"")</f>
        <v/>
      </c>
    </row>
    <row r="252" spans="12:12" ht="14.25" customHeight="1">
      <c r="L252" s="74" t="str">
        <f>IF(AND($H252&lt;&gt;"",OR($H252&amp;""=PMIS_Home!$B$4&amp;"",$H252&amp;""="Campus")),MAX($L$4:L251)+1,"")</f>
        <v/>
      </c>
    </row>
    <row r="253" spans="12:12" ht="14.25" customHeight="1">
      <c r="L253" s="74" t="str">
        <f>IF(AND($H253&lt;&gt;"",OR($H253&amp;""=PMIS_Home!$B$4&amp;"",$H253&amp;""="Campus")),MAX($L$4:L252)+1,"")</f>
        <v/>
      </c>
    </row>
    <row r="254" spans="12:12" ht="14.25" customHeight="1">
      <c r="L254" s="74" t="str">
        <f>IF(AND($H254&lt;&gt;"",OR($H254&amp;""=PMIS_Home!$B$4&amp;"",$H254&amp;""="Campus")),MAX($L$4:L253)+1,"")</f>
        <v/>
      </c>
    </row>
    <row r="255" spans="12:12" ht="14.25" customHeight="1">
      <c r="L255" s="74" t="str">
        <f>IF(AND($H255&lt;&gt;"",OR($H255&amp;""=PMIS_Home!$B$4&amp;"",$H255&amp;""="Campus")),MAX($L$4:L254)+1,"")</f>
        <v/>
      </c>
    </row>
    <row r="256" spans="12:12" ht="14.25" customHeight="1">
      <c r="L256" s="74" t="str">
        <f>IF(AND($H256&lt;&gt;"",OR($H256&amp;""=PMIS_Home!$B$4&amp;"",$H256&amp;""="Campus")),MAX($L$4:L255)+1,"")</f>
        <v/>
      </c>
    </row>
    <row r="257" spans="12:12" ht="14.25" customHeight="1">
      <c r="L257" s="74" t="str">
        <f>IF(AND($H257&lt;&gt;"",OR($H257&amp;""=PMIS_Home!$B$4&amp;"",$H257&amp;""="Campus")),MAX($L$4:L256)+1,"")</f>
        <v/>
      </c>
    </row>
    <row r="258" spans="12:12" ht="14.25" customHeight="1">
      <c r="L258" s="74" t="str">
        <f>IF(AND($H258&lt;&gt;"",OR($H258&amp;""=PMIS_Home!$B$4&amp;"",$H258&amp;""="Campus")),MAX($L$4:L257)+1,"")</f>
        <v/>
      </c>
    </row>
    <row r="259" spans="12:12" ht="14.25" customHeight="1">
      <c r="L259" s="74" t="str">
        <f>IF(AND($H259&lt;&gt;"",OR($H259&amp;""=PMIS_Home!$B$4&amp;"",$H259&amp;""="Campus")),MAX($L$4:L258)+1,"")</f>
        <v/>
      </c>
    </row>
    <row r="260" spans="12:12" ht="14.25" customHeight="1">
      <c r="L260" s="74" t="str">
        <f>IF(AND($H260&lt;&gt;"",OR($H260&amp;""=PMIS_Home!$B$4&amp;"",$H260&amp;""="Campus")),MAX($L$4:L259)+1,"")</f>
        <v/>
      </c>
    </row>
    <row r="261" spans="12:12" ht="14.25" customHeight="1">
      <c r="L261" s="74" t="str">
        <f>IF(AND($H261&lt;&gt;"",OR($H261&amp;""=PMIS_Home!$B$4&amp;"",$H261&amp;""="Campus")),MAX($L$4:L260)+1,"")</f>
        <v/>
      </c>
    </row>
    <row r="262" spans="12:12" ht="14.25" customHeight="1">
      <c r="L262" s="74" t="str">
        <f>IF(AND($H262&lt;&gt;"",OR($H262&amp;""=PMIS_Home!$B$4&amp;"",$H262&amp;""="Campus")),MAX($L$4:L261)+1,"")</f>
        <v/>
      </c>
    </row>
    <row r="263" spans="12:12" ht="14.25" customHeight="1">
      <c r="L263" s="74" t="str">
        <f>IF(AND($H263&lt;&gt;"",OR($H263&amp;""=PMIS_Home!$B$4&amp;"",$H263&amp;""="Campus")),MAX($L$4:L262)+1,"")</f>
        <v/>
      </c>
    </row>
    <row r="264" spans="12:12" ht="14.25" customHeight="1">
      <c r="L264" s="74" t="str">
        <f>IF(AND($H264&lt;&gt;"",OR($H264&amp;""=PMIS_Home!$B$4&amp;"",$H264&amp;""="Campus")),MAX($L$4:L263)+1,"")</f>
        <v/>
      </c>
    </row>
    <row r="265" spans="12:12" ht="14.25" customHeight="1">
      <c r="L265" s="74" t="str">
        <f>IF(AND($H265&lt;&gt;"",OR($H265&amp;""=PMIS_Home!$B$4&amp;"",$H265&amp;""="Campus")),MAX($L$4:L264)+1,"")</f>
        <v/>
      </c>
    </row>
    <row r="266" spans="12:12" ht="14.25" customHeight="1">
      <c r="L266" s="74" t="str">
        <f>IF(AND($H266&lt;&gt;"",OR($H266&amp;""=PMIS_Home!$B$4&amp;"",$H266&amp;""="Campus")),MAX($L$4:L265)+1,"")</f>
        <v/>
      </c>
    </row>
    <row r="267" spans="12:12" ht="14.25" customHeight="1">
      <c r="L267" s="74" t="str">
        <f>IF(AND($H267&lt;&gt;"",OR($H267&amp;""=PMIS_Home!$B$4&amp;"",$H267&amp;""="Campus")),MAX($L$4:L266)+1,"")</f>
        <v/>
      </c>
    </row>
    <row r="268" spans="12:12" ht="14.25" customHeight="1">
      <c r="L268" s="74" t="str">
        <f>IF(AND($H268&lt;&gt;"",OR($H268&amp;""=PMIS_Home!$B$4&amp;"",$H268&amp;""="Campus")),MAX($L$4:L267)+1,"")</f>
        <v/>
      </c>
    </row>
    <row r="269" spans="12:12" ht="14.25" customHeight="1">
      <c r="L269" s="74" t="str">
        <f>IF(AND($H269&lt;&gt;"",OR($H269&amp;""=PMIS_Home!$B$4&amp;"",$H269&amp;""="Campus")),MAX($L$4:L268)+1,"")</f>
        <v/>
      </c>
    </row>
    <row r="270" spans="12:12" ht="14.25" customHeight="1">
      <c r="L270" s="74" t="str">
        <f>IF(AND($H270&lt;&gt;"",OR($H270&amp;""=PMIS_Home!$B$4&amp;"",$H270&amp;""="Campus")),MAX($L$4:L269)+1,"")</f>
        <v/>
      </c>
    </row>
    <row r="271" spans="12:12" ht="14.25" customHeight="1">
      <c r="L271" s="74" t="str">
        <f>IF(AND($H271&lt;&gt;"",OR($H271&amp;""=PMIS_Home!$B$4&amp;"",$H271&amp;""="Campus")),MAX($L$4:L270)+1,"")</f>
        <v/>
      </c>
    </row>
    <row r="272" spans="12:12" ht="14.25" customHeight="1">
      <c r="L272" s="74" t="str">
        <f>IF(AND($H272&lt;&gt;"",OR($H272&amp;""=PMIS_Home!$B$4&amp;"",$H272&amp;""="Campus")),MAX($L$4:L271)+1,"")</f>
        <v/>
      </c>
    </row>
    <row r="273" spans="12:12" ht="14.25" customHeight="1">
      <c r="L273" s="74" t="str">
        <f>IF(AND($H273&lt;&gt;"",OR($H273&amp;""=PMIS_Home!$B$4&amp;"",$H273&amp;""="Campus")),MAX($L$4:L272)+1,"")</f>
        <v/>
      </c>
    </row>
    <row r="274" spans="12:12" ht="14.25" customHeight="1">
      <c r="L274" s="74" t="str">
        <f>IF(AND($H274&lt;&gt;"",OR($H274&amp;""=PMIS_Home!$B$4&amp;"",$H274&amp;""="Campus")),MAX($L$4:L273)+1,"")</f>
        <v/>
      </c>
    </row>
    <row r="275" spans="12:12" ht="14.25" customHeight="1">
      <c r="L275" s="74" t="str">
        <f>IF(AND($H275&lt;&gt;"",OR($H275&amp;""=PMIS_Home!$B$4&amp;"",$H275&amp;""="Campus")),MAX($L$4:L274)+1,"")</f>
        <v/>
      </c>
    </row>
    <row r="276" spans="12:12" ht="14.25" customHeight="1">
      <c r="L276" s="74" t="str">
        <f>IF(AND($H276&lt;&gt;"",OR($H276&amp;""=PMIS_Home!$B$4&amp;"",$H276&amp;""="Campus")),MAX($L$4:L275)+1,"")</f>
        <v/>
      </c>
    </row>
    <row r="277" spans="12:12" ht="14.25" customHeight="1">
      <c r="L277" s="74" t="str">
        <f>IF(AND($H277&lt;&gt;"",OR($H277&amp;""=PMIS_Home!$B$4&amp;"",$H277&amp;""="Campus")),MAX($L$4:L276)+1,"")</f>
        <v/>
      </c>
    </row>
    <row r="278" spans="12:12" ht="14.25" customHeight="1">
      <c r="L278" s="74" t="str">
        <f>IF(AND($H278&lt;&gt;"",OR($H278&amp;""=PMIS_Home!$B$4&amp;"",$H278&amp;""="Campus")),MAX($L$4:L277)+1,"")</f>
        <v/>
      </c>
    </row>
    <row r="279" spans="12:12" ht="14.25" customHeight="1">
      <c r="L279" s="74" t="str">
        <f>IF(AND($H279&lt;&gt;"",OR($H279&amp;""=PMIS_Home!$B$4&amp;"",$H279&amp;""="Campus")),MAX($L$4:L278)+1,"")</f>
        <v/>
      </c>
    </row>
    <row r="280" spans="12:12" ht="14.25" customHeight="1">
      <c r="L280" s="74" t="str">
        <f>IF(AND($H280&lt;&gt;"",OR($H280&amp;""=PMIS_Home!$B$4&amp;"",$H280&amp;""="Campus")),MAX($L$4:L279)+1,"")</f>
        <v/>
      </c>
    </row>
    <row r="281" spans="12:12" ht="14.25" customHeight="1">
      <c r="L281" s="74" t="str">
        <f>IF(AND($H281&lt;&gt;"",OR($H281&amp;""=PMIS_Home!$B$4&amp;"",$H281&amp;""="Campus")),MAX($L$4:L280)+1,"")</f>
        <v/>
      </c>
    </row>
    <row r="282" spans="12:12" ht="14.25" customHeight="1">
      <c r="L282" s="74" t="str">
        <f>IF(AND($H282&lt;&gt;"",OR($H282&amp;""=PMIS_Home!$B$4&amp;"",$H282&amp;""="Campus")),MAX($L$4:L281)+1,"")</f>
        <v/>
      </c>
    </row>
    <row r="283" spans="12:12" ht="14.25" customHeight="1">
      <c r="L283" s="74" t="str">
        <f>IF(AND($H283&lt;&gt;"",OR($H283&amp;""=PMIS_Home!$B$4&amp;"",$H283&amp;""="Campus")),MAX($L$4:L282)+1,"")</f>
        <v/>
      </c>
    </row>
    <row r="284" spans="12:12" ht="14.25" customHeight="1">
      <c r="L284" s="74" t="str">
        <f>IF(AND($H284&lt;&gt;"",OR($H284&amp;""=PMIS_Home!$B$4&amp;"",$H284&amp;""="Campus")),MAX($L$4:L283)+1,"")</f>
        <v/>
      </c>
    </row>
    <row r="285" spans="12:12" ht="14.25" customHeight="1">
      <c r="L285" s="74" t="str">
        <f>IF(AND($H285&lt;&gt;"",OR($H285&amp;""=PMIS_Home!$B$4&amp;"",$H285&amp;""="Campus")),MAX($L$4:L284)+1,"")</f>
        <v/>
      </c>
    </row>
    <row r="286" spans="12:12" ht="14.25" customHeight="1">
      <c r="L286" s="74" t="str">
        <f>IF(AND($H286&lt;&gt;"",OR($H286&amp;""=PMIS_Home!$B$4&amp;"",$H286&amp;""="Campus")),MAX($L$4:L285)+1,"")</f>
        <v/>
      </c>
    </row>
    <row r="287" spans="12:12" ht="14.25" customHeight="1">
      <c r="L287" s="74" t="str">
        <f>IF(AND($H287&lt;&gt;"",OR($H287&amp;""=PMIS_Home!$B$4&amp;"",$H287&amp;""="Campus")),MAX($L$4:L286)+1,"")</f>
        <v/>
      </c>
    </row>
    <row r="288" spans="12:12" ht="14.25" customHeight="1">
      <c r="L288" s="74" t="str">
        <f>IF(AND($H288&lt;&gt;"",OR($H288&amp;""=PMIS_Home!$B$4&amp;"",$H288&amp;""="Campus")),MAX($L$4:L287)+1,"")</f>
        <v/>
      </c>
    </row>
    <row r="289" spans="12:12" ht="14.25" customHeight="1">
      <c r="L289" s="74" t="str">
        <f>IF(AND($H289&lt;&gt;"",OR($H289&amp;""=PMIS_Home!$B$4&amp;"",$H289&amp;""="Campus")),MAX($L$4:L288)+1,"")</f>
        <v/>
      </c>
    </row>
    <row r="290" spans="12:12" ht="14.25" customHeight="1">
      <c r="L290" s="74" t="str">
        <f>IF(AND($H290&lt;&gt;"",OR($H290&amp;""=PMIS_Home!$B$4&amp;"",$H290&amp;""="Campus")),MAX($L$4:L289)+1,"")</f>
        <v/>
      </c>
    </row>
    <row r="291" spans="12:12" ht="14.25" customHeight="1">
      <c r="L291" s="74" t="str">
        <f>IF(AND($H291&lt;&gt;"",OR($H291&amp;""=PMIS_Home!$B$4&amp;"",$H291&amp;""="Campus")),MAX($L$4:L290)+1,"")</f>
        <v/>
      </c>
    </row>
    <row r="292" spans="12:12" ht="14.25" customHeight="1">
      <c r="L292" s="74" t="str">
        <f>IF(AND($H292&lt;&gt;"",OR($H292&amp;""=PMIS_Home!$B$4&amp;"",$H292&amp;""="Campus")),MAX($L$4:L291)+1,"")</f>
        <v/>
      </c>
    </row>
    <row r="293" spans="12:12" ht="14.25" customHeight="1">
      <c r="L293" s="74" t="str">
        <f>IF(AND($H293&lt;&gt;"",OR($H293&amp;""=PMIS_Home!$B$4&amp;"",$H293&amp;""="Campus")),MAX($L$4:L292)+1,"")</f>
        <v/>
      </c>
    </row>
    <row r="294" spans="12:12" ht="14.25" customHeight="1">
      <c r="L294" s="74" t="str">
        <f>IF(AND($H294&lt;&gt;"",OR($H294&amp;""=PMIS_Home!$B$4&amp;"",$H294&amp;""="Campus")),MAX($L$4:L293)+1,"")</f>
        <v/>
      </c>
    </row>
    <row r="295" spans="12:12" ht="14.25" customHeight="1">
      <c r="L295" s="74" t="str">
        <f>IF(AND($H295&lt;&gt;"",OR($H295&amp;""=PMIS_Home!$B$4&amp;"",$H295&amp;""="Campus")),MAX($L$4:L294)+1,"")</f>
        <v/>
      </c>
    </row>
    <row r="296" spans="12:12" ht="14.25" customHeight="1">
      <c r="L296" s="74" t="str">
        <f>IF(AND($H296&lt;&gt;"",OR($H296&amp;""=PMIS_Home!$B$4&amp;"",$H296&amp;""="Campus")),MAX($L$4:L295)+1,"")</f>
        <v/>
      </c>
    </row>
    <row r="297" spans="12:12" ht="14.25" customHeight="1">
      <c r="L297" s="74" t="str">
        <f>IF(AND($H297&lt;&gt;"",OR($H297&amp;""=PMIS_Home!$B$4&amp;"",$H297&amp;""="Campus")),MAX($L$4:L296)+1,"")</f>
        <v/>
      </c>
    </row>
    <row r="298" spans="12:12" ht="14.25" customHeight="1">
      <c r="L298" s="74" t="str">
        <f>IF(AND($H298&lt;&gt;"",OR($H298&amp;""=PMIS_Home!$B$4&amp;"",$H298&amp;""="Campus")),MAX($L$4:L297)+1,"")</f>
        <v/>
      </c>
    </row>
    <row r="299" spans="12:12" ht="14.25" customHeight="1">
      <c r="L299" s="74" t="str">
        <f>IF(AND($H299&lt;&gt;"",OR($H299&amp;""=PMIS_Home!$B$4&amp;"",$H299&amp;""="Campus")),MAX($L$4:L298)+1,"")</f>
        <v/>
      </c>
    </row>
    <row r="300" spans="12:12" ht="14.25" customHeight="1">
      <c r="L300" s="74" t="str">
        <f>IF(AND($H300&lt;&gt;"",OR($H300&amp;""=PMIS_Home!$B$4&amp;"",$H300&amp;""="Campus")),MAX($L$4:L299)+1,"")</f>
        <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A8818-DEF7-4D13-83B8-298176CD64C9}">
  <dimension ref="A1:A42"/>
  <sheetViews>
    <sheetView workbookViewId="0"/>
  </sheetViews>
  <sheetFormatPr defaultColWidth="8.6640625" defaultRowHeight="14.4"/>
  <cols>
    <col min="1" max="1" width="58.6640625" style="8" customWidth="1"/>
  </cols>
  <sheetData>
    <row r="1" spans="1:1" ht="7.35" customHeight="1">
      <c r="A1" s="115" t="s">
        <v>865</v>
      </c>
    </row>
    <row r="2" spans="1:1" ht="7.35" customHeight="1">
      <c r="A2" s="115" t="s">
        <v>728</v>
      </c>
    </row>
    <row r="3" spans="1:1" ht="7.35" customHeight="1">
      <c r="A3" s="115" t="s">
        <v>282</v>
      </c>
    </row>
    <row r="4" spans="1:1" ht="7.35" customHeight="1">
      <c r="A4" s="115" t="s">
        <v>734</v>
      </c>
    </row>
    <row r="5" spans="1:1" ht="7.35" customHeight="1">
      <c r="A5" s="115" t="s">
        <v>740</v>
      </c>
    </row>
    <row r="6" spans="1:1" ht="7.35" customHeight="1">
      <c r="A6" s="115" t="s">
        <v>746</v>
      </c>
    </row>
    <row r="7" spans="1:1" ht="7.35" customHeight="1">
      <c r="A7" s="115" t="s">
        <v>752</v>
      </c>
    </row>
    <row r="8" spans="1:1" ht="7.35" customHeight="1">
      <c r="A8" s="115" t="s">
        <v>757</v>
      </c>
    </row>
    <row r="9" spans="1:1" ht="7.35" customHeight="1">
      <c r="A9" s="115" t="s">
        <v>763</v>
      </c>
    </row>
    <row r="10" spans="1:1" ht="7.35" customHeight="1">
      <c r="A10" s="115" t="s">
        <v>768</v>
      </c>
    </row>
    <row r="11" spans="1:1" ht="7.35" customHeight="1">
      <c r="A11" s="115" t="s">
        <v>771</v>
      </c>
    </row>
    <row r="12" spans="1:1" ht="7.35" customHeight="1">
      <c r="A12" s="115" t="s">
        <v>774</v>
      </c>
    </row>
    <row r="13" spans="1:1" ht="7.35" customHeight="1">
      <c r="A13" s="115" t="s">
        <v>777</v>
      </c>
    </row>
    <row r="14" spans="1:1" ht="7.35" customHeight="1">
      <c r="A14" s="115" t="s">
        <v>780</v>
      </c>
    </row>
    <row r="15" spans="1:1" ht="7.35" customHeight="1">
      <c r="A15" s="115" t="s">
        <v>783</v>
      </c>
    </row>
    <row r="16" spans="1:1" ht="7.35" customHeight="1">
      <c r="A16" s="115" t="s">
        <v>786</v>
      </c>
    </row>
    <row r="17" spans="1:1" ht="7.35" customHeight="1">
      <c r="A17" s="115" t="s">
        <v>789</v>
      </c>
    </row>
    <row r="18" spans="1:1" ht="7.35" customHeight="1">
      <c r="A18" s="115" t="s">
        <v>792</v>
      </c>
    </row>
    <row r="19" spans="1:1" ht="7.35" customHeight="1">
      <c r="A19" s="115" t="s">
        <v>795</v>
      </c>
    </row>
    <row r="20" spans="1:1" ht="7.35" customHeight="1">
      <c r="A20" s="115" t="s">
        <v>798</v>
      </c>
    </row>
    <row r="21" spans="1:1" ht="7.35" customHeight="1">
      <c r="A21" s="115" t="s">
        <v>801</v>
      </c>
    </row>
    <row r="22" spans="1:1" ht="7.35" customHeight="1">
      <c r="A22" s="115" t="s">
        <v>804</v>
      </c>
    </row>
    <row r="23" spans="1:1" ht="7.35" customHeight="1">
      <c r="A23" s="115" t="s">
        <v>807</v>
      </c>
    </row>
    <row r="24" spans="1:1" ht="7.35" customHeight="1">
      <c r="A24" s="115" t="s">
        <v>810</v>
      </c>
    </row>
    <row r="25" spans="1:1" ht="7.35" customHeight="1">
      <c r="A25" s="115" t="s">
        <v>813</v>
      </c>
    </row>
    <row r="26" spans="1:1" ht="7.35" customHeight="1">
      <c r="A26" s="115" t="s">
        <v>816</v>
      </c>
    </row>
    <row r="27" spans="1:1" ht="7.35" customHeight="1">
      <c r="A27" s="115" t="s">
        <v>819</v>
      </c>
    </row>
    <row r="28" spans="1:1" ht="7.35" customHeight="1">
      <c r="A28" s="115" t="s">
        <v>822</v>
      </c>
    </row>
    <row r="29" spans="1:1" ht="7.35" customHeight="1">
      <c r="A29" s="115" t="s">
        <v>825</v>
      </c>
    </row>
    <row r="30" spans="1:1" ht="7.35" customHeight="1">
      <c r="A30" s="115" t="s">
        <v>828</v>
      </c>
    </row>
    <row r="31" spans="1:1" ht="7.35" customHeight="1">
      <c r="A31" s="115" t="s">
        <v>831</v>
      </c>
    </row>
    <row r="32" spans="1:1" ht="7.35" customHeight="1">
      <c r="A32" s="115" t="s">
        <v>834</v>
      </c>
    </row>
    <row r="33" spans="1:1" ht="7.35" customHeight="1">
      <c r="A33" s="115" t="s">
        <v>837</v>
      </c>
    </row>
    <row r="34" spans="1:1" ht="7.35" customHeight="1">
      <c r="A34" s="115" t="s">
        <v>840</v>
      </c>
    </row>
    <row r="35" spans="1:1" ht="7.35" customHeight="1">
      <c r="A35" s="115" t="s">
        <v>843</v>
      </c>
    </row>
    <row r="36" spans="1:1" ht="7.35" customHeight="1">
      <c r="A36" s="115" t="s">
        <v>846</v>
      </c>
    </row>
    <row r="37" spans="1:1" ht="7.35" customHeight="1">
      <c r="A37" s="115" t="s">
        <v>849</v>
      </c>
    </row>
    <row r="38" spans="1:1" ht="7.35" customHeight="1">
      <c r="A38" s="115" t="s">
        <v>852</v>
      </c>
    </row>
    <row r="39" spans="1:1" ht="7.35" customHeight="1">
      <c r="A39" s="115" t="s">
        <v>855</v>
      </c>
    </row>
    <row r="40" spans="1:1" ht="7.35" customHeight="1">
      <c r="A40" s="115" t="s">
        <v>858</v>
      </c>
    </row>
    <row r="41" spans="1:1" ht="7.35" customHeight="1">
      <c r="A41" s="115" t="s">
        <v>861</v>
      </c>
    </row>
    <row r="42" spans="1:1" ht="7.35" customHeight="1">
      <c r="A42" s="115" t="s">
        <v>864</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5980B-F194-4550-8DBE-213A666C0EE7}">
  <dimension ref="A1:AO1440"/>
  <sheetViews>
    <sheetView workbookViewId="0">
      <selection activeCell="H28" sqref="H28"/>
    </sheetView>
  </sheetViews>
  <sheetFormatPr defaultColWidth="8.6640625" defaultRowHeight="14.4"/>
  <cols>
    <col min="1" max="1" width="12" style="139" customWidth="1"/>
    <col min="2" max="2" width="20" style="139" customWidth="1"/>
    <col min="3" max="3" width="16" style="139" customWidth="1"/>
    <col min="4" max="5" width="14" style="139" customWidth="1"/>
    <col min="6" max="6" width="16" style="139" customWidth="1"/>
    <col min="7" max="8" width="12" style="139" customWidth="1"/>
    <col min="9" max="10" width="14" style="139" customWidth="1"/>
    <col min="11" max="13" width="16" style="139" customWidth="1"/>
    <col min="14" max="14" width="18" style="139" customWidth="1"/>
    <col min="15" max="16" width="16" style="139" customWidth="1"/>
    <col min="17" max="17" width="12" style="139" customWidth="1"/>
    <col min="18" max="18" width="38" style="139" customWidth="1"/>
    <col min="19" max="19" width="70" style="139" customWidth="1"/>
    <col min="20" max="22" width="8.6640625" style="139" customWidth="1"/>
    <col min="23" max="23" width="15" style="139" customWidth="1"/>
    <col min="24" max="24" width="11.33203125" style="139" customWidth="1"/>
    <col min="25" max="25" width="18" style="139" customWidth="1"/>
    <col min="26" max="26" width="12.33203125" style="139" customWidth="1"/>
    <col min="27" max="27" width="13.6640625" style="139" customWidth="1"/>
    <col min="28" max="16384" width="8.6640625" style="139"/>
  </cols>
  <sheetData>
    <row r="1" spans="1:41" ht="7.35" customHeight="1">
      <c r="A1" s="57" t="s">
        <v>866</v>
      </c>
      <c r="Q1" s="59" t="str">
        <f>HYPERLINK("#'PMIS_Data'!A1","Data")</f>
        <v>Data</v>
      </c>
      <c r="R1" s="19"/>
      <c r="S1" s="19"/>
      <c r="Y1" s="57" t="s">
        <v>867</v>
      </c>
    </row>
    <row r="2" spans="1:41" ht="56.25" customHeight="1">
      <c r="A2" s="140" t="s">
        <v>142</v>
      </c>
      <c r="B2" s="140" t="s">
        <v>173</v>
      </c>
      <c r="C2" s="140" t="s">
        <v>151</v>
      </c>
      <c r="D2" s="141" t="s">
        <v>549</v>
      </c>
      <c r="E2" s="141" t="s">
        <v>538</v>
      </c>
      <c r="F2" s="140" t="s">
        <v>154</v>
      </c>
      <c r="G2" s="140" t="s">
        <v>868</v>
      </c>
      <c r="H2" s="140" t="s">
        <v>161</v>
      </c>
      <c r="I2" s="140" t="s">
        <v>199</v>
      </c>
      <c r="J2" s="140" t="s">
        <v>163</v>
      </c>
      <c r="K2" s="140" t="s">
        <v>148</v>
      </c>
      <c r="L2" s="140" t="s">
        <v>153</v>
      </c>
      <c r="M2" s="140" t="s">
        <v>155</v>
      </c>
      <c r="N2" s="140" t="s">
        <v>146</v>
      </c>
      <c r="O2" s="140" t="s">
        <v>157</v>
      </c>
      <c r="P2" s="140" t="s">
        <v>556</v>
      </c>
      <c r="Q2" s="140" t="s">
        <v>869</v>
      </c>
      <c r="R2" s="140" t="s">
        <v>870</v>
      </c>
      <c r="S2" s="140" t="s">
        <v>871</v>
      </c>
      <c r="T2" s="140" t="s">
        <v>872</v>
      </c>
      <c r="U2" s="140" t="s">
        <v>873</v>
      </c>
      <c r="V2" s="140" t="s">
        <v>874</v>
      </c>
      <c r="W2" s="140" t="s">
        <v>875</v>
      </c>
      <c r="X2" s="140" t="s">
        <v>179</v>
      </c>
      <c r="Y2" s="140" t="s">
        <v>876</v>
      </c>
      <c r="Z2" s="342" t="s">
        <v>5843</v>
      </c>
      <c r="AA2" s="342" t="s">
        <v>5905</v>
      </c>
      <c r="AB2" s="342" t="s">
        <v>5848</v>
      </c>
      <c r="AC2" s="342" t="s">
        <v>5906</v>
      </c>
      <c r="AD2" s="342" t="s">
        <v>5907</v>
      </c>
      <c r="AE2" s="342" t="s">
        <v>5908</v>
      </c>
      <c r="AF2" s="342" t="s">
        <v>5909</v>
      </c>
      <c r="AG2" s="342" t="s">
        <v>5910</v>
      </c>
      <c r="AH2" s="342" t="s">
        <v>5911</v>
      </c>
      <c r="AI2" s="342" t="s">
        <v>5858</v>
      </c>
      <c r="AJ2" s="342" t="s">
        <v>5912</v>
      </c>
      <c r="AK2" s="342" t="s">
        <v>5913</v>
      </c>
      <c r="AL2" s="342" t="s">
        <v>5784</v>
      </c>
      <c r="AM2" s="342" t="s">
        <v>5914</v>
      </c>
      <c r="AN2" s="342" t="s">
        <v>5776</v>
      </c>
      <c r="AO2" s="342" t="s">
        <v>5915</v>
      </c>
    </row>
    <row r="3" spans="1:41" ht="34.950000000000003" customHeight="1">
      <c r="A3" s="106" t="str">
        <f>B01_Assessment!$B$2&amp;""</f>
        <v>01</v>
      </c>
      <c r="B3" s="106" t="str">
        <f>"B01_Assessment"</f>
        <v>B01_Assessment</v>
      </c>
      <c r="C3" s="106" t="str">
        <f>B01_Assessment!$F$2</f>
        <v>Yellow</v>
      </c>
      <c r="D3" s="142">
        <f>B01_Assessment!$H$2</f>
        <v>0.5</v>
      </c>
      <c r="E3" s="142">
        <f>IFERROR(B01_Assessment!$H$2,0)</f>
        <v>0.5</v>
      </c>
      <c r="F3" s="106" t="str">
        <f>B01_Assessment!$J$2</f>
        <v>No</v>
      </c>
      <c r="G3" s="106">
        <f>MAX(0,COUNTA(B01_Assessment!$A$10:$A$49)-COUNTIF(B01_Assessment!$A$10:$A$49,"*. *"))</f>
        <v>29</v>
      </c>
      <c r="H3" s="106">
        <f>IFERROR(B01_Assessment!$B$4,0)</f>
        <v>0</v>
      </c>
      <c r="I3" s="106">
        <f>IFERROR(B01_Assessment!$D$4,0)</f>
        <v>0</v>
      </c>
      <c r="J3" s="106">
        <f>SUMPRODUCT(--(ISNUMBER(SEARCH("-P",B01_Assessment!$A$1:$A$164&amp;""))),--((B01_Assessment!$I$1:$I$164="Open")+(B01_Assessment!$I$1:$I$164="In Progress")))</f>
        <v>0</v>
      </c>
      <c r="K3" s="106" t="str">
        <f>B01_Assessment!$B$5</f>
        <v>Not Started</v>
      </c>
      <c r="L3" s="106" t="str">
        <f>B01_Assessment!$D$5</f>
        <v>Not Started</v>
      </c>
      <c r="M3" s="106" t="str">
        <f>B01_Assessment!$F$5</f>
        <v>Not Started</v>
      </c>
      <c r="N3" s="106" t="str">
        <f>B01_Assessment!$H$5</f>
        <v>Not Started</v>
      </c>
      <c r="O3" s="106" t="str">
        <f>B01_Assessment!$J$5</f>
        <v>Not Started</v>
      </c>
      <c r="P3" s="106" t="str">
        <f>B01_Assessment!$B$6</f>
        <v>Not Started</v>
      </c>
      <c r="Q3" s="106" t="str">
        <f>B01_Assessment!$D$6</f>
        <v>Field verify Room 107, existing B02, 138, and 282; confirm active services, existing rack/equipment transfer, B01-TR107A/B panel sources, IU-1-01/CU-1-01 cooling, fire alarm/sprinkler impacts, FEC location, PACS/CCTV scope, 394 ft cable tray routes, and telecom cutover sequence.</v>
      </c>
      <c r="R3" s="106" t="str">
        <f>B01_Assessment!$H$4</f>
        <v>Building 01 is a full-scope telecom room building with new First-Level Telecom Room 107 and existing telecom transition rooms B02, 138, and 282. Scope includes architectural, hazardous, fire protection, mechanical, electrical, telecom, security, rack elevations, schedules, and photo references. Major open items include active service transfer from existing rooms, IU-1-01/CU-1-01 cooling, B01-TR107A/B normal/emergency power, UPS/PDU rack power, PACS/CCTV, 394 ft cable tray, firestopping, fiber Path A/B, and room/equipment cutover planning.</v>
      </c>
      <c r="S3" s="106">
        <f t="shared" ref="S3:S32" si="0">IFERROR(H3/MAX(G3,1),0)</f>
        <v>0</v>
      </c>
      <c r="T3" s="139">
        <f t="shared" ref="T3:T32" si="1">IFERROR(I3/MAX(G3,1),0)</f>
        <v>0</v>
      </c>
      <c r="U3" s="139">
        <f t="shared" ref="U3:U32" si="2">IFERROR(J3/MAX(G3,1),0)</f>
        <v>0</v>
      </c>
      <c r="V3" s="139" t="str">
        <f t="shared" ref="V3:V32" si="3">IF(X3&gt;0,"Shutdown Coordination",IF(H3&gt;0,"Risk Closure",IF(I3&gt;0,"Question Resolution",IF(J3&gt;0,"Field Documentation","Monitor"))))</f>
        <v>Monitor</v>
      </c>
      <c r="W3" s="139" t="str">
        <f t="shared" ref="W3:W32" si="4">IF(F3="Yes","Ready",IF(OR(X3&gt;0,H3&gt;0,I3&gt;0),"Blocked","Review"))</f>
        <v>Review</v>
      </c>
      <c r="X3" s="139">
        <f>IFERROR(B01_Assessment!$F$4,0)</f>
        <v>0</v>
      </c>
      <c r="Y3" s="143" t="str">
        <f t="shared" ref="Y3:Y32" si="5">IF(AND(A3&lt;&gt;"",B3&lt;&gt;""),"Mapped","Check")</f>
        <v>Mapped</v>
      </c>
      <c r="Z3" s="338">
        <f ca="1">IFERROR(INDEX(INDIRECT("'"&amp;$B3&amp;"'!$C:$C"),MATCH("Payment Confidence",INDIRECT("'"&amp;$B3&amp;"'!$A:$A"),0)),0)</f>
        <v>0.8</v>
      </c>
      <c r="AA3" s="196" t="str">
        <f t="shared" ref="AA3:AA32" ca="1" si="6">IF(Z3&gt;=0.95,"Approve Payment",IF(Z3&gt;=0.75,"Partial / Verify",IF(Z3&gt;0,"Withhold / Review","Not Mapped")))</f>
        <v>Partial / Verify</v>
      </c>
      <c r="AB3" s="338" t="str">
        <f t="shared" ref="AB3:AB32" ca="1" si="7">IFERROR(INDEX(INDIRECT("'"&amp;$B3&amp;"'!$C:$C"),MATCH("OIT Readiness",INDIRECT("'"&amp;$B3&amp;"'!$A:$A"),0)),0)</f>
        <v/>
      </c>
      <c r="AC3" s="196" t="str">
        <f t="shared" ref="AC3:AC32" ca="1" si="8">IF(AB3&gt;=0.9,"Ready",IF(AB3&gt;=0.6,"At Risk",IF(AB3&gt;0,"Blocked","Not Mapped")))</f>
        <v>Ready</v>
      </c>
      <c r="AD3" s="196" t="str">
        <f t="shared" ref="AD3:AD32" ca="1" si="9">IF(AB3&lt;0.9,"Review OIT prerequisites / comments on assessment","Clear")</f>
        <v>Clear</v>
      </c>
      <c r="AE3" s="338">
        <f t="shared" ref="AE3:AE32" ca="1" si="10">IFERROR(INDEX(INDIRECT("'"&amp;$B3&amp;"'!$C:$C"),MATCH("Inspection Compliance",INDIRECT("'"&amp;$B3&amp;"'!$A:$A"),0)),0)</f>
        <v>0</v>
      </c>
      <c r="AF3" s="196" t="str">
        <f t="shared" ref="AF3:AF32" ca="1" si="11">IF(AE3&gt;=0.95,"Pass",IF(AE3&gt;=0.75,"Verify",IF(AE3&gt;0,"Deficient","Not Mapped")))</f>
        <v>Not Mapped</v>
      </c>
      <c r="AG3" s="338">
        <f ca="1">IFERROR(AVERAGE(INDEX(INDIRECT("'"&amp;$B3&amp;"'!$F:$F"),MATCH("Electrical",INDIRECT("'"&amp;$B3&amp;"'!$A:$A"),0)):INDEX(INDIRECT("'"&amp;$B3&amp;"'!$F:$F"),MATCH("Firestop",INDIRECT("'"&amp;$B3&amp;"'!$A:$A"),0))),0)</f>
        <v>0</v>
      </c>
      <c r="AH3" s="196" t="str">
        <f t="shared" ref="AH3:AH32" ca="1" si="12">IF(AG3&gt;=1,"Ahead / On Baseline",IF(AG3&gt;=0.8,"Satisfactory",IF(AG3&gt;0,"Behind","Not Mapped")))</f>
        <v>Not Mapped</v>
      </c>
      <c r="AI3" s="338">
        <f t="shared" ref="AI3:AI32" ca="1" si="13">IFERROR(INDEX(INDIRECT("'"&amp;$B3&amp;"'!$C:$C"),MATCH("Acceptance Readiness",INDIRECT("'"&amp;$B3&amp;"'!$A:$A"),0)),0)</f>
        <v>0</v>
      </c>
      <c r="AJ3" s="196" t="str">
        <f t="shared" ref="AJ3:AJ32" ca="1" si="14">IF(AI3&gt;=1,"Ready for Turnover",IF(AI3&gt;=0.8,"Ready w/ Punch",IF(AI3&gt;0,"Not Ready","Not Mapped")))</f>
        <v>Not Mapped</v>
      </c>
      <c r="AK3" s="196" t="str">
        <f t="shared" ref="AK3:AK32" ca="1" si="15">IFERROR(INDEX(INDIRECT("'"&amp;$B3&amp;"'!$B:$B"),MATCH("Gate Completion",INDIRECT("'"&amp;$B3&amp;"'!$A:$A"),0)),"")</f>
        <v>0 / 8 Complete</v>
      </c>
      <c r="AL3" s="196">
        <f t="shared" ref="AL3:AL32" ca="1" si="16">IFERROR(INDEX(INDIRECT("'"&amp;$B3&amp;"'!$B:$B"),MATCH("Open Gate Count",INDIRECT("'"&amp;$B3&amp;"'!$A:$A"),0)),0)</f>
        <v>8</v>
      </c>
      <c r="AM3" s="196" t="str">
        <f t="shared" ref="AM3:AM32" ca="1" si="17">IF(AI3&gt;=1,"Recommend Turnover",IF(AB3&lt;0.6,"Resolve OIT Blocker",IF(Z3&lt;0.75,"Review Payment",IF(AE3&lt;0.9,"QA / Material Review",IF(AG3&lt;0.8,"Productivity Review","Monitor")))))</f>
        <v>QA / Material Review</v>
      </c>
      <c r="AN3" s="196" t="str">
        <f t="shared" ref="AN3:AN32" ca="1" si="18">IF(AI3&gt;=1,"🟢 READY",IF(OR(AB3&lt;0.6,Z3&lt;0.75,AE3&lt;0.75,AG3&lt;0.8),"🔴 ATTENTION",IF(AVERAGE(Z3,AB3,AE3,AG3,AI3)&gt;=0.8,"🟡 WATCH","⚪ NOT STARTED")))</f>
        <v>🔴 ATTENTION</v>
      </c>
      <c r="AO3" s="196" t="str">
        <f t="shared" ref="AO3:AO32" ca="1" si="19">IF(AND(COUNTIF(INDIRECT("'"&amp;$B3&amp;"'!$A:$A"),"Payment Confidence")&gt;0,COUNTIF(INDIRECT("'"&amp;$B3&amp;"'!$A:$A"),"OIT Readiness")&gt;0,COUNTIF(INDIRECT("'"&amp;$B3&amp;"'!$A:$A"),"Inspection Compliance")&gt;0,COUNTIF(INDIRECT("'"&amp;$B3&amp;"'!$A:$A"),"Acceptance Readiness")&gt;0),"Mapped","Needs Sections 12-16")</f>
        <v>Mapped</v>
      </c>
    </row>
    <row r="4" spans="1:41" ht="34.950000000000003" customHeight="1">
      <c r="A4" s="106" t="str">
        <f>B02_Assessment!$B$2&amp;""</f>
        <v>02</v>
      </c>
      <c r="B4" s="106" t="str">
        <f>"B02_Assessment"</f>
        <v>B02_Assessment</v>
      </c>
      <c r="C4" s="106" t="str">
        <f>B02_Assessment!$F$2</f>
        <v>Yellow</v>
      </c>
      <c r="D4" s="142">
        <f>B02_Assessment!$H$2</f>
        <v>0.5</v>
      </c>
      <c r="E4" s="142">
        <f>IFERROR(B02_Assessment!$H$2,0)</f>
        <v>0.5</v>
      </c>
      <c r="F4" s="106" t="str">
        <f>B02_Assessment!$J$2</f>
        <v>No</v>
      </c>
      <c r="G4" s="106">
        <f>MAX(0,COUNTA(B02_Assessment!$A$10:$A$49)-COUNTIF(B02_Assessment!$A$10:$A$49,"*. *"))</f>
        <v>30</v>
      </c>
      <c r="H4" s="106">
        <f>IFERROR(B02_Assessment!$B$4,0)</f>
        <v>0</v>
      </c>
      <c r="I4" s="106">
        <f>IFERROR(B02_Assessment!$D$4,0)</f>
        <v>0</v>
      </c>
      <c r="J4" s="106">
        <f>SUMPRODUCT(--(ISNUMBER(SEARCH("-P",B02_Assessment!$A$1:$A$300&amp;""))),--((B02_Assessment!$I$1:$I$300="Open")+(B02_Assessment!$I$1:$I$300="In Progress")))</f>
        <v>0</v>
      </c>
      <c r="K4" s="106" t="str">
        <f>B02_Assessment!$B$5</f>
        <v>Not Started</v>
      </c>
      <c r="L4" s="106" t="str">
        <f>B02_Assessment!$D$5</f>
        <v>Not Started</v>
      </c>
      <c r="M4" s="106" t="str">
        <f>B02_Assessment!$F$5</f>
        <v>Not Started</v>
      </c>
      <c r="N4" s="106" t="str">
        <f>B02_Assessment!$H$5</f>
        <v>Not Started</v>
      </c>
      <c r="O4" s="106" t="str">
        <f>B02_Assessment!$J$5</f>
        <v>Not Started</v>
      </c>
      <c r="P4" s="106" t="str">
        <f>B02_Assessment!$B$6</f>
        <v>Not Started</v>
      </c>
      <c r="Q4" s="106" t="str">
        <f>B02_Assessment!$D$6</f>
        <v>Field verify new Rooms 141, 236, 342 and existing B-06/141/236; confirm active services, rack/equipment transfer, B02-TR141A/B, B02-TR236A/B, B02-TR342A/B panel sources, CU-1-01/CU-2-01/CU-3-01 cooling assignments, fire alarm/sprinkler impacts, FEC locations, PACS/CCTV scope, 2,560 ft cable tray routes, and telecom cutover sequence.</v>
      </c>
      <c r="R4" s="106" t="str">
        <f>B02_Assessment!$H$4</f>
        <v>Building 02 is a large full-scope telecom room building with new Telecom Rooms 141, 236, and 342, plus existing telecom transition rooms B-06, 141, and 236. Scope includes architectural, infection control, fire protection, mechanical, electrical, telecommunications, rack elevations, schedules, PACS/CCTV, and photo references. Major open items include active service transfer, multiple panel sets B02-TR141/236/342 A/B, dedicated cooling CU-1/2/3-01, firestopping, PACS/CCTV integration, 2,560 ft cable tray, and high WAO/cable quantity acceptance.</v>
      </c>
      <c r="S4" s="106">
        <f t="shared" si="0"/>
        <v>0</v>
      </c>
      <c r="T4" s="139">
        <f t="shared" si="1"/>
        <v>0</v>
      </c>
      <c r="U4" s="139">
        <f t="shared" si="2"/>
        <v>0</v>
      </c>
      <c r="V4" s="139" t="str">
        <f t="shared" si="3"/>
        <v>Monitor</v>
      </c>
      <c r="W4" s="139" t="str">
        <f t="shared" si="4"/>
        <v>Review</v>
      </c>
      <c r="X4" s="139">
        <f>IFERROR(B02_Assessment!$F$4,0)</f>
        <v>0</v>
      </c>
      <c r="Y4" s="143" t="str">
        <f t="shared" si="5"/>
        <v>Mapped</v>
      </c>
      <c r="Z4" s="338">
        <f t="shared" ref="Z4:Z32" ca="1" si="20">IFERROR(INDEX(INDIRECT("'"&amp;$B4&amp;"'!$C:$C"),MATCH("Payment Confidence",INDIRECT("'"&amp;$B4&amp;"'!$A:$A"),0)),0)</f>
        <v>0.8</v>
      </c>
      <c r="AA4" s="196" t="str">
        <f t="shared" ca="1" si="6"/>
        <v>Partial / Verify</v>
      </c>
      <c r="AB4" s="338" t="str">
        <f t="shared" ca="1" si="7"/>
        <v/>
      </c>
      <c r="AC4" s="196" t="str">
        <f t="shared" ca="1" si="8"/>
        <v>Ready</v>
      </c>
      <c r="AD4" s="196" t="str">
        <f t="shared" ca="1" si="9"/>
        <v>Clear</v>
      </c>
      <c r="AE4" s="338">
        <f t="shared" ca="1" si="10"/>
        <v>0</v>
      </c>
      <c r="AF4" s="196" t="str">
        <f t="shared" ca="1" si="11"/>
        <v>Not Mapped</v>
      </c>
      <c r="AG4" s="338">
        <f ca="1">IFERROR(AVERAGE(INDEX(INDIRECT("'"&amp;$B4&amp;"'!$F:$F"),MATCH("Electrical",INDIRECT("'"&amp;$B4&amp;"'!$A:$A"),0)):INDEX(INDIRECT("'"&amp;$B4&amp;"'!$F:$F"),MATCH("Firestop",INDIRECT("'"&amp;$B4&amp;"'!$A:$A"),0))),0)</f>
        <v>0</v>
      </c>
      <c r="AH4" s="196" t="str">
        <f t="shared" ca="1" si="12"/>
        <v>Not Mapped</v>
      </c>
      <c r="AI4" s="338">
        <f t="shared" ca="1" si="13"/>
        <v>0</v>
      </c>
      <c r="AJ4" s="196" t="str">
        <f t="shared" ca="1" si="14"/>
        <v>Not Mapped</v>
      </c>
      <c r="AK4" s="196" t="str">
        <f t="shared" ca="1" si="15"/>
        <v>0 / 8 Complete</v>
      </c>
      <c r="AL4" s="196">
        <f t="shared" ca="1" si="16"/>
        <v>8</v>
      </c>
      <c r="AM4" s="196" t="str">
        <f t="shared" ca="1" si="17"/>
        <v>QA / Material Review</v>
      </c>
      <c r="AN4" s="196" t="str">
        <f t="shared" ca="1" si="18"/>
        <v>🔴 ATTENTION</v>
      </c>
      <c r="AO4" s="196" t="str">
        <f t="shared" ca="1" si="19"/>
        <v>Mapped</v>
      </c>
    </row>
    <row r="5" spans="1:41" ht="40.65" customHeight="1">
      <c r="A5" s="106" t="str">
        <f>B03_Assessment!$B$2&amp;""</f>
        <v>03</v>
      </c>
      <c r="B5" s="106" t="str">
        <f>"B03_Assessment"</f>
        <v>B03_Assessment</v>
      </c>
      <c r="C5" s="106" t="str">
        <f>B03_Assessment!$F$2</f>
        <v>Yellow</v>
      </c>
      <c r="D5" s="142">
        <f>B03_Assessment!$H$2</f>
        <v>0.5</v>
      </c>
      <c r="E5" s="142">
        <f>IFERROR(B03_Assessment!$H$2,0)</f>
        <v>0.5</v>
      </c>
      <c r="F5" s="106" t="str">
        <f>B03_Assessment!$J$2</f>
        <v>No</v>
      </c>
      <c r="G5" s="106">
        <f>MAX(0,COUNTA(B03_Assessment!$A$10:$A$49)-COUNTIF(B03_Assessment!$A$10:$A$49,"*. *"))</f>
        <v>29</v>
      </c>
      <c r="H5" s="106">
        <f>IFERROR(B03_Assessment!$B$4,0)</f>
        <v>0</v>
      </c>
      <c r="I5" s="106">
        <f>IFERROR(B03_Assessment!$D$4,0)</f>
        <v>0</v>
      </c>
      <c r="J5" s="106">
        <f>SUMPRODUCT(--(ISNUMBER(SEARCH("-P",B03_Assessment!$A$1:$A$300&amp;""))),--((B03_Assessment!$I$1:$I$300="Open")+(B03_Assessment!$I$1:$I$300="In Progress")))</f>
        <v>0</v>
      </c>
      <c r="K5" s="106" t="str">
        <f>B03_Assessment!$B$5</f>
        <v>Not Started</v>
      </c>
      <c r="L5" s="106" t="str">
        <f>B03_Assessment!$D$5</f>
        <v>Not Started</v>
      </c>
      <c r="M5" s="106" t="str">
        <f>B03_Assessment!$F$5</f>
        <v>Not Started</v>
      </c>
      <c r="N5" s="106" t="str">
        <f>B03_Assessment!$H$5</f>
        <v>Not Started</v>
      </c>
      <c r="O5" s="106" t="str">
        <f>B03_Assessment!$J$5</f>
        <v>Not Started</v>
      </c>
      <c r="P5" s="106" t="str">
        <f>B03_Assessment!$B$6</f>
        <v>Not Started</v>
      </c>
      <c r="Q5" s="106" t="str">
        <f>B03_Assessment!$D$6</f>
        <v>Field verify Room 101E, existing Room 107, and existing DMARC Room 101C; confirm active services, existing rack/equipment transfer, B03-TR101CA/B panel sources, CU-01 cooling assignment, fire alarm/sprinkler impacts, FEC location, PACS/CCTV scope, 961 ft cable tray routes, Room 107 inventory, and telecom cutover/fiber transfer sequence.</v>
      </c>
      <c r="R5" s="106" t="str">
        <f>B03_Assessment!$H$4</f>
        <v>Building 03 is a full-scope telecom room building centered on new/renovated Telecom Room 101E, with existing Basement Telecom Room 107 and existing first-floor DMARC/telecom Room 101C as transition points. Scope includes architectural, infection control, fire protection, mechanical, electrical, telecommunications, rack elevations, Room 107 inventory, PACS/CCTV, 961 ft cable tray, and 206 total ports with allowance. Major open items include transfer from existing 107/101C, active DMARC/fiber protection, B03-TR101CA/B panel sources, CU-01 cooling, firestopping, camera 101C-CAM-01, and OIT acceptance.</v>
      </c>
      <c r="S5" s="106">
        <f t="shared" si="0"/>
        <v>0</v>
      </c>
      <c r="T5" s="139">
        <f t="shared" si="1"/>
        <v>0</v>
      </c>
      <c r="U5" s="139">
        <f t="shared" si="2"/>
        <v>0</v>
      </c>
      <c r="V5" s="139" t="str">
        <f t="shared" si="3"/>
        <v>Monitor</v>
      </c>
      <c r="W5" s="139" t="str">
        <f t="shared" si="4"/>
        <v>Review</v>
      </c>
      <c r="X5" s="139">
        <f>IFERROR(B03_Assessment!$F$4,0)</f>
        <v>0</v>
      </c>
      <c r="Y5" s="143" t="str">
        <f t="shared" si="5"/>
        <v>Mapped</v>
      </c>
      <c r="Z5" s="338">
        <f t="shared" ca="1" si="20"/>
        <v>0.8</v>
      </c>
      <c r="AA5" s="196" t="str">
        <f t="shared" ca="1" si="6"/>
        <v>Partial / Verify</v>
      </c>
      <c r="AB5" s="338" t="str">
        <f t="shared" ca="1" si="7"/>
        <v/>
      </c>
      <c r="AC5" s="196" t="str">
        <f t="shared" ca="1" si="8"/>
        <v>Ready</v>
      </c>
      <c r="AD5" s="196" t="str">
        <f t="shared" ca="1" si="9"/>
        <v>Clear</v>
      </c>
      <c r="AE5" s="338">
        <f t="shared" ca="1" si="10"/>
        <v>0</v>
      </c>
      <c r="AF5" s="196" t="str">
        <f t="shared" ca="1" si="11"/>
        <v>Not Mapped</v>
      </c>
      <c r="AG5" s="338">
        <f ca="1">IFERROR(AVERAGE(INDEX(INDIRECT("'"&amp;$B5&amp;"'!$F:$F"),MATCH("Electrical",INDIRECT("'"&amp;$B5&amp;"'!$A:$A"),0)):INDEX(INDIRECT("'"&amp;$B5&amp;"'!$F:$F"),MATCH("Firestop",INDIRECT("'"&amp;$B5&amp;"'!$A:$A"),0))),0)</f>
        <v>0</v>
      </c>
      <c r="AH5" s="196" t="str">
        <f t="shared" ca="1" si="12"/>
        <v>Not Mapped</v>
      </c>
      <c r="AI5" s="338">
        <f t="shared" ca="1" si="13"/>
        <v>0</v>
      </c>
      <c r="AJ5" s="196" t="str">
        <f t="shared" ca="1" si="14"/>
        <v>Not Mapped</v>
      </c>
      <c r="AK5" s="196" t="str">
        <f t="shared" ca="1" si="15"/>
        <v>0 / 8 Complete</v>
      </c>
      <c r="AL5" s="196">
        <f t="shared" ca="1" si="16"/>
        <v>8</v>
      </c>
      <c r="AM5" s="196" t="str">
        <f t="shared" ca="1" si="17"/>
        <v>QA / Material Review</v>
      </c>
      <c r="AN5" s="196" t="str">
        <f t="shared" ca="1" si="18"/>
        <v>🔴 ATTENTION</v>
      </c>
      <c r="AO5" s="196" t="str">
        <f t="shared" ca="1" si="19"/>
        <v>Mapped</v>
      </c>
    </row>
    <row r="6" spans="1:41" ht="11.7" customHeight="1">
      <c r="A6" s="106" t="str">
        <f>B04_Assessment!$B$2&amp;""</f>
        <v>04</v>
      </c>
      <c r="B6" s="106" t="str">
        <f>"B04_Assessment"</f>
        <v>B04_Assessment</v>
      </c>
      <c r="C6" s="106" t="str">
        <f>B04_Assessment!$F$2</f>
        <v>Yellow</v>
      </c>
      <c r="D6" s="142">
        <f>B04_Assessment!$H$2</f>
        <v>0.5</v>
      </c>
      <c r="E6" s="142">
        <f>IFERROR(B04_Assessment!$H$2,0)</f>
        <v>0.5</v>
      </c>
      <c r="F6" s="106" t="str">
        <f>B04_Assessment!$J$2</f>
        <v>No</v>
      </c>
      <c r="G6" s="106">
        <f>MAX(0,COUNTA(B04_Assessment!$A$10:$A$49)-COUNTIF(B04_Assessment!$A$10:$A$49,"*. *"))</f>
        <v>27</v>
      </c>
      <c r="H6" s="106">
        <f>IFERROR(B04_Assessment!$B$4,0)</f>
        <v>0</v>
      </c>
      <c r="I6" s="106">
        <f>IFERROR(B04_Assessment!$D$4,0)</f>
        <v>0</v>
      </c>
      <c r="J6" s="106">
        <f>SUMPRODUCT(--(ISNUMBER(SEARCH("-P",B04_Assessment!$A$1:$A$300&amp;""))),--((B04_Assessment!$I$1:$I$300="Open")+(B04_Assessment!$I$1:$I$300="In Progress")))</f>
        <v>0</v>
      </c>
      <c r="K6" s="106" t="str">
        <f>B04_Assessment!$B$5</f>
        <v>Verify</v>
      </c>
      <c r="L6" s="106" t="str">
        <f>B04_Assessment!$D$5</f>
        <v>Verify</v>
      </c>
      <c r="M6" s="106" t="str">
        <f>B04_Assessment!$F$5</f>
        <v>Verify</v>
      </c>
      <c r="N6" s="106" t="str">
        <f>B04_Assessment!$H$5</f>
        <v>Verify</v>
      </c>
      <c r="O6" s="106" t="str">
        <f>B04_Assessment!$J$5</f>
        <v>Verify</v>
      </c>
      <c r="P6" s="106" t="str">
        <f>B04_Assessment!$B$6</f>
        <v>Verify</v>
      </c>
      <c r="Q6" s="106" t="str">
        <f>B04_Assessment!$D$6</f>
        <v>Field verify TR rooms B05, 141, and 244A; confirm cooling, panel/circuiting, fire alarm/sprinkler impacts, FEC locations, and cutover/phasing plan.</v>
      </c>
      <c r="R6" s="106" t="str">
        <f>B04_Assessment!$H$4</f>
        <v>B04 has multiple TRs across basement/first/second levels; field verification, abatement coordination, cooling power, firestopping, and cutover phasing remain open.</v>
      </c>
      <c r="S6" s="106">
        <f t="shared" si="0"/>
        <v>0</v>
      </c>
      <c r="T6" s="139">
        <f t="shared" si="1"/>
        <v>0</v>
      </c>
      <c r="U6" s="139">
        <f t="shared" si="2"/>
        <v>0</v>
      </c>
      <c r="V6" s="139" t="str">
        <f t="shared" si="3"/>
        <v>Monitor</v>
      </c>
      <c r="W6" s="139" t="str">
        <f t="shared" si="4"/>
        <v>Review</v>
      </c>
      <c r="X6" s="139">
        <f>IFERROR(B04_Assessment!$F$4,0)</f>
        <v>0</v>
      </c>
      <c r="Y6" s="143" t="str">
        <f t="shared" si="5"/>
        <v>Mapped</v>
      </c>
      <c r="Z6" s="338">
        <f t="shared" ca="1" si="20"/>
        <v>0.8</v>
      </c>
      <c r="AA6" s="196" t="str">
        <f t="shared" ca="1" si="6"/>
        <v>Partial / Verify</v>
      </c>
      <c r="AB6" s="338" t="str">
        <f t="shared" ca="1" si="7"/>
        <v/>
      </c>
      <c r="AC6" s="196" t="str">
        <f t="shared" ca="1" si="8"/>
        <v>Ready</v>
      </c>
      <c r="AD6" s="196" t="str">
        <f t="shared" ca="1" si="9"/>
        <v>Clear</v>
      </c>
      <c r="AE6" s="338">
        <f t="shared" ca="1" si="10"/>
        <v>0</v>
      </c>
      <c r="AF6" s="196" t="str">
        <f t="shared" ca="1" si="11"/>
        <v>Not Mapped</v>
      </c>
      <c r="AG6" s="338">
        <f ca="1">IFERROR(AVERAGE(INDEX(INDIRECT("'"&amp;$B6&amp;"'!$F:$F"),MATCH("Electrical",INDIRECT("'"&amp;$B6&amp;"'!$A:$A"),0)):INDEX(INDIRECT("'"&amp;$B6&amp;"'!$F:$F"),MATCH("Firestop",INDIRECT("'"&amp;$B6&amp;"'!$A:$A"),0))),0)</f>
        <v>0</v>
      </c>
      <c r="AH6" s="196" t="str">
        <f t="shared" ca="1" si="12"/>
        <v>Not Mapped</v>
      </c>
      <c r="AI6" s="338">
        <f t="shared" ca="1" si="13"/>
        <v>0</v>
      </c>
      <c r="AJ6" s="196" t="str">
        <f t="shared" ca="1" si="14"/>
        <v>Not Mapped</v>
      </c>
      <c r="AK6" s="196" t="str">
        <f t="shared" ca="1" si="15"/>
        <v>0 / 8 Complete</v>
      </c>
      <c r="AL6" s="196">
        <f t="shared" ca="1" si="16"/>
        <v>8</v>
      </c>
      <c r="AM6" s="196" t="str">
        <f t="shared" ca="1" si="17"/>
        <v>QA / Material Review</v>
      </c>
      <c r="AN6" s="196" t="str">
        <f t="shared" ca="1" si="18"/>
        <v>🔴 ATTENTION</v>
      </c>
      <c r="AO6" s="196" t="str">
        <f t="shared" ca="1" si="19"/>
        <v>Mapped</v>
      </c>
    </row>
    <row r="7" spans="1:41" ht="11.7" customHeight="1">
      <c r="A7" s="106" t="str">
        <f>B05_Assessment!$B$2&amp;""</f>
        <v>05</v>
      </c>
      <c r="B7" s="106" t="str">
        <f>"B05_Assessment"</f>
        <v>B05_Assessment</v>
      </c>
      <c r="C7" s="106" t="str">
        <f>B05_Assessment!$F$2</f>
        <v>Yellow</v>
      </c>
      <c r="D7" s="142">
        <f>B05_Assessment!$H$2</f>
        <v>0.55000000000000004</v>
      </c>
      <c r="E7" s="142">
        <f>IFERROR(B05_Assessment!$H$2,0)</f>
        <v>0.55000000000000004</v>
      </c>
      <c r="F7" s="106" t="str">
        <f>B05_Assessment!$J$2</f>
        <v>No</v>
      </c>
      <c r="G7" s="106">
        <f>MAX(0,COUNTA(B05_Assessment!$A$10:$A$49)-COUNTIF(B05_Assessment!$A$10:$A$49,"*. *"))</f>
        <v>26</v>
      </c>
      <c r="H7" s="106">
        <f>IFERROR(B05_Assessment!$B$4,0)</f>
        <v>0</v>
      </c>
      <c r="I7" s="106">
        <f>IFERROR(B05_Assessment!$D$4,0)</f>
        <v>0</v>
      </c>
      <c r="J7" s="106">
        <f>SUMPRODUCT(--(ISNUMBER(SEARCH("-P",B05_Assessment!$A$1:$A$300&amp;""))),--((B05_Assessment!$I$1:$I$300="Open")+(B05_Assessment!$I$1:$I$300="In Progress")))</f>
        <v>0</v>
      </c>
      <c r="K7" s="106" t="str">
        <f>B05_Assessment!$B$5</f>
        <v>N/A</v>
      </c>
      <c r="L7" s="106" t="str">
        <f>B05_Assessment!$D$5</f>
        <v>Verify</v>
      </c>
      <c r="M7" s="106" t="str">
        <f>B05_Assessment!$F$5</f>
        <v>Verify</v>
      </c>
      <c r="N7" s="106" t="str">
        <f>B05_Assessment!$H$5</f>
        <v>N/A</v>
      </c>
      <c r="O7" s="106" t="str">
        <f>B05_Assessment!$J$5</f>
        <v>Verify</v>
      </c>
      <c r="P7" s="106" t="str">
        <f>B05_Assessment!$B$6</f>
        <v>Verify</v>
      </c>
      <c r="Q7" s="106" t="str">
        <f>B05_Assessment!$D$6</f>
        <v>Field verify Room 150 TE location, existing 153-A equipment to remain/transition, electrical source, UPS/PDU receptacles, PACS/CCTV requirements, firestopping, and cutover sequence.</v>
      </c>
      <c r="R7" s="106" t="str">
        <f>B05_Assessment!$H$4</f>
        <v>Building 05 receives a Telecom Enclosure only; mechanical and fire protection scope is excluded, so TE power, telecom cutover, existing room conditions, and fire/life-safety interfaces must be verified.</v>
      </c>
      <c r="S7" s="106">
        <f t="shared" si="0"/>
        <v>0</v>
      </c>
      <c r="T7" s="139">
        <f t="shared" si="1"/>
        <v>0</v>
      </c>
      <c r="U7" s="139">
        <f t="shared" si="2"/>
        <v>0</v>
      </c>
      <c r="V7" s="139" t="str">
        <f t="shared" si="3"/>
        <v>Monitor</v>
      </c>
      <c r="W7" s="139" t="str">
        <f t="shared" si="4"/>
        <v>Review</v>
      </c>
      <c r="X7" s="139">
        <f>IFERROR(B05_Assessment!$F$4,0)</f>
        <v>0</v>
      </c>
      <c r="Y7" s="143" t="str">
        <f t="shared" si="5"/>
        <v>Mapped</v>
      </c>
      <c r="Z7" s="338">
        <f t="shared" ca="1" si="20"/>
        <v>0.8</v>
      </c>
      <c r="AA7" s="196" t="str">
        <f t="shared" ca="1" si="6"/>
        <v>Partial / Verify</v>
      </c>
      <c r="AB7" s="338" t="str">
        <f t="shared" ca="1" si="7"/>
        <v/>
      </c>
      <c r="AC7" s="196" t="str">
        <f t="shared" ca="1" si="8"/>
        <v>Ready</v>
      </c>
      <c r="AD7" s="196" t="str">
        <f t="shared" ca="1" si="9"/>
        <v>Clear</v>
      </c>
      <c r="AE7" s="338">
        <f t="shared" ca="1" si="10"/>
        <v>0</v>
      </c>
      <c r="AF7" s="196" t="str">
        <f t="shared" ca="1" si="11"/>
        <v>Not Mapped</v>
      </c>
      <c r="AG7" s="338">
        <f ca="1">IFERROR(AVERAGE(INDEX(INDIRECT("'"&amp;$B7&amp;"'!$F:$F"),MATCH("Electrical",INDIRECT("'"&amp;$B7&amp;"'!$A:$A"),0)):INDEX(INDIRECT("'"&amp;$B7&amp;"'!$F:$F"),MATCH("Firestop",INDIRECT("'"&amp;$B7&amp;"'!$A:$A"),0))),0)</f>
        <v>0</v>
      </c>
      <c r="AH7" s="196" t="str">
        <f t="shared" ca="1" si="12"/>
        <v>Not Mapped</v>
      </c>
      <c r="AI7" s="338">
        <f t="shared" ca="1" si="13"/>
        <v>0</v>
      </c>
      <c r="AJ7" s="196" t="str">
        <f t="shared" ca="1" si="14"/>
        <v>Not Mapped</v>
      </c>
      <c r="AK7" s="196" t="str">
        <f t="shared" ca="1" si="15"/>
        <v>0 / 8 Complete</v>
      </c>
      <c r="AL7" s="196">
        <f t="shared" ca="1" si="16"/>
        <v>8</v>
      </c>
      <c r="AM7" s="196" t="str">
        <f t="shared" ca="1" si="17"/>
        <v>QA / Material Review</v>
      </c>
      <c r="AN7" s="196" t="str">
        <f t="shared" ca="1" si="18"/>
        <v>🔴 ATTENTION</v>
      </c>
      <c r="AO7" s="196" t="str">
        <f t="shared" ca="1" si="19"/>
        <v>Mapped</v>
      </c>
    </row>
    <row r="8" spans="1:41" ht="11.7" customHeight="1">
      <c r="A8" s="106" t="str">
        <f>B06_Assessment!$B$2&amp;""</f>
        <v>06</v>
      </c>
      <c r="B8" s="106" t="str">
        <f>"B06_Assessment"</f>
        <v>B06_Assessment</v>
      </c>
      <c r="C8" s="106" t="str">
        <f>B06_Assessment!$F$2</f>
        <v>Yellow</v>
      </c>
      <c r="D8" s="142">
        <f>B06_Assessment!$H$2</f>
        <v>0.5</v>
      </c>
      <c r="E8" s="142">
        <f>IFERROR(B06_Assessment!$H$2,0)</f>
        <v>0.5</v>
      </c>
      <c r="F8" s="106" t="str">
        <f>B06_Assessment!$J$2</f>
        <v>No</v>
      </c>
      <c r="G8" s="106">
        <f>MAX(0,COUNTA(B06_Assessment!$A$10:$A$49)-COUNTIF(B06_Assessment!$A$10:$A$49,"*. *"))</f>
        <v>27</v>
      </c>
      <c r="H8" s="106">
        <f>IFERROR(B06_Assessment!$B$4,0)</f>
        <v>0</v>
      </c>
      <c r="I8" s="106">
        <f>IFERROR(B06_Assessment!$D$4,0)</f>
        <v>0</v>
      </c>
      <c r="J8" s="106">
        <f>SUMPRODUCT(--(ISNUMBER(SEARCH("-P",B06_Assessment!$A$1:$A$300&amp;""))),--((B06_Assessment!$I$1:$I$300="Open")+(B06_Assessment!$I$1:$I$300="In Progress")))</f>
        <v>0</v>
      </c>
      <c r="K8" s="106" t="str">
        <f>B06_Assessment!$B$5</f>
        <v>Verify</v>
      </c>
      <c r="L8" s="106" t="str">
        <f>B06_Assessment!$D$5</f>
        <v>Verify</v>
      </c>
      <c r="M8" s="106" t="str">
        <f>B06_Assessment!$F$5</f>
        <v>Verify</v>
      </c>
      <c r="N8" s="106" t="str">
        <f>B06_Assessment!$H$5</f>
        <v>Verify</v>
      </c>
      <c r="O8" s="106" t="str">
        <f>B06_Assessment!$J$5</f>
        <v>Verify</v>
      </c>
      <c r="P8" s="106" t="str">
        <f>B06_Assessment!$B$6</f>
        <v>Verify</v>
      </c>
      <c r="Q8" s="106" t="str">
        <f>B06_Assessment!$D$6</f>
        <v>Field verify existing B-01 equipment, Rooms 178 and 233, panel sources, IU/CU cooling, fire alarm/sprinkler impacts, FEC locations, and telecom cutover sequence.</v>
      </c>
      <c r="R8" s="106" t="str">
        <f>B06_Assessment!$H$4</f>
        <v>Building 06 has active existing telecom equipment plus new TR work in Rooms 178 and 233; field verification, cutover phasing, cooling, firestopping, and emergency power remain open.</v>
      </c>
      <c r="S8" s="106">
        <f t="shared" si="0"/>
        <v>0</v>
      </c>
      <c r="T8" s="139">
        <f t="shared" si="1"/>
        <v>0</v>
      </c>
      <c r="U8" s="139">
        <f t="shared" si="2"/>
        <v>0</v>
      </c>
      <c r="V8" s="139" t="str">
        <f t="shared" si="3"/>
        <v>Monitor</v>
      </c>
      <c r="W8" s="139" t="str">
        <f t="shared" si="4"/>
        <v>Review</v>
      </c>
      <c r="X8" s="139">
        <f>IFERROR(B06_Assessment!$F$4,0)</f>
        <v>0</v>
      </c>
      <c r="Y8" s="143" t="str">
        <f t="shared" si="5"/>
        <v>Mapped</v>
      </c>
      <c r="Z8" s="338">
        <f t="shared" ca="1" si="20"/>
        <v>0.8</v>
      </c>
      <c r="AA8" s="196" t="str">
        <f t="shared" ca="1" si="6"/>
        <v>Partial / Verify</v>
      </c>
      <c r="AB8" s="338" t="str">
        <f t="shared" ca="1" si="7"/>
        <v/>
      </c>
      <c r="AC8" s="196" t="str">
        <f t="shared" ca="1" si="8"/>
        <v>Ready</v>
      </c>
      <c r="AD8" s="196" t="str">
        <f t="shared" ca="1" si="9"/>
        <v>Clear</v>
      </c>
      <c r="AE8" s="338">
        <f t="shared" ca="1" si="10"/>
        <v>0</v>
      </c>
      <c r="AF8" s="196" t="str">
        <f t="shared" ca="1" si="11"/>
        <v>Not Mapped</v>
      </c>
      <c r="AG8" s="338">
        <f ca="1">IFERROR(AVERAGE(INDEX(INDIRECT("'"&amp;$B8&amp;"'!$F:$F"),MATCH("Electrical",INDIRECT("'"&amp;$B8&amp;"'!$A:$A"),0)):INDEX(INDIRECT("'"&amp;$B8&amp;"'!$F:$F"),MATCH("Firestop",INDIRECT("'"&amp;$B8&amp;"'!$A:$A"),0))),0)</f>
        <v>0</v>
      </c>
      <c r="AH8" s="196" t="str">
        <f t="shared" ca="1" si="12"/>
        <v>Not Mapped</v>
      </c>
      <c r="AI8" s="338">
        <f t="shared" ca="1" si="13"/>
        <v>0</v>
      </c>
      <c r="AJ8" s="196" t="str">
        <f t="shared" ca="1" si="14"/>
        <v>Not Mapped</v>
      </c>
      <c r="AK8" s="196" t="str">
        <f t="shared" ca="1" si="15"/>
        <v>0 / 8 Complete</v>
      </c>
      <c r="AL8" s="196">
        <f t="shared" ca="1" si="16"/>
        <v>8</v>
      </c>
      <c r="AM8" s="196" t="str">
        <f t="shared" ca="1" si="17"/>
        <v>QA / Material Review</v>
      </c>
      <c r="AN8" s="196" t="str">
        <f t="shared" ca="1" si="18"/>
        <v>🔴 ATTENTION</v>
      </c>
      <c r="AO8" s="196" t="str">
        <f t="shared" ca="1" si="19"/>
        <v>Mapped</v>
      </c>
    </row>
    <row r="9" spans="1:41" ht="11.7" customHeight="1">
      <c r="A9" s="106" t="str">
        <f>B07_Assessment!$B$2&amp;""</f>
        <v>07</v>
      </c>
      <c r="B9" s="106" t="str">
        <f>"B07_Assessment"</f>
        <v>B07_Assessment</v>
      </c>
      <c r="C9" s="106" t="str">
        <f>B07_Assessment!$F$2</f>
        <v>Yellow</v>
      </c>
      <c r="D9" s="142">
        <f>B07_Assessment!$H$2</f>
        <v>0.5</v>
      </c>
      <c r="E9" s="142">
        <f>IFERROR(B07_Assessment!$H$2,0)</f>
        <v>0.5</v>
      </c>
      <c r="F9" s="106" t="str">
        <f>B07_Assessment!$J$2</f>
        <v>No</v>
      </c>
      <c r="G9" s="106">
        <f>MAX(0,COUNTA(B07_Assessment!$A$10:$A$49)-COUNTIF(B07_Assessment!$A$10:$A$49,"*. *"))</f>
        <v>26</v>
      </c>
      <c r="H9" s="106">
        <f>IFERROR(B07_Assessment!$B$4,0)</f>
        <v>0</v>
      </c>
      <c r="I9" s="106">
        <f>IFERROR(B07_Assessment!$D$4,0)</f>
        <v>0</v>
      </c>
      <c r="J9" s="106">
        <f>SUMPRODUCT(--(ISNUMBER(SEARCH("-P",B07_Assessment!$A$1:$A$300&amp;""))),--((B07_Assessment!$I$1:$I$300="Open")+(B07_Assessment!$I$1:$I$300="In Progress")))</f>
        <v>0</v>
      </c>
      <c r="K9" s="106" t="str">
        <f>B07_Assessment!$B$5</f>
        <v>Verify</v>
      </c>
      <c r="L9" s="106" t="str">
        <f>B07_Assessment!$D$5</f>
        <v>Verify</v>
      </c>
      <c r="M9" s="106" t="str">
        <f>B07_Assessment!$F$5</f>
        <v>Verify</v>
      </c>
      <c r="N9" s="106" t="str">
        <f>B07_Assessment!$H$5</f>
        <v>Verify</v>
      </c>
      <c r="O9" s="106" t="str">
        <f>B07_Assessment!$J$5</f>
        <v>Verify</v>
      </c>
      <c r="P9" s="106" t="str">
        <f>B07_Assessment!$B$6</f>
        <v>Verify</v>
      </c>
      <c r="Q9" s="106" t="str">
        <f>B07_Assessment!$D$6</f>
        <v>Field verify TR B-18 and 228A; confirm rack/equipment layout, panel sources, IU/CU cooling, fire alarm/sprinkler impacts, FEC locations, PACS/CCTV scope, and telecom cutover sequence.</v>
      </c>
      <c r="R9" s="106" t="str">
        <f>B07_Assessment!$H$4</f>
        <v>Building 07 includes basement TR B-18 and second-level TR 228A; field verification, active-service cutover, cooling, firestopping, rated construction, and power source confirmation remain open.</v>
      </c>
      <c r="S9" s="106">
        <f t="shared" si="0"/>
        <v>0</v>
      </c>
      <c r="T9" s="139">
        <f t="shared" si="1"/>
        <v>0</v>
      </c>
      <c r="U9" s="139">
        <f t="shared" si="2"/>
        <v>0</v>
      </c>
      <c r="V9" s="139" t="str">
        <f t="shared" si="3"/>
        <v>Monitor</v>
      </c>
      <c r="W9" s="139" t="str">
        <f t="shared" si="4"/>
        <v>Review</v>
      </c>
      <c r="X9" s="139">
        <f>IFERROR(B07_Assessment!$F$4,0)</f>
        <v>0</v>
      </c>
      <c r="Y9" s="143" t="str">
        <f t="shared" si="5"/>
        <v>Mapped</v>
      </c>
      <c r="Z9" s="338">
        <f t="shared" ca="1" si="20"/>
        <v>0.8</v>
      </c>
      <c r="AA9" s="196" t="str">
        <f t="shared" ca="1" si="6"/>
        <v>Partial / Verify</v>
      </c>
      <c r="AB9" s="338" t="str">
        <f t="shared" ca="1" si="7"/>
        <v/>
      </c>
      <c r="AC9" s="196" t="str">
        <f t="shared" ca="1" si="8"/>
        <v>Ready</v>
      </c>
      <c r="AD9" s="196" t="str">
        <f t="shared" ca="1" si="9"/>
        <v>Clear</v>
      </c>
      <c r="AE9" s="338">
        <f t="shared" ca="1" si="10"/>
        <v>0</v>
      </c>
      <c r="AF9" s="196" t="str">
        <f t="shared" ca="1" si="11"/>
        <v>Not Mapped</v>
      </c>
      <c r="AG9" s="338">
        <f ca="1">IFERROR(AVERAGE(INDEX(INDIRECT("'"&amp;$B9&amp;"'!$F:$F"),MATCH("Electrical",INDIRECT("'"&amp;$B9&amp;"'!$A:$A"),0)):INDEX(INDIRECT("'"&amp;$B9&amp;"'!$F:$F"),MATCH("Firestop",INDIRECT("'"&amp;$B9&amp;"'!$A:$A"),0))),0)</f>
        <v>0</v>
      </c>
      <c r="AH9" s="196" t="str">
        <f t="shared" ca="1" si="12"/>
        <v>Not Mapped</v>
      </c>
      <c r="AI9" s="338">
        <f t="shared" ca="1" si="13"/>
        <v>0</v>
      </c>
      <c r="AJ9" s="196" t="str">
        <f t="shared" ca="1" si="14"/>
        <v>Not Mapped</v>
      </c>
      <c r="AK9" s="196" t="str">
        <f t="shared" ca="1" si="15"/>
        <v>0 / 8 Complete</v>
      </c>
      <c r="AL9" s="196">
        <f t="shared" ca="1" si="16"/>
        <v>8</v>
      </c>
      <c r="AM9" s="196" t="str">
        <f t="shared" ca="1" si="17"/>
        <v>QA / Material Review</v>
      </c>
      <c r="AN9" s="196" t="str">
        <f t="shared" ca="1" si="18"/>
        <v>🔴 ATTENTION</v>
      </c>
      <c r="AO9" s="196" t="str">
        <f t="shared" ca="1" si="19"/>
        <v>Mapped</v>
      </c>
    </row>
    <row r="10" spans="1:41" ht="17.25" customHeight="1">
      <c r="A10" s="106" t="str">
        <f>B08_Assessment!$B$2&amp;""</f>
        <v>08</v>
      </c>
      <c r="B10" s="106" t="str">
        <f>"B08_Assessment"</f>
        <v>B08_Assessment</v>
      </c>
      <c r="C10" s="106" t="str">
        <f>B08_Assessment!$F$2</f>
        <v>Yellow</v>
      </c>
      <c r="D10" s="142">
        <f>B08_Assessment!$H$2</f>
        <v>0.5</v>
      </c>
      <c r="E10" s="142">
        <f>IFERROR(B08_Assessment!$H$2,0)</f>
        <v>0.5</v>
      </c>
      <c r="F10" s="106" t="str">
        <f>B08_Assessment!$J$2</f>
        <v>No</v>
      </c>
      <c r="G10" s="106">
        <f>MAX(0,COUNTA(B08_Assessment!$A$10:$A$49)-COUNTIF(B08_Assessment!$A$10:$A$49,"*. *"))</f>
        <v>27</v>
      </c>
      <c r="H10" s="106">
        <f>IFERROR(B08_Assessment!$B$4,0)</f>
        <v>0</v>
      </c>
      <c r="I10" s="106">
        <f>IFERROR(B08_Assessment!$D$4,0)</f>
        <v>0</v>
      </c>
      <c r="J10" s="106">
        <f>SUMPRODUCT(--(ISNUMBER(SEARCH("-P",B08_Assessment!$A$1:$A$300&amp;""))),--((B08_Assessment!$I$1:$I$300="Open")+(B08_Assessment!$I$1:$I$300="In Progress")))</f>
        <v>0</v>
      </c>
      <c r="K10" s="106" t="str">
        <f>B08_Assessment!$B$5</f>
        <v>Verify</v>
      </c>
      <c r="L10" s="106" t="str">
        <f>B08_Assessment!$D$5</f>
        <v>Verify</v>
      </c>
      <c r="M10" s="106" t="str">
        <f>B08_Assessment!$F$5</f>
        <v>Verify</v>
      </c>
      <c r="N10" s="106" t="str">
        <f>B08_Assessment!$H$5</f>
        <v>Verify</v>
      </c>
      <c r="O10" s="106" t="str">
        <f>B08_Assessment!$J$5</f>
        <v>Verify</v>
      </c>
      <c r="P10" s="106" t="str">
        <f>B08_Assessment!$B$6</f>
        <v>Verify</v>
      </c>
      <c r="Q10" s="106" t="str">
        <f>B08_Assessment!$D$6</f>
        <v>Field verify B-15, B12B, and 2065A; confirm active services, 2065A rack layout, panel/power source, IU/CU cooling, hazardous material/abatement impacts, FEC locations, PACS/CCTV, and telecom cutover sequence.</v>
      </c>
      <c r="R10" s="106" t="str">
        <f>B08_Assessment!$H$4</f>
        <v>Building 08 includes existing basement telecom equipment at B-15, basement TE/cabling scope at B12B, and new second-level TR 2065A; field verification, abatement, rated construction, cooling/power, firestopping, and cutover phasing remain open.</v>
      </c>
      <c r="S10" s="106">
        <f t="shared" si="0"/>
        <v>0</v>
      </c>
      <c r="T10" s="139">
        <f t="shared" si="1"/>
        <v>0</v>
      </c>
      <c r="U10" s="139">
        <f t="shared" si="2"/>
        <v>0</v>
      </c>
      <c r="V10" s="139" t="str">
        <f t="shared" si="3"/>
        <v>Monitor</v>
      </c>
      <c r="W10" s="139" t="str">
        <f t="shared" si="4"/>
        <v>Review</v>
      </c>
      <c r="X10" s="139">
        <f>IFERROR(B08_Assessment!$F$4,0)</f>
        <v>0</v>
      </c>
      <c r="Y10" s="143" t="str">
        <f t="shared" si="5"/>
        <v>Mapped</v>
      </c>
      <c r="Z10" s="338">
        <f t="shared" ca="1" si="20"/>
        <v>0.8</v>
      </c>
      <c r="AA10" s="196" t="str">
        <f t="shared" ca="1" si="6"/>
        <v>Partial / Verify</v>
      </c>
      <c r="AB10" s="338" t="str">
        <f t="shared" ca="1" si="7"/>
        <v/>
      </c>
      <c r="AC10" s="196" t="str">
        <f t="shared" ca="1" si="8"/>
        <v>Ready</v>
      </c>
      <c r="AD10" s="196" t="str">
        <f t="shared" ca="1" si="9"/>
        <v>Clear</v>
      </c>
      <c r="AE10" s="338">
        <f t="shared" ca="1" si="10"/>
        <v>0</v>
      </c>
      <c r="AF10" s="196" t="str">
        <f t="shared" ca="1" si="11"/>
        <v>Not Mapped</v>
      </c>
      <c r="AG10" s="338">
        <f ca="1">IFERROR(AVERAGE(INDEX(INDIRECT("'"&amp;$B10&amp;"'!$F:$F"),MATCH("Electrical",INDIRECT("'"&amp;$B10&amp;"'!$A:$A"),0)):INDEX(INDIRECT("'"&amp;$B10&amp;"'!$F:$F"),MATCH("Firestop",INDIRECT("'"&amp;$B10&amp;"'!$A:$A"),0))),0)</f>
        <v>0</v>
      </c>
      <c r="AH10" s="196" t="str">
        <f t="shared" ca="1" si="12"/>
        <v>Not Mapped</v>
      </c>
      <c r="AI10" s="338">
        <f t="shared" ca="1" si="13"/>
        <v>0</v>
      </c>
      <c r="AJ10" s="196" t="str">
        <f t="shared" ca="1" si="14"/>
        <v>Not Mapped</v>
      </c>
      <c r="AK10" s="196" t="str">
        <f t="shared" ca="1" si="15"/>
        <v>0 / 8 Complete</v>
      </c>
      <c r="AL10" s="196">
        <f t="shared" ca="1" si="16"/>
        <v>8</v>
      </c>
      <c r="AM10" s="196" t="str">
        <f t="shared" ca="1" si="17"/>
        <v>QA / Material Review</v>
      </c>
      <c r="AN10" s="196" t="str">
        <f t="shared" ca="1" si="18"/>
        <v>🔴 ATTENTION</v>
      </c>
      <c r="AO10" s="196" t="str">
        <f t="shared" ca="1" si="19"/>
        <v>Mapped</v>
      </c>
    </row>
    <row r="11" spans="1:41" ht="17.25" customHeight="1">
      <c r="A11" s="106" t="str">
        <f>B09_Assessment!$B$2&amp;""</f>
        <v>09</v>
      </c>
      <c r="B11" s="106" t="str">
        <f>"B09_Assessment"</f>
        <v>B09_Assessment</v>
      </c>
      <c r="C11" s="106" t="str">
        <f>B09_Assessment!$F$2</f>
        <v>Yellow</v>
      </c>
      <c r="D11" s="142">
        <f>B09_Assessment!$H$2</f>
        <v>0.5</v>
      </c>
      <c r="E11" s="142">
        <f>IFERROR(B09_Assessment!$H$2,0)</f>
        <v>0.5</v>
      </c>
      <c r="F11" s="106" t="str">
        <f>B09_Assessment!$J$2</f>
        <v>No</v>
      </c>
      <c r="G11" s="106">
        <f>MAX(0,COUNTA(B09_Assessment!$A$10:$A$49)-COUNTIF(B09_Assessment!$A$10:$A$49,"*. *"))</f>
        <v>27</v>
      </c>
      <c r="H11" s="106">
        <f>IFERROR(B09_Assessment!$B$4,0)</f>
        <v>0</v>
      </c>
      <c r="I11" s="106">
        <f>IFERROR(B09_Assessment!$D$4,0)</f>
        <v>0</v>
      </c>
      <c r="J11" s="106">
        <f>SUMPRODUCT(--(ISNUMBER(SEARCH("-P",B09_Assessment!$A$1:$A$300&amp;""))),--((B09_Assessment!$I$1:$I$300="Open")+(B09_Assessment!$I$1:$I$300="In Progress")))</f>
        <v>0</v>
      </c>
      <c r="K11" s="106" t="str">
        <f>B09_Assessment!$B$5</f>
        <v>Verify</v>
      </c>
      <c r="L11" s="106" t="str">
        <f>B09_Assessment!$D$5</f>
        <v>Verify</v>
      </c>
      <c r="M11" s="106" t="str">
        <f>B09_Assessment!$F$5</f>
        <v>Verify</v>
      </c>
      <c r="N11" s="106" t="str">
        <f>B09_Assessment!$H$5</f>
        <v>Verify</v>
      </c>
      <c r="O11" s="106" t="str">
        <f>B09_Assessment!$J$5</f>
        <v>Verify</v>
      </c>
      <c r="P11" s="106" t="str">
        <f>B09_Assessment!$B$6</f>
        <v>Verify</v>
      </c>
      <c r="Q11" s="106" t="str">
        <f>B09_Assessment!$D$6</f>
        <v>Field verify B01, 104B, and 206A; confirm existing equipment and active services, panel sources, IU/CU cooling, fire alarm/sprinkler impacts, FEC locations, PACS/CCTV scope, hazardous/abatement impacts, and telecom cutover sequence.</v>
      </c>
      <c r="R11" s="106" t="str">
        <f>B09_Assessment!$H$4</f>
        <v>Building 09 includes three telecom spaces across basement, first, and second levels; field verification, hazardous material coordination, active service cutover, cooling, power/panel source, firestopping, and rated wall/door work remain open.</v>
      </c>
      <c r="S11" s="106">
        <f t="shared" si="0"/>
        <v>0</v>
      </c>
      <c r="T11" s="139">
        <f t="shared" si="1"/>
        <v>0</v>
      </c>
      <c r="U11" s="139">
        <f t="shared" si="2"/>
        <v>0</v>
      </c>
      <c r="V11" s="139" t="str">
        <f t="shared" si="3"/>
        <v>Monitor</v>
      </c>
      <c r="W11" s="139" t="str">
        <f t="shared" si="4"/>
        <v>Review</v>
      </c>
      <c r="X11" s="139">
        <f>IFERROR(B09_Assessment!$F$4,0)</f>
        <v>0</v>
      </c>
      <c r="Y11" s="143" t="str">
        <f t="shared" si="5"/>
        <v>Mapped</v>
      </c>
      <c r="Z11" s="338">
        <f t="shared" ca="1" si="20"/>
        <v>0.8</v>
      </c>
      <c r="AA11" s="196" t="str">
        <f t="shared" ca="1" si="6"/>
        <v>Partial / Verify</v>
      </c>
      <c r="AB11" s="338" t="str">
        <f t="shared" ca="1" si="7"/>
        <v/>
      </c>
      <c r="AC11" s="196" t="str">
        <f t="shared" ca="1" si="8"/>
        <v>Ready</v>
      </c>
      <c r="AD11" s="196" t="str">
        <f t="shared" ca="1" si="9"/>
        <v>Clear</v>
      </c>
      <c r="AE11" s="338">
        <f t="shared" ca="1" si="10"/>
        <v>0</v>
      </c>
      <c r="AF11" s="196" t="str">
        <f t="shared" ca="1" si="11"/>
        <v>Not Mapped</v>
      </c>
      <c r="AG11" s="338">
        <f ca="1">IFERROR(AVERAGE(INDEX(INDIRECT("'"&amp;$B11&amp;"'!$F:$F"),MATCH("Electrical",INDIRECT("'"&amp;$B11&amp;"'!$A:$A"),0)):INDEX(INDIRECT("'"&amp;$B11&amp;"'!$F:$F"),MATCH("Firestop",INDIRECT("'"&amp;$B11&amp;"'!$A:$A"),0))),0)</f>
        <v>0</v>
      </c>
      <c r="AH11" s="196" t="str">
        <f t="shared" ca="1" si="12"/>
        <v>Not Mapped</v>
      </c>
      <c r="AI11" s="338">
        <f t="shared" ca="1" si="13"/>
        <v>0</v>
      </c>
      <c r="AJ11" s="196" t="str">
        <f t="shared" ca="1" si="14"/>
        <v>Not Mapped</v>
      </c>
      <c r="AK11" s="196" t="str">
        <f t="shared" ca="1" si="15"/>
        <v>0 / 8 Complete</v>
      </c>
      <c r="AL11" s="196">
        <f t="shared" ca="1" si="16"/>
        <v>8</v>
      </c>
      <c r="AM11" s="196" t="str">
        <f t="shared" ca="1" si="17"/>
        <v>QA / Material Review</v>
      </c>
      <c r="AN11" s="196" t="str">
        <f t="shared" ca="1" si="18"/>
        <v>🔴 ATTENTION</v>
      </c>
      <c r="AO11" s="196" t="str">
        <f t="shared" ca="1" si="19"/>
        <v>Mapped</v>
      </c>
    </row>
    <row r="12" spans="1:41" ht="17.25" customHeight="1">
      <c r="A12" s="106" t="str">
        <f>B10_Assessment!$B$2&amp;""</f>
        <v>10</v>
      </c>
      <c r="B12" s="106" t="str">
        <f>"B10_Assessment"</f>
        <v>B10_Assessment</v>
      </c>
      <c r="C12" s="106" t="str">
        <f>B10_Assessment!$F$2</f>
        <v>Yellow</v>
      </c>
      <c r="D12" s="142">
        <f>B10_Assessment!$H$2</f>
        <v>0.5</v>
      </c>
      <c r="E12" s="142">
        <f>IFERROR(B10_Assessment!$H$2,0)</f>
        <v>0.5</v>
      </c>
      <c r="F12" s="106" t="str">
        <f>B10_Assessment!$J$2</f>
        <v>No</v>
      </c>
      <c r="G12" s="106">
        <f>MAX(0,COUNTA(B10_Assessment!$A$10:$A$49)-COUNTIF(B10_Assessment!$A$10:$A$49,"*. *"))</f>
        <v>27</v>
      </c>
      <c r="H12" s="106">
        <f>IFERROR(B10_Assessment!$B$4,0)</f>
        <v>0</v>
      </c>
      <c r="I12" s="106">
        <f>IFERROR(B10_Assessment!$D$4,0)</f>
        <v>0</v>
      </c>
      <c r="J12" s="106">
        <f>SUMPRODUCT(--(ISNUMBER(SEARCH("-P",B10_Assessment!$A$1:$A$300&amp;""))),--((B10_Assessment!$I$1:$I$300="Open")+(B10_Assessment!$I$1:$I$300="In Progress")))</f>
        <v>0</v>
      </c>
      <c r="K12" s="106" t="str">
        <f>B10_Assessment!$B$5</f>
        <v>Verify</v>
      </c>
      <c r="L12" s="106" t="str">
        <f>B10_Assessment!$D$5</f>
        <v>Verify</v>
      </c>
      <c r="M12" s="106" t="str">
        <f>B10_Assessment!$F$5</f>
        <v>Verify</v>
      </c>
      <c r="N12" s="106" t="str">
        <f>B10_Assessment!$H$5</f>
        <v>Verify</v>
      </c>
      <c r="O12" s="106" t="str">
        <f>B10_Assessment!$J$5</f>
        <v>Verify</v>
      </c>
      <c r="P12" s="106" t="str">
        <f>B10_Assessment!$B$6</f>
        <v>Verify</v>
      </c>
      <c r="Q12" s="106" t="str">
        <f>B10_Assessment!$D$6</f>
        <v>Field verify attic Telecom Room 200A, basement normal/emergency electrical source rooms B24/B25, existing wall-mounted rack/equipment, panel sources B10-TR200AA/AB, IU/CU-1-01 cooling, FEC/fire alarm/sprinkler impacts, hazardous/abatement scope, and telecom cutover plan.</v>
      </c>
      <c r="R12" s="106" t="str">
        <f>B10_Assessment!$H$4</f>
        <v>Building 10 scope centers on attic Telecom Room 200A with related basement electrical source rooms B24/B25, attic hazardous material abatement, dedicated cooling, new telecom panels, rack/UPS/PDU equipment, firestopping, and cutover coordination.</v>
      </c>
      <c r="S12" s="106">
        <f t="shared" si="0"/>
        <v>0</v>
      </c>
      <c r="T12" s="139">
        <f t="shared" si="1"/>
        <v>0</v>
      </c>
      <c r="U12" s="139">
        <f t="shared" si="2"/>
        <v>0</v>
      </c>
      <c r="V12" s="139" t="str">
        <f t="shared" si="3"/>
        <v>Monitor</v>
      </c>
      <c r="W12" s="139" t="str">
        <f t="shared" si="4"/>
        <v>Review</v>
      </c>
      <c r="X12" s="139">
        <f>IFERROR(B10_Assessment!$F$4,0)</f>
        <v>0</v>
      </c>
      <c r="Y12" s="143" t="str">
        <f t="shared" si="5"/>
        <v>Mapped</v>
      </c>
      <c r="Z12" s="338">
        <f t="shared" ca="1" si="20"/>
        <v>0.8</v>
      </c>
      <c r="AA12" s="196" t="str">
        <f t="shared" ca="1" si="6"/>
        <v>Partial / Verify</v>
      </c>
      <c r="AB12" s="338" t="str">
        <f t="shared" ca="1" si="7"/>
        <v/>
      </c>
      <c r="AC12" s="196" t="str">
        <f t="shared" ca="1" si="8"/>
        <v>Ready</v>
      </c>
      <c r="AD12" s="196" t="str">
        <f t="shared" ca="1" si="9"/>
        <v>Clear</v>
      </c>
      <c r="AE12" s="338">
        <f t="shared" ca="1" si="10"/>
        <v>0</v>
      </c>
      <c r="AF12" s="196" t="str">
        <f t="shared" ca="1" si="11"/>
        <v>Not Mapped</v>
      </c>
      <c r="AG12" s="338">
        <f ca="1">IFERROR(AVERAGE(INDEX(INDIRECT("'"&amp;$B12&amp;"'!$F:$F"),MATCH("Electrical",INDIRECT("'"&amp;$B12&amp;"'!$A:$A"),0)):INDEX(INDIRECT("'"&amp;$B12&amp;"'!$F:$F"),MATCH("Firestop",INDIRECT("'"&amp;$B12&amp;"'!$A:$A"),0))),0)</f>
        <v>0</v>
      </c>
      <c r="AH12" s="196" t="str">
        <f t="shared" ca="1" si="12"/>
        <v>Not Mapped</v>
      </c>
      <c r="AI12" s="338">
        <f t="shared" ca="1" si="13"/>
        <v>0</v>
      </c>
      <c r="AJ12" s="196" t="str">
        <f t="shared" ca="1" si="14"/>
        <v>Not Mapped</v>
      </c>
      <c r="AK12" s="196" t="str">
        <f t="shared" ca="1" si="15"/>
        <v>0 / 8 Complete</v>
      </c>
      <c r="AL12" s="196">
        <f t="shared" ca="1" si="16"/>
        <v>8</v>
      </c>
      <c r="AM12" s="196" t="str">
        <f t="shared" ca="1" si="17"/>
        <v>QA / Material Review</v>
      </c>
      <c r="AN12" s="196" t="str">
        <f t="shared" ca="1" si="18"/>
        <v>🔴 ATTENTION</v>
      </c>
      <c r="AO12" s="196" t="str">
        <f t="shared" ca="1" si="19"/>
        <v>Mapped</v>
      </c>
    </row>
    <row r="13" spans="1:41" ht="17.25" customHeight="1">
      <c r="A13" s="106" t="str">
        <f>B12_Assessment!$B$2&amp;""</f>
        <v>12</v>
      </c>
      <c r="B13" s="106" t="str">
        <f>"B12_Assessment"</f>
        <v>B12_Assessment</v>
      </c>
      <c r="C13" s="106" t="str">
        <f>B12_Assessment!$F$2</f>
        <v>Yellow</v>
      </c>
      <c r="D13" s="142">
        <f>B12_Assessment!$H$2</f>
        <v>0.6</v>
      </c>
      <c r="E13" s="142">
        <f>IFERROR(B12_Assessment!$H$2,0)</f>
        <v>0.6</v>
      </c>
      <c r="F13" s="106" t="str">
        <f>B12_Assessment!$J$2</f>
        <v>No</v>
      </c>
      <c r="G13" s="106">
        <f>MAX(0,COUNTA(B12_Assessment!$A$10:$A$49)-COUNTIF(B12_Assessment!$A$10:$A$49,"*. *"))</f>
        <v>26</v>
      </c>
      <c r="H13" s="106">
        <f>IFERROR(B12_Assessment!$B$4,0)</f>
        <v>0</v>
      </c>
      <c r="I13" s="106">
        <f>IFERROR(B12_Assessment!$D$4,0)</f>
        <v>0</v>
      </c>
      <c r="J13" s="106">
        <f>SUMPRODUCT(--(ISNUMBER(SEARCH("-P",B12_Assessment!$A$1:$A$300&amp;""))),--((B12_Assessment!$I$1:$I$300="Open")+(B12_Assessment!$I$1:$I$300="In Progress")))</f>
        <v>0</v>
      </c>
      <c r="K13" s="106" t="str">
        <f>B12_Assessment!$B$5</f>
        <v>N/A</v>
      </c>
      <c r="L13" s="106" t="str">
        <f>B12_Assessment!$D$5</f>
        <v>N/A / Verify</v>
      </c>
      <c r="M13" s="106" t="str">
        <f>B12_Assessment!$F$5</f>
        <v>Verify</v>
      </c>
      <c r="N13" s="106" t="str">
        <f>B12_Assessment!$H$5</f>
        <v>N/A / Verify</v>
      </c>
      <c r="O13" s="106" t="str">
        <f>B12_Assessment!$J$5</f>
        <v>N/A / Verify</v>
      </c>
      <c r="P13" s="106" t="str">
        <f>B12_Assessment!$B$6</f>
        <v>N/A / Verify</v>
      </c>
      <c r="Q13" s="106" t="str">
        <f>B12_Assessment!$D$6</f>
        <v>Field verify existing fiber pathway through Building 12, existing rack/demarc/serving closet condition, floor/wall penetrations, routing from basement/first/second level telecom plans, phasing/cutover approach, and test/label/as-built deliverables.</v>
      </c>
      <c r="R13" s="106" t="str">
        <f>B12_Assessment!$H$4</f>
        <v>Building 12 is explicitly identified as fiber-only with no new TR buildout, no new rack, and no electrical/HVAC/fire protection drawing packages; key owner risk is confirming pull-through fiber path, existing service continuity, pathway/firestopping, and VA/OIT acceptance before cutover.</v>
      </c>
      <c r="S13" s="106">
        <f t="shared" si="0"/>
        <v>0</v>
      </c>
      <c r="T13" s="139">
        <f t="shared" si="1"/>
        <v>0</v>
      </c>
      <c r="U13" s="139">
        <f t="shared" si="2"/>
        <v>0</v>
      </c>
      <c r="V13" s="139" t="str">
        <f t="shared" si="3"/>
        <v>Monitor</v>
      </c>
      <c r="W13" s="139" t="str">
        <f t="shared" si="4"/>
        <v>Review</v>
      </c>
      <c r="X13" s="139">
        <f>IFERROR(B12_Assessment!$F$4,0)</f>
        <v>0</v>
      </c>
      <c r="Y13" s="143" t="str">
        <f t="shared" si="5"/>
        <v>Mapped</v>
      </c>
      <c r="Z13" s="338">
        <f t="shared" ca="1" si="20"/>
        <v>0.8</v>
      </c>
      <c r="AA13" s="196" t="str">
        <f t="shared" ca="1" si="6"/>
        <v>Partial / Verify</v>
      </c>
      <c r="AB13" s="338" t="str">
        <f t="shared" ca="1" si="7"/>
        <v/>
      </c>
      <c r="AC13" s="196" t="str">
        <f t="shared" ca="1" si="8"/>
        <v>Ready</v>
      </c>
      <c r="AD13" s="196" t="str">
        <f t="shared" ca="1" si="9"/>
        <v>Clear</v>
      </c>
      <c r="AE13" s="338">
        <f t="shared" ca="1" si="10"/>
        <v>0</v>
      </c>
      <c r="AF13" s="196" t="str">
        <f t="shared" ca="1" si="11"/>
        <v>Not Mapped</v>
      </c>
      <c r="AG13" s="338">
        <f ca="1">IFERROR(AVERAGE(INDEX(INDIRECT("'"&amp;$B13&amp;"'!$F:$F"),MATCH("Electrical",INDIRECT("'"&amp;$B13&amp;"'!$A:$A"),0)):INDEX(INDIRECT("'"&amp;$B13&amp;"'!$F:$F"),MATCH("Firestop",INDIRECT("'"&amp;$B13&amp;"'!$A:$A"),0))),0)</f>
        <v>0</v>
      </c>
      <c r="AH13" s="196" t="str">
        <f t="shared" ca="1" si="12"/>
        <v>Not Mapped</v>
      </c>
      <c r="AI13" s="338">
        <f t="shared" ca="1" si="13"/>
        <v>0</v>
      </c>
      <c r="AJ13" s="196" t="str">
        <f t="shared" ca="1" si="14"/>
        <v>Not Mapped</v>
      </c>
      <c r="AK13" s="196" t="str">
        <f t="shared" ca="1" si="15"/>
        <v>0 / 8 Complete</v>
      </c>
      <c r="AL13" s="196">
        <f t="shared" ca="1" si="16"/>
        <v>8</v>
      </c>
      <c r="AM13" s="196" t="str">
        <f t="shared" ca="1" si="17"/>
        <v>QA / Material Review</v>
      </c>
      <c r="AN13" s="196" t="str">
        <f t="shared" ca="1" si="18"/>
        <v>🔴 ATTENTION</v>
      </c>
      <c r="AO13" s="196" t="str">
        <f t="shared" ca="1" si="19"/>
        <v>Mapped</v>
      </c>
    </row>
    <row r="14" spans="1:41" ht="17.25" customHeight="1">
      <c r="A14" s="106" t="str">
        <f>B13_Assessment!$B$2&amp;""</f>
        <v>13</v>
      </c>
      <c r="B14" s="106" t="str">
        <f>"B13_Assessment"</f>
        <v>B13_Assessment</v>
      </c>
      <c r="C14" s="106" t="str">
        <f>B13_Assessment!$F$2</f>
        <v>Yellow</v>
      </c>
      <c r="D14" s="142">
        <f>B13_Assessment!$H$2</f>
        <v>0.5</v>
      </c>
      <c r="E14" s="142">
        <f>IFERROR(B13_Assessment!$H$2,0)</f>
        <v>0.5</v>
      </c>
      <c r="F14" s="106" t="str">
        <f>B13_Assessment!$J$2</f>
        <v>No</v>
      </c>
      <c r="G14" s="106">
        <f>MAX(0,COUNTA(B13_Assessment!$A$10:$A$49)-COUNTIF(B13_Assessment!$A$10:$A$49,"*. *"))</f>
        <v>26</v>
      </c>
      <c r="H14" s="106">
        <f>IFERROR(B13_Assessment!$B$4,0)</f>
        <v>0</v>
      </c>
      <c r="I14" s="106">
        <f>IFERROR(B13_Assessment!$D$4,0)</f>
        <v>0</v>
      </c>
      <c r="J14" s="106">
        <f>SUMPRODUCT(--(ISNUMBER(SEARCH("-P",B13_Assessment!$A$1:$A$300&amp;""))),--((B13_Assessment!$I$1:$I$300="Open")+(B13_Assessment!$I$1:$I$300="In Progress")))</f>
        <v>0</v>
      </c>
      <c r="K14" s="106" t="str">
        <f>B13_Assessment!$B$5</f>
        <v>Verify</v>
      </c>
      <c r="L14" s="106" t="str">
        <f>B13_Assessment!$D$5</f>
        <v>Verify</v>
      </c>
      <c r="M14" s="106" t="str">
        <f>B13_Assessment!$F$5</f>
        <v>Verify</v>
      </c>
      <c r="N14" s="106" t="str">
        <f>B13_Assessment!$H$5</f>
        <v>Verify</v>
      </c>
      <c r="O14" s="106" t="str">
        <f>B13_Assessment!$J$5</f>
        <v>Verify</v>
      </c>
      <c r="P14" s="106" t="str">
        <f>B13_Assessment!$B$6</f>
        <v>Verify</v>
      </c>
      <c r="Q14" s="106" t="str">
        <f>B13_Assessment!$D$6</f>
        <v>Field verify Room 124 and existing Tel Room 222; confirm active services, rack/equipment transfer, B13-TR124AA/AB panel sources, IU/CU-1-01 cooling, fire alarm/sprinkler impacts, FEC location, PACS/CCTV scope, first-level hazardous/abatement impacts, and telecom cutover sequence.</v>
      </c>
      <c r="R14" s="106" t="str">
        <f>B13_Assessment!$H$4</f>
        <v>Building 13 includes new first-level Telecom Room 124 and existing second-level Tel Room 222; field verification, active service cutover, 240V UPS/PDU power, dedicated cooling, first-level hazardous material coordination, firestopping, and PACS/CCTV integration remain open.</v>
      </c>
      <c r="S14" s="106">
        <f t="shared" si="0"/>
        <v>0</v>
      </c>
      <c r="T14" s="139">
        <f t="shared" si="1"/>
        <v>0</v>
      </c>
      <c r="U14" s="139">
        <f t="shared" si="2"/>
        <v>0</v>
      </c>
      <c r="V14" s="139" t="str">
        <f t="shared" si="3"/>
        <v>Monitor</v>
      </c>
      <c r="W14" s="139" t="str">
        <f t="shared" si="4"/>
        <v>Review</v>
      </c>
      <c r="X14" s="139">
        <f>IFERROR(B13_Assessment!$F$4,0)</f>
        <v>0</v>
      </c>
      <c r="Y14" s="143" t="str">
        <f t="shared" si="5"/>
        <v>Mapped</v>
      </c>
      <c r="Z14" s="338">
        <f t="shared" ca="1" si="20"/>
        <v>0.8</v>
      </c>
      <c r="AA14" s="196" t="str">
        <f t="shared" ca="1" si="6"/>
        <v>Partial / Verify</v>
      </c>
      <c r="AB14" s="338" t="str">
        <f t="shared" ca="1" si="7"/>
        <v/>
      </c>
      <c r="AC14" s="196" t="str">
        <f t="shared" ca="1" si="8"/>
        <v>Ready</v>
      </c>
      <c r="AD14" s="196" t="str">
        <f t="shared" ca="1" si="9"/>
        <v>Clear</v>
      </c>
      <c r="AE14" s="338">
        <f t="shared" ca="1" si="10"/>
        <v>0</v>
      </c>
      <c r="AF14" s="196" t="str">
        <f t="shared" ca="1" si="11"/>
        <v>Not Mapped</v>
      </c>
      <c r="AG14" s="338">
        <f ca="1">IFERROR(AVERAGE(INDEX(INDIRECT("'"&amp;$B14&amp;"'!$F:$F"),MATCH("Electrical",INDIRECT("'"&amp;$B14&amp;"'!$A:$A"),0)):INDEX(INDIRECT("'"&amp;$B14&amp;"'!$F:$F"),MATCH("Firestop",INDIRECT("'"&amp;$B14&amp;"'!$A:$A"),0))),0)</f>
        <v>0</v>
      </c>
      <c r="AH14" s="196" t="str">
        <f t="shared" ca="1" si="12"/>
        <v>Not Mapped</v>
      </c>
      <c r="AI14" s="338">
        <f t="shared" ca="1" si="13"/>
        <v>0</v>
      </c>
      <c r="AJ14" s="196" t="str">
        <f t="shared" ca="1" si="14"/>
        <v>Not Mapped</v>
      </c>
      <c r="AK14" s="196" t="str">
        <f t="shared" ca="1" si="15"/>
        <v>0 / 8 Complete</v>
      </c>
      <c r="AL14" s="196">
        <f t="shared" ca="1" si="16"/>
        <v>8</v>
      </c>
      <c r="AM14" s="196" t="str">
        <f t="shared" ca="1" si="17"/>
        <v>QA / Material Review</v>
      </c>
      <c r="AN14" s="196" t="str">
        <f t="shared" ca="1" si="18"/>
        <v>🔴 ATTENTION</v>
      </c>
      <c r="AO14" s="196" t="str">
        <f t="shared" ca="1" si="19"/>
        <v>Mapped</v>
      </c>
    </row>
    <row r="15" spans="1:41" ht="17.25" customHeight="1">
      <c r="A15" s="106" t="str">
        <f>B14_Assessment!$B$2&amp;""</f>
        <v>14</v>
      </c>
      <c r="B15" s="106" t="str">
        <f>"B14_Assessment"</f>
        <v>B14_Assessment</v>
      </c>
      <c r="C15" s="106" t="str">
        <f>B14_Assessment!$F$2</f>
        <v>Yellow</v>
      </c>
      <c r="D15" s="142">
        <f>B14_Assessment!$H$2</f>
        <v>0.5</v>
      </c>
      <c r="E15" s="142">
        <f>IFERROR(B14_Assessment!$H$2,0)</f>
        <v>0.5</v>
      </c>
      <c r="F15" s="106" t="str">
        <f>B14_Assessment!$J$2</f>
        <v>No</v>
      </c>
      <c r="G15" s="106">
        <f>MAX(0,COUNTA(B14_Assessment!$A$10:$A$49)-COUNTIF(B14_Assessment!$A$10:$A$49,"*. *"))</f>
        <v>27</v>
      </c>
      <c r="H15" s="106">
        <f>IFERROR(B14_Assessment!$B$4,0)</f>
        <v>0</v>
      </c>
      <c r="I15" s="106">
        <f>IFERROR(B14_Assessment!$D$4,0)</f>
        <v>0</v>
      </c>
      <c r="J15" s="106">
        <f>SUMPRODUCT(--(ISNUMBER(SEARCH("-P",B14_Assessment!$A$1:$A$300&amp;""))),--((B14_Assessment!$I$1:$I$300="Open")+(B14_Assessment!$I$1:$I$300="In Progress")))</f>
        <v>0</v>
      </c>
      <c r="K15" s="106" t="str">
        <f>B14_Assessment!$B$5</f>
        <v>Verify</v>
      </c>
      <c r="L15" s="106" t="str">
        <f>B14_Assessment!$D$5</f>
        <v>Verify</v>
      </c>
      <c r="M15" s="106" t="str">
        <f>B14_Assessment!$F$5</f>
        <v>Verify</v>
      </c>
      <c r="N15" s="106" t="str">
        <f>B14_Assessment!$H$5</f>
        <v>Verify</v>
      </c>
      <c r="O15" s="106" t="str">
        <f>B14_Assessment!$J$5</f>
        <v>Verify</v>
      </c>
      <c r="P15" s="106" t="str">
        <f>B14_Assessment!$B$6</f>
        <v>Verify</v>
      </c>
      <c r="Q15" s="106" t="str">
        <f>B14_Assessment!$D$6</f>
        <v>Field verify Room 119 and existing basement Tel/F Panel B.01/B2; confirm active services, rack/equipment transfer, B14-TR119A/B panel sources, IU/CU-1-01 cooling, fire alarm/sprinkler impacts, FEC location, PACS/CCTV scope, first-level hazardous/abatement impacts, and telecom cutover sequence.</v>
      </c>
      <c r="R15" s="106" t="str">
        <f>B14_Assessment!$H$4</f>
        <v>Building 14 includes new first-level Telecom Room 119 and existing basement telecom rooms B.01/B2; field verification, active service cutover, 240V UPS/PDU power, dedicated cooling, first-level hazardous material coordination, firestopping, and PACS/CCTV integration remain open.</v>
      </c>
      <c r="S15" s="106">
        <f t="shared" si="0"/>
        <v>0</v>
      </c>
      <c r="T15" s="139">
        <f t="shared" si="1"/>
        <v>0</v>
      </c>
      <c r="U15" s="139">
        <f t="shared" si="2"/>
        <v>0</v>
      </c>
      <c r="V15" s="139" t="str">
        <f t="shared" si="3"/>
        <v>Monitor</v>
      </c>
      <c r="W15" s="139" t="str">
        <f t="shared" si="4"/>
        <v>Review</v>
      </c>
      <c r="X15" s="139">
        <f>IFERROR(B14_Assessment!$F$4,0)</f>
        <v>0</v>
      </c>
      <c r="Y15" s="143" t="str">
        <f t="shared" si="5"/>
        <v>Mapped</v>
      </c>
      <c r="Z15" s="338">
        <f t="shared" ca="1" si="20"/>
        <v>0.8</v>
      </c>
      <c r="AA15" s="196" t="str">
        <f t="shared" ca="1" si="6"/>
        <v>Partial / Verify</v>
      </c>
      <c r="AB15" s="338" t="str">
        <f t="shared" ca="1" si="7"/>
        <v/>
      </c>
      <c r="AC15" s="196" t="str">
        <f t="shared" ca="1" si="8"/>
        <v>Ready</v>
      </c>
      <c r="AD15" s="196" t="str">
        <f t="shared" ca="1" si="9"/>
        <v>Clear</v>
      </c>
      <c r="AE15" s="338">
        <f t="shared" ca="1" si="10"/>
        <v>0</v>
      </c>
      <c r="AF15" s="196" t="str">
        <f t="shared" ca="1" si="11"/>
        <v>Not Mapped</v>
      </c>
      <c r="AG15" s="338">
        <f ca="1">IFERROR(AVERAGE(INDEX(INDIRECT("'"&amp;$B15&amp;"'!$F:$F"),MATCH("Electrical",INDIRECT("'"&amp;$B15&amp;"'!$A:$A"),0)):INDEX(INDIRECT("'"&amp;$B15&amp;"'!$F:$F"),MATCH("Firestop",INDIRECT("'"&amp;$B15&amp;"'!$A:$A"),0))),0)</f>
        <v>0</v>
      </c>
      <c r="AH15" s="196" t="str">
        <f t="shared" ca="1" si="12"/>
        <v>Not Mapped</v>
      </c>
      <c r="AI15" s="338">
        <f t="shared" ca="1" si="13"/>
        <v>0</v>
      </c>
      <c r="AJ15" s="196" t="str">
        <f t="shared" ca="1" si="14"/>
        <v>Not Mapped</v>
      </c>
      <c r="AK15" s="196" t="str">
        <f t="shared" ca="1" si="15"/>
        <v>0 / 8 Complete</v>
      </c>
      <c r="AL15" s="196">
        <f t="shared" ca="1" si="16"/>
        <v>8</v>
      </c>
      <c r="AM15" s="196" t="str">
        <f t="shared" ca="1" si="17"/>
        <v>QA / Material Review</v>
      </c>
      <c r="AN15" s="196" t="str">
        <f t="shared" ca="1" si="18"/>
        <v>🔴 ATTENTION</v>
      </c>
      <c r="AO15" s="196" t="str">
        <f t="shared" ca="1" si="19"/>
        <v>Mapped</v>
      </c>
    </row>
    <row r="16" spans="1:41" ht="22.95" customHeight="1">
      <c r="A16" s="106" t="str">
        <f>B15_Assessment!$B$2&amp;""</f>
        <v>15</v>
      </c>
      <c r="B16" s="106" t="str">
        <f>"B15_Assessment"</f>
        <v>B15_Assessment</v>
      </c>
      <c r="C16" s="106" t="str">
        <f>B15_Assessment!$F$2</f>
        <v>Yellow</v>
      </c>
      <c r="D16" s="142">
        <f>B15_Assessment!$H$2</f>
        <v>0.5</v>
      </c>
      <c r="E16" s="142">
        <f>IFERROR(B15_Assessment!$H$2,0)</f>
        <v>0.5</v>
      </c>
      <c r="F16" s="106" t="str">
        <f>B15_Assessment!$J$2</f>
        <v>No</v>
      </c>
      <c r="G16" s="106">
        <f>MAX(0,COUNTA(B15_Assessment!$A$10:$A$49)-COUNTIF(B15_Assessment!$A$10:$A$49,"*. *"))</f>
        <v>27</v>
      </c>
      <c r="H16" s="106">
        <f>IFERROR(B15_Assessment!$B$4,0)</f>
        <v>0</v>
      </c>
      <c r="I16" s="106">
        <f>IFERROR(B15_Assessment!$D$4,0)</f>
        <v>0</v>
      </c>
      <c r="J16" s="106">
        <f>SUMPRODUCT(--(ISNUMBER(SEARCH("-P",B15_Assessment!$A$1:$A$300&amp;""))),--((B15_Assessment!$I$1:$I$300="Open")+(B15_Assessment!$I$1:$I$300="In Progress")))</f>
        <v>0</v>
      </c>
      <c r="K16" s="106" t="str">
        <f>B15_Assessment!$B$5</f>
        <v>Verify</v>
      </c>
      <c r="L16" s="106" t="str">
        <f>B15_Assessment!$D$5</f>
        <v>Verify</v>
      </c>
      <c r="M16" s="106" t="str">
        <f>B15_Assessment!$F$5</f>
        <v>Verify</v>
      </c>
      <c r="N16" s="106" t="str">
        <f>B15_Assessment!$H$5</f>
        <v>Verify</v>
      </c>
      <c r="O16" s="106" t="str">
        <f>B15_Assessment!$J$5</f>
        <v>Verify</v>
      </c>
      <c r="P16" s="106" t="str">
        <f>B15_Assessment!$B$6</f>
        <v>Verify</v>
      </c>
      <c r="Q16" s="106" t="str">
        <f>B15_Assessment!$D$6</f>
        <v>Field verify Room 124A, existing Tel Room 222 and basement B01; confirm active services, rack/equipment transfer, B15-TR124AA/AB panel sources, IU/CU-1-01 cooling, fire alarm/sprinkler impacts, FEC location, PACS/CCTV scope, first-level hazardous/abatement impacts, and telecom cutover sequence.</v>
      </c>
      <c r="R16" s="106" t="str">
        <f>B15_Assessment!$H$4</f>
        <v>Building 15 includes new first-level Telecom Room 124A and existing telecom transition points at second-level Tel Room 222 and basement B01; field verification, active service cutover, 240V UPS/PDU power, dedicated heat-pump cooling, first-level hazardous material coordination, firestopping, and PACS/CCTV integration remain open.</v>
      </c>
      <c r="S16" s="106">
        <f t="shared" si="0"/>
        <v>0</v>
      </c>
      <c r="T16" s="139">
        <f t="shared" si="1"/>
        <v>0</v>
      </c>
      <c r="U16" s="139">
        <f t="shared" si="2"/>
        <v>0</v>
      </c>
      <c r="V16" s="139" t="str">
        <f t="shared" si="3"/>
        <v>Monitor</v>
      </c>
      <c r="W16" s="139" t="str">
        <f t="shared" si="4"/>
        <v>Review</v>
      </c>
      <c r="X16" s="139">
        <f>IFERROR(B15_Assessment!$F$4,0)</f>
        <v>0</v>
      </c>
      <c r="Y16" s="143" t="str">
        <f t="shared" si="5"/>
        <v>Mapped</v>
      </c>
      <c r="Z16" s="338">
        <f t="shared" ca="1" si="20"/>
        <v>0.8</v>
      </c>
      <c r="AA16" s="196" t="str">
        <f t="shared" ca="1" si="6"/>
        <v>Partial / Verify</v>
      </c>
      <c r="AB16" s="338" t="str">
        <f t="shared" ca="1" si="7"/>
        <v/>
      </c>
      <c r="AC16" s="196" t="str">
        <f t="shared" ca="1" si="8"/>
        <v>Ready</v>
      </c>
      <c r="AD16" s="196" t="str">
        <f t="shared" ca="1" si="9"/>
        <v>Clear</v>
      </c>
      <c r="AE16" s="338">
        <f t="shared" ca="1" si="10"/>
        <v>0</v>
      </c>
      <c r="AF16" s="196" t="str">
        <f t="shared" ca="1" si="11"/>
        <v>Not Mapped</v>
      </c>
      <c r="AG16" s="338">
        <f ca="1">IFERROR(AVERAGE(INDEX(INDIRECT("'"&amp;$B16&amp;"'!$F:$F"),MATCH("Electrical",INDIRECT("'"&amp;$B16&amp;"'!$A:$A"),0)):INDEX(INDIRECT("'"&amp;$B16&amp;"'!$F:$F"),MATCH("Firestop",INDIRECT("'"&amp;$B16&amp;"'!$A:$A"),0))),0)</f>
        <v>0</v>
      </c>
      <c r="AH16" s="196" t="str">
        <f t="shared" ca="1" si="12"/>
        <v>Not Mapped</v>
      </c>
      <c r="AI16" s="338">
        <f t="shared" ca="1" si="13"/>
        <v>0</v>
      </c>
      <c r="AJ16" s="196" t="str">
        <f t="shared" ca="1" si="14"/>
        <v>Not Mapped</v>
      </c>
      <c r="AK16" s="196" t="str">
        <f t="shared" ca="1" si="15"/>
        <v>0 / 8 Complete</v>
      </c>
      <c r="AL16" s="196">
        <f t="shared" ca="1" si="16"/>
        <v>8</v>
      </c>
      <c r="AM16" s="196" t="str">
        <f t="shared" ca="1" si="17"/>
        <v>QA / Material Review</v>
      </c>
      <c r="AN16" s="196" t="str">
        <f t="shared" ca="1" si="18"/>
        <v>🔴 ATTENTION</v>
      </c>
      <c r="AO16" s="196" t="str">
        <f t="shared" ca="1" si="19"/>
        <v>Mapped</v>
      </c>
    </row>
    <row r="17" spans="1:41" ht="22.95" customHeight="1">
      <c r="A17" s="106" t="str">
        <f>B16_Assessment!$B$2&amp;""</f>
        <v>16</v>
      </c>
      <c r="B17" s="106" t="str">
        <f>"B16_Assessment"</f>
        <v>B16_Assessment</v>
      </c>
      <c r="C17" s="106" t="str">
        <f>B16_Assessment!$F$2</f>
        <v>Yellow</v>
      </c>
      <c r="D17" s="142">
        <f>B16_Assessment!$H$2</f>
        <v>0.5</v>
      </c>
      <c r="E17" s="142">
        <f>IFERROR(B16_Assessment!$H$2,0)</f>
        <v>0.5</v>
      </c>
      <c r="F17" s="106" t="str">
        <f>B16_Assessment!$J$2</f>
        <v>No</v>
      </c>
      <c r="G17" s="106">
        <f>MAX(0,COUNTA(B16_Assessment!$A$10:$A$49)-COUNTIF(B16_Assessment!$A$10:$A$49,"*. *"))</f>
        <v>26</v>
      </c>
      <c r="H17" s="106">
        <f>IFERROR(B16_Assessment!$B$4,0)</f>
        <v>0</v>
      </c>
      <c r="I17" s="106">
        <f>IFERROR(B16_Assessment!$D$4,0)</f>
        <v>0</v>
      </c>
      <c r="J17" s="106">
        <f>SUMPRODUCT(--(ISNUMBER(SEARCH("-P",B16_Assessment!$A$1:$A$300&amp;""))),--((B16_Assessment!$I$1:$I$300="Open")+(B16_Assessment!$I$1:$I$300="In Progress")))</f>
        <v>0</v>
      </c>
      <c r="K17" s="106" t="str">
        <f>B16_Assessment!$B$5</f>
        <v>Verify</v>
      </c>
      <c r="L17" s="106" t="str">
        <f>B16_Assessment!$D$5</f>
        <v>Verify</v>
      </c>
      <c r="M17" s="106" t="str">
        <f>B16_Assessment!$F$5</f>
        <v>Verify</v>
      </c>
      <c r="N17" s="106" t="str">
        <f>B16_Assessment!$H$5</f>
        <v>Verify</v>
      </c>
      <c r="O17" s="106" t="str">
        <f>B16_Assessment!$J$5</f>
        <v>Verify</v>
      </c>
      <c r="P17" s="106" t="str">
        <f>B16_Assessment!$B$6</f>
        <v>Verify</v>
      </c>
      <c r="Q17" s="106" t="str">
        <f>B16_Assessment!$D$6</f>
        <v>Field verify Room 015 and existing Room 014; confirm active services, rack/equipment transfer, B16-TR015A/B panel sources, IU/CU-1-01 cooling, fire alarm/sprinkler impacts, FEC location, PACS/CCTV scope, panel replacement/load measurement, and telecom cutover sequence.</v>
      </c>
      <c r="R17" s="106" t="str">
        <f>B16_Assessment!$H$4</f>
        <v>Building 16 includes new basement Telecom Room 015 and existing basement Telecom Room 014; field verification, active service transfer, 240V UPS/PDU power, dedicated cooling, panel replacement/source coordination, firestopping, PACS/CCTV integration, and cable tray coordination remain open.</v>
      </c>
      <c r="S17" s="106">
        <f t="shared" si="0"/>
        <v>0</v>
      </c>
      <c r="T17" s="139">
        <f t="shared" si="1"/>
        <v>0</v>
      </c>
      <c r="U17" s="139">
        <f t="shared" si="2"/>
        <v>0</v>
      </c>
      <c r="V17" s="139" t="str">
        <f t="shared" si="3"/>
        <v>Monitor</v>
      </c>
      <c r="W17" s="139" t="str">
        <f t="shared" si="4"/>
        <v>Review</v>
      </c>
      <c r="X17" s="139">
        <f>IFERROR(B16_Assessment!$F$4,0)</f>
        <v>0</v>
      </c>
      <c r="Y17" s="143" t="str">
        <f t="shared" si="5"/>
        <v>Mapped</v>
      </c>
      <c r="Z17" s="338">
        <f t="shared" ca="1" si="20"/>
        <v>0.8</v>
      </c>
      <c r="AA17" s="196" t="str">
        <f t="shared" ca="1" si="6"/>
        <v>Partial / Verify</v>
      </c>
      <c r="AB17" s="338" t="str">
        <f t="shared" ca="1" si="7"/>
        <v/>
      </c>
      <c r="AC17" s="196" t="str">
        <f t="shared" ca="1" si="8"/>
        <v>Ready</v>
      </c>
      <c r="AD17" s="196" t="str">
        <f t="shared" ca="1" si="9"/>
        <v>Clear</v>
      </c>
      <c r="AE17" s="338">
        <f t="shared" ca="1" si="10"/>
        <v>0</v>
      </c>
      <c r="AF17" s="196" t="str">
        <f t="shared" ca="1" si="11"/>
        <v>Not Mapped</v>
      </c>
      <c r="AG17" s="338">
        <f ca="1">IFERROR(AVERAGE(INDEX(INDIRECT("'"&amp;$B17&amp;"'!$F:$F"),MATCH("Electrical",INDIRECT("'"&amp;$B17&amp;"'!$A:$A"),0)):INDEX(INDIRECT("'"&amp;$B17&amp;"'!$F:$F"),MATCH("Firestop",INDIRECT("'"&amp;$B17&amp;"'!$A:$A"),0))),0)</f>
        <v>0</v>
      </c>
      <c r="AH17" s="196" t="str">
        <f t="shared" ca="1" si="12"/>
        <v>Not Mapped</v>
      </c>
      <c r="AI17" s="338">
        <f t="shared" ca="1" si="13"/>
        <v>0</v>
      </c>
      <c r="AJ17" s="196" t="str">
        <f t="shared" ca="1" si="14"/>
        <v>Not Mapped</v>
      </c>
      <c r="AK17" s="196" t="str">
        <f t="shared" ca="1" si="15"/>
        <v>0 / 8 Complete</v>
      </c>
      <c r="AL17" s="196">
        <f t="shared" ca="1" si="16"/>
        <v>8</v>
      </c>
      <c r="AM17" s="196" t="str">
        <f t="shared" ca="1" si="17"/>
        <v>QA / Material Review</v>
      </c>
      <c r="AN17" s="196" t="str">
        <f t="shared" ca="1" si="18"/>
        <v>🔴 ATTENTION</v>
      </c>
      <c r="AO17" s="196" t="str">
        <f t="shared" ca="1" si="19"/>
        <v>Mapped</v>
      </c>
    </row>
    <row r="18" spans="1:41" ht="22.95" customHeight="1">
      <c r="A18" s="106" t="str">
        <f>B17_Assessment!$B$2&amp;""</f>
        <v>17</v>
      </c>
      <c r="B18" s="106" t="str">
        <f>"B17_Assessment"</f>
        <v>B17_Assessment</v>
      </c>
      <c r="C18" s="106" t="str">
        <f>B17_Assessment!$F$2</f>
        <v>Yellow</v>
      </c>
      <c r="D18" s="142">
        <f>B17_Assessment!$H$2</f>
        <v>0.5</v>
      </c>
      <c r="E18" s="142">
        <f>IFERROR(B17_Assessment!$H$2,0)</f>
        <v>0.5</v>
      </c>
      <c r="F18" s="106" t="str">
        <f>B17_Assessment!$J$2</f>
        <v>No</v>
      </c>
      <c r="G18" s="106">
        <f>MAX(0,COUNTA(B17_Assessment!$A$10:$A$49)-COUNTIF(B17_Assessment!$A$10:$A$49,"*. *"))</f>
        <v>27</v>
      </c>
      <c r="H18" s="106">
        <f>IFERROR(B17_Assessment!$B$4,0)</f>
        <v>0</v>
      </c>
      <c r="I18" s="106">
        <f>IFERROR(B17_Assessment!$D$4,0)</f>
        <v>0</v>
      </c>
      <c r="J18" s="106">
        <f>SUMPRODUCT(--(ISNUMBER(SEARCH("-P",B17_Assessment!$A$1:$A$300&amp;""))),--((B17_Assessment!$I$1:$I$300="Open")+(B17_Assessment!$I$1:$I$300="In Progress")))</f>
        <v>0</v>
      </c>
      <c r="K18" s="106" t="str">
        <f>B17_Assessment!$B$5</f>
        <v>Verify</v>
      </c>
      <c r="L18" s="106" t="str">
        <f>B17_Assessment!$D$5</f>
        <v>Verify</v>
      </c>
      <c r="M18" s="106" t="str">
        <f>B17_Assessment!$F$5</f>
        <v>Verify</v>
      </c>
      <c r="N18" s="106" t="str">
        <f>B17_Assessment!$H$5</f>
        <v>Verify</v>
      </c>
      <c r="O18" s="106" t="str">
        <f>B17_Assessment!$J$5</f>
        <v>Verify</v>
      </c>
      <c r="P18" s="106" t="str">
        <f>B17_Assessment!$B$6</f>
        <v>Verify</v>
      </c>
      <c r="Q18" s="106" t="str">
        <f>B17_Assessment!$D$6</f>
        <v>Field verify Telecom Room 118, existing B35A, and Building 29 service path; confirm active services, B17-TR118A/B panel sources, BUS-B17-EQDP / BUS-B17-NPB1-R sources, IU/CU-1-01 cooling, FEC, fire alarm/sprinkler impacts, cable tray route, PACS/CCTV scope, hazardous material impacts, and cutover plan.</v>
      </c>
      <c r="R18" s="106" t="str">
        <f>B17_Assessment!$H$4</f>
        <v>Building 17_29 includes new first-level Telecom Room 118 serving Building 17 and Building 29, plus existing basement Telecom Closet B35A; field verification, active-service transfer, 208V UPS/PDU power, dedicated cooling, first-level hazardous material coordination, cable tray, firestopping, and PACS/CCTV integration remain open.</v>
      </c>
      <c r="S18" s="106">
        <f t="shared" si="0"/>
        <v>0</v>
      </c>
      <c r="T18" s="139">
        <f t="shared" si="1"/>
        <v>0</v>
      </c>
      <c r="U18" s="139">
        <f t="shared" si="2"/>
        <v>0</v>
      </c>
      <c r="V18" s="139" t="str">
        <f t="shared" si="3"/>
        <v>Monitor</v>
      </c>
      <c r="W18" s="139" t="str">
        <f t="shared" si="4"/>
        <v>Review</v>
      </c>
      <c r="X18" s="139">
        <f>IFERROR(B17_Assessment!$F$4,0)</f>
        <v>0</v>
      </c>
      <c r="Y18" s="143" t="str">
        <f t="shared" si="5"/>
        <v>Mapped</v>
      </c>
      <c r="Z18" s="338">
        <f t="shared" ca="1" si="20"/>
        <v>0.8</v>
      </c>
      <c r="AA18" s="196" t="str">
        <f t="shared" ca="1" si="6"/>
        <v>Partial / Verify</v>
      </c>
      <c r="AB18" s="338" t="str">
        <f t="shared" ca="1" si="7"/>
        <v/>
      </c>
      <c r="AC18" s="196" t="str">
        <f t="shared" ca="1" si="8"/>
        <v>Ready</v>
      </c>
      <c r="AD18" s="196" t="str">
        <f t="shared" ca="1" si="9"/>
        <v>Clear</v>
      </c>
      <c r="AE18" s="338">
        <f t="shared" ca="1" si="10"/>
        <v>0</v>
      </c>
      <c r="AF18" s="196" t="str">
        <f t="shared" ca="1" si="11"/>
        <v>Not Mapped</v>
      </c>
      <c r="AG18" s="338">
        <f ca="1">IFERROR(AVERAGE(INDEX(INDIRECT("'"&amp;$B18&amp;"'!$F:$F"),MATCH("Electrical",INDIRECT("'"&amp;$B18&amp;"'!$A:$A"),0)):INDEX(INDIRECT("'"&amp;$B18&amp;"'!$F:$F"),MATCH("Firestop",INDIRECT("'"&amp;$B18&amp;"'!$A:$A"),0))),0)</f>
        <v>0</v>
      </c>
      <c r="AH18" s="196" t="str">
        <f t="shared" ca="1" si="12"/>
        <v>Not Mapped</v>
      </c>
      <c r="AI18" s="338">
        <f t="shared" ca="1" si="13"/>
        <v>0</v>
      </c>
      <c r="AJ18" s="196" t="str">
        <f t="shared" ca="1" si="14"/>
        <v>Not Mapped</v>
      </c>
      <c r="AK18" s="196" t="str">
        <f t="shared" ca="1" si="15"/>
        <v>0 / 8 Complete</v>
      </c>
      <c r="AL18" s="196">
        <f t="shared" ca="1" si="16"/>
        <v>8</v>
      </c>
      <c r="AM18" s="196" t="str">
        <f t="shared" ca="1" si="17"/>
        <v>QA / Material Review</v>
      </c>
      <c r="AN18" s="196" t="str">
        <f t="shared" ca="1" si="18"/>
        <v>🔴 ATTENTION</v>
      </c>
      <c r="AO18" s="196" t="str">
        <f t="shared" ca="1" si="19"/>
        <v>Mapped</v>
      </c>
    </row>
    <row r="19" spans="1:41" ht="22.95" customHeight="1">
      <c r="A19" s="106" t="str">
        <f>B18_Assessment!$B$2&amp;""</f>
        <v>18</v>
      </c>
      <c r="B19" s="106" t="str">
        <f>"B18_Assessment"</f>
        <v>B18_Assessment</v>
      </c>
      <c r="C19" s="106" t="str">
        <f>B18_Assessment!$F$2</f>
        <v>Yellow</v>
      </c>
      <c r="D19" s="142">
        <f>B18_Assessment!$H$2</f>
        <v>0.5</v>
      </c>
      <c r="E19" s="142">
        <f>IFERROR(B18_Assessment!$H$2,0)</f>
        <v>0.5</v>
      </c>
      <c r="F19" s="106" t="str">
        <f>B18_Assessment!$J$2</f>
        <v>No</v>
      </c>
      <c r="G19" s="106">
        <f>MAX(0,COUNTA(B18_Assessment!$A$10:$A$49)-COUNTIF(B18_Assessment!$A$10:$A$49,"*. *"))</f>
        <v>27</v>
      </c>
      <c r="H19" s="106">
        <f>IFERROR(B18_Assessment!$B$4,0)</f>
        <v>0</v>
      </c>
      <c r="I19" s="106">
        <f>IFERROR(B18_Assessment!$D$4,0)</f>
        <v>0</v>
      </c>
      <c r="J19" s="106">
        <f>SUMPRODUCT(--(ISNUMBER(SEARCH("-P",B18_Assessment!$A$1:$A$300&amp;""))),--((B18_Assessment!$I$1:$I$300="Open")+(B18_Assessment!$I$1:$I$300="In Progress")))</f>
        <v>0</v>
      </c>
      <c r="K19" s="106" t="str">
        <f>B18_Assessment!$B$5</f>
        <v>Verify</v>
      </c>
      <c r="L19" s="106" t="str">
        <f>B18_Assessment!$D$5</f>
        <v>Verify</v>
      </c>
      <c r="M19" s="106" t="str">
        <f>B18_Assessment!$F$5</f>
        <v>Verify</v>
      </c>
      <c r="N19" s="106" t="str">
        <f>B18_Assessment!$H$5</f>
        <v>Verify</v>
      </c>
      <c r="O19" s="106" t="str">
        <f>B18_Assessment!$J$5</f>
        <v>Verify</v>
      </c>
      <c r="P19" s="106" t="str">
        <f>B18_Assessment!$B$6</f>
        <v>Verify</v>
      </c>
      <c r="Q19" s="106" t="str">
        <f>B18_Assessment!$D$6</f>
        <v>Field verify Telecom Room 110, existing TE 111B, existing Closet 213, and all active services; confirm B18-TR110A/B panel sources, IU/CU-1-01 cooling, FEC, fire alarm/sprinkler impacts, cable tray route, PACS/CCTV scope, lead-paint/hazardous impacts, and cutover plan.</v>
      </c>
      <c r="R19" s="106" t="str">
        <f>B18_Assessment!$H$4</f>
        <v>Building 18 includes new first-level Telecom Room 110 and existing telecom transition rooms 111B and 213; field verification, active-service transfer, 208V UPS/PDU power, dedicated cooling, lead-paint/first-level hazardous material coordination, firestopping, cable tray, and PACS/CCTV integration remain open.</v>
      </c>
      <c r="S19" s="106">
        <f t="shared" si="0"/>
        <v>0</v>
      </c>
      <c r="T19" s="139">
        <f t="shared" si="1"/>
        <v>0</v>
      </c>
      <c r="U19" s="139">
        <f t="shared" si="2"/>
        <v>0</v>
      </c>
      <c r="V19" s="139" t="str">
        <f t="shared" si="3"/>
        <v>Monitor</v>
      </c>
      <c r="W19" s="139" t="str">
        <f t="shared" si="4"/>
        <v>Review</v>
      </c>
      <c r="X19" s="139">
        <f>IFERROR(B18_Assessment!$F$4,0)</f>
        <v>0</v>
      </c>
      <c r="Y19" s="143" t="str">
        <f t="shared" si="5"/>
        <v>Mapped</v>
      </c>
      <c r="Z19" s="338">
        <f t="shared" ca="1" si="20"/>
        <v>0.8</v>
      </c>
      <c r="AA19" s="196" t="str">
        <f t="shared" ca="1" si="6"/>
        <v>Partial / Verify</v>
      </c>
      <c r="AB19" s="338" t="str">
        <f t="shared" ca="1" si="7"/>
        <v/>
      </c>
      <c r="AC19" s="196" t="str">
        <f t="shared" ca="1" si="8"/>
        <v>Ready</v>
      </c>
      <c r="AD19" s="196" t="str">
        <f t="shared" ca="1" si="9"/>
        <v>Clear</v>
      </c>
      <c r="AE19" s="338">
        <f t="shared" ca="1" si="10"/>
        <v>0</v>
      </c>
      <c r="AF19" s="196" t="str">
        <f t="shared" ca="1" si="11"/>
        <v>Not Mapped</v>
      </c>
      <c r="AG19" s="338">
        <f ca="1">IFERROR(AVERAGE(INDEX(INDIRECT("'"&amp;$B19&amp;"'!$F:$F"),MATCH("Electrical",INDIRECT("'"&amp;$B19&amp;"'!$A:$A"),0)):INDEX(INDIRECT("'"&amp;$B19&amp;"'!$F:$F"),MATCH("Firestop",INDIRECT("'"&amp;$B19&amp;"'!$A:$A"),0))),0)</f>
        <v>0</v>
      </c>
      <c r="AH19" s="196" t="str">
        <f t="shared" ca="1" si="12"/>
        <v>Not Mapped</v>
      </c>
      <c r="AI19" s="338">
        <f t="shared" ca="1" si="13"/>
        <v>0</v>
      </c>
      <c r="AJ19" s="196" t="str">
        <f t="shared" ca="1" si="14"/>
        <v>Not Mapped</v>
      </c>
      <c r="AK19" s="196" t="str">
        <f t="shared" ca="1" si="15"/>
        <v>0 / 8 Complete</v>
      </c>
      <c r="AL19" s="196">
        <f t="shared" ca="1" si="16"/>
        <v>8</v>
      </c>
      <c r="AM19" s="196" t="str">
        <f t="shared" ca="1" si="17"/>
        <v>QA / Material Review</v>
      </c>
      <c r="AN19" s="196" t="str">
        <f t="shared" ca="1" si="18"/>
        <v>🔴 ATTENTION</v>
      </c>
      <c r="AO19" s="196" t="str">
        <f t="shared" ca="1" si="19"/>
        <v>Mapped</v>
      </c>
    </row>
    <row r="20" spans="1:41" ht="22.95" customHeight="1">
      <c r="A20" s="106" t="str">
        <f>B20_Assessment!$B$2&amp;""</f>
        <v>20</v>
      </c>
      <c r="B20" s="106" t="str">
        <f>"B20_Assessment"</f>
        <v>B20_Assessment</v>
      </c>
      <c r="C20" s="106" t="str">
        <f>B20_Assessment!$F$2</f>
        <v>Yellow</v>
      </c>
      <c r="D20" s="142">
        <f>B20_Assessment!$H$2</f>
        <v>0.5</v>
      </c>
      <c r="E20" s="142">
        <f>IFERROR(B20_Assessment!$H$2,0)</f>
        <v>0.5</v>
      </c>
      <c r="F20" s="106" t="str">
        <f>B20_Assessment!$J$2</f>
        <v>No</v>
      </c>
      <c r="G20" s="106">
        <f>MAX(0,COUNTA(B20_Assessment!$A$10:$A$49)-COUNTIF(B20_Assessment!$A$10:$A$49,"*. *"))</f>
        <v>26</v>
      </c>
      <c r="H20" s="106">
        <f>IFERROR(B20_Assessment!$B$4,0)</f>
        <v>0</v>
      </c>
      <c r="I20" s="106">
        <f>IFERROR(B20_Assessment!$D$4,0)</f>
        <v>0</v>
      </c>
      <c r="J20" s="106">
        <f>SUMPRODUCT(--(ISNUMBER(SEARCH("-P",B20_Assessment!$A$1:$A$300&amp;""))),--((B20_Assessment!$I$1:$I$300="Open")+(B20_Assessment!$I$1:$I$300="In Progress")))</f>
        <v>0</v>
      </c>
      <c r="K20" s="106" t="str">
        <f>B20_Assessment!$B$5</f>
        <v>Excluded / Verify Existing</v>
      </c>
      <c r="L20" s="106" t="str">
        <f>B20_Assessment!$D$5</f>
        <v>Verify</v>
      </c>
      <c r="M20" s="106" t="str">
        <f>B20_Assessment!$F$5</f>
        <v>Verify</v>
      </c>
      <c r="N20" s="106" t="str">
        <f>B20_Assessment!$H$5</f>
        <v>Excluded / Firestop Only</v>
      </c>
      <c r="O20" s="106" t="str">
        <f>B20_Assessment!$J$5</f>
        <v>Verify Existing</v>
      </c>
      <c r="P20" s="106" t="str">
        <f>B20_Assessment!$B$6</f>
        <v>Verify Existing</v>
      </c>
      <c r="Q20" s="106" t="str">
        <f>B20_Assessment!$D$6</f>
        <v>Field verify Office 1B new TE location, existing Tel/Data Closet 8A, active services, TE01-1B-1 schedule, existing open TE cabinet, existing ground bar/patch panel/equipment box/indoor AC/backboard, 459 ft cable tray route, 10 Cat6A cross-connect cables, power/UPS/PDU source, and fiber Path A/B cutover.</v>
      </c>
      <c r="R20" s="106" t="str">
        <f>B20_Assessment!$H$4</f>
        <v>Building 20 is a telecom-enclosure building, not a full TR buildout. Scope centers on new first-level Office 1B wall-mount TE enclosure and existing Tel/Data Closet 8A; mechanical and fire protection scope are excluded by the cover sheet, but field verification, active equipment transfer, fiber/copper cutover, cable tray, firestopping, power/UPS/PDU, and existing equipment protection remain open.</v>
      </c>
      <c r="S20" s="106">
        <f t="shared" si="0"/>
        <v>0</v>
      </c>
      <c r="T20" s="139">
        <f t="shared" si="1"/>
        <v>0</v>
      </c>
      <c r="U20" s="139">
        <f t="shared" si="2"/>
        <v>0</v>
      </c>
      <c r="V20" s="139" t="str">
        <f t="shared" si="3"/>
        <v>Monitor</v>
      </c>
      <c r="W20" s="139" t="str">
        <f t="shared" si="4"/>
        <v>Review</v>
      </c>
      <c r="X20" s="139">
        <f>IFERROR(B20_Assessment!$F$4,0)</f>
        <v>0</v>
      </c>
      <c r="Y20" s="143" t="str">
        <f t="shared" si="5"/>
        <v>Mapped</v>
      </c>
      <c r="Z20" s="338">
        <f t="shared" ca="1" si="20"/>
        <v>0.8</v>
      </c>
      <c r="AA20" s="196" t="str">
        <f t="shared" ca="1" si="6"/>
        <v>Partial / Verify</v>
      </c>
      <c r="AB20" s="338" t="str">
        <f t="shared" ca="1" si="7"/>
        <v/>
      </c>
      <c r="AC20" s="196" t="str">
        <f t="shared" ca="1" si="8"/>
        <v>Ready</v>
      </c>
      <c r="AD20" s="196" t="str">
        <f t="shared" ca="1" si="9"/>
        <v>Clear</v>
      </c>
      <c r="AE20" s="338">
        <f t="shared" ca="1" si="10"/>
        <v>0</v>
      </c>
      <c r="AF20" s="196" t="str">
        <f t="shared" ca="1" si="11"/>
        <v>Not Mapped</v>
      </c>
      <c r="AG20" s="338">
        <f ca="1">IFERROR(AVERAGE(INDEX(INDIRECT("'"&amp;$B20&amp;"'!$F:$F"),MATCH("Electrical",INDIRECT("'"&amp;$B20&amp;"'!$A:$A"),0)):INDEX(INDIRECT("'"&amp;$B20&amp;"'!$F:$F"),MATCH("Firestop",INDIRECT("'"&amp;$B20&amp;"'!$A:$A"),0))),0)</f>
        <v>0</v>
      </c>
      <c r="AH20" s="196" t="str">
        <f t="shared" ca="1" si="12"/>
        <v>Not Mapped</v>
      </c>
      <c r="AI20" s="338">
        <f t="shared" ca="1" si="13"/>
        <v>0</v>
      </c>
      <c r="AJ20" s="196" t="str">
        <f t="shared" ca="1" si="14"/>
        <v>Not Mapped</v>
      </c>
      <c r="AK20" s="196" t="str">
        <f t="shared" ca="1" si="15"/>
        <v>0 / 8 Complete</v>
      </c>
      <c r="AL20" s="196">
        <f t="shared" ca="1" si="16"/>
        <v>8</v>
      </c>
      <c r="AM20" s="196" t="str">
        <f t="shared" ca="1" si="17"/>
        <v>QA / Material Review</v>
      </c>
      <c r="AN20" s="196" t="str">
        <f t="shared" ca="1" si="18"/>
        <v>🔴 ATTENTION</v>
      </c>
      <c r="AO20" s="196" t="str">
        <f t="shared" ca="1" si="19"/>
        <v>Mapped</v>
      </c>
    </row>
    <row r="21" spans="1:41" ht="34.950000000000003" customHeight="1">
      <c r="A21" s="106" t="str">
        <f>B21_Assessment!$B$2&amp;""</f>
        <v>21</v>
      </c>
      <c r="B21" s="106" t="str">
        <f>"B21_Assessment"</f>
        <v>B21_Assessment</v>
      </c>
      <c r="C21" s="106" t="str">
        <f>B21_Assessment!$F$2</f>
        <v>Yellow</v>
      </c>
      <c r="D21" s="142">
        <f>B21_Assessment!$H$2</f>
        <v>0.5</v>
      </c>
      <c r="E21" s="142">
        <f>IFERROR(B21_Assessment!$H$2,0)</f>
        <v>0.5</v>
      </c>
      <c r="F21" s="106" t="str">
        <f>B21_Assessment!$J$2</f>
        <v>No</v>
      </c>
      <c r="G21" s="106">
        <f>MAX(0,COUNTA(B21_Assessment!$A$10:$A$49)-COUNTIF(B21_Assessment!$A$10:$A$49,"*. *"))</f>
        <v>27</v>
      </c>
      <c r="H21" s="106">
        <f>IFERROR(B21_Assessment!$B$4,0)</f>
        <v>0</v>
      </c>
      <c r="I21" s="106">
        <f>IFERROR(B21_Assessment!$D$4,0)</f>
        <v>0</v>
      </c>
      <c r="J21" s="106">
        <f>SUMPRODUCT(--(ISNUMBER(SEARCH("-P",B21_Assessment!$A$1:$A$300&amp;""))),--((B21_Assessment!$I$1:$I$300="Open")+(B21_Assessment!$I$1:$I$300="In Progress")))</f>
        <v>0</v>
      </c>
      <c r="K21" s="106" t="str">
        <f>B21_Assessment!$B$5</f>
        <v>Verify</v>
      </c>
      <c r="L21" s="106" t="str">
        <f>B21_Assessment!$D$5</f>
        <v>Verify</v>
      </c>
      <c r="M21" s="106" t="str">
        <f>B21_Assessment!$F$5</f>
        <v>Verify</v>
      </c>
      <c r="N21" s="106" t="str">
        <f>B21_Assessment!$H$5</f>
        <v>Excluded / Firestop Only</v>
      </c>
      <c r="O21" s="106" t="str">
        <f>B21_Assessment!$J$5</f>
        <v>Verify Existing</v>
      </c>
      <c r="P21" s="106" t="str">
        <f>B21_Assessment!$B$6</f>
        <v>Verify Existing</v>
      </c>
      <c r="Q21" s="106" t="str">
        <f>B21_Assessment!$D$6</f>
        <v>Field verify new TE location at M&amp;O Foreman Office 100A, existing B21 B1.TR, existing B19 B05TR, B19-serving-B21 relationship, active services, TR01-104-1 / 100-A schedule, 659 ft cable tray route, 10 Cat6A cross-connect cables, UPS/PDU source, fiber paths A/B, and all firestopping/penetrations.</v>
      </c>
      <c r="R21" s="106" t="str">
        <f>B21_Assessment!$H$4</f>
        <v>Building 21 is combined with Building 19 and is primarily a telecom-enclosure scope. New first-level M&amp;O Foreman Office 100A / RM 104 schedule is served by a new 12RU TE enclosure, while existing Building 21 B1.TR and Building 19 B05TR equipment remain transition points. Fire protection scope is excluded, but mechanical/electrical sheets exist for equipment support. Field verification, active-service transfer, 659 ft cable tray, firestopping, UPS/PDU power, fiber/copper cutover, and B19/B21 scope boundary remain open.</v>
      </c>
      <c r="S21" s="106">
        <f t="shared" si="0"/>
        <v>0</v>
      </c>
      <c r="T21" s="139">
        <f t="shared" si="1"/>
        <v>0</v>
      </c>
      <c r="U21" s="139">
        <f t="shared" si="2"/>
        <v>0</v>
      </c>
      <c r="V21" s="139" t="str">
        <f t="shared" si="3"/>
        <v>Monitor</v>
      </c>
      <c r="W21" s="139" t="str">
        <f t="shared" si="4"/>
        <v>Review</v>
      </c>
      <c r="X21" s="139">
        <f>IFERROR(B21_Assessment!$F$4,0)</f>
        <v>0</v>
      </c>
      <c r="Y21" s="143" t="str">
        <f t="shared" si="5"/>
        <v>Mapped</v>
      </c>
      <c r="Z21" s="338">
        <f t="shared" ca="1" si="20"/>
        <v>0.8</v>
      </c>
      <c r="AA21" s="196" t="str">
        <f t="shared" ca="1" si="6"/>
        <v>Partial / Verify</v>
      </c>
      <c r="AB21" s="338" t="str">
        <f t="shared" ca="1" si="7"/>
        <v/>
      </c>
      <c r="AC21" s="196" t="str">
        <f t="shared" ca="1" si="8"/>
        <v>Ready</v>
      </c>
      <c r="AD21" s="196" t="str">
        <f t="shared" ca="1" si="9"/>
        <v>Clear</v>
      </c>
      <c r="AE21" s="338">
        <f t="shared" ca="1" si="10"/>
        <v>0</v>
      </c>
      <c r="AF21" s="196" t="str">
        <f t="shared" ca="1" si="11"/>
        <v>Not Mapped</v>
      </c>
      <c r="AG21" s="338">
        <f ca="1">IFERROR(AVERAGE(INDEX(INDIRECT("'"&amp;$B21&amp;"'!$F:$F"),MATCH("Electrical",INDIRECT("'"&amp;$B21&amp;"'!$A:$A"),0)):INDEX(INDIRECT("'"&amp;$B21&amp;"'!$F:$F"),MATCH("Firestop",INDIRECT("'"&amp;$B21&amp;"'!$A:$A"),0))),0)</f>
        <v>0</v>
      </c>
      <c r="AH21" s="196" t="str">
        <f t="shared" ca="1" si="12"/>
        <v>Not Mapped</v>
      </c>
      <c r="AI21" s="338">
        <f t="shared" ca="1" si="13"/>
        <v>0</v>
      </c>
      <c r="AJ21" s="196" t="str">
        <f t="shared" ca="1" si="14"/>
        <v>Not Mapped</v>
      </c>
      <c r="AK21" s="196" t="str">
        <f t="shared" ca="1" si="15"/>
        <v>0 / 8 Complete</v>
      </c>
      <c r="AL21" s="196">
        <f t="shared" ca="1" si="16"/>
        <v>8</v>
      </c>
      <c r="AM21" s="196" t="str">
        <f t="shared" ca="1" si="17"/>
        <v>QA / Material Review</v>
      </c>
      <c r="AN21" s="196" t="str">
        <f t="shared" ca="1" si="18"/>
        <v>🔴 ATTENTION</v>
      </c>
      <c r="AO21" s="196" t="str">
        <f t="shared" ca="1" si="19"/>
        <v>Mapped</v>
      </c>
    </row>
    <row r="22" spans="1:41" ht="22.95" customHeight="1">
      <c r="A22" s="106" t="str">
        <f>B22_Assessment!$B$2&amp;""</f>
        <v>22</v>
      </c>
      <c r="B22" s="106" t="str">
        <f>"B22_Assessment"</f>
        <v>B22_Assessment</v>
      </c>
      <c r="C22" s="106" t="str">
        <f>B22_Assessment!$F$2</f>
        <v>Yellow</v>
      </c>
      <c r="D22" s="142">
        <f>B22_Assessment!$H$2</f>
        <v>0.5</v>
      </c>
      <c r="E22" s="142">
        <f>IFERROR(B22_Assessment!$H$2,0)</f>
        <v>0.5</v>
      </c>
      <c r="F22" s="106" t="str">
        <f>B22_Assessment!$J$2</f>
        <v>No</v>
      </c>
      <c r="G22" s="106">
        <f>MAX(0,COUNTA(B22_Assessment!$A$10:$A$49)-COUNTIF(B22_Assessment!$A$10:$A$49,"*. *"))</f>
        <v>26</v>
      </c>
      <c r="H22" s="106">
        <f>IFERROR(B22_Assessment!$B$4,0)</f>
        <v>0</v>
      </c>
      <c r="I22" s="106">
        <f>IFERROR(B22_Assessment!$D$4,0)</f>
        <v>0</v>
      </c>
      <c r="J22" s="106">
        <f>SUMPRODUCT(--(ISNUMBER(SEARCH("-P",B22_Assessment!$A$1:$A$300&amp;""))),--((B22_Assessment!$I$1:$I$300="Open")+(B22_Assessment!$I$1:$I$300="In Progress")))</f>
        <v>0</v>
      </c>
      <c r="K22" s="106" t="str">
        <f>B22_Assessment!$B$5</f>
        <v>Excluded / Verify Existing</v>
      </c>
      <c r="L22" s="106" t="str">
        <f>B22_Assessment!$D$5</f>
        <v>Verify</v>
      </c>
      <c r="M22" s="106" t="str">
        <f>B22_Assessment!$F$5</f>
        <v>Verify</v>
      </c>
      <c r="N22" s="106" t="str">
        <f>B22_Assessment!$H$5</f>
        <v>Excluded / Firestop Only</v>
      </c>
      <c r="O22" s="106" t="str">
        <f>B22_Assessment!$J$5</f>
        <v>Verify Existing</v>
      </c>
      <c r="P22" s="106" t="str">
        <f>B22_Assessment!$B$6</f>
        <v>Verify Existing</v>
      </c>
      <c r="Q22" s="106" t="str">
        <f>B22_Assessment!$D$6</f>
        <v>Field verify Break Room 102 new TE location, existing Room 103 wall/wall-mount TE, active services, TR01-102-1 schedule, 139 ft cable tray route, 10 Cat6A cross-connect cables, UPS/PDU source, fiber paths A/B, firestopping/sleeves, and existing B19 port relationship.</v>
      </c>
      <c r="R22" s="106" t="str">
        <f>B22_Assessment!$H$4</f>
        <v>Building 22 is a telecom-enclosure building with mechanical and fire protection scope excluded. Scope centers on new first-level Break Room 102 TE enclosure and existing first-level wall/wall-mount TE Room 103. Field verification, active service transfer, 139 ft cable tray, 10 Cat6A cross-connect cables, UPS/PDU power, firestopping, and B19 utility service relationship remain open.</v>
      </c>
      <c r="S22" s="106">
        <f t="shared" si="0"/>
        <v>0</v>
      </c>
      <c r="T22" s="139">
        <f t="shared" si="1"/>
        <v>0</v>
      </c>
      <c r="U22" s="139">
        <f t="shared" si="2"/>
        <v>0</v>
      </c>
      <c r="V22" s="139" t="str">
        <f t="shared" si="3"/>
        <v>Monitor</v>
      </c>
      <c r="W22" s="139" t="str">
        <f t="shared" si="4"/>
        <v>Review</v>
      </c>
      <c r="X22" s="139">
        <f>IFERROR(B22_Assessment!$F$4,0)</f>
        <v>0</v>
      </c>
      <c r="Y22" s="143" t="str">
        <f t="shared" si="5"/>
        <v>Mapped</v>
      </c>
      <c r="Z22" s="338">
        <f t="shared" ca="1" si="20"/>
        <v>0.8</v>
      </c>
      <c r="AA22" s="196" t="str">
        <f t="shared" ca="1" si="6"/>
        <v>Partial / Verify</v>
      </c>
      <c r="AB22" s="338" t="str">
        <f t="shared" ca="1" si="7"/>
        <v/>
      </c>
      <c r="AC22" s="196" t="str">
        <f t="shared" ca="1" si="8"/>
        <v>Ready</v>
      </c>
      <c r="AD22" s="196" t="str">
        <f t="shared" ca="1" si="9"/>
        <v>Clear</v>
      </c>
      <c r="AE22" s="338">
        <f t="shared" ca="1" si="10"/>
        <v>0</v>
      </c>
      <c r="AF22" s="196" t="str">
        <f t="shared" ca="1" si="11"/>
        <v>Not Mapped</v>
      </c>
      <c r="AG22" s="338">
        <f ca="1">IFERROR(AVERAGE(INDEX(INDIRECT("'"&amp;$B22&amp;"'!$F:$F"),MATCH("Electrical",INDIRECT("'"&amp;$B22&amp;"'!$A:$A"),0)):INDEX(INDIRECT("'"&amp;$B22&amp;"'!$F:$F"),MATCH("Firestop",INDIRECT("'"&amp;$B22&amp;"'!$A:$A"),0))),0)</f>
        <v>0</v>
      </c>
      <c r="AH22" s="196" t="str">
        <f t="shared" ca="1" si="12"/>
        <v>Not Mapped</v>
      </c>
      <c r="AI22" s="338">
        <f t="shared" ca="1" si="13"/>
        <v>0</v>
      </c>
      <c r="AJ22" s="196" t="str">
        <f t="shared" ca="1" si="14"/>
        <v>Not Mapped</v>
      </c>
      <c r="AK22" s="196" t="str">
        <f t="shared" ca="1" si="15"/>
        <v>0 / 8 Complete</v>
      </c>
      <c r="AL22" s="196">
        <f t="shared" ca="1" si="16"/>
        <v>8</v>
      </c>
      <c r="AM22" s="196" t="str">
        <f t="shared" ca="1" si="17"/>
        <v>QA / Material Review</v>
      </c>
      <c r="AN22" s="196" t="str">
        <f t="shared" ca="1" si="18"/>
        <v>🔴 ATTENTION</v>
      </c>
      <c r="AO22" s="196" t="str">
        <f t="shared" ca="1" si="19"/>
        <v>Mapped</v>
      </c>
    </row>
    <row r="23" spans="1:41" ht="29.1" customHeight="1">
      <c r="A23" s="106" t="str">
        <f>B33_Assessment!$B$2&amp;""</f>
        <v>33</v>
      </c>
      <c r="B23" s="106" t="str">
        <f>"B33_Assessment"</f>
        <v>B33_Assessment</v>
      </c>
      <c r="C23" s="106" t="str">
        <f>B33_Assessment!$F$2</f>
        <v>Yellow</v>
      </c>
      <c r="D23" s="142">
        <f>B33_Assessment!$H$2</f>
        <v>0.5</v>
      </c>
      <c r="E23" s="142">
        <f>IFERROR(B33_Assessment!$H$2,0)</f>
        <v>0.5</v>
      </c>
      <c r="F23" s="106" t="str">
        <f>B33_Assessment!$J$2</f>
        <v>No</v>
      </c>
      <c r="G23" s="106">
        <f>MAX(0,COUNTA(B33_Assessment!$A$10:$A$49)-COUNTIF(B33_Assessment!$A$10:$A$49,"*. *"))</f>
        <v>26</v>
      </c>
      <c r="H23" s="106">
        <f>IFERROR(B33_Assessment!$B$4,0)</f>
        <v>0</v>
      </c>
      <c r="I23" s="106">
        <f>IFERROR(B33_Assessment!$D$4,0)</f>
        <v>0</v>
      </c>
      <c r="J23" s="106">
        <f>SUMPRODUCT(--(ISNUMBER(SEARCH("-P",B33_Assessment!$A$1:$A$300&amp;""))),--((B33_Assessment!$I$1:$I$300="Open")+(B33_Assessment!$I$1:$I$300="In Progress")))</f>
        <v>0</v>
      </c>
      <c r="K23" s="106" t="str">
        <f>B33_Assessment!$B$5</f>
        <v>Excluded / Verify Existing</v>
      </c>
      <c r="L23" s="106" t="str">
        <f>B33_Assessment!$D$5</f>
        <v>Verify</v>
      </c>
      <c r="M23" s="106" t="str">
        <f>B33_Assessment!$F$5</f>
        <v>Verify</v>
      </c>
      <c r="N23" s="106" t="str">
        <f>B33_Assessment!$H$5</f>
        <v>Excluded / Firestop Only</v>
      </c>
      <c r="O23" s="106" t="str">
        <f>B33_Assessment!$J$5</f>
        <v>Verify Existing</v>
      </c>
      <c r="P23" s="106" t="str">
        <f>B33_Assessment!$B$6</f>
        <v>Verify Existing</v>
      </c>
      <c r="Q23" s="106" t="str">
        <f>B33_Assessment!$D$6</f>
        <v>Field verify EEO Manager Office B23 new TE location, existing Tel Closet B17, active services, TE01-B23-1 schedule, 102 ft basement cable tray route, 10 Cat6A cross-connect cables, UPS/PDU source, fiber paths A/B, firestopping/sleeves, existing camera/security devices, and B17 legacy port/service relationships.</v>
      </c>
      <c r="R23" s="106" t="str">
        <f>B33_Assessment!$H$4</f>
        <v>Building 33 is a telecom-enclosure building with mechanical and fire protection scope excluded. Scope centers on new basement EEO Manager Office B23 TE enclosure and existing Tel Closet B17. Field verification, active service transfer, 102 ft basement cable tray, 10 Cat6A cross-connect cables, UPS/PDU power, firestopping, fiber/copper cutover, and legacy service relationships to Buildings 3, 80 and 82 remain open.</v>
      </c>
      <c r="S23" s="106">
        <f t="shared" si="0"/>
        <v>0</v>
      </c>
      <c r="T23" s="139">
        <f t="shared" si="1"/>
        <v>0</v>
      </c>
      <c r="U23" s="139">
        <f t="shared" si="2"/>
        <v>0</v>
      </c>
      <c r="V23" s="139" t="str">
        <f t="shared" si="3"/>
        <v>Monitor</v>
      </c>
      <c r="W23" s="139" t="str">
        <f t="shared" si="4"/>
        <v>Review</v>
      </c>
      <c r="X23" s="139">
        <f>IFERROR(B33_Assessment!$F$4,0)</f>
        <v>0</v>
      </c>
      <c r="Y23" s="143" t="str">
        <f t="shared" si="5"/>
        <v>Mapped</v>
      </c>
      <c r="Z23" s="338">
        <f t="shared" ca="1" si="20"/>
        <v>0.8</v>
      </c>
      <c r="AA23" s="196" t="str">
        <f t="shared" ca="1" si="6"/>
        <v>Partial / Verify</v>
      </c>
      <c r="AB23" s="338" t="str">
        <f t="shared" ca="1" si="7"/>
        <v/>
      </c>
      <c r="AC23" s="196" t="str">
        <f t="shared" ca="1" si="8"/>
        <v>Ready</v>
      </c>
      <c r="AD23" s="196" t="str">
        <f t="shared" ca="1" si="9"/>
        <v>Clear</v>
      </c>
      <c r="AE23" s="338">
        <f t="shared" ca="1" si="10"/>
        <v>0</v>
      </c>
      <c r="AF23" s="196" t="str">
        <f t="shared" ca="1" si="11"/>
        <v>Not Mapped</v>
      </c>
      <c r="AG23" s="338">
        <f ca="1">IFERROR(AVERAGE(INDEX(INDIRECT("'"&amp;$B23&amp;"'!$F:$F"),MATCH("Electrical",INDIRECT("'"&amp;$B23&amp;"'!$A:$A"),0)):INDEX(INDIRECT("'"&amp;$B23&amp;"'!$F:$F"),MATCH("Firestop",INDIRECT("'"&amp;$B23&amp;"'!$A:$A"),0))),0)</f>
        <v>0</v>
      </c>
      <c r="AH23" s="196" t="str">
        <f t="shared" ca="1" si="12"/>
        <v>Not Mapped</v>
      </c>
      <c r="AI23" s="338">
        <f t="shared" ca="1" si="13"/>
        <v>0</v>
      </c>
      <c r="AJ23" s="196" t="str">
        <f t="shared" ca="1" si="14"/>
        <v>Not Mapped</v>
      </c>
      <c r="AK23" s="196" t="str">
        <f t="shared" ca="1" si="15"/>
        <v>0 / 8 Complete</v>
      </c>
      <c r="AL23" s="196">
        <f t="shared" ca="1" si="16"/>
        <v>8</v>
      </c>
      <c r="AM23" s="196" t="str">
        <f t="shared" ca="1" si="17"/>
        <v>QA / Material Review</v>
      </c>
      <c r="AN23" s="196" t="str">
        <f t="shared" ca="1" si="18"/>
        <v>🔴 ATTENTION</v>
      </c>
      <c r="AO23" s="196" t="str">
        <f t="shared" ca="1" si="19"/>
        <v>Mapped</v>
      </c>
    </row>
    <row r="24" spans="1:41" ht="34.950000000000003" customHeight="1">
      <c r="A24" s="106" t="str">
        <f>B61_Assessment!$B$2&amp;""</f>
        <v>61</v>
      </c>
      <c r="B24" s="106" t="str">
        <f>"B61_Assessment"</f>
        <v>B61_Assessment</v>
      </c>
      <c r="C24" s="106" t="str">
        <f>B61_Assessment!$F$2</f>
        <v>PILOT PHASE</v>
      </c>
      <c r="D24" s="142">
        <f>B61_Assessment!$H$2</f>
        <v>0.55000000000000004</v>
      </c>
      <c r="E24" s="142">
        <f>IFERROR(B61_Assessment!$H$2,0)</f>
        <v>0.55000000000000004</v>
      </c>
      <c r="F24" s="106" t="str">
        <f>B61_Assessment!$J$2</f>
        <v>YES</v>
      </c>
      <c r="G24" s="106">
        <f>MAX(0,COUNTA(B61_Assessment!$A$10:$A$49)-COUNTIF(B61_Assessment!$A$10:$A$49,"*. *"))</f>
        <v>29</v>
      </c>
      <c r="H24" s="106">
        <f>IFERROR(B61_Assessment!$B$4,0)</f>
        <v>0</v>
      </c>
      <c r="I24" s="106">
        <f>IFERROR(B61_Assessment!$D$4,0)</f>
        <v>0</v>
      </c>
      <c r="J24" s="106">
        <f>SUMPRODUCT(--(ISNUMBER(SEARCH("-P",B61_Assessment!$A$1:$A$368&amp;""))),--((B61_Assessment!$I$1:$I$368="Open")+(B61_Assessment!$I$1:$I$368="In Progress")))</f>
        <v>0</v>
      </c>
      <c r="K24" s="106" t="str">
        <f>B61_Assessment!$B$5</f>
        <v>Not Started</v>
      </c>
      <c r="L24" s="106" t="str">
        <f>B61_Assessment!$D$5</f>
        <v>Not Started</v>
      </c>
      <c r="M24" s="106" t="str">
        <f>B61_Assessment!$F$5</f>
        <v>Not Started</v>
      </c>
      <c r="N24" s="106" t="str">
        <f>B61_Assessment!$H$5</f>
        <v>Not Started</v>
      </c>
      <c r="O24" s="106" t="str">
        <f>B61_Assessment!$J$5</f>
        <v>Not Started</v>
      </c>
      <c r="P24" s="106" t="str">
        <f>B61_Assessment!$B$6</f>
        <v>Not Started</v>
      </c>
      <c r="Q24" s="106" t="str">
        <f>B61_Assessment!$D$6</f>
        <v>Field verify B13H-A, 124, 226, and existing 137/137A; confirm active services, rack/equipment transfer, B61-TRB13A/B, B61-TR124A/B, B61-TR226A/B, B61-TR137AA/AB panel sources, IU/CU equipment, fire alarm/sprinkler impacts, FEC locations, PACS/CCTV scope, hazardous/abatement impacts, 1,966 ft cable tray routes, and cutover sequence.</v>
      </c>
      <c r="R24" s="106" t="str">
        <f>B61_Assessment!$H$4</f>
        <v>Building 61 is a large full-scope TR building with hazardous abatement, architectural, fire protection, plumbing, mechanical, electrical, security, telecom, server/demarc and rack elevation scope. Primary new telecom rooms include basement B13H-A, first-level 124, second-level 226, and existing Room 137/137A demarc/server equipment. Major open issues include active-service cutover, dedicated cooling IU/CU-0-01/1-01/2-01, panel source coordination, rack UPS/PDU power, cable tray coordination, firestopping, PACS/CCTV, and turnover testing.</v>
      </c>
      <c r="S24" s="106">
        <f t="shared" si="0"/>
        <v>0</v>
      </c>
      <c r="T24" s="139">
        <f t="shared" si="1"/>
        <v>0</v>
      </c>
      <c r="U24" s="139">
        <f t="shared" si="2"/>
        <v>0</v>
      </c>
      <c r="V24" s="139" t="str">
        <f t="shared" si="3"/>
        <v>Monitor</v>
      </c>
      <c r="W24" s="139" t="str">
        <f t="shared" si="4"/>
        <v>Ready</v>
      </c>
      <c r="X24" s="139">
        <f>IFERROR(B61_Assessment!$F$4,0)</f>
        <v>0</v>
      </c>
      <c r="Y24" s="143" t="str">
        <f t="shared" si="5"/>
        <v>Mapped</v>
      </c>
      <c r="Z24" s="338">
        <f t="shared" ca="1" si="20"/>
        <v>0</v>
      </c>
      <c r="AA24" s="196" t="str">
        <f t="shared" ca="1" si="6"/>
        <v>Not Mapped</v>
      </c>
      <c r="AB24" s="338" t="str">
        <f t="shared" ca="1" si="7"/>
        <v/>
      </c>
      <c r="AC24" s="196" t="str">
        <f t="shared" ca="1" si="8"/>
        <v>Ready</v>
      </c>
      <c r="AD24" s="196" t="str">
        <f t="shared" ca="1" si="9"/>
        <v>Clear</v>
      </c>
      <c r="AE24" s="338">
        <f t="shared" ca="1" si="10"/>
        <v>0</v>
      </c>
      <c r="AF24" s="196" t="str">
        <f t="shared" ca="1" si="11"/>
        <v>Not Mapped</v>
      </c>
      <c r="AG24" s="338">
        <f ca="1">IFERROR(AVERAGE(INDEX(INDIRECT("'"&amp;$B24&amp;"'!$F:$F"),MATCH("Electrical",INDIRECT("'"&amp;$B24&amp;"'!$A:$A"),0)):INDEX(INDIRECT("'"&amp;$B24&amp;"'!$F:$F"),MATCH("Firestop",INDIRECT("'"&amp;$B24&amp;"'!$A:$A"),0))),0)</f>
        <v>0</v>
      </c>
      <c r="AH24" s="196" t="str">
        <f t="shared" ca="1" si="12"/>
        <v>Not Mapped</v>
      </c>
      <c r="AI24" s="338" t="str">
        <f t="shared" ca="1" si="13"/>
        <v/>
      </c>
      <c r="AJ24" s="196" t="str">
        <f t="shared" ca="1" si="14"/>
        <v>Ready for Turnover</v>
      </c>
      <c r="AK24" s="196" t="str">
        <f t="shared" ca="1" si="15"/>
        <v>0 / 8 Complete</v>
      </c>
      <c r="AL24" s="196">
        <f t="shared" ca="1" si="16"/>
        <v>8</v>
      </c>
      <c r="AM24" s="196" t="str">
        <f t="shared" ca="1" si="17"/>
        <v>Recommend Turnover</v>
      </c>
      <c r="AN24" s="196" t="str">
        <f t="shared" ca="1" si="18"/>
        <v>🟢 READY</v>
      </c>
      <c r="AO24" s="196" t="str">
        <f t="shared" ca="1" si="19"/>
        <v>Mapped</v>
      </c>
    </row>
    <row r="25" spans="1:41" ht="84">
      <c r="A25" s="106" t="str">
        <f>B62_TR_Assessment!$B$2&amp;""</f>
        <v>62</v>
      </c>
      <c r="B25" s="106" t="str">
        <f>"B62_TR_Assessment"</f>
        <v>B62_TR_Assessment</v>
      </c>
      <c r="C25" s="106" t="str">
        <f>B62_TR_Assessment!$F$2</f>
        <v>Yellow</v>
      </c>
      <c r="D25" s="142">
        <f>B62_TR_Assessment!$H$2</f>
        <v>0.5</v>
      </c>
      <c r="E25" s="142">
        <f>IFERROR(B62_TR_Assessment!$H$2,0)</f>
        <v>0.5</v>
      </c>
      <c r="F25" s="106" t="str">
        <f>B62_TR_Assessment!$J$2</f>
        <v>No</v>
      </c>
      <c r="G25" s="106">
        <f>MAX(0,COUNTA(B62_TR_Assessment!$A$10:$A$49)-COUNTIF(B62_TR_Assessment!$A$10:$A$49,"*. *"))</f>
        <v>23</v>
      </c>
      <c r="H25" s="106">
        <f>IFERROR(B62_TR_Assessment!$B$4,0)</f>
        <v>0</v>
      </c>
      <c r="I25" s="106">
        <f>IFERROR(B61_Assessment!$D$4,0)</f>
        <v>0</v>
      </c>
      <c r="J25" s="106">
        <f>SUMPRODUCT(--(ISNUMBER(SEARCH("-P",B62_TR_Assessment!$A$1:$A$300&amp;""))),--((B62_TR_Assessment!$I$1:$I$300="Open")+(B62_TR_Assessment!$I$1:$I$300="In Progress")))</f>
        <v>0</v>
      </c>
      <c r="K25" s="106" t="str">
        <f>B62_TR_Assessment!$B$5</f>
        <v>Verify</v>
      </c>
      <c r="L25" s="106" t="str">
        <f>B62_TR_Assessment!$D$5</f>
        <v>Verify</v>
      </c>
      <c r="M25" s="106" t="str">
        <f>B62_TR_Assessment!$F$5</f>
        <v>Verify</v>
      </c>
      <c r="N25" s="106" t="str">
        <f>B62_TR_Assessment!$H$5</f>
        <v>Verify</v>
      </c>
      <c r="O25" s="106" t="str">
        <f>B62_TR_Assessment!$J$5</f>
        <v>Verify</v>
      </c>
      <c r="P25" s="106" t="str">
        <f>B62_TR_Assessment!$B$6</f>
        <v>Verify</v>
      </c>
      <c r="Q25" s="106" t="str">
        <f>B62_TR_Assessment!$D$6</f>
        <v>Verify cooling power path, firestopping, extinguisher location, and existing conditions</v>
      </c>
      <c r="R25" s="106" t="str">
        <f>B62_TR_Assessment!$H$4</f>
        <v>Cooling / emergency power not verified</v>
      </c>
      <c r="S25" s="106">
        <f t="shared" si="0"/>
        <v>0</v>
      </c>
      <c r="T25" s="139">
        <f t="shared" si="1"/>
        <v>0</v>
      </c>
      <c r="U25" s="139">
        <f t="shared" si="2"/>
        <v>0</v>
      </c>
      <c r="V25" s="139" t="str">
        <f t="shared" si="3"/>
        <v>Monitor</v>
      </c>
      <c r="W25" s="139" t="str">
        <f t="shared" si="4"/>
        <v>Review</v>
      </c>
      <c r="X25" s="139">
        <f>IFERROR(B62_TR_Assessment!$F$4,0)</f>
        <v>0</v>
      </c>
      <c r="Y25" s="143" t="str">
        <f t="shared" si="5"/>
        <v>Mapped</v>
      </c>
      <c r="Z25" s="338">
        <f t="shared" ca="1" si="20"/>
        <v>0.8</v>
      </c>
      <c r="AA25" s="196" t="str">
        <f t="shared" ca="1" si="6"/>
        <v>Partial / Verify</v>
      </c>
      <c r="AB25" s="338" t="str">
        <f t="shared" ca="1" si="7"/>
        <v/>
      </c>
      <c r="AC25" s="196" t="str">
        <f t="shared" ca="1" si="8"/>
        <v>Ready</v>
      </c>
      <c r="AD25" s="196" t="str">
        <f t="shared" ca="1" si="9"/>
        <v>Clear</v>
      </c>
      <c r="AE25" s="338">
        <f t="shared" ca="1" si="10"/>
        <v>0</v>
      </c>
      <c r="AF25" s="196" t="str">
        <f t="shared" ca="1" si="11"/>
        <v>Not Mapped</v>
      </c>
      <c r="AG25" s="338">
        <f ca="1">IFERROR(AVERAGE(INDEX(INDIRECT("'"&amp;$B25&amp;"'!$F:$F"),MATCH("Electrical",INDIRECT("'"&amp;$B25&amp;"'!$A:$A"),0)):INDEX(INDIRECT("'"&amp;$B25&amp;"'!$F:$F"),MATCH("Firestop",INDIRECT("'"&amp;$B25&amp;"'!$A:$A"),0))),0)</f>
        <v>0</v>
      </c>
      <c r="AH25" s="196" t="str">
        <f t="shared" ca="1" si="12"/>
        <v>Not Mapped</v>
      </c>
      <c r="AI25" s="338">
        <f t="shared" ca="1" si="13"/>
        <v>0</v>
      </c>
      <c r="AJ25" s="196" t="str">
        <f t="shared" ca="1" si="14"/>
        <v>Not Mapped</v>
      </c>
      <c r="AK25" s="196" t="str">
        <f t="shared" ca="1" si="15"/>
        <v>0 / 8 Complete</v>
      </c>
      <c r="AL25" s="196">
        <f t="shared" ca="1" si="16"/>
        <v>8</v>
      </c>
      <c r="AM25" s="196" t="str">
        <f t="shared" ca="1" si="17"/>
        <v>QA / Material Review</v>
      </c>
      <c r="AN25" s="196" t="str">
        <f t="shared" ca="1" si="18"/>
        <v>🔴 ATTENTION</v>
      </c>
      <c r="AO25" s="196" t="str">
        <f t="shared" ca="1" si="19"/>
        <v>Mapped</v>
      </c>
    </row>
    <row r="26" spans="1:41" ht="84">
      <c r="A26" s="106" t="str">
        <f>B70_TR_Assessment!$B$2&amp;""</f>
        <v>70</v>
      </c>
      <c r="B26" s="106" t="str">
        <f>"B70_TR_Assessment"</f>
        <v>B70_TR_Assessment</v>
      </c>
      <c r="C26" s="106" t="str">
        <f>B70_TR_Assessment!$F$2</f>
        <v>Yellow</v>
      </c>
      <c r="D26" s="142">
        <f>B70_TR_Assessment!$H$2</f>
        <v>0.5</v>
      </c>
      <c r="E26" s="142">
        <f>IFERROR(B70_TR_Assessment!$H$2,0)</f>
        <v>0.5</v>
      </c>
      <c r="F26" s="106" t="str">
        <f>B70_TR_Assessment!$J$2</f>
        <v>No</v>
      </c>
      <c r="G26" s="106">
        <f>MAX(0,COUNTA(B70_TR_Assessment!$A$10:$A$49)-COUNTIF(B70_TR_Assessment!$A$10:$A$49,"*. *"))</f>
        <v>23</v>
      </c>
      <c r="H26" s="106">
        <f>IFERROR(B70_TR_Assessment!$B$4,0)</f>
        <v>0</v>
      </c>
      <c r="I26" s="106">
        <f>IFERROR(B61_Assessment!$D$4,0)</f>
        <v>0</v>
      </c>
      <c r="J26" s="106">
        <f>SUMPRODUCT(--(ISNUMBER(SEARCH("-P",B70_TR_Assessment!$A$1:$A$354&amp;""))),--((B70_TR_Assessment!$I$1:$I$354="Open")+(B70_TR_Assessment!$I$1:$I$354="In Progress")))</f>
        <v>0</v>
      </c>
      <c r="K26" s="106" t="str">
        <f>B70_TR_Assessment!$B$5</f>
        <v>Verify</v>
      </c>
      <c r="L26" s="106" t="str">
        <f>B70_TR_Assessment!$D$5</f>
        <v>Verify</v>
      </c>
      <c r="M26" s="106" t="str">
        <f>B70_TR_Assessment!$F$5</f>
        <v>Verify</v>
      </c>
      <c r="N26" s="106" t="str">
        <f>B70_TR_Assessment!$H$5</f>
        <v>Verify</v>
      </c>
      <c r="O26" s="106" t="str">
        <f>B70_TR_Assessment!$J$5</f>
        <v>Verify</v>
      </c>
      <c r="P26" s="106" t="str">
        <f>B70_TR_Assessment!$B$6</f>
        <v>Verify</v>
      </c>
      <c r="Q26" s="106" t="str">
        <f>B70_TR_Assessment!$D$6</f>
        <v>Verify cooling power path, firestopping, extinguisher locations, and migration phasing</v>
      </c>
      <c r="R26" s="106" t="str">
        <f>B70_TR_Assessment!$H$4</f>
        <v>Cooling / emergency power and existing TR phasing not verified</v>
      </c>
      <c r="S26" s="106">
        <f t="shared" si="0"/>
        <v>0</v>
      </c>
      <c r="T26" s="139">
        <f t="shared" si="1"/>
        <v>0</v>
      </c>
      <c r="U26" s="139">
        <f t="shared" si="2"/>
        <v>0</v>
      </c>
      <c r="V26" s="139" t="str">
        <f t="shared" si="3"/>
        <v>Monitor</v>
      </c>
      <c r="W26" s="139" t="str">
        <f t="shared" si="4"/>
        <v>Review</v>
      </c>
      <c r="X26" s="139">
        <f>IFERROR(B70_TR_Assessment!$F$4,0)</f>
        <v>0</v>
      </c>
      <c r="Y26" s="143" t="str">
        <f t="shared" si="5"/>
        <v>Mapped</v>
      </c>
      <c r="Z26" s="338">
        <f t="shared" ca="1" si="20"/>
        <v>0.8</v>
      </c>
      <c r="AA26" s="196" t="str">
        <f t="shared" ca="1" si="6"/>
        <v>Partial / Verify</v>
      </c>
      <c r="AB26" s="338" t="str">
        <f t="shared" ca="1" si="7"/>
        <v/>
      </c>
      <c r="AC26" s="196" t="str">
        <f t="shared" ca="1" si="8"/>
        <v>Ready</v>
      </c>
      <c r="AD26" s="196" t="str">
        <f t="shared" ca="1" si="9"/>
        <v>Clear</v>
      </c>
      <c r="AE26" s="338">
        <f t="shared" ca="1" si="10"/>
        <v>0</v>
      </c>
      <c r="AF26" s="196" t="str">
        <f t="shared" ca="1" si="11"/>
        <v>Not Mapped</v>
      </c>
      <c r="AG26" s="338">
        <f ca="1">IFERROR(AVERAGE(INDEX(INDIRECT("'"&amp;$B26&amp;"'!$F:$F"),MATCH("Electrical",INDIRECT("'"&amp;$B26&amp;"'!$A:$A"),0)):INDEX(INDIRECT("'"&amp;$B26&amp;"'!$F:$F"),MATCH("Firestop",INDIRECT("'"&amp;$B26&amp;"'!$A:$A"),0))),0)</f>
        <v>0</v>
      </c>
      <c r="AH26" s="196" t="str">
        <f t="shared" ca="1" si="12"/>
        <v>Not Mapped</v>
      </c>
      <c r="AI26" s="338">
        <f t="shared" ca="1" si="13"/>
        <v>0</v>
      </c>
      <c r="AJ26" s="196" t="str">
        <f t="shared" ca="1" si="14"/>
        <v>Not Mapped</v>
      </c>
      <c r="AK26" s="196" t="str">
        <f t="shared" ca="1" si="15"/>
        <v>0 / 8 Complete</v>
      </c>
      <c r="AL26" s="196">
        <f t="shared" ca="1" si="16"/>
        <v>8</v>
      </c>
      <c r="AM26" s="196" t="str">
        <f t="shared" ca="1" si="17"/>
        <v>QA / Material Review</v>
      </c>
      <c r="AN26" s="196" t="str">
        <f t="shared" ca="1" si="18"/>
        <v>🔴 ATTENTION</v>
      </c>
      <c r="AO26" s="196" t="str">
        <f t="shared" ca="1" si="19"/>
        <v>Mapped</v>
      </c>
    </row>
    <row r="27" spans="1:41" ht="29.1" customHeight="1">
      <c r="A27" s="106" t="str">
        <f>B78_Assessment!$B$2&amp;""</f>
        <v>78</v>
      </c>
      <c r="B27" s="106" t="str">
        <f>"B78_Assessment"</f>
        <v>B78_Assessment</v>
      </c>
      <c r="C27" s="106" t="str">
        <f>B78_Assessment!$F$2</f>
        <v>Yellow</v>
      </c>
      <c r="D27" s="142">
        <f>B78_Assessment!$H$2</f>
        <v>0.5</v>
      </c>
      <c r="E27" s="142">
        <f>IFERROR(B78_Assessment!$H$2,0)</f>
        <v>0.5</v>
      </c>
      <c r="F27" s="106" t="str">
        <f>B78_Assessment!$J$2</f>
        <v>No</v>
      </c>
      <c r="G27" s="106">
        <f>MAX(0,COUNTA(B78_Assessment!$A$10:$A$49)-COUNTIF(B78_Assessment!$A$10:$A$49,"*. *"))</f>
        <v>32</v>
      </c>
      <c r="H27" s="106">
        <f>IFERROR(B78_Assessment!$B$4,0)</f>
        <v>0</v>
      </c>
      <c r="I27" s="106">
        <f>IFERROR(B78_Assessment!$D$4,0)</f>
        <v>0</v>
      </c>
      <c r="J27" s="106">
        <f>SUMPRODUCT(--(ISNUMBER(SEARCH("-P",B78_Assessment!$A$1:$A$300&amp;""))),--((B78_Assessment!$I$1:$I$300="Open")+(B78_Assessment!$I$1:$I$300="In Progress")))</f>
        <v>0</v>
      </c>
      <c r="K27" s="106" t="str">
        <f>B78_Assessment!$B$5</f>
        <v>Verify</v>
      </c>
      <c r="L27" s="106" t="str">
        <f>B78_Assessment!$D$5</f>
        <v>Verify</v>
      </c>
      <c r="M27" s="106" t="str">
        <f>B78_Assessment!$F$5</f>
        <v>Verify</v>
      </c>
      <c r="N27" s="106" t="str">
        <f>B78_Assessment!$H$5</f>
        <v>Verify</v>
      </c>
      <c r="O27" s="106" t="str">
        <f>B78_Assessment!$J$5</f>
        <v>Verify</v>
      </c>
      <c r="P27" s="106" t="str">
        <f>B78_Assessment!$B$6</f>
        <v>Verify</v>
      </c>
      <c r="Q27" s="106" t="str">
        <f>B78_Assessment!$D$6</f>
        <v>Field verify rooms B30, B35, 1232, 227A, 342, 401 and existing telecom rooms 15E, 1234, 353, 308A, 408A; confirm active equipment, rack transfers, HVAC units, panel sources, UPS/PDU power, FEC locations, FA/FP modifications, PACS/CCTV, hazardous material impacts, cable tray routes, firestopping, and cutover sequence.</v>
      </c>
      <c r="R27" s="106" t="str">
        <f>B78_Assessment!$H$4</f>
        <v>Building 78/78A is a very large full-scope TR building with basement through fourth-level telecom rooms, existing telecom rooms, hazardous abatement, architectural, fire protection, mechanical, electrical, security, telecom, rack elevations and photo references. Major open issues include active service cutover, dedicated HVAC validation, panel/UPS/PDU coordination, 4,849 ft cable tray routes, firestopping, PACS/CCTV, existing rack transfers, and turnover testing.</v>
      </c>
      <c r="S27" s="106">
        <f t="shared" si="0"/>
        <v>0</v>
      </c>
      <c r="T27" s="139">
        <f t="shared" si="1"/>
        <v>0</v>
      </c>
      <c r="U27" s="139">
        <f t="shared" si="2"/>
        <v>0</v>
      </c>
      <c r="V27" s="139" t="str">
        <f t="shared" si="3"/>
        <v>Monitor</v>
      </c>
      <c r="W27" s="139" t="str">
        <f t="shared" si="4"/>
        <v>Review</v>
      </c>
      <c r="X27" s="139">
        <f>IFERROR(B78_Assessment!$F$4,0)</f>
        <v>0</v>
      </c>
      <c r="Y27" s="143" t="str">
        <f t="shared" si="5"/>
        <v>Mapped</v>
      </c>
      <c r="Z27" s="338">
        <f t="shared" ca="1" si="20"/>
        <v>0.8</v>
      </c>
      <c r="AA27" s="196" t="str">
        <f t="shared" ca="1" si="6"/>
        <v>Partial / Verify</v>
      </c>
      <c r="AB27" s="338" t="str">
        <f t="shared" ca="1" si="7"/>
        <v/>
      </c>
      <c r="AC27" s="196" t="str">
        <f t="shared" ca="1" si="8"/>
        <v>Ready</v>
      </c>
      <c r="AD27" s="196" t="str">
        <f t="shared" ca="1" si="9"/>
        <v>Clear</v>
      </c>
      <c r="AE27" s="338">
        <f t="shared" ca="1" si="10"/>
        <v>0</v>
      </c>
      <c r="AF27" s="196" t="str">
        <f t="shared" ca="1" si="11"/>
        <v>Not Mapped</v>
      </c>
      <c r="AG27" s="338">
        <f ca="1">IFERROR(AVERAGE(INDEX(INDIRECT("'"&amp;$B27&amp;"'!$F:$F"),MATCH("Electrical",INDIRECT("'"&amp;$B27&amp;"'!$A:$A"),0)):INDEX(INDIRECT("'"&amp;$B27&amp;"'!$F:$F"),MATCH("Firestop",INDIRECT("'"&amp;$B27&amp;"'!$A:$A"),0))),0)</f>
        <v>0</v>
      </c>
      <c r="AH27" s="196" t="str">
        <f t="shared" ca="1" si="12"/>
        <v>Not Mapped</v>
      </c>
      <c r="AI27" s="338">
        <f t="shared" ca="1" si="13"/>
        <v>0</v>
      </c>
      <c r="AJ27" s="196" t="str">
        <f t="shared" ca="1" si="14"/>
        <v>Not Mapped</v>
      </c>
      <c r="AK27" s="196" t="str">
        <f t="shared" ca="1" si="15"/>
        <v>0 / 8 Complete</v>
      </c>
      <c r="AL27" s="196">
        <f t="shared" ca="1" si="16"/>
        <v>8</v>
      </c>
      <c r="AM27" s="196" t="str">
        <f t="shared" ca="1" si="17"/>
        <v>QA / Material Review</v>
      </c>
      <c r="AN27" s="196" t="str">
        <f t="shared" ca="1" si="18"/>
        <v>🔴 ATTENTION</v>
      </c>
      <c r="AO27" s="196" t="str">
        <f t="shared" ca="1" si="19"/>
        <v>Mapped</v>
      </c>
    </row>
    <row r="28" spans="1:41" ht="22.95" customHeight="1">
      <c r="A28" s="106" t="str">
        <f>B80_Assessment!$B$2&amp;""</f>
        <v>80</v>
      </c>
      <c r="B28" s="106" t="str">
        <f>"B80_Assessment"</f>
        <v>B80_Assessment</v>
      </c>
      <c r="C28" s="106" t="str">
        <f>B80_Assessment!$F$2</f>
        <v>Yellow</v>
      </c>
      <c r="D28" s="142">
        <f>B80_Assessment!$H$2</f>
        <v>0.5</v>
      </c>
      <c r="E28" s="142">
        <f>IFERROR(B80_Assessment!$H$2,0)</f>
        <v>0.5</v>
      </c>
      <c r="F28" s="106" t="str">
        <f>B80_Assessment!$J$2</f>
        <v>No</v>
      </c>
      <c r="G28" s="106">
        <f>MAX(0,COUNTA(B80_Assessment!$A$10:$A$49)-COUNTIF(B80_Assessment!$A$10:$A$49,"*. *"))</f>
        <v>26</v>
      </c>
      <c r="H28" s="106">
        <f>IFERROR(B80_Assessment!$B$4,0)</f>
        <v>0</v>
      </c>
      <c r="I28" s="106">
        <f>IFERROR(B80_Assessment!$D$4,0)</f>
        <v>0</v>
      </c>
      <c r="J28" s="106">
        <f>SUMPRODUCT(--(ISNUMBER(SEARCH("-P",B80_Assessment!$A$1:$A$300&amp;""))),--((B80_Assessment!$I$1:$I$300="Open")+(B80_Assessment!$I$1:$I$300="In Progress")))</f>
        <v>0</v>
      </c>
      <c r="K28" s="106" t="str">
        <f>B80_Assessment!$B$5</f>
        <v>Verify</v>
      </c>
      <c r="L28" s="106" t="str">
        <f>B80_Assessment!$D$5</f>
        <v>Verify</v>
      </c>
      <c r="M28" s="106" t="str">
        <f>B80_Assessment!$F$5</f>
        <v>Verify</v>
      </c>
      <c r="N28" s="106" t="str">
        <f>B80_Assessment!$H$5</f>
        <v>Verify</v>
      </c>
      <c r="O28" s="106" t="str">
        <f>B80_Assessment!$J$5</f>
        <v>Verify</v>
      </c>
      <c r="P28" s="106" t="str">
        <f>B80_Assessment!$B$6</f>
        <v>Verify</v>
      </c>
      <c r="Q28" s="106" t="str">
        <f>B80_Assessment!$D$6</f>
        <v>Field verify Telecom Room 102 and existing 127A/126; confirm active services, existing rack/equipment transfer, B80-TR102A/B panel sources, IU-1-01/CU-1-01 cooling, fire alarm/sprinkler impacts, FEC location, PACS/CCTV scope, cable tray route, and telecom cutover sequence.</v>
      </c>
      <c r="R28" s="106" t="str">
        <f>B80_Assessment!$H$4</f>
        <v>Building 80 includes a new first-level Telecom Room 102 and existing Tel Closet 127A / photo-reference Room 126 transition point. Field verification, active equipment transfer, dedicated cooling IU-1-01/CU-1-01, B80-TR102A/B power, 811 ft cable tray, firestopping, PACS/CCTV, existing two-post rack migration, and room-number mapping remain open.</v>
      </c>
      <c r="S28" s="106">
        <f t="shared" si="0"/>
        <v>0</v>
      </c>
      <c r="T28" s="139">
        <f t="shared" si="1"/>
        <v>0</v>
      </c>
      <c r="U28" s="139">
        <f t="shared" si="2"/>
        <v>0</v>
      </c>
      <c r="V28" s="139" t="str">
        <f t="shared" si="3"/>
        <v>Monitor</v>
      </c>
      <c r="W28" s="139" t="str">
        <f t="shared" si="4"/>
        <v>Review</v>
      </c>
      <c r="X28" s="139">
        <f>IFERROR(B80_Assessment!$F$4,0)</f>
        <v>0</v>
      </c>
      <c r="Y28" s="143" t="str">
        <f t="shared" si="5"/>
        <v>Mapped</v>
      </c>
      <c r="Z28" s="338">
        <f t="shared" ca="1" si="20"/>
        <v>0.8</v>
      </c>
      <c r="AA28" s="196" t="str">
        <f t="shared" ca="1" si="6"/>
        <v>Partial / Verify</v>
      </c>
      <c r="AB28" s="338" t="str">
        <f t="shared" ca="1" si="7"/>
        <v/>
      </c>
      <c r="AC28" s="196" t="str">
        <f t="shared" ca="1" si="8"/>
        <v>Ready</v>
      </c>
      <c r="AD28" s="196" t="str">
        <f t="shared" ca="1" si="9"/>
        <v>Clear</v>
      </c>
      <c r="AE28" s="338">
        <f t="shared" ca="1" si="10"/>
        <v>0</v>
      </c>
      <c r="AF28" s="196" t="str">
        <f t="shared" ca="1" si="11"/>
        <v>Not Mapped</v>
      </c>
      <c r="AG28" s="338">
        <f ca="1">IFERROR(AVERAGE(INDEX(INDIRECT("'"&amp;$B28&amp;"'!$F:$F"),MATCH("Electrical",INDIRECT("'"&amp;$B28&amp;"'!$A:$A"),0)):INDEX(INDIRECT("'"&amp;$B28&amp;"'!$F:$F"),MATCH("Firestop",INDIRECT("'"&amp;$B28&amp;"'!$A:$A"),0))),0)</f>
        <v>0</v>
      </c>
      <c r="AH28" s="196" t="str">
        <f t="shared" ca="1" si="12"/>
        <v>Not Mapped</v>
      </c>
      <c r="AI28" s="338">
        <f t="shared" ca="1" si="13"/>
        <v>0</v>
      </c>
      <c r="AJ28" s="196" t="str">
        <f t="shared" ca="1" si="14"/>
        <v>Not Mapped</v>
      </c>
      <c r="AK28" s="196" t="str">
        <f t="shared" ca="1" si="15"/>
        <v>0 / 8 Complete</v>
      </c>
      <c r="AL28" s="196">
        <f t="shared" ca="1" si="16"/>
        <v>8</v>
      </c>
      <c r="AM28" s="196" t="str">
        <f t="shared" ca="1" si="17"/>
        <v>QA / Material Review</v>
      </c>
      <c r="AN28" s="196" t="str">
        <f t="shared" ca="1" si="18"/>
        <v>🔴 ATTENTION</v>
      </c>
      <c r="AO28" s="196" t="str">
        <f t="shared" ca="1" si="19"/>
        <v>Mapped</v>
      </c>
    </row>
    <row r="29" spans="1:41" ht="34.950000000000003" customHeight="1">
      <c r="A29" s="106" t="str">
        <f>B82_Assessment!$B$2&amp;""</f>
        <v>82</v>
      </c>
      <c r="B29" s="106" t="str">
        <f>"B82_Assessment"</f>
        <v>B82_Assessment</v>
      </c>
      <c r="C29" s="106" t="str">
        <f>B82_Assessment!$F$2</f>
        <v>Yellow</v>
      </c>
      <c r="D29" s="142">
        <f>B82_Assessment!$H$2</f>
        <v>0.5</v>
      </c>
      <c r="E29" s="142">
        <f>IFERROR(B82_Assessment!$H$2,0)</f>
        <v>0.5</v>
      </c>
      <c r="F29" s="106" t="str">
        <f>B82_Assessment!$J$2</f>
        <v>No</v>
      </c>
      <c r="G29" s="106">
        <f>MAX(0,COUNTA(B82_Assessment!$A$10:$A$49)-COUNTIF(B82_Assessment!$A$10:$A$49,"*. *"))</f>
        <v>26</v>
      </c>
      <c r="H29" s="106">
        <f>IFERROR(B82_Assessment!$B$4,0)</f>
        <v>0</v>
      </c>
      <c r="I29" s="106">
        <f>IFERROR(B82_Assessment!$D$4,0)</f>
        <v>0</v>
      </c>
      <c r="J29" s="106">
        <f>SUMPRODUCT(--(ISNUMBER(SEARCH("-P",B82_Assessment!$A$1:$A$300&amp;""))),--((B82_Assessment!$I$1:$I$300="Open")+(B82_Assessment!$I$1:$I$300="In Progress")))</f>
        <v>0</v>
      </c>
      <c r="K29" s="106" t="str">
        <f>B82_Assessment!$B$5</f>
        <v>Verify</v>
      </c>
      <c r="L29" s="106" t="str">
        <f>B82_Assessment!$D$5</f>
        <v>Verify</v>
      </c>
      <c r="M29" s="106" t="str">
        <f>B82_Assessment!$F$5</f>
        <v>Verify</v>
      </c>
      <c r="N29" s="106" t="str">
        <f>B82_Assessment!$H$5</f>
        <v>Excluded / Firestop Only</v>
      </c>
      <c r="O29" s="106" t="str">
        <f>B82_Assessment!$J$5</f>
        <v>Verify Existing</v>
      </c>
      <c r="P29" s="106" t="str">
        <f>B82_Assessment!$B$6</f>
        <v>Excluded / Verify Existing</v>
      </c>
      <c r="Q29" s="106" t="str">
        <f>B82_Assessment!$D$6</f>
        <v>Field verify Room 102 new TE location, existing B01-A, active services, TR01-102-01 schedule, 278 ft cable tray route, 10 Cat6A cable legend, UPS/PDU source, B82-MDP/B82-P-EMER connections, IU-1-01/CU-1-01 cooling, fiber paths A/B, firestopping/sleeves, existing cameras and TE cutover plan.</v>
      </c>
      <c r="R29" s="106" t="str">
        <f>B82_Assessment!$H$4</f>
        <v>Building 82 is identified as a Telecom Enclosure (TE) building on the cover sheet, with fire protection scope excluded, but mechanical sheets show IU-1-01/CU-1-01 dedicated cooling for Room 102 and electrical drawings show B82-MDP/B82-P-EMER power. Scope centers on new first-level Telecom Room 102 / 12RU enclosure and existing first-level Telecom Room B01-A transition point. Field verification, active-equipment transfer, 278 ft cable tray, firestopping, UPS/PDU power, HVAC controls, fiber/copper cutover, and room/equipment mapping remain open.</v>
      </c>
      <c r="S29" s="106">
        <f t="shared" si="0"/>
        <v>0</v>
      </c>
      <c r="T29" s="139">
        <f t="shared" si="1"/>
        <v>0</v>
      </c>
      <c r="U29" s="139">
        <f t="shared" si="2"/>
        <v>0</v>
      </c>
      <c r="V29" s="139" t="str">
        <f t="shared" si="3"/>
        <v>Monitor</v>
      </c>
      <c r="W29" s="139" t="str">
        <f t="shared" si="4"/>
        <v>Review</v>
      </c>
      <c r="X29" s="139">
        <f>IFERROR(B82_Assessment!$F$4,0)</f>
        <v>0</v>
      </c>
      <c r="Y29" s="143" t="str">
        <f t="shared" si="5"/>
        <v>Mapped</v>
      </c>
      <c r="Z29" s="338">
        <f t="shared" ca="1" si="20"/>
        <v>0.8</v>
      </c>
      <c r="AA29" s="196" t="str">
        <f t="shared" ca="1" si="6"/>
        <v>Partial / Verify</v>
      </c>
      <c r="AB29" s="338" t="str">
        <f t="shared" ca="1" si="7"/>
        <v/>
      </c>
      <c r="AC29" s="196" t="str">
        <f t="shared" ca="1" si="8"/>
        <v>Ready</v>
      </c>
      <c r="AD29" s="196" t="str">
        <f t="shared" ca="1" si="9"/>
        <v>Clear</v>
      </c>
      <c r="AE29" s="338">
        <f t="shared" ca="1" si="10"/>
        <v>0</v>
      </c>
      <c r="AF29" s="196" t="str">
        <f t="shared" ca="1" si="11"/>
        <v>Not Mapped</v>
      </c>
      <c r="AG29" s="338">
        <f ca="1">IFERROR(AVERAGE(INDEX(INDIRECT("'"&amp;$B29&amp;"'!$F:$F"),MATCH("Electrical",INDIRECT("'"&amp;$B29&amp;"'!$A:$A"),0)):INDEX(INDIRECT("'"&amp;$B29&amp;"'!$F:$F"),MATCH("Firestop",INDIRECT("'"&amp;$B29&amp;"'!$A:$A"),0))),0)</f>
        <v>0</v>
      </c>
      <c r="AH29" s="196" t="str">
        <f t="shared" ca="1" si="12"/>
        <v>Not Mapped</v>
      </c>
      <c r="AI29" s="338">
        <f t="shared" ca="1" si="13"/>
        <v>0</v>
      </c>
      <c r="AJ29" s="196" t="str">
        <f t="shared" ca="1" si="14"/>
        <v>Not Mapped</v>
      </c>
      <c r="AK29" s="196" t="str">
        <f t="shared" ca="1" si="15"/>
        <v>0 / 8 Complete</v>
      </c>
      <c r="AL29" s="196">
        <f t="shared" ca="1" si="16"/>
        <v>8</v>
      </c>
      <c r="AM29" s="196" t="str">
        <f t="shared" ca="1" si="17"/>
        <v>QA / Material Review</v>
      </c>
      <c r="AN29" s="196" t="str">
        <f t="shared" ca="1" si="18"/>
        <v>🔴 ATTENTION</v>
      </c>
      <c r="AO29" s="196" t="str">
        <f t="shared" ca="1" si="19"/>
        <v>Mapped</v>
      </c>
    </row>
    <row r="30" spans="1:41" ht="29.1" customHeight="1">
      <c r="A30" s="106" t="str">
        <f>BCH_Assessment!$B$2&amp;""</f>
        <v>BCH</v>
      </c>
      <c r="B30" s="106" t="str">
        <f>"BCH_Assessment"</f>
        <v>BCH_Assessment</v>
      </c>
      <c r="C30" s="106" t="str">
        <f>BCH_Assessment!$F$2</f>
        <v>Yellow</v>
      </c>
      <c r="D30" s="142">
        <f>BCH_Assessment!$H$2</f>
        <v>0.5</v>
      </c>
      <c r="E30" s="142">
        <f>IFERROR(BCH_Assessment!$H$2,0)</f>
        <v>0.5</v>
      </c>
      <c r="F30" s="106" t="str">
        <f>BCH_Assessment!$J$2</f>
        <v>No</v>
      </c>
      <c r="G30" s="106">
        <f>MAX(0,COUNTA(BCH_Assessment!$A$10:$A$49)-COUNTIF(BCH_Assessment!$A$10:$A$49,"*. *"))</f>
        <v>26</v>
      </c>
      <c r="H30" s="106">
        <f>IFERROR(BCH_Assessment!$B$4,0)</f>
        <v>0</v>
      </c>
      <c r="I30" s="106">
        <f>IFERROR(BCH_Assessment!$D$4,0)</f>
        <v>0</v>
      </c>
      <c r="J30" s="106">
        <f>SUMPRODUCT(--(ISNUMBER(SEARCH("-P",BCH_Assessment!$A$1:$A$300&amp;""))),--((BCH_Assessment!$I$1:$I$300="Open")+(BCH_Assessment!$I$1:$I$300="In Progress")))</f>
        <v>0</v>
      </c>
      <c r="K30" s="106" t="str">
        <f>BCH_Assessment!$B$5</f>
        <v>Verify</v>
      </c>
      <c r="L30" s="106" t="str">
        <f>BCH_Assessment!$D$5</f>
        <v>Verify</v>
      </c>
      <c r="M30" s="106" t="str">
        <f>BCH_Assessment!$F$5</f>
        <v>Verify</v>
      </c>
      <c r="N30" s="106" t="str">
        <f>BCH_Assessment!$H$5</f>
        <v>Excluded / Firestop Only</v>
      </c>
      <c r="O30" s="106" t="str">
        <f>BCH_Assessment!$J$5</f>
        <v>Verify Existing</v>
      </c>
      <c r="P30" s="106" t="str">
        <f>BCH_Assessment!$B$6</f>
        <v>Verify Existing</v>
      </c>
      <c r="Q30" s="106" t="str">
        <f>BCH_Assessment!$D$6</f>
        <v>Field verify Room 107, Room 00-107 rack/elevation reference, new TE/enclosure location, active services, cable tray route, power/UPS/PDU source, grounding/bonding, fiber Path A/B, 4-inch sleeve/firestop scope, camera/VMS scope, and confirm whether the BCH rack elevation is TE-only or new telecom room buildout.</v>
      </c>
      <c r="R30" s="106" t="str">
        <f>BCH_Assessment!$H$4</f>
        <v>Crescent House/BCH is a Telecom Enclosure (TE) scope with mechanical and fire protection excluded by the cover sheet. Scope centers on first-level Room 107 and rack/equipment location shown as Room 00-107 / BCH Crescent House. Field verification, room naming, wall-mounted TE versus 45RU room/rack elevation conflict, active-service cutover, power/UPS/PDU source, firestopping, fiber A/B routing, and cable tray/WAO quantities remain open.</v>
      </c>
      <c r="S30" s="106">
        <f t="shared" si="0"/>
        <v>0</v>
      </c>
      <c r="T30" s="139">
        <f t="shared" si="1"/>
        <v>0</v>
      </c>
      <c r="U30" s="139">
        <f t="shared" si="2"/>
        <v>0</v>
      </c>
      <c r="V30" s="139" t="str">
        <f t="shared" si="3"/>
        <v>Monitor</v>
      </c>
      <c r="W30" s="139" t="str">
        <f t="shared" si="4"/>
        <v>Review</v>
      </c>
      <c r="X30" s="139">
        <f>IFERROR(BCH_Assessment!$F$4,0)</f>
        <v>0</v>
      </c>
      <c r="Y30" s="143" t="str">
        <f t="shared" si="5"/>
        <v>Mapped</v>
      </c>
      <c r="Z30" s="338">
        <f t="shared" ca="1" si="20"/>
        <v>0.8</v>
      </c>
      <c r="AA30" s="196" t="str">
        <f t="shared" ca="1" si="6"/>
        <v>Partial / Verify</v>
      </c>
      <c r="AB30" s="338" t="str">
        <f t="shared" ca="1" si="7"/>
        <v/>
      </c>
      <c r="AC30" s="196" t="str">
        <f t="shared" ca="1" si="8"/>
        <v>Ready</v>
      </c>
      <c r="AD30" s="196" t="str">
        <f t="shared" ca="1" si="9"/>
        <v>Clear</v>
      </c>
      <c r="AE30" s="338">
        <f t="shared" ca="1" si="10"/>
        <v>0</v>
      </c>
      <c r="AF30" s="196" t="str">
        <f t="shared" ca="1" si="11"/>
        <v>Not Mapped</v>
      </c>
      <c r="AG30" s="338">
        <f ca="1">IFERROR(AVERAGE(INDEX(INDIRECT("'"&amp;$B30&amp;"'!$F:$F"),MATCH("Electrical",INDIRECT("'"&amp;$B30&amp;"'!$A:$A"),0)):INDEX(INDIRECT("'"&amp;$B30&amp;"'!$F:$F"),MATCH("Firestop",INDIRECT("'"&amp;$B30&amp;"'!$A:$A"),0))),0)</f>
        <v>0</v>
      </c>
      <c r="AH30" s="196" t="str">
        <f t="shared" ca="1" si="12"/>
        <v>Not Mapped</v>
      </c>
      <c r="AI30" s="338">
        <f t="shared" ca="1" si="13"/>
        <v>0</v>
      </c>
      <c r="AJ30" s="196" t="str">
        <f t="shared" ca="1" si="14"/>
        <v>Not Mapped</v>
      </c>
      <c r="AK30" s="196" t="str">
        <f t="shared" ca="1" si="15"/>
        <v>0 / 8 Complete</v>
      </c>
      <c r="AL30" s="196">
        <f t="shared" ca="1" si="16"/>
        <v>8</v>
      </c>
      <c r="AM30" s="196" t="str">
        <f t="shared" ca="1" si="17"/>
        <v>QA / Material Review</v>
      </c>
      <c r="AN30" s="196" t="str">
        <f t="shared" ca="1" si="18"/>
        <v>🔴 ATTENTION</v>
      </c>
      <c r="AO30" s="196" t="str">
        <f t="shared" ca="1" si="19"/>
        <v>Mapped</v>
      </c>
    </row>
    <row r="31" spans="1:41" ht="29.1" customHeight="1">
      <c r="A31" s="106" t="str">
        <f>MCR_Assessment!$B$2&amp;""</f>
        <v>MCR</v>
      </c>
      <c r="B31" s="106" t="str">
        <f>"MCR_Assessment"</f>
        <v>MCR_Assessment</v>
      </c>
      <c r="C31" s="106" t="str">
        <f>MCR_Assessment!$F$2</f>
        <v>Yellow</v>
      </c>
      <c r="D31" s="142">
        <f>MCR_Assessment!$H$2</f>
        <v>0.5</v>
      </c>
      <c r="E31" s="142">
        <f>IFERROR(MCR_Assessment!$H$2,0)</f>
        <v>0.5</v>
      </c>
      <c r="F31" s="106" t="str">
        <f>MCR_Assessment!$J$2</f>
        <v>No</v>
      </c>
      <c r="G31" s="106">
        <f>MAX(0,COUNTA(MCR_Assessment!$A$10:$A$49)-COUNTIF(MCR_Assessment!$A$10:$A$49,"*. *"))</f>
        <v>31</v>
      </c>
      <c r="H31" s="106">
        <f>IFERROR(MCR_Assessment!$B$4,0)</f>
        <v>0</v>
      </c>
      <c r="I31" s="106">
        <f>IFERROR(MCR_Assessment!$D$4,0)</f>
        <v>0</v>
      </c>
      <c r="J31" s="106">
        <f>SUMPRODUCT(--(ISNUMBER(SEARCH("-P",MCR_Assessment!$A$1:$A$300&amp;""))),--((MCR_Assessment!$I$1:$I$300="Open")+(MCR_Assessment!$I$1:$I$300="In Progress")))</f>
        <v>0</v>
      </c>
      <c r="K31" s="106" t="str">
        <f>MCR_Assessment!$B$5</f>
        <v>Verify</v>
      </c>
      <c r="L31" s="106" t="str">
        <f>MCR_Assessment!$D$5</f>
        <v>Verify</v>
      </c>
      <c r="M31" s="106" t="str">
        <f>MCR_Assessment!$F$5</f>
        <v>Verify</v>
      </c>
      <c r="N31" s="106" t="str">
        <f>MCR_Assessment!$H$5</f>
        <v>Verify</v>
      </c>
      <c r="O31" s="106" t="str">
        <f>MCR_Assessment!$J$5</f>
        <v>Verify</v>
      </c>
      <c r="P31" s="106" t="str">
        <f>MCR_Assessment!$B$6</f>
        <v>Verify</v>
      </c>
      <c r="Q31" s="106" t="str">
        <f>MCR_Assessment!$D$6</f>
        <v>Field verify new MCR Room 107 / Room 031 naming, MDA-A/B and HDA-A/B rack rows, existing MCR/server equipment in 107/137, UPS-A/B, CRAC units, clean-agent/preaction/fire alarm systems, MCR panel/ATS/generator sources, camera/access control devices, fiber Path A/B, service provider entrance, cable tray/firestop scope, third-party inspections, and phased activation/cutover sequence.</v>
      </c>
      <c r="R31" s="106" t="str">
        <f>MCR_Assessment!$H$4</f>
        <v>MCR is the most critical EHRM infrastructure building. Scope includes new Main Computer Room, new MDA A/B rows, HDA A/B rows, existing server/MCR equipment transfer from 107/137, redundant fiber Path A/B, new CRAC cooling, UPS A/B, electrical service/ATS/generator integration, clean-agent fire suppression, wet sprinkler/fire alarm interfaces, PACS/CCTV, 359 ft cable tray, and MCR activation window. Major risk is service continuity during backbone/core migration and VA activation.</v>
      </c>
      <c r="S31" s="106">
        <f t="shared" si="0"/>
        <v>0</v>
      </c>
      <c r="T31" s="139">
        <f t="shared" si="1"/>
        <v>0</v>
      </c>
      <c r="U31" s="139">
        <f t="shared" si="2"/>
        <v>0</v>
      </c>
      <c r="V31" s="139" t="str">
        <f t="shared" si="3"/>
        <v>Monitor</v>
      </c>
      <c r="W31" s="139" t="str">
        <f t="shared" si="4"/>
        <v>Review</v>
      </c>
      <c r="X31" s="139">
        <f>IFERROR(MCR_Assessment!$F$4,0)</f>
        <v>0</v>
      </c>
      <c r="Y31" s="143" t="str">
        <f t="shared" si="5"/>
        <v>Mapped</v>
      </c>
      <c r="Z31" s="338">
        <f t="shared" ca="1" si="20"/>
        <v>0.8</v>
      </c>
      <c r="AA31" s="196" t="str">
        <f t="shared" ca="1" si="6"/>
        <v>Partial / Verify</v>
      </c>
      <c r="AB31" s="338" t="str">
        <f t="shared" ca="1" si="7"/>
        <v/>
      </c>
      <c r="AC31" s="196" t="str">
        <f t="shared" ca="1" si="8"/>
        <v>Ready</v>
      </c>
      <c r="AD31" s="196" t="str">
        <f t="shared" ca="1" si="9"/>
        <v>Clear</v>
      </c>
      <c r="AE31" s="338">
        <f t="shared" ca="1" si="10"/>
        <v>0</v>
      </c>
      <c r="AF31" s="196" t="str">
        <f t="shared" ca="1" si="11"/>
        <v>Not Mapped</v>
      </c>
      <c r="AG31" s="338">
        <f ca="1">IFERROR(AVERAGE(INDEX(INDIRECT("'"&amp;$B31&amp;"'!$F:$F"),MATCH("Electrical",INDIRECT("'"&amp;$B31&amp;"'!$A:$A"),0)):INDEX(INDIRECT("'"&amp;$B31&amp;"'!$F:$F"),MATCH("Firestop",INDIRECT("'"&amp;$B31&amp;"'!$A:$A"),0))),0)</f>
        <v>0</v>
      </c>
      <c r="AH31" s="196" t="str">
        <f t="shared" ca="1" si="12"/>
        <v>Not Mapped</v>
      </c>
      <c r="AI31" s="338">
        <f t="shared" ca="1" si="13"/>
        <v>0</v>
      </c>
      <c r="AJ31" s="196" t="str">
        <f t="shared" ca="1" si="14"/>
        <v>Not Mapped</v>
      </c>
      <c r="AK31" s="196" t="str">
        <f t="shared" ca="1" si="15"/>
        <v>0 / 8 Complete</v>
      </c>
      <c r="AL31" s="196">
        <f t="shared" ca="1" si="16"/>
        <v>8</v>
      </c>
      <c r="AM31" s="196" t="str">
        <f t="shared" ca="1" si="17"/>
        <v>QA / Material Review</v>
      </c>
      <c r="AN31" s="196" t="str">
        <f t="shared" ca="1" si="18"/>
        <v>🔴 ATTENTION</v>
      </c>
      <c r="AO31" s="196" t="str">
        <f t="shared" ca="1" si="19"/>
        <v>Mapped</v>
      </c>
    </row>
    <row r="32" spans="1:41" ht="34.950000000000003" customHeight="1">
      <c r="A32" s="106" t="str">
        <f>SITE_Assesment!$B$2&amp;""</f>
        <v>SITE</v>
      </c>
      <c r="B32" s="106" t="str">
        <f>"SITE_Assesment"</f>
        <v>SITE_Assesment</v>
      </c>
      <c r="C32" s="106" t="str">
        <f>SITE_Assesment!$F$2</f>
        <v>Yellow</v>
      </c>
      <c r="D32" s="142">
        <f>SITE_Assesment!$H$2</f>
        <v>0.5</v>
      </c>
      <c r="E32" s="142">
        <f>IFERROR(SITE_Assesment!$H$2,0)</f>
        <v>0.5</v>
      </c>
      <c r="F32" s="106" t="str">
        <f>SITE_Assesment!$J$2</f>
        <v>No</v>
      </c>
      <c r="G32" s="106">
        <f>MAX(0,COUNTA(SITE_Assesment!$A$10:$A$49)-COUNTIF(SITE_Assesment!$A$10:$A$49,"*. *"))</f>
        <v>32</v>
      </c>
      <c r="H32" s="106">
        <f>IFERROR(SITE_Assesment!$B$4,0)</f>
        <v>0</v>
      </c>
      <c r="I32" s="106">
        <f>IFERROR(SITE_Assesment!$D$4,0)</f>
        <v>0</v>
      </c>
      <c r="J32" s="106">
        <f>SUMPRODUCT(--(ISNUMBER(SEARCH("-P",SITE_Assesment!$A$1:$A$300&amp;""))),--((SITE_Assesment!$I$1:$I$300="Open")+(SITE_Assesment!$I$1:$I$300="In Progress")))</f>
        <v>0</v>
      </c>
      <c r="K32" s="106" t="str">
        <f>SITE_Assesment!$B$5</f>
        <v>N/A</v>
      </c>
      <c r="L32" s="106" t="str">
        <f>SITE_Assesment!$D$5</f>
        <v>Verify</v>
      </c>
      <c r="M32" s="106" t="str">
        <f>SITE_Assesment!$F$5</f>
        <v>Verify</v>
      </c>
      <c r="N32" s="106" t="str">
        <f>SITE_Assesment!$H$5</f>
        <v>N/A / Maintain Access</v>
      </c>
      <c r="O32" s="106" t="str">
        <f>SITE_Assesment!$J$5</f>
        <v>N/A</v>
      </c>
      <c r="P32" s="106" t="str">
        <f>SITE_Assesment!$B$6</f>
        <v>Verify Site Access</v>
      </c>
      <c r="Q32" s="106" t="str">
        <f>SITE_Assesment!$D$6</f>
        <v>Field verify all THH/manhole locations, utility depths, trench routes, concrete ductbank sizes, Path A/B conduit counts, building tie-in points, site electrical conflicts, MCR/provider entrance points, restoration limits, traffic/pedestrian controls, inspection hold points, and fiber testing/acceptance sequence.</v>
      </c>
      <c r="R32" s="106" t="str">
        <f>SITE_Assesment!$H$4</f>
        <v>Site package controls the redundant telecommunications backbone for the full EHRM campus. Scope includes site survey, electrical site plans, telecom site plans, enlarged views, plan/profile sheets for Path A/B, concrete ductbank, direct-bury conduit, handholes THH #1-#19, communication manholes with locking covers, concrete pullboxes, trench restoration, and the site one-line fiber diagram. Major risks are existing utility conflicts, A/B path separation, ductbank inspection before backfill, MCR activation sequencing, and coordination of multiple building tie-ins.</v>
      </c>
      <c r="S32" s="106">
        <f t="shared" si="0"/>
        <v>0</v>
      </c>
      <c r="T32" s="139">
        <f t="shared" si="1"/>
        <v>0</v>
      </c>
      <c r="U32" s="139">
        <f t="shared" si="2"/>
        <v>0</v>
      </c>
      <c r="V32" s="139" t="str">
        <f t="shared" si="3"/>
        <v>Monitor</v>
      </c>
      <c r="W32" s="139" t="str">
        <f t="shared" si="4"/>
        <v>Review</v>
      </c>
      <c r="X32" s="139">
        <f>IFERROR(SITE_Assesment!$F$4,0)</f>
        <v>0</v>
      </c>
      <c r="Y32" s="143" t="str">
        <f t="shared" si="5"/>
        <v>Mapped</v>
      </c>
      <c r="Z32" s="338">
        <f t="shared" ca="1" si="20"/>
        <v>0.8</v>
      </c>
      <c r="AA32" s="196" t="str">
        <f t="shared" ca="1" si="6"/>
        <v>Partial / Verify</v>
      </c>
      <c r="AB32" s="338" t="str">
        <f t="shared" ca="1" si="7"/>
        <v/>
      </c>
      <c r="AC32" s="196" t="str">
        <f t="shared" ca="1" si="8"/>
        <v>Ready</v>
      </c>
      <c r="AD32" s="196" t="str">
        <f t="shared" ca="1" si="9"/>
        <v>Clear</v>
      </c>
      <c r="AE32" s="338">
        <f t="shared" ca="1" si="10"/>
        <v>0</v>
      </c>
      <c r="AF32" s="196" t="str">
        <f t="shared" ca="1" si="11"/>
        <v>Not Mapped</v>
      </c>
      <c r="AG32" s="338">
        <f ca="1">IFERROR(AVERAGE(INDEX(INDIRECT("'"&amp;$B32&amp;"'!$F:$F"),MATCH("Electrical",INDIRECT("'"&amp;$B32&amp;"'!$A:$A"),0)):INDEX(INDIRECT("'"&amp;$B32&amp;"'!$F:$F"),MATCH("Firestop",INDIRECT("'"&amp;$B32&amp;"'!$A:$A"),0))),0)</f>
        <v>0</v>
      </c>
      <c r="AH32" s="196" t="str">
        <f t="shared" ca="1" si="12"/>
        <v>Not Mapped</v>
      </c>
      <c r="AI32" s="338">
        <f t="shared" ca="1" si="13"/>
        <v>0</v>
      </c>
      <c r="AJ32" s="196" t="str">
        <f t="shared" ca="1" si="14"/>
        <v>Not Mapped</v>
      </c>
      <c r="AK32" s="196" t="str">
        <f t="shared" ca="1" si="15"/>
        <v>0 / 8 Complete</v>
      </c>
      <c r="AL32" s="196">
        <f t="shared" ca="1" si="16"/>
        <v>8</v>
      </c>
      <c r="AM32" s="196" t="str">
        <f t="shared" ca="1" si="17"/>
        <v>QA / Material Review</v>
      </c>
      <c r="AN32" s="196" t="str">
        <f t="shared" ca="1" si="18"/>
        <v>🔴 ATTENTION</v>
      </c>
      <c r="AO32" s="196" t="str">
        <f t="shared" ca="1" si="19"/>
        <v>Mapped</v>
      </c>
    </row>
    <row r="33" spans="1:19">
      <c r="A33" s="19"/>
      <c r="D33" s="144"/>
      <c r="E33" s="144"/>
      <c r="F33" s="19"/>
      <c r="G33" s="19"/>
      <c r="H33" s="19"/>
      <c r="I33" s="19"/>
      <c r="J33" s="19"/>
      <c r="K33" s="19"/>
      <c r="L33" s="19"/>
    </row>
    <row r="34" spans="1:19">
      <c r="A34" s="145"/>
      <c r="M34" s="145"/>
      <c r="N34" s="145"/>
      <c r="O34" s="145"/>
      <c r="P34" s="145"/>
      <c r="Q34" s="145"/>
      <c r="R34" s="145"/>
      <c r="S34" s="145"/>
    </row>
    <row r="35" spans="1:19">
      <c r="A35" s="106"/>
      <c r="B35" s="106"/>
      <c r="C35" s="106"/>
      <c r="D35" s="142"/>
      <c r="E35" s="142"/>
      <c r="F35" s="106"/>
      <c r="G35" s="106"/>
      <c r="H35" s="106"/>
      <c r="I35" s="106"/>
      <c r="J35" s="106"/>
      <c r="K35" s="106"/>
      <c r="L35" s="106"/>
    </row>
    <row r="36" spans="1:19" ht="49.2" customHeight="1">
      <c r="A36" s="19"/>
      <c r="B36" s="19"/>
      <c r="C36" s="19"/>
      <c r="D36" s="144"/>
      <c r="E36" s="144"/>
      <c r="F36" s="19"/>
      <c r="G36" s="19"/>
      <c r="H36" s="19"/>
      <c r="I36" s="19"/>
      <c r="J36" s="19"/>
      <c r="K36" s="19"/>
      <c r="L36" s="19"/>
    </row>
    <row r="37" spans="1:19" ht="7.35" customHeight="1">
      <c r="A37" s="146"/>
      <c r="B37" s="146"/>
      <c r="C37" s="146"/>
      <c r="D37" s="147"/>
      <c r="E37" s="147"/>
      <c r="F37" s="146"/>
      <c r="G37" s="146"/>
      <c r="H37" s="146"/>
      <c r="I37" s="146"/>
      <c r="J37" s="146"/>
      <c r="K37" s="146"/>
      <c r="L37" s="146"/>
    </row>
    <row r="38" spans="1:19" ht="34.950000000000003" customHeight="1">
      <c r="A38" s="106"/>
      <c r="B38" s="106"/>
      <c r="C38" s="106"/>
      <c r="D38" s="142"/>
      <c r="E38" s="142"/>
      <c r="F38" s="106"/>
      <c r="G38" s="106"/>
      <c r="H38" s="106"/>
      <c r="I38" s="106"/>
      <c r="J38" s="106"/>
      <c r="K38" s="106"/>
      <c r="L38" s="106"/>
    </row>
    <row r="39" spans="1:19" ht="40.65" customHeight="1">
      <c r="A39" s="106"/>
      <c r="B39" s="106"/>
      <c r="C39" s="106"/>
      <c r="D39" s="142"/>
      <c r="E39" s="142"/>
      <c r="F39" s="106"/>
      <c r="G39" s="106"/>
      <c r="H39" s="106"/>
      <c r="I39" s="106"/>
      <c r="J39" s="106"/>
      <c r="K39" s="106"/>
      <c r="L39" s="106"/>
    </row>
    <row r="40" spans="1:19" ht="40.65" customHeight="1">
      <c r="A40" s="106"/>
      <c r="B40" s="106"/>
      <c r="C40" s="106"/>
      <c r="D40" s="142"/>
      <c r="E40" s="142"/>
      <c r="F40" s="106"/>
      <c r="G40" s="106"/>
      <c r="H40" s="106"/>
      <c r="I40" s="106"/>
      <c r="J40" s="106"/>
      <c r="K40" s="106"/>
      <c r="L40" s="106"/>
    </row>
    <row r="41" spans="1:19" ht="34.950000000000003" customHeight="1">
      <c r="A41" s="106"/>
      <c r="B41" s="106"/>
      <c r="C41" s="106"/>
      <c r="D41" s="142"/>
      <c r="E41" s="142"/>
      <c r="F41" s="106"/>
      <c r="G41" s="106"/>
      <c r="H41" s="106"/>
      <c r="I41" s="106"/>
      <c r="J41" s="106"/>
      <c r="K41" s="106"/>
      <c r="L41" s="106"/>
    </row>
    <row r="42" spans="1:19" ht="40.65" customHeight="1">
      <c r="A42" s="106"/>
      <c r="B42" s="106"/>
      <c r="C42" s="106"/>
      <c r="D42" s="142"/>
      <c r="E42" s="142"/>
      <c r="F42" s="106"/>
      <c r="G42" s="106"/>
      <c r="H42" s="106"/>
      <c r="I42" s="106"/>
      <c r="J42" s="106"/>
      <c r="K42" s="106"/>
      <c r="L42" s="106"/>
    </row>
    <row r="43" spans="1:19" ht="40.65" customHeight="1">
      <c r="A43" s="106"/>
      <c r="B43" s="106"/>
      <c r="C43" s="106"/>
      <c r="D43" s="142"/>
      <c r="E43" s="142"/>
      <c r="F43" s="106"/>
      <c r="G43" s="106"/>
      <c r="H43" s="106"/>
      <c r="I43" s="106"/>
      <c r="J43" s="106"/>
      <c r="K43" s="106"/>
      <c r="L43" s="106"/>
    </row>
    <row r="44" spans="1:19" ht="52.2" customHeight="1">
      <c r="A44" s="106"/>
      <c r="B44" s="106"/>
      <c r="C44" s="106"/>
      <c r="D44" s="142"/>
      <c r="E44" s="142"/>
      <c r="F44" s="106"/>
      <c r="G44" s="106"/>
      <c r="H44" s="106"/>
      <c r="I44" s="106"/>
      <c r="J44" s="106"/>
      <c r="K44" s="106"/>
      <c r="L44" s="106"/>
    </row>
    <row r="45" spans="1:19" ht="40.65" customHeight="1">
      <c r="A45" s="106"/>
      <c r="B45" s="106"/>
      <c r="C45" s="106"/>
      <c r="D45" s="142"/>
      <c r="E45" s="142"/>
      <c r="F45" s="106"/>
      <c r="G45" s="106"/>
      <c r="H45" s="106"/>
      <c r="I45" s="106"/>
      <c r="J45" s="106"/>
      <c r="K45" s="106"/>
      <c r="L45" s="106"/>
    </row>
    <row r="46" spans="1:19" ht="34.950000000000003" customHeight="1">
      <c r="A46" s="106"/>
      <c r="B46" s="106"/>
      <c r="C46" s="106"/>
      <c r="D46" s="142"/>
      <c r="E46" s="142"/>
      <c r="F46" s="106"/>
      <c r="G46" s="106"/>
      <c r="H46" s="106"/>
      <c r="I46" s="106"/>
      <c r="J46" s="106"/>
      <c r="K46" s="106"/>
      <c r="L46" s="106"/>
    </row>
    <row r="47" spans="1:19" ht="40.65" customHeight="1">
      <c r="A47" s="106"/>
      <c r="B47" s="106"/>
      <c r="C47" s="106"/>
      <c r="D47" s="142"/>
      <c r="E47" s="142"/>
      <c r="F47" s="106"/>
      <c r="G47" s="106"/>
      <c r="H47" s="106"/>
      <c r="I47" s="106"/>
      <c r="J47" s="106"/>
      <c r="K47" s="106"/>
      <c r="L47" s="106"/>
    </row>
    <row r="48" spans="1:19" ht="40.65" customHeight="1">
      <c r="A48" s="106"/>
      <c r="B48" s="106"/>
      <c r="C48" s="106"/>
      <c r="D48" s="142"/>
      <c r="E48" s="142"/>
      <c r="F48" s="106"/>
      <c r="G48" s="106"/>
      <c r="H48" s="106"/>
      <c r="I48" s="106"/>
      <c r="J48" s="106"/>
      <c r="K48" s="106"/>
      <c r="L48" s="106"/>
    </row>
    <row r="49" spans="1:12" ht="34.950000000000003" customHeight="1">
      <c r="A49" s="106"/>
      <c r="B49" s="106"/>
      <c r="C49" s="106"/>
      <c r="D49" s="142"/>
      <c r="E49" s="142"/>
      <c r="F49" s="106"/>
      <c r="G49" s="106"/>
      <c r="H49" s="106"/>
      <c r="I49" s="106"/>
      <c r="J49" s="106"/>
      <c r="K49" s="106"/>
      <c r="L49" s="106"/>
    </row>
    <row r="50" spans="1:12" ht="40.65" customHeight="1">
      <c r="A50" s="106"/>
      <c r="B50" s="106"/>
      <c r="C50" s="106"/>
      <c r="D50" s="142"/>
      <c r="E50" s="142"/>
      <c r="F50" s="106"/>
      <c r="G50" s="106"/>
      <c r="H50" s="106"/>
      <c r="I50" s="106"/>
      <c r="J50" s="106"/>
      <c r="K50" s="106"/>
      <c r="L50" s="106"/>
    </row>
    <row r="51" spans="1:12" ht="40.65" customHeight="1">
      <c r="A51" s="106"/>
      <c r="B51" s="106"/>
      <c r="C51" s="106"/>
      <c r="D51" s="142"/>
      <c r="E51" s="142"/>
      <c r="F51" s="106"/>
      <c r="G51" s="106"/>
      <c r="H51" s="106"/>
      <c r="I51" s="106"/>
      <c r="J51" s="106"/>
      <c r="K51" s="106"/>
      <c r="L51" s="106"/>
    </row>
    <row r="52" spans="1:12" ht="52.2" customHeight="1">
      <c r="A52" s="106"/>
      <c r="B52" s="106"/>
      <c r="C52" s="106"/>
      <c r="D52" s="142"/>
      <c r="E52" s="142"/>
      <c r="F52" s="106"/>
      <c r="G52" s="106"/>
      <c r="H52" s="106"/>
      <c r="I52" s="106"/>
      <c r="J52" s="106"/>
      <c r="K52" s="106"/>
      <c r="L52" s="106"/>
    </row>
    <row r="53" spans="1:12" ht="40.65" customHeight="1">
      <c r="A53" s="106"/>
      <c r="B53" s="106"/>
      <c r="C53" s="106"/>
      <c r="D53" s="142"/>
      <c r="E53" s="142"/>
      <c r="F53" s="106"/>
      <c r="G53" s="106"/>
      <c r="H53" s="106"/>
      <c r="I53" s="106"/>
      <c r="J53" s="106"/>
      <c r="K53" s="106"/>
      <c r="L53" s="106"/>
    </row>
    <row r="54" spans="1:12" ht="34.950000000000003" customHeight="1">
      <c r="A54" s="106"/>
      <c r="B54" s="106"/>
      <c r="C54" s="106"/>
      <c r="D54" s="142"/>
      <c r="E54" s="142"/>
      <c r="F54" s="106"/>
      <c r="G54" s="106"/>
      <c r="H54" s="106"/>
      <c r="I54" s="106"/>
      <c r="J54" s="106"/>
      <c r="K54" s="106"/>
      <c r="L54" s="106"/>
    </row>
    <row r="55" spans="1:12" ht="46.35" customHeight="1">
      <c r="A55" s="106"/>
      <c r="B55" s="106"/>
      <c r="C55" s="106"/>
      <c r="D55" s="142"/>
      <c r="E55" s="142"/>
      <c r="F55" s="106"/>
      <c r="G55" s="106"/>
      <c r="H55" s="106"/>
      <c r="I55" s="106"/>
      <c r="J55" s="106"/>
      <c r="K55" s="106"/>
      <c r="L55" s="106"/>
    </row>
    <row r="56" spans="1:12" ht="46.35" customHeight="1">
      <c r="A56" s="106"/>
      <c r="B56" s="106"/>
      <c r="C56" s="106"/>
      <c r="D56" s="142"/>
      <c r="E56" s="142"/>
      <c r="F56" s="106"/>
      <c r="G56" s="106"/>
      <c r="H56" s="106"/>
      <c r="I56" s="106"/>
      <c r="J56" s="106"/>
      <c r="K56" s="106"/>
      <c r="L56" s="106"/>
    </row>
    <row r="57" spans="1:12" ht="40.65" customHeight="1">
      <c r="A57" s="106"/>
      <c r="B57" s="106"/>
      <c r="C57" s="106"/>
      <c r="D57" s="142"/>
      <c r="E57" s="142"/>
      <c r="F57" s="106"/>
      <c r="G57" s="106"/>
      <c r="H57" s="106"/>
      <c r="I57" s="106"/>
      <c r="J57" s="106"/>
      <c r="K57" s="106"/>
      <c r="L57" s="106"/>
    </row>
    <row r="58" spans="1:12" ht="40.65" customHeight="1">
      <c r="A58" s="106"/>
      <c r="B58" s="106"/>
      <c r="C58" s="106"/>
      <c r="D58" s="142"/>
      <c r="E58" s="142"/>
      <c r="F58" s="106"/>
      <c r="G58" s="106"/>
      <c r="H58" s="106"/>
      <c r="I58" s="106"/>
      <c r="J58" s="106"/>
      <c r="K58" s="106"/>
      <c r="L58" s="106"/>
    </row>
    <row r="59" spans="1:12" ht="40.65" customHeight="1">
      <c r="A59" s="106"/>
      <c r="B59" s="106"/>
      <c r="C59" s="106"/>
      <c r="D59" s="142"/>
      <c r="E59" s="142"/>
      <c r="F59" s="106"/>
      <c r="G59" s="106"/>
      <c r="H59" s="106"/>
      <c r="I59" s="106"/>
      <c r="J59" s="106"/>
      <c r="K59" s="106"/>
      <c r="L59" s="106"/>
    </row>
    <row r="60" spans="1:12" ht="52.2" customHeight="1">
      <c r="A60" s="106"/>
      <c r="B60" s="106"/>
      <c r="C60" s="106"/>
      <c r="D60" s="142"/>
      <c r="E60" s="142"/>
      <c r="F60" s="106"/>
      <c r="G60" s="106"/>
      <c r="H60" s="106"/>
      <c r="I60" s="106"/>
      <c r="J60" s="106"/>
      <c r="K60" s="106"/>
      <c r="L60" s="106"/>
    </row>
    <row r="61" spans="1:12" ht="40.65" customHeight="1">
      <c r="A61" s="106"/>
      <c r="B61" s="106"/>
      <c r="C61" s="106"/>
      <c r="D61" s="142"/>
      <c r="E61" s="142"/>
      <c r="F61" s="106"/>
      <c r="G61" s="106"/>
      <c r="H61" s="106"/>
      <c r="I61" s="106"/>
      <c r="J61" s="106"/>
      <c r="K61" s="106"/>
      <c r="L61" s="106"/>
    </row>
    <row r="62" spans="1:12" ht="29.1" customHeight="1">
      <c r="A62" s="106"/>
      <c r="B62" s="106"/>
      <c r="C62" s="106"/>
      <c r="D62" s="142"/>
      <c r="E62" s="142"/>
      <c r="F62" s="106"/>
      <c r="G62" s="106"/>
      <c r="H62" s="106"/>
      <c r="I62" s="106"/>
      <c r="J62" s="106"/>
      <c r="K62" s="106"/>
      <c r="L62" s="106"/>
    </row>
    <row r="63" spans="1:12" ht="34.950000000000003" customHeight="1">
      <c r="A63" s="106"/>
      <c r="B63" s="106"/>
      <c r="C63" s="106"/>
      <c r="D63" s="142"/>
      <c r="E63" s="142"/>
      <c r="F63" s="106"/>
      <c r="G63" s="106"/>
      <c r="H63" s="106"/>
      <c r="I63" s="106"/>
      <c r="J63" s="106"/>
      <c r="K63" s="106"/>
      <c r="L63" s="106"/>
    </row>
    <row r="64" spans="1:12" ht="29.1" customHeight="1">
      <c r="A64" s="106"/>
      <c r="B64" s="106"/>
      <c r="C64" s="106"/>
      <c r="D64" s="142"/>
      <c r="E64" s="142"/>
      <c r="F64" s="106"/>
      <c r="G64" s="106"/>
      <c r="H64" s="106"/>
      <c r="I64" s="106"/>
      <c r="J64" s="106"/>
      <c r="K64" s="106"/>
      <c r="L64" s="106"/>
    </row>
    <row r="65" spans="1:12" ht="34.950000000000003" customHeight="1">
      <c r="A65" s="106"/>
      <c r="B65" s="106"/>
      <c r="C65" s="106"/>
      <c r="D65" s="142"/>
      <c r="E65" s="142"/>
      <c r="F65" s="106"/>
      <c r="G65" s="106"/>
      <c r="H65" s="106"/>
      <c r="I65" s="106"/>
      <c r="J65" s="106"/>
      <c r="K65" s="106"/>
      <c r="L65" s="106"/>
    </row>
    <row r="66" spans="1:12" ht="29.1" customHeight="1">
      <c r="A66" s="106"/>
      <c r="B66" s="106"/>
      <c r="C66" s="106"/>
      <c r="D66" s="142"/>
      <c r="E66" s="142"/>
      <c r="F66" s="106"/>
      <c r="G66" s="106"/>
      <c r="H66" s="106"/>
      <c r="I66" s="106"/>
      <c r="J66" s="106"/>
      <c r="K66" s="106"/>
      <c r="L66" s="106"/>
    </row>
    <row r="67" spans="1:12" ht="34.950000000000003" customHeight="1">
      <c r="A67" s="106"/>
      <c r="B67" s="106"/>
      <c r="C67" s="106"/>
      <c r="D67" s="142"/>
      <c r="E67" s="142"/>
      <c r="F67" s="106"/>
      <c r="G67" s="106"/>
      <c r="H67" s="106"/>
      <c r="I67" s="106"/>
      <c r="J67" s="106"/>
      <c r="K67" s="106"/>
      <c r="L67" s="106"/>
    </row>
    <row r="68" spans="1:12" ht="29.1" customHeight="1">
      <c r="A68" s="106"/>
      <c r="B68" s="106"/>
      <c r="C68" s="106"/>
      <c r="D68" s="142"/>
      <c r="E68" s="142"/>
      <c r="F68" s="106"/>
      <c r="G68" s="106"/>
      <c r="H68" s="106"/>
      <c r="I68" s="106"/>
      <c r="J68" s="106"/>
      <c r="K68" s="106"/>
      <c r="L68" s="106"/>
    </row>
    <row r="69" spans="1:12" ht="29.1" customHeight="1">
      <c r="A69" s="106"/>
      <c r="B69" s="106"/>
      <c r="C69" s="106"/>
      <c r="D69" s="142"/>
      <c r="E69" s="142"/>
      <c r="F69" s="106"/>
      <c r="G69" s="106"/>
      <c r="H69" s="106"/>
      <c r="I69" s="106"/>
      <c r="J69" s="106"/>
      <c r="K69" s="106"/>
      <c r="L69" s="106"/>
    </row>
    <row r="70" spans="1:12" ht="34.950000000000003" customHeight="1">
      <c r="A70" s="106"/>
      <c r="B70" s="106"/>
      <c r="C70" s="106"/>
      <c r="D70" s="142"/>
      <c r="E70" s="142"/>
      <c r="F70" s="106"/>
      <c r="G70" s="106"/>
      <c r="H70" s="106"/>
      <c r="I70" s="106"/>
      <c r="J70" s="106"/>
      <c r="K70" s="106"/>
      <c r="L70" s="106"/>
    </row>
    <row r="71" spans="1:12" ht="34.950000000000003" customHeight="1">
      <c r="A71" s="106"/>
      <c r="B71" s="106"/>
      <c r="C71" s="106"/>
      <c r="D71" s="142"/>
      <c r="E71" s="142"/>
      <c r="F71" s="106"/>
      <c r="G71" s="106"/>
      <c r="H71" s="106"/>
      <c r="I71" s="106"/>
      <c r="J71" s="106"/>
      <c r="K71" s="106"/>
      <c r="L71" s="106"/>
    </row>
    <row r="72" spans="1:12" ht="29.1" customHeight="1">
      <c r="A72" s="106"/>
      <c r="B72" s="106"/>
      <c r="C72" s="106"/>
      <c r="D72" s="142"/>
      <c r="E72" s="142"/>
      <c r="F72" s="106"/>
      <c r="G72" s="106"/>
      <c r="H72" s="106"/>
      <c r="I72" s="106"/>
      <c r="J72" s="106"/>
      <c r="K72" s="106"/>
      <c r="L72" s="106"/>
    </row>
    <row r="73" spans="1:12" ht="40.65" customHeight="1">
      <c r="A73" s="106"/>
      <c r="B73" s="106"/>
      <c r="C73" s="106"/>
      <c r="D73" s="142"/>
      <c r="E73" s="142"/>
      <c r="F73" s="106"/>
      <c r="G73" s="106"/>
      <c r="H73" s="106"/>
      <c r="I73" s="106"/>
      <c r="J73" s="106"/>
      <c r="K73" s="106"/>
      <c r="L73" s="106"/>
    </row>
    <row r="74" spans="1:12" ht="29.1" customHeight="1">
      <c r="A74" s="106"/>
      <c r="B74" s="106"/>
      <c r="C74" s="106"/>
      <c r="D74" s="142"/>
      <c r="E74" s="142"/>
      <c r="F74" s="106"/>
      <c r="G74" s="106"/>
      <c r="H74" s="106"/>
      <c r="I74" s="106"/>
      <c r="J74" s="106"/>
      <c r="K74" s="106"/>
      <c r="L74" s="106"/>
    </row>
    <row r="75" spans="1:12" ht="29.1" customHeight="1">
      <c r="A75" s="106"/>
      <c r="B75" s="106"/>
      <c r="C75" s="106"/>
      <c r="D75" s="142"/>
      <c r="E75" s="142"/>
      <c r="F75" s="106"/>
      <c r="G75" s="106"/>
      <c r="H75" s="106"/>
      <c r="I75" s="106"/>
      <c r="J75" s="106"/>
      <c r="K75" s="106"/>
      <c r="L75" s="106"/>
    </row>
    <row r="76" spans="1:12" ht="22.95" customHeight="1">
      <c r="A76" s="106"/>
      <c r="B76" s="106"/>
      <c r="C76" s="106"/>
      <c r="D76" s="142"/>
      <c r="E76" s="142"/>
      <c r="F76" s="106"/>
      <c r="G76" s="106"/>
      <c r="H76" s="106"/>
      <c r="I76" s="106"/>
      <c r="J76" s="106"/>
      <c r="K76" s="106"/>
      <c r="L76" s="106"/>
    </row>
    <row r="77" spans="1:12" ht="34.950000000000003" customHeight="1">
      <c r="A77" s="106"/>
      <c r="B77" s="106"/>
      <c r="C77" s="106"/>
      <c r="D77" s="142"/>
      <c r="E77" s="142"/>
      <c r="F77" s="106"/>
      <c r="G77" s="106"/>
      <c r="H77" s="106"/>
      <c r="I77" s="106"/>
      <c r="J77" s="106"/>
      <c r="K77" s="106"/>
      <c r="L77" s="106"/>
    </row>
    <row r="78" spans="1:12" ht="34.950000000000003" customHeight="1">
      <c r="A78" s="106"/>
      <c r="B78" s="106"/>
      <c r="C78" s="106"/>
      <c r="D78" s="142"/>
      <c r="E78" s="142"/>
      <c r="F78" s="106"/>
      <c r="G78" s="106"/>
      <c r="H78" s="106"/>
      <c r="I78" s="106"/>
      <c r="J78" s="106"/>
      <c r="K78" s="106"/>
      <c r="L78" s="106"/>
    </row>
    <row r="79" spans="1:12" ht="40.65" customHeight="1">
      <c r="A79" s="106"/>
      <c r="B79" s="106"/>
      <c r="C79" s="106"/>
      <c r="D79" s="142"/>
      <c r="E79" s="142"/>
      <c r="F79" s="106"/>
      <c r="G79" s="106"/>
      <c r="H79" s="106"/>
      <c r="I79" s="106"/>
      <c r="J79" s="106"/>
      <c r="K79" s="106"/>
      <c r="L79" s="106"/>
    </row>
    <row r="80" spans="1:12" ht="34.950000000000003" customHeight="1">
      <c r="A80" s="106"/>
      <c r="B80" s="106"/>
      <c r="C80" s="106"/>
      <c r="D80" s="142"/>
      <c r="E80" s="142"/>
      <c r="F80" s="106"/>
      <c r="G80" s="106"/>
      <c r="H80" s="106"/>
      <c r="I80" s="106"/>
      <c r="J80" s="106"/>
      <c r="K80" s="106"/>
      <c r="L80" s="106"/>
    </row>
    <row r="81" spans="1:12" ht="29.1" customHeight="1">
      <c r="A81" s="106"/>
      <c r="B81" s="106"/>
      <c r="C81" s="106"/>
      <c r="D81" s="142"/>
      <c r="E81" s="142"/>
      <c r="F81" s="106"/>
      <c r="G81" s="106"/>
      <c r="H81" s="106"/>
      <c r="I81" s="106"/>
      <c r="J81" s="106"/>
      <c r="K81" s="106"/>
      <c r="L81" s="106"/>
    </row>
    <row r="82" spans="1:12" ht="34.950000000000003" customHeight="1">
      <c r="A82" s="106"/>
      <c r="B82" s="106"/>
      <c r="C82" s="106"/>
      <c r="D82" s="142"/>
      <c r="E82" s="142"/>
      <c r="F82" s="106"/>
      <c r="G82" s="106"/>
      <c r="H82" s="106"/>
      <c r="I82" s="106"/>
      <c r="J82" s="106"/>
      <c r="K82" s="106"/>
      <c r="L82" s="106"/>
    </row>
    <row r="83" spans="1:12" ht="34.950000000000003" customHeight="1">
      <c r="A83" s="106"/>
      <c r="B83" s="106"/>
      <c r="C83" s="106"/>
      <c r="D83" s="142"/>
      <c r="E83" s="142"/>
      <c r="F83" s="106"/>
      <c r="G83" s="106"/>
      <c r="H83" s="106"/>
      <c r="I83" s="106"/>
      <c r="J83" s="106"/>
      <c r="K83" s="106"/>
      <c r="L83" s="106"/>
    </row>
    <row r="84" spans="1:12" ht="22.95" customHeight="1">
      <c r="A84" s="106"/>
      <c r="B84" s="106"/>
      <c r="C84" s="106"/>
      <c r="D84" s="142"/>
      <c r="E84" s="142"/>
      <c r="F84" s="106"/>
      <c r="G84" s="106"/>
      <c r="H84" s="106"/>
      <c r="I84" s="106"/>
      <c r="J84" s="106"/>
      <c r="K84" s="106"/>
      <c r="L84" s="106"/>
    </row>
    <row r="85" spans="1:12" ht="34.950000000000003" customHeight="1">
      <c r="A85" s="106"/>
      <c r="B85" s="106"/>
      <c r="C85" s="106"/>
      <c r="D85" s="142"/>
      <c r="E85" s="142"/>
      <c r="F85" s="106"/>
      <c r="G85" s="106"/>
      <c r="H85" s="106"/>
      <c r="I85" s="106"/>
      <c r="J85" s="106"/>
      <c r="K85" s="106"/>
      <c r="L85" s="106"/>
    </row>
    <row r="86" spans="1:12" ht="40.65" customHeight="1">
      <c r="A86" s="106"/>
      <c r="B86" s="106"/>
      <c r="C86" s="106"/>
      <c r="D86" s="142"/>
      <c r="E86" s="142"/>
      <c r="F86" s="106"/>
      <c r="G86" s="106"/>
      <c r="H86" s="106"/>
      <c r="I86" s="106"/>
      <c r="J86" s="106"/>
      <c r="K86" s="106"/>
      <c r="L86" s="106"/>
    </row>
    <row r="87" spans="1:12" ht="40.65" customHeight="1">
      <c r="A87" s="106"/>
      <c r="B87" s="106"/>
      <c r="C87" s="106"/>
      <c r="D87" s="142"/>
      <c r="E87" s="142"/>
      <c r="F87" s="106"/>
      <c r="G87" s="106"/>
      <c r="H87" s="106"/>
      <c r="I87" s="106"/>
      <c r="J87" s="106"/>
      <c r="K87" s="106"/>
      <c r="L87" s="106"/>
    </row>
    <row r="88" spans="1:12" ht="34.950000000000003" customHeight="1">
      <c r="A88" s="106"/>
      <c r="B88" s="106"/>
      <c r="C88" s="106"/>
      <c r="D88" s="142"/>
      <c r="E88" s="142"/>
      <c r="F88" s="106"/>
      <c r="G88" s="106"/>
      <c r="H88" s="106"/>
      <c r="I88" s="106"/>
      <c r="J88" s="106"/>
      <c r="K88" s="106"/>
      <c r="L88" s="106"/>
    </row>
    <row r="89" spans="1:12" ht="34.950000000000003" customHeight="1">
      <c r="A89" s="106"/>
      <c r="B89" s="106"/>
      <c r="C89" s="106"/>
      <c r="D89" s="142"/>
      <c r="E89" s="142"/>
      <c r="F89" s="106"/>
      <c r="G89" s="106"/>
      <c r="H89" s="106"/>
      <c r="I89" s="106"/>
      <c r="J89" s="106"/>
      <c r="K89" s="106"/>
      <c r="L89" s="106"/>
    </row>
    <row r="90" spans="1:12" ht="40.65" customHeight="1">
      <c r="A90" s="106"/>
      <c r="B90" s="106"/>
      <c r="C90" s="106"/>
      <c r="D90" s="142"/>
      <c r="E90" s="142"/>
      <c r="F90" s="106"/>
      <c r="G90" s="106"/>
      <c r="H90" s="106"/>
      <c r="I90" s="106"/>
      <c r="J90" s="106"/>
      <c r="K90" s="106"/>
      <c r="L90" s="106"/>
    </row>
    <row r="91" spans="1:12" ht="34.950000000000003" customHeight="1">
      <c r="A91" s="106"/>
      <c r="B91" s="106"/>
      <c r="C91" s="106"/>
      <c r="D91" s="142"/>
      <c r="E91" s="142"/>
      <c r="F91" s="106"/>
      <c r="G91" s="106"/>
      <c r="H91" s="106"/>
      <c r="I91" s="106"/>
      <c r="J91" s="106"/>
      <c r="K91" s="106"/>
      <c r="L91" s="106"/>
    </row>
    <row r="92" spans="1:12" ht="22.95" customHeight="1">
      <c r="A92" s="106"/>
      <c r="B92" s="106"/>
      <c r="C92" s="106"/>
      <c r="D92" s="142"/>
      <c r="E92" s="142"/>
      <c r="F92" s="106"/>
      <c r="G92" s="106"/>
      <c r="H92" s="106"/>
      <c r="I92" s="106"/>
      <c r="J92" s="106"/>
      <c r="K92" s="106"/>
      <c r="L92" s="106"/>
    </row>
    <row r="93" spans="1:12" ht="29.1" customHeight="1">
      <c r="A93" s="106"/>
      <c r="B93" s="106"/>
      <c r="C93" s="106"/>
      <c r="D93" s="142"/>
      <c r="E93" s="142"/>
      <c r="F93" s="106"/>
      <c r="G93" s="106"/>
      <c r="H93" s="106"/>
      <c r="I93" s="106"/>
      <c r="J93" s="106"/>
      <c r="K93" s="106"/>
      <c r="L93" s="106"/>
    </row>
    <row r="94" spans="1:12" ht="34.950000000000003" customHeight="1">
      <c r="A94" s="106"/>
      <c r="B94" s="106"/>
      <c r="C94" s="106"/>
      <c r="D94" s="142"/>
      <c r="E94" s="142"/>
      <c r="F94" s="106"/>
      <c r="G94" s="106"/>
      <c r="H94" s="106"/>
      <c r="I94" s="106"/>
      <c r="J94" s="106"/>
      <c r="K94" s="106"/>
      <c r="L94" s="106"/>
    </row>
    <row r="95" spans="1:12" ht="40.65" customHeight="1">
      <c r="A95" s="106"/>
      <c r="B95" s="106"/>
      <c r="C95" s="106"/>
      <c r="D95" s="142"/>
      <c r="E95" s="142"/>
      <c r="F95" s="106"/>
      <c r="G95" s="106"/>
      <c r="H95" s="106"/>
      <c r="I95" s="106"/>
      <c r="J95" s="106"/>
      <c r="K95" s="106"/>
      <c r="L95" s="106"/>
    </row>
    <row r="96" spans="1:12" ht="34.950000000000003" customHeight="1">
      <c r="A96" s="106"/>
      <c r="B96" s="106"/>
      <c r="C96" s="106"/>
      <c r="D96" s="142"/>
      <c r="E96" s="142"/>
      <c r="F96" s="106"/>
      <c r="G96" s="106"/>
      <c r="H96" s="106"/>
      <c r="I96" s="106"/>
      <c r="J96" s="106"/>
      <c r="K96" s="106"/>
      <c r="L96" s="106"/>
    </row>
    <row r="97" spans="1:12" ht="40.65" customHeight="1">
      <c r="A97" s="106"/>
      <c r="B97" s="106"/>
      <c r="C97" s="106"/>
      <c r="D97" s="142"/>
      <c r="E97" s="142"/>
      <c r="F97" s="106"/>
      <c r="G97" s="106"/>
      <c r="H97" s="106"/>
      <c r="I97" s="106"/>
      <c r="J97" s="106"/>
      <c r="K97" s="106"/>
      <c r="L97" s="106"/>
    </row>
    <row r="98" spans="1:12" ht="40.65" customHeight="1">
      <c r="A98" s="106"/>
      <c r="B98" s="106"/>
      <c r="C98" s="106"/>
      <c r="D98" s="142"/>
      <c r="E98" s="142"/>
      <c r="F98" s="106"/>
      <c r="G98" s="106"/>
      <c r="H98" s="106"/>
      <c r="I98" s="106"/>
      <c r="J98" s="106"/>
      <c r="K98" s="106"/>
      <c r="L98" s="106"/>
    </row>
    <row r="99" spans="1:12" ht="34.950000000000003" customHeight="1">
      <c r="A99" s="106"/>
      <c r="B99" s="106"/>
      <c r="C99" s="106"/>
      <c r="D99" s="142"/>
      <c r="E99" s="142"/>
      <c r="F99" s="106"/>
      <c r="G99" s="106"/>
      <c r="H99" s="106"/>
      <c r="I99" s="106"/>
      <c r="J99" s="106"/>
      <c r="K99" s="106"/>
      <c r="L99" s="106"/>
    </row>
    <row r="100" spans="1:12" ht="22.95" customHeight="1">
      <c r="A100" s="106"/>
      <c r="B100" s="106"/>
      <c r="C100" s="106"/>
      <c r="D100" s="142"/>
      <c r="E100" s="142"/>
      <c r="F100" s="106"/>
      <c r="G100" s="106"/>
      <c r="H100" s="106"/>
      <c r="I100" s="106"/>
      <c r="J100" s="106"/>
      <c r="K100" s="106"/>
      <c r="L100" s="106"/>
    </row>
    <row r="101" spans="1:12" ht="29.1" customHeight="1">
      <c r="A101" s="106"/>
      <c r="B101" s="106"/>
      <c r="C101" s="106"/>
      <c r="D101" s="142"/>
      <c r="E101" s="142"/>
      <c r="F101" s="106"/>
      <c r="G101" s="106"/>
      <c r="H101" s="106"/>
      <c r="I101" s="106"/>
      <c r="J101" s="106"/>
      <c r="K101" s="106"/>
      <c r="L101" s="106"/>
    </row>
    <row r="102" spans="1:12" ht="34.950000000000003" customHeight="1">
      <c r="A102" s="106"/>
      <c r="B102" s="106"/>
      <c r="C102" s="106"/>
      <c r="D102" s="142"/>
      <c r="E102" s="142"/>
      <c r="F102" s="106"/>
      <c r="G102" s="106"/>
      <c r="H102" s="106"/>
      <c r="I102" s="106"/>
      <c r="J102" s="106"/>
      <c r="K102" s="106"/>
      <c r="L102" s="106"/>
    </row>
    <row r="103" spans="1:12" ht="34.950000000000003" customHeight="1">
      <c r="A103" s="106"/>
      <c r="B103" s="106"/>
      <c r="C103" s="106"/>
      <c r="D103" s="142"/>
      <c r="E103" s="142"/>
      <c r="F103" s="106"/>
      <c r="G103" s="106"/>
      <c r="H103" s="106"/>
      <c r="I103" s="106"/>
      <c r="J103" s="106"/>
      <c r="K103" s="106"/>
      <c r="L103" s="106"/>
    </row>
    <row r="104" spans="1:12" ht="34.950000000000003" customHeight="1">
      <c r="A104" s="106"/>
      <c r="B104" s="106"/>
      <c r="C104" s="106"/>
      <c r="D104" s="142"/>
      <c r="E104" s="142"/>
      <c r="F104" s="106"/>
      <c r="G104" s="106"/>
      <c r="H104" s="106"/>
      <c r="I104" s="106"/>
      <c r="J104" s="106"/>
      <c r="K104" s="106"/>
      <c r="L104" s="106"/>
    </row>
    <row r="105" spans="1:12" ht="40.65" customHeight="1">
      <c r="A105" s="106"/>
      <c r="B105" s="106"/>
      <c r="C105" s="106"/>
      <c r="D105" s="142"/>
      <c r="E105" s="142"/>
      <c r="F105" s="106"/>
      <c r="G105" s="106"/>
      <c r="H105" s="106"/>
      <c r="I105" s="106"/>
      <c r="J105" s="106"/>
      <c r="K105" s="106"/>
      <c r="L105" s="106"/>
    </row>
    <row r="106" spans="1:12" ht="40.65" customHeight="1">
      <c r="A106" s="106"/>
      <c r="B106" s="106"/>
      <c r="C106" s="106"/>
      <c r="D106" s="142"/>
      <c r="E106" s="142"/>
      <c r="F106" s="106"/>
      <c r="G106" s="106"/>
      <c r="H106" s="106"/>
      <c r="I106" s="106"/>
      <c r="J106" s="106"/>
      <c r="K106" s="106"/>
      <c r="L106" s="106"/>
    </row>
    <row r="107" spans="1:12" ht="34.950000000000003" customHeight="1">
      <c r="A107" s="106"/>
      <c r="B107" s="106"/>
      <c r="C107" s="106"/>
      <c r="D107" s="142"/>
      <c r="E107" s="142"/>
      <c r="F107" s="106"/>
      <c r="G107" s="106"/>
      <c r="H107" s="106"/>
      <c r="I107" s="106"/>
      <c r="J107" s="106"/>
      <c r="K107" s="106"/>
      <c r="L107" s="106"/>
    </row>
    <row r="108" spans="1:12" ht="46.35" customHeight="1">
      <c r="A108" s="106"/>
      <c r="B108" s="106"/>
      <c r="C108" s="106"/>
      <c r="D108" s="142"/>
      <c r="E108" s="142"/>
      <c r="F108" s="106"/>
      <c r="G108" s="106"/>
      <c r="H108" s="106"/>
      <c r="I108" s="106"/>
      <c r="J108" s="106"/>
      <c r="K108" s="106"/>
      <c r="L108" s="106"/>
    </row>
    <row r="109" spans="1:12" ht="46.35" customHeight="1">
      <c r="A109" s="106"/>
      <c r="B109" s="106"/>
      <c r="C109" s="106"/>
      <c r="D109" s="142"/>
      <c r="E109" s="142"/>
      <c r="F109" s="106"/>
      <c r="G109" s="106"/>
      <c r="H109" s="106"/>
      <c r="I109" s="106"/>
      <c r="J109" s="106"/>
      <c r="K109" s="106"/>
      <c r="L109" s="106"/>
    </row>
    <row r="110" spans="1:12" ht="34.950000000000003" customHeight="1">
      <c r="A110" s="106"/>
      <c r="B110" s="106"/>
      <c r="C110" s="106"/>
      <c r="D110" s="142"/>
      <c r="E110" s="142"/>
      <c r="F110" s="106"/>
      <c r="G110" s="106"/>
      <c r="H110" s="106"/>
      <c r="I110" s="106"/>
      <c r="J110" s="106"/>
      <c r="K110" s="106"/>
      <c r="L110" s="106"/>
    </row>
    <row r="111" spans="1:12" ht="40.65" customHeight="1">
      <c r="A111" s="106"/>
      <c r="B111" s="106"/>
      <c r="C111" s="106"/>
      <c r="D111" s="142"/>
      <c r="E111" s="142"/>
      <c r="F111" s="106"/>
      <c r="G111" s="106"/>
      <c r="H111" s="106"/>
      <c r="I111" s="106"/>
      <c r="J111" s="106"/>
      <c r="K111" s="106"/>
      <c r="L111" s="106"/>
    </row>
    <row r="112" spans="1:12" ht="40.65" customHeight="1">
      <c r="A112" s="106"/>
      <c r="B112" s="106"/>
      <c r="C112" s="106"/>
      <c r="D112" s="142"/>
      <c r="E112" s="142"/>
      <c r="F112" s="106"/>
      <c r="G112" s="106"/>
      <c r="H112" s="106"/>
      <c r="I112" s="106"/>
      <c r="J112" s="106"/>
      <c r="K112" s="106"/>
      <c r="L112" s="106"/>
    </row>
    <row r="113" spans="1:12" ht="46.35" customHeight="1">
      <c r="A113" s="106"/>
      <c r="B113" s="106"/>
      <c r="C113" s="106"/>
      <c r="D113" s="142"/>
      <c r="E113" s="142"/>
      <c r="F113" s="106"/>
      <c r="G113" s="106"/>
      <c r="H113" s="106"/>
      <c r="I113" s="106"/>
      <c r="J113" s="106"/>
      <c r="K113" s="106"/>
      <c r="L113" s="106"/>
    </row>
    <row r="114" spans="1:12" ht="34.950000000000003" customHeight="1">
      <c r="A114" s="106"/>
      <c r="B114" s="106"/>
      <c r="C114" s="106"/>
      <c r="D114" s="142"/>
      <c r="E114" s="142"/>
      <c r="F114" s="106"/>
      <c r="G114" s="106"/>
      <c r="H114" s="106"/>
      <c r="I114" s="106"/>
      <c r="J114" s="106"/>
      <c r="K114" s="106"/>
      <c r="L114" s="106"/>
    </row>
    <row r="115" spans="1:12" ht="34.950000000000003" customHeight="1">
      <c r="A115" s="106"/>
      <c r="B115" s="106"/>
      <c r="C115" s="106"/>
      <c r="D115" s="142"/>
      <c r="E115" s="142"/>
      <c r="F115" s="106"/>
      <c r="G115" s="106"/>
      <c r="H115" s="106"/>
      <c r="I115" s="106"/>
      <c r="J115" s="106"/>
      <c r="K115" s="106"/>
      <c r="L115" s="106"/>
    </row>
    <row r="116" spans="1:12" ht="34.950000000000003" customHeight="1">
      <c r="A116" s="106"/>
      <c r="B116" s="106"/>
      <c r="C116" s="106"/>
      <c r="D116" s="142"/>
      <c r="E116" s="142"/>
      <c r="F116" s="106"/>
      <c r="G116" s="106"/>
      <c r="H116" s="106"/>
      <c r="I116" s="106"/>
      <c r="J116" s="106"/>
      <c r="K116" s="106"/>
      <c r="L116" s="106"/>
    </row>
    <row r="117" spans="1:12" ht="40.65" customHeight="1">
      <c r="A117" s="106"/>
      <c r="B117" s="106"/>
      <c r="C117" s="106"/>
      <c r="D117" s="142"/>
      <c r="E117" s="142"/>
      <c r="F117" s="106"/>
      <c r="G117" s="106"/>
      <c r="H117" s="106"/>
      <c r="I117" s="106"/>
      <c r="J117" s="106"/>
      <c r="K117" s="106"/>
      <c r="L117" s="106"/>
    </row>
    <row r="118" spans="1:12" ht="40.65" customHeight="1">
      <c r="A118" s="106"/>
      <c r="B118" s="106"/>
      <c r="C118" s="106"/>
      <c r="D118" s="142"/>
      <c r="E118" s="142"/>
      <c r="F118" s="106"/>
      <c r="G118" s="106"/>
      <c r="H118" s="106"/>
      <c r="I118" s="106"/>
      <c r="J118" s="106"/>
      <c r="K118" s="106"/>
      <c r="L118" s="106"/>
    </row>
    <row r="119" spans="1:12" ht="40.65" customHeight="1">
      <c r="A119" s="106"/>
      <c r="B119" s="106"/>
      <c r="C119" s="106"/>
      <c r="D119" s="142"/>
      <c r="E119" s="142"/>
      <c r="F119" s="106"/>
      <c r="G119" s="106"/>
      <c r="H119" s="106"/>
      <c r="I119" s="106"/>
      <c r="J119" s="106"/>
      <c r="K119" s="106"/>
      <c r="L119" s="106"/>
    </row>
    <row r="120" spans="1:12" ht="40.65" customHeight="1">
      <c r="A120" s="106"/>
      <c r="B120" s="106"/>
      <c r="C120" s="106"/>
      <c r="D120" s="142"/>
      <c r="E120" s="142"/>
      <c r="F120" s="106"/>
      <c r="G120" s="106"/>
      <c r="H120" s="106"/>
      <c r="I120" s="106"/>
      <c r="J120" s="106"/>
      <c r="K120" s="106"/>
      <c r="L120" s="106"/>
    </row>
    <row r="121" spans="1:12" ht="34.950000000000003" customHeight="1">
      <c r="A121" s="106"/>
      <c r="B121" s="106"/>
      <c r="C121" s="106"/>
      <c r="D121" s="142"/>
      <c r="E121" s="142"/>
      <c r="F121" s="106"/>
      <c r="G121" s="106"/>
      <c r="H121" s="106"/>
      <c r="I121" s="106"/>
      <c r="J121" s="106"/>
      <c r="K121" s="106"/>
      <c r="L121" s="106"/>
    </row>
    <row r="122" spans="1:12" ht="22.95" customHeight="1">
      <c r="A122" s="106"/>
      <c r="B122" s="106"/>
      <c r="C122" s="106"/>
      <c r="D122" s="142"/>
      <c r="E122" s="142"/>
      <c r="F122" s="106"/>
      <c r="G122" s="106"/>
      <c r="H122" s="106"/>
      <c r="I122" s="106"/>
      <c r="J122" s="106"/>
      <c r="K122" s="106"/>
      <c r="L122" s="106"/>
    </row>
    <row r="123" spans="1:12" ht="34.950000000000003" customHeight="1">
      <c r="A123" s="106"/>
      <c r="B123" s="106"/>
      <c r="C123" s="106"/>
      <c r="D123" s="142"/>
      <c r="E123" s="142"/>
      <c r="F123" s="106"/>
      <c r="G123" s="106"/>
      <c r="H123" s="106"/>
      <c r="I123" s="106"/>
      <c r="J123" s="106"/>
      <c r="K123" s="106"/>
      <c r="L123" s="106"/>
    </row>
    <row r="124" spans="1:12" ht="40.65" customHeight="1">
      <c r="A124" s="106"/>
      <c r="B124" s="106"/>
      <c r="C124" s="106"/>
      <c r="D124" s="142"/>
      <c r="E124" s="142"/>
      <c r="F124" s="106"/>
      <c r="G124" s="106"/>
      <c r="H124" s="106"/>
      <c r="I124" s="106"/>
      <c r="J124" s="106"/>
      <c r="K124" s="106"/>
      <c r="L124" s="106"/>
    </row>
    <row r="125" spans="1:12" ht="40.65" customHeight="1">
      <c r="A125" s="106"/>
      <c r="B125" s="106"/>
      <c r="C125" s="106"/>
      <c r="D125" s="142"/>
      <c r="E125" s="142"/>
      <c r="F125" s="106"/>
      <c r="G125" s="106"/>
      <c r="H125" s="106"/>
      <c r="I125" s="106"/>
      <c r="J125" s="106"/>
      <c r="K125" s="106"/>
      <c r="L125" s="106"/>
    </row>
    <row r="126" spans="1:12" ht="58.35" customHeight="1">
      <c r="A126" s="106"/>
      <c r="B126" s="106"/>
      <c r="C126" s="106"/>
      <c r="D126" s="142"/>
      <c r="E126" s="142"/>
      <c r="F126" s="106"/>
      <c r="G126" s="106"/>
      <c r="H126" s="106"/>
      <c r="I126" s="106"/>
      <c r="J126" s="106"/>
      <c r="K126" s="106"/>
      <c r="L126" s="106"/>
    </row>
    <row r="127" spans="1:12" ht="46.35" customHeight="1">
      <c r="A127" s="106"/>
      <c r="B127" s="106"/>
      <c r="C127" s="106"/>
      <c r="D127" s="142"/>
      <c r="E127" s="142"/>
      <c r="F127" s="106"/>
      <c r="G127" s="106"/>
      <c r="H127" s="106"/>
      <c r="I127" s="106"/>
      <c r="J127" s="106"/>
      <c r="K127" s="106"/>
      <c r="L127" s="106"/>
    </row>
    <row r="128" spans="1:12" ht="40.65" customHeight="1">
      <c r="A128" s="106"/>
      <c r="B128" s="106"/>
      <c r="C128" s="106"/>
      <c r="D128" s="142"/>
      <c r="E128" s="142"/>
      <c r="F128" s="106"/>
      <c r="G128" s="106"/>
      <c r="H128" s="106"/>
      <c r="I128" s="106"/>
      <c r="J128" s="106"/>
      <c r="K128" s="106"/>
      <c r="L128" s="106"/>
    </row>
    <row r="129" spans="1:12" ht="46.35" customHeight="1">
      <c r="A129" s="106"/>
      <c r="B129" s="106"/>
      <c r="C129" s="106"/>
      <c r="D129" s="142"/>
      <c r="E129" s="142"/>
      <c r="F129" s="106"/>
      <c r="G129" s="106"/>
      <c r="H129" s="106"/>
      <c r="I129" s="106"/>
      <c r="J129" s="106"/>
      <c r="K129" s="106"/>
      <c r="L129" s="106"/>
    </row>
    <row r="130" spans="1:12" ht="34.950000000000003" customHeight="1">
      <c r="A130" s="106"/>
      <c r="B130" s="106"/>
      <c r="C130" s="106"/>
      <c r="D130" s="142"/>
      <c r="E130" s="142"/>
      <c r="F130" s="106"/>
      <c r="G130" s="106"/>
      <c r="H130" s="106"/>
      <c r="I130" s="106"/>
      <c r="J130" s="106"/>
      <c r="K130" s="106"/>
      <c r="L130" s="106"/>
    </row>
    <row r="131" spans="1:12" ht="46.35" customHeight="1">
      <c r="A131" s="106"/>
      <c r="B131" s="106"/>
      <c r="C131" s="106"/>
      <c r="D131" s="142"/>
      <c r="E131" s="142"/>
      <c r="F131" s="106"/>
      <c r="G131" s="106"/>
      <c r="H131" s="106"/>
      <c r="I131" s="106"/>
      <c r="J131" s="106"/>
      <c r="K131" s="106"/>
      <c r="L131" s="106"/>
    </row>
    <row r="132" spans="1:12" ht="40.65" customHeight="1">
      <c r="A132" s="106"/>
      <c r="B132" s="106"/>
      <c r="C132" s="106"/>
      <c r="D132" s="142"/>
      <c r="E132" s="142"/>
      <c r="F132" s="106"/>
      <c r="G132" s="106"/>
      <c r="H132" s="106"/>
      <c r="I132" s="106"/>
      <c r="J132" s="106"/>
      <c r="K132" s="106"/>
      <c r="L132" s="106"/>
    </row>
    <row r="133" spans="1:12" ht="40.65" customHeight="1">
      <c r="A133" s="106"/>
      <c r="B133" s="106"/>
      <c r="C133" s="106"/>
      <c r="D133" s="142"/>
      <c r="E133" s="142"/>
      <c r="F133" s="106"/>
      <c r="G133" s="106"/>
      <c r="H133" s="106"/>
      <c r="I133" s="106"/>
      <c r="J133" s="106"/>
      <c r="K133" s="106"/>
      <c r="L133" s="106"/>
    </row>
    <row r="134" spans="1:12" ht="58.35" customHeight="1">
      <c r="A134" s="106"/>
      <c r="B134" s="106"/>
      <c r="C134" s="106"/>
      <c r="D134" s="142"/>
      <c r="E134" s="142"/>
      <c r="F134" s="106"/>
      <c r="G134" s="106"/>
      <c r="H134" s="106"/>
      <c r="I134" s="106"/>
      <c r="J134" s="106"/>
      <c r="K134" s="106"/>
      <c r="L134" s="106"/>
    </row>
    <row r="135" spans="1:12" ht="46.35" customHeight="1">
      <c r="A135" s="106"/>
      <c r="B135" s="106"/>
      <c r="C135" s="106"/>
      <c r="D135" s="142"/>
      <c r="E135" s="142"/>
      <c r="F135" s="106"/>
      <c r="G135" s="106"/>
      <c r="H135" s="106"/>
      <c r="I135" s="106"/>
      <c r="J135" s="106"/>
      <c r="K135" s="106"/>
      <c r="L135" s="106"/>
    </row>
    <row r="136" spans="1:12" ht="40.65" customHeight="1">
      <c r="A136" s="106"/>
      <c r="B136" s="106"/>
      <c r="C136" s="106"/>
      <c r="D136" s="142"/>
      <c r="E136" s="142"/>
      <c r="F136" s="106"/>
      <c r="G136" s="106"/>
      <c r="H136" s="106"/>
      <c r="I136" s="106"/>
      <c r="J136" s="106"/>
      <c r="K136" s="106"/>
      <c r="L136" s="106"/>
    </row>
    <row r="137" spans="1:12" ht="46.35" customHeight="1">
      <c r="A137" s="106"/>
      <c r="B137" s="106"/>
      <c r="C137" s="106"/>
      <c r="D137" s="142"/>
      <c r="E137" s="142"/>
      <c r="F137" s="106"/>
      <c r="G137" s="106"/>
      <c r="H137" s="106"/>
      <c r="I137" s="106"/>
      <c r="J137" s="106"/>
      <c r="K137" s="106"/>
      <c r="L137" s="106"/>
    </row>
    <row r="138" spans="1:12" ht="29.1" customHeight="1">
      <c r="A138" s="106"/>
      <c r="B138" s="106"/>
      <c r="C138" s="106"/>
      <c r="D138" s="142"/>
      <c r="E138" s="142"/>
      <c r="F138" s="106"/>
      <c r="G138" s="106"/>
      <c r="H138" s="106"/>
      <c r="I138" s="106"/>
      <c r="J138" s="106"/>
      <c r="K138" s="106"/>
      <c r="L138" s="106"/>
    </row>
    <row r="139" spans="1:12" ht="46.35" customHeight="1">
      <c r="A139" s="106"/>
      <c r="B139" s="106"/>
      <c r="C139" s="106"/>
      <c r="D139" s="142"/>
      <c r="E139" s="142"/>
      <c r="F139" s="106"/>
      <c r="G139" s="106"/>
      <c r="H139" s="106"/>
      <c r="I139" s="106"/>
      <c r="J139" s="106"/>
      <c r="K139" s="106"/>
      <c r="L139" s="106"/>
    </row>
    <row r="140" spans="1:12" ht="40.65" customHeight="1">
      <c r="A140" s="106"/>
      <c r="B140" s="106"/>
      <c r="C140" s="106"/>
      <c r="D140" s="142"/>
      <c r="E140" s="142"/>
      <c r="F140" s="106"/>
      <c r="G140" s="106"/>
      <c r="H140" s="106"/>
      <c r="I140" s="106"/>
      <c r="J140" s="106"/>
      <c r="K140" s="106"/>
      <c r="L140" s="106"/>
    </row>
    <row r="141" spans="1:12" ht="40.65" customHeight="1">
      <c r="A141" s="106"/>
      <c r="B141" s="106"/>
      <c r="C141" s="106"/>
      <c r="D141" s="142"/>
      <c r="E141" s="142"/>
      <c r="F141" s="106"/>
      <c r="G141" s="106"/>
      <c r="H141" s="106"/>
      <c r="I141" s="106"/>
      <c r="J141" s="106"/>
      <c r="K141" s="106"/>
      <c r="L141" s="106"/>
    </row>
    <row r="142" spans="1:12" ht="58.35" customHeight="1">
      <c r="A142" s="106"/>
      <c r="B142" s="106"/>
      <c r="C142" s="106"/>
      <c r="D142" s="142"/>
      <c r="E142" s="142"/>
      <c r="F142" s="106"/>
      <c r="G142" s="106"/>
      <c r="H142" s="106"/>
      <c r="I142" s="106"/>
      <c r="J142" s="106"/>
      <c r="K142" s="106"/>
      <c r="L142" s="106"/>
    </row>
    <row r="143" spans="1:12" ht="46.35" customHeight="1">
      <c r="A143" s="106"/>
      <c r="B143" s="106"/>
      <c r="C143" s="106"/>
      <c r="D143" s="142"/>
      <c r="E143" s="142"/>
      <c r="F143" s="106"/>
      <c r="G143" s="106"/>
      <c r="H143" s="106"/>
      <c r="I143" s="106"/>
      <c r="J143" s="106"/>
      <c r="K143" s="106"/>
      <c r="L143" s="106"/>
    </row>
    <row r="144" spans="1:12" ht="40.65" customHeight="1">
      <c r="A144" s="106"/>
      <c r="B144" s="106"/>
      <c r="C144" s="106"/>
      <c r="D144" s="142"/>
      <c r="E144" s="142"/>
      <c r="F144" s="106"/>
      <c r="G144" s="106"/>
      <c r="H144" s="106"/>
      <c r="I144" s="106"/>
      <c r="J144" s="106"/>
      <c r="K144" s="106"/>
      <c r="L144" s="106"/>
    </row>
    <row r="145" spans="1:12" ht="46.35" customHeight="1">
      <c r="A145" s="106"/>
      <c r="B145" s="106"/>
      <c r="C145" s="106"/>
      <c r="D145" s="142"/>
      <c r="E145" s="142"/>
      <c r="F145" s="106"/>
      <c r="G145" s="106"/>
      <c r="H145" s="106"/>
      <c r="I145" s="106"/>
      <c r="J145" s="106"/>
      <c r="K145" s="106"/>
      <c r="L145" s="106"/>
    </row>
    <row r="146" spans="1:12" ht="29.1" customHeight="1">
      <c r="A146" s="106"/>
      <c r="B146" s="106"/>
      <c r="C146" s="106"/>
      <c r="D146" s="142"/>
      <c r="E146" s="142"/>
      <c r="F146" s="106"/>
      <c r="G146" s="106"/>
      <c r="H146" s="106"/>
      <c r="I146" s="106"/>
      <c r="J146" s="106"/>
      <c r="K146" s="106"/>
      <c r="L146" s="106"/>
    </row>
    <row r="147" spans="1:12" ht="40.65" customHeight="1">
      <c r="A147" s="106"/>
      <c r="B147" s="106"/>
      <c r="C147" s="106"/>
      <c r="D147" s="142"/>
      <c r="E147" s="142"/>
      <c r="F147" s="106"/>
      <c r="G147" s="106"/>
      <c r="H147" s="106"/>
      <c r="I147" s="106"/>
      <c r="J147" s="106"/>
      <c r="K147" s="106"/>
      <c r="L147" s="106"/>
    </row>
    <row r="148" spans="1:12" ht="52.2" customHeight="1">
      <c r="A148" s="106"/>
      <c r="B148" s="106"/>
      <c r="C148" s="106"/>
      <c r="D148" s="142"/>
      <c r="E148" s="142"/>
      <c r="F148" s="106"/>
      <c r="G148" s="106"/>
      <c r="H148" s="106"/>
      <c r="I148" s="106"/>
      <c r="J148" s="106"/>
      <c r="K148" s="106"/>
      <c r="L148" s="106"/>
    </row>
    <row r="149" spans="1:12" ht="40.65" customHeight="1">
      <c r="A149" s="106"/>
      <c r="B149" s="106"/>
      <c r="C149" s="106"/>
      <c r="D149" s="142"/>
      <c r="E149" s="142"/>
      <c r="F149" s="106"/>
      <c r="G149" s="106"/>
      <c r="H149" s="106"/>
      <c r="I149" s="106"/>
      <c r="J149" s="106"/>
      <c r="K149" s="106"/>
      <c r="L149" s="106"/>
    </row>
    <row r="150" spans="1:12" ht="58.35" customHeight="1">
      <c r="A150" s="106"/>
      <c r="B150" s="106"/>
      <c r="C150" s="106"/>
      <c r="D150" s="142"/>
      <c r="E150" s="142"/>
      <c r="F150" s="106"/>
      <c r="G150" s="106"/>
      <c r="H150" s="106"/>
      <c r="I150" s="106"/>
      <c r="J150" s="106"/>
      <c r="K150" s="106"/>
      <c r="L150" s="106"/>
    </row>
    <row r="151" spans="1:12" ht="46.35" customHeight="1">
      <c r="A151" s="106"/>
      <c r="B151" s="106"/>
      <c r="C151" s="106"/>
      <c r="D151" s="142"/>
      <c r="E151" s="142"/>
      <c r="F151" s="106"/>
      <c r="G151" s="106"/>
      <c r="H151" s="106"/>
      <c r="I151" s="106"/>
      <c r="J151" s="106"/>
      <c r="K151" s="106"/>
      <c r="L151" s="106"/>
    </row>
    <row r="152" spans="1:12" ht="40.65" customHeight="1">
      <c r="A152" s="106"/>
      <c r="B152" s="106"/>
      <c r="C152" s="106"/>
      <c r="D152" s="142"/>
      <c r="E152" s="142"/>
      <c r="F152" s="106"/>
      <c r="G152" s="106"/>
      <c r="H152" s="106"/>
      <c r="I152" s="106"/>
      <c r="J152" s="106"/>
      <c r="K152" s="106"/>
      <c r="L152" s="106"/>
    </row>
    <row r="153" spans="1:12" ht="46.35" customHeight="1">
      <c r="A153" s="106"/>
      <c r="B153" s="106"/>
      <c r="C153" s="106"/>
      <c r="D153" s="142"/>
      <c r="E153" s="142"/>
      <c r="F153" s="106"/>
      <c r="G153" s="106"/>
      <c r="H153" s="106"/>
      <c r="I153" s="106"/>
      <c r="J153" s="106"/>
      <c r="K153" s="106"/>
      <c r="L153" s="106"/>
    </row>
    <row r="154" spans="1:12" ht="29.1" customHeight="1">
      <c r="A154" s="106"/>
      <c r="B154" s="106"/>
      <c r="C154" s="106"/>
      <c r="D154" s="142"/>
      <c r="E154" s="142"/>
      <c r="F154" s="106"/>
      <c r="G154" s="106"/>
      <c r="H154" s="106"/>
      <c r="I154" s="106"/>
      <c r="J154" s="106"/>
      <c r="K154" s="106"/>
      <c r="L154" s="106"/>
    </row>
    <row r="155" spans="1:12" ht="34.950000000000003" customHeight="1">
      <c r="A155" s="106"/>
      <c r="B155" s="106"/>
      <c r="C155" s="106"/>
      <c r="D155" s="142"/>
      <c r="E155" s="142"/>
      <c r="F155" s="106"/>
      <c r="G155" s="106"/>
      <c r="H155" s="106"/>
      <c r="I155" s="106"/>
      <c r="J155" s="106"/>
      <c r="K155" s="106"/>
      <c r="L155" s="106"/>
    </row>
    <row r="156" spans="1:12" ht="40.65" customHeight="1">
      <c r="A156" s="106"/>
      <c r="B156" s="106"/>
      <c r="C156" s="106"/>
      <c r="D156" s="142"/>
      <c r="E156" s="142"/>
      <c r="F156" s="106"/>
      <c r="G156" s="106"/>
      <c r="H156" s="106"/>
      <c r="I156" s="106"/>
      <c r="J156" s="106"/>
      <c r="K156" s="106"/>
      <c r="L156" s="106"/>
    </row>
    <row r="157" spans="1:12" ht="40.65" customHeight="1">
      <c r="A157" s="106"/>
      <c r="B157" s="106"/>
      <c r="C157" s="106"/>
      <c r="D157" s="142"/>
      <c r="E157" s="142"/>
      <c r="F157" s="106"/>
      <c r="G157" s="106"/>
      <c r="H157" s="106"/>
      <c r="I157" s="106"/>
      <c r="J157" s="106"/>
      <c r="K157" s="106"/>
      <c r="L157" s="106"/>
    </row>
    <row r="158" spans="1:12" ht="52.2" customHeight="1">
      <c r="A158" s="106"/>
      <c r="B158" s="106"/>
      <c r="C158" s="106"/>
      <c r="D158" s="142"/>
      <c r="E158" s="142"/>
      <c r="F158" s="106"/>
      <c r="G158" s="106"/>
      <c r="H158" s="106"/>
      <c r="I158" s="106"/>
      <c r="J158" s="106"/>
      <c r="K158" s="106"/>
      <c r="L158" s="106"/>
    </row>
    <row r="159" spans="1:12" ht="46.35" customHeight="1">
      <c r="A159" s="106"/>
      <c r="B159" s="106"/>
      <c r="C159" s="106"/>
      <c r="D159" s="142"/>
      <c r="E159" s="142"/>
      <c r="F159" s="106"/>
      <c r="G159" s="106"/>
      <c r="H159" s="106"/>
      <c r="I159" s="106"/>
      <c r="J159" s="106"/>
      <c r="K159" s="106"/>
      <c r="L159" s="106"/>
    </row>
    <row r="160" spans="1:12" ht="40.65" customHeight="1">
      <c r="A160" s="106"/>
      <c r="B160" s="106"/>
      <c r="C160" s="106"/>
      <c r="D160" s="142"/>
      <c r="E160" s="142"/>
      <c r="F160" s="106"/>
      <c r="G160" s="106"/>
      <c r="H160" s="106"/>
      <c r="I160" s="106"/>
      <c r="J160" s="106"/>
      <c r="K160" s="106"/>
      <c r="L160" s="106"/>
    </row>
    <row r="161" spans="1:12" ht="46.35" customHeight="1">
      <c r="A161" s="106"/>
      <c r="B161" s="106"/>
      <c r="C161" s="106"/>
      <c r="D161" s="142"/>
      <c r="E161" s="142"/>
      <c r="F161" s="106"/>
      <c r="G161" s="106"/>
      <c r="H161" s="106"/>
      <c r="I161" s="106"/>
      <c r="J161" s="106"/>
      <c r="K161" s="106"/>
      <c r="L161" s="106"/>
    </row>
    <row r="162" spans="1:12" ht="29.1" customHeight="1">
      <c r="A162" s="106"/>
      <c r="B162" s="106"/>
      <c r="C162" s="106"/>
      <c r="D162" s="142"/>
      <c r="E162" s="142"/>
      <c r="F162" s="106"/>
      <c r="G162" s="106"/>
      <c r="H162" s="106"/>
      <c r="I162" s="106"/>
      <c r="J162" s="106"/>
      <c r="K162" s="106"/>
      <c r="L162" s="106"/>
    </row>
    <row r="163" spans="1:12" ht="34.950000000000003" customHeight="1">
      <c r="A163" s="106"/>
      <c r="B163" s="106"/>
      <c r="C163" s="106"/>
      <c r="D163" s="142"/>
      <c r="E163" s="142"/>
      <c r="F163" s="106"/>
      <c r="G163" s="106"/>
      <c r="H163" s="106"/>
      <c r="I163" s="106"/>
      <c r="J163" s="106"/>
      <c r="K163" s="106"/>
      <c r="L163" s="106"/>
    </row>
    <row r="164" spans="1:12" ht="40.65" customHeight="1">
      <c r="A164" s="106"/>
      <c r="B164" s="106"/>
      <c r="C164" s="106"/>
      <c r="D164" s="142"/>
      <c r="E164" s="142"/>
      <c r="F164" s="106"/>
      <c r="G164" s="106"/>
      <c r="H164" s="106"/>
      <c r="I164" s="106"/>
      <c r="J164" s="106"/>
      <c r="K164" s="106"/>
      <c r="L164" s="106"/>
    </row>
    <row r="165" spans="1:12" ht="40.65" customHeight="1">
      <c r="A165" s="106"/>
      <c r="B165" s="106"/>
      <c r="C165" s="106"/>
      <c r="D165" s="142"/>
      <c r="E165" s="142"/>
      <c r="F165" s="106"/>
      <c r="G165" s="106"/>
      <c r="H165" s="106"/>
      <c r="I165" s="106"/>
      <c r="J165" s="106"/>
      <c r="K165" s="106"/>
      <c r="L165" s="106"/>
    </row>
    <row r="166" spans="1:12" ht="40.65" customHeight="1">
      <c r="A166" s="106"/>
      <c r="B166" s="106"/>
      <c r="C166" s="106"/>
      <c r="D166" s="142"/>
      <c r="E166" s="142"/>
      <c r="F166" s="106"/>
      <c r="G166" s="106"/>
      <c r="H166" s="106"/>
      <c r="I166" s="106"/>
      <c r="J166" s="106"/>
      <c r="K166" s="106"/>
      <c r="L166" s="106"/>
    </row>
    <row r="167" spans="1:12" ht="52.2" customHeight="1">
      <c r="A167" s="106"/>
      <c r="B167" s="106"/>
      <c r="C167" s="106"/>
      <c r="D167" s="142"/>
      <c r="E167" s="142"/>
      <c r="F167" s="106"/>
      <c r="G167" s="106"/>
      <c r="H167" s="106"/>
      <c r="I167" s="106"/>
      <c r="J167" s="106"/>
      <c r="K167" s="106"/>
      <c r="L167" s="106"/>
    </row>
    <row r="168" spans="1:12" ht="40.65" customHeight="1">
      <c r="A168" s="106"/>
      <c r="B168" s="106"/>
      <c r="C168" s="106"/>
      <c r="D168" s="142"/>
      <c r="E168" s="142"/>
      <c r="F168" s="106"/>
      <c r="G168" s="106"/>
      <c r="H168" s="106"/>
      <c r="I168" s="106"/>
      <c r="J168" s="106"/>
      <c r="K168" s="106"/>
      <c r="L168" s="106"/>
    </row>
    <row r="169" spans="1:12" ht="46.35" customHeight="1">
      <c r="A169" s="106"/>
      <c r="B169" s="106"/>
      <c r="C169" s="106"/>
      <c r="D169" s="142"/>
      <c r="E169" s="142"/>
      <c r="F169" s="106"/>
      <c r="G169" s="106"/>
      <c r="H169" s="106"/>
      <c r="I169" s="106"/>
      <c r="J169" s="106"/>
      <c r="K169" s="106"/>
      <c r="L169" s="106"/>
    </row>
    <row r="170" spans="1:12" ht="29.1" customHeight="1">
      <c r="A170" s="106"/>
      <c r="B170" s="106"/>
      <c r="C170" s="106"/>
      <c r="D170" s="142"/>
      <c r="E170" s="142"/>
      <c r="F170" s="106"/>
      <c r="G170" s="106"/>
      <c r="H170" s="106"/>
      <c r="I170" s="106"/>
      <c r="J170" s="106"/>
      <c r="K170" s="106"/>
      <c r="L170" s="106"/>
    </row>
    <row r="171" spans="1:12" ht="40.65" customHeight="1">
      <c r="A171" s="106"/>
      <c r="B171" s="106"/>
      <c r="C171" s="106"/>
      <c r="D171" s="142"/>
      <c r="E171" s="142"/>
      <c r="F171" s="106"/>
      <c r="G171" s="106"/>
      <c r="H171" s="106"/>
      <c r="I171" s="106"/>
      <c r="J171" s="106"/>
      <c r="K171" s="106"/>
      <c r="L171" s="106"/>
    </row>
    <row r="172" spans="1:12" ht="29.1" customHeight="1">
      <c r="A172" s="106"/>
      <c r="B172" s="106"/>
      <c r="C172" s="106"/>
      <c r="D172" s="142"/>
      <c r="E172" s="142"/>
      <c r="F172" s="106"/>
      <c r="G172" s="106"/>
      <c r="H172" s="106"/>
      <c r="I172" s="106"/>
      <c r="J172" s="106"/>
      <c r="K172" s="106"/>
      <c r="L172" s="106"/>
    </row>
    <row r="173" spans="1:12" ht="40.65" customHeight="1">
      <c r="A173" s="106"/>
      <c r="B173" s="106"/>
      <c r="C173" s="106"/>
      <c r="D173" s="142"/>
      <c r="E173" s="142"/>
      <c r="F173" s="106"/>
      <c r="G173" s="106"/>
      <c r="H173" s="106"/>
      <c r="I173" s="106"/>
      <c r="J173" s="106"/>
      <c r="K173" s="106"/>
      <c r="L173" s="106"/>
    </row>
    <row r="174" spans="1:12" ht="29.1" customHeight="1">
      <c r="A174" s="106"/>
      <c r="B174" s="106"/>
      <c r="C174" s="106"/>
      <c r="D174" s="142"/>
      <c r="E174" s="142"/>
      <c r="F174" s="106"/>
      <c r="G174" s="106"/>
      <c r="H174" s="106"/>
      <c r="I174" s="106"/>
      <c r="J174" s="106"/>
      <c r="K174" s="106"/>
      <c r="L174" s="106"/>
    </row>
    <row r="175" spans="1:12" ht="46.35" customHeight="1">
      <c r="A175" s="106"/>
      <c r="B175" s="106"/>
      <c r="C175" s="106"/>
      <c r="D175" s="142"/>
      <c r="E175" s="142"/>
      <c r="F175" s="106"/>
      <c r="G175" s="106"/>
      <c r="H175" s="106"/>
      <c r="I175" s="106"/>
      <c r="J175" s="106"/>
      <c r="K175" s="106"/>
      <c r="L175" s="106"/>
    </row>
    <row r="176" spans="1:12" ht="46.35" customHeight="1">
      <c r="A176" s="106"/>
      <c r="B176" s="106"/>
      <c r="C176" s="106"/>
      <c r="D176" s="142"/>
      <c r="E176" s="142"/>
      <c r="F176" s="106"/>
      <c r="G176" s="106"/>
      <c r="H176" s="106"/>
      <c r="I176" s="106"/>
      <c r="J176" s="106"/>
      <c r="K176" s="106"/>
      <c r="L176" s="106"/>
    </row>
    <row r="177" spans="1:12" ht="46.35" customHeight="1">
      <c r="A177" s="106"/>
      <c r="B177" s="106"/>
      <c r="C177" s="106"/>
      <c r="D177" s="142"/>
      <c r="E177" s="142"/>
      <c r="F177" s="106"/>
      <c r="G177" s="106"/>
      <c r="H177" s="106"/>
      <c r="I177" s="106"/>
      <c r="J177" s="106"/>
      <c r="K177" s="106"/>
      <c r="L177" s="106"/>
    </row>
    <row r="178" spans="1:12" ht="29.1" customHeight="1">
      <c r="A178" s="106"/>
      <c r="B178" s="106"/>
      <c r="C178" s="106"/>
      <c r="D178" s="142"/>
      <c r="E178" s="142"/>
      <c r="F178" s="106"/>
      <c r="G178" s="106"/>
      <c r="H178" s="106"/>
      <c r="I178" s="106"/>
      <c r="J178" s="106"/>
      <c r="K178" s="106"/>
      <c r="L178" s="106"/>
    </row>
    <row r="179" spans="1:12" ht="40.65" customHeight="1">
      <c r="A179" s="106"/>
      <c r="B179" s="106"/>
      <c r="C179" s="106"/>
      <c r="D179" s="142"/>
      <c r="E179" s="142"/>
      <c r="F179" s="106"/>
      <c r="G179" s="106"/>
      <c r="H179" s="106"/>
      <c r="I179" s="106"/>
      <c r="J179" s="106"/>
      <c r="K179" s="106"/>
      <c r="L179" s="106"/>
    </row>
    <row r="180" spans="1:12" ht="40.65" customHeight="1">
      <c r="A180" s="106"/>
      <c r="B180" s="106"/>
      <c r="C180" s="106"/>
      <c r="D180" s="142"/>
      <c r="E180" s="142"/>
      <c r="F180" s="106"/>
      <c r="G180" s="106"/>
      <c r="H180" s="106"/>
      <c r="I180" s="106"/>
      <c r="J180" s="106"/>
      <c r="K180" s="106"/>
      <c r="L180" s="106"/>
    </row>
    <row r="181" spans="1:12" ht="40.65" customHeight="1">
      <c r="A181" s="106"/>
      <c r="B181" s="106"/>
      <c r="C181" s="106"/>
      <c r="D181" s="142"/>
      <c r="E181" s="142"/>
      <c r="F181" s="106"/>
      <c r="G181" s="106"/>
      <c r="H181" s="106"/>
      <c r="I181" s="106"/>
      <c r="J181" s="106"/>
      <c r="K181" s="106"/>
      <c r="L181" s="106"/>
    </row>
    <row r="182" spans="1:12" ht="29.1" customHeight="1">
      <c r="A182" s="106"/>
      <c r="B182" s="106"/>
      <c r="C182" s="106"/>
      <c r="D182" s="142"/>
      <c r="E182" s="142"/>
      <c r="F182" s="106"/>
      <c r="G182" s="106"/>
      <c r="H182" s="106"/>
      <c r="I182" s="106"/>
      <c r="J182" s="106"/>
      <c r="K182" s="106"/>
      <c r="L182" s="106"/>
    </row>
    <row r="183" spans="1:12" ht="46.35" customHeight="1">
      <c r="A183" s="106"/>
      <c r="B183" s="106"/>
      <c r="C183" s="106"/>
      <c r="D183" s="142"/>
      <c r="E183" s="142"/>
      <c r="F183" s="106"/>
      <c r="G183" s="106"/>
      <c r="H183" s="106"/>
      <c r="I183" s="106"/>
      <c r="J183" s="106"/>
      <c r="K183" s="106"/>
      <c r="L183" s="106"/>
    </row>
    <row r="184" spans="1:12" ht="40.65" customHeight="1">
      <c r="A184" s="106"/>
      <c r="B184" s="106"/>
      <c r="C184" s="106"/>
      <c r="D184" s="142"/>
      <c r="E184" s="142"/>
      <c r="F184" s="106"/>
      <c r="G184" s="106"/>
      <c r="H184" s="106"/>
      <c r="I184" s="106"/>
      <c r="J184" s="106"/>
      <c r="K184" s="106"/>
      <c r="L184" s="106"/>
    </row>
    <row r="185" spans="1:12" ht="46.35" customHeight="1">
      <c r="A185" s="106"/>
      <c r="B185" s="106"/>
      <c r="C185" s="106"/>
      <c r="D185" s="142"/>
      <c r="E185" s="142"/>
      <c r="F185" s="106"/>
      <c r="G185" s="106"/>
      <c r="H185" s="106"/>
      <c r="I185" s="106"/>
      <c r="J185" s="106"/>
      <c r="K185" s="106"/>
      <c r="L185" s="106"/>
    </row>
    <row r="186" spans="1:12" ht="29.1" customHeight="1">
      <c r="A186" s="106"/>
      <c r="B186" s="106"/>
      <c r="C186" s="106"/>
      <c r="D186" s="142"/>
      <c r="E186" s="142"/>
      <c r="F186" s="106"/>
      <c r="G186" s="106"/>
      <c r="H186" s="106"/>
      <c r="I186" s="106"/>
      <c r="J186" s="106"/>
      <c r="K186" s="106"/>
      <c r="L186" s="106"/>
    </row>
    <row r="187" spans="1:12" ht="40.65" customHeight="1">
      <c r="A187" s="106"/>
      <c r="B187" s="106"/>
      <c r="C187" s="106"/>
      <c r="D187" s="142"/>
      <c r="E187" s="142"/>
      <c r="F187" s="106"/>
      <c r="G187" s="106"/>
      <c r="H187" s="106"/>
      <c r="I187" s="106"/>
      <c r="J187" s="106"/>
      <c r="K187" s="106"/>
      <c r="L187" s="106"/>
    </row>
    <row r="188" spans="1:12" ht="40.65" customHeight="1">
      <c r="A188" s="106"/>
      <c r="B188" s="106"/>
      <c r="C188" s="106"/>
      <c r="D188" s="142"/>
      <c r="E188" s="142"/>
      <c r="F188" s="106"/>
      <c r="G188" s="106"/>
      <c r="H188" s="106"/>
      <c r="I188" s="106"/>
      <c r="J188" s="106"/>
      <c r="K188" s="106"/>
      <c r="L188" s="106"/>
    </row>
    <row r="189" spans="1:12" ht="40.65" customHeight="1">
      <c r="A189" s="106"/>
      <c r="B189" s="106"/>
      <c r="C189" s="106"/>
      <c r="D189" s="142"/>
      <c r="E189" s="142"/>
      <c r="F189" s="106"/>
      <c r="G189" s="106"/>
      <c r="H189" s="106"/>
      <c r="I189" s="106"/>
      <c r="J189" s="106"/>
      <c r="K189" s="106"/>
      <c r="L189" s="106"/>
    </row>
    <row r="190" spans="1:12" ht="29.1" customHeight="1">
      <c r="A190" s="106"/>
      <c r="B190" s="106"/>
      <c r="C190" s="106"/>
      <c r="D190" s="142"/>
      <c r="E190" s="142"/>
      <c r="F190" s="106"/>
      <c r="G190" s="106"/>
      <c r="H190" s="106"/>
      <c r="I190" s="106"/>
      <c r="J190" s="106"/>
      <c r="K190" s="106"/>
      <c r="L190" s="106"/>
    </row>
    <row r="191" spans="1:12" ht="46.35" customHeight="1">
      <c r="A191" s="106"/>
      <c r="B191" s="106"/>
      <c r="C191" s="106"/>
      <c r="D191" s="142"/>
      <c r="E191" s="142"/>
      <c r="F191" s="106"/>
      <c r="G191" s="106"/>
      <c r="H191" s="106"/>
      <c r="I191" s="106"/>
      <c r="J191" s="106"/>
      <c r="K191" s="106"/>
      <c r="L191" s="106"/>
    </row>
    <row r="192" spans="1:12" ht="46.35" customHeight="1">
      <c r="A192" s="106"/>
      <c r="B192" s="106"/>
      <c r="C192" s="106"/>
      <c r="D192" s="142"/>
      <c r="E192" s="142"/>
      <c r="F192" s="106"/>
      <c r="G192" s="106"/>
      <c r="H192" s="106"/>
      <c r="I192" s="106"/>
      <c r="J192" s="106"/>
      <c r="K192" s="106"/>
      <c r="L192" s="106"/>
    </row>
    <row r="193" spans="1:12" ht="34.950000000000003" customHeight="1">
      <c r="A193" s="106"/>
      <c r="B193" s="106"/>
      <c r="C193" s="106"/>
      <c r="D193" s="142"/>
      <c r="E193" s="142"/>
      <c r="F193" s="106"/>
      <c r="G193" s="106"/>
      <c r="H193" s="106"/>
      <c r="I193" s="106"/>
      <c r="J193" s="106"/>
      <c r="K193" s="106"/>
      <c r="L193" s="106"/>
    </row>
    <row r="194" spans="1:12" ht="29.1" customHeight="1">
      <c r="A194" s="106"/>
      <c r="B194" s="106"/>
      <c r="C194" s="106"/>
      <c r="D194" s="142"/>
      <c r="E194" s="142"/>
      <c r="F194" s="106"/>
      <c r="G194" s="106"/>
      <c r="H194" s="106"/>
      <c r="I194" s="106"/>
      <c r="J194" s="106"/>
      <c r="K194" s="106"/>
      <c r="L194" s="106"/>
    </row>
    <row r="195" spans="1:12" ht="40.65" customHeight="1">
      <c r="A195" s="106"/>
      <c r="B195" s="106"/>
      <c r="C195" s="106"/>
      <c r="D195" s="142"/>
      <c r="E195" s="142"/>
      <c r="F195" s="106"/>
      <c r="G195" s="106"/>
      <c r="H195" s="106"/>
      <c r="I195" s="106"/>
      <c r="J195" s="106"/>
      <c r="K195" s="106"/>
      <c r="L195" s="106"/>
    </row>
    <row r="196" spans="1:12" ht="40.65" customHeight="1">
      <c r="A196" s="106"/>
      <c r="B196" s="106"/>
      <c r="C196" s="106"/>
      <c r="D196" s="142"/>
      <c r="E196" s="142"/>
      <c r="F196" s="106"/>
      <c r="G196" s="106"/>
      <c r="H196" s="106"/>
      <c r="I196" s="106"/>
      <c r="J196" s="106"/>
      <c r="K196" s="106"/>
      <c r="L196" s="106"/>
    </row>
    <row r="197" spans="1:12" ht="40.65" customHeight="1">
      <c r="A197" s="106"/>
      <c r="B197" s="106"/>
      <c r="C197" s="106"/>
      <c r="D197" s="142"/>
      <c r="E197" s="142"/>
      <c r="F197" s="106"/>
      <c r="G197" s="106"/>
      <c r="H197" s="106"/>
      <c r="I197" s="106"/>
      <c r="J197" s="106"/>
      <c r="K197" s="106"/>
      <c r="L197" s="106"/>
    </row>
    <row r="198" spans="1:12" ht="29.1" customHeight="1">
      <c r="A198" s="106"/>
      <c r="B198" s="106"/>
      <c r="C198" s="106"/>
      <c r="D198" s="142"/>
      <c r="E198" s="142"/>
      <c r="F198" s="106"/>
      <c r="G198" s="106"/>
      <c r="H198" s="106"/>
      <c r="I198" s="106"/>
      <c r="J198" s="106"/>
      <c r="K198" s="106"/>
      <c r="L198" s="106"/>
    </row>
    <row r="199" spans="1:12" ht="46.35" customHeight="1">
      <c r="A199" s="106"/>
      <c r="B199" s="106"/>
      <c r="C199" s="106"/>
      <c r="D199" s="142"/>
      <c r="E199" s="142"/>
      <c r="F199" s="106"/>
      <c r="G199" s="106"/>
      <c r="H199" s="106"/>
      <c r="I199" s="106"/>
      <c r="J199" s="106"/>
      <c r="K199" s="106"/>
      <c r="L199" s="106"/>
    </row>
    <row r="200" spans="1:12" ht="46.35" customHeight="1">
      <c r="A200" s="106"/>
      <c r="B200" s="106"/>
      <c r="C200" s="106"/>
      <c r="D200" s="142"/>
      <c r="E200" s="142"/>
      <c r="F200" s="106"/>
      <c r="G200" s="106"/>
      <c r="H200" s="106"/>
      <c r="I200" s="106"/>
      <c r="J200" s="106"/>
      <c r="K200" s="106"/>
      <c r="L200" s="106"/>
    </row>
    <row r="201" spans="1:12" ht="46.35" customHeight="1">
      <c r="A201" s="106" t="str">
        <f>B33_Assessment!$B$2</f>
        <v>33</v>
      </c>
      <c r="B201" s="106" t="str">
        <f t="shared" ref="B201:B206" si="21">"B33_Assessment"</f>
        <v>B33_Assessment</v>
      </c>
      <c r="C201" s="106" t="str">
        <f>B33_Assessment!$A$52</f>
        <v>B33-R8</v>
      </c>
      <c r="D201" s="142" t="str">
        <f>B33_Assessment!$B$52</f>
        <v>B17 / Other Bldgs</v>
      </c>
      <c r="E201" s="142" t="str">
        <f>B33_Assessment!$C$52</f>
        <v>Existing B17 cross-building service relationships may create cutover dependency</v>
      </c>
      <c r="F201" s="106" t="str">
        <f>B33_Assessment!$D$52</f>
        <v>High</v>
      </c>
      <c r="G201" s="106" t="str">
        <f>B33_Assessment!$E$52</f>
        <v>Medium</v>
      </c>
      <c r="H201" s="106">
        <f>B33_Assessment!$F$52</f>
        <v>6</v>
      </c>
      <c r="I201" s="106" t="str">
        <f>B33_Assessment!$G$52</f>
        <v>Verify ports to Bldgs 3, 80 and 82, SERTEX utility service, labels, test records, service provider dependency and OIT approval</v>
      </c>
      <c r="J201" s="106" t="str">
        <f>B33_Assessment!$H$52</f>
        <v>Telecom / OIT</v>
      </c>
      <c r="K201" s="106" t="str">
        <f>B33_Assessment!$I$52</f>
        <v>Closed</v>
      </c>
      <c r="L201" s="106" t="str">
        <f>B33_Assessment!$J$52</f>
        <v>Existing B17 elevation identifies ports 1-72 to Bldg 3, 73-96 to Bldg 80, 97-120 to Bldg 82, and 121-144 to Bldg 3.</v>
      </c>
    </row>
    <row r="202" spans="1:12" ht="34.950000000000003" customHeight="1">
      <c r="A202" s="106" t="str">
        <f>B61_Assessment!$B$2</f>
        <v>61</v>
      </c>
      <c r="B202" s="106" t="str">
        <f t="shared" si="21"/>
        <v>B33_Assessment</v>
      </c>
      <c r="C202" s="106" t="str">
        <f>B61_Assessment!$A$59</f>
        <v>B61-R1</v>
      </c>
      <c r="D202" s="142" t="str">
        <f>B61_Assessment!$B$59</f>
        <v>All</v>
      </c>
      <c r="E202" s="142" t="str">
        <f>B61_Assessment!$C$59</f>
        <v>Existing conditions and active equipment across B13H-A, 124, 226 and 137/137A not field verified</v>
      </c>
      <c r="F202" s="106" t="str">
        <f>B61_Assessment!$D$59</f>
        <v>High</v>
      </c>
      <c r="G202" s="106" t="str">
        <f>B61_Assessment!$E$59</f>
        <v>Medium</v>
      </c>
      <c r="H202" s="106">
        <f>B61_Assessment!$F$59</f>
        <v>6</v>
      </c>
      <c r="I202" s="106" t="str">
        <f>B61_Assessment!$G$59</f>
        <v>Perform existing conditions survey with photos and active-service inventory before mobilization</v>
      </c>
      <c r="J202" s="106" t="str">
        <f>B61_Assessment!$H$59</f>
        <v>GCC / Contractor</v>
      </c>
      <c r="K202" s="106" t="str">
        <f>B61_Assessment!$I$59</f>
        <v>Closed</v>
      </c>
      <c r="L202" s="106" t="str">
        <f>B61_Assessment!$J$59</f>
        <v>Large multi-room scope with active demarc/server equipment.</v>
      </c>
    </row>
    <row r="203" spans="1:12" ht="46.35" customHeight="1">
      <c r="A203" s="106" t="str">
        <f>B61_Assessment!$B$2</f>
        <v>61</v>
      </c>
      <c r="B203" s="106" t="str">
        <f t="shared" si="21"/>
        <v>B33_Assessment</v>
      </c>
      <c r="C203" s="106" t="str">
        <f>B61_Assessment!$A$60</f>
        <v>B61-R2</v>
      </c>
      <c r="D203" s="142" t="str">
        <f>B61_Assessment!$B$60</f>
        <v>B13H-A / 124 / 226</v>
      </c>
      <c r="E203" s="142" t="str">
        <f>B61_Assessment!$C$60</f>
        <v>Hazardous material abatement plans exist for first and second levels</v>
      </c>
      <c r="F203" s="106" t="str">
        <f>B61_Assessment!$D$60</f>
        <v>High</v>
      </c>
      <c r="G203" s="106" t="str">
        <f>B61_Assessment!$E$60</f>
        <v>Medium</v>
      </c>
      <c r="H203" s="106">
        <f>B61_Assessment!$F$60</f>
        <v>6</v>
      </c>
      <c r="I203" s="106" t="str">
        <f>B61_Assessment!$G$60</f>
        <v>Coordinate IH/abatement review before penetrations, wall/ceiling work, cabling or mechanical/electrical installation</v>
      </c>
      <c r="J203" s="106" t="str">
        <f>B61_Assessment!$H$60</f>
        <v>GC / IH / COR</v>
      </c>
      <c r="K203" s="106" t="str">
        <f>B61_Assessment!$I$60</f>
        <v>Closed</v>
      </c>
      <c r="L203" s="106" t="str">
        <f>B61_Assessment!$J$60</f>
        <v>Drawing index includes 61H-101 and 61H-102 hazardous material abatement plans.</v>
      </c>
    </row>
    <row r="204" spans="1:12" ht="40.65" customHeight="1">
      <c r="A204" s="106" t="str">
        <f>B61_Assessment!$B$2</f>
        <v>61</v>
      </c>
      <c r="B204" s="106" t="str">
        <f t="shared" si="21"/>
        <v>B33_Assessment</v>
      </c>
      <c r="C204" s="106" t="str">
        <f>B61_Assessment!$A$61</f>
        <v>B61-R3</v>
      </c>
      <c r="D204" s="142" t="str">
        <f>B61_Assessment!$B$61</f>
        <v>137 / 137A</v>
      </c>
      <c r="E204" s="142" t="str">
        <f>B61_Assessment!$C$61</f>
        <v>Existing server/demarc equipment may remain active during cutover</v>
      </c>
      <c r="F204" s="106" t="str">
        <f>B61_Assessment!$D$61</f>
        <v>Critical</v>
      </c>
      <c r="G204" s="106" t="str">
        <f>B61_Assessment!$E$61</f>
        <v>Medium</v>
      </c>
      <c r="H204" s="106">
        <f>B61_Assessment!$F$61</f>
        <v>8</v>
      </c>
      <c r="I204" s="106" t="str">
        <f>B61_Assessment!$G$61</f>
        <v>Document active services, service provider circuits, rack inventory, OIT windows, temporary utilities and rollback path</v>
      </c>
      <c r="J204" s="106" t="str">
        <f>B61_Assessment!$H$61</f>
        <v>OIT / Telecom</v>
      </c>
      <c r="K204" s="106" t="str">
        <f>B61_Assessment!$I$61</f>
        <v>Closed</v>
      </c>
      <c r="L204" s="106" t="str">
        <f>B61_Assessment!$J$61</f>
        <v>Existing APC/Fujitsu/rack/patch equipment shown in Room 137 inventory/rack elevations.</v>
      </c>
    </row>
    <row r="205" spans="1:12" ht="40.65" customHeight="1">
      <c r="A205" s="106" t="str">
        <f>B61_Assessment!$B$2</f>
        <v>61</v>
      </c>
      <c r="B205" s="106" t="str">
        <f t="shared" si="21"/>
        <v>B33_Assessment</v>
      </c>
      <c r="C205" s="106" t="str">
        <f>B61_Assessment!$A$62</f>
        <v>B61-R4</v>
      </c>
      <c r="D205" s="142" t="str">
        <f>B61_Assessment!$B$62</f>
        <v>All TRs</v>
      </c>
      <c r="E205" s="142" t="str">
        <f>B61_Assessment!$C$62</f>
        <v>Dedicated cooling sequence, emergency power, condensate, BACnet and alarms not verified</v>
      </c>
      <c r="F205" s="106" t="str">
        <f>B61_Assessment!$D$62</f>
        <v>Critical</v>
      </c>
      <c r="G205" s="106" t="str">
        <f>B61_Assessment!$E$62</f>
        <v>Medium</v>
      </c>
      <c r="H205" s="106">
        <f>B61_Assessment!$F$62</f>
        <v>8</v>
      </c>
      <c r="I205" s="106" t="str">
        <f>B61_Assessment!$G$62</f>
        <v>Confirm IU/CU-0/1/2 power source, condensate, controls, BACnet adapter, thermostat and high-temp alarm</v>
      </c>
      <c r="J205" s="106" t="str">
        <f>B61_Assessment!$H$62</f>
        <v>Mechanical / Electrical</v>
      </c>
      <c r="K205" s="106" t="str">
        <f>B61_Assessment!$I$62</f>
        <v>Closed</v>
      </c>
      <c r="L205" s="106" t="str">
        <f>B61_Assessment!$J$62</f>
        <v>Cooling is central to TR/server readiness.</v>
      </c>
    </row>
    <row r="206" spans="1:12" ht="40.65" customHeight="1">
      <c r="A206" s="106" t="str">
        <f>B61_Assessment!$B$2</f>
        <v>61</v>
      </c>
      <c r="B206" s="106" t="str">
        <f t="shared" si="21"/>
        <v>B33_Assessment</v>
      </c>
      <c r="C206" s="106" t="str">
        <f>B61_Assessment!$A$63</f>
        <v>B61-R5</v>
      </c>
      <c r="D206" s="142" t="str">
        <f>B61_Assessment!$B$63</f>
        <v>All TRs</v>
      </c>
      <c r="E206" s="142" t="str">
        <f>B61_Assessment!$C$63</f>
        <v>Panel source, UPS/PDU and rack receptacle coordination could delay energization</v>
      </c>
      <c r="F206" s="106" t="str">
        <f>B61_Assessment!$D$63</f>
        <v>Critical</v>
      </c>
      <c r="G206" s="106" t="str">
        <f>B61_Assessment!$E$63</f>
        <v>Medium</v>
      </c>
      <c r="H206" s="106">
        <f>B61_Assessment!$F$63</f>
        <v>8</v>
      </c>
      <c r="I206" s="106" t="str">
        <f>B61_Assessment!$G$63</f>
        <v>Verify B61-TRB13A/B, B61-TR124A/B, B61-TR226A/B, B61-TR137AA/AB, PD panels, SPDs and load measurements</v>
      </c>
      <c r="J206" s="106" t="str">
        <f>B61_Assessment!$H$63</f>
        <v>Electrical / GCC</v>
      </c>
      <c r="K206" s="106" t="str">
        <f>B61_Assessment!$I$63</f>
        <v>Closed</v>
      </c>
      <c r="L206" s="106" t="str">
        <f>B61_Assessment!$J$63</f>
        <v>Multiple telecom panelboards and PD panels shown.</v>
      </c>
    </row>
    <row r="207" spans="1:12" ht="40.65" customHeight="1">
      <c r="A207" s="106" t="str">
        <f>B61_Assessment!$B$2</f>
        <v>61</v>
      </c>
      <c r="B207" s="106" t="str">
        <f>"B61_Assessment"</f>
        <v>B61_Assessment</v>
      </c>
      <c r="C207" s="106" t="str">
        <f>B61_Assessment!$A$64</f>
        <v>B61-R6</v>
      </c>
      <c r="D207" s="142" t="str">
        <f>B61_Assessment!$B$64</f>
        <v>All</v>
      </c>
      <c r="E207" s="142" t="str">
        <f>B61_Assessment!$C$64</f>
        <v>Large cable tray scope creates coordination and firestop risk</v>
      </c>
      <c r="F207" s="106" t="str">
        <f>B61_Assessment!$D$64</f>
        <v>High</v>
      </c>
      <c r="G207" s="106" t="str">
        <f>B61_Assessment!$E$64</f>
        <v>Medium</v>
      </c>
      <c r="H207" s="106">
        <f>B61_Assessment!$F$64</f>
        <v>6</v>
      </c>
      <c r="I207" s="106" t="str">
        <f>B61_Assessment!$G$64</f>
        <v>Verify 1,966 ft cable tray route, supports, seismic bracing, 40% fill, MEP conflicts, sleeves and final firestop assemblies</v>
      </c>
      <c r="J207" s="106" t="str">
        <f>B61_Assessment!$H$64</f>
        <v>Telecom / GC</v>
      </c>
      <c r="K207" s="106" t="str">
        <f>B61_Assessment!$I$64</f>
        <v>Closed</v>
      </c>
      <c r="L207" s="106" t="str">
        <f>B61_Assessment!$J$64</f>
        <v>Cable tray schedule: basement 890 ft, first 499 ft, second 578 ft.</v>
      </c>
    </row>
    <row r="208" spans="1:12" ht="40.65" customHeight="1">
      <c r="A208" s="106" t="str">
        <f>B61_Assessment!$B$2</f>
        <v>61</v>
      </c>
      <c r="B208" s="106" t="str">
        <f>"B61_Assessment"</f>
        <v>B61_Assessment</v>
      </c>
      <c r="C208" s="106" t="str">
        <f>B61_Assessment!$A$65</f>
        <v>B61-R7</v>
      </c>
      <c r="D208" s="142" t="str">
        <f>B61_Assessment!$B$65</f>
        <v>All</v>
      </c>
      <c r="E208" s="142" t="str">
        <f>B61_Assessment!$C$65</f>
        <v>Telecom/fiber cutover could affect active hospital communications and server/demarc services</v>
      </c>
      <c r="F208" s="106" t="str">
        <f>B61_Assessment!$D$65</f>
        <v>Critical</v>
      </c>
      <c r="G208" s="106" t="str">
        <f>B61_Assessment!$E$65</f>
        <v>Medium</v>
      </c>
      <c r="H208" s="106">
        <f>B61_Assessment!$F$65</f>
        <v>8</v>
      </c>
      <c r="I208" s="106" t="str">
        <f>B61_Assessment!$G$65</f>
        <v>Require cutover plan, test records, labels, as-builts, OIT coordination and VA acceptance before active connection</v>
      </c>
      <c r="J208" s="106" t="str">
        <f>B61_Assessment!$H$65</f>
        <v>Telecom / OIT</v>
      </c>
      <c r="K208" s="106" t="str">
        <f>B61_Assessment!$I$65</f>
        <v>Closed</v>
      </c>
      <c r="L208" s="106" t="str">
        <f>B61_Assessment!$J$65</f>
        <v>WAO counts and active ports are substantial across B13H-A, 124 and 226.</v>
      </c>
    </row>
    <row r="209" spans="1:12" ht="40.65" customHeight="1">
      <c r="A209" s="106" t="str">
        <f>B61_Assessment!$B$2</f>
        <v>61</v>
      </c>
      <c r="B209" s="106" t="str">
        <f>"B61_Assessment"</f>
        <v>B61_Assessment</v>
      </c>
      <c r="C209" s="106" t="str">
        <f>B61_Assessment!$A$66</f>
        <v>B61-R8</v>
      </c>
      <c r="D209" s="142" t="str">
        <f>B61_Assessment!$B$66</f>
        <v>All</v>
      </c>
      <c r="E209" s="142" t="str">
        <f>B61_Assessment!$C$66</f>
        <v>Commissioning/third-party inspection reports may not be complete at turnover</v>
      </c>
      <c r="F209" s="106" t="str">
        <f>B61_Assessment!$D$66</f>
        <v>High</v>
      </c>
      <c r="G209" s="106" t="str">
        <f>B61_Assessment!$E$66</f>
        <v>Medium</v>
      </c>
      <c r="H209" s="106">
        <f>B61_Assessment!$F$66</f>
        <v>6</v>
      </c>
      <c r="I209" s="106" t="str">
        <f>B61_Assessment!$G$66</f>
        <v>Track commissioning, inspections, FA/FP acceptance, power verification, cabling tests, labels and as-builts</v>
      </c>
      <c r="J209" s="106" t="str">
        <f>B61_Assessment!$H$66</f>
        <v>GC / Cx Manager</v>
      </c>
      <c r="K209" s="106" t="str">
        <f>B61_Assessment!$I$66</f>
        <v>Closed</v>
      </c>
      <c r="L209" s="106" t="str">
        <f>B61_Assessment!$J$66</f>
        <v>Full-scope building with multiple divisions.</v>
      </c>
    </row>
    <row r="210" spans="1:12" ht="17.25" customHeight="1">
      <c r="A210" s="106">
        <f>B62_TR_Assessment!$B$2</f>
        <v>62</v>
      </c>
      <c r="B210" s="106" t="str">
        <f>"B62_TR_Assessment"</f>
        <v>B62_TR_Assessment</v>
      </c>
      <c r="C210" s="106" t="str">
        <f>B62_TR_Assessment!$A$52</f>
        <v>B62-R1</v>
      </c>
      <c r="D210" s="142" t="str">
        <f>B62_TR_Assessment!$B$52</f>
        <v>All</v>
      </c>
      <c r="E210" s="142" t="str">
        <f>B62_TR_Assessment!$C$52</f>
        <v>Cooling redundancy / emergency power not verified</v>
      </c>
      <c r="F210" s="106" t="str">
        <f>B62_TR_Assessment!$D$52</f>
        <v>High</v>
      </c>
      <c r="G210" s="106" t="str">
        <f>B62_TR_Assessment!$E$52</f>
        <v>Medium</v>
      </c>
      <c r="H210" s="106">
        <f>B62_TR_Assessment!$F$52</f>
        <v>6</v>
      </c>
      <c r="I210" s="106" t="str">
        <f>B62_TR_Assessment!$G$52</f>
        <v>Confirm power path for cooling, controls, condensate pump</v>
      </c>
      <c r="J210" s="106" t="str">
        <f>B62_TR_Assessment!$H$52</f>
        <v>GCC / VA</v>
      </c>
      <c r="K210" s="106" t="str">
        <f>B62_TR_Assessment!$I$52</f>
        <v>Closed</v>
      </c>
      <c r="L210" s="106">
        <f>B62_TR_Assessment!$J$52</f>
        <v>0</v>
      </c>
    </row>
    <row r="211" spans="1:12" ht="22.95" customHeight="1">
      <c r="A211" s="106">
        <f>B62_TR_Assessment!$B$2</f>
        <v>62</v>
      </c>
      <c r="B211" s="106" t="str">
        <f>"B62_TR_Assessment"</f>
        <v>B62_TR_Assessment</v>
      </c>
      <c r="C211" s="106" t="str">
        <f>B62_TR_Assessment!$A$53</f>
        <v>B62-R2</v>
      </c>
      <c r="D211" s="142" t="str">
        <f>B62_TR_Assessment!$B$53</f>
        <v>All</v>
      </c>
      <c r="E211" s="142" t="str">
        <f>B62_TR_Assessment!$C$53</f>
        <v>Firestopping condition unknown</v>
      </c>
      <c r="F211" s="106" t="str">
        <f>B62_TR_Assessment!$D$53</f>
        <v>High</v>
      </c>
      <c r="G211" s="106" t="str">
        <f>B62_TR_Assessment!$E$53</f>
        <v>Medium</v>
      </c>
      <c r="H211" s="106">
        <f>B62_TR_Assessment!$F$53</f>
        <v>6</v>
      </c>
      <c r="I211" s="106" t="str">
        <f>B62_TR_Assessment!$G$53</f>
        <v>Survey penetrations and temporary/permanent firestop plan</v>
      </c>
      <c r="J211" s="106" t="str">
        <f>B62_TR_Assessment!$H$53</f>
        <v>GCC</v>
      </c>
      <c r="K211" s="106" t="str">
        <f>B62_TR_Assessment!$I$53</f>
        <v>Closed</v>
      </c>
      <c r="L211" s="106">
        <f>B62_TR_Assessment!$J$53</f>
        <v>0</v>
      </c>
    </row>
    <row r="212" spans="1:12" ht="17.25" customHeight="1">
      <c r="A212" s="106">
        <f>B62_TR_Assessment!$B$2</f>
        <v>62</v>
      </c>
      <c r="B212" s="106" t="str">
        <f>"B62_TR_Assessment"</f>
        <v>B62_TR_Assessment</v>
      </c>
      <c r="C212" s="106" t="str">
        <f>B62_TR_Assessment!$A$54</f>
        <v>B62-R3</v>
      </c>
      <c r="D212" s="142" t="str">
        <f>B62_TR_Assessment!$B$54</f>
        <v>All</v>
      </c>
      <c r="E212" s="142" t="str">
        <f>B62_TR_Assessment!$C$54</f>
        <v>Existing room conditions undocumented</v>
      </c>
      <c r="F212" s="106" t="str">
        <f>B62_TR_Assessment!$D$54</f>
        <v>Medium</v>
      </c>
      <c r="G212" s="106" t="str">
        <f>B62_TR_Assessment!$E$54</f>
        <v>High</v>
      </c>
      <c r="H212" s="106">
        <f>B62_TR_Assessment!$F$54</f>
        <v>6</v>
      </c>
      <c r="I212" s="106" t="str">
        <f>B62_TR_Assessment!$G$54</f>
        <v>Create photo record before construction begins</v>
      </c>
      <c r="J212" s="106" t="str">
        <f>B62_TR_Assessment!$H$54</f>
        <v>GCC</v>
      </c>
      <c r="K212" s="106" t="str">
        <f>B62_TR_Assessment!$I$54</f>
        <v>Closed</v>
      </c>
      <c r="L212" s="106">
        <f>B62_TR_Assessment!$J$54</f>
        <v>0</v>
      </c>
    </row>
    <row r="213" spans="1:12" ht="17.25" customHeight="1">
      <c r="A213" s="106">
        <f>B62_TR_Assessment!$B$2</f>
        <v>62</v>
      </c>
      <c r="B213" s="106" t="str">
        <f>"B62_TR_Assessment"</f>
        <v>B62_TR_Assessment</v>
      </c>
      <c r="C213" s="106" t="str">
        <f>B62_TR_Assessment!$A$55</f>
        <v>B62-R4</v>
      </c>
      <c r="D213" s="142" t="str">
        <f>B62_TR_Assessment!$B$55</f>
        <v>All</v>
      </c>
      <c r="E213" s="142" t="str">
        <f>B62_TR_Assessment!$C$55</f>
        <v>Condensate leak risk near IT equipment</v>
      </c>
      <c r="F213" s="106" t="str">
        <f>B62_TR_Assessment!$D$55</f>
        <v>High</v>
      </c>
      <c r="G213" s="106" t="str">
        <f>B62_TR_Assessment!$E$55</f>
        <v>Medium</v>
      </c>
      <c r="H213" s="106">
        <f>B62_TR_Assessment!$F$55</f>
        <v>6</v>
      </c>
      <c r="I213" s="106" t="str">
        <f>B62_TR_Assessment!$G$55</f>
        <v>Verify condensate routing and alarms</v>
      </c>
      <c r="J213" s="106" t="str">
        <f>B62_TR_Assessment!$H$55</f>
        <v>GCC / Contractor</v>
      </c>
      <c r="K213" s="106" t="str">
        <f>B62_TR_Assessment!$I$55</f>
        <v>Closed</v>
      </c>
      <c r="L213" s="106">
        <f>B62_TR_Assessment!$J$55</f>
        <v>0</v>
      </c>
    </row>
    <row r="214" spans="1:12" ht="29.1" customHeight="1">
      <c r="A214" s="106">
        <f>B70_TR_Assessment!$B$2</f>
        <v>70</v>
      </c>
      <c r="B214" s="106" t="str">
        <f t="shared" ref="B214:B223" si="22">"B70_TR_Assessment"</f>
        <v>B70_TR_Assessment</v>
      </c>
      <c r="C214" s="106" t="str">
        <f>B70_TR_Assessment!$A$52</f>
        <v>B70-R1</v>
      </c>
      <c r="D214" s="142" t="str">
        <f>B70_TR_Assessment!$B$52</f>
        <v>All</v>
      </c>
      <c r="E214" s="142" t="str">
        <f>B70_TR_Assessment!$C$52</f>
        <v>Cooling emergency power / continuity not verified</v>
      </c>
      <c r="F214" s="106" t="str">
        <f>B70_TR_Assessment!$D$52</f>
        <v>High</v>
      </c>
      <c r="G214" s="106" t="str">
        <f>B70_TR_Assessment!$E$52</f>
        <v>Medium</v>
      </c>
      <c r="H214" s="106">
        <f>B70_TR_Assessment!$F$52</f>
        <v>6</v>
      </c>
      <c r="I214" s="106" t="str">
        <f>B70_TR_Assessment!$G$52</f>
        <v>Confirm power path for cooling, controls, BACnet adapter, and condensate pump</v>
      </c>
      <c r="J214" s="106" t="str">
        <f>B70_TR_Assessment!$H$52</f>
        <v>GCC / VA</v>
      </c>
      <c r="K214" s="106" t="str">
        <f>B70_TR_Assessment!$I$52</f>
        <v>Closed</v>
      </c>
      <c r="L214" s="106">
        <f>B70_TR_Assessment!$J$52</f>
        <v>0</v>
      </c>
    </row>
    <row r="215" spans="1:12" ht="22.95" customHeight="1">
      <c r="A215" s="106">
        <f>B70_TR_Assessment!$B$2</f>
        <v>70</v>
      </c>
      <c r="B215" s="106" t="str">
        <f t="shared" si="22"/>
        <v>B70_TR_Assessment</v>
      </c>
      <c r="C215" s="106" t="str">
        <f>B70_TR_Assessment!$A$53</f>
        <v>B70-R2</v>
      </c>
      <c r="D215" s="142" t="str">
        <f>B70_TR_Assessment!$B$53</f>
        <v>All</v>
      </c>
      <c r="E215" s="142" t="str">
        <f>B70_TR_Assessment!$C$53</f>
        <v>1-hour rated/smoke-rated TR envelope and penetrations not field verified</v>
      </c>
      <c r="F215" s="106" t="str">
        <f>B70_TR_Assessment!$D$53</f>
        <v>High</v>
      </c>
      <c r="G215" s="106" t="str">
        <f>B70_TR_Assessment!$E$53</f>
        <v>Medium</v>
      </c>
      <c r="H215" s="106">
        <f>B70_TR_Assessment!$F$53</f>
        <v>6</v>
      </c>
      <c r="I215" s="106" t="str">
        <f>B70_TR_Assessment!$G$53</f>
        <v>Survey walls, doors, sleeves, trays, firestop, and head-of-wall conditions</v>
      </c>
      <c r="J215" s="106" t="str">
        <f>B70_TR_Assessment!$H$53</f>
        <v>GCC</v>
      </c>
      <c r="K215" s="106" t="str">
        <f>B70_TR_Assessment!$I$53</f>
        <v>Closed</v>
      </c>
      <c r="L215" s="106">
        <f>B70_TR_Assessment!$J$53</f>
        <v>0</v>
      </c>
    </row>
    <row r="216" spans="1:12" ht="22.95" customHeight="1">
      <c r="A216" s="106">
        <f>B70_TR_Assessment!$B$2</f>
        <v>70</v>
      </c>
      <c r="B216" s="106" t="str">
        <f t="shared" si="22"/>
        <v>B70_TR_Assessment</v>
      </c>
      <c r="C216" s="106" t="str">
        <f>B70_TR_Assessment!$A$54</f>
        <v>B70-R3</v>
      </c>
      <c r="D216" s="142" t="str">
        <f>B70_TR_Assessment!$B$54</f>
        <v>B27</v>
      </c>
      <c r="E216" s="142" t="str">
        <f>B70_TR_Assessment!$C$54</f>
        <v>Existing basement service conditions may constrain routing and access</v>
      </c>
      <c r="F216" s="106" t="str">
        <f>B70_TR_Assessment!$D$54</f>
        <v>Medium</v>
      </c>
      <c r="G216" s="106" t="str">
        <f>B70_TR_Assessment!$E$54</f>
        <v>High</v>
      </c>
      <c r="H216" s="106">
        <f>B70_TR_Assessment!$F$54</f>
        <v>6</v>
      </c>
      <c r="I216" s="106" t="str">
        <f>B70_TR_Assessment!$G$54</f>
        <v>Document existing utilities, clearances, and phasing around active systems</v>
      </c>
      <c r="J216" s="106" t="str">
        <f>B70_TR_Assessment!$H$54</f>
        <v>GCC</v>
      </c>
      <c r="K216" s="106" t="str">
        <f>B70_TR_Assessment!$I$54</f>
        <v>Closed</v>
      </c>
      <c r="L216" s="106">
        <f>B70_TR_Assessment!$J$54</f>
        <v>0</v>
      </c>
    </row>
    <row r="217" spans="1:12" ht="22.95" customHeight="1">
      <c r="A217" s="106">
        <f>B70_TR_Assessment!$B$2</f>
        <v>70</v>
      </c>
      <c r="B217" s="106" t="str">
        <f t="shared" si="22"/>
        <v>B70_TR_Assessment</v>
      </c>
      <c r="C217" s="106" t="str">
        <f>B70_TR_Assessment!$A$55</f>
        <v>B70-R4</v>
      </c>
      <c r="D217" s="142" t="str">
        <f>B70_TR_Assessment!$B$55</f>
        <v>All</v>
      </c>
      <c r="E217" s="142" t="str">
        <f>B70_TR_Assessment!$C$55</f>
        <v>Existing TR/service equipment transfer could affect active operations</v>
      </c>
      <c r="F217" s="106" t="str">
        <f>B70_TR_Assessment!$D$55</f>
        <v>High</v>
      </c>
      <c r="G217" s="106" t="str">
        <f>B70_TR_Assessment!$E$55</f>
        <v>Medium</v>
      </c>
      <c r="H217" s="106">
        <f>B70_TR_Assessment!$F$55</f>
        <v>6</v>
      </c>
      <c r="I217" s="106" t="str">
        <f>B70_TR_Assessment!$G$55</f>
        <v>Require phasing plan and maintain analog/low-voltage systems operational</v>
      </c>
      <c r="J217" s="106" t="str">
        <f>B70_TR_Assessment!$H$55</f>
        <v>GCC / Contractor</v>
      </c>
      <c r="K217" s="106" t="str">
        <f>B70_TR_Assessment!$I$55</f>
        <v>Closed</v>
      </c>
      <c r="L217" s="106">
        <f>B70_TR_Assessment!$J$55</f>
        <v>0</v>
      </c>
    </row>
    <row r="218" spans="1:12" ht="22.95" customHeight="1">
      <c r="A218" s="106">
        <f>B70_TR_Assessment!$B$2</f>
        <v>70</v>
      </c>
      <c r="B218" s="106" t="str">
        <f t="shared" si="22"/>
        <v>B70_TR_Assessment</v>
      </c>
      <c r="C218" s="106" t="str">
        <f>B70_TR_Assessment!$A$56</f>
        <v>B70-R5</v>
      </c>
      <c r="D218" s="142" t="str">
        <f>B70_TR_Assessment!$B$56</f>
        <v>All</v>
      </c>
      <c r="E218" s="142" t="str">
        <f>B70_TR_Assessment!$C$56</f>
        <v>Condensate leak risk near IT equipment</v>
      </c>
      <c r="F218" s="106" t="str">
        <f>B70_TR_Assessment!$D$56</f>
        <v>High</v>
      </c>
      <c r="G218" s="106" t="str">
        <f>B70_TR_Assessment!$E$56</f>
        <v>Medium</v>
      </c>
      <c r="H218" s="106">
        <f>B70_TR_Assessment!$F$56</f>
        <v>6</v>
      </c>
      <c r="I218" s="106" t="str">
        <f>B70_TR_Assessment!$G$56</f>
        <v>Verify condensate routing, insulation, pump power, and alarms</v>
      </c>
      <c r="J218" s="106" t="str">
        <f>B70_TR_Assessment!$H$56</f>
        <v>GCC / Contractor</v>
      </c>
      <c r="K218" s="106" t="str">
        <f>B70_TR_Assessment!$I$56</f>
        <v>Closed</v>
      </c>
      <c r="L218" s="106">
        <f>B70_TR_Assessment!$J$56</f>
        <v>0</v>
      </c>
    </row>
    <row r="219" spans="1:12" ht="34.950000000000003" customHeight="1">
      <c r="A219" s="106">
        <f>B78_Assessment!$B$2</f>
        <v>78</v>
      </c>
      <c r="B219" s="106" t="str">
        <f t="shared" si="22"/>
        <v>B70_TR_Assessment</v>
      </c>
      <c r="C219" s="106" t="str">
        <f>B78_Assessment!$A$80</f>
        <v>B78-R1</v>
      </c>
      <c r="D219" s="142" t="str">
        <f>B78_Assessment!$B$80</f>
        <v>All</v>
      </c>
      <c r="E219" s="142" t="str">
        <f>B78_Assessment!$C$80</f>
        <v>Existing conditions and active equipment across six TRs and existing telecom rooms not field verified</v>
      </c>
      <c r="F219" s="106" t="str">
        <f>B78_Assessment!$D$80</f>
        <v>High</v>
      </c>
      <c r="G219" s="106" t="str">
        <f>B78_Assessment!$E$80</f>
        <v>Medium</v>
      </c>
      <c r="H219" s="106">
        <f>B78_Assessment!$F$80</f>
        <v>6</v>
      </c>
      <c r="I219" s="106" t="str">
        <f>B78_Assessment!$G$80</f>
        <v>Perform detailed room-by-room existing condition survey with photos and active-service inventory</v>
      </c>
      <c r="J219" s="106" t="str">
        <f>B78_Assessment!$H$80</f>
        <v>GCC / Contractor</v>
      </c>
      <c r="K219" s="106" t="str">
        <f>B78_Assessment!$I$80</f>
        <v>Closed</v>
      </c>
      <c r="L219" s="106" t="str">
        <f>B78_Assessment!$J$80</f>
        <v>B78/78A has six major TR areas and several existing transition rooms.</v>
      </c>
    </row>
    <row r="220" spans="1:12" ht="40.65" customHeight="1">
      <c r="A220" s="106">
        <f>B78_Assessment!$B$2</f>
        <v>78</v>
      </c>
      <c r="B220" s="106" t="str">
        <f t="shared" si="22"/>
        <v>B70_TR_Assessment</v>
      </c>
      <c r="C220" s="106" t="str">
        <f>B78_Assessment!$A$81</f>
        <v>B78-R2</v>
      </c>
      <c r="D220" s="142" t="str">
        <f>B78_Assessment!$B$81</f>
        <v>Basement / Third</v>
      </c>
      <c r="E220" s="142" t="str">
        <f>B78_Assessment!$C$81</f>
        <v>Hazardous material abatement plans exist for basement and third level</v>
      </c>
      <c r="F220" s="106" t="str">
        <f>B78_Assessment!$D$81</f>
        <v>High</v>
      </c>
      <c r="G220" s="106" t="str">
        <f>B78_Assessment!$E$81</f>
        <v>Medium</v>
      </c>
      <c r="H220" s="106">
        <f>B78_Assessment!$F$81</f>
        <v>6</v>
      </c>
      <c r="I220" s="106" t="str">
        <f>B78_Assessment!$G$81</f>
        <v>Coordinate IH/abatement review before penetrations, wall/ceiling work, cabling or MEP installation</v>
      </c>
      <c r="J220" s="106" t="str">
        <f>B78_Assessment!$H$81</f>
        <v>GC / IH / COR</v>
      </c>
      <c r="K220" s="106" t="str">
        <f>B78_Assessment!$I$81</f>
        <v>Closed</v>
      </c>
      <c r="L220" s="106" t="str">
        <f>B78_Assessment!$J$81</f>
        <v>Drawing index includes 78_78AH-100 and 78_78AH-103.</v>
      </c>
    </row>
    <row r="221" spans="1:12" ht="34.950000000000003" customHeight="1">
      <c r="A221" s="106">
        <f>B78_Assessment!$B$2</f>
        <v>78</v>
      </c>
      <c r="B221" s="106" t="str">
        <f t="shared" si="22"/>
        <v>B70_TR_Assessment</v>
      </c>
      <c r="C221" s="106" t="str">
        <f>B78_Assessment!$A$82</f>
        <v>B78-R3</v>
      </c>
      <c r="D221" s="142" t="str">
        <f>B78_Assessment!$B$82</f>
        <v>Existing rooms</v>
      </c>
      <c r="E221" s="142" t="str">
        <f>B78_Assessment!$C$82</f>
        <v>Existing telecom equipment may remain active during cutover</v>
      </c>
      <c r="F221" s="106" t="str">
        <f>B78_Assessment!$D$82</f>
        <v>Critical</v>
      </c>
      <c r="G221" s="106" t="str">
        <f>B78_Assessment!$E$82</f>
        <v>Medium</v>
      </c>
      <c r="H221" s="106">
        <f>B78_Assessment!$F$82</f>
        <v>8</v>
      </c>
      <c r="I221" s="106" t="str">
        <f>B78_Assessment!$G$82</f>
        <v>Document active services, OIT windows, rack inventory, temporary utilities and rollback plan</v>
      </c>
      <c r="J221" s="106" t="str">
        <f>B78_Assessment!$H$82</f>
        <v>Telecom / OIT</v>
      </c>
      <c r="K221" s="106" t="str">
        <f>B78_Assessment!$I$82</f>
        <v>Closed</v>
      </c>
      <c r="L221" s="106" t="str">
        <f>B78_Assessment!$J$82</f>
        <v>Photo references include 15E, 1234, 353, 308A, 408A.</v>
      </c>
    </row>
    <row r="222" spans="1:12" ht="46.35" customHeight="1">
      <c r="A222" s="106">
        <f>B78_Assessment!$B$2</f>
        <v>78</v>
      </c>
      <c r="B222" s="106" t="str">
        <f t="shared" si="22"/>
        <v>B70_TR_Assessment</v>
      </c>
      <c r="C222" s="106" t="str">
        <f>B78_Assessment!$A$83</f>
        <v>B78-R4</v>
      </c>
      <c r="D222" s="142" t="str">
        <f>B78_Assessment!$B$83</f>
        <v>All TRs</v>
      </c>
      <c r="E222" s="142" t="str">
        <f>B78_Assessment!$C$83</f>
        <v>Dedicated cooling sequence, emergency power, condensate and alarms not verified</v>
      </c>
      <c r="F222" s="106" t="str">
        <f>B78_Assessment!$D$83</f>
        <v>Critical</v>
      </c>
      <c r="G222" s="106" t="str">
        <f>B78_Assessment!$E$83</f>
        <v>Medium</v>
      </c>
      <c r="H222" s="106">
        <f>B78_Assessment!$F$83</f>
        <v>8</v>
      </c>
      <c r="I222" s="106" t="str">
        <f>B78_Assessment!$G$83</f>
        <v>Confirm HVAC equipment serving each TR, emergency source, condensate, controls/BACnet and high-temp alarms</v>
      </c>
      <c r="J222" s="106" t="str">
        <f>B78_Assessment!$H$83</f>
        <v>Mechanical / Electrical</v>
      </c>
      <c r="K222" s="106" t="str">
        <f>B78_Assessment!$I$83</f>
        <v>Closed</v>
      </c>
      <c r="L222" s="106" t="str">
        <f>B78_Assessment!$J$83</f>
        <v>Mechanical sheets are included for basement through fourth level.</v>
      </c>
    </row>
    <row r="223" spans="1:12" ht="40.65" customHeight="1">
      <c r="A223" s="106">
        <f>B78_Assessment!$B$2</f>
        <v>78</v>
      </c>
      <c r="B223" s="106" t="str">
        <f t="shared" si="22"/>
        <v>B70_TR_Assessment</v>
      </c>
      <c r="C223" s="106" t="str">
        <f>B78_Assessment!$A$84</f>
        <v>B78-R5</v>
      </c>
      <c r="D223" s="142" t="str">
        <f>B78_Assessment!$B$84</f>
        <v>All TRs</v>
      </c>
      <c r="E223" s="142" t="str">
        <f>B78_Assessment!$C$84</f>
        <v>Panel source, UPS/PDU and rack receptacle coordination could delay energization</v>
      </c>
      <c r="F223" s="106" t="str">
        <f>B78_Assessment!$D$84</f>
        <v>Critical</v>
      </c>
      <c r="G223" s="106" t="str">
        <f>B78_Assessment!$E$84</f>
        <v>Medium</v>
      </c>
      <c r="H223" s="106">
        <f>B78_Assessment!$F$84</f>
        <v>8</v>
      </c>
      <c r="I223" s="106" t="str">
        <f>B78_Assessment!$G$84</f>
        <v>Verify telecom panelboards, breakers, rack receptacles, UPS/PDU sources, SPDs, labels and LOTO requirements</v>
      </c>
      <c r="J223" s="106" t="str">
        <f>B78_Assessment!$H$84</f>
        <v>Electrical / GCC</v>
      </c>
      <c r="K223" s="106" t="str">
        <f>B78_Assessment!$I$84</f>
        <v>Closed</v>
      </c>
      <c r="L223" s="106" t="str">
        <f>B78_Assessment!$J$84</f>
        <v>Electrical plans/schedules are extensive; confirm all panel IDs in field.</v>
      </c>
    </row>
    <row r="224" spans="1:12" ht="40.65" customHeight="1">
      <c r="A224" s="106">
        <f>B78_Assessment!$B$2</f>
        <v>78</v>
      </c>
      <c r="B224" s="106" t="str">
        <f t="shared" ref="B224:B231" si="23">"B78_Assessment"</f>
        <v>B78_Assessment</v>
      </c>
      <c r="C224" s="106" t="str">
        <f>B78_Assessment!$A$85</f>
        <v>B78-R6</v>
      </c>
      <c r="D224" s="142" t="str">
        <f>B78_Assessment!$B$85</f>
        <v>All</v>
      </c>
      <c r="E224" s="142" t="str">
        <f>B78_Assessment!$C$85</f>
        <v>Large cable tray scope creates coordination and firestop risk</v>
      </c>
      <c r="F224" s="106" t="str">
        <f>B78_Assessment!$D$85</f>
        <v>High</v>
      </c>
      <c r="G224" s="106" t="str">
        <f>B78_Assessment!$E$85</f>
        <v>Medium</v>
      </c>
      <c r="H224" s="106">
        <f>B78_Assessment!$F$85</f>
        <v>6</v>
      </c>
      <c r="I224" s="106" t="str">
        <f>B78_Assessment!$G$85</f>
        <v>Verify 4,849 ft cable tray route, supports, seismic bracing, 40% fill, MEP conflicts, sleeves and final firestop assemblies</v>
      </c>
      <c r="J224" s="106" t="str">
        <f>B78_Assessment!$H$85</f>
        <v>Telecom / GC</v>
      </c>
      <c r="K224" s="106" t="str">
        <f>B78_Assessment!$I$85</f>
        <v>Closed</v>
      </c>
      <c r="L224" s="106" t="str">
        <f>B78_Assessment!$J$85</f>
        <v>Cable tray schedule: basement 1,702 ft, first 959 ft, second 804 ft, third 695 ft, fourth 689 ft.</v>
      </c>
    </row>
    <row r="225" spans="1:12" ht="40.65" customHeight="1">
      <c r="A225" s="106">
        <f>B78_Assessment!$B$2</f>
        <v>78</v>
      </c>
      <c r="B225" s="106" t="str">
        <f t="shared" si="23"/>
        <v>B78_Assessment</v>
      </c>
      <c r="C225" s="106" t="str">
        <f>B78_Assessment!$A$86</f>
        <v>B78-R7</v>
      </c>
      <c r="D225" s="142" t="str">
        <f>B78_Assessment!$B$86</f>
        <v>All</v>
      </c>
      <c r="E225" s="142" t="str">
        <f>B78_Assessment!$C$86</f>
        <v>Telecom/fiber cutover could affect active hospital communications across B78 and B78A</v>
      </c>
      <c r="F225" s="106" t="str">
        <f>B78_Assessment!$D$86</f>
        <v>Critical</v>
      </c>
      <c r="G225" s="106" t="str">
        <f>B78_Assessment!$E$86</f>
        <v>Medium</v>
      </c>
      <c r="H225" s="106">
        <f>B78_Assessment!$F$86</f>
        <v>8</v>
      </c>
      <c r="I225" s="106" t="str">
        <f>B78_Assessment!$G$86</f>
        <v>Require cutover plan, test records, labels, as-builts, OIT coordination and VA acceptance before active connection</v>
      </c>
      <c r="J225" s="106" t="str">
        <f>B78_Assessment!$H$86</f>
        <v>Telecom / OIT</v>
      </c>
      <c r="K225" s="106" t="str">
        <f>B78_Assessment!$I$86</f>
        <v>Closed</v>
      </c>
      <c r="L225" s="106" t="str">
        <f>B78_Assessment!$J$86</f>
        <v>Total scheduled ports exceed 1,300 across the primary schedules.</v>
      </c>
    </row>
    <row r="226" spans="1:12" ht="40.65" customHeight="1">
      <c r="A226" s="106">
        <f>B78_Assessment!$B$2</f>
        <v>78</v>
      </c>
      <c r="B226" s="106" t="str">
        <f t="shared" si="23"/>
        <v>B78_Assessment</v>
      </c>
      <c r="C226" s="106" t="str">
        <f>B78_Assessment!$A$87</f>
        <v>B78-R8</v>
      </c>
      <c r="D226" s="142" t="str">
        <f>B78_Assessment!$B$87</f>
        <v>All</v>
      </c>
      <c r="E226" s="142" t="str">
        <f>B78_Assessment!$C$87</f>
        <v>Commissioning/third-party inspection reports may not be complete at turnover</v>
      </c>
      <c r="F226" s="106" t="str">
        <f>B78_Assessment!$D$87</f>
        <v>High</v>
      </c>
      <c r="G226" s="106" t="str">
        <f>B78_Assessment!$E$87</f>
        <v>Medium</v>
      </c>
      <c r="H226" s="106">
        <f>B78_Assessment!$F$87</f>
        <v>6</v>
      </c>
      <c r="I226" s="106" t="str">
        <f>B78_Assessment!$G$87</f>
        <v>Track commissioning, inspections, FA/FP acceptance, power verification, cabling tests, labels and as-builts</v>
      </c>
      <c r="J226" s="106" t="str">
        <f>B78_Assessment!$H$87</f>
        <v>GC / Cx Manager</v>
      </c>
      <c r="K226" s="106" t="str">
        <f>B78_Assessment!$I$87</f>
        <v>Closed</v>
      </c>
      <c r="L226" s="106" t="str">
        <f>B78_Assessment!$J$87</f>
        <v>Full-scope 102-sheet IFC package with multiple divisions.</v>
      </c>
    </row>
    <row r="227" spans="1:12" ht="22.95" customHeight="1">
      <c r="A227" s="106" t="str">
        <f>B80_Assessment!$B$2</f>
        <v>80</v>
      </c>
      <c r="B227" s="106" t="str">
        <f t="shared" si="23"/>
        <v>B78_Assessment</v>
      </c>
      <c r="C227" s="106" t="str">
        <f>B80_Assessment!$A$45</f>
        <v>B80-R1</v>
      </c>
      <c r="D227" s="142" t="str">
        <f>B80_Assessment!$B$45</f>
        <v>All</v>
      </c>
      <c r="E227" s="142" t="str">
        <f>B80_Assessment!$C$45</f>
        <v>Existing conditions for Room 102 and existing 127A/126 not field verified</v>
      </c>
      <c r="F227" s="106" t="str">
        <f>B80_Assessment!$D$45</f>
        <v>High</v>
      </c>
      <c r="G227" s="106" t="str">
        <f>B80_Assessment!$E$45</f>
        <v>Medium</v>
      </c>
      <c r="H227" s="106">
        <f>B80_Assessment!$F$45</f>
        <v>6</v>
      </c>
      <c r="I227" s="106" t="str">
        <f>B80_Assessment!$G$45</f>
        <v>Perform existing conditions survey with photos before mobilization</v>
      </c>
      <c r="J227" s="106" t="str">
        <f>B80_Assessment!$H$45</f>
        <v>GCC / Contractor</v>
      </c>
      <c r="K227" s="106" t="str">
        <f>B80_Assessment!$I$45</f>
        <v>Closed</v>
      </c>
      <c r="L227" s="106" t="str">
        <f>B80_Assessment!$J$45</f>
        <v>B80 includes new TR plus existing telecom transition point.</v>
      </c>
    </row>
    <row r="228" spans="1:12" ht="34.950000000000003" customHeight="1">
      <c r="A228" s="106" t="str">
        <f>B80_Assessment!$B$2</f>
        <v>80</v>
      </c>
      <c r="B228" s="106" t="str">
        <f t="shared" si="23"/>
        <v>B78_Assessment</v>
      </c>
      <c r="C228" s="106" t="str">
        <f>B80_Assessment!$A$46</f>
        <v>B80-R2</v>
      </c>
      <c r="D228" s="142" t="str">
        <f>B80_Assessment!$B$46</f>
        <v>127A / 126</v>
      </c>
      <c r="E228" s="142" t="str">
        <f>B80_Assessment!$C$46</f>
        <v>Existing telecom equipment may remain active during transfer to Room 102</v>
      </c>
      <c r="F228" s="106" t="str">
        <f>B80_Assessment!$D$46</f>
        <v>Critical</v>
      </c>
      <c r="G228" s="106" t="str">
        <f>B80_Assessment!$E$46</f>
        <v>Medium</v>
      </c>
      <c r="H228" s="106">
        <f>B80_Assessment!$F$46</f>
        <v>8</v>
      </c>
      <c r="I228" s="106" t="str">
        <f>B80_Assessment!$G$46</f>
        <v>Document active services, protect in place, identify OIT cutover windows, phasing and rollback plan</v>
      </c>
      <c r="J228" s="106" t="str">
        <f>B80_Assessment!$H$46</f>
        <v>Telecom / OIT</v>
      </c>
      <c r="K228" s="106" t="str">
        <f>B80_Assessment!$I$46</f>
        <v>Closed</v>
      </c>
      <c r="L228" s="106" t="str">
        <f>B80_Assessment!$J$46</f>
        <v>Existing rack elevation shows Cisco switches, legacy patch panels, Fiber LIU and APC floor UPS.</v>
      </c>
    </row>
    <row r="229" spans="1:12" ht="40.65" customHeight="1">
      <c r="A229" s="106" t="str">
        <f>B80_Assessment!$B$2</f>
        <v>80</v>
      </c>
      <c r="B229" s="106" t="str">
        <f t="shared" si="23"/>
        <v>B78_Assessment</v>
      </c>
      <c r="C229" s="106" t="str">
        <f>B80_Assessment!$A$47</f>
        <v>B80-R3</v>
      </c>
      <c r="D229" s="142" t="str">
        <f>B80_Assessment!$B$47</f>
        <v>102 / 127A</v>
      </c>
      <c r="E229" s="142" t="str">
        <f>B80_Assessment!$C$47</f>
        <v>Room-number mismatch between Tel Closet 127A and photo/rack reference Room 126/127-A</v>
      </c>
      <c r="F229" s="106" t="str">
        <f>B80_Assessment!$D$47</f>
        <v>High</v>
      </c>
      <c r="G229" s="106" t="str">
        <f>B80_Assessment!$E$47</f>
        <v>Medium</v>
      </c>
      <c r="H229" s="106">
        <f>B80_Assessment!$F$47</f>
        <v>6</v>
      </c>
      <c r="I229" s="106" t="str">
        <f>B80_Assessment!$G$47</f>
        <v>Track both IDs in PMIS and confirm field room signage/owner mapping before punch list and turnover</v>
      </c>
      <c r="J229" s="106" t="str">
        <f>B80_Assessment!$H$47</f>
        <v>GCC / VA / Designer</v>
      </c>
      <c r="K229" s="106" t="str">
        <f>B80_Assessment!$I$47</f>
        <v>Closed</v>
      </c>
      <c r="L229" s="106" t="str">
        <f>B80_Assessment!$J$47</f>
        <v>80T-101 calls Tel Closet 127A; 80R-900 photo reference calls existing telecom room 126; 80T-604 lists room 126/127-A.</v>
      </c>
    </row>
    <row r="230" spans="1:12" ht="40.65" customHeight="1">
      <c r="A230" s="106" t="str">
        <f>B80_Assessment!$B$2</f>
        <v>80</v>
      </c>
      <c r="B230" s="106" t="str">
        <f t="shared" si="23"/>
        <v>B78_Assessment</v>
      </c>
      <c r="C230" s="106" t="str">
        <f>B80_Assessment!$A$48</f>
        <v>B80-R4</v>
      </c>
      <c r="D230" s="142" t="str">
        <f>B80_Assessment!$B$48</f>
        <v>102</v>
      </c>
      <c r="E230" s="142" t="str">
        <f>B80_Assessment!$C$48</f>
        <v>Dedicated cooling emergency power, condensate, BACnet and alarms not verified</v>
      </c>
      <c r="F230" s="106" t="str">
        <f>B80_Assessment!$D$48</f>
        <v>Critical</v>
      </c>
      <c r="G230" s="106" t="str">
        <f>B80_Assessment!$E$48</f>
        <v>Medium</v>
      </c>
      <c r="H230" s="106">
        <f>B80_Assessment!$F$48</f>
        <v>8</v>
      </c>
      <c r="I230" s="106" t="str">
        <f>B80_Assessment!$G$48</f>
        <v>Confirm IU-1-01/CU-1-01 power source, condensate route, controls, BACnet adapter, thermostat and high-temp alarm</v>
      </c>
      <c r="J230" s="106" t="str">
        <f>B80_Assessment!$H$48</f>
        <v>Mechanical / Electrical</v>
      </c>
      <c r="K230" s="106" t="str">
        <f>B80_Assessment!$I$48</f>
        <v>Closed</v>
      </c>
      <c r="L230" s="106" t="str">
        <f>B80_Assessment!$J$48</f>
        <v>Cooling is central to TR readiness.</v>
      </c>
    </row>
    <row r="231" spans="1:12" ht="46.35" customHeight="1">
      <c r="A231" s="106" t="str">
        <f>B80_Assessment!$B$2</f>
        <v>80</v>
      </c>
      <c r="B231" s="106" t="str">
        <f t="shared" si="23"/>
        <v>B78_Assessment</v>
      </c>
      <c r="C231" s="106" t="str">
        <f>B80_Assessment!$A$49</f>
        <v>B80-R5</v>
      </c>
      <c r="D231" s="142" t="str">
        <f>B80_Assessment!$B$49</f>
        <v>102</v>
      </c>
      <c r="E231" s="142" t="str">
        <f>B80_Assessment!$C$49</f>
        <v>B80-TR102A/B UPS/PDU and panel source coordination could delay energization</v>
      </c>
      <c r="F231" s="106" t="str">
        <f>B80_Assessment!$D$49</f>
        <v>High</v>
      </c>
      <c r="G231" s="106" t="str">
        <f>B80_Assessment!$E$49</f>
        <v>Medium</v>
      </c>
      <c r="H231" s="106">
        <f>B80_Assessment!$F$49</f>
        <v>6</v>
      </c>
      <c r="I231" s="106" t="str">
        <f>B80_Assessment!$G$49</f>
        <v>Verify panel sources BUS-B80-MDP and BUS-B80-E1, breakers, receptacles, SPD, labels, load measurement and LOTO needs</v>
      </c>
      <c r="J231" s="106" t="str">
        <f>B80_Assessment!$H$49</f>
        <v>Electrical / GCC</v>
      </c>
      <c r="K231" s="106" t="str">
        <f>B80_Assessment!$I$49</f>
        <v>Closed</v>
      </c>
      <c r="L231" s="106" t="str">
        <f>B80_Assessment!$J$49</f>
        <v>B80-TR102A/B panel schedules and one-line show normal/emergency source split.</v>
      </c>
    </row>
    <row r="232" spans="1:12" ht="40.65" customHeight="1">
      <c r="A232" s="106" t="str">
        <f>B80_Assessment!$B$2</f>
        <v>80</v>
      </c>
      <c r="B232" s="106" t="str">
        <f t="shared" ref="B232:B239" si="24">"B80_Assessment"</f>
        <v>B80_Assessment</v>
      </c>
      <c r="C232" s="106" t="str">
        <f>B80_Assessment!$A$50</f>
        <v>B80-R6</v>
      </c>
      <c r="D232" s="142" t="str">
        <f>B80_Assessment!$B$50</f>
        <v>All</v>
      </c>
      <c r="E232" s="142" t="str">
        <f>B80_Assessment!$C$50</f>
        <v>811 feet of cable tray/pathway requires coordination and firestop tracking</v>
      </c>
      <c r="F232" s="106" t="str">
        <f>B80_Assessment!$D$50</f>
        <v>High</v>
      </c>
      <c r="G232" s="106" t="str">
        <f>B80_Assessment!$E$50</f>
        <v>Medium</v>
      </c>
      <c r="H232" s="106">
        <f>B80_Assessment!$F$50</f>
        <v>6</v>
      </c>
      <c r="I232" s="106" t="str">
        <f>B80_Assessment!$G$50</f>
        <v>Verify route, supports, seismic bracing, 40% fill, penetrations, lighting/HVAC conflicts and firestop assemblies</v>
      </c>
      <c r="J232" s="106" t="str">
        <f>B80_Assessment!$H$50</f>
        <v>Telecom / GC</v>
      </c>
      <c r="K232" s="106" t="str">
        <f>B80_Assessment!$I$50</f>
        <v>Closed</v>
      </c>
      <c r="L232" s="106" t="str">
        <f>B80_Assessment!$J$50</f>
        <v>80T-701 cable tray schedule: basement 122 ft, first level 688 ft, grand total 811 ft.</v>
      </c>
    </row>
    <row r="233" spans="1:12" ht="40.65" customHeight="1">
      <c r="A233" s="106" t="str">
        <f>B80_Assessment!$B$2</f>
        <v>80</v>
      </c>
      <c r="B233" s="106" t="str">
        <f t="shared" si="24"/>
        <v>B80_Assessment</v>
      </c>
      <c r="C233" s="106" t="str">
        <f>B80_Assessment!$A$51</f>
        <v>B80-R7</v>
      </c>
      <c r="D233" s="142" t="str">
        <f>B80_Assessment!$B$51</f>
        <v>All</v>
      </c>
      <c r="E233" s="142" t="str">
        <f>B80_Assessment!$C$51</f>
        <v>Telecom/fiber cutover could affect active hospital communications on first-level operations</v>
      </c>
      <c r="F233" s="106" t="str">
        <f>B80_Assessment!$D$51</f>
        <v>Critical</v>
      </c>
      <c r="G233" s="106" t="str">
        <f>B80_Assessment!$E$51</f>
        <v>Medium</v>
      </c>
      <c r="H233" s="106">
        <f>B80_Assessment!$F$51</f>
        <v>8</v>
      </c>
      <c r="I233" s="106" t="str">
        <f>B80_Assessment!$G$51</f>
        <v>Require cutover plan, test records, labels, as-builts, OIT coordination and VA acceptance before active connection</v>
      </c>
      <c r="J233" s="106" t="str">
        <f>B80_Assessment!$H$51</f>
        <v>Telecom / OIT</v>
      </c>
      <c r="K233" s="106" t="str">
        <f>B80_Assessment!$I$51</f>
        <v>Closed</v>
      </c>
      <c r="L233" s="106" t="str">
        <f>B80_Assessment!$J$51</f>
        <v>RM102 supports 215 total ports including allowance and existing rack transfer.</v>
      </c>
    </row>
    <row r="234" spans="1:12" ht="40.65" customHeight="1">
      <c r="A234" s="106" t="str">
        <f>B80_Assessment!$B$2</f>
        <v>80</v>
      </c>
      <c r="B234" s="106" t="str">
        <f t="shared" si="24"/>
        <v>B80_Assessment</v>
      </c>
      <c r="C234" s="106" t="str">
        <f>B80_Assessment!$A$52</f>
        <v>B80-R8</v>
      </c>
      <c r="D234" s="142" t="str">
        <f>B80_Assessment!$B$52</f>
        <v>All</v>
      </c>
      <c r="E234" s="142" t="str">
        <f>B80_Assessment!$C$52</f>
        <v>Commissioning/third-party inspection reports may not be complete at turnover</v>
      </c>
      <c r="F234" s="106" t="str">
        <f>B80_Assessment!$D$52</f>
        <v>High</v>
      </c>
      <c r="G234" s="106" t="str">
        <f>B80_Assessment!$E$52</f>
        <v>Medium</v>
      </c>
      <c r="H234" s="106">
        <f>B80_Assessment!$F$52</f>
        <v>6</v>
      </c>
      <c r="I234" s="106" t="str">
        <f>B80_Assessment!$G$52</f>
        <v>Track commissioning, inspections, FA/FP acceptance, power verification, cabling tests, labels and as-builts</v>
      </c>
      <c r="J234" s="106" t="str">
        <f>B80_Assessment!$H$52</f>
        <v>GC / Cx Manager</v>
      </c>
      <c r="K234" s="106" t="str">
        <f>B80_Assessment!$I$52</f>
        <v>Closed</v>
      </c>
      <c r="L234" s="106" t="str">
        <f>B80_Assessment!$J$52</f>
        <v>Full-scope 52-sheet IFC package with mechanical, electrical, FP and telecom work.</v>
      </c>
    </row>
    <row r="235" spans="1:12" ht="29.1" customHeight="1">
      <c r="A235" s="106" t="str">
        <f>B82_Assessment!$B$2</f>
        <v>82</v>
      </c>
      <c r="B235" s="106" t="str">
        <f t="shared" si="24"/>
        <v>B80_Assessment</v>
      </c>
      <c r="C235" s="106" t="str">
        <f>B82_Assessment!$A$45</f>
        <v>B82-R1</v>
      </c>
      <c r="D235" s="142" t="str">
        <f>B82_Assessment!$B$45</f>
        <v>All</v>
      </c>
      <c r="E235" s="142" t="str">
        <f>B82_Assessment!$C$45</f>
        <v>Existing conditions for new Room 102 TE and existing B01-A not field verified</v>
      </c>
      <c r="F235" s="106" t="str">
        <f>B82_Assessment!$D$45</f>
        <v>High</v>
      </c>
      <c r="G235" s="106" t="str">
        <f>B82_Assessment!$E$45</f>
        <v>Medium</v>
      </c>
      <c r="H235" s="106">
        <f>B82_Assessment!$F$45</f>
        <v>6</v>
      </c>
      <c r="I235" s="106" t="str">
        <f>B82_Assessment!$G$45</f>
        <v>Perform existing conditions survey with photos before mobilization</v>
      </c>
      <c r="J235" s="106" t="str">
        <f>B82_Assessment!$H$45</f>
        <v>GCC / Contractor</v>
      </c>
      <c r="K235" s="106" t="str">
        <f>B82_Assessment!$I$45</f>
        <v>Closed</v>
      </c>
      <c r="L235" s="106" t="str">
        <f>B82_Assessment!$J$45</f>
        <v>B82 has a compact TE scope but still depends on field conditions and existing equipment transfer.</v>
      </c>
    </row>
    <row r="236" spans="1:12" ht="40.65" customHeight="1">
      <c r="A236" s="106" t="str">
        <f>B82_Assessment!$B$2</f>
        <v>82</v>
      </c>
      <c r="B236" s="106" t="str">
        <f t="shared" si="24"/>
        <v>B80_Assessment</v>
      </c>
      <c r="C236" s="106" t="str">
        <f>B82_Assessment!$A$46</f>
        <v>B82-R2</v>
      </c>
      <c r="D236" s="142" t="str">
        <f>B82_Assessment!$B$46</f>
        <v>102 / B01-A</v>
      </c>
      <c r="E236" s="142" t="str">
        <f>B82_Assessment!$C$46</f>
        <v>Existing equipment in B01-A may remain active during transfer to new TE in 102</v>
      </c>
      <c r="F236" s="106" t="str">
        <f>B82_Assessment!$D$46</f>
        <v>Critical</v>
      </c>
      <c r="G236" s="106" t="str">
        <f>B82_Assessment!$E$46</f>
        <v>Medium</v>
      </c>
      <c r="H236" s="106">
        <f>B82_Assessment!$F$46</f>
        <v>8</v>
      </c>
      <c r="I236" s="106" t="str">
        <f>B82_Assessment!$G$46</f>
        <v>Document active services, protect in place, identify OIT cutover windows, phasing, rollback path and temporary utilities</v>
      </c>
      <c r="J236" s="106" t="str">
        <f>B82_Assessment!$H$46</f>
        <v>Telecom / OIT</v>
      </c>
      <c r="K236" s="106" t="str">
        <f>B82_Assessment!$I$46</f>
        <v>Closed</v>
      </c>
      <c r="L236" s="106" t="str">
        <f>B82_Assessment!$J$46</f>
        <v>82T-101 keynotes require phasing plan and transfer of existing devices to new rack/enclosure.</v>
      </c>
    </row>
    <row r="237" spans="1:12" ht="40.65" customHeight="1">
      <c r="A237" s="106" t="str">
        <f>B82_Assessment!$B$2</f>
        <v>82</v>
      </c>
      <c r="B237" s="106" t="str">
        <f t="shared" si="24"/>
        <v>B80_Assessment</v>
      </c>
      <c r="C237" s="106" t="str">
        <f>B82_Assessment!$A$47</f>
        <v>B82-R3</v>
      </c>
      <c r="D237" s="142" t="str">
        <f>B82_Assessment!$B$47</f>
        <v>102</v>
      </c>
      <c r="E237" s="142" t="str">
        <f>B82_Assessment!$C$47</f>
        <v>Cover sheet says TE, but mechanical cooling is included for Room 102</v>
      </c>
      <c r="F237" s="106" t="str">
        <f>B82_Assessment!$D$47</f>
        <v>High</v>
      </c>
      <c r="G237" s="106" t="str">
        <f>B82_Assessment!$E$47</f>
        <v>Medium</v>
      </c>
      <c r="H237" s="106">
        <f>B82_Assessment!$F$47</f>
        <v>6</v>
      </c>
      <c r="I237" s="106" t="str">
        <f>B82_Assessment!$G$47</f>
        <v>Confirm scope interpretation with VA/AE and ensure cooling is commissioned if it serves active TE equipment</v>
      </c>
      <c r="J237" s="106" t="str">
        <f>B82_Assessment!$H$47</f>
        <v>GCC / VA / Designer</v>
      </c>
      <c r="K237" s="106" t="str">
        <f>B82_Assessment!$I$47</f>
        <v>Closed</v>
      </c>
      <c r="L237" s="106" t="str">
        <f>B82_Assessment!$J$47</f>
        <v>Unlike some TE buildings, B82 includes IU-1-01/CU-1-01 mechanical/electrical scope.</v>
      </c>
    </row>
    <row r="238" spans="1:12" ht="40.65" customHeight="1">
      <c r="A238" s="106" t="str">
        <f>B82_Assessment!$B$2</f>
        <v>82</v>
      </c>
      <c r="B238" s="106" t="str">
        <f t="shared" si="24"/>
        <v>B80_Assessment</v>
      </c>
      <c r="C238" s="106" t="str">
        <f>B82_Assessment!$A$48</f>
        <v>B82-R4</v>
      </c>
      <c r="D238" s="142" t="str">
        <f>B82_Assessment!$B$48</f>
        <v>102</v>
      </c>
      <c r="E238" s="142" t="str">
        <f>B82_Assessment!$C$48</f>
        <v>Dedicated cooling emergency power, condensate, BACnet and alarms not verified</v>
      </c>
      <c r="F238" s="106" t="str">
        <f>B82_Assessment!$D$48</f>
        <v>Critical</v>
      </c>
      <c r="G238" s="106" t="str">
        <f>B82_Assessment!$E$48</f>
        <v>Medium</v>
      </c>
      <c r="H238" s="106">
        <f>B82_Assessment!$F$48</f>
        <v>8</v>
      </c>
      <c r="I238" s="106" t="str">
        <f>B82_Assessment!$G$48</f>
        <v>Confirm IU-1-01/CU-1-01 power source, condensate, controls, BACnet adapter, thermostat and high-temp alarm</v>
      </c>
      <c r="J238" s="106" t="str">
        <f>B82_Assessment!$H$48</f>
        <v>Mechanical / Electrical</v>
      </c>
      <c r="K238" s="106" t="str">
        <f>B82_Assessment!$I$48</f>
        <v>Closed</v>
      </c>
      <c r="L238" s="106" t="str">
        <f>B82_Assessment!$J$48</f>
        <v>Cooling appears included and must be verified before acceptance.</v>
      </c>
    </row>
    <row r="239" spans="1:12" ht="34.950000000000003" customHeight="1">
      <c r="A239" s="106" t="str">
        <f>B82_Assessment!$B$2</f>
        <v>82</v>
      </c>
      <c r="B239" s="106" t="str">
        <f t="shared" si="24"/>
        <v>B80_Assessment</v>
      </c>
      <c r="C239" s="106" t="str">
        <f>B82_Assessment!$A$49</f>
        <v>B82-R5</v>
      </c>
      <c r="D239" s="142" t="str">
        <f>B82_Assessment!$B$49</f>
        <v>102</v>
      </c>
      <c r="E239" s="142" t="str">
        <f>B82_Assessment!$C$49</f>
        <v>UPS/PDU/receptacle source and grounding/bonding not verified</v>
      </c>
      <c r="F239" s="106" t="str">
        <f>B82_Assessment!$D$49</f>
        <v>High</v>
      </c>
      <c r="G239" s="106" t="str">
        <f>B82_Assessment!$E$49</f>
        <v>Medium</v>
      </c>
      <c r="H239" s="106">
        <f>B82_Assessment!$F$49</f>
        <v>6</v>
      </c>
      <c r="I239" s="106" t="str">
        <f>B82_Assessment!$G$49</f>
        <v>Verify circuit source, receptacle type, UPS/PDU load, grounding bar, bonding, SPD and labels</v>
      </c>
      <c r="J239" s="106" t="str">
        <f>B82_Assessment!$H$49</f>
        <v>Electrical / Telecom</v>
      </c>
      <c r="K239" s="106" t="str">
        <f>B82_Assessment!$I$49</f>
        <v>Closed</v>
      </c>
      <c r="L239" s="106" t="str">
        <f>B82_Assessment!$J$49</f>
        <v>New TE enclosure includes APC UPS and two PDUs.</v>
      </c>
    </row>
    <row r="240" spans="1:12" ht="40.65" customHeight="1">
      <c r="A240" s="106" t="str">
        <f>B82_Assessment!$B$2</f>
        <v>82</v>
      </c>
      <c r="B240" s="106" t="str">
        <f t="shared" ref="B240:B247" si="25">"B82_Assessment"</f>
        <v>B82_Assessment</v>
      </c>
      <c r="C240" s="106" t="str">
        <f>B82_Assessment!$A$50</f>
        <v>B82-R6</v>
      </c>
      <c r="D240" s="142" t="str">
        <f>B82_Assessment!$B$50</f>
        <v>All</v>
      </c>
      <c r="E240" s="142" t="str">
        <f>B82_Assessment!$C$50</f>
        <v>278 feet of first-level cable tray/pathway requires coordination and firestop tracking</v>
      </c>
      <c r="F240" s="106" t="str">
        <f>B82_Assessment!$D$50</f>
        <v>High</v>
      </c>
      <c r="G240" s="106" t="str">
        <f>B82_Assessment!$E$50</f>
        <v>Medium</v>
      </c>
      <c r="H240" s="106">
        <f>B82_Assessment!$F$50</f>
        <v>6</v>
      </c>
      <c r="I240" s="106" t="str">
        <f>B82_Assessment!$G$50</f>
        <v>Verify route, supports, seismic bracing, 40% fill, penetrations, light/HVAC conflicts and firestop assemblies</v>
      </c>
      <c r="J240" s="106" t="str">
        <f>B82_Assessment!$H$50</f>
        <v>Telecom / GC</v>
      </c>
      <c r="K240" s="106" t="str">
        <f>B82_Assessment!$I$50</f>
        <v>Closed</v>
      </c>
      <c r="L240" s="106" t="str">
        <f>B82_Assessment!$J$50</f>
        <v>82T-701 cable tray schedule lists first level estimated length of 278 ft.</v>
      </c>
    </row>
    <row r="241" spans="1:12" ht="46.35" customHeight="1">
      <c r="A241" s="106" t="str">
        <f>B82_Assessment!$B$2</f>
        <v>82</v>
      </c>
      <c r="B241" s="106" t="str">
        <f t="shared" si="25"/>
        <v>B82_Assessment</v>
      </c>
      <c r="C241" s="106" t="str">
        <f>B82_Assessment!$A$51</f>
        <v>B82-R7</v>
      </c>
      <c r="D241" s="142" t="str">
        <f>B82_Assessment!$B$51</f>
        <v>All</v>
      </c>
      <c r="E241" s="142" t="str">
        <f>B82_Assessment!$C$51</f>
        <v>Firestopping/rated sleeve work could be missed because FP scope is excluded</v>
      </c>
      <c r="F241" s="106" t="str">
        <f>B82_Assessment!$D$51</f>
        <v>High</v>
      </c>
      <c r="G241" s="106" t="str">
        <f>B82_Assessment!$E$51</f>
        <v>Medium</v>
      </c>
      <c r="H241" s="106">
        <f>B82_Assessment!$F$51</f>
        <v>6</v>
      </c>
      <c r="I241" s="106" t="str">
        <f>B82_Assessment!$G$51</f>
        <v>Track 4-inch speed sleeve, rated penetrations, fire caulk, temporary firestopping and patching even without FP sheet scope</v>
      </c>
      <c r="J241" s="106" t="str">
        <f>B82_Assessment!$H$51</f>
        <v>GC / Firestop</v>
      </c>
      <c r="K241" s="106" t="str">
        <f>B82_Assessment!$I$51</f>
        <v>Closed</v>
      </c>
      <c r="L241" s="106" t="str">
        <f>B82_Assessment!$J$51</f>
        <v>Cover excludes fire protection; telecom notes require fire caulk and rated penetrations.</v>
      </c>
    </row>
    <row r="242" spans="1:12" ht="52.2" customHeight="1">
      <c r="A242" s="106" t="str">
        <f>B82_Assessment!$B$2</f>
        <v>82</v>
      </c>
      <c r="B242" s="106" t="str">
        <f t="shared" si="25"/>
        <v>B82_Assessment</v>
      </c>
      <c r="C242" s="106" t="str">
        <f>B82_Assessment!$A$52</f>
        <v>B82-R8</v>
      </c>
      <c r="D242" s="142" t="str">
        <f>B82_Assessment!$B$52</f>
        <v>All</v>
      </c>
      <c r="E242" s="142" t="str">
        <f>B82_Assessment!$C$52</f>
        <v>Commissioning/test documentation may be overlooked due to TE-only scope</v>
      </c>
      <c r="F242" s="106" t="str">
        <f>B82_Assessment!$D$52</f>
        <v>High</v>
      </c>
      <c r="G242" s="106" t="str">
        <f>B82_Assessment!$E$52</f>
        <v>Medium</v>
      </c>
      <c r="H242" s="106">
        <f>B82_Assessment!$F$52</f>
        <v>6</v>
      </c>
      <c r="I242" s="106" t="str">
        <f>B82_Assessment!$G$52</f>
        <v>Track cable test records, labels, as-builts, laminated schedules, OIT acceptance, UPS/PDU verification, HVAC startup/controls and owner signoff</v>
      </c>
      <c r="J242" s="106" t="str">
        <f>B82_Assessment!$H$52</f>
        <v>GC / Cx Manager</v>
      </c>
      <c r="K242" s="106" t="str">
        <f>B82_Assessment!$I$52</f>
        <v>Closed</v>
      </c>
      <c r="L242" s="106" t="str">
        <f>B82_Assessment!$J$52</f>
        <v>General notes still require testing, acceptance and documentation.</v>
      </c>
    </row>
    <row r="243" spans="1:12" ht="22.95" customHeight="1">
      <c r="A243" s="106" t="str">
        <f>BCH_Assessment!$B$2</f>
        <v>BCH</v>
      </c>
      <c r="B243" s="106" t="str">
        <f t="shared" si="25"/>
        <v>B82_Assessment</v>
      </c>
      <c r="C243" s="106" t="str">
        <f>BCH_Assessment!$A$45</f>
        <v>BCH-R1</v>
      </c>
      <c r="D243" s="142" t="str">
        <f>BCH_Assessment!$B$45</f>
        <v>All</v>
      </c>
      <c r="E243" s="142" t="str">
        <f>BCH_Assessment!$C$45</f>
        <v>Existing conditions for Crescent House Room 107 not field verified</v>
      </c>
      <c r="F243" s="106" t="str">
        <f>BCH_Assessment!$D$45</f>
        <v>High</v>
      </c>
      <c r="G243" s="106" t="str">
        <f>BCH_Assessment!$E$45</f>
        <v>Medium</v>
      </c>
      <c r="H243" s="106">
        <f>BCH_Assessment!$F$45</f>
        <v>6</v>
      </c>
      <c r="I243" s="106" t="str">
        <f>BCH_Assessment!$G$45</f>
        <v>Perform existing conditions survey with photos before mobilization</v>
      </c>
      <c r="J243" s="106" t="str">
        <f>BCH_Assessment!$H$45</f>
        <v>GCC / Contractor</v>
      </c>
      <c r="K243" s="106" t="str">
        <f>BCH_Assessment!$I$45</f>
        <v>Closed</v>
      </c>
      <c r="L243" s="106" t="str">
        <f>BCH_Assessment!$J$45</f>
        <v>BCH is off-site at 15 Veterans Way, Lowell and requires careful field verification.</v>
      </c>
    </row>
    <row r="244" spans="1:12" ht="46.35" customHeight="1">
      <c r="A244" s="106" t="str">
        <f>BCH_Assessment!$B$2</f>
        <v>BCH</v>
      </c>
      <c r="B244" s="106" t="str">
        <f t="shared" si="25"/>
        <v>B82_Assessment</v>
      </c>
      <c r="C244" s="106" t="str">
        <f>BCH_Assessment!$A$46</f>
        <v>BCH-R2</v>
      </c>
      <c r="D244" s="142" t="str">
        <f>BCH_Assessment!$B$46</f>
        <v>107</v>
      </c>
      <c r="E244" s="142" t="str">
        <f>BCH_Assessment!$C$46</f>
        <v>Mechanical and fire protection are excluded despite telecom/electronics installation</v>
      </c>
      <c r="F244" s="106" t="str">
        <f>BCH_Assessment!$D$46</f>
        <v>High</v>
      </c>
      <c r="G244" s="106" t="str">
        <f>BCH_Assessment!$E$46</f>
        <v>Medium</v>
      </c>
      <c r="H244" s="106">
        <f>BCH_Assessment!$F$46</f>
        <v>6</v>
      </c>
      <c r="I244" s="106" t="str">
        <f>BCH_Assessment!$G$46</f>
        <v>Verify existing environmental and life-safety conditions support TE equipment; confirm no dedicated HVAC/FP requirement applies</v>
      </c>
      <c r="J244" s="106" t="str">
        <f>BCH_Assessment!$H$46</f>
        <v>GCC / VA / AE</v>
      </c>
      <c r="K244" s="106" t="str">
        <f>BCH_Assessment!$I$46</f>
        <v>Closed</v>
      </c>
      <c r="L244" s="106" t="str">
        <f>BCH_Assessment!$J$46</f>
        <v>Cover sheet explicitly excludes mechanical and fire protection.</v>
      </c>
    </row>
    <row r="245" spans="1:12" ht="34.950000000000003" customHeight="1">
      <c r="A245" s="106" t="str">
        <f>BCH_Assessment!$B$2</f>
        <v>BCH</v>
      </c>
      <c r="B245" s="106" t="str">
        <f t="shared" si="25"/>
        <v>B82_Assessment</v>
      </c>
      <c r="C245" s="106" t="str">
        <f>BCH_Assessment!$A$47</f>
        <v>BCH-R3</v>
      </c>
      <c r="D245" s="142" t="str">
        <f>BCH_Assessment!$B$47</f>
        <v>107 / 00</v>
      </c>
      <c r="E245" s="142" t="str">
        <f>BCH_Assessment!$C$47</f>
        <v>Rack/elevation conflict: TE 12RU enclosure versus BCH Room 107 new telecom room elevation</v>
      </c>
      <c r="F245" s="106" t="str">
        <f>BCH_Assessment!$D$47</f>
        <v>High</v>
      </c>
      <c r="G245" s="106" t="str">
        <f>BCH_Assessment!$E$47</f>
        <v>Medium</v>
      </c>
      <c r="H245" s="106">
        <f>BCH_Assessment!$F$47</f>
        <v>6</v>
      </c>
      <c r="I245" s="106" t="str">
        <f>BCH_Assessment!$G$47</f>
        <v>Submit RFI/confirm with AE which elevation governs and map room/equipment in PMIS</v>
      </c>
      <c r="J245" s="106" t="str">
        <f>BCH_Assessment!$H$47</f>
        <v>Telecom / Designer</v>
      </c>
      <c r="K245" s="106" t="str">
        <f>BCH_Assessment!$I$47</f>
        <v>Closed</v>
      </c>
      <c r="L245" s="106" t="str">
        <f>BCH_Assessment!$J$47</f>
        <v>BCHT-604 includes both TE enclosure and BCH 45RU new telecom room/no existing elevations.</v>
      </c>
    </row>
    <row r="246" spans="1:12" ht="40.65" customHeight="1">
      <c r="A246" s="106" t="str">
        <f>BCH_Assessment!$B$2</f>
        <v>BCH</v>
      </c>
      <c r="B246" s="106" t="str">
        <f t="shared" si="25"/>
        <v>B82_Assessment</v>
      </c>
      <c r="C246" s="106" t="str">
        <f>BCH_Assessment!$A$48</f>
        <v>BCH-R4</v>
      </c>
      <c r="D246" s="142" t="str">
        <f>BCH_Assessment!$B$48</f>
        <v>107</v>
      </c>
      <c r="E246" s="142" t="str">
        <f>BCH_Assessment!$C$48</f>
        <v>Active services and existing devices may require phasing/temporary service</v>
      </c>
      <c r="F246" s="106" t="str">
        <f>BCH_Assessment!$D$48</f>
        <v>Critical</v>
      </c>
      <c r="G246" s="106" t="str">
        <f>BCH_Assessment!$E$48</f>
        <v>Medium</v>
      </c>
      <c r="H246" s="106">
        <f>BCH_Assessment!$F$48</f>
        <v>8</v>
      </c>
      <c r="I246" s="106" t="str">
        <f>BCH_Assessment!$G$48</f>
        <v>Document active services, maintain existing service, use phasing plan, temporary utilities and OIT cutover windows</v>
      </c>
      <c r="J246" s="106" t="str">
        <f>BCH_Assessment!$H$48</f>
        <v>Telecom / OIT</v>
      </c>
      <c r="K246" s="106" t="str">
        <f>BCH_Assessment!$I$48</f>
        <v>Closed</v>
      </c>
      <c r="L246" s="106" t="str">
        <f>BCH_Assessment!$J$48</f>
        <v>General telecom notes require transfer/phasing and avoiding shutdowns.</v>
      </c>
    </row>
    <row r="247" spans="1:12" ht="29.1" customHeight="1">
      <c r="A247" s="106" t="str">
        <f>BCH_Assessment!$B$2</f>
        <v>BCH</v>
      </c>
      <c r="B247" s="106" t="str">
        <f t="shared" si="25"/>
        <v>B82_Assessment</v>
      </c>
      <c r="C247" s="106" t="str">
        <f>BCH_Assessment!$A$49</f>
        <v>BCH-R5</v>
      </c>
      <c r="D247" s="142" t="str">
        <f>BCH_Assessment!$B$49</f>
        <v>107</v>
      </c>
      <c r="E247" s="142" t="str">
        <f>BCH_Assessment!$C$49</f>
        <v>UPS/PDU/receptacle source and grounding/bonding not verified</v>
      </c>
      <c r="F247" s="106" t="str">
        <f>BCH_Assessment!$D$49</f>
        <v>High</v>
      </c>
      <c r="G247" s="106" t="str">
        <f>BCH_Assessment!$E$49</f>
        <v>Medium</v>
      </c>
      <c r="H247" s="106">
        <f>BCH_Assessment!$F$49</f>
        <v>6</v>
      </c>
      <c r="I247" s="106" t="str">
        <f>BCH_Assessment!$G$49</f>
        <v>Verify circuit source, receptacle type, UPS/PDU load, grounding bar, bonding and labels</v>
      </c>
      <c r="J247" s="106" t="str">
        <f>BCH_Assessment!$H$49</f>
        <v>Electrical / Telecom</v>
      </c>
      <c r="K247" s="106" t="str">
        <f>BCH_Assessment!$I$49</f>
        <v>Closed</v>
      </c>
      <c r="L247" s="106" t="str">
        <f>BCH_Assessment!$J$49</f>
        <v>Electrical sheets included but no full mechanical/FP package.</v>
      </c>
    </row>
    <row r="248" spans="1:12" ht="40.65" customHeight="1">
      <c r="A248" s="106" t="str">
        <f>BCH_Assessment!$B$2</f>
        <v>BCH</v>
      </c>
      <c r="B248" s="106" t="str">
        <f t="shared" ref="B248:B255" si="26">"BCH_Assessment"</f>
        <v>BCH_Assessment</v>
      </c>
      <c r="C248" s="106" t="str">
        <f>BCH_Assessment!$A$50</f>
        <v>BCH-R6</v>
      </c>
      <c r="D248" s="142" t="str">
        <f>BCH_Assessment!$B$50</f>
        <v>All</v>
      </c>
      <c r="E248" s="142" t="str">
        <f>BCH_Assessment!$C$50</f>
        <v>Cable tray, sleeve and pathway quantities not scheduled in a BCHT-701 sheet</v>
      </c>
      <c r="F248" s="106" t="str">
        <f>BCH_Assessment!$D$50</f>
        <v>High</v>
      </c>
      <c r="G248" s="106" t="str">
        <f>BCH_Assessment!$E$50</f>
        <v>Medium</v>
      </c>
      <c r="H248" s="106">
        <f>BCH_Assessment!$F$50</f>
        <v>6</v>
      </c>
      <c r="I248" s="106" t="str">
        <f>BCH_Assessment!$G$50</f>
        <v>Require coordination drawings showing route, supports, fill, penetrations, sleeves and cable counts</v>
      </c>
      <c r="J248" s="106" t="str">
        <f>BCH_Assessment!$H$50</f>
        <v>Telecom / GC</v>
      </c>
      <c r="K248" s="106" t="str">
        <f>BCH_Assessment!$I$50</f>
        <v>Closed</v>
      </c>
      <c r="L248" s="106" t="str">
        <f>BCH_Assessment!$J$50</f>
        <v>Drawing index does not list BCHT-701 telecom schedules.</v>
      </c>
    </row>
    <row r="249" spans="1:12" ht="40.65" customHeight="1">
      <c r="A249" s="106" t="str">
        <f>BCH_Assessment!$B$2</f>
        <v>BCH</v>
      </c>
      <c r="B249" s="106" t="str">
        <f t="shared" si="26"/>
        <v>BCH_Assessment</v>
      </c>
      <c r="C249" s="106" t="str">
        <f>BCH_Assessment!$A$51</f>
        <v>BCH-R7</v>
      </c>
      <c r="D249" s="142" t="str">
        <f>BCH_Assessment!$B$51</f>
        <v>All</v>
      </c>
      <c r="E249" s="142" t="str">
        <f>BCH_Assessment!$C$51</f>
        <v>Firestopping/rated sleeve work could be missed because FP scope is excluded</v>
      </c>
      <c r="F249" s="106" t="str">
        <f>BCH_Assessment!$D$51</f>
        <v>High</v>
      </c>
      <c r="G249" s="106" t="str">
        <f>BCH_Assessment!$E$51</f>
        <v>Medium</v>
      </c>
      <c r="H249" s="106">
        <f>BCH_Assessment!$F$51</f>
        <v>6</v>
      </c>
      <c r="I249" s="106" t="str">
        <f>BCH_Assessment!$G$51</f>
        <v>Track 4-inch sleeves, rated penetrations, fire caulk, temporary firestopping and patching even without FP scope</v>
      </c>
      <c r="J249" s="106" t="str">
        <f>BCH_Assessment!$H$51</f>
        <v>GC / Firestop</v>
      </c>
      <c r="K249" s="106" t="str">
        <f>BCH_Assessment!$I$51</f>
        <v>Closed</v>
      </c>
      <c r="L249" s="106" t="str">
        <f>BCH_Assessment!$J$51</f>
        <v>Telecom plan notes still require fire caulk and rated penetration protection.</v>
      </c>
    </row>
    <row r="250" spans="1:12" ht="46.35" customHeight="1">
      <c r="A250" s="106" t="str">
        <f>BCH_Assessment!$B$2</f>
        <v>BCH</v>
      </c>
      <c r="B250" s="106" t="str">
        <f t="shared" si="26"/>
        <v>BCH_Assessment</v>
      </c>
      <c r="C250" s="106" t="str">
        <f>BCH_Assessment!$A$52</f>
        <v>BCH-R8</v>
      </c>
      <c r="D250" s="142" t="str">
        <f>BCH_Assessment!$B$52</f>
        <v>All</v>
      </c>
      <c r="E250" s="142" t="str">
        <f>BCH_Assessment!$C$52</f>
        <v>Turnover documentation may be incomplete due to TE-only/off-site scope</v>
      </c>
      <c r="F250" s="106" t="str">
        <f>BCH_Assessment!$D$52</f>
        <v>High</v>
      </c>
      <c r="G250" s="106" t="str">
        <f>BCH_Assessment!$E$52</f>
        <v>Medium</v>
      </c>
      <c r="H250" s="106">
        <f>BCH_Assessment!$F$52</f>
        <v>6</v>
      </c>
      <c r="I250" s="106" t="str">
        <f>BCH_Assessment!$G$52</f>
        <v>Track cable test records, labels, as-builts, laminated schedules, OIT acceptance, UPS/PDU verification and owner signoff</v>
      </c>
      <c r="J250" s="106" t="str">
        <f>BCH_Assessment!$H$52</f>
        <v>GC / Cx Manager</v>
      </c>
      <c r="K250" s="106" t="str">
        <f>BCH_Assessment!$I$52</f>
        <v>Closed</v>
      </c>
      <c r="L250" s="106" t="str">
        <f>BCH_Assessment!$J$52</f>
        <v>Commissioning/testing requirements still apply to impacted systems.</v>
      </c>
    </row>
    <row r="251" spans="1:12" ht="46.35" customHeight="1">
      <c r="A251" s="106" t="str">
        <f>MCR_Assessment!$B$2</f>
        <v>MCR</v>
      </c>
      <c r="B251" s="106" t="str">
        <f t="shared" si="26"/>
        <v>BCH_Assessment</v>
      </c>
      <c r="C251" s="106" t="str">
        <f>MCR_Assessment!$A$68</f>
        <v>MCR-R1</v>
      </c>
      <c r="D251" s="142" t="str">
        <f>MCR_Assessment!$B$68</f>
        <v>All</v>
      </c>
      <c r="E251" s="142" t="str">
        <f>MCR_Assessment!$C$68</f>
        <v>MCR is a new standalone critical facility with 120-sheet multi-discipline scope</v>
      </c>
      <c r="F251" s="106" t="str">
        <f>MCR_Assessment!$D$68</f>
        <v>Critical</v>
      </c>
      <c r="G251" s="106" t="str">
        <f>MCR_Assessment!$E$68</f>
        <v>Medium</v>
      </c>
      <c r="H251" s="106">
        <f>MCR_Assessment!$F$68</f>
        <v>8</v>
      </c>
      <c r="I251" s="106" t="str">
        <f>MCR_Assessment!$G$68</f>
        <v>Use discipline-by-discipline pre-install checklist, coordination drawings, third-party inspections and commissioning tracker</v>
      </c>
      <c r="J251" s="106" t="str">
        <f>MCR_Assessment!$H$68</f>
        <v>GCC / VA / Cx</v>
      </c>
      <c r="K251" s="106" t="str">
        <f>MCR_Assessment!$I$68</f>
        <v>Closed</v>
      </c>
      <c r="L251" s="106" t="str">
        <f>MCR_Assessment!$J$68</f>
        <v>New MCR cannot depend on another project or funding source to be usable.</v>
      </c>
    </row>
    <row r="252" spans="1:12" ht="46.35" customHeight="1">
      <c r="A252" s="106" t="str">
        <f>MCR_Assessment!$B$2</f>
        <v>MCR</v>
      </c>
      <c r="B252" s="106" t="str">
        <f t="shared" si="26"/>
        <v>BCH_Assessment</v>
      </c>
      <c r="C252" s="106" t="str">
        <f>MCR_Assessment!$A$69</f>
        <v>MCR-R2</v>
      </c>
      <c r="D252" s="142" t="str">
        <f>MCR_Assessment!$B$69</f>
        <v>Existing 107/137</v>
      </c>
      <c r="E252" s="142" t="str">
        <f>MCR_Assessment!$C$69</f>
        <v>Existing MCR/server/core equipment transfer may interrupt hospital network operations</v>
      </c>
      <c r="F252" s="106" t="str">
        <f>MCR_Assessment!$D$69</f>
        <v>Critical</v>
      </c>
      <c r="G252" s="106" t="str">
        <f>MCR_Assessment!$E$69</f>
        <v>Medium</v>
      </c>
      <c r="H252" s="106">
        <f>MCR_Assessment!$F$69</f>
        <v>8</v>
      </c>
      <c r="I252" s="106" t="str">
        <f>MCR_Assessment!$G$69</f>
        <v>Require detailed OIT cutover plan, temporary fiber/umbilicals, rollback plan, VA activation windows and after-hours phasing</v>
      </c>
      <c r="J252" s="106" t="str">
        <f>MCR_Assessment!$H$69</f>
        <v>OIT / Telecom</v>
      </c>
      <c r="K252" s="106" t="str">
        <f>MCR_Assessment!$I$69</f>
        <v>Closed</v>
      </c>
      <c r="L252" s="106" t="str">
        <f>MCR_Assessment!$J$69</f>
        <v>Notes state MCR activation may need 3-6 months and WAO activation depends on fiber/core connections.</v>
      </c>
    </row>
    <row r="253" spans="1:12" ht="34.950000000000003" customHeight="1">
      <c r="A253" s="106" t="str">
        <f>MCR_Assessment!$B$2</f>
        <v>MCR</v>
      </c>
      <c r="B253" s="106" t="str">
        <f t="shared" si="26"/>
        <v>BCH_Assessment</v>
      </c>
      <c r="C253" s="106" t="str">
        <f>MCR_Assessment!$A$70</f>
        <v>MCR-R3</v>
      </c>
      <c r="D253" s="142" t="str">
        <f>MCR_Assessment!$B$70</f>
        <v>MDA/HDA</v>
      </c>
      <c r="E253" s="142" t="str">
        <f>MCR_Assessment!$C$70</f>
        <v>A/B fiber path diversity and backbone commissioning not verified</v>
      </c>
      <c r="F253" s="106" t="str">
        <f>MCR_Assessment!$D$70</f>
        <v>Critical</v>
      </c>
      <c r="G253" s="106" t="str">
        <f>MCR_Assessment!$E$70</f>
        <v>Medium</v>
      </c>
      <c r="H253" s="106">
        <f>MCR_Assessment!$F$70</f>
        <v>8</v>
      </c>
      <c r="I253" s="106" t="str">
        <f>MCR_Assessment!$G$70</f>
        <v>Verify OSP/ISP Path A/B routing, no intermediate splices, test results, labeling and geographic diversity</v>
      </c>
      <c r="J253" s="106" t="str">
        <f>MCR_Assessment!$H$70</f>
        <v>Telecom / OIT</v>
      </c>
      <c r="K253" s="106" t="str">
        <f>MCR_Assessment!$I$70</f>
        <v>Closed</v>
      </c>
      <c r="L253" s="106" t="str">
        <f>MCR_Assessment!$J$70</f>
        <v>New fiber risers require A-side and B-side redundant paths to every TR.</v>
      </c>
    </row>
    <row r="254" spans="1:12" ht="46.35" customHeight="1">
      <c r="A254" s="106" t="str">
        <f>MCR_Assessment!$B$2</f>
        <v>MCR</v>
      </c>
      <c r="B254" s="106" t="str">
        <f t="shared" si="26"/>
        <v>BCH_Assessment</v>
      </c>
      <c r="C254" s="106" t="str">
        <f>MCR_Assessment!$A$71</f>
        <v>MCR-R4</v>
      </c>
      <c r="D254" s="142" t="str">
        <f>MCR_Assessment!$B$71</f>
        <v>MCR / UPS</v>
      </c>
      <c r="E254" s="142" t="str">
        <f>MCR_Assessment!$C$71</f>
        <v>UPS-A/B, ATS/generator, panel source and PDU coordination could delay activation</v>
      </c>
      <c r="F254" s="106" t="str">
        <f>MCR_Assessment!$D$71</f>
        <v>Critical</v>
      </c>
      <c r="G254" s="106" t="str">
        <f>MCR_Assessment!$E$71</f>
        <v>Medium</v>
      </c>
      <c r="H254" s="106">
        <f>MCR_Assessment!$F$71</f>
        <v>8</v>
      </c>
      <c r="I254" s="106" t="str">
        <f>MCR_Assessment!$G$71</f>
        <v>Verify one-line, load banks, breaker settings, panel labels, generator/ATS tests, UPS start-up and A/B power mapping</v>
      </c>
      <c r="J254" s="106" t="str">
        <f>MCR_Assessment!$H$71</f>
        <v>Electrical / Cx</v>
      </c>
      <c r="K254" s="106" t="str">
        <f>MCR_Assessment!$I$71</f>
        <v>Closed</v>
      </c>
      <c r="L254" s="106" t="str">
        <f>MCR_Assessment!$J$71</f>
        <v>Electrical scope includes site electrical, enlarged MCR plans, one-lines and schedules.</v>
      </c>
    </row>
    <row r="255" spans="1:12" ht="52.2" customHeight="1">
      <c r="A255" s="106" t="str">
        <f>MCR_Assessment!$B$2</f>
        <v>MCR</v>
      </c>
      <c r="B255" s="106" t="str">
        <f t="shared" si="26"/>
        <v>BCH_Assessment</v>
      </c>
      <c r="C255" s="106" t="str">
        <f>MCR_Assessment!$A$72</f>
        <v>MCR-R5</v>
      </c>
      <c r="D255" s="142" t="str">
        <f>MCR_Assessment!$B$72</f>
        <v>MCR</v>
      </c>
      <c r="E255" s="142" t="str">
        <f>MCR_Assessment!$C$72</f>
        <v>CRAC capacity, redundancy, condensate, BMS/FMS alarms and emergency power not verified</v>
      </c>
      <c r="F255" s="106" t="str">
        <f>MCR_Assessment!$D$72</f>
        <v>Critical</v>
      </c>
      <c r="G255" s="106" t="str">
        <f>MCR_Assessment!$E$72</f>
        <v>Medium</v>
      </c>
      <c r="H255" s="106">
        <f>MCR_Assessment!$F$72</f>
        <v>8</v>
      </c>
      <c r="I255" s="106" t="str">
        <f>MCR_Assessment!$G$72</f>
        <v>Confirm mechanical schedules, CRAC start-up, controls, alarm points, emergency source, environmental monitoring and hot/cold aisle performance</v>
      </c>
      <c r="J255" s="106" t="str">
        <f>MCR_Assessment!$H$72</f>
        <v>Mechanical / Cx</v>
      </c>
      <c r="K255" s="106" t="str">
        <f>MCR_Assessment!$I$72</f>
        <v>Closed</v>
      </c>
      <c r="L255" s="106" t="str">
        <f>MCR_Assessment!$J$72</f>
        <v>Telecom notes explicitly call for indoor computer room air conditioner CRAC units and BMS coordination.</v>
      </c>
    </row>
    <row r="256" spans="1:12" ht="46.35" customHeight="1">
      <c r="A256" s="106" t="str">
        <f>MCR_Assessment!$B$2</f>
        <v>MCR</v>
      </c>
      <c r="B256" s="106" t="str">
        <f t="shared" ref="B256:B263" si="27">"MCR_Assessment"</f>
        <v>MCR_Assessment</v>
      </c>
      <c r="C256" s="106" t="str">
        <f>MCR_Assessment!$A$73</f>
        <v>MCR-R6</v>
      </c>
      <c r="D256" s="142" t="str">
        <f>MCR_Assessment!$B$73</f>
        <v>MCR</v>
      </c>
      <c r="E256" s="142" t="str">
        <f>MCR_Assessment!$C$73</f>
        <v>Clean-agent/preaction/fire alarm interface and room integrity acceptance risk</v>
      </c>
      <c r="F256" s="106" t="str">
        <f>MCR_Assessment!$D$73</f>
        <v>Critical</v>
      </c>
      <c r="G256" s="106" t="str">
        <f>MCR_Assessment!$E$73</f>
        <v>Medium</v>
      </c>
      <c r="H256" s="106">
        <f>MCR_Assessment!$F$73</f>
        <v>8</v>
      </c>
      <c r="I256" s="106" t="str">
        <f>MCR_Assessment!$G$73</f>
        <v>Track clean-agent calculations, room integrity test, release/abort stations, FA matrix, sprinkler/preaction tests and AHJ/third-party acceptance</v>
      </c>
      <c r="J256" s="106" t="str">
        <f>MCR_Assessment!$H$73</f>
        <v>FP / FA / Cx</v>
      </c>
      <c r="K256" s="106" t="str">
        <f>MCR_Assessment!$I$73</f>
        <v>Closed</v>
      </c>
      <c r="L256" s="106" t="str">
        <f>MCR_Assessment!$J$73</f>
        <v>MCR receives new fire alarm and clean-agent fire suppression system.</v>
      </c>
    </row>
    <row r="257" spans="1:12" ht="46.35" customHeight="1">
      <c r="A257" s="106" t="str">
        <f>MCR_Assessment!$B$2</f>
        <v>MCR</v>
      </c>
      <c r="B257" s="106" t="str">
        <f t="shared" si="27"/>
        <v>MCR_Assessment</v>
      </c>
      <c r="C257" s="106" t="str">
        <f>MCR_Assessment!$A$74</f>
        <v>MCR-R7</v>
      </c>
      <c r="D257" s="142" t="str">
        <f>MCR_Assessment!$B$74</f>
        <v>MCR / Site</v>
      </c>
      <c r="E257" s="142" t="str">
        <f>MCR_Assessment!$C$74</f>
        <v>Civil/site/utility ductbank, drainage, grading and security envelope could affect substantial completion</v>
      </c>
      <c r="F257" s="106" t="str">
        <f>MCR_Assessment!$D$74</f>
        <v>High</v>
      </c>
      <c r="G257" s="106" t="str">
        <f>MCR_Assessment!$E$74</f>
        <v>Medium</v>
      </c>
      <c r="H257" s="106">
        <f>MCR_Assessment!$F$74</f>
        <v>6</v>
      </c>
      <c r="I257" s="106" t="str">
        <f>MCR_Assessment!$G$74</f>
        <v>Track civil utility plan, stormwater, grading, ductbank, site fiber conduit encasement, access and landscape/hardscape restoration</v>
      </c>
      <c r="J257" s="106" t="str">
        <f>MCR_Assessment!$H$74</f>
        <v>Civil / Site / GC</v>
      </c>
      <c r="K257" s="106" t="str">
        <f>MCR_Assessment!$I$74</f>
        <v>Closed</v>
      </c>
      <c r="L257" s="106" t="str">
        <f>MCR_Assessment!$J$74</f>
        <v>MCR package includes civil, structural and architectural site work.</v>
      </c>
    </row>
    <row r="258" spans="1:12" ht="52.2" customHeight="1">
      <c r="A258" s="106" t="str">
        <f>MCR_Assessment!$B$2</f>
        <v>MCR</v>
      </c>
      <c r="B258" s="106" t="str">
        <f t="shared" si="27"/>
        <v>MCR_Assessment</v>
      </c>
      <c r="C258" s="106" t="str">
        <f>MCR_Assessment!$A$75</f>
        <v>MCR-R8</v>
      </c>
      <c r="D258" s="142" t="str">
        <f>MCR_Assessment!$B$75</f>
        <v>All</v>
      </c>
      <c r="E258" s="142" t="str">
        <f>MCR_Assessment!$C$75</f>
        <v>Commissioning/turnover package may be incomplete across all divisions</v>
      </c>
      <c r="F258" s="106" t="str">
        <f>MCR_Assessment!$D$75</f>
        <v>High</v>
      </c>
      <c r="G258" s="106" t="str">
        <f>MCR_Assessment!$E$75</f>
        <v>Medium</v>
      </c>
      <c r="H258" s="106">
        <f>MCR_Assessment!$F$75</f>
        <v>6</v>
      </c>
      <c r="I258" s="106" t="str">
        <f>MCR_Assessment!$G$75</f>
        <v>Maintain MCR-specific turnover matrix for electrical, mechanical, FP, FA, telecom, security, civil, structural and architectural systems</v>
      </c>
      <c r="J258" s="106" t="str">
        <f>MCR_Assessment!$H$75</f>
        <v>GC / Cx Manager</v>
      </c>
      <c r="K258" s="106" t="str">
        <f>MCR_Assessment!$I$75</f>
        <v>Closed</v>
      </c>
      <c r="L258" s="106" t="str">
        <f>MCR_Assessment!$J$75</f>
        <v>General notes require commissioning/recommissioning, third-party inspections and written reports.</v>
      </c>
    </row>
    <row r="259" spans="1:12" ht="40.65" customHeight="1">
      <c r="A259" s="106" t="str">
        <f>SITE_Assesment!$B$2</f>
        <v>SITE</v>
      </c>
      <c r="B259" s="106" t="str">
        <f t="shared" si="27"/>
        <v>MCR_Assessment</v>
      </c>
      <c r="C259" s="106" t="str">
        <f>SITE_Assesment!$A$66</f>
        <v>SITE-R1</v>
      </c>
      <c r="D259" s="142" t="str">
        <f>SITE_Assesment!$B$66</f>
        <v>All</v>
      </c>
      <c r="E259" s="142" t="str">
        <f>SITE_Assesment!$C$66</f>
        <v>Existing utility locations are approximate and field conditions may vary from survey</v>
      </c>
      <c r="F259" s="106" t="str">
        <f>SITE_Assesment!$D$66</f>
        <v>Critical</v>
      </c>
      <c r="G259" s="106" t="str">
        <f>SITE_Assesment!$E$66</f>
        <v>High</v>
      </c>
      <c r="H259" s="106">
        <f>SITE_Assesment!$F$66</f>
        <v>9</v>
      </c>
      <c r="I259" s="106" t="str">
        <f>SITE_Assesment!$G$66</f>
        <v>Complete utility locate, GPR review, potholing/hand-digging at crossings and VA utility coordination before excavation</v>
      </c>
      <c r="J259" s="106" t="str">
        <f>SITE_Assesment!$H$66</f>
        <v>GC / Civil / VA</v>
      </c>
      <c r="K259" s="106" t="str">
        <f>SITE_Assesment!$I$66</f>
        <v>Closed</v>
      </c>
      <c r="L259" s="106" t="str">
        <f>SITE_Assesment!$J$66</f>
        <v>Multiple sheets repeat that survey conditions may vary and utility location service is required prior to excavation.</v>
      </c>
    </row>
    <row r="260" spans="1:12" ht="34.950000000000003" customHeight="1">
      <c r="A260" s="106" t="str">
        <f>SITE_Assesment!$B$2</f>
        <v>SITE</v>
      </c>
      <c r="B260" s="106" t="str">
        <f t="shared" si="27"/>
        <v>MCR_Assessment</v>
      </c>
      <c r="C260" s="106" t="str">
        <f>SITE_Assesment!$A$67</f>
        <v>SITE-R2</v>
      </c>
      <c r="D260" s="142" t="str">
        <f>SITE_Assesment!$B$67</f>
        <v>All</v>
      </c>
      <c r="E260" s="142" t="str">
        <f>SITE_Assesment!$C$67</f>
        <v>A/B fiber path separation may not be maintained through common ductbank or congested areas</v>
      </c>
      <c r="F260" s="106" t="str">
        <f>SITE_Assesment!$D$67</f>
        <v>Critical</v>
      </c>
      <c r="G260" s="106" t="str">
        <f>SITE_Assesment!$E$67</f>
        <v>Medium</v>
      </c>
      <c r="H260" s="106">
        <f>SITE_Assesment!$F$67</f>
        <v>8</v>
      </c>
      <c r="I260" s="106" t="str">
        <f>SITE_Assesment!$G$67</f>
        <v>Verify separate conduits, route diversity, THH labels, T-601 path counts and as-built documentation</v>
      </c>
      <c r="J260" s="106" t="str">
        <f>SITE_Assesment!$H$67</f>
        <v>Telecom / OIT</v>
      </c>
      <c r="K260" s="106" t="str">
        <f>SITE_Assesment!$I$67</f>
        <v>Closed</v>
      </c>
      <c r="L260" s="106" t="str">
        <f>SITE_Assesment!$J$67</f>
        <v>Legend allows A+B in common ductbank but separate conduits; redundancy must be validated.</v>
      </c>
    </row>
    <row r="261" spans="1:12" ht="40.65" customHeight="1">
      <c r="A261" s="106" t="str">
        <f>SITE_Assesment!$B$2</f>
        <v>SITE</v>
      </c>
      <c r="B261" s="106" t="str">
        <f t="shared" si="27"/>
        <v>MCR_Assessment</v>
      </c>
      <c r="C261" s="106" t="str">
        <f>SITE_Assesment!$A$68</f>
        <v>SITE-R3</v>
      </c>
      <c r="D261" s="142" t="str">
        <f>SITE_Assesment!$B$68</f>
        <v>All</v>
      </c>
      <c r="E261" s="142" t="str">
        <f>SITE_Assesment!$C$68</f>
        <v>Concrete ductbank could be backfilled before inspection</v>
      </c>
      <c r="F261" s="106" t="str">
        <f>SITE_Assesment!$D$68</f>
        <v>High</v>
      </c>
      <c r="G261" s="106" t="str">
        <f>SITE_Assesment!$E$68</f>
        <v>Medium</v>
      </c>
      <c r="H261" s="106">
        <f>SITE_Assesment!$F$68</f>
        <v>6</v>
      </c>
      <c r="I261" s="106" t="str">
        <f>SITE_Assesment!$G$68</f>
        <v>Establish inspection hold point; trench remains open until concrete duct inspection and photos are accepted</v>
      </c>
      <c r="J261" s="106" t="str">
        <f>SITE_Assesment!$H$68</f>
        <v>GC / QA / COR</v>
      </c>
      <c r="K261" s="106" t="str">
        <f>SITE_Assesment!$I$68</f>
        <v>Closed</v>
      </c>
      <c r="L261" s="106" t="str">
        <f>SITE_Assesment!$J$68</f>
        <v>Site notes state trench to remain open until inspection of concrete duct.</v>
      </c>
    </row>
    <row r="262" spans="1:12" ht="40.65" customHeight="1">
      <c r="A262" s="106" t="str">
        <f>SITE_Assesment!$B$2</f>
        <v>SITE</v>
      </c>
      <c r="B262" s="106" t="str">
        <f t="shared" si="27"/>
        <v>MCR_Assessment</v>
      </c>
      <c r="C262" s="106" t="str">
        <f>SITE_Assesment!$A$69</f>
        <v>SITE-R4</v>
      </c>
      <c r="D262" s="142" t="str">
        <f>SITE_Assesment!$B$69</f>
        <v>MCR / Provider</v>
      </c>
      <c r="E262" s="142" t="str">
        <f>SITE_Assesment!$C$69</f>
        <v>WAN/provider fiber and MCR activation sequence could delay campus cutover</v>
      </c>
      <c r="F262" s="106" t="str">
        <f>SITE_Assesment!$D$69</f>
        <v>Critical</v>
      </c>
      <c r="G262" s="106" t="str">
        <f>SITE_Assesment!$E$69</f>
        <v>Medium</v>
      </c>
      <c r="H262" s="106">
        <f>SITE_Assesment!$F$69</f>
        <v>8</v>
      </c>
      <c r="I262" s="106" t="str">
        <f>SITE_Assesment!$G$69</f>
        <v>Coordinate Century Link/service provider, temporary fiber, provider extension, MCR readiness and OIT activation plan</v>
      </c>
      <c r="J262" s="106" t="str">
        <f>SITE_Assesment!$H$69</f>
        <v>OIT / Telecom</v>
      </c>
      <c r="K262" s="106" t="str">
        <f>SITE_Assesment!$I$69</f>
        <v>Closed</v>
      </c>
      <c r="L262" s="106" t="str">
        <f>SITE_Assesment!$J$69</f>
        <v>T-601 references WAN fiber, temporary fiber and provider extension.</v>
      </c>
    </row>
    <row r="263" spans="1:12" ht="40.65" customHeight="1">
      <c r="A263" s="106" t="str">
        <f>SITE_Assesment!$B$2</f>
        <v>SITE</v>
      </c>
      <c r="B263" s="106" t="str">
        <f t="shared" si="27"/>
        <v>MCR_Assessment</v>
      </c>
      <c r="C263" s="106" t="str">
        <f>SITE_Assesment!$A$70</f>
        <v>SITE-R5</v>
      </c>
      <c r="D263" s="142" t="str">
        <f>SITE_Assesment!$B$70</f>
        <v>Roads / Parking / Pedestrian Areas</v>
      </c>
      <c r="E263" s="142" t="str">
        <f>SITE_Assesment!$C$70</f>
        <v>Trenching/restoration may disrupt accessible parking, fire lanes, public access and campus traffic</v>
      </c>
      <c r="F263" s="106" t="str">
        <f>SITE_Assesment!$D$70</f>
        <v>High</v>
      </c>
      <c r="G263" s="106" t="str">
        <f>SITE_Assesment!$E$70</f>
        <v>Medium</v>
      </c>
      <c r="H263" s="106">
        <f>SITE_Assesment!$F$70</f>
        <v>6</v>
      </c>
      <c r="I263" s="106" t="str">
        <f>SITE_Assesment!$G$70</f>
        <v>Submit traffic/pedestrian/staging plan, maintain fire lanes/hydrants and restore surfaces to match existing</v>
      </c>
      <c r="J263" s="106" t="str">
        <f>SITE_Assesment!$H$70</f>
        <v>GC / Site</v>
      </c>
      <c r="K263" s="106" t="str">
        <f>SITE_Assesment!$I$70</f>
        <v>Closed</v>
      </c>
      <c r="L263" s="106" t="str">
        <f>SITE_Assesment!$J$70</f>
        <v>General notes require coordination with owner and protection of accessible parking/public access.</v>
      </c>
    </row>
    <row r="264" spans="1:12" ht="34.950000000000003" customHeight="1">
      <c r="A264" s="106" t="str">
        <f>SITE_Assesment!$B$2</f>
        <v>SITE</v>
      </c>
      <c r="B264" s="106" t="str">
        <f>"SITE_Assesment"</f>
        <v>SITE_Assesment</v>
      </c>
      <c r="C264" s="106" t="str">
        <f>SITE_Assesment!$A$71</f>
        <v>SITE-R6</v>
      </c>
      <c r="D264" s="106" t="str">
        <f>SITE_Assesment!$B$71</f>
        <v>All Building Tie-ins</v>
      </c>
      <c r="E264" s="106" t="str">
        <f>SITE_Assesment!$C$71</f>
        <v>Building entry penetrations/firestopping may not align with building PMIS packages</v>
      </c>
      <c r="F264" s="106" t="str">
        <f>SITE_Assesment!$D$71</f>
        <v>High</v>
      </c>
      <c r="G264" s="106" t="str">
        <f>SITE_Assesment!$E$71</f>
        <v>Medium</v>
      </c>
      <c r="H264" s="106">
        <f>SITE_Assesment!$F$71</f>
        <v>6</v>
      </c>
      <c r="I264" s="106" t="str">
        <f>SITE_Assesment!$G$71</f>
        <v>Cross-check every site tie-in against building assessment, T-101 continuation sheets and firestop photos</v>
      </c>
      <c r="J264" s="106" t="str">
        <f>SITE_Assesment!$H$71</f>
        <v>Telecom / Firestop / QA</v>
      </c>
      <c r="K264" s="106" t="str">
        <f>SITE_Assesment!$I$71</f>
        <v>Closed</v>
      </c>
      <c r="L264" s="106" t="str">
        <f>SITE_Assesment!$J$71</f>
        <v>Every building continuation references building T-101 and T-601.</v>
      </c>
    </row>
    <row r="265" spans="1:12" ht="40.65" customHeight="1">
      <c r="A265" s="106" t="str">
        <f>SITE_Assesment!$B$2</f>
        <v>SITE</v>
      </c>
      <c r="B265" s="106" t="str">
        <f>"SITE_Assesment"</f>
        <v>SITE_Assesment</v>
      </c>
      <c r="C265" s="106" t="str">
        <f>SITE_Assesment!$A$72</f>
        <v>SITE-R7</v>
      </c>
      <c r="D265" s="106" t="str">
        <f>SITE_Assesment!$B$72</f>
        <v>Civil Restoration</v>
      </c>
      <c r="E265" s="106" t="str">
        <f>SITE_Assesment!$C$72</f>
        <v>Asphalt/concrete/landscape restoration quantities and limits may be underestimated</v>
      </c>
      <c r="F265" s="106" t="str">
        <f>SITE_Assesment!$D$72</f>
        <v>Medium</v>
      </c>
      <c r="G265" s="106" t="str">
        <f>SITE_Assesment!$E$72</f>
        <v>Medium</v>
      </c>
      <c r="H265" s="106">
        <f>SITE_Assesment!$F$72</f>
        <v>4</v>
      </c>
      <c r="I265" s="106" t="str">
        <f>SITE_Assesment!$G$72</f>
        <v>Verify trench patch details, tie bars, concrete/asphalt specs, landscape protection and final surface restoration photo log</v>
      </c>
      <c r="J265" s="106" t="str">
        <f>SITE_Assesment!$H$72</f>
        <v>GC / Civil</v>
      </c>
      <c r="K265" s="106" t="str">
        <f>SITE_Assesment!$I$72</f>
        <v>Closed</v>
      </c>
      <c r="L265" s="106" t="str">
        <f>SITE_Assesment!$J$72</f>
        <v>T-501 includes trenching/restoration details and concrete requirements.</v>
      </c>
    </row>
    <row r="266" spans="1:12" ht="40.65" customHeight="1">
      <c r="A266" s="106" t="str">
        <f>SITE_Assesment!$B$2</f>
        <v>SITE</v>
      </c>
      <c r="B266" s="106" t="str">
        <f>"SITE_Assesment"</f>
        <v>SITE_Assesment</v>
      </c>
      <c r="C266" s="106" t="str">
        <f>SITE_Assesment!$A$73</f>
        <v>SITE-R8</v>
      </c>
      <c r="D266" s="106" t="str">
        <f>SITE_Assesment!$B$73</f>
        <v>Commissioning / Turnover</v>
      </c>
      <c r="E266" s="106" t="str">
        <f>SITE_Assesment!$C$73</f>
        <v>Fiber testing, labels, as-builts and site utility commissioning may be incomplete</v>
      </c>
      <c r="F266" s="106" t="str">
        <f>SITE_Assesment!$D$73</f>
        <v>High</v>
      </c>
      <c r="G266" s="106" t="str">
        <f>SITE_Assesment!$E$73</f>
        <v>Medium</v>
      </c>
      <c r="H266" s="106">
        <f>SITE_Assesment!$F$73</f>
        <v>6</v>
      </c>
      <c r="I266" s="106" t="str">
        <f>SITE_Assesment!$G$73</f>
        <v>Track OTDR/power meter tests, conduit as-builts, THH labels, route photos, redlines, third-party inspections and VA/OIT acceptance</v>
      </c>
      <c r="J266" s="106" t="str">
        <f>SITE_Assesment!$H$73</f>
        <v>GC / Cx / OIT</v>
      </c>
      <c r="K266" s="106" t="str">
        <f>SITE_Assesment!$I$73</f>
        <v>Closed</v>
      </c>
      <c r="L266" s="106" t="str">
        <f>SITE_Assesment!$J$73</f>
        <v>Commissioning and third-party inspection requirements apply to site utilities and communications.</v>
      </c>
    </row>
    <row r="267" spans="1:12" ht="7.35" customHeight="1">
      <c r="A267" s="19"/>
      <c r="B267" s="19"/>
      <c r="C267" s="19"/>
      <c r="D267" s="144"/>
      <c r="E267" s="144"/>
      <c r="F267" s="19"/>
      <c r="G267" s="19"/>
      <c r="H267" s="19"/>
      <c r="I267" s="19"/>
      <c r="J267" s="19"/>
      <c r="K267" s="19"/>
      <c r="L267" s="19"/>
    </row>
    <row r="268" spans="1:12" ht="7.35" customHeight="1">
      <c r="A268" s="146"/>
      <c r="B268" s="146"/>
      <c r="C268" s="146"/>
      <c r="D268" s="147"/>
      <c r="E268" s="147"/>
      <c r="F268" s="146"/>
      <c r="G268" s="146"/>
      <c r="H268" s="146"/>
      <c r="I268" s="146"/>
      <c r="J268" s="146"/>
      <c r="K268" s="146"/>
      <c r="L268" s="146"/>
    </row>
    <row r="269" spans="1:12" ht="7.35" customHeight="1">
      <c r="A269" s="106"/>
      <c r="B269" s="106" t="str">
        <f t="shared" ref="B269:B284" si="28">"B01_Assessment"</f>
        <v>B01_Assessment</v>
      </c>
      <c r="C269" s="106"/>
      <c r="D269" s="142"/>
      <c r="E269" s="142"/>
      <c r="F269" s="106"/>
      <c r="G269" s="106"/>
      <c r="H269" s="106"/>
      <c r="I269" s="106"/>
      <c r="J269" s="106"/>
      <c r="K269" s="106"/>
      <c r="L269" s="106"/>
    </row>
    <row r="270" spans="1:12" ht="56.4" customHeight="1">
      <c r="A270" s="19" t="s">
        <v>877</v>
      </c>
      <c r="B270" s="19" t="str">
        <f t="shared" si="28"/>
        <v>B01_Assessment</v>
      </c>
      <c r="C270" s="19"/>
      <c r="D270" s="144"/>
      <c r="E270" s="144"/>
      <c r="F270" s="19"/>
      <c r="G270" s="19"/>
      <c r="H270" s="19"/>
      <c r="I270" s="19"/>
      <c r="J270" s="19"/>
      <c r="K270" s="19"/>
      <c r="L270" s="19"/>
    </row>
    <row r="271" spans="1:12" ht="13.35" customHeight="1">
      <c r="A271" s="146" t="s">
        <v>142</v>
      </c>
      <c r="B271" s="146" t="str">
        <f t="shared" si="28"/>
        <v>B01_Assessment</v>
      </c>
      <c r="C271" s="146" t="s">
        <v>221</v>
      </c>
      <c r="D271" s="147" t="s">
        <v>222</v>
      </c>
      <c r="E271" s="147" t="s">
        <v>265</v>
      </c>
      <c r="F271" s="146" t="s">
        <v>77</v>
      </c>
      <c r="G271" s="146" t="s">
        <v>878</v>
      </c>
      <c r="H271" s="146" t="s">
        <v>879</v>
      </c>
      <c r="I271" s="146" t="s">
        <v>880</v>
      </c>
      <c r="J271" s="146" t="s">
        <v>494</v>
      </c>
      <c r="K271" s="146" t="s">
        <v>881</v>
      </c>
      <c r="L271" s="146" t="s">
        <v>11</v>
      </c>
    </row>
    <row r="272" spans="1:12" ht="40.65" customHeight="1">
      <c r="A272" s="106" t="str">
        <f>B01_Assessment!$B$2</f>
        <v>01</v>
      </c>
      <c r="B272" s="106" t="str">
        <f t="shared" si="28"/>
        <v>B01_Assessment</v>
      </c>
      <c r="C272" s="106" t="str">
        <f>B01_Assessment!$A$70</f>
        <v>B01-Q1</v>
      </c>
      <c r="D272" s="142" t="str">
        <f>B01_Assessment!$B$70</f>
        <v>Confirm final telecom scope: new Room 107 with existing B02, 138 and 282 transition/transfer points?</v>
      </c>
      <c r="E272" s="142" t="str">
        <f>B01_Assessment!$C$70</f>
        <v>VA / OIT / Designer</v>
      </c>
      <c r="F272" s="106" t="str">
        <f>B01_Assessment!$D$70</f>
        <v>Closed</v>
      </c>
      <c r="G272" s="106">
        <f>B01_Assessment!$E$70</f>
        <v>0</v>
      </c>
      <c r="H272" s="106">
        <f>B01_Assessment!$F$70</f>
        <v>0</v>
      </c>
      <c r="I272" s="106" t="str">
        <f>B01_Assessment!$G$70</f>
        <v>Room inventory could miss scope</v>
      </c>
      <c r="J272" s="106">
        <f>B01_Assessment!$H$70</f>
        <v>0</v>
      </c>
      <c r="K272" s="106">
        <f>B01_Assessment!$I$70</f>
        <v>0</v>
      </c>
      <c r="L272" s="106">
        <f>B01_Assessment!$J$70</f>
        <v>0</v>
      </c>
    </row>
    <row r="273" spans="1:12" ht="29.1" customHeight="1">
      <c r="A273" s="106" t="str">
        <f>B01_Assessment!$B$2</f>
        <v>01</v>
      </c>
      <c r="B273" s="106" t="str">
        <f t="shared" si="28"/>
        <v>B01_Assessment</v>
      </c>
      <c r="C273" s="106" t="str">
        <f>B01_Assessment!$A$71</f>
        <v>B01-Q2</v>
      </c>
      <c r="D273" s="142" t="str">
        <f>B01_Assessment!$B$71</f>
        <v>What active services are currently fed from existing Rooms B02, 138 and 282?</v>
      </c>
      <c r="E273" s="142" t="str">
        <f>B01_Assessment!$C$71</f>
        <v>OIT / Contractor</v>
      </c>
      <c r="F273" s="106" t="str">
        <f>B01_Assessment!$D$71</f>
        <v>Closed</v>
      </c>
      <c r="G273" s="106">
        <f>B01_Assessment!$E$71</f>
        <v>0</v>
      </c>
      <c r="H273" s="106">
        <f>B01_Assessment!$F$71</f>
        <v>0</v>
      </c>
      <c r="I273" s="106" t="str">
        <f>B01_Assessment!$G$71</f>
        <v>Potential communications/security outage</v>
      </c>
      <c r="J273" s="106">
        <f>B01_Assessment!$H$71</f>
        <v>0</v>
      </c>
      <c r="K273" s="106">
        <f>B01_Assessment!$I$71</f>
        <v>0</v>
      </c>
      <c r="L273" s="106">
        <f>B01_Assessment!$J$71</f>
        <v>0</v>
      </c>
    </row>
    <row r="274" spans="1:12" ht="34.950000000000003" customHeight="1">
      <c r="A274" s="106" t="str">
        <f>B01_Assessment!$B$2</f>
        <v>01</v>
      </c>
      <c r="B274" s="106" t="str">
        <f t="shared" si="28"/>
        <v>B01_Assessment</v>
      </c>
      <c r="C274" s="106" t="str">
        <f>B01_Assessment!$A$72</f>
        <v>B01-Q3</v>
      </c>
      <c r="D274" s="142" t="str">
        <f>B01_Assessment!$B$72</f>
        <v>What equipment from existing racks transfers to new Room 107 versus remains/decommissions?</v>
      </c>
      <c r="E274" s="142" t="str">
        <f>B01_Assessment!$C$72</f>
        <v>OIT / Telecom</v>
      </c>
      <c r="F274" s="106" t="str">
        <f>B01_Assessment!$D$72</f>
        <v>Closed</v>
      </c>
      <c r="G274" s="106">
        <f>B01_Assessment!$E$72</f>
        <v>0</v>
      </c>
      <c r="H274" s="106">
        <f>B01_Assessment!$F$72</f>
        <v>0</v>
      </c>
      <c r="I274" s="106" t="str">
        <f>B01_Assessment!$G$72</f>
        <v>Cutover and rack elevation risk</v>
      </c>
      <c r="J274" s="106">
        <f>B01_Assessment!$H$72</f>
        <v>0</v>
      </c>
      <c r="K274" s="106">
        <f>B01_Assessment!$I$72</f>
        <v>0</v>
      </c>
      <c r="L274" s="106">
        <f>B01_Assessment!$J$72</f>
        <v>0</v>
      </c>
    </row>
    <row r="275" spans="1:12" ht="34.950000000000003" customHeight="1">
      <c r="A275" s="106" t="str">
        <f>B01_Assessment!$B$2</f>
        <v>01</v>
      </c>
      <c r="B275" s="106" t="str">
        <f t="shared" si="28"/>
        <v>B01_Assessment</v>
      </c>
      <c r="C275" s="106" t="str">
        <f>B01_Assessment!$A$73</f>
        <v>B01-Q4</v>
      </c>
      <c r="D275" s="142" t="str">
        <f>B01_Assessment!$B$73</f>
        <v>Is IU-1-01/CU-1-01 on emergency/backup power and dedicated to Room 107?</v>
      </c>
      <c r="E275" s="142" t="str">
        <f>B01_Assessment!$C$73</f>
        <v>Mechanical / Electrical / VA</v>
      </c>
      <c r="F275" s="106" t="str">
        <f>B01_Assessment!$D$73</f>
        <v>Closed</v>
      </c>
      <c r="G275" s="106">
        <f>B01_Assessment!$E$73</f>
        <v>0</v>
      </c>
      <c r="H275" s="106">
        <f>B01_Assessment!$F$73</f>
        <v>0</v>
      </c>
      <c r="I275" s="106" t="str">
        <f>B01_Assessment!$G$73</f>
        <v>Cooling continuity unclear</v>
      </c>
      <c r="J275" s="106">
        <f>B01_Assessment!$H$73</f>
        <v>0</v>
      </c>
      <c r="K275" s="106">
        <f>B01_Assessment!$I$73</f>
        <v>0</v>
      </c>
      <c r="L275" s="106">
        <f>B01_Assessment!$J$73</f>
        <v>0</v>
      </c>
    </row>
    <row r="276" spans="1:12" ht="29.1" customHeight="1">
      <c r="A276" s="106" t="str">
        <f>B01_Assessment!$B$2</f>
        <v>01</v>
      </c>
      <c r="B276" s="106" t="str">
        <f t="shared" si="28"/>
        <v>B01_Assessment</v>
      </c>
      <c r="C276" s="106" t="str">
        <f>B01_Assessment!$A$74</f>
        <v>B01-Q5</v>
      </c>
      <c r="D276" s="142" t="str">
        <f>B01_Assessment!$B$74</f>
        <v>Where is the clean-agent/CO2 extinguisher cabinet located within 75 ft of Room 107?</v>
      </c>
      <c r="E276" s="142" t="str">
        <f>B01_Assessment!$C$74</f>
        <v>GC / COR</v>
      </c>
      <c r="F276" s="106" t="str">
        <f>B01_Assessment!$D$74</f>
        <v>Closed</v>
      </c>
      <c r="G276" s="106">
        <f>B01_Assessment!$E$74</f>
        <v>0</v>
      </c>
      <c r="H276" s="106">
        <f>B01_Assessment!$F$74</f>
        <v>0</v>
      </c>
      <c r="I276" s="106" t="str">
        <f>B01_Assessment!$G$74</f>
        <v>Life-safety acceptance risk</v>
      </c>
      <c r="J276" s="106">
        <f>B01_Assessment!$H$74</f>
        <v>0</v>
      </c>
      <c r="K276" s="106">
        <f>B01_Assessment!$I$74</f>
        <v>0</v>
      </c>
      <c r="L276" s="106">
        <f>B01_Assessment!$J$74</f>
        <v>0</v>
      </c>
    </row>
    <row r="277" spans="1:12" ht="34.950000000000003" customHeight="1">
      <c r="A277" s="106" t="str">
        <f>B01_Assessment!$B$2</f>
        <v>01</v>
      </c>
      <c r="B277" s="106" t="str">
        <f t="shared" si="28"/>
        <v>B01_Assessment</v>
      </c>
      <c r="C277" s="106" t="str">
        <f>B01_Assessment!$A$75</f>
        <v>B01-Q6</v>
      </c>
      <c r="D277" s="142" t="str">
        <f>B01_Assessment!$B$75</f>
        <v>Are B01-TR107A/B sources, rack receptacles, SPDs, labels and 30-day load measurements approved?</v>
      </c>
      <c r="E277" s="142" t="str">
        <f>B01_Assessment!$C$75</f>
        <v>Electrical / Designer</v>
      </c>
      <c r="F277" s="106" t="str">
        <f>B01_Assessment!$D$75</f>
        <v>Closed</v>
      </c>
      <c r="G277" s="106">
        <f>B01_Assessment!$E$75</f>
        <v>0</v>
      </c>
      <c r="H277" s="106">
        <f>B01_Assessment!$F$75</f>
        <v>0</v>
      </c>
      <c r="I277" s="106" t="str">
        <f>B01_Assessment!$G$75</f>
        <v>Electrical readiness unknown</v>
      </c>
      <c r="J277" s="106">
        <f>B01_Assessment!$H$75</f>
        <v>0</v>
      </c>
      <c r="K277" s="106">
        <f>B01_Assessment!$I$75</f>
        <v>0</v>
      </c>
      <c r="L277" s="106">
        <f>B01_Assessment!$J$75</f>
        <v>0</v>
      </c>
    </row>
    <row r="278" spans="1:12" ht="40.65" customHeight="1">
      <c r="A278" s="106" t="str">
        <f>B01_Assessment!$B$2</f>
        <v>01</v>
      </c>
      <c r="B278" s="106" t="str">
        <f t="shared" si="28"/>
        <v>B01_Assessment</v>
      </c>
      <c r="C278" s="106" t="str">
        <f>B01_Assessment!$A$76</f>
        <v>B01-Q7</v>
      </c>
      <c r="D278" s="142" t="str">
        <f>B01_Assessment!$B$76</f>
        <v>Are all rated wall/floor penetrations, sleeves, cable tray entries and firestopping details identified?</v>
      </c>
      <c r="E278" s="142" t="str">
        <f>B01_Assessment!$C$76</f>
        <v>GC / Firestop</v>
      </c>
      <c r="F278" s="106" t="str">
        <f>B01_Assessment!$D$76</f>
        <v>Closed</v>
      </c>
      <c r="G278" s="106">
        <f>B01_Assessment!$E$76</f>
        <v>0</v>
      </c>
      <c r="H278" s="106">
        <f>B01_Assessment!$F$76</f>
        <v>0</v>
      </c>
      <c r="I278" s="106" t="str">
        <f>B01_Assessment!$G$76</f>
        <v>Fire/smoke spread risk</v>
      </c>
      <c r="J278" s="106">
        <f>B01_Assessment!$H$76</f>
        <v>0</v>
      </c>
      <c r="K278" s="106">
        <f>B01_Assessment!$I$76</f>
        <v>0</v>
      </c>
      <c r="L278" s="106">
        <f>B01_Assessment!$J$76</f>
        <v>0</v>
      </c>
    </row>
    <row r="279" spans="1:12" ht="34.950000000000003" customHeight="1">
      <c r="A279" s="106" t="str">
        <f>B01_Assessment!$B$2</f>
        <v>01</v>
      </c>
      <c r="B279" s="106" t="str">
        <f t="shared" si="28"/>
        <v>B01_Assessment</v>
      </c>
      <c r="C279" s="106" t="str">
        <f>B01_Assessment!$A$77</f>
        <v>B01-Q8</v>
      </c>
      <c r="D279" s="142" t="str">
        <f>B01_Assessment!$B$77</f>
        <v>Which third-party inspections and commissioning forms are required before VA/OIT acceptance?</v>
      </c>
      <c r="E279" s="142" t="str">
        <f>B01_Assessment!$C$77</f>
        <v>GC / Cx Manager / OIT</v>
      </c>
      <c r="F279" s="106" t="str">
        <f>B01_Assessment!$D$77</f>
        <v>Closed</v>
      </c>
      <c r="G279" s="106">
        <f>B01_Assessment!$E$77</f>
        <v>0</v>
      </c>
      <c r="H279" s="106">
        <f>B01_Assessment!$F$77</f>
        <v>0</v>
      </c>
      <c r="I279" s="106" t="str">
        <f>B01_Assessment!$G$77</f>
        <v>Turnover package gap</v>
      </c>
      <c r="J279" s="106">
        <f>B01_Assessment!$H$77</f>
        <v>0</v>
      </c>
      <c r="K279" s="106">
        <f>B01_Assessment!$I$77</f>
        <v>0</v>
      </c>
      <c r="L279" s="106">
        <f>B01_Assessment!$J$77</f>
        <v>0</v>
      </c>
    </row>
    <row r="280" spans="1:12" ht="40.65" customHeight="1">
      <c r="A280" s="106" t="str">
        <f>B02_Assessment!$B$2</f>
        <v>02</v>
      </c>
      <c r="B280" s="106" t="str">
        <f t="shared" si="28"/>
        <v>B01_Assessment</v>
      </c>
      <c r="C280" s="106" t="str">
        <f>B02_Assessment!$A$71</f>
        <v>B02-Q1</v>
      </c>
      <c r="D280" s="142" t="str">
        <f>B02_Assessment!$B$71</f>
        <v>Confirm final telecom scope: new Rooms 141, 236 and 342 with existing B-06/141/236 transition points?</v>
      </c>
      <c r="E280" s="142" t="str">
        <f>B02_Assessment!$C$71</f>
        <v>VA / OIT / Designer</v>
      </c>
      <c r="F280" s="106" t="str">
        <f>B02_Assessment!$D$71</f>
        <v>Closed</v>
      </c>
      <c r="G280" s="106">
        <f>B02_Assessment!$E$71</f>
        <v>0</v>
      </c>
      <c r="H280" s="106">
        <f>B02_Assessment!$F$71</f>
        <v>0</v>
      </c>
      <c r="I280" s="106" t="str">
        <f>B02_Assessment!$G$71</f>
        <v>Room inventory could miss scope</v>
      </c>
      <c r="J280" s="106">
        <f>B02_Assessment!$H$71</f>
        <v>0</v>
      </c>
      <c r="K280" s="106">
        <f>B02_Assessment!$I$71</f>
        <v>0</v>
      </c>
      <c r="L280" s="106">
        <f>B02_Assessment!$J$71</f>
        <v>0</v>
      </c>
    </row>
    <row r="281" spans="1:12" ht="29.1" customHeight="1">
      <c r="A281" s="106" t="str">
        <f>B02_Assessment!$B$2</f>
        <v>02</v>
      </c>
      <c r="B281" s="106" t="str">
        <f t="shared" si="28"/>
        <v>B01_Assessment</v>
      </c>
      <c r="C281" s="106" t="str">
        <f>B02_Assessment!$A$72</f>
        <v>B02-Q2</v>
      </c>
      <c r="D281" s="142" t="str">
        <f>B02_Assessment!$B$72</f>
        <v>What active services are currently fed from existing Rooms B-06, 141 and 236?</v>
      </c>
      <c r="E281" s="142" t="str">
        <f>B02_Assessment!$C$72</f>
        <v>OIT / Contractor</v>
      </c>
      <c r="F281" s="106" t="str">
        <f>B02_Assessment!$D$72</f>
        <v>Closed</v>
      </c>
      <c r="G281" s="106">
        <f>B02_Assessment!$E$72</f>
        <v>0</v>
      </c>
      <c r="H281" s="106">
        <f>B02_Assessment!$F$72</f>
        <v>0</v>
      </c>
      <c r="I281" s="106" t="str">
        <f>B02_Assessment!$G$72</f>
        <v>Potential communications/security outage</v>
      </c>
      <c r="J281" s="106">
        <f>B02_Assessment!$H$72</f>
        <v>0</v>
      </c>
      <c r="K281" s="106">
        <f>B02_Assessment!$I$72</f>
        <v>0</v>
      </c>
      <c r="L281" s="106">
        <f>B02_Assessment!$J$72</f>
        <v>0</v>
      </c>
    </row>
    <row r="282" spans="1:12" ht="40.65" customHeight="1">
      <c r="A282" s="106" t="str">
        <f>B02_Assessment!$B$2</f>
        <v>02</v>
      </c>
      <c r="B282" s="106" t="str">
        <f t="shared" si="28"/>
        <v>B01_Assessment</v>
      </c>
      <c r="C282" s="106" t="str">
        <f>B02_Assessment!$A$73</f>
        <v>B02-Q3</v>
      </c>
      <c r="D282" s="142" t="str">
        <f>B02_Assessment!$B$73</f>
        <v>What existing equipment is transferred, relocated, removed or protected in Rooms 141 and 236?</v>
      </c>
      <c r="E282" s="142" t="str">
        <f>B02_Assessment!$C$73</f>
        <v>OIT / Telecom</v>
      </c>
      <c r="F282" s="106" t="str">
        <f>B02_Assessment!$D$73</f>
        <v>Closed</v>
      </c>
      <c r="G282" s="106">
        <f>B02_Assessment!$E$73</f>
        <v>0</v>
      </c>
      <c r="H282" s="106">
        <f>B02_Assessment!$F$73</f>
        <v>0</v>
      </c>
      <c r="I282" s="106" t="str">
        <f>B02_Assessment!$G$73</f>
        <v>Cutover and rack elevation risk</v>
      </c>
      <c r="J282" s="106">
        <f>B02_Assessment!$H$73</f>
        <v>0</v>
      </c>
      <c r="K282" s="106">
        <f>B02_Assessment!$I$73</f>
        <v>0</v>
      </c>
      <c r="L282" s="106">
        <f>B02_Assessment!$J$73</f>
        <v>0</v>
      </c>
    </row>
    <row r="283" spans="1:12" ht="29.1" customHeight="1">
      <c r="A283" s="106" t="str">
        <f>B02_Assessment!$B$2</f>
        <v>02</v>
      </c>
      <c r="B283" s="106" t="str">
        <f t="shared" si="28"/>
        <v>B01_Assessment</v>
      </c>
      <c r="C283" s="106" t="str">
        <f>B02_Assessment!$A$74</f>
        <v>B02-Q4</v>
      </c>
      <c r="D283" s="142" t="str">
        <f>B02_Assessment!$B$74</f>
        <v>Which IU/CU pair serves each TR and are they on emergency/backup power?</v>
      </c>
      <c r="E283" s="142" t="str">
        <f>B02_Assessment!$C$74</f>
        <v>Mechanical / Electrical / VA</v>
      </c>
      <c r="F283" s="106" t="str">
        <f>B02_Assessment!$D$74</f>
        <v>Closed</v>
      </c>
      <c r="G283" s="106">
        <f>B02_Assessment!$E$74</f>
        <v>0</v>
      </c>
      <c r="H283" s="106">
        <f>B02_Assessment!$F$74</f>
        <v>0</v>
      </c>
      <c r="I283" s="106" t="str">
        <f>B02_Assessment!$G$74</f>
        <v>Cooling continuity unclear</v>
      </c>
      <c r="J283" s="106">
        <f>B02_Assessment!$H$74</f>
        <v>0</v>
      </c>
      <c r="K283" s="106">
        <f>B02_Assessment!$I$74</f>
        <v>0</v>
      </c>
      <c r="L283" s="106">
        <f>B02_Assessment!$J$74</f>
        <v>0</v>
      </c>
    </row>
    <row r="284" spans="1:12" ht="40.65" customHeight="1">
      <c r="A284" s="106" t="str">
        <f>B02_Assessment!$B$2</f>
        <v>02</v>
      </c>
      <c r="B284" s="106" t="str">
        <f t="shared" si="28"/>
        <v>B01_Assessment</v>
      </c>
      <c r="C284" s="106" t="str">
        <f>B02_Assessment!$A$75</f>
        <v>B02-Q5</v>
      </c>
      <c r="D284" s="142" t="str">
        <f>B02_Assessment!$B$75</f>
        <v>Where are clean-agent/CO2 extinguisher cabinets located within 75 ft of Rooms 141, 236 and 342?</v>
      </c>
      <c r="E284" s="142" t="str">
        <f>B02_Assessment!$C$75</f>
        <v>GC / COR</v>
      </c>
      <c r="F284" s="106" t="str">
        <f>B02_Assessment!$D$75</f>
        <v>Closed</v>
      </c>
      <c r="G284" s="106">
        <f>B02_Assessment!$E$75</f>
        <v>0</v>
      </c>
      <c r="H284" s="106">
        <f>B02_Assessment!$F$75</f>
        <v>0</v>
      </c>
      <c r="I284" s="106" t="str">
        <f>B02_Assessment!$G$75</f>
        <v>Life-safety acceptance risk</v>
      </c>
      <c r="J284" s="106">
        <f>B02_Assessment!$H$75</f>
        <v>0</v>
      </c>
      <c r="K284" s="106">
        <f>B02_Assessment!$I$75</f>
        <v>0</v>
      </c>
      <c r="L284" s="106">
        <f>B02_Assessment!$J$75</f>
        <v>0</v>
      </c>
    </row>
    <row r="285" spans="1:12" ht="40.65" customHeight="1">
      <c r="A285" s="106" t="str">
        <f>B02_Assessment!$B$2</f>
        <v>02</v>
      </c>
      <c r="B285" s="106" t="str">
        <f t="shared" ref="B285:B292" si="29">"B02_Assessment"</f>
        <v>B02_Assessment</v>
      </c>
      <c r="C285" s="106" t="str">
        <f>B02_Assessment!$A$76</f>
        <v>B02-Q6</v>
      </c>
      <c r="D285" s="142" t="str">
        <f>B02_Assessment!$B$76</f>
        <v>Are B02-TR141/236/342 A/B sources, rack receptacles, SPDs, labels and 30-day load measurements approved?</v>
      </c>
      <c r="E285" s="142" t="str">
        <f>B02_Assessment!$C$76</f>
        <v>Electrical / Designer</v>
      </c>
      <c r="F285" s="106" t="str">
        <f>B02_Assessment!$D$76</f>
        <v>Closed</v>
      </c>
      <c r="G285" s="106">
        <f>B02_Assessment!$E$76</f>
        <v>0</v>
      </c>
      <c r="H285" s="106">
        <f>B02_Assessment!$F$76</f>
        <v>0</v>
      </c>
      <c r="I285" s="106" t="str">
        <f>B02_Assessment!$G$76</f>
        <v>Electrical readiness unknown</v>
      </c>
      <c r="J285" s="106">
        <f>B02_Assessment!$H$76</f>
        <v>0</v>
      </c>
      <c r="K285" s="106">
        <f>B02_Assessment!$I$76</f>
        <v>0</v>
      </c>
      <c r="L285" s="106">
        <f>B02_Assessment!$J$76</f>
        <v>0</v>
      </c>
    </row>
    <row r="286" spans="1:12" ht="40.65" customHeight="1">
      <c r="A286" s="106" t="str">
        <f>B02_Assessment!$B$2</f>
        <v>02</v>
      </c>
      <c r="B286" s="106" t="str">
        <f t="shared" si="29"/>
        <v>B02_Assessment</v>
      </c>
      <c r="C286" s="106" t="str">
        <f>B02_Assessment!$A$77</f>
        <v>B02-Q7</v>
      </c>
      <c r="D286" s="142" t="str">
        <f>B02_Assessment!$B$77</f>
        <v>Are all rated wall/floor penetrations, sleeves, cable tray entries and firestopping details identified?</v>
      </c>
      <c r="E286" s="142" t="str">
        <f>B02_Assessment!$C$77</f>
        <v>GC / Firestop</v>
      </c>
      <c r="F286" s="106" t="str">
        <f>B02_Assessment!$D$77</f>
        <v>Closed</v>
      </c>
      <c r="G286" s="106">
        <f>B02_Assessment!$E$77</f>
        <v>0</v>
      </c>
      <c r="H286" s="106">
        <f>B02_Assessment!$F$77</f>
        <v>0</v>
      </c>
      <c r="I286" s="106" t="str">
        <f>B02_Assessment!$G$77</f>
        <v>Fire/smoke spread risk</v>
      </c>
      <c r="J286" s="106">
        <f>B02_Assessment!$H$77</f>
        <v>0</v>
      </c>
      <c r="K286" s="106">
        <f>B02_Assessment!$I$77</f>
        <v>0</v>
      </c>
      <c r="L286" s="106">
        <f>B02_Assessment!$J$77</f>
        <v>0</v>
      </c>
    </row>
    <row r="287" spans="1:12" ht="34.950000000000003" customHeight="1">
      <c r="A287" s="106" t="str">
        <f>B02_Assessment!$B$2</f>
        <v>02</v>
      </c>
      <c r="B287" s="106" t="str">
        <f t="shared" si="29"/>
        <v>B02_Assessment</v>
      </c>
      <c r="C287" s="106" t="str">
        <f>B02_Assessment!$A$78</f>
        <v>B02-Q8</v>
      </c>
      <c r="D287" s="142" t="str">
        <f>B02_Assessment!$B$78</f>
        <v>Which third-party inspections and commissioning forms are required before VA/OIT acceptance?</v>
      </c>
      <c r="E287" s="142" t="str">
        <f>B02_Assessment!$C$78</f>
        <v>GC / Cx Manager / OIT</v>
      </c>
      <c r="F287" s="106" t="str">
        <f>B02_Assessment!$D$78</f>
        <v>Closed</v>
      </c>
      <c r="G287" s="106">
        <f>B02_Assessment!$E$78</f>
        <v>0</v>
      </c>
      <c r="H287" s="106">
        <f>B02_Assessment!$F$78</f>
        <v>0</v>
      </c>
      <c r="I287" s="106" t="str">
        <f>B02_Assessment!$G$78</f>
        <v>Turnover package gap</v>
      </c>
      <c r="J287" s="106">
        <f>B02_Assessment!$H$78</f>
        <v>0</v>
      </c>
      <c r="K287" s="106">
        <f>B02_Assessment!$I$78</f>
        <v>0</v>
      </c>
      <c r="L287" s="106">
        <f>B02_Assessment!$J$78</f>
        <v>0</v>
      </c>
    </row>
    <row r="288" spans="1:12" ht="46.35" customHeight="1">
      <c r="A288" s="106" t="str">
        <f>B03_Assessment!$B$2</f>
        <v>03</v>
      </c>
      <c r="B288" s="106" t="str">
        <f t="shared" si="29"/>
        <v>B02_Assessment</v>
      </c>
      <c r="C288" s="106" t="str">
        <f>B03_Assessment!$A$70</f>
        <v>B03-Q1</v>
      </c>
      <c r="D288" s="142" t="str">
        <f>B03_Assessment!$B$70</f>
        <v>Confirm final telecom scope: new Room 101E with existing Basement Room 107 and existing DMARC Room 101C transition points?</v>
      </c>
      <c r="E288" s="142" t="str">
        <f>B03_Assessment!$C$70</f>
        <v>VA / OIT / Designer</v>
      </c>
      <c r="F288" s="106" t="str">
        <f>B03_Assessment!$D$70</f>
        <v>Closed</v>
      </c>
      <c r="G288" s="106">
        <f>B03_Assessment!$E$70</f>
        <v>0</v>
      </c>
      <c r="H288" s="106">
        <f>B03_Assessment!$F$70</f>
        <v>0</v>
      </c>
      <c r="I288" s="106" t="str">
        <f>B03_Assessment!$G$70</f>
        <v>Room inventory could miss scope</v>
      </c>
      <c r="J288" s="106">
        <f>B03_Assessment!$H$70</f>
        <v>0</v>
      </c>
      <c r="K288" s="106">
        <f>B03_Assessment!$I$70</f>
        <v>0</v>
      </c>
      <c r="L288" s="106">
        <f>B03_Assessment!$J$70</f>
        <v>0</v>
      </c>
    </row>
    <row r="289" spans="1:12" ht="34.950000000000003" customHeight="1">
      <c r="A289" s="106" t="str">
        <f>B03_Assessment!$B$2</f>
        <v>03</v>
      </c>
      <c r="B289" s="106" t="str">
        <f t="shared" si="29"/>
        <v>B02_Assessment</v>
      </c>
      <c r="C289" s="106" t="str">
        <f>B03_Assessment!$A$71</f>
        <v>B03-Q2</v>
      </c>
      <c r="D289" s="142" t="str">
        <f>B03_Assessment!$B$71</f>
        <v>What active services are currently fed from existing Room 107 and DMARC Room 101C?</v>
      </c>
      <c r="E289" s="142" t="str">
        <f>B03_Assessment!$C$71</f>
        <v>OIT / Contractor / Provider</v>
      </c>
      <c r="F289" s="106" t="str">
        <f>B03_Assessment!$D$71</f>
        <v>Closed</v>
      </c>
      <c r="G289" s="106">
        <f>B03_Assessment!$E$71</f>
        <v>0</v>
      </c>
      <c r="H289" s="106">
        <f>B03_Assessment!$F$71</f>
        <v>0</v>
      </c>
      <c r="I289" s="106" t="str">
        <f>B03_Assessment!$G$71</f>
        <v>Potential communications/provider outage</v>
      </c>
      <c r="J289" s="106">
        <f>B03_Assessment!$H$71</f>
        <v>0</v>
      </c>
      <c r="K289" s="106">
        <f>B03_Assessment!$I$71</f>
        <v>0</v>
      </c>
      <c r="L289" s="106">
        <f>B03_Assessment!$J$71</f>
        <v>0</v>
      </c>
    </row>
    <row r="290" spans="1:12" ht="34.950000000000003" customHeight="1">
      <c r="A290" s="106" t="str">
        <f>B03_Assessment!$B$2</f>
        <v>03</v>
      </c>
      <c r="B290" s="106" t="str">
        <f t="shared" si="29"/>
        <v>B02_Assessment</v>
      </c>
      <c r="C290" s="106" t="str">
        <f>B03_Assessment!$A$72</f>
        <v>B03-Q3</v>
      </c>
      <c r="D290" s="142" t="str">
        <f>B03_Assessment!$B$72</f>
        <v>What existing equipment transfers to new Room 101E versus remains/decommissions?</v>
      </c>
      <c r="E290" s="142" t="str">
        <f>B03_Assessment!$C$72</f>
        <v>OIT / Telecom</v>
      </c>
      <c r="F290" s="106" t="str">
        <f>B03_Assessment!$D$72</f>
        <v>Closed</v>
      </c>
      <c r="G290" s="106">
        <f>B03_Assessment!$E$72</f>
        <v>0</v>
      </c>
      <c r="H290" s="106">
        <f>B03_Assessment!$F$72</f>
        <v>0</v>
      </c>
      <c r="I290" s="106" t="str">
        <f>B03_Assessment!$G$72</f>
        <v>Cutover and rack elevation risk</v>
      </c>
      <c r="J290" s="106">
        <f>B03_Assessment!$H$72</f>
        <v>0</v>
      </c>
      <c r="K290" s="106">
        <f>B03_Assessment!$I$72</f>
        <v>0</v>
      </c>
      <c r="L290" s="106">
        <f>B03_Assessment!$J$72</f>
        <v>0</v>
      </c>
    </row>
    <row r="291" spans="1:12" ht="29.1" customHeight="1">
      <c r="A291" s="106" t="str">
        <f>B03_Assessment!$B$2</f>
        <v>03</v>
      </c>
      <c r="B291" s="106" t="str">
        <f t="shared" si="29"/>
        <v>B02_Assessment</v>
      </c>
      <c r="C291" s="106" t="str">
        <f>B03_Assessment!$A$73</f>
        <v>B03-Q4</v>
      </c>
      <c r="D291" s="142" t="str">
        <f>B03_Assessment!$B$73</f>
        <v>Which IU/CU pair serves Room 101E and is it on emergency/backup power?</v>
      </c>
      <c r="E291" s="142" t="str">
        <f>B03_Assessment!$C$73</f>
        <v>Mechanical / Electrical / VA</v>
      </c>
      <c r="F291" s="106" t="str">
        <f>B03_Assessment!$D$73</f>
        <v>Closed</v>
      </c>
      <c r="G291" s="106">
        <f>B03_Assessment!$E$73</f>
        <v>0</v>
      </c>
      <c r="H291" s="106">
        <f>B03_Assessment!$F$73</f>
        <v>0</v>
      </c>
      <c r="I291" s="106" t="str">
        <f>B03_Assessment!$G$73</f>
        <v>Cooling continuity unclear</v>
      </c>
      <c r="J291" s="106">
        <f>B03_Assessment!$H$73</f>
        <v>0</v>
      </c>
      <c r="K291" s="106">
        <f>B03_Assessment!$I$73</f>
        <v>0</v>
      </c>
      <c r="L291" s="106">
        <f>B03_Assessment!$J$73</f>
        <v>0</v>
      </c>
    </row>
    <row r="292" spans="1:12" ht="29.1" customHeight="1">
      <c r="A292" s="106" t="str">
        <f>B03_Assessment!$B$2</f>
        <v>03</v>
      </c>
      <c r="B292" s="106" t="str">
        <f t="shared" si="29"/>
        <v>B02_Assessment</v>
      </c>
      <c r="C292" s="106" t="str">
        <f>B03_Assessment!$A$74</f>
        <v>B03-Q5</v>
      </c>
      <c r="D292" s="142" t="str">
        <f>B03_Assessment!$B$74</f>
        <v>Where is the clean-agent/CO2 extinguisher cabinet located within 75 ft of Room 101E?</v>
      </c>
      <c r="E292" s="142" t="str">
        <f>B03_Assessment!$C$74</f>
        <v>GC / COR</v>
      </c>
      <c r="F292" s="106" t="str">
        <f>B03_Assessment!$D$74</f>
        <v>Closed</v>
      </c>
      <c r="G292" s="106">
        <f>B03_Assessment!$E$74</f>
        <v>0</v>
      </c>
      <c r="H292" s="106">
        <f>B03_Assessment!$F$74</f>
        <v>0</v>
      </c>
      <c r="I292" s="106" t="str">
        <f>B03_Assessment!$G$74</f>
        <v>Life-safety acceptance risk</v>
      </c>
      <c r="J292" s="106">
        <f>B03_Assessment!$H$74</f>
        <v>0</v>
      </c>
      <c r="K292" s="106">
        <f>B03_Assessment!$I$74</f>
        <v>0</v>
      </c>
      <c r="L292" s="106">
        <f>B03_Assessment!$J$74</f>
        <v>0</v>
      </c>
    </row>
    <row r="293" spans="1:12" ht="40.65" customHeight="1">
      <c r="A293" s="106" t="str">
        <f>B03_Assessment!$B$2</f>
        <v>03</v>
      </c>
      <c r="B293" s="106" t="str">
        <f t="shared" ref="B293:B300" si="30">"B03_Assessment"</f>
        <v>B03_Assessment</v>
      </c>
      <c r="C293" s="106" t="str">
        <f>B03_Assessment!$A$75</f>
        <v>B03-Q6</v>
      </c>
      <c r="D293" s="142" t="str">
        <f>B03_Assessment!$B$75</f>
        <v>Are B03-TR101CA/B sources, rack receptacles, SPDs, labels and 30-day load measurements approved?</v>
      </c>
      <c r="E293" s="142" t="str">
        <f>B03_Assessment!$C$75</f>
        <v>Electrical / Designer</v>
      </c>
      <c r="F293" s="106" t="str">
        <f>B03_Assessment!$D$75</f>
        <v>Closed</v>
      </c>
      <c r="G293" s="106">
        <f>B03_Assessment!$E$75</f>
        <v>0</v>
      </c>
      <c r="H293" s="106">
        <f>B03_Assessment!$F$75</f>
        <v>0</v>
      </c>
      <c r="I293" s="106" t="str">
        <f>B03_Assessment!$G$75</f>
        <v>Electrical readiness unknown</v>
      </c>
      <c r="J293" s="106">
        <f>B03_Assessment!$H$75</f>
        <v>0</v>
      </c>
      <c r="K293" s="106">
        <f>B03_Assessment!$I$75</f>
        <v>0</v>
      </c>
      <c r="L293" s="106">
        <f>B03_Assessment!$J$75</f>
        <v>0</v>
      </c>
    </row>
    <row r="294" spans="1:12" ht="40.65" customHeight="1">
      <c r="A294" s="106" t="str">
        <f>B03_Assessment!$B$2</f>
        <v>03</v>
      </c>
      <c r="B294" s="106" t="str">
        <f t="shared" si="30"/>
        <v>B03_Assessment</v>
      </c>
      <c r="C294" s="106" t="str">
        <f>B03_Assessment!$A$76</f>
        <v>B03-Q7</v>
      </c>
      <c r="D294" s="142" t="str">
        <f>B03_Assessment!$B$76</f>
        <v>Are all rated wall/floor penetrations, sleeves, cable tray entries and firestopping details identified?</v>
      </c>
      <c r="E294" s="142" t="str">
        <f>B03_Assessment!$C$76</f>
        <v>GC / Firestop</v>
      </c>
      <c r="F294" s="106" t="str">
        <f>B03_Assessment!$D$76</f>
        <v>Closed</v>
      </c>
      <c r="G294" s="106">
        <f>B03_Assessment!$E$76</f>
        <v>0</v>
      </c>
      <c r="H294" s="106">
        <f>B03_Assessment!$F$76</f>
        <v>0</v>
      </c>
      <c r="I294" s="106" t="str">
        <f>B03_Assessment!$G$76</f>
        <v>Fire/smoke spread risk</v>
      </c>
      <c r="J294" s="106">
        <f>B03_Assessment!$H$76</f>
        <v>0</v>
      </c>
      <c r="K294" s="106">
        <f>B03_Assessment!$I$76</f>
        <v>0</v>
      </c>
      <c r="L294" s="106">
        <f>B03_Assessment!$J$76</f>
        <v>0</v>
      </c>
    </row>
    <row r="295" spans="1:12" ht="34.950000000000003" customHeight="1">
      <c r="A295" s="106" t="str">
        <f>B03_Assessment!$B$2</f>
        <v>03</v>
      </c>
      <c r="B295" s="106" t="str">
        <f t="shared" si="30"/>
        <v>B03_Assessment</v>
      </c>
      <c r="C295" s="106" t="str">
        <f>B03_Assessment!$A$77</f>
        <v>B03-Q8</v>
      </c>
      <c r="D295" s="142" t="str">
        <f>B03_Assessment!$B$77</f>
        <v>Which third-party inspections and commissioning forms are required before VA/OIT acceptance?</v>
      </c>
      <c r="E295" s="142" t="str">
        <f>B03_Assessment!$C$77</f>
        <v>GC / Cx Manager / OIT</v>
      </c>
      <c r="F295" s="106" t="str">
        <f>B03_Assessment!$D$77</f>
        <v>Closed</v>
      </c>
      <c r="G295" s="106">
        <f>B03_Assessment!$E$77</f>
        <v>0</v>
      </c>
      <c r="H295" s="106">
        <f>B03_Assessment!$F$77</f>
        <v>0</v>
      </c>
      <c r="I295" s="106" t="str">
        <f>B03_Assessment!$G$77</f>
        <v>Turnover package gap</v>
      </c>
      <c r="J295" s="106">
        <f>B03_Assessment!$H$77</f>
        <v>0</v>
      </c>
      <c r="K295" s="106">
        <f>B03_Assessment!$I$77</f>
        <v>0</v>
      </c>
      <c r="L295" s="106">
        <f>B03_Assessment!$J$77</f>
        <v>0</v>
      </c>
    </row>
    <row r="296" spans="1:12" ht="29.1" customHeight="1">
      <c r="A296" s="106" t="str">
        <f>B04_Assessment!$B$2</f>
        <v>04</v>
      </c>
      <c r="B296" s="106" t="str">
        <f t="shared" si="30"/>
        <v>B03_Assessment</v>
      </c>
      <c r="C296" s="106" t="str">
        <f>B04_Assessment!$A$63</f>
        <v>B04-Q1</v>
      </c>
      <c r="D296" s="142" t="str">
        <f>B04_Assessment!$B$63</f>
        <v>Confirm final TR room list: B05, 141, and 244A; are there additional served-from rooms?</v>
      </c>
      <c r="E296" s="142" t="str">
        <f>B04_Assessment!$C$63</f>
        <v>VA / OIT / Designer</v>
      </c>
      <c r="F296" s="106" t="str">
        <f>B04_Assessment!$D$63</f>
        <v>Closed</v>
      </c>
      <c r="G296" s="106">
        <f>B04_Assessment!$E$63</f>
        <v>0</v>
      </c>
      <c r="H296" s="106">
        <f>B04_Assessment!$F$63</f>
        <v>0</v>
      </c>
      <c r="I296" s="106" t="str">
        <f>B04_Assessment!$G$63</f>
        <v>Incomplete room inventory / missed scope</v>
      </c>
      <c r="J296" s="106">
        <f>B04_Assessment!$H$63</f>
        <v>0</v>
      </c>
      <c r="K296" s="106">
        <f>B04_Assessment!$I$63</f>
        <v>0</v>
      </c>
      <c r="L296" s="106">
        <f>B04_Assessment!$J$63</f>
        <v>0</v>
      </c>
    </row>
    <row r="297" spans="1:12" ht="29.1" customHeight="1">
      <c r="A297" s="106" t="str">
        <f>B04_Assessment!$B$2</f>
        <v>04</v>
      </c>
      <c r="B297" s="106" t="str">
        <f t="shared" si="30"/>
        <v>B03_Assessment</v>
      </c>
      <c r="C297" s="106" t="str">
        <f>B04_Assessment!$A$64</f>
        <v>B04-Q2</v>
      </c>
      <c r="D297" s="142" t="str">
        <f>B04_Assessment!$B$64</f>
        <v>Are B05, 141, and 244A cooling systems on emergency/backup power?</v>
      </c>
      <c r="E297" s="142" t="str">
        <f>B04_Assessment!$C$64</f>
        <v>VA / Electrical / Mechanical</v>
      </c>
      <c r="F297" s="106" t="str">
        <f>B04_Assessment!$D$64</f>
        <v>Closed</v>
      </c>
      <c r="G297" s="106">
        <f>B04_Assessment!$E$64</f>
        <v>0</v>
      </c>
      <c r="H297" s="106">
        <f>B04_Assessment!$F$64</f>
        <v>0</v>
      </c>
      <c r="I297" s="106" t="str">
        <f>B04_Assessment!$G$64</f>
        <v>Cooling continuity not confirmed</v>
      </c>
      <c r="J297" s="106">
        <f>B04_Assessment!$H$64</f>
        <v>0</v>
      </c>
      <c r="K297" s="106">
        <f>B04_Assessment!$I$64</f>
        <v>0</v>
      </c>
      <c r="L297" s="106">
        <f>B04_Assessment!$J$64</f>
        <v>0</v>
      </c>
    </row>
    <row r="298" spans="1:12" ht="34.950000000000003" customHeight="1">
      <c r="A298" s="106" t="str">
        <f>B04_Assessment!$B$2</f>
        <v>04</v>
      </c>
      <c r="B298" s="106" t="str">
        <f t="shared" si="30"/>
        <v>B03_Assessment</v>
      </c>
      <c r="C298" s="106" t="str">
        <f>B04_Assessment!$A$65</f>
        <v>B04-Q3</v>
      </c>
      <c r="D298" s="142" t="str">
        <f>B04_Assessment!$B$65</f>
        <v>Where are clean-agent/CO2 extinguisher cabinets located within 75 ft of each TR?</v>
      </c>
      <c r="E298" s="142" t="str">
        <f>B04_Assessment!$C$65</f>
        <v>GC / COR</v>
      </c>
      <c r="F298" s="106" t="str">
        <f>B04_Assessment!$D$65</f>
        <v>Closed</v>
      </c>
      <c r="G298" s="106">
        <f>B04_Assessment!$E$65</f>
        <v>0</v>
      </c>
      <c r="H298" s="106">
        <f>B04_Assessment!$F$65</f>
        <v>0</v>
      </c>
      <c r="I298" s="106" t="str">
        <f>B04_Assessment!$G$65</f>
        <v>Life safety acceptance risk</v>
      </c>
      <c r="J298" s="106">
        <f>B04_Assessment!$H$65</f>
        <v>0</v>
      </c>
      <c r="K298" s="106">
        <f>B04_Assessment!$I$65</f>
        <v>0</v>
      </c>
      <c r="L298" s="106">
        <f>B04_Assessment!$J$65</f>
        <v>0</v>
      </c>
    </row>
    <row r="299" spans="1:12" ht="34.950000000000003" customHeight="1">
      <c r="A299" s="106" t="str">
        <f>B04_Assessment!$B$2</f>
        <v>04</v>
      </c>
      <c r="B299" s="106" t="str">
        <f t="shared" si="30"/>
        <v>B03_Assessment</v>
      </c>
      <c r="C299" s="106" t="str">
        <f>B04_Assessment!$A$66</f>
        <v>B04-Q4</v>
      </c>
      <c r="D299" s="142" t="str">
        <f>B04_Assessment!$B$66</f>
        <v>What is the approved migration and cutover sequence for active Building 04 services?</v>
      </c>
      <c r="E299" s="142" t="str">
        <f>B04_Assessment!$C$66</f>
        <v>OIT / Contractor</v>
      </c>
      <c r="F299" s="106" t="str">
        <f>B04_Assessment!$D$66</f>
        <v>Closed</v>
      </c>
      <c r="G299" s="106">
        <f>B04_Assessment!$E$66</f>
        <v>0</v>
      </c>
      <c r="H299" s="106">
        <f>B04_Assessment!$F$66</f>
        <v>0</v>
      </c>
      <c r="I299" s="106" t="str">
        <f>B04_Assessment!$G$66</f>
        <v>Potential communications outage</v>
      </c>
      <c r="J299" s="106">
        <f>B04_Assessment!$H$66</f>
        <v>0</v>
      </c>
      <c r="K299" s="106">
        <f>B04_Assessment!$I$66</f>
        <v>0</v>
      </c>
      <c r="L299" s="106">
        <f>B04_Assessment!$J$66</f>
        <v>0</v>
      </c>
    </row>
    <row r="300" spans="1:12" ht="40.65" customHeight="1">
      <c r="A300" s="106" t="str">
        <f>B04_Assessment!$B$2</f>
        <v>04</v>
      </c>
      <c r="B300" s="106" t="str">
        <f t="shared" si="30"/>
        <v>B03_Assessment</v>
      </c>
      <c r="C300" s="106" t="str">
        <f>B04_Assessment!$A$67</f>
        <v>B04-Q5</v>
      </c>
      <c r="D300" s="142" t="str">
        <f>B04_Assessment!$B$67</f>
        <v>Are hazardous/abatement impacts cleared for basement and first-level penetrations/floor work?</v>
      </c>
      <c r="E300" s="142" t="str">
        <f>B04_Assessment!$C$67</f>
        <v>GC / COR</v>
      </c>
      <c r="F300" s="106" t="str">
        <f>B04_Assessment!$D$67</f>
        <v>Closed</v>
      </c>
      <c r="G300" s="106">
        <f>B04_Assessment!$E$67</f>
        <v>0</v>
      </c>
      <c r="H300" s="106">
        <f>B04_Assessment!$F$67</f>
        <v>0</v>
      </c>
      <c r="I300" s="106" t="str">
        <f>B04_Assessment!$G$67</f>
        <v>Work stoppage or exposure risk</v>
      </c>
      <c r="J300" s="106">
        <f>B04_Assessment!$H$67</f>
        <v>0</v>
      </c>
      <c r="K300" s="106">
        <f>B04_Assessment!$I$67</f>
        <v>0</v>
      </c>
      <c r="L300" s="106">
        <f>B04_Assessment!$J$67</f>
        <v>0</v>
      </c>
    </row>
    <row r="301" spans="1:12" ht="34.950000000000003" customHeight="1">
      <c r="A301" s="106" t="str">
        <f>B04_Assessment!$B$2</f>
        <v>04</v>
      </c>
      <c r="B301" s="106" t="str">
        <f t="shared" ref="B301:B307" si="31">"B04_Assessment"</f>
        <v>B04_Assessment</v>
      </c>
      <c r="C301" s="106" t="str">
        <f>B04_Assessment!$A$68</f>
        <v>B04-Q6</v>
      </c>
      <c r="D301" s="142" t="str">
        <f>B04_Assessment!$B$68</f>
        <v>Are all B04 panelboards/feeders/breakers/SPDs/load measurements approved before renovation?</v>
      </c>
      <c r="E301" s="142" t="str">
        <f>B04_Assessment!$C$68</f>
        <v>Electrical / Designer</v>
      </c>
      <c r="F301" s="106" t="str">
        <f>B04_Assessment!$D$68</f>
        <v>Closed</v>
      </c>
      <c r="G301" s="106">
        <f>B04_Assessment!$E$68</f>
        <v>0</v>
      </c>
      <c r="H301" s="106">
        <f>B04_Assessment!$F$68</f>
        <v>0</v>
      </c>
      <c r="I301" s="106" t="str">
        <f>B04_Assessment!$G$68</f>
        <v>Electrical delay or overload risk</v>
      </c>
      <c r="J301" s="106">
        <f>B04_Assessment!$H$68</f>
        <v>0</v>
      </c>
      <c r="K301" s="106">
        <f>B04_Assessment!$I$68</f>
        <v>0</v>
      </c>
      <c r="L301" s="106">
        <f>B04_Assessment!$J$68</f>
        <v>0</v>
      </c>
    </row>
    <row r="302" spans="1:12" ht="34.950000000000003" customHeight="1">
      <c r="A302" s="106" t="str">
        <f>B04_Assessment!$B$2</f>
        <v>04</v>
      </c>
      <c r="B302" s="106" t="str">
        <f t="shared" si="31"/>
        <v>B04_Assessment</v>
      </c>
      <c r="C302" s="106" t="str">
        <f>B04_Assessment!$A$69</f>
        <v>B04-Q7</v>
      </c>
      <c r="D302" s="142" t="str">
        <f>B04_Assessment!$B$69</f>
        <v>Are all rated wall/floor penetrations and speed sleeves identified and firestopped?</v>
      </c>
      <c r="E302" s="142" t="str">
        <f>B04_Assessment!$C$69</f>
        <v>GC / Designer</v>
      </c>
      <c r="F302" s="106" t="str">
        <f>B04_Assessment!$D$69</f>
        <v>Closed</v>
      </c>
      <c r="G302" s="106">
        <f>B04_Assessment!$E$69</f>
        <v>0</v>
      </c>
      <c r="H302" s="106">
        <f>B04_Assessment!$F$69</f>
        <v>0</v>
      </c>
      <c r="I302" s="106" t="str">
        <f>B04_Assessment!$G$69</f>
        <v>Fire/smoke spread risk</v>
      </c>
      <c r="J302" s="106">
        <f>B04_Assessment!$H$69</f>
        <v>0</v>
      </c>
      <c r="K302" s="106">
        <f>B04_Assessment!$I$69</f>
        <v>0</v>
      </c>
      <c r="L302" s="106">
        <f>B04_Assessment!$J$69</f>
        <v>0</v>
      </c>
    </row>
    <row r="303" spans="1:12" ht="46.35" customHeight="1">
      <c r="A303" s="106" t="str">
        <f>B04_Assessment!$B$2</f>
        <v>04</v>
      </c>
      <c r="B303" s="106" t="str">
        <f t="shared" si="31"/>
        <v>B04_Assessment</v>
      </c>
      <c r="C303" s="106" t="str">
        <f>B04_Assessment!$A$70</f>
        <v>B04-Q8</v>
      </c>
      <c r="D303" s="142" t="str">
        <f>B04_Assessment!$B$70</f>
        <v>Which third-party tests, commissioning forms, and acceptance documents are required before VA turnover?</v>
      </c>
      <c r="E303" s="142" t="str">
        <f>B04_Assessment!$C$70</f>
        <v>GC / Cx Manager</v>
      </c>
      <c r="F303" s="106" t="str">
        <f>B04_Assessment!$D$70</f>
        <v>Closed</v>
      </c>
      <c r="G303" s="106">
        <f>B04_Assessment!$E$70</f>
        <v>0</v>
      </c>
      <c r="H303" s="106">
        <f>B04_Assessment!$F$70</f>
        <v>0</v>
      </c>
      <c r="I303" s="106" t="str">
        <f>B04_Assessment!$G$70</f>
        <v>Incomplete turnover package</v>
      </c>
      <c r="J303" s="106">
        <f>B04_Assessment!$H$70</f>
        <v>0</v>
      </c>
      <c r="K303" s="106">
        <f>B04_Assessment!$I$70</f>
        <v>0</v>
      </c>
      <c r="L303" s="106">
        <f>B04_Assessment!$J$70</f>
        <v>0</v>
      </c>
    </row>
    <row r="304" spans="1:12" ht="34.950000000000003" customHeight="1">
      <c r="A304" s="106" t="str">
        <f>B05_Assessment!$B$2</f>
        <v>05</v>
      </c>
      <c r="B304" s="106" t="str">
        <f t="shared" si="31"/>
        <v>B04_Assessment</v>
      </c>
      <c r="C304" s="106" t="str">
        <f>B05_Assessment!$A$54</f>
        <v>B05-Q1</v>
      </c>
      <c r="D304" s="142" t="str">
        <f>B05_Assessment!$B$54</f>
        <v>Confirm final TE room/location: Room 150 new TE and Room 153-A existing TE transition point?</v>
      </c>
      <c r="E304" s="142" t="str">
        <f>B05_Assessment!$C$54</f>
        <v>VA / OIT / Designer</v>
      </c>
      <c r="F304" s="106" t="str">
        <f>B05_Assessment!$D$54</f>
        <v>Closed</v>
      </c>
      <c r="G304" s="106">
        <f>B05_Assessment!$E$54</f>
        <v>0</v>
      </c>
      <c r="H304" s="106">
        <f>B05_Assessment!$F$54</f>
        <v>0</v>
      </c>
      <c r="I304" s="106" t="str">
        <f>B05_Assessment!$G$54</f>
        <v>Room inventory could be wrong</v>
      </c>
      <c r="J304" s="106">
        <f>B05_Assessment!$H$54</f>
        <v>0</v>
      </c>
      <c r="K304" s="106">
        <f>B05_Assessment!$I$54</f>
        <v>0</v>
      </c>
      <c r="L304" s="106">
        <f>B05_Assessment!$J$54</f>
        <v>0</v>
      </c>
    </row>
    <row r="305" spans="1:12" ht="34.950000000000003" customHeight="1">
      <c r="A305" s="106" t="str">
        <f>B05_Assessment!$B$2</f>
        <v>05</v>
      </c>
      <c r="B305" s="106" t="str">
        <f t="shared" si="31"/>
        <v>B04_Assessment</v>
      </c>
      <c r="C305" s="106" t="str">
        <f>B05_Assessment!$A$55</f>
        <v>B05-Q2</v>
      </c>
      <c r="D305" s="142" t="str">
        <f>B05_Assessment!$B$55</f>
        <v>What active services are currently fed from the existing 153-A TE/legacy patch panels?</v>
      </c>
      <c r="E305" s="142" t="str">
        <f>B05_Assessment!$C$55</f>
        <v>OIT / Contractor</v>
      </c>
      <c r="F305" s="106" t="str">
        <f>B05_Assessment!$D$55</f>
        <v>Closed</v>
      </c>
      <c r="G305" s="106">
        <f>B05_Assessment!$E$55</f>
        <v>0</v>
      </c>
      <c r="H305" s="106">
        <f>B05_Assessment!$F$55</f>
        <v>0</v>
      </c>
      <c r="I305" s="106" t="str">
        <f>B05_Assessment!$G$55</f>
        <v>Potential communications outage</v>
      </c>
      <c r="J305" s="106">
        <f>B05_Assessment!$H$55</f>
        <v>0</v>
      </c>
      <c r="K305" s="106">
        <f>B05_Assessment!$I$55</f>
        <v>0</v>
      </c>
      <c r="L305" s="106">
        <f>B05_Assessment!$J$55</f>
        <v>0</v>
      </c>
    </row>
    <row r="306" spans="1:12" ht="34.950000000000003" customHeight="1">
      <c r="A306" s="106" t="str">
        <f>B05_Assessment!$B$2</f>
        <v>05</v>
      </c>
      <c r="B306" s="106" t="str">
        <f t="shared" si="31"/>
        <v>B04_Assessment</v>
      </c>
      <c r="C306" s="106" t="str">
        <f>B05_Assessment!$A$56</f>
        <v>B05-Q3</v>
      </c>
      <c r="D306" s="142" t="str">
        <f>B05_Assessment!$B$56</f>
        <v>What is the approved cutover sequence from existing 153-A equipment to new Room 150 TE?</v>
      </c>
      <c r="E306" s="142" t="str">
        <f>B05_Assessment!$C$56</f>
        <v>OIT / Contractor</v>
      </c>
      <c r="F306" s="106" t="str">
        <f>B05_Assessment!$D$56</f>
        <v>Closed</v>
      </c>
      <c r="G306" s="106">
        <f>B05_Assessment!$E$56</f>
        <v>0</v>
      </c>
      <c r="H306" s="106">
        <f>B05_Assessment!$F$56</f>
        <v>0</v>
      </c>
      <c r="I306" s="106" t="str">
        <f>B05_Assessment!$G$56</f>
        <v>Cutover risk</v>
      </c>
      <c r="J306" s="106">
        <f>B05_Assessment!$H$56</f>
        <v>0</v>
      </c>
      <c r="K306" s="106">
        <f>B05_Assessment!$I$56</f>
        <v>0</v>
      </c>
      <c r="L306" s="106">
        <f>B05_Assessment!$J$56</f>
        <v>0</v>
      </c>
    </row>
    <row r="307" spans="1:12" ht="22.95" customHeight="1">
      <c r="A307" s="106" t="str">
        <f>B05_Assessment!$B$2</f>
        <v>05</v>
      </c>
      <c r="B307" s="106" t="str">
        <f t="shared" si="31"/>
        <v>B04_Assessment</v>
      </c>
      <c r="C307" s="106" t="str">
        <f>B05_Assessment!$A$57</f>
        <v>B05-Q4</v>
      </c>
      <c r="D307" s="142" t="str">
        <f>B05_Assessment!$B$57</f>
        <v>Which electrical panel/circuit serves the Room 150 UPS/PDU outlets?</v>
      </c>
      <c r="E307" s="142" t="str">
        <f>B05_Assessment!$C$57</f>
        <v>Electrical / Designer</v>
      </c>
      <c r="F307" s="106" t="str">
        <f>B05_Assessment!$D$57</f>
        <v>Closed</v>
      </c>
      <c r="G307" s="106">
        <f>B05_Assessment!$E$57</f>
        <v>0</v>
      </c>
      <c r="H307" s="106">
        <f>B05_Assessment!$F$57</f>
        <v>0</v>
      </c>
      <c r="I307" s="106" t="str">
        <f>B05_Assessment!$G$57</f>
        <v>Power source cannot be verified</v>
      </c>
      <c r="J307" s="106">
        <f>B05_Assessment!$H$57</f>
        <v>0</v>
      </c>
      <c r="K307" s="106">
        <f>B05_Assessment!$I$57</f>
        <v>0</v>
      </c>
      <c r="L307" s="106">
        <f>B05_Assessment!$J$57</f>
        <v>0</v>
      </c>
    </row>
    <row r="308" spans="1:12" ht="29.1" customHeight="1">
      <c r="A308" s="106" t="str">
        <f>B05_Assessment!$B$2</f>
        <v>05</v>
      </c>
      <c r="B308" s="106" t="str">
        <f t="shared" ref="B308:B315" si="32">"B05_Assessment"</f>
        <v>B05_Assessment</v>
      </c>
      <c r="C308" s="106" t="str">
        <f>B05_Assessment!$A$58</f>
        <v>B05-Q5</v>
      </c>
      <c r="D308" s="142" t="str">
        <f>B05_Assessment!$B$58</f>
        <v>Is emergency/backup power required or provided for the TE UPS/PDU source?</v>
      </c>
      <c r="E308" s="142" t="str">
        <f>B05_Assessment!$C$58</f>
        <v>VA / Electrical</v>
      </c>
      <c r="F308" s="106" t="str">
        <f>B05_Assessment!$D$58</f>
        <v>Closed</v>
      </c>
      <c r="G308" s="106">
        <f>B05_Assessment!$E$58</f>
        <v>0</v>
      </c>
      <c r="H308" s="106">
        <f>B05_Assessment!$F$58</f>
        <v>0</v>
      </c>
      <c r="I308" s="106" t="str">
        <f>B05_Assessment!$G$58</f>
        <v>Continuity requirement unclear</v>
      </c>
      <c r="J308" s="106">
        <f>B05_Assessment!$H$58</f>
        <v>0</v>
      </c>
      <c r="K308" s="106">
        <f>B05_Assessment!$I$58</f>
        <v>0</v>
      </c>
      <c r="L308" s="106">
        <f>B05_Assessment!$J$58</f>
        <v>0</v>
      </c>
    </row>
    <row r="309" spans="1:12" ht="34.950000000000003" customHeight="1">
      <c r="A309" s="106" t="str">
        <f>B05_Assessment!$B$2</f>
        <v>05</v>
      </c>
      <c r="B309" s="106" t="str">
        <f t="shared" si="32"/>
        <v>B05_Assessment</v>
      </c>
      <c r="C309" s="106" t="str">
        <f>B05_Assessment!$A$59</f>
        <v>B05-Q6</v>
      </c>
      <c r="D309" s="142" t="str">
        <f>B05_Assessment!$B$59</f>
        <v>Are firestopping locations and surface raceway/conduit routes shown and coordinated?</v>
      </c>
      <c r="E309" s="142" t="str">
        <f>B05_Assessment!$C$59</f>
        <v>GC / Designer</v>
      </c>
      <c r="F309" s="106" t="str">
        <f>B05_Assessment!$D$59</f>
        <v>Closed</v>
      </c>
      <c r="G309" s="106">
        <f>B05_Assessment!$E$59</f>
        <v>0</v>
      </c>
      <c r="H309" s="106">
        <f>B05_Assessment!$F$59</f>
        <v>0</v>
      </c>
      <c r="I309" s="106" t="str">
        <f>B05_Assessment!$G$59</f>
        <v>Rated assembly/firestop risk</v>
      </c>
      <c r="J309" s="106">
        <f>B05_Assessment!$H$59</f>
        <v>0</v>
      </c>
      <c r="K309" s="106">
        <f>B05_Assessment!$I$59</f>
        <v>0</v>
      </c>
      <c r="L309" s="106">
        <f>B05_Assessment!$J$59</f>
        <v>0</v>
      </c>
    </row>
    <row r="310" spans="1:12" ht="40.65" customHeight="1">
      <c r="A310" s="106" t="str">
        <f>B05_Assessment!$B$2</f>
        <v>05</v>
      </c>
      <c r="B310" s="106" t="str">
        <f t="shared" si="32"/>
        <v>B05_Assessment</v>
      </c>
      <c r="C310" s="106" t="str">
        <f>B05_Assessment!$A$60</f>
        <v>B05-Q7</v>
      </c>
      <c r="D310" s="142" t="str">
        <f>B05_Assessment!$B$60</f>
        <v>Does Room 150 or existing Room 153-A require PACS/CCTV modifications, or is existing security adequate?</v>
      </c>
      <c r="E310" s="142" t="str">
        <f>B05_Assessment!$C$60</f>
        <v>Security / VA</v>
      </c>
      <c r="F310" s="106" t="str">
        <f>B05_Assessment!$D$60</f>
        <v>Closed</v>
      </c>
      <c r="G310" s="106">
        <f>B05_Assessment!$E$60</f>
        <v>0</v>
      </c>
      <c r="H310" s="106">
        <f>B05_Assessment!$F$60</f>
        <v>0</v>
      </c>
      <c r="I310" s="106" t="str">
        <f>B05_Assessment!$G$60</f>
        <v>Security acceptance risk</v>
      </c>
      <c r="J310" s="106">
        <f>B05_Assessment!$H$60</f>
        <v>0</v>
      </c>
      <c r="K310" s="106">
        <f>B05_Assessment!$I$60</f>
        <v>0</v>
      </c>
      <c r="L310" s="106">
        <f>B05_Assessment!$J$60</f>
        <v>0</v>
      </c>
    </row>
    <row r="311" spans="1:12" ht="29.1" customHeight="1">
      <c r="A311" s="106" t="str">
        <f>B06_Assessment!$B$2</f>
        <v>06</v>
      </c>
      <c r="B311" s="106" t="str">
        <f t="shared" si="32"/>
        <v>B05_Assessment</v>
      </c>
      <c r="C311" s="106" t="str">
        <f>B06_Assessment!$A$63</f>
        <v>B06-Q1</v>
      </c>
      <c r="D311" s="142" t="str">
        <f>B06_Assessment!$B$63</f>
        <v>Confirm final TR/TE scope: B-01 existing equipment, Room 178, and Room 233?</v>
      </c>
      <c r="E311" s="142" t="str">
        <f>B06_Assessment!$C$63</f>
        <v>VA / OIT / Designer</v>
      </c>
      <c r="F311" s="106" t="str">
        <f>B06_Assessment!$D$63</f>
        <v>Closed</v>
      </c>
      <c r="G311" s="106">
        <f>B06_Assessment!$E$63</f>
        <v>0</v>
      </c>
      <c r="H311" s="106">
        <f>B06_Assessment!$F$63</f>
        <v>0</v>
      </c>
      <c r="I311" s="106" t="str">
        <f>B06_Assessment!$G$63</f>
        <v>Room inventory could miss scope</v>
      </c>
      <c r="J311" s="106">
        <f>B06_Assessment!$H$63</f>
        <v>0</v>
      </c>
      <c r="K311" s="106">
        <f>B06_Assessment!$I$63</f>
        <v>0</v>
      </c>
      <c r="L311" s="106">
        <f>B06_Assessment!$J$63</f>
        <v>0</v>
      </c>
    </row>
    <row r="312" spans="1:12" ht="29.1" customHeight="1">
      <c r="A312" s="106" t="str">
        <f>B06_Assessment!$B$2</f>
        <v>06</v>
      </c>
      <c r="B312" s="106" t="str">
        <f t="shared" si="32"/>
        <v>B05_Assessment</v>
      </c>
      <c r="C312" s="106" t="str">
        <f>B06_Assessment!$A$64</f>
        <v>B06-Q2</v>
      </c>
      <c r="D312" s="142" t="str">
        <f>B06_Assessment!$B$64</f>
        <v>What active services are fed from existing B-01 and Room 178 legacy equipment?</v>
      </c>
      <c r="E312" s="142" t="str">
        <f>B06_Assessment!$C$64</f>
        <v>OIT / Contractor</v>
      </c>
      <c r="F312" s="106" t="str">
        <f>B06_Assessment!$D$64</f>
        <v>Closed</v>
      </c>
      <c r="G312" s="106">
        <f>B06_Assessment!$E$64</f>
        <v>0</v>
      </c>
      <c r="H312" s="106">
        <f>B06_Assessment!$F$64</f>
        <v>0</v>
      </c>
      <c r="I312" s="106" t="str">
        <f>B06_Assessment!$G$64</f>
        <v>Potential communications outage</v>
      </c>
      <c r="J312" s="106">
        <f>B06_Assessment!$H$64</f>
        <v>0</v>
      </c>
      <c r="K312" s="106">
        <f>B06_Assessment!$I$64</f>
        <v>0</v>
      </c>
      <c r="L312" s="106">
        <f>B06_Assessment!$J$64</f>
        <v>0</v>
      </c>
    </row>
    <row r="313" spans="1:12" ht="22.95" customHeight="1">
      <c r="A313" s="106" t="str">
        <f>B06_Assessment!$B$2</f>
        <v>06</v>
      </c>
      <c r="B313" s="106" t="str">
        <f t="shared" si="32"/>
        <v>B05_Assessment</v>
      </c>
      <c r="C313" s="106" t="str">
        <f>B06_Assessment!$A$65</f>
        <v>B06-Q3</v>
      </c>
      <c r="D313" s="142" t="str">
        <f>B06_Assessment!$B$65</f>
        <v>What is the approved cutover sequence for B-01, 178 and 233?</v>
      </c>
      <c r="E313" s="142" t="str">
        <f>B06_Assessment!$C$65</f>
        <v>OIT / Contractor</v>
      </c>
      <c r="F313" s="106" t="str">
        <f>B06_Assessment!$D$65</f>
        <v>Closed</v>
      </c>
      <c r="G313" s="106">
        <f>B06_Assessment!$E$65</f>
        <v>0</v>
      </c>
      <c r="H313" s="106">
        <f>B06_Assessment!$F$65</f>
        <v>0</v>
      </c>
      <c r="I313" s="106" t="str">
        <f>B06_Assessment!$G$65</f>
        <v>Cutover risk</v>
      </c>
      <c r="J313" s="106">
        <f>B06_Assessment!$H$65</f>
        <v>0</v>
      </c>
      <c r="K313" s="106">
        <f>B06_Assessment!$I$65</f>
        <v>0</v>
      </c>
      <c r="L313" s="106">
        <f>B06_Assessment!$J$65</f>
        <v>0</v>
      </c>
    </row>
    <row r="314" spans="1:12" ht="29.1" customHeight="1">
      <c r="A314" s="106" t="str">
        <f>B06_Assessment!$B$2</f>
        <v>06</v>
      </c>
      <c r="B314" s="106" t="str">
        <f t="shared" si="32"/>
        <v>B05_Assessment</v>
      </c>
      <c r="C314" s="106" t="str">
        <f>B06_Assessment!$A$66</f>
        <v>B06-Q4</v>
      </c>
      <c r="D314" s="142" t="str">
        <f>B06_Assessment!$B$66</f>
        <v>Are IU-1-01/CU-1-01 and IU-2-01/CU-2-01 on emergency/backup power?</v>
      </c>
      <c r="E314" s="142" t="str">
        <f>B06_Assessment!$C$66</f>
        <v>Mechanical / Electrical / VA</v>
      </c>
      <c r="F314" s="106" t="str">
        <f>B06_Assessment!$D$66</f>
        <v>Closed</v>
      </c>
      <c r="G314" s="106">
        <f>B06_Assessment!$E$66</f>
        <v>0</v>
      </c>
      <c r="H314" s="106">
        <f>B06_Assessment!$F$66</f>
        <v>0</v>
      </c>
      <c r="I314" s="106" t="str">
        <f>B06_Assessment!$G$66</f>
        <v>Cooling continuity unclear</v>
      </c>
      <c r="J314" s="106">
        <f>B06_Assessment!$H$66</f>
        <v>0</v>
      </c>
      <c r="K314" s="106">
        <f>B06_Assessment!$I$66</f>
        <v>0</v>
      </c>
      <c r="L314" s="106">
        <f>B06_Assessment!$J$66</f>
        <v>0</v>
      </c>
    </row>
    <row r="315" spans="1:12" ht="34.950000000000003" customHeight="1">
      <c r="A315" s="106" t="str">
        <f>B06_Assessment!$B$2</f>
        <v>06</v>
      </c>
      <c r="B315" s="106" t="str">
        <f t="shared" si="32"/>
        <v>B05_Assessment</v>
      </c>
      <c r="C315" s="106" t="str">
        <f>B06_Assessment!$A$67</f>
        <v>B06-Q5</v>
      </c>
      <c r="D315" s="142" t="str">
        <f>B06_Assessment!$B$67</f>
        <v>Where are clean-agent/CO2 extinguisher cabinets located within 75 ft of each TR?</v>
      </c>
      <c r="E315" s="142" t="str">
        <f>B06_Assessment!$C$67</f>
        <v>GC / COR</v>
      </c>
      <c r="F315" s="106" t="str">
        <f>B06_Assessment!$D$67</f>
        <v>Closed</v>
      </c>
      <c r="G315" s="106">
        <f>B06_Assessment!$E$67</f>
        <v>0</v>
      </c>
      <c r="H315" s="106">
        <f>B06_Assessment!$F$67</f>
        <v>0</v>
      </c>
      <c r="I315" s="106" t="str">
        <f>B06_Assessment!$G$67</f>
        <v>Life safety acceptance risk</v>
      </c>
      <c r="J315" s="106">
        <f>B06_Assessment!$H$67</f>
        <v>0</v>
      </c>
      <c r="K315" s="106">
        <f>B06_Assessment!$I$67</f>
        <v>0</v>
      </c>
      <c r="L315" s="106">
        <f>B06_Assessment!$J$67</f>
        <v>0</v>
      </c>
    </row>
    <row r="316" spans="1:12" ht="34.950000000000003" customHeight="1">
      <c r="A316" s="106" t="str">
        <f>B06_Assessment!$B$2</f>
        <v>06</v>
      </c>
      <c r="B316" s="106" t="str">
        <f t="shared" ref="B316:B323" si="33">"B06_Assessment"</f>
        <v>B06_Assessment</v>
      </c>
      <c r="C316" s="106" t="str">
        <f>B06_Assessment!$A$68</f>
        <v>B06-Q6</v>
      </c>
      <c r="D316" s="142" t="str">
        <f>B06_Assessment!$B$68</f>
        <v>Are all panel load measurements, replacement panels, breakers, SPDs and labels approved?</v>
      </c>
      <c r="E316" s="142" t="str">
        <f>B06_Assessment!$C$68</f>
        <v>Electrical / Designer</v>
      </c>
      <c r="F316" s="106" t="str">
        <f>B06_Assessment!$D$68</f>
        <v>Closed</v>
      </c>
      <c r="G316" s="106">
        <f>B06_Assessment!$E$68</f>
        <v>0</v>
      </c>
      <c r="H316" s="106">
        <f>B06_Assessment!$F$68</f>
        <v>0</v>
      </c>
      <c r="I316" s="106" t="str">
        <f>B06_Assessment!$G$68</f>
        <v>Electrical readiness unknown</v>
      </c>
      <c r="J316" s="106">
        <f>B06_Assessment!$H$68</f>
        <v>0</v>
      </c>
      <c r="K316" s="106">
        <f>B06_Assessment!$I$68</f>
        <v>0</v>
      </c>
      <c r="L316" s="106">
        <f>B06_Assessment!$J$68</f>
        <v>0</v>
      </c>
    </row>
    <row r="317" spans="1:12" ht="34.950000000000003" customHeight="1">
      <c r="A317" s="106" t="str">
        <f>B06_Assessment!$B$2</f>
        <v>06</v>
      </c>
      <c r="B317" s="106" t="str">
        <f t="shared" si="33"/>
        <v>B06_Assessment</v>
      </c>
      <c r="C317" s="106" t="str">
        <f>B06_Assessment!$A$69</f>
        <v>B06-Q7</v>
      </c>
      <c r="D317" s="142" t="str">
        <f>B06_Assessment!$B$69</f>
        <v>Are all rated wall/floor penetrations, sleeves and firestopping identified?</v>
      </c>
      <c r="E317" s="142" t="str">
        <f>B06_Assessment!$C$69</f>
        <v>GC / Firestop</v>
      </c>
      <c r="F317" s="106" t="str">
        <f>B06_Assessment!$D$69</f>
        <v>Closed</v>
      </c>
      <c r="G317" s="106">
        <f>B06_Assessment!$E$69</f>
        <v>0</v>
      </c>
      <c r="H317" s="106">
        <f>B06_Assessment!$F$69</f>
        <v>0</v>
      </c>
      <c r="I317" s="106" t="str">
        <f>B06_Assessment!$G$69</f>
        <v>Fire/smoke spread risk</v>
      </c>
      <c r="J317" s="106">
        <f>B06_Assessment!$H$69</f>
        <v>0</v>
      </c>
      <c r="K317" s="106">
        <f>B06_Assessment!$I$69</f>
        <v>0</v>
      </c>
      <c r="L317" s="106">
        <f>B06_Assessment!$J$69</f>
        <v>0</v>
      </c>
    </row>
    <row r="318" spans="1:12" ht="29.1" customHeight="1">
      <c r="A318" s="106" t="str">
        <f>B06_Assessment!$B$2</f>
        <v>06</v>
      </c>
      <c r="B318" s="106" t="str">
        <f t="shared" si="33"/>
        <v>B06_Assessment</v>
      </c>
      <c r="C318" s="106" t="str">
        <f>B06_Assessment!$A$70</f>
        <v>B06-Q8</v>
      </c>
      <c r="D318" s="142" t="str">
        <f>B06_Assessment!$B$70</f>
        <v>Which commissioning/third-party tests must be complete before VA acceptance?</v>
      </c>
      <c r="E318" s="142" t="str">
        <f>B06_Assessment!$C$70</f>
        <v>GC / Cx Manager</v>
      </c>
      <c r="F318" s="106" t="str">
        <f>B06_Assessment!$D$70</f>
        <v>Closed</v>
      </c>
      <c r="G318" s="106">
        <f>B06_Assessment!$E$70</f>
        <v>0</v>
      </c>
      <c r="H318" s="106">
        <f>B06_Assessment!$F$70</f>
        <v>0</v>
      </c>
      <c r="I318" s="106" t="str">
        <f>B06_Assessment!$G$70</f>
        <v>Turnover package gap</v>
      </c>
      <c r="J318" s="106">
        <f>B06_Assessment!$H$70</f>
        <v>0</v>
      </c>
      <c r="K318" s="106">
        <f>B06_Assessment!$I$70</f>
        <v>0</v>
      </c>
      <c r="L318" s="106">
        <f>B06_Assessment!$J$70</f>
        <v>0</v>
      </c>
    </row>
    <row r="319" spans="1:12" ht="22.95" customHeight="1">
      <c r="A319" s="106" t="str">
        <f>B07_Assessment!$B$2</f>
        <v>07</v>
      </c>
      <c r="B319" s="106" t="str">
        <f t="shared" si="33"/>
        <v>B06_Assessment</v>
      </c>
      <c r="C319" s="106" t="str">
        <f>B07_Assessment!$A$56</f>
        <v>B07-Q1</v>
      </c>
      <c r="D319" s="142" t="str">
        <f>B07_Assessment!$B$56</f>
        <v>Confirm final TR scope: B-18 basement and 228A second floor only?</v>
      </c>
      <c r="E319" s="142" t="str">
        <f>B07_Assessment!$C$56</f>
        <v>VA / OIT / Designer</v>
      </c>
      <c r="F319" s="106" t="str">
        <f>B07_Assessment!$D$56</f>
        <v>Closed</v>
      </c>
      <c r="G319" s="106">
        <f>B07_Assessment!$E$56</f>
        <v>0</v>
      </c>
      <c r="H319" s="106">
        <f>B07_Assessment!$F$56</f>
        <v>0</v>
      </c>
      <c r="I319" s="106" t="str">
        <f>B07_Assessment!$G$56</f>
        <v>Room inventory could miss scope</v>
      </c>
      <c r="J319" s="106">
        <f>B07_Assessment!$H$56</f>
        <v>0</v>
      </c>
      <c r="K319" s="106">
        <f>B07_Assessment!$I$56</f>
        <v>0</v>
      </c>
      <c r="L319" s="106">
        <f>B07_Assessment!$J$56</f>
        <v>0</v>
      </c>
    </row>
    <row r="320" spans="1:12" ht="29.1" customHeight="1">
      <c r="A320" s="106" t="str">
        <f>B07_Assessment!$B$2</f>
        <v>07</v>
      </c>
      <c r="B320" s="106" t="str">
        <f t="shared" si="33"/>
        <v>B06_Assessment</v>
      </c>
      <c r="C320" s="106" t="str">
        <f>B07_Assessment!$A$57</f>
        <v>B07-Q2</v>
      </c>
      <c r="D320" s="142" t="str">
        <f>B07_Assessment!$B$57</f>
        <v>Are IU-0-01/CU-0-01 assigned to B-18 and IU-2-01/CU-2-01 assigned to 228A?</v>
      </c>
      <c r="E320" s="142" t="str">
        <f>B07_Assessment!$C$57</f>
        <v>Mechanical / Designer</v>
      </c>
      <c r="F320" s="106" t="str">
        <f>B07_Assessment!$D$57</f>
        <v>Closed</v>
      </c>
      <c r="G320" s="106">
        <f>B07_Assessment!$E$57</f>
        <v>0</v>
      </c>
      <c r="H320" s="106">
        <f>B07_Assessment!$F$57</f>
        <v>0</v>
      </c>
      <c r="I320" s="106" t="str">
        <f>B07_Assessment!$G$57</f>
        <v>Cooling scope unclear</v>
      </c>
      <c r="J320" s="106">
        <f>B07_Assessment!$H$57</f>
        <v>0</v>
      </c>
      <c r="K320" s="106">
        <f>B07_Assessment!$I$57</f>
        <v>0</v>
      </c>
      <c r="L320" s="106">
        <f>B07_Assessment!$J$57</f>
        <v>0</v>
      </c>
    </row>
    <row r="321" spans="1:12" ht="22.95" customHeight="1">
      <c r="A321" s="106" t="str">
        <f>B07_Assessment!$B$2</f>
        <v>07</v>
      </c>
      <c r="B321" s="106" t="str">
        <f t="shared" si="33"/>
        <v>B06_Assessment</v>
      </c>
      <c r="C321" s="106" t="str">
        <f>B07_Assessment!$A$58</f>
        <v>B07-Q3</v>
      </c>
      <c r="D321" s="142" t="str">
        <f>B07_Assessment!$B$58</f>
        <v>Are cooling units and controls on emergency/backup power?</v>
      </c>
      <c r="E321" s="142" t="str">
        <f>B07_Assessment!$C$58</f>
        <v>Mechanical / Electrical / VA</v>
      </c>
      <c r="F321" s="106" t="str">
        <f>B07_Assessment!$D$58</f>
        <v>Closed</v>
      </c>
      <c r="G321" s="106">
        <f>B07_Assessment!$E$58</f>
        <v>0</v>
      </c>
      <c r="H321" s="106">
        <f>B07_Assessment!$F$58</f>
        <v>0</v>
      </c>
      <c r="I321" s="106" t="str">
        <f>B07_Assessment!$G$58</f>
        <v>Cooling continuity not confirmed</v>
      </c>
      <c r="J321" s="106">
        <f>B07_Assessment!$H$58</f>
        <v>0</v>
      </c>
      <c r="K321" s="106">
        <f>B07_Assessment!$I$58</f>
        <v>0</v>
      </c>
      <c r="L321" s="106">
        <f>B07_Assessment!$J$58</f>
        <v>0</v>
      </c>
    </row>
    <row r="322" spans="1:12" ht="34.950000000000003" customHeight="1">
      <c r="A322" s="106" t="str">
        <f>B07_Assessment!$B$2</f>
        <v>07</v>
      </c>
      <c r="B322" s="106" t="str">
        <f t="shared" si="33"/>
        <v>B06_Assessment</v>
      </c>
      <c r="C322" s="106" t="str">
        <f>B07_Assessment!$A$59</f>
        <v>B07-Q4</v>
      </c>
      <c r="D322" s="142" t="str">
        <f>B07_Assessment!$B$59</f>
        <v>Where are clean-agent/CO2 extinguisher cabinets located within 75 ft of each TR?</v>
      </c>
      <c r="E322" s="142" t="str">
        <f>B07_Assessment!$C$59</f>
        <v>GC / COR</v>
      </c>
      <c r="F322" s="106" t="str">
        <f>B07_Assessment!$D$59</f>
        <v>Closed</v>
      </c>
      <c r="G322" s="106">
        <f>B07_Assessment!$E$59</f>
        <v>0</v>
      </c>
      <c r="H322" s="106">
        <f>B07_Assessment!$F$59</f>
        <v>0</v>
      </c>
      <c r="I322" s="106" t="str">
        <f>B07_Assessment!$G$59</f>
        <v>Life safety acceptance risk</v>
      </c>
      <c r="J322" s="106">
        <f>B07_Assessment!$H$59</f>
        <v>0</v>
      </c>
      <c r="K322" s="106">
        <f>B07_Assessment!$I$59</f>
        <v>0</v>
      </c>
      <c r="L322" s="106">
        <f>B07_Assessment!$J$59</f>
        <v>0</v>
      </c>
    </row>
    <row r="323" spans="1:12" ht="34.950000000000003" customHeight="1">
      <c r="A323" s="106" t="str">
        <f>B07_Assessment!$B$2</f>
        <v>07</v>
      </c>
      <c r="B323" s="106" t="str">
        <f t="shared" si="33"/>
        <v>B06_Assessment</v>
      </c>
      <c r="C323" s="106" t="str">
        <f>B07_Assessment!$A$60</f>
        <v>B07-Q5</v>
      </c>
      <c r="D323" s="142" t="str">
        <f>B07_Assessment!$B$60</f>
        <v>What active services are currently fed from B-18 and/or existing pathways serving 228A?</v>
      </c>
      <c r="E323" s="142" t="str">
        <f>B07_Assessment!$C$60</f>
        <v>OIT / Contractor</v>
      </c>
      <c r="F323" s="106" t="str">
        <f>B07_Assessment!$D$60</f>
        <v>Closed</v>
      </c>
      <c r="G323" s="106">
        <f>B07_Assessment!$E$60</f>
        <v>0</v>
      </c>
      <c r="H323" s="106">
        <f>B07_Assessment!$F$60</f>
        <v>0</v>
      </c>
      <c r="I323" s="106" t="str">
        <f>B07_Assessment!$G$60</f>
        <v>Potential communications outage</v>
      </c>
      <c r="J323" s="106">
        <f>B07_Assessment!$H$60</f>
        <v>0</v>
      </c>
      <c r="K323" s="106">
        <f>B07_Assessment!$I$60</f>
        <v>0</v>
      </c>
      <c r="L323" s="106">
        <f>B07_Assessment!$J$60</f>
        <v>0</v>
      </c>
    </row>
    <row r="324" spans="1:12" ht="34.950000000000003" customHeight="1">
      <c r="A324" s="106" t="str">
        <f>B07_Assessment!$B$2</f>
        <v>07</v>
      </c>
      <c r="B324" s="106" t="str">
        <f t="shared" ref="B324:B331" si="34">"B07_Assessment"</f>
        <v>B07_Assessment</v>
      </c>
      <c r="C324" s="106" t="str">
        <f>B07_Assessment!$A$61</f>
        <v>B07-Q6</v>
      </c>
      <c r="D324" s="142" t="str">
        <f>B07_Assessment!$B$61</f>
        <v>Are all B07 panelboard sources, circuits, SPDs, labels and load measurements approved?</v>
      </c>
      <c r="E324" s="142" t="str">
        <f>B07_Assessment!$C$61</f>
        <v>Electrical / Designer</v>
      </c>
      <c r="F324" s="106" t="str">
        <f>B07_Assessment!$D$61</f>
        <v>Closed</v>
      </c>
      <c r="G324" s="106">
        <f>B07_Assessment!$E$61</f>
        <v>0</v>
      </c>
      <c r="H324" s="106">
        <f>B07_Assessment!$F$61</f>
        <v>0</v>
      </c>
      <c r="I324" s="106" t="str">
        <f>B07_Assessment!$G$61</f>
        <v>Electrical readiness unknown</v>
      </c>
      <c r="J324" s="106">
        <f>B07_Assessment!$H$61</f>
        <v>0</v>
      </c>
      <c r="K324" s="106">
        <f>B07_Assessment!$I$61</f>
        <v>0</v>
      </c>
      <c r="L324" s="106">
        <f>B07_Assessment!$J$61</f>
        <v>0</v>
      </c>
    </row>
    <row r="325" spans="1:12" ht="34.950000000000003" customHeight="1">
      <c r="A325" s="106" t="str">
        <f>B07_Assessment!$B$2</f>
        <v>07</v>
      </c>
      <c r="B325" s="106" t="str">
        <f t="shared" si="34"/>
        <v>B07_Assessment</v>
      </c>
      <c r="C325" s="106" t="str">
        <f>B07_Assessment!$A$62</f>
        <v>B07-Q7</v>
      </c>
      <c r="D325" s="142" t="str">
        <f>B07_Assessment!$B$62</f>
        <v>Are all rated wall/floor penetrations, sleeves and firestopping identified?</v>
      </c>
      <c r="E325" s="142" t="str">
        <f>B07_Assessment!$C$62</f>
        <v>GC / Firestop</v>
      </c>
      <c r="F325" s="106" t="str">
        <f>B07_Assessment!$D$62</f>
        <v>Closed</v>
      </c>
      <c r="G325" s="106">
        <f>B07_Assessment!$E$62</f>
        <v>0</v>
      </c>
      <c r="H325" s="106">
        <f>B07_Assessment!$F$62</f>
        <v>0</v>
      </c>
      <c r="I325" s="106" t="str">
        <f>B07_Assessment!$G$62</f>
        <v>Fire/smoke spread risk</v>
      </c>
      <c r="J325" s="106">
        <f>B07_Assessment!$H$62</f>
        <v>0</v>
      </c>
      <c r="K325" s="106">
        <f>B07_Assessment!$I$62</f>
        <v>0</v>
      </c>
      <c r="L325" s="106">
        <f>B07_Assessment!$J$62</f>
        <v>0</v>
      </c>
    </row>
    <row r="326" spans="1:12" ht="34.950000000000003" customHeight="1">
      <c r="A326" s="106" t="str">
        <f>B07_Assessment!$B$2</f>
        <v>07</v>
      </c>
      <c r="B326" s="106" t="str">
        <f t="shared" si="34"/>
        <v>B07_Assessment</v>
      </c>
      <c r="C326" s="106" t="str">
        <f>B07_Assessment!$A$63</f>
        <v>B07-Q8</v>
      </c>
      <c r="D326" s="142" t="str">
        <f>B07_Assessment!$B$63</f>
        <v>Which third-party inspections and commissioning forms are required before VA acceptance?</v>
      </c>
      <c r="E326" s="142" t="str">
        <f>B07_Assessment!$C$63</f>
        <v>GC / Cx Manager</v>
      </c>
      <c r="F326" s="106" t="str">
        <f>B07_Assessment!$D$63</f>
        <v>Closed</v>
      </c>
      <c r="G326" s="106">
        <f>B07_Assessment!$E$63</f>
        <v>0</v>
      </c>
      <c r="H326" s="106">
        <f>B07_Assessment!$F$63</f>
        <v>0</v>
      </c>
      <c r="I326" s="106" t="str">
        <f>B07_Assessment!$G$63</f>
        <v>Turnover package gap</v>
      </c>
      <c r="J326" s="106">
        <f>B07_Assessment!$H$63</f>
        <v>0</v>
      </c>
      <c r="K326" s="106">
        <f>B07_Assessment!$I$63</f>
        <v>0</v>
      </c>
      <c r="L326" s="106">
        <f>B07_Assessment!$J$63</f>
        <v>0</v>
      </c>
    </row>
    <row r="327" spans="1:12" ht="34.950000000000003" customHeight="1">
      <c r="A327" s="106" t="str">
        <f>B08_Assessment!$B$2</f>
        <v>08</v>
      </c>
      <c r="B327" s="106" t="str">
        <f t="shared" si="34"/>
        <v>B07_Assessment</v>
      </c>
      <c r="C327" s="106" t="str">
        <f>B08_Assessment!$A$63</f>
        <v>B08-Q1</v>
      </c>
      <c r="D327" s="142" t="str">
        <f>B08_Assessment!$B$63</f>
        <v>Confirm final scope: existing B-15 equipment, B12B TE/cabling area, and new TR 2065A?</v>
      </c>
      <c r="E327" s="142" t="str">
        <f>B08_Assessment!$C$63</f>
        <v>VA / OIT / Designer</v>
      </c>
      <c r="F327" s="106" t="str">
        <f>B08_Assessment!$D$63</f>
        <v>Closed</v>
      </c>
      <c r="G327" s="106">
        <f>B08_Assessment!$E$63</f>
        <v>0</v>
      </c>
      <c r="H327" s="106">
        <f>B08_Assessment!$F$63</f>
        <v>0</v>
      </c>
      <c r="I327" s="106" t="str">
        <f>B08_Assessment!$G$63</f>
        <v>Room inventory may miss scope</v>
      </c>
      <c r="J327" s="106">
        <f>B08_Assessment!$H$63</f>
        <v>0</v>
      </c>
      <c r="K327" s="106">
        <f>B08_Assessment!$I$63</f>
        <v>0</v>
      </c>
      <c r="L327" s="106">
        <f>B08_Assessment!$J$63</f>
        <v>0</v>
      </c>
    </row>
    <row r="328" spans="1:12" ht="29.1" customHeight="1">
      <c r="A328" s="106" t="str">
        <f>B08_Assessment!$B$2</f>
        <v>08</v>
      </c>
      <c r="B328" s="106" t="str">
        <f t="shared" si="34"/>
        <v>B07_Assessment</v>
      </c>
      <c r="C328" s="106" t="str">
        <f>B08_Assessment!$A$64</f>
        <v>B08-Q2</v>
      </c>
      <c r="D328" s="142" t="str">
        <f>B08_Assessment!$B$64</f>
        <v>What active services are currently fed from existing B-15 equipment?</v>
      </c>
      <c r="E328" s="142" t="str">
        <f>B08_Assessment!$C$64</f>
        <v>OIT / Contractor</v>
      </c>
      <c r="F328" s="106" t="str">
        <f>B08_Assessment!$D$64</f>
        <v>Closed</v>
      </c>
      <c r="G328" s="106">
        <f>B08_Assessment!$E$64</f>
        <v>0</v>
      </c>
      <c r="H328" s="106">
        <f>B08_Assessment!$F$64</f>
        <v>0</v>
      </c>
      <c r="I328" s="106" t="str">
        <f>B08_Assessment!$G$64</f>
        <v>Potential communications outage</v>
      </c>
      <c r="J328" s="106">
        <f>B08_Assessment!$H$64</f>
        <v>0</v>
      </c>
      <c r="K328" s="106">
        <f>B08_Assessment!$I$64</f>
        <v>0</v>
      </c>
      <c r="L328" s="106">
        <f>B08_Assessment!$J$64</f>
        <v>0</v>
      </c>
    </row>
    <row r="329" spans="1:12" ht="34.950000000000003" customHeight="1">
      <c r="A329" s="106" t="str">
        <f>B08_Assessment!$B$2</f>
        <v>08</v>
      </c>
      <c r="B329" s="106" t="str">
        <f t="shared" si="34"/>
        <v>B07_Assessment</v>
      </c>
      <c r="C329" s="106" t="str">
        <f>B08_Assessment!$A$65</f>
        <v>B08-Q3</v>
      </c>
      <c r="D329" s="142" t="str">
        <f>B08_Assessment!$B$65</f>
        <v>Is B12B truly a TE/equipment location or only a cabling pathway/service area?</v>
      </c>
      <c r="E329" s="142" t="str">
        <f>B08_Assessment!$C$65</f>
        <v>VA / Designer / Contractor</v>
      </c>
      <c r="F329" s="106" t="str">
        <f>B08_Assessment!$D$65</f>
        <v>Closed</v>
      </c>
      <c r="G329" s="106">
        <f>B08_Assessment!$E$65</f>
        <v>0</v>
      </c>
      <c r="H329" s="106">
        <f>B08_Assessment!$F$65</f>
        <v>0</v>
      </c>
      <c r="I329" s="106" t="str">
        <f>B08_Assessment!$G$65</f>
        <v>Scope ambiguity</v>
      </c>
      <c r="J329" s="106">
        <f>B08_Assessment!$H$65</f>
        <v>0</v>
      </c>
      <c r="K329" s="106">
        <f>B08_Assessment!$I$65</f>
        <v>0</v>
      </c>
      <c r="L329" s="106">
        <f>B08_Assessment!$J$65</f>
        <v>0</v>
      </c>
    </row>
    <row r="330" spans="1:12" ht="29.1" customHeight="1">
      <c r="A330" s="106" t="str">
        <f>B08_Assessment!$B$2</f>
        <v>08</v>
      </c>
      <c r="B330" s="106" t="str">
        <f t="shared" si="34"/>
        <v>B07_Assessment</v>
      </c>
      <c r="C330" s="106" t="str">
        <f>B08_Assessment!$A$66</f>
        <v>B08-Q4</v>
      </c>
      <c r="D330" s="142" t="str">
        <f>B08_Assessment!$B$66</f>
        <v>Is IU-2-01/CU-2-01 dedicated to TR 2065A and on emergency/backup power?</v>
      </c>
      <c r="E330" s="142" t="str">
        <f>B08_Assessment!$C$66</f>
        <v>Mechanical / Electrical / VA</v>
      </c>
      <c r="F330" s="106" t="str">
        <f>B08_Assessment!$D$66</f>
        <v>Closed</v>
      </c>
      <c r="G330" s="106">
        <f>B08_Assessment!$E$66</f>
        <v>0</v>
      </c>
      <c r="H330" s="106">
        <f>B08_Assessment!$F$66</f>
        <v>0</v>
      </c>
      <c r="I330" s="106" t="str">
        <f>B08_Assessment!$G$66</f>
        <v>Cooling continuity unclear</v>
      </c>
      <c r="J330" s="106">
        <f>B08_Assessment!$H$66</f>
        <v>0</v>
      </c>
      <c r="K330" s="106">
        <f>B08_Assessment!$I$66</f>
        <v>0</v>
      </c>
      <c r="L330" s="106">
        <f>B08_Assessment!$J$66</f>
        <v>0</v>
      </c>
    </row>
    <row r="331" spans="1:12" ht="34.950000000000003" customHeight="1">
      <c r="A331" s="106" t="str">
        <f>B08_Assessment!$B$2</f>
        <v>08</v>
      </c>
      <c r="B331" s="106" t="str">
        <f t="shared" si="34"/>
        <v>B07_Assessment</v>
      </c>
      <c r="C331" s="106" t="str">
        <f>B08_Assessment!$A$67</f>
        <v>B08-Q5</v>
      </c>
      <c r="D331" s="142" t="str">
        <f>B08_Assessment!$B$67</f>
        <v>Where are clean-agent/CO2 extinguisher cabinets located within 75 ft of each TR/TE?</v>
      </c>
      <c r="E331" s="142" t="str">
        <f>B08_Assessment!$C$67</f>
        <v>GC / COR</v>
      </c>
      <c r="F331" s="106" t="str">
        <f>B08_Assessment!$D$67</f>
        <v>Closed</v>
      </c>
      <c r="G331" s="106">
        <f>B08_Assessment!$E$67</f>
        <v>0</v>
      </c>
      <c r="H331" s="106">
        <f>B08_Assessment!$F$67</f>
        <v>0</v>
      </c>
      <c r="I331" s="106" t="str">
        <f>B08_Assessment!$G$67</f>
        <v>Life safety acceptance risk</v>
      </c>
      <c r="J331" s="106">
        <f>B08_Assessment!$H$67</f>
        <v>0</v>
      </c>
      <c r="K331" s="106">
        <f>B08_Assessment!$I$67</f>
        <v>0</v>
      </c>
      <c r="L331" s="106">
        <f>B08_Assessment!$J$67</f>
        <v>0</v>
      </c>
    </row>
    <row r="332" spans="1:12" ht="40.65" customHeight="1">
      <c r="A332" s="106" t="str">
        <f>B08_Assessment!$B$2</f>
        <v>08</v>
      </c>
      <c r="B332" s="106" t="str">
        <f t="shared" ref="B332:B339" si="35">"B08_Assessment"</f>
        <v>B08_Assessment</v>
      </c>
      <c r="C332" s="106" t="str">
        <f>B08_Assessment!$A$68</f>
        <v>B08-Q6</v>
      </c>
      <c r="D332" s="142" t="str">
        <f>B08_Assessment!$B$68</f>
        <v>Are all B08 panelboard sources, circuits, SPDs, rack receptacles and load measurements approved?</v>
      </c>
      <c r="E332" s="142" t="str">
        <f>B08_Assessment!$C$68</f>
        <v>Electrical / Designer</v>
      </c>
      <c r="F332" s="106" t="str">
        <f>B08_Assessment!$D$68</f>
        <v>Closed</v>
      </c>
      <c r="G332" s="106">
        <f>B08_Assessment!$E$68</f>
        <v>0</v>
      </c>
      <c r="H332" s="106">
        <f>B08_Assessment!$F$68</f>
        <v>0</v>
      </c>
      <c r="I332" s="106" t="str">
        <f>B08_Assessment!$G$68</f>
        <v>Electrical readiness unknown</v>
      </c>
      <c r="J332" s="106">
        <f>B08_Assessment!$H$68</f>
        <v>0</v>
      </c>
      <c r="K332" s="106">
        <f>B08_Assessment!$I$68</f>
        <v>0</v>
      </c>
      <c r="L332" s="106">
        <f>B08_Assessment!$J$68</f>
        <v>0</v>
      </c>
    </row>
    <row r="333" spans="1:12" ht="34.950000000000003" customHeight="1">
      <c r="A333" s="106" t="str">
        <f>B08_Assessment!$B$2</f>
        <v>08</v>
      </c>
      <c r="B333" s="106" t="str">
        <f t="shared" si="35"/>
        <v>B08_Assessment</v>
      </c>
      <c r="C333" s="106" t="str">
        <f>B08_Assessment!$A$69</f>
        <v>B08-Q7</v>
      </c>
      <c r="D333" s="142" t="str">
        <f>B08_Assessment!$B$69</f>
        <v>Are all rated wall/floor penetrations, sleeves and firestopping identified?</v>
      </c>
      <c r="E333" s="142" t="str">
        <f>B08_Assessment!$C$69</f>
        <v>GC / Firestop</v>
      </c>
      <c r="F333" s="106" t="str">
        <f>B08_Assessment!$D$69</f>
        <v>Closed</v>
      </c>
      <c r="G333" s="106">
        <f>B08_Assessment!$E$69</f>
        <v>0</v>
      </c>
      <c r="H333" s="106">
        <f>B08_Assessment!$F$69</f>
        <v>0</v>
      </c>
      <c r="I333" s="106" t="str">
        <f>B08_Assessment!$G$69</f>
        <v>Fire/smoke spread risk</v>
      </c>
      <c r="J333" s="106">
        <f>B08_Assessment!$H$69</f>
        <v>0</v>
      </c>
      <c r="K333" s="106">
        <f>B08_Assessment!$I$69</f>
        <v>0</v>
      </c>
      <c r="L333" s="106">
        <f>B08_Assessment!$J$69</f>
        <v>0</v>
      </c>
    </row>
    <row r="334" spans="1:12" ht="34.950000000000003" customHeight="1">
      <c r="A334" s="106" t="str">
        <f>B08_Assessment!$B$2</f>
        <v>08</v>
      </c>
      <c r="B334" s="106" t="str">
        <f t="shared" si="35"/>
        <v>B08_Assessment</v>
      </c>
      <c r="C334" s="106" t="str">
        <f>B08_Assessment!$A$70</f>
        <v>B08-Q8</v>
      </c>
      <c r="D334" s="142" t="str">
        <f>B08_Assessment!$B$70</f>
        <v>Which hazardous material/abatement steps apply to Level 2 floor penetrations and flooring removal?</v>
      </c>
      <c r="E334" s="142" t="str">
        <f>B08_Assessment!$C$70</f>
        <v>GC / IH / COR</v>
      </c>
      <c r="F334" s="106" t="str">
        <f>B08_Assessment!$D$70</f>
        <v>Closed</v>
      </c>
      <c r="G334" s="106">
        <f>B08_Assessment!$E$70</f>
        <v>0</v>
      </c>
      <c r="H334" s="106">
        <f>B08_Assessment!$F$70</f>
        <v>0</v>
      </c>
      <c r="I334" s="106" t="str">
        <f>B08_Assessment!$G$70</f>
        <v>Work delay or exposure risk</v>
      </c>
      <c r="J334" s="106">
        <f>B08_Assessment!$H$70</f>
        <v>0</v>
      </c>
      <c r="K334" s="106">
        <f>B08_Assessment!$I$70</f>
        <v>0</v>
      </c>
      <c r="L334" s="106">
        <f>B08_Assessment!$J$70</f>
        <v>0</v>
      </c>
    </row>
    <row r="335" spans="1:12" ht="29.1" customHeight="1">
      <c r="A335" s="106" t="str">
        <f>B09_Assessment!$B$2</f>
        <v>09</v>
      </c>
      <c r="B335" s="106" t="str">
        <f t="shared" si="35"/>
        <v>B08_Assessment</v>
      </c>
      <c r="C335" s="106" t="str">
        <f>B09_Assessment!$A$63</f>
        <v>B09-Q1</v>
      </c>
      <c r="D335" s="142" t="str">
        <f>B09_Assessment!$B$63</f>
        <v>Confirm final TR scope: B01 basement, 104B first level, and 206A second level?</v>
      </c>
      <c r="E335" s="142" t="str">
        <f>B09_Assessment!$C$63</f>
        <v>VA / OIT / Designer</v>
      </c>
      <c r="F335" s="106" t="str">
        <f>B09_Assessment!$D$63</f>
        <v>Closed</v>
      </c>
      <c r="G335" s="106">
        <f>B09_Assessment!$E$63</f>
        <v>0</v>
      </c>
      <c r="H335" s="106">
        <f>B09_Assessment!$F$63</f>
        <v>0</v>
      </c>
      <c r="I335" s="106" t="str">
        <f>B09_Assessment!$G$63</f>
        <v>Room inventory may miss scope</v>
      </c>
      <c r="J335" s="106">
        <f>B09_Assessment!$H$63</f>
        <v>0</v>
      </c>
      <c r="K335" s="106">
        <f>B09_Assessment!$I$63</f>
        <v>0</v>
      </c>
      <c r="L335" s="106">
        <f>B09_Assessment!$J$63</f>
        <v>0</v>
      </c>
    </row>
    <row r="336" spans="1:12" ht="34.950000000000003" customHeight="1">
      <c r="A336" s="106" t="str">
        <f>B09_Assessment!$B$2</f>
        <v>09</v>
      </c>
      <c r="B336" s="106" t="str">
        <f t="shared" si="35"/>
        <v>B08_Assessment</v>
      </c>
      <c r="C336" s="106" t="str">
        <f>B09_Assessment!$A$64</f>
        <v>B09-Q2</v>
      </c>
      <c r="D336" s="142" t="str">
        <f>B09_Assessment!$B$64</f>
        <v>What active services are currently fed from B01 existing equipment/security/network devices?</v>
      </c>
      <c r="E336" s="142" t="str">
        <f>B09_Assessment!$C$64</f>
        <v>OIT / Contractor</v>
      </c>
      <c r="F336" s="106" t="str">
        <f>B09_Assessment!$D$64</f>
        <v>Closed</v>
      </c>
      <c r="G336" s="106">
        <f>B09_Assessment!$E$64</f>
        <v>0</v>
      </c>
      <c r="H336" s="106">
        <f>B09_Assessment!$F$64</f>
        <v>0</v>
      </c>
      <c r="I336" s="106" t="str">
        <f>B09_Assessment!$G$64</f>
        <v>Potential communications/security outage</v>
      </c>
      <c r="J336" s="106">
        <f>B09_Assessment!$H$64</f>
        <v>0</v>
      </c>
      <c r="K336" s="106">
        <f>B09_Assessment!$I$64</f>
        <v>0</v>
      </c>
      <c r="L336" s="106">
        <f>B09_Assessment!$J$64</f>
        <v>0</v>
      </c>
    </row>
    <row r="337" spans="1:12" ht="29.1" customHeight="1">
      <c r="A337" s="106" t="str">
        <f>B09_Assessment!$B$2</f>
        <v>09</v>
      </c>
      <c r="B337" s="106" t="str">
        <f t="shared" si="35"/>
        <v>B08_Assessment</v>
      </c>
      <c r="C337" s="106" t="str">
        <f>B09_Assessment!$A$65</f>
        <v>B09-Q3</v>
      </c>
      <c r="D337" s="142" t="str">
        <f>B09_Assessment!$B$65</f>
        <v>What hazardous/abatement steps apply to B01, 104B and 206A work areas?</v>
      </c>
      <c r="E337" s="142" t="str">
        <f>B09_Assessment!$C$65</f>
        <v>GC / IH / COR</v>
      </c>
      <c r="F337" s="106" t="str">
        <f>B09_Assessment!$D$65</f>
        <v>Closed</v>
      </c>
      <c r="G337" s="106">
        <f>B09_Assessment!$E$65</f>
        <v>0</v>
      </c>
      <c r="H337" s="106">
        <f>B09_Assessment!$F$65</f>
        <v>0</v>
      </c>
      <c r="I337" s="106" t="str">
        <f>B09_Assessment!$G$65</f>
        <v>Work delay or exposure risk</v>
      </c>
      <c r="J337" s="106">
        <f>B09_Assessment!$H$65</f>
        <v>0</v>
      </c>
      <c r="K337" s="106">
        <f>B09_Assessment!$I$65</f>
        <v>0</v>
      </c>
      <c r="L337" s="106">
        <f>B09_Assessment!$J$65</f>
        <v>0</v>
      </c>
    </row>
    <row r="338" spans="1:12" ht="29.1" customHeight="1">
      <c r="A338" s="106" t="str">
        <f>B09_Assessment!$B$2</f>
        <v>09</v>
      </c>
      <c r="B338" s="106" t="str">
        <f t="shared" si="35"/>
        <v>B08_Assessment</v>
      </c>
      <c r="C338" s="106" t="str">
        <f>B09_Assessment!$A$66</f>
        <v>B09-Q4</v>
      </c>
      <c r="D338" s="142" t="str">
        <f>B09_Assessment!$B$66</f>
        <v>Are IU-0-01/CU-0-1, IU-1-01/CU-1-1 and IU-2-01/CU-2-1 on emergency/backup power?</v>
      </c>
      <c r="E338" s="142" t="str">
        <f>B09_Assessment!$C$66</f>
        <v>Mechanical / Electrical / VA</v>
      </c>
      <c r="F338" s="106" t="str">
        <f>B09_Assessment!$D$66</f>
        <v>Closed</v>
      </c>
      <c r="G338" s="106">
        <f>B09_Assessment!$E$66</f>
        <v>0</v>
      </c>
      <c r="H338" s="106">
        <f>B09_Assessment!$F$66</f>
        <v>0</v>
      </c>
      <c r="I338" s="106" t="str">
        <f>B09_Assessment!$G$66</f>
        <v>Cooling continuity unclear</v>
      </c>
      <c r="J338" s="106">
        <f>B09_Assessment!$H$66</f>
        <v>0</v>
      </c>
      <c r="K338" s="106">
        <f>B09_Assessment!$I$66</f>
        <v>0</v>
      </c>
      <c r="L338" s="106">
        <f>B09_Assessment!$J$66</f>
        <v>0</v>
      </c>
    </row>
    <row r="339" spans="1:12" ht="34.950000000000003" customHeight="1">
      <c r="A339" s="106" t="str">
        <f>B09_Assessment!$B$2</f>
        <v>09</v>
      </c>
      <c r="B339" s="106" t="str">
        <f t="shared" si="35"/>
        <v>B08_Assessment</v>
      </c>
      <c r="C339" s="106" t="str">
        <f>B09_Assessment!$A$67</f>
        <v>B09-Q5</v>
      </c>
      <c r="D339" s="142" t="str">
        <f>B09_Assessment!$B$67</f>
        <v>Where are clean-agent/CO2 extinguisher cabinets located within 75 ft of each TR?</v>
      </c>
      <c r="E339" s="142" t="str">
        <f>B09_Assessment!$C$67</f>
        <v>GC / COR</v>
      </c>
      <c r="F339" s="106" t="str">
        <f>B09_Assessment!$D$67</f>
        <v>Closed</v>
      </c>
      <c r="G339" s="106">
        <f>B09_Assessment!$E$67</f>
        <v>0</v>
      </c>
      <c r="H339" s="106">
        <f>B09_Assessment!$F$67</f>
        <v>0</v>
      </c>
      <c r="I339" s="106" t="str">
        <f>B09_Assessment!$G$67</f>
        <v>Life safety acceptance risk</v>
      </c>
      <c r="J339" s="106">
        <f>B09_Assessment!$H$67</f>
        <v>0</v>
      </c>
      <c r="K339" s="106">
        <f>B09_Assessment!$I$67</f>
        <v>0</v>
      </c>
      <c r="L339" s="106">
        <f>B09_Assessment!$J$67</f>
        <v>0</v>
      </c>
    </row>
    <row r="340" spans="1:12" ht="40.65" customHeight="1">
      <c r="A340" s="106" t="str">
        <f>B09_Assessment!$B$2</f>
        <v>09</v>
      </c>
      <c r="B340" s="106" t="str">
        <f t="shared" ref="B340:B347" si="36">"B09_Assessment"</f>
        <v>B09_Assessment</v>
      </c>
      <c r="C340" s="106" t="str">
        <f>B09_Assessment!$A$68</f>
        <v>B09-Q6</v>
      </c>
      <c r="D340" s="142" t="str">
        <f>B09_Assessment!$B$68</f>
        <v>Are all B09 panelboard sources, circuits, SPDs, rack receptacles and load measurements approved?</v>
      </c>
      <c r="E340" s="142" t="str">
        <f>B09_Assessment!$C$68</f>
        <v>Electrical / Designer</v>
      </c>
      <c r="F340" s="106" t="str">
        <f>B09_Assessment!$D$68</f>
        <v>Closed</v>
      </c>
      <c r="G340" s="106">
        <f>B09_Assessment!$E$68</f>
        <v>0</v>
      </c>
      <c r="H340" s="106">
        <f>B09_Assessment!$F$68</f>
        <v>0</v>
      </c>
      <c r="I340" s="106" t="str">
        <f>B09_Assessment!$G$68</f>
        <v>Electrical readiness unknown</v>
      </c>
      <c r="J340" s="106">
        <f>B09_Assessment!$H$68</f>
        <v>0</v>
      </c>
      <c r="K340" s="106">
        <f>B09_Assessment!$I$68</f>
        <v>0</v>
      </c>
      <c r="L340" s="106">
        <f>B09_Assessment!$J$68</f>
        <v>0</v>
      </c>
    </row>
    <row r="341" spans="1:12" ht="34.950000000000003" customHeight="1">
      <c r="A341" s="106" t="str">
        <f>B09_Assessment!$B$2</f>
        <v>09</v>
      </c>
      <c r="B341" s="106" t="str">
        <f t="shared" si="36"/>
        <v>B09_Assessment</v>
      </c>
      <c r="C341" s="106" t="str">
        <f>B09_Assessment!$A$69</f>
        <v>B09-Q7</v>
      </c>
      <c r="D341" s="142" t="str">
        <f>B09_Assessment!$B$69</f>
        <v>Are all rated wall/floor penetrations, sleeves and firestopping identified?</v>
      </c>
      <c r="E341" s="142" t="str">
        <f>B09_Assessment!$C$69</f>
        <v>GC / Firestop</v>
      </c>
      <c r="F341" s="106" t="str">
        <f>B09_Assessment!$D$69</f>
        <v>Closed</v>
      </c>
      <c r="G341" s="106">
        <f>B09_Assessment!$E$69</f>
        <v>0</v>
      </c>
      <c r="H341" s="106">
        <f>B09_Assessment!$F$69</f>
        <v>0</v>
      </c>
      <c r="I341" s="106" t="str">
        <f>B09_Assessment!$G$69</f>
        <v>Fire/smoke spread risk</v>
      </c>
      <c r="J341" s="106">
        <f>B09_Assessment!$H$69</f>
        <v>0</v>
      </c>
      <c r="K341" s="106">
        <f>B09_Assessment!$I$69</f>
        <v>0</v>
      </c>
      <c r="L341" s="106">
        <f>B09_Assessment!$J$69</f>
        <v>0</v>
      </c>
    </row>
    <row r="342" spans="1:12" ht="34.950000000000003" customHeight="1">
      <c r="A342" s="106" t="str">
        <f>B09_Assessment!$B$2</f>
        <v>09</v>
      </c>
      <c r="B342" s="106" t="str">
        <f t="shared" si="36"/>
        <v>B09_Assessment</v>
      </c>
      <c r="C342" s="106" t="str">
        <f>B09_Assessment!$A$70</f>
        <v>B09-Q8</v>
      </c>
      <c r="D342" s="142" t="str">
        <f>B09_Assessment!$B$70</f>
        <v>Which third-party inspections and commissioning forms are required before VA acceptance?</v>
      </c>
      <c r="E342" s="142" t="str">
        <f>B09_Assessment!$C$70</f>
        <v>GC / Cx Manager</v>
      </c>
      <c r="F342" s="106" t="str">
        <f>B09_Assessment!$D$70</f>
        <v>Closed</v>
      </c>
      <c r="G342" s="106">
        <f>B09_Assessment!$E$70</f>
        <v>0</v>
      </c>
      <c r="H342" s="106">
        <f>B09_Assessment!$F$70</f>
        <v>0</v>
      </c>
      <c r="I342" s="106" t="str">
        <f>B09_Assessment!$G$70</f>
        <v>Turnover package gap</v>
      </c>
      <c r="J342" s="106">
        <f>B09_Assessment!$H$70</f>
        <v>0</v>
      </c>
      <c r="K342" s="106">
        <f>B09_Assessment!$I$70</f>
        <v>0</v>
      </c>
      <c r="L342" s="106">
        <f>B09_Assessment!$J$70</f>
        <v>0</v>
      </c>
    </row>
    <row r="343" spans="1:12" ht="40.65" customHeight="1">
      <c r="A343" s="106" t="str">
        <f>B10_Assessment!$B$2</f>
        <v>10</v>
      </c>
      <c r="B343" s="106" t="str">
        <f t="shared" si="36"/>
        <v>B09_Assessment</v>
      </c>
      <c r="C343" s="106" t="str">
        <f>B10_Assessment!$A$63</f>
        <v>B10-Q1</v>
      </c>
      <c r="D343" s="142" t="str">
        <f>B10_Assessment!$B$63</f>
        <v>Confirm final scope: attic Telecom Room 200A only, with basement electrical source coordination in B24/B25?</v>
      </c>
      <c r="E343" s="142" t="str">
        <f>B10_Assessment!$C$63</f>
        <v>VA / OIT / Designer</v>
      </c>
      <c r="F343" s="106" t="str">
        <f>B10_Assessment!$D$63</f>
        <v>Closed</v>
      </c>
      <c r="G343" s="106">
        <f>B10_Assessment!$E$63</f>
        <v>0</v>
      </c>
      <c r="H343" s="106">
        <f>B10_Assessment!$F$63</f>
        <v>0</v>
      </c>
      <c r="I343" s="106" t="str">
        <f>B10_Assessment!$G$63</f>
        <v>Room inventory could miss scope</v>
      </c>
      <c r="J343" s="106">
        <f>B10_Assessment!$H$63</f>
        <v>0</v>
      </c>
      <c r="K343" s="106">
        <f>B10_Assessment!$I$63</f>
        <v>0</v>
      </c>
      <c r="L343" s="106">
        <f>B10_Assessment!$J$63</f>
        <v>0</v>
      </c>
    </row>
    <row r="344" spans="1:12" ht="40.65" customHeight="1">
      <c r="A344" s="106" t="str">
        <f>B10_Assessment!$B$2</f>
        <v>10</v>
      </c>
      <c r="B344" s="106" t="str">
        <f t="shared" si="36"/>
        <v>B09_Assessment</v>
      </c>
      <c r="C344" s="106" t="str">
        <f>B10_Assessment!$A$64</f>
        <v>B10-Q2</v>
      </c>
      <c r="D344" s="142" t="str">
        <f>B10_Assessment!$B$64</f>
        <v>What active services are currently fed from the existing wall-mounted rack/equipment in Room 200A?</v>
      </c>
      <c r="E344" s="142" t="str">
        <f>B10_Assessment!$C$64</f>
        <v>OIT / Contractor</v>
      </c>
      <c r="F344" s="106" t="str">
        <f>B10_Assessment!$D$64</f>
        <v>Closed</v>
      </c>
      <c r="G344" s="106">
        <f>B10_Assessment!$E$64</f>
        <v>0</v>
      </c>
      <c r="H344" s="106">
        <f>B10_Assessment!$F$64</f>
        <v>0</v>
      </c>
      <c r="I344" s="106" t="str">
        <f>B10_Assessment!$G$64</f>
        <v>Potential communications outage</v>
      </c>
      <c r="J344" s="106">
        <f>B10_Assessment!$H$64</f>
        <v>0</v>
      </c>
      <c r="K344" s="106">
        <f>B10_Assessment!$I$64</f>
        <v>0</v>
      </c>
      <c r="L344" s="106">
        <f>B10_Assessment!$J$64</f>
        <v>0</v>
      </c>
    </row>
    <row r="345" spans="1:12" ht="40.65" customHeight="1">
      <c r="A345" s="106" t="str">
        <f>B10_Assessment!$B$2</f>
        <v>10</v>
      </c>
      <c r="B345" s="106" t="str">
        <f t="shared" si="36"/>
        <v>B09_Assessment</v>
      </c>
      <c r="C345" s="106" t="str">
        <f>B10_Assessment!$A$65</f>
        <v>B10-Q3</v>
      </c>
      <c r="D345" s="142" t="str">
        <f>B10_Assessment!$B$65</f>
        <v>What attic hazardous material/abatement steps apply before cabling, penetrations, HVAC or electrical work?</v>
      </c>
      <c r="E345" s="142" t="str">
        <f>B10_Assessment!$C$65</f>
        <v>GC / IH / COR</v>
      </c>
      <c r="F345" s="106" t="str">
        <f>B10_Assessment!$D$65</f>
        <v>Closed</v>
      </c>
      <c r="G345" s="106">
        <f>B10_Assessment!$E$65</f>
        <v>0</v>
      </c>
      <c r="H345" s="106">
        <f>B10_Assessment!$F$65</f>
        <v>0</v>
      </c>
      <c r="I345" s="106" t="str">
        <f>B10_Assessment!$G$65</f>
        <v>Work delay/exposure risk</v>
      </c>
      <c r="J345" s="106">
        <f>B10_Assessment!$H$65</f>
        <v>0</v>
      </c>
      <c r="K345" s="106">
        <f>B10_Assessment!$I$65</f>
        <v>0</v>
      </c>
      <c r="L345" s="106">
        <f>B10_Assessment!$J$65</f>
        <v>0</v>
      </c>
    </row>
    <row r="346" spans="1:12" ht="34.950000000000003" customHeight="1">
      <c r="A346" s="106" t="str">
        <f>B10_Assessment!$B$2</f>
        <v>10</v>
      </c>
      <c r="B346" s="106" t="str">
        <f t="shared" si="36"/>
        <v>B09_Assessment</v>
      </c>
      <c r="C346" s="106" t="str">
        <f>B10_Assessment!$A$66</f>
        <v>B10-Q4</v>
      </c>
      <c r="D346" s="142" t="str">
        <f>B10_Assessment!$B$66</f>
        <v>Is IU-1-01/CU-1-01 on emergency/backup power and does it serve Room 200A only?</v>
      </c>
      <c r="E346" s="142" t="str">
        <f>B10_Assessment!$C$66</f>
        <v>Mechanical / Electrical / VA</v>
      </c>
      <c r="F346" s="106" t="str">
        <f>B10_Assessment!$D$66</f>
        <v>Closed</v>
      </c>
      <c r="G346" s="106">
        <f>B10_Assessment!$E$66</f>
        <v>0</v>
      </c>
      <c r="H346" s="106">
        <f>B10_Assessment!$F$66</f>
        <v>0</v>
      </c>
      <c r="I346" s="106" t="str">
        <f>B10_Assessment!$G$66</f>
        <v>Cooling continuity unclear</v>
      </c>
      <c r="J346" s="106">
        <f>B10_Assessment!$H$66</f>
        <v>0</v>
      </c>
      <c r="K346" s="106">
        <f>B10_Assessment!$I$66</f>
        <v>0</v>
      </c>
      <c r="L346" s="106">
        <f>B10_Assessment!$J$66</f>
        <v>0</v>
      </c>
    </row>
    <row r="347" spans="1:12" ht="29.1" customHeight="1">
      <c r="A347" s="106" t="str">
        <f>B10_Assessment!$B$2</f>
        <v>10</v>
      </c>
      <c r="B347" s="106" t="str">
        <f t="shared" si="36"/>
        <v>B09_Assessment</v>
      </c>
      <c r="C347" s="106" t="str">
        <f>B10_Assessment!$A$67</f>
        <v>B10-Q5</v>
      </c>
      <c r="D347" s="142" t="str">
        <f>B10_Assessment!$B$67</f>
        <v>Where is the clean-agent/CO2 extinguisher cabinet located within 75 ft of Room 200A?</v>
      </c>
      <c r="E347" s="142" t="str">
        <f>B10_Assessment!$C$67</f>
        <v>GC / COR</v>
      </c>
      <c r="F347" s="106" t="str">
        <f>B10_Assessment!$D$67</f>
        <v>Closed</v>
      </c>
      <c r="G347" s="106">
        <f>B10_Assessment!$E$67</f>
        <v>0</v>
      </c>
      <c r="H347" s="106">
        <f>B10_Assessment!$F$67</f>
        <v>0</v>
      </c>
      <c r="I347" s="106" t="str">
        <f>B10_Assessment!$G$67</f>
        <v>Life-safety acceptance risk</v>
      </c>
      <c r="J347" s="106">
        <f>B10_Assessment!$H$67</f>
        <v>0</v>
      </c>
      <c r="K347" s="106">
        <f>B10_Assessment!$I$67</f>
        <v>0</v>
      </c>
      <c r="L347" s="106">
        <f>B10_Assessment!$J$67</f>
        <v>0</v>
      </c>
    </row>
    <row r="348" spans="1:12" ht="40.65" customHeight="1">
      <c r="A348" s="106" t="str">
        <f>B10_Assessment!$B$2</f>
        <v>10</v>
      </c>
      <c r="B348" s="106" t="str">
        <f t="shared" ref="B348:B354" si="37">"B10_Assessment"</f>
        <v>B10_Assessment</v>
      </c>
      <c r="C348" s="106" t="str">
        <f>B10_Assessment!$A$68</f>
        <v>B10-Q6</v>
      </c>
      <c r="D348" s="142" t="str">
        <f>B10_Assessment!$B$68</f>
        <v>Are B10-TR200AA/AB, B10-MDP, B10-L10-E and ATS-B10-LSD source circuits/load measurements approved?</v>
      </c>
      <c r="E348" s="142" t="str">
        <f>B10_Assessment!$C$68</f>
        <v>Electrical / Designer</v>
      </c>
      <c r="F348" s="106" t="str">
        <f>B10_Assessment!$D$68</f>
        <v>Closed</v>
      </c>
      <c r="G348" s="106">
        <f>B10_Assessment!$E$68</f>
        <v>0</v>
      </c>
      <c r="H348" s="106">
        <f>B10_Assessment!$F$68</f>
        <v>0</v>
      </c>
      <c r="I348" s="106" t="str">
        <f>B10_Assessment!$G$68</f>
        <v>Electrical readiness unknown</v>
      </c>
      <c r="J348" s="106">
        <f>B10_Assessment!$H$68</f>
        <v>0</v>
      </c>
      <c r="K348" s="106">
        <f>B10_Assessment!$I$68</f>
        <v>0</v>
      </c>
      <c r="L348" s="106">
        <f>B10_Assessment!$J$68</f>
        <v>0</v>
      </c>
    </row>
    <row r="349" spans="1:12" ht="34.950000000000003" customHeight="1">
      <c r="A349" s="106" t="str">
        <f>B10_Assessment!$B$2</f>
        <v>10</v>
      </c>
      <c r="B349" s="106" t="str">
        <f t="shared" si="37"/>
        <v>B10_Assessment</v>
      </c>
      <c r="C349" s="106" t="str">
        <f>B10_Assessment!$A$69</f>
        <v>B10-Q7</v>
      </c>
      <c r="D349" s="142" t="str">
        <f>B10_Assessment!$B$69</f>
        <v>Are all attic wall/floor/ceiling penetrations, sleeves and firestopping details identified?</v>
      </c>
      <c r="E349" s="142" t="str">
        <f>B10_Assessment!$C$69</f>
        <v>GC / Firestop</v>
      </c>
      <c r="F349" s="106" t="str">
        <f>B10_Assessment!$D$69</f>
        <v>Closed</v>
      </c>
      <c r="G349" s="106">
        <f>B10_Assessment!$E$69</f>
        <v>0</v>
      </c>
      <c r="H349" s="106">
        <f>B10_Assessment!$F$69</f>
        <v>0</v>
      </c>
      <c r="I349" s="106" t="str">
        <f>B10_Assessment!$G$69</f>
        <v>Fire/smoke spread risk</v>
      </c>
      <c r="J349" s="106">
        <f>B10_Assessment!$H$69</f>
        <v>0</v>
      </c>
      <c r="K349" s="106">
        <f>B10_Assessment!$I$69</f>
        <v>0</v>
      </c>
      <c r="L349" s="106">
        <f>B10_Assessment!$J$69</f>
        <v>0</v>
      </c>
    </row>
    <row r="350" spans="1:12" ht="34.950000000000003" customHeight="1">
      <c r="A350" s="106" t="str">
        <f>B10_Assessment!$B$2</f>
        <v>10</v>
      </c>
      <c r="B350" s="106" t="str">
        <f t="shared" si="37"/>
        <v>B10_Assessment</v>
      </c>
      <c r="C350" s="106" t="str">
        <f>B10_Assessment!$A$70</f>
        <v>B10-Q8</v>
      </c>
      <c r="D350" s="142" t="str">
        <f>B10_Assessment!$B$70</f>
        <v>Which third-party inspections and commissioning forms are required before VA acceptance?</v>
      </c>
      <c r="E350" s="142" t="str">
        <f>B10_Assessment!$C$70</f>
        <v>GC / Cx Manager</v>
      </c>
      <c r="F350" s="106" t="str">
        <f>B10_Assessment!$D$70</f>
        <v>Closed</v>
      </c>
      <c r="G350" s="106">
        <f>B10_Assessment!$E$70</f>
        <v>0</v>
      </c>
      <c r="H350" s="106">
        <f>B10_Assessment!$F$70</f>
        <v>0</v>
      </c>
      <c r="I350" s="106" t="str">
        <f>B10_Assessment!$G$70</f>
        <v>Turnover package gap</v>
      </c>
      <c r="J350" s="106">
        <f>B10_Assessment!$H$70</f>
        <v>0</v>
      </c>
      <c r="K350" s="106">
        <f>B10_Assessment!$I$70</f>
        <v>0</v>
      </c>
      <c r="L350" s="106">
        <f>B10_Assessment!$J$70</f>
        <v>0</v>
      </c>
    </row>
    <row r="351" spans="1:12" ht="46.35" customHeight="1">
      <c r="A351" s="106" t="str">
        <f>B12_Assessment!$B$2</f>
        <v>12</v>
      </c>
      <c r="B351" s="106" t="str">
        <f t="shared" si="37"/>
        <v>B10_Assessment</v>
      </c>
      <c r="C351" s="106" t="str">
        <f>B12_Assessment!$A$54</f>
        <v>B12-Q1</v>
      </c>
      <c r="D351" s="142" t="str">
        <f>B12_Assessment!$B$54</f>
        <v>Confirm Building 12 scope is fiber-only with no new TR, no new rack, no new electrical, HVAC, fire protection, PACS or CCTV work?</v>
      </c>
      <c r="E351" s="142" t="str">
        <f>B12_Assessment!$C$54</f>
        <v>VA / OIT / Designer</v>
      </c>
      <c r="F351" s="106" t="str">
        <f>B12_Assessment!$D$54</f>
        <v>Closed</v>
      </c>
      <c r="G351" s="106">
        <f>B12_Assessment!$E$54</f>
        <v>0</v>
      </c>
      <c r="H351" s="106">
        <f>B12_Assessment!$F$54</f>
        <v>0</v>
      </c>
      <c r="I351" s="106" t="str">
        <f>B12_Assessment!$G$54</f>
        <v>Scope misunderstanding</v>
      </c>
      <c r="J351" s="106">
        <f>B12_Assessment!$H$54</f>
        <v>0</v>
      </c>
      <c r="K351" s="106">
        <f>B12_Assessment!$I$54</f>
        <v>0</v>
      </c>
      <c r="L351" s="106">
        <f>B12_Assessment!$J$54</f>
        <v>0</v>
      </c>
    </row>
    <row r="352" spans="1:12" ht="34.950000000000003" customHeight="1">
      <c r="A352" s="106" t="str">
        <f>B12_Assessment!$B$2</f>
        <v>12</v>
      </c>
      <c r="B352" s="106" t="str">
        <f t="shared" si="37"/>
        <v>B10_Assessment</v>
      </c>
      <c r="C352" s="106" t="str">
        <f>B12_Assessment!$A$55</f>
        <v>B12-Q2</v>
      </c>
      <c r="D352" s="142" t="str">
        <f>B12_Assessment!$B$55</f>
        <v>What exact pathway does the Building 12 fiber take through basement, first and second levels?</v>
      </c>
      <c r="E352" s="142" t="str">
        <f>B12_Assessment!$C$55</f>
        <v>Telecom Contractor / OIT</v>
      </c>
      <c r="F352" s="106" t="str">
        <f>B12_Assessment!$D$55</f>
        <v>Closed</v>
      </c>
      <c r="G352" s="106">
        <f>B12_Assessment!$E$55</f>
        <v>0</v>
      </c>
      <c r="H352" s="106">
        <f>B12_Assessment!$F$55</f>
        <v>0</v>
      </c>
      <c r="I352" s="106" t="str">
        <f>B12_Assessment!$G$55</f>
        <v>Fiber pull and access risk</v>
      </c>
      <c r="J352" s="106">
        <f>B12_Assessment!$H$55</f>
        <v>0</v>
      </c>
      <c r="K352" s="106">
        <f>B12_Assessment!$I$55</f>
        <v>0</v>
      </c>
      <c r="L352" s="106">
        <f>B12_Assessment!$J$55</f>
        <v>0</v>
      </c>
    </row>
    <row r="353" spans="1:12" ht="34.950000000000003" customHeight="1">
      <c r="A353" s="106" t="str">
        <f>B12_Assessment!$B$2</f>
        <v>12</v>
      </c>
      <c r="B353" s="106" t="str">
        <f t="shared" si="37"/>
        <v>B10_Assessment</v>
      </c>
      <c r="C353" s="106" t="str">
        <f>B12_Assessment!$A$56</f>
        <v>B12-Q3</v>
      </c>
      <c r="D353" s="142" t="str">
        <f>B12_Assessment!$B$56</f>
        <v>Where does the Building 12 fiber terminate, and is the existing rack/demarc/closet to be touched?</v>
      </c>
      <c r="E353" s="142" t="str">
        <f>B12_Assessment!$C$56</f>
        <v>OIT / Contractor</v>
      </c>
      <c r="F353" s="106" t="str">
        <f>B12_Assessment!$D$56</f>
        <v>Closed</v>
      </c>
      <c r="G353" s="106">
        <f>B12_Assessment!$E$56</f>
        <v>0</v>
      </c>
      <c r="H353" s="106">
        <f>B12_Assessment!$F$56</f>
        <v>0</v>
      </c>
      <c r="I353" s="106" t="str">
        <f>B12_Assessment!$G$56</f>
        <v>Termination and ownership unclear</v>
      </c>
      <c r="J353" s="106">
        <f>B12_Assessment!$H$56</f>
        <v>0</v>
      </c>
      <c r="K353" s="106">
        <f>B12_Assessment!$I$56</f>
        <v>0</v>
      </c>
      <c r="L353" s="106">
        <f>B12_Assessment!$J$56</f>
        <v>0</v>
      </c>
    </row>
    <row r="354" spans="1:12" ht="29.1" customHeight="1">
      <c r="A354" s="106" t="str">
        <f>B12_Assessment!$B$2</f>
        <v>12</v>
      </c>
      <c r="B354" s="106" t="str">
        <f t="shared" si="37"/>
        <v>B10_Assessment</v>
      </c>
      <c r="C354" s="106" t="str">
        <f>B12_Assessment!$A$57</f>
        <v>B12-Q4</v>
      </c>
      <c r="D354" s="142" t="str">
        <f>B12_Assessment!$B$57</f>
        <v>Are existing conduits/cable trays available and below fill limits for the new fiber?</v>
      </c>
      <c r="E354" s="142" t="str">
        <f>B12_Assessment!$C$57</f>
        <v>Telecom Contractor</v>
      </c>
      <c r="F354" s="106" t="str">
        <f>B12_Assessment!$D$57</f>
        <v>Closed</v>
      </c>
      <c r="G354" s="106">
        <f>B12_Assessment!$E$57</f>
        <v>0</v>
      </c>
      <c r="H354" s="106">
        <f>B12_Assessment!$F$57</f>
        <v>0</v>
      </c>
      <c r="I354" s="106" t="str">
        <f>B12_Assessment!$G$57</f>
        <v>Pathway capacity risk</v>
      </c>
      <c r="J354" s="106">
        <f>B12_Assessment!$H$57</f>
        <v>0</v>
      </c>
      <c r="K354" s="106">
        <f>B12_Assessment!$I$57</f>
        <v>0</v>
      </c>
      <c r="L354" s="106">
        <f>B12_Assessment!$J$57</f>
        <v>0</v>
      </c>
    </row>
    <row r="355" spans="1:12" ht="34.950000000000003" customHeight="1">
      <c r="A355" s="106" t="str">
        <f>B12_Assessment!$B$2</f>
        <v>12</v>
      </c>
      <c r="B355" s="106" t="str">
        <f t="shared" ref="B355:B362" si="38">"B12_Assessment"</f>
        <v>B12_Assessment</v>
      </c>
      <c r="C355" s="106" t="str">
        <f>B12_Assessment!$A$58</f>
        <v>B12-Q5</v>
      </c>
      <c r="D355" s="142" t="str">
        <f>B12_Assessment!$B$58</f>
        <v>Are there any floor/rated wall penetrations requiring firestop or temporary firestop during cable pull?</v>
      </c>
      <c r="E355" s="142" t="str">
        <f>B12_Assessment!$C$58</f>
        <v>GC / Firestop</v>
      </c>
      <c r="F355" s="106" t="str">
        <f>B12_Assessment!$D$58</f>
        <v>Closed</v>
      </c>
      <c r="G355" s="106">
        <f>B12_Assessment!$E$58</f>
        <v>0</v>
      </c>
      <c r="H355" s="106">
        <f>B12_Assessment!$F$58</f>
        <v>0</v>
      </c>
      <c r="I355" s="106" t="str">
        <f>B12_Assessment!$G$58</f>
        <v>Life safety/firestop risk</v>
      </c>
      <c r="J355" s="106">
        <f>B12_Assessment!$H$58</f>
        <v>0</v>
      </c>
      <c r="K355" s="106">
        <f>B12_Assessment!$I$58</f>
        <v>0</v>
      </c>
      <c r="L355" s="106">
        <f>B12_Assessment!$J$58</f>
        <v>0</v>
      </c>
    </row>
    <row r="356" spans="1:12" ht="34.950000000000003" customHeight="1">
      <c r="A356" s="106" t="str">
        <f>B12_Assessment!$B$2</f>
        <v>12</v>
      </c>
      <c r="B356" s="106" t="str">
        <f t="shared" si="38"/>
        <v>B12_Assessment</v>
      </c>
      <c r="C356" s="106" t="str">
        <f>B12_Assessment!$A$59</f>
        <v>B12-Q6</v>
      </c>
      <c r="D356" s="142" t="str">
        <f>B12_Assessment!$B$59</f>
        <v>What is the approved cutover/testing/acceptance sequence for Building 12 fiber?</v>
      </c>
      <c r="E356" s="142" t="str">
        <f>B12_Assessment!$C$59</f>
        <v>OIT / COR / Contractor</v>
      </c>
      <c r="F356" s="106" t="str">
        <f>B12_Assessment!$D$59</f>
        <v>Closed</v>
      </c>
      <c r="G356" s="106">
        <f>B12_Assessment!$E$59</f>
        <v>0</v>
      </c>
      <c r="H356" s="106">
        <f>B12_Assessment!$F$59</f>
        <v>0</v>
      </c>
      <c r="I356" s="106" t="str">
        <f>B12_Assessment!$G$59</f>
        <v>Possible outage or acceptance delay</v>
      </c>
      <c r="J356" s="106">
        <f>B12_Assessment!$H$59</f>
        <v>0</v>
      </c>
      <c r="K356" s="106">
        <f>B12_Assessment!$I$59</f>
        <v>0</v>
      </c>
      <c r="L356" s="106">
        <f>B12_Assessment!$J$59</f>
        <v>0</v>
      </c>
    </row>
    <row r="357" spans="1:12" ht="40.65" customHeight="1">
      <c r="A357" s="106" t="str">
        <f>B12_Assessment!$B$2</f>
        <v>12</v>
      </c>
      <c r="B357" s="106" t="str">
        <f t="shared" si="38"/>
        <v>B12_Assessment</v>
      </c>
      <c r="C357" s="106" t="str">
        <f>B12_Assessment!$A$60</f>
        <v>B12-Q7</v>
      </c>
      <c r="D357" s="142" t="str">
        <f>B12_Assessment!$B$60</f>
        <v>Which fiber test reports, labels, route documentation and as-builts are required for closeout?</v>
      </c>
      <c r="E357" s="142" t="str">
        <f>B12_Assessment!$C$60</f>
        <v>Telecom / GCC</v>
      </c>
      <c r="F357" s="106" t="str">
        <f>B12_Assessment!$D$60</f>
        <v>Closed</v>
      </c>
      <c r="G357" s="106">
        <f>B12_Assessment!$E$60</f>
        <v>0</v>
      </c>
      <c r="H357" s="106">
        <f>B12_Assessment!$F$60</f>
        <v>0</v>
      </c>
      <c r="I357" s="106" t="str">
        <f>B12_Assessment!$G$60</f>
        <v>Closeout documentation gap</v>
      </c>
      <c r="J357" s="106">
        <f>B12_Assessment!$H$60</f>
        <v>0</v>
      </c>
      <c r="K357" s="106">
        <f>B12_Assessment!$I$60</f>
        <v>0</v>
      </c>
      <c r="L357" s="106">
        <f>B12_Assessment!$J$60</f>
        <v>0</v>
      </c>
    </row>
    <row r="358" spans="1:12" ht="29.1" customHeight="1">
      <c r="A358" s="106" t="str">
        <f>B13_Assessment!$B$2</f>
        <v>13</v>
      </c>
      <c r="B358" s="106" t="str">
        <f t="shared" si="38"/>
        <v>B12_Assessment</v>
      </c>
      <c r="C358" s="106" t="str">
        <f>B13_Assessment!$A$56</f>
        <v>B13-Q1</v>
      </c>
      <c r="D358" s="142" t="str">
        <f>B13_Assessment!$B$56</f>
        <v>Confirm final telecom scope: new Room 124 and existing Tel Room 222 transition only?</v>
      </c>
      <c r="E358" s="142" t="str">
        <f>B13_Assessment!$C$56</f>
        <v>VA / OIT / Designer</v>
      </c>
      <c r="F358" s="106" t="str">
        <f>B13_Assessment!$D$56</f>
        <v>Closed</v>
      </c>
      <c r="G358" s="106">
        <f>B13_Assessment!$E$56</f>
        <v>0</v>
      </c>
      <c r="H358" s="106">
        <f>B13_Assessment!$F$56</f>
        <v>0</v>
      </c>
      <c r="I358" s="106" t="str">
        <f>B13_Assessment!$G$56</f>
        <v>Room inventory could miss scope</v>
      </c>
      <c r="J358" s="106">
        <f>B13_Assessment!$H$56</f>
        <v>0</v>
      </c>
      <c r="K358" s="106">
        <f>B13_Assessment!$I$56</f>
        <v>0</v>
      </c>
      <c r="L358" s="106">
        <f>B13_Assessment!$J$56</f>
        <v>0</v>
      </c>
    </row>
    <row r="359" spans="1:12" ht="29.1" customHeight="1">
      <c r="A359" s="106" t="str">
        <f>B13_Assessment!$B$2</f>
        <v>13</v>
      </c>
      <c r="B359" s="106" t="str">
        <f t="shared" si="38"/>
        <v>B12_Assessment</v>
      </c>
      <c r="C359" s="106" t="str">
        <f>B13_Assessment!$A$57</f>
        <v>B13-Q2</v>
      </c>
      <c r="D359" s="142" t="str">
        <f>B13_Assessment!$B$57</f>
        <v>What active services are currently fed from existing Tel Room 222 equipment?</v>
      </c>
      <c r="E359" s="142" t="str">
        <f>B13_Assessment!$C$57</f>
        <v>OIT / Contractor</v>
      </c>
      <c r="F359" s="106" t="str">
        <f>B13_Assessment!$D$57</f>
        <v>Closed</v>
      </c>
      <c r="G359" s="106">
        <f>B13_Assessment!$E$57</f>
        <v>0</v>
      </c>
      <c r="H359" s="106">
        <f>B13_Assessment!$F$57</f>
        <v>0</v>
      </c>
      <c r="I359" s="106" t="str">
        <f>B13_Assessment!$G$57</f>
        <v>Potential communications/security outage</v>
      </c>
      <c r="J359" s="106">
        <f>B13_Assessment!$H$57</f>
        <v>0</v>
      </c>
      <c r="K359" s="106">
        <f>B13_Assessment!$I$57</f>
        <v>0</v>
      </c>
      <c r="L359" s="106">
        <f>B13_Assessment!$J$57</f>
        <v>0</v>
      </c>
    </row>
    <row r="360" spans="1:12" ht="29.1" customHeight="1">
      <c r="A360" s="106" t="str">
        <f>B13_Assessment!$B$2</f>
        <v>13</v>
      </c>
      <c r="B360" s="106" t="str">
        <f t="shared" si="38"/>
        <v>B12_Assessment</v>
      </c>
      <c r="C360" s="106" t="str">
        <f>B13_Assessment!$A$58</f>
        <v>B13-Q3</v>
      </c>
      <c r="D360" s="142" t="str">
        <f>B13_Assessment!$B$58</f>
        <v>What hazardous/abatement steps apply to first-level Room 124 work?</v>
      </c>
      <c r="E360" s="142" t="str">
        <f>B13_Assessment!$C$58</f>
        <v>GC / IH / COR</v>
      </c>
      <c r="F360" s="106" t="str">
        <f>B13_Assessment!$D$58</f>
        <v>Closed</v>
      </c>
      <c r="G360" s="106">
        <f>B13_Assessment!$E$58</f>
        <v>0</v>
      </c>
      <c r="H360" s="106">
        <f>B13_Assessment!$F$58</f>
        <v>0</v>
      </c>
      <c r="I360" s="106" t="str">
        <f>B13_Assessment!$G$58</f>
        <v>Work delay or exposure risk</v>
      </c>
      <c r="J360" s="106">
        <f>B13_Assessment!$H$58</f>
        <v>0</v>
      </c>
      <c r="K360" s="106">
        <f>B13_Assessment!$I$58</f>
        <v>0</v>
      </c>
      <c r="L360" s="106">
        <f>B13_Assessment!$J$58</f>
        <v>0</v>
      </c>
    </row>
    <row r="361" spans="1:12" ht="34.950000000000003" customHeight="1">
      <c r="A361" s="106" t="str">
        <f>B13_Assessment!$B$2</f>
        <v>13</v>
      </c>
      <c r="B361" s="106" t="str">
        <f t="shared" si="38"/>
        <v>B12_Assessment</v>
      </c>
      <c r="C361" s="106" t="str">
        <f>B13_Assessment!$A$59</f>
        <v>B13-Q4</v>
      </c>
      <c r="D361" s="142" t="str">
        <f>B13_Assessment!$B$59</f>
        <v>Is IU-1-01/CU-1-01 on emergency/backup power and dedicated to Room 124?</v>
      </c>
      <c r="E361" s="142" t="str">
        <f>B13_Assessment!$C$59</f>
        <v>Mechanical / Electrical / VA</v>
      </c>
      <c r="F361" s="106" t="str">
        <f>B13_Assessment!$D$59</f>
        <v>Closed</v>
      </c>
      <c r="G361" s="106">
        <f>B13_Assessment!$E$59</f>
        <v>0</v>
      </c>
      <c r="H361" s="106">
        <f>B13_Assessment!$F$59</f>
        <v>0</v>
      </c>
      <c r="I361" s="106" t="str">
        <f>B13_Assessment!$G$59</f>
        <v>Cooling continuity unclear</v>
      </c>
      <c r="J361" s="106">
        <f>B13_Assessment!$H$59</f>
        <v>0</v>
      </c>
      <c r="K361" s="106">
        <f>B13_Assessment!$I$59</f>
        <v>0</v>
      </c>
      <c r="L361" s="106">
        <f>B13_Assessment!$J$59</f>
        <v>0</v>
      </c>
    </row>
    <row r="362" spans="1:12" ht="29.1" customHeight="1">
      <c r="A362" s="106" t="str">
        <f>B13_Assessment!$B$2</f>
        <v>13</v>
      </c>
      <c r="B362" s="106" t="str">
        <f t="shared" si="38"/>
        <v>B12_Assessment</v>
      </c>
      <c r="C362" s="106" t="str">
        <f>B13_Assessment!$A$60</f>
        <v>B13-Q5</v>
      </c>
      <c r="D362" s="142" t="str">
        <f>B13_Assessment!$B$60</f>
        <v>Where is the clean-agent/CO2 extinguisher cabinet located within 75 ft of Room 124?</v>
      </c>
      <c r="E362" s="142" t="str">
        <f>B13_Assessment!$C$60</f>
        <v>GC / COR</v>
      </c>
      <c r="F362" s="106" t="str">
        <f>B13_Assessment!$D$60</f>
        <v>Closed</v>
      </c>
      <c r="G362" s="106">
        <f>B13_Assessment!$E$60</f>
        <v>0</v>
      </c>
      <c r="H362" s="106">
        <f>B13_Assessment!$F$60</f>
        <v>0</v>
      </c>
      <c r="I362" s="106" t="str">
        <f>B13_Assessment!$G$60</f>
        <v>Life-safety acceptance risk</v>
      </c>
      <c r="J362" s="106">
        <f>B13_Assessment!$H$60</f>
        <v>0</v>
      </c>
      <c r="K362" s="106">
        <f>B13_Assessment!$I$60</f>
        <v>0</v>
      </c>
      <c r="L362" s="106">
        <f>B13_Assessment!$J$60</f>
        <v>0</v>
      </c>
    </row>
    <row r="363" spans="1:12" ht="40.65" customHeight="1">
      <c r="A363" s="106" t="str">
        <f>B13_Assessment!$B$2</f>
        <v>13</v>
      </c>
      <c r="B363" s="106" t="str">
        <f t="shared" ref="B363:B370" si="39">"B13_Assessment"</f>
        <v>B13_Assessment</v>
      </c>
      <c r="C363" s="106" t="str">
        <f>B13_Assessment!$A$61</f>
        <v>B13-Q6</v>
      </c>
      <c r="D363" s="142" t="str">
        <f>B13_Assessment!$B$61</f>
        <v>Are B13-TR124AA/AB sources, rack receptacles, SPDs, circuit labels and load measurements approved?</v>
      </c>
      <c r="E363" s="142" t="str">
        <f>B13_Assessment!$C$61</f>
        <v>Electrical / Designer</v>
      </c>
      <c r="F363" s="106" t="str">
        <f>B13_Assessment!$D$61</f>
        <v>Closed</v>
      </c>
      <c r="G363" s="106">
        <f>B13_Assessment!$E$61</f>
        <v>0</v>
      </c>
      <c r="H363" s="106">
        <f>B13_Assessment!$F$61</f>
        <v>0</v>
      </c>
      <c r="I363" s="106" t="str">
        <f>B13_Assessment!$G$61</f>
        <v>Electrical readiness unknown</v>
      </c>
      <c r="J363" s="106">
        <f>B13_Assessment!$H$61</f>
        <v>0</v>
      </c>
      <c r="K363" s="106">
        <f>B13_Assessment!$I$61</f>
        <v>0</v>
      </c>
      <c r="L363" s="106">
        <f>B13_Assessment!$J$61</f>
        <v>0</v>
      </c>
    </row>
    <row r="364" spans="1:12" ht="40.65" customHeight="1">
      <c r="A364" s="106" t="str">
        <f>B13_Assessment!$B$2</f>
        <v>13</v>
      </c>
      <c r="B364" s="106" t="str">
        <f t="shared" si="39"/>
        <v>B13_Assessment</v>
      </c>
      <c r="C364" s="106" t="str">
        <f>B13_Assessment!$A$62</f>
        <v>B13-Q7</v>
      </c>
      <c r="D364" s="142" t="str">
        <f>B13_Assessment!$B$62</f>
        <v>Are all rated wall/floor penetrations, sleeves, cable tray entries and firestopping details identified?</v>
      </c>
      <c r="E364" s="142" t="str">
        <f>B13_Assessment!$C$62</f>
        <v>GC / Firestop</v>
      </c>
      <c r="F364" s="106" t="str">
        <f>B13_Assessment!$D$62</f>
        <v>Closed</v>
      </c>
      <c r="G364" s="106">
        <f>B13_Assessment!$E$62</f>
        <v>0</v>
      </c>
      <c r="H364" s="106">
        <f>B13_Assessment!$F$62</f>
        <v>0</v>
      </c>
      <c r="I364" s="106" t="str">
        <f>B13_Assessment!$G$62</f>
        <v>Fire/smoke spread risk</v>
      </c>
      <c r="J364" s="106">
        <f>B13_Assessment!$H$62</f>
        <v>0</v>
      </c>
      <c r="K364" s="106">
        <f>B13_Assessment!$I$62</f>
        <v>0</v>
      </c>
      <c r="L364" s="106">
        <f>B13_Assessment!$J$62</f>
        <v>0</v>
      </c>
    </row>
    <row r="365" spans="1:12" ht="34.950000000000003" customHeight="1">
      <c r="A365" s="106" t="str">
        <f>B13_Assessment!$B$2</f>
        <v>13</v>
      </c>
      <c r="B365" s="106" t="str">
        <f t="shared" si="39"/>
        <v>B13_Assessment</v>
      </c>
      <c r="C365" s="106" t="str">
        <f>B13_Assessment!$A$63</f>
        <v>B13-Q8</v>
      </c>
      <c r="D365" s="142" t="str">
        <f>B13_Assessment!$B$63</f>
        <v>Which third-party inspections and commissioning forms are required before VA acceptance?</v>
      </c>
      <c r="E365" s="142" t="str">
        <f>B13_Assessment!$C$63</f>
        <v>GC / Cx Manager</v>
      </c>
      <c r="F365" s="106" t="str">
        <f>B13_Assessment!$D$63</f>
        <v>Closed</v>
      </c>
      <c r="G365" s="106">
        <f>B13_Assessment!$E$63</f>
        <v>0</v>
      </c>
      <c r="H365" s="106">
        <f>B13_Assessment!$F$63</f>
        <v>0</v>
      </c>
      <c r="I365" s="106" t="str">
        <f>B13_Assessment!$G$63</f>
        <v>Turnover package gap</v>
      </c>
      <c r="J365" s="106">
        <f>B13_Assessment!$H$63</f>
        <v>0</v>
      </c>
      <c r="K365" s="106">
        <f>B13_Assessment!$I$63</f>
        <v>0</v>
      </c>
      <c r="L365" s="106">
        <f>B13_Assessment!$J$63</f>
        <v>0</v>
      </c>
    </row>
    <row r="366" spans="1:12" ht="34.950000000000003" customHeight="1">
      <c r="A366" s="106" t="str">
        <f>B14_Assessment!$B$2</f>
        <v>14</v>
      </c>
      <c r="B366" s="106" t="str">
        <f t="shared" si="39"/>
        <v>B13_Assessment</v>
      </c>
      <c r="C366" s="106" t="str">
        <f>B14_Assessment!$A$63</f>
        <v>B14-Q1</v>
      </c>
      <c r="D366" s="142" t="str">
        <f>B14_Assessment!$B$63</f>
        <v>Confirm final telecom scope: new Room 119 and existing basement B.01/B2 transition only?</v>
      </c>
      <c r="E366" s="142" t="str">
        <f>B14_Assessment!$C$63</f>
        <v>VA / OIT / Designer</v>
      </c>
      <c r="F366" s="106" t="str">
        <f>B14_Assessment!$D$63</f>
        <v>Closed</v>
      </c>
      <c r="G366" s="106">
        <f>B14_Assessment!$E$63</f>
        <v>0</v>
      </c>
      <c r="H366" s="106">
        <f>B14_Assessment!$F$63</f>
        <v>0</v>
      </c>
      <c r="I366" s="106" t="str">
        <f>B14_Assessment!$G$63</f>
        <v>Room inventory could miss scope</v>
      </c>
      <c r="J366" s="106">
        <f>B14_Assessment!$H$63</f>
        <v>0</v>
      </c>
      <c r="K366" s="106">
        <f>B14_Assessment!$I$63</f>
        <v>0</v>
      </c>
      <c r="L366" s="106">
        <f>B14_Assessment!$J$63</f>
        <v>0</v>
      </c>
    </row>
    <row r="367" spans="1:12" ht="29.1" customHeight="1">
      <c r="A367" s="106" t="str">
        <f>B14_Assessment!$B$2</f>
        <v>14</v>
      </c>
      <c r="B367" s="106" t="str">
        <f t="shared" si="39"/>
        <v>B13_Assessment</v>
      </c>
      <c r="C367" s="106" t="str">
        <f>B14_Assessment!$A$64</f>
        <v>B14-Q2</v>
      </c>
      <c r="D367" s="142" t="str">
        <f>B14_Assessment!$B$64</f>
        <v>What active services are currently fed from existing B.01/B2 equipment?</v>
      </c>
      <c r="E367" s="142" t="str">
        <f>B14_Assessment!$C$64</f>
        <v>OIT / Contractor</v>
      </c>
      <c r="F367" s="106" t="str">
        <f>B14_Assessment!$D$64</f>
        <v>Closed</v>
      </c>
      <c r="G367" s="106">
        <f>B14_Assessment!$E$64</f>
        <v>0</v>
      </c>
      <c r="H367" s="106">
        <f>B14_Assessment!$F$64</f>
        <v>0</v>
      </c>
      <c r="I367" s="106" t="str">
        <f>B14_Assessment!$G$64</f>
        <v>Potential communications/security outage</v>
      </c>
      <c r="J367" s="106">
        <f>B14_Assessment!$H$64</f>
        <v>0</v>
      </c>
      <c r="K367" s="106">
        <f>B14_Assessment!$I$64</f>
        <v>0</v>
      </c>
      <c r="L367" s="106">
        <f>B14_Assessment!$J$64</f>
        <v>0</v>
      </c>
    </row>
    <row r="368" spans="1:12" ht="29.1" customHeight="1">
      <c r="A368" s="106" t="str">
        <f>B14_Assessment!$B$2</f>
        <v>14</v>
      </c>
      <c r="B368" s="106" t="str">
        <f t="shared" si="39"/>
        <v>B13_Assessment</v>
      </c>
      <c r="C368" s="106" t="str">
        <f>B14_Assessment!$A$65</f>
        <v>B14-Q3</v>
      </c>
      <c r="D368" s="142" t="str">
        <f>B14_Assessment!$B$65</f>
        <v>What hazardous/abatement steps apply to first-level Room 119 work?</v>
      </c>
      <c r="E368" s="142" t="str">
        <f>B14_Assessment!$C$65</f>
        <v>GC / IH / COR</v>
      </c>
      <c r="F368" s="106" t="str">
        <f>B14_Assessment!$D$65</f>
        <v>Closed</v>
      </c>
      <c r="G368" s="106">
        <f>B14_Assessment!$E$65</f>
        <v>0</v>
      </c>
      <c r="H368" s="106">
        <f>B14_Assessment!$F$65</f>
        <v>0</v>
      </c>
      <c r="I368" s="106" t="str">
        <f>B14_Assessment!$G$65</f>
        <v>Work delay or exposure risk</v>
      </c>
      <c r="J368" s="106">
        <f>B14_Assessment!$H$65</f>
        <v>0</v>
      </c>
      <c r="K368" s="106">
        <f>B14_Assessment!$I$65</f>
        <v>0</v>
      </c>
      <c r="L368" s="106">
        <f>B14_Assessment!$J$65</f>
        <v>0</v>
      </c>
    </row>
    <row r="369" spans="1:12" ht="34.950000000000003" customHeight="1">
      <c r="A369" s="106" t="str">
        <f>B14_Assessment!$B$2</f>
        <v>14</v>
      </c>
      <c r="B369" s="106" t="str">
        <f t="shared" si="39"/>
        <v>B13_Assessment</v>
      </c>
      <c r="C369" s="106" t="str">
        <f>B14_Assessment!$A$66</f>
        <v>B14-Q4</v>
      </c>
      <c r="D369" s="142" t="str">
        <f>B14_Assessment!$B$66</f>
        <v>Is IU-1-01/CU-1-01 on emergency/backup power and dedicated to Room 119?</v>
      </c>
      <c r="E369" s="142" t="str">
        <f>B14_Assessment!$C$66</f>
        <v>Mechanical / Electrical / VA</v>
      </c>
      <c r="F369" s="106" t="str">
        <f>B14_Assessment!$D$66</f>
        <v>Closed</v>
      </c>
      <c r="G369" s="106">
        <f>B14_Assessment!$E$66</f>
        <v>0</v>
      </c>
      <c r="H369" s="106">
        <f>B14_Assessment!$F$66</f>
        <v>0</v>
      </c>
      <c r="I369" s="106" t="str">
        <f>B14_Assessment!$G$66</f>
        <v>Cooling continuity unclear</v>
      </c>
      <c r="J369" s="106">
        <f>B14_Assessment!$H$66</f>
        <v>0</v>
      </c>
      <c r="K369" s="106">
        <f>B14_Assessment!$I$66</f>
        <v>0</v>
      </c>
      <c r="L369" s="106">
        <f>B14_Assessment!$J$66</f>
        <v>0</v>
      </c>
    </row>
    <row r="370" spans="1:12" ht="29.1" customHeight="1">
      <c r="A370" s="106" t="str">
        <f>B14_Assessment!$B$2</f>
        <v>14</v>
      </c>
      <c r="B370" s="106" t="str">
        <f t="shared" si="39"/>
        <v>B13_Assessment</v>
      </c>
      <c r="C370" s="106" t="str">
        <f>B14_Assessment!$A$67</f>
        <v>B14-Q5</v>
      </c>
      <c r="D370" s="142" t="str">
        <f>B14_Assessment!$B$67</f>
        <v>Where is the clean-agent/CO2 extinguisher cabinet located within 75 ft of Room 119?</v>
      </c>
      <c r="E370" s="142" t="str">
        <f>B14_Assessment!$C$67</f>
        <v>GC / COR</v>
      </c>
      <c r="F370" s="106" t="str">
        <f>B14_Assessment!$D$67</f>
        <v>Closed</v>
      </c>
      <c r="G370" s="106">
        <f>B14_Assessment!$E$67</f>
        <v>0</v>
      </c>
      <c r="H370" s="106">
        <f>B14_Assessment!$F$67</f>
        <v>0</v>
      </c>
      <c r="I370" s="106" t="str">
        <f>B14_Assessment!$G$67</f>
        <v>Life-safety acceptance risk</v>
      </c>
      <c r="J370" s="106">
        <f>B14_Assessment!$H$67</f>
        <v>0</v>
      </c>
      <c r="K370" s="106">
        <f>B14_Assessment!$I$67</f>
        <v>0</v>
      </c>
      <c r="L370" s="106">
        <f>B14_Assessment!$J$67</f>
        <v>0</v>
      </c>
    </row>
    <row r="371" spans="1:12" ht="34.950000000000003" customHeight="1">
      <c r="A371" s="106" t="str">
        <f>B14_Assessment!$B$2</f>
        <v>14</v>
      </c>
      <c r="B371" s="106" t="str">
        <f t="shared" ref="B371:B378" si="40">"B14_Assessment"</f>
        <v>B14_Assessment</v>
      </c>
      <c r="C371" s="106" t="str">
        <f>B14_Assessment!$A$68</f>
        <v>B14-Q6</v>
      </c>
      <c r="D371" s="142" t="str">
        <f>B14_Assessment!$B$68</f>
        <v>Are B14-TR119A/B sources, rack receptacles, SPDs, circuit labels and load measurements approved?</v>
      </c>
      <c r="E371" s="142" t="str">
        <f>B14_Assessment!$C$68</f>
        <v>Electrical / Designer</v>
      </c>
      <c r="F371" s="106" t="str">
        <f>B14_Assessment!$D$68</f>
        <v>Closed</v>
      </c>
      <c r="G371" s="106">
        <f>B14_Assessment!$E$68</f>
        <v>0</v>
      </c>
      <c r="H371" s="106">
        <f>B14_Assessment!$F$68</f>
        <v>0</v>
      </c>
      <c r="I371" s="106" t="str">
        <f>B14_Assessment!$G$68</f>
        <v>Electrical readiness unknown</v>
      </c>
      <c r="J371" s="106">
        <f>B14_Assessment!$H$68</f>
        <v>0</v>
      </c>
      <c r="K371" s="106">
        <f>B14_Assessment!$I$68</f>
        <v>0</v>
      </c>
      <c r="L371" s="106">
        <f>B14_Assessment!$J$68</f>
        <v>0</v>
      </c>
    </row>
    <row r="372" spans="1:12" ht="40.65" customHeight="1">
      <c r="A372" s="106" t="str">
        <f>B14_Assessment!$B$2</f>
        <v>14</v>
      </c>
      <c r="B372" s="106" t="str">
        <f t="shared" si="40"/>
        <v>B14_Assessment</v>
      </c>
      <c r="C372" s="106" t="str">
        <f>B14_Assessment!$A$69</f>
        <v>B14-Q7</v>
      </c>
      <c r="D372" s="142" t="str">
        <f>B14_Assessment!$B$69</f>
        <v>Are all rated wall/floor penetrations, sleeves, cable tray entries and firestopping details identified?</v>
      </c>
      <c r="E372" s="142" t="str">
        <f>B14_Assessment!$C$69</f>
        <v>GC / Firestop</v>
      </c>
      <c r="F372" s="106" t="str">
        <f>B14_Assessment!$D$69</f>
        <v>Closed</v>
      </c>
      <c r="G372" s="106">
        <f>B14_Assessment!$E$69</f>
        <v>0</v>
      </c>
      <c r="H372" s="106">
        <f>B14_Assessment!$F$69</f>
        <v>0</v>
      </c>
      <c r="I372" s="106" t="str">
        <f>B14_Assessment!$G$69</f>
        <v>Fire/smoke spread risk</v>
      </c>
      <c r="J372" s="106">
        <f>B14_Assessment!$H$69</f>
        <v>0</v>
      </c>
      <c r="K372" s="106">
        <f>B14_Assessment!$I$69</f>
        <v>0</v>
      </c>
      <c r="L372" s="106">
        <f>B14_Assessment!$J$69</f>
        <v>0</v>
      </c>
    </row>
    <row r="373" spans="1:12" ht="34.950000000000003" customHeight="1">
      <c r="A373" s="106" t="str">
        <f>B14_Assessment!$B$2</f>
        <v>14</v>
      </c>
      <c r="B373" s="106" t="str">
        <f t="shared" si="40"/>
        <v>B14_Assessment</v>
      </c>
      <c r="C373" s="106" t="str">
        <f>B14_Assessment!$A$70</f>
        <v>B14-Q8</v>
      </c>
      <c r="D373" s="142" t="str">
        <f>B14_Assessment!$B$70</f>
        <v>Which third-party inspections and commissioning forms are required before VA acceptance?</v>
      </c>
      <c r="E373" s="142" t="str">
        <f>B14_Assessment!$C$70</f>
        <v>GC / Cx Manager</v>
      </c>
      <c r="F373" s="106" t="str">
        <f>B14_Assessment!$D$70</f>
        <v>Closed</v>
      </c>
      <c r="G373" s="106">
        <f>B14_Assessment!$E$70</f>
        <v>0</v>
      </c>
      <c r="H373" s="106">
        <f>B14_Assessment!$F$70</f>
        <v>0</v>
      </c>
      <c r="I373" s="106" t="str">
        <f>B14_Assessment!$G$70</f>
        <v>Turnover package gap</v>
      </c>
      <c r="J373" s="106">
        <f>B14_Assessment!$H$70</f>
        <v>0</v>
      </c>
      <c r="K373" s="106">
        <f>B14_Assessment!$I$70</f>
        <v>0</v>
      </c>
      <c r="L373" s="106">
        <f>B14_Assessment!$J$70</f>
        <v>0</v>
      </c>
    </row>
    <row r="374" spans="1:12" ht="34.950000000000003" customHeight="1">
      <c r="A374" s="106" t="str">
        <f>B15_Assessment!$B$2</f>
        <v>15</v>
      </c>
      <c r="B374" s="106" t="str">
        <f t="shared" si="40"/>
        <v>B14_Assessment</v>
      </c>
      <c r="C374" s="106" t="str">
        <f>B15_Assessment!$A$63</f>
        <v>B15-Q1</v>
      </c>
      <c r="D374" s="142" t="str">
        <f>B15_Assessment!$B$63</f>
        <v>Confirm final telecom scope: new Room 124A and existing Rooms 222/B01 transition only?</v>
      </c>
      <c r="E374" s="142" t="str">
        <f>B15_Assessment!$C$63</f>
        <v>VA / OIT / Designer</v>
      </c>
      <c r="F374" s="106" t="str">
        <f>B15_Assessment!$D$63</f>
        <v>Closed</v>
      </c>
      <c r="G374" s="106">
        <f>B15_Assessment!$E$63</f>
        <v>0</v>
      </c>
      <c r="H374" s="106">
        <f>B15_Assessment!$F$63</f>
        <v>0</v>
      </c>
      <c r="I374" s="106" t="str">
        <f>B15_Assessment!$G$63</f>
        <v>Room inventory could miss scope</v>
      </c>
      <c r="J374" s="106">
        <f>B15_Assessment!$H$63</f>
        <v>0</v>
      </c>
      <c r="K374" s="106">
        <f>B15_Assessment!$I$63</f>
        <v>0</v>
      </c>
      <c r="L374" s="106">
        <f>B15_Assessment!$J$63</f>
        <v>0</v>
      </c>
    </row>
    <row r="375" spans="1:12" ht="34.950000000000003" customHeight="1">
      <c r="A375" s="106" t="str">
        <f>B15_Assessment!$B$2</f>
        <v>15</v>
      </c>
      <c r="B375" s="106" t="str">
        <f t="shared" si="40"/>
        <v>B14_Assessment</v>
      </c>
      <c r="C375" s="106" t="str">
        <f>B15_Assessment!$A$64</f>
        <v>B15-Q2</v>
      </c>
      <c r="D375" s="142" t="str">
        <f>B15_Assessment!$B$64</f>
        <v>Why does 15T-701 reference RM 109A while plans and electrical schedules identify Telecom Room 124A?</v>
      </c>
      <c r="E375" s="142" t="str">
        <f>B15_Assessment!$C$64</f>
        <v>VA / Designer / OIT</v>
      </c>
      <c r="F375" s="106" t="str">
        <f>B15_Assessment!$D$64</f>
        <v>Closed</v>
      </c>
      <c r="G375" s="106">
        <f>B15_Assessment!$E$64</f>
        <v>0</v>
      </c>
      <c r="H375" s="106">
        <f>B15_Assessment!$F$64</f>
        <v>0</v>
      </c>
      <c r="I375" s="106" t="str">
        <f>B15_Assessment!$G$64</f>
        <v>Room naming mismatch could affect PMIS tracking</v>
      </c>
      <c r="J375" s="106">
        <f>B15_Assessment!$H$64</f>
        <v>0</v>
      </c>
      <c r="K375" s="106">
        <f>B15_Assessment!$I$64</f>
        <v>0</v>
      </c>
      <c r="L375" s="106">
        <f>B15_Assessment!$J$64</f>
        <v>0</v>
      </c>
    </row>
    <row r="376" spans="1:12" ht="34.950000000000003" customHeight="1">
      <c r="A376" s="106" t="str">
        <f>B15_Assessment!$B$2</f>
        <v>15</v>
      </c>
      <c r="B376" s="106" t="str">
        <f t="shared" si="40"/>
        <v>B14_Assessment</v>
      </c>
      <c r="C376" s="106" t="str">
        <f>B15_Assessment!$A$65</f>
        <v>B15-Q3</v>
      </c>
      <c r="D376" s="142" t="str">
        <f>B15_Assessment!$B$65</f>
        <v>What active services are currently fed from existing Room 222 and B01 equipment?</v>
      </c>
      <c r="E376" s="142" t="str">
        <f>B15_Assessment!$C$65</f>
        <v>OIT / Contractor</v>
      </c>
      <c r="F376" s="106" t="str">
        <f>B15_Assessment!$D$65</f>
        <v>Closed</v>
      </c>
      <c r="G376" s="106">
        <f>B15_Assessment!$E$65</f>
        <v>0</v>
      </c>
      <c r="H376" s="106">
        <f>B15_Assessment!$F$65</f>
        <v>0</v>
      </c>
      <c r="I376" s="106" t="str">
        <f>B15_Assessment!$G$65</f>
        <v>Potential communications/security outage</v>
      </c>
      <c r="J376" s="106">
        <f>B15_Assessment!$H$65</f>
        <v>0</v>
      </c>
      <c r="K376" s="106">
        <f>B15_Assessment!$I$65</f>
        <v>0</v>
      </c>
      <c r="L376" s="106">
        <f>B15_Assessment!$J$65</f>
        <v>0</v>
      </c>
    </row>
    <row r="377" spans="1:12" ht="29.1" customHeight="1">
      <c r="A377" s="106" t="str">
        <f>B15_Assessment!$B$2</f>
        <v>15</v>
      </c>
      <c r="B377" s="106" t="str">
        <f t="shared" si="40"/>
        <v>B14_Assessment</v>
      </c>
      <c r="C377" s="106" t="str">
        <f>B15_Assessment!$A$66</f>
        <v>B15-Q4</v>
      </c>
      <c r="D377" s="142" t="str">
        <f>B15_Assessment!$B$66</f>
        <v>What hazardous/abatement steps apply to first-level Room 124A work?</v>
      </c>
      <c r="E377" s="142" t="str">
        <f>B15_Assessment!$C$66</f>
        <v>GC / IH / COR</v>
      </c>
      <c r="F377" s="106" t="str">
        <f>B15_Assessment!$D$66</f>
        <v>Closed</v>
      </c>
      <c r="G377" s="106">
        <f>B15_Assessment!$E$66</f>
        <v>0</v>
      </c>
      <c r="H377" s="106">
        <f>B15_Assessment!$F$66</f>
        <v>0</v>
      </c>
      <c r="I377" s="106" t="str">
        <f>B15_Assessment!$G$66</f>
        <v>Work delay or exposure risk</v>
      </c>
      <c r="J377" s="106">
        <f>B15_Assessment!$H$66</f>
        <v>0</v>
      </c>
      <c r="K377" s="106">
        <f>B15_Assessment!$I$66</f>
        <v>0</v>
      </c>
      <c r="L377" s="106">
        <f>B15_Assessment!$J$66</f>
        <v>0</v>
      </c>
    </row>
    <row r="378" spans="1:12" ht="34.950000000000003" customHeight="1">
      <c r="A378" s="106" t="str">
        <f>B15_Assessment!$B$2</f>
        <v>15</v>
      </c>
      <c r="B378" s="106" t="str">
        <f t="shared" si="40"/>
        <v>B14_Assessment</v>
      </c>
      <c r="C378" s="106" t="str">
        <f>B15_Assessment!$A$67</f>
        <v>B15-Q5</v>
      </c>
      <c r="D378" s="142" t="str">
        <f>B15_Assessment!$B$67</f>
        <v>Is IU-1-01/CU-1-01 on emergency/backup power and dedicated to Room 124A?</v>
      </c>
      <c r="E378" s="142" t="str">
        <f>B15_Assessment!$C$67</f>
        <v>Mechanical / Electrical / VA</v>
      </c>
      <c r="F378" s="106" t="str">
        <f>B15_Assessment!$D$67</f>
        <v>Closed</v>
      </c>
      <c r="G378" s="106">
        <f>B15_Assessment!$E$67</f>
        <v>0</v>
      </c>
      <c r="H378" s="106">
        <f>B15_Assessment!$F$67</f>
        <v>0</v>
      </c>
      <c r="I378" s="106" t="str">
        <f>B15_Assessment!$G$67</f>
        <v>Cooling continuity unclear</v>
      </c>
      <c r="J378" s="106">
        <f>B15_Assessment!$H$67</f>
        <v>0</v>
      </c>
      <c r="K378" s="106">
        <f>B15_Assessment!$I$67</f>
        <v>0</v>
      </c>
      <c r="L378" s="106">
        <f>B15_Assessment!$J$67</f>
        <v>0</v>
      </c>
    </row>
    <row r="379" spans="1:12" ht="29.1" customHeight="1">
      <c r="A379" s="106" t="str">
        <f>B15_Assessment!$B$2</f>
        <v>15</v>
      </c>
      <c r="B379" s="106" t="str">
        <f t="shared" ref="B379:B386" si="41">"B15_Assessment"</f>
        <v>B15_Assessment</v>
      </c>
      <c r="C379" s="106" t="str">
        <f>B15_Assessment!$A$68</f>
        <v>B15-Q6</v>
      </c>
      <c r="D379" s="142" t="str">
        <f>B15_Assessment!$B$68</f>
        <v>Where is the clean-agent/CO2 extinguisher cabinet located within 75 ft of Room 124A?</v>
      </c>
      <c r="E379" s="142" t="str">
        <f>B15_Assessment!$C$68</f>
        <v>GC / COR</v>
      </c>
      <c r="F379" s="106" t="str">
        <f>B15_Assessment!$D$68</f>
        <v>Closed</v>
      </c>
      <c r="G379" s="106">
        <f>B15_Assessment!$E$68</f>
        <v>0</v>
      </c>
      <c r="H379" s="106">
        <f>B15_Assessment!$F$68</f>
        <v>0</v>
      </c>
      <c r="I379" s="106" t="str">
        <f>B15_Assessment!$G$68</f>
        <v>Life-safety acceptance risk</v>
      </c>
      <c r="J379" s="106">
        <f>B15_Assessment!$H$68</f>
        <v>0</v>
      </c>
      <c r="K379" s="106">
        <f>B15_Assessment!$I$68</f>
        <v>0</v>
      </c>
      <c r="L379" s="106">
        <f>B15_Assessment!$J$68</f>
        <v>0</v>
      </c>
    </row>
    <row r="380" spans="1:12" ht="40.65" customHeight="1">
      <c r="A380" s="106" t="str">
        <f>B15_Assessment!$B$2</f>
        <v>15</v>
      </c>
      <c r="B380" s="106" t="str">
        <f t="shared" si="41"/>
        <v>B15_Assessment</v>
      </c>
      <c r="C380" s="106" t="str">
        <f>B15_Assessment!$A$69</f>
        <v>B15-Q7</v>
      </c>
      <c r="D380" s="142" t="str">
        <f>B15_Assessment!$B$69</f>
        <v>Are B15-TR124AA/AB sources, rack receptacles, SPDs, circuit labels and load measurements approved?</v>
      </c>
      <c r="E380" s="142" t="str">
        <f>B15_Assessment!$C$69</f>
        <v>Electrical / Designer</v>
      </c>
      <c r="F380" s="106" t="str">
        <f>B15_Assessment!$D$69</f>
        <v>Closed</v>
      </c>
      <c r="G380" s="106">
        <f>B15_Assessment!$E$69</f>
        <v>0</v>
      </c>
      <c r="H380" s="106">
        <f>B15_Assessment!$F$69</f>
        <v>0</v>
      </c>
      <c r="I380" s="106" t="str">
        <f>B15_Assessment!$G$69</f>
        <v>Electrical readiness unknown</v>
      </c>
      <c r="J380" s="106">
        <f>B15_Assessment!$H$69</f>
        <v>0</v>
      </c>
      <c r="K380" s="106">
        <f>B15_Assessment!$I$69</f>
        <v>0</v>
      </c>
      <c r="L380" s="106">
        <f>B15_Assessment!$J$69</f>
        <v>0</v>
      </c>
    </row>
    <row r="381" spans="1:12" ht="40.65" customHeight="1">
      <c r="A381" s="106" t="str">
        <f>B15_Assessment!$B$2</f>
        <v>15</v>
      </c>
      <c r="B381" s="106" t="str">
        <f t="shared" si="41"/>
        <v>B15_Assessment</v>
      </c>
      <c r="C381" s="106" t="str">
        <f>B15_Assessment!$A$70</f>
        <v>B15-Q8</v>
      </c>
      <c r="D381" s="142" t="str">
        <f>B15_Assessment!$B$70</f>
        <v>Are all rated wall/floor penetrations, sleeves, cable tray entries and firestopping details identified?</v>
      </c>
      <c r="E381" s="142" t="str">
        <f>B15_Assessment!$C$70</f>
        <v>GC / Firestop</v>
      </c>
      <c r="F381" s="106" t="str">
        <f>B15_Assessment!$D$70</f>
        <v>Closed</v>
      </c>
      <c r="G381" s="106">
        <f>B15_Assessment!$E$70</f>
        <v>0</v>
      </c>
      <c r="H381" s="106">
        <f>B15_Assessment!$F$70</f>
        <v>0</v>
      </c>
      <c r="I381" s="106" t="str">
        <f>B15_Assessment!$G$70</f>
        <v>Fire/smoke spread risk</v>
      </c>
      <c r="J381" s="106">
        <f>B15_Assessment!$H$70</f>
        <v>0</v>
      </c>
      <c r="K381" s="106">
        <f>B15_Assessment!$I$70</f>
        <v>0</v>
      </c>
      <c r="L381" s="106">
        <f>B15_Assessment!$J$70</f>
        <v>0</v>
      </c>
    </row>
    <row r="382" spans="1:12" ht="29.1" customHeight="1">
      <c r="A382" s="106" t="str">
        <f>B16_Assessment!$B$2</f>
        <v>16</v>
      </c>
      <c r="B382" s="106" t="str">
        <f t="shared" si="41"/>
        <v>B15_Assessment</v>
      </c>
      <c r="C382" s="106" t="str">
        <f>B16_Assessment!$A$56</f>
        <v>B16-Q1</v>
      </c>
      <c r="D382" s="142" t="str">
        <f>B16_Assessment!$B$56</f>
        <v>Confirm final telecom scope: new Room 015 and existing Room 014 transition only?</v>
      </c>
      <c r="E382" s="142" t="str">
        <f>B16_Assessment!$C$56</f>
        <v>VA / OIT / Designer</v>
      </c>
      <c r="F382" s="106" t="str">
        <f>B16_Assessment!$D$56</f>
        <v>Closed</v>
      </c>
      <c r="G382" s="106">
        <f>B16_Assessment!$E$56</f>
        <v>0</v>
      </c>
      <c r="H382" s="106">
        <f>B16_Assessment!$F$56</f>
        <v>0</v>
      </c>
      <c r="I382" s="106" t="str">
        <f>B16_Assessment!$G$56</f>
        <v>Room inventory could miss scope</v>
      </c>
      <c r="J382" s="106">
        <f>B16_Assessment!$H$56</f>
        <v>0</v>
      </c>
      <c r="K382" s="106">
        <f>B16_Assessment!$I$56</f>
        <v>0</v>
      </c>
      <c r="L382" s="106">
        <f>B16_Assessment!$J$56</f>
        <v>0</v>
      </c>
    </row>
    <row r="383" spans="1:12" ht="29.1" customHeight="1">
      <c r="A383" s="106" t="str">
        <f>B16_Assessment!$B$2</f>
        <v>16</v>
      </c>
      <c r="B383" s="106" t="str">
        <f t="shared" si="41"/>
        <v>B15_Assessment</v>
      </c>
      <c r="C383" s="106" t="str">
        <f>B16_Assessment!$A$57</f>
        <v>B16-Q2</v>
      </c>
      <c r="D383" s="142" t="str">
        <f>B16_Assessment!$B$57</f>
        <v>What active services are currently fed from existing Room 014 equipment?</v>
      </c>
      <c r="E383" s="142" t="str">
        <f>B16_Assessment!$C$57</f>
        <v>OIT / Contractor</v>
      </c>
      <c r="F383" s="106" t="str">
        <f>B16_Assessment!$D$57</f>
        <v>Closed</v>
      </c>
      <c r="G383" s="106">
        <f>B16_Assessment!$E$57</f>
        <v>0</v>
      </c>
      <c r="H383" s="106">
        <f>B16_Assessment!$F$57</f>
        <v>0</v>
      </c>
      <c r="I383" s="106" t="str">
        <f>B16_Assessment!$G$57</f>
        <v>Potential communications/security outage</v>
      </c>
      <c r="J383" s="106">
        <f>B16_Assessment!$H$57</f>
        <v>0</v>
      </c>
      <c r="K383" s="106">
        <f>B16_Assessment!$I$57</f>
        <v>0</v>
      </c>
      <c r="L383" s="106">
        <f>B16_Assessment!$J$57</f>
        <v>0</v>
      </c>
    </row>
    <row r="384" spans="1:12" ht="34.950000000000003" customHeight="1">
      <c r="A384" s="106" t="str">
        <f>B16_Assessment!$B$2</f>
        <v>16</v>
      </c>
      <c r="B384" s="106" t="str">
        <f t="shared" si="41"/>
        <v>B15_Assessment</v>
      </c>
      <c r="C384" s="106" t="str">
        <f>B16_Assessment!$A$58</f>
        <v>B16-Q3</v>
      </c>
      <c r="D384" s="142" t="str">
        <f>B16_Assessment!$B$58</f>
        <v>Is IU-1-01/CU-1-01 on emergency/backup power and dedicated to Room 015?</v>
      </c>
      <c r="E384" s="142" t="str">
        <f>B16_Assessment!$C$58</f>
        <v>Mechanical / Electrical / VA</v>
      </c>
      <c r="F384" s="106" t="str">
        <f>B16_Assessment!$D$58</f>
        <v>Closed</v>
      </c>
      <c r="G384" s="106">
        <f>B16_Assessment!$E$58</f>
        <v>0</v>
      </c>
      <c r="H384" s="106">
        <f>B16_Assessment!$F$58</f>
        <v>0</v>
      </c>
      <c r="I384" s="106" t="str">
        <f>B16_Assessment!$G$58</f>
        <v>Cooling continuity unclear</v>
      </c>
      <c r="J384" s="106">
        <f>B16_Assessment!$H$58</f>
        <v>0</v>
      </c>
      <c r="K384" s="106">
        <f>B16_Assessment!$I$58</f>
        <v>0</v>
      </c>
      <c r="L384" s="106">
        <f>B16_Assessment!$J$58</f>
        <v>0</v>
      </c>
    </row>
    <row r="385" spans="1:12" ht="29.1" customHeight="1">
      <c r="A385" s="106" t="str">
        <f>B16_Assessment!$B$2</f>
        <v>16</v>
      </c>
      <c r="B385" s="106" t="str">
        <f t="shared" si="41"/>
        <v>B15_Assessment</v>
      </c>
      <c r="C385" s="106" t="str">
        <f>B16_Assessment!$A$59</f>
        <v>B16-Q4</v>
      </c>
      <c r="D385" s="142" t="str">
        <f>B16_Assessment!$B$59</f>
        <v>Where is the clean-agent/CO2 extinguisher cabinet located within 75 ft of Room 015?</v>
      </c>
      <c r="E385" s="142" t="str">
        <f>B16_Assessment!$C$59</f>
        <v>GC / COR</v>
      </c>
      <c r="F385" s="106" t="str">
        <f>B16_Assessment!$D$59</f>
        <v>Closed</v>
      </c>
      <c r="G385" s="106">
        <f>B16_Assessment!$E$59</f>
        <v>0</v>
      </c>
      <c r="H385" s="106">
        <f>B16_Assessment!$F$59</f>
        <v>0</v>
      </c>
      <c r="I385" s="106" t="str">
        <f>B16_Assessment!$G$59</f>
        <v>Life-safety acceptance risk</v>
      </c>
      <c r="J385" s="106">
        <f>B16_Assessment!$H$59</f>
        <v>0</v>
      </c>
      <c r="K385" s="106">
        <f>B16_Assessment!$I$59</f>
        <v>0</v>
      </c>
      <c r="L385" s="106">
        <f>B16_Assessment!$J$59</f>
        <v>0</v>
      </c>
    </row>
    <row r="386" spans="1:12" ht="34.950000000000003" customHeight="1">
      <c r="A386" s="106" t="str">
        <f>B16_Assessment!$B$2</f>
        <v>16</v>
      </c>
      <c r="B386" s="106" t="str">
        <f t="shared" si="41"/>
        <v>B15_Assessment</v>
      </c>
      <c r="C386" s="106" t="str">
        <f>B16_Assessment!$A$60</f>
        <v>B16-Q5</v>
      </c>
      <c r="D386" s="142" t="str">
        <f>B16_Assessment!$B$60</f>
        <v>Are B16-TR015A/B sources, rack receptacles, SPDs, circuit labels and load measurements approved?</v>
      </c>
      <c r="E386" s="142" t="str">
        <f>B16_Assessment!$C$60</f>
        <v>Electrical / Designer</v>
      </c>
      <c r="F386" s="106" t="str">
        <f>B16_Assessment!$D$60</f>
        <v>Closed</v>
      </c>
      <c r="G386" s="106">
        <f>B16_Assessment!$E$60</f>
        <v>0</v>
      </c>
      <c r="H386" s="106">
        <f>B16_Assessment!$F$60</f>
        <v>0</v>
      </c>
      <c r="I386" s="106" t="str">
        <f>B16_Assessment!$G$60</f>
        <v>Electrical readiness unknown</v>
      </c>
      <c r="J386" s="106">
        <f>B16_Assessment!$H$60</f>
        <v>0</v>
      </c>
      <c r="K386" s="106">
        <f>B16_Assessment!$I$60</f>
        <v>0</v>
      </c>
      <c r="L386" s="106">
        <f>B16_Assessment!$J$60</f>
        <v>0</v>
      </c>
    </row>
    <row r="387" spans="1:12" ht="40.65" customHeight="1">
      <c r="A387" s="106" t="str">
        <f>B16_Assessment!$B$2</f>
        <v>16</v>
      </c>
      <c r="B387" s="106" t="str">
        <f t="shared" ref="B387:B394" si="42">"B16_Assessment"</f>
        <v>B16_Assessment</v>
      </c>
      <c r="C387" s="106" t="str">
        <f>B16_Assessment!$A$61</f>
        <v>B16-Q6</v>
      </c>
      <c r="D387" s="142" t="str">
        <f>B16_Assessment!$B$61</f>
        <v>Which existing panel/circuit breaker/feeder demolition and replacement affects Room 015 telecom power?</v>
      </c>
      <c r="E387" s="142" t="str">
        <f>B16_Assessment!$C$61</f>
        <v>Electrical / GCC</v>
      </c>
      <c r="F387" s="106" t="str">
        <f>B16_Assessment!$D$61</f>
        <v>Closed</v>
      </c>
      <c r="G387" s="106">
        <f>B16_Assessment!$E$61</f>
        <v>0</v>
      </c>
      <c r="H387" s="106">
        <f>B16_Assessment!$F$61</f>
        <v>0</v>
      </c>
      <c r="I387" s="106" t="str">
        <f>B16_Assessment!$G$61</f>
        <v>Panel outage/cutover risk</v>
      </c>
      <c r="J387" s="106">
        <f>B16_Assessment!$H$61</f>
        <v>0</v>
      </c>
      <c r="K387" s="106">
        <f>B16_Assessment!$I$61</f>
        <v>0</v>
      </c>
      <c r="L387" s="106">
        <f>B16_Assessment!$J$61</f>
        <v>0</v>
      </c>
    </row>
    <row r="388" spans="1:12" ht="40.65" customHeight="1">
      <c r="A388" s="106" t="str">
        <f>B16_Assessment!$B$2</f>
        <v>16</v>
      </c>
      <c r="B388" s="106" t="str">
        <f t="shared" si="42"/>
        <v>B16_Assessment</v>
      </c>
      <c r="C388" s="106" t="str">
        <f>B16_Assessment!$A$62</f>
        <v>B16-Q7</v>
      </c>
      <c r="D388" s="142" t="str">
        <f>B16_Assessment!$B$62</f>
        <v>Are all rated wall/floor penetrations, sleeves, cable tray entries and firestopping details identified?</v>
      </c>
      <c r="E388" s="142" t="str">
        <f>B16_Assessment!$C$62</f>
        <v>GC / Firestop</v>
      </c>
      <c r="F388" s="106" t="str">
        <f>B16_Assessment!$D$62</f>
        <v>Closed</v>
      </c>
      <c r="G388" s="106">
        <f>B16_Assessment!$E$62</f>
        <v>0</v>
      </c>
      <c r="H388" s="106">
        <f>B16_Assessment!$F$62</f>
        <v>0</v>
      </c>
      <c r="I388" s="106" t="str">
        <f>B16_Assessment!$G$62</f>
        <v>Fire/smoke spread risk</v>
      </c>
      <c r="J388" s="106">
        <f>B16_Assessment!$H$62</f>
        <v>0</v>
      </c>
      <c r="K388" s="106">
        <f>B16_Assessment!$I$62</f>
        <v>0</v>
      </c>
      <c r="L388" s="106">
        <f>B16_Assessment!$J$62</f>
        <v>0</v>
      </c>
    </row>
    <row r="389" spans="1:12" ht="34.950000000000003" customHeight="1">
      <c r="A389" s="106" t="str">
        <f>B16_Assessment!$B$2</f>
        <v>16</v>
      </c>
      <c r="B389" s="106" t="str">
        <f t="shared" si="42"/>
        <v>B16_Assessment</v>
      </c>
      <c r="C389" s="106" t="str">
        <f>B16_Assessment!$A$63</f>
        <v>B16-Q8</v>
      </c>
      <c r="D389" s="142" t="str">
        <f>B16_Assessment!$B$63</f>
        <v>Which third-party inspections and commissioning forms are required before VA acceptance?</v>
      </c>
      <c r="E389" s="142" t="str">
        <f>B16_Assessment!$C$63</f>
        <v>GC / Cx Manager</v>
      </c>
      <c r="F389" s="106" t="str">
        <f>B16_Assessment!$D$63</f>
        <v>Closed</v>
      </c>
      <c r="G389" s="106">
        <f>B16_Assessment!$E$63</f>
        <v>0</v>
      </c>
      <c r="H389" s="106">
        <f>B16_Assessment!$F$63</f>
        <v>0</v>
      </c>
      <c r="I389" s="106" t="str">
        <f>B16_Assessment!$G$63</f>
        <v>Turnover package gap</v>
      </c>
      <c r="J389" s="106">
        <f>B16_Assessment!$H$63</f>
        <v>0</v>
      </c>
      <c r="K389" s="106">
        <f>B16_Assessment!$I$63</f>
        <v>0</v>
      </c>
      <c r="L389" s="106">
        <f>B16_Assessment!$J$63</f>
        <v>0</v>
      </c>
    </row>
    <row r="390" spans="1:12" ht="34.950000000000003" customHeight="1">
      <c r="A390" s="106" t="str">
        <f>B17_Assessment!$B$2</f>
        <v>17</v>
      </c>
      <c r="B390" s="106" t="str">
        <f t="shared" si="42"/>
        <v>B16_Assessment</v>
      </c>
      <c r="C390" s="106" t="str">
        <f>B17_Assessment!$A$63</f>
        <v>B17-Q1</v>
      </c>
      <c r="D390" s="142" t="str">
        <f>B17_Assessment!$B$63</f>
        <v>Confirm final telecom scope: new Room 118, existing B35A, and Building 29 served from B17?</v>
      </c>
      <c r="E390" s="142" t="str">
        <f>B17_Assessment!$C$63</f>
        <v>VA / OIT / Designer</v>
      </c>
      <c r="F390" s="106" t="str">
        <f>B17_Assessment!$D$63</f>
        <v>Closed</v>
      </c>
      <c r="G390" s="106">
        <f>B17_Assessment!$E$63</f>
        <v>0</v>
      </c>
      <c r="H390" s="106">
        <f>B17_Assessment!$F$63</f>
        <v>0</v>
      </c>
      <c r="I390" s="106" t="str">
        <f>B17_Assessment!$G$63</f>
        <v>Room inventory or PMIS mapping could miss scope</v>
      </c>
      <c r="J390" s="106">
        <f>B17_Assessment!$H$63</f>
        <v>0</v>
      </c>
      <c r="K390" s="106">
        <f>B17_Assessment!$I$63</f>
        <v>0</v>
      </c>
      <c r="L390" s="106">
        <f>B17_Assessment!$J$63</f>
        <v>0</v>
      </c>
    </row>
    <row r="391" spans="1:12" ht="29.1" customHeight="1">
      <c r="A391" s="106" t="str">
        <f>B17_Assessment!$B$2</f>
        <v>17</v>
      </c>
      <c r="B391" s="106" t="str">
        <f t="shared" si="42"/>
        <v>B16_Assessment</v>
      </c>
      <c r="C391" s="106" t="str">
        <f>B17_Assessment!$A$64</f>
        <v>B17-Q2</v>
      </c>
      <c r="D391" s="142" t="str">
        <f>B17_Assessment!$B$64</f>
        <v>What active services are currently fed from existing B35A equipment?</v>
      </c>
      <c r="E391" s="142" t="str">
        <f>B17_Assessment!$C$64</f>
        <v>OIT / Contractor</v>
      </c>
      <c r="F391" s="106" t="str">
        <f>B17_Assessment!$D$64</f>
        <v>Closed</v>
      </c>
      <c r="G391" s="106">
        <f>B17_Assessment!$E$64</f>
        <v>0</v>
      </c>
      <c r="H391" s="106">
        <f>B17_Assessment!$F$64</f>
        <v>0</v>
      </c>
      <c r="I391" s="106" t="str">
        <f>B17_Assessment!$G$64</f>
        <v>Potential communications/security outage</v>
      </c>
      <c r="J391" s="106">
        <f>B17_Assessment!$H$64</f>
        <v>0</v>
      </c>
      <c r="K391" s="106">
        <f>B17_Assessment!$I$64</f>
        <v>0</v>
      </c>
      <c r="L391" s="106">
        <f>B17_Assessment!$J$64</f>
        <v>0</v>
      </c>
    </row>
    <row r="392" spans="1:12" ht="22.95" customHeight="1">
      <c r="A392" s="106" t="str">
        <f>B17_Assessment!$B$2</f>
        <v>17</v>
      </c>
      <c r="B392" s="106" t="str">
        <f t="shared" si="42"/>
        <v>B16_Assessment</v>
      </c>
      <c r="C392" s="106" t="str">
        <f>B17_Assessment!$A$65</f>
        <v>B17-Q3</v>
      </c>
      <c r="D392" s="142" t="str">
        <f>B17_Assessment!$B$65</f>
        <v>What exact Building 29 outlets/devices are served through TR17-118-1?</v>
      </c>
      <c r="E392" s="142" t="str">
        <f>B17_Assessment!$C$65</f>
        <v>VA / OIT / Designer</v>
      </c>
      <c r="F392" s="106" t="str">
        <f>B17_Assessment!$D$65</f>
        <v>Closed</v>
      </c>
      <c r="G392" s="106">
        <f>B17_Assessment!$E$65</f>
        <v>0</v>
      </c>
      <c r="H392" s="106">
        <f>B17_Assessment!$F$65</f>
        <v>0</v>
      </c>
      <c r="I392" s="106" t="str">
        <f>B17_Assessment!$G$65</f>
        <v>Building 29 scope boundary unclear</v>
      </c>
      <c r="J392" s="106">
        <f>B17_Assessment!$H$65</f>
        <v>0</v>
      </c>
      <c r="K392" s="106">
        <f>B17_Assessment!$I$65</f>
        <v>0</v>
      </c>
      <c r="L392" s="106">
        <f>B17_Assessment!$J$65</f>
        <v>0</v>
      </c>
    </row>
    <row r="393" spans="1:12" ht="34.950000000000003" customHeight="1">
      <c r="A393" s="106" t="str">
        <f>B17_Assessment!$B$2</f>
        <v>17</v>
      </c>
      <c r="B393" s="106" t="str">
        <f t="shared" si="42"/>
        <v>B16_Assessment</v>
      </c>
      <c r="C393" s="106" t="str">
        <f>B17_Assessment!$A$66</f>
        <v>B17-Q4</v>
      </c>
      <c r="D393" s="142" t="str">
        <f>B17_Assessment!$B$66</f>
        <v>Is IU-1-01/CU-1-01 on emergency/backup power and dedicated to Room 118?</v>
      </c>
      <c r="E393" s="142" t="str">
        <f>B17_Assessment!$C$66</f>
        <v>Mechanical / Electrical / VA</v>
      </c>
      <c r="F393" s="106" t="str">
        <f>B17_Assessment!$D$66</f>
        <v>Closed</v>
      </c>
      <c r="G393" s="106">
        <f>B17_Assessment!$E$66</f>
        <v>0</v>
      </c>
      <c r="H393" s="106">
        <f>B17_Assessment!$F$66</f>
        <v>0</v>
      </c>
      <c r="I393" s="106" t="str">
        <f>B17_Assessment!$G$66</f>
        <v>Cooling continuity unclear</v>
      </c>
      <c r="J393" s="106">
        <f>B17_Assessment!$H$66</f>
        <v>0</v>
      </c>
      <c r="K393" s="106">
        <f>B17_Assessment!$I$66</f>
        <v>0</v>
      </c>
      <c r="L393" s="106">
        <f>B17_Assessment!$J$66</f>
        <v>0</v>
      </c>
    </row>
    <row r="394" spans="1:12" ht="29.1" customHeight="1">
      <c r="A394" s="106" t="str">
        <f>B17_Assessment!$B$2</f>
        <v>17</v>
      </c>
      <c r="B394" s="106" t="str">
        <f t="shared" si="42"/>
        <v>B16_Assessment</v>
      </c>
      <c r="C394" s="106" t="str">
        <f>B17_Assessment!$A$67</f>
        <v>B17-Q5</v>
      </c>
      <c r="D394" s="142" t="str">
        <f>B17_Assessment!$B$67</f>
        <v>Where is the clean-agent/CO2 extinguisher cabinet located within 75 ft of Room 118?</v>
      </c>
      <c r="E394" s="142" t="str">
        <f>B17_Assessment!$C$67</f>
        <v>GC / COR</v>
      </c>
      <c r="F394" s="106" t="str">
        <f>B17_Assessment!$D$67</f>
        <v>Closed</v>
      </c>
      <c r="G394" s="106">
        <f>B17_Assessment!$E$67</f>
        <v>0</v>
      </c>
      <c r="H394" s="106">
        <f>B17_Assessment!$F$67</f>
        <v>0</v>
      </c>
      <c r="I394" s="106" t="str">
        <f>B17_Assessment!$G$67</f>
        <v>Life-safety acceptance risk</v>
      </c>
      <c r="J394" s="106">
        <f>B17_Assessment!$H$67</f>
        <v>0</v>
      </c>
      <c r="K394" s="106">
        <f>B17_Assessment!$I$67</f>
        <v>0</v>
      </c>
      <c r="L394" s="106">
        <f>B17_Assessment!$J$67</f>
        <v>0</v>
      </c>
    </row>
    <row r="395" spans="1:12" ht="34.950000000000003" customHeight="1">
      <c r="A395" s="106" t="str">
        <f>B17_Assessment!$B$2</f>
        <v>17</v>
      </c>
      <c r="B395" s="106" t="str">
        <f t="shared" ref="B395:B402" si="43">"B17_Assessment"</f>
        <v>B17_Assessment</v>
      </c>
      <c r="C395" s="106" t="str">
        <f>B17_Assessment!$A$68</f>
        <v>B17-Q6</v>
      </c>
      <c r="D395" s="142" t="str">
        <f>B17_Assessment!$B$68</f>
        <v>Are B17-TR118A/B sources, rack receptacles, SPDs, circuit labels and load measurements approved?</v>
      </c>
      <c r="E395" s="142" t="str">
        <f>B17_Assessment!$C$68</f>
        <v>Electrical / Designer</v>
      </c>
      <c r="F395" s="106" t="str">
        <f>B17_Assessment!$D$68</f>
        <v>Closed</v>
      </c>
      <c r="G395" s="106">
        <f>B17_Assessment!$E$68</f>
        <v>0</v>
      </c>
      <c r="H395" s="106">
        <f>B17_Assessment!$F$68</f>
        <v>0</v>
      </c>
      <c r="I395" s="106" t="str">
        <f>B17_Assessment!$G$68</f>
        <v>Electrical readiness unknown</v>
      </c>
      <c r="J395" s="106">
        <f>B17_Assessment!$H$68</f>
        <v>0</v>
      </c>
      <c r="K395" s="106">
        <f>B17_Assessment!$I$68</f>
        <v>0</v>
      </c>
      <c r="L395" s="106">
        <f>B17_Assessment!$J$68</f>
        <v>0</v>
      </c>
    </row>
    <row r="396" spans="1:12" ht="40.65" customHeight="1">
      <c r="A396" s="106" t="str">
        <f>B17_Assessment!$B$2</f>
        <v>17</v>
      </c>
      <c r="B396" s="106" t="str">
        <f t="shared" si="43"/>
        <v>B17_Assessment</v>
      </c>
      <c r="C396" s="106" t="str">
        <f>B17_Assessment!$A$69</f>
        <v>B17-Q7</v>
      </c>
      <c r="D396" s="142" t="str">
        <f>B17_Assessment!$B$69</f>
        <v>Are all rated wall/floor penetrations, sleeves, cable tray entries and firestopping details identified?</v>
      </c>
      <c r="E396" s="142" t="str">
        <f>B17_Assessment!$C$69</f>
        <v>GC / Firestop</v>
      </c>
      <c r="F396" s="106" t="str">
        <f>B17_Assessment!$D$69</f>
        <v>Closed</v>
      </c>
      <c r="G396" s="106">
        <f>B17_Assessment!$E$69</f>
        <v>0</v>
      </c>
      <c r="H396" s="106">
        <f>B17_Assessment!$F$69</f>
        <v>0</v>
      </c>
      <c r="I396" s="106" t="str">
        <f>B17_Assessment!$G$69</f>
        <v>Fire/smoke spread risk</v>
      </c>
      <c r="J396" s="106">
        <f>B17_Assessment!$H$69</f>
        <v>0</v>
      </c>
      <c r="K396" s="106">
        <f>B17_Assessment!$I$69</f>
        <v>0</v>
      </c>
      <c r="L396" s="106">
        <f>B17_Assessment!$J$69</f>
        <v>0</v>
      </c>
    </row>
    <row r="397" spans="1:12" ht="34.950000000000003" customHeight="1">
      <c r="A397" s="106" t="str">
        <f>B17_Assessment!$B$2</f>
        <v>17</v>
      </c>
      <c r="B397" s="106" t="str">
        <f t="shared" si="43"/>
        <v>B17_Assessment</v>
      </c>
      <c r="C397" s="106" t="str">
        <f>B17_Assessment!$A$70</f>
        <v>B17-Q8</v>
      </c>
      <c r="D397" s="142" t="str">
        <f>B17_Assessment!$B$70</f>
        <v>Which third-party inspections and commissioning forms are required before VA acceptance?</v>
      </c>
      <c r="E397" s="142" t="str">
        <f>B17_Assessment!$C$70</f>
        <v>GC / Cx Manager</v>
      </c>
      <c r="F397" s="106" t="str">
        <f>B17_Assessment!$D$70</f>
        <v>Closed</v>
      </c>
      <c r="G397" s="106">
        <f>B17_Assessment!$E$70</f>
        <v>0</v>
      </c>
      <c r="H397" s="106">
        <f>B17_Assessment!$F$70</f>
        <v>0</v>
      </c>
      <c r="I397" s="106" t="str">
        <f>B17_Assessment!$G$70</f>
        <v>Turnover package gap</v>
      </c>
      <c r="J397" s="106">
        <f>B17_Assessment!$H$70</f>
        <v>0</v>
      </c>
      <c r="K397" s="106">
        <f>B17_Assessment!$I$70</f>
        <v>0</v>
      </c>
      <c r="L397" s="106">
        <f>B17_Assessment!$J$70</f>
        <v>0</v>
      </c>
    </row>
    <row r="398" spans="1:12" ht="29.1" customHeight="1">
      <c r="A398" s="106" t="str">
        <f>B18_Assessment!$B$2</f>
        <v>18</v>
      </c>
      <c r="B398" s="106" t="str">
        <f t="shared" si="43"/>
        <v>B17_Assessment</v>
      </c>
      <c r="C398" s="106" t="str">
        <f>B18_Assessment!$A$63</f>
        <v>B18-Q1</v>
      </c>
      <c r="D398" s="142" t="str">
        <f>B18_Assessment!$B$63</f>
        <v>Confirm final telecom scope: new Room 110 with existing 111B and 213 transition only?</v>
      </c>
      <c r="E398" s="142" t="str">
        <f>B18_Assessment!$C$63</f>
        <v>VA / OIT / Designer</v>
      </c>
      <c r="F398" s="106" t="str">
        <f>B18_Assessment!$D$63</f>
        <v>Closed</v>
      </c>
      <c r="G398" s="106">
        <f>B18_Assessment!$E$63</f>
        <v>0</v>
      </c>
      <c r="H398" s="106">
        <f>B18_Assessment!$F$63</f>
        <v>0</v>
      </c>
      <c r="I398" s="106" t="str">
        <f>B18_Assessment!$G$63</f>
        <v>Room inventory or PMIS mapping could miss scope</v>
      </c>
      <c r="J398" s="106">
        <f>B18_Assessment!$H$63</f>
        <v>0</v>
      </c>
      <c r="K398" s="106">
        <f>B18_Assessment!$I$63</f>
        <v>0</v>
      </c>
      <c r="L398" s="106">
        <f>B18_Assessment!$J$63</f>
        <v>0</v>
      </c>
    </row>
    <row r="399" spans="1:12" ht="34.950000000000003" customHeight="1">
      <c r="A399" s="106" t="str">
        <f>B18_Assessment!$B$2</f>
        <v>18</v>
      </c>
      <c r="B399" s="106" t="str">
        <f t="shared" si="43"/>
        <v>B17_Assessment</v>
      </c>
      <c r="C399" s="106" t="str">
        <f>B18_Assessment!$A$64</f>
        <v>B18-Q2</v>
      </c>
      <c r="D399" s="142" t="str">
        <f>B18_Assessment!$B$64</f>
        <v>Why does 18T-701 reference RM 111A while new rack/electrical plans identify Telecom Room 110?</v>
      </c>
      <c r="E399" s="142" t="str">
        <f>B18_Assessment!$C$64</f>
        <v>VA / Designer / OIT</v>
      </c>
      <c r="F399" s="106" t="str">
        <f>B18_Assessment!$D$64</f>
        <v>Closed</v>
      </c>
      <c r="G399" s="106">
        <f>B18_Assessment!$E$64</f>
        <v>0</v>
      </c>
      <c r="H399" s="106">
        <f>B18_Assessment!$F$64</f>
        <v>0</v>
      </c>
      <c r="I399" s="106" t="str">
        <f>B18_Assessment!$G$64</f>
        <v>Room naming mismatch could affect PMIS tracking</v>
      </c>
      <c r="J399" s="106">
        <f>B18_Assessment!$H$64</f>
        <v>0</v>
      </c>
      <c r="K399" s="106">
        <f>B18_Assessment!$I$64</f>
        <v>0</v>
      </c>
      <c r="L399" s="106">
        <f>B18_Assessment!$J$64</f>
        <v>0</v>
      </c>
    </row>
    <row r="400" spans="1:12" ht="29.1" customHeight="1">
      <c r="A400" s="106" t="str">
        <f>B18_Assessment!$B$2</f>
        <v>18</v>
      </c>
      <c r="B400" s="106" t="str">
        <f t="shared" si="43"/>
        <v>B17_Assessment</v>
      </c>
      <c r="C400" s="106" t="str">
        <f>B18_Assessment!$A$65</f>
        <v>B18-Q3</v>
      </c>
      <c r="D400" s="142" t="str">
        <f>B18_Assessment!$B$65</f>
        <v>What active services are currently fed from existing 111B and 213 equipment?</v>
      </c>
      <c r="E400" s="142" t="str">
        <f>B18_Assessment!$C$65</f>
        <v>OIT / Contractor</v>
      </c>
      <c r="F400" s="106" t="str">
        <f>B18_Assessment!$D$65</f>
        <v>Closed</v>
      </c>
      <c r="G400" s="106">
        <f>B18_Assessment!$E$65</f>
        <v>0</v>
      </c>
      <c r="H400" s="106">
        <f>B18_Assessment!$F$65</f>
        <v>0</v>
      </c>
      <c r="I400" s="106" t="str">
        <f>B18_Assessment!$G$65</f>
        <v>Potential communications/security outage</v>
      </c>
      <c r="J400" s="106">
        <f>B18_Assessment!$H$65</f>
        <v>0</v>
      </c>
      <c r="K400" s="106">
        <f>B18_Assessment!$I$65</f>
        <v>0</v>
      </c>
      <c r="L400" s="106">
        <f>B18_Assessment!$J$65</f>
        <v>0</v>
      </c>
    </row>
    <row r="401" spans="1:12" ht="34.950000000000003" customHeight="1">
      <c r="A401" s="106" t="str">
        <f>B18_Assessment!$B$2</f>
        <v>18</v>
      </c>
      <c r="B401" s="106" t="str">
        <f t="shared" si="43"/>
        <v>B17_Assessment</v>
      </c>
      <c r="C401" s="106" t="str">
        <f>B18_Assessment!$A$66</f>
        <v>B18-Q4</v>
      </c>
      <c r="D401" s="142" t="str">
        <f>B18_Assessment!$B$66</f>
        <v>Is IU-1-01/CU-1-01 on emergency/backup power and dedicated to Room 110?</v>
      </c>
      <c r="E401" s="142" t="str">
        <f>B18_Assessment!$C$66</f>
        <v>Mechanical / Electrical / VA</v>
      </c>
      <c r="F401" s="106" t="str">
        <f>B18_Assessment!$D$66</f>
        <v>Closed</v>
      </c>
      <c r="G401" s="106">
        <f>B18_Assessment!$E$66</f>
        <v>0</v>
      </c>
      <c r="H401" s="106">
        <f>B18_Assessment!$F$66</f>
        <v>0</v>
      </c>
      <c r="I401" s="106" t="str">
        <f>B18_Assessment!$G$66</f>
        <v>Cooling continuity unclear</v>
      </c>
      <c r="J401" s="106">
        <f>B18_Assessment!$H$66</f>
        <v>0</v>
      </c>
      <c r="K401" s="106">
        <f>B18_Assessment!$I$66</f>
        <v>0</v>
      </c>
      <c r="L401" s="106">
        <f>B18_Assessment!$J$66</f>
        <v>0</v>
      </c>
    </row>
    <row r="402" spans="1:12" ht="29.1" customHeight="1">
      <c r="A402" s="106" t="str">
        <f>B18_Assessment!$B$2</f>
        <v>18</v>
      </c>
      <c r="B402" s="106" t="str">
        <f t="shared" si="43"/>
        <v>B17_Assessment</v>
      </c>
      <c r="C402" s="106" t="str">
        <f>B18_Assessment!$A$67</f>
        <v>B18-Q5</v>
      </c>
      <c r="D402" s="142" t="str">
        <f>B18_Assessment!$B$67</f>
        <v>Where is the clean-agent/CO2 extinguisher cabinet located within 75 ft of Room 110?</v>
      </c>
      <c r="E402" s="142" t="str">
        <f>B18_Assessment!$C$67</f>
        <v>GC / COR</v>
      </c>
      <c r="F402" s="106" t="str">
        <f>B18_Assessment!$D$67</f>
        <v>Closed</v>
      </c>
      <c r="G402" s="106">
        <f>B18_Assessment!$E$67</f>
        <v>0</v>
      </c>
      <c r="H402" s="106">
        <f>B18_Assessment!$F$67</f>
        <v>0</v>
      </c>
      <c r="I402" s="106" t="str">
        <f>B18_Assessment!$G$67</f>
        <v>Life-safety acceptance risk</v>
      </c>
      <c r="J402" s="106">
        <f>B18_Assessment!$H$67</f>
        <v>0</v>
      </c>
      <c r="K402" s="106">
        <f>B18_Assessment!$I$67</f>
        <v>0</v>
      </c>
      <c r="L402" s="106">
        <f>B18_Assessment!$J$67</f>
        <v>0</v>
      </c>
    </row>
    <row r="403" spans="1:12" ht="34.950000000000003" customHeight="1">
      <c r="A403" s="106" t="str">
        <f>B18_Assessment!$B$2</f>
        <v>18</v>
      </c>
      <c r="B403" s="106" t="str">
        <f t="shared" ref="B403:B410" si="44">"B18_Assessment"</f>
        <v>B18_Assessment</v>
      </c>
      <c r="C403" s="106" t="str">
        <f>B18_Assessment!$A$68</f>
        <v>B18-Q6</v>
      </c>
      <c r="D403" s="142" t="str">
        <f>B18_Assessment!$B$68</f>
        <v>Are B18-TR110A/B sources, rack receptacles, SPDs, circuit labels and load measurements approved?</v>
      </c>
      <c r="E403" s="142" t="str">
        <f>B18_Assessment!$C$68</f>
        <v>Electrical / Designer</v>
      </c>
      <c r="F403" s="106" t="str">
        <f>B18_Assessment!$D$68</f>
        <v>Closed</v>
      </c>
      <c r="G403" s="106">
        <f>B18_Assessment!$E$68</f>
        <v>0</v>
      </c>
      <c r="H403" s="106">
        <f>B18_Assessment!$F$68</f>
        <v>0</v>
      </c>
      <c r="I403" s="106" t="str">
        <f>B18_Assessment!$G$68</f>
        <v>Electrical readiness unknown</v>
      </c>
      <c r="J403" s="106">
        <f>B18_Assessment!$H$68</f>
        <v>0</v>
      </c>
      <c r="K403" s="106">
        <f>B18_Assessment!$I$68</f>
        <v>0</v>
      </c>
      <c r="L403" s="106">
        <f>B18_Assessment!$J$68</f>
        <v>0</v>
      </c>
    </row>
    <row r="404" spans="1:12" ht="40.65" customHeight="1">
      <c r="A404" s="106" t="str">
        <f>B18_Assessment!$B$2</f>
        <v>18</v>
      </c>
      <c r="B404" s="106" t="str">
        <f t="shared" si="44"/>
        <v>B18_Assessment</v>
      </c>
      <c r="C404" s="106" t="str">
        <f>B18_Assessment!$A$69</f>
        <v>B18-Q7</v>
      </c>
      <c r="D404" s="142" t="str">
        <f>B18_Assessment!$B$69</f>
        <v>Are all rated wall/floor penetrations, sleeves, cable tray entries and firestopping details identified?</v>
      </c>
      <c r="E404" s="142" t="str">
        <f>B18_Assessment!$C$69</f>
        <v>GC / Firestop</v>
      </c>
      <c r="F404" s="106" t="str">
        <f>B18_Assessment!$D$69</f>
        <v>Closed</v>
      </c>
      <c r="G404" s="106">
        <f>B18_Assessment!$E$69</f>
        <v>0</v>
      </c>
      <c r="H404" s="106">
        <f>B18_Assessment!$F$69</f>
        <v>0</v>
      </c>
      <c r="I404" s="106" t="str">
        <f>B18_Assessment!$G$69</f>
        <v>Fire/smoke spread risk</v>
      </c>
      <c r="J404" s="106">
        <f>B18_Assessment!$H$69</f>
        <v>0</v>
      </c>
      <c r="K404" s="106">
        <f>B18_Assessment!$I$69</f>
        <v>0</v>
      </c>
      <c r="L404" s="106">
        <f>B18_Assessment!$J$69</f>
        <v>0</v>
      </c>
    </row>
    <row r="405" spans="1:12" ht="34.950000000000003" customHeight="1">
      <c r="A405" s="106" t="str">
        <f>B18_Assessment!$B$2</f>
        <v>18</v>
      </c>
      <c r="B405" s="106" t="str">
        <f t="shared" si="44"/>
        <v>B18_Assessment</v>
      </c>
      <c r="C405" s="106" t="str">
        <f>B18_Assessment!$A$70</f>
        <v>B18-Q8</v>
      </c>
      <c r="D405" s="142" t="str">
        <f>B18_Assessment!$B$70</f>
        <v>Which third-party inspections and commissioning forms are required before VA acceptance?</v>
      </c>
      <c r="E405" s="142" t="str">
        <f>B18_Assessment!$C$70</f>
        <v>GC / Cx Manager</v>
      </c>
      <c r="F405" s="106" t="str">
        <f>B18_Assessment!$D$70</f>
        <v>Closed</v>
      </c>
      <c r="G405" s="106">
        <f>B18_Assessment!$E$70</f>
        <v>0</v>
      </c>
      <c r="H405" s="106">
        <f>B18_Assessment!$F$70</f>
        <v>0</v>
      </c>
      <c r="I405" s="106" t="str">
        <f>B18_Assessment!$G$70</f>
        <v>Turnover package gap</v>
      </c>
      <c r="J405" s="106">
        <f>B18_Assessment!$H$70</f>
        <v>0</v>
      </c>
      <c r="K405" s="106">
        <f>B18_Assessment!$I$70</f>
        <v>0</v>
      </c>
      <c r="L405" s="106">
        <f>B18_Assessment!$J$70</f>
        <v>0</v>
      </c>
    </row>
    <row r="406" spans="1:12" ht="34.950000000000003" customHeight="1">
      <c r="A406" s="106" t="str">
        <f>B20_Assessment!$B$2</f>
        <v>20</v>
      </c>
      <c r="B406" s="106" t="str">
        <f t="shared" si="44"/>
        <v>B18_Assessment</v>
      </c>
      <c r="C406" s="106" t="str">
        <f>B20_Assessment!$A$56</f>
        <v>B20-Q1</v>
      </c>
      <c r="D406" s="142" t="str">
        <f>B20_Assessment!$B$56</f>
        <v>Confirm final scope: new wall-mount TE enclosure in Office 1B and existing Tel/Data Closet 8A transition only?</v>
      </c>
      <c r="E406" s="142" t="str">
        <f>B20_Assessment!$C$56</f>
        <v>VA / OIT / Designer</v>
      </c>
      <c r="F406" s="106" t="str">
        <f>B20_Assessment!$D$56</f>
        <v>Closed</v>
      </c>
      <c r="G406" s="106">
        <f>B20_Assessment!$E$56</f>
        <v>0</v>
      </c>
      <c r="H406" s="106">
        <f>B20_Assessment!$F$56</f>
        <v>0</v>
      </c>
      <c r="I406" s="106" t="str">
        <f>B20_Assessment!$G$56</f>
        <v>Room inventory or PMIS mapping could miss scope</v>
      </c>
      <c r="J406" s="106">
        <f>B20_Assessment!$H$56</f>
        <v>0</v>
      </c>
      <c r="K406" s="106">
        <f>B20_Assessment!$I$56</f>
        <v>0</v>
      </c>
      <c r="L406" s="106">
        <f>B20_Assessment!$J$56</f>
        <v>0</v>
      </c>
    </row>
    <row r="407" spans="1:12" ht="34.950000000000003" customHeight="1">
      <c r="A407" s="106" t="str">
        <f>B20_Assessment!$B$2</f>
        <v>20</v>
      </c>
      <c r="B407" s="106" t="str">
        <f t="shared" si="44"/>
        <v>B18_Assessment</v>
      </c>
      <c r="C407" s="106" t="str">
        <f>B20_Assessment!$A$57</f>
        <v>B20-Q2</v>
      </c>
      <c r="D407" s="142" t="str">
        <f>B20_Assessment!$B$57</f>
        <v>What active services are currently fed from existing 8A open TE cabinet and related equipment?</v>
      </c>
      <c r="E407" s="142" t="str">
        <f>B20_Assessment!$C$57</f>
        <v>OIT / Contractor</v>
      </c>
      <c r="F407" s="106" t="str">
        <f>B20_Assessment!$D$57</f>
        <v>Closed</v>
      </c>
      <c r="G407" s="106">
        <f>B20_Assessment!$E$57</f>
        <v>0</v>
      </c>
      <c r="H407" s="106">
        <f>B20_Assessment!$F$57</f>
        <v>0</v>
      </c>
      <c r="I407" s="106" t="str">
        <f>B20_Assessment!$G$57</f>
        <v>Potential communications/security outage</v>
      </c>
      <c r="J407" s="106">
        <f>B20_Assessment!$H$57</f>
        <v>0</v>
      </c>
      <c r="K407" s="106">
        <f>B20_Assessment!$I$57</f>
        <v>0</v>
      </c>
      <c r="L407" s="106">
        <f>B20_Assessment!$J$57</f>
        <v>0</v>
      </c>
    </row>
    <row r="408" spans="1:12" ht="40.65" customHeight="1">
      <c r="A408" s="106" t="str">
        <f>B20_Assessment!$B$2</f>
        <v>20</v>
      </c>
      <c r="B408" s="106" t="str">
        <f t="shared" si="44"/>
        <v>B18_Assessment</v>
      </c>
      <c r="C408" s="106" t="str">
        <f>B20_Assessment!$A$58</f>
        <v>B20-Q3</v>
      </c>
      <c r="D408" s="142" t="str">
        <f>B20_Assessment!$B$58</f>
        <v>What is the approved power source, receptacle type and circuit capacity for the new APC UPS/PDU in Office 1B?</v>
      </c>
      <c r="E408" s="142" t="str">
        <f>B20_Assessment!$C$58</f>
        <v>Electrical / Designer</v>
      </c>
      <c r="F408" s="106" t="str">
        <f>B20_Assessment!$D$58</f>
        <v>Closed</v>
      </c>
      <c r="G408" s="106">
        <f>B20_Assessment!$E$58</f>
        <v>0</v>
      </c>
      <c r="H408" s="106">
        <f>B20_Assessment!$F$58</f>
        <v>0</v>
      </c>
      <c r="I408" s="106" t="str">
        <f>B20_Assessment!$G$58</f>
        <v>Electrical readiness unknown</v>
      </c>
      <c r="J408" s="106">
        <f>B20_Assessment!$H$58</f>
        <v>0</v>
      </c>
      <c r="K408" s="106">
        <f>B20_Assessment!$I$58</f>
        <v>0</v>
      </c>
      <c r="L408" s="106">
        <f>B20_Assessment!$J$58</f>
        <v>0</v>
      </c>
    </row>
    <row r="409" spans="1:12" ht="40.65" customHeight="1">
      <c r="A409" s="106" t="str">
        <f>B20_Assessment!$B$2</f>
        <v>20</v>
      </c>
      <c r="B409" s="106" t="str">
        <f t="shared" si="44"/>
        <v>B18_Assessment</v>
      </c>
      <c r="C409" s="106" t="str">
        <f>B20_Assessment!$A$59</f>
        <v>B20-Q4</v>
      </c>
      <c r="D409" s="142" t="str">
        <f>B20_Assessment!$B$59</f>
        <v>Is Office 1B HVAC/ambient condition acceptable for a wall-mount TE with UPS/PDU/network switch?</v>
      </c>
      <c r="E409" s="142" t="str">
        <f>B20_Assessment!$C$59</f>
        <v>VA / OIT / Facilities</v>
      </c>
      <c r="F409" s="106" t="str">
        <f>B20_Assessment!$D$59</f>
        <v>Closed</v>
      </c>
      <c r="G409" s="106">
        <f>B20_Assessment!$E$59</f>
        <v>0</v>
      </c>
      <c r="H409" s="106">
        <f>B20_Assessment!$F$59</f>
        <v>0</v>
      </c>
      <c r="I409" s="106" t="str">
        <f>B20_Assessment!$G$59</f>
        <v>Heat/load risk after mechanical scope excluded</v>
      </c>
      <c r="J409" s="106">
        <f>B20_Assessment!$H$59</f>
        <v>0</v>
      </c>
      <c r="K409" s="106">
        <f>B20_Assessment!$I$59</f>
        <v>0</v>
      </c>
      <c r="L409" s="106">
        <f>B20_Assessment!$J$59</f>
        <v>0</v>
      </c>
    </row>
    <row r="410" spans="1:12" ht="40.65" customHeight="1">
      <c r="A410" s="106" t="str">
        <f>B20_Assessment!$B$2</f>
        <v>20</v>
      </c>
      <c r="B410" s="106" t="str">
        <f t="shared" si="44"/>
        <v>B18_Assessment</v>
      </c>
      <c r="C410" s="106" t="str">
        <f>B20_Assessment!$A$60</f>
        <v>B20-Q5</v>
      </c>
      <c r="D410" s="142" t="str">
        <f>B20_Assessment!$B$60</f>
        <v>Are existing cameras/security devices in Building 20 protected and retained with no VMS/PACS changes?</v>
      </c>
      <c r="E410" s="142" t="str">
        <f>B20_Assessment!$C$60</f>
        <v>Security / OIT</v>
      </c>
      <c r="F410" s="106" t="str">
        <f>B20_Assessment!$D$60</f>
        <v>Closed</v>
      </c>
      <c r="G410" s="106">
        <f>B20_Assessment!$E$60</f>
        <v>0</v>
      </c>
      <c r="H410" s="106">
        <f>B20_Assessment!$F$60</f>
        <v>0</v>
      </c>
      <c r="I410" s="106" t="str">
        <f>B20_Assessment!$G$60</f>
        <v>Security continuity unclear</v>
      </c>
      <c r="J410" s="106">
        <f>B20_Assessment!$H$60</f>
        <v>0</v>
      </c>
      <c r="K410" s="106">
        <f>B20_Assessment!$I$60</f>
        <v>0</v>
      </c>
      <c r="L410" s="106">
        <f>B20_Assessment!$J$60</f>
        <v>0</v>
      </c>
    </row>
    <row r="411" spans="1:12" ht="29.1" customHeight="1">
      <c r="A411" s="106" t="str">
        <f>B20_Assessment!$B$2</f>
        <v>20</v>
      </c>
      <c r="B411" s="106" t="str">
        <f t="shared" ref="B411:B418" si="45">"B20_Assessment"</f>
        <v>B20_Assessment</v>
      </c>
      <c r="C411" s="106" t="str">
        <f>B20_Assessment!$A$61</f>
        <v>B20-Q6</v>
      </c>
      <c r="D411" s="142" t="str">
        <f>B20_Assessment!$B$61</f>
        <v>Are all 459 feet of cable tray route, sleeves, supports and firestopping details field verified?</v>
      </c>
      <c r="E411" s="142" t="str">
        <f>B20_Assessment!$C$61</f>
        <v>Telecom / GC / Firestop</v>
      </c>
      <c r="F411" s="106" t="str">
        <f>B20_Assessment!$D$61</f>
        <v>Closed</v>
      </c>
      <c r="G411" s="106">
        <f>B20_Assessment!$E$61</f>
        <v>0</v>
      </c>
      <c r="H411" s="106">
        <f>B20_Assessment!$F$61</f>
        <v>0</v>
      </c>
      <c r="I411" s="106" t="str">
        <f>B20_Assessment!$G$61</f>
        <v>Install delay or firestop gap</v>
      </c>
      <c r="J411" s="106">
        <f>B20_Assessment!$H$61</f>
        <v>0</v>
      </c>
      <c r="K411" s="106">
        <f>B20_Assessment!$I$61</f>
        <v>0</v>
      </c>
      <c r="L411" s="106">
        <f>B20_Assessment!$J$61</f>
        <v>0</v>
      </c>
    </row>
    <row r="412" spans="1:12" ht="40.65" customHeight="1">
      <c r="A412" s="106" t="str">
        <f>B20_Assessment!$B$2</f>
        <v>20</v>
      </c>
      <c r="B412" s="106" t="str">
        <f t="shared" si="45"/>
        <v>B20_Assessment</v>
      </c>
      <c r="C412" s="106" t="str">
        <f>B20_Assessment!$A$62</f>
        <v>B20-Q7</v>
      </c>
      <c r="D412" s="142" t="str">
        <f>B20_Assessment!$B$62</f>
        <v>Are the 10 new Cat6A cross-connect cables from existing TE to new TE location coordinated and labeled?</v>
      </c>
      <c r="E412" s="142" t="str">
        <f>B20_Assessment!$C$62</f>
        <v>Telecom / OIT</v>
      </c>
      <c r="F412" s="106" t="str">
        <f>B20_Assessment!$D$62</f>
        <v>Closed</v>
      </c>
      <c r="G412" s="106">
        <f>B20_Assessment!$E$62</f>
        <v>0</v>
      </c>
      <c r="H412" s="106">
        <f>B20_Assessment!$F$62</f>
        <v>0</v>
      </c>
      <c r="I412" s="106" t="str">
        <f>B20_Assessment!$G$62</f>
        <v>Cutover and labeling risk</v>
      </c>
      <c r="J412" s="106">
        <f>B20_Assessment!$H$62</f>
        <v>0</v>
      </c>
      <c r="K412" s="106">
        <f>B20_Assessment!$I$62</f>
        <v>0</v>
      </c>
      <c r="L412" s="106">
        <f>B20_Assessment!$J$62</f>
        <v>0</v>
      </c>
    </row>
    <row r="413" spans="1:12" ht="29.1" customHeight="1">
      <c r="A413" s="106" t="str">
        <f>B20_Assessment!$B$2</f>
        <v>20</v>
      </c>
      <c r="B413" s="106" t="str">
        <f t="shared" si="45"/>
        <v>B20_Assessment</v>
      </c>
      <c r="C413" s="106" t="str">
        <f>B20_Assessment!$A$63</f>
        <v>B20-Q8</v>
      </c>
      <c r="D413" s="142" t="str">
        <f>B20_Assessment!$B$63</f>
        <v>Which test records and turnover documents are required for TE-only acceptance?</v>
      </c>
      <c r="E413" s="142" t="str">
        <f>B20_Assessment!$C$63</f>
        <v>GC / Cx Manager / OIT</v>
      </c>
      <c r="F413" s="106" t="str">
        <f>B20_Assessment!$D$63</f>
        <v>Closed</v>
      </c>
      <c r="G413" s="106">
        <f>B20_Assessment!$E$63</f>
        <v>0</v>
      </c>
      <c r="H413" s="106">
        <f>B20_Assessment!$F$63</f>
        <v>0</v>
      </c>
      <c r="I413" s="106" t="str">
        <f>B20_Assessment!$G$63</f>
        <v>Turnover package gap</v>
      </c>
      <c r="J413" s="106">
        <f>B20_Assessment!$H$63</f>
        <v>0</v>
      </c>
      <c r="K413" s="106">
        <f>B20_Assessment!$I$63</f>
        <v>0</v>
      </c>
      <c r="L413" s="106">
        <f>B20_Assessment!$J$63</f>
        <v>0</v>
      </c>
    </row>
    <row r="414" spans="1:12" ht="40.65" customHeight="1">
      <c r="A414" s="106" t="str">
        <f>B21_Assessment!$B$2</f>
        <v>21</v>
      </c>
      <c r="B414" s="106" t="str">
        <f t="shared" si="45"/>
        <v>B20_Assessment</v>
      </c>
      <c r="C414" s="106" t="str">
        <f>B21_Assessment!$A$63</f>
        <v>B21-Q1</v>
      </c>
      <c r="D414" s="142" t="str">
        <f>B21_Assessment!$B$63</f>
        <v>Confirm final scope: new TE enclosure at Room 100A/RM 104 and existing B21 B1.TR plus B19 B05TR transition?</v>
      </c>
      <c r="E414" s="142" t="str">
        <f>B21_Assessment!$C$63</f>
        <v>VA / OIT / Designer</v>
      </c>
      <c r="F414" s="106" t="str">
        <f>B21_Assessment!$D$63</f>
        <v>Closed</v>
      </c>
      <c r="G414" s="106">
        <f>B21_Assessment!$E$63</f>
        <v>0</v>
      </c>
      <c r="H414" s="106">
        <f>B21_Assessment!$F$63</f>
        <v>0</v>
      </c>
      <c r="I414" s="106" t="str">
        <f>B21_Assessment!$G$63</f>
        <v>Room inventory or PMIS mapping could miss scope</v>
      </c>
      <c r="J414" s="106">
        <f>B21_Assessment!$H$63</f>
        <v>0</v>
      </c>
      <c r="K414" s="106">
        <f>B21_Assessment!$I$63</f>
        <v>0</v>
      </c>
      <c r="L414" s="106">
        <f>B21_Assessment!$J$63</f>
        <v>0</v>
      </c>
    </row>
    <row r="415" spans="1:12" ht="34.950000000000003" customHeight="1">
      <c r="A415" s="106" t="str">
        <f>B21_Assessment!$B$2</f>
        <v>21</v>
      </c>
      <c r="B415" s="106" t="str">
        <f t="shared" si="45"/>
        <v>B20_Assessment</v>
      </c>
      <c r="C415" s="106" t="str">
        <f>B21_Assessment!$A$64</f>
        <v>B21-Q2</v>
      </c>
      <c r="D415" s="142" t="str">
        <f>B21_Assessment!$B$64</f>
        <v>Why does 21_19T-701 list RM 104 / TR01-104-1 while enlarged plan identifies Room 100A?</v>
      </c>
      <c r="E415" s="142" t="str">
        <f>B21_Assessment!$C$64</f>
        <v>VA / Designer / OIT</v>
      </c>
      <c r="F415" s="106" t="str">
        <f>B21_Assessment!$D$64</f>
        <v>Closed</v>
      </c>
      <c r="G415" s="106">
        <f>B21_Assessment!$E$64</f>
        <v>0</v>
      </c>
      <c r="H415" s="106">
        <f>B21_Assessment!$F$64</f>
        <v>0</v>
      </c>
      <c r="I415" s="106" t="str">
        <f>B21_Assessment!$G$64</f>
        <v>Room naming mismatch could affect PMIS tracking</v>
      </c>
      <c r="J415" s="106">
        <f>B21_Assessment!$H$64</f>
        <v>0</v>
      </c>
      <c r="K415" s="106">
        <f>B21_Assessment!$I$64</f>
        <v>0</v>
      </c>
      <c r="L415" s="106">
        <f>B21_Assessment!$J$64</f>
        <v>0</v>
      </c>
    </row>
    <row r="416" spans="1:12" ht="34.950000000000003" customHeight="1">
      <c r="A416" s="106" t="str">
        <f>B21_Assessment!$B$2</f>
        <v>21</v>
      </c>
      <c r="B416" s="106" t="str">
        <f t="shared" si="45"/>
        <v>B20_Assessment</v>
      </c>
      <c r="C416" s="106" t="str">
        <f>B21_Assessment!$A$65</f>
        <v>B21-Q3</v>
      </c>
      <c r="D416" s="142" t="str">
        <f>B21_Assessment!$B$65</f>
        <v>What active services are currently fed from existing B21 B1.TR and B19 B05TR equipment?</v>
      </c>
      <c r="E416" s="142" t="str">
        <f>B21_Assessment!$C$65</f>
        <v>OIT / Contractor</v>
      </c>
      <c r="F416" s="106" t="str">
        <f>B21_Assessment!$D$65</f>
        <v>Closed</v>
      </c>
      <c r="G416" s="106">
        <f>B21_Assessment!$E$65</f>
        <v>0</v>
      </c>
      <c r="H416" s="106">
        <f>B21_Assessment!$F$65</f>
        <v>0</v>
      </c>
      <c r="I416" s="106" t="str">
        <f>B21_Assessment!$G$65</f>
        <v>Potential communications/security outage</v>
      </c>
      <c r="J416" s="106">
        <f>B21_Assessment!$H$65</f>
        <v>0</v>
      </c>
      <c r="K416" s="106">
        <f>B21_Assessment!$I$65</f>
        <v>0</v>
      </c>
      <c r="L416" s="106">
        <f>B21_Assessment!$J$65</f>
        <v>0</v>
      </c>
    </row>
    <row r="417" spans="1:12" ht="29.1" customHeight="1">
      <c r="A417" s="106" t="str">
        <f>B21_Assessment!$B$2</f>
        <v>21</v>
      </c>
      <c r="B417" s="106" t="str">
        <f t="shared" si="45"/>
        <v>B20_Assessment</v>
      </c>
      <c r="C417" s="106" t="str">
        <f>B21_Assessment!$A$66</f>
        <v>B21-Q4</v>
      </c>
      <c r="D417" s="142" t="str">
        <f>B21_Assessment!$B$66</f>
        <v>What exactly is meant by '19 serving 21' on the new TE enclosure elevation?</v>
      </c>
      <c r="E417" s="142" t="str">
        <f>B21_Assessment!$C$66</f>
        <v>VA / OIT / Designer</v>
      </c>
      <c r="F417" s="106" t="str">
        <f>B21_Assessment!$D$66</f>
        <v>Closed</v>
      </c>
      <c r="G417" s="106">
        <f>B21_Assessment!$E$66</f>
        <v>0</v>
      </c>
      <c r="H417" s="106">
        <f>B21_Assessment!$F$66</f>
        <v>0</v>
      </c>
      <c r="I417" s="106" t="str">
        <f>B21_Assessment!$G$66</f>
        <v>Building 19/21 boundary unclear</v>
      </c>
      <c r="J417" s="106">
        <f>B21_Assessment!$H$66</f>
        <v>0</v>
      </c>
      <c r="K417" s="106">
        <f>B21_Assessment!$I$66</f>
        <v>0</v>
      </c>
      <c r="L417" s="106">
        <f>B21_Assessment!$J$66</f>
        <v>0</v>
      </c>
    </row>
    <row r="418" spans="1:12" ht="40.65" customHeight="1">
      <c r="A418" s="106" t="str">
        <f>B21_Assessment!$B$2</f>
        <v>21</v>
      </c>
      <c r="B418" s="106" t="str">
        <f t="shared" si="45"/>
        <v>B20_Assessment</v>
      </c>
      <c r="C418" s="106" t="str">
        <f>B21_Assessment!$A$67</f>
        <v>B21-Q5</v>
      </c>
      <c r="D418" s="142" t="str">
        <f>B21_Assessment!$B$67</f>
        <v>What is the approved power source, receptacle type and circuit capacity for the new APC UPS/PDU in 100A?</v>
      </c>
      <c r="E418" s="142" t="str">
        <f>B21_Assessment!$C$67</f>
        <v>Electrical / Designer</v>
      </c>
      <c r="F418" s="106" t="str">
        <f>B21_Assessment!$D$67</f>
        <v>Closed</v>
      </c>
      <c r="G418" s="106">
        <f>B21_Assessment!$E$67</f>
        <v>0</v>
      </c>
      <c r="H418" s="106">
        <f>B21_Assessment!$F$67</f>
        <v>0</v>
      </c>
      <c r="I418" s="106" t="str">
        <f>B21_Assessment!$G$67</f>
        <v>Electrical readiness unknown</v>
      </c>
      <c r="J418" s="106">
        <f>B21_Assessment!$H$67</f>
        <v>0</v>
      </c>
      <c r="K418" s="106">
        <f>B21_Assessment!$I$67</f>
        <v>0</v>
      </c>
      <c r="L418" s="106">
        <f>B21_Assessment!$J$67</f>
        <v>0</v>
      </c>
    </row>
    <row r="419" spans="1:12" ht="29.1" customHeight="1">
      <c r="A419" s="106" t="str">
        <f>B21_Assessment!$B$2</f>
        <v>21</v>
      </c>
      <c r="B419" s="106" t="str">
        <f t="shared" ref="B419:B426" si="46">"B21_Assessment"</f>
        <v>B21_Assessment</v>
      </c>
      <c r="C419" s="106" t="str">
        <f>B21_Assessment!$A$68</f>
        <v>B21-Q6</v>
      </c>
      <c r="D419" s="142" t="str">
        <f>B21_Assessment!$B$68</f>
        <v>Are all 659 ft of cable tray route, sleeves, supports and firestopping details field verified?</v>
      </c>
      <c r="E419" s="142" t="str">
        <f>B21_Assessment!$C$68</f>
        <v>Telecom / GC / Firestop</v>
      </c>
      <c r="F419" s="106" t="str">
        <f>B21_Assessment!$D$68</f>
        <v>Closed</v>
      </c>
      <c r="G419" s="106">
        <f>B21_Assessment!$E$68</f>
        <v>0</v>
      </c>
      <c r="H419" s="106">
        <f>B21_Assessment!$F$68</f>
        <v>0</v>
      </c>
      <c r="I419" s="106" t="str">
        <f>B21_Assessment!$G$68</f>
        <v>Install delay or firestop gap</v>
      </c>
      <c r="J419" s="106">
        <f>B21_Assessment!$H$68</f>
        <v>0</v>
      </c>
      <c r="K419" s="106">
        <f>B21_Assessment!$I$68</f>
        <v>0</v>
      </c>
      <c r="L419" s="106">
        <f>B21_Assessment!$J$68</f>
        <v>0</v>
      </c>
    </row>
    <row r="420" spans="1:12" ht="40.65" customHeight="1">
      <c r="A420" s="106" t="str">
        <f>B21_Assessment!$B$2</f>
        <v>21</v>
      </c>
      <c r="B420" s="106" t="str">
        <f t="shared" si="46"/>
        <v>B21_Assessment</v>
      </c>
      <c r="C420" s="106" t="str">
        <f>B21_Assessment!$A$69</f>
        <v>B21-Q7</v>
      </c>
      <c r="D420" s="142" t="str">
        <f>B21_Assessment!$B$69</f>
        <v>Are the 10 new Cat6A cross-connect cables from existing TE to new TE location coordinated and labeled?</v>
      </c>
      <c r="E420" s="142" t="str">
        <f>B21_Assessment!$C$69</f>
        <v>Telecom / OIT</v>
      </c>
      <c r="F420" s="106" t="str">
        <f>B21_Assessment!$D$69</f>
        <v>Closed</v>
      </c>
      <c r="G420" s="106">
        <f>B21_Assessment!$E$69</f>
        <v>0</v>
      </c>
      <c r="H420" s="106">
        <f>B21_Assessment!$F$69</f>
        <v>0</v>
      </c>
      <c r="I420" s="106" t="str">
        <f>B21_Assessment!$G$69</f>
        <v>Cutover and labeling risk</v>
      </c>
      <c r="J420" s="106">
        <f>B21_Assessment!$H$69</f>
        <v>0</v>
      </c>
      <c r="K420" s="106">
        <f>B21_Assessment!$I$69</f>
        <v>0</v>
      </c>
      <c r="L420" s="106">
        <f>B21_Assessment!$J$69</f>
        <v>0</v>
      </c>
    </row>
    <row r="421" spans="1:12" ht="29.1" customHeight="1">
      <c r="A421" s="106" t="str">
        <f>B21_Assessment!$B$2</f>
        <v>21</v>
      </c>
      <c r="B421" s="106" t="str">
        <f t="shared" si="46"/>
        <v>B21_Assessment</v>
      </c>
      <c r="C421" s="106" t="str">
        <f>B21_Assessment!$A$70</f>
        <v>B21-Q8</v>
      </c>
      <c r="D421" s="142" t="str">
        <f>B21_Assessment!$B$70</f>
        <v>Which test records and turnover documents are required for TE-only acceptance?</v>
      </c>
      <c r="E421" s="142" t="str">
        <f>B21_Assessment!$C$70</f>
        <v>GC / Cx Manager / OIT</v>
      </c>
      <c r="F421" s="106" t="str">
        <f>B21_Assessment!$D$70</f>
        <v>Closed</v>
      </c>
      <c r="G421" s="106">
        <f>B21_Assessment!$E$70</f>
        <v>0</v>
      </c>
      <c r="H421" s="106">
        <f>B21_Assessment!$F$70</f>
        <v>0</v>
      </c>
      <c r="I421" s="106" t="str">
        <f>B21_Assessment!$G$70</f>
        <v>Turnover package gap</v>
      </c>
      <c r="J421" s="106">
        <f>B21_Assessment!$H$70</f>
        <v>0</v>
      </c>
      <c r="K421" s="106">
        <f>B21_Assessment!$I$70</f>
        <v>0</v>
      </c>
      <c r="L421" s="106">
        <f>B21_Assessment!$J$70</f>
        <v>0</v>
      </c>
    </row>
    <row r="422" spans="1:12" ht="34.950000000000003" customHeight="1">
      <c r="A422" s="106" t="str">
        <f>B22_Assessment!$B$2</f>
        <v>22</v>
      </c>
      <c r="B422" s="106" t="str">
        <f t="shared" si="46"/>
        <v>B21_Assessment</v>
      </c>
      <c r="C422" s="106" t="str">
        <f>B22_Assessment!$A$56</f>
        <v>B22-Q1</v>
      </c>
      <c r="D422" s="142" t="str">
        <f>B22_Assessment!$B$56</f>
        <v>Confirm final scope: new wall-mount TE enclosure in Break Room 102 and existing Room 103 transition only?</v>
      </c>
      <c r="E422" s="142" t="str">
        <f>B22_Assessment!$C$56</f>
        <v>VA / OIT / Designer</v>
      </c>
      <c r="F422" s="106" t="str">
        <f>B22_Assessment!$D$56</f>
        <v>Closed</v>
      </c>
      <c r="G422" s="106">
        <f>B22_Assessment!$E$56</f>
        <v>0</v>
      </c>
      <c r="H422" s="106">
        <f>B22_Assessment!$F$56</f>
        <v>0</v>
      </c>
      <c r="I422" s="106" t="str">
        <f>B22_Assessment!$G$56</f>
        <v>Room inventory or PMIS mapping could miss scope</v>
      </c>
      <c r="J422" s="106">
        <f>B22_Assessment!$H$56</f>
        <v>0</v>
      </c>
      <c r="K422" s="106">
        <f>B22_Assessment!$I$56</f>
        <v>0</v>
      </c>
      <c r="L422" s="106">
        <f>B22_Assessment!$J$56</f>
        <v>0</v>
      </c>
    </row>
    <row r="423" spans="1:12" ht="29.1" customHeight="1">
      <c r="A423" s="106" t="str">
        <f>B22_Assessment!$B$2</f>
        <v>22</v>
      </c>
      <c r="B423" s="106" t="str">
        <f t="shared" si="46"/>
        <v>B21_Assessment</v>
      </c>
      <c r="C423" s="106" t="str">
        <f>B22_Assessment!$A$57</f>
        <v>B22-Q2</v>
      </c>
      <c r="D423" s="142" t="str">
        <f>B22_Assessment!$B$57</f>
        <v>What active services are currently fed from existing Room 103 equipment?</v>
      </c>
      <c r="E423" s="142" t="str">
        <f>B22_Assessment!$C$57</f>
        <v>OIT / Contractor</v>
      </c>
      <c r="F423" s="106" t="str">
        <f>B22_Assessment!$D$57</f>
        <v>Closed</v>
      </c>
      <c r="G423" s="106">
        <f>B22_Assessment!$E$57</f>
        <v>0</v>
      </c>
      <c r="H423" s="106">
        <f>B22_Assessment!$F$57</f>
        <v>0</v>
      </c>
      <c r="I423" s="106" t="str">
        <f>B22_Assessment!$G$57</f>
        <v>Potential communications/security outage</v>
      </c>
      <c r="J423" s="106">
        <f>B22_Assessment!$H$57</f>
        <v>0</v>
      </c>
      <c r="K423" s="106">
        <f>B22_Assessment!$I$57</f>
        <v>0</v>
      </c>
      <c r="L423" s="106">
        <f>B22_Assessment!$J$57</f>
        <v>0</v>
      </c>
    </row>
    <row r="424" spans="1:12" ht="40.65" customHeight="1">
      <c r="A424" s="106" t="str">
        <f>B22_Assessment!$B$2</f>
        <v>22</v>
      </c>
      <c r="B424" s="106" t="str">
        <f t="shared" si="46"/>
        <v>B21_Assessment</v>
      </c>
      <c r="C424" s="106" t="str">
        <f>B22_Assessment!$A$58</f>
        <v>B22-Q3</v>
      </c>
      <c r="D424" s="142" t="str">
        <f>B22_Assessment!$B$58</f>
        <v>What is the approved power source, receptacle type and circuit capacity for the new APC UPS/PDU in Room 102?</v>
      </c>
      <c r="E424" s="142" t="str">
        <f>B22_Assessment!$C$58</f>
        <v>Electrical / Designer</v>
      </c>
      <c r="F424" s="106" t="str">
        <f>B22_Assessment!$D$58</f>
        <v>Closed</v>
      </c>
      <c r="G424" s="106">
        <f>B22_Assessment!$E$58</f>
        <v>0</v>
      </c>
      <c r="H424" s="106">
        <f>B22_Assessment!$F$58</f>
        <v>0</v>
      </c>
      <c r="I424" s="106" t="str">
        <f>B22_Assessment!$G$58</f>
        <v>Electrical readiness unknown</v>
      </c>
      <c r="J424" s="106">
        <f>B22_Assessment!$H$58</f>
        <v>0</v>
      </c>
      <c r="K424" s="106">
        <f>B22_Assessment!$I$58</f>
        <v>0</v>
      </c>
      <c r="L424" s="106">
        <f>B22_Assessment!$J$58</f>
        <v>0</v>
      </c>
    </row>
    <row r="425" spans="1:12" ht="40.65" customHeight="1">
      <c r="A425" s="106" t="str">
        <f>B22_Assessment!$B$2</f>
        <v>22</v>
      </c>
      <c r="B425" s="106" t="str">
        <f t="shared" si="46"/>
        <v>B21_Assessment</v>
      </c>
      <c r="C425" s="106" t="str">
        <f>B22_Assessment!$A$59</f>
        <v>B22-Q4</v>
      </c>
      <c r="D425" s="142" t="str">
        <f>B22_Assessment!$B$59</f>
        <v>Is Break Room 102 HVAC/ambient condition acceptable for a wall-mount TE with UPS/PDU/network switch?</v>
      </c>
      <c r="E425" s="142" t="str">
        <f>B22_Assessment!$C$59</f>
        <v>VA / OIT / Facilities</v>
      </c>
      <c r="F425" s="106" t="str">
        <f>B22_Assessment!$D$59</f>
        <v>Closed</v>
      </c>
      <c r="G425" s="106">
        <f>B22_Assessment!$E$59</f>
        <v>0</v>
      </c>
      <c r="H425" s="106">
        <f>B22_Assessment!$F$59</f>
        <v>0</v>
      </c>
      <c r="I425" s="106" t="str">
        <f>B22_Assessment!$G$59</f>
        <v>Heat/load risk after mechanical scope excluded</v>
      </c>
      <c r="J425" s="106">
        <f>B22_Assessment!$H$59</f>
        <v>0</v>
      </c>
      <c r="K425" s="106">
        <f>B22_Assessment!$I$59</f>
        <v>0</v>
      </c>
      <c r="L425" s="106">
        <f>B22_Assessment!$J$59</f>
        <v>0</v>
      </c>
    </row>
    <row r="426" spans="1:12" ht="40.65" customHeight="1">
      <c r="A426" s="106" t="str">
        <f>B22_Assessment!$B$2</f>
        <v>22</v>
      </c>
      <c r="B426" s="106" t="str">
        <f t="shared" si="46"/>
        <v>B21_Assessment</v>
      </c>
      <c r="C426" s="106" t="str">
        <f>B22_Assessment!$A$60</f>
        <v>B22-Q5</v>
      </c>
      <c r="D426" s="142" t="str">
        <f>B22_Assessment!$B$60</f>
        <v>Are existing cameras/security devices in Building 22 protected and retained with no VMS/PACS changes?</v>
      </c>
      <c r="E426" s="142" t="str">
        <f>B22_Assessment!$C$60</f>
        <v>Security / OIT</v>
      </c>
      <c r="F426" s="106" t="str">
        <f>B22_Assessment!$D$60</f>
        <v>Closed</v>
      </c>
      <c r="G426" s="106">
        <f>B22_Assessment!$E$60</f>
        <v>0</v>
      </c>
      <c r="H426" s="106">
        <f>B22_Assessment!$F$60</f>
        <v>0</v>
      </c>
      <c r="I426" s="106" t="str">
        <f>B22_Assessment!$G$60</f>
        <v>Security continuity unclear</v>
      </c>
      <c r="J426" s="106">
        <f>B22_Assessment!$H$60</f>
        <v>0</v>
      </c>
      <c r="K426" s="106">
        <f>B22_Assessment!$I$60</f>
        <v>0</v>
      </c>
      <c r="L426" s="106">
        <f>B22_Assessment!$J$60</f>
        <v>0</v>
      </c>
    </row>
    <row r="427" spans="1:12" ht="29.1" customHeight="1">
      <c r="A427" s="106" t="str">
        <f>B22_Assessment!$B$2</f>
        <v>22</v>
      </c>
      <c r="B427" s="106" t="str">
        <f t="shared" ref="B427:B434" si="47">"B22_Assessment"</f>
        <v>B22_Assessment</v>
      </c>
      <c r="C427" s="106" t="str">
        <f>B22_Assessment!$A$61</f>
        <v>B22-Q6</v>
      </c>
      <c r="D427" s="142" t="str">
        <f>B22_Assessment!$B$61</f>
        <v>Are all 139 feet of cable tray route, sleeves, supports and firestopping details field verified?</v>
      </c>
      <c r="E427" s="142" t="str">
        <f>B22_Assessment!$C$61</f>
        <v>Telecom / GC / Firestop</v>
      </c>
      <c r="F427" s="106" t="str">
        <f>B22_Assessment!$D$61</f>
        <v>Closed</v>
      </c>
      <c r="G427" s="106">
        <f>B22_Assessment!$E$61</f>
        <v>0</v>
      </c>
      <c r="H427" s="106">
        <f>B22_Assessment!$F$61</f>
        <v>0</v>
      </c>
      <c r="I427" s="106" t="str">
        <f>B22_Assessment!$G$61</f>
        <v>Install delay or firestop gap</v>
      </c>
      <c r="J427" s="106">
        <f>B22_Assessment!$H$61</f>
        <v>0</v>
      </c>
      <c r="K427" s="106">
        <f>B22_Assessment!$I$61</f>
        <v>0</v>
      </c>
      <c r="L427" s="106">
        <f>B22_Assessment!$J$61</f>
        <v>0</v>
      </c>
    </row>
    <row r="428" spans="1:12" ht="40.65" customHeight="1">
      <c r="A428" s="106" t="str">
        <f>B22_Assessment!$B$2</f>
        <v>22</v>
      </c>
      <c r="B428" s="106" t="str">
        <f t="shared" si="47"/>
        <v>B22_Assessment</v>
      </c>
      <c r="C428" s="106" t="str">
        <f>B22_Assessment!$A$62</f>
        <v>B22-Q7</v>
      </c>
      <c r="D428" s="142" t="str">
        <f>B22_Assessment!$B$62</f>
        <v>Are the 10 new Cat6A cross-connect cables from existing TE to new TE location coordinated and labeled?</v>
      </c>
      <c r="E428" s="142" t="str">
        <f>B22_Assessment!$C$62</f>
        <v>Telecom / OIT</v>
      </c>
      <c r="F428" s="106" t="str">
        <f>B22_Assessment!$D$62</f>
        <v>Closed</v>
      </c>
      <c r="G428" s="106">
        <f>B22_Assessment!$E$62</f>
        <v>0</v>
      </c>
      <c r="H428" s="106">
        <f>B22_Assessment!$F$62</f>
        <v>0</v>
      </c>
      <c r="I428" s="106" t="str">
        <f>B22_Assessment!$G$62</f>
        <v>Cutover and labeling risk</v>
      </c>
      <c r="J428" s="106">
        <f>B22_Assessment!$H$62</f>
        <v>0</v>
      </c>
      <c r="K428" s="106">
        <f>B22_Assessment!$I$62</f>
        <v>0</v>
      </c>
      <c r="L428" s="106">
        <f>B22_Assessment!$J$62</f>
        <v>0</v>
      </c>
    </row>
    <row r="429" spans="1:12" ht="29.1" customHeight="1">
      <c r="A429" s="106" t="str">
        <f>B22_Assessment!$B$2</f>
        <v>22</v>
      </c>
      <c r="B429" s="106" t="str">
        <f t="shared" si="47"/>
        <v>B22_Assessment</v>
      </c>
      <c r="C429" s="106" t="str">
        <f>B22_Assessment!$A$63</f>
        <v>B22-Q8</v>
      </c>
      <c r="D429" s="142" t="str">
        <f>B22_Assessment!$B$63</f>
        <v>What is the operational impact of Room 103 ports 1-24 to Building 19 ports 73-96?</v>
      </c>
      <c r="E429" s="142" t="str">
        <f>B22_Assessment!$C$63</f>
        <v>VA / OIT / Designer</v>
      </c>
      <c r="F429" s="106" t="str">
        <f>B22_Assessment!$D$63</f>
        <v>Closed</v>
      </c>
      <c r="G429" s="106">
        <f>B22_Assessment!$E$63</f>
        <v>0</v>
      </c>
      <c r="H429" s="106">
        <f>B22_Assessment!$F$63</f>
        <v>0</v>
      </c>
      <c r="I429" s="106" t="str">
        <f>B22_Assessment!$G$63</f>
        <v>B19 dependency/cutover risk</v>
      </c>
      <c r="J429" s="106">
        <f>B22_Assessment!$H$63</f>
        <v>0</v>
      </c>
      <c r="K429" s="106">
        <f>B22_Assessment!$I$63</f>
        <v>0</v>
      </c>
      <c r="L429" s="106">
        <f>B22_Assessment!$J$63</f>
        <v>0</v>
      </c>
    </row>
    <row r="430" spans="1:12" ht="29.1" customHeight="1">
      <c r="A430" s="106" t="str">
        <f>B33_Assessment!$B$2</f>
        <v>33</v>
      </c>
      <c r="B430" s="106" t="str">
        <f t="shared" si="47"/>
        <v>B22_Assessment</v>
      </c>
      <c r="C430" s="106" t="str">
        <f>B33_Assessment!$A$56</f>
        <v>B33-Q1</v>
      </c>
      <c r="D430" s="142" t="str">
        <f>B33_Assessment!$B$56</f>
        <v>Confirm final scope: new wall-mount TE enclosure in B23 and existing B17 transition only?</v>
      </c>
      <c r="E430" s="142" t="str">
        <f>B33_Assessment!$C$56</f>
        <v>VA / OIT / Designer</v>
      </c>
      <c r="F430" s="106" t="str">
        <f>B33_Assessment!$D$56</f>
        <v>Closed</v>
      </c>
      <c r="G430" s="106">
        <f>B33_Assessment!$E$56</f>
        <v>0</v>
      </c>
      <c r="H430" s="106">
        <f>B33_Assessment!$F$56</f>
        <v>0</v>
      </c>
      <c r="I430" s="106" t="str">
        <f>B33_Assessment!$G$56</f>
        <v>Room inventory or PMIS mapping could miss scope</v>
      </c>
      <c r="J430" s="106">
        <f>B33_Assessment!$H$56</f>
        <v>0</v>
      </c>
      <c r="K430" s="106">
        <f>B33_Assessment!$I$56</f>
        <v>0</v>
      </c>
      <c r="L430" s="106">
        <f>B33_Assessment!$J$56</f>
        <v>0</v>
      </c>
    </row>
    <row r="431" spans="1:12" ht="29.1" customHeight="1">
      <c r="A431" s="106" t="str">
        <f>B33_Assessment!$B$2</f>
        <v>33</v>
      </c>
      <c r="B431" s="106" t="str">
        <f t="shared" si="47"/>
        <v>B22_Assessment</v>
      </c>
      <c r="C431" s="106" t="str">
        <f>B33_Assessment!$A$57</f>
        <v>B33-Q2</v>
      </c>
      <c r="D431" s="142" t="str">
        <f>B33_Assessment!$B$57</f>
        <v>What active services are currently fed from existing B17 equipment?</v>
      </c>
      <c r="E431" s="142" t="str">
        <f>B33_Assessment!$C$57</f>
        <v>OIT / Contractor</v>
      </c>
      <c r="F431" s="106" t="str">
        <f>B33_Assessment!$D$57</f>
        <v>Closed</v>
      </c>
      <c r="G431" s="106">
        <f>B33_Assessment!$E$57</f>
        <v>0</v>
      </c>
      <c r="H431" s="106">
        <f>B33_Assessment!$F$57</f>
        <v>0</v>
      </c>
      <c r="I431" s="106" t="str">
        <f>B33_Assessment!$G$57</f>
        <v>Potential communications/security outage</v>
      </c>
      <c r="J431" s="106">
        <f>B33_Assessment!$H$57</f>
        <v>0</v>
      </c>
      <c r="K431" s="106">
        <f>B33_Assessment!$I$57</f>
        <v>0</v>
      </c>
      <c r="L431" s="106">
        <f>B33_Assessment!$J$57</f>
        <v>0</v>
      </c>
    </row>
    <row r="432" spans="1:12" ht="40.65" customHeight="1">
      <c r="A432" s="106" t="str">
        <f>B33_Assessment!$B$2</f>
        <v>33</v>
      </c>
      <c r="B432" s="106" t="str">
        <f t="shared" si="47"/>
        <v>B22_Assessment</v>
      </c>
      <c r="C432" s="106" t="str">
        <f>B33_Assessment!$A$58</f>
        <v>B33-Q3</v>
      </c>
      <c r="D432" s="142" t="str">
        <f>B33_Assessment!$B$58</f>
        <v>What is the approved power source, receptacle type and circuit capacity for the new APC UPS/PDU in B23?</v>
      </c>
      <c r="E432" s="142" t="str">
        <f>B33_Assessment!$C$58</f>
        <v>Electrical / Designer</v>
      </c>
      <c r="F432" s="106" t="str">
        <f>B33_Assessment!$D$58</f>
        <v>Closed</v>
      </c>
      <c r="G432" s="106">
        <f>B33_Assessment!$E$58</f>
        <v>0</v>
      </c>
      <c r="H432" s="106">
        <f>B33_Assessment!$F$58</f>
        <v>0</v>
      </c>
      <c r="I432" s="106" t="str">
        <f>B33_Assessment!$G$58</f>
        <v>Electrical readiness unknown</v>
      </c>
      <c r="J432" s="106">
        <f>B33_Assessment!$H$58</f>
        <v>0</v>
      </c>
      <c r="K432" s="106">
        <f>B33_Assessment!$I$58</f>
        <v>0</v>
      </c>
      <c r="L432" s="106">
        <f>B33_Assessment!$J$58</f>
        <v>0</v>
      </c>
    </row>
    <row r="433" spans="1:12" ht="40.65" customHeight="1">
      <c r="A433" s="106" t="str">
        <f>B33_Assessment!$B$2</f>
        <v>33</v>
      </c>
      <c r="B433" s="106" t="str">
        <f t="shared" si="47"/>
        <v>B22_Assessment</v>
      </c>
      <c r="C433" s="106" t="str">
        <f>B33_Assessment!$A$59</f>
        <v>B33-Q4</v>
      </c>
      <c r="D433" s="142" t="str">
        <f>B33_Assessment!$B$59</f>
        <v>Is Office B23 HVAC/ambient condition acceptable for a wall-mount TE with UPS/PDU/network switch?</v>
      </c>
      <c r="E433" s="142" t="str">
        <f>B33_Assessment!$C$59</f>
        <v>VA / OIT / Facilities</v>
      </c>
      <c r="F433" s="106" t="str">
        <f>B33_Assessment!$D$59</f>
        <v>Closed</v>
      </c>
      <c r="G433" s="106">
        <f>B33_Assessment!$E$59</f>
        <v>0</v>
      </c>
      <c r="H433" s="106">
        <f>B33_Assessment!$F$59</f>
        <v>0</v>
      </c>
      <c r="I433" s="106" t="str">
        <f>B33_Assessment!$G$59</f>
        <v>Heat/load risk after mechanical scope excluded</v>
      </c>
      <c r="J433" s="106">
        <f>B33_Assessment!$H$59</f>
        <v>0</v>
      </c>
      <c r="K433" s="106">
        <f>B33_Assessment!$I$59</f>
        <v>0</v>
      </c>
      <c r="L433" s="106">
        <f>B33_Assessment!$J$59</f>
        <v>0</v>
      </c>
    </row>
    <row r="434" spans="1:12" ht="40.65" customHeight="1">
      <c r="A434" s="106" t="str">
        <f>B33_Assessment!$B$2</f>
        <v>33</v>
      </c>
      <c r="B434" s="106" t="str">
        <f t="shared" si="47"/>
        <v>B22_Assessment</v>
      </c>
      <c r="C434" s="106" t="str">
        <f>B33_Assessment!$A$60</f>
        <v>B33-Q5</v>
      </c>
      <c r="D434" s="142" t="str">
        <f>B33_Assessment!$B$60</f>
        <v>Are existing cameras/security devices in Building 33 protected and retained with no VMS/PACS disruption?</v>
      </c>
      <c r="E434" s="142" t="str">
        <f>B33_Assessment!$C$60</f>
        <v>Security / OIT</v>
      </c>
      <c r="F434" s="106" t="str">
        <f>B33_Assessment!$D$60</f>
        <v>Closed</v>
      </c>
      <c r="G434" s="106">
        <f>B33_Assessment!$E$60</f>
        <v>0</v>
      </c>
      <c r="H434" s="106">
        <f>B33_Assessment!$F$60</f>
        <v>0</v>
      </c>
      <c r="I434" s="106" t="str">
        <f>B33_Assessment!$G$60</f>
        <v>Security continuity unclear</v>
      </c>
      <c r="J434" s="106">
        <f>B33_Assessment!$H$60</f>
        <v>0</v>
      </c>
      <c r="K434" s="106">
        <f>B33_Assessment!$I$60</f>
        <v>0</v>
      </c>
      <c r="L434" s="106">
        <f>B33_Assessment!$J$60</f>
        <v>0</v>
      </c>
    </row>
    <row r="435" spans="1:12" ht="29.1" customHeight="1">
      <c r="A435" s="106" t="str">
        <f>B33_Assessment!$B$2</f>
        <v>33</v>
      </c>
      <c r="B435" s="106" t="str">
        <f t="shared" ref="B435:B442" si="48">"B33_Assessment"</f>
        <v>B33_Assessment</v>
      </c>
      <c r="C435" s="106" t="str">
        <f>B33_Assessment!$A$61</f>
        <v>B33-Q6</v>
      </c>
      <c r="D435" s="142" t="str">
        <f>B33_Assessment!$B$61</f>
        <v>Are all 102 feet of cable tray route, sleeves, supports and firestopping details field verified?</v>
      </c>
      <c r="E435" s="142" t="str">
        <f>B33_Assessment!$C$61</f>
        <v>Telecom / GC / Firestop</v>
      </c>
      <c r="F435" s="106" t="str">
        <f>B33_Assessment!$D$61</f>
        <v>Closed</v>
      </c>
      <c r="G435" s="106">
        <f>B33_Assessment!$E$61</f>
        <v>0</v>
      </c>
      <c r="H435" s="106">
        <f>B33_Assessment!$F$61</f>
        <v>0</v>
      </c>
      <c r="I435" s="106" t="str">
        <f>B33_Assessment!$G$61</f>
        <v>Install delay or firestop gap</v>
      </c>
      <c r="J435" s="106">
        <f>B33_Assessment!$H$61</f>
        <v>0</v>
      </c>
      <c r="K435" s="106">
        <f>B33_Assessment!$I$61</f>
        <v>0</v>
      </c>
      <c r="L435" s="106">
        <f>B33_Assessment!$J$61</f>
        <v>0</v>
      </c>
    </row>
    <row r="436" spans="1:12" ht="40.65" customHeight="1">
      <c r="A436" s="106" t="str">
        <f>B33_Assessment!$B$2</f>
        <v>33</v>
      </c>
      <c r="B436" s="106" t="str">
        <f t="shared" si="48"/>
        <v>B33_Assessment</v>
      </c>
      <c r="C436" s="106" t="str">
        <f>B33_Assessment!$A$62</f>
        <v>B33-Q7</v>
      </c>
      <c r="D436" s="142" t="str">
        <f>B33_Assessment!$B$62</f>
        <v>Are the 10 new Cat6A cross-connect cables from existing TE to new TE location coordinated and labeled?</v>
      </c>
      <c r="E436" s="142" t="str">
        <f>B33_Assessment!$C$62</f>
        <v>Telecom / OIT</v>
      </c>
      <c r="F436" s="106" t="str">
        <f>B33_Assessment!$D$62</f>
        <v>Closed</v>
      </c>
      <c r="G436" s="106">
        <f>B33_Assessment!$E$62</f>
        <v>0</v>
      </c>
      <c r="H436" s="106">
        <f>B33_Assessment!$F$62</f>
        <v>0</v>
      </c>
      <c r="I436" s="106" t="str">
        <f>B33_Assessment!$G$62</f>
        <v>Cutover and labeling risk</v>
      </c>
      <c r="J436" s="106">
        <f>B33_Assessment!$H$62</f>
        <v>0</v>
      </c>
      <c r="K436" s="106">
        <f>B33_Assessment!$I$62</f>
        <v>0</v>
      </c>
      <c r="L436" s="106">
        <f>B33_Assessment!$J$62</f>
        <v>0</v>
      </c>
    </row>
    <row r="437" spans="1:12" ht="29.1" customHeight="1">
      <c r="A437" s="106" t="str">
        <f>B33_Assessment!$B$2</f>
        <v>33</v>
      </c>
      <c r="B437" s="106" t="str">
        <f t="shared" si="48"/>
        <v>B33_Assessment</v>
      </c>
      <c r="C437" s="106" t="str">
        <f>B33_Assessment!$A$63</f>
        <v>B33-Q8</v>
      </c>
      <c r="D437" s="142" t="str">
        <f>B33_Assessment!$B$63</f>
        <v>What is the operational impact of B17 ports serving Buildings 3, 80 and 82?</v>
      </c>
      <c r="E437" s="142" t="str">
        <f>B33_Assessment!$C$63</f>
        <v>VA / OIT / Designer</v>
      </c>
      <c r="F437" s="106" t="str">
        <f>B33_Assessment!$D$63</f>
        <v>Closed</v>
      </c>
      <c r="G437" s="106">
        <f>B33_Assessment!$E$63</f>
        <v>0</v>
      </c>
      <c r="H437" s="106">
        <f>B33_Assessment!$F$63</f>
        <v>0</v>
      </c>
      <c r="I437" s="106" t="str">
        <f>B33_Assessment!$G$63</f>
        <v>Cross-building dependency/cutover risk</v>
      </c>
      <c r="J437" s="106">
        <f>B33_Assessment!$H$63</f>
        <v>0</v>
      </c>
      <c r="K437" s="106">
        <f>B33_Assessment!$I$63</f>
        <v>0</v>
      </c>
      <c r="L437" s="106">
        <f>B33_Assessment!$J$63</f>
        <v>0</v>
      </c>
    </row>
    <row r="438" spans="1:12" ht="46.35" customHeight="1">
      <c r="A438" s="106" t="str">
        <f>B61_Assessment!$B$2</f>
        <v>61</v>
      </c>
      <c r="B438" s="106" t="str">
        <f t="shared" si="48"/>
        <v>B33_Assessment</v>
      </c>
      <c r="C438" s="106" t="str">
        <f>B61_Assessment!$A$70</f>
        <v>B61-Q1</v>
      </c>
      <c r="D438" s="142" t="str">
        <f>B61_Assessment!$B$70</f>
        <v>Confirm final telecom room list and PMIS mapping: B13H-A, 124, 226 and existing 137/137A demarc/server rooms?</v>
      </c>
      <c r="E438" s="142" t="str">
        <f>B61_Assessment!$C$70</f>
        <v>VA / OIT / Designer</v>
      </c>
      <c r="F438" s="106" t="str">
        <f>B61_Assessment!$D$70</f>
        <v>Closed</v>
      </c>
      <c r="G438" s="106">
        <f>B61_Assessment!$E$70</f>
        <v>0</v>
      </c>
      <c r="H438" s="106">
        <f>B61_Assessment!$F$70</f>
        <v>0</v>
      </c>
      <c r="I438" s="106" t="str">
        <f>B61_Assessment!$G$70</f>
        <v>Room inventory could miss scope</v>
      </c>
      <c r="J438" s="106">
        <f>B61_Assessment!$H$70</f>
        <v>0</v>
      </c>
      <c r="K438" s="106">
        <f>B61_Assessment!$I$70</f>
        <v>0</v>
      </c>
      <c r="L438" s="106">
        <f>B61_Assessment!$J$70</f>
        <v>0</v>
      </c>
    </row>
    <row r="439" spans="1:12" ht="29.1" customHeight="1">
      <c r="A439" s="106" t="str">
        <f>B61_Assessment!$B$2</f>
        <v>61</v>
      </c>
      <c r="B439" s="106" t="str">
        <f t="shared" si="48"/>
        <v>B33_Assessment</v>
      </c>
      <c r="C439" s="106" t="str">
        <f>B61_Assessment!$A$71</f>
        <v>B61-Q2</v>
      </c>
      <c r="D439" s="142" t="str">
        <f>B61_Assessment!$B$71</f>
        <v>What active services and circuits are currently housed in Room 137/137A?</v>
      </c>
      <c r="E439" s="142" t="str">
        <f>B61_Assessment!$C$71</f>
        <v>OIT / Contractor</v>
      </c>
      <c r="F439" s="106" t="str">
        <f>B61_Assessment!$D$71</f>
        <v>Closed</v>
      </c>
      <c r="G439" s="106">
        <f>B61_Assessment!$E$71</f>
        <v>0</v>
      </c>
      <c r="H439" s="106">
        <f>B61_Assessment!$F$71</f>
        <v>0</v>
      </c>
      <c r="I439" s="106" t="str">
        <f>B61_Assessment!$G$71</f>
        <v>Potential outage/cutover risk</v>
      </c>
      <c r="J439" s="106">
        <f>B61_Assessment!$H$71</f>
        <v>0</v>
      </c>
      <c r="K439" s="106">
        <f>B61_Assessment!$I$71</f>
        <v>0</v>
      </c>
      <c r="L439" s="106">
        <f>B61_Assessment!$J$71</f>
        <v>0</v>
      </c>
    </row>
    <row r="440" spans="1:12" ht="40.65" customHeight="1">
      <c r="A440" s="106" t="str">
        <f>B61_Assessment!$B$2</f>
        <v>61</v>
      </c>
      <c r="B440" s="106" t="str">
        <f t="shared" si="48"/>
        <v>B33_Assessment</v>
      </c>
      <c r="C440" s="106" t="str">
        <f>B61_Assessment!$A$72</f>
        <v>B61-Q3</v>
      </c>
      <c r="D440" s="142" t="str">
        <f>B61_Assessment!$B$72</f>
        <v>Are B61-TR137AA/AB panel references tied to Room 137 or a schedule naming mismatch for Room 124?</v>
      </c>
      <c r="E440" s="142" t="str">
        <f>B61_Assessment!$C$72</f>
        <v>Electrical / Designer</v>
      </c>
      <c r="F440" s="106" t="str">
        <f>B61_Assessment!$D$72</f>
        <v>Closed</v>
      </c>
      <c r="G440" s="106">
        <f>B61_Assessment!$E$72</f>
        <v>0</v>
      </c>
      <c r="H440" s="106">
        <f>B61_Assessment!$F$72</f>
        <v>0</v>
      </c>
      <c r="I440" s="106" t="str">
        <f>B61_Assessment!$G$72</f>
        <v>Electrical PMIS mapping risk</v>
      </c>
      <c r="J440" s="106">
        <f>B61_Assessment!$H$72</f>
        <v>0</v>
      </c>
      <c r="K440" s="106">
        <f>B61_Assessment!$I$72</f>
        <v>0</v>
      </c>
      <c r="L440" s="106">
        <f>B61_Assessment!$J$72</f>
        <v>0</v>
      </c>
    </row>
    <row r="441" spans="1:12" ht="34.950000000000003" customHeight="1">
      <c r="A441" s="106" t="str">
        <f>B61_Assessment!$B$2</f>
        <v>61</v>
      </c>
      <c r="B441" s="106" t="str">
        <f t="shared" si="48"/>
        <v>B33_Assessment</v>
      </c>
      <c r="C441" s="106" t="str">
        <f>B61_Assessment!$A$73</f>
        <v>B61-Q4</v>
      </c>
      <c r="D441" s="142" t="str">
        <f>B61_Assessment!$B$73</f>
        <v>Are IU/CU-0-01, 1-01 and 2-01 on emergency/backup power and dedicated to the TRs they serve?</v>
      </c>
      <c r="E441" s="142" t="str">
        <f>B61_Assessment!$C$73</f>
        <v>Mechanical / Electrical / VA</v>
      </c>
      <c r="F441" s="106" t="str">
        <f>B61_Assessment!$D$73</f>
        <v>Closed</v>
      </c>
      <c r="G441" s="106">
        <f>B61_Assessment!$E$73</f>
        <v>0</v>
      </c>
      <c r="H441" s="106">
        <f>B61_Assessment!$F$73</f>
        <v>0</v>
      </c>
      <c r="I441" s="106" t="str">
        <f>B61_Assessment!$G$73</f>
        <v>Cooling continuity unclear</v>
      </c>
      <c r="J441" s="106">
        <f>B61_Assessment!$H$73</f>
        <v>0</v>
      </c>
      <c r="K441" s="106">
        <f>B61_Assessment!$I$73</f>
        <v>0</v>
      </c>
      <c r="L441" s="106">
        <f>B61_Assessment!$J$73</f>
        <v>0</v>
      </c>
    </row>
    <row r="442" spans="1:12" ht="29.1" customHeight="1">
      <c r="A442" s="106" t="str">
        <f>B61_Assessment!$B$2</f>
        <v>61</v>
      </c>
      <c r="B442" s="106" t="str">
        <f t="shared" si="48"/>
        <v>B33_Assessment</v>
      </c>
      <c r="C442" s="106" t="str">
        <f>B61_Assessment!$A$74</f>
        <v>B61-Q5</v>
      </c>
      <c r="D442" s="142" t="str">
        <f>B61_Assessment!$B$74</f>
        <v>Where are clean-agent/CO2 FEC cabinets located within 75 ft of each new TR?</v>
      </c>
      <c r="E442" s="142" t="str">
        <f>B61_Assessment!$C$74</f>
        <v>GC / COR</v>
      </c>
      <c r="F442" s="106" t="str">
        <f>B61_Assessment!$D$74</f>
        <v>Closed</v>
      </c>
      <c r="G442" s="106">
        <f>B61_Assessment!$E$74</f>
        <v>0</v>
      </c>
      <c r="H442" s="106">
        <f>B61_Assessment!$F$74</f>
        <v>0</v>
      </c>
      <c r="I442" s="106" t="str">
        <f>B61_Assessment!$G$74</f>
        <v>Life-safety acceptance risk</v>
      </c>
      <c r="J442" s="106">
        <f>B61_Assessment!$H$74</f>
        <v>0</v>
      </c>
      <c r="K442" s="106">
        <f>B61_Assessment!$I$74</f>
        <v>0</v>
      </c>
      <c r="L442" s="106">
        <f>B61_Assessment!$J$74</f>
        <v>0</v>
      </c>
    </row>
    <row r="443" spans="1:12" ht="40.65" customHeight="1">
      <c r="A443" s="106" t="str">
        <f>B61_Assessment!$B$2</f>
        <v>61</v>
      </c>
      <c r="B443" s="106" t="str">
        <f>"B61_Assessment"</f>
        <v>B61_Assessment</v>
      </c>
      <c r="C443" s="106" t="str">
        <f>B61_Assessment!$A$75</f>
        <v>B61-Q6</v>
      </c>
      <c r="D443" s="142" t="str">
        <f>B61_Assessment!$B$75</f>
        <v>Are rack UPS/PDU circuits, SPDs, labels, load measurements and LOTO requirements approved for all TR panelboards?</v>
      </c>
      <c r="E443" s="142" t="str">
        <f>B61_Assessment!$C$75</f>
        <v>Electrical / Designer</v>
      </c>
      <c r="F443" s="106" t="str">
        <f>B61_Assessment!$D$75</f>
        <v>Closed</v>
      </c>
      <c r="G443" s="106">
        <f>B61_Assessment!$E$75</f>
        <v>0</v>
      </c>
      <c r="H443" s="106">
        <f>B61_Assessment!$F$75</f>
        <v>0</v>
      </c>
      <c r="I443" s="106" t="str">
        <f>B61_Assessment!$G$75</f>
        <v>Electrical readiness unknown</v>
      </c>
      <c r="J443" s="106">
        <f>B61_Assessment!$H$75</f>
        <v>0</v>
      </c>
      <c r="K443" s="106">
        <f>B61_Assessment!$I$75</f>
        <v>0</v>
      </c>
      <c r="L443" s="106">
        <f>B61_Assessment!$J$75</f>
        <v>0</v>
      </c>
    </row>
    <row r="444" spans="1:12" ht="46.35" customHeight="1">
      <c r="A444" s="106" t="str">
        <f>B61_Assessment!$B$2</f>
        <v>61</v>
      </c>
      <c r="B444" s="106" t="str">
        <f>"B61_Assessment"</f>
        <v>B61_Assessment</v>
      </c>
      <c r="C444" s="106" t="str">
        <f>B61_Assessment!$A$76</f>
        <v>B61-Q7</v>
      </c>
      <c r="D444" s="142" t="str">
        <f>B61_Assessment!$B$76</f>
        <v>Are all rated wall/floor penetrations, sleeves, cable tray entries and temporary firestopping details identified?</v>
      </c>
      <c r="E444" s="142" t="str">
        <f>B61_Assessment!$C$76</f>
        <v>GC / Firestop</v>
      </c>
      <c r="F444" s="106" t="str">
        <f>B61_Assessment!$D$76</f>
        <v>Closed</v>
      </c>
      <c r="G444" s="106">
        <f>B61_Assessment!$E$76</f>
        <v>0</v>
      </c>
      <c r="H444" s="106">
        <f>B61_Assessment!$F$76</f>
        <v>0</v>
      </c>
      <c r="I444" s="106" t="str">
        <f>B61_Assessment!$G$76</f>
        <v>Fire/smoke spread risk</v>
      </c>
      <c r="J444" s="106">
        <f>B61_Assessment!$H$76</f>
        <v>0</v>
      </c>
      <c r="K444" s="106">
        <f>B61_Assessment!$I$76</f>
        <v>0</v>
      </c>
      <c r="L444" s="106">
        <f>B61_Assessment!$J$76</f>
        <v>0</v>
      </c>
    </row>
    <row r="445" spans="1:12" ht="40.65" customHeight="1">
      <c r="A445" s="106" t="str">
        <f>B61_Assessment!$B$2</f>
        <v>61</v>
      </c>
      <c r="B445" s="106" t="str">
        <f>"B61_Assessment"</f>
        <v>B61_Assessment</v>
      </c>
      <c r="C445" s="106" t="str">
        <f>B61_Assessment!$A$77</f>
        <v>B61-Q8</v>
      </c>
      <c r="D445" s="142" t="str">
        <f>B61_Assessment!$B$77</f>
        <v>Which third-party inspections, commissioning forms and OIT acceptance records are required before turnover?</v>
      </c>
      <c r="E445" s="142" t="str">
        <f>B61_Assessment!$C$77</f>
        <v>GC / Cx Manager / OIT</v>
      </c>
      <c r="F445" s="106" t="str">
        <f>B61_Assessment!$D$77</f>
        <v>Closed</v>
      </c>
      <c r="G445" s="106">
        <f>B61_Assessment!$E$77</f>
        <v>0</v>
      </c>
      <c r="H445" s="106">
        <f>B61_Assessment!$F$77</f>
        <v>0</v>
      </c>
      <c r="I445" s="106" t="str">
        <f>B61_Assessment!$G$77</f>
        <v>Turnover package gap</v>
      </c>
      <c r="J445" s="106">
        <f>B61_Assessment!$H$77</f>
        <v>0</v>
      </c>
      <c r="K445" s="106">
        <f>B61_Assessment!$I$77</f>
        <v>0</v>
      </c>
      <c r="L445" s="106">
        <f>B61_Assessment!$J$77</f>
        <v>0</v>
      </c>
    </row>
    <row r="446" spans="1:12" ht="17.25" customHeight="1">
      <c r="A446" s="106">
        <f>B62_TR_Assessment!$B$2</f>
        <v>62</v>
      </c>
      <c r="B446" s="106" t="str">
        <f>"B62_TR_Assessment"</f>
        <v>B62_TR_Assessment</v>
      </c>
      <c r="C446" s="106" t="str">
        <f>B62_TR_Assessment!$A$60</f>
        <v>B62-Q1</v>
      </c>
      <c r="D446" s="142" t="str">
        <f>B62_TR_Assessment!$B$60</f>
        <v>Are cooling units emergency powered?</v>
      </c>
      <c r="E446" s="142" t="str">
        <f>B62_TR_Assessment!$C$60</f>
        <v>VA / Designer</v>
      </c>
      <c r="F446" s="106" t="str">
        <f>B62_TR_Assessment!$D$60</f>
        <v>Closed</v>
      </c>
      <c r="G446" s="106">
        <f>B62_TR_Assessment!$E$60</f>
        <v>0</v>
      </c>
      <c r="H446" s="106">
        <f>B62_TR_Assessment!$F$60</f>
        <v>0</v>
      </c>
      <c r="I446" s="106" t="str">
        <f>B62_TR_Assessment!$G$60</f>
        <v>Cannot confirm continuity of operations</v>
      </c>
      <c r="J446" s="106">
        <f>B62_TR_Assessment!$H$60</f>
        <v>0</v>
      </c>
      <c r="K446" s="106">
        <f>B62_TR_Assessment!$I$60</f>
        <v>0</v>
      </c>
      <c r="L446" s="106">
        <f>B62_TR_Assessment!$J$60</f>
        <v>0</v>
      </c>
    </row>
    <row r="447" spans="1:12" ht="17.25" customHeight="1">
      <c r="A447" s="106">
        <f>B62_TR_Assessment!$B$2</f>
        <v>62</v>
      </c>
      <c r="B447" s="106" t="str">
        <f>"B62_TR_Assessment"</f>
        <v>B62_TR_Assessment</v>
      </c>
      <c r="C447" s="106" t="str">
        <f>B62_TR_Assessment!$A$61</f>
        <v>B62-Q2</v>
      </c>
      <c r="D447" s="142" t="str">
        <f>B62_TR_Assessment!$B$61</f>
        <v>Are future rack loads included in HVAC sizing?</v>
      </c>
      <c r="E447" s="142" t="str">
        <f>B62_TR_Assessment!$C$61</f>
        <v>Designer</v>
      </c>
      <c r="F447" s="106" t="str">
        <f>B62_TR_Assessment!$D$61</f>
        <v>Closed</v>
      </c>
      <c r="G447" s="106">
        <f>B62_TR_Assessment!$E$61</f>
        <v>0</v>
      </c>
      <c r="H447" s="106">
        <f>B62_TR_Assessment!$F$61</f>
        <v>0</v>
      </c>
      <c r="I447" s="106" t="str">
        <f>B62_TR_Assessment!$G$61</f>
        <v>Cooling may be undersized after expansion</v>
      </c>
      <c r="J447" s="106">
        <f>B62_TR_Assessment!$H$61</f>
        <v>0</v>
      </c>
      <c r="K447" s="106">
        <f>B62_TR_Assessment!$I$61</f>
        <v>0</v>
      </c>
      <c r="L447" s="106">
        <f>B62_TR_Assessment!$J$61</f>
        <v>0</v>
      </c>
    </row>
    <row r="448" spans="1:12" ht="17.25" customHeight="1">
      <c r="A448" s="106">
        <f>B62_TR_Assessment!$B$2</f>
        <v>62</v>
      </c>
      <c r="B448" s="106" t="str">
        <f>"B62_TR_Assessment"</f>
        <v>B62_TR_Assessment</v>
      </c>
      <c r="C448" s="106" t="str">
        <f>B62_TR_Assessment!$A$62</f>
        <v>B62-Q3</v>
      </c>
      <c r="D448" s="142" t="str">
        <f>B62_TR_Assessment!$B$62</f>
        <v>Is extinguisher location identified within 75 feet?</v>
      </c>
      <c r="E448" s="142" t="str">
        <f>B62_TR_Assessment!$C$62</f>
        <v>Contractor / COR</v>
      </c>
      <c r="F448" s="106" t="str">
        <f>B62_TR_Assessment!$D$62</f>
        <v>Closed</v>
      </c>
      <c r="G448" s="106">
        <f>B62_TR_Assessment!$E$62</f>
        <v>0</v>
      </c>
      <c r="H448" s="106">
        <f>B62_TR_Assessment!$F$62</f>
        <v>0</v>
      </c>
      <c r="I448" s="106" t="str">
        <f>B62_TR_Assessment!$G$62</f>
        <v>Life safety / acceptance risk</v>
      </c>
      <c r="J448" s="106">
        <f>B62_TR_Assessment!$H$62</f>
        <v>0</v>
      </c>
      <c r="K448" s="106">
        <f>B62_TR_Assessment!$I$62</f>
        <v>0</v>
      </c>
      <c r="L448" s="106">
        <f>B62_TR_Assessment!$J$62</f>
        <v>0</v>
      </c>
    </row>
    <row r="449" spans="1:12" ht="17.25" customHeight="1">
      <c r="A449" s="106">
        <f>B62_TR_Assessment!$B$2</f>
        <v>62</v>
      </c>
      <c r="B449" s="106" t="str">
        <f>"B62_TR_Assessment"</f>
        <v>B62_TR_Assessment</v>
      </c>
      <c r="C449" s="106" t="str">
        <f>B62_TR_Assessment!$A$63</f>
        <v>B62-Q4</v>
      </c>
      <c r="D449" s="142" t="str">
        <f>B62_TR_Assessment!$B$63</f>
        <v>Are all penetrations fully documented and firestopped?</v>
      </c>
      <c r="E449" s="142" t="str">
        <f>B62_TR_Assessment!$C$63</f>
        <v>Contractor / Designer</v>
      </c>
      <c r="F449" s="106" t="str">
        <f>B62_TR_Assessment!$D$63</f>
        <v>Closed</v>
      </c>
      <c r="G449" s="106">
        <f>B62_TR_Assessment!$E$63</f>
        <v>0</v>
      </c>
      <c r="H449" s="106">
        <f>B62_TR_Assessment!$F$63</f>
        <v>0</v>
      </c>
      <c r="I449" s="106" t="str">
        <f>B62_TR_Assessment!$G$63</f>
        <v>Fire/smoke spread risk</v>
      </c>
      <c r="J449" s="106">
        <f>B62_TR_Assessment!$H$63</f>
        <v>0</v>
      </c>
      <c r="K449" s="106">
        <f>B62_TR_Assessment!$I$63</f>
        <v>0</v>
      </c>
      <c r="L449" s="106">
        <f>B62_TR_Assessment!$J$63</f>
        <v>0</v>
      </c>
    </row>
    <row r="450" spans="1:12" ht="22.95" customHeight="1">
      <c r="A450" s="106">
        <f>B70_TR_Assessment!$B$2</f>
        <v>70</v>
      </c>
      <c r="B450" s="106" t="str">
        <f t="shared" ref="B450:B459" si="49">"B70_TR_Assessment"</f>
        <v>B70_TR_Assessment</v>
      </c>
      <c r="C450" s="106" t="str">
        <f>B70_TR_Assessment!$A$61</f>
        <v>B70-Q1</v>
      </c>
      <c r="D450" s="142" t="str">
        <f>B70_TR_Assessment!$B$61</f>
        <v>Are cooling units and controls on emergency/backup power?</v>
      </c>
      <c r="E450" s="142" t="str">
        <f>B70_TR_Assessment!$C$61</f>
        <v>VA / Designer</v>
      </c>
      <c r="F450" s="106" t="str">
        <f>B70_TR_Assessment!$D$61</f>
        <v>Closed</v>
      </c>
      <c r="G450" s="106">
        <f>B70_TR_Assessment!$E$61</f>
        <v>0</v>
      </c>
      <c r="H450" s="106">
        <f>B70_TR_Assessment!$F$61</f>
        <v>0</v>
      </c>
      <c r="I450" s="106" t="str">
        <f>B70_TR_Assessment!$G$61</f>
        <v>Cannot confirm continuity of operations</v>
      </c>
      <c r="J450" s="106">
        <f>B70_TR_Assessment!$H$61</f>
        <v>0</v>
      </c>
      <c r="K450" s="106">
        <f>B70_TR_Assessment!$I$61</f>
        <v>0</v>
      </c>
      <c r="L450" s="106">
        <f>B70_TR_Assessment!$J$61</f>
        <v>0</v>
      </c>
    </row>
    <row r="451" spans="1:12" ht="29.1" customHeight="1">
      <c r="A451" s="106">
        <f>B70_TR_Assessment!$B$2</f>
        <v>70</v>
      </c>
      <c r="B451" s="106" t="str">
        <f t="shared" si="49"/>
        <v>B70_TR_Assessment</v>
      </c>
      <c r="C451" s="106" t="str">
        <f>B70_TR_Assessment!$A$62</f>
        <v>B70-Q2</v>
      </c>
      <c r="D451" s="142" t="str">
        <f>B70_TR_Assessment!$B$62</f>
        <v>Are future rack loads included in HVAC sizing for B27, 125A, and 262A?</v>
      </c>
      <c r="E451" s="142" t="str">
        <f>B70_TR_Assessment!$C$62</f>
        <v>Designer</v>
      </c>
      <c r="F451" s="106" t="str">
        <f>B70_TR_Assessment!$D$62</f>
        <v>Closed</v>
      </c>
      <c r="G451" s="106">
        <f>B70_TR_Assessment!$E$62</f>
        <v>0</v>
      </c>
      <c r="H451" s="106">
        <f>B70_TR_Assessment!$F$62</f>
        <v>0</v>
      </c>
      <c r="I451" s="106" t="str">
        <f>B70_TR_Assessment!$G$62</f>
        <v>Cooling may be undersized after expansion</v>
      </c>
      <c r="J451" s="106">
        <f>B70_TR_Assessment!$H$62</f>
        <v>0</v>
      </c>
      <c r="K451" s="106">
        <f>B70_TR_Assessment!$I$62</f>
        <v>0</v>
      </c>
      <c r="L451" s="106">
        <f>B70_TR_Assessment!$J$62</f>
        <v>0</v>
      </c>
    </row>
    <row r="452" spans="1:12" ht="22.95" customHeight="1">
      <c r="A452" s="106">
        <f>B70_TR_Assessment!$B$2</f>
        <v>70</v>
      </c>
      <c r="B452" s="106" t="str">
        <f t="shared" si="49"/>
        <v>B70_TR_Assessment</v>
      </c>
      <c r="C452" s="106" t="str">
        <f>B70_TR_Assessment!$A$63</f>
        <v>B70-Q3</v>
      </c>
      <c r="D452" s="142" t="str">
        <f>B70_TR_Assessment!$B$63</f>
        <v>Are extinguisher cabinet locations identified within 75 feet of each TR?</v>
      </c>
      <c r="E452" s="142" t="str">
        <f>B70_TR_Assessment!$C$63</f>
        <v>Contractor / COR</v>
      </c>
      <c r="F452" s="106" t="str">
        <f>B70_TR_Assessment!$D$63</f>
        <v>Closed</v>
      </c>
      <c r="G452" s="106">
        <f>B70_TR_Assessment!$E$63</f>
        <v>0</v>
      </c>
      <c r="H452" s="106">
        <f>B70_TR_Assessment!$F$63</f>
        <v>0</v>
      </c>
      <c r="I452" s="106" t="str">
        <f>B70_TR_Assessment!$G$63</f>
        <v>Acceptance / life safety risk</v>
      </c>
      <c r="J452" s="106">
        <f>B70_TR_Assessment!$H$63</f>
        <v>0</v>
      </c>
      <c r="K452" s="106">
        <f>B70_TR_Assessment!$I$63</f>
        <v>0</v>
      </c>
      <c r="L452" s="106">
        <f>B70_TR_Assessment!$J$63</f>
        <v>0</v>
      </c>
    </row>
    <row r="453" spans="1:12" ht="29.1" customHeight="1">
      <c r="A453" s="106">
        <f>B70_TR_Assessment!$B$2</f>
        <v>70</v>
      </c>
      <c r="B453" s="106" t="str">
        <f t="shared" si="49"/>
        <v>B70_TR_Assessment</v>
      </c>
      <c r="C453" s="106" t="str">
        <f>B70_TR_Assessment!$A$64</f>
        <v>B70-Q4</v>
      </c>
      <c r="D453" s="142" t="str">
        <f>B70_TR_Assessment!$B$64</f>
        <v>Are all wall/floor penetrations and speed sleeves shown and firestopped?</v>
      </c>
      <c r="E453" s="142" t="str">
        <f>B70_TR_Assessment!$C$64</f>
        <v>Contractor / Designer</v>
      </c>
      <c r="F453" s="106" t="str">
        <f>B70_TR_Assessment!$D$64</f>
        <v>Closed</v>
      </c>
      <c r="G453" s="106">
        <f>B70_TR_Assessment!$E$64</f>
        <v>0</v>
      </c>
      <c r="H453" s="106">
        <f>B70_TR_Assessment!$F$64</f>
        <v>0</v>
      </c>
      <c r="I453" s="106" t="str">
        <f>B70_TR_Assessment!$G$64</f>
        <v>Fire/smoke spread risk</v>
      </c>
      <c r="J453" s="106">
        <f>B70_TR_Assessment!$H$64</f>
        <v>0</v>
      </c>
      <c r="K453" s="106">
        <f>B70_TR_Assessment!$I$64</f>
        <v>0</v>
      </c>
      <c r="L453" s="106">
        <f>B70_TR_Assessment!$J$64</f>
        <v>0</v>
      </c>
    </row>
    <row r="454" spans="1:12" ht="34.950000000000003" customHeight="1">
      <c r="A454" s="106">
        <f>B70_TR_Assessment!$B$2</f>
        <v>70</v>
      </c>
      <c r="B454" s="106" t="str">
        <f t="shared" si="49"/>
        <v>B70_TR_Assessment</v>
      </c>
      <c r="C454" s="106" t="str">
        <f>B70_TR_Assessment!$A$65</f>
        <v>B70-Q5</v>
      </c>
      <c r="D454" s="142" t="str">
        <f>B70_TR_Assessment!$B$65</f>
        <v>What phasing is required to keep existing low-voltage/analog systems operational?</v>
      </c>
      <c r="E454" s="142" t="str">
        <f>B70_TR_Assessment!$C$65</f>
        <v>Contractor / OIT</v>
      </c>
      <c r="F454" s="106" t="str">
        <f>B70_TR_Assessment!$D$65</f>
        <v>Closed</v>
      </c>
      <c r="G454" s="106">
        <f>B70_TR_Assessment!$E$65</f>
        <v>0</v>
      </c>
      <c r="H454" s="106">
        <f>B70_TR_Assessment!$F$65</f>
        <v>0</v>
      </c>
      <c r="I454" s="106" t="str">
        <f>B70_TR_Assessment!$G$65</f>
        <v>Potential communications interruption</v>
      </c>
      <c r="J454" s="106">
        <f>B70_TR_Assessment!$H$65</f>
        <v>0</v>
      </c>
      <c r="K454" s="106">
        <f>B70_TR_Assessment!$I$65</f>
        <v>0</v>
      </c>
      <c r="L454" s="106">
        <f>B70_TR_Assessment!$J$65</f>
        <v>0</v>
      </c>
    </row>
    <row r="455" spans="1:12" ht="46.35" customHeight="1">
      <c r="A455" s="106">
        <f>B78_Assessment!$B$2</f>
        <v>78</v>
      </c>
      <c r="B455" s="106" t="str">
        <f t="shared" si="49"/>
        <v>B70_TR_Assessment</v>
      </c>
      <c r="C455" s="106" t="str">
        <f>B78_Assessment!$A$91</f>
        <v>B78-Q1</v>
      </c>
      <c r="D455" s="142" t="str">
        <f>B78_Assessment!$B$91</f>
        <v>Confirm final telecom room list and PMIS mapping: B30, B35, 1232, 227A, 342, 401 plus existing rooms 15E/1234/353/308A/408A?</v>
      </c>
      <c r="E455" s="142" t="str">
        <f>B78_Assessment!$C$91</f>
        <v>VA / OIT / Designer</v>
      </c>
      <c r="F455" s="106" t="str">
        <f>B78_Assessment!$D$91</f>
        <v>Closed</v>
      </c>
      <c r="G455" s="106">
        <f>B78_Assessment!$E$91</f>
        <v>0</v>
      </c>
      <c r="H455" s="106">
        <f>B78_Assessment!$F$91</f>
        <v>0</v>
      </c>
      <c r="I455" s="106" t="str">
        <f>B78_Assessment!$G$91</f>
        <v>Room inventory could miss scope</v>
      </c>
      <c r="J455" s="106">
        <f>B78_Assessment!$H$91</f>
        <v>0</v>
      </c>
      <c r="K455" s="106">
        <f>B78_Assessment!$I$91</f>
        <v>0</v>
      </c>
      <c r="L455" s="106">
        <f>B78_Assessment!$J$91</f>
        <v>0</v>
      </c>
    </row>
    <row r="456" spans="1:12" ht="34.950000000000003" customHeight="1">
      <c r="A456" s="106">
        <f>B78_Assessment!$B$2</f>
        <v>78</v>
      </c>
      <c r="B456" s="106" t="str">
        <f t="shared" si="49"/>
        <v>B70_TR_Assessment</v>
      </c>
      <c r="C456" s="106" t="str">
        <f>B78_Assessment!$A$92</f>
        <v>B78-Q2</v>
      </c>
      <c r="D456" s="142" t="str">
        <f>B78_Assessment!$B$92</f>
        <v>What active services currently remain in each existing telecom room/photo reference location?</v>
      </c>
      <c r="E456" s="142" t="str">
        <f>B78_Assessment!$C$92</f>
        <v>OIT / Contractor</v>
      </c>
      <c r="F456" s="106" t="str">
        <f>B78_Assessment!$D$92</f>
        <v>Closed</v>
      </c>
      <c r="G456" s="106">
        <f>B78_Assessment!$E$92</f>
        <v>0</v>
      </c>
      <c r="H456" s="106">
        <f>B78_Assessment!$F$92</f>
        <v>0</v>
      </c>
      <c r="I456" s="106" t="str">
        <f>B78_Assessment!$G$92</f>
        <v>Potential outage/cutover risk</v>
      </c>
      <c r="J456" s="106">
        <f>B78_Assessment!$H$92</f>
        <v>0</v>
      </c>
      <c r="K456" s="106">
        <f>B78_Assessment!$I$92</f>
        <v>0</v>
      </c>
      <c r="L456" s="106">
        <f>B78_Assessment!$J$92</f>
        <v>0</v>
      </c>
    </row>
    <row r="457" spans="1:12" ht="40.65" customHeight="1">
      <c r="A457" s="106">
        <f>B78_Assessment!$B$2</f>
        <v>78</v>
      </c>
      <c r="B457" s="106" t="str">
        <f t="shared" si="49"/>
        <v>B70_TR_Assessment</v>
      </c>
      <c r="C457" s="106" t="str">
        <f>B78_Assessment!$A$93</f>
        <v>B78-Q3</v>
      </c>
      <c r="D457" s="142" t="str">
        <f>B78_Assessment!$B$93</f>
        <v>Are Room 1232 and existing Room 1234 separate rooms or naming/mapping references for the same telecom space?</v>
      </c>
      <c r="E457" s="142" t="str">
        <f>B78_Assessment!$C$93</f>
        <v>VA / Designer / OIT</v>
      </c>
      <c r="F457" s="106" t="str">
        <f>B78_Assessment!$D$93</f>
        <v>Closed</v>
      </c>
      <c r="G457" s="106">
        <f>B78_Assessment!$E$93</f>
        <v>0</v>
      </c>
      <c r="H457" s="106">
        <f>B78_Assessment!$F$93</f>
        <v>0</v>
      </c>
      <c r="I457" s="106" t="str">
        <f>B78_Assessment!$G$93</f>
        <v>PMIS mapping risk</v>
      </c>
      <c r="J457" s="106">
        <f>B78_Assessment!$H$93</f>
        <v>0</v>
      </c>
      <c r="K457" s="106">
        <f>B78_Assessment!$I$93</f>
        <v>0</v>
      </c>
      <c r="L457" s="106">
        <f>B78_Assessment!$J$93</f>
        <v>0</v>
      </c>
    </row>
    <row r="458" spans="1:12" ht="34.950000000000003" customHeight="1">
      <c r="A458" s="106">
        <f>B78_Assessment!$B$2</f>
        <v>78</v>
      </c>
      <c r="B458" s="106" t="str">
        <f t="shared" si="49"/>
        <v>B70_TR_Assessment</v>
      </c>
      <c r="C458" s="106" t="str">
        <f>B78_Assessment!$A$94</f>
        <v>B78-Q4</v>
      </c>
      <c r="D458" s="142" t="str">
        <f>B78_Assessment!$B$94</f>
        <v>Which dedicated cooling units serve each TR and are they on emergency/backup power?</v>
      </c>
      <c r="E458" s="142" t="str">
        <f>B78_Assessment!$C$94</f>
        <v>Mechanical / Electrical / VA</v>
      </c>
      <c r="F458" s="106" t="str">
        <f>B78_Assessment!$D$94</f>
        <v>Closed</v>
      </c>
      <c r="G458" s="106">
        <f>B78_Assessment!$E$94</f>
        <v>0</v>
      </c>
      <c r="H458" s="106">
        <f>B78_Assessment!$F$94</f>
        <v>0</v>
      </c>
      <c r="I458" s="106" t="str">
        <f>B78_Assessment!$G$94</f>
        <v>Cooling continuity unclear</v>
      </c>
      <c r="J458" s="106">
        <f>B78_Assessment!$H$94</f>
        <v>0</v>
      </c>
      <c r="K458" s="106">
        <f>B78_Assessment!$I$94</f>
        <v>0</v>
      </c>
      <c r="L458" s="106">
        <f>B78_Assessment!$J$94</f>
        <v>0</v>
      </c>
    </row>
    <row r="459" spans="1:12" ht="29.1" customHeight="1">
      <c r="A459" s="106">
        <f>B78_Assessment!$B$2</f>
        <v>78</v>
      </c>
      <c r="B459" s="106" t="str">
        <f t="shared" si="49"/>
        <v>B70_TR_Assessment</v>
      </c>
      <c r="C459" s="106" t="str">
        <f>B78_Assessment!$A$95</f>
        <v>B78-Q5</v>
      </c>
      <c r="D459" s="142" t="str">
        <f>B78_Assessment!$B$95</f>
        <v>Where are clean-agent/CO2 FEC cabinets located within 75 ft of each new TR?</v>
      </c>
      <c r="E459" s="142" t="str">
        <f>B78_Assessment!$C$95</f>
        <v>GC / COR</v>
      </c>
      <c r="F459" s="106" t="str">
        <f>B78_Assessment!$D$95</f>
        <v>Closed</v>
      </c>
      <c r="G459" s="106">
        <f>B78_Assessment!$E$95</f>
        <v>0</v>
      </c>
      <c r="H459" s="106">
        <f>B78_Assessment!$F$95</f>
        <v>0</v>
      </c>
      <c r="I459" s="106" t="str">
        <f>B78_Assessment!$G$95</f>
        <v>Life-safety acceptance risk</v>
      </c>
      <c r="J459" s="106">
        <f>B78_Assessment!$H$95</f>
        <v>0</v>
      </c>
      <c r="K459" s="106">
        <f>B78_Assessment!$I$95</f>
        <v>0</v>
      </c>
      <c r="L459" s="106">
        <f>B78_Assessment!$J$95</f>
        <v>0</v>
      </c>
    </row>
    <row r="460" spans="1:12" ht="40.65" customHeight="1">
      <c r="A460" s="106">
        <f>B78_Assessment!$B$2</f>
        <v>78</v>
      </c>
      <c r="B460" s="106" t="str">
        <f t="shared" ref="B460:B467" si="50">"B78_Assessment"</f>
        <v>B78_Assessment</v>
      </c>
      <c r="C460" s="106" t="str">
        <f>B78_Assessment!$A$96</f>
        <v>B78-Q6</v>
      </c>
      <c r="D460" s="142" t="str">
        <f>B78_Assessment!$B$96</f>
        <v>Are rack UPS/PDU circuits, SPDs, labels, load measurements and LOTO requirements approved for all TR panelboards?</v>
      </c>
      <c r="E460" s="142" t="str">
        <f>B78_Assessment!$C$96</f>
        <v>Electrical / Designer</v>
      </c>
      <c r="F460" s="106" t="str">
        <f>B78_Assessment!$D$96</f>
        <v>Closed</v>
      </c>
      <c r="G460" s="106">
        <f>B78_Assessment!$E$96</f>
        <v>0</v>
      </c>
      <c r="H460" s="106">
        <f>B78_Assessment!$F$96</f>
        <v>0</v>
      </c>
      <c r="I460" s="106" t="str">
        <f>B78_Assessment!$G$96</f>
        <v>Electrical readiness unknown</v>
      </c>
      <c r="J460" s="106">
        <f>B78_Assessment!$H$96</f>
        <v>0</v>
      </c>
      <c r="K460" s="106">
        <f>B78_Assessment!$I$96</f>
        <v>0</v>
      </c>
      <c r="L460" s="106">
        <f>B78_Assessment!$J$96</f>
        <v>0</v>
      </c>
    </row>
    <row r="461" spans="1:12" ht="46.35" customHeight="1">
      <c r="A461" s="106">
        <f>B78_Assessment!$B$2</f>
        <v>78</v>
      </c>
      <c r="B461" s="106" t="str">
        <f t="shared" si="50"/>
        <v>B78_Assessment</v>
      </c>
      <c r="C461" s="106" t="str">
        <f>B78_Assessment!$A$97</f>
        <v>B78-Q7</v>
      </c>
      <c r="D461" s="142" t="str">
        <f>B78_Assessment!$B$97</f>
        <v>Are all rated wall/floor penetrations, sleeves, cable tray entries and temporary firestopping details identified?</v>
      </c>
      <c r="E461" s="142" t="str">
        <f>B78_Assessment!$C$97</f>
        <v>GC / Firestop</v>
      </c>
      <c r="F461" s="106" t="str">
        <f>B78_Assessment!$D$97</f>
        <v>Closed</v>
      </c>
      <c r="G461" s="106">
        <f>B78_Assessment!$E$97</f>
        <v>0</v>
      </c>
      <c r="H461" s="106">
        <f>B78_Assessment!$F$97</f>
        <v>0</v>
      </c>
      <c r="I461" s="106" t="str">
        <f>B78_Assessment!$G$97</f>
        <v>Fire/smoke spread risk</v>
      </c>
      <c r="J461" s="106">
        <f>B78_Assessment!$H$97</f>
        <v>0</v>
      </c>
      <c r="K461" s="106">
        <f>B78_Assessment!$I$97</f>
        <v>0</v>
      </c>
      <c r="L461" s="106">
        <f>B78_Assessment!$J$97</f>
        <v>0</v>
      </c>
    </row>
    <row r="462" spans="1:12" ht="40.65" customHeight="1">
      <c r="A462" s="106">
        <f>B78_Assessment!$B$2</f>
        <v>78</v>
      </c>
      <c r="B462" s="106" t="str">
        <f t="shared" si="50"/>
        <v>B78_Assessment</v>
      </c>
      <c r="C462" s="106" t="str">
        <f>B78_Assessment!$A$98</f>
        <v>B78-Q8</v>
      </c>
      <c r="D462" s="142" t="str">
        <f>B78_Assessment!$B$98</f>
        <v>Which third-party inspections, commissioning forms and OIT acceptance records are required before turnover?</v>
      </c>
      <c r="E462" s="142" t="str">
        <f>B78_Assessment!$C$98</f>
        <v>GC / Cx Manager / OIT</v>
      </c>
      <c r="F462" s="106" t="str">
        <f>B78_Assessment!$D$98</f>
        <v>Closed</v>
      </c>
      <c r="G462" s="106">
        <f>B78_Assessment!$E$98</f>
        <v>0</v>
      </c>
      <c r="H462" s="106">
        <f>B78_Assessment!$F$98</f>
        <v>0</v>
      </c>
      <c r="I462" s="106" t="str">
        <f>B78_Assessment!$G$98</f>
        <v>Turnover package gap</v>
      </c>
      <c r="J462" s="106">
        <f>B78_Assessment!$H$98</f>
        <v>0</v>
      </c>
      <c r="K462" s="106">
        <f>B78_Assessment!$I$98</f>
        <v>0</v>
      </c>
      <c r="L462" s="106">
        <f>B78_Assessment!$J$98</f>
        <v>0</v>
      </c>
    </row>
    <row r="463" spans="1:12" ht="29.1" customHeight="1">
      <c r="A463" s="106" t="str">
        <f>B80_Assessment!$B$2</f>
        <v>80</v>
      </c>
      <c r="B463" s="106" t="str">
        <f t="shared" si="50"/>
        <v>B78_Assessment</v>
      </c>
      <c r="C463" s="106" t="str">
        <f>B80_Assessment!$A$56</f>
        <v>B80-Q1</v>
      </c>
      <c r="D463" s="142" t="str">
        <f>B80_Assessment!$B$56</f>
        <v>Confirm final telecom scope: new Room 102 with existing 127A/126 transition only?</v>
      </c>
      <c r="E463" s="142" t="str">
        <f>B80_Assessment!$C$56</f>
        <v>VA / OIT / Designer</v>
      </c>
      <c r="F463" s="106" t="str">
        <f>B80_Assessment!$D$56</f>
        <v>Closed</v>
      </c>
      <c r="G463" s="106">
        <f>B80_Assessment!$E$56</f>
        <v>0</v>
      </c>
      <c r="H463" s="106">
        <f>B80_Assessment!$F$56</f>
        <v>0</v>
      </c>
      <c r="I463" s="106" t="str">
        <f>B80_Assessment!$G$56</f>
        <v>Room inventory could miss scope</v>
      </c>
      <c r="J463" s="106">
        <f>B80_Assessment!$H$56</f>
        <v>0</v>
      </c>
      <c r="K463" s="106">
        <f>B80_Assessment!$I$56</f>
        <v>0</v>
      </c>
      <c r="L463" s="106">
        <f>B80_Assessment!$J$56</f>
        <v>0</v>
      </c>
    </row>
    <row r="464" spans="1:12" ht="34.950000000000003" customHeight="1">
      <c r="A464" s="106" t="str">
        <f>B80_Assessment!$B$2</f>
        <v>80</v>
      </c>
      <c r="B464" s="106" t="str">
        <f t="shared" si="50"/>
        <v>B78_Assessment</v>
      </c>
      <c r="C464" s="106" t="str">
        <f>B80_Assessment!$A$57</f>
        <v>B80-Q2</v>
      </c>
      <c r="D464" s="142" t="str">
        <f>B80_Assessment!$B$57</f>
        <v>What active services are currently fed from existing Room 127A/126 equipment?</v>
      </c>
      <c r="E464" s="142" t="str">
        <f>B80_Assessment!$C$57</f>
        <v>OIT / Contractor</v>
      </c>
      <c r="F464" s="106" t="str">
        <f>B80_Assessment!$D$57</f>
        <v>Closed</v>
      </c>
      <c r="G464" s="106">
        <f>B80_Assessment!$E$57</f>
        <v>0</v>
      </c>
      <c r="H464" s="106">
        <f>B80_Assessment!$F$57</f>
        <v>0</v>
      </c>
      <c r="I464" s="106" t="str">
        <f>B80_Assessment!$G$57</f>
        <v>Potential communications/security outage</v>
      </c>
      <c r="J464" s="106">
        <f>B80_Assessment!$H$57</f>
        <v>0</v>
      </c>
      <c r="K464" s="106">
        <f>B80_Assessment!$I$57</f>
        <v>0</v>
      </c>
      <c r="L464" s="106">
        <f>B80_Assessment!$J$57</f>
        <v>0</v>
      </c>
    </row>
    <row r="465" spans="1:12" ht="29.1" customHeight="1">
      <c r="A465" s="106" t="str">
        <f>B80_Assessment!$B$2</f>
        <v>80</v>
      </c>
      <c r="B465" s="106" t="str">
        <f t="shared" si="50"/>
        <v>B78_Assessment</v>
      </c>
      <c r="C465" s="106" t="str">
        <f>B80_Assessment!$A$58</f>
        <v>B80-Q3</v>
      </c>
      <c r="D465" s="142" t="str">
        <f>B80_Assessment!$B$58</f>
        <v>Are Room 127A and Room 126 the same telecom room, or separate locations?</v>
      </c>
      <c r="E465" s="142" t="str">
        <f>B80_Assessment!$C$58</f>
        <v>VA / Designer / OIT</v>
      </c>
      <c r="F465" s="106" t="str">
        <f>B80_Assessment!$D$58</f>
        <v>Closed</v>
      </c>
      <c r="G465" s="106">
        <f>B80_Assessment!$E$58</f>
        <v>0</v>
      </c>
      <c r="H465" s="106">
        <f>B80_Assessment!$F$58</f>
        <v>0</v>
      </c>
      <c r="I465" s="106" t="str">
        <f>B80_Assessment!$G$58</f>
        <v>PMIS mapping and turnover risk</v>
      </c>
      <c r="J465" s="106">
        <f>B80_Assessment!$H$58</f>
        <v>0</v>
      </c>
      <c r="K465" s="106">
        <f>B80_Assessment!$I$58</f>
        <v>0</v>
      </c>
      <c r="L465" s="106">
        <f>B80_Assessment!$J$58</f>
        <v>0</v>
      </c>
    </row>
    <row r="466" spans="1:12" ht="34.950000000000003" customHeight="1">
      <c r="A466" s="106" t="str">
        <f>B80_Assessment!$B$2</f>
        <v>80</v>
      </c>
      <c r="B466" s="106" t="str">
        <f t="shared" si="50"/>
        <v>B78_Assessment</v>
      </c>
      <c r="C466" s="106" t="str">
        <f>B80_Assessment!$A$59</f>
        <v>B80-Q4</v>
      </c>
      <c r="D466" s="142" t="str">
        <f>B80_Assessment!$B$59</f>
        <v>Is IU-1-01/CU-1-01 on emergency/backup power and dedicated to Room 102?</v>
      </c>
      <c r="E466" s="142" t="str">
        <f>B80_Assessment!$C$59</f>
        <v>Mechanical / Electrical / VA</v>
      </c>
      <c r="F466" s="106" t="str">
        <f>B80_Assessment!$D$59</f>
        <v>Closed</v>
      </c>
      <c r="G466" s="106">
        <f>B80_Assessment!$E$59</f>
        <v>0</v>
      </c>
      <c r="H466" s="106">
        <f>B80_Assessment!$F$59</f>
        <v>0</v>
      </c>
      <c r="I466" s="106" t="str">
        <f>B80_Assessment!$G$59</f>
        <v>Cooling continuity unclear</v>
      </c>
      <c r="J466" s="106">
        <f>B80_Assessment!$H$59</f>
        <v>0</v>
      </c>
      <c r="K466" s="106">
        <f>B80_Assessment!$I$59</f>
        <v>0</v>
      </c>
      <c r="L466" s="106">
        <f>B80_Assessment!$J$59</f>
        <v>0</v>
      </c>
    </row>
    <row r="467" spans="1:12" ht="29.1" customHeight="1">
      <c r="A467" s="106" t="str">
        <f>B80_Assessment!$B$2</f>
        <v>80</v>
      </c>
      <c r="B467" s="106" t="str">
        <f t="shared" si="50"/>
        <v>B78_Assessment</v>
      </c>
      <c r="C467" s="106" t="str">
        <f>B80_Assessment!$A$60</f>
        <v>B80-Q5</v>
      </c>
      <c r="D467" s="142" t="str">
        <f>B80_Assessment!$B$60</f>
        <v>Where is the clean-agent/CO2 extinguisher cabinet located within 75 ft of Room 102?</v>
      </c>
      <c r="E467" s="142" t="str">
        <f>B80_Assessment!$C$60</f>
        <v>GC / COR</v>
      </c>
      <c r="F467" s="106" t="str">
        <f>B80_Assessment!$D$60</f>
        <v>Closed</v>
      </c>
      <c r="G467" s="106">
        <f>B80_Assessment!$E$60</f>
        <v>0</v>
      </c>
      <c r="H467" s="106">
        <f>B80_Assessment!$F$60</f>
        <v>0</v>
      </c>
      <c r="I467" s="106" t="str">
        <f>B80_Assessment!$G$60</f>
        <v>Life-safety acceptance risk</v>
      </c>
      <c r="J467" s="106">
        <f>B80_Assessment!$H$60</f>
        <v>0</v>
      </c>
      <c r="K467" s="106">
        <f>B80_Assessment!$I$60</f>
        <v>0</v>
      </c>
      <c r="L467" s="106">
        <f>B80_Assessment!$J$60</f>
        <v>0</v>
      </c>
    </row>
    <row r="468" spans="1:12" ht="34.950000000000003" customHeight="1">
      <c r="A468" s="106" t="str">
        <f>B80_Assessment!$B$2</f>
        <v>80</v>
      </c>
      <c r="B468" s="106" t="str">
        <f t="shared" ref="B468:B475" si="51">"B80_Assessment"</f>
        <v>B80_Assessment</v>
      </c>
      <c r="C468" s="106" t="str">
        <f>B80_Assessment!$A$61</f>
        <v>B80-Q6</v>
      </c>
      <c r="D468" s="142" t="str">
        <f>B80_Assessment!$B$61</f>
        <v>Are B80-TR102A/B sources, rack receptacles, SPDs, circuit labels and load measurements approved?</v>
      </c>
      <c r="E468" s="142" t="str">
        <f>B80_Assessment!$C$61</f>
        <v>Electrical / Designer</v>
      </c>
      <c r="F468" s="106" t="str">
        <f>B80_Assessment!$D$61</f>
        <v>Closed</v>
      </c>
      <c r="G468" s="106">
        <f>B80_Assessment!$E$61</f>
        <v>0</v>
      </c>
      <c r="H468" s="106">
        <f>B80_Assessment!$F$61</f>
        <v>0</v>
      </c>
      <c r="I468" s="106" t="str">
        <f>B80_Assessment!$G$61</f>
        <v>Electrical readiness unknown</v>
      </c>
      <c r="J468" s="106">
        <f>B80_Assessment!$H$61</f>
        <v>0</v>
      </c>
      <c r="K468" s="106">
        <f>B80_Assessment!$I$61</f>
        <v>0</v>
      </c>
      <c r="L468" s="106">
        <f>B80_Assessment!$J$61</f>
        <v>0</v>
      </c>
    </row>
    <row r="469" spans="1:12" ht="40.65" customHeight="1">
      <c r="A469" s="106" t="str">
        <f>B80_Assessment!$B$2</f>
        <v>80</v>
      </c>
      <c r="B469" s="106" t="str">
        <f t="shared" si="51"/>
        <v>B80_Assessment</v>
      </c>
      <c r="C469" s="106" t="str">
        <f>B80_Assessment!$A$62</f>
        <v>B80-Q7</v>
      </c>
      <c r="D469" s="142" t="str">
        <f>B80_Assessment!$B$62</f>
        <v>Are all rated wall/floor penetrations, sleeves, cable tray entries and firestopping details identified?</v>
      </c>
      <c r="E469" s="142" t="str">
        <f>B80_Assessment!$C$62</f>
        <v>GC / Firestop</v>
      </c>
      <c r="F469" s="106" t="str">
        <f>B80_Assessment!$D$62</f>
        <v>Closed</v>
      </c>
      <c r="G469" s="106">
        <f>B80_Assessment!$E$62</f>
        <v>0</v>
      </c>
      <c r="H469" s="106">
        <f>B80_Assessment!$F$62</f>
        <v>0</v>
      </c>
      <c r="I469" s="106" t="str">
        <f>B80_Assessment!$G$62</f>
        <v>Fire/smoke spread risk</v>
      </c>
      <c r="J469" s="106">
        <f>B80_Assessment!$H$62</f>
        <v>0</v>
      </c>
      <c r="K469" s="106">
        <f>B80_Assessment!$I$62</f>
        <v>0</v>
      </c>
      <c r="L469" s="106">
        <f>B80_Assessment!$J$62</f>
        <v>0</v>
      </c>
    </row>
    <row r="470" spans="1:12" ht="34.950000000000003" customHeight="1">
      <c r="A470" s="106" t="str">
        <f>B80_Assessment!$B$2</f>
        <v>80</v>
      </c>
      <c r="B470" s="106" t="str">
        <f t="shared" si="51"/>
        <v>B80_Assessment</v>
      </c>
      <c r="C470" s="106" t="str">
        <f>B80_Assessment!$A$63</f>
        <v>B80-Q8</v>
      </c>
      <c r="D470" s="142" t="str">
        <f>B80_Assessment!$B$63</f>
        <v>Which third-party inspections and commissioning forms are required before VA/OIT acceptance?</v>
      </c>
      <c r="E470" s="142" t="str">
        <f>B80_Assessment!$C$63</f>
        <v>GC / Cx Manager / OIT</v>
      </c>
      <c r="F470" s="106" t="str">
        <f>B80_Assessment!$D$63</f>
        <v>Closed</v>
      </c>
      <c r="G470" s="106">
        <f>B80_Assessment!$E$63</f>
        <v>0</v>
      </c>
      <c r="H470" s="106">
        <f>B80_Assessment!$F$63</f>
        <v>0</v>
      </c>
      <c r="I470" s="106" t="str">
        <f>B80_Assessment!$G$63</f>
        <v>Turnover package gap</v>
      </c>
      <c r="J470" s="106">
        <f>B80_Assessment!$H$63</f>
        <v>0</v>
      </c>
      <c r="K470" s="106">
        <f>B80_Assessment!$I$63</f>
        <v>0</v>
      </c>
      <c r="L470" s="106">
        <f>B80_Assessment!$J$63</f>
        <v>0</v>
      </c>
    </row>
    <row r="471" spans="1:12" ht="40.65" customHeight="1">
      <c r="A471" s="106" t="str">
        <f>B82_Assessment!$B$2</f>
        <v>82</v>
      </c>
      <c r="B471" s="106" t="str">
        <f t="shared" si="51"/>
        <v>B80_Assessment</v>
      </c>
      <c r="C471" s="106" t="str">
        <f>B82_Assessment!$A$56</f>
        <v>B82-Q1</v>
      </c>
      <c r="D471" s="142" t="str">
        <f>B82_Assessment!$B$56</f>
        <v>Confirm final scope: new 12RU wall-mount TE enclosure in Room 102 and existing B01-A transition only?</v>
      </c>
      <c r="E471" s="142" t="str">
        <f>B82_Assessment!$C$56</f>
        <v>VA / OIT / Designer</v>
      </c>
      <c r="F471" s="106" t="str">
        <f>B82_Assessment!$D$56</f>
        <v>Closed</v>
      </c>
      <c r="G471" s="106">
        <f>B82_Assessment!$E$56</f>
        <v>0</v>
      </c>
      <c r="H471" s="106">
        <f>B82_Assessment!$F$56</f>
        <v>0</v>
      </c>
      <c r="I471" s="106" t="str">
        <f>B82_Assessment!$G$56</f>
        <v>Room inventory or PMIS mapping could miss scope</v>
      </c>
      <c r="J471" s="106">
        <f>B82_Assessment!$H$56</f>
        <v>0</v>
      </c>
      <c r="K471" s="106">
        <f>B82_Assessment!$I$56</f>
        <v>0</v>
      </c>
      <c r="L471" s="106">
        <f>B82_Assessment!$J$56</f>
        <v>0</v>
      </c>
    </row>
    <row r="472" spans="1:12" ht="29.1" customHeight="1">
      <c r="A472" s="106" t="str">
        <f>B82_Assessment!$B$2</f>
        <v>82</v>
      </c>
      <c r="B472" s="106" t="str">
        <f t="shared" si="51"/>
        <v>B80_Assessment</v>
      </c>
      <c r="C472" s="106" t="str">
        <f>B82_Assessment!$A$57</f>
        <v>B82-Q2</v>
      </c>
      <c r="D472" s="142" t="str">
        <f>B82_Assessment!$B$57</f>
        <v>What active services are currently fed from existing B01-A equipment?</v>
      </c>
      <c r="E472" s="142" t="str">
        <f>B82_Assessment!$C$57</f>
        <v>OIT / Contractor</v>
      </c>
      <c r="F472" s="106" t="str">
        <f>B82_Assessment!$D$57</f>
        <v>Closed</v>
      </c>
      <c r="G472" s="106">
        <f>B82_Assessment!$E$57</f>
        <v>0</v>
      </c>
      <c r="H472" s="106">
        <f>B82_Assessment!$F$57</f>
        <v>0</v>
      </c>
      <c r="I472" s="106" t="str">
        <f>B82_Assessment!$G$57</f>
        <v>Potential communications/security outage</v>
      </c>
      <c r="J472" s="106">
        <f>B82_Assessment!$H$57</f>
        <v>0</v>
      </c>
      <c r="K472" s="106">
        <f>B82_Assessment!$I$57</f>
        <v>0</v>
      </c>
      <c r="L472" s="106">
        <f>B82_Assessment!$J$57</f>
        <v>0</v>
      </c>
    </row>
    <row r="473" spans="1:12" ht="40.65" customHeight="1">
      <c r="A473" s="106" t="str">
        <f>B82_Assessment!$B$2</f>
        <v>82</v>
      </c>
      <c r="B473" s="106" t="str">
        <f t="shared" si="51"/>
        <v>B80_Assessment</v>
      </c>
      <c r="C473" s="106" t="str">
        <f>B82_Assessment!$A$58</f>
        <v>B82-Q3</v>
      </c>
      <c r="D473" s="142" t="str">
        <f>B82_Assessment!$B$58</f>
        <v>Is Room 102 officially a TE-only scope or a conditioned telecom room with mechanical support?</v>
      </c>
      <c r="E473" s="142" t="str">
        <f>B82_Assessment!$C$58</f>
        <v>VA / AE / COR</v>
      </c>
      <c r="F473" s="106" t="str">
        <f>B82_Assessment!$D$58</f>
        <v>Closed</v>
      </c>
      <c r="G473" s="106">
        <f>B82_Assessment!$E$58</f>
        <v>0</v>
      </c>
      <c r="H473" s="106">
        <f>B82_Assessment!$F$58</f>
        <v>0</v>
      </c>
      <c r="I473" s="106" t="str">
        <f>B82_Assessment!$G$58</f>
        <v>Scope and commissioning responsibility unclear</v>
      </c>
      <c r="J473" s="106">
        <f>B82_Assessment!$H$58</f>
        <v>0</v>
      </c>
      <c r="K473" s="106">
        <f>B82_Assessment!$I$58</f>
        <v>0</v>
      </c>
      <c r="L473" s="106">
        <f>B82_Assessment!$J$58</f>
        <v>0</v>
      </c>
    </row>
    <row r="474" spans="1:12" ht="34.950000000000003" customHeight="1">
      <c r="A474" s="106" t="str">
        <f>B82_Assessment!$B$2</f>
        <v>82</v>
      </c>
      <c r="B474" s="106" t="str">
        <f t="shared" si="51"/>
        <v>B80_Assessment</v>
      </c>
      <c r="C474" s="106" t="str">
        <f>B82_Assessment!$A$59</f>
        <v>B82-Q4</v>
      </c>
      <c r="D474" s="142" t="str">
        <f>B82_Assessment!$B$59</f>
        <v>Is IU-1-01/CU-1-01 on emergency/backup power and dedicated to Room 102?</v>
      </c>
      <c r="E474" s="142" t="str">
        <f>B82_Assessment!$C$59</f>
        <v>Mechanical / Electrical / VA</v>
      </c>
      <c r="F474" s="106" t="str">
        <f>B82_Assessment!$D$59</f>
        <v>Closed</v>
      </c>
      <c r="G474" s="106">
        <f>B82_Assessment!$E$59</f>
        <v>0</v>
      </c>
      <c r="H474" s="106">
        <f>B82_Assessment!$F$59</f>
        <v>0</v>
      </c>
      <c r="I474" s="106" t="str">
        <f>B82_Assessment!$G$59</f>
        <v>Cooling continuity unclear</v>
      </c>
      <c r="J474" s="106">
        <f>B82_Assessment!$H$59</f>
        <v>0</v>
      </c>
      <c r="K474" s="106">
        <f>B82_Assessment!$I$59</f>
        <v>0</v>
      </c>
      <c r="L474" s="106">
        <f>B82_Assessment!$J$59</f>
        <v>0</v>
      </c>
    </row>
    <row r="475" spans="1:12" ht="40.65" customHeight="1">
      <c r="A475" s="106" t="str">
        <f>B82_Assessment!$B$2</f>
        <v>82</v>
      </c>
      <c r="B475" s="106" t="str">
        <f t="shared" si="51"/>
        <v>B80_Assessment</v>
      </c>
      <c r="C475" s="106" t="str">
        <f>B82_Assessment!$A$60</f>
        <v>B82-Q5</v>
      </c>
      <c r="D475" s="142" t="str">
        <f>B82_Assessment!$B$60</f>
        <v>What is the approved power source, receptacle type and circuit capacity for the new APC UPS/PDU in Room 102?</v>
      </c>
      <c r="E475" s="142" t="str">
        <f>B82_Assessment!$C$60</f>
        <v>Electrical / Designer</v>
      </c>
      <c r="F475" s="106" t="str">
        <f>B82_Assessment!$D$60</f>
        <v>Closed</v>
      </c>
      <c r="G475" s="106">
        <f>B82_Assessment!$E$60</f>
        <v>0</v>
      </c>
      <c r="H475" s="106">
        <f>B82_Assessment!$F$60</f>
        <v>0</v>
      </c>
      <c r="I475" s="106" t="str">
        <f>B82_Assessment!$G$60</f>
        <v>Electrical readiness unknown</v>
      </c>
      <c r="J475" s="106">
        <f>B82_Assessment!$H$60</f>
        <v>0</v>
      </c>
      <c r="K475" s="106">
        <f>B82_Assessment!$I$60</f>
        <v>0</v>
      </c>
      <c r="L475" s="106">
        <f>B82_Assessment!$J$60</f>
        <v>0</v>
      </c>
    </row>
    <row r="476" spans="1:12" ht="29.1" customHeight="1">
      <c r="A476" s="106" t="str">
        <f>B82_Assessment!$B$2</f>
        <v>82</v>
      </c>
      <c r="B476" s="106" t="str">
        <f t="shared" ref="B476:B483" si="52">"B82_Assessment"</f>
        <v>B82_Assessment</v>
      </c>
      <c r="C476" s="106" t="str">
        <f>B82_Assessment!$A$61</f>
        <v>B82-Q6</v>
      </c>
      <c r="D476" s="142" t="str">
        <f>B82_Assessment!$B$61</f>
        <v>Are all 278 feet of cable tray route, sleeves, supports and firestopping details field verified?</v>
      </c>
      <c r="E476" s="142" t="str">
        <f>B82_Assessment!$C$61</f>
        <v>Telecom / GC / Firestop</v>
      </c>
      <c r="F476" s="106" t="str">
        <f>B82_Assessment!$D$61</f>
        <v>Closed</v>
      </c>
      <c r="G476" s="106">
        <f>B82_Assessment!$E$61</f>
        <v>0</v>
      </c>
      <c r="H476" s="106">
        <f>B82_Assessment!$F$61</f>
        <v>0</v>
      </c>
      <c r="I476" s="106" t="str">
        <f>B82_Assessment!$G$61</f>
        <v>Install delay or firestop gap</v>
      </c>
      <c r="J476" s="106">
        <f>B82_Assessment!$H$61</f>
        <v>0</v>
      </c>
      <c r="K476" s="106">
        <f>B82_Assessment!$I$61</f>
        <v>0</v>
      </c>
      <c r="L476" s="106">
        <f>B82_Assessment!$J$61</f>
        <v>0</v>
      </c>
    </row>
    <row r="477" spans="1:12" ht="34.950000000000003" customHeight="1">
      <c r="A477" s="106" t="str">
        <f>B82_Assessment!$B$2</f>
        <v>82</v>
      </c>
      <c r="B477" s="106" t="str">
        <f t="shared" si="52"/>
        <v>B82_Assessment</v>
      </c>
      <c r="C477" s="106" t="str">
        <f>B82_Assessment!$A$62</f>
        <v>B82-Q7</v>
      </c>
      <c r="D477" s="142" t="str">
        <f>B82_Assessment!$B$62</f>
        <v>Are existing cameras/security devices protected and retained with no VMS/PACS disruption?</v>
      </c>
      <c r="E477" s="142" t="str">
        <f>B82_Assessment!$C$62</f>
        <v>Security / OIT</v>
      </c>
      <c r="F477" s="106" t="str">
        <f>B82_Assessment!$D$62</f>
        <v>Closed</v>
      </c>
      <c r="G477" s="106">
        <f>B82_Assessment!$E$62</f>
        <v>0</v>
      </c>
      <c r="H477" s="106">
        <f>B82_Assessment!$F$62</f>
        <v>0</v>
      </c>
      <c r="I477" s="106" t="str">
        <f>B82_Assessment!$G$62</f>
        <v>Security continuity unclear</v>
      </c>
      <c r="J477" s="106">
        <f>B82_Assessment!$H$62</f>
        <v>0</v>
      </c>
      <c r="K477" s="106">
        <f>B82_Assessment!$I$62</f>
        <v>0</v>
      </c>
      <c r="L477" s="106">
        <f>B82_Assessment!$J$62</f>
        <v>0</v>
      </c>
    </row>
    <row r="478" spans="1:12" ht="34.950000000000003" customHeight="1">
      <c r="A478" s="106" t="str">
        <f>B82_Assessment!$B$2</f>
        <v>82</v>
      </c>
      <c r="B478" s="106" t="str">
        <f t="shared" si="52"/>
        <v>B82_Assessment</v>
      </c>
      <c r="C478" s="106" t="str">
        <f>B82_Assessment!$A$63</f>
        <v>B82-Q8</v>
      </c>
      <c r="D478" s="142" t="str">
        <f>B82_Assessment!$B$63</f>
        <v>Which test records, HVAC startup records and turnover documents are required for TE acceptance?</v>
      </c>
      <c r="E478" s="142" t="str">
        <f>B82_Assessment!$C$63</f>
        <v>GC / Cx Manager / OIT</v>
      </c>
      <c r="F478" s="106" t="str">
        <f>B82_Assessment!$D$63</f>
        <v>Closed</v>
      </c>
      <c r="G478" s="106">
        <f>B82_Assessment!$E$63</f>
        <v>0</v>
      </c>
      <c r="H478" s="106">
        <f>B82_Assessment!$F$63</f>
        <v>0</v>
      </c>
      <c r="I478" s="106" t="str">
        <f>B82_Assessment!$G$63</f>
        <v>Turnover package gap</v>
      </c>
      <c r="J478" s="106">
        <f>B82_Assessment!$H$63</f>
        <v>0</v>
      </c>
      <c r="K478" s="106">
        <f>B82_Assessment!$I$63</f>
        <v>0</v>
      </c>
      <c r="L478" s="106">
        <f>B82_Assessment!$J$63</f>
        <v>0</v>
      </c>
    </row>
    <row r="479" spans="1:12" ht="29.1" customHeight="1">
      <c r="A479" s="106" t="str">
        <f>BCH_Assessment!$B$2</f>
        <v>BCH</v>
      </c>
      <c r="B479" s="106" t="str">
        <f t="shared" si="52"/>
        <v>B82_Assessment</v>
      </c>
      <c r="C479" s="106" t="str">
        <f>BCH_Assessment!$A$56</f>
        <v>BCH-Q1</v>
      </c>
      <c r="D479" s="142" t="str">
        <f>BCH_Assessment!$B$56</f>
        <v>Confirm final BCH scope: Room 107 TE enclosure only, or a new telecom room/rack buildout?</v>
      </c>
      <c r="E479" s="142" t="str">
        <f>BCH_Assessment!$C$56</f>
        <v>VA / AE / OIT</v>
      </c>
      <c r="F479" s="106" t="str">
        <f>BCH_Assessment!$D$56</f>
        <v>Closed</v>
      </c>
      <c r="G479" s="106">
        <f>BCH_Assessment!$E$56</f>
        <v>0</v>
      </c>
      <c r="H479" s="106">
        <f>BCH_Assessment!$F$56</f>
        <v>0</v>
      </c>
      <c r="I479" s="106" t="str">
        <f>BCH_Assessment!$G$56</f>
        <v>PMIS scope and acceptance criteria unclear</v>
      </c>
      <c r="J479" s="106">
        <f>BCH_Assessment!$H$56</f>
        <v>0</v>
      </c>
      <c r="K479" s="106">
        <f>BCH_Assessment!$I$56</f>
        <v>0</v>
      </c>
      <c r="L479" s="106">
        <f>BCH_Assessment!$J$56</f>
        <v>0</v>
      </c>
    </row>
    <row r="480" spans="1:12" ht="46.35" customHeight="1">
      <c r="A480" s="106" t="str">
        <f>BCH_Assessment!$B$2</f>
        <v>BCH</v>
      </c>
      <c r="B480" s="106" t="str">
        <f t="shared" si="52"/>
        <v>B82_Assessment</v>
      </c>
      <c r="C480" s="106" t="str">
        <f>BCH_Assessment!$A$57</f>
        <v>BCH-Q2</v>
      </c>
      <c r="D480" s="142" t="str">
        <f>BCH_Assessment!$B$57</f>
        <v>Why does BCHT-604 show a T78 12RU TE enclosure and a separate BCH Crescent House Room 107 new telecom room elevation?</v>
      </c>
      <c r="E480" s="142" t="str">
        <f>BCH_Assessment!$C$57</f>
        <v>VA / Designer</v>
      </c>
      <c r="F480" s="106" t="str">
        <f>BCH_Assessment!$D$57</f>
        <v>Closed</v>
      </c>
      <c r="G480" s="106">
        <f>BCH_Assessment!$E$57</f>
        <v>0</v>
      </c>
      <c r="H480" s="106">
        <f>BCH_Assessment!$F$57</f>
        <v>0</v>
      </c>
      <c r="I480" s="106" t="str">
        <f>BCH_Assessment!$G$57</f>
        <v>Rack/equipment mapping conflict</v>
      </c>
      <c r="J480" s="106">
        <f>BCH_Assessment!$H$57</f>
        <v>0</v>
      </c>
      <c r="K480" s="106">
        <f>BCH_Assessment!$I$57</f>
        <v>0</v>
      </c>
      <c r="L480" s="106">
        <f>BCH_Assessment!$J$57</f>
        <v>0</v>
      </c>
    </row>
    <row r="481" spans="1:12" ht="40.65" customHeight="1">
      <c r="A481" s="106" t="str">
        <f>BCH_Assessment!$B$2</f>
        <v>BCH</v>
      </c>
      <c r="B481" s="106" t="str">
        <f t="shared" si="52"/>
        <v>B82_Assessment</v>
      </c>
      <c r="C481" s="106" t="str">
        <f>BCH_Assessment!$A$58</f>
        <v>BCH-Q3</v>
      </c>
      <c r="D481" s="142" t="str">
        <f>BCH_Assessment!$B$58</f>
        <v>What active services currently serve Crescent House and where are existing terminations located?</v>
      </c>
      <c r="E481" s="142" t="str">
        <f>BCH_Assessment!$C$58</f>
        <v>OIT / Contractor</v>
      </c>
      <c r="F481" s="106" t="str">
        <f>BCH_Assessment!$D$58</f>
        <v>Closed</v>
      </c>
      <c r="G481" s="106">
        <f>BCH_Assessment!$E$58</f>
        <v>0</v>
      </c>
      <c r="H481" s="106">
        <f>BCH_Assessment!$F$58</f>
        <v>0</v>
      </c>
      <c r="I481" s="106" t="str">
        <f>BCH_Assessment!$G$58</f>
        <v>Cutover/outage risk</v>
      </c>
      <c r="J481" s="106">
        <f>BCH_Assessment!$H$58</f>
        <v>0</v>
      </c>
      <c r="K481" s="106">
        <f>BCH_Assessment!$I$58</f>
        <v>0</v>
      </c>
      <c r="L481" s="106">
        <f>BCH_Assessment!$J$58</f>
        <v>0</v>
      </c>
    </row>
    <row r="482" spans="1:12" ht="34.950000000000003" customHeight="1">
      <c r="A482" s="106" t="str">
        <f>BCH_Assessment!$B$2</f>
        <v>BCH</v>
      </c>
      <c r="B482" s="106" t="str">
        <f t="shared" si="52"/>
        <v>B82_Assessment</v>
      </c>
      <c r="C482" s="106" t="str">
        <f>BCH_Assessment!$A$59</f>
        <v>BCH-Q4</v>
      </c>
      <c r="D482" s="142" t="str">
        <f>BCH_Assessment!$B$59</f>
        <v>What is the approved power source, receptacle type and circuit capacity for the new UPS/PDU?</v>
      </c>
      <c r="E482" s="142" t="str">
        <f>BCH_Assessment!$C$59</f>
        <v>Electrical / Designer</v>
      </c>
      <c r="F482" s="106" t="str">
        <f>BCH_Assessment!$D$59</f>
        <v>Closed</v>
      </c>
      <c r="G482" s="106">
        <f>BCH_Assessment!$E$59</f>
        <v>0</v>
      </c>
      <c r="H482" s="106">
        <f>BCH_Assessment!$F$59</f>
        <v>0</v>
      </c>
      <c r="I482" s="106" t="str">
        <f>BCH_Assessment!$G$59</f>
        <v>Electrical readiness unknown</v>
      </c>
      <c r="J482" s="106">
        <f>BCH_Assessment!$H$59</f>
        <v>0</v>
      </c>
      <c r="K482" s="106">
        <f>BCH_Assessment!$I$59</f>
        <v>0</v>
      </c>
      <c r="L482" s="106">
        <f>BCH_Assessment!$J$59</f>
        <v>0</v>
      </c>
    </row>
    <row r="483" spans="1:12" ht="46.35" customHeight="1">
      <c r="A483" s="106" t="str">
        <f>BCH_Assessment!$B$2</f>
        <v>BCH</v>
      </c>
      <c r="B483" s="106" t="str">
        <f t="shared" si="52"/>
        <v>B82_Assessment</v>
      </c>
      <c r="C483" s="106" t="str">
        <f>BCH_Assessment!$A$60</f>
        <v>BCH-Q5</v>
      </c>
      <c r="D483" s="142" t="str">
        <f>BCH_Assessment!$B$60</f>
        <v>Is existing HVAC/ambient condition acceptable for TE/network equipment since mechanical scope is excluded?</v>
      </c>
      <c r="E483" s="142" t="str">
        <f>BCH_Assessment!$C$60</f>
        <v>VA / OIT / Facilities</v>
      </c>
      <c r="F483" s="106" t="str">
        <f>BCH_Assessment!$D$60</f>
        <v>Closed</v>
      </c>
      <c r="G483" s="106">
        <f>BCH_Assessment!$E$60</f>
        <v>0</v>
      </c>
      <c r="H483" s="106">
        <f>BCH_Assessment!$F$60</f>
        <v>0</v>
      </c>
      <c r="I483" s="106" t="str">
        <f>BCH_Assessment!$G$60</f>
        <v>Heat/load risk</v>
      </c>
      <c r="J483" s="106">
        <f>BCH_Assessment!$H$60</f>
        <v>0</v>
      </c>
      <c r="K483" s="106">
        <f>BCH_Assessment!$I$60</f>
        <v>0</v>
      </c>
      <c r="L483" s="106">
        <f>BCH_Assessment!$J$60</f>
        <v>0</v>
      </c>
    </row>
    <row r="484" spans="1:12" ht="40.65" customHeight="1">
      <c r="A484" s="106" t="str">
        <f>BCH_Assessment!$B$2</f>
        <v>BCH</v>
      </c>
      <c r="B484" s="106" t="str">
        <f t="shared" ref="B484:B491" si="53">"BCH_Assessment"</f>
        <v>BCH_Assessment</v>
      </c>
      <c r="C484" s="106" t="str">
        <f>BCH_Assessment!$A$61</f>
        <v>BCH-Q6</v>
      </c>
      <c r="D484" s="142" t="str">
        <f>BCH_Assessment!$B$61</f>
        <v>Are cable tray route, sleeve locations, supports and firestopping details shown/field verified without a BCHT-701 schedule?</v>
      </c>
      <c r="E484" s="142" t="str">
        <f>BCH_Assessment!$C$61</f>
        <v>Telecom / GC / Firestop</v>
      </c>
      <c r="F484" s="106" t="str">
        <f>BCH_Assessment!$D$61</f>
        <v>Closed</v>
      </c>
      <c r="G484" s="106">
        <f>BCH_Assessment!$E$61</f>
        <v>0</v>
      </c>
      <c r="H484" s="106">
        <f>BCH_Assessment!$F$61</f>
        <v>0</v>
      </c>
      <c r="I484" s="106" t="str">
        <f>BCH_Assessment!$G$61</f>
        <v>Install delay or firestop gap</v>
      </c>
      <c r="J484" s="106">
        <f>BCH_Assessment!$H$61</f>
        <v>0</v>
      </c>
      <c r="K484" s="106">
        <f>BCH_Assessment!$I$61</f>
        <v>0</v>
      </c>
      <c r="L484" s="106">
        <f>BCH_Assessment!$J$61</f>
        <v>0</v>
      </c>
    </row>
    <row r="485" spans="1:12" ht="29.1" customHeight="1">
      <c r="A485" s="106" t="str">
        <f>BCH_Assessment!$B$2</f>
        <v>BCH</v>
      </c>
      <c r="B485" s="106" t="str">
        <f t="shared" si="53"/>
        <v>BCH_Assessment</v>
      </c>
      <c r="C485" s="106" t="str">
        <f>BCH_Assessment!$A$62</f>
        <v>BCH-Q7</v>
      </c>
      <c r="D485" s="142" t="str">
        <f>BCH_Assessment!$B$62</f>
        <v>Are camera/security devices required, protected and integrated into VMS for Room 107?</v>
      </c>
      <c r="E485" s="142" t="str">
        <f>BCH_Assessment!$C$62</f>
        <v>Security / OIT</v>
      </c>
      <c r="F485" s="106" t="str">
        <f>BCH_Assessment!$D$62</f>
        <v>Closed</v>
      </c>
      <c r="G485" s="106">
        <f>BCH_Assessment!$E$62</f>
        <v>0</v>
      </c>
      <c r="H485" s="106">
        <f>BCH_Assessment!$F$62</f>
        <v>0</v>
      </c>
      <c r="I485" s="106" t="str">
        <f>BCH_Assessment!$G$62</f>
        <v>Security continuity unclear</v>
      </c>
      <c r="J485" s="106">
        <f>BCH_Assessment!$H$62</f>
        <v>0</v>
      </c>
      <c r="K485" s="106">
        <f>BCH_Assessment!$I$62</f>
        <v>0</v>
      </c>
      <c r="L485" s="106">
        <f>BCH_Assessment!$J$62</f>
        <v>0</v>
      </c>
    </row>
    <row r="486" spans="1:12" ht="34.950000000000003" customHeight="1">
      <c r="A486" s="106" t="str">
        <f>BCH_Assessment!$B$2</f>
        <v>BCH</v>
      </c>
      <c r="B486" s="106" t="str">
        <f t="shared" si="53"/>
        <v>BCH_Assessment</v>
      </c>
      <c r="C486" s="106" t="str">
        <f>BCH_Assessment!$A$63</f>
        <v>BCH-Q8</v>
      </c>
      <c r="D486" s="142" t="str">
        <f>BCH_Assessment!$B$63</f>
        <v>Which test records and turnover documents are required for BCH TE/off-site acceptance?</v>
      </c>
      <c r="E486" s="142" t="str">
        <f>BCH_Assessment!$C$63</f>
        <v>GC / Cx Manager / OIT</v>
      </c>
      <c r="F486" s="106" t="str">
        <f>BCH_Assessment!$D$63</f>
        <v>Closed</v>
      </c>
      <c r="G486" s="106">
        <f>BCH_Assessment!$E$63</f>
        <v>0</v>
      </c>
      <c r="H486" s="106">
        <f>BCH_Assessment!$F$63</f>
        <v>0</v>
      </c>
      <c r="I486" s="106" t="str">
        <f>BCH_Assessment!$G$63</f>
        <v>Turnover package gap</v>
      </c>
      <c r="J486" s="106">
        <f>BCH_Assessment!$H$63</f>
        <v>0</v>
      </c>
      <c r="K486" s="106">
        <f>BCH_Assessment!$I$63</f>
        <v>0</v>
      </c>
      <c r="L486" s="106">
        <f>BCH_Assessment!$J$63</f>
        <v>0</v>
      </c>
    </row>
    <row r="487" spans="1:12" ht="52.2" customHeight="1">
      <c r="A487" s="106" t="str">
        <f>MCR_Assessment!$B$2</f>
        <v>MCR</v>
      </c>
      <c r="B487" s="106" t="str">
        <f t="shared" si="53"/>
        <v>BCH_Assessment</v>
      </c>
      <c r="C487" s="106" t="str">
        <f>MCR_Assessment!$A$79</f>
        <v>MCR-Q1</v>
      </c>
      <c r="D487" s="142" t="str">
        <f>MCR_Assessment!$B$79</f>
        <v>Confirm final room naming and PMIS mapping: MCR Room 107, Fiber Entrance Room 031, Existing 107/137 server/MCR references.</v>
      </c>
      <c r="E487" s="142" t="str">
        <f>MCR_Assessment!$C$79</f>
        <v>VA / OIT / Designer</v>
      </c>
      <c r="F487" s="106" t="str">
        <f>MCR_Assessment!$D$79</f>
        <v>Closed</v>
      </c>
      <c r="G487" s="106">
        <f>MCR_Assessment!$E$79</f>
        <v>0</v>
      </c>
      <c r="H487" s="106">
        <f>MCR_Assessment!$F$79</f>
        <v>0</v>
      </c>
      <c r="I487" s="106" t="str">
        <f>MCR_Assessment!$G$79</f>
        <v>Room inventory and turnover mapping could be wrong</v>
      </c>
      <c r="J487" s="106">
        <f>MCR_Assessment!$H$79</f>
        <v>0</v>
      </c>
      <c r="K487" s="106">
        <f>MCR_Assessment!$I$79</f>
        <v>0</v>
      </c>
      <c r="L487" s="106">
        <f>MCR_Assessment!$J$79</f>
        <v>0</v>
      </c>
    </row>
    <row r="488" spans="1:12" ht="40.65" customHeight="1">
      <c r="A488" s="106" t="str">
        <f>MCR_Assessment!$B$2</f>
        <v>MCR</v>
      </c>
      <c r="B488" s="106" t="str">
        <f t="shared" si="53"/>
        <v>BCH_Assessment</v>
      </c>
      <c r="C488" s="106" t="str">
        <f>MCR_Assessment!$A$80</f>
        <v>MCR-Q2</v>
      </c>
      <c r="D488" s="142" t="str">
        <f>MCR_Assessment!$B$80</f>
        <v>What existing core/server/rack equipment is being relocated from the existing MCR/server rooms, and what remains?</v>
      </c>
      <c r="E488" s="142" t="str">
        <f>MCR_Assessment!$C$80</f>
        <v>OIT / Contractor</v>
      </c>
      <c r="F488" s="106" t="str">
        <f>MCR_Assessment!$D$80</f>
        <v>Closed</v>
      </c>
      <c r="G488" s="106">
        <f>MCR_Assessment!$E$80</f>
        <v>0</v>
      </c>
      <c r="H488" s="106">
        <f>MCR_Assessment!$F$80</f>
        <v>0</v>
      </c>
      <c r="I488" s="106" t="str">
        <f>MCR_Assessment!$G$80</f>
        <v>Cutover and outage risk</v>
      </c>
      <c r="J488" s="106">
        <f>MCR_Assessment!$H$80</f>
        <v>0</v>
      </c>
      <c r="K488" s="106">
        <f>MCR_Assessment!$I$80</f>
        <v>0</v>
      </c>
      <c r="L488" s="106">
        <f>MCR_Assessment!$J$80</f>
        <v>0</v>
      </c>
    </row>
    <row r="489" spans="1:12" ht="29.1" customHeight="1">
      <c r="A489" s="106" t="str">
        <f>MCR_Assessment!$B$2</f>
        <v>MCR</v>
      </c>
      <c r="B489" s="106" t="str">
        <f t="shared" si="53"/>
        <v>BCH_Assessment</v>
      </c>
      <c r="C489" s="106" t="str">
        <f>MCR_Assessment!$A$81</f>
        <v>MCR-Q3</v>
      </c>
      <c r="D489" s="142" t="str">
        <f>MCR_Assessment!$B$81</f>
        <v>What is the approved MCR activation sequence and required VA/OIT hold points?</v>
      </c>
      <c r="E489" s="142" t="str">
        <f>MCR_Assessment!$C$81</f>
        <v>VA / OIT / COR</v>
      </c>
      <c r="F489" s="106" t="str">
        <f>MCR_Assessment!$D$81</f>
        <v>Closed</v>
      </c>
      <c r="G489" s="106">
        <f>MCR_Assessment!$E$81</f>
        <v>0</v>
      </c>
      <c r="H489" s="106">
        <f>MCR_Assessment!$F$81</f>
        <v>0</v>
      </c>
      <c r="I489" s="106" t="str">
        <f>MCR_Assessment!$G$81</f>
        <v>Schedule/cutover impact</v>
      </c>
      <c r="J489" s="106">
        <f>MCR_Assessment!$H$81</f>
        <v>0</v>
      </c>
      <c r="K489" s="106">
        <f>MCR_Assessment!$I$81</f>
        <v>0</v>
      </c>
      <c r="L489" s="106" t="str">
        <f>MCR_Assessment!$J$81</f>
        <v>General phasing notes mention 3-6 month MCR activation and split core operation.</v>
      </c>
    </row>
    <row r="490" spans="1:12" ht="40.65" customHeight="1">
      <c r="A490" s="106" t="str">
        <f>MCR_Assessment!$B$2</f>
        <v>MCR</v>
      </c>
      <c r="B490" s="106" t="str">
        <f t="shared" si="53"/>
        <v>BCH_Assessment</v>
      </c>
      <c r="C490" s="106" t="str">
        <f>MCR_Assessment!$A$82</f>
        <v>MCR-Q4</v>
      </c>
      <c r="D490" s="142" t="str">
        <f>MCR_Assessment!$B$82</f>
        <v>Are UPS-A/B, generator/ATS and emergency power paths commissioned and mapped to each rack/PDU?</v>
      </c>
      <c r="E490" s="142" t="str">
        <f>MCR_Assessment!$C$82</f>
        <v>Electrical / Cx</v>
      </c>
      <c r="F490" s="106" t="str">
        <f>MCR_Assessment!$D$82</f>
        <v>Closed</v>
      </c>
      <c r="G490" s="106">
        <f>MCR_Assessment!$E$82</f>
        <v>0</v>
      </c>
      <c r="H490" s="106">
        <f>MCR_Assessment!$F$82</f>
        <v>0</v>
      </c>
      <c r="I490" s="106" t="str">
        <f>MCR_Assessment!$G$82</f>
        <v>Electrical readiness unknown</v>
      </c>
      <c r="J490" s="106">
        <f>MCR_Assessment!$H$82</f>
        <v>0</v>
      </c>
      <c r="K490" s="106">
        <f>MCR_Assessment!$I$82</f>
        <v>0</v>
      </c>
      <c r="L490" s="106">
        <f>MCR_Assessment!$J$82</f>
        <v>0</v>
      </c>
    </row>
    <row r="491" spans="1:12" ht="34.950000000000003" customHeight="1">
      <c r="A491" s="106" t="str">
        <f>MCR_Assessment!$B$2</f>
        <v>MCR</v>
      </c>
      <c r="B491" s="106" t="str">
        <f t="shared" si="53"/>
        <v>BCH_Assessment</v>
      </c>
      <c r="C491" s="106" t="str">
        <f>MCR_Assessment!$A$83</f>
        <v>MCR-Q5</v>
      </c>
      <c r="D491" s="142" t="str">
        <f>MCR_Assessment!$B$83</f>
        <v>Are CRAC units fully commissioned with BMS/FMS alarms, redundancy and emergency power?</v>
      </c>
      <c r="E491" s="142" t="str">
        <f>MCR_Assessment!$C$83</f>
        <v>Mechanical / Cx</v>
      </c>
      <c r="F491" s="106" t="str">
        <f>MCR_Assessment!$D$83</f>
        <v>Closed</v>
      </c>
      <c r="G491" s="106">
        <f>MCR_Assessment!$E$83</f>
        <v>0</v>
      </c>
      <c r="H491" s="106">
        <f>MCR_Assessment!$F$83</f>
        <v>0</v>
      </c>
      <c r="I491" s="106" t="str">
        <f>MCR_Assessment!$G$83</f>
        <v>Cooling continuity risk</v>
      </c>
      <c r="J491" s="106">
        <f>MCR_Assessment!$H$83</f>
        <v>0</v>
      </c>
      <c r="K491" s="106">
        <f>MCR_Assessment!$I$83</f>
        <v>0</v>
      </c>
      <c r="L491" s="106">
        <f>MCR_Assessment!$J$83</f>
        <v>0</v>
      </c>
    </row>
    <row r="492" spans="1:12" ht="29.1" customHeight="1">
      <c r="A492" s="106" t="str">
        <f>MCR_Assessment!$B$2</f>
        <v>MCR</v>
      </c>
      <c r="B492" s="106" t="str">
        <f t="shared" ref="B492:B499" si="54">"MCR_Assessment"</f>
        <v>MCR_Assessment</v>
      </c>
      <c r="C492" s="106" t="str">
        <f>MCR_Assessment!$A$84</f>
        <v>MCR-Q6</v>
      </c>
      <c r="D492" s="142" t="str">
        <f>MCR_Assessment!$B$84</f>
        <v>Are clean-agent/preaction/fire alarm systems fully designed, tested and accepted?</v>
      </c>
      <c r="E492" s="142" t="str">
        <f>MCR_Assessment!$C$84</f>
        <v>FP / FA / AHJ</v>
      </c>
      <c r="F492" s="106" t="str">
        <f>MCR_Assessment!$D$84</f>
        <v>Closed</v>
      </c>
      <c r="G492" s="106">
        <f>MCR_Assessment!$E$84</f>
        <v>0</v>
      </c>
      <c r="H492" s="106">
        <f>MCR_Assessment!$F$84</f>
        <v>0</v>
      </c>
      <c r="I492" s="106" t="str">
        <f>MCR_Assessment!$G$84</f>
        <v>Life-safety acceptance risk</v>
      </c>
      <c r="J492" s="106">
        <f>MCR_Assessment!$H$84</f>
        <v>0</v>
      </c>
      <c r="K492" s="106">
        <f>MCR_Assessment!$I$84</f>
        <v>0</v>
      </c>
      <c r="L492" s="106">
        <f>MCR_Assessment!$J$84</f>
        <v>0</v>
      </c>
    </row>
    <row r="493" spans="1:12" ht="34.950000000000003" customHeight="1">
      <c r="A493" s="106" t="str">
        <f>MCR_Assessment!$B$2</f>
        <v>MCR</v>
      </c>
      <c r="B493" s="106" t="str">
        <f t="shared" si="54"/>
        <v>MCR_Assessment</v>
      </c>
      <c r="C493" s="106" t="str">
        <f>MCR_Assessment!$A$85</f>
        <v>MCR-Q7</v>
      </c>
      <c r="D493" s="142" t="str">
        <f>MCR_Assessment!$B$85</f>
        <v>Are redundant Path A/B fiber routes geographically diverse, tested, labeled and accepted?</v>
      </c>
      <c r="E493" s="142" t="str">
        <f>MCR_Assessment!$C$85</f>
        <v>Telecom / OIT</v>
      </c>
      <c r="F493" s="106" t="str">
        <f>MCR_Assessment!$D$85</f>
        <v>Closed</v>
      </c>
      <c r="G493" s="106">
        <f>MCR_Assessment!$E$85</f>
        <v>0</v>
      </c>
      <c r="H493" s="106">
        <f>MCR_Assessment!$F$85</f>
        <v>0</v>
      </c>
      <c r="I493" s="106" t="str">
        <f>MCR_Assessment!$G$85</f>
        <v>Backbone redundancy risk</v>
      </c>
      <c r="J493" s="106">
        <f>MCR_Assessment!$H$85</f>
        <v>0</v>
      </c>
      <c r="K493" s="106">
        <f>MCR_Assessment!$I$85</f>
        <v>0</v>
      </c>
      <c r="L493" s="106">
        <f>MCR_Assessment!$J$85</f>
        <v>0</v>
      </c>
    </row>
    <row r="494" spans="1:12" ht="40.65" customHeight="1">
      <c r="A494" s="106" t="str">
        <f>MCR_Assessment!$B$2</f>
        <v>MCR</v>
      </c>
      <c r="B494" s="106" t="str">
        <f t="shared" si="54"/>
        <v>MCR_Assessment</v>
      </c>
      <c r="C494" s="106" t="str">
        <f>MCR_Assessment!$A$86</f>
        <v>MCR-Q8</v>
      </c>
      <c r="D494" s="142" t="str">
        <f>MCR_Assessment!$B$86</f>
        <v>Which third-party inspections, commissioning reports and OIT validation records are required before turnover/activation?</v>
      </c>
      <c r="E494" s="142" t="str">
        <f>MCR_Assessment!$C$86</f>
        <v>GC / Cx Manager / OIT</v>
      </c>
      <c r="F494" s="106" t="str">
        <f>MCR_Assessment!$D$86</f>
        <v>Closed</v>
      </c>
      <c r="G494" s="106">
        <f>MCR_Assessment!$E$86</f>
        <v>0</v>
      </c>
      <c r="H494" s="106">
        <f>MCR_Assessment!$F$86</f>
        <v>0</v>
      </c>
      <c r="I494" s="106" t="str">
        <f>MCR_Assessment!$G$86</f>
        <v>Turnover package gap</v>
      </c>
      <c r="J494" s="106">
        <f>MCR_Assessment!$H$86</f>
        <v>0</v>
      </c>
      <c r="K494" s="106">
        <f>MCR_Assessment!$I$86</f>
        <v>0</v>
      </c>
      <c r="L494" s="106">
        <f>MCR_Assessment!$J$86</f>
        <v>0</v>
      </c>
    </row>
    <row r="495" spans="1:12" ht="64.2" customHeight="1">
      <c r="A495" s="106" t="str">
        <f>SITE_Assesment!$B$2</f>
        <v>SITE</v>
      </c>
      <c r="B495" s="106" t="str">
        <f t="shared" si="54"/>
        <v>MCR_Assessment</v>
      </c>
      <c r="C495" s="106" t="str">
        <f>SITE_Assesment!$A$77</f>
        <v>SITE-Q1</v>
      </c>
      <c r="D495" s="142" t="str">
        <f>SITE_Assesment!$B$77</f>
        <v>Confirm final list of all site fiber buildings and whether Buildings 1-22, 33, 61, 62, 70, 78/78A, 80, 81, 82, Crescent House and MCR are included in one site backbone turnover package.</v>
      </c>
      <c r="E495" s="142" t="str">
        <f>SITE_Assesment!$C$77</f>
        <v>VA / OIT / Designer</v>
      </c>
      <c r="F495" s="106" t="str">
        <f>SITE_Assesment!$D$77</f>
        <v>Closed</v>
      </c>
      <c r="G495" s="106">
        <f>SITE_Assesment!$E$77</f>
        <v>0</v>
      </c>
      <c r="H495" s="106">
        <f>SITE_Assesment!$F$77</f>
        <v>0</v>
      </c>
      <c r="I495" s="106" t="str">
        <f>SITE_Assesment!$G$77</f>
        <v>Scope and turnover package mapping unclear</v>
      </c>
      <c r="J495" s="106">
        <f>SITE_Assesment!$H$77</f>
        <v>0</v>
      </c>
      <c r="K495" s="106">
        <f>SITE_Assesment!$I$77</f>
        <v>0</v>
      </c>
      <c r="L495" s="106">
        <f>SITE_Assesment!$J$77</f>
        <v>0</v>
      </c>
    </row>
    <row r="496" spans="1:12" ht="40.65" customHeight="1">
      <c r="A496" s="106" t="str">
        <f>SITE_Assesment!$B$2</f>
        <v>SITE</v>
      </c>
      <c r="B496" s="106" t="str">
        <f t="shared" si="54"/>
        <v>MCR_Assessment</v>
      </c>
      <c r="C496" s="106" t="str">
        <f>SITE_Assesment!$A$78</f>
        <v>SITE-Q2</v>
      </c>
      <c r="D496" s="142" t="str">
        <f>SITE_Assesment!$B$78</f>
        <v>Which THH/manhole numbers are new versus existing, and which require locking cover replacement only?</v>
      </c>
      <c r="E496" s="142" t="str">
        <f>SITE_Assesment!$C$78</f>
        <v>Telecom / Civil</v>
      </c>
      <c r="F496" s="106" t="str">
        <f>SITE_Assesment!$D$78</f>
        <v>Closed</v>
      </c>
      <c r="G496" s="106">
        <f>SITE_Assesment!$E$78</f>
        <v>0</v>
      </c>
      <c r="H496" s="106">
        <f>SITE_Assesment!$F$78</f>
        <v>0</v>
      </c>
      <c r="I496" s="106" t="str">
        <f>SITE_Assesment!$G$78</f>
        <v>Structure inventory and inspection scope unclear</v>
      </c>
      <c r="J496" s="106">
        <f>SITE_Assesment!$H$78</f>
        <v>0</v>
      </c>
      <c r="K496" s="106">
        <f>SITE_Assesment!$I$78</f>
        <v>0</v>
      </c>
      <c r="L496" s="106">
        <f>SITE_Assesment!$J$78</f>
        <v>0</v>
      </c>
    </row>
    <row r="497" spans="1:12" ht="34.950000000000003" customHeight="1">
      <c r="A497" s="106" t="str">
        <f>SITE_Assesment!$B$2</f>
        <v>SITE</v>
      </c>
      <c r="B497" s="106" t="str">
        <f t="shared" si="54"/>
        <v>MCR_Assessment</v>
      </c>
      <c r="C497" s="106" t="str">
        <f>SITE_Assesment!$A$79</f>
        <v>SITE-Q3</v>
      </c>
      <c r="D497" s="142" t="str">
        <f>SITE_Assesment!$B$79</f>
        <v>Are all A and B routes physically diverse enough and in separate conduit wherever common ductbank is used?</v>
      </c>
      <c r="E497" s="142" t="str">
        <f>SITE_Assesment!$C$79</f>
        <v>OIT / Designer</v>
      </c>
      <c r="F497" s="106" t="str">
        <f>SITE_Assesment!$D$79</f>
        <v>Closed</v>
      </c>
      <c r="G497" s="106">
        <f>SITE_Assesment!$E$79</f>
        <v>0</v>
      </c>
      <c r="H497" s="106">
        <f>SITE_Assesment!$F$79</f>
        <v>0</v>
      </c>
      <c r="I497" s="106" t="str">
        <f>SITE_Assesment!$G$79</f>
        <v>Redundancy risk</v>
      </c>
      <c r="J497" s="106">
        <f>SITE_Assesment!$H$79</f>
        <v>0</v>
      </c>
      <c r="K497" s="106">
        <f>SITE_Assesment!$I$79</f>
        <v>0</v>
      </c>
      <c r="L497" s="106">
        <f>SITE_Assesment!$J$79</f>
        <v>0</v>
      </c>
    </row>
    <row r="498" spans="1:12" ht="34.950000000000003" customHeight="1">
      <c r="A498" s="106" t="str">
        <f>SITE_Assesment!$B$2</f>
        <v>SITE</v>
      </c>
      <c r="B498" s="106" t="str">
        <f t="shared" si="54"/>
        <v>MCR_Assessment</v>
      </c>
      <c r="C498" s="106" t="str">
        <f>SITE_Assesment!$A$80</f>
        <v>SITE-Q4</v>
      </c>
      <c r="D498" s="142" t="str">
        <f>SITE_Assesment!$B$80</f>
        <v>What are the approved utility-locate/potholing requirements before excavation at each crossing?</v>
      </c>
      <c r="E498" s="142" t="str">
        <f>SITE_Assesment!$C$80</f>
        <v>GC / VA / Civil</v>
      </c>
      <c r="F498" s="106" t="str">
        <f>SITE_Assesment!$D$80</f>
        <v>Closed</v>
      </c>
      <c r="G498" s="106">
        <f>SITE_Assesment!$E$80</f>
        <v>0</v>
      </c>
      <c r="H498" s="106">
        <f>SITE_Assesment!$F$80</f>
        <v>0</v>
      </c>
      <c r="I498" s="106" t="str">
        <f>SITE_Assesment!$G$80</f>
        <v>Utility strike risk</v>
      </c>
      <c r="J498" s="106">
        <f>SITE_Assesment!$H$80</f>
        <v>0</v>
      </c>
      <c r="K498" s="106">
        <f>SITE_Assesment!$I$80</f>
        <v>0</v>
      </c>
      <c r="L498" s="106">
        <f>SITE_Assesment!$J$80</f>
        <v>0</v>
      </c>
    </row>
    <row r="499" spans="1:12" ht="46.35" customHeight="1">
      <c r="A499" s="106" t="str">
        <f>SITE_Assesment!$B$2</f>
        <v>SITE</v>
      </c>
      <c r="B499" s="106" t="str">
        <f t="shared" si="54"/>
        <v>MCR_Assessment</v>
      </c>
      <c r="C499" s="106" t="str">
        <f>SITE_Assesment!$A$81</f>
        <v>SITE-Q5</v>
      </c>
      <c r="D499" s="142" t="str">
        <f>SITE_Assesment!$B$81</f>
        <v>What inspection hold points are required for ductbank forms, conduit placement, concrete pour, pull string, mandrel and backfill?</v>
      </c>
      <c r="E499" s="142" t="str">
        <f>SITE_Assesment!$C$81</f>
        <v>QA / COR / Civil</v>
      </c>
      <c r="F499" s="106" t="str">
        <f>SITE_Assesment!$D$81</f>
        <v>Closed</v>
      </c>
      <c r="G499" s="106">
        <f>SITE_Assesment!$E$81</f>
        <v>0</v>
      </c>
      <c r="H499" s="106">
        <f>SITE_Assesment!$F$81</f>
        <v>0</v>
      </c>
      <c r="I499" s="106" t="str">
        <f>SITE_Assesment!$G$81</f>
        <v>QA acceptance risk</v>
      </c>
      <c r="J499" s="106">
        <f>SITE_Assesment!$H$81</f>
        <v>0</v>
      </c>
      <c r="K499" s="106">
        <f>SITE_Assesment!$I$81</f>
        <v>0</v>
      </c>
      <c r="L499" s="106">
        <f>SITE_Assesment!$J$81</f>
        <v>0</v>
      </c>
    </row>
    <row r="500" spans="1:12" ht="46.35" customHeight="1">
      <c r="A500" s="106" t="str">
        <f>SITE_Assesment!$B$2</f>
        <v>SITE</v>
      </c>
      <c r="B500" s="106" t="str">
        <f>"SITE_Assesment"</f>
        <v>SITE_Assesment</v>
      </c>
      <c r="C500" s="106" t="str">
        <f>SITE_Assesment!$A$82</f>
        <v>SITE-Q6</v>
      </c>
      <c r="D500" s="106" t="str">
        <f>SITE_Assesment!$B$82</f>
        <v>Are directional boring alternatives allowed anywhere, or is all base-bid work trenching unless separately approved by Government?</v>
      </c>
      <c r="E500" s="106" t="str">
        <f>SITE_Assesment!$C$82</f>
        <v>VA / COR</v>
      </c>
      <c r="F500" s="106" t="str">
        <f>SITE_Assesment!$D$82</f>
        <v>Closed</v>
      </c>
      <c r="G500" s="106">
        <f>SITE_Assesment!$E$82</f>
        <v>0</v>
      </c>
      <c r="H500" s="106">
        <f>SITE_Assesment!$F$82</f>
        <v>0</v>
      </c>
      <c r="I500" s="106" t="str">
        <f>SITE_Assesment!$G$82</f>
        <v>Means/methods and cost/schedule risk</v>
      </c>
      <c r="J500" s="106">
        <f>SITE_Assesment!$H$82</f>
        <v>0</v>
      </c>
      <c r="K500" s="106">
        <f>SITE_Assesment!$I$82</f>
        <v>0</v>
      </c>
      <c r="L500" s="106">
        <f>SITE_Assesment!$J$82</f>
        <v>0</v>
      </c>
    </row>
    <row r="501" spans="1:12" ht="40.65" customHeight="1">
      <c r="A501" s="106" t="str">
        <f>SITE_Assesment!$B$2</f>
        <v>SITE</v>
      </c>
      <c r="B501" s="106" t="str">
        <f>"SITE_Assesment"</f>
        <v>SITE_Assesment</v>
      </c>
      <c r="C501" s="106" t="str">
        <f>SITE_Assesment!$A$83</f>
        <v>SITE-Q7</v>
      </c>
      <c r="D501" s="106" t="str">
        <f>SITE_Assesment!$B$83</f>
        <v>What exact fiber test package is required for each path and building tie-in before connection to active operations?</v>
      </c>
      <c r="E501" s="106" t="str">
        <f>SITE_Assesment!$C$83</f>
        <v>OIT / Telecom / Cx</v>
      </c>
      <c r="F501" s="106" t="str">
        <f>SITE_Assesment!$D$83</f>
        <v>Closed</v>
      </c>
      <c r="G501" s="106">
        <f>SITE_Assesment!$E$83</f>
        <v>0</v>
      </c>
      <c r="H501" s="106">
        <f>SITE_Assesment!$F$83</f>
        <v>0</v>
      </c>
      <c r="I501" s="106" t="str">
        <f>SITE_Assesment!$G$83</f>
        <v>Acceptance/activation risk</v>
      </c>
      <c r="J501" s="106">
        <f>SITE_Assesment!$H$83</f>
        <v>0</v>
      </c>
      <c r="K501" s="106">
        <f>SITE_Assesment!$I$83</f>
        <v>0</v>
      </c>
      <c r="L501" s="106">
        <f>SITE_Assesment!$J$83</f>
        <v>0</v>
      </c>
    </row>
    <row r="502" spans="1:12" ht="52.2" customHeight="1">
      <c r="A502" s="106" t="str">
        <f>SITE_Assesment!$B$2</f>
        <v>SITE</v>
      </c>
      <c r="B502" s="106" t="str">
        <f>"SITE_Assesment"</f>
        <v>SITE_Assesment</v>
      </c>
      <c r="C502" s="106" t="str">
        <f>SITE_Assesment!$A$84</f>
        <v>SITE-Q8</v>
      </c>
      <c r="D502" s="106" t="str">
        <f>SITE_Assesment!$B$84</f>
        <v>How will MCR/provider temporary fiber, new fiber and campus building activation be sequenced to limit shutdowns to one at a time?</v>
      </c>
      <c r="E502" s="106" t="str">
        <f>SITE_Assesment!$C$84</f>
        <v>OIT / GC / COR</v>
      </c>
      <c r="F502" s="106" t="str">
        <f>SITE_Assesment!$D$84</f>
        <v>Closed</v>
      </c>
      <c r="G502" s="106">
        <f>SITE_Assesment!$E$84</f>
        <v>0</v>
      </c>
      <c r="H502" s="106">
        <f>SITE_Assesment!$F$84</f>
        <v>0</v>
      </c>
      <c r="I502" s="106" t="str">
        <f>SITE_Assesment!$G$84</f>
        <v>Operational outage risk</v>
      </c>
      <c r="J502" s="106">
        <f>SITE_Assesment!$H$84</f>
        <v>0</v>
      </c>
      <c r="K502" s="106">
        <f>SITE_Assesment!$I$84</f>
        <v>0</v>
      </c>
      <c r="L502" s="106">
        <f>SITE_Assesment!$J$84</f>
        <v>0</v>
      </c>
    </row>
    <row r="503" spans="1:12" ht="7.35" customHeight="1">
      <c r="A503" s="19"/>
      <c r="D503" s="144"/>
      <c r="E503" s="144"/>
      <c r="F503" s="19"/>
      <c r="G503" s="19"/>
      <c r="H503" s="19"/>
      <c r="I503" s="19"/>
      <c r="J503" s="19"/>
      <c r="K503" s="19"/>
      <c r="L503" s="19"/>
    </row>
    <row r="504" spans="1:12" ht="7.35" customHeight="1">
      <c r="A504" s="146"/>
      <c r="B504" s="146"/>
      <c r="C504" s="146"/>
      <c r="D504" s="147"/>
      <c r="E504" s="147"/>
      <c r="F504" s="146"/>
      <c r="G504" s="146"/>
      <c r="H504" s="146"/>
      <c r="I504" s="146"/>
      <c r="J504" s="146"/>
      <c r="K504" s="146"/>
      <c r="L504" s="146"/>
    </row>
    <row r="505" spans="1:12" s="148" customFormat="1" ht="7.35" customHeight="1">
      <c r="A505" s="103"/>
      <c r="B505" s="103"/>
      <c r="C505" s="103"/>
      <c r="D505" s="104"/>
      <c r="E505" s="104"/>
      <c r="F505" s="103"/>
      <c r="G505" s="103"/>
      <c r="H505" s="103"/>
      <c r="I505" s="103"/>
      <c r="J505" s="103"/>
      <c r="K505" s="103"/>
      <c r="L505" s="103"/>
    </row>
    <row r="506" spans="1:12" ht="56.4" customHeight="1">
      <c r="A506" s="19" t="s">
        <v>882</v>
      </c>
      <c r="B506" s="19"/>
      <c r="C506" s="19"/>
      <c r="D506" s="144"/>
      <c r="E506" s="144"/>
      <c r="F506" s="19"/>
      <c r="G506" s="19"/>
      <c r="H506" s="19"/>
      <c r="I506" s="19"/>
      <c r="J506" s="19"/>
      <c r="K506" s="19"/>
      <c r="L506" s="19"/>
    </row>
    <row r="507" spans="1:12" ht="7.35" customHeight="1">
      <c r="A507" s="146" t="s">
        <v>142</v>
      </c>
      <c r="B507" s="146" t="s">
        <v>173</v>
      </c>
      <c r="C507" s="146" t="s">
        <v>883</v>
      </c>
      <c r="D507" s="147" t="s">
        <v>275</v>
      </c>
      <c r="E507" s="147" t="s">
        <v>884</v>
      </c>
      <c r="F507" s="146" t="s">
        <v>885</v>
      </c>
      <c r="G507" s="146" t="s">
        <v>886</v>
      </c>
      <c r="H507" s="146" t="s">
        <v>887</v>
      </c>
      <c r="I507" s="146" t="s">
        <v>888</v>
      </c>
      <c r="J507" s="146" t="s">
        <v>77</v>
      </c>
      <c r="K507" s="146" t="s">
        <v>889</v>
      </c>
      <c r="L507" s="146" t="s">
        <v>11</v>
      </c>
    </row>
    <row r="508" spans="1:12" ht="99.15" customHeight="1">
      <c r="A508" s="106" t="str">
        <f>B01_Assessment!$B$2</f>
        <v>01</v>
      </c>
      <c r="B508" s="106" t="str">
        <f>"B01_Assessment"</f>
        <v>B01_Assessment</v>
      </c>
      <c r="C508" s="106" t="str">
        <f>B01_Assessment!$A$10</f>
        <v>01</v>
      </c>
      <c r="D508" s="142" t="str">
        <f>B01_Assessment!$B$10</f>
        <v>107</v>
      </c>
      <c r="E508" s="142" t="str">
        <f>B01_Assessment!$C$10</f>
        <v>First</v>
      </c>
      <c r="F508" s="106" t="str">
        <f>B01_Assessment!$D$10</f>
        <v>New Telecom Room build area</v>
      </c>
      <c r="G508" s="106" t="str">
        <f>B01_Assessment!$E$10</f>
        <v>Telecom Room</v>
      </c>
      <c r="H508" s="106">
        <f>B01_Assessment!$F$10</f>
        <v>1</v>
      </c>
      <c r="I508" s="106">
        <f>B01_Assessment!$G$10</f>
        <v>1</v>
      </c>
      <c r="J508" s="106" t="str">
        <f>B01_Assessment!$H$10</f>
        <v>Verify</v>
      </c>
      <c r="K508" s="106" t="str">
        <f>B01_Assessment!$I$10</f>
        <v>01A-401 / 01E-101 / 01E-601 / 01E-701 / 01T-101 / 01T-604 / 01T-605 / 01T-701</v>
      </c>
      <c r="L508" s="106" t="str">
        <f>B01_Assessment!$J$10</f>
        <v>Primary Building 01 TR. Plans identify Room 107 as new TR with Rack ID TR01-107-1, one new 4-post rack plus future rack, 5kW UPS, future/zone PDU, network switches, 48-port Cat6A patch panels, 24-port Cat5e patch panel, Fiber LIU, panels B01-TR107A/B, IU-1-01/CU-1-01 cooling, camera 107-CAM-1, and 161 total ports with 10% allowance.</v>
      </c>
    </row>
    <row r="509" spans="1:12" ht="93.45" customHeight="1">
      <c r="A509" s="106" t="str">
        <f>B01_Assessment!$B$2</f>
        <v>01</v>
      </c>
      <c r="B509" s="106" t="str">
        <f>"B01_Assessment"</f>
        <v>B01_Assessment</v>
      </c>
      <c r="C509" s="106" t="str">
        <f>B01_Assessment!$A$11</f>
        <v>01</v>
      </c>
      <c r="D509" s="142" t="str">
        <f>B01_Assessment!$B$11</f>
        <v>B02</v>
      </c>
      <c r="E509" s="142" t="str">
        <f>B01_Assessment!$C$11</f>
        <v>Basement</v>
      </c>
      <c r="F509" s="106" t="str">
        <f>B01_Assessment!$D$11</f>
        <v>Existing telecom room / racks</v>
      </c>
      <c r="G509" s="106" t="str">
        <f>B01_Assessment!$E$11</f>
        <v>Existing telecom transition point</v>
      </c>
      <c r="H509" s="106">
        <f>B01_Assessment!$F$11</f>
        <v>3</v>
      </c>
      <c r="I509" s="106">
        <f>B01_Assessment!$G$11</f>
        <v>0</v>
      </c>
      <c r="J509" s="106" t="str">
        <f>B01_Assessment!$H$11</f>
        <v>Verify</v>
      </c>
      <c r="K509" s="106" t="str">
        <f>B01_Assessment!$I$11</f>
        <v>01T-100 / 01T-604 / 01R-900</v>
      </c>
      <c r="L509" s="106" t="str">
        <f>B01_Assessment!$J$11</f>
        <v>Existing Basement Telecom Room B02 with two 2-post floor racks and one wall TE. Existing equipment includes open rack, UPS on floor, Tripp Lite Smart Pro UPS, Tera Max/Nokia/Baseband/IRU equipment, Corning LANscape, Cisco, and Ortronics 24-port patch panels. Protect active services and transfer devices as required.</v>
      </c>
    </row>
    <row r="510" spans="1:12" ht="64.2" customHeight="1">
      <c r="A510" s="106" t="str">
        <f>B01_Assessment!$B$2</f>
        <v>01</v>
      </c>
      <c r="B510" s="106" t="str">
        <f>"B01_Assessment"</f>
        <v>B01_Assessment</v>
      </c>
      <c r="C510" s="106" t="str">
        <f>B01_Assessment!$A$12</f>
        <v>01</v>
      </c>
      <c r="D510" s="142" t="str">
        <f>B01_Assessment!$B$12</f>
        <v>138</v>
      </c>
      <c r="E510" s="142" t="str">
        <f>B01_Assessment!$C$12</f>
        <v>First</v>
      </c>
      <c r="F510" s="106" t="str">
        <f>B01_Assessment!$D$12</f>
        <v>Existing telecom room / patch panels</v>
      </c>
      <c r="G510" s="106" t="str">
        <f>B01_Assessment!$E$12</f>
        <v>Existing telecom transition point</v>
      </c>
      <c r="H510" s="106">
        <f>B01_Assessment!$F$12</f>
        <v>3</v>
      </c>
      <c r="I510" s="106">
        <f>B01_Assessment!$G$12</f>
        <v>0</v>
      </c>
      <c r="J510" s="106" t="str">
        <f>B01_Assessment!$H$12</f>
        <v>Verify</v>
      </c>
      <c r="K510" s="106" t="str">
        <f>B01_Assessment!$I$12</f>
        <v>01T-101 / 01T-604 / 01R-900</v>
      </c>
      <c r="L510" s="106" t="str">
        <f>B01_Assessment!$J$12</f>
        <v>Existing First-Level Telecom Room 138 with existing patch panels, APC UPS floor, Cisco, Corning LANscape and Ortronics 24/48-port patch panels. Protect active services and verify migration to Room 107.</v>
      </c>
    </row>
    <row r="511" spans="1:12" ht="69.900000000000006" customHeight="1">
      <c r="A511" s="106" t="str">
        <f>B01_Assessment!$B$2</f>
        <v>01</v>
      </c>
      <c r="B511" s="106" t="str">
        <f>"B01_Assessment"</f>
        <v>B01_Assessment</v>
      </c>
      <c r="C511" s="106" t="str">
        <f>B01_Assessment!$A$13</f>
        <v>01</v>
      </c>
      <c r="D511" s="142" t="str">
        <f>B01_Assessment!$B$13</f>
        <v>282</v>
      </c>
      <c r="E511" s="142" t="str">
        <f>B01_Assessment!$C$13</f>
        <v>Second</v>
      </c>
      <c r="F511" s="106" t="str">
        <f>B01_Assessment!$D$13</f>
        <v>Existing telecom room / racks</v>
      </c>
      <c r="G511" s="106" t="str">
        <f>B01_Assessment!$E$13</f>
        <v>Existing telecom transition point</v>
      </c>
      <c r="H511" s="106">
        <f>B01_Assessment!$F$13</f>
        <v>2</v>
      </c>
      <c r="I511" s="106">
        <f>B01_Assessment!$G$13</f>
        <v>0</v>
      </c>
      <c r="J511" s="106" t="str">
        <f>B01_Assessment!$H$13</f>
        <v>Verify</v>
      </c>
      <c r="K511" s="106" t="str">
        <f>B01_Assessment!$I$13</f>
        <v>01T-101 / 01T-605 / 01R-900</v>
      </c>
      <c r="L511" s="106" t="str">
        <f>B01_Assessment!$J$13</f>
        <v>Existing Second-Level Telecom Room 282 with two 2-post floor racks, Cisco switches, cable managers, legacy Ortronics 24/48-port patch panels, Corning LANscape and APC 12-port equipment. Protect active services during Room 107 cutover.</v>
      </c>
    </row>
    <row r="512" spans="1:12" ht="93.45" customHeight="1">
      <c r="A512" s="106" t="str">
        <f>B02_Assessment!$B$2</f>
        <v>02</v>
      </c>
      <c r="B512" s="106" t="str">
        <f>"B02_Assessment"</f>
        <v>B02_Assessment</v>
      </c>
      <c r="C512" s="106" t="str">
        <f>B02_Assessment!$A$10</f>
        <v>02</v>
      </c>
      <c r="D512" s="142" t="str">
        <f>B02_Assessment!$B$10</f>
        <v>141</v>
      </c>
      <c r="E512" s="142" t="str">
        <f>B02_Assessment!$C$10</f>
        <v>First</v>
      </c>
      <c r="F512" s="106" t="str">
        <f>B02_Assessment!$D$10</f>
        <v>Existing first-level telecom room / expanded TR work area</v>
      </c>
      <c r="G512" s="106" t="str">
        <f>B02_Assessment!$E$10</f>
        <v>Telecom Room</v>
      </c>
      <c r="H512" s="106">
        <f>B02_Assessment!$F$10</f>
        <v>2</v>
      </c>
      <c r="I512" s="106">
        <f>B02_Assessment!$G$10</f>
        <v>1</v>
      </c>
      <c r="J512" s="106" t="str">
        <f>B02_Assessment!$H$10</f>
        <v>Verify</v>
      </c>
      <c r="K512" s="106" t="str">
        <f>B02_Assessment!$I$10</f>
        <v>02A-401 / 02E-101 / 02E-401 / 02E-601 / 02E-701 / 02T-101 / 02T-401 / 02T-604 / 02T-701</v>
      </c>
      <c r="L512" s="106" t="str">
        <f>B02_Assessment!$J$10</f>
        <v>Primary first-level TR. Schedules identify RM141 with 211 WAO total, 215 active ports, 322 scheduled ports and 354 total ports with 10% allowance. Rack IDs TR01-141-01/02. Enlarged plan shows Room 141 new and demo scope, 174-CAM-01, existing patch panels/fire alarm cabinet relocated to RM141 and future rack space.</v>
      </c>
    </row>
    <row r="513" spans="1:12" ht="81.45" customHeight="1">
      <c r="A513" s="106" t="str">
        <f>B02_Assessment!$B$2</f>
        <v>02</v>
      </c>
      <c r="B513" s="106" t="str">
        <f>"B02_Assessment"</f>
        <v>B02_Assessment</v>
      </c>
      <c r="C513" s="106" t="str">
        <f>B02_Assessment!$A$11</f>
        <v>02</v>
      </c>
      <c r="D513" s="142" t="str">
        <f>B02_Assessment!$B$11</f>
        <v>236</v>
      </c>
      <c r="E513" s="142" t="str">
        <f>B02_Assessment!$C$11</f>
        <v>Second</v>
      </c>
      <c r="F513" s="106" t="str">
        <f>B02_Assessment!$D$11</f>
        <v>Existing second-level telecom room / expanded TR work area</v>
      </c>
      <c r="G513" s="106" t="str">
        <f>B02_Assessment!$E$11</f>
        <v>Telecom Room</v>
      </c>
      <c r="H513" s="106">
        <f>B02_Assessment!$F$11</f>
        <v>2</v>
      </c>
      <c r="I513" s="106">
        <f>B02_Assessment!$G$11</f>
        <v>1</v>
      </c>
      <c r="J513" s="106" t="str">
        <f>B02_Assessment!$H$11</f>
        <v>Verify</v>
      </c>
      <c r="K513" s="106" t="str">
        <f>B02_Assessment!$I$11</f>
        <v>02A-401 / 02E-102 / 02E-402 / 02E-701 / 02T-102 / 02T-401 / 02T-604 / 02T-702</v>
      </c>
      <c r="L513" s="106" t="str">
        <f>B02_Assessment!$J$11</f>
        <v>Second-level TR. Schedules identify RM236 with 179 WAO total, 178 active ports, 314 scheduled ports and approximately 345 ports with 10% allowance. Rack IDs TR01-236-01/02. Enlarged plans show 236-CAM-01 and new/demolition work at Room 236 / existing Room 282.</v>
      </c>
    </row>
    <row r="514" spans="1:12" ht="64.2" customHeight="1">
      <c r="A514" s="106" t="str">
        <f>B02_Assessment!$B$2</f>
        <v>02</v>
      </c>
      <c r="B514" s="106" t="str">
        <f>"B02_Assessment"</f>
        <v>B02_Assessment</v>
      </c>
      <c r="C514" s="106" t="str">
        <f>B02_Assessment!$A$12</f>
        <v>02</v>
      </c>
      <c r="D514" s="142" t="str">
        <f>B02_Assessment!$B$12</f>
        <v>342</v>
      </c>
      <c r="E514" s="142" t="str">
        <f>B02_Assessment!$C$12</f>
        <v>Third</v>
      </c>
      <c r="F514" s="106" t="str">
        <f>B02_Assessment!$D$12</f>
        <v>Third-level telecom room / expanded TR work area</v>
      </c>
      <c r="G514" s="106" t="str">
        <f>B02_Assessment!$E$12</f>
        <v>Telecom Room</v>
      </c>
      <c r="H514" s="106">
        <f>B02_Assessment!$F$12</f>
        <v>2</v>
      </c>
      <c r="I514" s="106">
        <f>B02_Assessment!$G$12</f>
        <v>1</v>
      </c>
      <c r="J514" s="106" t="str">
        <f>B02_Assessment!$H$12</f>
        <v>Verify</v>
      </c>
      <c r="K514" s="106" t="str">
        <f>B02_Assessment!$I$12</f>
        <v>02A-402 / 02E-103 / 02E-402 / 02E-701 / 02T-103 / 02T-401 / 02T-604 / 02T-703</v>
      </c>
      <c r="L514" s="106" t="str">
        <f>B02_Assessment!$J$12</f>
        <v>Third-level TR. Schedules identify RM342 with 274 WAO total, 96 active ports, 353 scheduled ports and 388 total ports with 10% allowance. Rack IDs TR01-342-01/02. Enlarged plans show 342-CAM-01, 342A-CK-A and new rack scope.</v>
      </c>
    </row>
    <row r="515" spans="1:12" ht="64.2" customHeight="1">
      <c r="A515" s="106" t="str">
        <f>B02_Assessment!$B$2</f>
        <v>02</v>
      </c>
      <c r="B515" s="106" t="str">
        <f>"B02_Assessment"</f>
        <v>B02_Assessment</v>
      </c>
      <c r="C515" s="106" t="str">
        <f>B02_Assessment!$A$13</f>
        <v>02</v>
      </c>
      <c r="D515" s="142" t="str">
        <f>B02_Assessment!$B$13</f>
        <v>B-06</v>
      </c>
      <c r="E515" s="142" t="str">
        <f>B02_Assessment!$C$13</f>
        <v>Basement</v>
      </c>
      <c r="F515" s="106" t="str">
        <f>B02_Assessment!$D$13</f>
        <v>Existing telecom room / legacy rack equipment</v>
      </c>
      <c r="G515" s="106" t="str">
        <f>B02_Assessment!$E$13</f>
        <v>Existing telecom transition point</v>
      </c>
      <c r="H515" s="106">
        <f>B02_Assessment!$F$13</f>
        <v>1</v>
      </c>
      <c r="I515" s="106">
        <f>B02_Assessment!$G$13</f>
        <v>0</v>
      </c>
      <c r="J515" s="106" t="str">
        <f>B02_Assessment!$H$13</f>
        <v>Verify</v>
      </c>
      <c r="K515" s="106" t="str">
        <f>B02_Assessment!$I$13</f>
        <v>02T-100 / 02T-604 / 02R-900</v>
      </c>
      <c r="L515" s="106" t="str">
        <f>B02_Assessment!$J$13</f>
        <v>Existing Basement Telecom Room B-06 with legacy Ortronics 48-port patch panels. Photo reference identifies B-06 existing telecom room. Protect active services and verify transfer/abandonment scope.</v>
      </c>
    </row>
    <row r="516" spans="1:12" ht="58.35" customHeight="1">
      <c r="A516" s="106" t="str">
        <f>B02_Assessment!$B$2</f>
        <v>02</v>
      </c>
      <c r="B516" s="106" t="str">
        <f>"B02_Assessment"</f>
        <v>B02_Assessment</v>
      </c>
      <c r="C516" s="106" t="str">
        <f>B02_Assessment!$A$14</f>
        <v>02</v>
      </c>
      <c r="D516" s="142" t="str">
        <f>B02_Assessment!$B$14</f>
        <v>Existing 141 / 236</v>
      </c>
      <c r="E516" s="142" t="str">
        <f>B02_Assessment!$C$14</f>
        <v>First / Second</v>
      </c>
      <c r="F516" s="106" t="str">
        <f>B02_Assessment!$D$14</f>
        <v>Existing telecom room equipment / transition points</v>
      </c>
      <c r="G516" s="106" t="str">
        <f>B02_Assessment!$E$14</f>
        <v>Existing telecom transition points</v>
      </c>
      <c r="H516" s="106">
        <f>B02_Assessment!$F$14</f>
        <v>4</v>
      </c>
      <c r="I516" s="106">
        <f>B02_Assessment!$G$14</f>
        <v>0</v>
      </c>
      <c r="J516" s="106" t="str">
        <f>B02_Assessment!$H$14</f>
        <v>Verify</v>
      </c>
      <c r="K516" s="106" t="str">
        <f>B02_Assessment!$I$14</f>
        <v>02T-604 / 02R-900</v>
      </c>
      <c r="L516" s="106" t="str">
        <f>B02_Assessment!$J$14</f>
        <v>Existing First-Level Telecom Room 141 and Second-Level Existing Telecom Room 236 shown in photo references/rack elevations. Existing devices and racks are to be protected or transferred per notes.</v>
      </c>
    </row>
    <row r="517" spans="1:12" ht="75.599999999999994" customHeight="1">
      <c r="A517" s="106" t="str">
        <f>B03_Assessment!$B$2</f>
        <v>03</v>
      </c>
      <c r="B517" s="106" t="str">
        <f>"B03_Assessment"</f>
        <v>B03_Assessment</v>
      </c>
      <c r="C517" s="106" t="str">
        <f>B03_Assessment!$A$10</f>
        <v>03</v>
      </c>
      <c r="D517" s="142" t="str">
        <f>B03_Assessment!$B$10</f>
        <v>101E</v>
      </c>
      <c r="E517" s="142" t="str">
        <f>B03_Assessment!$C$10</f>
        <v>First</v>
      </c>
      <c r="F517" s="106" t="str">
        <f>B03_Assessment!$D$10</f>
        <v>New telecom room buildout / relocated TR function</v>
      </c>
      <c r="G517" s="106" t="str">
        <f>B03_Assessment!$E$10</f>
        <v>Telecom Room</v>
      </c>
      <c r="H517" s="106">
        <f>B03_Assessment!$F$10</f>
        <v>2</v>
      </c>
      <c r="I517" s="106">
        <f>B03_Assessment!$G$10</f>
        <v>1</v>
      </c>
      <c r="J517" s="106" t="str">
        <f>B03_Assessment!$H$10</f>
        <v>Verify</v>
      </c>
      <c r="K517" s="106" t="str">
        <f>B03_Assessment!$I$10</f>
        <v>03A-401 / 03E-101 / 03E-401 / 03E-601 / 03E-701 / 03T-101 / 03T-401 / 03T-604 / 03T-701</v>
      </c>
      <c r="L517" s="106" t="str">
        <f>B03_Assessment!$J$10</f>
        <v>Primary Building 03 TR. Schedules identify RM101E with 143 WAO total, 213 active ports, 187 scheduled ports, 206 total ports with 10% allowance, Rack IDs TR01-101E-1 and TR01-101E-2, 5kW UPS, Zone PDU, fiber LIU, Cat6A patch panels, and future rack/switch capacity.</v>
      </c>
    </row>
    <row r="518" spans="1:12" ht="75.599999999999994" customHeight="1">
      <c r="A518" s="106" t="str">
        <f>B03_Assessment!$B$2</f>
        <v>03</v>
      </c>
      <c r="B518" s="106" t="str">
        <f>"B03_Assessment"</f>
        <v>B03_Assessment</v>
      </c>
      <c r="C518" s="106" t="str">
        <f>B03_Assessment!$A$11</f>
        <v>03</v>
      </c>
      <c r="D518" s="142" t="str">
        <f>B03_Assessment!$B$11</f>
        <v>107</v>
      </c>
      <c r="E518" s="142" t="str">
        <f>B03_Assessment!$C$11</f>
        <v>Basement</v>
      </c>
      <c r="F518" s="106" t="str">
        <f>B03_Assessment!$D$11</f>
        <v>Existing telecom room / legacy rack equipment</v>
      </c>
      <c r="G518" s="106" t="str">
        <f>B03_Assessment!$E$11</f>
        <v>Existing telecom transition point</v>
      </c>
      <c r="H518" s="106">
        <f>B03_Assessment!$F$11</f>
        <v>1</v>
      </c>
      <c r="I518" s="106">
        <f>B03_Assessment!$G$11</f>
        <v>0</v>
      </c>
      <c r="J518" s="106" t="str">
        <f>B03_Assessment!$H$11</f>
        <v>Verify</v>
      </c>
      <c r="K518" s="106" t="str">
        <f>B03_Assessment!$I$11</f>
        <v>03T-100 / 03T-403 / 03T-604 / 03R-900</v>
      </c>
      <c r="L518" s="106" t="str">
        <f>B03_Assessment!$J$11</f>
        <v>Existing Basement Telecom Room 107. Rack elevation identifies Building 3 existing B3-LB-B13-TC-FIBER rack with UPS on floor, Cisco switch, legacy 48-port patch panels, and fiber LIU wall-mounted. 03T-403 provides Room 107 inventory list for reference.</v>
      </c>
    </row>
    <row r="519" spans="1:12" ht="75.599999999999994" customHeight="1">
      <c r="A519" s="106" t="str">
        <f>B03_Assessment!$B$2</f>
        <v>03</v>
      </c>
      <c r="B519" s="106" t="str">
        <f>"B03_Assessment"</f>
        <v>B03_Assessment</v>
      </c>
      <c r="C519" s="106" t="str">
        <f>B03_Assessment!$A$12</f>
        <v>03</v>
      </c>
      <c r="D519" s="142" t="str">
        <f>B03_Assessment!$B$12</f>
        <v>101C</v>
      </c>
      <c r="E519" s="142" t="str">
        <f>B03_Assessment!$C$12</f>
        <v>First</v>
      </c>
      <c r="F519" s="106" t="str">
        <f>B03_Assessment!$D$12</f>
        <v>Existing DMARC / telecom room</v>
      </c>
      <c r="G519" s="106" t="str">
        <f>B03_Assessment!$E$12</f>
        <v>Existing DMARC transition point</v>
      </c>
      <c r="H519" s="106">
        <f>B03_Assessment!$F$12</f>
        <v>1</v>
      </c>
      <c r="I519" s="106">
        <f>B03_Assessment!$G$12</f>
        <v>0</v>
      </c>
      <c r="J519" s="106" t="str">
        <f>B03_Assessment!$H$12</f>
        <v>Verify</v>
      </c>
      <c r="K519" s="106" t="str">
        <f>B03_Assessment!$I$12</f>
        <v>03T-101 / 03T-401 / 03T-604 / 03R-900</v>
      </c>
      <c r="L519" s="106" t="str">
        <f>B03_Assessment!$J$12</f>
        <v>First-floor existing DMARC Room 101C / telecom room. Enlarged plan shows existing/removal patch panels, existing branch panel, telecom cabinet, 101C-CAM-01, 101C-CK-A, 101C-A/B/C/D and AP locations. Protect active DMARC/fiber until new service is operational.</v>
      </c>
    </row>
    <row r="520" spans="1:12" ht="52.2" customHeight="1">
      <c r="A520" s="106" t="str">
        <f>B03_Assessment!$B$2</f>
        <v>03</v>
      </c>
      <c r="B520" s="106" t="str">
        <f>"B03_Assessment"</f>
        <v>B03_Assessment</v>
      </c>
      <c r="C520" s="106" t="str">
        <f>B03_Assessment!$A$13</f>
        <v>03</v>
      </c>
      <c r="D520" s="142" t="str">
        <f>B03_Assessment!$B$13</f>
        <v>108 / 107A / 101C related WAO areas</v>
      </c>
      <c r="E520" s="142" t="str">
        <f>B03_Assessment!$C$13</f>
        <v>First</v>
      </c>
      <c r="F520" s="106" t="str">
        <f>B03_Assessment!$D$13</f>
        <v>Work area outlets and WAP/camera locations</v>
      </c>
      <c r="G520" s="106" t="str">
        <f>B03_Assessment!$E$13</f>
        <v>WAO recabling / device support</v>
      </c>
      <c r="H520" s="106">
        <f>B03_Assessment!$F$13</f>
        <v>0</v>
      </c>
      <c r="I520" s="106">
        <f>B03_Assessment!$G$13</f>
        <v>0</v>
      </c>
      <c r="J520" s="106" t="str">
        <f>B03_Assessment!$H$13</f>
        <v>Verify</v>
      </c>
      <c r="K520" s="106" t="str">
        <f>B03_Assessment!$I$13</f>
        <v>03T-101 / 03T-701</v>
      </c>
      <c r="L520" s="106" t="str">
        <f>B03_Assessment!$J$13</f>
        <v>WAO schedule includes first-level outlets such as 108-A/B/C, 108-CK-A, 108-AP-A, 107A-AP-A, 101C-CAM-01, 101C-A/B/C/D and AP locations served from TR01-101E-1/2.</v>
      </c>
    </row>
    <row r="521" spans="1:12" ht="34.950000000000003" customHeight="1">
      <c r="A521" s="106" t="str">
        <f>B04_Assessment!$B$2</f>
        <v>04</v>
      </c>
      <c r="B521" s="106" t="str">
        <f>"B04_Assessment"</f>
        <v>B04_Assessment</v>
      </c>
      <c r="C521" s="106" t="str">
        <f>B04_Assessment!$A$10</f>
        <v>04</v>
      </c>
      <c r="D521" s="142" t="str">
        <f>B04_Assessment!$B$10</f>
        <v>B05</v>
      </c>
      <c r="E521" s="142" t="str">
        <f>B04_Assessment!$C$10</f>
        <v>Basement</v>
      </c>
      <c r="F521" s="106" t="str">
        <f>B04_Assessment!$D$10</f>
        <v>Existing telecom / service area</v>
      </c>
      <c r="G521" s="106" t="str">
        <f>B04_Assessment!$E$10</f>
        <v>TR</v>
      </c>
      <c r="H521" s="106">
        <f>B04_Assessment!$F$10</f>
        <v>2</v>
      </c>
      <c r="I521" s="106">
        <f>B04_Assessment!$G$10</f>
        <v>0</v>
      </c>
      <c r="J521" s="106" t="str">
        <f>B04_Assessment!$H$10</f>
        <v>Verify</v>
      </c>
      <c r="K521" s="106" t="str">
        <f>B04_Assessment!$I$10</f>
        <v>04A-400 / 04T-604 / 04E-701</v>
      </c>
      <c r="L521" s="106" t="str">
        <f>B04_Assessment!$J$10</f>
        <v>Rack elevations show B05 with Rack 1 of 2 and Rack 2 of 2; new B04-TRB05A/B panels and NPA-TR feed shown.</v>
      </c>
    </row>
    <row r="522" spans="1:12" ht="40.65" customHeight="1">
      <c r="A522" s="106" t="str">
        <f>B04_Assessment!$B$2</f>
        <v>04</v>
      </c>
      <c r="B522" s="106" t="str">
        <f>"B04_Assessment"</f>
        <v>B04_Assessment</v>
      </c>
      <c r="C522" s="106" t="str">
        <f>B04_Assessment!$A$11</f>
        <v>04</v>
      </c>
      <c r="D522" s="142" t="str">
        <f>B04_Assessment!$B$11</f>
        <v>141</v>
      </c>
      <c r="E522" s="142" t="str">
        <f>B04_Assessment!$C$11</f>
        <v>First</v>
      </c>
      <c r="F522" s="106" t="str">
        <f>B04_Assessment!$D$11</f>
        <v>Existing room to be converted / upgraded</v>
      </c>
      <c r="G522" s="106" t="str">
        <f>B04_Assessment!$E$11</f>
        <v>TR</v>
      </c>
      <c r="H522" s="106">
        <f>B04_Assessment!$F$11</f>
        <v>1</v>
      </c>
      <c r="I522" s="106">
        <f>B04_Assessment!$G$11</f>
        <v>1</v>
      </c>
      <c r="J522" s="106" t="str">
        <f>B04_Assessment!$H$11</f>
        <v>Verify</v>
      </c>
      <c r="K522" s="106" t="str">
        <f>B04_Assessment!$I$11</f>
        <v>04A-401 / 04T-604 / 04E-701</v>
      </c>
      <c r="L522" s="106" t="str">
        <f>B04_Assessment!$J$11</f>
        <v>Architectural enlarged views identify Room 141; new 45-minute rated door/frame, 1-hour/smoke-rated envelope, open-to-deck TR, and future rack.</v>
      </c>
    </row>
    <row r="523" spans="1:12" ht="52.2" customHeight="1">
      <c r="A523" s="106" t="str">
        <f>B04_Assessment!$B$2</f>
        <v>04</v>
      </c>
      <c r="B523" s="106" t="str">
        <f>"B04_Assessment"</f>
        <v>B04_Assessment</v>
      </c>
      <c r="C523" s="106" t="str">
        <f>B04_Assessment!$A$12</f>
        <v>04</v>
      </c>
      <c r="D523" s="142" t="str">
        <f>B04_Assessment!$B$12</f>
        <v>244A</v>
      </c>
      <c r="E523" s="142" t="str">
        <f>B04_Assessment!$C$12</f>
        <v>Second</v>
      </c>
      <c r="F523" s="106" t="str">
        <f>B04_Assessment!$D$12</f>
        <v>Existing or renovated telecom area</v>
      </c>
      <c r="G523" s="106" t="str">
        <f>B04_Assessment!$E$12</f>
        <v>TR</v>
      </c>
      <c r="H523" s="106">
        <f>B04_Assessment!$F$12</f>
        <v>1</v>
      </c>
      <c r="I523" s="106">
        <f>B04_Assessment!$G$12</f>
        <v>1</v>
      </c>
      <c r="J523" s="106" t="str">
        <f>B04_Assessment!$H$12</f>
        <v>Verify</v>
      </c>
      <c r="K523" s="106" t="str">
        <f>B04_Assessment!$I$12</f>
        <v>04T / 04E-701</v>
      </c>
      <c r="L523" s="106" t="str">
        <f>B04_Assessment!$J$12</f>
        <v>Panel schedule identifies B04-TR244A; room requires field verification of rack count, cooling, pathways, fire protection, and PACS/CCTV requirements.</v>
      </c>
    </row>
    <row r="524" spans="1:12" ht="52.2" customHeight="1">
      <c r="A524" s="106" t="str">
        <f>B05_Assessment!$B$2</f>
        <v>05</v>
      </c>
      <c r="B524" s="106" t="str">
        <f>"B05_Assessment"</f>
        <v>B05_Assessment</v>
      </c>
      <c r="C524" s="106" t="str">
        <f>B05_Assessment!$A$10</f>
        <v>05</v>
      </c>
      <c r="D524" s="142" t="str">
        <f>B05_Assessment!$B$10</f>
        <v>150</v>
      </c>
      <c r="E524" s="142" t="str">
        <f>B05_Assessment!$C$10</f>
        <v>First</v>
      </c>
      <c r="F524" s="106" t="str">
        <f>B05_Assessment!$D$10</f>
        <v>Telecom / equipment location</v>
      </c>
      <c r="G524" s="106" t="str">
        <f>B05_Assessment!$E$10</f>
        <v>Telecom Enclosure (TE)</v>
      </c>
      <c r="H524" s="106">
        <f>B05_Assessment!$F$10</f>
        <v>1</v>
      </c>
      <c r="I524" s="106">
        <f>B05_Assessment!$G$10</f>
        <v>0</v>
      </c>
      <c r="J524" s="106" t="str">
        <f>B05_Assessment!$H$10</f>
        <v>Verify</v>
      </c>
      <c r="K524" s="106" t="str">
        <f>B05_Assessment!$I$10</f>
        <v>05T-604 / 05T-401 / 05E-401</v>
      </c>
      <c r="L524" s="106" t="str">
        <f>B05_Assessment!$J$10</f>
        <v>New elevation identifies Room 150 with one 12RU Telecom Enclosure; includes APC UPS, PDUs, cable managers, 48-port patch panels, Cat6A patch panel, and Fiber LIU.</v>
      </c>
    </row>
    <row r="525" spans="1:12" ht="46.35" customHeight="1">
      <c r="A525" s="106" t="str">
        <f>B05_Assessment!$B$2</f>
        <v>05</v>
      </c>
      <c r="B525" s="106" t="str">
        <f>"B05_Assessment"</f>
        <v>B05_Assessment</v>
      </c>
      <c r="C525" s="106" t="str">
        <f>B05_Assessment!$A$11</f>
        <v>05</v>
      </c>
      <c r="D525" s="142" t="str">
        <f>B05_Assessment!$B$11</f>
        <v>153-A</v>
      </c>
      <c r="E525" s="142" t="str">
        <f>B05_Assessment!$C$11</f>
        <v>First</v>
      </c>
      <c r="F525" s="106" t="str">
        <f>B05_Assessment!$D$11</f>
        <v>Existing wall-mounted TE / existing rack area</v>
      </c>
      <c r="G525" s="106" t="str">
        <f>B05_Assessment!$E$11</f>
        <v>Existing equipment / transition point</v>
      </c>
      <c r="H525" s="106">
        <f>B05_Assessment!$F$11</f>
        <v>1</v>
      </c>
      <c r="I525" s="106">
        <f>B05_Assessment!$G$11</f>
        <v>0</v>
      </c>
      <c r="J525" s="106" t="str">
        <f>B05_Assessment!$H$11</f>
        <v>Verify</v>
      </c>
      <c r="K525" s="106" t="str">
        <f>B05_Assessment!$I$11</f>
        <v>05T-604</v>
      </c>
      <c r="L525" s="106" t="str">
        <f>B05_Assessment!$J$11</f>
        <v>Existing elevation shows wall or wall-mount TE at Room 153-A with Cisco switches and multiple legacy 24-port patch panels; existing floor UPS shown.</v>
      </c>
    </row>
    <row r="526" spans="1:12" ht="34.950000000000003" customHeight="1">
      <c r="A526" s="106" t="str">
        <f>B06_Assessment!$B$2</f>
        <v>06</v>
      </c>
      <c r="B526" s="106" t="str">
        <f>"B06_Assessment"</f>
        <v>B06_Assessment</v>
      </c>
      <c r="C526" s="106" t="str">
        <f>B06_Assessment!$A$10</f>
        <v>06</v>
      </c>
      <c r="D526" s="142" t="str">
        <f>B06_Assessment!$B$10</f>
        <v>B-01</v>
      </c>
      <c r="E526" s="142" t="str">
        <f>B06_Assessment!$C$10</f>
        <v>Basement</v>
      </c>
      <c r="F526" s="106" t="str">
        <f>B06_Assessment!$D$10</f>
        <v>Existing wall/wall-mount TE and floor UPS</v>
      </c>
      <c r="G526" s="106" t="str">
        <f>B06_Assessment!$E$10</f>
        <v>Existing equipment / transition point</v>
      </c>
      <c r="H526" s="106">
        <f>B06_Assessment!$F$10</f>
        <v>1</v>
      </c>
      <c r="I526" s="106">
        <f>B06_Assessment!$G$10</f>
        <v>0</v>
      </c>
      <c r="J526" s="106" t="str">
        <f>B06_Assessment!$H$10</f>
        <v>Verify</v>
      </c>
      <c r="K526" s="106" t="str">
        <f>B06_Assessment!$I$10</f>
        <v>06T-604</v>
      </c>
      <c r="L526" s="106" t="str">
        <f>B06_Assessment!$J$10</f>
        <v>Existing basement wall/wall-mount TE with Cisco switches, legacy Ortronics 48-port patch panels, and floor UPS.</v>
      </c>
    </row>
    <row r="527" spans="1:12" ht="34.950000000000003" customHeight="1">
      <c r="A527" s="106" t="str">
        <f>B06_Assessment!$B$2</f>
        <v>06</v>
      </c>
      <c r="B527" s="106" t="str">
        <f>"B06_Assessment"</f>
        <v>B06_Assessment</v>
      </c>
      <c r="C527" s="106" t="str">
        <f>B06_Assessment!$A$11</f>
        <v>06</v>
      </c>
      <c r="D527" s="142" t="str">
        <f>B06_Assessment!$B$11</f>
        <v>178</v>
      </c>
      <c r="E527" s="142" t="str">
        <f>B06_Assessment!$C$11</f>
        <v>First</v>
      </c>
      <c r="F527" s="106" t="str">
        <f>B06_Assessment!$D$11</f>
        <v>Existing telecom room / group therapy area adjacent</v>
      </c>
      <c r="G527" s="106" t="str">
        <f>B06_Assessment!$E$11</f>
        <v>Telecom Room</v>
      </c>
      <c r="H527" s="106">
        <f>B06_Assessment!$F$11</f>
        <v>2</v>
      </c>
      <c r="I527" s="106">
        <f>B06_Assessment!$G$11</f>
        <v>0</v>
      </c>
      <c r="J527" s="106" t="str">
        <f>B06_Assessment!$H$11</f>
        <v>Verify</v>
      </c>
      <c r="K527" s="106" t="str">
        <f>B06_Assessment!$I$11</f>
        <v>06A-401 / 06E-401 / 06T-604 / 06E-701</v>
      </c>
      <c r="L527" s="106" t="str">
        <f>B06_Assessment!$J$11</f>
        <v>Room 178 shown as 114 SF Telecom Room; existing 2-post racks and new B06-TR178A/B panel work with IU-1-01 cooling.</v>
      </c>
    </row>
    <row r="528" spans="1:12" ht="34.950000000000003" customHeight="1">
      <c r="A528" s="106" t="str">
        <f>B06_Assessment!$B$2</f>
        <v>06</v>
      </c>
      <c r="B528" s="106" t="str">
        <f>"B06_Assessment"</f>
        <v>B06_Assessment</v>
      </c>
      <c r="C528" s="106" t="str">
        <f>B06_Assessment!$A$12</f>
        <v>06</v>
      </c>
      <c r="D528" s="142" t="str">
        <f>B06_Assessment!$B$12</f>
        <v>233</v>
      </c>
      <c r="E528" s="142" t="str">
        <f>B06_Assessment!$C$12</f>
        <v>Second</v>
      </c>
      <c r="F528" s="106" t="str">
        <f>B06_Assessment!$D$12</f>
        <v>Data closet / patient toilet area conversion</v>
      </c>
      <c r="G528" s="106" t="str">
        <f>B06_Assessment!$E$12</f>
        <v>Telecom Room</v>
      </c>
      <c r="H528" s="106">
        <f>B06_Assessment!$F$12</f>
        <v>1</v>
      </c>
      <c r="I528" s="106">
        <f>B06_Assessment!$G$12</f>
        <v>1</v>
      </c>
      <c r="J528" s="106" t="str">
        <f>B06_Assessment!$H$12</f>
        <v>Verify</v>
      </c>
      <c r="K528" s="106" t="str">
        <f>B06_Assessment!$I$12</f>
        <v>06A-402 / 06E-401 / 06T-604 / 06E-701</v>
      </c>
      <c r="L528" s="106" t="str">
        <f>B06_Assessment!$J$12</f>
        <v>Room 233 shown as 119 SF Telecom Room/Data Closet; future rack elevation, B06-TR233A/B panels, and IU-2-01 cooling.</v>
      </c>
    </row>
    <row r="529" spans="1:12" ht="46.35" customHeight="1">
      <c r="A529" s="106" t="str">
        <f>B07_Assessment!$B$2</f>
        <v>07</v>
      </c>
      <c r="B529" s="106" t="str">
        <f>"B07_Assessment"</f>
        <v>B07_Assessment</v>
      </c>
      <c r="C529" s="106" t="str">
        <f>B07_Assessment!$A$10</f>
        <v>07</v>
      </c>
      <c r="D529" s="142" t="str">
        <f>B07_Assessment!$B$10</f>
        <v>B-18</v>
      </c>
      <c r="E529" s="142" t="str">
        <f>B07_Assessment!$C$10</f>
        <v>Basement</v>
      </c>
      <c r="F529" s="106" t="str">
        <f>B07_Assessment!$D$10</f>
        <v>Existing office / telecom-service area</v>
      </c>
      <c r="G529" s="106" t="str">
        <f>B07_Assessment!$E$10</f>
        <v>Telecom Room</v>
      </c>
      <c r="H529" s="106">
        <f>B07_Assessment!$F$10</f>
        <v>1</v>
      </c>
      <c r="I529" s="106">
        <f>B07_Assessment!$G$10</f>
        <v>1</v>
      </c>
      <c r="J529" s="106" t="str">
        <f>B07_Assessment!$H$10</f>
        <v>Verify</v>
      </c>
      <c r="K529" s="106" t="str">
        <f>B07_Assessment!$I$10</f>
        <v>07A-400 / 07E-401 / 07T-604 / 07M-701</v>
      </c>
      <c r="L529" s="106" t="str">
        <f>B07_Assessment!$J$10</f>
        <v>Rack elevation shows B-18 as 1 of 1 + future, 4-post floor rack, UPS, future Zone PDU, network switches, Cat6A patch panels, Cat5E patch panel and Fiber LIU.</v>
      </c>
    </row>
    <row r="530" spans="1:12" ht="52.2" customHeight="1">
      <c r="A530" s="106" t="str">
        <f>B07_Assessment!$B$2</f>
        <v>07</v>
      </c>
      <c r="B530" s="106" t="str">
        <f>"B07_Assessment"</f>
        <v>B07_Assessment</v>
      </c>
      <c r="C530" s="106" t="str">
        <f>B07_Assessment!$A$11</f>
        <v>07</v>
      </c>
      <c r="D530" s="142" t="str">
        <f>B07_Assessment!$B$11</f>
        <v>228A</v>
      </c>
      <c r="E530" s="142" t="str">
        <f>B07_Assessment!$C$11</f>
        <v>Second</v>
      </c>
      <c r="F530" s="106" t="str">
        <f>B07_Assessment!$D$11</f>
        <v>Social worker shared / adjacent OPM storage and DOM MSA area</v>
      </c>
      <c r="G530" s="106" t="str">
        <f>B07_Assessment!$E$11</f>
        <v>Telecom Room</v>
      </c>
      <c r="H530" s="106">
        <f>B07_Assessment!$F$11</f>
        <v>1</v>
      </c>
      <c r="I530" s="106">
        <f>B07_Assessment!$G$11</f>
        <v>1</v>
      </c>
      <c r="J530" s="106" t="str">
        <f>B07_Assessment!$H$11</f>
        <v>Verify</v>
      </c>
      <c r="K530" s="106" t="str">
        <f>B07_Assessment!$I$11</f>
        <v>07A-401 / 07E-401 / 07T-604 / 07M-701</v>
      </c>
      <c r="L530" s="106" t="str">
        <f>B07_Assessment!$J$11</f>
        <v>Architectural enlarged view identifies Telecom Room 228A at 236 SF; includes fire-rated door/wall work, FEC requirement, exterior furring wall/window enclosure and temporary dust barrier.</v>
      </c>
    </row>
    <row r="531" spans="1:12" ht="40.65" customHeight="1">
      <c r="A531" s="106" t="str">
        <f>B08_Assessment!$B$2</f>
        <v>08</v>
      </c>
      <c r="B531" s="106" t="str">
        <f>"B08_Assessment"</f>
        <v>B08_Assessment</v>
      </c>
      <c r="C531" s="106" t="str">
        <f>B08_Assessment!$A$10</f>
        <v>08</v>
      </c>
      <c r="D531" s="142" t="str">
        <f>B08_Assessment!$B$10</f>
        <v>B-15</v>
      </c>
      <c r="E531" s="142" t="str">
        <f>B08_Assessment!$C$10</f>
        <v>Basement</v>
      </c>
      <c r="F531" s="106" t="str">
        <f>B08_Assessment!$D$10</f>
        <v>Existing wall/wall-mounted TE and floor UPS</v>
      </c>
      <c r="G531" s="106" t="str">
        <f>B08_Assessment!$E$10</f>
        <v>Existing equipment / transition point</v>
      </c>
      <c r="H531" s="106">
        <f>B08_Assessment!$F$10</f>
        <v>2</v>
      </c>
      <c r="I531" s="106">
        <f>B08_Assessment!$G$10</f>
        <v>0</v>
      </c>
      <c r="J531" s="106" t="str">
        <f>B08_Assessment!$H$10</f>
        <v>Verify</v>
      </c>
      <c r="K531" s="106" t="str">
        <f>B08_Assessment!$I$10</f>
        <v>08T-604</v>
      </c>
      <c r="L531" s="106" t="str">
        <f>B08_Assessment!$J$10</f>
        <v>Existing rack elevation identifies Building 08 basement Room B-15 with wall/wall-mounted TE, legacy patch panels, legacy Fiber LIU, and floor UPS.</v>
      </c>
    </row>
    <row r="532" spans="1:12" ht="64.2" customHeight="1">
      <c r="A532" s="106" t="str">
        <f>B08_Assessment!$B$2</f>
        <v>08</v>
      </c>
      <c r="B532" s="106" t="str">
        <f>"B08_Assessment"</f>
        <v>B08_Assessment</v>
      </c>
      <c r="C532" s="106" t="str">
        <f>B08_Assessment!$A$11</f>
        <v>08</v>
      </c>
      <c r="D532" s="142" t="str">
        <f>B08_Assessment!$B$11</f>
        <v>B12B</v>
      </c>
      <c r="E532" s="142" t="str">
        <f>B08_Assessment!$C$11</f>
        <v>Basement</v>
      </c>
      <c r="F532" s="106" t="str">
        <f>B08_Assessment!$D$11</f>
        <v>Office / basement cabling area</v>
      </c>
      <c r="G532" s="106" t="str">
        <f>B08_Assessment!$E$11</f>
        <v>Telecom enclosure / TE cabling service area</v>
      </c>
      <c r="H532" s="106">
        <f>B08_Assessment!$F$11</f>
        <v>1</v>
      </c>
      <c r="I532" s="106">
        <f>B08_Assessment!$G$11</f>
        <v>0</v>
      </c>
      <c r="J532" s="106" t="str">
        <f>B08_Assessment!$H$11</f>
        <v>Verify</v>
      </c>
      <c r="K532" s="106" t="str">
        <f>B08_Assessment!$I$11</f>
        <v>08A-401 / 08E-701 / 08T-701</v>
      </c>
      <c r="L532" s="106" t="str">
        <f>B08_Assessment!$J$11</f>
        <v>Door schedule identifies B12B as Office with 45-minute door; telecom schedule and electrical schedule reference TE01-B12B-1 and TE receptacle Room B12B. Field verify actual TE/equipment scope.</v>
      </c>
    </row>
    <row r="533" spans="1:12" ht="46.35" customHeight="1">
      <c r="A533" s="106" t="str">
        <f>B08_Assessment!$B$2</f>
        <v>08</v>
      </c>
      <c r="B533" s="106" t="str">
        <f>"B08_Assessment"</f>
        <v>B08_Assessment</v>
      </c>
      <c r="C533" s="106" t="str">
        <f>B08_Assessment!$A$12</f>
        <v>08</v>
      </c>
      <c r="D533" s="142" t="str">
        <f>B08_Assessment!$B$12</f>
        <v>2065A</v>
      </c>
      <c r="E533" s="142" t="str">
        <f>B08_Assessment!$C$12</f>
        <v>Second</v>
      </c>
      <c r="F533" s="106" t="str">
        <f>B08_Assessment!$D$12</f>
        <v>Existing copy/office/storage area converted</v>
      </c>
      <c r="G533" s="106" t="str">
        <f>B08_Assessment!$E$12</f>
        <v>Telecom Room</v>
      </c>
      <c r="H533" s="106">
        <f>B08_Assessment!$F$12</f>
        <v>2</v>
      </c>
      <c r="I533" s="106">
        <f>B08_Assessment!$G$12</f>
        <v>0</v>
      </c>
      <c r="J533" s="106" t="str">
        <f>B08_Assessment!$H$12</f>
        <v>Verify</v>
      </c>
      <c r="K533" s="106" t="str">
        <f>B08_Assessment!$I$12</f>
        <v>08A-401 / 08E-701 / 08T-604 / 08M-701</v>
      </c>
      <c r="L533" s="106" t="str">
        <f>B08_Assessment!$J$12</f>
        <v>Telecom Room 2065A, 127 SF; new rack elevation shows two 4-post floor racks, UPS, Zone PDU, network switches, Cat6A patch panels, Cat5E patch panel and Fiber LIU.</v>
      </c>
    </row>
    <row r="534" spans="1:12" ht="52.2" customHeight="1">
      <c r="A534" s="106" t="str">
        <f>B09_Assessment!$B$2</f>
        <v>09</v>
      </c>
      <c r="B534" s="106" t="str">
        <f>"B09_Assessment"</f>
        <v>B09_Assessment</v>
      </c>
      <c r="C534" s="106" t="str">
        <f>B09_Assessment!$A$10</f>
        <v>09</v>
      </c>
      <c r="D534" s="142" t="str">
        <f>B09_Assessment!$B$10</f>
        <v>B01</v>
      </c>
      <c r="E534" s="142" t="str">
        <f>B09_Assessment!$C$10</f>
        <v>Basement</v>
      </c>
      <c r="F534" s="106" t="str">
        <f>B09_Assessment!$D$10</f>
        <v>Storage / existing telecom equipment area</v>
      </c>
      <c r="G534" s="106" t="str">
        <f>B09_Assessment!$E$10</f>
        <v>Telecom Room</v>
      </c>
      <c r="H534" s="106">
        <f>B09_Assessment!$F$10</f>
        <v>2</v>
      </c>
      <c r="I534" s="106">
        <f>B09_Assessment!$G$10</f>
        <v>0</v>
      </c>
      <c r="J534" s="106" t="str">
        <f>B09_Assessment!$H$10</f>
        <v>Verify</v>
      </c>
      <c r="K534" s="106" t="str">
        <f>B09_Assessment!$I$10</f>
        <v>09A-400 / 09E-402 / 09T-604 / 09E-701</v>
      </c>
      <c r="L534" s="106" t="str">
        <f>B09_Assessment!$J$10</f>
        <v>Telecom Room B01, 200 SF; existing/new telecom equipment shown with panels B09-TRB01A/B and cooling circuits CU-0-1, CU-1-1, CU-2-1 in electrical schedule/enlarged plans.</v>
      </c>
    </row>
    <row r="535" spans="1:12" ht="52.2" customHeight="1">
      <c r="A535" s="106" t="str">
        <f>B09_Assessment!$B$2</f>
        <v>09</v>
      </c>
      <c r="B535" s="106" t="str">
        <f>"B09_Assessment"</f>
        <v>B09_Assessment</v>
      </c>
      <c r="C535" s="106" t="str">
        <f>B09_Assessment!$A$11</f>
        <v>09</v>
      </c>
      <c r="D535" s="142" t="str">
        <f>B09_Assessment!$B$11</f>
        <v>104B</v>
      </c>
      <c r="E535" s="142" t="str">
        <f>B09_Assessment!$C$11</f>
        <v>First</v>
      </c>
      <c r="F535" s="106" t="str">
        <f>B09_Assessment!$D$11</f>
        <v>Interview room / existing area converted</v>
      </c>
      <c r="G535" s="106" t="str">
        <f>B09_Assessment!$E$11</f>
        <v>Telecom Room</v>
      </c>
      <c r="H535" s="106">
        <f>B09_Assessment!$F$11</f>
        <v>2</v>
      </c>
      <c r="I535" s="106">
        <f>B09_Assessment!$G$11</f>
        <v>0</v>
      </c>
      <c r="J535" s="106" t="str">
        <f>B09_Assessment!$H$11</f>
        <v>Verify</v>
      </c>
      <c r="K535" s="106" t="str">
        <f>B09_Assessment!$I$11</f>
        <v>09A-401 / 09E-401 / 09T-604 / 09E-701</v>
      </c>
      <c r="L535" s="106" t="str">
        <f>B09_Assessment!$J$11</f>
        <v>Telecom Room 104B, 85 SF; panels B09-TR104BA/B shown; first-level enlarged plans identify access control/security devices, IU-1-01, and TR receptacle/rack circuiting.</v>
      </c>
    </row>
    <row r="536" spans="1:12" ht="52.2" customHeight="1">
      <c r="A536" s="106" t="str">
        <f>B09_Assessment!$B$2</f>
        <v>09</v>
      </c>
      <c r="B536" s="106" t="str">
        <f>"B09_Assessment"</f>
        <v>B09_Assessment</v>
      </c>
      <c r="C536" s="106" t="str">
        <f>B09_Assessment!$A$12</f>
        <v>09</v>
      </c>
      <c r="D536" s="142" t="str">
        <f>B09_Assessment!$B$12</f>
        <v>206A</v>
      </c>
      <c r="E536" s="142" t="str">
        <f>B09_Assessment!$C$12</f>
        <v>Second</v>
      </c>
      <c r="F536" s="106" t="str">
        <f>B09_Assessment!$D$12</f>
        <v>Nursing service / adjacent office area</v>
      </c>
      <c r="G536" s="106" t="str">
        <f>B09_Assessment!$E$12</f>
        <v>Telecom Room</v>
      </c>
      <c r="H536" s="106">
        <f>B09_Assessment!$F$12</f>
        <v>2</v>
      </c>
      <c r="I536" s="106">
        <f>B09_Assessment!$G$12</f>
        <v>0</v>
      </c>
      <c r="J536" s="106" t="str">
        <f>B09_Assessment!$H$12</f>
        <v>Verify</v>
      </c>
      <c r="K536" s="106" t="str">
        <f>B09_Assessment!$I$12</f>
        <v>09A-401 / 09E-401 / 09T-604 / 09E-701</v>
      </c>
      <c r="L536" s="106" t="str">
        <f>B09_Assessment!$J$12</f>
        <v>Telecom Room 206A, 120 SF; panels B09-TR206AA/B shown; second-level enlarged plans identify IU-2-01, TR circuits, security devices, and room layout adjacent to Nursing Service 206.</v>
      </c>
    </row>
    <row r="537" spans="1:12" ht="69.900000000000006" customHeight="1">
      <c r="A537" s="106" t="str">
        <f>B10_Assessment!$B$2</f>
        <v>10</v>
      </c>
      <c r="B537" s="106" t="str">
        <f>"B10_Assessment"</f>
        <v>B10_Assessment</v>
      </c>
      <c r="C537" s="106" t="str">
        <f>B10_Assessment!$A$10</f>
        <v>10</v>
      </c>
      <c r="D537" s="142" t="str">
        <f>B10_Assessment!$B$10</f>
        <v>200A</v>
      </c>
      <c r="E537" s="142" t="str">
        <f>B10_Assessment!$C$10</f>
        <v>Attic</v>
      </c>
      <c r="F537" s="106" t="str">
        <f>B10_Assessment!$D$10</f>
        <v>Existing attic telecom/equipment area</v>
      </c>
      <c r="G537" s="106" t="str">
        <f>B10_Assessment!$E$10</f>
        <v>Telecom Room</v>
      </c>
      <c r="H537" s="106">
        <f>B10_Assessment!$F$10</f>
        <v>2</v>
      </c>
      <c r="I537" s="106">
        <f>B10_Assessment!$G$10</f>
        <v>1</v>
      </c>
      <c r="J537" s="106" t="str">
        <f>B10_Assessment!$H$10</f>
        <v>Verify</v>
      </c>
      <c r="K537" s="106" t="str">
        <f>B10_Assessment!$I$10</f>
        <v>10A-401 / 10E-401 / 10T-604 / 10M-701</v>
      </c>
      <c r="L537" s="106" t="str">
        <f>B10_Assessment!$J$10</f>
        <v>Primary Building 10 TR. Drawings identify attic-level Room 200A with existing wall-mounted rack/equipment, new telecom rack equipment, panels B10-TR200AA/AB, IU-1-01, CU-1-01, rack receptacles and future rack space.</v>
      </c>
    </row>
    <row r="538" spans="1:12" ht="46.35" customHeight="1">
      <c r="A538" s="106" t="str">
        <f>B10_Assessment!$B$2</f>
        <v>10</v>
      </c>
      <c r="B538" s="106" t="str">
        <f>"B10_Assessment"</f>
        <v>B10_Assessment</v>
      </c>
      <c r="C538" s="106" t="str">
        <f>B10_Assessment!$A$11</f>
        <v>10</v>
      </c>
      <c r="D538" s="142" t="str">
        <f>B10_Assessment!$B$11</f>
        <v>B24</v>
      </c>
      <c r="E538" s="142" t="str">
        <f>B10_Assessment!$C$11</f>
        <v>Basement</v>
      </c>
      <c r="F538" s="106" t="str">
        <f>B10_Assessment!$D$11</f>
        <v>Existing electrical room - normal power</v>
      </c>
      <c r="G538" s="106" t="str">
        <f>B10_Assessment!$E$11</f>
        <v>Electrical source / coordination room</v>
      </c>
      <c r="H538" s="106">
        <f>B10_Assessment!$F$11</f>
        <v>0</v>
      </c>
      <c r="I538" s="106">
        <f>B10_Assessment!$G$11</f>
        <v>0</v>
      </c>
      <c r="J538" s="106" t="str">
        <f>B10_Assessment!$H$11</f>
        <v>Verify</v>
      </c>
      <c r="K538" s="106" t="str">
        <f>B10_Assessment!$I$11</f>
        <v>10E-401 / 10E-701</v>
      </c>
      <c r="L538" s="106" t="str">
        <f>B10_Assessment!$J$11</f>
        <v>Basement existing electrical room normal power referenced on electrical enlarged plan; coordinate B10-MDP/B10-L10-E feeders and load measurement.</v>
      </c>
    </row>
    <row r="539" spans="1:12" ht="52.2" customHeight="1">
      <c r="A539" s="106" t="str">
        <f>B10_Assessment!$B$2</f>
        <v>10</v>
      </c>
      <c r="B539" s="106" t="str">
        <f>"B10_Assessment"</f>
        <v>B10_Assessment</v>
      </c>
      <c r="C539" s="106" t="str">
        <f>B10_Assessment!$A$12</f>
        <v>10</v>
      </c>
      <c r="D539" s="142" t="str">
        <f>B10_Assessment!$B$12</f>
        <v>B25</v>
      </c>
      <c r="E539" s="142" t="str">
        <f>B10_Assessment!$C$12</f>
        <v>Basement</v>
      </c>
      <c r="F539" s="106" t="str">
        <f>B10_Assessment!$D$12</f>
        <v>Existing electrical room - emergency power</v>
      </c>
      <c r="G539" s="106" t="str">
        <f>B10_Assessment!$E$12</f>
        <v>Emergency electrical source / coordination room</v>
      </c>
      <c r="H539" s="106">
        <f>B10_Assessment!$F$12</f>
        <v>0</v>
      </c>
      <c r="I539" s="106">
        <f>B10_Assessment!$G$12</f>
        <v>0</v>
      </c>
      <c r="J539" s="106" t="str">
        <f>B10_Assessment!$H$12</f>
        <v>Verify</v>
      </c>
      <c r="K539" s="106" t="str">
        <f>B10_Assessment!$I$12</f>
        <v>10E-401 / 10E-601 / 10E-701</v>
      </c>
      <c r="L539" s="106" t="str">
        <f>B10_Assessment!$J$12</f>
        <v>Basement existing electrical room emergency power referenced on electrical enlarged plan; coordinate ATS-B10-LSD, emergency source and TR equipment continuity.</v>
      </c>
    </row>
    <row r="540" spans="1:12" ht="52.2" customHeight="1">
      <c r="A540" s="106" t="str">
        <f>B12_Assessment!$B$2</f>
        <v>12</v>
      </c>
      <c r="B540" s="106" t="str">
        <f>"B12_Assessment"</f>
        <v>B12_Assessment</v>
      </c>
      <c r="C540" s="106" t="str">
        <f>B12_Assessment!$A$10</f>
        <v>12</v>
      </c>
      <c r="D540" s="142" t="str">
        <f>B12_Assessment!$B$10</f>
        <v>00 / existing fiber path</v>
      </c>
      <c r="E540" s="142" t="str">
        <f>B12_Assessment!$C$10</f>
        <v>B/1/2</v>
      </c>
      <c r="F540" s="106" t="str">
        <f>B12_Assessment!$D$10</f>
        <v>Existing building fiber pathway / pull-through route</v>
      </c>
      <c r="G540" s="106" t="str">
        <f>B12_Assessment!$E$10</f>
        <v>Fiber-only pull-through scope</v>
      </c>
      <c r="H540" s="106">
        <f>B12_Assessment!$F$10</f>
        <v>0</v>
      </c>
      <c r="I540" s="106">
        <f>B12_Assessment!$G$10</f>
        <v>0</v>
      </c>
      <c r="J540" s="106" t="str">
        <f>B12_Assessment!$H$10</f>
        <v>Verify</v>
      </c>
      <c r="K540" s="106" t="str">
        <f>B12_Assessment!$I$10</f>
        <v>12G-000 / 12T-100 / 12T-101 / 12T-604</v>
      </c>
      <c r="L540" s="106" t="str">
        <f>B12_Assessment!$J$10</f>
        <v>Cover sheet states Building 12 receives fiber only. Rack elevation sheet identifies Building 12 as existing rack elevation/fiber only with no rack mounting and no new TR buildout.</v>
      </c>
    </row>
    <row r="541" spans="1:12" ht="52.2" customHeight="1">
      <c r="A541" s="106" t="str">
        <f>B12_Assessment!$B$2</f>
        <v>12</v>
      </c>
      <c r="B541" s="106" t="str">
        <f>"B12_Assessment"</f>
        <v>B12_Assessment</v>
      </c>
      <c r="C541" s="106" t="str">
        <f>B12_Assessment!$A$11</f>
        <v>12</v>
      </c>
      <c r="D541" s="142" t="str">
        <f>B12_Assessment!$B$11</f>
        <v>Existing rack/demarc - field verify</v>
      </c>
      <c r="E541" s="142" t="str">
        <f>B12_Assessment!$C$11</f>
        <v>Field verify</v>
      </c>
      <c r="F541" s="106" t="str">
        <f>B12_Assessment!$D$11</f>
        <v>Existing service point / serving closet</v>
      </c>
      <c r="G541" s="106" t="str">
        <f>B12_Assessment!$E$11</f>
        <v>Protect-in-place / fiber transition point</v>
      </c>
      <c r="H541" s="106">
        <f>B12_Assessment!$F$11</f>
        <v>0</v>
      </c>
      <c r="I541" s="106">
        <f>B12_Assessment!$G$11</f>
        <v>0</v>
      </c>
      <c r="J541" s="106" t="str">
        <f>B12_Assessment!$H$11</f>
        <v>Verify</v>
      </c>
      <c r="K541" s="106" t="str">
        <f>B12_Assessment!$I$11</f>
        <v>12T-604 / 12T-601 / 12T-602 / 12T-603A/B</v>
      </c>
      <c r="L541" s="106" t="str">
        <f>B12_Assessment!$J$11</f>
        <v>12T-604 identifies building level B/1/2 and mounting type NONE/FIBER ONLY. Field verification required to document where fiber enters, passes through, and terminates.</v>
      </c>
    </row>
    <row r="542" spans="1:12" ht="64.2" customHeight="1">
      <c r="A542" s="106" t="str">
        <f>B13_Assessment!$B$2</f>
        <v>13</v>
      </c>
      <c r="B542" s="106" t="str">
        <f>"B13_Assessment"</f>
        <v>B13_Assessment</v>
      </c>
      <c r="C542" s="106" t="str">
        <f>B13_Assessment!$A$10</f>
        <v>13</v>
      </c>
      <c r="D542" s="142" t="str">
        <f>B13_Assessment!$B$10</f>
        <v>124</v>
      </c>
      <c r="E542" s="142" t="str">
        <f>B13_Assessment!$C$10</f>
        <v>First</v>
      </c>
      <c r="F542" s="106" t="str">
        <f>B13_Assessment!$D$10</f>
        <v>Telecom Room / new TR build area</v>
      </c>
      <c r="G542" s="106" t="str">
        <f>B13_Assessment!$E$10</f>
        <v>Telecom Room</v>
      </c>
      <c r="H542" s="106">
        <f>B13_Assessment!$F$10</f>
        <v>2</v>
      </c>
      <c r="I542" s="106">
        <f>B13_Assessment!$G$10</f>
        <v>1</v>
      </c>
      <c r="J542" s="106" t="str">
        <f>B13_Assessment!$H$10</f>
        <v>Verify</v>
      </c>
      <c r="K542" s="106" t="str">
        <f>B13_Assessment!$I$10</f>
        <v>13A-401 / 13E-401 / 13T-100 / 13T-701</v>
      </c>
      <c r="L542" s="106" t="str">
        <f>B13_Assessment!$J$10</f>
        <v>Primary Building 13 TR. Plans identify Telecom Room 124 at 119 SF, served by Rack ID TR01-124-1, panels B13-TR124AA/AB, 240V UPS/PDU rack power, IU-1-01/CU-1-01 cooling, and a future rack allowance.</v>
      </c>
    </row>
    <row r="543" spans="1:12" ht="69.900000000000006" customHeight="1">
      <c r="A543" s="106" t="str">
        <f>B13_Assessment!$B$2</f>
        <v>13</v>
      </c>
      <c r="B543" s="106" t="str">
        <f>"B13_Assessment"</f>
        <v>B13_Assessment</v>
      </c>
      <c r="C543" s="106" t="str">
        <f>B13_Assessment!$A$11</f>
        <v>13</v>
      </c>
      <c r="D543" s="142" t="str">
        <f>B13_Assessment!$B$11</f>
        <v>222</v>
      </c>
      <c r="E543" s="142" t="str">
        <f>B13_Assessment!$C$11</f>
        <v>Second</v>
      </c>
      <c r="F543" s="106" t="str">
        <f>B13_Assessment!$D$11</f>
        <v>Existing Tel Room / existing rack and patching area</v>
      </c>
      <c r="G543" s="106" t="str">
        <f>B13_Assessment!$E$11</f>
        <v>Existing telecom transition point</v>
      </c>
      <c r="H543" s="106">
        <f>B13_Assessment!$F$11</f>
        <v>1</v>
      </c>
      <c r="I543" s="106">
        <f>B13_Assessment!$G$11</f>
        <v>0</v>
      </c>
      <c r="J543" s="106" t="str">
        <f>B13_Assessment!$H$11</f>
        <v>Verify</v>
      </c>
      <c r="K543" s="106" t="str">
        <f>B13_Assessment!$I$11</f>
        <v>13T-100 / 13R-900</v>
      </c>
      <c r="L543" s="106" t="str">
        <f>B13_Assessment!$J$11</f>
        <v>Existing second-level Tel Room 222 shown with existing telco patch, plywood backboard, indoor AC unit, wall-mounted rack, patch panel, and security cabinet. Protect active services and verify what is transferred to Room 124.</v>
      </c>
    </row>
    <row r="544" spans="1:12" ht="69.900000000000006" customHeight="1">
      <c r="A544" s="106" t="str">
        <f>B14_Assessment!$B$2</f>
        <v>14</v>
      </c>
      <c r="B544" s="106" t="str">
        <f>"B14_Assessment"</f>
        <v>B14_Assessment</v>
      </c>
      <c r="C544" s="106" t="str">
        <f>B14_Assessment!$A$10</f>
        <v>14</v>
      </c>
      <c r="D544" s="142" t="str">
        <f>B14_Assessment!$B$10</f>
        <v>119</v>
      </c>
      <c r="E544" s="142" t="str">
        <f>B14_Assessment!$C$10</f>
        <v>First</v>
      </c>
      <c r="F544" s="106" t="str">
        <f>B14_Assessment!$D$10</f>
        <v>Telecom Room / new TR build area</v>
      </c>
      <c r="G544" s="106" t="str">
        <f>B14_Assessment!$E$10</f>
        <v>Telecom Room</v>
      </c>
      <c r="H544" s="106">
        <f>B14_Assessment!$F$10</f>
        <v>1</v>
      </c>
      <c r="I544" s="106">
        <f>B14_Assessment!$G$10</f>
        <v>1</v>
      </c>
      <c r="J544" s="106" t="str">
        <f>B14_Assessment!$H$10</f>
        <v>Verify</v>
      </c>
      <c r="K544" s="106" t="str">
        <f>B14_Assessment!$I$10</f>
        <v>14A-401 / 14E-100 / 14T-100 / 14T-604 / 14T-701</v>
      </c>
      <c r="L544" s="106" t="str">
        <f>B14_Assessment!$J$10</f>
        <v>Primary Building 14 TR. Plans identify Telecom Room 119 at 124 SF, served by Rack ID TR01-119-1, panels B14-TR119A/B, 240V UPS/PDU rack power, IU-1-01/CU-1-01 cooling, 56 feet of first-level cable tray, and a future rack allowance.</v>
      </c>
    </row>
    <row r="545" spans="1:12" ht="64.2" customHeight="1">
      <c r="A545" s="106" t="str">
        <f>B14_Assessment!$B$2</f>
        <v>14</v>
      </c>
      <c r="B545" s="106" t="str">
        <f>"B14_Assessment"</f>
        <v>B14_Assessment</v>
      </c>
      <c r="C545" s="106" t="str">
        <f>B14_Assessment!$A$11</f>
        <v>14</v>
      </c>
      <c r="D545" s="142" t="str">
        <f>B14_Assessment!$B$11</f>
        <v>B.01</v>
      </c>
      <c r="E545" s="142" t="str">
        <f>B14_Assessment!$C$11</f>
        <v>Basement</v>
      </c>
      <c r="F545" s="106" t="str">
        <f>B14_Assessment!$D$11</f>
        <v>Existing Tel/F Panel room / telecom equipment area</v>
      </c>
      <c r="G545" s="106" t="str">
        <f>B14_Assessment!$E$11</f>
        <v>Existing telecom transition point</v>
      </c>
      <c r="H545" s="106">
        <f>B14_Assessment!$F$11</f>
        <v>1</v>
      </c>
      <c r="I545" s="106">
        <f>B14_Assessment!$G$11</f>
        <v>0</v>
      </c>
      <c r="J545" s="106" t="str">
        <f>B14_Assessment!$H$11</f>
        <v>Verify</v>
      </c>
      <c r="K545" s="106" t="str">
        <f>B14_Assessment!$I$11</f>
        <v>14T-100 / 14T-604 / 14R-900</v>
      </c>
      <c r="L545" s="106" t="str">
        <f>B14_Assessment!$J$11</f>
        <v>Existing basement Tel/F Panel B.01 shown at 165 SF with existing wall-mounted TE, patch panels, telco patch, plywood backboards, and legacy fiber/equipment. Protect active services and verify what transfers to Room 119.</v>
      </c>
    </row>
    <row r="546" spans="1:12" ht="40.65" customHeight="1">
      <c r="A546" s="106" t="str">
        <f>B14_Assessment!$B$2</f>
        <v>14</v>
      </c>
      <c r="B546" s="106" t="str">
        <f>"B14_Assessment"</f>
        <v>B14_Assessment</v>
      </c>
      <c r="C546" s="106" t="str">
        <f>B14_Assessment!$A$12</f>
        <v>14</v>
      </c>
      <c r="D546" s="142" t="str">
        <f>B14_Assessment!$B$12</f>
        <v>B2</v>
      </c>
      <c r="E546" s="142" t="str">
        <f>B14_Assessment!$C$12</f>
        <v>Basement</v>
      </c>
      <c r="F546" s="106" t="str">
        <f>B14_Assessment!$D$12</f>
        <v>Existing telecom room reference</v>
      </c>
      <c r="G546" s="106" t="str">
        <f>B14_Assessment!$E$12</f>
        <v>Existing telecom transition point</v>
      </c>
      <c r="H546" s="106">
        <f>B14_Assessment!$F$12</f>
        <v>1</v>
      </c>
      <c r="I546" s="106">
        <f>B14_Assessment!$G$12</f>
        <v>0</v>
      </c>
      <c r="J546" s="106" t="str">
        <f>B14_Assessment!$H$12</f>
        <v>Verify</v>
      </c>
      <c r="K546" s="106" t="str">
        <f>B14_Assessment!$I$12</f>
        <v>14R-900</v>
      </c>
      <c r="L546" s="106" t="str">
        <f>B14_Assessment!$J$12</f>
        <v>Photo reference sheet identifies basement existing telecom room B2. Field verify whether B2 is same/related to B.01 or separate legacy telecom space.</v>
      </c>
    </row>
    <row r="547" spans="1:12" ht="64.2" customHeight="1">
      <c r="A547" s="106" t="str">
        <f>B15_Assessment!$B$2</f>
        <v>15</v>
      </c>
      <c r="B547" s="106" t="str">
        <f>"B15_Assessment"</f>
        <v>B15_Assessment</v>
      </c>
      <c r="C547" s="106" t="str">
        <f>B15_Assessment!$A$10</f>
        <v>15</v>
      </c>
      <c r="D547" s="142" t="str">
        <f>B15_Assessment!$B$10</f>
        <v>124A</v>
      </c>
      <c r="E547" s="142" t="str">
        <f>B15_Assessment!$C$10</f>
        <v>First</v>
      </c>
      <c r="F547" s="106" t="str">
        <f>B15_Assessment!$D$10</f>
        <v>Office/room converted to Telecom Room</v>
      </c>
      <c r="G547" s="106" t="str">
        <f>B15_Assessment!$E$10</f>
        <v>Telecom Room</v>
      </c>
      <c r="H547" s="106">
        <f>B15_Assessment!$F$10</f>
        <v>1</v>
      </c>
      <c r="I547" s="106">
        <f>B15_Assessment!$G$10</f>
        <v>1</v>
      </c>
      <c r="J547" s="106" t="str">
        <f>B15_Assessment!$H$10</f>
        <v>Verify</v>
      </c>
      <c r="K547" s="106" t="str">
        <f>B15_Assessment!$I$10</f>
        <v>15A-401 / 15E-401 / 15T-100 / 15T-604 / 15T-701</v>
      </c>
      <c r="L547" s="106" t="str">
        <f>B15_Assessment!$J$10</f>
        <v>Primary Building 15 TR. Plans identify Telecom Room 124A at 121 SF, served by Rack ID TR15-109A-01, panels B15-TR124AA/AB, 240V UPS/PDU rack power, IU-1-01/CU-1-01 cooling, and a future rack allowance.</v>
      </c>
    </row>
    <row r="548" spans="1:12" ht="81.45" customHeight="1">
      <c r="A548" s="106" t="str">
        <f>B15_Assessment!$B$2</f>
        <v>15</v>
      </c>
      <c r="B548" s="106" t="str">
        <f>"B15_Assessment"</f>
        <v>B15_Assessment</v>
      </c>
      <c r="C548" s="106" t="str">
        <f>B15_Assessment!$A$11</f>
        <v>15</v>
      </c>
      <c r="D548" s="142" t="str">
        <f>B15_Assessment!$B$11</f>
        <v>222</v>
      </c>
      <c r="E548" s="142" t="str">
        <f>B15_Assessment!$C$11</f>
        <v>Second</v>
      </c>
      <c r="F548" s="106" t="str">
        <f>B15_Assessment!$D$11</f>
        <v>Existing Tel Room / wall-mounted rack and support equipment</v>
      </c>
      <c r="G548" s="106" t="str">
        <f>B15_Assessment!$E$11</f>
        <v>Existing telecom transition point</v>
      </c>
      <c r="H548" s="106">
        <f>B15_Assessment!$F$11</f>
        <v>1</v>
      </c>
      <c r="I548" s="106">
        <f>B15_Assessment!$G$11</f>
        <v>0</v>
      </c>
      <c r="J548" s="106" t="str">
        <f>B15_Assessment!$H$11</f>
        <v>Verify</v>
      </c>
      <c r="K548" s="106" t="str">
        <f>B15_Assessment!$I$11</f>
        <v>15T-100 / 15T-604 / 15R-900</v>
      </c>
      <c r="L548" s="106" t="str">
        <f>B15_Assessment!$J$11</f>
        <v>Existing second-level Tel Room 222 shown at 65 SF with existing/remain indoor AC unit, security cabinet, ground bar, plywood backboard, wall-mounted rack, existing Cisco switches, legacy patch panels, and floor UPS; protect active services and verify transfer to Room 124A.</v>
      </c>
    </row>
    <row r="549" spans="1:12" ht="52.2" customHeight="1">
      <c r="A549" s="106" t="str">
        <f>B15_Assessment!$B$2</f>
        <v>15</v>
      </c>
      <c r="B549" s="106" t="str">
        <f>"B15_Assessment"</f>
        <v>B15_Assessment</v>
      </c>
      <c r="C549" s="106" t="str">
        <f>B15_Assessment!$A$12</f>
        <v>15</v>
      </c>
      <c r="D549" s="142" t="str">
        <f>B15_Assessment!$B$12</f>
        <v>B01</v>
      </c>
      <c r="E549" s="142" t="str">
        <f>B15_Assessment!$C$12</f>
        <v>Basement</v>
      </c>
      <c r="F549" s="106" t="str">
        <f>B15_Assessment!$D$12</f>
        <v>Existing telecom/crossover area</v>
      </c>
      <c r="G549" s="106" t="str">
        <f>B15_Assessment!$E$12</f>
        <v>Existing telecom transition point</v>
      </c>
      <c r="H549" s="106">
        <f>B15_Assessment!$F$12</f>
        <v>1</v>
      </c>
      <c r="I549" s="106">
        <f>B15_Assessment!$G$12</f>
        <v>0</v>
      </c>
      <c r="J549" s="106" t="str">
        <f>B15_Assessment!$H$12</f>
        <v>Verify</v>
      </c>
      <c r="K549" s="106" t="str">
        <f>B15_Assessment!$I$12</f>
        <v>15T-604 / 15R-900</v>
      </c>
      <c r="L549" s="106" t="str">
        <f>B15_Assessment!$J$12</f>
        <v>Rack elevations identify existing B-01 crossover wall/wall-mount TE with legacy 24-port patch panel. Photo reference identifies basement existing telecom room B01.</v>
      </c>
    </row>
    <row r="550" spans="1:12" ht="64.2" customHeight="1">
      <c r="A550" s="106" t="str">
        <f>B16_Assessment!$B$2</f>
        <v>16</v>
      </c>
      <c r="B550" s="106" t="str">
        <f>"B16_Assessment"</f>
        <v>B16_Assessment</v>
      </c>
      <c r="C550" s="106" t="str">
        <f>B16_Assessment!$A$10</f>
        <v>16</v>
      </c>
      <c r="D550" s="142" t="str">
        <f>B16_Assessment!$B$10</f>
        <v>015</v>
      </c>
      <c r="E550" s="142" t="str">
        <f>B16_Assessment!$C$10</f>
        <v>Basement</v>
      </c>
      <c r="F550" s="106" t="str">
        <f>B16_Assessment!$D$10</f>
        <v>Vacant / new telecom room build area</v>
      </c>
      <c r="G550" s="106" t="str">
        <f>B16_Assessment!$E$10</f>
        <v>Telecom Room</v>
      </c>
      <c r="H550" s="106">
        <f>B16_Assessment!$F$10</f>
        <v>1</v>
      </c>
      <c r="I550" s="106">
        <f>B16_Assessment!$G$10</f>
        <v>1</v>
      </c>
      <c r="J550" s="106" t="str">
        <f>B16_Assessment!$H$10</f>
        <v>Verify</v>
      </c>
      <c r="K550" s="106" t="str">
        <f>B16_Assessment!$I$10</f>
        <v>16A-400 / 16E-100 / 16T-100 / 16T-604 / 16T-701</v>
      </c>
      <c r="L550" s="106" t="str">
        <f>B16_Assessment!$J$10</f>
        <v>Primary Building 16 TR. Plans identify Telecom Room 015 at 79 SF, served by Rack ID TR01-015-A-1, panels B16-TR015A/B, 240V UPS/PDU rack power, IU-1-01/CU-1-01 cooling, 96 feet total cable tray, and future rack allowance.</v>
      </c>
    </row>
    <row r="551" spans="1:12" ht="81.45" customHeight="1">
      <c r="A551" s="106" t="str">
        <f>B16_Assessment!$B$2</f>
        <v>16</v>
      </c>
      <c r="B551" s="106" t="str">
        <f>"B16_Assessment"</f>
        <v>B16_Assessment</v>
      </c>
      <c r="C551" s="106" t="str">
        <f>B16_Assessment!$A$11</f>
        <v>16</v>
      </c>
      <c r="D551" s="142" t="str">
        <f>B16_Assessment!$B$11</f>
        <v>014</v>
      </c>
      <c r="E551" s="142" t="str">
        <f>B16_Assessment!$C$11</f>
        <v>Basement</v>
      </c>
      <c r="F551" s="106" t="str">
        <f>B16_Assessment!$D$11</f>
        <v>Existing telecom room / stair-adjacent legacy equipment area</v>
      </c>
      <c r="G551" s="106" t="str">
        <f>B16_Assessment!$E$11</f>
        <v>Existing telecom transition point</v>
      </c>
      <c r="H551" s="106">
        <f>B16_Assessment!$F$11</f>
        <v>1</v>
      </c>
      <c r="I551" s="106">
        <f>B16_Assessment!$G$11</f>
        <v>0</v>
      </c>
      <c r="J551" s="106" t="str">
        <f>B16_Assessment!$H$11</f>
        <v>Verify</v>
      </c>
      <c r="K551" s="106" t="str">
        <f>B16_Assessment!$I$11</f>
        <v>16T-100 / 16T-604 / 16R-900</v>
      </c>
      <c r="L551" s="106" t="str">
        <f>B16_Assessment!$J$11</f>
        <v>Existing basement Telecom Room 014 shown with wall-mounted rack, plywood backboard, patch panel, security cabinet, telco patch, existing floor-mounted UPS, Cisco switch, legacy 12-port modular patch panel and Fiber LIU/wall; protect active services and verify transfer to Room 015.</v>
      </c>
    </row>
    <row r="552" spans="1:12" ht="75.599999999999994" customHeight="1">
      <c r="A552" s="106" t="str">
        <f>B17_Assessment!$B$2</f>
        <v>17</v>
      </c>
      <c r="B552" s="106" t="str">
        <f>"B17_Assessment"</f>
        <v>B17_Assessment</v>
      </c>
      <c r="C552" s="106" t="str">
        <f>B17_Assessment!$A$10</f>
        <v>17</v>
      </c>
      <c r="D552" s="142" t="str">
        <f>B17_Assessment!$B$10</f>
        <v>118</v>
      </c>
      <c r="E552" s="142" t="str">
        <f>B17_Assessment!$C$10</f>
        <v>First</v>
      </c>
      <c r="F552" s="106" t="str">
        <f>B17_Assessment!$D$10</f>
        <v>New telecom room build area</v>
      </c>
      <c r="G552" s="106" t="str">
        <f>B17_Assessment!$E$10</f>
        <v>Telecom Room</v>
      </c>
      <c r="H552" s="106">
        <f>B17_Assessment!$F$10</f>
        <v>1</v>
      </c>
      <c r="I552" s="106">
        <f>B17_Assessment!$G$10</f>
        <v>1</v>
      </c>
      <c r="J552" s="106" t="str">
        <f>B17_Assessment!$H$10</f>
        <v>Verify</v>
      </c>
      <c r="K552" s="106" t="str">
        <f>B17_Assessment!$I$10</f>
        <v>17_29A-401 / 17_29E-401 / 17_29T-100 / 17_29T-604 / 17_29T-701</v>
      </c>
      <c r="L552" s="106" t="str">
        <f>B17_Assessment!$J$10</f>
        <v>Primary Building 17 TR. Plans identify Telecom Room 118 at 157 SF, Rack ID TR17-118-1, panels B17-TR118A/B, 208V rack UPS/PDU equipment, IU-1-01/CU-1-01 cooling, 517 feet total cable tray, and future rack allowance. Rack elevation notes Room 118 serves Building 29.</v>
      </c>
    </row>
    <row r="553" spans="1:12" ht="87.6" customHeight="1">
      <c r="A553" s="106" t="str">
        <f>B17_Assessment!$B$2</f>
        <v>17</v>
      </c>
      <c r="B553" s="106" t="str">
        <f>"B17_Assessment"</f>
        <v>B17_Assessment</v>
      </c>
      <c r="C553" s="106" t="str">
        <f>B17_Assessment!$A$11</f>
        <v>17</v>
      </c>
      <c r="D553" s="142" t="str">
        <f>B17_Assessment!$B$11</f>
        <v>B35A</v>
      </c>
      <c r="E553" s="142" t="str">
        <f>B17_Assessment!$C$11</f>
        <v>Basement</v>
      </c>
      <c r="F553" s="106" t="str">
        <f>B17_Assessment!$D$11</f>
        <v>Existing telecom closet / legacy equipment area</v>
      </c>
      <c r="G553" s="106" t="str">
        <f>B17_Assessment!$E$11</f>
        <v>Existing telecom transition point</v>
      </c>
      <c r="H553" s="106">
        <f>B17_Assessment!$F$11</f>
        <v>1</v>
      </c>
      <c r="I553" s="106">
        <f>B17_Assessment!$G$11</f>
        <v>0</v>
      </c>
      <c r="J553" s="106" t="str">
        <f>B17_Assessment!$H$11</f>
        <v>Verify</v>
      </c>
      <c r="K553" s="106" t="str">
        <f>B17_Assessment!$I$11</f>
        <v>17_29T-100 / 17_29T-604 / 17_29R-900</v>
      </c>
      <c r="L553" s="106" t="str">
        <f>B17_Assessment!$J$11</f>
        <v>Existing basement Telecom Closet B35A shown at 12 SF with wall-mounted TE, patch panel, security cabinet, plywood backboard, indoor AC unit, floor UPS, Cisco switches, legacy Ortronics 24/48-port patch panels and SERTEX utility service ports. Protect active services and verify transfer to Room 118.</v>
      </c>
    </row>
    <row r="554" spans="1:12" ht="58.35" customHeight="1">
      <c r="A554" s="106" t="str">
        <f>B17_Assessment!$B$2</f>
        <v>17</v>
      </c>
      <c r="B554" s="106" t="str">
        <f>"B17_Assessment"</f>
        <v>B17_Assessment</v>
      </c>
      <c r="C554" s="106" t="str">
        <f>B17_Assessment!$A$12</f>
        <v>29</v>
      </c>
      <c r="D554" s="142" t="str">
        <f>B17_Assessment!$B$12</f>
        <v>Building 29 path</v>
      </c>
      <c r="E554" s="142" t="str">
        <f>B17_Assessment!$C$12</f>
        <v>First / served from B17</v>
      </c>
      <c r="F554" s="106" t="str">
        <f>B17_Assessment!$D$12</f>
        <v>Building 29 service extension</v>
      </c>
      <c r="G554" s="106" t="str">
        <f>B17_Assessment!$E$12</f>
        <v>Served from B17 TR 118</v>
      </c>
      <c r="H554" s="106">
        <f>B17_Assessment!$F$12</f>
        <v>0</v>
      </c>
      <c r="I554" s="106">
        <f>B17_Assessment!$G$12</f>
        <v>0</v>
      </c>
      <c r="J554" s="106" t="str">
        <f>B17_Assessment!$H$12</f>
        <v>Verify</v>
      </c>
      <c r="K554" s="106" t="str">
        <f>B17_Assessment!$I$12</f>
        <v>17_29T-100 / 17_29T-604 / 17_29T-701</v>
      </c>
      <c r="L554" s="106" t="str">
        <f>B17_Assessment!$J$12</f>
        <v>Building 29 is shown served from B17, with path to B29 via 4-inch PVC and fiber extending from Building 17 to Building 29. Field verify pathway, service boundary, and active outlets included in TR17-118-1 schedule.</v>
      </c>
    </row>
    <row r="555" spans="1:12" ht="87.6" customHeight="1">
      <c r="A555" s="106" t="str">
        <f>B18_Assessment!$B$2</f>
        <v>18</v>
      </c>
      <c r="B555" s="106" t="str">
        <f>"B18_Assessment"</f>
        <v>B18_Assessment</v>
      </c>
      <c r="C555" s="106" t="str">
        <f>B18_Assessment!$A$10</f>
        <v>18</v>
      </c>
      <c r="D555" s="142" t="str">
        <f>B18_Assessment!$B$10</f>
        <v>110</v>
      </c>
      <c r="E555" s="142" t="str">
        <f>B18_Assessment!$C$10</f>
        <v>First</v>
      </c>
      <c r="F555" s="106" t="str">
        <f>B18_Assessment!$D$10</f>
        <v>New telecom room build area</v>
      </c>
      <c r="G555" s="106" t="str">
        <f>B18_Assessment!$E$10</f>
        <v>Telecom Room</v>
      </c>
      <c r="H555" s="106">
        <f>B18_Assessment!$F$10</f>
        <v>1</v>
      </c>
      <c r="I555" s="106">
        <f>B18_Assessment!$G$10</f>
        <v>1</v>
      </c>
      <c r="J555" s="106" t="str">
        <f>B18_Assessment!$H$10</f>
        <v>Verify</v>
      </c>
      <c r="K555" s="106" t="str">
        <f>B18_Assessment!$I$10</f>
        <v>18A-401 / 18E-101 / 18T-100 / 18T-401 / 18T-604 / 18T-701</v>
      </c>
      <c r="L555" s="106" t="str">
        <f>B18_Assessment!$J$10</f>
        <v>Primary Building 18 TR. Plans identify Telecom Room 110 at 168 SF, Rack ID TR01-111A-1, panels B18-TR110A/B, 208V rack UPS/PDU equipment, IU-1-01/CU-1-01 cooling, 315 feet total cable tray, and future rack allowance. Room 110 is the new rack room even though the schedule labels RM 111A.</v>
      </c>
    </row>
    <row r="556" spans="1:12" ht="64.2" customHeight="1">
      <c r="A556" s="106" t="str">
        <f>B18_Assessment!$B$2</f>
        <v>18</v>
      </c>
      <c r="B556" s="106" t="str">
        <f>"B18_Assessment"</f>
        <v>B18_Assessment</v>
      </c>
      <c r="C556" s="106" t="str">
        <f>B18_Assessment!$A$11</f>
        <v>18</v>
      </c>
      <c r="D556" s="142" t="str">
        <f>B18_Assessment!$B$11</f>
        <v>111B</v>
      </c>
      <c r="E556" s="142" t="str">
        <f>B18_Assessment!$C$11</f>
        <v>First</v>
      </c>
      <c r="F556" s="106" t="str">
        <f>B18_Assessment!$D$11</f>
        <v>Existing TE / stair-adjacent legacy equipment area</v>
      </c>
      <c r="G556" s="106" t="str">
        <f>B18_Assessment!$E$11</f>
        <v>Existing telecom transition point</v>
      </c>
      <c r="H556" s="106">
        <f>B18_Assessment!$F$11</f>
        <v>1</v>
      </c>
      <c r="I556" s="106">
        <f>B18_Assessment!$G$11</f>
        <v>0</v>
      </c>
      <c r="J556" s="106" t="str">
        <f>B18_Assessment!$H$11</f>
        <v>Verify</v>
      </c>
      <c r="K556" s="106" t="str">
        <f>B18_Assessment!$I$11</f>
        <v>18T-401 / 18T-604 / 18R-900</v>
      </c>
      <c r="L556" s="106" t="str">
        <f>B18_Assessment!$J$11</f>
        <v>Existing first-level TE 111B shown at 13 SF with wall-mounted rack, plywood backboard, patch panel, security cabinet, existing floor UPS, and 5RU fiber optic housing. Protect active services and verify transfer to Room 110.</v>
      </c>
    </row>
    <row r="557" spans="1:12" ht="81.45" customHeight="1">
      <c r="A557" s="106" t="str">
        <f>B18_Assessment!$B$2</f>
        <v>18</v>
      </c>
      <c r="B557" s="106" t="str">
        <f>"B18_Assessment"</f>
        <v>B18_Assessment</v>
      </c>
      <c r="C557" s="106" t="str">
        <f>B18_Assessment!$A$12</f>
        <v>18</v>
      </c>
      <c r="D557" s="142" t="str">
        <f>B18_Assessment!$B$12</f>
        <v>213</v>
      </c>
      <c r="E557" s="142" t="str">
        <f>B18_Assessment!$C$12</f>
        <v>Second</v>
      </c>
      <c r="F557" s="106" t="str">
        <f>B18_Assessment!$D$12</f>
        <v>Existing telecom closet / legacy equipment area</v>
      </c>
      <c r="G557" s="106" t="str">
        <f>B18_Assessment!$E$12</f>
        <v>Existing telecom transition point</v>
      </c>
      <c r="H557" s="106">
        <f>B18_Assessment!$F$12</f>
        <v>1</v>
      </c>
      <c r="I557" s="106">
        <f>B18_Assessment!$G$12</f>
        <v>0</v>
      </c>
      <c r="J557" s="106" t="str">
        <f>B18_Assessment!$H$12</f>
        <v>Verify</v>
      </c>
      <c r="K557" s="106" t="str">
        <f>B18_Assessment!$I$12</f>
        <v>18T-401 / 18T-604 / 18R-900</v>
      </c>
      <c r="L557" s="106" t="str">
        <f>B18_Assessment!$J$12</f>
        <v>Existing second-level Closet 213 shown at 8 SF with wall-mounted rack, plywood backboard, patch panel, security cabinet, APC floor UPS, SERTEX utility service ports, Cisco switch and legacy Ortronics patch panels. Protect active services and verify transfer to Room 110.</v>
      </c>
    </row>
    <row r="558" spans="1:12" ht="75.599999999999994" customHeight="1">
      <c r="A558" s="106" t="str">
        <f>B20_Assessment!$B$2</f>
        <v>20</v>
      </c>
      <c r="B558" s="106" t="str">
        <f>"B20_Assessment"</f>
        <v>B20_Assessment</v>
      </c>
      <c r="C558" s="106" t="str">
        <f>B20_Assessment!$A$10</f>
        <v>20</v>
      </c>
      <c r="D558" s="142" t="str">
        <f>B20_Assessment!$B$10</f>
        <v>1B</v>
      </c>
      <c r="E558" s="142" t="str">
        <f>B20_Assessment!$C$10</f>
        <v>First</v>
      </c>
      <c r="F558" s="106" t="str">
        <f>B20_Assessment!$D$10</f>
        <v>Office / new TE location</v>
      </c>
      <c r="G558" s="106" t="str">
        <f>B20_Assessment!$E$10</f>
        <v>Telecom Enclosure</v>
      </c>
      <c r="H558" s="106">
        <f>B20_Assessment!$F$10</f>
        <v>1</v>
      </c>
      <c r="I558" s="106">
        <f>B20_Assessment!$G$10</f>
        <v>0</v>
      </c>
      <c r="J558" s="106" t="str">
        <f>B20_Assessment!$H$10</f>
        <v>Verify</v>
      </c>
      <c r="K558" s="106" t="str">
        <f>B20_Assessment!$I$10</f>
        <v>20T-101 / 20T-701 / 20E-101 / 20E-601</v>
      </c>
      <c r="L558" s="106" t="str">
        <f>B20_Assessment!$J$10</f>
        <v>Primary Building 20 TE. Plans identify Office 1B at 110 SF with new wall-mount telecom enclosure Rack ID TE01-1B-1, 12RU enclosure, APC UPS, two PDUs, network switch, 48-port Cat6A patch panel, Fiber LIU, and 33 total ports with 10% allowance.</v>
      </c>
    </row>
    <row r="559" spans="1:12" ht="87.6" customHeight="1">
      <c r="A559" s="106" t="str">
        <f>B20_Assessment!$B$2</f>
        <v>20</v>
      </c>
      <c r="B559" s="106" t="str">
        <f>"B20_Assessment"</f>
        <v>B20_Assessment</v>
      </c>
      <c r="C559" s="106" t="str">
        <f>B20_Assessment!$A$11</f>
        <v>20</v>
      </c>
      <c r="D559" s="142" t="str">
        <f>B20_Assessment!$B$11</f>
        <v>8A</v>
      </c>
      <c r="E559" s="142" t="str">
        <f>B20_Assessment!$C$11</f>
        <v>First</v>
      </c>
      <c r="F559" s="106" t="str">
        <f>B20_Assessment!$D$11</f>
        <v>Existing Tel/Data Closet / open TE cabinet</v>
      </c>
      <c r="G559" s="106" t="str">
        <f>B20_Assessment!$E$11</f>
        <v>Existing telecom transition point</v>
      </c>
      <c r="H559" s="106">
        <f>B20_Assessment!$F$11</f>
        <v>2</v>
      </c>
      <c r="I559" s="106">
        <f>B20_Assessment!$G$11</f>
        <v>0</v>
      </c>
      <c r="J559" s="106" t="str">
        <f>B20_Assessment!$H$11</f>
        <v>Verify</v>
      </c>
      <c r="K559" s="106" t="str">
        <f>B20_Assessment!$I$11</f>
        <v>20T-101 / 20T-701 / 20R-900</v>
      </c>
      <c r="L559" s="106" t="str">
        <f>B20_Assessment!$J$11</f>
        <v>Existing Tel/Data Closet 8A at 17 SF with existing open TE cabinet, ground bar, patch panel, equipment box, indoor AC unit, plywood backboard, BIX blocks, Cisco switch, legacy Ortronics 48-port patch panel, floor UPS and Fiber LIU. Protect active services and transfer to Office 1B TE.</v>
      </c>
    </row>
    <row r="560" spans="1:12" ht="99.15" customHeight="1">
      <c r="A560" s="106" t="str">
        <f>B21_Assessment!$B$2</f>
        <v>21</v>
      </c>
      <c r="B560" s="106" t="str">
        <f>"B21_Assessment"</f>
        <v>B21_Assessment</v>
      </c>
      <c r="C560" s="106" t="str">
        <f>B21_Assessment!$A$10</f>
        <v>21</v>
      </c>
      <c r="D560" s="142" t="str">
        <f>B21_Assessment!$B$10</f>
        <v>100A</v>
      </c>
      <c r="E560" s="142" t="str">
        <f>B21_Assessment!$C$10</f>
        <v>First</v>
      </c>
      <c r="F560" s="106" t="str">
        <f>B21_Assessment!$D$10</f>
        <v>M&amp;O Foreman Office / new TE location</v>
      </c>
      <c r="G560" s="106" t="str">
        <f>B21_Assessment!$E$10</f>
        <v>Telecom Enclosure</v>
      </c>
      <c r="H560" s="106">
        <f>B21_Assessment!$F$10</f>
        <v>1</v>
      </c>
      <c r="I560" s="106">
        <f>B21_Assessment!$G$10</f>
        <v>0</v>
      </c>
      <c r="J560" s="106" t="str">
        <f>B21_Assessment!$H$10</f>
        <v>Verify</v>
      </c>
      <c r="K560" s="106" t="str">
        <f>B21_Assessment!$I$10</f>
        <v>21_19T-101 / 21_19T-604 / 21_19T-701 / 21_19E-101</v>
      </c>
      <c r="L560" s="106" t="str">
        <f>B21_Assessment!$J$10</f>
        <v>Primary Building 21/B19 TE. Plans identify M&amp;O Foreman Office 100A at 202 SF with new 12RU telecom enclosure, shown as 19 serving 21, Room 100-A, and schedule Rack ID TR01-104-1 / RM 104. Includes APC UPS, two PDUs, network switches B20 and B19, 48-port Cat6A patch panel, Fiber LIU, and 131 total ports with 10% allowance.</v>
      </c>
    </row>
    <row r="561" spans="1:12" ht="75.599999999999994" customHeight="1">
      <c r="A561" s="106" t="str">
        <f>B21_Assessment!$B$2</f>
        <v>21</v>
      </c>
      <c r="B561" s="106" t="str">
        <f>"B21_Assessment"</f>
        <v>B21_Assessment</v>
      </c>
      <c r="C561" s="106" t="str">
        <f>B21_Assessment!$A$11</f>
        <v>21</v>
      </c>
      <c r="D561" s="142" t="str">
        <f>B21_Assessment!$B$11</f>
        <v>B1.TR</v>
      </c>
      <c r="E561" s="142" t="str">
        <f>B21_Assessment!$C$11</f>
        <v>Basement</v>
      </c>
      <c r="F561" s="106" t="str">
        <f>B21_Assessment!$D$11</f>
        <v>Existing telecom room / wall-mount TE</v>
      </c>
      <c r="G561" s="106" t="str">
        <f>B21_Assessment!$E$11</f>
        <v>Existing telecom transition point</v>
      </c>
      <c r="H561" s="106">
        <f>B21_Assessment!$F$11</f>
        <v>1</v>
      </c>
      <c r="I561" s="106">
        <f>B21_Assessment!$G$11</f>
        <v>0</v>
      </c>
      <c r="J561" s="106" t="str">
        <f>B21_Assessment!$H$11</f>
        <v>Verify</v>
      </c>
      <c r="K561" s="106" t="str">
        <f>B21_Assessment!$I$11</f>
        <v>21_19T-100 / 21_19T-604</v>
      </c>
      <c r="L561" s="106" t="str">
        <f>B21_Assessment!$J$11</f>
        <v>Existing Building 21 basement B1.TR shown with legacy Ortronics 24/48-port patch panels, UPS on ground, Cisco switch, multiple legacy 24-port patch panels, Fiber LIU, and APC floor UPS. Protect active services and verify transfer/cutover to new TE.</v>
      </c>
    </row>
    <row r="562" spans="1:12" ht="75.599999999999994" customHeight="1">
      <c r="A562" s="106" t="str">
        <f>B21_Assessment!$B$2</f>
        <v>21</v>
      </c>
      <c r="B562" s="106" t="str">
        <f>"B21_Assessment"</f>
        <v>B21_Assessment</v>
      </c>
      <c r="C562" s="106" t="str">
        <f>B21_Assessment!$A$12</f>
        <v>19</v>
      </c>
      <c r="D562" s="142" t="str">
        <f>B21_Assessment!$B$12</f>
        <v>B05TR</v>
      </c>
      <c r="E562" s="142" t="str">
        <f>B21_Assessment!$C$12</f>
        <v>Basement / First</v>
      </c>
      <c r="F562" s="106" t="str">
        <f>B21_Assessment!$D$12</f>
        <v>Existing telecom room / wall-mount TE</v>
      </c>
      <c r="G562" s="106" t="str">
        <f>B21_Assessment!$E$12</f>
        <v>Existing telecom transition point serving B19/B21</v>
      </c>
      <c r="H562" s="106">
        <f>B21_Assessment!$F$12</f>
        <v>2</v>
      </c>
      <c r="I562" s="106">
        <f>B21_Assessment!$G$12</f>
        <v>0</v>
      </c>
      <c r="J562" s="106" t="str">
        <f>B21_Assessment!$H$12</f>
        <v>Verify</v>
      </c>
      <c r="K562" s="106" t="str">
        <f>B21_Assessment!$I$12</f>
        <v>21_19T-100 / 21_19T-604 / 21_19R-900</v>
      </c>
      <c r="L562" s="106" t="str">
        <f>B21_Assessment!$J$12</f>
        <v>Existing Building 19 B05TR shown with basement and first-level existing elevations, legacy Ortronics patch panels, Cisco switch, Fiber LIU, APC floor UPS, and photo reference for basement B05. New enclosure is marked '19 serving 21'.</v>
      </c>
    </row>
    <row r="563" spans="1:12" ht="69.900000000000006" customHeight="1">
      <c r="A563" s="106" t="str">
        <f>B22_Assessment!$B$2</f>
        <v>22</v>
      </c>
      <c r="B563" s="106" t="str">
        <f>"B22_Assessment"</f>
        <v>B22_Assessment</v>
      </c>
      <c r="C563" s="106" t="str">
        <f>B22_Assessment!$A$10</f>
        <v>22</v>
      </c>
      <c r="D563" s="142" t="str">
        <f>B22_Assessment!$B$10</f>
        <v>102</v>
      </c>
      <c r="E563" s="142" t="str">
        <f>B22_Assessment!$C$10</f>
        <v>First</v>
      </c>
      <c r="F563" s="106" t="str">
        <f>B22_Assessment!$D$10</f>
        <v>Break Room / new TE location</v>
      </c>
      <c r="G563" s="106" t="str">
        <f>B22_Assessment!$E$10</f>
        <v>Telecom Enclosure</v>
      </c>
      <c r="H563" s="106">
        <f>B22_Assessment!$F$10</f>
        <v>1</v>
      </c>
      <c r="I563" s="106">
        <f>B22_Assessment!$G$10</f>
        <v>0</v>
      </c>
      <c r="J563" s="106" t="str">
        <f>B22_Assessment!$H$10</f>
        <v>Verify</v>
      </c>
      <c r="K563" s="106" t="str">
        <f>B22_Assessment!$I$10</f>
        <v>22T-101 / 22T-701 / 22E-101 / 22E-701</v>
      </c>
      <c r="L563" s="106" t="str">
        <f>B22_Assessment!$J$10</f>
        <v>Primary Building 22 TE. Plans identify Break Room 102 at 358 SF with new 12RU telecom enclosure Rack ID TR01-102-1, APC UPS, two PDUs, network switch, 48-port Cat6A patch panel, Fiber LIU, and 8 total ports with 10% allowance.</v>
      </c>
    </row>
    <row r="564" spans="1:12" ht="69.900000000000006" customHeight="1">
      <c r="A564" s="106" t="str">
        <f>B22_Assessment!$B$2</f>
        <v>22</v>
      </c>
      <c r="B564" s="106" t="str">
        <f>"B22_Assessment"</f>
        <v>B22_Assessment</v>
      </c>
      <c r="C564" s="106" t="str">
        <f>B22_Assessment!$A$11</f>
        <v>22</v>
      </c>
      <c r="D564" s="142" t="str">
        <f>B22_Assessment!$B$11</f>
        <v>103</v>
      </c>
      <c r="E564" s="142" t="str">
        <f>B22_Assessment!$C$11</f>
        <v>First</v>
      </c>
      <c r="F564" s="106" t="str">
        <f>B22_Assessment!$D$11</f>
        <v>Existing wall/wall-mount TE / legacy equipment area</v>
      </c>
      <c r="G564" s="106" t="str">
        <f>B22_Assessment!$E$11</f>
        <v>Existing telecom transition point</v>
      </c>
      <c r="H564" s="106">
        <f>B22_Assessment!$F$11</f>
        <v>1</v>
      </c>
      <c r="I564" s="106">
        <f>B22_Assessment!$G$11</f>
        <v>0</v>
      </c>
      <c r="J564" s="106" t="str">
        <f>B22_Assessment!$H$11</f>
        <v>Verify</v>
      </c>
      <c r="K564" s="106" t="str">
        <f>B22_Assessment!$I$11</f>
        <v>22T-101 / 22T-701 / 22R-900</v>
      </c>
      <c r="L564" s="106" t="str">
        <f>B22_Assessment!$J$11</f>
        <v>Existing Room 103 first-level wall/wall-mount TE shown with APC UPS, Cisco switch, SERTEX utility service, legacy Ortronics 24-port patch panel, Fiber LIU on wall, and ports 1-24 to Building 19 ports 73-96. Protect active services and transfer to Room 102 TE.</v>
      </c>
    </row>
    <row r="565" spans="1:12" ht="69.900000000000006" customHeight="1">
      <c r="A565" s="106" t="str">
        <f>B33_Assessment!$B$2</f>
        <v>33</v>
      </c>
      <c r="B565" s="106" t="str">
        <f>"B33_Assessment"</f>
        <v>B33_Assessment</v>
      </c>
      <c r="C565" s="106" t="str">
        <f>B33_Assessment!$A$10</f>
        <v>33</v>
      </c>
      <c r="D565" s="142" t="str">
        <f>B33_Assessment!$B$10</f>
        <v>B23</v>
      </c>
      <c r="E565" s="142" t="str">
        <f>B33_Assessment!$C$10</f>
        <v>Basement</v>
      </c>
      <c r="F565" s="106" t="str">
        <f>B33_Assessment!$D$10</f>
        <v>EEO Manager Office / new TE location</v>
      </c>
      <c r="G565" s="106" t="str">
        <f>B33_Assessment!$E$10</f>
        <v>Telecom Enclosure</v>
      </c>
      <c r="H565" s="106">
        <f>B33_Assessment!$F$10</f>
        <v>1</v>
      </c>
      <c r="I565" s="106">
        <f>B33_Assessment!$G$10</f>
        <v>0</v>
      </c>
      <c r="J565" s="106" t="str">
        <f>B33_Assessment!$H$10</f>
        <v>Verify</v>
      </c>
      <c r="K565" s="106" t="str">
        <f>B33_Assessment!$I$10</f>
        <v>33T-100 / 33T-604 / 33T-701 / 33E-100 / 33E-701</v>
      </c>
      <c r="L565" s="106" t="str">
        <f>B33_Assessment!$J$10</f>
        <v>Primary Building 33 TE. Plans identify EEO Manager Office B23 at 175 SF with new 12RU telecom enclosure Rack ID TE01-B23-1, APC UPS, two PDUs, network switch, 48-port Cat6A patch panel, Fiber LIU, 55 WAO total, and 97 total ports with 10% allowance.</v>
      </c>
    </row>
    <row r="566" spans="1:12" ht="99.15" customHeight="1">
      <c r="A566" s="106" t="str">
        <f>B33_Assessment!$B$2</f>
        <v>33</v>
      </c>
      <c r="B566" s="106" t="str">
        <f>"B33_Assessment"</f>
        <v>B33_Assessment</v>
      </c>
      <c r="C566" s="106" t="str">
        <f>B33_Assessment!$A$11</f>
        <v>33</v>
      </c>
      <c r="D566" s="142" t="str">
        <f>B33_Assessment!$B$11</f>
        <v>B17</v>
      </c>
      <c r="E566" s="142" t="str">
        <f>B33_Assessment!$C$11</f>
        <v>Basement / First photo reference</v>
      </c>
      <c r="F566" s="106" t="str">
        <f>B33_Assessment!$D$11</f>
        <v>Existing Tel Closet / open TE cabinet and legacy equipment</v>
      </c>
      <c r="G566" s="106" t="str">
        <f>B33_Assessment!$E$11</f>
        <v>Existing telecom transition point</v>
      </c>
      <c r="H566" s="106">
        <f>B33_Assessment!$F$11</f>
        <v>2</v>
      </c>
      <c r="I566" s="106">
        <f>B33_Assessment!$G$11</f>
        <v>0</v>
      </c>
      <c r="J566" s="106" t="str">
        <f>B33_Assessment!$H$11</f>
        <v>Verify</v>
      </c>
      <c r="K566" s="106" t="str">
        <f>B33_Assessment!$I$11</f>
        <v>33T-100 / 33T-604 / 33R-900</v>
      </c>
      <c r="L566" s="106" t="str">
        <f>B33_Assessment!$J$11</f>
        <v>Existing Tel Closet B17 shown at 13 SF with existing open TE cabinet, network door controller, indoor AC unit, plywood backboard, keypad, patch panel, ground bar, equipment box, Cisco switches, legacy patch panels, Fiber LIU, SERTEX utility service, and UPS on floor. Protect active services and verify transfer to Room B23 TE.</v>
      </c>
    </row>
    <row r="567" spans="1:12" ht="75.599999999999994" customHeight="1">
      <c r="A567" s="106" t="str">
        <f>B61_Assessment!$B$2</f>
        <v>61</v>
      </c>
      <c r="B567" s="106" t="str">
        <f>"B61_Assessment"</f>
        <v>B61_Assessment</v>
      </c>
      <c r="C567" s="106" t="str">
        <f>B61_Assessment!$A$10</f>
        <v>61</v>
      </c>
      <c r="D567" s="142" t="str">
        <f>B61_Assessment!$B$10</f>
        <v>B13H-A</v>
      </c>
      <c r="E567" s="142" t="str">
        <f>B61_Assessment!$C$10</f>
        <v>Basement</v>
      </c>
      <c r="F567" s="106" t="str">
        <f>B61_Assessment!$D$10</f>
        <v>Basement telecom / support area</v>
      </c>
      <c r="G567" s="106" t="str">
        <f>B61_Assessment!$E$10</f>
        <v>Telecom Room</v>
      </c>
      <c r="H567" s="106">
        <f>B61_Assessment!$F$10</f>
        <v>1</v>
      </c>
      <c r="I567" s="106">
        <f>B61_Assessment!$G$10</f>
        <v>1</v>
      </c>
      <c r="J567" s="106" t="str">
        <f>B61_Assessment!$H$10</f>
        <v>Pass</v>
      </c>
      <c r="K567" s="106" t="str">
        <f>B61_Assessment!$I$10</f>
        <v>61A-400 / 61E-401 / 61T-100 / 61T-401 / 61T-604 / 61T-701</v>
      </c>
      <c r="L567" s="106" t="str">
        <f>B61_Assessment!$J$10</f>
        <v>Basement TR identified as RM B13H-A with Rack ID TR01-B13H-A-1. Schedules identify 88 WAO total, 74 active ports, 129 scheduled ports, 142 ports with 10% allowance. Electrical panels include B61-TRB13A/B. Mechanical cooling includes IU-0-01/CU-0-01.</v>
      </c>
    </row>
    <row r="568" spans="1:12" ht="75.599999999999994" customHeight="1">
      <c r="A568" s="106" t="str">
        <f>B61_Assessment!$B$2</f>
        <v>61</v>
      </c>
      <c r="B568" s="106" t="str">
        <f>"B61_Assessment"</f>
        <v>B61_Assessment</v>
      </c>
      <c r="C568" s="106" t="str">
        <f>B61_Assessment!$A$11</f>
        <v>61</v>
      </c>
      <c r="D568" s="142" t="str">
        <f>B61_Assessment!$B$11</f>
        <v>124</v>
      </c>
      <c r="E568" s="142" t="str">
        <f>B61_Assessment!$C$11</f>
        <v>First</v>
      </c>
      <c r="F568" s="106" t="str">
        <f>B61_Assessment!$D$11</f>
        <v>First-level telecom area</v>
      </c>
      <c r="G568" s="106" t="str">
        <f>B61_Assessment!$E$11</f>
        <v>Telecom Room</v>
      </c>
      <c r="H568" s="106">
        <f>B61_Assessment!$F$11</f>
        <v>1</v>
      </c>
      <c r="I568" s="106">
        <f>B61_Assessment!$G$11</f>
        <v>1</v>
      </c>
      <c r="J568" s="106" t="str">
        <f>B61_Assessment!$H$11</f>
        <v>Pass</v>
      </c>
      <c r="K568" s="106" t="str">
        <f>B61_Assessment!$I$11</f>
        <v>61A-400 / 61E-402 / 61T-101 / 61T-401 / 61T-604 / 61T-701</v>
      </c>
      <c r="L568" s="106" t="str">
        <f>B61_Assessment!$J$11</f>
        <v>First-level TR identified as Room 124 / Rack ID TR01-124-1. Electrical panels include B61-TR124A/B. Mechanical cooling includes IU-1-01/CU-1-01. Verify room naming against electrical schedule references that also call out RM137B rack receptacles.</v>
      </c>
    </row>
    <row r="569" spans="1:12" ht="75.599999999999994" customHeight="1">
      <c r="A569" s="106" t="str">
        <f>B61_Assessment!$B$2</f>
        <v>61</v>
      </c>
      <c r="B569" s="106" t="str">
        <f>"B61_Assessment"</f>
        <v>B61_Assessment</v>
      </c>
      <c r="C569" s="106" t="str">
        <f>B61_Assessment!$A$12</f>
        <v>61</v>
      </c>
      <c r="D569" s="142" t="str">
        <f>B61_Assessment!$B$12</f>
        <v>226</v>
      </c>
      <c r="E569" s="142" t="str">
        <f>B61_Assessment!$C$12</f>
        <v>Second</v>
      </c>
      <c r="F569" s="106" t="str">
        <f>B61_Assessment!$D$12</f>
        <v>Second-level telecom area</v>
      </c>
      <c r="G569" s="106" t="str">
        <f>B61_Assessment!$E$12</f>
        <v>Telecom Room</v>
      </c>
      <c r="H569" s="106">
        <f>B61_Assessment!$F$12</f>
        <v>1</v>
      </c>
      <c r="I569" s="106">
        <f>B61_Assessment!$G$12</f>
        <v>1</v>
      </c>
      <c r="J569" s="106" t="str">
        <f>B61_Assessment!$H$12</f>
        <v>Pass</v>
      </c>
      <c r="K569" s="106" t="str">
        <f>B61_Assessment!$I$12</f>
        <v>61A-401 / 61E-402 / 61T-102 / 61T-401 / 61T-605 / 61T-702</v>
      </c>
      <c r="L569" s="106" t="str">
        <f>B61_Assessment!$J$12</f>
        <v>Second-level TR identified as Room 226 / Rack ID TR01-226-1. Schedules identify 109 WAO total, 126 active ports, 156 scheduled ports, 172 ports with 10% allowance. Electrical panels include B61-TR226A/B. Mechanical cooling includes IU-2-01/CU-2-01.</v>
      </c>
    </row>
    <row r="570" spans="1:12" ht="93.45" customHeight="1">
      <c r="A570" s="106" t="str">
        <f>B61_Assessment!$B$2</f>
        <v>61</v>
      </c>
      <c r="B570" s="106" t="str">
        <f>"B61_Assessment"</f>
        <v>B61_Assessment</v>
      </c>
      <c r="C570" s="106" t="str">
        <f>B61_Assessment!$A$13</f>
        <v>61</v>
      </c>
      <c r="D570" s="142" t="str">
        <f>B61_Assessment!$B$13</f>
        <v>137 / 137A</v>
      </c>
      <c r="E570" s="142" t="str">
        <f>B61_Assessment!$C$13</f>
        <v>First</v>
      </c>
      <c r="F570" s="106" t="str">
        <f>B61_Assessment!$D$13</f>
        <v>Existing server/demarc/telecom equipment rooms</v>
      </c>
      <c r="G570" s="106" t="str">
        <f>B61_Assessment!$E$13</f>
        <v>Existing demarc / server transition point</v>
      </c>
      <c r="H570" s="106">
        <f>B61_Assessment!$F$13</f>
        <v>11</v>
      </c>
      <c r="I570" s="106">
        <f>B61_Assessment!$G$13</f>
        <v>0</v>
      </c>
      <c r="J570" s="106" t="str">
        <f>B61_Assessment!$H$13</f>
        <v>Pass</v>
      </c>
      <c r="K570" s="106" t="str">
        <f>B61_Assessment!$I$13</f>
        <v>61T-402 / 61T-606 / 61T-607 / 61R-900</v>
      </c>
      <c r="L570" s="106" t="str">
        <f>B61_Assessment!$J$13</f>
        <v>Existing Room 137/137A rack inventory and demarc/server equipment include existing 4-post racks, PACS/equipment racks, APC UPS/PDU equipment, Fujitsu FLM equipment, wall-mounted patch panels, and local elevations. Protect active services and verify what remains, transfers, or is modified.</v>
      </c>
    </row>
    <row r="571" spans="1:12" ht="7.35" customHeight="1">
      <c r="A571" s="106">
        <f>B62_TR_Assessment!$B$2</f>
        <v>62</v>
      </c>
      <c r="B571" s="106" t="str">
        <f>"B62_TR_Assessment"</f>
        <v>B62_TR_Assessment</v>
      </c>
      <c r="C571" s="106" t="str">
        <f>B62_TR_Assessment!$A$10</f>
        <v>62</v>
      </c>
      <c r="D571" s="142" t="str">
        <f>B62_TR_Assessment!$B$10</f>
        <v>B24A</v>
      </c>
      <c r="E571" s="142" t="str">
        <f>B62_TR_Assessment!$C$10</f>
        <v>Basement</v>
      </c>
      <c r="F571" s="106" t="str">
        <f>B62_TR_Assessment!$D$10</f>
        <v>Restroom / Storage</v>
      </c>
      <c r="G571" s="106" t="str">
        <f>B62_TR_Assessment!$E$10</f>
        <v>TR</v>
      </c>
      <c r="H571" s="106">
        <f>B62_TR_Assessment!$F$10</f>
        <v>1</v>
      </c>
      <c r="I571" s="106">
        <f>B62_TR_Assessment!$G$10</f>
        <v>1</v>
      </c>
      <c r="J571" s="106" t="str">
        <f>B62_TR_Assessment!$H$10</f>
        <v>Verify</v>
      </c>
      <c r="K571" s="106" t="str">
        <f>B62_TR_Assessment!$I$10</f>
        <v>B62 IFC</v>
      </c>
      <c r="L571" s="106">
        <f>B62_TR_Assessment!$J$10</f>
        <v>0</v>
      </c>
    </row>
    <row r="572" spans="1:12" ht="7.35" customHeight="1">
      <c r="A572" s="106">
        <f>B62_TR_Assessment!$B$2</f>
        <v>62</v>
      </c>
      <c r="B572" s="106" t="str">
        <f>"B62_TR_Assessment"</f>
        <v>B62_TR_Assessment</v>
      </c>
      <c r="C572" s="106" t="str">
        <f>B62_TR_Assessment!$A$11</f>
        <v>62</v>
      </c>
      <c r="D572" s="142" t="str">
        <f>B62_TR_Assessment!$B$11</f>
        <v>125</v>
      </c>
      <c r="E572" s="142" t="str">
        <f>B62_TR_Assessment!$C$11</f>
        <v>First</v>
      </c>
      <c r="F572" s="106" t="str">
        <f>B62_TR_Assessment!$D$11</f>
        <v>Medication Room</v>
      </c>
      <c r="G572" s="106" t="str">
        <f>B62_TR_Assessment!$E$11</f>
        <v>TR</v>
      </c>
      <c r="H572" s="106">
        <f>B62_TR_Assessment!$F$11</f>
        <v>1</v>
      </c>
      <c r="I572" s="106">
        <f>B62_TR_Assessment!$G$11</f>
        <v>1</v>
      </c>
      <c r="J572" s="106" t="str">
        <f>B62_TR_Assessment!$H$11</f>
        <v>Verify</v>
      </c>
      <c r="K572" s="106" t="str">
        <f>B62_TR_Assessment!$I$11</f>
        <v>B62 IFC</v>
      </c>
      <c r="L572" s="106">
        <f>B62_TR_Assessment!$J$11</f>
        <v>0</v>
      </c>
    </row>
    <row r="573" spans="1:12" ht="7.35" customHeight="1">
      <c r="A573" s="106">
        <f>B62_TR_Assessment!$B$2</f>
        <v>62</v>
      </c>
      <c r="B573" s="106" t="str">
        <f>"B62_TR_Assessment"</f>
        <v>B62_TR_Assessment</v>
      </c>
      <c r="C573" s="106" t="str">
        <f>B62_TR_Assessment!$A$12</f>
        <v>62</v>
      </c>
      <c r="D573" s="142" t="str">
        <f>B62_TR_Assessment!$B$12</f>
        <v>225</v>
      </c>
      <c r="E573" s="142" t="str">
        <f>B62_TR_Assessment!$C$12</f>
        <v>Second</v>
      </c>
      <c r="F573" s="106" t="str">
        <f>B62_TR_Assessment!$D$12</f>
        <v>Office</v>
      </c>
      <c r="G573" s="106" t="str">
        <f>B62_TR_Assessment!$E$12</f>
        <v>TR</v>
      </c>
      <c r="H573" s="106">
        <f>B62_TR_Assessment!$F$12</f>
        <v>1</v>
      </c>
      <c r="I573" s="106">
        <f>B62_TR_Assessment!$G$12</f>
        <v>1</v>
      </c>
      <c r="J573" s="106" t="str">
        <f>B62_TR_Assessment!$H$12</f>
        <v>Verify</v>
      </c>
      <c r="K573" s="106" t="str">
        <f>B62_TR_Assessment!$I$12</f>
        <v>B62 IFC</v>
      </c>
      <c r="L573" s="106">
        <f>B62_TR_Assessment!$J$12</f>
        <v>0</v>
      </c>
    </row>
    <row r="574" spans="1:12" ht="22.95" customHeight="1">
      <c r="A574" s="106">
        <f>B70_TR_Assessment!$B$2</f>
        <v>70</v>
      </c>
      <c r="B574" s="106" t="str">
        <f t="shared" ref="B574:B580" si="55">"B70_TR_Assessment"</f>
        <v>B70_TR_Assessment</v>
      </c>
      <c r="C574" s="106" t="str">
        <f>B70_TR_Assessment!$A$10</f>
        <v>70</v>
      </c>
      <c r="D574" s="142" t="str">
        <f>B70_TR_Assessment!$B$10</f>
        <v>B27</v>
      </c>
      <c r="E574" s="142" t="str">
        <f>B70_TR_Assessment!$C$10</f>
        <v>Basement</v>
      </c>
      <c r="F574" s="106" t="str">
        <f>B70_TR_Assessment!$D$10</f>
        <v>Telecom Room / existing service area</v>
      </c>
      <c r="G574" s="106" t="str">
        <f>B70_TR_Assessment!$E$10</f>
        <v>TR</v>
      </c>
      <c r="H574" s="106">
        <f>B70_TR_Assessment!$F$10</f>
        <v>1</v>
      </c>
      <c r="I574" s="106">
        <f>B70_TR_Assessment!$G$10</f>
        <v>1</v>
      </c>
      <c r="J574" s="106" t="str">
        <f>B70_TR_Assessment!$H$10</f>
        <v>Verify</v>
      </c>
      <c r="K574" s="106" t="str">
        <f>B70_TR_Assessment!$I$10</f>
        <v>70A/70T/70M/70FX</v>
      </c>
      <c r="L574" s="106" t="str">
        <f>B70_TR_Assessment!$J$10</f>
        <v>Shown as Telecom Room B27; rack elevation references B-27 with 1 rack + future.</v>
      </c>
    </row>
    <row r="575" spans="1:12" ht="29.1" customHeight="1">
      <c r="A575" s="106">
        <f>B70_TR_Assessment!$B$2</f>
        <v>70</v>
      </c>
      <c r="B575" s="106" t="str">
        <f t="shared" si="55"/>
        <v>B70_TR_Assessment</v>
      </c>
      <c r="C575" s="106" t="str">
        <f>B70_TR_Assessment!$A$11</f>
        <v>70</v>
      </c>
      <c r="D575" s="142" t="str">
        <f>B70_TR_Assessment!$B$11</f>
        <v>125A</v>
      </c>
      <c r="E575" s="142" t="str">
        <f>B70_TR_Assessment!$C$11</f>
        <v>First</v>
      </c>
      <c r="F575" s="106" t="str">
        <f>B70_TR_Assessment!$D$11</f>
        <v>Telecom Room / existing or renovated space</v>
      </c>
      <c r="G575" s="106" t="str">
        <f>B70_TR_Assessment!$E$11</f>
        <v>TR</v>
      </c>
      <c r="H575" s="106">
        <f>B70_TR_Assessment!$F$11</f>
        <v>1</v>
      </c>
      <c r="I575" s="106">
        <f>B70_TR_Assessment!$G$11</f>
        <v>1</v>
      </c>
      <c r="J575" s="106" t="str">
        <f>B70_TR_Assessment!$H$11</f>
        <v>Verify</v>
      </c>
      <c r="K575" s="106" t="str">
        <f>B70_TR_Assessment!$I$11</f>
        <v>70A/70T/70M/70FX</v>
      </c>
      <c r="L575" s="106" t="str">
        <f>B70_TR_Assessment!$J$11</f>
        <v>Shown as Telecom Room 125A; rack elevation references 125-A with 1 rack + future.</v>
      </c>
    </row>
    <row r="576" spans="1:12" ht="29.1" customHeight="1">
      <c r="A576" s="106">
        <f>B70_TR_Assessment!$B$2</f>
        <v>70</v>
      </c>
      <c r="B576" s="106" t="str">
        <f t="shared" si="55"/>
        <v>B70_TR_Assessment</v>
      </c>
      <c r="C576" s="106" t="str">
        <f>B70_TR_Assessment!$A$12</f>
        <v>70</v>
      </c>
      <c r="D576" s="142" t="str">
        <f>B70_TR_Assessment!$B$12</f>
        <v>262A</v>
      </c>
      <c r="E576" s="142" t="str">
        <f>B70_TR_Assessment!$C$12</f>
        <v>Second</v>
      </c>
      <c r="F576" s="106" t="str">
        <f>B70_TR_Assessment!$D$12</f>
        <v>Telecom Room / existing or renovated space</v>
      </c>
      <c r="G576" s="106" t="str">
        <f>B70_TR_Assessment!$E$12</f>
        <v>TR</v>
      </c>
      <c r="H576" s="106">
        <f>B70_TR_Assessment!$F$12</f>
        <v>1</v>
      </c>
      <c r="I576" s="106">
        <f>B70_TR_Assessment!$G$12</f>
        <v>1</v>
      </c>
      <c r="J576" s="106" t="str">
        <f>B70_TR_Assessment!$H$12</f>
        <v>Verify</v>
      </c>
      <c r="K576" s="106" t="str">
        <f>B70_TR_Assessment!$I$12</f>
        <v>70A/70T/70M/70FX</v>
      </c>
      <c r="L576" s="106" t="str">
        <f>B70_TR_Assessment!$J$12</f>
        <v>Shown as Telecom Room 262A; rack elevation references 262-A with 1 rack + future.</v>
      </c>
    </row>
    <row r="577" spans="1:12" ht="52.2" customHeight="1">
      <c r="A577" s="106">
        <f>B78_Assessment!$B$2</f>
        <v>78</v>
      </c>
      <c r="B577" s="106" t="str">
        <f t="shared" si="55"/>
        <v>B70_TR_Assessment</v>
      </c>
      <c r="C577" s="106" t="str">
        <f>B78_Assessment!$A$10</f>
        <v>78/78A</v>
      </c>
      <c r="D577" s="142" t="str">
        <f>B78_Assessment!$B$10</f>
        <v>B30</v>
      </c>
      <c r="E577" s="142" t="str">
        <f>B78_Assessment!$C$10</f>
        <v>Basement</v>
      </c>
      <c r="F577" s="106" t="str">
        <f>B78_Assessment!$D$10</f>
        <v>Basement telecom area / existing rack transfer</v>
      </c>
      <c r="G577" s="106" t="str">
        <f>B78_Assessment!$E$10</f>
        <v>Telecom Room</v>
      </c>
      <c r="H577" s="106">
        <f>B78_Assessment!$F$10</f>
        <v>2</v>
      </c>
      <c r="I577" s="106">
        <f>B78_Assessment!$G$10</f>
        <v>1</v>
      </c>
      <c r="J577" s="106" t="str">
        <f>B78_Assessment!$H$10</f>
        <v>Verify</v>
      </c>
      <c r="K577" s="106" t="str">
        <f>B78_Assessment!$I$10</f>
        <v>78_78AA-400 / 78_78AE-401 / 78_78AT-100 / 78_78AT-604 / 78_78AT-701</v>
      </c>
      <c r="L577" s="106" t="str">
        <f>B78_Assessment!$J$10</f>
        <v>Basement primary TR. Schedule identifies RM B30 with 210 WAO total, 23 active ports, 311 scheduled ports, 342 total ports with 10% allowance. Rack IDs include TR01-B30-1 and TR01-B30-2.</v>
      </c>
    </row>
    <row r="578" spans="1:12" ht="64.2" customHeight="1">
      <c r="A578" s="106">
        <f>B78_Assessment!$B$2</f>
        <v>78</v>
      </c>
      <c r="B578" s="106" t="str">
        <f t="shared" si="55"/>
        <v>B70_TR_Assessment</v>
      </c>
      <c r="C578" s="106" t="str">
        <f>B78_Assessment!$A$11</f>
        <v>78/78A</v>
      </c>
      <c r="D578" s="142" t="str">
        <f>B78_Assessment!$B$11</f>
        <v>B35</v>
      </c>
      <c r="E578" s="142" t="str">
        <f>B78_Assessment!$C$11</f>
        <v>Basement</v>
      </c>
      <c r="F578" s="106" t="str">
        <f>B78_Assessment!$D$11</f>
        <v>Basement telecom area / existing rack transfer</v>
      </c>
      <c r="G578" s="106" t="str">
        <f>B78_Assessment!$E$11</f>
        <v>Telecom Room</v>
      </c>
      <c r="H578" s="106">
        <f>B78_Assessment!$F$11</f>
        <v>1</v>
      </c>
      <c r="I578" s="106">
        <f>B78_Assessment!$G$11</f>
        <v>1</v>
      </c>
      <c r="J578" s="106" t="str">
        <f>B78_Assessment!$H$11</f>
        <v>Verify</v>
      </c>
      <c r="K578" s="106" t="str">
        <f>B78_Assessment!$I$11</f>
        <v>78_78AT-100 / 78_78AT-605 / 78_78AT-702</v>
      </c>
      <c r="L578" s="106" t="str">
        <f>B78_Assessment!$J$11</f>
        <v>Basement TR/closet. Schedule identifies RM B35 with 53 WAO total, 23 active ports, 64 scheduled ports, 70 total ports with 10% allowance. Verify relationship to existing basement telecom room 15E photo reference.</v>
      </c>
    </row>
    <row r="579" spans="1:12" ht="69.900000000000006" customHeight="1">
      <c r="A579" s="106">
        <f>B78_Assessment!$B$2</f>
        <v>78</v>
      </c>
      <c r="B579" s="106" t="str">
        <f t="shared" si="55"/>
        <v>B70_TR_Assessment</v>
      </c>
      <c r="C579" s="106" t="str">
        <f>B78_Assessment!$A$12</f>
        <v>78/78A</v>
      </c>
      <c r="D579" s="142" t="str">
        <f>B78_Assessment!$B$12</f>
        <v>1232</v>
      </c>
      <c r="E579" s="142" t="str">
        <f>B78_Assessment!$C$12</f>
        <v>First</v>
      </c>
      <c r="F579" s="106" t="str">
        <f>B78_Assessment!$D$12</f>
        <v>First-level telecom room / existing rack transfer</v>
      </c>
      <c r="G579" s="106" t="str">
        <f>B78_Assessment!$E$12</f>
        <v>Telecom Room</v>
      </c>
      <c r="H579" s="106">
        <f>B78_Assessment!$F$12</f>
        <v>1</v>
      </c>
      <c r="I579" s="106">
        <f>B78_Assessment!$G$12</f>
        <v>1</v>
      </c>
      <c r="J579" s="106" t="str">
        <f>B78_Assessment!$H$12</f>
        <v>Verify</v>
      </c>
      <c r="K579" s="106" t="str">
        <f>B78_Assessment!$I$12</f>
        <v>78_78AA-401 / 78_78AE-402 / 78_78AT-101 / 78_78AT-606 / 78_78AT-702/703</v>
      </c>
      <c r="L579" s="106" t="str">
        <f>B78_Assessment!$J$12</f>
        <v>First-level TR. Schedule identifies RM 1232 with 301 WAO total, 388 active ports, 404 scheduled ports, 444 total ports with 10% allowance. Existing photo references show first-level existing telecom room 1234; verify room-name mapping.</v>
      </c>
    </row>
    <row r="580" spans="1:12" ht="69.900000000000006" customHeight="1">
      <c r="A580" s="106">
        <f>B78_Assessment!$B$2</f>
        <v>78</v>
      </c>
      <c r="B580" s="106" t="str">
        <f t="shared" si="55"/>
        <v>B70_TR_Assessment</v>
      </c>
      <c r="C580" s="106" t="str">
        <f>B78_Assessment!$A$13</f>
        <v>78/78A</v>
      </c>
      <c r="D580" s="142" t="str">
        <f>B78_Assessment!$B$13</f>
        <v>227A</v>
      </c>
      <c r="E580" s="142" t="str">
        <f>B78_Assessment!$C$13</f>
        <v>Second</v>
      </c>
      <c r="F580" s="106" t="str">
        <f>B78_Assessment!$D$13</f>
        <v>Second-level telecom room / existing rack transfer</v>
      </c>
      <c r="G580" s="106" t="str">
        <f>B78_Assessment!$E$13</f>
        <v>Telecom Room</v>
      </c>
      <c r="H580" s="106">
        <f>B78_Assessment!$F$13</f>
        <v>1</v>
      </c>
      <c r="I580" s="106">
        <f>B78_Assessment!$G$13</f>
        <v>1</v>
      </c>
      <c r="J580" s="106" t="str">
        <f>B78_Assessment!$H$13</f>
        <v>Verify</v>
      </c>
      <c r="K580" s="106" t="str">
        <f>B78_Assessment!$I$13</f>
        <v>78_78AA-401 / 78_78AE-402 / 78_78AT-102 / 78_78AT-606 / 78_78AT-703/704</v>
      </c>
      <c r="L580" s="106" t="str">
        <f>B78_Assessment!$J$13</f>
        <v>Second-level TR. Schedule identifies RM 227A with 256 WAO total, 153 active ports, 348 scheduled ports, 383 total ports with 10% allowance. Existing photo references show second-level existing telecom room 1234; verify field room ID.</v>
      </c>
    </row>
    <row r="581" spans="1:12" ht="52.2" customHeight="1">
      <c r="A581" s="106">
        <f>B78_Assessment!$B$2</f>
        <v>78</v>
      </c>
      <c r="B581" s="106" t="str">
        <f>"B78_Assessment"</f>
        <v>B78_Assessment</v>
      </c>
      <c r="C581" s="106" t="str">
        <f>B78_Assessment!$A$14</f>
        <v>78/78A</v>
      </c>
      <c r="D581" s="142" t="str">
        <f>B78_Assessment!$B$14</f>
        <v>342</v>
      </c>
      <c r="E581" s="142" t="str">
        <f>B78_Assessment!$C$14</f>
        <v>Third</v>
      </c>
      <c r="F581" s="106" t="str">
        <f>B78_Assessment!$D$14</f>
        <v>Third-level telecom room / existing rack transfer</v>
      </c>
      <c r="G581" s="106" t="str">
        <f>B78_Assessment!$E$14</f>
        <v>Telecom Room</v>
      </c>
      <c r="H581" s="106">
        <f>B78_Assessment!$F$14</f>
        <v>2</v>
      </c>
      <c r="I581" s="106">
        <f>B78_Assessment!$G$14</f>
        <v>1</v>
      </c>
      <c r="J581" s="106" t="str">
        <f>B78_Assessment!$H$14</f>
        <v>Verify</v>
      </c>
      <c r="K581" s="106" t="str">
        <f>B78_Assessment!$I$14</f>
        <v>78_78AA-402 / 78_78AE-403 / 78_78AT-103 / 78_78AT-607 / 78_78AT-704</v>
      </c>
      <c r="L581" s="106" t="str">
        <f>B78_Assessment!$J$14</f>
        <v>Third-level TR. Schedule identifies RM 342 with 158 WAO total, 163 active ports, 289 scheduled ports, 318 total ports with 10% allowance. Rack IDs include TR01-342-1 and TR01-342-2.</v>
      </c>
    </row>
    <row r="582" spans="1:12" ht="40.65" customHeight="1">
      <c r="A582" s="106">
        <f>B78_Assessment!$B$2</f>
        <v>78</v>
      </c>
      <c r="B582" s="106" t="str">
        <f>"B78_Assessment"</f>
        <v>B78_Assessment</v>
      </c>
      <c r="C582" s="106" t="str">
        <f>B78_Assessment!$A$15</f>
        <v>78/78A</v>
      </c>
      <c r="D582" s="142" t="str">
        <f>B78_Assessment!$B$15</f>
        <v>401</v>
      </c>
      <c r="E582" s="142" t="str">
        <f>B78_Assessment!$C$15</f>
        <v>Fourth</v>
      </c>
      <c r="F582" s="106" t="str">
        <f>B78_Assessment!$D$15</f>
        <v>Fourth-level telecom room / existing rack transfer</v>
      </c>
      <c r="G582" s="106" t="str">
        <f>B78_Assessment!$E$15</f>
        <v>Telecom Room</v>
      </c>
      <c r="H582" s="106">
        <f>B78_Assessment!$F$15</f>
        <v>1</v>
      </c>
      <c r="I582" s="106">
        <f>B78_Assessment!$G$15</f>
        <v>1</v>
      </c>
      <c r="J582" s="106" t="str">
        <f>B78_Assessment!$H$15</f>
        <v>Verify</v>
      </c>
      <c r="K582" s="106" t="str">
        <f>B78_Assessment!$I$15</f>
        <v>78_78AA-402 / 78_78AE-404 / 78_78AT-104 / 78_78AT-607 / 78_78AT-705</v>
      </c>
      <c r="L582" s="106" t="str">
        <f>B78_Assessment!$J$15</f>
        <v>Fourth-level TR. Schedule identifies RM 401 with 89 WAO total, 65 active ports, 123 scheduled ports, 135 total ports with 10% allowance.</v>
      </c>
    </row>
    <row r="583" spans="1:12" ht="69.900000000000006" customHeight="1">
      <c r="A583" s="106">
        <f>B78_Assessment!$B$2</f>
        <v>78</v>
      </c>
      <c r="B583" s="106" t="str">
        <f>"B78_Assessment"</f>
        <v>B78_Assessment</v>
      </c>
      <c r="C583" s="106" t="str">
        <f>B78_Assessment!$A$16</f>
        <v>78/78A</v>
      </c>
      <c r="D583" s="142" t="str">
        <f>B78_Assessment!$B$16</f>
        <v>15E / 1234 / 353 / 308A / 408A</v>
      </c>
      <c r="E583" s="142" t="str">
        <f>B78_Assessment!$C$16</f>
        <v>Existing levels</v>
      </c>
      <c r="F583" s="106" t="str">
        <f>B78_Assessment!$D$16</f>
        <v>Existing telecom rooms / photo references</v>
      </c>
      <c r="G583" s="106" t="str">
        <f>B78_Assessment!$E$16</f>
        <v>Existing telecom transition points</v>
      </c>
      <c r="H583" s="106">
        <f>B78_Assessment!$F$16</f>
        <v>5</v>
      </c>
      <c r="I583" s="106">
        <f>B78_Assessment!$G$16</f>
        <v>0</v>
      </c>
      <c r="J583" s="106" t="str">
        <f>B78_Assessment!$H$16</f>
        <v>Verify</v>
      </c>
      <c r="K583" s="106" t="str">
        <f>B78_Assessment!$I$16</f>
        <v>78_78AR-900 / 901 / 902 / 903</v>
      </c>
      <c r="L583" s="106" t="str">
        <f>B78_Assessment!$J$16</f>
        <v>Photo references identify existing telecom rooms: basement 15E, first-level 1234, second-level 1234, third-level 353, fourth-level 308A and 408A. Protect active equipment and verify transfer/abandonment scope.</v>
      </c>
    </row>
    <row r="584" spans="1:12" ht="75.599999999999994" customHeight="1">
      <c r="A584" s="106" t="str">
        <f>B80_Assessment!$B$2</f>
        <v>80</v>
      </c>
      <c r="B584" s="106" t="str">
        <f>"B80_Assessment"</f>
        <v>B80_Assessment</v>
      </c>
      <c r="C584" s="106" t="str">
        <f>B80_Assessment!$A$10</f>
        <v>80</v>
      </c>
      <c r="D584" s="142" t="str">
        <f>B80_Assessment!$B$10</f>
        <v>102</v>
      </c>
      <c r="E584" s="142" t="str">
        <f>B80_Assessment!$C$10</f>
        <v>First</v>
      </c>
      <c r="F584" s="106" t="str">
        <f>B80_Assessment!$D$10</f>
        <v>Telecom Room / new TR build area</v>
      </c>
      <c r="G584" s="106" t="str">
        <f>B80_Assessment!$E$10</f>
        <v>Telecom Room</v>
      </c>
      <c r="H584" s="106">
        <f>B80_Assessment!$F$10</f>
        <v>1</v>
      </c>
      <c r="I584" s="106">
        <f>B80_Assessment!$G$10</f>
        <v>1</v>
      </c>
      <c r="J584" s="106" t="str">
        <f>B80_Assessment!$H$10</f>
        <v>Verify</v>
      </c>
      <c r="K584" s="106" t="str">
        <f>B80_Assessment!$I$10</f>
        <v>80A-401 / 80E-101 / 80E-401 / 80T-101 / 80T-604 / 80T-701</v>
      </c>
      <c r="L584" s="106" t="str">
        <f>B80_Assessment!$J$10</f>
        <v>Primary Building 80 TR. Plans identify Telecom Room 102 at 140 SF, new Rack ID TR01-102-1 plus future rack, panels B80-TR102A/B, 5kW 208V UPS/PDU rack power, IU-1-01/CU-1-01 dedicated cooling, camera 102-CAM-1, and 215 total ports with 10% allowance.</v>
      </c>
    </row>
    <row r="585" spans="1:12" ht="116.7" customHeight="1">
      <c r="A585" s="106" t="str">
        <f>B80_Assessment!$B$2</f>
        <v>80</v>
      </c>
      <c r="B585" s="106" t="str">
        <f>"B80_Assessment"</f>
        <v>B80_Assessment</v>
      </c>
      <c r="C585" s="106" t="str">
        <f>B80_Assessment!$A$11</f>
        <v>80</v>
      </c>
      <c r="D585" s="142" t="str">
        <f>B80_Assessment!$B$11</f>
        <v>127A / 126</v>
      </c>
      <c r="E585" s="142" t="str">
        <f>B80_Assessment!$C$11</f>
        <v>First</v>
      </c>
      <c r="F585" s="106" t="str">
        <f>B80_Assessment!$D$11</f>
        <v>Existing Tel Closet / existing telecom room photo reference</v>
      </c>
      <c r="G585" s="106" t="str">
        <f>B80_Assessment!$E$11</f>
        <v>Existing telecom transition point</v>
      </c>
      <c r="H585" s="106">
        <f>B80_Assessment!$F$11</f>
        <v>1</v>
      </c>
      <c r="I585" s="106">
        <f>B80_Assessment!$G$11</f>
        <v>0</v>
      </c>
      <c r="J585" s="106" t="str">
        <f>B80_Assessment!$H$11</f>
        <v>Verify</v>
      </c>
      <c r="K585" s="106" t="str">
        <f>B80_Assessment!$I$11</f>
        <v>80T-101 / 80T-604 / 80R-900</v>
      </c>
      <c r="L585" s="106" t="str">
        <f>B80_Assessment!$J$11</f>
        <v>Existing Tel Closet 127A shown at 9 SF with existing plywood backboard, ground bar, patch panel, equipment box and two-post TR. Rack elevation/photo reference identify existing room 126/127-A with existing wall/wall-mount TE, Cisco switches, legacy optical Fiber LIU, multiple legacy Ortronics patch panels, Cat5e patch panel and APC floor UPS. Verify room-number mapping and active services.</v>
      </c>
    </row>
    <row r="586" spans="1:12" ht="75.599999999999994" customHeight="1">
      <c r="A586" s="106" t="str">
        <f>B82_Assessment!$B$2</f>
        <v>82</v>
      </c>
      <c r="B586" s="106" t="str">
        <f t="shared" ref="B586:B593" si="56">"B82_Assessment"</f>
        <v>B82_Assessment</v>
      </c>
      <c r="C586" s="106" t="str">
        <f>B82_Assessment!$A$10</f>
        <v>82</v>
      </c>
      <c r="D586" s="142" t="str">
        <f>B82_Assessment!$B$10</f>
        <v>102</v>
      </c>
      <c r="E586" s="142" t="str">
        <f>B82_Assessment!$C$10</f>
        <v>First</v>
      </c>
      <c r="F586" s="106" t="str">
        <f>B82_Assessment!$D$10</f>
        <v>Telecom Room / new TE location</v>
      </c>
      <c r="G586" s="106" t="str">
        <f>B82_Assessment!$E$10</f>
        <v>Telecom Enclosure</v>
      </c>
      <c r="H586" s="106">
        <f>B82_Assessment!$F$10</f>
        <v>1</v>
      </c>
      <c r="I586" s="106">
        <f>B82_Assessment!$G$10</f>
        <v>0</v>
      </c>
      <c r="J586" s="106" t="str">
        <f>B82_Assessment!$H$10</f>
        <v>Verify</v>
      </c>
      <c r="K586" s="106" t="str">
        <f>B82_Assessment!$I$10</f>
        <v>82A-401 / 82M-101 / 82E-101 / 82T-101 / 82T-604 / 82T-701</v>
      </c>
      <c r="L586" s="106" t="str">
        <f>B82_Assessment!$J$10</f>
        <v>Primary Building 82 TE. Plans identify Telecom Room 102 at 86 SF with new 12RU telecom enclosure, Rack ID TR01-102-01, APC UPS, two PDUs, network switch, 48-port Cat6A patch panel, Fiber LIU, IU-1-01/CU-1-01 cooling, and 40 total ports with 10% allowance.</v>
      </c>
    </row>
    <row r="587" spans="1:12" ht="69.900000000000006" customHeight="1">
      <c r="A587" s="106" t="str">
        <f>B82_Assessment!$B$2</f>
        <v>82</v>
      </c>
      <c r="B587" s="106" t="str">
        <f t="shared" si="56"/>
        <v>B82_Assessment</v>
      </c>
      <c r="C587" s="106" t="str">
        <f>B82_Assessment!$A$11</f>
        <v>82</v>
      </c>
      <c r="D587" s="142" t="str">
        <f>B82_Assessment!$B$11</f>
        <v>B01-A</v>
      </c>
      <c r="E587" s="142" t="str">
        <f>B82_Assessment!$C$11</f>
        <v>First</v>
      </c>
      <c r="F587" s="106" t="str">
        <f>B82_Assessment!$D$11</f>
        <v>Existing telecom room / wall rack and patch panels</v>
      </c>
      <c r="G587" s="106" t="str">
        <f>B82_Assessment!$E$11</f>
        <v>Existing telecom transition point</v>
      </c>
      <c r="H587" s="106">
        <f>B82_Assessment!$F$11</f>
        <v>1</v>
      </c>
      <c r="I587" s="106">
        <f>B82_Assessment!$G$11</f>
        <v>0</v>
      </c>
      <c r="J587" s="106" t="str">
        <f>B82_Assessment!$H$11</f>
        <v>Verify</v>
      </c>
      <c r="K587" s="106" t="str">
        <f>B82_Assessment!$I$11</f>
        <v>82T-101 / 82T-604 / 82R-900</v>
      </c>
      <c r="L587" s="106" t="str">
        <f>B82_Assessment!$J$11</f>
        <v>Existing first-level telecom room B01-A shown with existing wall rack, Cisco switches, cable management, Ortronics 24-port patch panels, APC floor UPS, and photo reference. Protect active services and verify transfer to Room 102 TE.</v>
      </c>
    </row>
    <row r="588" spans="1:12" ht="75.599999999999994" customHeight="1">
      <c r="A588" s="106" t="str">
        <f>BCH_Assessment!$B$2</f>
        <v>BCH</v>
      </c>
      <c r="B588" s="106" t="str">
        <f t="shared" si="56"/>
        <v>B82_Assessment</v>
      </c>
      <c r="C588" s="106" t="str">
        <f>BCH_Assessment!$A$10</f>
        <v>BCH</v>
      </c>
      <c r="D588" s="142" t="str">
        <f>BCH_Assessment!$B$10</f>
        <v>107</v>
      </c>
      <c r="E588" s="142" t="str">
        <f>BCH_Assessment!$C$10</f>
        <v>First</v>
      </c>
      <c r="F588" s="106" t="str">
        <f>BCH_Assessment!$D$10</f>
        <v>Existing Crescent House room area / telecom work area</v>
      </c>
      <c r="G588" s="106" t="str">
        <f>BCH_Assessment!$E$10</f>
        <v>Telecom Enclosure / Telecom Room</v>
      </c>
      <c r="H588" s="106">
        <f>BCH_Assessment!$F$10</f>
        <v>1</v>
      </c>
      <c r="I588" s="106">
        <f>BCH_Assessment!$G$10</f>
        <v>0</v>
      </c>
      <c r="J588" s="106" t="str">
        <f>BCH_Assessment!$H$10</f>
        <v>Verify</v>
      </c>
      <c r="K588" s="106" t="str">
        <f>BCH_Assessment!$I$10</f>
        <v>BCHGA-401 / BCHE-101 / BCHT-101 / BCHT-604</v>
      </c>
      <c r="L588" s="106" t="str">
        <f>BCH_Assessment!$J$10</f>
        <v>Primary BCH telecom location. Architectural/electrical/telecom plans reference first-level Room 107. BCHT-101 enlarged plan identifies RM 107 new telecom work. BCHT-604 shows BCH Crescent House Room 107 as new telecom room / no existing elevations.</v>
      </c>
    </row>
    <row r="589" spans="1:12" ht="81.45" customHeight="1">
      <c r="A589" s="106" t="str">
        <f>BCH_Assessment!$B$2</f>
        <v>BCH</v>
      </c>
      <c r="B589" s="106" t="str">
        <f t="shared" si="56"/>
        <v>B82_Assessment</v>
      </c>
      <c r="C589" s="106" t="str">
        <f>BCH_Assessment!$A$11</f>
        <v>BCH</v>
      </c>
      <c r="D589" s="142" t="str">
        <f>BCH_Assessment!$B$11</f>
        <v>00 / 107</v>
      </c>
      <c r="E589" s="142" t="str">
        <f>BCH_Assessment!$C$11</f>
        <v>First</v>
      </c>
      <c r="F589" s="106" t="str">
        <f>BCH_Assessment!$D$11</f>
        <v>Rack/elevation reference location</v>
      </c>
      <c r="G589" s="106" t="str">
        <f>BCH_Assessment!$E$11</f>
        <v>Telecom Enclosure</v>
      </c>
      <c r="H589" s="106">
        <f>BCH_Assessment!$F$11</f>
        <v>1</v>
      </c>
      <c r="I589" s="106">
        <f>BCH_Assessment!$G$11</f>
        <v>0</v>
      </c>
      <c r="J589" s="106" t="str">
        <f>BCH_Assessment!$H$11</f>
        <v>Verify</v>
      </c>
      <c r="K589" s="106" t="str">
        <f>BCH_Assessment!$I$11</f>
        <v>BCHT-604</v>
      </c>
      <c r="L589" s="106" t="str">
        <f>BCH_Assessment!$J$11</f>
        <v>Rack elevation shows 12RU telecom enclosure with APC UPS, two PDUs, network switch, 48-port Cat6A patch panel, Fiber LIU, and first-level mounting. Also includes separate BCH Crescent House Room 107 / new telecom room elevation; field confirm correct configuration.</v>
      </c>
    </row>
    <row r="590" spans="1:12" ht="75.599999999999994" customHeight="1">
      <c r="A590" s="106" t="str">
        <f>MCR_Assessment!$B$2</f>
        <v>MCR</v>
      </c>
      <c r="B590" s="106" t="str">
        <f t="shared" si="56"/>
        <v>B82_Assessment</v>
      </c>
      <c r="C590" s="106" t="str">
        <f>MCR_Assessment!$A$10</f>
        <v>MCR</v>
      </c>
      <c r="D590" s="142" t="str">
        <f>MCR_Assessment!$B$10</f>
        <v>107 / MCR</v>
      </c>
      <c r="E590" s="142" t="str">
        <f>MCR_Assessment!$C$10</f>
        <v>Ground</v>
      </c>
      <c r="F590" s="106" t="str">
        <f>MCR_Assessment!$D$10</f>
        <v>New Main Computer Room / MCR building</v>
      </c>
      <c r="G590" s="106" t="str">
        <f>MCR_Assessment!$E$10</f>
        <v>Main Computer Room</v>
      </c>
      <c r="H590" s="106">
        <f>MCR_Assessment!$F$10</f>
        <v>12</v>
      </c>
      <c r="I590" s="106">
        <f>MCR_Assessment!$G$10</f>
        <v>0</v>
      </c>
      <c r="J590" s="106" t="str">
        <f>MCR_Assessment!$H$10</f>
        <v>Verify</v>
      </c>
      <c r="K590" s="106" t="str">
        <f>MCR_Assessment!$I$10</f>
        <v>MCRA-101 / MCRT-100 / MCRT-101 / MCRT-401 / MCRT-607-609 / MCRT-701</v>
      </c>
      <c r="L590" s="106" t="str">
        <f>MCR_Assessment!$J$10</f>
        <v>Primary new MCR space. Telecom plans show MDA-A1/A2/A3, MDA-B1/B2/B3, HDA-A, HDA-B, UPS-A and UPS-B. Rack elevations identify MDA A/B racks, HDA A/B server cabinets, existing server cabinet transfer references, 10 WAO total and 359 ft cable tray.</v>
      </c>
    </row>
    <row r="591" spans="1:12" ht="64.2" customHeight="1">
      <c r="A591" s="106" t="str">
        <f>MCR_Assessment!$B$2</f>
        <v>MCR</v>
      </c>
      <c r="B591" s="106" t="str">
        <f t="shared" si="56"/>
        <v>B82_Assessment</v>
      </c>
      <c r="C591" s="106" t="str">
        <f>MCR_Assessment!$A$11</f>
        <v>MCR</v>
      </c>
      <c r="D591" s="142" t="str">
        <f>MCR_Assessment!$B$11</f>
        <v>031 / Fiber Entrance Room 1</v>
      </c>
      <c r="E591" s="142" t="str">
        <f>MCR_Assessment!$C$11</f>
        <v>Ground</v>
      </c>
      <c r="F591" s="106" t="str">
        <f>MCR_Assessment!$D$11</f>
        <v>Fiber entrance / telecom pathway space</v>
      </c>
      <c r="G591" s="106" t="str">
        <f>MCR_Assessment!$E$11</f>
        <v>Fiber Entrance / support room</v>
      </c>
      <c r="H591" s="106">
        <f>MCR_Assessment!$F$11</f>
        <v>1</v>
      </c>
      <c r="I591" s="106">
        <f>MCR_Assessment!$G$11</f>
        <v>0</v>
      </c>
      <c r="J591" s="106" t="str">
        <f>MCR_Assessment!$H$11</f>
        <v>Verify</v>
      </c>
      <c r="K591" s="106" t="str">
        <f>MCR_Assessment!$I$11</f>
        <v>MCRT-401 / MCRT-701</v>
      </c>
      <c r="L591" s="106" t="str">
        <f>MCR_Assessment!$J$11</f>
        <v>MCRT-701 schedule is titled Data Device and Circuit Schedule - Fiber Entrance Room 1 and identifies Rack ID TR01-031-1, four data outlets 31-A/B/C/D and security camera/data devices 07-CAM-03/04/07/08/11.</v>
      </c>
    </row>
    <row r="592" spans="1:12" ht="58.35" customHeight="1">
      <c r="A592" s="106" t="str">
        <f>MCR_Assessment!$B$2</f>
        <v>MCR</v>
      </c>
      <c r="B592" s="106" t="str">
        <f t="shared" si="56"/>
        <v>B82_Assessment</v>
      </c>
      <c r="C592" s="106" t="str">
        <f>MCR_Assessment!$A$12</f>
        <v>MCR</v>
      </c>
      <c r="D592" s="142" t="str">
        <f>MCR_Assessment!$B$12</f>
        <v>MDA-A1/A2/A3</v>
      </c>
      <c r="E592" s="142" t="str">
        <f>MCR_Assessment!$C$12</f>
        <v>Ground</v>
      </c>
      <c r="F592" s="106" t="str">
        <f>MCR_Assessment!$D$12</f>
        <v>New MDA row A</v>
      </c>
      <c r="G592" s="106" t="str">
        <f>MCR_Assessment!$E$12</f>
        <v>Main Distribution Area A</v>
      </c>
      <c r="H592" s="106">
        <f>MCR_Assessment!$F$12</f>
        <v>3</v>
      </c>
      <c r="I592" s="106">
        <f>MCR_Assessment!$G$12</f>
        <v>0</v>
      </c>
      <c r="J592" s="106" t="str">
        <f>MCR_Assessment!$H$12</f>
        <v>Verify</v>
      </c>
      <c r="K592" s="106" t="str">
        <f>MCR_Assessment!$I$12</f>
        <v>MCRT-607</v>
      </c>
      <c r="L592" s="106" t="str">
        <f>MCR_Assessment!$J$12</f>
        <v>New MDA A racks: MDA-A-1, MDA-A-2, MDA-A-3. MDA A-2 includes 1RU LIU for hybrid FOC to HDA and 48x Cat6A to HDA. MDA A-1/A-3 reserved for LAN elements/leaf/access or spine/aggregation.</v>
      </c>
    </row>
    <row r="593" spans="1:12" ht="52.2" customHeight="1">
      <c r="A593" s="106" t="str">
        <f>MCR_Assessment!$B$2</f>
        <v>MCR</v>
      </c>
      <c r="B593" s="106" t="str">
        <f t="shared" si="56"/>
        <v>B82_Assessment</v>
      </c>
      <c r="C593" s="106" t="str">
        <f>MCR_Assessment!$A$13</f>
        <v>MCR</v>
      </c>
      <c r="D593" s="142" t="str">
        <f>MCR_Assessment!$B$13</f>
        <v>MDA-B1/B2/B3</v>
      </c>
      <c r="E593" s="142" t="str">
        <f>MCR_Assessment!$C$13</f>
        <v>Ground</v>
      </c>
      <c r="F593" s="106" t="str">
        <f>MCR_Assessment!$D$13</f>
        <v>New MDA row B</v>
      </c>
      <c r="G593" s="106" t="str">
        <f>MCR_Assessment!$E$13</f>
        <v>Main Distribution Area B</v>
      </c>
      <c r="H593" s="106">
        <f>MCR_Assessment!$F$13</f>
        <v>3</v>
      </c>
      <c r="I593" s="106">
        <f>MCR_Assessment!$G$13</f>
        <v>0</v>
      </c>
      <c r="J593" s="106" t="str">
        <f>MCR_Assessment!$H$13</f>
        <v>Verify</v>
      </c>
      <c r="K593" s="106" t="str">
        <f>MCR_Assessment!$I$13</f>
        <v>MCRT-607</v>
      </c>
      <c r="L593" s="106" t="str">
        <f>MCR_Assessment!$J$13</f>
        <v>New MDA B racks: MDA-B-1, MDA-B-2, MDA-B-3. MDA B-2 includes 1RU LIU for hybrid FOC to HDA and 48x Cat6A to HDA. Supports redundant B-side backbone/distribution.</v>
      </c>
    </row>
    <row r="594" spans="1:12" ht="64.2" customHeight="1">
      <c r="A594" s="106" t="str">
        <f>MCR_Assessment!$B$2</f>
        <v>MCR</v>
      </c>
      <c r="B594" s="106" t="str">
        <f>"MCR_Assessment"</f>
        <v>MCR_Assessment</v>
      </c>
      <c r="C594" s="106" t="str">
        <f>MCR_Assessment!$A$14</f>
        <v>MCR</v>
      </c>
      <c r="D594" s="106" t="str">
        <f>MCR_Assessment!$B$14</f>
        <v>HDA-A</v>
      </c>
      <c r="E594" s="106" t="str">
        <f>MCR_Assessment!$C$14</f>
        <v>Ground</v>
      </c>
      <c r="F594" s="106" t="str">
        <f>MCR_Assessment!$D$14</f>
        <v>New HDA A row</v>
      </c>
      <c r="G594" s="106" t="str">
        <f>MCR_Assessment!$E$14</f>
        <v>Horizontal Distribution Area A</v>
      </c>
      <c r="H594" s="106">
        <f>MCR_Assessment!$F$14</f>
        <v>1</v>
      </c>
      <c r="I594" s="106">
        <f>MCR_Assessment!$G$14</f>
        <v>0</v>
      </c>
      <c r="J594" s="106" t="str">
        <f>MCR_Assessment!$H$14</f>
        <v>Verify</v>
      </c>
      <c r="K594" s="106" t="str">
        <f>MCR_Assessment!$I$14</f>
        <v>MCRT-608</v>
      </c>
      <c r="L594" s="106" t="str">
        <f>MCR_Assessment!$J$14</f>
        <v>HDA A-1 new server cabinet front/rear elevation, 48-port Cat6A patch panels, HD fiber LIUs, HD Cat6A patch panel to MDA-A2, and backbone side A/B LIU. Also includes existing B61 server cabinet transfer references.</v>
      </c>
    </row>
    <row r="595" spans="1:12" ht="58.35" customHeight="1">
      <c r="A595" s="106" t="str">
        <f>MCR_Assessment!$B$2</f>
        <v>MCR</v>
      </c>
      <c r="B595" s="106" t="str">
        <f>"MCR_Assessment"</f>
        <v>MCR_Assessment</v>
      </c>
      <c r="C595" s="106" t="str">
        <f>MCR_Assessment!$A$15</f>
        <v>MCR</v>
      </c>
      <c r="D595" s="106" t="str">
        <f>MCR_Assessment!$B$15</f>
        <v>HDA-B</v>
      </c>
      <c r="E595" s="106" t="str">
        <f>MCR_Assessment!$C$15</f>
        <v>Ground</v>
      </c>
      <c r="F595" s="106" t="str">
        <f>MCR_Assessment!$D$15</f>
        <v>New HDA B row</v>
      </c>
      <c r="G595" s="106" t="str">
        <f>MCR_Assessment!$E$15</f>
        <v>Horizontal Distribution Area B</v>
      </c>
      <c r="H595" s="106">
        <f>MCR_Assessment!$F$15</f>
        <v>1</v>
      </c>
      <c r="I595" s="106">
        <f>MCR_Assessment!$G$15</f>
        <v>0</v>
      </c>
      <c r="J595" s="106" t="str">
        <f>MCR_Assessment!$H$15</f>
        <v>Verify</v>
      </c>
      <c r="K595" s="106" t="str">
        <f>MCR_Assessment!$I$15</f>
        <v>MCRT-609</v>
      </c>
      <c r="L595" s="106" t="str">
        <f>MCR_Assessment!$J$15</f>
        <v>HDA B-1 new server cabinet front/rear elevation, 48-port Cat6A patch panels, HD fiber LIUs, HD Cat6A patch panel to MDA-B2, and duplicate existing B61 server cabinet transfer references.</v>
      </c>
    </row>
    <row r="596" spans="1:12" ht="87.6" customHeight="1">
      <c r="A596" s="106" t="str">
        <f>MCR_Assessment!$B$2</f>
        <v>MCR</v>
      </c>
      <c r="B596" s="106" t="str">
        <f>"MCR_Assessment"</f>
        <v>MCR_Assessment</v>
      </c>
      <c r="C596" s="106" t="str">
        <f>MCR_Assessment!$A$16</f>
        <v>MCR</v>
      </c>
      <c r="D596" s="106" t="str">
        <f>MCR_Assessment!$B$16</f>
        <v>Existing 107 / 137 Server MCR</v>
      </c>
      <c r="E596" s="106" t="str">
        <f>MCR_Assessment!$C$16</f>
        <v>Existing / transition</v>
      </c>
      <c r="F596" s="106" t="str">
        <f>MCR_Assessment!$D$16</f>
        <v>Existing MCR/server/core equipment</v>
      </c>
      <c r="G596" s="106" t="str">
        <f>MCR_Assessment!$E$16</f>
        <v>Existing equipment transition point</v>
      </c>
      <c r="H596" s="106">
        <f>MCR_Assessment!$F$16</f>
        <v>20</v>
      </c>
      <c r="I596" s="106">
        <f>MCR_Assessment!$G$16</f>
        <v>0</v>
      </c>
      <c r="J596" s="106" t="str">
        <f>MCR_Assessment!$H$16</f>
        <v>Verify</v>
      </c>
      <c r="K596" s="106" t="str">
        <f>MCR_Assessment!$I$16</f>
        <v>MCRT-604 / MCRT-605 / MCRT-606 / MCRT-608 / MCRT-609</v>
      </c>
      <c r="L596" s="106" t="str">
        <f>MCR_Assessment!$J$16</f>
        <v>Existing MCR elevations include Rows 1-3 and existing server cabinet B61 equipment, Cisco core, WAN aggregation, NetScout, Canoga Perkins, Cisco switches, legacy Ortronics patch panels, LIUs, APC/Chatsworth/HP PDUs and UPS equipment. Protect and phase transfer.</v>
      </c>
    </row>
    <row r="597" spans="1:12" ht="7.35" customHeight="1">
      <c r="A597" s="19"/>
      <c r="D597" s="144"/>
      <c r="E597" s="144"/>
      <c r="F597" s="19"/>
      <c r="G597" s="19"/>
      <c r="H597" s="19"/>
      <c r="I597" s="19"/>
      <c r="J597" s="19"/>
      <c r="K597" s="19"/>
      <c r="L597" s="19"/>
    </row>
    <row r="598" spans="1:12" ht="7.35" customHeight="1">
      <c r="A598" s="146"/>
      <c r="B598" s="146"/>
      <c r="C598" s="146"/>
      <c r="D598" s="147"/>
      <c r="E598" s="147"/>
      <c r="F598" s="146"/>
      <c r="G598" s="146"/>
      <c r="H598" s="146"/>
      <c r="I598" s="146"/>
      <c r="J598" s="146"/>
      <c r="K598" s="146"/>
      <c r="L598" s="146"/>
    </row>
    <row r="599" spans="1:12" ht="7.35" customHeight="1">
      <c r="A599" s="106"/>
      <c r="B599" s="106" t="str">
        <f t="shared" ref="B599:B614" si="57">"B01_Assessment"</f>
        <v>B01_Assessment</v>
      </c>
      <c r="C599" s="106"/>
      <c r="D599" s="142"/>
      <c r="E599" s="142"/>
      <c r="F599" s="106"/>
      <c r="G599" s="106"/>
      <c r="H599" s="106"/>
      <c r="I599" s="106"/>
      <c r="J599" s="106"/>
      <c r="K599" s="106"/>
      <c r="L599" s="106"/>
    </row>
    <row r="600" spans="1:12" ht="63.45" customHeight="1">
      <c r="A600" s="19" t="s">
        <v>890</v>
      </c>
      <c r="B600" s="19" t="str">
        <f t="shared" si="57"/>
        <v>B01_Assessment</v>
      </c>
      <c r="C600" s="19"/>
      <c r="D600" s="144"/>
      <c r="E600" s="144"/>
      <c r="F600" s="19"/>
      <c r="G600" s="19"/>
      <c r="H600" s="19"/>
      <c r="I600" s="19"/>
      <c r="J600" s="19"/>
      <c r="K600" s="19"/>
      <c r="L600" s="19"/>
    </row>
    <row r="601" spans="1:12" ht="7.35" customHeight="1">
      <c r="A601" s="146" t="s">
        <v>142</v>
      </c>
      <c r="B601" s="146" t="str">
        <f t="shared" si="57"/>
        <v>B01_Assessment</v>
      </c>
      <c r="C601" s="146" t="s">
        <v>291</v>
      </c>
      <c r="D601" s="147" t="s">
        <v>275</v>
      </c>
      <c r="E601" s="147" t="s">
        <v>493</v>
      </c>
      <c r="F601" s="146" t="s">
        <v>214</v>
      </c>
      <c r="G601" s="146" t="s">
        <v>263</v>
      </c>
      <c r="H601" s="146" t="s">
        <v>891</v>
      </c>
      <c r="I601" s="146" t="s">
        <v>892</v>
      </c>
      <c r="J601" s="146" t="s">
        <v>893</v>
      </c>
      <c r="K601" s="146" t="s">
        <v>77</v>
      </c>
      <c r="L601" s="146" t="s">
        <v>11</v>
      </c>
    </row>
    <row r="602" spans="1:12" ht="34.950000000000003" customHeight="1">
      <c r="A602" s="106" t="str">
        <f>B01_Assessment!$B$2</f>
        <v>01</v>
      </c>
      <c r="B602" s="106" t="str">
        <f t="shared" si="57"/>
        <v>B01_Assessment</v>
      </c>
      <c r="C602" s="106" t="str">
        <f>B01_Assessment!$A$81</f>
        <v>B01-P001</v>
      </c>
      <c r="D602" s="142" t="str">
        <f>B01_Assessment!$B$81</f>
        <v>107</v>
      </c>
      <c r="E602" s="142" t="str">
        <f>B01_Assessment!$C$81</f>
        <v>Existing / New Condition</v>
      </c>
      <c r="F602" s="106" t="str">
        <f>B01_Assessment!$D$81</f>
        <v>Room 107 walls, ceiling/deck, floor, door, rack/future rack, power, HVAC, fiber path A/B, cable tray and penetrations</v>
      </c>
      <c r="G602" s="106">
        <f>B01_Assessment!$E$81</f>
        <v>0</v>
      </c>
      <c r="H602" s="106" t="str">
        <f>B01_Assessment!$F$81</f>
        <v>Paul</v>
      </c>
      <c r="I602" s="106">
        <f>B01_Assessment!$G$81</f>
        <v>0</v>
      </c>
      <c r="J602" s="106" t="str">
        <f>B01_Assessment!$H$81</f>
        <v>B01-R1/B01-R3</v>
      </c>
      <c r="K602" s="106" t="str">
        <f>B01_Assessment!$I$81</f>
        <v>Closed</v>
      </c>
      <c r="L602" s="106">
        <f>B01_Assessment!$J$81</f>
        <v>0</v>
      </c>
    </row>
    <row r="603" spans="1:12" ht="40.65" customHeight="1">
      <c r="A603" s="106" t="str">
        <f>B01_Assessment!$B$2</f>
        <v>01</v>
      </c>
      <c r="B603" s="106" t="str">
        <f t="shared" si="57"/>
        <v>B01_Assessment</v>
      </c>
      <c r="C603" s="106" t="str">
        <f>B01_Assessment!$A$82</f>
        <v>B01-P002</v>
      </c>
      <c r="D603" s="142" t="str">
        <f>B01_Assessment!$B$82</f>
        <v>B02</v>
      </c>
      <c r="E603" s="142" t="str">
        <f>B01_Assessment!$C$82</f>
        <v>Existing Equipment</v>
      </c>
      <c r="F603" s="106" t="str">
        <f>B01_Assessment!$D$82</f>
        <v>Basement existing telecom room B02 racks, wall TE, Cisco/Nokia/Baseband/IRU/Corning/Ortronics equipment, UPS and cable entries</v>
      </c>
      <c r="G603" s="106">
        <f>B01_Assessment!$E$82</f>
        <v>0</v>
      </c>
      <c r="H603" s="106" t="str">
        <f>B01_Assessment!$F$82</f>
        <v>Paul</v>
      </c>
      <c r="I603" s="106">
        <f>B01_Assessment!$G$82</f>
        <v>0</v>
      </c>
      <c r="J603" s="106" t="str">
        <f>B01_Assessment!$H$82</f>
        <v>B01-R1/B01-R2</v>
      </c>
      <c r="K603" s="106" t="str">
        <f>B01_Assessment!$I$82</f>
        <v>Closed</v>
      </c>
      <c r="L603" s="106">
        <f>B01_Assessment!$J$82</f>
        <v>0</v>
      </c>
    </row>
    <row r="604" spans="1:12" ht="34.950000000000003" customHeight="1">
      <c r="A604" s="106" t="str">
        <f>B01_Assessment!$B$2</f>
        <v>01</v>
      </c>
      <c r="B604" s="106" t="str">
        <f t="shared" si="57"/>
        <v>B01_Assessment</v>
      </c>
      <c r="C604" s="106" t="str">
        <f>B01_Assessment!$A$83</f>
        <v>B01-P003</v>
      </c>
      <c r="D604" s="142" t="str">
        <f>B01_Assessment!$B$83</f>
        <v>138</v>
      </c>
      <c r="E604" s="142" t="str">
        <f>B01_Assessment!$C$83</f>
        <v>Existing Equipment</v>
      </c>
      <c r="F604" s="106" t="str">
        <f>B01_Assessment!$D$83</f>
        <v>First-level existing telecom room 138 racks, patch panels, Cisco, Corning, APC UPS and active service labels</v>
      </c>
      <c r="G604" s="106">
        <f>B01_Assessment!$E$83</f>
        <v>0</v>
      </c>
      <c r="H604" s="106" t="str">
        <f>B01_Assessment!$F$83</f>
        <v>Paul</v>
      </c>
      <c r="I604" s="106">
        <f>B01_Assessment!$G$83</f>
        <v>0</v>
      </c>
      <c r="J604" s="106" t="str">
        <f>B01_Assessment!$H$83</f>
        <v>B01-R2/B01-R6</v>
      </c>
      <c r="K604" s="106" t="str">
        <f>B01_Assessment!$I$83</f>
        <v>Closed</v>
      </c>
      <c r="L604" s="106">
        <f>B01_Assessment!$J$83</f>
        <v>0</v>
      </c>
    </row>
    <row r="605" spans="1:12" ht="40.65" customHeight="1">
      <c r="A605" s="106" t="str">
        <f>B01_Assessment!$B$2</f>
        <v>01</v>
      </c>
      <c r="B605" s="106" t="str">
        <f t="shared" si="57"/>
        <v>B01_Assessment</v>
      </c>
      <c r="C605" s="106" t="str">
        <f>B01_Assessment!$A$84</f>
        <v>B01-P004</v>
      </c>
      <c r="D605" s="142" t="str">
        <f>B01_Assessment!$B$84</f>
        <v>282</v>
      </c>
      <c r="E605" s="142" t="str">
        <f>B01_Assessment!$C$84</f>
        <v>Existing Equipment</v>
      </c>
      <c r="F605" s="106" t="str">
        <f>B01_Assessment!$D$84</f>
        <v>Second-level existing telecom room 282 racks, Cisco switches, Ortronics patch panels, cable managers and active service labels</v>
      </c>
      <c r="G605" s="106">
        <f>B01_Assessment!$E$84</f>
        <v>0</v>
      </c>
      <c r="H605" s="106" t="str">
        <f>B01_Assessment!$F$84</f>
        <v>Paul</v>
      </c>
      <c r="I605" s="106">
        <f>B01_Assessment!$G$84</f>
        <v>0</v>
      </c>
      <c r="J605" s="106" t="str">
        <f>B01_Assessment!$H$84</f>
        <v>B01-R2/B01-R6</v>
      </c>
      <c r="K605" s="106" t="str">
        <f>B01_Assessment!$I$84</f>
        <v>Closed</v>
      </c>
      <c r="L605" s="106">
        <f>B01_Assessment!$J$84</f>
        <v>0</v>
      </c>
    </row>
    <row r="606" spans="1:12" ht="34.950000000000003" customHeight="1">
      <c r="A606" s="106" t="str">
        <f>B01_Assessment!$B$2</f>
        <v>01</v>
      </c>
      <c r="B606" s="106" t="str">
        <f t="shared" si="57"/>
        <v>B01_Assessment</v>
      </c>
      <c r="C606" s="106" t="str">
        <f>B01_Assessment!$A$85</f>
        <v>B01-P005</v>
      </c>
      <c r="D606" s="142" t="str">
        <f>B01_Assessment!$B$85</f>
        <v>107</v>
      </c>
      <c r="E606" s="142" t="str">
        <f>B01_Assessment!$C$85</f>
        <v>HVAC</v>
      </c>
      <c r="F606" s="106" t="str">
        <f>B01_Assessment!$D$85</f>
        <v>IU-1-01/CU-1-01, condensate pump/line, thermostat, BACnet adapter, disconnects, FMS alarm points and power source</v>
      </c>
      <c r="G606" s="106">
        <f>B01_Assessment!$E$85</f>
        <v>0</v>
      </c>
      <c r="H606" s="106" t="str">
        <f>B01_Assessment!$F$85</f>
        <v>Paul</v>
      </c>
      <c r="I606" s="106">
        <f>B01_Assessment!$G$85</f>
        <v>0</v>
      </c>
      <c r="J606" s="106" t="str">
        <f>B01_Assessment!$H$85</f>
        <v>B01-R3</v>
      </c>
      <c r="K606" s="106" t="str">
        <f>B01_Assessment!$I$85</f>
        <v>Closed</v>
      </c>
      <c r="L606" s="106">
        <f>B01_Assessment!$J$85</f>
        <v>0</v>
      </c>
    </row>
    <row r="607" spans="1:12" ht="34.950000000000003" customHeight="1">
      <c r="A607" s="106" t="str">
        <f>B01_Assessment!$B$2</f>
        <v>01</v>
      </c>
      <c r="B607" s="106" t="str">
        <f t="shared" si="57"/>
        <v>B01_Assessment</v>
      </c>
      <c r="C607" s="106" t="str">
        <f>B01_Assessment!$A$86</f>
        <v>B01-P006</v>
      </c>
      <c r="D607" s="142" t="str">
        <f>B01_Assessment!$B$86</f>
        <v>107</v>
      </c>
      <c r="E607" s="142" t="str">
        <f>B01_Assessment!$C$86</f>
        <v>Electrical</v>
      </c>
      <c r="F607" s="106" t="str">
        <f>B01_Assessment!$D$86</f>
        <v>B01-TR107A/B panels, rack receptacles, breakers, SPD, PACS power supply, access controller, lighting, CU-1-01 and labels</v>
      </c>
      <c r="G607" s="106">
        <f>B01_Assessment!$E$86</f>
        <v>0</v>
      </c>
      <c r="H607" s="106" t="str">
        <f>B01_Assessment!$F$86</f>
        <v>Paul</v>
      </c>
      <c r="I607" s="106">
        <f>B01_Assessment!$G$86</f>
        <v>0</v>
      </c>
      <c r="J607" s="106" t="str">
        <f>B01_Assessment!$H$86</f>
        <v>B01-R4/B01-R7</v>
      </c>
      <c r="K607" s="106" t="str">
        <f>B01_Assessment!$I$86</f>
        <v>Closed</v>
      </c>
      <c r="L607" s="106">
        <f>B01_Assessment!$J$86</f>
        <v>0</v>
      </c>
    </row>
    <row r="608" spans="1:12" ht="40.65" customHeight="1">
      <c r="A608" s="106" t="str">
        <f>B01_Assessment!$B$2</f>
        <v>01</v>
      </c>
      <c r="B608" s="106" t="str">
        <f t="shared" si="57"/>
        <v>B01_Assessment</v>
      </c>
      <c r="C608" s="106" t="str">
        <f>B01_Assessment!$A$87</f>
        <v>B01-P007</v>
      </c>
      <c r="D608" s="142" t="str">
        <f>B01_Assessment!$B$87</f>
        <v>All</v>
      </c>
      <c r="E608" s="142" t="str">
        <f>B01_Assessment!$C$87</f>
        <v>Cable Tray / Firestop</v>
      </c>
      <c r="F608" s="106" t="str">
        <f>B01_Assessment!$D$87</f>
        <v>Basement/first/second cable tray route, supports, seismic bracing, 40% fill, penetrations and before/after firestopping</v>
      </c>
      <c r="G608" s="106">
        <f>B01_Assessment!$E$87</f>
        <v>0</v>
      </c>
      <c r="H608" s="106" t="str">
        <f>B01_Assessment!$F$87</f>
        <v>Paul</v>
      </c>
      <c r="I608" s="106">
        <f>B01_Assessment!$G$87</f>
        <v>0</v>
      </c>
      <c r="J608" s="106" t="str">
        <f>B01_Assessment!$H$87</f>
        <v>B01-R5</v>
      </c>
      <c r="K608" s="106" t="str">
        <f>B01_Assessment!$I$87</f>
        <v>Closed</v>
      </c>
      <c r="L608" s="106">
        <f>B01_Assessment!$J$87</f>
        <v>0</v>
      </c>
    </row>
    <row r="609" spans="1:12" ht="34.950000000000003" customHeight="1">
      <c r="A609" s="106" t="str">
        <f>B01_Assessment!$B$2</f>
        <v>01</v>
      </c>
      <c r="B609" s="106" t="str">
        <f t="shared" si="57"/>
        <v>B01_Assessment</v>
      </c>
      <c r="C609" s="106" t="str">
        <f>B01_Assessment!$A$88</f>
        <v>B01-P008</v>
      </c>
      <c r="D609" s="142" t="str">
        <f>B01_Assessment!$B$88</f>
        <v>107 / Existing Rooms</v>
      </c>
      <c r="E609" s="142" t="str">
        <f>B01_Assessment!$C$88</f>
        <v>Telecom / Security</v>
      </c>
      <c r="F609" s="106" t="str">
        <f>B01_Assessment!$D$88</f>
        <v>New rack/future rack, Fiber LIU, Cat6A, patch panels, labels/test records, 107-CAM-1, PACS and existing rack transfer work</v>
      </c>
      <c r="G609" s="106">
        <f>B01_Assessment!$E$88</f>
        <v>0</v>
      </c>
      <c r="H609" s="106" t="str">
        <f>B01_Assessment!$F$88</f>
        <v>Paul</v>
      </c>
      <c r="I609" s="106">
        <f>B01_Assessment!$G$88</f>
        <v>0</v>
      </c>
      <c r="J609" s="106" t="str">
        <f>B01_Assessment!$H$88</f>
        <v>B01-R6/B01-R8</v>
      </c>
      <c r="K609" s="106" t="str">
        <f>B01_Assessment!$I$88</f>
        <v>Closed</v>
      </c>
      <c r="L609" s="106">
        <f>B01_Assessment!$J$88</f>
        <v>0</v>
      </c>
    </row>
    <row r="610" spans="1:12" ht="46.35" customHeight="1">
      <c r="A610" s="106" t="str">
        <f>B02_Assessment!$B$2</f>
        <v>02</v>
      </c>
      <c r="B610" s="106" t="str">
        <f t="shared" si="57"/>
        <v>B01_Assessment</v>
      </c>
      <c r="C610" s="106" t="str">
        <f>B02_Assessment!$A$82</f>
        <v>B02-P001</v>
      </c>
      <c r="D610" s="142" t="str">
        <f>B02_Assessment!$B$82</f>
        <v>141</v>
      </c>
      <c r="E610" s="142" t="str">
        <f>B02_Assessment!$C$82</f>
        <v>Existing / New Condition</v>
      </c>
      <c r="F610" s="106" t="str">
        <f>B02_Assessment!$D$82</f>
        <v>Room 141 walls, ceiling/deck, floor, door, racks/future rack, panels, HVAC, cable tray, 174-CAM-01, penetrations and demo/relocation conditions</v>
      </c>
      <c r="G610" s="106">
        <f>B02_Assessment!$E$82</f>
        <v>0</v>
      </c>
      <c r="H610" s="106" t="str">
        <f>B02_Assessment!$F$82</f>
        <v>Paul</v>
      </c>
      <c r="I610" s="106">
        <f>B02_Assessment!$G$82</f>
        <v>0</v>
      </c>
      <c r="J610" s="106" t="str">
        <f>B02_Assessment!$H$82</f>
        <v>B02-R1/B02-R3</v>
      </c>
      <c r="K610" s="106" t="str">
        <f>B02_Assessment!$I$82</f>
        <v>Closed</v>
      </c>
      <c r="L610" s="106">
        <f>B02_Assessment!$J$82</f>
        <v>0</v>
      </c>
    </row>
    <row r="611" spans="1:12" ht="46.35" customHeight="1">
      <c r="A611" s="106" t="str">
        <f>B02_Assessment!$B$2</f>
        <v>02</v>
      </c>
      <c r="B611" s="106" t="str">
        <f t="shared" si="57"/>
        <v>B01_Assessment</v>
      </c>
      <c r="C611" s="106" t="str">
        <f>B02_Assessment!$A$83</f>
        <v>B02-P002</v>
      </c>
      <c r="D611" s="142" t="str">
        <f>B02_Assessment!$B$83</f>
        <v>236</v>
      </c>
      <c r="E611" s="142" t="str">
        <f>B02_Assessment!$C$83</f>
        <v>Existing / New Condition</v>
      </c>
      <c r="F611" s="106" t="str">
        <f>B02_Assessment!$D$83</f>
        <v>Room 236 walls, ceiling/deck, floor, door, racks/future rack, panels, HVAC, cable tray, 236-CAM-01, penetrations and existing transfer conditions</v>
      </c>
      <c r="G611" s="106">
        <f>B02_Assessment!$E$83</f>
        <v>0</v>
      </c>
      <c r="H611" s="106" t="str">
        <f>B02_Assessment!$F$83</f>
        <v>Paul</v>
      </c>
      <c r="I611" s="106">
        <f>B02_Assessment!$G$83</f>
        <v>0</v>
      </c>
      <c r="J611" s="106" t="str">
        <f>B02_Assessment!$H$83</f>
        <v>B02-R1/B02-R6</v>
      </c>
      <c r="K611" s="106" t="str">
        <f>B02_Assessment!$I$83</f>
        <v>Closed</v>
      </c>
      <c r="L611" s="106">
        <f>B02_Assessment!$J$83</f>
        <v>0</v>
      </c>
    </row>
    <row r="612" spans="1:12" ht="40.65" customHeight="1">
      <c r="A612" s="106" t="str">
        <f>B02_Assessment!$B$2</f>
        <v>02</v>
      </c>
      <c r="B612" s="106" t="str">
        <f t="shared" si="57"/>
        <v>B01_Assessment</v>
      </c>
      <c r="C612" s="106" t="str">
        <f>B02_Assessment!$A$84</f>
        <v>B02-P003</v>
      </c>
      <c r="D612" s="142" t="str">
        <f>B02_Assessment!$B$84</f>
        <v>342</v>
      </c>
      <c r="E612" s="142" t="str">
        <f>B02_Assessment!$C$84</f>
        <v>Existing / New Condition</v>
      </c>
      <c r="F612" s="106" t="str">
        <f>B02_Assessment!$D$84</f>
        <v>Room 342 walls, ceiling/deck, floor, door, racks/future rack, panels, HVAC, cable tray, 342-CAM-01, penetrations and 342A-CK-A</v>
      </c>
      <c r="G612" s="106">
        <f>B02_Assessment!$E$84</f>
        <v>0</v>
      </c>
      <c r="H612" s="106" t="str">
        <f>B02_Assessment!$F$84</f>
        <v>Paul</v>
      </c>
      <c r="I612" s="106">
        <f>B02_Assessment!$G$84</f>
        <v>0</v>
      </c>
      <c r="J612" s="106" t="str">
        <f>B02_Assessment!$H$84</f>
        <v>B02-R1/B02-R7</v>
      </c>
      <c r="K612" s="106" t="str">
        <f>B02_Assessment!$I$84</f>
        <v>Closed</v>
      </c>
      <c r="L612" s="106">
        <f>B02_Assessment!$J$84</f>
        <v>0</v>
      </c>
    </row>
    <row r="613" spans="1:12" ht="34.950000000000003" customHeight="1">
      <c r="A613" s="106" t="str">
        <f>B02_Assessment!$B$2</f>
        <v>02</v>
      </c>
      <c r="B613" s="106" t="str">
        <f t="shared" si="57"/>
        <v>B01_Assessment</v>
      </c>
      <c r="C613" s="106" t="str">
        <f>B02_Assessment!$A$85</f>
        <v>B02-P004</v>
      </c>
      <c r="D613" s="142" t="str">
        <f>B02_Assessment!$B$85</f>
        <v>B-06</v>
      </c>
      <c r="E613" s="142" t="str">
        <f>B02_Assessment!$C$85</f>
        <v>Existing Equipment</v>
      </c>
      <c r="F613" s="106" t="str">
        <f>B02_Assessment!$D$85</f>
        <v>Basement existing telecom room B-06 legacy rack/patch panels, active service labels and cable entries</v>
      </c>
      <c r="G613" s="106">
        <f>B02_Assessment!$E$85</f>
        <v>0</v>
      </c>
      <c r="H613" s="106" t="str">
        <f>B02_Assessment!$F$85</f>
        <v>Paul</v>
      </c>
      <c r="I613" s="106">
        <f>B02_Assessment!$G$85</f>
        <v>0</v>
      </c>
      <c r="J613" s="106" t="str">
        <f>B02_Assessment!$H$85</f>
        <v>B02-R2</v>
      </c>
      <c r="K613" s="106" t="str">
        <f>B02_Assessment!$I$85</f>
        <v>Closed</v>
      </c>
      <c r="L613" s="106">
        <f>B02_Assessment!$J$85</f>
        <v>0</v>
      </c>
    </row>
    <row r="614" spans="1:12" ht="46.35" customHeight="1">
      <c r="A614" s="106" t="str">
        <f>B02_Assessment!$B$2</f>
        <v>02</v>
      </c>
      <c r="B614" s="106" t="str">
        <f t="shared" si="57"/>
        <v>B01_Assessment</v>
      </c>
      <c r="C614" s="106" t="str">
        <f>B02_Assessment!$A$86</f>
        <v>B02-P005</v>
      </c>
      <c r="D614" s="142" t="str">
        <f>B02_Assessment!$B$86</f>
        <v>Existing 141 / 236</v>
      </c>
      <c r="E614" s="142" t="str">
        <f>B02_Assessment!$C$86</f>
        <v>Existing Equipment</v>
      </c>
      <c r="F614" s="106" t="str">
        <f>B02_Assessment!$D$86</f>
        <v>Existing first/second-level telecom rooms 141 and 236, existing patch panels, relocated/removed equipment and fire alarm cabinet conditions</v>
      </c>
      <c r="G614" s="106">
        <f>B02_Assessment!$E$86</f>
        <v>0</v>
      </c>
      <c r="H614" s="106" t="str">
        <f>B02_Assessment!$F$86</f>
        <v>Paul</v>
      </c>
      <c r="I614" s="106">
        <f>B02_Assessment!$G$86</f>
        <v>0</v>
      </c>
      <c r="J614" s="106" t="str">
        <f>B02_Assessment!$H$86</f>
        <v>B02-R2/B02-R6</v>
      </c>
      <c r="K614" s="106" t="str">
        <f>B02_Assessment!$I$86</f>
        <v>Closed</v>
      </c>
      <c r="L614" s="106">
        <f>B02_Assessment!$J$86</f>
        <v>0</v>
      </c>
    </row>
    <row r="615" spans="1:12" ht="40.65" customHeight="1">
      <c r="A615" s="106" t="str">
        <f>B02_Assessment!$B$2</f>
        <v>02</v>
      </c>
      <c r="B615" s="106" t="str">
        <f t="shared" ref="B615:B622" si="58">"B02_Assessment"</f>
        <v>B02_Assessment</v>
      </c>
      <c r="C615" s="106" t="str">
        <f>B02_Assessment!$A$87</f>
        <v>B02-P006</v>
      </c>
      <c r="D615" s="142" t="str">
        <f>B02_Assessment!$B$87</f>
        <v>All TRs</v>
      </c>
      <c r="E615" s="142" t="str">
        <f>B02_Assessment!$C$87</f>
        <v>Electrical / HVAC</v>
      </c>
      <c r="F615" s="106" t="str">
        <f>B02_Assessment!$D$87</f>
        <v>B02-TR141/236/342 A/B panels, rack receptacles, breakers, SPD, UPS/PDU, CU/IU equipment, condensate, disconnects and labels</v>
      </c>
      <c r="G615" s="106">
        <f>B02_Assessment!$E$87</f>
        <v>0</v>
      </c>
      <c r="H615" s="106" t="str">
        <f>B02_Assessment!$F$87</f>
        <v>Paul</v>
      </c>
      <c r="I615" s="106">
        <f>B02_Assessment!$G$87</f>
        <v>0</v>
      </c>
      <c r="J615" s="106" t="str">
        <f>B02_Assessment!$H$87</f>
        <v>B02-R3/B02-R4</v>
      </c>
      <c r="K615" s="106" t="str">
        <f>B02_Assessment!$I$87</f>
        <v>Closed</v>
      </c>
      <c r="L615" s="106">
        <f>B02_Assessment!$J$87</f>
        <v>0</v>
      </c>
    </row>
    <row r="616" spans="1:12" ht="40.65" customHeight="1">
      <c r="A616" s="106" t="str">
        <f>B02_Assessment!$B$2</f>
        <v>02</v>
      </c>
      <c r="B616" s="106" t="str">
        <f t="shared" si="58"/>
        <v>B02_Assessment</v>
      </c>
      <c r="C616" s="106" t="str">
        <f>B02_Assessment!$A$88</f>
        <v>B02-P007</v>
      </c>
      <c r="D616" s="142" t="str">
        <f>B02_Assessment!$B$88</f>
        <v>All</v>
      </c>
      <c r="E616" s="142" t="str">
        <f>B02_Assessment!$C$88</f>
        <v>Cable Tray / Firestop</v>
      </c>
      <c r="F616" s="106" t="str">
        <f>B02_Assessment!$D$88</f>
        <v>Basement/first/second/third/fourth cable tray route, supports, seismic bracing, 40% fill, penetrations and before/after firestopping</v>
      </c>
      <c r="G616" s="106">
        <f>B02_Assessment!$E$88</f>
        <v>0</v>
      </c>
      <c r="H616" s="106" t="str">
        <f>B02_Assessment!$F$88</f>
        <v>Paul</v>
      </c>
      <c r="I616" s="106">
        <f>B02_Assessment!$G$88</f>
        <v>0</v>
      </c>
      <c r="J616" s="106" t="str">
        <f>B02_Assessment!$H$88</f>
        <v>B02-R5</v>
      </c>
      <c r="K616" s="106" t="str">
        <f>B02_Assessment!$I$88</f>
        <v>Closed</v>
      </c>
      <c r="L616" s="106">
        <f>B02_Assessment!$J$88</f>
        <v>0</v>
      </c>
    </row>
    <row r="617" spans="1:12" ht="34.950000000000003" customHeight="1">
      <c r="A617" s="106" t="str">
        <f>B02_Assessment!$B$2</f>
        <v>02</v>
      </c>
      <c r="B617" s="106" t="str">
        <f t="shared" si="58"/>
        <v>B02_Assessment</v>
      </c>
      <c r="C617" s="106" t="str">
        <f>B02_Assessment!$A$89</f>
        <v>B02-P008</v>
      </c>
      <c r="D617" s="142" t="str">
        <f>B02_Assessment!$B$89</f>
        <v>All TRs</v>
      </c>
      <c r="E617" s="142" t="str">
        <f>B02_Assessment!$C$89</f>
        <v>Telecom / Security</v>
      </c>
      <c r="F617" s="106" t="str">
        <f>B02_Assessment!$D$89</f>
        <v>Racks, Fiber LIU, Cat6A, patch panels, labels/test records, cameras, PACS and existing rack transfer work</v>
      </c>
      <c r="G617" s="106">
        <f>B02_Assessment!$E$89</f>
        <v>0</v>
      </c>
      <c r="H617" s="106" t="str">
        <f>B02_Assessment!$F$89</f>
        <v>Paul</v>
      </c>
      <c r="I617" s="106">
        <f>B02_Assessment!$G$89</f>
        <v>0</v>
      </c>
      <c r="J617" s="106" t="str">
        <f>B02_Assessment!$H$89</f>
        <v>B02-R6/B02-R8</v>
      </c>
      <c r="K617" s="106" t="str">
        <f>B02_Assessment!$I$89</f>
        <v>Closed</v>
      </c>
      <c r="L617" s="106">
        <f>B02_Assessment!$J$89</f>
        <v>0</v>
      </c>
    </row>
    <row r="618" spans="1:12" ht="40.65" customHeight="1">
      <c r="A618" s="106" t="str">
        <f>B03_Assessment!$B$2</f>
        <v>03</v>
      </c>
      <c r="B618" s="106" t="str">
        <f t="shared" si="58"/>
        <v>B02_Assessment</v>
      </c>
      <c r="C618" s="106" t="str">
        <f>B03_Assessment!$A$81</f>
        <v>B03-P001</v>
      </c>
      <c r="D618" s="142" t="str">
        <f>B03_Assessment!$B$81</f>
        <v>101E</v>
      </c>
      <c r="E618" s="142" t="str">
        <f>B03_Assessment!$C$81</f>
        <v>Existing / New Condition</v>
      </c>
      <c r="F618" s="106" t="str">
        <f>B03_Assessment!$D$81</f>
        <v>Room 101E walls, ceiling/deck, floor, door, racks/future rack, panels, HVAC, cable tray, penetrations, PACS and final TR layout</v>
      </c>
      <c r="G618" s="106">
        <f>B03_Assessment!$E$81</f>
        <v>0</v>
      </c>
      <c r="H618" s="106" t="str">
        <f>B03_Assessment!$F$81</f>
        <v>Paul</v>
      </c>
      <c r="I618" s="106">
        <f>B03_Assessment!$G$81</f>
        <v>0</v>
      </c>
      <c r="J618" s="106" t="str">
        <f>B03_Assessment!$H$81</f>
        <v>B03-R1/B03-R3</v>
      </c>
      <c r="K618" s="106" t="str">
        <f>B03_Assessment!$I$81</f>
        <v>Closed</v>
      </c>
      <c r="L618" s="106">
        <f>B03_Assessment!$J$81</f>
        <v>0</v>
      </c>
    </row>
    <row r="619" spans="1:12" ht="40.65" customHeight="1">
      <c r="A619" s="106" t="str">
        <f>B03_Assessment!$B$2</f>
        <v>03</v>
      </c>
      <c r="B619" s="106" t="str">
        <f t="shared" si="58"/>
        <v>B02_Assessment</v>
      </c>
      <c r="C619" s="106" t="str">
        <f>B03_Assessment!$A$82</f>
        <v>B03-P002</v>
      </c>
      <c r="D619" s="142" t="str">
        <f>B03_Assessment!$B$82</f>
        <v>107</v>
      </c>
      <c r="E619" s="142" t="str">
        <f>B03_Assessment!$C$82</f>
        <v>Existing Equipment</v>
      </c>
      <c r="F619" s="106" t="str">
        <f>B03_Assessment!$D$82</f>
        <v>Basement existing telecom room 107 rack, UPS on floor, Cisco switch, legacy patch panels, fiber LIU, active service labels and cable entries</v>
      </c>
      <c r="G619" s="106">
        <f>B03_Assessment!$E$82</f>
        <v>0</v>
      </c>
      <c r="H619" s="106" t="str">
        <f>B03_Assessment!$F$82</f>
        <v>Paul</v>
      </c>
      <c r="I619" s="106">
        <f>B03_Assessment!$G$82</f>
        <v>0</v>
      </c>
      <c r="J619" s="106" t="str">
        <f>B03_Assessment!$H$82</f>
        <v>B03-R1/B03-R2</v>
      </c>
      <c r="K619" s="106" t="str">
        <f>B03_Assessment!$I$82</f>
        <v>Closed</v>
      </c>
      <c r="L619" s="106">
        <f>B03_Assessment!$J$82</f>
        <v>0</v>
      </c>
    </row>
    <row r="620" spans="1:12" ht="46.35" customHeight="1">
      <c r="A620" s="106" t="str">
        <f>B03_Assessment!$B$2</f>
        <v>03</v>
      </c>
      <c r="B620" s="106" t="str">
        <f t="shared" si="58"/>
        <v>B02_Assessment</v>
      </c>
      <c r="C620" s="106" t="str">
        <f>B03_Assessment!$A$83</f>
        <v>B03-P003</v>
      </c>
      <c r="D620" s="142" t="str">
        <f>B03_Assessment!$B$83</f>
        <v>101C</v>
      </c>
      <c r="E620" s="142" t="str">
        <f>B03_Assessment!$C$83</f>
        <v>Existing DMARC</v>
      </c>
      <c r="F620" s="106" t="str">
        <f>B03_Assessment!$D$83</f>
        <v>First-floor existing DMARC Room 101C, patch panels, telecom cabinet, branch panel, provider/fiber equipment, 101C-CAM-01 and active service labels</v>
      </c>
      <c r="G620" s="106">
        <f>B03_Assessment!$E$83</f>
        <v>0</v>
      </c>
      <c r="H620" s="106" t="str">
        <f>B03_Assessment!$F$83</f>
        <v>Paul</v>
      </c>
      <c r="I620" s="106">
        <f>B03_Assessment!$G$83</f>
        <v>0</v>
      </c>
      <c r="J620" s="106" t="str">
        <f>B03_Assessment!$H$83</f>
        <v>B03-R2/B03-R6</v>
      </c>
      <c r="K620" s="106" t="str">
        <f>B03_Assessment!$I$83</f>
        <v>Closed</v>
      </c>
      <c r="L620" s="106">
        <f>B03_Assessment!$J$83</f>
        <v>0</v>
      </c>
    </row>
    <row r="621" spans="1:12" ht="40.65" customHeight="1">
      <c r="A621" s="106" t="str">
        <f>B03_Assessment!$B$2</f>
        <v>03</v>
      </c>
      <c r="B621" s="106" t="str">
        <f t="shared" si="58"/>
        <v>B02_Assessment</v>
      </c>
      <c r="C621" s="106" t="str">
        <f>B03_Assessment!$A$84</f>
        <v>B03-P004</v>
      </c>
      <c r="D621" s="142" t="str">
        <f>B03_Assessment!$B$84</f>
        <v>101E / 101C</v>
      </c>
      <c r="E621" s="142" t="str">
        <f>B03_Assessment!$C$84</f>
        <v>Electrical / Security</v>
      </c>
      <c r="F621" s="106" t="str">
        <f>B03_Assessment!$D$84</f>
        <v>B03-TR101CA/B panels, rack receptacles, breakers, SPD, UPS/PDU, access controller, CU-01, 101C-CAM-01 and labels</v>
      </c>
      <c r="G621" s="106">
        <f>B03_Assessment!$E$84</f>
        <v>0</v>
      </c>
      <c r="H621" s="106" t="str">
        <f>B03_Assessment!$F$84</f>
        <v>Paul</v>
      </c>
      <c r="I621" s="106">
        <f>B03_Assessment!$G$84</f>
        <v>0</v>
      </c>
      <c r="J621" s="106" t="str">
        <f>B03_Assessment!$H$84</f>
        <v>B03-R4/B03-R7</v>
      </c>
      <c r="K621" s="106" t="str">
        <f>B03_Assessment!$I$84</f>
        <v>Closed</v>
      </c>
      <c r="L621" s="106">
        <f>B03_Assessment!$J$84</f>
        <v>0</v>
      </c>
    </row>
    <row r="622" spans="1:12" ht="34.950000000000003" customHeight="1">
      <c r="A622" s="106" t="str">
        <f>B03_Assessment!$B$2</f>
        <v>03</v>
      </c>
      <c r="B622" s="106" t="str">
        <f t="shared" si="58"/>
        <v>B02_Assessment</v>
      </c>
      <c r="C622" s="106" t="str">
        <f>B03_Assessment!$A$85</f>
        <v>B03-P005</v>
      </c>
      <c r="D622" s="142" t="str">
        <f>B03_Assessment!$B$85</f>
        <v>101E</v>
      </c>
      <c r="E622" s="142" t="str">
        <f>B03_Assessment!$C$85</f>
        <v>HVAC</v>
      </c>
      <c r="F622" s="106" t="str">
        <f>B03_Assessment!$D$85</f>
        <v>IU/CU-01, condensate route, thermostat, BACnet adapter, disconnects, alarm points and emergency power source</v>
      </c>
      <c r="G622" s="106">
        <f>B03_Assessment!$E$85</f>
        <v>0</v>
      </c>
      <c r="H622" s="106" t="str">
        <f>B03_Assessment!$F$85</f>
        <v>Paul</v>
      </c>
      <c r="I622" s="106">
        <f>B03_Assessment!$G$85</f>
        <v>0</v>
      </c>
      <c r="J622" s="106" t="str">
        <f>B03_Assessment!$H$85</f>
        <v>B03-R3</v>
      </c>
      <c r="K622" s="106" t="str">
        <f>B03_Assessment!$I$85</f>
        <v>Closed</v>
      </c>
      <c r="L622" s="106">
        <f>B03_Assessment!$J$85</f>
        <v>0</v>
      </c>
    </row>
    <row r="623" spans="1:12" ht="40.65" customHeight="1">
      <c r="A623" s="106" t="str">
        <f>B03_Assessment!$B$2</f>
        <v>03</v>
      </c>
      <c r="B623" s="106" t="str">
        <f t="shared" ref="B623:B630" si="59">"B03_Assessment"</f>
        <v>B03_Assessment</v>
      </c>
      <c r="C623" s="106" t="str">
        <f>B03_Assessment!$A$86</f>
        <v>B03-P006</v>
      </c>
      <c r="D623" s="142" t="str">
        <f>B03_Assessment!$B$86</f>
        <v>All</v>
      </c>
      <c r="E623" s="142" t="str">
        <f>B03_Assessment!$C$86</f>
        <v>Cable Tray / Firestop</v>
      </c>
      <c r="F623" s="106" t="str">
        <f>B03_Assessment!$D$86</f>
        <v>Basement and first-level cable tray route, supports, seismic bracing, 40% fill, penetrations and before/after firestopping</v>
      </c>
      <c r="G623" s="106">
        <f>B03_Assessment!$E$86</f>
        <v>0</v>
      </c>
      <c r="H623" s="106" t="str">
        <f>B03_Assessment!$F$86</f>
        <v>Paul</v>
      </c>
      <c r="I623" s="106">
        <f>B03_Assessment!$G$86</f>
        <v>0</v>
      </c>
      <c r="J623" s="106" t="str">
        <f>B03_Assessment!$H$86</f>
        <v>B03-R5</v>
      </c>
      <c r="K623" s="106" t="str">
        <f>B03_Assessment!$I$86</f>
        <v>Closed</v>
      </c>
      <c r="L623" s="106">
        <f>B03_Assessment!$J$86</f>
        <v>0</v>
      </c>
    </row>
    <row r="624" spans="1:12" ht="40.65" customHeight="1">
      <c r="A624" s="106" t="str">
        <f>B03_Assessment!$B$2</f>
        <v>03</v>
      </c>
      <c r="B624" s="106" t="str">
        <f t="shared" si="59"/>
        <v>B03_Assessment</v>
      </c>
      <c r="C624" s="106" t="str">
        <f>B03_Assessment!$A$87</f>
        <v>B03-P007</v>
      </c>
      <c r="D624" s="142" t="str">
        <f>B03_Assessment!$B$87</f>
        <v>WAO Areas</v>
      </c>
      <c r="E624" s="142" t="str">
        <f>B03_Assessment!$C$87</f>
        <v>Telecom Devices</v>
      </c>
      <c r="F624" s="106" t="str">
        <f>B03_Assessment!$D$87</f>
        <v>Representative outlets/WAPs/Centrak/clock/camera locations including 108-A/B/C, 108-CK-A, 107A-AP-A, 101C-CAM-01 and related labels</v>
      </c>
      <c r="G624" s="106">
        <f>B03_Assessment!$E$87</f>
        <v>0</v>
      </c>
      <c r="H624" s="106" t="str">
        <f>B03_Assessment!$F$87</f>
        <v>Paul</v>
      </c>
      <c r="I624" s="106">
        <f>B03_Assessment!$G$87</f>
        <v>0</v>
      </c>
      <c r="J624" s="106" t="str">
        <f>B03_Assessment!$H$87</f>
        <v>B03-R6</v>
      </c>
      <c r="K624" s="106" t="str">
        <f>B03_Assessment!$I$87</f>
        <v>Closed</v>
      </c>
      <c r="L624" s="106">
        <f>B03_Assessment!$J$87</f>
        <v>0</v>
      </c>
    </row>
    <row r="625" spans="1:12" ht="34.950000000000003" customHeight="1">
      <c r="A625" s="106" t="str">
        <f>B03_Assessment!$B$2</f>
        <v>03</v>
      </c>
      <c r="B625" s="106" t="str">
        <f t="shared" si="59"/>
        <v>B03_Assessment</v>
      </c>
      <c r="C625" s="106" t="str">
        <f>B03_Assessment!$A$88</f>
        <v>B03-P008</v>
      </c>
      <c r="D625" s="142" t="str">
        <f>B03_Assessment!$B$88</f>
        <v>101E / Existing Rooms</v>
      </c>
      <c r="E625" s="142" t="str">
        <f>B03_Assessment!$C$88</f>
        <v>Telecom Acceptance</v>
      </c>
      <c r="F625" s="106" t="str">
        <f>B03_Assessment!$D$88</f>
        <v>New racks TR01-101E-1/2, Fiber LIU, Cat6A, patch panels, labels/test records and existing rack transfer work</v>
      </c>
      <c r="G625" s="106">
        <f>B03_Assessment!$E$88</f>
        <v>0</v>
      </c>
      <c r="H625" s="106" t="str">
        <f>B03_Assessment!$F$88</f>
        <v>Paul</v>
      </c>
      <c r="I625" s="106">
        <f>B03_Assessment!$G$88</f>
        <v>0</v>
      </c>
      <c r="J625" s="106" t="str">
        <f>B03_Assessment!$H$88</f>
        <v>B03-R6/B03-R8</v>
      </c>
      <c r="K625" s="106" t="str">
        <f>B03_Assessment!$I$88</f>
        <v>Closed</v>
      </c>
      <c r="L625" s="106">
        <f>B03_Assessment!$J$88</f>
        <v>0</v>
      </c>
    </row>
    <row r="626" spans="1:12" ht="22.95" customHeight="1">
      <c r="A626" s="106" t="str">
        <f>B04_Assessment!$B$2</f>
        <v>04</v>
      </c>
      <c r="B626" s="106" t="str">
        <f t="shared" si="59"/>
        <v>B03_Assessment</v>
      </c>
      <c r="C626" s="106" t="str">
        <f>B04_Assessment!$A$74</f>
        <v>B04-P001</v>
      </c>
      <c r="D626" s="142" t="str">
        <f>B04_Assessment!$B$74</f>
        <v>B05</v>
      </c>
      <c r="E626" s="142" t="str">
        <f>B04_Assessment!$C$74</f>
        <v>Existing Condition</v>
      </c>
      <c r="F626" s="106" t="str">
        <f>B04_Assessment!$D$74</f>
        <v>Basement TR B05 existing conditions, racks, utilities, penetrations, panels</v>
      </c>
      <c r="G626" s="106">
        <f>B04_Assessment!$E$74</f>
        <v>0</v>
      </c>
      <c r="H626" s="106" t="str">
        <f>B04_Assessment!$F$74</f>
        <v>Paul</v>
      </c>
      <c r="I626" s="106">
        <f>B04_Assessment!$G$74</f>
        <v>0</v>
      </c>
      <c r="J626" s="106" t="str">
        <f>B04_Assessment!$H$74</f>
        <v>B04-R1/B04-R2</v>
      </c>
      <c r="K626" s="106" t="str">
        <f>B04_Assessment!$I$74</f>
        <v>Closed</v>
      </c>
      <c r="L626" s="106">
        <f>B04_Assessment!$J$74</f>
        <v>0</v>
      </c>
    </row>
    <row r="627" spans="1:12" ht="22.95" customHeight="1">
      <c r="A627" s="106" t="str">
        <f>B04_Assessment!$B$2</f>
        <v>04</v>
      </c>
      <c r="B627" s="106" t="str">
        <f t="shared" si="59"/>
        <v>B03_Assessment</v>
      </c>
      <c r="C627" s="106" t="str">
        <f>B04_Assessment!$A$75</f>
        <v>B04-P002</v>
      </c>
      <c r="D627" s="142" t="str">
        <f>B04_Assessment!$B$75</f>
        <v>141</v>
      </c>
      <c r="E627" s="142" t="str">
        <f>B04_Assessment!$C$75</f>
        <v>Existing Condition</v>
      </c>
      <c r="F627" s="106" t="str">
        <f>B04_Assessment!$D$75</f>
        <v>Room 141 existing conditions, door/walls/ceiling/window/floor conditions</v>
      </c>
      <c r="G627" s="106">
        <f>B04_Assessment!$E$75</f>
        <v>0</v>
      </c>
      <c r="H627" s="106" t="str">
        <f>B04_Assessment!$F$75</f>
        <v>Paul</v>
      </c>
      <c r="I627" s="106">
        <f>B04_Assessment!$G$75</f>
        <v>0</v>
      </c>
      <c r="J627" s="106" t="str">
        <f>B04_Assessment!$H$75</f>
        <v>B04-R3</v>
      </c>
      <c r="K627" s="106" t="str">
        <f>B04_Assessment!$I$75</f>
        <v>Closed</v>
      </c>
      <c r="L627" s="106">
        <f>B04_Assessment!$J$75</f>
        <v>0</v>
      </c>
    </row>
    <row r="628" spans="1:12" ht="17.25" customHeight="1">
      <c r="A628" s="106" t="str">
        <f>B04_Assessment!$B$2</f>
        <v>04</v>
      </c>
      <c r="B628" s="106" t="str">
        <f t="shared" si="59"/>
        <v>B03_Assessment</v>
      </c>
      <c r="C628" s="106" t="str">
        <f>B04_Assessment!$A$76</f>
        <v>B04-P003</v>
      </c>
      <c r="D628" s="142" t="str">
        <f>B04_Assessment!$B$76</f>
        <v>244A</v>
      </c>
      <c r="E628" s="142" t="str">
        <f>B04_Assessment!$C$76</f>
        <v>Existing Condition</v>
      </c>
      <c r="F628" s="106" t="str">
        <f>B04_Assessment!$D$76</f>
        <v>Room 244A TR existing condition and panel/rack area</v>
      </c>
      <c r="G628" s="106">
        <f>B04_Assessment!$E$76</f>
        <v>0</v>
      </c>
      <c r="H628" s="106" t="str">
        <f>B04_Assessment!$F$76</f>
        <v>Paul</v>
      </c>
      <c r="I628" s="106">
        <f>B04_Assessment!$G$76</f>
        <v>0</v>
      </c>
      <c r="J628" s="106" t="str">
        <f>B04_Assessment!$H$76</f>
        <v>B04-R1</v>
      </c>
      <c r="K628" s="106" t="str">
        <f>B04_Assessment!$I$76</f>
        <v>Closed</v>
      </c>
      <c r="L628" s="106">
        <f>B04_Assessment!$J$76</f>
        <v>0</v>
      </c>
    </row>
    <row r="629" spans="1:12" ht="17.25" customHeight="1">
      <c r="A629" s="106" t="str">
        <f>B04_Assessment!$B$2</f>
        <v>04</v>
      </c>
      <c r="B629" s="106" t="str">
        <f t="shared" si="59"/>
        <v>B03_Assessment</v>
      </c>
      <c r="C629" s="106" t="str">
        <f>B04_Assessment!$A$77</f>
        <v>B04-P004</v>
      </c>
      <c r="D629" s="142" t="str">
        <f>B04_Assessment!$B$77</f>
        <v>All</v>
      </c>
      <c r="E629" s="142" t="str">
        <f>B04_Assessment!$C$77</f>
        <v>Firestop</v>
      </c>
      <c r="F629" s="106" t="str">
        <f>B04_Assessment!$D$77</f>
        <v>All floor/wall/sleeve/tray penetrations before and after firestop</v>
      </c>
      <c r="G629" s="106">
        <f>B04_Assessment!$E$77</f>
        <v>0</v>
      </c>
      <c r="H629" s="106" t="str">
        <f>B04_Assessment!$F$77</f>
        <v>Paul</v>
      </c>
      <c r="I629" s="106">
        <f>B04_Assessment!$G$77</f>
        <v>0</v>
      </c>
      <c r="J629" s="106" t="str">
        <f>B04_Assessment!$H$77</f>
        <v>B04-R7</v>
      </c>
      <c r="K629" s="106" t="str">
        <f>B04_Assessment!$I$77</f>
        <v>Closed</v>
      </c>
      <c r="L629" s="106">
        <f>B04_Assessment!$J$77</f>
        <v>0</v>
      </c>
    </row>
    <row r="630" spans="1:12" ht="22.95" customHeight="1">
      <c r="A630" s="106" t="str">
        <f>B04_Assessment!$B$2</f>
        <v>04</v>
      </c>
      <c r="B630" s="106" t="str">
        <f t="shared" si="59"/>
        <v>B03_Assessment</v>
      </c>
      <c r="C630" s="106" t="str">
        <f>B04_Assessment!$A$78</f>
        <v>B04-P005</v>
      </c>
      <c r="D630" s="142" t="str">
        <f>B04_Assessment!$B$78</f>
        <v>All</v>
      </c>
      <c r="E630" s="142" t="str">
        <f>B04_Assessment!$C$78</f>
        <v>HVAC</v>
      </c>
      <c r="F630" s="106" t="str">
        <f>B04_Assessment!$D$78</f>
        <v>Cooling units, condensate routing, controls, high-temp alarms</v>
      </c>
      <c r="G630" s="106">
        <f>B04_Assessment!$E$78</f>
        <v>0</v>
      </c>
      <c r="H630" s="106" t="str">
        <f>B04_Assessment!$F$78</f>
        <v>Paul</v>
      </c>
      <c r="I630" s="106">
        <f>B04_Assessment!$G$78</f>
        <v>0</v>
      </c>
      <c r="J630" s="106" t="str">
        <f>B04_Assessment!$H$78</f>
        <v>B04-R4</v>
      </c>
      <c r="K630" s="106" t="str">
        <f>B04_Assessment!$I$78</f>
        <v>Closed</v>
      </c>
      <c r="L630" s="106">
        <f>B04_Assessment!$J$78</f>
        <v>0</v>
      </c>
    </row>
    <row r="631" spans="1:12" ht="22.95" customHeight="1">
      <c r="A631" s="106" t="str">
        <f>B04_Assessment!$B$2</f>
        <v>04</v>
      </c>
      <c r="B631" s="106" t="str">
        <f t="shared" ref="B631:B636" si="60">"B04_Assessment"</f>
        <v>B04_Assessment</v>
      </c>
      <c r="C631" s="106" t="str">
        <f>B04_Assessment!$A$79</f>
        <v>B04-P006</v>
      </c>
      <c r="D631" s="142" t="str">
        <f>B04_Assessment!$B$79</f>
        <v>All</v>
      </c>
      <c r="E631" s="142" t="str">
        <f>B04_Assessment!$C$79</f>
        <v>Electrical</v>
      </c>
      <c r="F631" s="106" t="str">
        <f>B04_Assessment!$D$79</f>
        <v>Panels, breakers, UPS/PDU receptacles, SPD, grounding/bonding</v>
      </c>
      <c r="G631" s="106">
        <f>B04_Assessment!$E$79</f>
        <v>0</v>
      </c>
      <c r="H631" s="106" t="str">
        <f>B04_Assessment!$F$79</f>
        <v>Paul</v>
      </c>
      <c r="I631" s="106">
        <f>B04_Assessment!$G$79</f>
        <v>0</v>
      </c>
      <c r="J631" s="106" t="str">
        <f>B04_Assessment!$H$79</f>
        <v>B04-R5</v>
      </c>
      <c r="K631" s="106" t="str">
        <f>B04_Assessment!$I$79</f>
        <v>Closed</v>
      </c>
      <c r="L631" s="106">
        <f>B04_Assessment!$J$79</f>
        <v>0</v>
      </c>
    </row>
    <row r="632" spans="1:12" ht="17.25" customHeight="1">
      <c r="A632" s="106" t="str">
        <f>B04_Assessment!$B$2</f>
        <v>04</v>
      </c>
      <c r="B632" s="106" t="str">
        <f t="shared" si="60"/>
        <v>B04_Assessment</v>
      </c>
      <c r="C632" s="106" t="str">
        <f>B04_Assessment!$A$80</f>
        <v>B04-P007</v>
      </c>
      <c r="D632" s="142" t="str">
        <f>B04_Assessment!$B$80</f>
        <v>All</v>
      </c>
      <c r="E632" s="142" t="str">
        <f>B04_Assessment!$C$80</f>
        <v>Telecom</v>
      </c>
      <c r="F632" s="106" t="str">
        <f>B04_Assessment!$D$80</f>
        <v>Racks, ladder tray, fiber, Cat6A, labels, LIU, cable managers</v>
      </c>
      <c r="G632" s="106">
        <f>B04_Assessment!$E$80</f>
        <v>0</v>
      </c>
      <c r="H632" s="106" t="str">
        <f>B04_Assessment!$F$80</f>
        <v>Paul</v>
      </c>
      <c r="I632" s="106">
        <f>B04_Assessment!$G$80</f>
        <v>0</v>
      </c>
      <c r="J632" s="106" t="str">
        <f>B04_Assessment!$H$80</f>
        <v>B04-R6</v>
      </c>
      <c r="K632" s="106" t="str">
        <f>B04_Assessment!$I$80</f>
        <v>Closed</v>
      </c>
      <c r="L632" s="106">
        <f>B04_Assessment!$J$80</f>
        <v>0</v>
      </c>
    </row>
    <row r="633" spans="1:12" ht="17.25" customHeight="1">
      <c r="A633" s="106" t="str">
        <f>B04_Assessment!$B$2</f>
        <v>04</v>
      </c>
      <c r="B633" s="106" t="str">
        <f t="shared" si="60"/>
        <v>B04_Assessment</v>
      </c>
      <c r="C633" s="106" t="str">
        <f>B04_Assessment!$A$81</f>
        <v>B04-P008</v>
      </c>
      <c r="D633" s="142" t="str">
        <f>B04_Assessment!$B$81</f>
        <v>All</v>
      </c>
      <c r="E633" s="142" t="str">
        <f>B04_Assessment!$C$81</f>
        <v>Security</v>
      </c>
      <c r="F633" s="106" t="str">
        <f>B04_Assessment!$D$81</f>
        <v>PACS, card reader, electric strike, camera, motion sensor rough-in</v>
      </c>
      <c r="G633" s="106">
        <f>B04_Assessment!$E$81</f>
        <v>0</v>
      </c>
      <c r="H633" s="106" t="str">
        <f>B04_Assessment!$F$81</f>
        <v>Paul</v>
      </c>
      <c r="I633" s="106">
        <f>B04_Assessment!$G$81</f>
        <v>0</v>
      </c>
      <c r="J633" s="106" t="str">
        <f>B04_Assessment!$H$81</f>
        <v>B04-R3</v>
      </c>
      <c r="K633" s="106" t="str">
        <f>B04_Assessment!$I$81</f>
        <v>Closed</v>
      </c>
      <c r="L633" s="106">
        <f>B04_Assessment!$J$81</f>
        <v>0</v>
      </c>
    </row>
    <row r="634" spans="1:12" ht="22.95" customHeight="1">
      <c r="A634" s="106" t="str">
        <f>B05_Assessment!$B$2</f>
        <v>05</v>
      </c>
      <c r="B634" s="106" t="str">
        <f t="shared" si="60"/>
        <v>B04_Assessment</v>
      </c>
      <c r="C634" s="106" t="str">
        <f>B05_Assessment!$A$64</f>
        <v>B05-P001</v>
      </c>
      <c r="D634" s="142" t="str">
        <f>B05_Assessment!$B$64</f>
        <v>150</v>
      </c>
      <c r="E634" s="142" t="str">
        <f>B05_Assessment!$C$64</f>
        <v>Existing Condition</v>
      </c>
      <c r="F634" s="106" t="str">
        <f>B05_Assessment!$D$64</f>
        <v>Room 150 wall/TE location, mounting surface, clearances, power, pathway</v>
      </c>
      <c r="G634" s="106">
        <f>B05_Assessment!$E$64</f>
        <v>0</v>
      </c>
      <c r="H634" s="106" t="str">
        <f>B05_Assessment!$F$64</f>
        <v>Paul</v>
      </c>
      <c r="I634" s="106">
        <f>B05_Assessment!$G$64</f>
        <v>0</v>
      </c>
      <c r="J634" s="106" t="str">
        <f>B05_Assessment!$H$64</f>
        <v>B05-R1/B05-R4</v>
      </c>
      <c r="K634" s="106" t="str">
        <f>B05_Assessment!$I$64</f>
        <v>Closed</v>
      </c>
      <c r="L634" s="106">
        <f>B05_Assessment!$J$64</f>
        <v>0</v>
      </c>
    </row>
    <row r="635" spans="1:12" ht="22.95" customHeight="1">
      <c r="A635" s="106" t="str">
        <f>B05_Assessment!$B$2</f>
        <v>05</v>
      </c>
      <c r="B635" s="106" t="str">
        <f t="shared" si="60"/>
        <v>B04_Assessment</v>
      </c>
      <c r="C635" s="106" t="str">
        <f>B05_Assessment!$A$65</f>
        <v>B05-P002</v>
      </c>
      <c r="D635" s="142" t="str">
        <f>B05_Assessment!$B$65</f>
        <v>153-A</v>
      </c>
      <c r="E635" s="142" t="str">
        <f>B05_Assessment!$C$65</f>
        <v>Existing Condition</v>
      </c>
      <c r="F635" s="106" t="str">
        <f>B05_Assessment!$D$65</f>
        <v>Existing wall/wall-mount TE, Cisco switches, legacy patch panels, floor UPS</v>
      </c>
      <c r="G635" s="106">
        <f>B05_Assessment!$E$65</f>
        <v>0</v>
      </c>
      <c r="H635" s="106" t="str">
        <f>B05_Assessment!$F$65</f>
        <v>Paul</v>
      </c>
      <c r="I635" s="106">
        <f>B05_Assessment!$G$65</f>
        <v>0</v>
      </c>
      <c r="J635" s="106" t="str">
        <f>B05_Assessment!$H$65</f>
        <v>B05-R2</v>
      </c>
      <c r="K635" s="106" t="str">
        <f>B05_Assessment!$I$65</f>
        <v>Closed</v>
      </c>
      <c r="L635" s="106">
        <f>B05_Assessment!$J$65</f>
        <v>0</v>
      </c>
    </row>
    <row r="636" spans="1:12" ht="22.95" customHeight="1">
      <c r="A636" s="106" t="str">
        <f>B05_Assessment!$B$2</f>
        <v>05</v>
      </c>
      <c r="B636" s="106" t="str">
        <f t="shared" si="60"/>
        <v>B04_Assessment</v>
      </c>
      <c r="C636" s="106" t="str">
        <f>B05_Assessment!$A$66</f>
        <v>B05-P003</v>
      </c>
      <c r="D636" s="142" t="str">
        <f>B05_Assessment!$B$66</f>
        <v>All</v>
      </c>
      <c r="E636" s="142" t="str">
        <f>B05_Assessment!$C$66</f>
        <v>Firestop</v>
      </c>
      <c r="F636" s="106" t="str">
        <f>B05_Assessment!$D$66</f>
        <v>All new/reused penetrations and surface raceway/conduit routes</v>
      </c>
      <c r="G636" s="106">
        <f>B05_Assessment!$E$66</f>
        <v>0</v>
      </c>
      <c r="H636" s="106" t="str">
        <f>B05_Assessment!$F$66</f>
        <v>Paul</v>
      </c>
      <c r="I636" s="106">
        <f>B05_Assessment!$G$66</f>
        <v>0</v>
      </c>
      <c r="J636" s="106" t="str">
        <f>B05_Assessment!$H$66</f>
        <v>B05-R5</v>
      </c>
      <c r="K636" s="106" t="str">
        <f>B05_Assessment!$I$66</f>
        <v>Closed</v>
      </c>
      <c r="L636" s="106">
        <f>B05_Assessment!$J$66</f>
        <v>0</v>
      </c>
    </row>
    <row r="637" spans="1:12" ht="17.25" customHeight="1">
      <c r="A637" s="106" t="str">
        <f>B05_Assessment!$B$2</f>
        <v>05</v>
      </c>
      <c r="B637" s="106" t="str">
        <f t="shared" ref="B637:B644" si="61">"B05_Assessment"</f>
        <v>B05_Assessment</v>
      </c>
      <c r="C637" s="106" t="str">
        <f>B05_Assessment!$A$67</f>
        <v>B05-P004</v>
      </c>
      <c r="D637" s="142" t="str">
        <f>B05_Assessment!$B$67</f>
        <v>150</v>
      </c>
      <c r="E637" s="142" t="str">
        <f>B05_Assessment!$C$67</f>
        <v>Electrical</v>
      </c>
      <c r="F637" s="106" t="str">
        <f>B05_Assessment!$D$67</f>
        <v>UPS/PDU outlet, circuit label, panel source, grounding/bonding</v>
      </c>
      <c r="G637" s="106">
        <f>B05_Assessment!$E$67</f>
        <v>0</v>
      </c>
      <c r="H637" s="106" t="str">
        <f>B05_Assessment!$F$67</f>
        <v>Paul</v>
      </c>
      <c r="I637" s="106">
        <f>B05_Assessment!$G$67</f>
        <v>0</v>
      </c>
      <c r="J637" s="106" t="str">
        <f>B05_Assessment!$H$67</f>
        <v>B05-R4</v>
      </c>
      <c r="K637" s="106" t="str">
        <f>B05_Assessment!$I$67</f>
        <v>Closed</v>
      </c>
      <c r="L637" s="106">
        <f>B05_Assessment!$J$67</f>
        <v>0</v>
      </c>
    </row>
    <row r="638" spans="1:12" ht="22.95" customHeight="1">
      <c r="A638" s="106" t="str">
        <f>B05_Assessment!$B$2</f>
        <v>05</v>
      </c>
      <c r="B638" s="106" t="str">
        <f t="shared" si="61"/>
        <v>B05_Assessment</v>
      </c>
      <c r="C638" s="106" t="str">
        <f>B05_Assessment!$A$68</f>
        <v>B05-P005</v>
      </c>
      <c r="D638" s="142" t="str">
        <f>B05_Assessment!$B$68</f>
        <v>All</v>
      </c>
      <c r="E638" s="142" t="str">
        <f>B05_Assessment!$C$68</f>
        <v>Telecom</v>
      </c>
      <c r="F638" s="106" t="str">
        <f>B05_Assessment!$D$68</f>
        <v>TE, patch panels, Fiber LIU, labels, testing records, as-built conditions</v>
      </c>
      <c r="G638" s="106">
        <f>B05_Assessment!$E$68</f>
        <v>0</v>
      </c>
      <c r="H638" s="106" t="str">
        <f>B05_Assessment!$F$68</f>
        <v>Paul</v>
      </c>
      <c r="I638" s="106">
        <f>B05_Assessment!$G$68</f>
        <v>0</v>
      </c>
      <c r="J638" s="106" t="str">
        <f>B05_Assessment!$H$68</f>
        <v>B05-R6</v>
      </c>
      <c r="K638" s="106" t="str">
        <f>B05_Assessment!$I$68</f>
        <v>Closed</v>
      </c>
      <c r="L638" s="106">
        <f>B05_Assessment!$J$68</f>
        <v>0</v>
      </c>
    </row>
    <row r="639" spans="1:12" ht="17.25" customHeight="1">
      <c r="A639" s="106" t="str">
        <f>B05_Assessment!$B$2</f>
        <v>05</v>
      </c>
      <c r="B639" s="106" t="str">
        <f t="shared" si="61"/>
        <v>B05_Assessment</v>
      </c>
      <c r="C639" s="106" t="str">
        <f>B05_Assessment!$A$69</f>
        <v>B05-P006</v>
      </c>
      <c r="D639" s="142" t="str">
        <f>B05_Assessment!$B$69</f>
        <v>All</v>
      </c>
      <c r="E639" s="142" t="str">
        <f>B05_Assessment!$C$69</f>
        <v>Security</v>
      </c>
      <c r="F639" s="106" t="str">
        <f>B05_Assessment!$D$69</f>
        <v>Door/security/CCTV/PACS conditions at TE location</v>
      </c>
      <c r="G639" s="106">
        <f>B05_Assessment!$E$69</f>
        <v>0</v>
      </c>
      <c r="H639" s="106" t="str">
        <f>B05_Assessment!$F$69</f>
        <v>Paul</v>
      </c>
      <c r="I639" s="106">
        <f>B05_Assessment!$G$69</f>
        <v>0</v>
      </c>
      <c r="J639" s="106" t="str">
        <f>B05_Assessment!$H$69</f>
        <v>B05-R6</v>
      </c>
      <c r="K639" s="106" t="str">
        <f>B05_Assessment!$I$69</f>
        <v>Closed</v>
      </c>
      <c r="L639" s="106">
        <f>B05_Assessment!$J$69</f>
        <v>0</v>
      </c>
    </row>
    <row r="640" spans="1:12" ht="29.1" customHeight="1">
      <c r="A640" s="106" t="str">
        <f>B06_Assessment!$B$2</f>
        <v>06</v>
      </c>
      <c r="B640" s="106" t="str">
        <f t="shared" si="61"/>
        <v>B05_Assessment</v>
      </c>
      <c r="C640" s="106" t="str">
        <f>B06_Assessment!$A$74</f>
        <v>B06-P001</v>
      </c>
      <c r="D640" s="142" t="str">
        <f>B06_Assessment!$B$74</f>
        <v>B-01</v>
      </c>
      <c r="E640" s="142" t="str">
        <f>B06_Assessment!$C$74</f>
        <v>Existing Condition</v>
      </c>
      <c r="F640" s="106" t="str">
        <f>B06_Assessment!$D$74</f>
        <v>Existing basement wall/wall-mount TE, Cisco switches, legacy patch panels, floor UPS</v>
      </c>
      <c r="G640" s="106">
        <f>B06_Assessment!$E$74</f>
        <v>0</v>
      </c>
      <c r="H640" s="106" t="str">
        <f>B06_Assessment!$F$74</f>
        <v>Paul</v>
      </c>
      <c r="I640" s="106">
        <f>B06_Assessment!$G$74</f>
        <v>0</v>
      </c>
      <c r="J640" s="106" t="str">
        <f>B06_Assessment!$H$74</f>
        <v>B06-R1/B06-R2</v>
      </c>
      <c r="K640" s="106" t="str">
        <f>B06_Assessment!$I$74</f>
        <v>Closed</v>
      </c>
      <c r="L640" s="106">
        <f>B06_Assessment!$J$74</f>
        <v>0</v>
      </c>
    </row>
    <row r="641" spans="1:12" ht="22.95" customHeight="1">
      <c r="A641" s="106" t="str">
        <f>B06_Assessment!$B$2</f>
        <v>06</v>
      </c>
      <c r="B641" s="106" t="str">
        <f t="shared" si="61"/>
        <v>B05_Assessment</v>
      </c>
      <c r="C641" s="106" t="str">
        <f>B06_Assessment!$A$75</f>
        <v>B06-P002</v>
      </c>
      <c r="D641" s="142" t="str">
        <f>B06_Assessment!$B$75</f>
        <v>178</v>
      </c>
      <c r="E641" s="142" t="str">
        <f>B06_Assessment!$C$75</f>
        <v>Existing Condition</v>
      </c>
      <c r="F641" s="106" t="str">
        <f>B06_Assessment!$D$75</f>
        <v>Room 178 TR, existing 2-post racks, panels, card reader/security, HVAC location</v>
      </c>
      <c r="G641" s="106">
        <f>B06_Assessment!$E$75</f>
        <v>0</v>
      </c>
      <c r="H641" s="106" t="str">
        <f>B06_Assessment!$F$75</f>
        <v>Paul</v>
      </c>
      <c r="I641" s="106">
        <f>B06_Assessment!$G$75</f>
        <v>0</v>
      </c>
      <c r="J641" s="106" t="str">
        <f>B06_Assessment!$H$75</f>
        <v>B06-R1/B06-R3</v>
      </c>
      <c r="K641" s="106" t="str">
        <f>B06_Assessment!$I$75</f>
        <v>Closed</v>
      </c>
      <c r="L641" s="106">
        <f>B06_Assessment!$J$75</f>
        <v>0</v>
      </c>
    </row>
    <row r="642" spans="1:12" ht="29.1" customHeight="1">
      <c r="A642" s="106" t="str">
        <f>B06_Assessment!$B$2</f>
        <v>06</v>
      </c>
      <c r="B642" s="106" t="str">
        <f t="shared" si="61"/>
        <v>B05_Assessment</v>
      </c>
      <c r="C642" s="106" t="str">
        <f>B06_Assessment!$A$76</f>
        <v>B06-P003</v>
      </c>
      <c r="D642" s="142" t="str">
        <f>B06_Assessment!$B$76</f>
        <v>233</v>
      </c>
      <c r="E642" s="142" t="str">
        <f>B06_Assessment!$C$76</f>
        <v>Existing Condition</v>
      </c>
      <c r="F642" s="106" t="str">
        <f>B06_Assessment!$D$76</f>
        <v>Room 233/Data Closet, adjacent toilet/bath areas, walls/door/ceiling/penetrations</v>
      </c>
      <c r="G642" s="106">
        <f>B06_Assessment!$E$76</f>
        <v>0</v>
      </c>
      <c r="H642" s="106" t="str">
        <f>B06_Assessment!$F$76</f>
        <v>Paul</v>
      </c>
      <c r="I642" s="106">
        <f>B06_Assessment!$G$76</f>
        <v>0</v>
      </c>
      <c r="J642" s="106" t="str">
        <f>B06_Assessment!$H$76</f>
        <v>B06-R4</v>
      </c>
      <c r="K642" s="106" t="str">
        <f>B06_Assessment!$I$76</f>
        <v>Closed</v>
      </c>
      <c r="L642" s="106">
        <f>B06_Assessment!$J$76</f>
        <v>0</v>
      </c>
    </row>
    <row r="643" spans="1:12" ht="17.25" customHeight="1">
      <c r="A643" s="106" t="str">
        <f>B06_Assessment!$B$2</f>
        <v>06</v>
      </c>
      <c r="B643" s="106" t="str">
        <f t="shared" si="61"/>
        <v>B05_Assessment</v>
      </c>
      <c r="C643" s="106" t="str">
        <f>B06_Assessment!$A$77</f>
        <v>B06-P004</v>
      </c>
      <c r="D643" s="142" t="str">
        <f>B06_Assessment!$B$77</f>
        <v>All</v>
      </c>
      <c r="E643" s="142" t="str">
        <f>B06_Assessment!$C$77</f>
        <v>Firestop</v>
      </c>
      <c r="F643" s="106" t="str">
        <f>B06_Assessment!$D$77</f>
        <v>All wall/floor/sleeve/tray penetrations before and after firestop</v>
      </c>
      <c r="G643" s="106">
        <f>B06_Assessment!$E$77</f>
        <v>0</v>
      </c>
      <c r="H643" s="106" t="str">
        <f>B06_Assessment!$F$77</f>
        <v>Paul</v>
      </c>
      <c r="I643" s="106">
        <f>B06_Assessment!$G$77</f>
        <v>0</v>
      </c>
      <c r="J643" s="106" t="str">
        <f>B06_Assessment!$H$77</f>
        <v>B06-R6</v>
      </c>
      <c r="K643" s="106" t="str">
        <f>B06_Assessment!$I$77</f>
        <v>Closed</v>
      </c>
      <c r="L643" s="106">
        <f>B06_Assessment!$J$77</f>
        <v>0</v>
      </c>
    </row>
    <row r="644" spans="1:12" ht="29.1" customHeight="1">
      <c r="A644" s="106" t="str">
        <f>B06_Assessment!$B$2</f>
        <v>06</v>
      </c>
      <c r="B644" s="106" t="str">
        <f t="shared" si="61"/>
        <v>B05_Assessment</v>
      </c>
      <c r="C644" s="106" t="str">
        <f>B06_Assessment!$A$78</f>
        <v>B06-P005</v>
      </c>
      <c r="D644" s="142" t="str">
        <f>B06_Assessment!$B$78</f>
        <v>178/233</v>
      </c>
      <c r="E644" s="142" t="str">
        <f>B06_Assessment!$C$78</f>
        <v>HVAC</v>
      </c>
      <c r="F644" s="106" t="str">
        <f>B06_Assessment!$D$78</f>
        <v>IU/CU equipment, condensate, thermostat, BACnet adapter, disconnects, high-temp alarm</v>
      </c>
      <c r="G644" s="106">
        <f>B06_Assessment!$E$78</f>
        <v>0</v>
      </c>
      <c r="H644" s="106" t="str">
        <f>B06_Assessment!$F$78</f>
        <v>Paul</v>
      </c>
      <c r="I644" s="106">
        <f>B06_Assessment!$G$78</f>
        <v>0</v>
      </c>
      <c r="J644" s="106" t="str">
        <f>B06_Assessment!$H$78</f>
        <v>B06-R5</v>
      </c>
      <c r="K644" s="106" t="str">
        <f>B06_Assessment!$I$78</f>
        <v>Closed</v>
      </c>
      <c r="L644" s="106">
        <f>B06_Assessment!$J$78</f>
        <v>0</v>
      </c>
    </row>
    <row r="645" spans="1:12" ht="22.95" customHeight="1">
      <c r="A645" s="106" t="str">
        <f>B06_Assessment!$B$2</f>
        <v>06</v>
      </c>
      <c r="B645" s="106" t="str">
        <f t="shared" ref="B645:B651" si="62">"B06_Assessment"</f>
        <v>B06_Assessment</v>
      </c>
      <c r="C645" s="106" t="str">
        <f>B06_Assessment!$A$79</f>
        <v>B06-P006</v>
      </c>
      <c r="D645" s="142" t="str">
        <f>B06_Assessment!$B$79</f>
        <v>All</v>
      </c>
      <c r="E645" s="142" t="str">
        <f>B06_Assessment!$C$79</f>
        <v>Electrical</v>
      </c>
      <c r="F645" s="106" t="str">
        <f>B06_Assessment!$D$79</f>
        <v>B06-NP-TR, B06-EP-TR, B06-TR178A/B, B06-TR233A/B, breakers, SPD, labels</v>
      </c>
      <c r="G645" s="106">
        <f>B06_Assessment!$E$79</f>
        <v>0</v>
      </c>
      <c r="H645" s="106" t="str">
        <f>B06_Assessment!$F$79</f>
        <v>Paul</v>
      </c>
      <c r="I645" s="106">
        <f>B06_Assessment!$G$79</f>
        <v>0</v>
      </c>
      <c r="J645" s="106" t="str">
        <f>B06_Assessment!$H$79</f>
        <v>B06-R3/B06-R6</v>
      </c>
      <c r="K645" s="106" t="str">
        <f>B06_Assessment!$I$79</f>
        <v>Closed</v>
      </c>
      <c r="L645" s="106">
        <f>B06_Assessment!$J$79</f>
        <v>0</v>
      </c>
    </row>
    <row r="646" spans="1:12" ht="22.95" customHeight="1">
      <c r="A646" s="106" t="str">
        <f>B06_Assessment!$B$2</f>
        <v>06</v>
      </c>
      <c r="B646" s="106" t="str">
        <f t="shared" si="62"/>
        <v>B06_Assessment</v>
      </c>
      <c r="C646" s="106" t="str">
        <f>B06_Assessment!$A$80</f>
        <v>B06-P007</v>
      </c>
      <c r="D646" s="142" t="str">
        <f>B06_Assessment!$B$80</f>
        <v>All</v>
      </c>
      <c r="E646" s="142" t="str">
        <f>B06_Assessment!$C$80</f>
        <v>Telecom</v>
      </c>
      <c r="F646" s="106" t="str">
        <f>B06_Assessment!$D$80</f>
        <v>Racks, ladder tray, fiber, Cat6A, LIU, patch panels, labels, test records</v>
      </c>
      <c r="G646" s="106">
        <f>B06_Assessment!$E$80</f>
        <v>0</v>
      </c>
      <c r="H646" s="106" t="str">
        <f>B06_Assessment!$F$80</f>
        <v>Paul</v>
      </c>
      <c r="I646" s="106">
        <f>B06_Assessment!$G$80</f>
        <v>0</v>
      </c>
      <c r="J646" s="106" t="str">
        <f>B06_Assessment!$H$80</f>
        <v>B06-R7</v>
      </c>
      <c r="K646" s="106" t="str">
        <f>B06_Assessment!$I$80</f>
        <v>Closed</v>
      </c>
      <c r="L646" s="106">
        <f>B06_Assessment!$J$80</f>
        <v>0</v>
      </c>
    </row>
    <row r="647" spans="1:12" ht="29.1" customHeight="1">
      <c r="A647" s="106" t="str">
        <f>B06_Assessment!$B$2</f>
        <v>06</v>
      </c>
      <c r="B647" s="106" t="str">
        <f t="shared" si="62"/>
        <v>B06_Assessment</v>
      </c>
      <c r="C647" s="106" t="str">
        <f>B06_Assessment!$A$81</f>
        <v>B06-P008</v>
      </c>
      <c r="D647" s="142" t="str">
        <f>B06_Assessment!$B$81</f>
        <v>All</v>
      </c>
      <c r="E647" s="142" t="str">
        <f>B06_Assessment!$C$81</f>
        <v>Security</v>
      </c>
      <c r="F647" s="106" t="str">
        <f>B06_Assessment!$D$81</f>
        <v>Card readers, electric strikes, door position, motion sensors, CCTV/PACS integration</v>
      </c>
      <c r="G647" s="106">
        <f>B06_Assessment!$E$81</f>
        <v>0</v>
      </c>
      <c r="H647" s="106" t="str">
        <f>B06_Assessment!$F$81</f>
        <v>Paul</v>
      </c>
      <c r="I647" s="106">
        <f>B06_Assessment!$G$81</f>
        <v>0</v>
      </c>
      <c r="J647" s="106" t="str">
        <f>B06_Assessment!$H$81</f>
        <v>B06-R4</v>
      </c>
      <c r="K647" s="106" t="str">
        <f>B06_Assessment!$I$81</f>
        <v>Closed</v>
      </c>
      <c r="L647" s="106">
        <f>B06_Assessment!$J$81</f>
        <v>0</v>
      </c>
    </row>
    <row r="648" spans="1:12" ht="29.1" customHeight="1">
      <c r="A648" s="106" t="str">
        <f>B07_Assessment!$B$2</f>
        <v>07</v>
      </c>
      <c r="B648" s="106" t="str">
        <f t="shared" si="62"/>
        <v>B06_Assessment</v>
      </c>
      <c r="C648" s="106" t="str">
        <f>B07_Assessment!$A$67</f>
        <v>B07-P001</v>
      </c>
      <c r="D648" s="142" t="str">
        <f>B07_Assessment!$B$67</f>
        <v>B-18</v>
      </c>
      <c r="E648" s="142" t="str">
        <f>B07_Assessment!$C$67</f>
        <v>Existing Condition</v>
      </c>
      <c r="F648" s="106" t="str">
        <f>B07_Assessment!$D$67</f>
        <v>Basement TR B-18 existing room, walls, ceiling, floor, utilities, penetrations and pathway</v>
      </c>
      <c r="G648" s="106">
        <f>B07_Assessment!$E$67</f>
        <v>0</v>
      </c>
      <c r="H648" s="106" t="str">
        <f>B07_Assessment!$F$67</f>
        <v>Paul</v>
      </c>
      <c r="I648" s="106">
        <f>B07_Assessment!$G$67</f>
        <v>0</v>
      </c>
      <c r="J648" s="106" t="str">
        <f>B07_Assessment!$H$67</f>
        <v>B07-R1/B07-R2</v>
      </c>
      <c r="K648" s="106" t="str">
        <f>B07_Assessment!$I$67</f>
        <v>Closed</v>
      </c>
      <c r="L648" s="106">
        <f>B07_Assessment!$J$67</f>
        <v>0</v>
      </c>
    </row>
    <row r="649" spans="1:12" ht="22.95" customHeight="1">
      <c r="A649" s="106" t="str">
        <f>B07_Assessment!$B$2</f>
        <v>07</v>
      </c>
      <c r="B649" s="106" t="str">
        <f t="shared" si="62"/>
        <v>B06_Assessment</v>
      </c>
      <c r="C649" s="106" t="str">
        <f>B07_Assessment!$A$68</f>
        <v>B07-P002</v>
      </c>
      <c r="D649" s="142" t="str">
        <f>B07_Assessment!$B$68</f>
        <v>228A</v>
      </c>
      <c r="E649" s="142" t="str">
        <f>B07_Assessment!$C$68</f>
        <v>Existing Condition</v>
      </c>
      <c r="F649" s="106" t="str">
        <f>B07_Assessment!$D$68</f>
        <v>Second-floor TR 228A, door/wall/furring/window conditions, adjacent spaces and pathway</v>
      </c>
      <c r="G649" s="106">
        <f>B07_Assessment!$E$68</f>
        <v>0</v>
      </c>
      <c r="H649" s="106" t="str">
        <f>B07_Assessment!$F$68</f>
        <v>Paul</v>
      </c>
      <c r="I649" s="106">
        <f>B07_Assessment!$G$68</f>
        <v>0</v>
      </c>
      <c r="J649" s="106" t="str">
        <f>B07_Assessment!$H$68</f>
        <v>B07-R1/B07-R3</v>
      </c>
      <c r="K649" s="106" t="str">
        <f>B07_Assessment!$I$68</f>
        <v>Closed</v>
      </c>
      <c r="L649" s="106">
        <f>B07_Assessment!$J$68</f>
        <v>0</v>
      </c>
    </row>
    <row r="650" spans="1:12" ht="17.25" customHeight="1">
      <c r="A650" s="106" t="str">
        <f>B07_Assessment!$B$2</f>
        <v>07</v>
      </c>
      <c r="B650" s="106" t="str">
        <f t="shared" si="62"/>
        <v>B06_Assessment</v>
      </c>
      <c r="C650" s="106" t="str">
        <f>B07_Assessment!$A$69</f>
        <v>B07-P003</v>
      </c>
      <c r="D650" s="142" t="str">
        <f>B07_Assessment!$B$69</f>
        <v>All</v>
      </c>
      <c r="E650" s="142" t="str">
        <f>B07_Assessment!$C$69</f>
        <v>Firestop</v>
      </c>
      <c r="F650" s="106" t="str">
        <f>B07_Assessment!$D$69</f>
        <v>All wall/floor/sleeve/tray penetrations before and after firestop</v>
      </c>
      <c r="G650" s="106">
        <f>B07_Assessment!$E$69</f>
        <v>0</v>
      </c>
      <c r="H650" s="106" t="str">
        <f>B07_Assessment!$F$69</f>
        <v>Paul</v>
      </c>
      <c r="I650" s="106">
        <f>B07_Assessment!$G$69</f>
        <v>0</v>
      </c>
      <c r="J650" s="106" t="str">
        <f>B07_Assessment!$H$69</f>
        <v>B07-R7</v>
      </c>
      <c r="K650" s="106" t="str">
        <f>B07_Assessment!$I$69</f>
        <v>Closed</v>
      </c>
      <c r="L650" s="106">
        <f>B07_Assessment!$J$69</f>
        <v>0</v>
      </c>
    </row>
    <row r="651" spans="1:12" ht="34.950000000000003" customHeight="1">
      <c r="A651" s="106" t="str">
        <f>B07_Assessment!$B$2</f>
        <v>07</v>
      </c>
      <c r="B651" s="106" t="str">
        <f t="shared" si="62"/>
        <v>B06_Assessment</v>
      </c>
      <c r="C651" s="106" t="str">
        <f>B07_Assessment!$A$70</f>
        <v>B07-P004</v>
      </c>
      <c r="D651" s="142" t="str">
        <f>B07_Assessment!$B$70</f>
        <v>B-18/228A</v>
      </c>
      <c r="E651" s="142" t="str">
        <f>B07_Assessment!$C$70</f>
        <v>HVAC</v>
      </c>
      <c r="F651" s="106" t="str">
        <f>B07_Assessment!$D$70</f>
        <v>IU/CU units, condensate, thermostat, BACnet adapter, disconnects, high-temp alarm and power source</v>
      </c>
      <c r="G651" s="106">
        <f>B07_Assessment!$E$70</f>
        <v>0</v>
      </c>
      <c r="H651" s="106" t="str">
        <f>B07_Assessment!$F$70</f>
        <v>Paul</v>
      </c>
      <c r="I651" s="106">
        <f>B07_Assessment!$G$70</f>
        <v>0</v>
      </c>
      <c r="J651" s="106" t="str">
        <f>B07_Assessment!$H$70</f>
        <v>B07-R4</v>
      </c>
      <c r="K651" s="106" t="str">
        <f>B07_Assessment!$I$70</f>
        <v>Closed</v>
      </c>
      <c r="L651" s="106">
        <f>B07_Assessment!$J$70</f>
        <v>0</v>
      </c>
    </row>
    <row r="652" spans="1:12" ht="22.95" customHeight="1">
      <c r="A652" s="106" t="str">
        <f>B07_Assessment!$B$2</f>
        <v>07</v>
      </c>
      <c r="B652" s="106" t="str">
        <f t="shared" ref="B652:B659" si="63">"B07_Assessment"</f>
        <v>B07_Assessment</v>
      </c>
      <c r="C652" s="106" t="str">
        <f>B07_Assessment!$A$71</f>
        <v>B07-P005</v>
      </c>
      <c r="D652" s="142" t="str">
        <f>B07_Assessment!$B$71</f>
        <v>All</v>
      </c>
      <c r="E652" s="142" t="str">
        <f>B07_Assessment!$C$71</f>
        <v>Electrical</v>
      </c>
      <c r="F652" s="106" t="str">
        <f>B07_Assessment!$D$71</f>
        <v>B07-TRB18A/B and B07-TR228A/B panels, breakers, SPD, rack receptacles and labels</v>
      </c>
      <c r="G652" s="106">
        <f>B07_Assessment!$E$71</f>
        <v>0</v>
      </c>
      <c r="H652" s="106" t="str">
        <f>B07_Assessment!$F$71</f>
        <v>Paul</v>
      </c>
      <c r="I652" s="106">
        <f>B07_Assessment!$G$71</f>
        <v>0</v>
      </c>
      <c r="J652" s="106" t="str">
        <f>B07_Assessment!$H$71</f>
        <v>B07-R5</v>
      </c>
      <c r="K652" s="106" t="str">
        <f>B07_Assessment!$I$71</f>
        <v>Closed</v>
      </c>
      <c r="L652" s="106">
        <f>B07_Assessment!$J$71</f>
        <v>0</v>
      </c>
    </row>
    <row r="653" spans="1:12" ht="22.95" customHeight="1">
      <c r="A653" s="106" t="str">
        <f>B07_Assessment!$B$2</f>
        <v>07</v>
      </c>
      <c r="B653" s="106" t="str">
        <f t="shared" si="63"/>
        <v>B07_Assessment</v>
      </c>
      <c r="C653" s="106" t="str">
        <f>B07_Assessment!$A$72</f>
        <v>B07-P006</v>
      </c>
      <c r="D653" s="142" t="str">
        <f>B07_Assessment!$B$72</f>
        <v>All</v>
      </c>
      <c r="E653" s="142" t="str">
        <f>B07_Assessment!$C$72</f>
        <v>Telecom</v>
      </c>
      <c r="F653" s="106" t="str">
        <f>B07_Assessment!$D$72</f>
        <v>Racks, ladder tray, fiber, Cat6A, patch panels, LIU, labels and test records</v>
      </c>
      <c r="G653" s="106">
        <f>B07_Assessment!$E$72</f>
        <v>0</v>
      </c>
      <c r="H653" s="106" t="str">
        <f>B07_Assessment!$F$72</f>
        <v>Paul</v>
      </c>
      <c r="I653" s="106">
        <f>B07_Assessment!$G$72</f>
        <v>0</v>
      </c>
      <c r="J653" s="106" t="str">
        <f>B07_Assessment!$H$72</f>
        <v>B07-R6</v>
      </c>
      <c r="K653" s="106" t="str">
        <f>B07_Assessment!$I$72</f>
        <v>Closed</v>
      </c>
      <c r="L653" s="106">
        <f>B07_Assessment!$J$72</f>
        <v>0</v>
      </c>
    </row>
    <row r="654" spans="1:12" ht="22.95" customHeight="1">
      <c r="A654" s="106" t="str">
        <f>B07_Assessment!$B$2</f>
        <v>07</v>
      </c>
      <c r="B654" s="106" t="str">
        <f t="shared" si="63"/>
        <v>B07_Assessment</v>
      </c>
      <c r="C654" s="106" t="str">
        <f>B07_Assessment!$A$73</f>
        <v>B07-P007</v>
      </c>
      <c r="D654" s="142" t="str">
        <f>B07_Assessment!$B$73</f>
        <v>All</v>
      </c>
      <c r="E654" s="142" t="str">
        <f>B07_Assessment!$C$73</f>
        <v>Security</v>
      </c>
      <c r="F654" s="106" t="str">
        <f>B07_Assessment!$D$73</f>
        <v>Card reader, electric strike, door position, CCTV/PACS and motion sensors</v>
      </c>
      <c r="G654" s="106">
        <f>B07_Assessment!$E$73</f>
        <v>0</v>
      </c>
      <c r="H654" s="106" t="str">
        <f>B07_Assessment!$F$73</f>
        <v>Paul</v>
      </c>
      <c r="I654" s="106">
        <f>B07_Assessment!$G$73</f>
        <v>0</v>
      </c>
      <c r="J654" s="106" t="str">
        <f>B07_Assessment!$H$73</f>
        <v>B07-R3</v>
      </c>
      <c r="K654" s="106" t="str">
        <f>B07_Assessment!$I$73</f>
        <v>Closed</v>
      </c>
      <c r="L654" s="106">
        <f>B07_Assessment!$J$73</f>
        <v>0</v>
      </c>
    </row>
    <row r="655" spans="1:12" ht="22.95" customHeight="1">
      <c r="A655" s="106" t="str">
        <f>B08_Assessment!$B$2</f>
        <v>08</v>
      </c>
      <c r="B655" s="106" t="str">
        <f t="shared" si="63"/>
        <v>B07_Assessment</v>
      </c>
      <c r="C655" s="106" t="str">
        <f>B08_Assessment!$A$74</f>
        <v>B08-P001</v>
      </c>
      <c r="D655" s="142" t="str">
        <f>B08_Assessment!$B$74</f>
        <v>B-15</v>
      </c>
      <c r="E655" s="142" t="str">
        <f>B08_Assessment!$C$74</f>
        <v>Existing Condition</v>
      </c>
      <c r="F655" s="106" t="str">
        <f>B08_Assessment!$D$74</f>
        <v>Existing basement TE, legacy patch panels, Fiber LIU, floor UPS and pathways</v>
      </c>
      <c r="G655" s="106">
        <f>B08_Assessment!$E$74</f>
        <v>0</v>
      </c>
      <c r="H655" s="106" t="str">
        <f>B08_Assessment!$F$74</f>
        <v>Paul</v>
      </c>
      <c r="I655" s="106">
        <f>B08_Assessment!$G$74</f>
        <v>0</v>
      </c>
      <c r="J655" s="106" t="str">
        <f>B08_Assessment!$H$74</f>
        <v>B08-R1/B08-R2</v>
      </c>
      <c r="K655" s="106" t="str">
        <f>B08_Assessment!$I$74</f>
        <v>Closed</v>
      </c>
      <c r="L655" s="106">
        <f>B08_Assessment!$J$74</f>
        <v>0</v>
      </c>
    </row>
    <row r="656" spans="1:12" ht="34.950000000000003" customHeight="1">
      <c r="A656" s="106" t="str">
        <f>B08_Assessment!$B$2</f>
        <v>08</v>
      </c>
      <c r="B656" s="106" t="str">
        <f t="shared" si="63"/>
        <v>B07_Assessment</v>
      </c>
      <c r="C656" s="106" t="str">
        <f>B08_Assessment!$A$75</f>
        <v>B08-P002</v>
      </c>
      <c r="D656" s="142" t="str">
        <f>B08_Assessment!$B$75</f>
        <v>B12B</v>
      </c>
      <c r="E656" s="142" t="str">
        <f>B08_Assessment!$C$75</f>
        <v>Existing Condition</v>
      </c>
      <c r="F656" s="106" t="str">
        <f>B08_Assessment!$D$75</f>
        <v>Basement B12B office/TE location, door, pathways, receptacles, panel source and penetrations</v>
      </c>
      <c r="G656" s="106">
        <f>B08_Assessment!$E$75</f>
        <v>0</v>
      </c>
      <c r="H656" s="106" t="str">
        <f>B08_Assessment!$F$75</f>
        <v>Paul</v>
      </c>
      <c r="I656" s="106">
        <f>B08_Assessment!$G$75</f>
        <v>0</v>
      </c>
      <c r="J656" s="106" t="str">
        <f>B08_Assessment!$H$75</f>
        <v>B08-R3</v>
      </c>
      <c r="K656" s="106" t="str">
        <f>B08_Assessment!$I$75</f>
        <v>Closed</v>
      </c>
      <c r="L656" s="106">
        <f>B08_Assessment!$J$75</f>
        <v>0</v>
      </c>
    </row>
    <row r="657" spans="1:12" ht="29.1" customHeight="1">
      <c r="A657" s="106" t="str">
        <f>B08_Assessment!$B$2</f>
        <v>08</v>
      </c>
      <c r="B657" s="106" t="str">
        <f t="shared" si="63"/>
        <v>B07_Assessment</v>
      </c>
      <c r="C657" s="106" t="str">
        <f>B08_Assessment!$A$76</f>
        <v>B08-P003</v>
      </c>
      <c r="D657" s="142" t="str">
        <f>B08_Assessment!$B$76</f>
        <v>2065A</v>
      </c>
      <c r="E657" s="142" t="str">
        <f>B08_Assessment!$C$76</f>
        <v>Existing Condition</v>
      </c>
      <c r="F657" s="106" t="str">
        <f>B08_Assessment!$D$76</f>
        <v>Second-floor TR 2065A room, door/walls/ceiling/floor, exterior furring/window, penetrations</v>
      </c>
      <c r="G657" s="106">
        <f>B08_Assessment!$E$76</f>
        <v>0</v>
      </c>
      <c r="H657" s="106" t="str">
        <f>B08_Assessment!$F$76</f>
        <v>Paul</v>
      </c>
      <c r="I657" s="106">
        <f>B08_Assessment!$G$76</f>
        <v>0</v>
      </c>
      <c r="J657" s="106" t="str">
        <f>B08_Assessment!$H$76</f>
        <v>B08-R4</v>
      </c>
      <c r="K657" s="106" t="str">
        <f>B08_Assessment!$I$76</f>
        <v>Closed</v>
      </c>
      <c r="L657" s="106">
        <f>B08_Assessment!$J$76</f>
        <v>0</v>
      </c>
    </row>
    <row r="658" spans="1:12" ht="17.25" customHeight="1">
      <c r="A658" s="106" t="str">
        <f>B08_Assessment!$B$2</f>
        <v>08</v>
      </c>
      <c r="B658" s="106" t="str">
        <f t="shared" si="63"/>
        <v>B07_Assessment</v>
      </c>
      <c r="C658" s="106" t="str">
        <f>B08_Assessment!$A$77</f>
        <v>B08-P004</v>
      </c>
      <c r="D658" s="142" t="str">
        <f>B08_Assessment!$B$77</f>
        <v>All</v>
      </c>
      <c r="E658" s="142" t="str">
        <f>B08_Assessment!$C$77</f>
        <v>Firestop</v>
      </c>
      <c r="F658" s="106" t="str">
        <f>B08_Assessment!$D$77</f>
        <v>All wall/floor/sleeve/tray penetrations before and after firestop</v>
      </c>
      <c r="G658" s="106">
        <f>B08_Assessment!$E$77</f>
        <v>0</v>
      </c>
      <c r="H658" s="106" t="str">
        <f>B08_Assessment!$F$77</f>
        <v>Paul</v>
      </c>
      <c r="I658" s="106">
        <f>B08_Assessment!$G$77</f>
        <v>0</v>
      </c>
      <c r="J658" s="106" t="str">
        <f>B08_Assessment!$H$77</f>
        <v>B08-R7</v>
      </c>
      <c r="K658" s="106" t="str">
        <f>B08_Assessment!$I$77</f>
        <v>Closed</v>
      </c>
      <c r="L658" s="106">
        <f>B08_Assessment!$J$77</f>
        <v>0</v>
      </c>
    </row>
    <row r="659" spans="1:12" ht="34.950000000000003" customHeight="1">
      <c r="A659" s="106" t="str">
        <f>B08_Assessment!$B$2</f>
        <v>08</v>
      </c>
      <c r="B659" s="106" t="str">
        <f t="shared" si="63"/>
        <v>B07_Assessment</v>
      </c>
      <c r="C659" s="106" t="str">
        <f>B08_Assessment!$A$78</f>
        <v>B08-P005</v>
      </c>
      <c r="D659" s="142" t="str">
        <f>B08_Assessment!$B$78</f>
        <v>2065A</v>
      </c>
      <c r="E659" s="142" t="str">
        <f>B08_Assessment!$C$78</f>
        <v>HVAC</v>
      </c>
      <c r="F659" s="106" t="str">
        <f>B08_Assessment!$D$78</f>
        <v>IU-2-01/CU-2-01, condensate, thermostat, BACnet adapter, disconnects, high-temp alarm and power</v>
      </c>
      <c r="G659" s="106">
        <f>B08_Assessment!$E$78</f>
        <v>0</v>
      </c>
      <c r="H659" s="106" t="str">
        <f>B08_Assessment!$F$78</f>
        <v>Paul</v>
      </c>
      <c r="I659" s="106">
        <f>B08_Assessment!$G$78</f>
        <v>0</v>
      </c>
      <c r="J659" s="106" t="str">
        <f>B08_Assessment!$H$78</f>
        <v>B08-R5</v>
      </c>
      <c r="K659" s="106" t="str">
        <f>B08_Assessment!$I$78</f>
        <v>Closed</v>
      </c>
      <c r="L659" s="106">
        <f>B08_Assessment!$J$78</f>
        <v>0</v>
      </c>
    </row>
    <row r="660" spans="1:12" ht="29.1" customHeight="1">
      <c r="A660" s="106" t="str">
        <f>B08_Assessment!$B$2</f>
        <v>08</v>
      </c>
      <c r="B660" s="106" t="str">
        <f t="shared" ref="B660:B667" si="64">"B08_Assessment"</f>
        <v>B08_Assessment</v>
      </c>
      <c r="C660" s="106" t="str">
        <f>B08_Assessment!$A$79</f>
        <v>B08-P006</v>
      </c>
      <c r="D660" s="142" t="str">
        <f>B08_Assessment!$B$79</f>
        <v>All</v>
      </c>
      <c r="E660" s="142" t="str">
        <f>B08_Assessment!$C$79</f>
        <v>Electrical</v>
      </c>
      <c r="F660" s="106" t="str">
        <f>B08_Assessment!$D$79</f>
        <v>B08-TR2065AA/AB panels, breakers, SPD, rack receptacles, TE receptacle B12B and labels</v>
      </c>
      <c r="G660" s="106">
        <f>B08_Assessment!$E$79</f>
        <v>0</v>
      </c>
      <c r="H660" s="106" t="str">
        <f>B08_Assessment!$F$79</f>
        <v>Paul</v>
      </c>
      <c r="I660" s="106">
        <f>B08_Assessment!$G$79</f>
        <v>0</v>
      </c>
      <c r="J660" s="106" t="str">
        <f>B08_Assessment!$H$79</f>
        <v>B08-R6</v>
      </c>
      <c r="K660" s="106" t="str">
        <f>B08_Assessment!$I$79</f>
        <v>Closed</v>
      </c>
      <c r="L660" s="106">
        <f>B08_Assessment!$J$79</f>
        <v>0</v>
      </c>
    </row>
    <row r="661" spans="1:12" ht="34.950000000000003" customHeight="1">
      <c r="A661" s="106" t="str">
        <f>B08_Assessment!$B$2</f>
        <v>08</v>
      </c>
      <c r="B661" s="106" t="str">
        <f t="shared" si="64"/>
        <v>B08_Assessment</v>
      </c>
      <c r="C661" s="106" t="str">
        <f>B08_Assessment!$A$80</f>
        <v>B08-P007</v>
      </c>
      <c r="D661" s="142" t="str">
        <f>B08_Assessment!$B$80</f>
        <v>All</v>
      </c>
      <c r="E661" s="142" t="str">
        <f>B08_Assessment!$C$80</f>
        <v>Telecom</v>
      </c>
      <c r="F661" s="106" t="str">
        <f>B08_Assessment!$D$80</f>
        <v>B-15 legacy equipment, B12B TE schedule, 2065A racks, fiber, Cat6A, patch panels, LIU, labels and test records</v>
      </c>
      <c r="G661" s="106">
        <f>B08_Assessment!$E$80</f>
        <v>0</v>
      </c>
      <c r="H661" s="106" t="str">
        <f>B08_Assessment!$F$80</f>
        <v>Paul</v>
      </c>
      <c r="I661" s="106">
        <f>B08_Assessment!$G$80</f>
        <v>0</v>
      </c>
      <c r="J661" s="106" t="str">
        <f>B08_Assessment!$H$80</f>
        <v>B08-R2/B08-R8</v>
      </c>
      <c r="K661" s="106" t="str">
        <f>B08_Assessment!$I$80</f>
        <v>Closed</v>
      </c>
      <c r="L661" s="106">
        <f>B08_Assessment!$J$80</f>
        <v>0</v>
      </c>
    </row>
    <row r="662" spans="1:12" ht="22.95" customHeight="1">
      <c r="A662" s="106" t="str">
        <f>B08_Assessment!$B$2</f>
        <v>08</v>
      </c>
      <c r="B662" s="106" t="str">
        <f t="shared" si="64"/>
        <v>B08_Assessment</v>
      </c>
      <c r="C662" s="106" t="str">
        <f>B08_Assessment!$A$81</f>
        <v>B08-P008</v>
      </c>
      <c r="D662" s="142" t="str">
        <f>B08_Assessment!$B$81</f>
        <v>All</v>
      </c>
      <c r="E662" s="142" t="str">
        <f>B08_Assessment!$C$81</f>
        <v>Security</v>
      </c>
      <c r="F662" s="106" t="str">
        <f>B08_Assessment!$D$81</f>
        <v>Card reader, electric strike, door position, CCTV/PACS and motion sensors</v>
      </c>
      <c r="G662" s="106">
        <f>B08_Assessment!$E$81</f>
        <v>0</v>
      </c>
      <c r="H662" s="106" t="str">
        <f>B08_Assessment!$F$81</f>
        <v>Paul</v>
      </c>
      <c r="I662" s="106">
        <f>B08_Assessment!$G$81</f>
        <v>0</v>
      </c>
      <c r="J662" s="106" t="str">
        <f>B08_Assessment!$H$81</f>
        <v>B08-R4</v>
      </c>
      <c r="K662" s="106" t="str">
        <f>B08_Assessment!$I$81</f>
        <v>Closed</v>
      </c>
      <c r="L662" s="106">
        <f>B08_Assessment!$J$81</f>
        <v>0</v>
      </c>
    </row>
    <row r="663" spans="1:12" ht="40.65" customHeight="1">
      <c r="A663" s="106" t="str">
        <f>B09_Assessment!$B$2</f>
        <v>09</v>
      </c>
      <c r="B663" s="106" t="str">
        <f t="shared" si="64"/>
        <v>B08_Assessment</v>
      </c>
      <c r="C663" s="106" t="str">
        <f>B09_Assessment!$A$74</f>
        <v>B09-P001</v>
      </c>
      <c r="D663" s="142" t="str">
        <f>B09_Assessment!$B$74</f>
        <v>B01</v>
      </c>
      <c r="E663" s="142" t="str">
        <f>B09_Assessment!$C$74</f>
        <v>Existing Condition</v>
      </c>
      <c r="F663" s="106" t="str">
        <f>B09_Assessment!$D$74</f>
        <v>Basement TR B01 existing telecom/security/network equipment, storage conditions, panels, ceiling, walls and pathways</v>
      </c>
      <c r="G663" s="106">
        <f>B09_Assessment!$E$74</f>
        <v>0</v>
      </c>
      <c r="H663" s="106" t="str">
        <f>B09_Assessment!$F$74</f>
        <v>Paul</v>
      </c>
      <c r="I663" s="106">
        <f>B09_Assessment!$G$74</f>
        <v>0</v>
      </c>
      <c r="J663" s="106" t="str">
        <f>B09_Assessment!$H$74</f>
        <v>B09-R1/B09-R2</v>
      </c>
      <c r="K663" s="106" t="str">
        <f>B09_Assessment!$I$74</f>
        <v>Closed</v>
      </c>
      <c r="L663" s="106">
        <f>B09_Assessment!$J$74</f>
        <v>0</v>
      </c>
    </row>
    <row r="664" spans="1:12" ht="29.1" customHeight="1">
      <c r="A664" s="106" t="str">
        <f>B09_Assessment!$B$2</f>
        <v>09</v>
      </c>
      <c r="B664" s="106" t="str">
        <f t="shared" si="64"/>
        <v>B08_Assessment</v>
      </c>
      <c r="C664" s="106" t="str">
        <f>B09_Assessment!$A$75</f>
        <v>B09-P002</v>
      </c>
      <c r="D664" s="142" t="str">
        <f>B09_Assessment!$B$75</f>
        <v>104B</v>
      </c>
      <c r="E664" s="142" t="str">
        <f>B09_Assessment!$C$75</f>
        <v>Existing Condition</v>
      </c>
      <c r="F664" s="106" t="str">
        <f>B09_Assessment!$D$75</f>
        <v>First-level TR 104B, walls/door/ceiling/floor, security devices, IU-1-01 location and pathways</v>
      </c>
      <c r="G664" s="106">
        <f>B09_Assessment!$E$75</f>
        <v>0</v>
      </c>
      <c r="H664" s="106" t="str">
        <f>B09_Assessment!$F$75</f>
        <v>Paul</v>
      </c>
      <c r="I664" s="106">
        <f>B09_Assessment!$G$75</f>
        <v>0</v>
      </c>
      <c r="J664" s="106" t="str">
        <f>B09_Assessment!$H$75</f>
        <v>B09-R1/B09-R4</v>
      </c>
      <c r="K664" s="106" t="str">
        <f>B09_Assessment!$I$75</f>
        <v>Closed</v>
      </c>
      <c r="L664" s="106">
        <f>B09_Assessment!$J$75</f>
        <v>0</v>
      </c>
    </row>
    <row r="665" spans="1:12" ht="29.1" customHeight="1">
      <c r="A665" s="106" t="str">
        <f>B09_Assessment!$B$2</f>
        <v>09</v>
      </c>
      <c r="B665" s="106" t="str">
        <f t="shared" si="64"/>
        <v>B08_Assessment</v>
      </c>
      <c r="C665" s="106" t="str">
        <f>B09_Assessment!$A$76</f>
        <v>B09-P003</v>
      </c>
      <c r="D665" s="142" t="str">
        <f>B09_Assessment!$B$76</f>
        <v>206A</v>
      </c>
      <c r="E665" s="142" t="str">
        <f>B09_Assessment!$C$76</f>
        <v>Existing Condition</v>
      </c>
      <c r="F665" s="106" t="str">
        <f>B09_Assessment!$D$76</f>
        <v>Second-level TR 206A, walls/door/ceiling/floor, adjacent Nursing Service 206, IU-2-01 location and pathways</v>
      </c>
      <c r="G665" s="106">
        <f>B09_Assessment!$E$76</f>
        <v>0</v>
      </c>
      <c r="H665" s="106" t="str">
        <f>B09_Assessment!$F$76</f>
        <v>Paul</v>
      </c>
      <c r="I665" s="106">
        <f>B09_Assessment!$G$76</f>
        <v>0</v>
      </c>
      <c r="J665" s="106" t="str">
        <f>B09_Assessment!$H$76</f>
        <v>B09-R1/B09-R4</v>
      </c>
      <c r="K665" s="106" t="str">
        <f>B09_Assessment!$I$76</f>
        <v>Closed</v>
      </c>
      <c r="L665" s="106">
        <f>B09_Assessment!$J$76</f>
        <v>0</v>
      </c>
    </row>
    <row r="666" spans="1:12" ht="29.1" customHeight="1">
      <c r="A666" s="106" t="str">
        <f>B09_Assessment!$B$2</f>
        <v>09</v>
      </c>
      <c r="B666" s="106" t="str">
        <f t="shared" si="64"/>
        <v>B08_Assessment</v>
      </c>
      <c r="C666" s="106" t="str">
        <f>B09_Assessment!$A$77</f>
        <v>B09-P004</v>
      </c>
      <c r="D666" s="142" t="str">
        <f>B09_Assessment!$B$77</f>
        <v>All</v>
      </c>
      <c r="E666" s="142" t="str">
        <f>B09_Assessment!$C$77</f>
        <v>Hazardous Materials</v>
      </c>
      <c r="F666" s="106" t="str">
        <f>B09_Assessment!$D$77</f>
        <v>Flooring, ceilings, pipe insulation, penetrations and abatement-related locations before disturbance</v>
      </c>
      <c r="G666" s="106">
        <f>B09_Assessment!$E$77</f>
        <v>0</v>
      </c>
      <c r="H666" s="106" t="str">
        <f>B09_Assessment!$F$77</f>
        <v>Paul</v>
      </c>
      <c r="I666" s="106">
        <f>B09_Assessment!$G$77</f>
        <v>0</v>
      </c>
      <c r="J666" s="106" t="str">
        <f>B09_Assessment!$H$77</f>
        <v>B09-R3</v>
      </c>
      <c r="K666" s="106" t="str">
        <f>B09_Assessment!$I$77</f>
        <v>Closed</v>
      </c>
      <c r="L666" s="106">
        <f>B09_Assessment!$J$77</f>
        <v>0</v>
      </c>
    </row>
    <row r="667" spans="1:12" ht="17.25" customHeight="1">
      <c r="A667" s="106" t="str">
        <f>B09_Assessment!$B$2</f>
        <v>09</v>
      </c>
      <c r="B667" s="106" t="str">
        <f t="shared" si="64"/>
        <v>B08_Assessment</v>
      </c>
      <c r="C667" s="106" t="str">
        <f>B09_Assessment!$A$78</f>
        <v>B09-P005</v>
      </c>
      <c r="D667" s="142" t="str">
        <f>B09_Assessment!$B$78</f>
        <v>All</v>
      </c>
      <c r="E667" s="142" t="str">
        <f>B09_Assessment!$C$78</f>
        <v>Firestop</v>
      </c>
      <c r="F667" s="106" t="str">
        <f>B09_Assessment!$D$78</f>
        <v>All wall/floor/sleeve/tray penetrations before and after firestop</v>
      </c>
      <c r="G667" s="106">
        <f>B09_Assessment!$E$78</f>
        <v>0</v>
      </c>
      <c r="H667" s="106" t="str">
        <f>B09_Assessment!$F$78</f>
        <v>Paul</v>
      </c>
      <c r="I667" s="106">
        <f>B09_Assessment!$G$78</f>
        <v>0</v>
      </c>
      <c r="J667" s="106" t="str">
        <f>B09_Assessment!$H$78</f>
        <v>B09-R7</v>
      </c>
      <c r="K667" s="106" t="str">
        <f>B09_Assessment!$I$78</f>
        <v>Closed</v>
      </c>
      <c r="L667" s="106">
        <f>B09_Assessment!$J$78</f>
        <v>0</v>
      </c>
    </row>
    <row r="668" spans="1:12" ht="34.950000000000003" customHeight="1">
      <c r="A668" s="106" t="str">
        <f>B09_Assessment!$B$2</f>
        <v>09</v>
      </c>
      <c r="B668" s="106" t="str">
        <f t="shared" ref="B668:B675" si="65">"B09_Assessment"</f>
        <v>B09_Assessment</v>
      </c>
      <c r="C668" s="106" t="str">
        <f>B09_Assessment!$A$79</f>
        <v>B09-P006</v>
      </c>
      <c r="D668" s="142" t="str">
        <f>B09_Assessment!$B$79</f>
        <v>All</v>
      </c>
      <c r="E668" s="142" t="str">
        <f>B09_Assessment!$C$79</f>
        <v>HVAC</v>
      </c>
      <c r="F668" s="106" t="str">
        <f>B09_Assessment!$D$79</f>
        <v>IU/CU equipment, condensate, thermostat, BACnet adapter, disconnects, high-temp alarm and power source</v>
      </c>
      <c r="G668" s="106">
        <f>B09_Assessment!$E$79</f>
        <v>0</v>
      </c>
      <c r="H668" s="106" t="str">
        <f>B09_Assessment!$F$79</f>
        <v>Paul</v>
      </c>
      <c r="I668" s="106">
        <f>B09_Assessment!$G$79</f>
        <v>0</v>
      </c>
      <c r="J668" s="106" t="str">
        <f>B09_Assessment!$H$79</f>
        <v>B09-R5</v>
      </c>
      <c r="K668" s="106" t="str">
        <f>B09_Assessment!$I$79</f>
        <v>Closed</v>
      </c>
      <c r="L668" s="106">
        <f>B09_Assessment!$J$79</f>
        <v>0</v>
      </c>
    </row>
    <row r="669" spans="1:12" ht="29.1" customHeight="1">
      <c r="A669" s="106" t="str">
        <f>B09_Assessment!$B$2</f>
        <v>09</v>
      </c>
      <c r="B669" s="106" t="str">
        <f t="shared" si="65"/>
        <v>B09_Assessment</v>
      </c>
      <c r="C669" s="106" t="str">
        <f>B09_Assessment!$A$80</f>
        <v>B09-P007</v>
      </c>
      <c r="D669" s="142" t="str">
        <f>B09_Assessment!$B$80</f>
        <v>All</v>
      </c>
      <c r="E669" s="142" t="str">
        <f>B09_Assessment!$C$80</f>
        <v>Electrical</v>
      </c>
      <c r="F669" s="106" t="str">
        <f>B09_Assessment!$D$80</f>
        <v>B09 TR panels, breakers, SPD, rack receptacles, access controllers, lighting and labels</v>
      </c>
      <c r="G669" s="106">
        <f>B09_Assessment!$E$80</f>
        <v>0</v>
      </c>
      <c r="H669" s="106" t="str">
        <f>B09_Assessment!$F$80</f>
        <v>Paul</v>
      </c>
      <c r="I669" s="106">
        <f>B09_Assessment!$G$80</f>
        <v>0</v>
      </c>
      <c r="J669" s="106" t="str">
        <f>B09_Assessment!$H$80</f>
        <v>B09-R6</v>
      </c>
      <c r="K669" s="106" t="str">
        <f>B09_Assessment!$I$80</f>
        <v>Closed</v>
      </c>
      <c r="L669" s="106">
        <f>B09_Assessment!$J$80</f>
        <v>0</v>
      </c>
    </row>
    <row r="670" spans="1:12" ht="34.950000000000003" customHeight="1">
      <c r="A670" s="106" t="str">
        <f>B09_Assessment!$B$2</f>
        <v>09</v>
      </c>
      <c r="B670" s="106" t="str">
        <f t="shared" si="65"/>
        <v>B09_Assessment</v>
      </c>
      <c r="C670" s="106" t="str">
        <f>B09_Assessment!$A$81</f>
        <v>B09-P008</v>
      </c>
      <c r="D670" s="142" t="str">
        <f>B09_Assessment!$B$81</f>
        <v>All</v>
      </c>
      <c r="E670" s="142" t="str">
        <f>B09_Assessment!$C$81</f>
        <v>Telecom/Security</v>
      </c>
      <c r="F670" s="106" t="str">
        <f>B09_Assessment!$D$81</f>
        <v>Racks, fiber, Cat6A, LIU, patch panels, labeling/testing, cameras, access control and VMS/PACS integration</v>
      </c>
      <c r="G670" s="106">
        <f>B09_Assessment!$E$81</f>
        <v>0</v>
      </c>
      <c r="H670" s="106" t="str">
        <f>B09_Assessment!$F$81</f>
        <v>Paul</v>
      </c>
      <c r="I670" s="106">
        <f>B09_Assessment!$G$81</f>
        <v>0</v>
      </c>
      <c r="J670" s="106" t="str">
        <f>B09_Assessment!$H$81</f>
        <v>B09-R8</v>
      </c>
      <c r="K670" s="106" t="str">
        <f>B09_Assessment!$I$81</f>
        <v>Closed</v>
      </c>
      <c r="L670" s="106">
        <f>B09_Assessment!$J$81</f>
        <v>0</v>
      </c>
    </row>
    <row r="671" spans="1:12" ht="34.950000000000003" customHeight="1">
      <c r="A671" s="106" t="str">
        <f>B10_Assessment!$B$2</f>
        <v>10</v>
      </c>
      <c r="B671" s="106" t="str">
        <f t="shared" si="65"/>
        <v>B09_Assessment</v>
      </c>
      <c r="C671" s="106" t="str">
        <f>B10_Assessment!$A$74</f>
        <v>B10-P001</v>
      </c>
      <c r="D671" s="142" t="str">
        <f>B10_Assessment!$B$74</f>
        <v>200A</v>
      </c>
      <c r="E671" s="142" t="str">
        <f>B10_Assessment!$C$74</f>
        <v>Existing Condition</v>
      </c>
      <c r="F671" s="106" t="str">
        <f>B10_Assessment!$D$74</f>
        <v>Attic TR 200A existing rack/equipment, floor/deck, walls, access route, pathways and clearances</v>
      </c>
      <c r="G671" s="106">
        <f>B10_Assessment!$E$74</f>
        <v>0</v>
      </c>
      <c r="H671" s="106" t="str">
        <f>B10_Assessment!$F$74</f>
        <v>Paul</v>
      </c>
      <c r="I671" s="106">
        <f>B10_Assessment!$G$74</f>
        <v>0</v>
      </c>
      <c r="J671" s="106" t="str">
        <f>B10_Assessment!$H$74</f>
        <v>B10-R1/B10-R3</v>
      </c>
      <c r="K671" s="106" t="str">
        <f>B10_Assessment!$I$74</f>
        <v>Closed</v>
      </c>
      <c r="L671" s="106">
        <f>B10_Assessment!$J$74</f>
        <v>0</v>
      </c>
    </row>
    <row r="672" spans="1:12" ht="29.1" customHeight="1">
      <c r="A672" s="106" t="str">
        <f>B10_Assessment!$B$2</f>
        <v>10</v>
      </c>
      <c r="B672" s="106" t="str">
        <f t="shared" si="65"/>
        <v>B09_Assessment</v>
      </c>
      <c r="C672" s="106" t="str">
        <f>B10_Assessment!$A$75</f>
        <v>B10-P002</v>
      </c>
      <c r="D672" s="142" t="str">
        <f>B10_Assessment!$B$75</f>
        <v>200A</v>
      </c>
      <c r="E672" s="142" t="str">
        <f>B10_Assessment!$C$75</f>
        <v>Hazardous Materials</v>
      </c>
      <c r="F672" s="106" t="str">
        <f>B10_Assessment!$D$75</f>
        <v>Attic abatement-related materials, flooring/penetrations, ceiling/deck and disturbance areas</v>
      </c>
      <c r="G672" s="106">
        <f>B10_Assessment!$E$75</f>
        <v>0</v>
      </c>
      <c r="H672" s="106" t="str">
        <f>B10_Assessment!$F$75</f>
        <v>Paul</v>
      </c>
      <c r="I672" s="106">
        <f>B10_Assessment!$G$75</f>
        <v>0</v>
      </c>
      <c r="J672" s="106" t="str">
        <f>B10_Assessment!$H$75</f>
        <v>B10-R2</v>
      </c>
      <c r="K672" s="106" t="str">
        <f>B10_Assessment!$I$75</f>
        <v>Closed</v>
      </c>
      <c r="L672" s="106">
        <f>B10_Assessment!$J$75</f>
        <v>0</v>
      </c>
    </row>
    <row r="673" spans="1:12" ht="29.1" customHeight="1">
      <c r="A673" s="106" t="str">
        <f>B10_Assessment!$B$2</f>
        <v>10</v>
      </c>
      <c r="B673" s="106" t="str">
        <f t="shared" si="65"/>
        <v>B09_Assessment</v>
      </c>
      <c r="C673" s="106" t="str">
        <f>B10_Assessment!$A$76</f>
        <v>B10-P003</v>
      </c>
      <c r="D673" s="142" t="str">
        <f>B10_Assessment!$B$76</f>
        <v>B24</v>
      </c>
      <c r="E673" s="142" t="str">
        <f>B10_Assessment!$C$76</f>
        <v>Electrical</v>
      </c>
      <c r="F673" s="106" t="str">
        <f>B10_Assessment!$D$76</f>
        <v>Existing normal electrical room panels, B10-MDP/B10-L10-E, feeder route and working clearances</v>
      </c>
      <c r="G673" s="106">
        <f>B10_Assessment!$E$76</f>
        <v>0</v>
      </c>
      <c r="H673" s="106" t="str">
        <f>B10_Assessment!$F$76</f>
        <v>Paul</v>
      </c>
      <c r="I673" s="106">
        <f>B10_Assessment!$G$76</f>
        <v>0</v>
      </c>
      <c r="J673" s="106" t="str">
        <f>B10_Assessment!$H$76</f>
        <v>B10-R5</v>
      </c>
      <c r="K673" s="106" t="str">
        <f>B10_Assessment!$I$76</f>
        <v>Closed</v>
      </c>
      <c r="L673" s="106">
        <f>B10_Assessment!$J$76</f>
        <v>0</v>
      </c>
    </row>
    <row r="674" spans="1:12" ht="29.1" customHeight="1">
      <c r="A674" s="106" t="str">
        <f>B10_Assessment!$B$2</f>
        <v>10</v>
      </c>
      <c r="B674" s="106" t="str">
        <f t="shared" si="65"/>
        <v>B09_Assessment</v>
      </c>
      <c r="C674" s="106" t="str">
        <f>B10_Assessment!$A$77</f>
        <v>B10-P004</v>
      </c>
      <c r="D674" s="142" t="str">
        <f>B10_Assessment!$B$77</f>
        <v>B25</v>
      </c>
      <c r="E674" s="142" t="str">
        <f>B10_Assessment!$C$77</f>
        <v>Electrical</v>
      </c>
      <c r="F674" s="106" t="str">
        <f>B10_Assessment!$D$77</f>
        <v>Existing emergency electrical room, ATS-B10-LSD/emergency distribution and access constraints</v>
      </c>
      <c r="G674" s="106">
        <f>B10_Assessment!$E$77</f>
        <v>0</v>
      </c>
      <c r="H674" s="106" t="str">
        <f>B10_Assessment!$F$77</f>
        <v>Paul</v>
      </c>
      <c r="I674" s="106">
        <f>B10_Assessment!$G$77</f>
        <v>0</v>
      </c>
      <c r="J674" s="106" t="str">
        <f>B10_Assessment!$H$77</f>
        <v>B10-R5</v>
      </c>
      <c r="K674" s="106" t="str">
        <f>B10_Assessment!$I$77</f>
        <v>Closed</v>
      </c>
      <c r="L674" s="106">
        <f>B10_Assessment!$J$77</f>
        <v>0</v>
      </c>
    </row>
    <row r="675" spans="1:12" ht="22.95" customHeight="1">
      <c r="A675" s="106" t="str">
        <f>B10_Assessment!$B$2</f>
        <v>10</v>
      </c>
      <c r="B675" s="106" t="str">
        <f t="shared" si="65"/>
        <v>B09_Assessment</v>
      </c>
      <c r="C675" s="106" t="str">
        <f>B10_Assessment!$A$78</f>
        <v>B10-P005</v>
      </c>
      <c r="D675" s="142" t="str">
        <f>B10_Assessment!$B$78</f>
        <v>200A</v>
      </c>
      <c r="E675" s="142" t="str">
        <f>B10_Assessment!$C$78</f>
        <v>Firestop</v>
      </c>
      <c r="F675" s="106" t="str">
        <f>B10_Assessment!$D$78</f>
        <v>All attic wall/floor/sleeve/tray penetrations before and after firestop</v>
      </c>
      <c r="G675" s="106">
        <f>B10_Assessment!$E$78</f>
        <v>0</v>
      </c>
      <c r="H675" s="106" t="str">
        <f>B10_Assessment!$F$78</f>
        <v>Paul</v>
      </c>
      <c r="I675" s="106">
        <f>B10_Assessment!$G$78</f>
        <v>0</v>
      </c>
      <c r="J675" s="106" t="str">
        <f>B10_Assessment!$H$78</f>
        <v>B10-R6</v>
      </c>
      <c r="K675" s="106" t="str">
        <f>B10_Assessment!$I$78</f>
        <v>Closed</v>
      </c>
      <c r="L675" s="106">
        <f>B10_Assessment!$J$78</f>
        <v>0</v>
      </c>
    </row>
    <row r="676" spans="1:12" ht="34.950000000000003" customHeight="1">
      <c r="A676" s="106" t="str">
        <f>B10_Assessment!$B$2</f>
        <v>10</v>
      </c>
      <c r="B676" s="106" t="str">
        <f>"B10_Assessment"</f>
        <v>B10_Assessment</v>
      </c>
      <c r="C676" s="106" t="str">
        <f>B10_Assessment!$A$79</f>
        <v>B10-P006</v>
      </c>
      <c r="D676" s="142" t="str">
        <f>B10_Assessment!$B$79</f>
        <v>200A</v>
      </c>
      <c r="E676" s="142" t="str">
        <f>B10_Assessment!$C$79</f>
        <v>HVAC</v>
      </c>
      <c r="F676" s="106" t="str">
        <f>B10_Assessment!$D$79</f>
        <v>IU-1-01/CU-1-01, condensate, thermostat, BACnet adapter, disconnects, high-temp alarm and power source</v>
      </c>
      <c r="G676" s="106">
        <f>B10_Assessment!$E$79</f>
        <v>0</v>
      </c>
      <c r="H676" s="106" t="str">
        <f>B10_Assessment!$F$79</f>
        <v>Paul</v>
      </c>
      <c r="I676" s="106">
        <f>B10_Assessment!$G$79</f>
        <v>0</v>
      </c>
      <c r="J676" s="106" t="str">
        <f>B10_Assessment!$H$79</f>
        <v>B10-R4</v>
      </c>
      <c r="K676" s="106" t="str">
        <f>B10_Assessment!$I$79</f>
        <v>Closed</v>
      </c>
      <c r="L676" s="106">
        <f>B10_Assessment!$J$79</f>
        <v>0</v>
      </c>
    </row>
    <row r="677" spans="1:12" ht="22.95" customHeight="1">
      <c r="A677" s="106" t="str">
        <f>B10_Assessment!$B$2</f>
        <v>10</v>
      </c>
      <c r="B677" s="106" t="str">
        <f>"B10_Assessment"</f>
        <v>B10_Assessment</v>
      </c>
      <c r="C677" s="106" t="str">
        <f>B10_Assessment!$A$80</f>
        <v>B10-P007</v>
      </c>
      <c r="D677" s="142" t="str">
        <f>B10_Assessment!$B$80</f>
        <v>200A</v>
      </c>
      <c r="E677" s="142" t="str">
        <f>B10_Assessment!$C$80</f>
        <v>Telecom</v>
      </c>
      <c r="F677" s="106" t="str">
        <f>B10_Assessment!$D$80</f>
        <v>Racks, UPS/PDU, fiber, Cat6A, patch panels, LIU, bonding, labels and test records</v>
      </c>
      <c r="G677" s="106">
        <f>B10_Assessment!$E$80</f>
        <v>0</v>
      </c>
      <c r="H677" s="106" t="str">
        <f>B10_Assessment!$F$80</f>
        <v>Paul</v>
      </c>
      <c r="I677" s="106">
        <f>B10_Assessment!$G$80</f>
        <v>0</v>
      </c>
      <c r="J677" s="106" t="str">
        <f>B10_Assessment!$H$80</f>
        <v>B10-R7</v>
      </c>
      <c r="K677" s="106" t="str">
        <f>B10_Assessment!$I$80</f>
        <v>Closed</v>
      </c>
      <c r="L677" s="106">
        <f>B10_Assessment!$J$80</f>
        <v>0</v>
      </c>
    </row>
    <row r="678" spans="1:12" ht="29.1" customHeight="1">
      <c r="A678" s="106" t="str">
        <f>B10_Assessment!$B$2</f>
        <v>10</v>
      </c>
      <c r="B678" s="106" t="str">
        <f>"B10_Assessment"</f>
        <v>B10_Assessment</v>
      </c>
      <c r="C678" s="106" t="str">
        <f>B10_Assessment!$A$81</f>
        <v>B10-P008</v>
      </c>
      <c r="D678" s="142" t="str">
        <f>B10_Assessment!$B$81</f>
        <v>200A</v>
      </c>
      <c r="E678" s="142" t="str">
        <f>B10_Assessment!$C$81</f>
        <v>Security</v>
      </c>
      <c r="F678" s="106" t="str">
        <f>B10_Assessment!$D$81</f>
        <v>Card reader, electric strike, door position, CCTV/PACS, motion sensor and VMS/PACS integration</v>
      </c>
      <c r="G678" s="106">
        <f>B10_Assessment!$E$81</f>
        <v>0</v>
      </c>
      <c r="H678" s="106" t="str">
        <f>B10_Assessment!$F$81</f>
        <v>Paul</v>
      </c>
      <c r="I678" s="106">
        <f>B10_Assessment!$G$81</f>
        <v>0</v>
      </c>
      <c r="J678" s="106" t="str">
        <f>B10_Assessment!$H$81</f>
        <v>B10-R8</v>
      </c>
      <c r="K678" s="106" t="str">
        <f>B10_Assessment!$I$81</f>
        <v>Closed</v>
      </c>
      <c r="L678" s="106">
        <f>B10_Assessment!$J$81</f>
        <v>0</v>
      </c>
    </row>
    <row r="679" spans="1:12" ht="29.1" customHeight="1">
      <c r="A679" s="106" t="str">
        <f>B12_Assessment!$B$2</f>
        <v>12</v>
      </c>
      <c r="B679" s="106" t="str">
        <f t="shared" ref="B679:B688" si="66">"B12_Assessment"</f>
        <v>B12_Assessment</v>
      </c>
      <c r="C679" s="106" t="str">
        <f>B12_Assessment!$A$64</f>
        <v>B12-P001</v>
      </c>
      <c r="D679" s="142" t="str">
        <f>B12_Assessment!$B$64</f>
        <v>Fiber path B/1/2</v>
      </c>
      <c r="E679" s="142" t="str">
        <f>B12_Assessment!$C$64</f>
        <v>Existing Condition</v>
      </c>
      <c r="F679" s="106" t="str">
        <f>B12_Assessment!$D$64</f>
        <v>Existing conduit/cable tray/pathway from entry through basement/first/second levels</v>
      </c>
      <c r="G679" s="106">
        <f>B12_Assessment!$E$64</f>
        <v>0</v>
      </c>
      <c r="H679" s="106" t="str">
        <f>B12_Assessment!$F$64</f>
        <v>Paul</v>
      </c>
      <c r="I679" s="106">
        <f>B12_Assessment!$G$64</f>
        <v>0</v>
      </c>
      <c r="J679" s="106" t="str">
        <f>B12_Assessment!$H$64</f>
        <v>B12-R2</v>
      </c>
      <c r="K679" s="106" t="str">
        <f>B12_Assessment!$I$64</f>
        <v>Closed</v>
      </c>
      <c r="L679" s="106">
        <f>B12_Assessment!$J$64</f>
        <v>0</v>
      </c>
    </row>
    <row r="680" spans="1:12" ht="22.95" customHeight="1">
      <c r="A680" s="106" t="str">
        <f>B12_Assessment!$B$2</f>
        <v>12</v>
      </c>
      <c r="B680" s="106" t="str">
        <f t="shared" si="66"/>
        <v>B12_Assessment</v>
      </c>
      <c r="C680" s="106" t="str">
        <f>B12_Assessment!$A$65</f>
        <v>B12-P002</v>
      </c>
      <c r="D680" s="142" t="str">
        <f>B12_Assessment!$B$65</f>
        <v>Existing rack/demarc - field verify</v>
      </c>
      <c r="E680" s="142" t="str">
        <f>B12_Assessment!$C$65</f>
        <v>Existing Condition</v>
      </c>
      <c r="F680" s="106" t="str">
        <f>B12_Assessment!$D$65</f>
        <v>Existing rack, demarc, serving closet or fiber termination/pass-through point</v>
      </c>
      <c r="G680" s="106">
        <f>B12_Assessment!$E$65</f>
        <v>0</v>
      </c>
      <c r="H680" s="106" t="str">
        <f>B12_Assessment!$F$65</f>
        <v>Paul</v>
      </c>
      <c r="I680" s="106">
        <f>B12_Assessment!$G$65</f>
        <v>0</v>
      </c>
      <c r="J680" s="106" t="str">
        <f>B12_Assessment!$H$65</f>
        <v>B12-R5</v>
      </c>
      <c r="K680" s="106" t="str">
        <f>B12_Assessment!$I$65</f>
        <v>Closed</v>
      </c>
      <c r="L680" s="106">
        <f>B12_Assessment!$J$65</f>
        <v>0</v>
      </c>
    </row>
    <row r="681" spans="1:12" ht="29.1" customHeight="1">
      <c r="A681" s="106" t="str">
        <f>B12_Assessment!$B$2</f>
        <v>12</v>
      </c>
      <c r="B681" s="106" t="str">
        <f t="shared" si="66"/>
        <v>B12_Assessment</v>
      </c>
      <c r="C681" s="106" t="str">
        <f>B12_Assessment!$A$66</f>
        <v>B12-P003</v>
      </c>
      <c r="D681" s="142" t="str">
        <f>B12_Assessment!$B$66</f>
        <v>All</v>
      </c>
      <c r="E681" s="142" t="str">
        <f>B12_Assessment!$C$66</f>
        <v>Firestop</v>
      </c>
      <c r="F681" s="106" t="str">
        <f>B12_Assessment!$D$66</f>
        <v>All floor/wall/sleeve penetrations before pull, during work, and after permanent firestop</v>
      </c>
      <c r="G681" s="106">
        <f>B12_Assessment!$E$66</f>
        <v>0</v>
      </c>
      <c r="H681" s="106" t="str">
        <f>B12_Assessment!$F$66</f>
        <v>Paul</v>
      </c>
      <c r="I681" s="106">
        <f>B12_Assessment!$G$66</f>
        <v>0</v>
      </c>
      <c r="J681" s="106" t="str">
        <f>B12_Assessment!$H$66</f>
        <v>B12-R4</v>
      </c>
      <c r="K681" s="106" t="str">
        <f>B12_Assessment!$I$66</f>
        <v>Closed</v>
      </c>
      <c r="L681" s="106">
        <f>B12_Assessment!$J$66</f>
        <v>0</v>
      </c>
    </row>
    <row r="682" spans="1:12" ht="29.1" customHeight="1">
      <c r="A682" s="106" t="str">
        <f>B12_Assessment!$B$2</f>
        <v>12</v>
      </c>
      <c r="B682" s="106" t="str">
        <f t="shared" si="66"/>
        <v>B12_Assessment</v>
      </c>
      <c r="C682" s="106" t="str">
        <f>B12_Assessment!$A$67</f>
        <v>B12-P004</v>
      </c>
      <c r="D682" s="142" t="str">
        <f>B12_Assessment!$B$67</f>
        <v>All</v>
      </c>
      <c r="E682" s="142" t="str">
        <f>B12_Assessment!$C$67</f>
        <v>Telecom</v>
      </c>
      <c r="F682" s="106" t="str">
        <f>B12_Assessment!$D$67</f>
        <v>Fiber reels, pull route, pull boxes, labels, slack loops, termination points and test records</v>
      </c>
      <c r="G682" s="106">
        <f>B12_Assessment!$E$67</f>
        <v>0</v>
      </c>
      <c r="H682" s="106" t="str">
        <f>B12_Assessment!$F$67</f>
        <v>Paul</v>
      </c>
      <c r="I682" s="106">
        <f>B12_Assessment!$G$67</f>
        <v>0</v>
      </c>
      <c r="J682" s="106" t="str">
        <f>B12_Assessment!$H$67</f>
        <v>B12-R3/B12-R6</v>
      </c>
      <c r="K682" s="106" t="str">
        <f>B12_Assessment!$I$67</f>
        <v>Closed</v>
      </c>
      <c r="L682" s="106">
        <f>B12_Assessment!$J$67</f>
        <v>0</v>
      </c>
    </row>
    <row r="683" spans="1:12" ht="34.950000000000003" customHeight="1">
      <c r="A683" s="106" t="str">
        <f>B12_Assessment!$B$2</f>
        <v>12</v>
      </c>
      <c r="B683" s="106" t="str">
        <f t="shared" si="66"/>
        <v>B12_Assessment</v>
      </c>
      <c r="C683" s="106" t="str">
        <f>B12_Assessment!$A$68</f>
        <v>B12-P005</v>
      </c>
      <c r="D683" s="142" t="str">
        <f>B12_Assessment!$B$68</f>
        <v>All</v>
      </c>
      <c r="E683" s="142" t="str">
        <f>B12_Assessment!$C$68</f>
        <v>Closeout</v>
      </c>
      <c r="F683" s="106" t="str">
        <f>B12_Assessment!$D$68</f>
        <v>Fiber certification/OTDR screenshots, labeling, as-built route and VA/OIT acceptance evidence</v>
      </c>
      <c r="G683" s="106">
        <f>B12_Assessment!$E$68</f>
        <v>0</v>
      </c>
      <c r="H683" s="106" t="str">
        <f>B12_Assessment!$F$68</f>
        <v>Paul</v>
      </c>
      <c r="I683" s="106">
        <f>B12_Assessment!$G$68</f>
        <v>0</v>
      </c>
      <c r="J683" s="106" t="str">
        <f>B12_Assessment!$H$68</f>
        <v>B12-R6</v>
      </c>
      <c r="K683" s="106" t="str">
        <f>B12_Assessment!$I$68</f>
        <v>Closed</v>
      </c>
      <c r="L683" s="106">
        <f>B12_Assessment!$J$68</f>
        <v>0</v>
      </c>
    </row>
    <row r="684" spans="1:12" ht="40.65" customHeight="1">
      <c r="A684" s="106" t="str">
        <f>B13_Assessment!$B$2</f>
        <v>13</v>
      </c>
      <c r="B684" s="106" t="str">
        <f t="shared" si="66"/>
        <v>B12_Assessment</v>
      </c>
      <c r="C684" s="106" t="str">
        <f>B13_Assessment!$A$67</f>
        <v>B13-P001</v>
      </c>
      <c r="D684" s="142" t="str">
        <f>B13_Assessment!$B$67</f>
        <v>124</v>
      </c>
      <c r="E684" s="142" t="str">
        <f>B13_Assessment!$C$67</f>
        <v>Existing Condition</v>
      </c>
      <c r="F684" s="106" t="str">
        <f>B13_Assessment!$D$67</f>
        <v>Room 124 walls, ceiling/deck, floor, door, adjacent Telehealth 124A/109, rack location, pathways and penetrations</v>
      </c>
      <c r="G684" s="106">
        <f>B13_Assessment!$E$67</f>
        <v>0</v>
      </c>
      <c r="H684" s="106" t="str">
        <f>B13_Assessment!$F$67</f>
        <v>Paul</v>
      </c>
      <c r="I684" s="106">
        <f>B13_Assessment!$G$67</f>
        <v>0</v>
      </c>
      <c r="J684" s="106" t="str">
        <f>B13_Assessment!$H$67</f>
        <v>B13-R1/B13-R6</v>
      </c>
      <c r="K684" s="106" t="str">
        <f>B13_Assessment!$I$67</f>
        <v>Closed</v>
      </c>
      <c r="L684" s="106">
        <f>B13_Assessment!$J$67</f>
        <v>0</v>
      </c>
    </row>
    <row r="685" spans="1:12" ht="29.1" customHeight="1">
      <c r="A685" s="106" t="str">
        <f>B13_Assessment!$B$2</f>
        <v>13</v>
      </c>
      <c r="B685" s="106" t="str">
        <f t="shared" si="66"/>
        <v>B12_Assessment</v>
      </c>
      <c r="C685" s="106" t="str">
        <f>B13_Assessment!$A$68</f>
        <v>B13-P002</v>
      </c>
      <c r="D685" s="142" t="str">
        <f>B13_Assessment!$B$68</f>
        <v>222</v>
      </c>
      <c r="E685" s="142" t="str">
        <f>B13_Assessment!$C$68</f>
        <v>Existing Condition</v>
      </c>
      <c r="F685" s="106" t="str">
        <f>B13_Assessment!$D$68</f>
        <v>Existing Tel Room 222 wall rack, telco patch, plywood backboard, AC unit, patch panel and security cabinet</v>
      </c>
      <c r="G685" s="106">
        <f>B13_Assessment!$E$68</f>
        <v>0</v>
      </c>
      <c r="H685" s="106" t="str">
        <f>B13_Assessment!$F$68</f>
        <v>Paul</v>
      </c>
      <c r="I685" s="106">
        <f>B13_Assessment!$G$68</f>
        <v>0</v>
      </c>
      <c r="J685" s="106" t="str">
        <f>B13_Assessment!$H$68</f>
        <v>B13-R1/B13-R3</v>
      </c>
      <c r="K685" s="106" t="str">
        <f>B13_Assessment!$I$68</f>
        <v>Closed</v>
      </c>
      <c r="L685" s="106">
        <f>B13_Assessment!$J$68</f>
        <v>0</v>
      </c>
    </row>
    <row r="686" spans="1:12" ht="29.1" customHeight="1">
      <c r="A686" s="106" t="str">
        <f>B13_Assessment!$B$2</f>
        <v>13</v>
      </c>
      <c r="B686" s="106" t="str">
        <f t="shared" si="66"/>
        <v>B12_Assessment</v>
      </c>
      <c r="C686" s="106" t="str">
        <f>B13_Assessment!$A$69</f>
        <v>B13-P003</v>
      </c>
      <c r="D686" s="142" t="str">
        <f>B13_Assessment!$B$69</f>
        <v>124</v>
      </c>
      <c r="E686" s="142" t="str">
        <f>B13_Assessment!$C$69</f>
        <v>Hazardous Materials</v>
      </c>
      <c r="F686" s="106" t="str">
        <f>B13_Assessment!$D$69</f>
        <v>First-level abatement-related materials, flooring, walls, ceiling/penetrations, and disturbance areas</v>
      </c>
      <c r="G686" s="106">
        <f>B13_Assessment!$E$69</f>
        <v>0</v>
      </c>
      <c r="H686" s="106" t="str">
        <f>B13_Assessment!$F$69</f>
        <v>Paul</v>
      </c>
      <c r="I686" s="106">
        <f>B13_Assessment!$G$69</f>
        <v>0</v>
      </c>
      <c r="J686" s="106" t="str">
        <f>B13_Assessment!$H$69</f>
        <v>B13-R2</v>
      </c>
      <c r="K686" s="106" t="str">
        <f>B13_Assessment!$I$69</f>
        <v>Closed</v>
      </c>
      <c r="L686" s="106">
        <f>B13_Assessment!$J$69</f>
        <v>0</v>
      </c>
    </row>
    <row r="687" spans="1:12" ht="17.25" customHeight="1">
      <c r="A687" s="106" t="str">
        <f>B13_Assessment!$B$2</f>
        <v>13</v>
      </c>
      <c r="B687" s="106" t="str">
        <f t="shared" si="66"/>
        <v>B12_Assessment</v>
      </c>
      <c r="C687" s="106" t="str">
        <f>B13_Assessment!$A$70</f>
        <v>B13-P004</v>
      </c>
      <c r="D687" s="142" t="str">
        <f>B13_Assessment!$B$70</f>
        <v>124</v>
      </c>
      <c r="E687" s="142" t="str">
        <f>B13_Assessment!$C$70</f>
        <v>Firestop</v>
      </c>
      <c r="F687" s="106" t="str">
        <f>B13_Assessment!$D$70</f>
        <v>All wall/floor/sleeve/tray penetrations before and after firestop</v>
      </c>
      <c r="G687" s="106">
        <f>B13_Assessment!$E$70</f>
        <v>0</v>
      </c>
      <c r="H687" s="106" t="str">
        <f>B13_Assessment!$F$70</f>
        <v>Paul</v>
      </c>
      <c r="I687" s="106">
        <f>B13_Assessment!$G$70</f>
        <v>0</v>
      </c>
      <c r="J687" s="106" t="str">
        <f>B13_Assessment!$H$70</f>
        <v>B13-R6</v>
      </c>
      <c r="K687" s="106" t="str">
        <f>B13_Assessment!$I$70</f>
        <v>Closed</v>
      </c>
      <c r="L687" s="106">
        <f>B13_Assessment!$J$70</f>
        <v>0</v>
      </c>
    </row>
    <row r="688" spans="1:12" ht="34.950000000000003" customHeight="1">
      <c r="A688" s="106" t="str">
        <f>B13_Assessment!$B$2</f>
        <v>13</v>
      </c>
      <c r="B688" s="106" t="str">
        <f t="shared" si="66"/>
        <v>B12_Assessment</v>
      </c>
      <c r="C688" s="106" t="str">
        <f>B13_Assessment!$A$71</f>
        <v>B13-P005</v>
      </c>
      <c r="D688" s="142" t="str">
        <f>B13_Assessment!$B$71</f>
        <v>124</v>
      </c>
      <c r="E688" s="142" t="str">
        <f>B13_Assessment!$C$71</f>
        <v>HVAC</v>
      </c>
      <c r="F688" s="106" t="str">
        <f>B13_Assessment!$D$71</f>
        <v>IU-1-01/CU-1-01, condensate, thermostat, BACnet adapter, disconnects, high-temp alarm and power source</v>
      </c>
      <c r="G688" s="106">
        <f>B13_Assessment!$E$71</f>
        <v>0</v>
      </c>
      <c r="H688" s="106" t="str">
        <f>B13_Assessment!$F$71</f>
        <v>Paul</v>
      </c>
      <c r="I688" s="106">
        <f>B13_Assessment!$G$71</f>
        <v>0</v>
      </c>
      <c r="J688" s="106" t="str">
        <f>B13_Assessment!$H$71</f>
        <v>B13-R4</v>
      </c>
      <c r="K688" s="106" t="str">
        <f>B13_Assessment!$I$71</f>
        <v>Closed</v>
      </c>
      <c r="L688" s="106">
        <f>B13_Assessment!$J$71</f>
        <v>0</v>
      </c>
    </row>
    <row r="689" spans="1:12" ht="34.950000000000003" customHeight="1">
      <c r="A689" s="106" t="str">
        <f>B13_Assessment!$B$2</f>
        <v>13</v>
      </c>
      <c r="B689" s="106" t="str">
        <f t="shared" ref="B689:B696" si="67">"B13_Assessment"</f>
        <v>B13_Assessment</v>
      </c>
      <c r="C689" s="106" t="str">
        <f>B13_Assessment!$A$72</f>
        <v>B13-P006</v>
      </c>
      <c r="D689" s="142" t="str">
        <f>B13_Assessment!$B$72</f>
        <v>124</v>
      </c>
      <c r="E689" s="142" t="str">
        <f>B13_Assessment!$C$72</f>
        <v>Electrical</v>
      </c>
      <c r="F689" s="106" t="str">
        <f>B13_Assessment!$D$72</f>
        <v>B13-TR124AA/AB panels, rack receptacles, breakers, SPD, access controller, lighting and labels</v>
      </c>
      <c r="G689" s="106">
        <f>B13_Assessment!$E$72</f>
        <v>0</v>
      </c>
      <c r="H689" s="106" t="str">
        <f>B13_Assessment!$F$72</f>
        <v>Paul</v>
      </c>
      <c r="I689" s="106">
        <f>B13_Assessment!$G$72</f>
        <v>0</v>
      </c>
      <c r="J689" s="106" t="str">
        <f>B13_Assessment!$H$72</f>
        <v>B13-R5</v>
      </c>
      <c r="K689" s="106" t="str">
        <f>B13_Assessment!$I$72</f>
        <v>Closed</v>
      </c>
      <c r="L689" s="106">
        <f>B13_Assessment!$J$72</f>
        <v>0</v>
      </c>
    </row>
    <row r="690" spans="1:12" ht="34.950000000000003" customHeight="1">
      <c r="A690" s="106" t="str">
        <f>B13_Assessment!$B$2</f>
        <v>13</v>
      </c>
      <c r="B690" s="106" t="str">
        <f t="shared" si="67"/>
        <v>B13_Assessment</v>
      </c>
      <c r="C690" s="106" t="str">
        <f>B13_Assessment!$A$73</f>
        <v>B13-P007</v>
      </c>
      <c r="D690" s="142" t="str">
        <f>B13_Assessment!$B$73</f>
        <v>124/222</v>
      </c>
      <c r="E690" s="142" t="str">
        <f>B13_Assessment!$C$73</f>
        <v>Telecom</v>
      </c>
      <c r="F690" s="106" t="str">
        <f>B13_Assessment!$D$73</f>
        <v>New racks, fiber path A/B, Cat6A, patch panels, LIU, labels/test records and existing Room 222 transfer work</v>
      </c>
      <c r="G690" s="106">
        <f>B13_Assessment!$E$73</f>
        <v>0</v>
      </c>
      <c r="H690" s="106" t="str">
        <f>B13_Assessment!$F$73</f>
        <v>Paul</v>
      </c>
      <c r="I690" s="106">
        <f>B13_Assessment!$G$73</f>
        <v>0</v>
      </c>
      <c r="J690" s="106" t="str">
        <f>B13_Assessment!$H$73</f>
        <v>B13-R7</v>
      </c>
      <c r="K690" s="106" t="str">
        <f>B13_Assessment!$I$73</f>
        <v>Closed</v>
      </c>
      <c r="L690" s="106">
        <f>B13_Assessment!$J$73</f>
        <v>0</v>
      </c>
    </row>
    <row r="691" spans="1:12" ht="34.950000000000003" customHeight="1">
      <c r="A691" s="106" t="str">
        <f>B13_Assessment!$B$2</f>
        <v>13</v>
      </c>
      <c r="B691" s="106" t="str">
        <f t="shared" si="67"/>
        <v>B13_Assessment</v>
      </c>
      <c r="C691" s="106" t="str">
        <f>B13_Assessment!$A$74</f>
        <v>B13-P008</v>
      </c>
      <c r="D691" s="142" t="str">
        <f>B13_Assessment!$B$74</f>
        <v>124/222</v>
      </c>
      <c r="E691" s="142" t="str">
        <f>B13_Assessment!$C$74</f>
        <v>Security</v>
      </c>
      <c r="F691" s="106" t="str">
        <f>B13_Assessment!$D$74</f>
        <v>124-CAM-01, card reader, electric strike, door position, motion sensor, existing security cabinet and VMS/PACS integration</v>
      </c>
      <c r="G691" s="106">
        <f>B13_Assessment!$E$74</f>
        <v>0</v>
      </c>
      <c r="H691" s="106" t="str">
        <f>B13_Assessment!$F$74</f>
        <v>Paul</v>
      </c>
      <c r="I691" s="106">
        <f>B13_Assessment!$G$74</f>
        <v>0</v>
      </c>
      <c r="J691" s="106" t="str">
        <f>B13_Assessment!$H$74</f>
        <v>B13-R8</v>
      </c>
      <c r="K691" s="106" t="str">
        <f>B13_Assessment!$I$74</f>
        <v>Closed</v>
      </c>
      <c r="L691" s="106">
        <f>B13_Assessment!$J$74</f>
        <v>0</v>
      </c>
    </row>
    <row r="692" spans="1:12" ht="40.65" customHeight="1">
      <c r="A692" s="106" t="str">
        <f>B14_Assessment!$B$2</f>
        <v>14</v>
      </c>
      <c r="B692" s="106" t="str">
        <f t="shared" si="67"/>
        <v>B13_Assessment</v>
      </c>
      <c r="C692" s="106" t="str">
        <f>B14_Assessment!$A$74</f>
        <v>B14-P001</v>
      </c>
      <c r="D692" s="142" t="str">
        <f>B14_Assessment!$B$74</f>
        <v>119</v>
      </c>
      <c r="E692" s="142" t="str">
        <f>B14_Assessment!$C$74</f>
        <v>Existing Condition</v>
      </c>
      <c r="F692" s="106" t="str">
        <f>B14_Assessment!$D$74</f>
        <v>Room 119 walls, ceiling/deck, floor, door, adjacent conference/restroom/office spaces, rack location, pathways and penetrations</v>
      </c>
      <c r="G692" s="106">
        <f>B14_Assessment!$E$74</f>
        <v>0</v>
      </c>
      <c r="H692" s="106" t="str">
        <f>B14_Assessment!$F$74</f>
        <v>Paul</v>
      </c>
      <c r="I692" s="106">
        <f>B14_Assessment!$G$74</f>
        <v>0</v>
      </c>
      <c r="J692" s="106" t="str">
        <f>B14_Assessment!$H$74</f>
        <v>B14-R1/B14-R6</v>
      </c>
      <c r="K692" s="106" t="str">
        <f>B14_Assessment!$I$74</f>
        <v>Closed</v>
      </c>
      <c r="L692" s="106">
        <f>B14_Assessment!$J$74</f>
        <v>0</v>
      </c>
    </row>
    <row r="693" spans="1:12" ht="40.65" customHeight="1">
      <c r="A693" s="106" t="str">
        <f>B14_Assessment!$B$2</f>
        <v>14</v>
      </c>
      <c r="B693" s="106" t="str">
        <f t="shared" si="67"/>
        <v>B13_Assessment</v>
      </c>
      <c r="C693" s="106" t="str">
        <f>B14_Assessment!$A$75</f>
        <v>B14-P002</v>
      </c>
      <c r="D693" s="142" t="str">
        <f>B14_Assessment!$B$75</f>
        <v>B.01</v>
      </c>
      <c r="E693" s="142" t="str">
        <f>B14_Assessment!$C$75</f>
        <v>Existing Condition</v>
      </c>
      <c r="F693" s="106" t="str">
        <f>B14_Assessment!$D$75</f>
        <v>Existing basement Tel/F Panel B.01, wall-mounted TE, patch panels, telco patch, plywood backboards, legacy Fiber LIU and pathways</v>
      </c>
      <c r="G693" s="106">
        <f>B14_Assessment!$E$75</f>
        <v>0</v>
      </c>
      <c r="H693" s="106" t="str">
        <f>B14_Assessment!$F$75</f>
        <v>Paul</v>
      </c>
      <c r="I693" s="106">
        <f>B14_Assessment!$G$75</f>
        <v>0</v>
      </c>
      <c r="J693" s="106" t="str">
        <f>B14_Assessment!$H$75</f>
        <v>B14-R1/B14-R3</v>
      </c>
      <c r="K693" s="106" t="str">
        <f>B14_Assessment!$I$75</f>
        <v>Closed</v>
      </c>
      <c r="L693" s="106">
        <f>B14_Assessment!$J$75</f>
        <v>0</v>
      </c>
    </row>
    <row r="694" spans="1:12" ht="34.950000000000003" customHeight="1">
      <c r="A694" s="106" t="str">
        <f>B14_Assessment!$B$2</f>
        <v>14</v>
      </c>
      <c r="B694" s="106" t="str">
        <f t="shared" si="67"/>
        <v>B13_Assessment</v>
      </c>
      <c r="C694" s="106" t="str">
        <f>B14_Assessment!$A$76</f>
        <v>B14-P003</v>
      </c>
      <c r="D694" s="142" t="str">
        <f>B14_Assessment!$B$76</f>
        <v>B2</v>
      </c>
      <c r="E694" s="142" t="str">
        <f>B14_Assessment!$C$76</f>
        <v>Existing Condition</v>
      </c>
      <c r="F694" s="106" t="str">
        <f>B14_Assessment!$D$76</f>
        <v>Existing basement telecom room B2 photo reference, equipment, pathways, power and protection-in-place needs</v>
      </c>
      <c r="G694" s="106">
        <f>B14_Assessment!$E$76</f>
        <v>0</v>
      </c>
      <c r="H694" s="106" t="str">
        <f>B14_Assessment!$F$76</f>
        <v>Paul</v>
      </c>
      <c r="I694" s="106">
        <f>B14_Assessment!$G$76</f>
        <v>0</v>
      </c>
      <c r="J694" s="106" t="str">
        <f>B14_Assessment!$H$76</f>
        <v>B14-R1/B14-R3</v>
      </c>
      <c r="K694" s="106" t="str">
        <f>B14_Assessment!$I$76</f>
        <v>Closed</v>
      </c>
      <c r="L694" s="106">
        <f>B14_Assessment!$J$76</f>
        <v>0</v>
      </c>
    </row>
    <row r="695" spans="1:12" ht="29.1" customHeight="1">
      <c r="A695" s="106" t="str">
        <f>B14_Assessment!$B$2</f>
        <v>14</v>
      </c>
      <c r="B695" s="106" t="str">
        <f t="shared" si="67"/>
        <v>B13_Assessment</v>
      </c>
      <c r="C695" s="106" t="str">
        <f>B14_Assessment!$A$77</f>
        <v>B14-P004</v>
      </c>
      <c r="D695" s="142" t="str">
        <f>B14_Assessment!$B$77</f>
        <v>119</v>
      </c>
      <c r="E695" s="142" t="str">
        <f>B14_Assessment!$C$77</f>
        <v>Hazardous Materials</v>
      </c>
      <c r="F695" s="106" t="str">
        <f>B14_Assessment!$D$77</f>
        <v>First-level abatement-related materials, flooring, walls, ceiling/penetrations, and disturbance areas</v>
      </c>
      <c r="G695" s="106">
        <f>B14_Assessment!$E$77</f>
        <v>0</v>
      </c>
      <c r="H695" s="106" t="str">
        <f>B14_Assessment!$F$77</f>
        <v>Paul</v>
      </c>
      <c r="I695" s="106">
        <f>B14_Assessment!$G$77</f>
        <v>0</v>
      </c>
      <c r="J695" s="106" t="str">
        <f>B14_Assessment!$H$77</f>
        <v>B14-R2</v>
      </c>
      <c r="K695" s="106" t="str">
        <f>B14_Assessment!$I$77</f>
        <v>Closed</v>
      </c>
      <c r="L695" s="106">
        <f>B14_Assessment!$J$77</f>
        <v>0</v>
      </c>
    </row>
    <row r="696" spans="1:12" ht="17.25" customHeight="1">
      <c r="A696" s="106" t="str">
        <f>B14_Assessment!$B$2</f>
        <v>14</v>
      </c>
      <c r="B696" s="106" t="str">
        <f t="shared" si="67"/>
        <v>B13_Assessment</v>
      </c>
      <c r="C696" s="106" t="str">
        <f>B14_Assessment!$A$78</f>
        <v>B14-P005</v>
      </c>
      <c r="D696" s="142" t="str">
        <f>B14_Assessment!$B$78</f>
        <v>119</v>
      </c>
      <c r="E696" s="142" t="str">
        <f>B14_Assessment!$C$78</f>
        <v>Firestop</v>
      </c>
      <c r="F696" s="106" t="str">
        <f>B14_Assessment!$D$78</f>
        <v>All wall/floor/sleeve/tray penetrations before and after firestop</v>
      </c>
      <c r="G696" s="106">
        <f>B14_Assessment!$E$78</f>
        <v>0</v>
      </c>
      <c r="H696" s="106" t="str">
        <f>B14_Assessment!$F$78</f>
        <v>Paul</v>
      </c>
      <c r="I696" s="106">
        <f>B14_Assessment!$G$78</f>
        <v>0</v>
      </c>
      <c r="J696" s="106" t="str">
        <f>B14_Assessment!$H$78</f>
        <v>B14-R6</v>
      </c>
      <c r="K696" s="106" t="str">
        <f>B14_Assessment!$I$78</f>
        <v>Closed</v>
      </c>
      <c r="L696" s="106">
        <f>B14_Assessment!$J$78</f>
        <v>0</v>
      </c>
    </row>
    <row r="697" spans="1:12" ht="34.950000000000003" customHeight="1">
      <c r="A697" s="106" t="str">
        <f>B14_Assessment!$B$2</f>
        <v>14</v>
      </c>
      <c r="B697" s="106" t="str">
        <f t="shared" ref="B697:B704" si="68">"B14_Assessment"</f>
        <v>B14_Assessment</v>
      </c>
      <c r="C697" s="106" t="str">
        <f>B14_Assessment!$A$79</f>
        <v>B14-P006</v>
      </c>
      <c r="D697" s="142" t="str">
        <f>B14_Assessment!$B$79</f>
        <v>119</v>
      </c>
      <c r="E697" s="142" t="str">
        <f>B14_Assessment!$C$79</f>
        <v>HVAC</v>
      </c>
      <c r="F697" s="106" t="str">
        <f>B14_Assessment!$D$79</f>
        <v>IU-1-01/CU-1-01, condensate, thermostat, BACnet adapter, disconnects, high-temp alarm and power source</v>
      </c>
      <c r="G697" s="106">
        <f>B14_Assessment!$E$79</f>
        <v>0</v>
      </c>
      <c r="H697" s="106" t="str">
        <f>B14_Assessment!$F$79</f>
        <v>Paul</v>
      </c>
      <c r="I697" s="106">
        <f>B14_Assessment!$G$79</f>
        <v>0</v>
      </c>
      <c r="J697" s="106" t="str">
        <f>B14_Assessment!$H$79</f>
        <v>B14-R4</v>
      </c>
      <c r="K697" s="106" t="str">
        <f>B14_Assessment!$I$79</f>
        <v>Closed</v>
      </c>
      <c r="L697" s="106">
        <f>B14_Assessment!$J$79</f>
        <v>0</v>
      </c>
    </row>
    <row r="698" spans="1:12" ht="34.950000000000003" customHeight="1">
      <c r="A698" s="106" t="str">
        <f>B14_Assessment!$B$2</f>
        <v>14</v>
      </c>
      <c r="B698" s="106" t="str">
        <f t="shared" si="68"/>
        <v>B14_Assessment</v>
      </c>
      <c r="C698" s="106" t="str">
        <f>B14_Assessment!$A$80</f>
        <v>B14-P007</v>
      </c>
      <c r="D698" s="142" t="str">
        <f>B14_Assessment!$B$80</f>
        <v>119</v>
      </c>
      <c r="E698" s="142" t="str">
        <f>B14_Assessment!$C$80</f>
        <v>Electrical</v>
      </c>
      <c r="F698" s="106" t="str">
        <f>B14_Assessment!$D$80</f>
        <v>B14-TR119A/B panels, rack receptacles, breakers, SPD, access controller, lighting, CU-1-01 and labels</v>
      </c>
      <c r="G698" s="106">
        <f>B14_Assessment!$E$80</f>
        <v>0</v>
      </c>
      <c r="H698" s="106" t="str">
        <f>B14_Assessment!$F$80</f>
        <v>Paul</v>
      </c>
      <c r="I698" s="106">
        <f>B14_Assessment!$G$80</f>
        <v>0</v>
      </c>
      <c r="J698" s="106" t="str">
        <f>B14_Assessment!$H$80</f>
        <v>B14-R5</v>
      </c>
      <c r="K698" s="106" t="str">
        <f>B14_Assessment!$I$80</f>
        <v>Closed</v>
      </c>
      <c r="L698" s="106">
        <f>B14_Assessment!$J$80</f>
        <v>0</v>
      </c>
    </row>
    <row r="699" spans="1:12" ht="40.65" customHeight="1">
      <c r="A699" s="106" t="str">
        <f>B14_Assessment!$B$2</f>
        <v>14</v>
      </c>
      <c r="B699" s="106" t="str">
        <f t="shared" si="68"/>
        <v>B14_Assessment</v>
      </c>
      <c r="C699" s="106" t="str">
        <f>B14_Assessment!$A$81</f>
        <v>B14-P008</v>
      </c>
      <c r="D699" s="142" t="str">
        <f>B14_Assessment!$B$81</f>
        <v>119/B.01</v>
      </c>
      <c r="E699" s="142" t="str">
        <f>B14_Assessment!$C$81</f>
        <v>Telecom/Security</v>
      </c>
      <c r="F699" s="106" t="str">
        <f>B14_Assessment!$D$81</f>
        <v>New rack/future rack, fiber path A/B, Cat6A, patch panels, LIU, labels/test records, 119-CAM-01 and existing B.01/B2 transfer work</v>
      </c>
      <c r="G699" s="106">
        <f>B14_Assessment!$E$81</f>
        <v>0</v>
      </c>
      <c r="H699" s="106" t="str">
        <f>B14_Assessment!$F$81</f>
        <v>Paul</v>
      </c>
      <c r="I699" s="106">
        <f>B14_Assessment!$G$81</f>
        <v>0</v>
      </c>
      <c r="J699" s="106" t="str">
        <f>B14_Assessment!$H$81</f>
        <v>B14-R7/B14-R8</v>
      </c>
      <c r="K699" s="106" t="str">
        <f>B14_Assessment!$I$81</f>
        <v>Closed</v>
      </c>
      <c r="L699" s="106">
        <f>B14_Assessment!$J$81</f>
        <v>0</v>
      </c>
    </row>
    <row r="700" spans="1:12" ht="40.65" customHeight="1">
      <c r="A700" s="106" t="str">
        <f>B15_Assessment!$B$2</f>
        <v>15</v>
      </c>
      <c r="B700" s="106" t="str">
        <f t="shared" si="68"/>
        <v>B14_Assessment</v>
      </c>
      <c r="C700" s="106" t="str">
        <f>B15_Assessment!$A$74</f>
        <v>B15-P001</v>
      </c>
      <c r="D700" s="142" t="str">
        <f>B15_Assessment!$B$74</f>
        <v>124A</v>
      </c>
      <c r="E700" s="142" t="str">
        <f>B15_Assessment!$C$74</f>
        <v>Existing Condition</v>
      </c>
      <c r="F700" s="106" t="str">
        <f>B15_Assessment!$D$74</f>
        <v>Room 124A walls, ceiling/deck, floor, door, adjacent Office 124/Office 109/HAC 123, rack location, pathways and penetrations</v>
      </c>
      <c r="G700" s="106">
        <f>B15_Assessment!$E$74</f>
        <v>0</v>
      </c>
      <c r="H700" s="106" t="str">
        <f>B15_Assessment!$F$74</f>
        <v>Paul</v>
      </c>
      <c r="I700" s="106">
        <f>B15_Assessment!$G$74</f>
        <v>0</v>
      </c>
      <c r="J700" s="106" t="str">
        <f>B15_Assessment!$H$74</f>
        <v>B15-R1/B15-R6</v>
      </c>
      <c r="K700" s="106" t="str">
        <f>B15_Assessment!$I$74</f>
        <v>Closed</v>
      </c>
      <c r="L700" s="106">
        <f>B15_Assessment!$J$74</f>
        <v>0</v>
      </c>
    </row>
    <row r="701" spans="1:12" ht="46.35" customHeight="1">
      <c r="A701" s="106" t="str">
        <f>B15_Assessment!$B$2</f>
        <v>15</v>
      </c>
      <c r="B701" s="106" t="str">
        <f t="shared" si="68"/>
        <v>B14_Assessment</v>
      </c>
      <c r="C701" s="106" t="str">
        <f>B15_Assessment!$A$75</f>
        <v>B15-P002</v>
      </c>
      <c r="D701" s="142" t="str">
        <f>B15_Assessment!$B$75</f>
        <v>222</v>
      </c>
      <c r="E701" s="142" t="str">
        <f>B15_Assessment!$C$75</f>
        <v>Existing Condition</v>
      </c>
      <c r="F701" s="106" t="str">
        <f>B15_Assessment!$D$75</f>
        <v>Existing Tel Room 222 wall rack, Cisco switches, legacy patch panels, indoor AC unit, security cabinet, ground bar, plywood backboard and floor UPS</v>
      </c>
      <c r="G701" s="106">
        <f>B15_Assessment!$E$75</f>
        <v>0</v>
      </c>
      <c r="H701" s="106" t="str">
        <f>B15_Assessment!$F$75</f>
        <v>Paul</v>
      </c>
      <c r="I701" s="106">
        <f>B15_Assessment!$G$75</f>
        <v>0</v>
      </c>
      <c r="J701" s="106" t="str">
        <f>B15_Assessment!$H$75</f>
        <v>B15-R1/B15-R3</v>
      </c>
      <c r="K701" s="106" t="str">
        <f>B15_Assessment!$I$75</f>
        <v>Closed</v>
      </c>
      <c r="L701" s="106">
        <f>B15_Assessment!$J$75</f>
        <v>0</v>
      </c>
    </row>
    <row r="702" spans="1:12" ht="34.950000000000003" customHeight="1">
      <c r="A702" s="106" t="str">
        <f>B15_Assessment!$B$2</f>
        <v>15</v>
      </c>
      <c r="B702" s="106" t="str">
        <f t="shared" si="68"/>
        <v>B14_Assessment</v>
      </c>
      <c r="C702" s="106" t="str">
        <f>B15_Assessment!$A$76</f>
        <v>B15-P003</v>
      </c>
      <c r="D702" s="142" t="str">
        <f>B15_Assessment!$B$76</f>
        <v>B01</v>
      </c>
      <c r="E702" s="142" t="str">
        <f>B15_Assessment!$C$76</f>
        <v>Existing Condition</v>
      </c>
      <c r="F702" s="106" t="str">
        <f>B15_Assessment!$D$76</f>
        <v>Existing basement telecom/crossover B01, legacy 24-port patch panel, pathway, power and protection-in-place needs</v>
      </c>
      <c r="G702" s="106">
        <f>B15_Assessment!$E$76</f>
        <v>0</v>
      </c>
      <c r="H702" s="106" t="str">
        <f>B15_Assessment!$F$76</f>
        <v>Paul</v>
      </c>
      <c r="I702" s="106">
        <f>B15_Assessment!$G$76</f>
        <v>0</v>
      </c>
      <c r="J702" s="106" t="str">
        <f>B15_Assessment!$H$76</f>
        <v>B15-R1/B15-R3</v>
      </c>
      <c r="K702" s="106" t="str">
        <f>B15_Assessment!$I$76</f>
        <v>Closed</v>
      </c>
      <c r="L702" s="106">
        <f>B15_Assessment!$J$76</f>
        <v>0</v>
      </c>
    </row>
    <row r="703" spans="1:12" ht="34.950000000000003" customHeight="1">
      <c r="A703" s="106" t="str">
        <f>B15_Assessment!$B$2</f>
        <v>15</v>
      </c>
      <c r="B703" s="106" t="str">
        <f t="shared" si="68"/>
        <v>B14_Assessment</v>
      </c>
      <c r="C703" s="106" t="str">
        <f>B15_Assessment!$A$77</f>
        <v>B15-P004</v>
      </c>
      <c r="D703" s="142" t="str">
        <f>B15_Assessment!$B$77</f>
        <v>124A</v>
      </c>
      <c r="E703" s="142" t="str">
        <f>B15_Assessment!$C$77</f>
        <v>Hazardous Materials</v>
      </c>
      <c r="F703" s="106" t="str">
        <f>B15_Assessment!$D$77</f>
        <v>First-level abatement-related materials, lead-based paint/door frames, flooring, walls, ceiling/penetrations, and disturbance areas</v>
      </c>
      <c r="G703" s="106">
        <f>B15_Assessment!$E$77</f>
        <v>0</v>
      </c>
      <c r="H703" s="106" t="str">
        <f>B15_Assessment!$F$77</f>
        <v>Paul</v>
      </c>
      <c r="I703" s="106">
        <f>B15_Assessment!$G$77</f>
        <v>0</v>
      </c>
      <c r="J703" s="106" t="str">
        <f>B15_Assessment!$H$77</f>
        <v>B15-R2</v>
      </c>
      <c r="K703" s="106" t="str">
        <f>B15_Assessment!$I$77</f>
        <v>Closed</v>
      </c>
      <c r="L703" s="106">
        <f>B15_Assessment!$J$77</f>
        <v>0</v>
      </c>
    </row>
    <row r="704" spans="1:12" ht="17.25" customHeight="1">
      <c r="A704" s="106" t="str">
        <f>B15_Assessment!$B$2</f>
        <v>15</v>
      </c>
      <c r="B704" s="106" t="str">
        <f t="shared" si="68"/>
        <v>B14_Assessment</v>
      </c>
      <c r="C704" s="106" t="str">
        <f>B15_Assessment!$A$78</f>
        <v>B15-P005</v>
      </c>
      <c r="D704" s="142" t="str">
        <f>B15_Assessment!$B$78</f>
        <v>124A</v>
      </c>
      <c r="E704" s="142" t="str">
        <f>B15_Assessment!$C$78</f>
        <v>Firestop</v>
      </c>
      <c r="F704" s="106" t="str">
        <f>B15_Assessment!$D$78</f>
        <v>All wall/floor/sleeve/tray penetrations before and after firestop</v>
      </c>
      <c r="G704" s="106">
        <f>B15_Assessment!$E$78</f>
        <v>0</v>
      </c>
      <c r="H704" s="106" t="str">
        <f>B15_Assessment!$F$78</f>
        <v>Paul</v>
      </c>
      <c r="I704" s="106">
        <f>B15_Assessment!$G$78</f>
        <v>0</v>
      </c>
      <c r="J704" s="106" t="str">
        <f>B15_Assessment!$H$78</f>
        <v>B15-R6</v>
      </c>
      <c r="K704" s="106" t="str">
        <f>B15_Assessment!$I$78</f>
        <v>Closed</v>
      </c>
      <c r="L704" s="106">
        <f>B15_Assessment!$J$78</f>
        <v>0</v>
      </c>
    </row>
    <row r="705" spans="1:12" ht="34.950000000000003" customHeight="1">
      <c r="A705" s="106" t="str">
        <f>B15_Assessment!$B$2</f>
        <v>15</v>
      </c>
      <c r="B705" s="106" t="str">
        <f t="shared" ref="B705:B712" si="69">"B15_Assessment"</f>
        <v>B15_Assessment</v>
      </c>
      <c r="C705" s="106" t="str">
        <f>B15_Assessment!$A$79</f>
        <v>B15-P006</v>
      </c>
      <c r="D705" s="142" t="str">
        <f>B15_Assessment!$B$79</f>
        <v>124A</v>
      </c>
      <c r="E705" s="142" t="str">
        <f>B15_Assessment!$C$79</f>
        <v>HVAC</v>
      </c>
      <c r="F705" s="106" t="str">
        <f>B15_Assessment!$D$79</f>
        <v>IU-1-01/CU-1-01, condensate, thermostat, BACnet adapter, disconnects, high-temp alarm and power source</v>
      </c>
      <c r="G705" s="106">
        <f>B15_Assessment!$E$79</f>
        <v>0</v>
      </c>
      <c r="H705" s="106" t="str">
        <f>B15_Assessment!$F$79</f>
        <v>Paul</v>
      </c>
      <c r="I705" s="106">
        <f>B15_Assessment!$G$79</f>
        <v>0</v>
      </c>
      <c r="J705" s="106" t="str">
        <f>B15_Assessment!$H$79</f>
        <v>B15-R4</v>
      </c>
      <c r="K705" s="106" t="str">
        <f>B15_Assessment!$I$79</f>
        <v>Closed</v>
      </c>
      <c r="L705" s="106">
        <f>B15_Assessment!$J$79</f>
        <v>0</v>
      </c>
    </row>
    <row r="706" spans="1:12" ht="34.950000000000003" customHeight="1">
      <c r="A706" s="106" t="str">
        <f>B15_Assessment!$B$2</f>
        <v>15</v>
      </c>
      <c r="B706" s="106" t="str">
        <f t="shared" si="69"/>
        <v>B15_Assessment</v>
      </c>
      <c r="C706" s="106" t="str">
        <f>B15_Assessment!$A$80</f>
        <v>B15-P007</v>
      </c>
      <c r="D706" s="142" t="str">
        <f>B15_Assessment!$B$80</f>
        <v>124A</v>
      </c>
      <c r="E706" s="142" t="str">
        <f>B15_Assessment!$C$80</f>
        <v>Electrical</v>
      </c>
      <c r="F706" s="106" t="str">
        <f>B15_Assessment!$D$80</f>
        <v>B15-TR124AA/AB panels, rack receptacles, breakers, SPD, access controller, lighting, CU-1-01 and labels</v>
      </c>
      <c r="G706" s="106">
        <f>B15_Assessment!$E$80</f>
        <v>0</v>
      </c>
      <c r="H706" s="106" t="str">
        <f>B15_Assessment!$F$80</f>
        <v>Paul</v>
      </c>
      <c r="I706" s="106">
        <f>B15_Assessment!$G$80</f>
        <v>0</v>
      </c>
      <c r="J706" s="106" t="str">
        <f>B15_Assessment!$H$80</f>
        <v>B15-R5</v>
      </c>
      <c r="K706" s="106" t="str">
        <f>B15_Assessment!$I$80</f>
        <v>Closed</v>
      </c>
      <c r="L706" s="106">
        <f>B15_Assessment!$J$80</f>
        <v>0</v>
      </c>
    </row>
    <row r="707" spans="1:12" ht="40.65" customHeight="1">
      <c r="A707" s="106" t="str">
        <f>B15_Assessment!$B$2</f>
        <v>15</v>
      </c>
      <c r="B707" s="106" t="str">
        <f t="shared" si="69"/>
        <v>B15_Assessment</v>
      </c>
      <c r="C707" s="106" t="str">
        <f>B15_Assessment!$A$81</f>
        <v>B15-P008</v>
      </c>
      <c r="D707" s="142" t="str">
        <f>B15_Assessment!$B$81</f>
        <v>124A/222/B01</v>
      </c>
      <c r="E707" s="142" t="str">
        <f>B15_Assessment!$C$81</f>
        <v>Telecom/Security</v>
      </c>
      <c r="F707" s="106" t="str">
        <f>B15_Assessment!$D$81</f>
        <v>New rack/future rack, fiber path A/B, Cat6A, patch panels, LIU, labels/test records, 124A-CAM-1 and existing 222/B01 transfer work</v>
      </c>
      <c r="G707" s="106">
        <f>B15_Assessment!$E$81</f>
        <v>0</v>
      </c>
      <c r="H707" s="106" t="str">
        <f>B15_Assessment!$F$81</f>
        <v>Paul</v>
      </c>
      <c r="I707" s="106">
        <f>B15_Assessment!$G$81</f>
        <v>0</v>
      </c>
      <c r="J707" s="106" t="str">
        <f>B15_Assessment!$H$81</f>
        <v>B15-R7/B15-R8</v>
      </c>
      <c r="K707" s="106" t="str">
        <f>B15_Assessment!$I$81</f>
        <v>Closed</v>
      </c>
      <c r="L707" s="106">
        <f>B15_Assessment!$J$81</f>
        <v>0</v>
      </c>
    </row>
    <row r="708" spans="1:12" ht="40.65" customHeight="1">
      <c r="A708" s="106" t="str">
        <f>B16_Assessment!$B$2</f>
        <v>16</v>
      </c>
      <c r="B708" s="106" t="str">
        <f t="shared" si="69"/>
        <v>B15_Assessment</v>
      </c>
      <c r="C708" s="106" t="str">
        <f>B16_Assessment!$A$67</f>
        <v>B16-P001</v>
      </c>
      <c r="D708" s="142" t="str">
        <f>B16_Assessment!$B$67</f>
        <v>015</v>
      </c>
      <c r="E708" s="142" t="str">
        <f>B16_Assessment!$C$67</f>
        <v>Existing Condition</v>
      </c>
      <c r="F708" s="106" t="str">
        <f>B16_Assessment!$D$67</f>
        <v>Room 015 walls, ceiling/deck, floor, door, adjacent Vacant 011/012/013, Stair 014, Water Heater 010, rack location, pathways and penetrations</v>
      </c>
      <c r="G708" s="106">
        <f>B16_Assessment!$E$67</f>
        <v>0</v>
      </c>
      <c r="H708" s="106" t="str">
        <f>B16_Assessment!$F$67</f>
        <v>Paul</v>
      </c>
      <c r="I708" s="106">
        <f>B16_Assessment!$G$67</f>
        <v>0</v>
      </c>
      <c r="J708" s="106" t="str">
        <f>B16_Assessment!$H$67</f>
        <v>B16-R1/B16-R3</v>
      </c>
      <c r="K708" s="106" t="str">
        <f>B16_Assessment!$I$67</f>
        <v>Closed</v>
      </c>
      <c r="L708" s="106">
        <f>B16_Assessment!$J$67</f>
        <v>0</v>
      </c>
    </row>
    <row r="709" spans="1:12" ht="46.35" customHeight="1">
      <c r="A709" s="106" t="str">
        <f>B16_Assessment!$B$2</f>
        <v>16</v>
      </c>
      <c r="B709" s="106" t="str">
        <f t="shared" si="69"/>
        <v>B15_Assessment</v>
      </c>
      <c r="C709" s="106" t="str">
        <f>B16_Assessment!$A$68</f>
        <v>B16-P002</v>
      </c>
      <c r="D709" s="142" t="str">
        <f>B16_Assessment!$B$68</f>
        <v>014</v>
      </c>
      <c r="E709" s="142" t="str">
        <f>B16_Assessment!$C$68</f>
        <v>Existing Condition</v>
      </c>
      <c r="F709" s="106" t="str">
        <f>B16_Assessment!$D$68</f>
        <v>Existing Telecom Room 014 wall rack/TE, Cisco switch, legacy 12-port patch panel, Fiber LIU, floor UPS, plywood backboard and security cabinet</v>
      </c>
      <c r="G709" s="106">
        <f>B16_Assessment!$E$68</f>
        <v>0</v>
      </c>
      <c r="H709" s="106" t="str">
        <f>B16_Assessment!$F$68</f>
        <v>Paul</v>
      </c>
      <c r="I709" s="106">
        <f>B16_Assessment!$G$68</f>
        <v>0</v>
      </c>
      <c r="J709" s="106" t="str">
        <f>B16_Assessment!$H$68</f>
        <v>B16-R1/B16-R2</v>
      </c>
      <c r="K709" s="106" t="str">
        <f>B16_Assessment!$I$68</f>
        <v>Closed</v>
      </c>
      <c r="L709" s="106">
        <f>B16_Assessment!$J$68</f>
        <v>0</v>
      </c>
    </row>
    <row r="710" spans="1:12" ht="17.25" customHeight="1">
      <c r="A710" s="106" t="str">
        <f>B16_Assessment!$B$2</f>
        <v>16</v>
      </c>
      <c r="B710" s="106" t="str">
        <f t="shared" si="69"/>
        <v>B15_Assessment</v>
      </c>
      <c r="C710" s="106" t="str">
        <f>B16_Assessment!$A$69</f>
        <v>B16-P003</v>
      </c>
      <c r="D710" s="142" t="str">
        <f>B16_Assessment!$B$69</f>
        <v>015</v>
      </c>
      <c r="E710" s="142" t="str">
        <f>B16_Assessment!$C$69</f>
        <v>Firestop</v>
      </c>
      <c r="F710" s="106" t="str">
        <f>B16_Assessment!$D$69</f>
        <v>All wall/floor/sleeve/tray penetrations before and after firestop</v>
      </c>
      <c r="G710" s="106">
        <f>B16_Assessment!$E$69</f>
        <v>0</v>
      </c>
      <c r="H710" s="106" t="str">
        <f>B16_Assessment!$F$69</f>
        <v>Paul</v>
      </c>
      <c r="I710" s="106">
        <f>B16_Assessment!$G$69</f>
        <v>0</v>
      </c>
      <c r="J710" s="106" t="str">
        <f>B16_Assessment!$H$69</f>
        <v>B16-R6</v>
      </c>
      <c r="K710" s="106" t="str">
        <f>B16_Assessment!$I$69</f>
        <v>Closed</v>
      </c>
      <c r="L710" s="106">
        <f>B16_Assessment!$J$69</f>
        <v>0</v>
      </c>
    </row>
    <row r="711" spans="1:12" ht="34.950000000000003" customHeight="1">
      <c r="A711" s="106" t="str">
        <f>B16_Assessment!$B$2</f>
        <v>16</v>
      </c>
      <c r="B711" s="106" t="str">
        <f t="shared" si="69"/>
        <v>B15_Assessment</v>
      </c>
      <c r="C711" s="106" t="str">
        <f>B16_Assessment!$A$70</f>
        <v>B16-P004</v>
      </c>
      <c r="D711" s="142" t="str">
        <f>B16_Assessment!$B$70</f>
        <v>015</v>
      </c>
      <c r="E711" s="142" t="str">
        <f>B16_Assessment!$C$70</f>
        <v>HVAC</v>
      </c>
      <c r="F711" s="106" t="str">
        <f>B16_Assessment!$D$70</f>
        <v>IU-1-01/CU-1-01, condensate, thermostat, BACnet adapter, disconnects, high-temp alarm and power source</v>
      </c>
      <c r="G711" s="106">
        <f>B16_Assessment!$E$70</f>
        <v>0</v>
      </c>
      <c r="H711" s="106" t="str">
        <f>B16_Assessment!$F$70</f>
        <v>Paul</v>
      </c>
      <c r="I711" s="106">
        <f>B16_Assessment!$G$70</f>
        <v>0</v>
      </c>
      <c r="J711" s="106" t="str">
        <f>B16_Assessment!$H$70</f>
        <v>B16-R4</v>
      </c>
      <c r="K711" s="106" t="str">
        <f>B16_Assessment!$I$70</f>
        <v>Closed</v>
      </c>
      <c r="L711" s="106">
        <f>B16_Assessment!$J$70</f>
        <v>0</v>
      </c>
    </row>
    <row r="712" spans="1:12" ht="34.950000000000003" customHeight="1">
      <c r="A712" s="106" t="str">
        <f>B16_Assessment!$B$2</f>
        <v>16</v>
      </c>
      <c r="B712" s="106" t="str">
        <f t="shared" si="69"/>
        <v>B15_Assessment</v>
      </c>
      <c r="C712" s="106" t="str">
        <f>B16_Assessment!$A$71</f>
        <v>B16-P005</v>
      </c>
      <c r="D712" s="142" t="str">
        <f>B16_Assessment!$B$71</f>
        <v>015</v>
      </c>
      <c r="E712" s="142" t="str">
        <f>B16_Assessment!$C$71</f>
        <v>Electrical</v>
      </c>
      <c r="F712" s="106" t="str">
        <f>B16_Assessment!$D$71</f>
        <v>B16-TR015A/B panels, rack receptacles, breakers, SPD, access controller, lighting, CU-1-01 and labels</v>
      </c>
      <c r="G712" s="106">
        <f>B16_Assessment!$E$71</f>
        <v>0</v>
      </c>
      <c r="H712" s="106" t="str">
        <f>B16_Assessment!$F$71</f>
        <v>Paul</v>
      </c>
      <c r="I712" s="106">
        <f>B16_Assessment!$G$71</f>
        <v>0</v>
      </c>
      <c r="J712" s="106" t="str">
        <f>B16_Assessment!$H$71</f>
        <v>B16-R5</v>
      </c>
      <c r="K712" s="106" t="str">
        <f>B16_Assessment!$I$71</f>
        <v>Closed</v>
      </c>
      <c r="L712" s="106">
        <f>B16_Assessment!$J$71</f>
        <v>0</v>
      </c>
    </row>
    <row r="713" spans="1:12" ht="34.950000000000003" customHeight="1">
      <c r="A713" s="106" t="str">
        <f>B16_Assessment!$B$2</f>
        <v>16</v>
      </c>
      <c r="B713" s="106" t="str">
        <f t="shared" ref="B713:B720" si="70">"B16_Assessment"</f>
        <v>B16_Assessment</v>
      </c>
      <c r="C713" s="106" t="str">
        <f>B16_Assessment!$A$72</f>
        <v>B16-P006</v>
      </c>
      <c r="D713" s="142" t="str">
        <f>B16_Assessment!$B$72</f>
        <v>015/014</v>
      </c>
      <c r="E713" s="142" t="str">
        <f>B16_Assessment!$C$72</f>
        <v>Telecom</v>
      </c>
      <c r="F713" s="106" t="str">
        <f>B16_Assessment!$D$72</f>
        <v>New rack/future rack, fiber path A/B, Cat6A, patch panels, LIU, labels/test records and existing Room 014 transfer work</v>
      </c>
      <c r="G713" s="106">
        <f>B16_Assessment!$E$72</f>
        <v>0</v>
      </c>
      <c r="H713" s="106" t="str">
        <f>B16_Assessment!$F$72</f>
        <v>Paul</v>
      </c>
      <c r="I713" s="106">
        <f>B16_Assessment!$G$72</f>
        <v>0</v>
      </c>
      <c r="J713" s="106" t="str">
        <f>B16_Assessment!$H$72</f>
        <v>B16-R7</v>
      </c>
      <c r="K713" s="106" t="str">
        <f>B16_Assessment!$I$72</f>
        <v>Closed</v>
      </c>
      <c r="L713" s="106">
        <f>B16_Assessment!$J$72</f>
        <v>0</v>
      </c>
    </row>
    <row r="714" spans="1:12" ht="34.950000000000003" customHeight="1">
      <c r="A714" s="106" t="str">
        <f>B16_Assessment!$B$2</f>
        <v>16</v>
      </c>
      <c r="B714" s="106" t="str">
        <f t="shared" si="70"/>
        <v>B16_Assessment</v>
      </c>
      <c r="C714" s="106" t="str">
        <f>B16_Assessment!$A$73</f>
        <v>B16-P007</v>
      </c>
      <c r="D714" s="142" t="str">
        <f>B16_Assessment!$B$73</f>
        <v>015/014</v>
      </c>
      <c r="E714" s="142" t="str">
        <f>B16_Assessment!$C$73</f>
        <v>Security</v>
      </c>
      <c r="F714" s="106" t="str">
        <f>B16_Assessment!$D$73</f>
        <v>015-CAM-1, card reader, electric strike, door position, motion sensor, existing security cabinet and VMS/PACS integration</v>
      </c>
      <c r="G714" s="106">
        <f>B16_Assessment!$E$73</f>
        <v>0</v>
      </c>
      <c r="H714" s="106" t="str">
        <f>B16_Assessment!$F$73</f>
        <v>Paul</v>
      </c>
      <c r="I714" s="106">
        <f>B16_Assessment!$G$73</f>
        <v>0</v>
      </c>
      <c r="J714" s="106" t="str">
        <f>B16_Assessment!$H$73</f>
        <v>B16-R8</v>
      </c>
      <c r="K714" s="106" t="str">
        <f>B16_Assessment!$I$73</f>
        <v>Closed</v>
      </c>
      <c r="L714" s="106">
        <f>B16_Assessment!$J$73</f>
        <v>0</v>
      </c>
    </row>
    <row r="715" spans="1:12" ht="34.950000000000003" customHeight="1">
      <c r="A715" s="106" t="str">
        <f>B16_Assessment!$B$2</f>
        <v>16</v>
      </c>
      <c r="B715" s="106" t="str">
        <f t="shared" si="70"/>
        <v>B16_Assessment</v>
      </c>
      <c r="C715" s="106" t="str">
        <f>B16_Assessment!$A$74</f>
        <v>B16-P008</v>
      </c>
      <c r="D715" s="142" t="str">
        <f>B16_Assessment!$B$74</f>
        <v>All</v>
      </c>
      <c r="E715" s="142" t="str">
        <f>B16_Assessment!$C$74</f>
        <v>Cable Tray / Pathway</v>
      </c>
      <c r="F715" s="106" t="str">
        <f>B16_Assessment!$D$74</f>
        <v>Basement and first-level cable tray/pathway route, supports, fill, firestopping and seismic bracing</v>
      </c>
      <c r="G715" s="106">
        <f>B16_Assessment!$E$74</f>
        <v>0</v>
      </c>
      <c r="H715" s="106" t="str">
        <f>B16_Assessment!$F$74</f>
        <v>Paul</v>
      </c>
      <c r="I715" s="106">
        <f>B16_Assessment!$G$74</f>
        <v>0</v>
      </c>
      <c r="J715" s="106" t="str">
        <f>B16_Assessment!$H$74</f>
        <v>B16-R3/B16-R7</v>
      </c>
      <c r="K715" s="106" t="str">
        <f>B16_Assessment!$I$74</f>
        <v>Closed</v>
      </c>
      <c r="L715" s="106">
        <f>B16_Assessment!$J$74</f>
        <v>0</v>
      </c>
    </row>
    <row r="716" spans="1:12" ht="40.65" customHeight="1">
      <c r="A716" s="106" t="str">
        <f>B17_Assessment!$B$2</f>
        <v>17</v>
      </c>
      <c r="B716" s="106" t="str">
        <f t="shared" si="70"/>
        <v>B16_Assessment</v>
      </c>
      <c r="C716" s="106" t="str">
        <f>B17_Assessment!$A$74</f>
        <v>B17-P001</v>
      </c>
      <c r="D716" s="142" t="str">
        <f>B17_Assessment!$B$74</f>
        <v>118</v>
      </c>
      <c r="E716" s="142" t="str">
        <f>B17_Assessment!$C$74</f>
        <v>Existing Condition</v>
      </c>
      <c r="F716" s="106" t="str">
        <f>B17_Assessment!$D$74</f>
        <v>Room 118 walls, ceiling/deck, floor, door, adjacent Lab/Freezer/Research/Corridor areas, rack location, pathways and penetrations</v>
      </c>
      <c r="G716" s="106">
        <f>B17_Assessment!$E$74</f>
        <v>0</v>
      </c>
      <c r="H716" s="106" t="str">
        <f>B17_Assessment!$F$74</f>
        <v>Paul</v>
      </c>
      <c r="I716" s="106">
        <f>B17_Assessment!$G$74</f>
        <v>0</v>
      </c>
      <c r="J716" s="106" t="str">
        <f>B17_Assessment!$H$74</f>
        <v>B17-R1/B17-R2</v>
      </c>
      <c r="K716" s="106" t="str">
        <f>B17_Assessment!$I$74</f>
        <v>Closed</v>
      </c>
      <c r="L716" s="106">
        <f>B17_Assessment!$J$74</f>
        <v>0</v>
      </c>
    </row>
    <row r="717" spans="1:12" ht="52.2" customHeight="1">
      <c r="A717" s="106" t="str">
        <f>B17_Assessment!$B$2</f>
        <v>17</v>
      </c>
      <c r="B717" s="106" t="str">
        <f t="shared" si="70"/>
        <v>B16_Assessment</v>
      </c>
      <c r="C717" s="106" t="str">
        <f>B17_Assessment!$A$75</f>
        <v>B17-P002</v>
      </c>
      <c r="D717" s="142" t="str">
        <f>B17_Assessment!$B$75</f>
        <v>B35A</v>
      </c>
      <c r="E717" s="142" t="str">
        <f>B17_Assessment!$C$75</f>
        <v>Existing Condition</v>
      </c>
      <c r="F717" s="106" t="str">
        <f>B17_Assessment!$D$75</f>
        <v>Existing Telecom Closet B35A wall TE, SERTEX service ports, legacy patch panels, Cisco switches, security cabinet, plywood backboard, indoor AC and floor UPS</v>
      </c>
      <c r="G717" s="106">
        <f>B17_Assessment!$E$75</f>
        <v>0</v>
      </c>
      <c r="H717" s="106" t="str">
        <f>B17_Assessment!$F$75</f>
        <v>Paul</v>
      </c>
      <c r="I717" s="106">
        <f>B17_Assessment!$G$75</f>
        <v>0</v>
      </c>
      <c r="J717" s="106" t="str">
        <f>B17_Assessment!$H$75</f>
        <v>B17-R1/B17-R3</v>
      </c>
      <c r="K717" s="106" t="str">
        <f>B17_Assessment!$I$75</f>
        <v>Closed</v>
      </c>
      <c r="L717" s="106">
        <f>B17_Assessment!$J$75</f>
        <v>0</v>
      </c>
    </row>
    <row r="718" spans="1:12" ht="22.95" customHeight="1">
      <c r="A718" s="106" t="str">
        <f>B17_Assessment!$B$2</f>
        <v>17</v>
      </c>
      <c r="B718" s="106" t="str">
        <f t="shared" si="70"/>
        <v>B16_Assessment</v>
      </c>
      <c r="C718" s="106" t="str">
        <f>B17_Assessment!$A$76</f>
        <v>B17-P003</v>
      </c>
      <c r="D718" s="142" t="str">
        <f>B17_Assessment!$B$76</f>
        <v>B29 Path</v>
      </c>
      <c r="E718" s="142" t="str">
        <f>B17_Assessment!$C$76</f>
        <v>Pathway</v>
      </c>
      <c r="F718" s="106" t="str">
        <f>B17_Assessment!$D$76</f>
        <v>Path to B29 4-inch PVC, fiber route, penetrations, handoff points and labeling</v>
      </c>
      <c r="G718" s="106">
        <f>B17_Assessment!$E$76</f>
        <v>0</v>
      </c>
      <c r="H718" s="106" t="str">
        <f>B17_Assessment!$F$76</f>
        <v>Paul</v>
      </c>
      <c r="I718" s="106">
        <f>B17_Assessment!$G$76</f>
        <v>0</v>
      </c>
      <c r="J718" s="106" t="str">
        <f>B17_Assessment!$H$76</f>
        <v>B17-R6/B17-R7</v>
      </c>
      <c r="K718" s="106" t="str">
        <f>B17_Assessment!$I$76</f>
        <v>Closed</v>
      </c>
      <c r="L718" s="106">
        <f>B17_Assessment!$J$76</f>
        <v>0</v>
      </c>
    </row>
    <row r="719" spans="1:12" ht="29.1" customHeight="1">
      <c r="A719" s="106" t="str">
        <f>B17_Assessment!$B$2</f>
        <v>17</v>
      </c>
      <c r="B719" s="106" t="str">
        <f t="shared" si="70"/>
        <v>B16_Assessment</v>
      </c>
      <c r="C719" s="106" t="str">
        <f>B17_Assessment!$A$77</f>
        <v>B17-P004</v>
      </c>
      <c r="D719" s="142" t="str">
        <f>B17_Assessment!$B$77</f>
        <v>118</v>
      </c>
      <c r="E719" s="142" t="str">
        <f>B17_Assessment!$C$77</f>
        <v>Hazardous Materials</v>
      </c>
      <c r="F719" s="106" t="str">
        <f>B17_Assessment!$D$77</f>
        <v>First-level abatement-related materials, flooring, walls, ceiling/penetrations, and disturbance areas</v>
      </c>
      <c r="G719" s="106">
        <f>B17_Assessment!$E$77</f>
        <v>0</v>
      </c>
      <c r="H719" s="106" t="str">
        <f>B17_Assessment!$F$77</f>
        <v>Paul</v>
      </c>
      <c r="I719" s="106">
        <f>B17_Assessment!$G$77</f>
        <v>0</v>
      </c>
      <c r="J719" s="106" t="str">
        <f>B17_Assessment!$H$77</f>
        <v>B17-R2</v>
      </c>
      <c r="K719" s="106" t="str">
        <f>B17_Assessment!$I$77</f>
        <v>Closed</v>
      </c>
      <c r="L719" s="106">
        <f>B17_Assessment!$J$77</f>
        <v>0</v>
      </c>
    </row>
    <row r="720" spans="1:12" ht="22.95" customHeight="1">
      <c r="A720" s="106" t="str">
        <f>B17_Assessment!$B$2</f>
        <v>17</v>
      </c>
      <c r="B720" s="106" t="str">
        <f t="shared" si="70"/>
        <v>B16_Assessment</v>
      </c>
      <c r="C720" s="106" t="str">
        <f>B17_Assessment!$A$78</f>
        <v>B17-P005</v>
      </c>
      <c r="D720" s="142" t="str">
        <f>B17_Assessment!$B$78</f>
        <v>118/B29</v>
      </c>
      <c r="E720" s="142" t="str">
        <f>B17_Assessment!$C$78</f>
        <v>Firestop</v>
      </c>
      <c r="F720" s="106" t="str">
        <f>B17_Assessment!$D$78</f>
        <v>All wall/floor/sleeve/tray penetrations before and after firestop, including B29 pathway</v>
      </c>
      <c r="G720" s="106">
        <f>B17_Assessment!$E$78</f>
        <v>0</v>
      </c>
      <c r="H720" s="106" t="str">
        <f>B17_Assessment!$F$78</f>
        <v>Paul</v>
      </c>
      <c r="I720" s="106">
        <f>B17_Assessment!$G$78</f>
        <v>0</v>
      </c>
      <c r="J720" s="106" t="str">
        <f>B17_Assessment!$H$78</f>
        <v>B17-R6</v>
      </c>
      <c r="K720" s="106" t="str">
        <f>B17_Assessment!$I$78</f>
        <v>Closed</v>
      </c>
      <c r="L720" s="106">
        <f>B17_Assessment!$J$78</f>
        <v>0</v>
      </c>
    </row>
    <row r="721" spans="1:12" ht="34.950000000000003" customHeight="1">
      <c r="A721" s="106" t="str">
        <f>B17_Assessment!$B$2</f>
        <v>17</v>
      </c>
      <c r="B721" s="106" t="str">
        <f t="shared" ref="B721:B728" si="71">"B17_Assessment"</f>
        <v>B17_Assessment</v>
      </c>
      <c r="C721" s="106" t="str">
        <f>B17_Assessment!$A$79</f>
        <v>B17-P006</v>
      </c>
      <c r="D721" s="142" t="str">
        <f>B17_Assessment!$B$79</f>
        <v>118</v>
      </c>
      <c r="E721" s="142" t="str">
        <f>B17_Assessment!$C$79</f>
        <v>HVAC</v>
      </c>
      <c r="F721" s="106" t="str">
        <f>B17_Assessment!$D$79</f>
        <v>IU-1-01/CU-1-01, condensate, thermostat, BACnet adapter, disconnects, high-temp alarm and power source</v>
      </c>
      <c r="G721" s="106">
        <f>B17_Assessment!$E$79</f>
        <v>0</v>
      </c>
      <c r="H721" s="106" t="str">
        <f>B17_Assessment!$F$79</f>
        <v>Paul</v>
      </c>
      <c r="I721" s="106">
        <f>B17_Assessment!$G$79</f>
        <v>0</v>
      </c>
      <c r="J721" s="106" t="str">
        <f>B17_Assessment!$H$79</f>
        <v>B17-R4</v>
      </c>
      <c r="K721" s="106" t="str">
        <f>B17_Assessment!$I$79</f>
        <v>Closed</v>
      </c>
      <c r="L721" s="106">
        <f>B17_Assessment!$J$79</f>
        <v>0</v>
      </c>
    </row>
    <row r="722" spans="1:12" ht="40.65" customHeight="1">
      <c r="A722" s="106" t="str">
        <f>B17_Assessment!$B$2</f>
        <v>17</v>
      </c>
      <c r="B722" s="106" t="str">
        <f t="shared" si="71"/>
        <v>B17_Assessment</v>
      </c>
      <c r="C722" s="106" t="str">
        <f>B17_Assessment!$A$80</f>
        <v>B17-P007</v>
      </c>
      <c r="D722" s="142" t="str">
        <f>B17_Assessment!$B$80</f>
        <v>118</v>
      </c>
      <c r="E722" s="142" t="str">
        <f>B17_Assessment!$C$80</f>
        <v>Electrical</v>
      </c>
      <c r="F722" s="106" t="str">
        <f>B17_Assessment!$D$80</f>
        <v>B17-TR118A/B panels, BUS-B17-EQDP, BUS-B17-NPB1-R, rack receptacles, breakers, SPD, access controller, lighting, CU-1-01 and labels</v>
      </c>
      <c r="G722" s="106">
        <f>B17_Assessment!$E$80</f>
        <v>0</v>
      </c>
      <c r="H722" s="106" t="str">
        <f>B17_Assessment!$F$80</f>
        <v>Paul</v>
      </c>
      <c r="I722" s="106">
        <f>B17_Assessment!$G$80</f>
        <v>0</v>
      </c>
      <c r="J722" s="106" t="str">
        <f>B17_Assessment!$H$80</f>
        <v>B17-R5</v>
      </c>
      <c r="K722" s="106" t="str">
        <f>B17_Assessment!$I$80</f>
        <v>Closed</v>
      </c>
      <c r="L722" s="106">
        <f>B17_Assessment!$J$80</f>
        <v>0</v>
      </c>
    </row>
    <row r="723" spans="1:12" ht="40.65" customHeight="1">
      <c r="A723" s="106" t="str">
        <f>B17_Assessment!$B$2</f>
        <v>17</v>
      </c>
      <c r="B723" s="106" t="str">
        <f t="shared" si="71"/>
        <v>B17_Assessment</v>
      </c>
      <c r="C723" s="106" t="str">
        <f>B17_Assessment!$A$81</f>
        <v>B17-P008</v>
      </c>
      <c r="D723" s="142" t="str">
        <f>B17_Assessment!$B$81</f>
        <v>118/B35A/B29</v>
      </c>
      <c r="E723" s="142" t="str">
        <f>B17_Assessment!$C$81</f>
        <v>Telecom/Security</v>
      </c>
      <c r="F723" s="106" t="str">
        <f>B17_Assessment!$D$81</f>
        <v>New rack/future rack, fiber path A/B, Cat6A, patch panels, LIU, labels/test records, 118-CAM-01 and existing B35A transfer work</v>
      </c>
      <c r="G723" s="106">
        <f>B17_Assessment!$E$81</f>
        <v>0</v>
      </c>
      <c r="H723" s="106" t="str">
        <f>B17_Assessment!$F$81</f>
        <v>Paul</v>
      </c>
      <c r="I723" s="106">
        <f>B17_Assessment!$G$81</f>
        <v>0</v>
      </c>
      <c r="J723" s="106" t="str">
        <f>B17_Assessment!$H$81</f>
        <v>B17-R7/B17-R8</v>
      </c>
      <c r="K723" s="106" t="str">
        <f>B17_Assessment!$I$81</f>
        <v>Closed</v>
      </c>
      <c r="L723" s="106">
        <f>B17_Assessment!$J$81</f>
        <v>0</v>
      </c>
    </row>
    <row r="724" spans="1:12" ht="40.65" customHeight="1">
      <c r="A724" s="106" t="str">
        <f>B18_Assessment!$B$2</f>
        <v>18</v>
      </c>
      <c r="B724" s="106" t="str">
        <f t="shared" si="71"/>
        <v>B17_Assessment</v>
      </c>
      <c r="C724" s="106" t="str">
        <f>B18_Assessment!$A$74</f>
        <v>B18-P001</v>
      </c>
      <c r="D724" s="142" t="str">
        <f>B18_Assessment!$B$74</f>
        <v>110</v>
      </c>
      <c r="E724" s="142" t="str">
        <f>B18_Assessment!$C$74</f>
        <v>Existing Condition</v>
      </c>
      <c r="F724" s="106" t="str">
        <f>B18_Assessment!$D$74</f>
        <v>Room 110 walls, ceiling/deck, floor, door, adjacent Corridor 121/Stair 122/Office 112, rack location, pathways and penetrations</v>
      </c>
      <c r="G724" s="106">
        <f>B18_Assessment!$E$74</f>
        <v>0</v>
      </c>
      <c r="H724" s="106" t="str">
        <f>B18_Assessment!$F$74</f>
        <v>Paul</v>
      </c>
      <c r="I724" s="106">
        <f>B18_Assessment!$G$74</f>
        <v>0</v>
      </c>
      <c r="J724" s="106" t="str">
        <f>B18_Assessment!$H$74</f>
        <v>B18-R1/B18-R2</v>
      </c>
      <c r="K724" s="106" t="str">
        <f>B18_Assessment!$I$74</f>
        <v>Closed</v>
      </c>
      <c r="L724" s="106">
        <f>B18_Assessment!$J$74</f>
        <v>0</v>
      </c>
    </row>
    <row r="725" spans="1:12" ht="34.950000000000003" customHeight="1">
      <c r="A725" s="106" t="str">
        <f>B18_Assessment!$B$2</f>
        <v>18</v>
      </c>
      <c r="B725" s="106" t="str">
        <f t="shared" si="71"/>
        <v>B17_Assessment</v>
      </c>
      <c r="C725" s="106" t="str">
        <f>B18_Assessment!$A$75</f>
        <v>B18-P002</v>
      </c>
      <c r="D725" s="142" t="str">
        <f>B18_Assessment!$B$75</f>
        <v>111B</v>
      </c>
      <c r="E725" s="142" t="str">
        <f>B18_Assessment!$C$75</f>
        <v>Existing Condition</v>
      </c>
      <c r="F725" s="106" t="str">
        <f>B18_Assessment!$D$75</f>
        <v>Existing TE 111B wall rack, plywood backboard, patch panel, security cabinet, floor UPS and 5RU fiber housing</v>
      </c>
      <c r="G725" s="106">
        <f>B18_Assessment!$E$75</f>
        <v>0</v>
      </c>
      <c r="H725" s="106" t="str">
        <f>B18_Assessment!$F$75</f>
        <v>Paul</v>
      </c>
      <c r="I725" s="106">
        <f>B18_Assessment!$G$75</f>
        <v>0</v>
      </c>
      <c r="J725" s="106" t="str">
        <f>B18_Assessment!$H$75</f>
        <v>B18-R1/B18-R3</v>
      </c>
      <c r="K725" s="106" t="str">
        <f>B18_Assessment!$I$75</f>
        <v>Closed</v>
      </c>
      <c r="L725" s="106">
        <f>B18_Assessment!$J$75</f>
        <v>0</v>
      </c>
    </row>
    <row r="726" spans="1:12" ht="52.2" customHeight="1">
      <c r="A726" s="106" t="str">
        <f>B18_Assessment!$B$2</f>
        <v>18</v>
      </c>
      <c r="B726" s="106" t="str">
        <f t="shared" si="71"/>
        <v>B17_Assessment</v>
      </c>
      <c r="C726" s="106" t="str">
        <f>B18_Assessment!$A$76</f>
        <v>B18-P003</v>
      </c>
      <c r="D726" s="142" t="str">
        <f>B18_Assessment!$B$76</f>
        <v>213</v>
      </c>
      <c r="E726" s="142" t="str">
        <f>B18_Assessment!$C$76</f>
        <v>Existing Condition</v>
      </c>
      <c r="F726" s="106" t="str">
        <f>B18_Assessment!$D$76</f>
        <v>Existing Closet 213 wall rack/TE, SERTEX service ports, Cisco switch, legacy Ortronics patch panels, security cabinet, plywood backboard and APC floor UPS</v>
      </c>
      <c r="G726" s="106">
        <f>B18_Assessment!$E$76</f>
        <v>0</v>
      </c>
      <c r="H726" s="106" t="str">
        <f>B18_Assessment!$F$76</f>
        <v>Paul</v>
      </c>
      <c r="I726" s="106">
        <f>B18_Assessment!$G$76</f>
        <v>0</v>
      </c>
      <c r="J726" s="106" t="str">
        <f>B18_Assessment!$H$76</f>
        <v>B18-R1/B18-R3</v>
      </c>
      <c r="K726" s="106" t="str">
        <f>B18_Assessment!$I$76</f>
        <v>Closed</v>
      </c>
      <c r="L726" s="106">
        <f>B18_Assessment!$J$76</f>
        <v>0</v>
      </c>
    </row>
    <row r="727" spans="1:12" ht="29.1" customHeight="1">
      <c r="A727" s="106" t="str">
        <f>B18_Assessment!$B$2</f>
        <v>18</v>
      </c>
      <c r="B727" s="106" t="str">
        <f t="shared" si="71"/>
        <v>B17_Assessment</v>
      </c>
      <c r="C727" s="106" t="str">
        <f>B18_Assessment!$A$77</f>
        <v>B18-P004</v>
      </c>
      <c r="D727" s="142" t="str">
        <f>B18_Assessment!$B$77</f>
        <v>110</v>
      </c>
      <c r="E727" s="142" t="str">
        <f>B18_Assessment!$C$77</f>
        <v>Hazardous Materials</v>
      </c>
      <c r="F727" s="106" t="str">
        <f>B18_Assessment!$D$77</f>
        <v>First-level abatement/lead-paint areas, flooring, walls, ceiling/penetrations, and disturbance areas</v>
      </c>
      <c r="G727" s="106">
        <f>B18_Assessment!$E$77</f>
        <v>0</v>
      </c>
      <c r="H727" s="106" t="str">
        <f>B18_Assessment!$F$77</f>
        <v>Paul</v>
      </c>
      <c r="I727" s="106">
        <f>B18_Assessment!$G$77</f>
        <v>0</v>
      </c>
      <c r="J727" s="106" t="str">
        <f>B18_Assessment!$H$77</f>
        <v>B18-R2</v>
      </c>
      <c r="K727" s="106" t="str">
        <f>B18_Assessment!$I$77</f>
        <v>Closed</v>
      </c>
      <c r="L727" s="106">
        <f>B18_Assessment!$J$77</f>
        <v>0</v>
      </c>
    </row>
    <row r="728" spans="1:12" ht="17.25" customHeight="1">
      <c r="A728" s="106" t="str">
        <f>B18_Assessment!$B$2</f>
        <v>18</v>
      </c>
      <c r="B728" s="106" t="str">
        <f t="shared" si="71"/>
        <v>B17_Assessment</v>
      </c>
      <c r="C728" s="106" t="str">
        <f>B18_Assessment!$A$78</f>
        <v>B18-P005</v>
      </c>
      <c r="D728" s="142" t="str">
        <f>B18_Assessment!$B$78</f>
        <v>110</v>
      </c>
      <c r="E728" s="142" t="str">
        <f>B18_Assessment!$C$78</f>
        <v>Firestop</v>
      </c>
      <c r="F728" s="106" t="str">
        <f>B18_Assessment!$D$78</f>
        <v>All wall/floor/sleeve/tray penetrations before and after firestop</v>
      </c>
      <c r="G728" s="106">
        <f>B18_Assessment!$E$78</f>
        <v>0</v>
      </c>
      <c r="H728" s="106" t="str">
        <f>B18_Assessment!$F$78</f>
        <v>Paul</v>
      </c>
      <c r="I728" s="106">
        <f>B18_Assessment!$G$78</f>
        <v>0</v>
      </c>
      <c r="J728" s="106" t="str">
        <f>B18_Assessment!$H$78</f>
        <v>B18-R6</v>
      </c>
      <c r="K728" s="106" t="str">
        <f>B18_Assessment!$I$78</f>
        <v>Closed</v>
      </c>
      <c r="L728" s="106">
        <f>B18_Assessment!$J$78</f>
        <v>0</v>
      </c>
    </row>
    <row r="729" spans="1:12" ht="34.950000000000003" customHeight="1">
      <c r="A729" s="106" t="str">
        <f>B18_Assessment!$B$2</f>
        <v>18</v>
      </c>
      <c r="B729" s="106" t="str">
        <f t="shared" ref="B729:B736" si="72">"B18_Assessment"</f>
        <v>B18_Assessment</v>
      </c>
      <c r="C729" s="106" t="str">
        <f>B18_Assessment!$A$79</f>
        <v>B18-P006</v>
      </c>
      <c r="D729" s="142" t="str">
        <f>B18_Assessment!$B$79</f>
        <v>110</v>
      </c>
      <c r="E729" s="142" t="str">
        <f>B18_Assessment!$C$79</f>
        <v>HVAC</v>
      </c>
      <c r="F729" s="106" t="str">
        <f>B18_Assessment!$D$79</f>
        <v>IU-1-01/CU-1-01, condensate, thermostat, BACnet adapter, disconnects, high-temp alarm and power source</v>
      </c>
      <c r="G729" s="106">
        <f>B18_Assessment!$E$79</f>
        <v>0</v>
      </c>
      <c r="H729" s="106" t="str">
        <f>B18_Assessment!$F$79</f>
        <v>Paul</v>
      </c>
      <c r="I729" s="106">
        <f>B18_Assessment!$G$79</f>
        <v>0</v>
      </c>
      <c r="J729" s="106" t="str">
        <f>B18_Assessment!$H$79</f>
        <v>B18-R4</v>
      </c>
      <c r="K729" s="106" t="str">
        <f>B18_Assessment!$I$79</f>
        <v>Closed</v>
      </c>
      <c r="L729" s="106">
        <f>B18_Assessment!$J$79</f>
        <v>0</v>
      </c>
    </row>
    <row r="730" spans="1:12" ht="34.950000000000003" customHeight="1">
      <c r="A730" s="106" t="str">
        <f>B18_Assessment!$B$2</f>
        <v>18</v>
      </c>
      <c r="B730" s="106" t="str">
        <f t="shared" si="72"/>
        <v>B18_Assessment</v>
      </c>
      <c r="C730" s="106" t="str">
        <f>B18_Assessment!$A$80</f>
        <v>B18-P007</v>
      </c>
      <c r="D730" s="142" t="str">
        <f>B18_Assessment!$B$80</f>
        <v>110</v>
      </c>
      <c r="E730" s="142" t="str">
        <f>B18_Assessment!$C$80</f>
        <v>Electrical</v>
      </c>
      <c r="F730" s="106" t="str">
        <f>B18_Assessment!$D$80</f>
        <v>B18-TR110A/B panels, rack receptacles, breakers, SPD, access controller, lighting, CU-1-01 and labels</v>
      </c>
      <c r="G730" s="106">
        <f>B18_Assessment!$E$80</f>
        <v>0</v>
      </c>
      <c r="H730" s="106" t="str">
        <f>B18_Assessment!$F$80</f>
        <v>Paul</v>
      </c>
      <c r="I730" s="106">
        <f>B18_Assessment!$G$80</f>
        <v>0</v>
      </c>
      <c r="J730" s="106" t="str">
        <f>B18_Assessment!$H$80</f>
        <v>B18-R5</v>
      </c>
      <c r="K730" s="106" t="str">
        <f>B18_Assessment!$I$80</f>
        <v>Closed</v>
      </c>
      <c r="L730" s="106">
        <f>B18_Assessment!$J$80</f>
        <v>0</v>
      </c>
    </row>
    <row r="731" spans="1:12" ht="40.65" customHeight="1">
      <c r="A731" s="106" t="str">
        <f>B18_Assessment!$B$2</f>
        <v>18</v>
      </c>
      <c r="B731" s="106" t="str">
        <f t="shared" si="72"/>
        <v>B18_Assessment</v>
      </c>
      <c r="C731" s="106" t="str">
        <f>B18_Assessment!$A$81</f>
        <v>B18-P008</v>
      </c>
      <c r="D731" s="142" t="str">
        <f>B18_Assessment!$B$81</f>
        <v>110/111B/213</v>
      </c>
      <c r="E731" s="142" t="str">
        <f>B18_Assessment!$C$81</f>
        <v>Telecom/Security</v>
      </c>
      <c r="F731" s="106" t="str">
        <f>B18_Assessment!$D$81</f>
        <v>New rack/future rack, fiber path A/B, Cat6A, patch panels, LIU, labels/test records, 111A-CAM-01 and existing 111B/213 transfer work</v>
      </c>
      <c r="G731" s="106">
        <f>B18_Assessment!$E$81</f>
        <v>0</v>
      </c>
      <c r="H731" s="106" t="str">
        <f>B18_Assessment!$F$81</f>
        <v>Paul</v>
      </c>
      <c r="I731" s="106">
        <f>B18_Assessment!$G$81</f>
        <v>0</v>
      </c>
      <c r="J731" s="106" t="str">
        <f>B18_Assessment!$H$81</f>
        <v>B18-R7/B18-R8</v>
      </c>
      <c r="K731" s="106" t="str">
        <f>B18_Assessment!$I$81</f>
        <v>Closed</v>
      </c>
      <c r="L731" s="106">
        <f>B18_Assessment!$J$81</f>
        <v>0</v>
      </c>
    </row>
    <row r="732" spans="1:12" ht="40.65" customHeight="1">
      <c r="A732" s="106" t="str">
        <f>B20_Assessment!$B$2</f>
        <v>20</v>
      </c>
      <c r="B732" s="106" t="str">
        <f t="shared" si="72"/>
        <v>B18_Assessment</v>
      </c>
      <c r="C732" s="106" t="str">
        <f>B20_Assessment!$A$67</f>
        <v>B20-P001</v>
      </c>
      <c r="D732" s="142" t="str">
        <f>B20_Assessment!$B$67</f>
        <v>1B</v>
      </c>
      <c r="E732" s="142" t="str">
        <f>B20_Assessment!$C$67</f>
        <v>Existing Condition</v>
      </c>
      <c r="F732" s="106" t="str">
        <f>B20_Assessment!$D$67</f>
        <v>Office 1B wall location, wall backing, clearances, ceiling, power source, cable path, fiber path A/B and new TE enclosure location</v>
      </c>
      <c r="G732" s="106">
        <f>B20_Assessment!$E$67</f>
        <v>0</v>
      </c>
      <c r="H732" s="106" t="str">
        <f>B20_Assessment!$F$67</f>
        <v>Paul</v>
      </c>
      <c r="I732" s="106">
        <f>B20_Assessment!$G$67</f>
        <v>0</v>
      </c>
      <c r="J732" s="106" t="str">
        <f>B20_Assessment!$H$67</f>
        <v>B20-R1/B20-R3</v>
      </c>
      <c r="K732" s="106" t="str">
        <f>B20_Assessment!$I$67</f>
        <v>Closed</v>
      </c>
      <c r="L732" s="106">
        <f>B20_Assessment!$J$67</f>
        <v>0</v>
      </c>
    </row>
    <row r="733" spans="1:12" ht="40.65" customHeight="1">
      <c r="A733" s="106" t="str">
        <f>B20_Assessment!$B$2</f>
        <v>20</v>
      </c>
      <c r="B733" s="106" t="str">
        <f t="shared" si="72"/>
        <v>B18_Assessment</v>
      </c>
      <c r="C733" s="106" t="str">
        <f>B20_Assessment!$A$68</f>
        <v>B20-P002</v>
      </c>
      <c r="D733" s="142" t="str">
        <f>B20_Assessment!$B$68</f>
        <v>8A</v>
      </c>
      <c r="E733" s="142" t="str">
        <f>B20_Assessment!$C$68</f>
        <v>Existing Condition</v>
      </c>
      <c r="F733" s="106" t="str">
        <f>B20_Assessment!$D$68</f>
        <v>Existing Tel/Data Closet 8A open TE cabinet, ground bar, patch panel, equipment box, indoor AC unit, plywood backboard and cable entries</v>
      </c>
      <c r="G733" s="106">
        <f>B20_Assessment!$E$68</f>
        <v>0</v>
      </c>
      <c r="H733" s="106" t="str">
        <f>B20_Assessment!$F$68</f>
        <v>Paul</v>
      </c>
      <c r="I733" s="106">
        <f>B20_Assessment!$G$68</f>
        <v>0</v>
      </c>
      <c r="J733" s="106" t="str">
        <f>B20_Assessment!$H$68</f>
        <v>B20-R1/B20-R2</v>
      </c>
      <c r="K733" s="106" t="str">
        <f>B20_Assessment!$I$68</f>
        <v>Closed</v>
      </c>
      <c r="L733" s="106">
        <f>B20_Assessment!$J$68</f>
        <v>0</v>
      </c>
    </row>
    <row r="734" spans="1:12" ht="29.1" customHeight="1">
      <c r="A734" s="106" t="str">
        <f>B20_Assessment!$B$2</f>
        <v>20</v>
      </c>
      <c r="B734" s="106" t="str">
        <f t="shared" si="72"/>
        <v>B18_Assessment</v>
      </c>
      <c r="C734" s="106" t="str">
        <f>B20_Assessment!$A$69</f>
        <v>B20-P003</v>
      </c>
      <c r="D734" s="142" t="str">
        <f>B20_Assessment!$B$69</f>
        <v>8A</v>
      </c>
      <c r="E734" s="142" t="str">
        <f>B20_Assessment!$C$69</f>
        <v>Existing Equipment</v>
      </c>
      <c r="F734" s="106" t="str">
        <f>B20_Assessment!$D$69</f>
        <v>BIX blocks, Cisco switch, legacy Ortronics 48-port patch panel, UPS on ground and Fiber LIU on wall</v>
      </c>
      <c r="G734" s="106">
        <f>B20_Assessment!$E$69</f>
        <v>0</v>
      </c>
      <c r="H734" s="106" t="str">
        <f>B20_Assessment!$F$69</f>
        <v>Paul</v>
      </c>
      <c r="I734" s="106">
        <f>B20_Assessment!$G$69</f>
        <v>0</v>
      </c>
      <c r="J734" s="106" t="str">
        <f>B20_Assessment!$H$69</f>
        <v>B20-R2/B20-R5</v>
      </c>
      <c r="K734" s="106" t="str">
        <f>B20_Assessment!$I$69</f>
        <v>Closed</v>
      </c>
      <c r="L734" s="106">
        <f>B20_Assessment!$J$69</f>
        <v>0</v>
      </c>
    </row>
    <row r="735" spans="1:12" ht="34.950000000000003" customHeight="1">
      <c r="A735" s="106" t="str">
        <f>B20_Assessment!$B$2</f>
        <v>20</v>
      </c>
      <c r="B735" s="106" t="str">
        <f t="shared" si="72"/>
        <v>B18_Assessment</v>
      </c>
      <c r="C735" s="106" t="str">
        <f>B20_Assessment!$A$70</f>
        <v>B20-P004</v>
      </c>
      <c r="D735" s="142" t="str">
        <f>B20_Assessment!$B$70</f>
        <v>1B/8A</v>
      </c>
      <c r="E735" s="142" t="str">
        <f>B20_Assessment!$C$70</f>
        <v>Pathway</v>
      </c>
      <c r="F735" s="106" t="str">
        <f>B20_Assessment!$D$70</f>
        <v>459 ft Level 1 cable tray route, sleeves, wall penetrations, support points, light/HVAC conflicts and 40% fill concerns</v>
      </c>
      <c r="G735" s="106">
        <f>B20_Assessment!$E$70</f>
        <v>0</v>
      </c>
      <c r="H735" s="106" t="str">
        <f>B20_Assessment!$F$70</f>
        <v>Paul</v>
      </c>
      <c r="I735" s="106">
        <f>B20_Assessment!$G$70</f>
        <v>0</v>
      </c>
      <c r="J735" s="106" t="str">
        <f>B20_Assessment!$H$70</f>
        <v>B20-R6/B20-R7</v>
      </c>
      <c r="K735" s="106" t="str">
        <f>B20_Assessment!$I$70</f>
        <v>Closed</v>
      </c>
      <c r="L735" s="106">
        <f>B20_Assessment!$J$70</f>
        <v>0</v>
      </c>
    </row>
    <row r="736" spans="1:12" ht="34.950000000000003" customHeight="1">
      <c r="A736" s="106" t="str">
        <f>B20_Assessment!$B$2</f>
        <v>20</v>
      </c>
      <c r="B736" s="106" t="str">
        <f t="shared" si="72"/>
        <v>B18_Assessment</v>
      </c>
      <c r="C736" s="106" t="str">
        <f>B20_Assessment!$A$71</f>
        <v>B20-P005</v>
      </c>
      <c r="D736" s="142" t="str">
        <f>B20_Assessment!$B$71</f>
        <v>1B</v>
      </c>
      <c r="E736" s="142" t="str">
        <f>B20_Assessment!$C$71</f>
        <v>Electrical</v>
      </c>
      <c r="F736" s="106" t="str">
        <f>B20_Assessment!$D$71</f>
        <v>New TE enclosure UPS/PDU receptacles, circuit source, grounding/bonding, labels and disconnect/access</v>
      </c>
      <c r="G736" s="106">
        <f>B20_Assessment!$E$71</f>
        <v>0</v>
      </c>
      <c r="H736" s="106" t="str">
        <f>B20_Assessment!$F$71</f>
        <v>Paul</v>
      </c>
      <c r="I736" s="106">
        <f>B20_Assessment!$G$71</f>
        <v>0</v>
      </c>
      <c r="J736" s="106" t="str">
        <f>B20_Assessment!$H$71</f>
        <v>B20-R5</v>
      </c>
      <c r="K736" s="106" t="str">
        <f>B20_Assessment!$I$71</f>
        <v>Closed</v>
      </c>
      <c r="L736" s="106">
        <f>B20_Assessment!$J$71</f>
        <v>0</v>
      </c>
    </row>
    <row r="737" spans="1:12" ht="34.950000000000003" customHeight="1">
      <c r="A737" s="106" t="str">
        <f>B20_Assessment!$B$2</f>
        <v>20</v>
      </c>
      <c r="B737" s="106" t="str">
        <f t="shared" ref="B737:B744" si="73">"B20_Assessment"</f>
        <v>B20_Assessment</v>
      </c>
      <c r="C737" s="106" t="str">
        <f>B20_Assessment!$A$72</f>
        <v>B20-P006</v>
      </c>
      <c r="D737" s="142" t="str">
        <f>B20_Assessment!$B$72</f>
        <v>1B/8A</v>
      </c>
      <c r="E737" s="142" t="str">
        <f>B20_Assessment!$C$72</f>
        <v>Telecom</v>
      </c>
      <c r="F737" s="106" t="str">
        <f>B20_Assessment!$D$72</f>
        <v>TE01-1B-1 enclosure, cross-connect cables, Fiber LIU, patch panels, labels, test results and existing equipment transfer</v>
      </c>
      <c r="G737" s="106">
        <f>B20_Assessment!$E$72</f>
        <v>0</v>
      </c>
      <c r="H737" s="106" t="str">
        <f>B20_Assessment!$F$72</f>
        <v>Paul</v>
      </c>
      <c r="I737" s="106">
        <f>B20_Assessment!$G$72</f>
        <v>0</v>
      </c>
      <c r="J737" s="106" t="str">
        <f>B20_Assessment!$H$72</f>
        <v>B20-R2/B20-R8</v>
      </c>
      <c r="K737" s="106" t="str">
        <f>B20_Assessment!$I$72</f>
        <v>Closed</v>
      </c>
      <c r="L737" s="106">
        <f>B20_Assessment!$J$72</f>
        <v>0</v>
      </c>
    </row>
    <row r="738" spans="1:12" ht="22.95" customHeight="1">
      <c r="A738" s="106" t="str">
        <f>B20_Assessment!$B$2</f>
        <v>20</v>
      </c>
      <c r="B738" s="106" t="str">
        <f t="shared" si="73"/>
        <v>B20_Assessment</v>
      </c>
      <c r="C738" s="106" t="str">
        <f>B20_Assessment!$A$73</f>
        <v>B20-P007</v>
      </c>
      <c r="D738" s="142" t="str">
        <f>B20_Assessment!$B$73</f>
        <v>All</v>
      </c>
      <c r="E738" s="142" t="str">
        <f>B20_Assessment!$C$73</f>
        <v>Firestop</v>
      </c>
      <c r="F738" s="106" t="str">
        <f>B20_Assessment!$D$73</f>
        <v>4-inch speed sleeve, wall penetrations and fire caulk before/after photos</v>
      </c>
      <c r="G738" s="106">
        <f>B20_Assessment!$E$73</f>
        <v>0</v>
      </c>
      <c r="H738" s="106" t="str">
        <f>B20_Assessment!$F$73</f>
        <v>Paul</v>
      </c>
      <c r="I738" s="106">
        <f>B20_Assessment!$G$73</f>
        <v>0</v>
      </c>
      <c r="J738" s="106" t="str">
        <f>B20_Assessment!$H$73</f>
        <v>B20-R7</v>
      </c>
      <c r="K738" s="106" t="str">
        <f>B20_Assessment!$I$73</f>
        <v>Closed</v>
      </c>
      <c r="L738" s="106">
        <f>B20_Assessment!$J$73</f>
        <v>0</v>
      </c>
    </row>
    <row r="739" spans="1:12" ht="34.950000000000003" customHeight="1">
      <c r="A739" s="106" t="str">
        <f>B20_Assessment!$B$2</f>
        <v>20</v>
      </c>
      <c r="B739" s="106" t="str">
        <f t="shared" si="73"/>
        <v>B20_Assessment</v>
      </c>
      <c r="C739" s="106" t="str">
        <f>B20_Assessment!$A$74</f>
        <v>B20-P008</v>
      </c>
      <c r="D739" s="142" t="str">
        <f>B20_Assessment!$B$74</f>
        <v>All</v>
      </c>
      <c r="E739" s="142" t="str">
        <f>B20_Assessment!$C$74</f>
        <v>Security / Existing Devices</v>
      </c>
      <c r="F739" s="106" t="str">
        <f>B20_Assessment!$D$74</f>
        <v>Existing cameras/security devices to remain, protection-in-place and final operating condition</v>
      </c>
      <c r="G739" s="106">
        <f>B20_Assessment!$E$74</f>
        <v>0</v>
      </c>
      <c r="H739" s="106" t="str">
        <f>B20_Assessment!$F$74</f>
        <v>Paul</v>
      </c>
      <c r="I739" s="106">
        <f>B20_Assessment!$G$74</f>
        <v>0</v>
      </c>
      <c r="J739" s="106" t="str">
        <f>B20_Assessment!$H$74</f>
        <v>B20-R8</v>
      </c>
      <c r="K739" s="106" t="str">
        <f>B20_Assessment!$I$74</f>
        <v>Closed</v>
      </c>
      <c r="L739" s="106">
        <f>B20_Assessment!$J$74</f>
        <v>0</v>
      </c>
    </row>
    <row r="740" spans="1:12" ht="40.65" customHeight="1">
      <c r="A740" s="106" t="str">
        <f>B21_Assessment!$B$2</f>
        <v>21</v>
      </c>
      <c r="B740" s="106" t="str">
        <f t="shared" si="73"/>
        <v>B20_Assessment</v>
      </c>
      <c r="C740" s="106" t="str">
        <f>B21_Assessment!$A$74</f>
        <v>B21-P001</v>
      </c>
      <c r="D740" s="142" t="str">
        <f>B21_Assessment!$B$74</f>
        <v>100A</v>
      </c>
      <c r="E740" s="142" t="str">
        <f>B21_Assessment!$C$74</f>
        <v>Existing Condition</v>
      </c>
      <c r="F740" s="106" t="str">
        <f>B21_Assessment!$D$74</f>
        <v>M&amp;O Foreman Office 100A wall location, wall backing, clearances, ceiling, power source, cable path, fiber path A/B and new TE enclosure location</v>
      </c>
      <c r="G740" s="106">
        <f>B21_Assessment!$E$74</f>
        <v>0</v>
      </c>
      <c r="H740" s="106" t="str">
        <f>B21_Assessment!$F$74</f>
        <v>Paul</v>
      </c>
      <c r="I740" s="106">
        <f>B21_Assessment!$G$74</f>
        <v>0</v>
      </c>
      <c r="J740" s="106" t="str">
        <f>B21_Assessment!$H$74</f>
        <v>B21-R1/B21-R3</v>
      </c>
      <c r="K740" s="106" t="str">
        <f>B21_Assessment!$I$74</f>
        <v>Closed</v>
      </c>
      <c r="L740" s="106">
        <f>B21_Assessment!$J$74</f>
        <v>0</v>
      </c>
    </row>
    <row r="741" spans="1:12" ht="34.950000000000003" customHeight="1">
      <c r="A741" s="106" t="str">
        <f>B21_Assessment!$B$2</f>
        <v>21</v>
      </c>
      <c r="B741" s="106" t="str">
        <f t="shared" si="73"/>
        <v>B20_Assessment</v>
      </c>
      <c r="C741" s="106" t="str">
        <f>B21_Assessment!$A$75</f>
        <v>B21-P002</v>
      </c>
      <c r="D741" s="142" t="str">
        <f>B21_Assessment!$B$75</f>
        <v>B1.TR</v>
      </c>
      <c r="E741" s="142" t="str">
        <f>B21_Assessment!$C$75</f>
        <v>Existing Condition</v>
      </c>
      <c r="F741" s="106" t="str">
        <f>B21_Assessment!$D$75</f>
        <v>Existing B21 basement B1.TR wall TE, legacy patch panels, Cisco switch, Fiber LIU, UPS on ground and cable entries</v>
      </c>
      <c r="G741" s="106">
        <f>B21_Assessment!$E$75</f>
        <v>0</v>
      </c>
      <c r="H741" s="106" t="str">
        <f>B21_Assessment!$F$75</f>
        <v>Paul</v>
      </c>
      <c r="I741" s="106">
        <f>B21_Assessment!$G$75</f>
        <v>0</v>
      </c>
      <c r="J741" s="106" t="str">
        <f>B21_Assessment!$H$75</f>
        <v>B21-R1/B21-R2</v>
      </c>
      <c r="K741" s="106" t="str">
        <f>B21_Assessment!$I$75</f>
        <v>Closed</v>
      </c>
      <c r="L741" s="106">
        <f>B21_Assessment!$J$75</f>
        <v>0</v>
      </c>
    </row>
    <row r="742" spans="1:12" ht="40.65" customHeight="1">
      <c r="A742" s="106" t="str">
        <f>B21_Assessment!$B$2</f>
        <v>21</v>
      </c>
      <c r="B742" s="106" t="str">
        <f t="shared" si="73"/>
        <v>B20_Assessment</v>
      </c>
      <c r="C742" s="106" t="str">
        <f>B21_Assessment!$A$76</f>
        <v>B21-P003</v>
      </c>
      <c r="D742" s="142" t="str">
        <f>B21_Assessment!$B$76</f>
        <v>B05TR</v>
      </c>
      <c r="E742" s="142" t="str">
        <f>B21_Assessment!$C$76</f>
        <v>Existing Condition</v>
      </c>
      <c r="F742" s="106" t="str">
        <f>B21_Assessment!$D$76</f>
        <v>Existing B19 B05TR basement and first-level TE/equipment, APC floor UPS, Cisco switch, patch panels, Fiber LIU and pathways</v>
      </c>
      <c r="G742" s="106">
        <f>B21_Assessment!$E$76</f>
        <v>0</v>
      </c>
      <c r="H742" s="106" t="str">
        <f>B21_Assessment!$F$76</f>
        <v>Paul</v>
      </c>
      <c r="I742" s="106">
        <f>B21_Assessment!$G$76</f>
        <v>0</v>
      </c>
      <c r="J742" s="106" t="str">
        <f>B21_Assessment!$H$76</f>
        <v>B21-R1/B21-R4</v>
      </c>
      <c r="K742" s="106" t="str">
        <f>B21_Assessment!$I$76</f>
        <v>Closed</v>
      </c>
      <c r="L742" s="106">
        <f>B21_Assessment!$J$76</f>
        <v>0</v>
      </c>
    </row>
    <row r="743" spans="1:12" ht="34.950000000000003" customHeight="1">
      <c r="A743" s="106" t="str">
        <f>B21_Assessment!$B$2</f>
        <v>21</v>
      </c>
      <c r="B743" s="106" t="str">
        <f t="shared" si="73"/>
        <v>B20_Assessment</v>
      </c>
      <c r="C743" s="106" t="str">
        <f>B21_Assessment!$A$77</f>
        <v>B21-P004</v>
      </c>
      <c r="D743" s="142" t="str">
        <f>B21_Assessment!$B$77</f>
        <v>100A/B05TR/B1.TR</v>
      </c>
      <c r="E743" s="142" t="str">
        <f>B21_Assessment!$C$77</f>
        <v>Pathway</v>
      </c>
      <c r="F743" s="106" t="str">
        <f>B21_Assessment!$D$77</f>
        <v>659 ft cable tray route, sleeves, wall/floor penetrations, support points, light/HVAC conflicts and 40% fill concerns</v>
      </c>
      <c r="G743" s="106">
        <f>B21_Assessment!$E$77</f>
        <v>0</v>
      </c>
      <c r="H743" s="106" t="str">
        <f>B21_Assessment!$F$77</f>
        <v>Paul</v>
      </c>
      <c r="I743" s="106">
        <f>B21_Assessment!$G$77</f>
        <v>0</v>
      </c>
      <c r="J743" s="106" t="str">
        <f>B21_Assessment!$H$77</f>
        <v>B21-R6/B21-R7</v>
      </c>
      <c r="K743" s="106" t="str">
        <f>B21_Assessment!$I$77</f>
        <v>Closed</v>
      </c>
      <c r="L743" s="106">
        <f>B21_Assessment!$J$77</f>
        <v>0</v>
      </c>
    </row>
    <row r="744" spans="1:12" ht="29.1" customHeight="1">
      <c r="A744" s="106" t="str">
        <f>B21_Assessment!$B$2</f>
        <v>21</v>
      </c>
      <c r="B744" s="106" t="str">
        <f t="shared" si="73"/>
        <v>B20_Assessment</v>
      </c>
      <c r="C744" s="106" t="str">
        <f>B21_Assessment!$A$78</f>
        <v>B21-P005</v>
      </c>
      <c r="D744" s="142" t="str">
        <f>B21_Assessment!$B$78</f>
        <v>100A</v>
      </c>
      <c r="E744" s="142" t="str">
        <f>B21_Assessment!$C$78</f>
        <v>Electrical</v>
      </c>
      <c r="F744" s="106" t="str">
        <f>B21_Assessment!$D$78</f>
        <v>New TE enclosure UPS/PDU receptacles, circuit source, grounding/bonding, labels and access</v>
      </c>
      <c r="G744" s="106">
        <f>B21_Assessment!$E$78</f>
        <v>0</v>
      </c>
      <c r="H744" s="106" t="str">
        <f>B21_Assessment!$F$78</f>
        <v>Paul</v>
      </c>
      <c r="I744" s="106">
        <f>B21_Assessment!$G$78</f>
        <v>0</v>
      </c>
      <c r="J744" s="106" t="str">
        <f>B21_Assessment!$H$78</f>
        <v>B21-R5</v>
      </c>
      <c r="K744" s="106" t="str">
        <f>B21_Assessment!$I$78</f>
        <v>Closed</v>
      </c>
      <c r="L744" s="106">
        <f>B21_Assessment!$J$78</f>
        <v>0</v>
      </c>
    </row>
    <row r="745" spans="1:12" ht="34.950000000000003" customHeight="1">
      <c r="A745" s="106" t="str">
        <f>B21_Assessment!$B$2</f>
        <v>21</v>
      </c>
      <c r="B745" s="106" t="str">
        <f t="shared" ref="B745:B752" si="74">"B21_Assessment"</f>
        <v>B21_Assessment</v>
      </c>
      <c r="C745" s="106" t="str">
        <f>B21_Assessment!$A$79</f>
        <v>B21-P006</v>
      </c>
      <c r="D745" s="142" t="str">
        <f>B21_Assessment!$B$79</f>
        <v>100A/B1.TR/B05TR</v>
      </c>
      <c r="E745" s="142" t="str">
        <f>B21_Assessment!$C$79</f>
        <v>Telecom</v>
      </c>
      <c r="F745" s="106" t="str">
        <f>B21_Assessment!$D$79</f>
        <v>TR01-104-1 enclosure, cross-connect cables, Fiber LIU, patch panels, labels, test results and existing equipment transfer</v>
      </c>
      <c r="G745" s="106">
        <f>B21_Assessment!$E$79</f>
        <v>0</v>
      </c>
      <c r="H745" s="106" t="str">
        <f>B21_Assessment!$F$79</f>
        <v>Paul</v>
      </c>
      <c r="I745" s="106">
        <f>B21_Assessment!$G$79</f>
        <v>0</v>
      </c>
      <c r="J745" s="106" t="str">
        <f>B21_Assessment!$H$79</f>
        <v>B21-R2/B21-R8</v>
      </c>
      <c r="K745" s="106" t="str">
        <f>B21_Assessment!$I$79</f>
        <v>Closed</v>
      </c>
      <c r="L745" s="106">
        <f>B21_Assessment!$J$79</f>
        <v>0</v>
      </c>
    </row>
    <row r="746" spans="1:12" ht="22.95" customHeight="1">
      <c r="A746" s="106" t="str">
        <f>B21_Assessment!$B$2</f>
        <v>21</v>
      </c>
      <c r="B746" s="106" t="str">
        <f t="shared" si="74"/>
        <v>B21_Assessment</v>
      </c>
      <c r="C746" s="106" t="str">
        <f>B21_Assessment!$A$80</f>
        <v>B21-P007</v>
      </c>
      <c r="D746" s="142" t="str">
        <f>B21_Assessment!$B$80</f>
        <v>All</v>
      </c>
      <c r="E746" s="142" t="str">
        <f>B21_Assessment!$C$80</f>
        <v>Firestop</v>
      </c>
      <c r="F746" s="106" t="str">
        <f>B21_Assessment!$D$80</f>
        <v>4-inch speed sleeve, wall/floor penetrations and fire caulk before/after photos</v>
      </c>
      <c r="G746" s="106">
        <f>B21_Assessment!$E$80</f>
        <v>0</v>
      </c>
      <c r="H746" s="106" t="str">
        <f>B21_Assessment!$F$80</f>
        <v>Paul</v>
      </c>
      <c r="I746" s="106">
        <f>B21_Assessment!$G$80</f>
        <v>0</v>
      </c>
      <c r="J746" s="106" t="str">
        <f>B21_Assessment!$H$80</f>
        <v>B21-R7</v>
      </c>
      <c r="K746" s="106" t="str">
        <f>B21_Assessment!$I$80</f>
        <v>Closed</v>
      </c>
      <c r="L746" s="106">
        <f>B21_Assessment!$J$80</f>
        <v>0</v>
      </c>
    </row>
    <row r="747" spans="1:12" ht="34.950000000000003" customHeight="1">
      <c r="A747" s="106" t="str">
        <f>B21_Assessment!$B$2</f>
        <v>21</v>
      </c>
      <c r="B747" s="106" t="str">
        <f t="shared" si="74"/>
        <v>B21_Assessment</v>
      </c>
      <c r="C747" s="106" t="str">
        <f>B21_Assessment!$A$81</f>
        <v>B21-P008</v>
      </c>
      <c r="D747" s="142" t="str">
        <f>B21_Assessment!$B$81</f>
        <v>All</v>
      </c>
      <c r="E747" s="142" t="str">
        <f>B21_Assessment!$C$81</f>
        <v>Security / Existing Devices</v>
      </c>
      <c r="F747" s="106" t="str">
        <f>B21_Assessment!$D$81</f>
        <v>Existing cameras/security devices to remain, protection-in-place and final operating condition</v>
      </c>
      <c r="G747" s="106">
        <f>B21_Assessment!$E$81</f>
        <v>0</v>
      </c>
      <c r="H747" s="106" t="str">
        <f>B21_Assessment!$F$81</f>
        <v>Paul</v>
      </c>
      <c r="I747" s="106">
        <f>B21_Assessment!$G$81</f>
        <v>0</v>
      </c>
      <c r="J747" s="106" t="str">
        <f>B21_Assessment!$H$81</f>
        <v>B21-R8</v>
      </c>
      <c r="K747" s="106" t="str">
        <f>B21_Assessment!$I$81</f>
        <v>Closed</v>
      </c>
      <c r="L747" s="106">
        <f>B21_Assessment!$J$81</f>
        <v>0</v>
      </c>
    </row>
    <row r="748" spans="1:12" ht="40.65" customHeight="1">
      <c r="A748" s="106" t="str">
        <f>B22_Assessment!$B$2</f>
        <v>22</v>
      </c>
      <c r="B748" s="106" t="str">
        <f t="shared" si="74"/>
        <v>B21_Assessment</v>
      </c>
      <c r="C748" s="106" t="str">
        <f>B22_Assessment!$A$67</f>
        <v>B22-P001</v>
      </c>
      <c r="D748" s="142" t="str">
        <f>B22_Assessment!$B$67</f>
        <v>102</v>
      </c>
      <c r="E748" s="142" t="str">
        <f>B22_Assessment!$C$67</f>
        <v>Existing Condition</v>
      </c>
      <c r="F748" s="106" t="str">
        <f>B22_Assessment!$D$67</f>
        <v>Break Room 102 wall location, wall backing, clearances, ceiling, power source, cable path, fiber path A/B and new TE enclosure location</v>
      </c>
      <c r="G748" s="106">
        <f>B22_Assessment!$E$67</f>
        <v>0</v>
      </c>
      <c r="H748" s="106" t="str">
        <f>B22_Assessment!$F$67</f>
        <v>Paul</v>
      </c>
      <c r="I748" s="106">
        <f>B22_Assessment!$G$67</f>
        <v>0</v>
      </c>
      <c r="J748" s="106" t="str">
        <f>B22_Assessment!$H$67</f>
        <v>B22-R1/B22-R3</v>
      </c>
      <c r="K748" s="106" t="str">
        <f>B22_Assessment!$I$67</f>
        <v>Closed</v>
      </c>
      <c r="L748" s="106">
        <f>B22_Assessment!$J$67</f>
        <v>0</v>
      </c>
    </row>
    <row r="749" spans="1:12" ht="40.65" customHeight="1">
      <c r="A749" s="106" t="str">
        <f>B22_Assessment!$B$2</f>
        <v>22</v>
      </c>
      <c r="B749" s="106" t="str">
        <f t="shared" si="74"/>
        <v>B21_Assessment</v>
      </c>
      <c r="C749" s="106" t="str">
        <f>B22_Assessment!$A$68</f>
        <v>B22-P002</v>
      </c>
      <c r="D749" s="142" t="str">
        <f>B22_Assessment!$B$68</f>
        <v>103</v>
      </c>
      <c r="E749" s="142" t="str">
        <f>B22_Assessment!$C$68</f>
        <v>Existing Condition</v>
      </c>
      <c r="F749" s="106" t="str">
        <f>B22_Assessment!$D$68</f>
        <v>Existing Room 103 wall/wall-mount TE, APC UPS, Cisco switch, SERTEX utility service, legacy patch panel, Fiber LIU and cable entries</v>
      </c>
      <c r="G749" s="106">
        <f>B22_Assessment!$E$68</f>
        <v>0</v>
      </c>
      <c r="H749" s="106" t="str">
        <f>B22_Assessment!$F$68</f>
        <v>Paul</v>
      </c>
      <c r="I749" s="106">
        <f>B22_Assessment!$G$68</f>
        <v>0</v>
      </c>
      <c r="J749" s="106" t="str">
        <f>B22_Assessment!$H$68</f>
        <v>B22-R1/B22-R2</v>
      </c>
      <c r="K749" s="106" t="str">
        <f>B22_Assessment!$I$68</f>
        <v>Closed</v>
      </c>
      <c r="L749" s="106">
        <f>B22_Assessment!$J$68</f>
        <v>0</v>
      </c>
    </row>
    <row r="750" spans="1:12" ht="29.1" customHeight="1">
      <c r="A750" s="106" t="str">
        <f>B22_Assessment!$B$2</f>
        <v>22</v>
      </c>
      <c r="B750" s="106" t="str">
        <f t="shared" si="74"/>
        <v>B21_Assessment</v>
      </c>
      <c r="C750" s="106" t="str">
        <f>B22_Assessment!$A$69</f>
        <v>B22-P003</v>
      </c>
      <c r="D750" s="142" t="str">
        <f>B22_Assessment!$B$69</f>
        <v>103 / B19</v>
      </c>
      <c r="E750" s="142" t="str">
        <f>B22_Assessment!$C$69</f>
        <v>Existing Equipment</v>
      </c>
      <c r="F750" s="106" t="str">
        <f>B22_Assessment!$D$69</f>
        <v>Ports 1-24 to Building 19 ports 73-96, active service labeling, utility service and handoff condition</v>
      </c>
      <c r="G750" s="106">
        <f>B22_Assessment!$E$69</f>
        <v>0</v>
      </c>
      <c r="H750" s="106" t="str">
        <f>B22_Assessment!$F$69</f>
        <v>Paul</v>
      </c>
      <c r="I750" s="106">
        <f>B22_Assessment!$G$69</f>
        <v>0</v>
      </c>
      <c r="J750" s="106" t="str">
        <f>B22_Assessment!$H$69</f>
        <v>B22-R8</v>
      </c>
      <c r="K750" s="106" t="str">
        <f>B22_Assessment!$I$69</f>
        <v>Closed</v>
      </c>
      <c r="L750" s="106">
        <f>B22_Assessment!$J$69</f>
        <v>0</v>
      </c>
    </row>
    <row r="751" spans="1:12" ht="34.950000000000003" customHeight="1">
      <c r="A751" s="106" t="str">
        <f>B22_Assessment!$B$2</f>
        <v>22</v>
      </c>
      <c r="B751" s="106" t="str">
        <f t="shared" si="74"/>
        <v>B21_Assessment</v>
      </c>
      <c r="C751" s="106" t="str">
        <f>B22_Assessment!$A$70</f>
        <v>B22-P004</v>
      </c>
      <c r="D751" s="142" t="str">
        <f>B22_Assessment!$B$70</f>
        <v>102/103</v>
      </c>
      <c r="E751" s="142" t="str">
        <f>B22_Assessment!$C$70</f>
        <v>Pathway</v>
      </c>
      <c r="F751" s="106" t="str">
        <f>B22_Assessment!$D$70</f>
        <v>139 ft first-floor cable tray route, sleeves, wall penetrations, support points, light/HVAC conflicts and 40% fill concerns</v>
      </c>
      <c r="G751" s="106">
        <f>B22_Assessment!$E$70</f>
        <v>0</v>
      </c>
      <c r="H751" s="106" t="str">
        <f>B22_Assessment!$F$70</f>
        <v>Paul</v>
      </c>
      <c r="I751" s="106">
        <f>B22_Assessment!$G$70</f>
        <v>0</v>
      </c>
      <c r="J751" s="106" t="str">
        <f>B22_Assessment!$H$70</f>
        <v>B22-R6/B22-R7</v>
      </c>
      <c r="K751" s="106" t="str">
        <f>B22_Assessment!$I$70</f>
        <v>Closed</v>
      </c>
      <c r="L751" s="106">
        <f>B22_Assessment!$J$70</f>
        <v>0</v>
      </c>
    </row>
    <row r="752" spans="1:12" ht="29.1" customHeight="1">
      <c r="A752" s="106" t="str">
        <f>B22_Assessment!$B$2</f>
        <v>22</v>
      </c>
      <c r="B752" s="106" t="str">
        <f t="shared" si="74"/>
        <v>B21_Assessment</v>
      </c>
      <c r="C752" s="106" t="str">
        <f>B22_Assessment!$A$71</f>
        <v>B22-P005</v>
      </c>
      <c r="D752" s="142" t="str">
        <f>B22_Assessment!$B$71</f>
        <v>102</v>
      </c>
      <c r="E752" s="142" t="str">
        <f>B22_Assessment!$C$71</f>
        <v>Electrical</v>
      </c>
      <c r="F752" s="106" t="str">
        <f>B22_Assessment!$D$71</f>
        <v>New TE enclosure UPS/PDU receptacles, circuit source, grounding/bonding, labels and access</v>
      </c>
      <c r="G752" s="106">
        <f>B22_Assessment!$E$71</f>
        <v>0</v>
      </c>
      <c r="H752" s="106" t="str">
        <f>B22_Assessment!$F$71</f>
        <v>Paul</v>
      </c>
      <c r="I752" s="106">
        <f>B22_Assessment!$G$71</f>
        <v>0</v>
      </c>
      <c r="J752" s="106" t="str">
        <f>B22_Assessment!$H$71</f>
        <v>B22-R5</v>
      </c>
      <c r="K752" s="106" t="str">
        <f>B22_Assessment!$I$71</f>
        <v>Closed</v>
      </c>
      <c r="L752" s="106">
        <f>B22_Assessment!$J$71</f>
        <v>0</v>
      </c>
    </row>
    <row r="753" spans="1:12" ht="34.950000000000003" customHeight="1">
      <c r="A753" s="106" t="str">
        <f>B22_Assessment!$B$2</f>
        <v>22</v>
      </c>
      <c r="B753" s="106" t="str">
        <f t="shared" ref="B753:B760" si="75">"B22_Assessment"</f>
        <v>B22_Assessment</v>
      </c>
      <c r="C753" s="106" t="str">
        <f>B22_Assessment!$A$72</f>
        <v>B22-P006</v>
      </c>
      <c r="D753" s="142" t="str">
        <f>B22_Assessment!$B$72</f>
        <v>102/103</v>
      </c>
      <c r="E753" s="142" t="str">
        <f>B22_Assessment!$C$72</f>
        <v>Telecom</v>
      </c>
      <c r="F753" s="106" t="str">
        <f>B22_Assessment!$D$72</f>
        <v>TR01-102-1 enclosure, cross-connect cables, Fiber LIU, patch panels, labels, test results and existing equipment transfer</v>
      </c>
      <c r="G753" s="106">
        <f>B22_Assessment!$E$72</f>
        <v>0</v>
      </c>
      <c r="H753" s="106" t="str">
        <f>B22_Assessment!$F$72</f>
        <v>Paul</v>
      </c>
      <c r="I753" s="106">
        <f>B22_Assessment!$G$72</f>
        <v>0</v>
      </c>
      <c r="J753" s="106" t="str">
        <f>B22_Assessment!$H$72</f>
        <v>B22-R2/B22-R8</v>
      </c>
      <c r="K753" s="106" t="str">
        <f>B22_Assessment!$I$72</f>
        <v>Closed</v>
      </c>
      <c r="L753" s="106">
        <f>B22_Assessment!$J$72</f>
        <v>0</v>
      </c>
    </row>
    <row r="754" spans="1:12" ht="22.95" customHeight="1">
      <c r="A754" s="106" t="str">
        <f>B22_Assessment!$B$2</f>
        <v>22</v>
      </c>
      <c r="B754" s="106" t="str">
        <f t="shared" si="75"/>
        <v>B22_Assessment</v>
      </c>
      <c r="C754" s="106" t="str">
        <f>B22_Assessment!$A$73</f>
        <v>B22-P007</v>
      </c>
      <c r="D754" s="142" t="str">
        <f>B22_Assessment!$B$73</f>
        <v>All</v>
      </c>
      <c r="E754" s="142" t="str">
        <f>B22_Assessment!$C$73</f>
        <v>Firestop</v>
      </c>
      <c r="F754" s="106" t="str">
        <f>B22_Assessment!$D$73</f>
        <v>4-inch speed sleeve, wall/floor penetrations and fire caulk before/after photos</v>
      </c>
      <c r="G754" s="106">
        <f>B22_Assessment!$E$73</f>
        <v>0</v>
      </c>
      <c r="H754" s="106" t="str">
        <f>B22_Assessment!$F$73</f>
        <v>Paul</v>
      </c>
      <c r="I754" s="106">
        <f>B22_Assessment!$G$73</f>
        <v>0</v>
      </c>
      <c r="J754" s="106" t="str">
        <f>B22_Assessment!$H$73</f>
        <v>B22-R7</v>
      </c>
      <c r="K754" s="106" t="str">
        <f>B22_Assessment!$I$73</f>
        <v>Closed</v>
      </c>
      <c r="L754" s="106">
        <f>B22_Assessment!$J$73</f>
        <v>0</v>
      </c>
    </row>
    <row r="755" spans="1:12" ht="34.950000000000003" customHeight="1">
      <c r="A755" s="106" t="str">
        <f>B22_Assessment!$B$2</f>
        <v>22</v>
      </c>
      <c r="B755" s="106" t="str">
        <f t="shared" si="75"/>
        <v>B22_Assessment</v>
      </c>
      <c r="C755" s="106" t="str">
        <f>B22_Assessment!$A$74</f>
        <v>B22-P008</v>
      </c>
      <c r="D755" s="142" t="str">
        <f>B22_Assessment!$B$74</f>
        <v>All</v>
      </c>
      <c r="E755" s="142" t="str">
        <f>B22_Assessment!$C$74</f>
        <v>Security / Existing Devices</v>
      </c>
      <c r="F755" s="106" t="str">
        <f>B22_Assessment!$D$74</f>
        <v>Existing cameras/security devices to remain, protection-in-place and final operating condition</v>
      </c>
      <c r="G755" s="106">
        <f>B22_Assessment!$E$74</f>
        <v>0</v>
      </c>
      <c r="H755" s="106" t="str">
        <f>B22_Assessment!$F$74</f>
        <v>Paul</v>
      </c>
      <c r="I755" s="106">
        <f>B22_Assessment!$G$74</f>
        <v>0</v>
      </c>
      <c r="J755" s="106" t="str">
        <f>B22_Assessment!$H$74</f>
        <v>B22-R8</v>
      </c>
      <c r="K755" s="106" t="str">
        <f>B22_Assessment!$I$74</f>
        <v>Closed</v>
      </c>
      <c r="L755" s="106">
        <f>B22_Assessment!$J$74</f>
        <v>0</v>
      </c>
    </row>
    <row r="756" spans="1:12" ht="40.65" customHeight="1">
      <c r="A756" s="106" t="str">
        <f>B33_Assessment!$B$2</f>
        <v>33</v>
      </c>
      <c r="B756" s="106" t="str">
        <f t="shared" si="75"/>
        <v>B22_Assessment</v>
      </c>
      <c r="C756" s="106" t="str">
        <f>B33_Assessment!$A$67</f>
        <v>B33-P001</v>
      </c>
      <c r="D756" s="142" t="str">
        <f>B33_Assessment!$B$67</f>
        <v>B23</v>
      </c>
      <c r="E756" s="142" t="str">
        <f>B33_Assessment!$C$67</f>
        <v>Existing Condition</v>
      </c>
      <c r="F756" s="106" t="str">
        <f>B33_Assessment!$D$67</f>
        <v>EEO Manager Office B23 wall location, wall backing, clearances, ceiling, power source, cable path, fiber path A/B and new TE enclosure location</v>
      </c>
      <c r="G756" s="106">
        <f>B33_Assessment!$E$67</f>
        <v>0</v>
      </c>
      <c r="H756" s="106" t="str">
        <f>B33_Assessment!$F$67</f>
        <v>Paul</v>
      </c>
      <c r="I756" s="106">
        <f>B33_Assessment!$G$67</f>
        <v>0</v>
      </c>
      <c r="J756" s="106" t="str">
        <f>B33_Assessment!$H$67</f>
        <v>B33-R1/B33-R3</v>
      </c>
      <c r="K756" s="106" t="str">
        <f>B33_Assessment!$I$67</f>
        <v>Closed</v>
      </c>
      <c r="L756" s="106">
        <f>B33_Assessment!$J$67</f>
        <v>0</v>
      </c>
    </row>
    <row r="757" spans="1:12" ht="46.35" customHeight="1">
      <c r="A757" s="106" t="str">
        <f>B33_Assessment!$B$2</f>
        <v>33</v>
      </c>
      <c r="B757" s="106" t="str">
        <f t="shared" si="75"/>
        <v>B22_Assessment</v>
      </c>
      <c r="C757" s="106" t="str">
        <f>B33_Assessment!$A$68</f>
        <v>B33-P002</v>
      </c>
      <c r="D757" s="142" t="str">
        <f>B33_Assessment!$B$68</f>
        <v>B17</v>
      </c>
      <c r="E757" s="142" t="str">
        <f>B33_Assessment!$C$68</f>
        <v>Existing Condition</v>
      </c>
      <c r="F757" s="106" t="str">
        <f>B33_Assessment!$D$68</f>
        <v>Existing Tel Closet B17 open TE cabinet, network door controller, indoor AC unit, plywood backboard, keypad, patch panel, ground bar and equipment box</v>
      </c>
      <c r="G757" s="106">
        <f>B33_Assessment!$E$68</f>
        <v>0</v>
      </c>
      <c r="H757" s="106" t="str">
        <f>B33_Assessment!$F$68</f>
        <v>Paul</v>
      </c>
      <c r="I757" s="106">
        <f>B33_Assessment!$G$68</f>
        <v>0</v>
      </c>
      <c r="J757" s="106" t="str">
        <f>B33_Assessment!$H$68</f>
        <v>B33-R1/B33-R2</v>
      </c>
      <c r="K757" s="106" t="str">
        <f>B33_Assessment!$I$68</f>
        <v>Closed</v>
      </c>
      <c r="L757" s="106">
        <f>B33_Assessment!$J$68</f>
        <v>0</v>
      </c>
    </row>
    <row r="758" spans="1:12" ht="34.950000000000003" customHeight="1">
      <c r="A758" s="106" t="str">
        <f>B33_Assessment!$B$2</f>
        <v>33</v>
      </c>
      <c r="B758" s="106" t="str">
        <f t="shared" si="75"/>
        <v>B22_Assessment</v>
      </c>
      <c r="C758" s="106" t="str">
        <f>B33_Assessment!$A$69</f>
        <v>B33-P003</v>
      </c>
      <c r="D758" s="142" t="str">
        <f>B33_Assessment!$B$69</f>
        <v>B17</v>
      </c>
      <c r="E758" s="142" t="str">
        <f>B33_Assessment!$C$69</f>
        <v>Existing Equipment</v>
      </c>
      <c r="F758" s="106" t="str">
        <f>B33_Assessment!$D$69</f>
        <v>Cisco switches, legacy 24/48-port patch panels, SERTEX utility service, Fiber LIU, UPS on floor and cross-building port labels</v>
      </c>
      <c r="G758" s="106">
        <f>B33_Assessment!$E$69</f>
        <v>0</v>
      </c>
      <c r="H758" s="106" t="str">
        <f>B33_Assessment!$F$69</f>
        <v>Paul</v>
      </c>
      <c r="I758" s="106">
        <f>B33_Assessment!$G$69</f>
        <v>0</v>
      </c>
      <c r="J758" s="106" t="str">
        <f>B33_Assessment!$H$69</f>
        <v>B33-R2/B33-R8</v>
      </c>
      <c r="K758" s="106" t="str">
        <f>B33_Assessment!$I$69</f>
        <v>Closed</v>
      </c>
      <c r="L758" s="106">
        <f>B33_Assessment!$J$69</f>
        <v>0</v>
      </c>
    </row>
    <row r="759" spans="1:12" ht="40.65" customHeight="1">
      <c r="A759" s="106" t="str">
        <f>B33_Assessment!$B$2</f>
        <v>33</v>
      </c>
      <c r="B759" s="106" t="str">
        <f t="shared" si="75"/>
        <v>B22_Assessment</v>
      </c>
      <c r="C759" s="106" t="str">
        <f>B33_Assessment!$A$70</f>
        <v>B33-P004</v>
      </c>
      <c r="D759" s="142" t="str">
        <f>B33_Assessment!$B$70</f>
        <v>B23/B17</v>
      </c>
      <c r="E759" s="142" t="str">
        <f>B33_Assessment!$C$70</f>
        <v>Pathway</v>
      </c>
      <c r="F759" s="106" t="str">
        <f>B33_Assessment!$D$70</f>
        <v>102 ft basement cable tray route, 4-inch sleeve, wall/floor penetrations, support points, light/HVAC conflicts and 40% fill concerns</v>
      </c>
      <c r="G759" s="106">
        <f>B33_Assessment!$E$70</f>
        <v>0</v>
      </c>
      <c r="H759" s="106" t="str">
        <f>B33_Assessment!$F$70</f>
        <v>Paul</v>
      </c>
      <c r="I759" s="106">
        <f>B33_Assessment!$G$70</f>
        <v>0</v>
      </c>
      <c r="J759" s="106" t="str">
        <f>B33_Assessment!$H$70</f>
        <v>B33-R6/B33-R7</v>
      </c>
      <c r="K759" s="106" t="str">
        <f>B33_Assessment!$I$70</f>
        <v>Closed</v>
      </c>
      <c r="L759" s="106">
        <f>B33_Assessment!$J$70</f>
        <v>0</v>
      </c>
    </row>
    <row r="760" spans="1:12" ht="29.1" customHeight="1">
      <c r="A760" s="106" t="str">
        <f>B33_Assessment!$B$2</f>
        <v>33</v>
      </c>
      <c r="B760" s="106" t="str">
        <f t="shared" si="75"/>
        <v>B22_Assessment</v>
      </c>
      <c r="C760" s="106" t="str">
        <f>B33_Assessment!$A$71</f>
        <v>B33-P005</v>
      </c>
      <c r="D760" s="142" t="str">
        <f>B33_Assessment!$B$71</f>
        <v>B23</v>
      </c>
      <c r="E760" s="142" t="str">
        <f>B33_Assessment!$C$71</f>
        <v>Electrical</v>
      </c>
      <c r="F760" s="106" t="str">
        <f>B33_Assessment!$D$71</f>
        <v>New TE enclosure UPS/PDU receptacles, circuit source, grounding/bonding, labels and access</v>
      </c>
      <c r="G760" s="106">
        <f>B33_Assessment!$E$71</f>
        <v>0</v>
      </c>
      <c r="H760" s="106" t="str">
        <f>B33_Assessment!$F$71</f>
        <v>Paul</v>
      </c>
      <c r="I760" s="106">
        <f>B33_Assessment!$G$71</f>
        <v>0</v>
      </c>
      <c r="J760" s="106" t="str">
        <f>B33_Assessment!$H$71</f>
        <v>B33-R5</v>
      </c>
      <c r="K760" s="106" t="str">
        <f>B33_Assessment!$I$71</f>
        <v>Closed</v>
      </c>
      <c r="L760" s="106">
        <f>B33_Assessment!$J$71</f>
        <v>0</v>
      </c>
    </row>
    <row r="761" spans="1:12" ht="40.65" customHeight="1">
      <c r="A761" s="106" t="str">
        <f>B33_Assessment!$B$2</f>
        <v>33</v>
      </c>
      <c r="B761" s="106" t="str">
        <f t="shared" ref="B761:B768" si="76">"B33_Assessment"</f>
        <v>B33_Assessment</v>
      </c>
      <c r="C761" s="106" t="str">
        <f>B33_Assessment!$A$72</f>
        <v>B33-P006</v>
      </c>
      <c r="D761" s="142" t="str">
        <f>B33_Assessment!$B$72</f>
        <v>B23/B17</v>
      </c>
      <c r="E761" s="142" t="str">
        <f>B33_Assessment!$C$72</f>
        <v>Telecom</v>
      </c>
      <c r="F761" s="106" t="str">
        <f>B33_Assessment!$D$72</f>
        <v>TE01-B23-1 enclosure, cross-connect cables, Fiber LIU, patch panels, labels, test results and existing B17 equipment transfer</v>
      </c>
      <c r="G761" s="106">
        <f>B33_Assessment!$E$72</f>
        <v>0</v>
      </c>
      <c r="H761" s="106" t="str">
        <f>B33_Assessment!$F$72</f>
        <v>Paul</v>
      </c>
      <c r="I761" s="106">
        <f>B33_Assessment!$G$72</f>
        <v>0</v>
      </c>
      <c r="J761" s="106" t="str">
        <f>B33_Assessment!$H$72</f>
        <v>B33-R2/B33-R8</v>
      </c>
      <c r="K761" s="106" t="str">
        <f>B33_Assessment!$I$72</f>
        <v>Closed</v>
      </c>
      <c r="L761" s="106">
        <f>B33_Assessment!$J$72</f>
        <v>0</v>
      </c>
    </row>
    <row r="762" spans="1:12" ht="22.95" customHeight="1">
      <c r="A762" s="106" t="str">
        <f>B33_Assessment!$B$2</f>
        <v>33</v>
      </c>
      <c r="B762" s="106" t="str">
        <f t="shared" si="76"/>
        <v>B33_Assessment</v>
      </c>
      <c r="C762" s="106" t="str">
        <f>B33_Assessment!$A$73</f>
        <v>B33-P007</v>
      </c>
      <c r="D762" s="142" t="str">
        <f>B33_Assessment!$B$73</f>
        <v>All</v>
      </c>
      <c r="E762" s="142" t="str">
        <f>B33_Assessment!$C$73</f>
        <v>Firestop</v>
      </c>
      <c r="F762" s="106" t="str">
        <f>B33_Assessment!$D$73</f>
        <v>4-inch speed sleeve, wall/floor penetrations and fire caulk before/after photos</v>
      </c>
      <c r="G762" s="106">
        <f>B33_Assessment!$E$73</f>
        <v>0</v>
      </c>
      <c r="H762" s="106" t="str">
        <f>B33_Assessment!$F$73</f>
        <v>Paul</v>
      </c>
      <c r="I762" s="106">
        <f>B33_Assessment!$G$73</f>
        <v>0</v>
      </c>
      <c r="J762" s="106" t="str">
        <f>B33_Assessment!$H$73</f>
        <v>B33-R7</v>
      </c>
      <c r="K762" s="106" t="str">
        <f>B33_Assessment!$I$73</f>
        <v>Closed</v>
      </c>
      <c r="L762" s="106">
        <f>B33_Assessment!$J$73</f>
        <v>0</v>
      </c>
    </row>
    <row r="763" spans="1:12" ht="34.950000000000003" customHeight="1">
      <c r="A763" s="106" t="str">
        <f>B33_Assessment!$B$2</f>
        <v>33</v>
      </c>
      <c r="B763" s="106" t="str">
        <f t="shared" si="76"/>
        <v>B33_Assessment</v>
      </c>
      <c r="C763" s="106" t="str">
        <f>B33_Assessment!$A$74</f>
        <v>B33-P008</v>
      </c>
      <c r="D763" s="142" t="str">
        <f>B33_Assessment!$B$74</f>
        <v>B17/B23</v>
      </c>
      <c r="E763" s="142" t="str">
        <f>B33_Assessment!$C$74</f>
        <v>Security / Existing Devices</v>
      </c>
      <c r="F763" s="106" t="str">
        <f>B33_Assessment!$D$74</f>
        <v>Existing cameras, network door controller, keypad and equipment box to remain/protect or be recabled</v>
      </c>
      <c r="G763" s="106">
        <f>B33_Assessment!$E$74</f>
        <v>0</v>
      </c>
      <c r="H763" s="106" t="str">
        <f>B33_Assessment!$F$74</f>
        <v>Paul</v>
      </c>
      <c r="I763" s="106">
        <f>B33_Assessment!$G$74</f>
        <v>0</v>
      </c>
      <c r="J763" s="106" t="str">
        <f>B33_Assessment!$H$74</f>
        <v>B33-R8</v>
      </c>
      <c r="K763" s="106" t="str">
        <f>B33_Assessment!$I$74</f>
        <v>Closed</v>
      </c>
      <c r="L763" s="106">
        <f>B33_Assessment!$J$74</f>
        <v>0</v>
      </c>
    </row>
    <row r="764" spans="1:12" ht="34.950000000000003" customHeight="1">
      <c r="A764" s="106" t="str">
        <f>B61_Assessment!$B$2</f>
        <v>61</v>
      </c>
      <c r="B764" s="106" t="str">
        <f t="shared" si="76"/>
        <v>B33_Assessment</v>
      </c>
      <c r="C764" s="106" t="str">
        <f>B61_Assessment!$A$81</f>
        <v>B61-P001</v>
      </c>
      <c r="D764" s="142" t="str">
        <f>B61_Assessment!$B$81</f>
        <v>B13H-A</v>
      </c>
      <c r="E764" s="142" t="str">
        <f>B61_Assessment!$C$81</f>
        <v>Existing Condition</v>
      </c>
      <c r="F764" s="106" t="str">
        <f>B61_Assessment!$D$81</f>
        <v>Basement TR B13H-A walls, ceiling/deck, floor, door, rack/future rack, power, HVAC, cable tray and penetrations</v>
      </c>
      <c r="G764" s="106">
        <f>B61_Assessment!$E$81</f>
        <v>0</v>
      </c>
      <c r="H764" s="106" t="str">
        <f>B61_Assessment!$F$81</f>
        <v>Paul</v>
      </c>
      <c r="I764" s="106">
        <f>B61_Assessment!$G$81</f>
        <v>0</v>
      </c>
      <c r="J764" s="106" t="str">
        <f>B61_Assessment!$H$81</f>
        <v>B61-R1/B61-R2</v>
      </c>
      <c r="K764" s="106" t="str">
        <f>B61_Assessment!$I$81</f>
        <v>Closed</v>
      </c>
      <c r="L764" s="106">
        <f>B61_Assessment!$J$81</f>
        <v>0</v>
      </c>
    </row>
    <row r="765" spans="1:12" ht="34.950000000000003" customHeight="1">
      <c r="A765" s="106" t="str">
        <f>B61_Assessment!$B$2</f>
        <v>61</v>
      </c>
      <c r="B765" s="106" t="str">
        <f t="shared" si="76"/>
        <v>B33_Assessment</v>
      </c>
      <c r="C765" s="106" t="str">
        <f>B61_Assessment!$A$82</f>
        <v>B61-P002</v>
      </c>
      <c r="D765" s="142" t="str">
        <f>B61_Assessment!$B$82</f>
        <v>124</v>
      </c>
      <c r="E765" s="142" t="str">
        <f>B61_Assessment!$C$82</f>
        <v>Existing Condition</v>
      </c>
      <c r="F765" s="106" t="str">
        <f>B61_Assessment!$D$82</f>
        <v>First-level TR 124 walls, ceiling/deck, floor, door, rack/future rack, power, HVAC, cable tray and penetrations</v>
      </c>
      <c r="G765" s="106">
        <f>B61_Assessment!$E$82</f>
        <v>0</v>
      </c>
      <c r="H765" s="106" t="str">
        <f>B61_Assessment!$F$82</f>
        <v>Paul</v>
      </c>
      <c r="I765" s="106">
        <f>B61_Assessment!$G$82</f>
        <v>0</v>
      </c>
      <c r="J765" s="106" t="str">
        <f>B61_Assessment!$H$82</f>
        <v>B61-R1/B61-R4</v>
      </c>
      <c r="K765" s="106" t="str">
        <f>B61_Assessment!$I$82</f>
        <v>Closed</v>
      </c>
      <c r="L765" s="106">
        <f>B61_Assessment!$J$82</f>
        <v>0</v>
      </c>
    </row>
    <row r="766" spans="1:12" ht="34.950000000000003" customHeight="1">
      <c r="A766" s="106" t="str">
        <f>B61_Assessment!$B$2</f>
        <v>61</v>
      </c>
      <c r="B766" s="106" t="str">
        <f t="shared" si="76"/>
        <v>B33_Assessment</v>
      </c>
      <c r="C766" s="106" t="str">
        <f>B61_Assessment!$A$83</f>
        <v>B61-P003</v>
      </c>
      <c r="D766" s="142" t="str">
        <f>B61_Assessment!$B$83</f>
        <v>226</v>
      </c>
      <c r="E766" s="142" t="str">
        <f>B61_Assessment!$C$83</f>
        <v>Existing Condition</v>
      </c>
      <c r="F766" s="106" t="str">
        <f>B61_Assessment!$D$83</f>
        <v>Second-level TR 226 walls, ceiling/deck, floor, door, rack/future rack, power, HVAC, cable tray and riser penetrations</v>
      </c>
      <c r="G766" s="106">
        <f>B61_Assessment!$E$83</f>
        <v>0</v>
      </c>
      <c r="H766" s="106" t="str">
        <f>B61_Assessment!$F$83</f>
        <v>Paul</v>
      </c>
      <c r="I766" s="106">
        <f>B61_Assessment!$G$83</f>
        <v>0</v>
      </c>
      <c r="J766" s="106" t="str">
        <f>B61_Assessment!$H$83</f>
        <v>B61-R1/B61-R4</v>
      </c>
      <c r="K766" s="106" t="str">
        <f>B61_Assessment!$I$83</f>
        <v>Closed</v>
      </c>
      <c r="L766" s="106">
        <f>B61_Assessment!$J$83</f>
        <v>0</v>
      </c>
    </row>
    <row r="767" spans="1:12" ht="34.950000000000003" customHeight="1">
      <c r="A767" s="106" t="str">
        <f>B61_Assessment!$B$2</f>
        <v>61</v>
      </c>
      <c r="B767" s="106" t="str">
        <f t="shared" si="76"/>
        <v>B33_Assessment</v>
      </c>
      <c r="C767" s="106" t="str">
        <f>B61_Assessment!$A$84</f>
        <v>B61-P004</v>
      </c>
      <c r="D767" s="142" t="str">
        <f>B61_Assessment!$B$84</f>
        <v>137 / 137A</v>
      </c>
      <c r="E767" s="142" t="str">
        <f>B61_Assessment!$C$84</f>
        <v>Existing Equipment</v>
      </c>
      <c r="F767" s="106" t="str">
        <f>B61_Assessment!$D$84</f>
        <v>Existing server/demarc racks, APC UPS/PDU, Fujitsu equipment, patch panels, PACS/equipment racks and cable entries</v>
      </c>
      <c r="G767" s="106">
        <f>B61_Assessment!$E$84</f>
        <v>0</v>
      </c>
      <c r="H767" s="106" t="str">
        <f>B61_Assessment!$F$84</f>
        <v>Paul</v>
      </c>
      <c r="I767" s="106">
        <f>B61_Assessment!$G$84</f>
        <v>0</v>
      </c>
      <c r="J767" s="106" t="str">
        <f>B61_Assessment!$H$84</f>
        <v>B61-R3/B61-R7</v>
      </c>
      <c r="K767" s="106" t="str">
        <f>B61_Assessment!$I$84</f>
        <v>Closed</v>
      </c>
      <c r="L767" s="106">
        <f>B61_Assessment!$J$84</f>
        <v>0</v>
      </c>
    </row>
    <row r="768" spans="1:12" ht="40.65" customHeight="1">
      <c r="A768" s="106" t="str">
        <f>B61_Assessment!$B$2</f>
        <v>61</v>
      </c>
      <c r="B768" s="106" t="str">
        <f t="shared" si="76"/>
        <v>B33_Assessment</v>
      </c>
      <c r="C768" s="106" t="str">
        <f>B61_Assessment!$A$85</f>
        <v>B61-P005</v>
      </c>
      <c r="D768" s="142" t="str">
        <f>B61_Assessment!$B$85</f>
        <v>All TRs</v>
      </c>
      <c r="E768" s="142" t="str">
        <f>B61_Assessment!$C$85</f>
        <v>HVAC</v>
      </c>
      <c r="F768" s="106" t="str">
        <f>B61_Assessment!$D$85</f>
        <v>IU/CU-0-01, IU/CU-1-01, IU/CU-2-01, condensate, thermostat, BACnet adapter, disconnects, high-temp alarm and power source</v>
      </c>
      <c r="G768" s="106">
        <f>B61_Assessment!$E$85</f>
        <v>0</v>
      </c>
      <c r="H768" s="106" t="str">
        <f>B61_Assessment!$F$85</f>
        <v>Paul</v>
      </c>
      <c r="I768" s="106">
        <f>B61_Assessment!$G$85</f>
        <v>0</v>
      </c>
      <c r="J768" s="106" t="str">
        <f>B61_Assessment!$H$85</f>
        <v>B61-R4</v>
      </c>
      <c r="K768" s="106" t="str">
        <f>B61_Assessment!$I$85</f>
        <v>Closed</v>
      </c>
      <c r="L768" s="106">
        <f>B61_Assessment!$J$85</f>
        <v>0</v>
      </c>
    </row>
    <row r="769" spans="1:12" ht="34.950000000000003" customHeight="1">
      <c r="A769" s="106" t="str">
        <f>B61_Assessment!$B$2</f>
        <v>61</v>
      </c>
      <c r="B769" s="106" t="str">
        <f>"B61_Assessment"</f>
        <v>B61_Assessment</v>
      </c>
      <c r="C769" s="106" t="str">
        <f>B61_Assessment!$A$86</f>
        <v>B61-P006</v>
      </c>
      <c r="D769" s="142" t="str">
        <f>B61_Assessment!$B$86</f>
        <v>All TRs</v>
      </c>
      <c r="E769" s="142" t="str">
        <f>B61_Assessment!$C$86</f>
        <v>Electrical</v>
      </c>
      <c r="F769" s="106" t="str">
        <f>B61_Assessment!$D$86</f>
        <v>B61 telecom panels, PD panels, rack receptacles, UPS/PDU, breakers, SPDs, labels and grounding/bonding</v>
      </c>
      <c r="G769" s="106">
        <f>B61_Assessment!$E$86</f>
        <v>0</v>
      </c>
      <c r="H769" s="106" t="str">
        <f>B61_Assessment!$F$86</f>
        <v>Paul</v>
      </c>
      <c r="I769" s="106">
        <f>B61_Assessment!$G$86</f>
        <v>0</v>
      </c>
      <c r="J769" s="106" t="str">
        <f>B61_Assessment!$H$86</f>
        <v>B61-R5</v>
      </c>
      <c r="K769" s="106" t="str">
        <f>B61_Assessment!$I$86</f>
        <v>Closed</v>
      </c>
      <c r="L769" s="106">
        <f>B61_Assessment!$J$86</f>
        <v>0</v>
      </c>
    </row>
    <row r="770" spans="1:12" ht="34.950000000000003" customHeight="1">
      <c r="A770" s="106" t="str">
        <f>B61_Assessment!$B$2</f>
        <v>61</v>
      </c>
      <c r="B770" s="106" t="str">
        <f>"B61_Assessment"</f>
        <v>B61_Assessment</v>
      </c>
      <c r="C770" s="106" t="str">
        <f>B61_Assessment!$A$87</f>
        <v>B61-P007</v>
      </c>
      <c r="D770" s="142" t="str">
        <f>B61_Assessment!$B$87</f>
        <v>All</v>
      </c>
      <c r="E770" s="142" t="str">
        <f>B61_Assessment!$C$87</f>
        <v>Cable Tray / Firestop</v>
      </c>
      <c r="F770" s="106" t="str">
        <f>B61_Assessment!$D$87</f>
        <v>Basement/first/second cable tray route, supports, seismic bracing, penetrations and before/after firestopping</v>
      </c>
      <c r="G770" s="106">
        <f>B61_Assessment!$E$87</f>
        <v>0</v>
      </c>
      <c r="H770" s="106" t="str">
        <f>B61_Assessment!$F$87</f>
        <v>Paul</v>
      </c>
      <c r="I770" s="106">
        <f>B61_Assessment!$G$87</f>
        <v>0</v>
      </c>
      <c r="J770" s="106" t="str">
        <f>B61_Assessment!$H$87</f>
        <v>B61-R6</v>
      </c>
      <c r="K770" s="106" t="str">
        <f>B61_Assessment!$I$87</f>
        <v>Closed</v>
      </c>
      <c r="L770" s="106">
        <f>B61_Assessment!$J$87</f>
        <v>0</v>
      </c>
    </row>
    <row r="771" spans="1:12" ht="34.950000000000003" customHeight="1">
      <c r="A771" s="106" t="str">
        <f>B61_Assessment!$B$2</f>
        <v>61</v>
      </c>
      <c r="B771" s="106" t="str">
        <f>"B61_Assessment"</f>
        <v>B61_Assessment</v>
      </c>
      <c r="C771" s="106" t="str">
        <f>B61_Assessment!$A$88</f>
        <v>B61-P008</v>
      </c>
      <c r="D771" s="142" t="str">
        <f>B61_Assessment!$B$88</f>
        <v>All</v>
      </c>
      <c r="E771" s="142" t="str">
        <f>B61_Assessment!$C$88</f>
        <v>Telecom / Security</v>
      </c>
      <c r="F771" s="106" t="str">
        <f>B61_Assessment!$D$88</f>
        <v>Racks, Fiber LIU, Cat6A, patch panels, labels/test records, CCTV, PACS and existing equipment transfer work</v>
      </c>
      <c r="G771" s="106">
        <f>B61_Assessment!$E$88</f>
        <v>0</v>
      </c>
      <c r="H771" s="106" t="str">
        <f>B61_Assessment!$F$88</f>
        <v>Paul</v>
      </c>
      <c r="I771" s="106">
        <f>B61_Assessment!$G$88</f>
        <v>0</v>
      </c>
      <c r="J771" s="106" t="str">
        <f>B61_Assessment!$H$88</f>
        <v>B61-R7/B61-R8</v>
      </c>
      <c r="K771" s="106" t="str">
        <f>B61_Assessment!$I$88</f>
        <v>Closed</v>
      </c>
      <c r="L771" s="106">
        <f>B61_Assessment!$J$88</f>
        <v>0</v>
      </c>
    </row>
    <row r="772" spans="1:12" ht="12.45" customHeight="1">
      <c r="A772" s="106">
        <f>B62_TR_Assessment!$B$2</f>
        <v>62</v>
      </c>
      <c r="B772" s="106" t="str">
        <f>"B62_TR_Assessment"</f>
        <v>B62_TR_Assessment</v>
      </c>
      <c r="C772" s="106" t="str">
        <f>B62_TR_Assessment!$A$68</f>
        <v>B62-P001</v>
      </c>
      <c r="D772" s="142" t="str">
        <f>B62_TR_Assessment!$B$68</f>
        <v>B24A</v>
      </c>
      <c r="E772" s="142" t="str">
        <f>B62_TR_Assessment!$C$68</f>
        <v>Existing Condition</v>
      </c>
      <c r="F772" s="106" t="str">
        <f>B62_TR_Assessment!$D$68</f>
        <v>Existing room condition</v>
      </c>
      <c r="G772" s="149">
        <f>B62_TR_Assessment!$E$68</f>
        <v>0</v>
      </c>
      <c r="H772" s="106" t="str">
        <f>B62_TR_Assessment!$F$68</f>
        <v>Paul</v>
      </c>
      <c r="I772" s="106">
        <f>B62_TR_Assessment!$G$68</f>
        <v>0</v>
      </c>
      <c r="J772" s="106">
        <f>B62_TR_Assessment!$H$68</f>
        <v>0</v>
      </c>
      <c r="K772" s="106" t="str">
        <f>B62_TR_Assessment!$I$68</f>
        <v>Closed</v>
      </c>
      <c r="L772" s="106">
        <f>B62_TR_Assessment!$J$68</f>
        <v>0</v>
      </c>
    </row>
    <row r="773" spans="1:12" ht="12.45" customHeight="1">
      <c r="A773" s="106">
        <f>B62_TR_Assessment!$B$2</f>
        <v>62</v>
      </c>
      <c r="B773" s="106" t="str">
        <f>"B62_TR_Assessment"</f>
        <v>B62_TR_Assessment</v>
      </c>
      <c r="C773" s="106" t="str">
        <f>B62_TR_Assessment!$A$69</f>
        <v>B62-P002</v>
      </c>
      <c r="D773" s="142" t="str">
        <f>B62_TR_Assessment!$B$69</f>
        <v>125</v>
      </c>
      <c r="E773" s="142" t="str">
        <f>B62_TR_Assessment!$C$69</f>
        <v>Existing Condition</v>
      </c>
      <c r="F773" s="106" t="str">
        <f>B62_TR_Assessment!$D$69</f>
        <v>Existing room condition</v>
      </c>
      <c r="G773" s="149">
        <f>B62_TR_Assessment!$E$69</f>
        <v>0</v>
      </c>
      <c r="H773" s="106" t="str">
        <f>B62_TR_Assessment!$F$69</f>
        <v>Paul</v>
      </c>
      <c r="I773" s="106">
        <f>B62_TR_Assessment!$G$69</f>
        <v>0</v>
      </c>
      <c r="J773" s="106">
        <f>B62_TR_Assessment!$H$69</f>
        <v>0</v>
      </c>
      <c r="K773" s="106" t="str">
        <f>B62_TR_Assessment!$I$69</f>
        <v>Closed</v>
      </c>
      <c r="L773" s="106">
        <f>B62_TR_Assessment!$J$69</f>
        <v>0</v>
      </c>
    </row>
    <row r="774" spans="1:12" ht="12.45" customHeight="1">
      <c r="A774" s="106">
        <f>B62_TR_Assessment!$B$2</f>
        <v>62</v>
      </c>
      <c r="B774" s="106" t="str">
        <f>"B62_TR_Assessment"</f>
        <v>B62_TR_Assessment</v>
      </c>
      <c r="C774" s="106" t="str">
        <f>B62_TR_Assessment!$A$70</f>
        <v>B62-P003</v>
      </c>
      <c r="D774" s="142" t="str">
        <f>B62_TR_Assessment!$B$70</f>
        <v>225</v>
      </c>
      <c r="E774" s="142" t="str">
        <f>B62_TR_Assessment!$C$70</f>
        <v>Existing Condition</v>
      </c>
      <c r="F774" s="106" t="str">
        <f>B62_TR_Assessment!$D$70</f>
        <v>Existing room condition</v>
      </c>
      <c r="G774" s="149">
        <f>B62_TR_Assessment!$E$70</f>
        <v>0</v>
      </c>
      <c r="H774" s="106" t="str">
        <f>B62_TR_Assessment!$F$70</f>
        <v>Paul</v>
      </c>
      <c r="I774" s="106">
        <f>B62_TR_Assessment!$G$70</f>
        <v>0</v>
      </c>
      <c r="J774" s="106">
        <f>B62_TR_Assessment!$H$70</f>
        <v>0</v>
      </c>
      <c r="K774" s="106" t="str">
        <f>B62_TR_Assessment!$I$70</f>
        <v>Closed</v>
      </c>
      <c r="L774" s="106">
        <f>B62_TR_Assessment!$J$70</f>
        <v>0</v>
      </c>
    </row>
    <row r="775" spans="1:12" ht="11.7" customHeight="1">
      <c r="A775" s="106">
        <f>B62_TR_Assessment!$B$2</f>
        <v>62</v>
      </c>
      <c r="B775" s="106" t="str">
        <f>"B62_TR_Assessment"</f>
        <v>B62_TR_Assessment</v>
      </c>
      <c r="C775" s="106" t="str">
        <f>B62_TR_Assessment!$A$71</f>
        <v>B62-P004</v>
      </c>
      <c r="D775" s="142" t="str">
        <f>B62_TR_Assessment!$B$71</f>
        <v>All</v>
      </c>
      <c r="E775" s="142" t="str">
        <f>B62_TR_Assessment!$C$71</f>
        <v>Firestop</v>
      </c>
      <c r="F775" s="106" t="str">
        <f>B62_TR_Assessment!$D$71</f>
        <v>Penetration/firestopping photo</v>
      </c>
      <c r="G775" s="106">
        <f>B62_TR_Assessment!$E$71</f>
        <v>0</v>
      </c>
      <c r="H775" s="106" t="str">
        <f>B62_TR_Assessment!$F$71</f>
        <v>Paul</v>
      </c>
      <c r="I775" s="106">
        <f>B62_TR_Assessment!$G$71</f>
        <v>0</v>
      </c>
      <c r="J775" s="106" t="str">
        <f>B62_TR_Assessment!$H$71</f>
        <v>B62-R2</v>
      </c>
      <c r="K775" s="106" t="str">
        <f>B62_TR_Assessment!$I$71</f>
        <v>Closed</v>
      </c>
      <c r="L775" s="106">
        <f>B62_TR_Assessment!$J$71</f>
        <v>0</v>
      </c>
    </row>
    <row r="776" spans="1:12" ht="11.7" customHeight="1">
      <c r="A776" s="106">
        <f>B70_TR_Assessment!$B$2</f>
        <v>70</v>
      </c>
      <c r="B776" s="106" t="str">
        <f t="shared" ref="B776:B785" si="77">"B70_TR_Assessment"</f>
        <v>B70_TR_Assessment</v>
      </c>
      <c r="C776" s="106" t="str">
        <f>B70_TR_Assessment!$A$70</f>
        <v>B70-P001</v>
      </c>
      <c r="D776" s="142" t="str">
        <f>B70_TR_Assessment!$B$70</f>
        <v>B27</v>
      </c>
      <c r="E776" s="142" t="str">
        <f>B70_TR_Assessment!$C$70</f>
        <v>Existing Condition</v>
      </c>
      <c r="F776" s="106" t="str">
        <f>B70_TR_Assessment!$D$70</f>
        <v>Existing basement TR / utility condition</v>
      </c>
      <c r="G776" s="106">
        <f>B70_TR_Assessment!$E$70</f>
        <v>0</v>
      </c>
      <c r="H776" s="106" t="str">
        <f>B70_TR_Assessment!$F$70</f>
        <v>Paul</v>
      </c>
      <c r="I776" s="106">
        <f>B70_TR_Assessment!$G$70</f>
        <v>0</v>
      </c>
      <c r="J776" s="106" t="str">
        <f>B70_TR_Assessment!$H$70</f>
        <v>B70-R3</v>
      </c>
      <c r="K776" s="106" t="str">
        <f>B70_TR_Assessment!$I$70</f>
        <v>Closed</v>
      </c>
      <c r="L776" s="106">
        <f>B70_TR_Assessment!$J$70</f>
        <v>0</v>
      </c>
    </row>
    <row r="777" spans="1:12" ht="11.7" customHeight="1">
      <c r="A777" s="106">
        <f>B70_TR_Assessment!$B$2</f>
        <v>70</v>
      </c>
      <c r="B777" s="106" t="str">
        <f t="shared" si="77"/>
        <v>B70_TR_Assessment</v>
      </c>
      <c r="C777" s="106" t="str">
        <f>B70_TR_Assessment!$A$71</f>
        <v>B70-P002</v>
      </c>
      <c r="D777" s="142" t="str">
        <f>B70_TR_Assessment!$B$71</f>
        <v>125A</v>
      </c>
      <c r="E777" s="142" t="str">
        <f>B70_TR_Assessment!$C$71</f>
        <v>Existing Condition</v>
      </c>
      <c r="F777" s="106" t="str">
        <f>B70_TR_Assessment!$D$71</f>
        <v>Existing first-floor TR condition</v>
      </c>
      <c r="G777" s="106">
        <f>B70_TR_Assessment!$E$71</f>
        <v>0</v>
      </c>
      <c r="H777" s="106" t="str">
        <f>B70_TR_Assessment!$F$71</f>
        <v>Paul</v>
      </c>
      <c r="I777" s="106">
        <f>B70_TR_Assessment!$G$71</f>
        <v>0</v>
      </c>
      <c r="J777" s="106">
        <f>B70_TR_Assessment!$H$71</f>
        <v>0</v>
      </c>
      <c r="K777" s="106" t="str">
        <f>B70_TR_Assessment!$I$71</f>
        <v>Closed</v>
      </c>
      <c r="L777" s="106">
        <f>B70_TR_Assessment!$J$71</f>
        <v>0</v>
      </c>
    </row>
    <row r="778" spans="1:12" ht="11.7" customHeight="1">
      <c r="A778" s="106">
        <f>B70_TR_Assessment!$B$2</f>
        <v>70</v>
      </c>
      <c r="B778" s="106" t="str">
        <f t="shared" si="77"/>
        <v>B70_TR_Assessment</v>
      </c>
      <c r="C778" s="106" t="str">
        <f>B70_TR_Assessment!$A$72</f>
        <v>B70-P003</v>
      </c>
      <c r="D778" s="142" t="str">
        <f>B70_TR_Assessment!$B$72</f>
        <v>262A</v>
      </c>
      <c r="E778" s="142" t="str">
        <f>B70_TR_Assessment!$C$72</f>
        <v>Existing Condition</v>
      </c>
      <c r="F778" s="106" t="str">
        <f>B70_TR_Assessment!$D$72</f>
        <v>Existing second-floor TR condition</v>
      </c>
      <c r="G778" s="106">
        <f>B70_TR_Assessment!$E$72</f>
        <v>0</v>
      </c>
      <c r="H778" s="106" t="str">
        <f>B70_TR_Assessment!$F$72</f>
        <v>Paul</v>
      </c>
      <c r="I778" s="106">
        <f>B70_TR_Assessment!$G$72</f>
        <v>0</v>
      </c>
      <c r="J778" s="106">
        <f>B70_TR_Assessment!$H$72</f>
        <v>0</v>
      </c>
      <c r="K778" s="106" t="str">
        <f>B70_TR_Assessment!$I$72</f>
        <v>Closed</v>
      </c>
      <c r="L778" s="106">
        <f>B70_TR_Assessment!$J$72</f>
        <v>0</v>
      </c>
    </row>
    <row r="779" spans="1:12" ht="11.7" customHeight="1">
      <c r="A779" s="106">
        <f>B70_TR_Assessment!$B$2</f>
        <v>70</v>
      </c>
      <c r="B779" s="106" t="str">
        <f t="shared" si="77"/>
        <v>B70_TR_Assessment</v>
      </c>
      <c r="C779" s="106" t="str">
        <f>B70_TR_Assessment!$A$73</f>
        <v>B70-P004</v>
      </c>
      <c r="D779" s="142" t="str">
        <f>B70_TR_Assessment!$B$73</f>
        <v>All</v>
      </c>
      <c r="E779" s="142" t="str">
        <f>B70_TR_Assessment!$C$73</f>
        <v>Firestop</v>
      </c>
      <c r="F779" s="106" t="str">
        <f>B70_TR_Assessment!$D$73</f>
        <v>Penetration/firestopping photo</v>
      </c>
      <c r="G779" s="106">
        <f>B70_TR_Assessment!$E$73</f>
        <v>0</v>
      </c>
      <c r="H779" s="106" t="str">
        <f>B70_TR_Assessment!$F$73</f>
        <v>Paul</v>
      </c>
      <c r="I779" s="106">
        <f>B70_TR_Assessment!$G$73</f>
        <v>0</v>
      </c>
      <c r="J779" s="106" t="str">
        <f>B70_TR_Assessment!$H$73</f>
        <v>B70-R2</v>
      </c>
      <c r="K779" s="106" t="str">
        <f>B70_TR_Assessment!$I$73</f>
        <v>Closed</v>
      </c>
      <c r="L779" s="106">
        <f>B70_TR_Assessment!$J$73</f>
        <v>0</v>
      </c>
    </row>
    <row r="780" spans="1:12" ht="11.7" customHeight="1">
      <c r="A780" s="106">
        <f>B70_TR_Assessment!$B$2</f>
        <v>70</v>
      </c>
      <c r="B780" s="106" t="str">
        <f t="shared" si="77"/>
        <v>B70_TR_Assessment</v>
      </c>
      <c r="C780" s="106" t="str">
        <f>B70_TR_Assessment!$A$74</f>
        <v>B70-P005</v>
      </c>
      <c r="D780" s="142" t="str">
        <f>B70_TR_Assessment!$B$74</f>
        <v>All</v>
      </c>
      <c r="E780" s="142" t="str">
        <f>B70_TR_Assessment!$C$74</f>
        <v>HVAC</v>
      </c>
      <c r="F780" s="106" t="str">
        <f>B70_TR_Assessment!$D$74</f>
        <v>Cooling unit/condensate photo</v>
      </c>
      <c r="G780" s="106">
        <f>B70_TR_Assessment!$E$74</f>
        <v>0</v>
      </c>
      <c r="H780" s="106" t="str">
        <f>B70_TR_Assessment!$F$74</f>
        <v>Paul</v>
      </c>
      <c r="I780" s="106">
        <f>B70_TR_Assessment!$G$74</f>
        <v>0</v>
      </c>
      <c r="J780" s="106" t="str">
        <f>B70_TR_Assessment!$H$74</f>
        <v>B70-R1/B70-R5</v>
      </c>
      <c r="K780" s="106" t="str">
        <f>B70_TR_Assessment!$I$74</f>
        <v>Closed</v>
      </c>
      <c r="L780" s="106">
        <f>B70_TR_Assessment!$J$74</f>
        <v>0</v>
      </c>
    </row>
    <row r="781" spans="1:12" ht="34.950000000000003" customHeight="1">
      <c r="A781" s="106">
        <f>B78_Assessment!$B$2</f>
        <v>78</v>
      </c>
      <c r="B781" s="106" t="str">
        <f t="shared" si="77"/>
        <v>B70_TR_Assessment</v>
      </c>
      <c r="C781" s="106" t="str">
        <f>B78_Assessment!$A$102</f>
        <v>B78-P001</v>
      </c>
      <c r="D781" s="142" t="str">
        <f>B78_Assessment!$B$102</f>
        <v>B30</v>
      </c>
      <c r="E781" s="142" t="str">
        <f>B78_Assessment!$C$102</f>
        <v>Existing Condition</v>
      </c>
      <c r="F781" s="106" t="str">
        <f>B78_Assessment!$D$102</f>
        <v>Basement RM B30 walls, ceiling/deck, floor, door, racks/future rack, power, HVAC, cable tray and penetrations</v>
      </c>
      <c r="G781" s="106">
        <f>B78_Assessment!$E$102</f>
        <v>0</v>
      </c>
      <c r="H781" s="106" t="str">
        <f>B78_Assessment!$F$102</f>
        <v>Paul</v>
      </c>
      <c r="I781" s="106">
        <f>B78_Assessment!$G$102</f>
        <v>0</v>
      </c>
      <c r="J781" s="106" t="str">
        <f>B78_Assessment!$H$102</f>
        <v>B78-R1/B78-R6</v>
      </c>
      <c r="K781" s="106" t="str">
        <f>B78_Assessment!$I$102</f>
        <v>Closed</v>
      </c>
      <c r="L781" s="106">
        <f>B78_Assessment!$J$102</f>
        <v>0</v>
      </c>
    </row>
    <row r="782" spans="1:12" ht="34.950000000000003" customHeight="1">
      <c r="A782" s="106">
        <f>B78_Assessment!$B$2</f>
        <v>78</v>
      </c>
      <c r="B782" s="106" t="str">
        <f t="shared" si="77"/>
        <v>B70_TR_Assessment</v>
      </c>
      <c r="C782" s="106" t="str">
        <f>B78_Assessment!$A$103</f>
        <v>B78-P002</v>
      </c>
      <c r="D782" s="142" t="str">
        <f>B78_Assessment!$B$103</f>
        <v>B35</v>
      </c>
      <c r="E782" s="142" t="str">
        <f>B78_Assessment!$C$103</f>
        <v>Existing Condition</v>
      </c>
      <c r="F782" s="106" t="str">
        <f>B78_Assessment!$D$103</f>
        <v>Basement RM B35 and relationship to existing telecom room 15E; rack/equipment, pathway, power, HVAC and penetrations</v>
      </c>
      <c r="G782" s="106">
        <f>B78_Assessment!$E$103</f>
        <v>0</v>
      </c>
      <c r="H782" s="106" t="str">
        <f>B78_Assessment!$F$103</f>
        <v>Paul</v>
      </c>
      <c r="I782" s="106">
        <f>B78_Assessment!$G$103</f>
        <v>0</v>
      </c>
      <c r="J782" s="106" t="str">
        <f>B78_Assessment!$H$103</f>
        <v>B78-R1/B78-R3</v>
      </c>
      <c r="K782" s="106" t="str">
        <f>B78_Assessment!$I$103</f>
        <v>Closed</v>
      </c>
      <c r="L782" s="106">
        <f>B78_Assessment!$J$103</f>
        <v>0</v>
      </c>
    </row>
    <row r="783" spans="1:12" ht="40.65" customHeight="1">
      <c r="A783" s="106">
        <f>B78_Assessment!$B$2</f>
        <v>78</v>
      </c>
      <c r="B783" s="106" t="str">
        <f t="shared" si="77"/>
        <v>B70_TR_Assessment</v>
      </c>
      <c r="C783" s="106" t="str">
        <f>B78_Assessment!$A$104</f>
        <v>B78-P003</v>
      </c>
      <c r="D783" s="142" t="str">
        <f>B78_Assessment!$B$104</f>
        <v>1232 / 1234</v>
      </c>
      <c r="E783" s="142" t="str">
        <f>B78_Assessment!$C$104</f>
        <v>Existing Condition</v>
      </c>
      <c r="F783" s="106" t="str">
        <f>B78_Assessment!$D$104</f>
        <v>First-level RM 1232/new TR and existing telecom room 1234 photo reference, active equipment, cable paths and rack transfer scope</v>
      </c>
      <c r="G783" s="106">
        <f>B78_Assessment!$E$104</f>
        <v>0</v>
      </c>
      <c r="H783" s="106" t="str">
        <f>B78_Assessment!$F$104</f>
        <v>Paul</v>
      </c>
      <c r="I783" s="106">
        <f>B78_Assessment!$G$104</f>
        <v>0</v>
      </c>
      <c r="J783" s="106" t="str">
        <f>B78_Assessment!$H$104</f>
        <v>B78-R1/B78-R3</v>
      </c>
      <c r="K783" s="106" t="str">
        <f>B78_Assessment!$I$104</f>
        <v>Closed</v>
      </c>
      <c r="L783" s="106">
        <f>B78_Assessment!$J$104</f>
        <v>0</v>
      </c>
    </row>
    <row r="784" spans="1:12" ht="40.65" customHeight="1">
      <c r="A784" s="106">
        <f>B78_Assessment!$B$2</f>
        <v>78</v>
      </c>
      <c r="B784" s="106" t="str">
        <f t="shared" si="77"/>
        <v>B70_TR_Assessment</v>
      </c>
      <c r="C784" s="106" t="str">
        <f>B78_Assessment!$A$105</f>
        <v>B78-P004</v>
      </c>
      <c r="D784" s="142" t="str">
        <f>B78_Assessment!$B$105</f>
        <v>227A / 1234</v>
      </c>
      <c r="E784" s="142" t="str">
        <f>B78_Assessment!$C$105</f>
        <v>Existing Condition</v>
      </c>
      <c r="F784" s="106" t="str">
        <f>B78_Assessment!$D$105</f>
        <v>Second-level RM 227A/new TR and existing telecom room 1234 photo reference, active equipment, cable paths and rack transfer scope</v>
      </c>
      <c r="G784" s="106">
        <f>B78_Assessment!$E$105</f>
        <v>0</v>
      </c>
      <c r="H784" s="106" t="str">
        <f>B78_Assessment!$F$105</f>
        <v>Paul</v>
      </c>
      <c r="I784" s="106">
        <f>B78_Assessment!$G$105</f>
        <v>0</v>
      </c>
      <c r="J784" s="106" t="str">
        <f>B78_Assessment!$H$105</f>
        <v>B78-R1/B78-R3</v>
      </c>
      <c r="K784" s="106" t="str">
        <f>B78_Assessment!$I$105</f>
        <v>Closed</v>
      </c>
      <c r="L784" s="106">
        <f>B78_Assessment!$J$105</f>
        <v>0</v>
      </c>
    </row>
    <row r="785" spans="1:12" ht="40.65" customHeight="1">
      <c r="A785" s="106">
        <f>B78_Assessment!$B$2</f>
        <v>78</v>
      </c>
      <c r="B785" s="106" t="str">
        <f t="shared" si="77"/>
        <v>B70_TR_Assessment</v>
      </c>
      <c r="C785" s="106" t="str">
        <f>B78_Assessment!$A$106</f>
        <v>B78-P005</v>
      </c>
      <c r="D785" s="142" t="str">
        <f>B78_Assessment!$B$106</f>
        <v>342 / 353</v>
      </c>
      <c r="E785" s="142" t="str">
        <f>B78_Assessment!$C$106</f>
        <v>Existing Condition</v>
      </c>
      <c r="F785" s="106" t="str">
        <f>B78_Assessment!$D$106</f>
        <v>Third-level RM 342/new TR and existing telecom room 353 photo reference, active equipment, cable paths and rack transfer scope</v>
      </c>
      <c r="G785" s="106">
        <f>B78_Assessment!$E$106</f>
        <v>0</v>
      </c>
      <c r="H785" s="106" t="str">
        <f>B78_Assessment!$F$106</f>
        <v>Paul</v>
      </c>
      <c r="I785" s="106">
        <f>B78_Assessment!$G$106</f>
        <v>0</v>
      </c>
      <c r="J785" s="106" t="str">
        <f>B78_Assessment!$H$106</f>
        <v>B78-R1/B78-R3</v>
      </c>
      <c r="K785" s="106" t="str">
        <f>B78_Assessment!$I$106</f>
        <v>Closed</v>
      </c>
      <c r="L785" s="106">
        <f>B78_Assessment!$J$106</f>
        <v>0</v>
      </c>
    </row>
    <row r="786" spans="1:12" ht="40.65" customHeight="1">
      <c r="A786" s="106">
        <f>B78_Assessment!$B$2</f>
        <v>78</v>
      </c>
      <c r="B786" s="106" t="str">
        <f t="shared" ref="B786:B793" si="78">"B78_Assessment"</f>
        <v>B78_Assessment</v>
      </c>
      <c r="C786" s="106" t="str">
        <f>B78_Assessment!$A$107</f>
        <v>B78-P006</v>
      </c>
      <c r="D786" s="142" t="str">
        <f>B78_Assessment!$B$107</f>
        <v>401 / 308A / 408A</v>
      </c>
      <c r="E786" s="142" t="str">
        <f>B78_Assessment!$C$107</f>
        <v>Existing Condition</v>
      </c>
      <c r="F786" s="106" t="str">
        <f>B78_Assessment!$D$107</f>
        <v>Fourth-level RM 401 and existing telecom rooms 308A/408A photo references, active equipment, cable paths and transfer scope</v>
      </c>
      <c r="G786" s="106">
        <f>B78_Assessment!$E$107</f>
        <v>0</v>
      </c>
      <c r="H786" s="106" t="str">
        <f>B78_Assessment!$F$107</f>
        <v>Paul</v>
      </c>
      <c r="I786" s="106">
        <f>B78_Assessment!$G$107</f>
        <v>0</v>
      </c>
      <c r="J786" s="106" t="str">
        <f>B78_Assessment!$H$107</f>
        <v>B78-R1/B78-R3</v>
      </c>
      <c r="K786" s="106" t="str">
        <f>B78_Assessment!$I$107</f>
        <v>Closed</v>
      </c>
      <c r="L786" s="106">
        <f>B78_Assessment!$J$107</f>
        <v>0</v>
      </c>
    </row>
    <row r="787" spans="1:12" ht="40.65" customHeight="1">
      <c r="A787" s="106">
        <f>B78_Assessment!$B$2</f>
        <v>78</v>
      </c>
      <c r="B787" s="106" t="str">
        <f t="shared" si="78"/>
        <v>B78_Assessment</v>
      </c>
      <c r="C787" s="106" t="str">
        <f>B78_Assessment!$A$108</f>
        <v>B78-P007</v>
      </c>
      <c r="D787" s="142" t="str">
        <f>B78_Assessment!$B$108</f>
        <v>All</v>
      </c>
      <c r="E787" s="142" t="str">
        <f>B78_Assessment!$C$108</f>
        <v>Cable Tray / Firestop</v>
      </c>
      <c r="F787" s="106" t="str">
        <f>B78_Assessment!$D$108</f>
        <v>Basement through fourth-level cable tray routes, supports, seismic bracing, penetrations and before/after firestopping</v>
      </c>
      <c r="G787" s="106">
        <f>B78_Assessment!$E$108</f>
        <v>0</v>
      </c>
      <c r="H787" s="106" t="str">
        <f>B78_Assessment!$F$108</f>
        <v>Paul</v>
      </c>
      <c r="I787" s="106">
        <f>B78_Assessment!$G$108</f>
        <v>0</v>
      </c>
      <c r="J787" s="106" t="str">
        <f>B78_Assessment!$H$108</f>
        <v>B78-R6</v>
      </c>
      <c r="K787" s="106" t="str">
        <f>B78_Assessment!$I$108</f>
        <v>Closed</v>
      </c>
      <c r="L787" s="106">
        <f>B78_Assessment!$J$108</f>
        <v>0</v>
      </c>
    </row>
    <row r="788" spans="1:12" ht="34.950000000000003" customHeight="1">
      <c r="A788" s="106">
        <f>B78_Assessment!$B$2</f>
        <v>78</v>
      </c>
      <c r="B788" s="106" t="str">
        <f t="shared" si="78"/>
        <v>B78_Assessment</v>
      </c>
      <c r="C788" s="106" t="str">
        <f>B78_Assessment!$A$109</f>
        <v>B78-P008</v>
      </c>
      <c r="D788" s="142" t="str">
        <f>B78_Assessment!$B$109</f>
        <v>All</v>
      </c>
      <c r="E788" s="142" t="str">
        <f>B78_Assessment!$C$109</f>
        <v>Telecom / Security / HVAC</v>
      </c>
      <c r="F788" s="106" t="str">
        <f>B78_Assessment!$D$109</f>
        <v>Racks, Fiber LIU, Cat6A, patch panels, UPS/PDU, labels/test records, CCTV, PACS, HVAC units and existing transfer work</v>
      </c>
      <c r="G788" s="106">
        <f>B78_Assessment!$E$109</f>
        <v>0</v>
      </c>
      <c r="H788" s="106" t="str">
        <f>B78_Assessment!$F$109</f>
        <v>Paul</v>
      </c>
      <c r="I788" s="106">
        <f>B78_Assessment!$G$109</f>
        <v>0</v>
      </c>
      <c r="J788" s="106" t="str">
        <f>B78_Assessment!$H$109</f>
        <v>B78-R4/B78-R7/B78-R8</v>
      </c>
      <c r="K788" s="106" t="str">
        <f>B78_Assessment!$I$109</f>
        <v>Closed</v>
      </c>
      <c r="L788" s="106">
        <f>B78_Assessment!$J$109</f>
        <v>0</v>
      </c>
    </row>
    <row r="789" spans="1:12" ht="34.950000000000003" customHeight="1">
      <c r="A789" s="106" t="str">
        <f>B80_Assessment!$B$2</f>
        <v>80</v>
      </c>
      <c r="B789" s="106" t="str">
        <f t="shared" si="78"/>
        <v>B78_Assessment</v>
      </c>
      <c r="C789" s="106" t="str">
        <f>B80_Assessment!$A$67</f>
        <v>B80-P001</v>
      </c>
      <c r="D789" s="142" t="str">
        <f>B80_Assessment!$B$67</f>
        <v>102</v>
      </c>
      <c r="E789" s="142" t="str">
        <f>B80_Assessment!$C$67</f>
        <v>Existing Condition</v>
      </c>
      <c r="F789" s="106" t="str">
        <f>B80_Assessment!$D$67</f>
        <v>Room 102 walls, ceiling/deck, floor, door, rack/future rack, power, HVAC, fiber path A/B, cable tray and penetrations</v>
      </c>
      <c r="G789" s="106">
        <f>B80_Assessment!$E$67</f>
        <v>0</v>
      </c>
      <c r="H789" s="106" t="str">
        <f>B80_Assessment!$F$67</f>
        <v>Paul</v>
      </c>
      <c r="I789" s="106">
        <f>B80_Assessment!$G$67</f>
        <v>0</v>
      </c>
      <c r="J789" s="106" t="str">
        <f>B80_Assessment!$H$67</f>
        <v>B80-R1/B80-R4</v>
      </c>
      <c r="K789" s="106" t="str">
        <f>B80_Assessment!$I$67</f>
        <v>Closed</v>
      </c>
      <c r="L789" s="106">
        <f>B80_Assessment!$J$67</f>
        <v>0</v>
      </c>
    </row>
    <row r="790" spans="1:12" ht="40.65" customHeight="1">
      <c r="A790" s="106" t="str">
        <f>B80_Assessment!$B$2</f>
        <v>80</v>
      </c>
      <c r="B790" s="106" t="str">
        <f t="shared" si="78"/>
        <v>B78_Assessment</v>
      </c>
      <c r="C790" s="106" t="str">
        <f>B80_Assessment!$A$68</f>
        <v>B80-P002</v>
      </c>
      <c r="D790" s="142" t="str">
        <f>B80_Assessment!$B$68</f>
        <v>127A / 126</v>
      </c>
      <c r="E790" s="142" t="str">
        <f>B80_Assessment!$C$68</f>
        <v>Existing Condition</v>
      </c>
      <c r="F790" s="106" t="str">
        <f>B80_Assessment!$D$68</f>
        <v>Existing Tel Closet/telecom room with plywood backboard, ground bar, patch panel, equipment box, two-post rack/wall TE and cable entries</v>
      </c>
      <c r="G790" s="106">
        <f>B80_Assessment!$E$68</f>
        <v>0</v>
      </c>
      <c r="H790" s="106" t="str">
        <f>B80_Assessment!$F$68</f>
        <v>Paul</v>
      </c>
      <c r="I790" s="106">
        <f>B80_Assessment!$G$68</f>
        <v>0</v>
      </c>
      <c r="J790" s="106" t="str">
        <f>B80_Assessment!$H$68</f>
        <v>B80-R1/B80-R2</v>
      </c>
      <c r="K790" s="106" t="str">
        <f>B80_Assessment!$I$68</f>
        <v>Closed</v>
      </c>
      <c r="L790" s="106">
        <f>B80_Assessment!$J$68</f>
        <v>0</v>
      </c>
    </row>
    <row r="791" spans="1:12" ht="34.950000000000003" customHeight="1">
      <c r="A791" s="106" t="str">
        <f>B80_Assessment!$B$2</f>
        <v>80</v>
      </c>
      <c r="B791" s="106" t="str">
        <f t="shared" si="78"/>
        <v>B78_Assessment</v>
      </c>
      <c r="C791" s="106" t="str">
        <f>B80_Assessment!$A$69</f>
        <v>B80-P003</v>
      </c>
      <c r="D791" s="142" t="str">
        <f>B80_Assessment!$B$69</f>
        <v>127A / 126</v>
      </c>
      <c r="E791" s="142" t="str">
        <f>B80_Assessment!$C$69</f>
        <v>Existing Equipment</v>
      </c>
      <c r="F791" s="106" t="str">
        <f>B80_Assessment!$D$69</f>
        <v>Cisco switches, legacy Fiber LIU, Ortronics patch panels, Cat5e patch panel, APC floor UPS and active service labels</v>
      </c>
      <c r="G791" s="106">
        <f>B80_Assessment!$E$69</f>
        <v>0</v>
      </c>
      <c r="H791" s="106" t="str">
        <f>B80_Assessment!$F$69</f>
        <v>Paul</v>
      </c>
      <c r="I791" s="106">
        <f>B80_Assessment!$G$69</f>
        <v>0</v>
      </c>
      <c r="J791" s="106" t="str">
        <f>B80_Assessment!$H$69</f>
        <v>B80-R2/B80-R3</v>
      </c>
      <c r="K791" s="106" t="str">
        <f>B80_Assessment!$I$69</f>
        <v>Closed</v>
      </c>
      <c r="L791" s="106">
        <f>B80_Assessment!$J$69</f>
        <v>0</v>
      </c>
    </row>
    <row r="792" spans="1:12" ht="34.950000000000003" customHeight="1">
      <c r="A792" s="106" t="str">
        <f>B80_Assessment!$B$2</f>
        <v>80</v>
      </c>
      <c r="B792" s="106" t="str">
        <f t="shared" si="78"/>
        <v>B78_Assessment</v>
      </c>
      <c r="C792" s="106" t="str">
        <f>B80_Assessment!$A$70</f>
        <v>B80-P004</v>
      </c>
      <c r="D792" s="142" t="str">
        <f>B80_Assessment!$B$70</f>
        <v>102</v>
      </c>
      <c r="E792" s="142" t="str">
        <f>B80_Assessment!$C$70</f>
        <v>HVAC</v>
      </c>
      <c r="F792" s="106" t="str">
        <f>B80_Assessment!$D$70</f>
        <v>IU-1-01/CU-1-01, condensate, thermostat, BACnet adapter, disconnects, high-temp alarm and power source</v>
      </c>
      <c r="G792" s="106">
        <f>B80_Assessment!$E$70</f>
        <v>0</v>
      </c>
      <c r="H792" s="106" t="str">
        <f>B80_Assessment!$F$70</f>
        <v>Paul</v>
      </c>
      <c r="I792" s="106">
        <f>B80_Assessment!$G$70</f>
        <v>0</v>
      </c>
      <c r="J792" s="106" t="str">
        <f>B80_Assessment!$H$70</f>
        <v>B80-R4</v>
      </c>
      <c r="K792" s="106" t="str">
        <f>B80_Assessment!$I$70</f>
        <v>Closed</v>
      </c>
      <c r="L792" s="106">
        <f>B80_Assessment!$J$70</f>
        <v>0</v>
      </c>
    </row>
    <row r="793" spans="1:12" ht="34.950000000000003" customHeight="1">
      <c r="A793" s="106" t="str">
        <f>B80_Assessment!$B$2</f>
        <v>80</v>
      </c>
      <c r="B793" s="106" t="str">
        <f t="shared" si="78"/>
        <v>B78_Assessment</v>
      </c>
      <c r="C793" s="106" t="str">
        <f>B80_Assessment!$A$71</f>
        <v>B80-P005</v>
      </c>
      <c r="D793" s="142" t="str">
        <f>B80_Assessment!$B$71</f>
        <v>102</v>
      </c>
      <c r="E793" s="142" t="str">
        <f>B80_Assessment!$C$71</f>
        <v>Electrical</v>
      </c>
      <c r="F793" s="106" t="str">
        <f>B80_Assessment!$D$71</f>
        <v>B80-TR102A/B panels, rack receptacles, breakers, SPD, access controller, lighting, CU-1-01 and labels</v>
      </c>
      <c r="G793" s="106">
        <f>B80_Assessment!$E$71</f>
        <v>0</v>
      </c>
      <c r="H793" s="106" t="str">
        <f>B80_Assessment!$F$71</f>
        <v>Paul</v>
      </c>
      <c r="I793" s="106">
        <f>B80_Assessment!$G$71</f>
        <v>0</v>
      </c>
      <c r="J793" s="106" t="str">
        <f>B80_Assessment!$H$71</f>
        <v>B80-R5</v>
      </c>
      <c r="K793" s="106" t="str">
        <f>B80_Assessment!$I$71</f>
        <v>Closed</v>
      </c>
      <c r="L793" s="106">
        <f>B80_Assessment!$J$71</f>
        <v>0</v>
      </c>
    </row>
    <row r="794" spans="1:12" ht="40.65" customHeight="1">
      <c r="A794" s="106" t="str">
        <f>B80_Assessment!$B$2</f>
        <v>80</v>
      </c>
      <c r="B794" s="106" t="str">
        <f t="shared" ref="B794:B801" si="79">"B80_Assessment"</f>
        <v>B80_Assessment</v>
      </c>
      <c r="C794" s="106" t="str">
        <f>B80_Assessment!$A$72</f>
        <v>B80-P006</v>
      </c>
      <c r="D794" s="142" t="str">
        <f>B80_Assessment!$B$72</f>
        <v>All</v>
      </c>
      <c r="E794" s="142" t="str">
        <f>B80_Assessment!$C$72</f>
        <v>Cable Tray / Firestop</v>
      </c>
      <c r="F794" s="106" t="str">
        <f>B80_Assessment!$D$72</f>
        <v>Basement and first-level cable tray route, supports, seismic bracing, 40% fill, penetrations and before/after firestopping</v>
      </c>
      <c r="G794" s="106">
        <f>B80_Assessment!$E$72</f>
        <v>0</v>
      </c>
      <c r="H794" s="106" t="str">
        <f>B80_Assessment!$F$72</f>
        <v>Paul</v>
      </c>
      <c r="I794" s="106">
        <f>B80_Assessment!$G$72</f>
        <v>0</v>
      </c>
      <c r="J794" s="106" t="str">
        <f>B80_Assessment!$H$72</f>
        <v>B80-R6</v>
      </c>
      <c r="K794" s="106" t="str">
        <f>B80_Assessment!$I$72</f>
        <v>Closed</v>
      </c>
      <c r="L794" s="106">
        <f>B80_Assessment!$J$72</f>
        <v>0</v>
      </c>
    </row>
    <row r="795" spans="1:12" ht="29.1" customHeight="1">
      <c r="A795" s="106" t="str">
        <f>B80_Assessment!$B$2</f>
        <v>80</v>
      </c>
      <c r="B795" s="106" t="str">
        <f t="shared" si="79"/>
        <v>B80_Assessment</v>
      </c>
      <c r="C795" s="106" t="str">
        <f>B80_Assessment!$A$73</f>
        <v>B80-P007</v>
      </c>
      <c r="D795" s="142" t="str">
        <f>B80_Assessment!$B$73</f>
        <v>102 / 127A</v>
      </c>
      <c r="E795" s="142" t="str">
        <f>B80_Assessment!$C$73</f>
        <v>Telecom</v>
      </c>
      <c r="F795" s="106" t="str">
        <f>B80_Assessment!$D$73</f>
        <v>New rack/future rack, Fiber LIU, Cat6A, patch panels, labels/test records and existing rack transfer work</v>
      </c>
      <c r="G795" s="106">
        <f>B80_Assessment!$E$73</f>
        <v>0</v>
      </c>
      <c r="H795" s="106" t="str">
        <f>B80_Assessment!$F$73</f>
        <v>Paul</v>
      </c>
      <c r="I795" s="106">
        <f>B80_Assessment!$G$73</f>
        <v>0</v>
      </c>
      <c r="J795" s="106" t="str">
        <f>B80_Assessment!$H$73</f>
        <v>B80-R7</v>
      </c>
      <c r="K795" s="106" t="str">
        <f>B80_Assessment!$I$73</f>
        <v>Closed</v>
      </c>
      <c r="L795" s="106">
        <f>B80_Assessment!$J$73</f>
        <v>0</v>
      </c>
    </row>
    <row r="796" spans="1:12" ht="34.950000000000003" customHeight="1">
      <c r="A796" s="106" t="str">
        <f>B80_Assessment!$B$2</f>
        <v>80</v>
      </c>
      <c r="B796" s="106" t="str">
        <f t="shared" si="79"/>
        <v>B80_Assessment</v>
      </c>
      <c r="C796" s="106" t="str">
        <f>B80_Assessment!$A$74</f>
        <v>B80-P008</v>
      </c>
      <c r="D796" s="142" t="str">
        <f>B80_Assessment!$B$74</f>
        <v>102</v>
      </c>
      <c r="E796" s="142" t="str">
        <f>B80_Assessment!$C$74</f>
        <v>Security</v>
      </c>
      <c r="F796" s="106" t="str">
        <f>B80_Assessment!$D$74</f>
        <v>102-CAM-1, card reader, electric strike, door position, motion sensor, existing security devices and VMS/PACS integration</v>
      </c>
      <c r="G796" s="106">
        <f>B80_Assessment!$E$74</f>
        <v>0</v>
      </c>
      <c r="H796" s="106" t="str">
        <f>B80_Assessment!$F$74</f>
        <v>Paul</v>
      </c>
      <c r="I796" s="106">
        <f>B80_Assessment!$G$74</f>
        <v>0</v>
      </c>
      <c r="J796" s="106" t="str">
        <f>B80_Assessment!$H$74</f>
        <v>B80-R8</v>
      </c>
      <c r="K796" s="106" t="str">
        <f>B80_Assessment!$I$74</f>
        <v>Closed</v>
      </c>
      <c r="L796" s="106">
        <f>B80_Assessment!$J$74</f>
        <v>0</v>
      </c>
    </row>
    <row r="797" spans="1:12" ht="40.65" customHeight="1">
      <c r="A797" s="106" t="str">
        <f>B82_Assessment!$B$2</f>
        <v>82</v>
      </c>
      <c r="B797" s="106" t="str">
        <f t="shared" si="79"/>
        <v>B80_Assessment</v>
      </c>
      <c r="C797" s="106" t="str">
        <f>B82_Assessment!$A$67</f>
        <v>B82-P001</v>
      </c>
      <c r="D797" s="142" t="str">
        <f>B82_Assessment!$B$67</f>
        <v>102</v>
      </c>
      <c r="E797" s="142" t="str">
        <f>B82_Assessment!$C$67</f>
        <v>Existing Condition</v>
      </c>
      <c r="F797" s="106" t="str">
        <f>B82_Assessment!$D$67</f>
        <v>Room 102 wall location, wall backing, clearances, ceiling, power source, cable path, fiber path A/B and new TE enclosure location</v>
      </c>
      <c r="G797" s="106">
        <f>B82_Assessment!$E$67</f>
        <v>0</v>
      </c>
      <c r="H797" s="106" t="str">
        <f>B82_Assessment!$F$67</f>
        <v>Paul</v>
      </c>
      <c r="I797" s="106">
        <f>B82_Assessment!$G$67</f>
        <v>0</v>
      </c>
      <c r="J797" s="106" t="str">
        <f>B82_Assessment!$H$67</f>
        <v>B82-R1/B82-R3</v>
      </c>
      <c r="K797" s="106" t="str">
        <f>B82_Assessment!$I$67</f>
        <v>Closed</v>
      </c>
      <c r="L797" s="106">
        <f>B82_Assessment!$J$67</f>
        <v>0</v>
      </c>
    </row>
    <row r="798" spans="1:12" ht="46.35" customHeight="1">
      <c r="A798" s="106" t="str">
        <f>B82_Assessment!$B$2</f>
        <v>82</v>
      </c>
      <c r="B798" s="106" t="str">
        <f t="shared" si="79"/>
        <v>B80_Assessment</v>
      </c>
      <c r="C798" s="106" t="str">
        <f>B82_Assessment!$A$68</f>
        <v>B82-P002</v>
      </c>
      <c r="D798" s="142" t="str">
        <f>B82_Assessment!$B$68</f>
        <v>B01-A</v>
      </c>
      <c r="E798" s="142" t="str">
        <f>B82_Assessment!$C$68</f>
        <v>Existing Condition</v>
      </c>
      <c r="F798" s="106" t="str">
        <f>B82_Assessment!$D$68</f>
        <v>Existing first-level telecom room B01-A wall rack, Cisco switches, cable management, Ortronics patch panels, APC floor UPS and cable entries</v>
      </c>
      <c r="G798" s="106">
        <f>B82_Assessment!$E$68</f>
        <v>0</v>
      </c>
      <c r="H798" s="106" t="str">
        <f>B82_Assessment!$F$68</f>
        <v>Paul</v>
      </c>
      <c r="I798" s="106">
        <f>B82_Assessment!$G$68</f>
        <v>0</v>
      </c>
      <c r="J798" s="106" t="str">
        <f>B82_Assessment!$H$68</f>
        <v>B82-R1/B82-R2</v>
      </c>
      <c r="K798" s="106" t="str">
        <f>B82_Assessment!$I$68</f>
        <v>Closed</v>
      </c>
      <c r="L798" s="106">
        <f>B82_Assessment!$J$68</f>
        <v>0</v>
      </c>
    </row>
    <row r="799" spans="1:12" ht="40.65" customHeight="1">
      <c r="A799" s="106" t="str">
        <f>B82_Assessment!$B$2</f>
        <v>82</v>
      </c>
      <c r="B799" s="106" t="str">
        <f t="shared" si="79"/>
        <v>B80_Assessment</v>
      </c>
      <c r="C799" s="106" t="str">
        <f>B82_Assessment!$A$69</f>
        <v>B82-P003</v>
      </c>
      <c r="D799" s="142" t="str">
        <f>B82_Assessment!$B$69</f>
        <v>102 / B01-A</v>
      </c>
      <c r="E799" s="142" t="str">
        <f>B82_Assessment!$C$69</f>
        <v>Pathway</v>
      </c>
      <c r="F799" s="106" t="str">
        <f>B82_Assessment!$D$69</f>
        <v>278 ft first-level cable tray route, 4-inch sleeve, wall/floor penetrations, support points, light/HVAC conflicts and 40% fill concerns</v>
      </c>
      <c r="G799" s="106">
        <f>B82_Assessment!$E$69</f>
        <v>0</v>
      </c>
      <c r="H799" s="106" t="str">
        <f>B82_Assessment!$F$69</f>
        <v>Paul</v>
      </c>
      <c r="I799" s="106">
        <f>B82_Assessment!$G$69</f>
        <v>0</v>
      </c>
      <c r="J799" s="106" t="str">
        <f>B82_Assessment!$H$69</f>
        <v>B82-R6/B82-R7</v>
      </c>
      <c r="K799" s="106" t="str">
        <f>B82_Assessment!$I$69</f>
        <v>Closed</v>
      </c>
      <c r="L799" s="106">
        <f>B82_Assessment!$J$69</f>
        <v>0</v>
      </c>
    </row>
    <row r="800" spans="1:12" ht="40.65" customHeight="1">
      <c r="A800" s="106" t="str">
        <f>B82_Assessment!$B$2</f>
        <v>82</v>
      </c>
      <c r="B800" s="106" t="str">
        <f t="shared" si="79"/>
        <v>B80_Assessment</v>
      </c>
      <c r="C800" s="106" t="str">
        <f>B82_Assessment!$A$70</f>
        <v>B82-P004</v>
      </c>
      <c r="D800" s="142" t="str">
        <f>B82_Assessment!$B$70</f>
        <v>102</v>
      </c>
      <c r="E800" s="142" t="str">
        <f>B82_Assessment!$C$70</f>
        <v>HVAC</v>
      </c>
      <c r="F800" s="106" t="str">
        <f>B82_Assessment!$D$70</f>
        <v>IU-1-01/CU-1-01, condensate pump/path, thermostat, BACnet adapter, disconnects, high-temp alarm and power source</v>
      </c>
      <c r="G800" s="106">
        <f>B82_Assessment!$E$70</f>
        <v>0</v>
      </c>
      <c r="H800" s="106" t="str">
        <f>B82_Assessment!$F$70</f>
        <v>Paul</v>
      </c>
      <c r="I800" s="106">
        <f>B82_Assessment!$G$70</f>
        <v>0</v>
      </c>
      <c r="J800" s="106" t="str">
        <f>B82_Assessment!$H$70</f>
        <v>B82-R4</v>
      </c>
      <c r="K800" s="106" t="str">
        <f>B82_Assessment!$I$70</f>
        <v>Closed</v>
      </c>
      <c r="L800" s="106">
        <f>B82_Assessment!$J$70</f>
        <v>0</v>
      </c>
    </row>
    <row r="801" spans="1:12" ht="46.35" customHeight="1">
      <c r="A801" s="106" t="str">
        <f>B82_Assessment!$B$2</f>
        <v>82</v>
      </c>
      <c r="B801" s="106" t="str">
        <f t="shared" si="79"/>
        <v>B80_Assessment</v>
      </c>
      <c r="C801" s="106" t="str">
        <f>B82_Assessment!$A$71</f>
        <v>B82-P005</v>
      </c>
      <c r="D801" s="142" t="str">
        <f>B82_Assessment!$B$71</f>
        <v>102</v>
      </c>
      <c r="E801" s="142" t="str">
        <f>B82_Assessment!$C$71</f>
        <v>Electrical</v>
      </c>
      <c r="F801" s="106" t="str">
        <f>B82_Assessment!$D$71</f>
        <v>New TE enclosure UPS/PDU receptacles, circuit source, B82-MDP/B82-P-EMER connections, grounding/bonding, SPD, labels and access</v>
      </c>
      <c r="G801" s="106">
        <f>B82_Assessment!$E$71</f>
        <v>0</v>
      </c>
      <c r="H801" s="106" t="str">
        <f>B82_Assessment!$F$71</f>
        <v>Paul</v>
      </c>
      <c r="I801" s="106">
        <f>B82_Assessment!$G$71</f>
        <v>0</v>
      </c>
      <c r="J801" s="106" t="str">
        <f>B82_Assessment!$H$71</f>
        <v>B82-R5</v>
      </c>
      <c r="K801" s="106" t="str">
        <f>B82_Assessment!$I$71</f>
        <v>Closed</v>
      </c>
      <c r="L801" s="106">
        <f>B82_Assessment!$J$71</f>
        <v>0</v>
      </c>
    </row>
    <row r="802" spans="1:12" ht="46.35" customHeight="1">
      <c r="A802" s="106" t="str">
        <f>B82_Assessment!$B$2</f>
        <v>82</v>
      </c>
      <c r="B802" s="106" t="str">
        <f t="shared" ref="B802:B809" si="80">"B82_Assessment"</f>
        <v>B82_Assessment</v>
      </c>
      <c r="C802" s="106" t="str">
        <f>B82_Assessment!$A$72</f>
        <v>B82-P006</v>
      </c>
      <c r="D802" s="142" t="str">
        <f>B82_Assessment!$B$72</f>
        <v>102 / B01-A</v>
      </c>
      <c r="E802" s="142" t="str">
        <f>B82_Assessment!$C$72</f>
        <v>Telecom</v>
      </c>
      <c r="F802" s="106" t="str">
        <f>B82_Assessment!$D$72</f>
        <v>TR01-102-01 enclosure, cross-connect/cutover cabling, Fiber LIU, patch panels, labels, test results and existing equipment transfer</v>
      </c>
      <c r="G802" s="106">
        <f>B82_Assessment!$E$72</f>
        <v>0</v>
      </c>
      <c r="H802" s="106" t="str">
        <f>B82_Assessment!$F$72</f>
        <v>Paul</v>
      </c>
      <c r="I802" s="106">
        <f>B82_Assessment!$G$72</f>
        <v>0</v>
      </c>
      <c r="J802" s="106" t="str">
        <f>B82_Assessment!$H$72</f>
        <v>B82-R2/B82-R8</v>
      </c>
      <c r="K802" s="106" t="str">
        <f>B82_Assessment!$I$72</f>
        <v>Closed</v>
      </c>
      <c r="L802" s="106">
        <f>B82_Assessment!$J$72</f>
        <v>0</v>
      </c>
    </row>
    <row r="803" spans="1:12" ht="22.95" customHeight="1">
      <c r="A803" s="106" t="str">
        <f>B82_Assessment!$B$2</f>
        <v>82</v>
      </c>
      <c r="B803" s="106" t="str">
        <f t="shared" si="80"/>
        <v>B82_Assessment</v>
      </c>
      <c r="C803" s="106" t="str">
        <f>B82_Assessment!$A$73</f>
        <v>B82-P007</v>
      </c>
      <c r="D803" s="142" t="str">
        <f>B82_Assessment!$B$73</f>
        <v>All</v>
      </c>
      <c r="E803" s="142" t="str">
        <f>B82_Assessment!$C$73</f>
        <v>Firestop</v>
      </c>
      <c r="F803" s="106" t="str">
        <f>B82_Assessment!$D$73</f>
        <v>4-inch speed sleeve, wall/floor penetrations and fire caulk before/after photos</v>
      </c>
      <c r="G803" s="106">
        <f>B82_Assessment!$E$73</f>
        <v>0</v>
      </c>
      <c r="H803" s="106" t="str">
        <f>B82_Assessment!$F$73</f>
        <v>Paul</v>
      </c>
      <c r="I803" s="106">
        <f>B82_Assessment!$G$73</f>
        <v>0</v>
      </c>
      <c r="J803" s="106" t="str">
        <f>B82_Assessment!$H$73</f>
        <v>B82-R7</v>
      </c>
      <c r="K803" s="106" t="str">
        <f>B82_Assessment!$I$73</f>
        <v>Closed</v>
      </c>
      <c r="L803" s="106">
        <f>B82_Assessment!$J$73</f>
        <v>0</v>
      </c>
    </row>
    <row r="804" spans="1:12" ht="34.950000000000003" customHeight="1">
      <c r="A804" s="106" t="str">
        <f>B82_Assessment!$B$2</f>
        <v>82</v>
      </c>
      <c r="B804" s="106" t="str">
        <f t="shared" si="80"/>
        <v>B82_Assessment</v>
      </c>
      <c r="C804" s="106" t="str">
        <f>B82_Assessment!$A$74</f>
        <v>B82-P008</v>
      </c>
      <c r="D804" s="142" t="str">
        <f>B82_Assessment!$B$74</f>
        <v>All</v>
      </c>
      <c r="E804" s="142" t="str">
        <f>B82_Assessment!$C$74</f>
        <v>Security / Existing Devices</v>
      </c>
      <c r="F804" s="106" t="str">
        <f>B82_Assessment!$D$74</f>
        <v>Existing cameras/security devices to remain, protection-in-place and final operating condition</v>
      </c>
      <c r="G804" s="106">
        <f>B82_Assessment!$E$74</f>
        <v>0</v>
      </c>
      <c r="H804" s="106" t="str">
        <f>B82_Assessment!$F$74</f>
        <v>Paul</v>
      </c>
      <c r="I804" s="106">
        <f>B82_Assessment!$G$74</f>
        <v>0</v>
      </c>
      <c r="J804" s="106" t="str">
        <f>B82_Assessment!$H$74</f>
        <v>B82-R8</v>
      </c>
      <c r="K804" s="106" t="str">
        <f>B82_Assessment!$I$74</f>
        <v>Closed</v>
      </c>
      <c r="L804" s="106">
        <f>B82_Assessment!$J$74</f>
        <v>0</v>
      </c>
    </row>
    <row r="805" spans="1:12" ht="40.65" customHeight="1">
      <c r="A805" s="106" t="str">
        <f>BCH_Assessment!$B$2</f>
        <v>BCH</v>
      </c>
      <c r="B805" s="106" t="str">
        <f t="shared" si="80"/>
        <v>B82_Assessment</v>
      </c>
      <c r="C805" s="106" t="str">
        <f>BCH_Assessment!$A$67</f>
        <v>BCH-P001</v>
      </c>
      <c r="D805" s="142" t="str">
        <f>BCH_Assessment!$B$67</f>
        <v>107</v>
      </c>
      <c r="E805" s="142" t="str">
        <f>BCH_Assessment!$C$67</f>
        <v>Existing Condition</v>
      </c>
      <c r="F805" s="106" t="str">
        <f>BCH_Assessment!$D$67</f>
        <v>Room 107 walls, ceiling, floor, wall backing, clearances, existing devices, power source, cable path, and proposed TE/rack location</v>
      </c>
      <c r="G805" s="106">
        <f>BCH_Assessment!$E$67</f>
        <v>0</v>
      </c>
      <c r="H805" s="106" t="str">
        <f>BCH_Assessment!$F$67</f>
        <v>Paul</v>
      </c>
      <c r="I805" s="106">
        <f>BCH_Assessment!$G$67</f>
        <v>0</v>
      </c>
      <c r="J805" s="106" t="str">
        <f>BCH_Assessment!$H$67</f>
        <v>BCH-R1/BCH-R3</v>
      </c>
      <c r="K805" s="106" t="str">
        <f>BCH_Assessment!$I$67</f>
        <v>Closed</v>
      </c>
      <c r="L805" s="106">
        <f>BCH_Assessment!$J$67</f>
        <v>0</v>
      </c>
    </row>
    <row r="806" spans="1:12" ht="34.950000000000003" customHeight="1">
      <c r="A806" s="106" t="str">
        <f>BCH_Assessment!$B$2</f>
        <v>BCH</v>
      </c>
      <c r="B806" s="106" t="str">
        <f t="shared" si="80"/>
        <v>B82_Assessment</v>
      </c>
      <c r="C806" s="106" t="str">
        <f>BCH_Assessment!$A$68</f>
        <v>BCH-P002</v>
      </c>
      <c r="D806" s="142" t="str">
        <f>BCH_Assessment!$B$68</f>
        <v>107</v>
      </c>
      <c r="E806" s="142" t="str">
        <f>BCH_Assessment!$C$68</f>
        <v>Electrical</v>
      </c>
      <c r="F806" s="106" t="str">
        <f>BCH_Assessment!$D$68</f>
        <v>Panel/source, receptacles, UPS/PDU location, grounding/bonding bar, labels and access clearance</v>
      </c>
      <c r="G806" s="106">
        <f>BCH_Assessment!$E$68</f>
        <v>0</v>
      </c>
      <c r="H806" s="106" t="str">
        <f>BCH_Assessment!$F$68</f>
        <v>Paul</v>
      </c>
      <c r="I806" s="106">
        <f>BCH_Assessment!$G$68</f>
        <v>0</v>
      </c>
      <c r="J806" s="106" t="str">
        <f>BCH_Assessment!$H$68</f>
        <v>BCH-R5</v>
      </c>
      <c r="K806" s="106" t="str">
        <f>BCH_Assessment!$I$68</f>
        <v>Closed</v>
      </c>
      <c r="L806" s="106">
        <f>BCH_Assessment!$J$68</f>
        <v>0</v>
      </c>
    </row>
    <row r="807" spans="1:12" ht="34.950000000000003" customHeight="1">
      <c r="A807" s="106" t="str">
        <f>BCH_Assessment!$B$2</f>
        <v>BCH</v>
      </c>
      <c r="B807" s="106" t="str">
        <f t="shared" si="80"/>
        <v>B82_Assessment</v>
      </c>
      <c r="C807" s="106" t="str">
        <f>BCH_Assessment!$A$69</f>
        <v>BCH-P003</v>
      </c>
      <c r="D807" s="142" t="str">
        <f>BCH_Assessment!$B$69</f>
        <v>107</v>
      </c>
      <c r="E807" s="142" t="str">
        <f>BCH_Assessment!$C$69</f>
        <v>Telecom</v>
      </c>
      <c r="F807" s="106" t="str">
        <f>BCH_Assessment!$D$69</f>
        <v>12RU enclosure or rack location, Fiber LIU, patch panel, network switch, Cat6A terminations, labels and test records</v>
      </c>
      <c r="G807" s="106">
        <f>BCH_Assessment!$E$69</f>
        <v>0</v>
      </c>
      <c r="H807" s="106" t="str">
        <f>BCH_Assessment!$F$69</f>
        <v>Paul</v>
      </c>
      <c r="I807" s="106">
        <f>BCH_Assessment!$G$69</f>
        <v>0</v>
      </c>
      <c r="J807" s="106" t="str">
        <f>BCH_Assessment!$H$69</f>
        <v>BCH-R3/BCH-R8</v>
      </c>
      <c r="K807" s="106" t="str">
        <f>BCH_Assessment!$I$69</f>
        <v>Closed</v>
      </c>
      <c r="L807" s="106">
        <f>BCH_Assessment!$J$69</f>
        <v>0</v>
      </c>
    </row>
    <row r="808" spans="1:12" ht="29.1" customHeight="1">
      <c r="A808" s="106" t="str">
        <f>BCH_Assessment!$B$2</f>
        <v>BCH</v>
      </c>
      <c r="B808" s="106" t="str">
        <f t="shared" si="80"/>
        <v>B82_Assessment</v>
      </c>
      <c r="C808" s="106" t="str">
        <f>BCH_Assessment!$A$70</f>
        <v>BCH-P004</v>
      </c>
      <c r="D808" s="142" t="str">
        <f>BCH_Assessment!$B$70</f>
        <v>107</v>
      </c>
      <c r="E808" s="142" t="str">
        <f>BCH_Assessment!$C$70</f>
        <v>Pathway</v>
      </c>
      <c r="F808" s="106" t="str">
        <f>BCH_Assessment!$D$70</f>
        <v>Cable tray route, 4-inch sleeves, wall/floor penetrations, support points and 40% fill concerns</v>
      </c>
      <c r="G808" s="106">
        <f>BCH_Assessment!$E$70</f>
        <v>0</v>
      </c>
      <c r="H808" s="106" t="str">
        <f>BCH_Assessment!$F$70</f>
        <v>Paul</v>
      </c>
      <c r="I808" s="106">
        <f>BCH_Assessment!$G$70</f>
        <v>0</v>
      </c>
      <c r="J808" s="106" t="str">
        <f>BCH_Assessment!$H$70</f>
        <v>BCH-R6/BCH-R7</v>
      </c>
      <c r="K808" s="106" t="str">
        <f>BCH_Assessment!$I$70</f>
        <v>Closed</v>
      </c>
      <c r="L808" s="106">
        <f>BCH_Assessment!$J$70</f>
        <v>0</v>
      </c>
    </row>
    <row r="809" spans="1:12" ht="29.1" customHeight="1">
      <c r="A809" s="106" t="str">
        <f>BCH_Assessment!$B$2</f>
        <v>BCH</v>
      </c>
      <c r="B809" s="106" t="str">
        <f t="shared" si="80"/>
        <v>B82_Assessment</v>
      </c>
      <c r="C809" s="106" t="str">
        <f>BCH_Assessment!$A$71</f>
        <v>BCH-P005</v>
      </c>
      <c r="D809" s="142" t="str">
        <f>BCH_Assessment!$B$71</f>
        <v>107</v>
      </c>
      <c r="E809" s="142" t="str">
        <f>BCH_Assessment!$C$71</f>
        <v>Firestop</v>
      </c>
      <c r="F809" s="106" t="str">
        <f>BCH_Assessment!$D$71</f>
        <v>Rated penetrations, fire caulk and temporary/final firestopping before/after photos</v>
      </c>
      <c r="G809" s="106">
        <f>BCH_Assessment!$E$71</f>
        <v>0</v>
      </c>
      <c r="H809" s="106" t="str">
        <f>BCH_Assessment!$F$71</f>
        <v>Paul</v>
      </c>
      <c r="I809" s="106">
        <f>BCH_Assessment!$G$71</f>
        <v>0</v>
      </c>
      <c r="J809" s="106" t="str">
        <f>BCH_Assessment!$H$71</f>
        <v>BCH-R7</v>
      </c>
      <c r="K809" s="106" t="str">
        <f>BCH_Assessment!$I$71</f>
        <v>Closed</v>
      </c>
      <c r="L809" s="106">
        <f>BCH_Assessment!$J$71</f>
        <v>0</v>
      </c>
    </row>
    <row r="810" spans="1:12" ht="22.95" customHeight="1">
      <c r="A810" s="106" t="str">
        <f>BCH_Assessment!$B$2</f>
        <v>BCH</v>
      </c>
      <c r="B810" s="106" t="str">
        <f t="shared" ref="B810:B817" si="81">"BCH_Assessment"</f>
        <v>BCH_Assessment</v>
      </c>
      <c r="C810" s="106" t="str">
        <f>BCH_Assessment!$A$72</f>
        <v>BCH-P006</v>
      </c>
      <c r="D810" s="142" t="str">
        <f>BCH_Assessment!$B$72</f>
        <v>107</v>
      </c>
      <c r="E810" s="142" t="str">
        <f>BCH_Assessment!$C$72</f>
        <v>HVAC / Existing Environment</v>
      </c>
      <c r="F810" s="106" t="str">
        <f>BCH_Assessment!$D$72</f>
        <v>Existing room cooling/ventilation and ambient condition for TE equipment</v>
      </c>
      <c r="G810" s="106">
        <f>BCH_Assessment!$E$72</f>
        <v>0</v>
      </c>
      <c r="H810" s="106" t="str">
        <f>BCH_Assessment!$F$72</f>
        <v>Paul</v>
      </c>
      <c r="I810" s="106">
        <f>BCH_Assessment!$G$72</f>
        <v>0</v>
      </c>
      <c r="J810" s="106" t="str">
        <f>BCH_Assessment!$H$72</f>
        <v>BCH-R2/BCH-R5</v>
      </c>
      <c r="K810" s="106" t="str">
        <f>BCH_Assessment!$I$72</f>
        <v>Closed</v>
      </c>
      <c r="L810" s="106">
        <f>BCH_Assessment!$J$72</f>
        <v>0</v>
      </c>
    </row>
    <row r="811" spans="1:12" ht="34.950000000000003" customHeight="1">
      <c r="A811" s="106" t="str">
        <f>BCH_Assessment!$B$2</f>
        <v>BCH</v>
      </c>
      <c r="B811" s="106" t="str">
        <f t="shared" si="81"/>
        <v>BCH_Assessment</v>
      </c>
      <c r="C811" s="106" t="str">
        <f>BCH_Assessment!$A$73</f>
        <v>BCH-P007</v>
      </c>
      <c r="D811" s="142" t="str">
        <f>BCH_Assessment!$B$73</f>
        <v>107</v>
      </c>
      <c r="E811" s="142" t="str">
        <f>BCH_Assessment!$C$73</f>
        <v>Security / CCTV</v>
      </c>
      <c r="F811" s="106" t="str">
        <f>BCH_Assessment!$D$73</f>
        <v>Camera location, existing/security devices, VMS integration, access conditions and protection-in-place</v>
      </c>
      <c r="G811" s="106">
        <f>BCH_Assessment!$E$73</f>
        <v>0</v>
      </c>
      <c r="H811" s="106" t="str">
        <f>BCH_Assessment!$F$73</f>
        <v>Paul</v>
      </c>
      <c r="I811" s="106">
        <f>BCH_Assessment!$G$73</f>
        <v>0</v>
      </c>
      <c r="J811" s="106" t="str">
        <f>BCH_Assessment!$H$73</f>
        <v>BCH-R8</v>
      </c>
      <c r="K811" s="106" t="str">
        <f>BCH_Assessment!$I$73</f>
        <v>Closed</v>
      </c>
      <c r="L811" s="106">
        <f>BCH_Assessment!$J$73</f>
        <v>0</v>
      </c>
    </row>
    <row r="812" spans="1:12" ht="29.1" customHeight="1">
      <c r="A812" s="106" t="str">
        <f>BCH_Assessment!$B$2</f>
        <v>BCH</v>
      </c>
      <c r="B812" s="106" t="str">
        <f t="shared" si="81"/>
        <v>BCH_Assessment</v>
      </c>
      <c r="C812" s="106" t="str">
        <f>BCH_Assessment!$A$74</f>
        <v>BCH-P008</v>
      </c>
      <c r="D812" s="142" t="str">
        <f>BCH_Assessment!$B$74</f>
        <v>All</v>
      </c>
      <c r="E812" s="142" t="str">
        <f>BCH_Assessment!$C$74</f>
        <v>Off-site Coordination</v>
      </c>
      <c r="F812" s="106" t="str">
        <f>BCH_Assessment!$D$74</f>
        <v>Site access, staging, ICRA/dust control, work area barriers and temporary service conditions</v>
      </c>
      <c r="G812" s="106">
        <f>BCH_Assessment!$E$74</f>
        <v>0</v>
      </c>
      <c r="H812" s="106" t="str">
        <f>BCH_Assessment!$F$74</f>
        <v>Paul</v>
      </c>
      <c r="I812" s="106">
        <f>BCH_Assessment!$G$74</f>
        <v>0</v>
      </c>
      <c r="J812" s="106" t="str">
        <f>BCH_Assessment!$H$74</f>
        <v>BCH-R1/BCH-R4</v>
      </c>
      <c r="K812" s="106" t="str">
        <f>BCH_Assessment!$I$74</f>
        <v>Closed</v>
      </c>
      <c r="L812" s="106">
        <f>BCH_Assessment!$J$74</f>
        <v>0</v>
      </c>
    </row>
    <row r="813" spans="1:12" ht="34.950000000000003" customHeight="1">
      <c r="A813" s="106" t="str">
        <f>MCR_Assessment!$B$2</f>
        <v>MCR</v>
      </c>
      <c r="B813" s="106" t="str">
        <f t="shared" si="81"/>
        <v>BCH_Assessment</v>
      </c>
      <c r="C813" s="106" t="str">
        <f>MCR_Assessment!$A$90</f>
        <v>MCR-P001</v>
      </c>
      <c r="D813" s="142" t="str">
        <f>MCR_Assessment!$B$90</f>
        <v>MCR 107</v>
      </c>
      <c r="E813" s="142" t="str">
        <f>MCR_Assessment!$C$90</f>
        <v>Existing / New Condition</v>
      </c>
      <c r="F813" s="106" t="str">
        <f>MCR_Assessment!$D$90</f>
        <v>Full room envelope, doors, rated walls, ceiling/roof, floors, row layout, UPS-A/B, MDA/HDA, access points and cameras</v>
      </c>
      <c r="G813" s="106">
        <f>MCR_Assessment!$E$90</f>
        <v>0</v>
      </c>
      <c r="H813" s="106" t="str">
        <f>MCR_Assessment!$F$90</f>
        <v>Paul</v>
      </c>
      <c r="I813" s="106">
        <f>MCR_Assessment!$G$90</f>
        <v>0</v>
      </c>
      <c r="J813" s="106" t="str">
        <f>MCR_Assessment!$H$90</f>
        <v>MCR-R1/MCR-R6</v>
      </c>
      <c r="K813" s="106" t="str">
        <f>MCR_Assessment!$I$90</f>
        <v>Closed</v>
      </c>
      <c r="L813" s="106">
        <f>MCR_Assessment!$J$90</f>
        <v>0</v>
      </c>
    </row>
    <row r="814" spans="1:12" ht="40.65" customHeight="1">
      <c r="A814" s="106" t="str">
        <f>MCR_Assessment!$B$2</f>
        <v>MCR</v>
      </c>
      <c r="B814" s="106" t="str">
        <f t="shared" si="81"/>
        <v>BCH_Assessment</v>
      </c>
      <c r="C814" s="106" t="str">
        <f>MCR_Assessment!$A$91</f>
        <v>MCR-P002</v>
      </c>
      <c r="D814" s="142" t="str">
        <f>MCR_Assessment!$B$91</f>
        <v>031</v>
      </c>
      <c r="E814" s="142" t="str">
        <f>MCR_Assessment!$C$91</f>
        <v>Fiber Entrance</v>
      </c>
      <c r="F814" s="106" t="str">
        <f>MCR_Assessment!$D$91</f>
        <v>Fiber Entrance Room 1, outlet locations 31-A/B/C/D, rack/cabinet location, sleeve/firestop and service entrance pathways</v>
      </c>
      <c r="G814" s="106">
        <f>MCR_Assessment!$E$91</f>
        <v>0</v>
      </c>
      <c r="H814" s="106" t="str">
        <f>MCR_Assessment!$F$91</f>
        <v>Paul</v>
      </c>
      <c r="I814" s="106">
        <f>MCR_Assessment!$G$91</f>
        <v>0</v>
      </c>
      <c r="J814" s="106" t="str">
        <f>MCR_Assessment!$H$91</f>
        <v>MCR-R3</v>
      </c>
      <c r="K814" s="106" t="str">
        <f>MCR_Assessment!$I$91</f>
        <v>Closed</v>
      </c>
      <c r="L814" s="106">
        <f>MCR_Assessment!$J$91</f>
        <v>0</v>
      </c>
    </row>
    <row r="815" spans="1:12" ht="34.950000000000003" customHeight="1">
      <c r="A815" s="106" t="str">
        <f>MCR_Assessment!$B$2</f>
        <v>MCR</v>
      </c>
      <c r="B815" s="106" t="str">
        <f t="shared" si="81"/>
        <v>BCH_Assessment</v>
      </c>
      <c r="C815" s="106" t="str">
        <f>MCR_Assessment!$A$92</f>
        <v>MCR-P003</v>
      </c>
      <c r="D815" s="142" t="str">
        <f>MCR_Assessment!$B$92</f>
        <v>MDA-A/B</v>
      </c>
      <c r="E815" s="142" t="str">
        <f>MCR_Assessment!$C$92</f>
        <v>Rack / Fiber</v>
      </c>
      <c r="F815" s="106" t="str">
        <f>MCR_Assessment!$D$92</f>
        <v>MDA-A1/A2/A3 and MDA-B1/B2/B3 rack fronts/rears, LIUs, hybrid FOC, Cat6A to HDA, grounding and cable management</v>
      </c>
      <c r="G815" s="106">
        <f>MCR_Assessment!$E$92</f>
        <v>0</v>
      </c>
      <c r="H815" s="106" t="str">
        <f>MCR_Assessment!$F$92</f>
        <v>Paul</v>
      </c>
      <c r="I815" s="106">
        <f>MCR_Assessment!$G$92</f>
        <v>0</v>
      </c>
      <c r="J815" s="106" t="str">
        <f>MCR_Assessment!$H$92</f>
        <v>MCR-R3/MCR-R4</v>
      </c>
      <c r="K815" s="106" t="str">
        <f>MCR_Assessment!$I$92</f>
        <v>Closed</v>
      </c>
      <c r="L815" s="106">
        <f>MCR_Assessment!$J$92</f>
        <v>0</v>
      </c>
    </row>
    <row r="816" spans="1:12" ht="34.950000000000003" customHeight="1">
      <c r="A816" s="106" t="str">
        <f>MCR_Assessment!$B$2</f>
        <v>MCR</v>
      </c>
      <c r="B816" s="106" t="str">
        <f t="shared" si="81"/>
        <v>BCH_Assessment</v>
      </c>
      <c r="C816" s="106" t="str">
        <f>MCR_Assessment!$A$93</f>
        <v>MCR-P004</v>
      </c>
      <c r="D816" s="142" t="str">
        <f>MCR_Assessment!$B$93</f>
        <v>HDA-A/B</v>
      </c>
      <c r="E816" s="142" t="str">
        <f>MCR_Assessment!$C$93</f>
        <v>Rack / Server Cabinets</v>
      </c>
      <c r="F816" s="106" t="str">
        <f>MCR_Assessment!$D$93</f>
        <v>HDA-A1/HDA-B1 front/rear, patch panels, HD LIUs, cabinet blanking panels, server cabinet airflow and labels</v>
      </c>
      <c r="G816" s="106">
        <f>MCR_Assessment!$E$93</f>
        <v>0</v>
      </c>
      <c r="H816" s="106" t="str">
        <f>MCR_Assessment!$F$93</f>
        <v>Paul</v>
      </c>
      <c r="I816" s="106">
        <f>MCR_Assessment!$G$93</f>
        <v>0</v>
      </c>
      <c r="J816" s="106" t="str">
        <f>MCR_Assessment!$H$93</f>
        <v>MCR-R3/MCR-R5</v>
      </c>
      <c r="K816" s="106" t="str">
        <f>MCR_Assessment!$I$93</f>
        <v>Closed</v>
      </c>
      <c r="L816" s="106">
        <f>MCR_Assessment!$J$93</f>
        <v>0</v>
      </c>
    </row>
    <row r="817" spans="1:12" ht="40.65" customHeight="1">
      <c r="A817" s="106" t="str">
        <f>MCR_Assessment!$B$2</f>
        <v>MCR</v>
      </c>
      <c r="B817" s="106" t="str">
        <f t="shared" si="81"/>
        <v>BCH_Assessment</v>
      </c>
      <c r="C817" s="106" t="str">
        <f>MCR_Assessment!$A$94</f>
        <v>MCR-P005</v>
      </c>
      <c r="D817" s="142" t="str">
        <f>MCR_Assessment!$B$94</f>
        <v>Existing 107/137</v>
      </c>
      <c r="E817" s="142" t="str">
        <f>MCR_Assessment!$C$94</f>
        <v>Existing Equipment</v>
      </c>
      <c r="F817" s="106" t="str">
        <f>MCR_Assessment!$D$94</f>
        <v>Existing rows 1-3 and B61 server cabinet transfer equipment, Cisco core, WAN aggregation, NetScout, Canoga, Ortronics, LIUs, UPS/PDU labels</v>
      </c>
      <c r="G817" s="106">
        <f>MCR_Assessment!$E$94</f>
        <v>0</v>
      </c>
      <c r="H817" s="106" t="str">
        <f>MCR_Assessment!$F$94</f>
        <v>Paul</v>
      </c>
      <c r="I817" s="106">
        <f>MCR_Assessment!$G$94</f>
        <v>0</v>
      </c>
      <c r="J817" s="106" t="str">
        <f>MCR_Assessment!$H$94</f>
        <v>MCR-R2</v>
      </c>
      <c r="K817" s="106" t="str">
        <f>MCR_Assessment!$I$94</f>
        <v>Closed</v>
      </c>
      <c r="L817" s="106">
        <f>MCR_Assessment!$J$94</f>
        <v>0</v>
      </c>
    </row>
    <row r="818" spans="1:12" ht="46.35" customHeight="1">
      <c r="A818" s="106" t="str">
        <f>MCR_Assessment!$B$2</f>
        <v>MCR</v>
      </c>
      <c r="B818" s="106" t="str">
        <f t="shared" ref="B818:B825" si="82">"MCR_Assessment"</f>
        <v>MCR_Assessment</v>
      </c>
      <c r="C818" s="106" t="str">
        <f>MCR_Assessment!$A$95</f>
        <v>MCR-P006</v>
      </c>
      <c r="D818" s="142" t="str">
        <f>MCR_Assessment!$B$95</f>
        <v>MCR / Electrical</v>
      </c>
      <c r="E818" s="142" t="str">
        <f>MCR_Assessment!$C$95</f>
        <v>Electrical / UPS</v>
      </c>
      <c r="F818" s="106" t="str">
        <f>MCR_Assessment!$D$95</f>
        <v>UPS-A/B, switchboards, panels, ATS, generator tie, PDUs, rack receptacles, grounding, SPDs and load measurement labels</v>
      </c>
      <c r="G818" s="106">
        <f>MCR_Assessment!$E$95</f>
        <v>0</v>
      </c>
      <c r="H818" s="106" t="str">
        <f>MCR_Assessment!$F$95</f>
        <v>Paul</v>
      </c>
      <c r="I818" s="106">
        <f>MCR_Assessment!$G$95</f>
        <v>0</v>
      </c>
      <c r="J818" s="106" t="str">
        <f>MCR_Assessment!$H$95</f>
        <v>MCR-R4</v>
      </c>
      <c r="K818" s="106" t="str">
        <f>MCR_Assessment!$I$95</f>
        <v>Closed</v>
      </c>
      <c r="L818" s="106">
        <f>MCR_Assessment!$J$95</f>
        <v>0</v>
      </c>
    </row>
    <row r="819" spans="1:12" ht="46.35" customHeight="1">
      <c r="A819" s="106" t="str">
        <f>MCR_Assessment!$B$2</f>
        <v>MCR</v>
      </c>
      <c r="B819" s="106" t="str">
        <f t="shared" si="82"/>
        <v>MCR_Assessment</v>
      </c>
      <c r="C819" s="106" t="str">
        <f>MCR_Assessment!$A$96</f>
        <v>MCR-P007</v>
      </c>
      <c r="D819" s="142" t="str">
        <f>MCR_Assessment!$B$96</f>
        <v>MCR / Mechanical</v>
      </c>
      <c r="E819" s="142" t="str">
        <f>MCR_Assessment!$C$96</f>
        <v>HVAC / Controls</v>
      </c>
      <c r="F819" s="106" t="str">
        <f>MCR_Assessment!$D$96</f>
        <v>CRAC units, condensate, controls/BACnet/BMS/FMS points, alarms, environmental monitoring and emergency power source</v>
      </c>
      <c r="G819" s="106">
        <f>MCR_Assessment!$E$96</f>
        <v>0</v>
      </c>
      <c r="H819" s="106" t="str">
        <f>MCR_Assessment!$F$96</f>
        <v>Paul</v>
      </c>
      <c r="I819" s="106">
        <f>MCR_Assessment!$G$96</f>
        <v>0</v>
      </c>
      <c r="J819" s="106" t="str">
        <f>MCR_Assessment!$H$96</f>
        <v>MCR-R5</v>
      </c>
      <c r="K819" s="106" t="str">
        <f>MCR_Assessment!$I$96</f>
        <v>Closed</v>
      </c>
      <c r="L819" s="106">
        <f>MCR_Assessment!$J$96</f>
        <v>0</v>
      </c>
    </row>
    <row r="820" spans="1:12" ht="52.2" customHeight="1">
      <c r="A820" s="106" t="str">
        <f>MCR_Assessment!$B$2</f>
        <v>MCR</v>
      </c>
      <c r="B820" s="106" t="str">
        <f t="shared" si="82"/>
        <v>MCR_Assessment</v>
      </c>
      <c r="C820" s="106" t="str">
        <f>MCR_Assessment!$A$97</f>
        <v>MCR-P008</v>
      </c>
      <c r="D820" s="142" t="str">
        <f>MCR_Assessment!$B$97</f>
        <v>MCR / Life Safety</v>
      </c>
      <c r="E820" s="142" t="str">
        <f>MCR_Assessment!$C$97</f>
        <v>Fire / Security</v>
      </c>
      <c r="F820" s="106" t="str">
        <f>MCR_Assessment!$D$97</f>
        <v>Clean-agent cylinders/piping/nozzles, preaction/sprinkler, fire alarm, release/abort devices, cameras 07-CAM series, PACS/controller and door hardware</v>
      </c>
      <c r="G820" s="106">
        <f>MCR_Assessment!$E$97</f>
        <v>0</v>
      </c>
      <c r="H820" s="106" t="str">
        <f>MCR_Assessment!$F$97</f>
        <v>Paul</v>
      </c>
      <c r="I820" s="106">
        <f>MCR_Assessment!$G$97</f>
        <v>0</v>
      </c>
      <c r="J820" s="106" t="str">
        <f>MCR_Assessment!$H$97</f>
        <v>MCR-R6/MCR-R8</v>
      </c>
      <c r="K820" s="106" t="str">
        <f>MCR_Assessment!$I$97</f>
        <v>Closed</v>
      </c>
      <c r="L820" s="106">
        <f>MCR_Assessment!$J$97</f>
        <v>0</v>
      </c>
    </row>
    <row r="821" spans="1:12" ht="40.65" customHeight="1">
      <c r="A821" s="106" t="str">
        <f>SITE_Assesment!$B$2</f>
        <v>SITE</v>
      </c>
      <c r="B821" s="106" t="str">
        <f t="shared" si="82"/>
        <v>MCR_Assessment</v>
      </c>
      <c r="C821" s="106" t="str">
        <f>SITE_Assesment!$A$88</f>
        <v>SITE-P001</v>
      </c>
      <c r="D821" s="142" t="str">
        <f>SITE_Assesment!$B$88</f>
        <v>Overall Site</v>
      </c>
      <c r="E821" s="142" t="str">
        <f>SITE_Assesment!$C$88</f>
        <v>Existing Conditions</v>
      </c>
      <c r="F821" s="106" t="str">
        <f>SITE_Assesment!$D$88</f>
        <v>Campus-wide route photos before excavation, including pavement, sidewalks, landscaping, parking, fire lanes and building entry areas</v>
      </c>
      <c r="G821" s="106">
        <f>SITE_Assesment!$E$88</f>
        <v>0</v>
      </c>
      <c r="H821" s="106">
        <f>SITE_Assesment!$F$88</f>
        <v>0</v>
      </c>
      <c r="I821" s="106">
        <f>SITE_Assesment!$G$88</f>
        <v>0</v>
      </c>
      <c r="J821" s="106" t="str">
        <f>SITE_Assesment!$H$88</f>
        <v>SITE-R1/SITE-R5</v>
      </c>
      <c r="K821" s="106" t="str">
        <f>SITE_Assesment!$I$88</f>
        <v>Closed</v>
      </c>
      <c r="L821" s="106">
        <f>SITE_Assesment!$J$88</f>
        <v>0</v>
      </c>
    </row>
    <row r="822" spans="1:12" ht="34.950000000000003" customHeight="1">
      <c r="A822" s="106" t="str">
        <f>SITE_Assesment!$B$2</f>
        <v>SITE</v>
      </c>
      <c r="B822" s="106" t="str">
        <f t="shared" si="82"/>
        <v>MCR_Assessment</v>
      </c>
      <c r="C822" s="106" t="str">
        <f>SITE_Assesment!$A$89</f>
        <v>SITE-P002</v>
      </c>
      <c r="D822" s="142" t="str">
        <f>SITE_Assesment!$B$89</f>
        <v>THH #1-#19</v>
      </c>
      <c r="E822" s="142" t="str">
        <f>SITE_Assesment!$C$89</f>
        <v>Structures</v>
      </c>
      <c r="F822" s="106" t="str">
        <f>SITE_Assesment!$D$89</f>
        <v>Each handhole/manhole/pullbox location, cover, label, depth, drainage, conduit entry, and final installed condition</v>
      </c>
      <c r="G822" s="106">
        <f>SITE_Assesment!$E$89</f>
        <v>0</v>
      </c>
      <c r="H822" s="106">
        <f>SITE_Assesment!$F$89</f>
        <v>0</v>
      </c>
      <c r="I822" s="106">
        <f>SITE_Assesment!$G$89</f>
        <v>0</v>
      </c>
      <c r="J822" s="106" t="str">
        <f>SITE_Assesment!$H$89</f>
        <v>SITE-R2/SITE-R8</v>
      </c>
      <c r="K822" s="106" t="str">
        <f>SITE_Assesment!$I$89</f>
        <v>Closed</v>
      </c>
      <c r="L822" s="106">
        <f>SITE_Assesment!$J$89</f>
        <v>0</v>
      </c>
    </row>
    <row r="823" spans="1:12" ht="46.35" customHeight="1">
      <c r="A823" s="106" t="str">
        <f>SITE_Assesment!$B$2</f>
        <v>SITE</v>
      </c>
      <c r="B823" s="106" t="str">
        <f t="shared" si="82"/>
        <v>MCR_Assessment</v>
      </c>
      <c r="C823" s="106" t="str">
        <f>SITE_Assesment!$A$90</f>
        <v>SITE-P003</v>
      </c>
      <c r="D823" s="142" t="str">
        <f>SITE_Assesment!$B$90</f>
        <v>Ductbank</v>
      </c>
      <c r="E823" s="142" t="str">
        <f>SITE_Assesment!$C$90</f>
        <v>Pre-pour Inspection</v>
      </c>
      <c r="F823" s="106" t="str">
        <f>SITE_Assesment!$D$90</f>
        <v>Conduit count, separation, supports/spacers, depth, utility crossings, warning tape, pull strings and concrete encasement before pour</v>
      </c>
      <c r="G823" s="106">
        <f>SITE_Assesment!$E$90</f>
        <v>0</v>
      </c>
      <c r="H823" s="106">
        <f>SITE_Assesment!$F$90</f>
        <v>0</v>
      </c>
      <c r="I823" s="106">
        <f>SITE_Assesment!$G$90</f>
        <v>0</v>
      </c>
      <c r="J823" s="106" t="str">
        <f>SITE_Assesment!$H$90</f>
        <v>SITE-R1/SITE-R3</v>
      </c>
      <c r="K823" s="106" t="str">
        <f>SITE_Assesment!$I$90</f>
        <v>Closed</v>
      </c>
      <c r="L823" s="106">
        <f>SITE_Assesment!$J$90</f>
        <v>0</v>
      </c>
    </row>
    <row r="824" spans="1:12" ht="40.65" customHeight="1">
      <c r="A824" s="106" t="str">
        <f>SITE_Assesment!$B$2</f>
        <v>SITE</v>
      </c>
      <c r="B824" s="106" t="str">
        <f t="shared" si="82"/>
        <v>MCR_Assessment</v>
      </c>
      <c r="C824" s="106" t="str">
        <f>SITE_Assesment!$A$91</f>
        <v>SITE-P004</v>
      </c>
      <c r="D824" s="142" t="str">
        <f>SITE_Assesment!$B$91</f>
        <v>Utility Crossings</v>
      </c>
      <c r="E824" s="142" t="str">
        <f>SITE_Assesment!$C$91</f>
        <v>Existing Utilities</v>
      </c>
      <c r="F824" s="106" t="str">
        <f>SITE_Assesment!$D$91</f>
        <v>Potholing/hand-dig photos showing electric, storm, sanitary, water, gas/unknown utilities and clearance to new ductbank</v>
      </c>
      <c r="G824" s="106">
        <f>SITE_Assesment!$E$91</f>
        <v>0</v>
      </c>
      <c r="H824" s="106">
        <f>SITE_Assesment!$F$91</f>
        <v>0</v>
      </c>
      <c r="I824" s="106">
        <f>SITE_Assesment!$G$91</f>
        <v>0</v>
      </c>
      <c r="J824" s="106" t="str">
        <f>SITE_Assesment!$H$91</f>
        <v>SITE-R1</v>
      </c>
      <c r="K824" s="106" t="str">
        <f>SITE_Assesment!$I$91</f>
        <v>Closed</v>
      </c>
      <c r="L824" s="106">
        <f>SITE_Assesment!$J$91</f>
        <v>0</v>
      </c>
    </row>
    <row r="825" spans="1:12" ht="34.950000000000003" customHeight="1">
      <c r="A825" s="106" t="str">
        <f>SITE_Assesment!$B$2</f>
        <v>SITE</v>
      </c>
      <c r="B825" s="106" t="str">
        <f t="shared" si="82"/>
        <v>MCR_Assessment</v>
      </c>
      <c r="C825" s="106" t="str">
        <f>SITE_Assesment!$A$92</f>
        <v>SITE-P005</v>
      </c>
      <c r="D825" s="142" t="str">
        <f>SITE_Assesment!$B$92</f>
        <v>Building Tie-ins</v>
      </c>
      <c r="E825" s="142" t="str">
        <f>SITE_Assesment!$C$92</f>
        <v>Penetrations / Firestop</v>
      </c>
      <c r="F825" s="106" t="str">
        <f>SITE_Assesment!$D$92</f>
        <v>Exterior entry points, wall/floor penetrations, sleeves, firestop, weatherproofing and interior continuation to building TR/TE</v>
      </c>
      <c r="G825" s="106">
        <f>SITE_Assesment!$E$92</f>
        <v>0</v>
      </c>
      <c r="H825" s="106">
        <f>SITE_Assesment!$F$92</f>
        <v>0</v>
      </c>
      <c r="I825" s="106">
        <f>SITE_Assesment!$G$92</f>
        <v>0</v>
      </c>
      <c r="J825" s="106" t="str">
        <f>SITE_Assesment!$H$92</f>
        <v>SITE-R6</v>
      </c>
      <c r="K825" s="106" t="str">
        <f>SITE_Assesment!$I$92</f>
        <v>Closed</v>
      </c>
      <c r="L825" s="106">
        <f>SITE_Assesment!$J$92</f>
        <v>0</v>
      </c>
    </row>
    <row r="826" spans="1:12" ht="40.65" customHeight="1">
      <c r="A826" s="106" t="str">
        <f>SITE_Assesment!$B$2</f>
        <v>SITE</v>
      </c>
      <c r="B826" s="106" t="str">
        <f>"SITE_Assesment"</f>
        <v>SITE_Assesment</v>
      </c>
      <c r="C826" s="106" t="str">
        <f>SITE_Assesment!$A$93</f>
        <v>SITE-P006</v>
      </c>
      <c r="D826" s="106" t="str">
        <f>SITE_Assesment!$B$93</f>
        <v>Fiber Pull / Testing</v>
      </c>
      <c r="E826" s="106" t="str">
        <f>SITE_Assesment!$C$93</f>
        <v>Telecom</v>
      </c>
      <c r="F826" s="106" t="str">
        <f>SITE_Assesment!$D$93</f>
        <v>Fiber reels, pull setup, mandrel/rope, splice/termination points, labels, OTDR/power meter screenshots and OIT acceptance</v>
      </c>
      <c r="G826" s="106">
        <f>SITE_Assesment!$E$93</f>
        <v>0</v>
      </c>
      <c r="H826" s="106">
        <f>SITE_Assesment!$F$93</f>
        <v>0</v>
      </c>
      <c r="I826" s="106">
        <f>SITE_Assesment!$G$93</f>
        <v>0</v>
      </c>
      <c r="J826" s="106" t="str">
        <f>SITE_Assesment!$H$93</f>
        <v>SITE-R8</v>
      </c>
      <c r="K826" s="106" t="str">
        <f>SITE_Assesment!$I$93</f>
        <v>Closed</v>
      </c>
      <c r="L826" s="106">
        <f>SITE_Assesment!$J$93</f>
        <v>0</v>
      </c>
    </row>
    <row r="827" spans="1:12" ht="40.65" customHeight="1">
      <c r="A827" s="106" t="str">
        <f>SITE_Assesment!$B$2</f>
        <v>SITE</v>
      </c>
      <c r="B827" s="106" t="str">
        <f>"SITE_Assesment"</f>
        <v>SITE_Assesment</v>
      </c>
      <c r="C827" s="106" t="str">
        <f>SITE_Assesment!$A$94</f>
        <v>SITE-P007</v>
      </c>
      <c r="D827" s="106" t="str">
        <f>SITE_Assesment!$B$94</f>
        <v>Restoration</v>
      </c>
      <c r="E827" s="106" t="str">
        <f>SITE_Assesment!$C$94</f>
        <v>Civil</v>
      </c>
      <c r="F827" s="106" t="str">
        <f>SITE_Assesment!$D$94</f>
        <v>Asphalt/concrete trench patches, sidewalk panels, landscaping, turf, drainage, curb/edge details and final cleanup</v>
      </c>
      <c r="G827" s="106">
        <f>SITE_Assesment!$E$94</f>
        <v>0</v>
      </c>
      <c r="H827" s="106">
        <f>SITE_Assesment!$F$94</f>
        <v>0</v>
      </c>
      <c r="I827" s="106">
        <f>SITE_Assesment!$G$94</f>
        <v>0</v>
      </c>
      <c r="J827" s="106" t="str">
        <f>SITE_Assesment!$H$94</f>
        <v>SITE-R5/SITE-R7</v>
      </c>
      <c r="K827" s="106" t="str">
        <f>SITE_Assesment!$I$94</f>
        <v>Closed</v>
      </c>
      <c r="L827" s="106">
        <f>SITE_Assesment!$J$94</f>
        <v>0</v>
      </c>
    </row>
    <row r="828" spans="1:12" ht="34.950000000000003" customHeight="1">
      <c r="A828" s="106" t="str">
        <f>SITE_Assesment!$B$2</f>
        <v>SITE</v>
      </c>
      <c r="B828" s="106" t="str">
        <f>"SITE_Assesment"</f>
        <v>SITE_Assesment</v>
      </c>
      <c r="C828" s="106" t="str">
        <f>SITE_Assesment!$A$95</f>
        <v>SITE-P008</v>
      </c>
      <c r="D828" s="106" t="str">
        <f>SITE_Assesment!$B$95</f>
        <v>MCR / Provider Entrance</v>
      </c>
      <c r="E828" s="106" t="str">
        <f>SITE_Assesment!$C$95</f>
        <v>Critical Cutover</v>
      </c>
      <c r="F828" s="106" t="str">
        <f>SITE_Assesment!$D$95</f>
        <v>Provider handoff, WAN fiber route, temporary fiber, Path A/B into MCR and activation/cutover coordination photos</v>
      </c>
      <c r="G828" s="106">
        <f>SITE_Assesment!$E$95</f>
        <v>0</v>
      </c>
      <c r="H828" s="106">
        <f>SITE_Assesment!$F$95</f>
        <v>0</v>
      </c>
      <c r="I828" s="106">
        <f>SITE_Assesment!$G$95</f>
        <v>0</v>
      </c>
      <c r="J828" s="106" t="str">
        <f>SITE_Assesment!$H$95</f>
        <v>SITE-R4/SITE-R8</v>
      </c>
      <c r="K828" s="106" t="str">
        <f>SITE_Assesment!$I$95</f>
        <v>Closed</v>
      </c>
      <c r="L828" s="106">
        <f>SITE_Assesment!$J$95</f>
        <v>0</v>
      </c>
    </row>
    <row r="829" spans="1:12" ht="7.35" customHeight="1">
      <c r="A829" s="19"/>
      <c r="D829" s="144"/>
      <c r="E829" s="144"/>
      <c r="F829" s="19"/>
      <c r="G829" s="19"/>
      <c r="H829" s="19"/>
      <c r="I829" s="19"/>
      <c r="J829" s="19"/>
      <c r="K829" s="19"/>
      <c r="L829" s="19"/>
    </row>
    <row r="830" spans="1:12" ht="7.35" customHeight="1">
      <c r="A830" s="146"/>
      <c r="B830" s="146"/>
      <c r="C830" s="146"/>
      <c r="D830" s="147"/>
      <c r="E830" s="147"/>
      <c r="F830" s="146"/>
      <c r="G830" s="146"/>
      <c r="H830" s="146"/>
      <c r="I830" s="146"/>
      <c r="J830" s="146"/>
      <c r="K830" s="146"/>
      <c r="L830" s="146"/>
    </row>
    <row r="831" spans="1:12" ht="7.35" customHeight="1">
      <c r="A831" s="106"/>
      <c r="B831" s="106"/>
      <c r="C831" s="106"/>
      <c r="D831" s="142"/>
      <c r="E831" s="142"/>
      <c r="F831" s="106"/>
      <c r="G831" s="106"/>
      <c r="H831" s="106"/>
      <c r="I831" s="106"/>
      <c r="J831" s="106"/>
      <c r="K831" s="106"/>
      <c r="L831" s="106"/>
    </row>
    <row r="832" spans="1:12" ht="49.2" customHeight="1">
      <c r="A832" s="19" t="s">
        <v>894</v>
      </c>
      <c r="B832" s="19"/>
      <c r="C832" s="19"/>
      <c r="D832" s="144"/>
      <c r="E832" s="144"/>
      <c r="F832" s="19"/>
      <c r="G832" s="19"/>
      <c r="H832" s="19"/>
      <c r="I832" s="19"/>
      <c r="J832" s="19"/>
      <c r="K832" s="19"/>
      <c r="L832" s="19"/>
    </row>
    <row r="833" spans="1:12" ht="13.35" customHeight="1">
      <c r="A833" s="146" t="s">
        <v>142</v>
      </c>
      <c r="B833" s="146" t="s">
        <v>173</v>
      </c>
      <c r="C833" s="146" t="s">
        <v>275</v>
      </c>
      <c r="D833" s="147" t="s">
        <v>895</v>
      </c>
      <c r="E833" s="147" t="s">
        <v>896</v>
      </c>
      <c r="F833" s="146" t="s">
        <v>148</v>
      </c>
      <c r="G833" s="146" t="s">
        <v>153</v>
      </c>
      <c r="H833" s="146" t="s">
        <v>155</v>
      </c>
      <c r="I833" s="146" t="s">
        <v>491</v>
      </c>
      <c r="J833" s="146" t="s">
        <v>897</v>
      </c>
      <c r="K833" s="146" t="s">
        <v>174</v>
      </c>
      <c r="L833" s="146" t="s">
        <v>11</v>
      </c>
    </row>
    <row r="834" spans="1:12" ht="52.2" customHeight="1">
      <c r="A834" s="106" t="str">
        <f>B01_Assessment!$B$2</f>
        <v>01</v>
      </c>
      <c r="B834" s="106" t="str">
        <f>"B01_Assessment"</f>
        <v>B01_Assessment</v>
      </c>
      <c r="C834" s="106" t="str">
        <f>B01_Assessment!$A$92</f>
        <v>107</v>
      </c>
      <c r="D834" s="142">
        <f>B01_Assessment!$B$92</f>
        <v>0.5</v>
      </c>
      <c r="E834" s="142">
        <f>B01_Assessment!$C$92</f>
        <v>0.5</v>
      </c>
      <c r="F834" s="106">
        <f>B01_Assessment!$D$92</f>
        <v>0.5</v>
      </c>
      <c r="G834" s="106">
        <f>B01_Assessment!$E$92</f>
        <v>0.5</v>
      </c>
      <c r="H834" s="106">
        <f>B01_Assessment!$F$92</f>
        <v>0.5</v>
      </c>
      <c r="I834" s="106" t="str">
        <f>B01_Assessment!$G$92</f>
        <v>Verify</v>
      </c>
      <c r="J834" s="106">
        <f>B01_Assessment!$H$92</f>
        <v>0.5</v>
      </c>
      <c r="K834" s="106" t="str">
        <f>B01_Assessment!$I$92</f>
        <v>Partial / Green</v>
      </c>
      <c r="L834" s="106" t="str">
        <f>B01_Assessment!$J$92</f>
        <v>New first-level TR with 161 total ports including allowance, dedicated cooling, UPS/PDU, B01-TR107A/B panels, cable tray, PACS/CCTV and fire/life-safety scope.</v>
      </c>
    </row>
    <row r="835" spans="1:12" ht="34.950000000000003" customHeight="1">
      <c r="A835" s="106" t="str">
        <f>B01_Assessment!$B$2</f>
        <v>01</v>
      </c>
      <c r="B835" s="106" t="str">
        <f>"B01_Assessment"</f>
        <v>B01_Assessment</v>
      </c>
      <c r="C835" s="106" t="str">
        <f>B01_Assessment!$A$93</f>
        <v>B02</v>
      </c>
      <c r="D835" s="142">
        <f>B01_Assessment!$B$93</f>
        <v>0.5</v>
      </c>
      <c r="E835" s="142">
        <f>B01_Assessment!$C$93</f>
        <v>0.5</v>
      </c>
      <c r="F835" s="106">
        <f>B01_Assessment!$D$93</f>
        <v>0.5</v>
      </c>
      <c r="G835" s="106">
        <f>B01_Assessment!$E$93</f>
        <v>0.5</v>
      </c>
      <c r="H835" s="106">
        <f>B01_Assessment!$F$93</f>
        <v>0.5</v>
      </c>
      <c r="I835" s="106" t="str">
        <f>B01_Assessment!$G$93</f>
        <v>Verify</v>
      </c>
      <c r="J835" s="106">
        <f>B01_Assessment!$H$93</f>
        <v>0.5</v>
      </c>
      <c r="K835" s="106" t="str">
        <f>B01_Assessment!$I$93</f>
        <v>Partial / Green</v>
      </c>
      <c r="L835" s="106" t="str">
        <f>B01_Assessment!$J$93</f>
        <v>Existing basement telecom transition point; protect active services until transfer/cutover complete.</v>
      </c>
    </row>
    <row r="836" spans="1:12" ht="29.1" customHeight="1">
      <c r="A836" s="106" t="str">
        <f>B01_Assessment!$B$2</f>
        <v>01</v>
      </c>
      <c r="B836" s="106" t="str">
        <f>"B01_Assessment"</f>
        <v>B01_Assessment</v>
      </c>
      <c r="C836" s="106" t="str">
        <f>B01_Assessment!$A$94</f>
        <v>138</v>
      </c>
      <c r="D836" s="142">
        <f>B01_Assessment!$B$94</f>
        <v>0.5</v>
      </c>
      <c r="E836" s="142">
        <f>B01_Assessment!$C$94</f>
        <v>0.5</v>
      </c>
      <c r="F836" s="106">
        <f>B01_Assessment!$D$94</f>
        <v>0.5</v>
      </c>
      <c r="G836" s="106">
        <f>B01_Assessment!$E$94</f>
        <v>0.5</v>
      </c>
      <c r="H836" s="106">
        <f>B01_Assessment!$F$94</f>
        <v>0.5</v>
      </c>
      <c r="I836" s="106" t="str">
        <f>B01_Assessment!$G$94</f>
        <v>Verify</v>
      </c>
      <c r="J836" s="106">
        <f>B01_Assessment!$H$94</f>
        <v>0.5</v>
      </c>
      <c r="K836" s="106" t="str">
        <f>B01_Assessment!$I$94</f>
        <v>Partial / Green</v>
      </c>
      <c r="L836" s="106" t="str">
        <f>B01_Assessment!$J$94</f>
        <v>Existing first-level telecom transition point; protect active services and verify final condition.</v>
      </c>
    </row>
    <row r="837" spans="1:12" ht="29.1" customHeight="1">
      <c r="A837" s="106" t="str">
        <f>B01_Assessment!$B$2</f>
        <v>01</v>
      </c>
      <c r="B837" s="106" t="str">
        <f>"B01_Assessment"</f>
        <v>B01_Assessment</v>
      </c>
      <c r="C837" s="106" t="str">
        <f>B01_Assessment!$A$95</f>
        <v>282</v>
      </c>
      <c r="D837" s="142">
        <f>B01_Assessment!$B$95</f>
        <v>0.5</v>
      </c>
      <c r="E837" s="142">
        <f>B01_Assessment!$C$95</f>
        <v>0.5</v>
      </c>
      <c r="F837" s="106">
        <f>B01_Assessment!$D$95</f>
        <v>0.5</v>
      </c>
      <c r="G837" s="106">
        <f>B01_Assessment!$E$95</f>
        <v>0.5</v>
      </c>
      <c r="H837" s="106">
        <f>B01_Assessment!$F$95</f>
        <v>0.5</v>
      </c>
      <c r="I837" s="106" t="str">
        <f>B01_Assessment!$G$95</f>
        <v>Verify</v>
      </c>
      <c r="J837" s="106">
        <f>B01_Assessment!$H$95</f>
        <v>0.5</v>
      </c>
      <c r="K837" s="106" t="str">
        <f>B01_Assessment!$I$95</f>
        <v>Partial / Green</v>
      </c>
      <c r="L837" s="106" t="str">
        <f>B01_Assessment!$J$95</f>
        <v>Existing second-level telecom transition point; protect active services and verify final condition.</v>
      </c>
    </row>
    <row r="838" spans="1:12" ht="40.65" customHeight="1">
      <c r="A838" s="106" t="str">
        <f>B02_Assessment!$B$2</f>
        <v>02</v>
      </c>
      <c r="B838" s="106" t="str">
        <f>"B02_Assessment"</f>
        <v>B02_Assessment</v>
      </c>
      <c r="C838" s="106" t="str">
        <f>B02_Assessment!$A$93</f>
        <v>141</v>
      </c>
      <c r="D838" s="142">
        <f>B02_Assessment!$B$93</f>
        <v>0.5</v>
      </c>
      <c r="E838" s="142">
        <f>B02_Assessment!$C$93</f>
        <v>0.5</v>
      </c>
      <c r="F838" s="106">
        <f>B02_Assessment!$D$93</f>
        <v>0.5</v>
      </c>
      <c r="G838" s="106">
        <f>B02_Assessment!$E$93</f>
        <v>0.5</v>
      </c>
      <c r="H838" s="106">
        <f>B02_Assessment!$F$93</f>
        <v>0.5</v>
      </c>
      <c r="I838" s="106" t="str">
        <f>B02_Assessment!$G$93</f>
        <v>Verify</v>
      </c>
      <c r="J838" s="106">
        <f>B02_Assessment!$H$93</f>
        <v>0.5</v>
      </c>
      <c r="K838" s="106" t="str">
        <f>B02_Assessment!$I$93</f>
        <v>Partial / Yellow</v>
      </c>
      <c r="L838" s="106" t="str">
        <f>B02_Assessment!$J$93</f>
        <v>First-level TR with 354 total ports including allowance, 2 rack IDs, B02-TR141A/B panels, high cable tray volume and existing room transfer scope.</v>
      </c>
    </row>
    <row r="839" spans="1:12" ht="40.65" customHeight="1">
      <c r="A839" s="106" t="str">
        <f>B02_Assessment!$B$2</f>
        <v>02</v>
      </c>
      <c r="B839" s="106" t="str">
        <f>"B02_Assessment"</f>
        <v>B02_Assessment</v>
      </c>
      <c r="C839" s="106" t="str">
        <f>B02_Assessment!$A$94</f>
        <v>236</v>
      </c>
      <c r="D839" s="142">
        <f>B02_Assessment!$B$94</f>
        <v>0.5</v>
      </c>
      <c r="E839" s="142">
        <f>B02_Assessment!$C$94</f>
        <v>0.5</v>
      </c>
      <c r="F839" s="106">
        <f>B02_Assessment!$D$94</f>
        <v>0.5</v>
      </c>
      <c r="G839" s="106">
        <f>B02_Assessment!$E$94</f>
        <v>0.5</v>
      </c>
      <c r="H839" s="106">
        <f>B02_Assessment!$F$94</f>
        <v>0.5</v>
      </c>
      <c r="I839" s="106" t="str">
        <f>B02_Assessment!$G$94</f>
        <v>Verify</v>
      </c>
      <c r="J839" s="106">
        <f>B02_Assessment!$H$94</f>
        <v>0.5</v>
      </c>
      <c r="K839" s="106" t="str">
        <f>B02_Assessment!$I$94</f>
        <v>Partial / Yellow</v>
      </c>
      <c r="L839" s="106" t="str">
        <f>B02_Assessment!$J$94</f>
        <v>Second-level TR with approx. 345 total ports including allowance, B02-TR236A/B panels, camera/PACS and existing transition scope.</v>
      </c>
    </row>
    <row r="840" spans="1:12" ht="34.950000000000003" customHeight="1">
      <c r="A840" s="106" t="str">
        <f>B02_Assessment!$B$2</f>
        <v>02</v>
      </c>
      <c r="B840" s="106" t="str">
        <f>"B02_Assessment"</f>
        <v>B02_Assessment</v>
      </c>
      <c r="C840" s="106" t="str">
        <f>B02_Assessment!$A$95</f>
        <v>342</v>
      </c>
      <c r="D840" s="142">
        <f>B02_Assessment!$B$95</f>
        <v>0.5</v>
      </c>
      <c r="E840" s="142">
        <f>B02_Assessment!$C$95</f>
        <v>0.5</v>
      </c>
      <c r="F840" s="106">
        <f>B02_Assessment!$D$95</f>
        <v>0.5</v>
      </c>
      <c r="G840" s="106">
        <f>B02_Assessment!$E$95</f>
        <v>0.5</v>
      </c>
      <c r="H840" s="106">
        <f>B02_Assessment!$F$95</f>
        <v>0.5</v>
      </c>
      <c r="I840" s="106" t="str">
        <f>B02_Assessment!$G$95</f>
        <v>Verify</v>
      </c>
      <c r="J840" s="106">
        <f>B02_Assessment!$H$95</f>
        <v>0.5</v>
      </c>
      <c r="K840" s="106" t="str">
        <f>B02_Assessment!$I$95</f>
        <v>Partial / Yellow</v>
      </c>
      <c r="L840" s="106" t="str">
        <f>B02_Assessment!$J$95</f>
        <v>Third-level TR with 388 total ports including allowance, B02-TR342A/B panels, camera/security and high WAO count.</v>
      </c>
    </row>
    <row r="841" spans="1:12" ht="29.1" customHeight="1">
      <c r="A841" s="106" t="str">
        <f>B02_Assessment!$B$2</f>
        <v>02</v>
      </c>
      <c r="B841" s="106" t="str">
        <f>"B02_Assessment"</f>
        <v>B02_Assessment</v>
      </c>
      <c r="C841" s="106" t="str">
        <f>B02_Assessment!$A$96</f>
        <v>B-06 / existing rooms</v>
      </c>
      <c r="D841" s="142">
        <f>B02_Assessment!$B$96</f>
        <v>0.5</v>
      </c>
      <c r="E841" s="142">
        <f>B02_Assessment!$C$96</f>
        <v>0.5</v>
      </c>
      <c r="F841" s="106">
        <f>B02_Assessment!$D$96</f>
        <v>0.5</v>
      </c>
      <c r="G841" s="106">
        <f>B02_Assessment!$E$96</f>
        <v>0.5</v>
      </c>
      <c r="H841" s="106">
        <f>B02_Assessment!$F$96</f>
        <v>0.5</v>
      </c>
      <c r="I841" s="106" t="str">
        <f>B02_Assessment!$G$96</f>
        <v>Verify</v>
      </c>
      <c r="J841" s="106">
        <f>B02_Assessment!$H$96</f>
        <v>0.5</v>
      </c>
      <c r="K841" s="106" t="str">
        <f>B02_Assessment!$I$96</f>
        <v>Partial / Yellow</v>
      </c>
      <c r="L841" s="106" t="str">
        <f>B02_Assessment!$J$96</f>
        <v>Existing telecom transition points; protect active services until transfer/cutover complete.</v>
      </c>
    </row>
    <row r="842" spans="1:12" ht="52.2" customHeight="1">
      <c r="A842" s="106" t="str">
        <f>B03_Assessment!$B$2</f>
        <v>03</v>
      </c>
      <c r="B842" s="106" t="str">
        <f>"B03_Assessment"</f>
        <v>B03_Assessment</v>
      </c>
      <c r="C842" s="106" t="str">
        <f>B03_Assessment!$A$92</f>
        <v>101E</v>
      </c>
      <c r="D842" s="142">
        <f>B03_Assessment!$B$92</f>
        <v>0.5</v>
      </c>
      <c r="E842" s="142">
        <f>B03_Assessment!$C$92</f>
        <v>0.5</v>
      </c>
      <c r="F842" s="106">
        <f>B03_Assessment!$D$92</f>
        <v>0.5</v>
      </c>
      <c r="G842" s="106">
        <f>B03_Assessment!$E$92</f>
        <v>0.5</v>
      </c>
      <c r="H842" s="106">
        <f>B03_Assessment!$F$92</f>
        <v>0.5</v>
      </c>
      <c r="I842" s="106" t="str">
        <f>B03_Assessment!$G$92</f>
        <v>Verify</v>
      </c>
      <c r="J842" s="106">
        <f>B03_Assessment!$H$92</f>
        <v>0.5</v>
      </c>
      <c r="K842" s="106" t="str">
        <f>B03_Assessment!$I$92</f>
        <v>Partial / Yellow</v>
      </c>
      <c r="L842" s="106" t="str">
        <f>B03_Assessment!$J$92</f>
        <v>Primary first-level TR with 206 total ports including allowance, two rack IDs, B03-TR101CA/B panels, CU-01, 961 ft cable tray and existing 107/101C transfer scope.</v>
      </c>
    </row>
    <row r="843" spans="1:12" ht="34.950000000000003" customHeight="1">
      <c r="A843" s="106" t="str">
        <f>B03_Assessment!$B$2</f>
        <v>03</v>
      </c>
      <c r="B843" s="106" t="str">
        <f>"B03_Assessment"</f>
        <v>B03_Assessment</v>
      </c>
      <c r="C843" s="106" t="str">
        <f>B03_Assessment!$A$93</f>
        <v>107</v>
      </c>
      <c r="D843" s="142">
        <f>B03_Assessment!$B$93</f>
        <v>0.5</v>
      </c>
      <c r="E843" s="142">
        <f>B03_Assessment!$C$93</f>
        <v>0.5</v>
      </c>
      <c r="F843" s="106">
        <f>B03_Assessment!$D$93</f>
        <v>0.5</v>
      </c>
      <c r="G843" s="106">
        <f>B03_Assessment!$E$93</f>
        <v>0.5</v>
      </c>
      <c r="H843" s="106">
        <f>B03_Assessment!$F$93</f>
        <v>0.5</v>
      </c>
      <c r="I843" s="106" t="str">
        <f>B03_Assessment!$G$93</f>
        <v>Verify</v>
      </c>
      <c r="J843" s="106">
        <f>B03_Assessment!$H$93</f>
        <v>0.5</v>
      </c>
      <c r="K843" s="106" t="str">
        <f>B03_Assessment!$I$93</f>
        <v>Partial / Yellow</v>
      </c>
      <c r="L843" s="106" t="str">
        <f>B03_Assessment!$J$93</f>
        <v>Existing basement telecom transition point; protect active services until transfer/cutover complete.</v>
      </c>
    </row>
    <row r="844" spans="1:12" ht="34.950000000000003" customHeight="1">
      <c r="A844" s="106" t="str">
        <f>B03_Assessment!$B$2</f>
        <v>03</v>
      </c>
      <c r="B844" s="106" t="str">
        <f>"B03_Assessment"</f>
        <v>B03_Assessment</v>
      </c>
      <c r="C844" s="106" t="str">
        <f>B03_Assessment!$A$94</f>
        <v>101C</v>
      </c>
      <c r="D844" s="142">
        <f>B03_Assessment!$B$94</f>
        <v>0.5</v>
      </c>
      <c r="E844" s="142">
        <f>B03_Assessment!$C$94</f>
        <v>0.5</v>
      </c>
      <c r="F844" s="106">
        <f>B03_Assessment!$D$94</f>
        <v>0.5</v>
      </c>
      <c r="G844" s="106">
        <f>B03_Assessment!$E$94</f>
        <v>0.5</v>
      </c>
      <c r="H844" s="106">
        <f>B03_Assessment!$F$94</f>
        <v>0.5</v>
      </c>
      <c r="I844" s="106" t="str">
        <f>B03_Assessment!$G$94</f>
        <v>Verify</v>
      </c>
      <c r="J844" s="106">
        <f>B03_Assessment!$H$94</f>
        <v>0.5</v>
      </c>
      <c r="K844" s="106" t="str">
        <f>B03_Assessment!$I$94</f>
        <v>Partial / Yellow</v>
      </c>
      <c r="L844" s="106" t="str">
        <f>B03_Assessment!$J$94</f>
        <v>Existing first-floor DMARC/telecom transition point; protect provider/fiber/active services and verify final condition.</v>
      </c>
    </row>
    <row r="845" spans="1:12" ht="29.1" customHeight="1">
      <c r="A845" s="106" t="str">
        <f>B03_Assessment!$B$2</f>
        <v>03</v>
      </c>
      <c r="B845" s="106" t="str">
        <f>"B03_Assessment"</f>
        <v>B03_Assessment</v>
      </c>
      <c r="C845" s="106" t="str">
        <f>B03_Assessment!$A$95</f>
        <v>WAO Areas</v>
      </c>
      <c r="D845" s="142">
        <f>B03_Assessment!$B$95</f>
        <v>0.5</v>
      </c>
      <c r="E845" s="142">
        <f>B03_Assessment!$C$95</f>
        <v>0.5</v>
      </c>
      <c r="F845" s="106" t="str">
        <f>B03_Assessment!$D$95</f>
        <v>N/A</v>
      </c>
      <c r="G845" s="106">
        <f>B03_Assessment!$E$95</f>
        <v>0.5</v>
      </c>
      <c r="H845" s="106">
        <f>B03_Assessment!$F$95</f>
        <v>0.5</v>
      </c>
      <c r="I845" s="106" t="str">
        <f>B03_Assessment!$G$95</f>
        <v>Verify</v>
      </c>
      <c r="J845" s="106">
        <f>B03_Assessment!$H$95</f>
        <v>0.5</v>
      </c>
      <c r="K845" s="106" t="str">
        <f>B03_Assessment!$I$95</f>
        <v>Partial / Yellow</v>
      </c>
      <c r="L845" s="106" t="str">
        <f>B03_Assessment!$J$95</f>
        <v>Basement and first-level WAO/WAP/camera recabling served from Room 101E.</v>
      </c>
    </row>
    <row r="846" spans="1:12" ht="17.25" customHeight="1">
      <c r="A846" s="106" t="str">
        <f>B04_Assessment!$B$2</f>
        <v>04</v>
      </c>
      <c r="B846" s="106" t="str">
        <f>"B04_Assessment"</f>
        <v>B04_Assessment</v>
      </c>
      <c r="C846" s="106" t="str">
        <f>B04_Assessment!$A$85</f>
        <v>B05</v>
      </c>
      <c r="D846" s="142">
        <f>B04_Assessment!$B$85</f>
        <v>0.5</v>
      </c>
      <c r="E846" s="142">
        <f>B04_Assessment!$C$85</f>
        <v>0.5</v>
      </c>
      <c r="F846" s="106">
        <f>B04_Assessment!$D$85</f>
        <v>0.5</v>
      </c>
      <c r="G846" s="106">
        <f>B04_Assessment!$E$85</f>
        <v>0.5</v>
      </c>
      <c r="H846" s="106">
        <f>B04_Assessment!$F$85</f>
        <v>0.5</v>
      </c>
      <c r="I846" s="106" t="str">
        <f>B04_Assessment!$G$85</f>
        <v>Verify</v>
      </c>
      <c r="J846" s="106">
        <f>B04_Assessment!$H$85</f>
        <v>0.5</v>
      </c>
      <c r="K846" s="106" t="str">
        <f>B04_Assessment!$I$85</f>
        <v>Partial / Yellow</v>
      </c>
      <c r="L846" s="106" t="str">
        <f>B04_Assessment!$J$85</f>
        <v>Two-rack basement TR; full field verification required.</v>
      </c>
    </row>
    <row r="847" spans="1:12" ht="17.25" customHeight="1">
      <c r="A847" s="106" t="str">
        <f>B04_Assessment!$B$2</f>
        <v>04</v>
      </c>
      <c r="B847" s="106" t="str">
        <f>"B04_Assessment"</f>
        <v>B04_Assessment</v>
      </c>
      <c r="C847" s="106" t="str">
        <f>B04_Assessment!$A$86</f>
        <v>141</v>
      </c>
      <c r="D847" s="142">
        <f>B04_Assessment!$B$86</f>
        <v>0.5</v>
      </c>
      <c r="E847" s="142">
        <f>B04_Assessment!$C$86</f>
        <v>0.5</v>
      </c>
      <c r="F847" s="106">
        <f>B04_Assessment!$D$86</f>
        <v>0.5</v>
      </c>
      <c r="G847" s="106">
        <f>B04_Assessment!$E$86</f>
        <v>0.5</v>
      </c>
      <c r="H847" s="106">
        <f>B04_Assessment!$F$86</f>
        <v>0.5</v>
      </c>
      <c r="I847" s="106" t="str">
        <f>B04_Assessment!$G$86</f>
        <v>Verify</v>
      </c>
      <c r="J847" s="106">
        <f>B04_Assessment!$H$86</f>
        <v>0.5</v>
      </c>
      <c r="K847" s="106" t="str">
        <f>B04_Assessment!$I$86</f>
        <v>Partial / Yellow</v>
      </c>
      <c r="L847" s="106" t="str">
        <f>B04_Assessment!$J$86</f>
        <v>First-floor TR with rated wall/door and future rack.</v>
      </c>
    </row>
    <row r="848" spans="1:12" ht="22.95" customHeight="1">
      <c r="A848" s="106" t="str">
        <f>B04_Assessment!$B$2</f>
        <v>04</v>
      </c>
      <c r="B848" s="106" t="str">
        <f>"B04_Assessment"</f>
        <v>B04_Assessment</v>
      </c>
      <c r="C848" s="106" t="str">
        <f>B04_Assessment!$A$87</f>
        <v>244A</v>
      </c>
      <c r="D848" s="142">
        <f>B04_Assessment!$B$87</f>
        <v>0.5</v>
      </c>
      <c r="E848" s="142">
        <f>B04_Assessment!$C$87</f>
        <v>0.5</v>
      </c>
      <c r="F848" s="106">
        <f>B04_Assessment!$D$87</f>
        <v>0.5</v>
      </c>
      <c r="G848" s="106">
        <f>B04_Assessment!$E$87</f>
        <v>0.5</v>
      </c>
      <c r="H848" s="106">
        <f>B04_Assessment!$F$87</f>
        <v>0.5</v>
      </c>
      <c r="I848" s="106" t="str">
        <f>B04_Assessment!$G$87</f>
        <v>Verify</v>
      </c>
      <c r="J848" s="106">
        <f>B04_Assessment!$H$87</f>
        <v>0.5</v>
      </c>
      <c r="K848" s="106" t="str">
        <f>B04_Assessment!$I$87</f>
        <v>Partial / Yellow</v>
      </c>
      <c r="L848" s="106" t="str">
        <f>B04_Assessment!$J$87</f>
        <v>Second-floor TR/panel scope; verify rack/equipment locations.</v>
      </c>
    </row>
    <row r="849" spans="1:12" ht="11.7" customHeight="1">
      <c r="A849" s="106" t="str">
        <f>B05_Assessment!$B$2</f>
        <v>05</v>
      </c>
      <c r="B849" s="106" t="str">
        <f>"B05_Assessment"</f>
        <v>B05_Assessment</v>
      </c>
      <c r="C849" s="106" t="str">
        <f>B05_Assessment!$A$73</f>
        <v>150</v>
      </c>
      <c r="D849" s="142">
        <f>B05_Assessment!$B$73</f>
        <v>0.5</v>
      </c>
      <c r="E849" s="142">
        <f>B05_Assessment!$C$73</f>
        <v>0.5</v>
      </c>
      <c r="F849" s="106" t="str">
        <f>B05_Assessment!$D$73</f>
        <v>N/A</v>
      </c>
      <c r="G849" s="106">
        <f>B05_Assessment!$E$73</f>
        <v>0.5</v>
      </c>
      <c r="H849" s="106">
        <f>B05_Assessment!$F$73</f>
        <v>0.5</v>
      </c>
      <c r="I849" s="106" t="str">
        <f>B05_Assessment!$G$73</f>
        <v>Verify</v>
      </c>
      <c r="J849" s="106">
        <f>B05_Assessment!$H$73</f>
        <v>0.5</v>
      </c>
      <c r="K849" s="106" t="str">
        <f>B05_Assessment!$I$73</f>
        <v>Partial / Yellow</v>
      </c>
      <c r="L849" s="106" t="str">
        <f>B05_Assessment!$J$73</f>
        <v>New 12RU TE; field verification required.</v>
      </c>
    </row>
    <row r="850" spans="1:12" ht="17.25" customHeight="1">
      <c r="A850" s="106" t="str">
        <f>B05_Assessment!$B$2</f>
        <v>05</v>
      </c>
      <c r="B850" s="106" t="str">
        <f>"B05_Assessment"</f>
        <v>B05_Assessment</v>
      </c>
      <c r="C850" s="106" t="str">
        <f>B05_Assessment!$A$74</f>
        <v>153-A</v>
      </c>
      <c r="D850" s="142">
        <f>B05_Assessment!$B$74</f>
        <v>0.5</v>
      </c>
      <c r="E850" s="142">
        <f>B05_Assessment!$C$74</f>
        <v>0.5</v>
      </c>
      <c r="F850" s="106" t="str">
        <f>B05_Assessment!$D$74</f>
        <v>N/A</v>
      </c>
      <c r="G850" s="106">
        <f>B05_Assessment!$E$74</f>
        <v>0.5</v>
      </c>
      <c r="H850" s="106">
        <f>B05_Assessment!$F$74</f>
        <v>0.5</v>
      </c>
      <c r="I850" s="106" t="str">
        <f>B05_Assessment!$G$74</f>
        <v>Verify</v>
      </c>
      <c r="J850" s="106">
        <f>B05_Assessment!$H$74</f>
        <v>0.5</v>
      </c>
      <c r="K850" s="106" t="str">
        <f>B05_Assessment!$I$74</f>
        <v>Partial / Yellow</v>
      </c>
      <c r="L850" s="106" t="str">
        <f>B05_Assessment!$J$74</f>
        <v>Existing TE/legacy equipment transition point.</v>
      </c>
    </row>
    <row r="851" spans="1:12" ht="17.25" customHeight="1">
      <c r="A851" s="106" t="str">
        <f>B06_Assessment!$B$2</f>
        <v>06</v>
      </c>
      <c r="B851" s="106" t="str">
        <f>"B06_Assessment"</f>
        <v>B06_Assessment</v>
      </c>
      <c r="C851" s="106" t="str">
        <f>B06_Assessment!$A$85</f>
        <v>B-01</v>
      </c>
      <c r="D851" s="142">
        <f>B06_Assessment!$B$85</f>
        <v>0.5</v>
      </c>
      <c r="E851" s="142">
        <f>B06_Assessment!$C$85</f>
        <v>0.5</v>
      </c>
      <c r="F851" s="106">
        <f>B06_Assessment!$D$85</f>
        <v>0.5</v>
      </c>
      <c r="G851" s="106">
        <f>B06_Assessment!$E$85</f>
        <v>0.5</v>
      </c>
      <c r="H851" s="106">
        <f>B06_Assessment!$F$85</f>
        <v>0.5</v>
      </c>
      <c r="I851" s="106" t="str">
        <f>B06_Assessment!$G$85</f>
        <v>Verify</v>
      </c>
      <c r="J851" s="106">
        <f>B06_Assessment!$H$85</f>
        <v>0.5</v>
      </c>
      <c r="K851" s="106" t="str">
        <f>B06_Assessment!$I$85</f>
        <v>Partial / Yellow</v>
      </c>
      <c r="L851" s="106" t="str">
        <f>B06_Assessment!$J$85</f>
        <v>Existing equipment transition point; protect active services.</v>
      </c>
    </row>
    <row r="852" spans="1:12" ht="17.25" customHeight="1">
      <c r="A852" s="106" t="str">
        <f>B06_Assessment!$B$2</f>
        <v>06</v>
      </c>
      <c r="B852" s="106" t="str">
        <f>"B06_Assessment"</f>
        <v>B06_Assessment</v>
      </c>
      <c r="C852" s="106" t="str">
        <f>B06_Assessment!$A$86</f>
        <v>178</v>
      </c>
      <c r="D852" s="142">
        <f>B06_Assessment!$B$86</f>
        <v>0.5</v>
      </c>
      <c r="E852" s="142">
        <f>B06_Assessment!$C$86</f>
        <v>0.5</v>
      </c>
      <c r="F852" s="106">
        <f>B06_Assessment!$D$86</f>
        <v>0.5</v>
      </c>
      <c r="G852" s="106">
        <f>B06_Assessment!$E$86</f>
        <v>0.5</v>
      </c>
      <c r="H852" s="106">
        <f>B06_Assessment!$F$86</f>
        <v>0.5</v>
      </c>
      <c r="I852" s="106" t="str">
        <f>B06_Assessment!$G$86</f>
        <v>Verify</v>
      </c>
      <c r="J852" s="106">
        <f>B06_Assessment!$H$86</f>
        <v>0.5</v>
      </c>
      <c r="K852" s="106" t="str">
        <f>B06_Assessment!$I$86</f>
        <v>Partial / Yellow</v>
      </c>
      <c r="L852" s="106" t="str">
        <f>B06_Assessment!$J$86</f>
        <v>First-floor TR with new cooling and electrical scope.</v>
      </c>
    </row>
    <row r="853" spans="1:12" ht="22.95" customHeight="1">
      <c r="A853" s="106" t="str">
        <f>B06_Assessment!$B$2</f>
        <v>06</v>
      </c>
      <c r="B853" s="106" t="str">
        <f>"B06_Assessment"</f>
        <v>B06_Assessment</v>
      </c>
      <c r="C853" s="106" t="str">
        <f>B06_Assessment!$A$87</f>
        <v>233</v>
      </c>
      <c r="D853" s="142">
        <f>B06_Assessment!$B$87</f>
        <v>0.5</v>
      </c>
      <c r="E853" s="142">
        <f>B06_Assessment!$C$87</f>
        <v>0.5</v>
      </c>
      <c r="F853" s="106">
        <f>B06_Assessment!$D$87</f>
        <v>0.5</v>
      </c>
      <c r="G853" s="106">
        <f>B06_Assessment!$E$87</f>
        <v>0.5</v>
      </c>
      <c r="H853" s="106">
        <f>B06_Assessment!$F$87</f>
        <v>0.5</v>
      </c>
      <c r="I853" s="106" t="str">
        <f>B06_Assessment!$G$87</f>
        <v>Verify</v>
      </c>
      <c r="J853" s="106">
        <f>B06_Assessment!$H$87</f>
        <v>0.5</v>
      </c>
      <c r="K853" s="106" t="str">
        <f>B06_Assessment!$I$87</f>
        <v>Partial / Yellow</v>
      </c>
      <c r="L853" s="106" t="str">
        <f>B06_Assessment!$J$87</f>
        <v>Second-floor TR/Data Closet with rated construction and future rack scope.</v>
      </c>
    </row>
    <row r="854" spans="1:12" ht="11.7" customHeight="1">
      <c r="A854" s="106" t="str">
        <f>B07_Assessment!$B$2</f>
        <v>07</v>
      </c>
      <c r="B854" s="106" t="str">
        <f>"B07_Assessment"</f>
        <v>B07_Assessment</v>
      </c>
      <c r="C854" s="106" t="str">
        <f>B07_Assessment!$A$77</f>
        <v>B-18</v>
      </c>
      <c r="D854" s="142">
        <f>B07_Assessment!$B$77</f>
        <v>0.5</v>
      </c>
      <c r="E854" s="142">
        <f>B07_Assessment!$C$77</f>
        <v>0.5</v>
      </c>
      <c r="F854" s="106">
        <f>B07_Assessment!$D$77</f>
        <v>0.5</v>
      </c>
      <c r="G854" s="106">
        <f>B07_Assessment!$E$77</f>
        <v>0.5</v>
      </c>
      <c r="H854" s="106">
        <f>B07_Assessment!$F$77</f>
        <v>0.5</v>
      </c>
      <c r="I854" s="106" t="str">
        <f>B07_Assessment!$G$77</f>
        <v>Verify</v>
      </c>
      <c r="J854" s="106">
        <f>B07_Assessment!$H$77</f>
        <v>0.5</v>
      </c>
      <c r="K854" s="106" t="str">
        <f>B07_Assessment!$I$77</f>
        <v>Partial / Yellow</v>
      </c>
      <c r="L854" s="106" t="str">
        <f>B07_Assessment!$J$77</f>
        <v>Basement TR; field verification required.</v>
      </c>
    </row>
    <row r="855" spans="1:12" ht="17.25" customHeight="1">
      <c r="A855" s="106" t="str">
        <f>B07_Assessment!$B$2</f>
        <v>07</v>
      </c>
      <c r="B855" s="106" t="str">
        <f>"B07_Assessment"</f>
        <v>B07_Assessment</v>
      </c>
      <c r="C855" s="106" t="str">
        <f>B07_Assessment!$A$78</f>
        <v>228A</v>
      </c>
      <c r="D855" s="142">
        <f>B07_Assessment!$B$78</f>
        <v>0.5</v>
      </c>
      <c r="E855" s="142">
        <f>B07_Assessment!$C$78</f>
        <v>0.5</v>
      </c>
      <c r="F855" s="106">
        <f>B07_Assessment!$D$78</f>
        <v>0.5</v>
      </c>
      <c r="G855" s="106">
        <f>B07_Assessment!$E$78</f>
        <v>0.5</v>
      </c>
      <c r="H855" s="106">
        <f>B07_Assessment!$F$78</f>
        <v>0.5</v>
      </c>
      <c r="I855" s="106" t="str">
        <f>B07_Assessment!$G$78</f>
        <v>Verify</v>
      </c>
      <c r="J855" s="106">
        <f>B07_Assessment!$H$78</f>
        <v>0.5</v>
      </c>
      <c r="K855" s="106" t="str">
        <f>B07_Assessment!$I$78</f>
        <v>Partial / Yellow</v>
      </c>
      <c r="L855" s="106" t="str">
        <f>B07_Assessment!$J$78</f>
        <v>Second-floor TR; rated wall/door and cooling coordination required.</v>
      </c>
    </row>
    <row r="856" spans="1:12" ht="17.25" customHeight="1">
      <c r="A856" s="106" t="str">
        <f>B08_Assessment!$B$2</f>
        <v>08</v>
      </c>
      <c r="B856" s="106" t="str">
        <f>"B08_Assessment"</f>
        <v>B08_Assessment</v>
      </c>
      <c r="C856" s="106" t="str">
        <f>B08_Assessment!$A$85</f>
        <v>B-15</v>
      </c>
      <c r="D856" s="142">
        <f>B08_Assessment!$B$85</f>
        <v>0.5</v>
      </c>
      <c r="E856" s="142">
        <f>B08_Assessment!$C$85</f>
        <v>0.5</v>
      </c>
      <c r="F856" s="106">
        <f>B08_Assessment!$D$85</f>
        <v>0.5</v>
      </c>
      <c r="G856" s="106">
        <f>B08_Assessment!$E$85</f>
        <v>0.5</v>
      </c>
      <c r="H856" s="106">
        <f>B08_Assessment!$F$85</f>
        <v>0.5</v>
      </c>
      <c r="I856" s="106" t="str">
        <f>B08_Assessment!$G$85</f>
        <v>Verify</v>
      </c>
      <c r="J856" s="106">
        <f>B08_Assessment!$H$85</f>
        <v>0.5</v>
      </c>
      <c r="K856" s="106" t="str">
        <f>B08_Assessment!$I$85</f>
        <v>Partial / Yellow</v>
      </c>
      <c r="L856" s="106" t="str">
        <f>B08_Assessment!$J$85</f>
        <v>Existing equipment transition point; protect active services.</v>
      </c>
    </row>
    <row r="857" spans="1:12" ht="17.25" customHeight="1">
      <c r="A857" s="106" t="str">
        <f>B08_Assessment!$B$2</f>
        <v>08</v>
      </c>
      <c r="B857" s="106" t="str">
        <f>"B08_Assessment"</f>
        <v>B08_Assessment</v>
      </c>
      <c r="C857" s="106" t="str">
        <f>B08_Assessment!$A$86</f>
        <v>B12B</v>
      </c>
      <c r="D857" s="142">
        <f>B08_Assessment!$B$86</f>
        <v>0.5</v>
      </c>
      <c r="E857" s="142">
        <f>B08_Assessment!$C$86</f>
        <v>0.5</v>
      </c>
      <c r="F857" s="106">
        <f>B08_Assessment!$D$86</f>
        <v>0.5</v>
      </c>
      <c r="G857" s="106">
        <f>B08_Assessment!$E$86</f>
        <v>0.5</v>
      </c>
      <c r="H857" s="106">
        <f>B08_Assessment!$F$86</f>
        <v>0.5</v>
      </c>
      <c r="I857" s="106" t="str">
        <f>B08_Assessment!$G$86</f>
        <v>Verify</v>
      </c>
      <c r="J857" s="106">
        <f>B08_Assessment!$H$86</f>
        <v>0.5</v>
      </c>
      <c r="K857" s="106" t="str">
        <f>B08_Assessment!$I$86</f>
        <v>Partial / Yellow</v>
      </c>
      <c r="L857" s="106" t="str">
        <f>B08_Assessment!$J$86</f>
        <v>Basement office/TE ambiguity requires field verification.</v>
      </c>
    </row>
    <row r="858" spans="1:12" ht="22.95" customHeight="1">
      <c r="A858" s="106" t="str">
        <f>B08_Assessment!$B$2</f>
        <v>08</v>
      </c>
      <c r="B858" s="106" t="str">
        <f>"B08_Assessment"</f>
        <v>B08_Assessment</v>
      </c>
      <c r="C858" s="106" t="str">
        <f>B08_Assessment!$A$87</f>
        <v>2065A</v>
      </c>
      <c r="D858" s="142">
        <f>B08_Assessment!$B$87</f>
        <v>0.5</v>
      </c>
      <c r="E858" s="142">
        <f>B08_Assessment!$C$87</f>
        <v>0.5</v>
      </c>
      <c r="F858" s="106">
        <f>B08_Assessment!$D$87</f>
        <v>0.5</v>
      </c>
      <c r="G858" s="106">
        <f>B08_Assessment!$E$87</f>
        <v>0.5</v>
      </c>
      <c r="H858" s="106">
        <f>B08_Assessment!$F$87</f>
        <v>0.5</v>
      </c>
      <c r="I858" s="106" t="str">
        <f>B08_Assessment!$G$87</f>
        <v>Verify</v>
      </c>
      <c r="J858" s="106">
        <f>B08_Assessment!$H$87</f>
        <v>0.5</v>
      </c>
      <c r="K858" s="106" t="str">
        <f>B08_Assessment!$I$87</f>
        <v>Partial / Yellow</v>
      </c>
      <c r="L858" s="106" t="str">
        <f>B08_Assessment!$J$87</f>
        <v>New second-floor TR with two racks, cooling, rated work and possible abatement.</v>
      </c>
    </row>
    <row r="859" spans="1:12" ht="22.95" customHeight="1">
      <c r="A859" s="106" t="str">
        <f>B09_Assessment!$B$2</f>
        <v>09</v>
      </c>
      <c r="B859" s="106" t="str">
        <f>"B09_Assessment"</f>
        <v>B09_Assessment</v>
      </c>
      <c r="C859" s="106" t="str">
        <f>B09_Assessment!$A$85</f>
        <v>B01</v>
      </c>
      <c r="D859" s="142">
        <f>B09_Assessment!$B$85</f>
        <v>0.5</v>
      </c>
      <c r="E859" s="142">
        <f>B09_Assessment!$C$85</f>
        <v>0.5</v>
      </c>
      <c r="F859" s="106">
        <f>B09_Assessment!$D$85</f>
        <v>0.5</v>
      </c>
      <c r="G859" s="106">
        <f>B09_Assessment!$E$85</f>
        <v>0.5</v>
      </c>
      <c r="H859" s="106">
        <f>B09_Assessment!$F$85</f>
        <v>0.5</v>
      </c>
      <c r="I859" s="106" t="str">
        <f>B09_Assessment!$G$85</f>
        <v>Verify</v>
      </c>
      <c r="J859" s="106">
        <f>B09_Assessment!$H$85</f>
        <v>0.5</v>
      </c>
      <c r="K859" s="106" t="str">
        <f>B09_Assessment!$I$85</f>
        <v>Partial / Yellow</v>
      </c>
      <c r="L859" s="106" t="str">
        <f>B09_Assessment!$J$85</f>
        <v>Basement TR with existing equipment and multiple panel/cooling dependencies.</v>
      </c>
    </row>
    <row r="860" spans="1:12" ht="29.1" customHeight="1">
      <c r="A860" s="106" t="str">
        <f>B09_Assessment!$B$2</f>
        <v>09</v>
      </c>
      <c r="B860" s="106" t="str">
        <f>"B09_Assessment"</f>
        <v>B09_Assessment</v>
      </c>
      <c r="C860" s="106" t="str">
        <f>B09_Assessment!$A$86</f>
        <v>104B</v>
      </c>
      <c r="D860" s="142">
        <f>B09_Assessment!$B$86</f>
        <v>0.5</v>
      </c>
      <c r="E860" s="142">
        <f>B09_Assessment!$C$86</f>
        <v>0.5</v>
      </c>
      <c r="F860" s="106">
        <f>B09_Assessment!$D$86</f>
        <v>0.5</v>
      </c>
      <c r="G860" s="106">
        <f>B09_Assessment!$E$86</f>
        <v>0.5</v>
      </c>
      <c r="H860" s="106">
        <f>B09_Assessment!$F$86</f>
        <v>0.5</v>
      </c>
      <c r="I860" s="106" t="str">
        <f>B09_Assessment!$G$86</f>
        <v>Verify</v>
      </c>
      <c r="J860" s="106">
        <f>B09_Assessment!$H$86</f>
        <v>0.5</v>
      </c>
      <c r="K860" s="106" t="str">
        <f>B09_Assessment!$I$86</f>
        <v>Partial / Yellow</v>
      </c>
      <c r="L860" s="106" t="str">
        <f>B09_Assessment!$J$86</f>
        <v>First-level TR with security/access control, cooling and rated wall/door coordination.</v>
      </c>
    </row>
    <row r="861" spans="1:12" ht="29.1" customHeight="1">
      <c r="A861" s="106" t="str">
        <f>B09_Assessment!$B$2</f>
        <v>09</v>
      </c>
      <c r="B861" s="106" t="str">
        <f>"B09_Assessment"</f>
        <v>B09_Assessment</v>
      </c>
      <c r="C861" s="106" t="str">
        <f>B09_Assessment!$A$87</f>
        <v>206A</v>
      </c>
      <c r="D861" s="142">
        <f>B09_Assessment!$B$87</f>
        <v>0.5</v>
      </c>
      <c r="E861" s="142">
        <f>B09_Assessment!$C$87</f>
        <v>0.5</v>
      </c>
      <c r="F861" s="106">
        <f>B09_Assessment!$D$87</f>
        <v>0.5</v>
      </c>
      <c r="G861" s="106">
        <f>B09_Assessment!$E$87</f>
        <v>0.5</v>
      </c>
      <c r="H861" s="106">
        <f>B09_Assessment!$F$87</f>
        <v>0.5</v>
      </c>
      <c r="I861" s="106" t="str">
        <f>B09_Assessment!$G$87</f>
        <v>Verify</v>
      </c>
      <c r="J861" s="106">
        <f>B09_Assessment!$H$87</f>
        <v>0.5</v>
      </c>
      <c r="K861" s="106" t="str">
        <f>B09_Assessment!$I$87</f>
        <v>Partial / Yellow</v>
      </c>
      <c r="L861" s="106" t="str">
        <f>B09_Assessment!$J$87</f>
        <v>Second-level TR adjacent to Nursing Service with cooling, electrical and fire/life-safety coordination.</v>
      </c>
    </row>
    <row r="862" spans="1:12" ht="34.950000000000003" customHeight="1">
      <c r="A862" s="106" t="str">
        <f>B10_Assessment!$B$2</f>
        <v>10</v>
      </c>
      <c r="B862" s="106" t="str">
        <f>"B10_Assessment"</f>
        <v>B10_Assessment</v>
      </c>
      <c r="C862" s="106" t="str">
        <f>B10_Assessment!$A$85</f>
        <v>200A</v>
      </c>
      <c r="D862" s="142">
        <f>B10_Assessment!$B$85</f>
        <v>0.5</v>
      </c>
      <c r="E862" s="142">
        <f>B10_Assessment!$C$85</f>
        <v>0.5</v>
      </c>
      <c r="F862" s="106">
        <f>B10_Assessment!$D$85</f>
        <v>0.5</v>
      </c>
      <c r="G862" s="106">
        <f>B10_Assessment!$E$85</f>
        <v>0.5</v>
      </c>
      <c r="H862" s="106">
        <f>B10_Assessment!$F$85</f>
        <v>0.5</v>
      </c>
      <c r="I862" s="106" t="str">
        <f>B10_Assessment!$G$85</f>
        <v>Verify</v>
      </c>
      <c r="J862" s="106">
        <f>B10_Assessment!$H$85</f>
        <v>0.5</v>
      </c>
      <c r="K862" s="106" t="str">
        <f>B10_Assessment!$I$85</f>
        <v>Partial / Yellow</v>
      </c>
      <c r="L862" s="106" t="str">
        <f>B10_Assessment!$J$85</f>
        <v>Attic TR with rack/equipment, cooling, electrical, fire/life-safety and abatement coordination.</v>
      </c>
    </row>
    <row r="863" spans="1:12" ht="17.25" customHeight="1">
      <c r="A863" s="106" t="str">
        <f>B10_Assessment!$B$2</f>
        <v>10</v>
      </c>
      <c r="B863" s="106" t="str">
        <f>"B10_Assessment"</f>
        <v>B10_Assessment</v>
      </c>
      <c r="C863" s="106" t="str">
        <f>B10_Assessment!$A$86</f>
        <v>B24</v>
      </c>
      <c r="D863" s="142">
        <f>B10_Assessment!$B$86</f>
        <v>0.5</v>
      </c>
      <c r="E863" s="142">
        <f>B10_Assessment!$C$86</f>
        <v>0.5</v>
      </c>
      <c r="F863" s="106" t="str">
        <f>B10_Assessment!$D$86</f>
        <v>N/A</v>
      </c>
      <c r="G863" s="106">
        <f>B10_Assessment!$E$86</f>
        <v>0.5</v>
      </c>
      <c r="H863" s="106" t="str">
        <f>B10_Assessment!$F$86</f>
        <v>N/A</v>
      </c>
      <c r="I863" s="106" t="str">
        <f>B10_Assessment!$G$86</f>
        <v>Verify</v>
      </c>
      <c r="J863" s="106">
        <f>B10_Assessment!$H$86</f>
        <v>0.5</v>
      </c>
      <c r="K863" s="106" t="str">
        <f>B10_Assessment!$I$86</f>
        <v>Partial / Yellow</v>
      </c>
      <c r="L863" s="106" t="str">
        <f>B10_Assessment!$J$86</f>
        <v>Normal electrical source coordination only.</v>
      </c>
    </row>
    <row r="864" spans="1:12" ht="17.25" customHeight="1">
      <c r="A864" s="106" t="str">
        <f>B10_Assessment!$B$2</f>
        <v>10</v>
      </c>
      <c r="B864" s="106" t="str">
        <f>"B10_Assessment"</f>
        <v>B10_Assessment</v>
      </c>
      <c r="C864" s="106" t="str">
        <f>B10_Assessment!$A$87</f>
        <v>B25</v>
      </c>
      <c r="D864" s="142">
        <f>B10_Assessment!$B$87</f>
        <v>0.5</v>
      </c>
      <c r="E864" s="142">
        <f>B10_Assessment!$C$87</f>
        <v>0.5</v>
      </c>
      <c r="F864" s="106" t="str">
        <f>B10_Assessment!$D$87</f>
        <v>N/A</v>
      </c>
      <c r="G864" s="106">
        <f>B10_Assessment!$E$87</f>
        <v>0.5</v>
      </c>
      <c r="H864" s="106" t="str">
        <f>B10_Assessment!$F$87</f>
        <v>N/A</v>
      </c>
      <c r="I864" s="106" t="str">
        <f>B10_Assessment!$G$87</f>
        <v>Verify</v>
      </c>
      <c r="J864" s="106">
        <f>B10_Assessment!$H$87</f>
        <v>0.5</v>
      </c>
      <c r="K864" s="106" t="str">
        <f>B10_Assessment!$I$87</f>
        <v>Partial / Yellow</v>
      </c>
      <c r="L864" s="106" t="str">
        <f>B10_Assessment!$J$87</f>
        <v>Emergency electrical source coordination only.</v>
      </c>
    </row>
    <row r="865" spans="1:12" ht="17.25" customHeight="1">
      <c r="A865" s="106" t="str">
        <f>B12_Assessment!$B$2</f>
        <v>12</v>
      </c>
      <c r="B865" s="106" t="str">
        <f>"B12_Assessment"</f>
        <v>B12_Assessment</v>
      </c>
      <c r="C865" s="106" t="str">
        <f>B12_Assessment!$A$72</f>
        <v>Fiber path B/1/2</v>
      </c>
      <c r="D865" s="142">
        <f>B12_Assessment!$B$72</f>
        <v>0.6</v>
      </c>
      <c r="E865" s="142">
        <f>B12_Assessment!$C$72</f>
        <v>0.5</v>
      </c>
      <c r="F865" s="106" t="str">
        <f>B12_Assessment!$D$72</f>
        <v>N/A</v>
      </c>
      <c r="G865" s="106" t="str">
        <f>B12_Assessment!$E$72</f>
        <v>N/A</v>
      </c>
      <c r="H865" s="106">
        <f>B12_Assessment!$F$72</f>
        <v>0.6</v>
      </c>
      <c r="I865" s="106" t="str">
        <f>B12_Assessment!$G$72</f>
        <v>Verify</v>
      </c>
      <c r="J865" s="106">
        <f>B12_Assessment!$H$72</f>
        <v>0.55000000000000004</v>
      </c>
      <c r="K865" s="106" t="str">
        <f>B12_Assessment!$I$72</f>
        <v>Partial / Yellow</v>
      </c>
      <c r="L865" s="106" t="str">
        <f>B12_Assessment!$J$72</f>
        <v>Fiber-only pathway and cutover must be field verified.</v>
      </c>
    </row>
    <row r="866" spans="1:12" ht="22.95" customHeight="1">
      <c r="A866" s="106" t="str">
        <f>B12_Assessment!$B$2</f>
        <v>12</v>
      </c>
      <c r="B866" s="106" t="str">
        <f>"B12_Assessment"</f>
        <v>B12_Assessment</v>
      </c>
      <c r="C866" s="106" t="str">
        <f>B12_Assessment!$A$73</f>
        <v>Existing rack/demarc - field verify</v>
      </c>
      <c r="D866" s="142">
        <f>B12_Assessment!$B$73</f>
        <v>0.5</v>
      </c>
      <c r="E866" s="142">
        <f>B12_Assessment!$C$73</f>
        <v>0.5</v>
      </c>
      <c r="F866" s="106" t="str">
        <f>B12_Assessment!$D$73</f>
        <v>N/A</v>
      </c>
      <c r="G866" s="106" t="str">
        <f>B12_Assessment!$E$73</f>
        <v>N/A</v>
      </c>
      <c r="H866" s="106">
        <f>B12_Assessment!$F$73</f>
        <v>0.6</v>
      </c>
      <c r="I866" s="106" t="str">
        <f>B12_Assessment!$G$73</f>
        <v>Verify</v>
      </c>
      <c r="J866" s="106">
        <f>B12_Assessment!$H$73</f>
        <v>0.53</v>
      </c>
      <c r="K866" s="106" t="str">
        <f>B12_Assessment!$I$73</f>
        <v>Partial / Yellow</v>
      </c>
      <c r="L866" s="106" t="str">
        <f>B12_Assessment!$J$73</f>
        <v>Existing service point/termination requires field confirmation.</v>
      </c>
    </row>
    <row r="867" spans="1:12" ht="34.950000000000003" customHeight="1">
      <c r="A867" s="106" t="str">
        <f>B13_Assessment!$B$2</f>
        <v>13</v>
      </c>
      <c r="B867" s="106" t="str">
        <f>"B13_Assessment"</f>
        <v>B13_Assessment</v>
      </c>
      <c r="C867" s="106" t="str">
        <f>B13_Assessment!$A$78</f>
        <v>124</v>
      </c>
      <c r="D867" s="142">
        <f>B13_Assessment!$B$78</f>
        <v>0.5</v>
      </c>
      <c r="E867" s="142">
        <f>B13_Assessment!$C$78</f>
        <v>0.5</v>
      </c>
      <c r="F867" s="106">
        <f>B13_Assessment!$D$78</f>
        <v>0.5</v>
      </c>
      <c r="G867" s="106">
        <f>B13_Assessment!$E$78</f>
        <v>0.5</v>
      </c>
      <c r="H867" s="106">
        <f>B13_Assessment!$F$78</f>
        <v>0.5</v>
      </c>
      <c r="I867" s="106" t="str">
        <f>B13_Assessment!$G$78</f>
        <v>Verify</v>
      </c>
      <c r="J867" s="106">
        <f>B13_Assessment!$H$78</f>
        <v>0.5</v>
      </c>
      <c r="K867" s="106" t="str">
        <f>B13_Assessment!$I$78</f>
        <v>Partial / Yellow</v>
      </c>
      <c r="L867" s="106" t="str">
        <f>B13_Assessment!$J$78</f>
        <v>New first-level TR with two racks, future rack, 240V UPS, cooling, access control and fire/life-safety coordination.</v>
      </c>
    </row>
    <row r="868" spans="1:12" ht="29.1" customHeight="1">
      <c r="A868" s="106" t="str">
        <f>B13_Assessment!$B$2</f>
        <v>13</v>
      </c>
      <c r="B868" s="106" t="str">
        <f>"B13_Assessment"</f>
        <v>B13_Assessment</v>
      </c>
      <c r="C868" s="106" t="str">
        <f>B13_Assessment!$A$79</f>
        <v>222</v>
      </c>
      <c r="D868" s="142">
        <f>B13_Assessment!$B$79</f>
        <v>0.5</v>
      </c>
      <c r="E868" s="142">
        <f>B13_Assessment!$C$79</f>
        <v>0.5</v>
      </c>
      <c r="F868" s="106">
        <f>B13_Assessment!$D$79</f>
        <v>0.5</v>
      </c>
      <c r="G868" s="106">
        <f>B13_Assessment!$E$79</f>
        <v>0.5</v>
      </c>
      <c r="H868" s="106">
        <f>B13_Assessment!$F$79</f>
        <v>0.5</v>
      </c>
      <c r="I868" s="106" t="str">
        <f>B13_Assessment!$G$79</f>
        <v>Verify</v>
      </c>
      <c r="J868" s="106">
        <f>B13_Assessment!$H$79</f>
        <v>0.5</v>
      </c>
      <c r="K868" s="106" t="str">
        <f>B13_Assessment!$I$79</f>
        <v>Partial / Yellow</v>
      </c>
      <c r="L868" s="106" t="str">
        <f>B13_Assessment!$J$79</f>
        <v>Existing second-level tel room and transition point; protect active services until cutover complete.</v>
      </c>
    </row>
    <row r="869" spans="1:12" ht="40.65" customHeight="1">
      <c r="A869" s="106" t="str">
        <f>B14_Assessment!$B$2</f>
        <v>14</v>
      </c>
      <c r="B869" s="106" t="str">
        <f>"B14_Assessment"</f>
        <v>B14_Assessment</v>
      </c>
      <c r="C869" s="106" t="str">
        <f>B14_Assessment!$A$85</f>
        <v>119</v>
      </c>
      <c r="D869" s="142">
        <f>B14_Assessment!$B$85</f>
        <v>0.5</v>
      </c>
      <c r="E869" s="142">
        <f>B14_Assessment!$C$85</f>
        <v>0.5</v>
      </c>
      <c r="F869" s="106">
        <f>B14_Assessment!$D$85</f>
        <v>0.5</v>
      </c>
      <c r="G869" s="106">
        <f>B14_Assessment!$E$85</f>
        <v>0.5</v>
      </c>
      <c r="H869" s="106">
        <f>B14_Assessment!$F$85</f>
        <v>0.5</v>
      </c>
      <c r="I869" s="106" t="str">
        <f>B14_Assessment!$G$85</f>
        <v>Verify</v>
      </c>
      <c r="J869" s="106">
        <f>B14_Assessment!$H$85</f>
        <v>0.5</v>
      </c>
      <c r="K869" s="106" t="str">
        <f>B14_Assessment!$I$85</f>
        <v>Partial / Yellow</v>
      </c>
      <c r="L869" s="106" t="str">
        <f>B14_Assessment!$J$85</f>
        <v>New first-level TR with one rack plus future rack, 240V UPS, cooling, access control, cable tray and fire/life-safety coordination.</v>
      </c>
    </row>
    <row r="870" spans="1:12" ht="29.1" customHeight="1">
      <c r="A870" s="106" t="str">
        <f>B14_Assessment!$B$2</f>
        <v>14</v>
      </c>
      <c r="B870" s="106" t="str">
        <f>"B14_Assessment"</f>
        <v>B14_Assessment</v>
      </c>
      <c r="C870" s="106" t="str">
        <f>B14_Assessment!$A$86</f>
        <v>B.01</v>
      </c>
      <c r="D870" s="142">
        <f>B14_Assessment!$B$86</f>
        <v>0.5</v>
      </c>
      <c r="E870" s="142">
        <f>B14_Assessment!$C$86</f>
        <v>0.5</v>
      </c>
      <c r="F870" s="106">
        <f>B14_Assessment!$D$86</f>
        <v>0.5</v>
      </c>
      <c r="G870" s="106">
        <f>B14_Assessment!$E$86</f>
        <v>0.5</v>
      </c>
      <c r="H870" s="106">
        <f>B14_Assessment!$F$86</f>
        <v>0.5</v>
      </c>
      <c r="I870" s="106" t="str">
        <f>B14_Assessment!$G$86</f>
        <v>Verify</v>
      </c>
      <c r="J870" s="106">
        <f>B14_Assessment!$H$86</f>
        <v>0.5</v>
      </c>
      <c r="K870" s="106" t="str">
        <f>B14_Assessment!$I$86</f>
        <v>Partial / Yellow</v>
      </c>
      <c r="L870" s="106" t="str">
        <f>B14_Assessment!$J$86</f>
        <v>Existing basement tel/fiber panel room and transition point; protect active services until cutover complete.</v>
      </c>
    </row>
    <row r="871" spans="1:12" ht="29.1" customHeight="1">
      <c r="A871" s="106" t="str">
        <f>B14_Assessment!$B$2</f>
        <v>14</v>
      </c>
      <c r="B871" s="106" t="str">
        <f>"B14_Assessment"</f>
        <v>B14_Assessment</v>
      </c>
      <c r="C871" s="106" t="str">
        <f>B14_Assessment!$A$87</f>
        <v>B2</v>
      </c>
      <c r="D871" s="142">
        <f>B14_Assessment!$B$87</f>
        <v>0.5</v>
      </c>
      <c r="E871" s="142">
        <f>B14_Assessment!$C$87</f>
        <v>0.5</v>
      </c>
      <c r="F871" s="106">
        <f>B14_Assessment!$D$87</f>
        <v>0.5</v>
      </c>
      <c r="G871" s="106">
        <f>B14_Assessment!$E$87</f>
        <v>0.5</v>
      </c>
      <c r="H871" s="106">
        <f>B14_Assessment!$F$87</f>
        <v>0.5</v>
      </c>
      <c r="I871" s="106" t="str">
        <f>B14_Assessment!$G$87</f>
        <v>Verify</v>
      </c>
      <c r="J871" s="106">
        <f>B14_Assessment!$H$87</f>
        <v>0.5</v>
      </c>
      <c r="K871" s="106" t="str">
        <f>B14_Assessment!$I$87</f>
        <v>Partial / Yellow</v>
      </c>
      <c r="L871" s="106" t="str">
        <f>B14_Assessment!$J$87</f>
        <v>Existing basement telecom room reference; field verify scope and active status.</v>
      </c>
    </row>
    <row r="872" spans="1:12" ht="40.65" customHeight="1">
      <c r="A872" s="106" t="str">
        <f>B15_Assessment!$B$2</f>
        <v>15</v>
      </c>
      <c r="B872" s="106" t="str">
        <f>"B15_Assessment"</f>
        <v>B15_Assessment</v>
      </c>
      <c r="C872" s="106" t="str">
        <f>B15_Assessment!$A$85</f>
        <v>124A</v>
      </c>
      <c r="D872" s="142">
        <f>B15_Assessment!$B$85</f>
        <v>0.5</v>
      </c>
      <c r="E872" s="142">
        <f>B15_Assessment!$C$85</f>
        <v>0.5</v>
      </c>
      <c r="F872" s="106">
        <f>B15_Assessment!$D$85</f>
        <v>0.5</v>
      </c>
      <c r="G872" s="106">
        <f>B15_Assessment!$E$85</f>
        <v>0.5</v>
      </c>
      <c r="H872" s="106">
        <f>B15_Assessment!$F$85</f>
        <v>0.5</v>
      </c>
      <c r="I872" s="106" t="str">
        <f>B15_Assessment!$G$85</f>
        <v>Verify</v>
      </c>
      <c r="J872" s="106">
        <f>B15_Assessment!$H$85</f>
        <v>0.5</v>
      </c>
      <c r="K872" s="106" t="str">
        <f>B15_Assessment!$I$85</f>
        <v>Partial / Yellow</v>
      </c>
      <c r="L872" s="106" t="str">
        <f>B15_Assessment!$J$85</f>
        <v>New first-level TR with one rack plus future rack, 240V UPS, heat-pump cooling, access control, cable tray and fire/life-safety coordination.</v>
      </c>
    </row>
    <row r="873" spans="1:12" ht="29.1" customHeight="1">
      <c r="A873" s="106" t="str">
        <f>B15_Assessment!$B$2</f>
        <v>15</v>
      </c>
      <c r="B873" s="106" t="str">
        <f>"B15_Assessment"</f>
        <v>B15_Assessment</v>
      </c>
      <c r="C873" s="106" t="str">
        <f>B15_Assessment!$A$86</f>
        <v>222</v>
      </c>
      <c r="D873" s="142">
        <f>B15_Assessment!$B$86</f>
        <v>0.5</v>
      </c>
      <c r="E873" s="142">
        <f>B15_Assessment!$C$86</f>
        <v>0.5</v>
      </c>
      <c r="F873" s="106">
        <f>B15_Assessment!$D$86</f>
        <v>0.5</v>
      </c>
      <c r="G873" s="106">
        <f>B15_Assessment!$E$86</f>
        <v>0.5</v>
      </c>
      <c r="H873" s="106">
        <f>B15_Assessment!$F$86</f>
        <v>0.5</v>
      </c>
      <c r="I873" s="106" t="str">
        <f>B15_Assessment!$G$86</f>
        <v>Verify</v>
      </c>
      <c r="J873" s="106">
        <f>B15_Assessment!$H$86</f>
        <v>0.5</v>
      </c>
      <c r="K873" s="106" t="str">
        <f>B15_Assessment!$I$86</f>
        <v>Partial / Yellow</v>
      </c>
      <c r="L873" s="106" t="str">
        <f>B15_Assessment!$J$86</f>
        <v>Existing second-level tel room and transition point; protect active services until cutover complete.</v>
      </c>
    </row>
    <row r="874" spans="1:12" ht="22.95" customHeight="1">
      <c r="A874" s="106" t="str">
        <f>B15_Assessment!$B$2</f>
        <v>15</v>
      </c>
      <c r="B874" s="106" t="str">
        <f>"B15_Assessment"</f>
        <v>B15_Assessment</v>
      </c>
      <c r="C874" s="106" t="str">
        <f>B15_Assessment!$A$87</f>
        <v>B01</v>
      </c>
      <c r="D874" s="142">
        <f>B15_Assessment!$B$87</f>
        <v>0.5</v>
      </c>
      <c r="E874" s="142">
        <f>B15_Assessment!$C$87</f>
        <v>0.5</v>
      </c>
      <c r="F874" s="106">
        <f>B15_Assessment!$D$87</f>
        <v>0.5</v>
      </c>
      <c r="G874" s="106">
        <f>B15_Assessment!$E$87</f>
        <v>0.5</v>
      </c>
      <c r="H874" s="106">
        <f>B15_Assessment!$F$87</f>
        <v>0.5</v>
      </c>
      <c r="I874" s="106" t="str">
        <f>B15_Assessment!$G$87</f>
        <v>Verify</v>
      </c>
      <c r="J874" s="106">
        <f>B15_Assessment!$H$87</f>
        <v>0.5</v>
      </c>
      <c r="K874" s="106" t="str">
        <f>B15_Assessment!$I$87</f>
        <v>Partial / Yellow</v>
      </c>
      <c r="L874" s="106" t="str">
        <f>B15_Assessment!$J$87</f>
        <v>Existing basement telecom/crossover room; field verify scope and active status.</v>
      </c>
    </row>
    <row r="875" spans="1:12" ht="40.65" customHeight="1">
      <c r="A875" s="106" t="str">
        <f>B16_Assessment!$B$2</f>
        <v>16</v>
      </c>
      <c r="B875" s="106" t="str">
        <f>"B16_Assessment"</f>
        <v>B16_Assessment</v>
      </c>
      <c r="C875" s="106" t="str">
        <f>B16_Assessment!$A$78</f>
        <v>015</v>
      </c>
      <c r="D875" s="142">
        <f>B16_Assessment!$B$78</f>
        <v>0.5</v>
      </c>
      <c r="E875" s="142">
        <f>B16_Assessment!$C$78</f>
        <v>0.5</v>
      </c>
      <c r="F875" s="106">
        <f>B16_Assessment!$D$78</f>
        <v>0.5</v>
      </c>
      <c r="G875" s="106">
        <f>B16_Assessment!$E$78</f>
        <v>0.5</v>
      </c>
      <c r="H875" s="106">
        <f>B16_Assessment!$F$78</f>
        <v>0.5</v>
      </c>
      <c r="I875" s="106" t="str">
        <f>B16_Assessment!$G$78</f>
        <v>Verify</v>
      </c>
      <c r="J875" s="106">
        <f>B16_Assessment!$H$78</f>
        <v>0.5</v>
      </c>
      <c r="K875" s="106" t="str">
        <f>B16_Assessment!$I$78</f>
        <v>Partial / Yellow</v>
      </c>
      <c r="L875" s="106" t="str">
        <f>B16_Assessment!$J$78</f>
        <v>New basement TR with one rack plus future rack, 240V UPS, cooling, access control, cable tray and fire/life-safety coordination.</v>
      </c>
    </row>
    <row r="876" spans="1:12" ht="29.1" customHeight="1">
      <c r="A876" s="106" t="str">
        <f>B16_Assessment!$B$2</f>
        <v>16</v>
      </c>
      <c r="B876" s="106" t="str">
        <f>"B16_Assessment"</f>
        <v>B16_Assessment</v>
      </c>
      <c r="C876" s="106" t="str">
        <f>B16_Assessment!$A$79</f>
        <v>014</v>
      </c>
      <c r="D876" s="142">
        <f>B16_Assessment!$B$79</f>
        <v>0.5</v>
      </c>
      <c r="E876" s="142">
        <f>B16_Assessment!$C$79</f>
        <v>0.5</v>
      </c>
      <c r="F876" s="106">
        <f>B16_Assessment!$D$79</f>
        <v>0.5</v>
      </c>
      <c r="G876" s="106">
        <f>B16_Assessment!$E$79</f>
        <v>0.5</v>
      </c>
      <c r="H876" s="106">
        <f>B16_Assessment!$F$79</f>
        <v>0.5</v>
      </c>
      <c r="I876" s="106" t="str">
        <f>B16_Assessment!$G$79</f>
        <v>Verify</v>
      </c>
      <c r="J876" s="106">
        <f>B16_Assessment!$H$79</f>
        <v>0.5</v>
      </c>
      <c r="K876" s="106" t="str">
        <f>B16_Assessment!$I$79</f>
        <v>Partial / Yellow</v>
      </c>
      <c r="L876" s="106" t="str">
        <f>B16_Assessment!$J$79</f>
        <v>Existing basement telecom room and transition point; protect active services until cutover complete.</v>
      </c>
    </row>
    <row r="877" spans="1:12" ht="40.65" customHeight="1">
      <c r="A877" s="106" t="str">
        <f>B17_Assessment!$B$2</f>
        <v>17</v>
      </c>
      <c r="B877" s="106" t="str">
        <f>"B17_Assessment"</f>
        <v>B17_Assessment</v>
      </c>
      <c r="C877" s="106" t="str">
        <f>B17_Assessment!$A$85</f>
        <v>118</v>
      </c>
      <c r="D877" s="142">
        <f>B17_Assessment!$B$85</f>
        <v>0.5</v>
      </c>
      <c r="E877" s="142">
        <f>B17_Assessment!$C$85</f>
        <v>0.5</v>
      </c>
      <c r="F877" s="106">
        <f>B17_Assessment!$D$85</f>
        <v>0.5</v>
      </c>
      <c r="G877" s="106">
        <f>B17_Assessment!$E$85</f>
        <v>0.5</v>
      </c>
      <c r="H877" s="106">
        <f>B17_Assessment!$F$85</f>
        <v>0.5</v>
      </c>
      <c r="I877" s="106" t="str">
        <f>B17_Assessment!$G$85</f>
        <v>Verify</v>
      </c>
      <c r="J877" s="106">
        <f>B17_Assessment!$H$85</f>
        <v>0.5</v>
      </c>
      <c r="K877" s="106" t="str">
        <f>B17_Assessment!$I$85</f>
        <v>Partial / Yellow</v>
      </c>
      <c r="L877" s="106" t="str">
        <f>B17_Assessment!$J$85</f>
        <v>New first-level TR with one rack plus future rack, 208V UPS, cooling, access control, 517 ft cable tray and B29 service coordination.</v>
      </c>
    </row>
    <row r="878" spans="1:12" ht="29.1" customHeight="1">
      <c r="A878" s="106" t="str">
        <f>B17_Assessment!$B$2</f>
        <v>17</v>
      </c>
      <c r="B878" s="106" t="str">
        <f>"B17_Assessment"</f>
        <v>B17_Assessment</v>
      </c>
      <c r="C878" s="106" t="str">
        <f>B17_Assessment!$A$86</f>
        <v>B35A</v>
      </c>
      <c r="D878" s="142">
        <f>B17_Assessment!$B$86</f>
        <v>0.5</v>
      </c>
      <c r="E878" s="142">
        <f>B17_Assessment!$C$86</f>
        <v>0.5</v>
      </c>
      <c r="F878" s="106">
        <f>B17_Assessment!$D$86</f>
        <v>0.5</v>
      </c>
      <c r="G878" s="106">
        <f>B17_Assessment!$E$86</f>
        <v>0.5</v>
      </c>
      <c r="H878" s="106">
        <f>B17_Assessment!$F$86</f>
        <v>0.5</v>
      </c>
      <c r="I878" s="106" t="str">
        <f>B17_Assessment!$G$86</f>
        <v>Verify</v>
      </c>
      <c r="J878" s="106">
        <f>B17_Assessment!$H$86</f>
        <v>0.5</v>
      </c>
      <c r="K878" s="106" t="str">
        <f>B17_Assessment!$I$86</f>
        <v>Partial / Yellow</v>
      </c>
      <c r="L878" s="106" t="str">
        <f>B17_Assessment!$J$86</f>
        <v>Existing basement telecom closet and transition point; protect active services until cutover complete.</v>
      </c>
    </row>
    <row r="879" spans="1:12" ht="29.1" customHeight="1">
      <c r="A879" s="106" t="str">
        <f>B17_Assessment!$B$2</f>
        <v>17</v>
      </c>
      <c r="B879" s="106" t="str">
        <f>"B17_Assessment"</f>
        <v>B17_Assessment</v>
      </c>
      <c r="C879" s="106" t="str">
        <f>B17_Assessment!$A$87</f>
        <v>B29 Path</v>
      </c>
      <c r="D879" s="142">
        <f>B17_Assessment!$B$87</f>
        <v>0.5</v>
      </c>
      <c r="E879" s="142">
        <f>B17_Assessment!$C$87</f>
        <v>0.5</v>
      </c>
      <c r="F879" s="106" t="str">
        <f>B17_Assessment!$D$87</f>
        <v>N/A</v>
      </c>
      <c r="G879" s="106">
        <f>B17_Assessment!$E$87</f>
        <v>0.5</v>
      </c>
      <c r="H879" s="106">
        <f>B17_Assessment!$F$87</f>
        <v>0.5</v>
      </c>
      <c r="I879" s="106" t="str">
        <f>B17_Assessment!$G$87</f>
        <v>Verify</v>
      </c>
      <c r="J879" s="106">
        <f>B17_Assessment!$H$87</f>
        <v>0.5</v>
      </c>
      <c r="K879" s="106" t="str">
        <f>B17_Assessment!$I$87</f>
        <v>Partial / Yellow</v>
      </c>
      <c r="L879" s="106" t="str">
        <f>B17_Assessment!$J$87</f>
        <v>Building 29 served from B17; verify pathway, fiber, labeling, test records and PMIS mapping.</v>
      </c>
    </row>
    <row r="880" spans="1:12" ht="40.65" customHeight="1">
      <c r="A880" s="106" t="str">
        <f>B18_Assessment!$B$2</f>
        <v>18</v>
      </c>
      <c r="B880" s="106" t="str">
        <f>"B18_Assessment"</f>
        <v>B18_Assessment</v>
      </c>
      <c r="C880" s="106" t="str">
        <f>B18_Assessment!$A$85</f>
        <v>110</v>
      </c>
      <c r="D880" s="142">
        <f>B18_Assessment!$B$85</f>
        <v>0.5</v>
      </c>
      <c r="E880" s="142">
        <f>B18_Assessment!$C$85</f>
        <v>0.5</v>
      </c>
      <c r="F880" s="106">
        <f>B18_Assessment!$D$85</f>
        <v>0.5</v>
      </c>
      <c r="G880" s="106">
        <f>B18_Assessment!$E$85</f>
        <v>0.5</v>
      </c>
      <c r="H880" s="106">
        <f>B18_Assessment!$F$85</f>
        <v>0.5</v>
      </c>
      <c r="I880" s="106" t="str">
        <f>B18_Assessment!$G$85</f>
        <v>Verify</v>
      </c>
      <c r="J880" s="106">
        <f>B18_Assessment!$H$85</f>
        <v>0.5</v>
      </c>
      <c r="K880" s="106" t="str">
        <f>B18_Assessment!$I$85</f>
        <v>Partial / Yellow</v>
      </c>
      <c r="L880" s="106" t="str">
        <f>B18_Assessment!$J$85</f>
        <v>New first-level TR with one rack plus future rack, 208V UPS, cooling, access control, 315 ft cable tray and fire/life-safety coordination.</v>
      </c>
    </row>
    <row r="881" spans="1:12" ht="22.95" customHeight="1">
      <c r="A881" s="106" t="str">
        <f>B18_Assessment!$B$2</f>
        <v>18</v>
      </c>
      <c r="B881" s="106" t="str">
        <f>"B18_Assessment"</f>
        <v>B18_Assessment</v>
      </c>
      <c r="C881" s="106" t="str">
        <f>B18_Assessment!$A$86</f>
        <v>111B</v>
      </c>
      <c r="D881" s="142">
        <f>B18_Assessment!$B$86</f>
        <v>0.5</v>
      </c>
      <c r="E881" s="142">
        <f>B18_Assessment!$C$86</f>
        <v>0.5</v>
      </c>
      <c r="F881" s="106">
        <f>B18_Assessment!$D$86</f>
        <v>0.5</v>
      </c>
      <c r="G881" s="106">
        <f>B18_Assessment!$E$86</f>
        <v>0.5</v>
      </c>
      <c r="H881" s="106">
        <f>B18_Assessment!$F$86</f>
        <v>0.5</v>
      </c>
      <c r="I881" s="106" t="str">
        <f>B18_Assessment!$G$86</f>
        <v>Verify</v>
      </c>
      <c r="J881" s="106">
        <f>B18_Assessment!$H$86</f>
        <v>0.5</v>
      </c>
      <c r="K881" s="106" t="str">
        <f>B18_Assessment!$I$86</f>
        <v>Partial / Yellow</v>
      </c>
      <c r="L881" s="106" t="str">
        <f>B18_Assessment!$J$86</f>
        <v>Existing first-level TE and transition point; protect active services until cutover complete.</v>
      </c>
    </row>
    <row r="882" spans="1:12" ht="29.1" customHeight="1">
      <c r="A882" s="106" t="str">
        <f>B18_Assessment!$B$2</f>
        <v>18</v>
      </c>
      <c r="B882" s="106" t="str">
        <f>"B18_Assessment"</f>
        <v>B18_Assessment</v>
      </c>
      <c r="C882" s="106" t="str">
        <f>B18_Assessment!$A$87</f>
        <v>213</v>
      </c>
      <c r="D882" s="142">
        <f>B18_Assessment!$B$87</f>
        <v>0.5</v>
      </c>
      <c r="E882" s="142">
        <f>B18_Assessment!$C$87</f>
        <v>0.5</v>
      </c>
      <c r="F882" s="106">
        <f>B18_Assessment!$D$87</f>
        <v>0.5</v>
      </c>
      <c r="G882" s="106">
        <f>B18_Assessment!$E$87</f>
        <v>0.5</v>
      </c>
      <c r="H882" s="106">
        <f>B18_Assessment!$F$87</f>
        <v>0.5</v>
      </c>
      <c r="I882" s="106" t="str">
        <f>B18_Assessment!$G$87</f>
        <v>Verify</v>
      </c>
      <c r="J882" s="106">
        <f>B18_Assessment!$H$87</f>
        <v>0.5</v>
      </c>
      <c r="K882" s="106" t="str">
        <f>B18_Assessment!$I$87</f>
        <v>Partial / Yellow</v>
      </c>
      <c r="L882" s="106" t="str">
        <f>B18_Assessment!$J$87</f>
        <v>Existing second-level telecom closet and transition point; protect active services until cutover complete.</v>
      </c>
    </row>
    <row r="883" spans="1:12" ht="40.65" customHeight="1">
      <c r="A883" s="106" t="str">
        <f>B20_Assessment!$B$2</f>
        <v>20</v>
      </c>
      <c r="B883" s="106" t="str">
        <f>"B20_Assessment"</f>
        <v>B20_Assessment</v>
      </c>
      <c r="C883" s="106" t="str">
        <f>B20_Assessment!$A$78</f>
        <v>1B</v>
      </c>
      <c r="D883" s="142">
        <f>B20_Assessment!$B$78</f>
        <v>0.5</v>
      </c>
      <c r="E883" s="142">
        <f>B20_Assessment!$C$78</f>
        <v>0.5</v>
      </c>
      <c r="F883" s="106" t="str">
        <f>B20_Assessment!$D$78</f>
        <v>N/A / Verify</v>
      </c>
      <c r="G883" s="106">
        <f>B20_Assessment!$E$78</f>
        <v>0.5</v>
      </c>
      <c r="H883" s="106">
        <f>B20_Assessment!$F$78</f>
        <v>0.5</v>
      </c>
      <c r="I883" s="106" t="str">
        <f>B20_Assessment!$G$78</f>
        <v>Verify</v>
      </c>
      <c r="J883" s="106">
        <f>B20_Assessment!$H$78</f>
        <v>0.5</v>
      </c>
      <c r="K883" s="106" t="str">
        <f>B20_Assessment!$I$78</f>
        <v>Partial / Yellow</v>
      </c>
      <c r="L883" s="106" t="str">
        <f>B20_Assessment!$J$78</f>
        <v>New first-level Office TE with 12RU wall enclosure, UPS/PDU, 459 ft cable tray, fiber/copper cutover and no dedicated mechanical/FP scope.</v>
      </c>
    </row>
    <row r="884" spans="1:12" ht="29.1" customHeight="1">
      <c r="A884" s="106" t="str">
        <f>B20_Assessment!$B$2</f>
        <v>20</v>
      </c>
      <c r="B884" s="106" t="str">
        <f>"B20_Assessment"</f>
        <v>B20_Assessment</v>
      </c>
      <c r="C884" s="106" t="str">
        <f>B20_Assessment!$A$79</f>
        <v>8A</v>
      </c>
      <c r="D884" s="142">
        <f>B20_Assessment!$B$79</f>
        <v>0.5</v>
      </c>
      <c r="E884" s="142">
        <f>B20_Assessment!$C$79</f>
        <v>0.5</v>
      </c>
      <c r="F884" s="106">
        <f>B20_Assessment!$D$79</f>
        <v>0.5</v>
      </c>
      <c r="G884" s="106">
        <f>B20_Assessment!$E$79</f>
        <v>0.5</v>
      </c>
      <c r="H884" s="106">
        <f>B20_Assessment!$F$79</f>
        <v>0.5</v>
      </c>
      <c r="I884" s="106" t="str">
        <f>B20_Assessment!$G$79</f>
        <v>Verify</v>
      </c>
      <c r="J884" s="106">
        <f>B20_Assessment!$H$79</f>
        <v>0.5</v>
      </c>
      <c r="K884" s="106" t="str">
        <f>B20_Assessment!$I$79</f>
        <v>Partial / Yellow</v>
      </c>
      <c r="L884" s="106" t="str">
        <f>B20_Assessment!$J$79</f>
        <v>Existing Tel/Data Closet and transition point; protect active services until cutover complete.</v>
      </c>
    </row>
    <row r="885" spans="1:12" ht="40.65" customHeight="1">
      <c r="A885" s="106" t="str">
        <f>B21_Assessment!$B$2</f>
        <v>21</v>
      </c>
      <c r="B885" s="106" t="str">
        <f>"B21_Assessment"</f>
        <v>B21_Assessment</v>
      </c>
      <c r="C885" s="106" t="str">
        <f>B21_Assessment!$A$85</f>
        <v>100A</v>
      </c>
      <c r="D885" s="142">
        <f>B21_Assessment!$B$85</f>
        <v>0.5</v>
      </c>
      <c r="E885" s="142">
        <f>B21_Assessment!$C$85</f>
        <v>0.5</v>
      </c>
      <c r="F885" s="106">
        <f>B21_Assessment!$D$85</f>
        <v>0.5</v>
      </c>
      <c r="G885" s="106">
        <f>B21_Assessment!$E$85</f>
        <v>0.5</v>
      </c>
      <c r="H885" s="106">
        <f>B21_Assessment!$F$85</f>
        <v>0.5</v>
      </c>
      <c r="I885" s="106" t="str">
        <f>B21_Assessment!$G$85</f>
        <v>Verify</v>
      </c>
      <c r="J885" s="106">
        <f>B21_Assessment!$H$85</f>
        <v>0.5</v>
      </c>
      <c r="K885" s="106" t="str">
        <f>B21_Assessment!$I$85</f>
        <v>Partial / Yellow</v>
      </c>
      <c r="L885" s="106" t="str">
        <f>B21_Assessment!$J$85</f>
        <v>New first-level TE with 12RU wall enclosure, UPS/PDU, 659 ft cable tray, fiber/copper cutover and B19/B21 room naming coordination.</v>
      </c>
    </row>
    <row r="886" spans="1:12" ht="29.1" customHeight="1">
      <c r="A886" s="106" t="str">
        <f>B21_Assessment!$B$2</f>
        <v>21</v>
      </c>
      <c r="B886" s="106" t="str">
        <f>"B21_Assessment"</f>
        <v>B21_Assessment</v>
      </c>
      <c r="C886" s="106" t="str">
        <f>B21_Assessment!$A$86</f>
        <v>B1.TR</v>
      </c>
      <c r="D886" s="142">
        <f>B21_Assessment!$B$86</f>
        <v>0.5</v>
      </c>
      <c r="E886" s="142">
        <f>B21_Assessment!$C$86</f>
        <v>0.5</v>
      </c>
      <c r="F886" s="106">
        <f>B21_Assessment!$D$86</f>
        <v>0.5</v>
      </c>
      <c r="G886" s="106">
        <f>B21_Assessment!$E$86</f>
        <v>0.5</v>
      </c>
      <c r="H886" s="106">
        <f>B21_Assessment!$F$86</f>
        <v>0.5</v>
      </c>
      <c r="I886" s="106" t="str">
        <f>B21_Assessment!$G$86</f>
        <v>Verify</v>
      </c>
      <c r="J886" s="106">
        <f>B21_Assessment!$H$86</f>
        <v>0.5</v>
      </c>
      <c r="K886" s="106" t="str">
        <f>B21_Assessment!$I$86</f>
        <v>Partial / Yellow</v>
      </c>
      <c r="L886" s="106" t="str">
        <f>B21_Assessment!$J$86</f>
        <v>Existing Building 21 basement telecom transition point; protect active services until cutover complete.</v>
      </c>
    </row>
    <row r="887" spans="1:12" ht="29.1" customHeight="1">
      <c r="A887" s="106" t="str">
        <f>B21_Assessment!$B$2</f>
        <v>21</v>
      </c>
      <c r="B887" s="106" t="str">
        <f>"B21_Assessment"</f>
        <v>B21_Assessment</v>
      </c>
      <c r="C887" s="106" t="str">
        <f>B21_Assessment!$A$87</f>
        <v>B05TR</v>
      </c>
      <c r="D887" s="142">
        <f>B21_Assessment!$B$87</f>
        <v>0.5</v>
      </c>
      <c r="E887" s="142">
        <f>B21_Assessment!$C$87</f>
        <v>0.5</v>
      </c>
      <c r="F887" s="106">
        <f>B21_Assessment!$D$87</f>
        <v>0.5</v>
      </c>
      <c r="G887" s="106">
        <f>B21_Assessment!$E$87</f>
        <v>0.5</v>
      </c>
      <c r="H887" s="106">
        <f>B21_Assessment!$F$87</f>
        <v>0.5</v>
      </c>
      <c r="I887" s="106" t="str">
        <f>B21_Assessment!$G$87</f>
        <v>Verify</v>
      </c>
      <c r="J887" s="106">
        <f>B21_Assessment!$H$87</f>
        <v>0.5</v>
      </c>
      <c r="K887" s="106" t="str">
        <f>B21_Assessment!$I$87</f>
        <v>Partial / Yellow</v>
      </c>
      <c r="L887" s="106" t="str">
        <f>B21_Assessment!$J$87</f>
        <v>Existing Building 19 telecom transition point tied into Building 21 scope; confirm shared service boundary.</v>
      </c>
    </row>
    <row r="888" spans="1:12" ht="46.35" customHeight="1">
      <c r="A888" s="106" t="str">
        <f>B22_Assessment!$B$2</f>
        <v>22</v>
      </c>
      <c r="B888" s="106" t="str">
        <f>"B22_Assessment"</f>
        <v>B22_Assessment</v>
      </c>
      <c r="C888" s="106" t="str">
        <f>B22_Assessment!$A$78</f>
        <v>102</v>
      </c>
      <c r="D888" s="142">
        <f>B22_Assessment!$B$78</f>
        <v>0.5</v>
      </c>
      <c r="E888" s="142">
        <f>B22_Assessment!$C$78</f>
        <v>0.5</v>
      </c>
      <c r="F888" s="106" t="str">
        <f>B22_Assessment!$D$78</f>
        <v>N/A / Verify</v>
      </c>
      <c r="G888" s="106">
        <f>B22_Assessment!$E$78</f>
        <v>0.5</v>
      </c>
      <c r="H888" s="106">
        <f>B22_Assessment!$F$78</f>
        <v>0.5</v>
      </c>
      <c r="I888" s="106" t="str">
        <f>B22_Assessment!$G$78</f>
        <v>Verify</v>
      </c>
      <c r="J888" s="106">
        <f>B22_Assessment!$H$78</f>
        <v>0.5</v>
      </c>
      <c r="K888" s="106" t="str">
        <f>B22_Assessment!$I$78</f>
        <v>Partial / Yellow</v>
      </c>
      <c r="L888" s="106" t="str">
        <f>B22_Assessment!$J$78</f>
        <v>New first-level Break Room TE with 12RU wall enclosure, UPS/PDU, 139 ft cable tray, fiber/copper cutover and no dedicated mechanical/FP scope.</v>
      </c>
    </row>
    <row r="889" spans="1:12" ht="29.1" customHeight="1">
      <c r="A889" s="106" t="str">
        <f>B22_Assessment!$B$2</f>
        <v>22</v>
      </c>
      <c r="B889" s="106" t="str">
        <f>"B22_Assessment"</f>
        <v>B22_Assessment</v>
      </c>
      <c r="C889" s="106" t="str">
        <f>B22_Assessment!$A$79</f>
        <v>103</v>
      </c>
      <c r="D889" s="142">
        <f>B22_Assessment!$B$79</f>
        <v>0.5</v>
      </c>
      <c r="E889" s="142">
        <f>B22_Assessment!$C$79</f>
        <v>0.5</v>
      </c>
      <c r="F889" s="106">
        <f>B22_Assessment!$D$79</f>
        <v>0.5</v>
      </c>
      <c r="G889" s="106">
        <f>B22_Assessment!$E$79</f>
        <v>0.5</v>
      </c>
      <c r="H889" s="106">
        <f>B22_Assessment!$F$79</f>
        <v>0.5</v>
      </c>
      <c r="I889" s="106" t="str">
        <f>B22_Assessment!$G$79</f>
        <v>Verify</v>
      </c>
      <c r="J889" s="106">
        <f>B22_Assessment!$H$79</f>
        <v>0.5</v>
      </c>
      <c r="K889" s="106" t="str">
        <f>B22_Assessment!$I$79</f>
        <v>Partial / Yellow</v>
      </c>
      <c r="L889" s="106" t="str">
        <f>B22_Assessment!$J$79</f>
        <v>Existing wall/wall-mount TE and transition point; protect active services until cutover complete.</v>
      </c>
    </row>
    <row r="890" spans="1:12" ht="40.65" customHeight="1">
      <c r="A890" s="106" t="str">
        <f>B33_Assessment!$B$2</f>
        <v>33</v>
      </c>
      <c r="B890" s="106" t="str">
        <f>"B33_Assessment"</f>
        <v>B33_Assessment</v>
      </c>
      <c r="C890" s="106" t="str">
        <f>B33_Assessment!$A$78</f>
        <v>B23</v>
      </c>
      <c r="D890" s="142">
        <f>B33_Assessment!$B$78</f>
        <v>0.5</v>
      </c>
      <c r="E890" s="142">
        <f>B33_Assessment!$C$78</f>
        <v>0.5</v>
      </c>
      <c r="F890" s="106" t="str">
        <f>B33_Assessment!$D$78</f>
        <v>N/A / Verify</v>
      </c>
      <c r="G890" s="106">
        <f>B33_Assessment!$E$78</f>
        <v>0.5</v>
      </c>
      <c r="H890" s="106">
        <f>B33_Assessment!$F$78</f>
        <v>0.5</v>
      </c>
      <c r="I890" s="106" t="str">
        <f>B33_Assessment!$G$78</f>
        <v>Verify</v>
      </c>
      <c r="J890" s="106">
        <f>B33_Assessment!$H$78</f>
        <v>0.5</v>
      </c>
      <c r="K890" s="106" t="str">
        <f>B33_Assessment!$I$78</f>
        <v>Partial / Yellow</v>
      </c>
      <c r="L890" s="106" t="str">
        <f>B33_Assessment!$J$78</f>
        <v>New basement office TE with 12RU wall enclosure, UPS/PDU, 102 ft cable tray, fiber/copper cutover and no dedicated mechanical/FP scope.</v>
      </c>
    </row>
    <row r="891" spans="1:12" ht="22.95" customHeight="1">
      <c r="A891" s="106" t="str">
        <f>B33_Assessment!$B$2</f>
        <v>33</v>
      </c>
      <c r="B891" s="106" t="str">
        <f>"B33_Assessment"</f>
        <v>B33_Assessment</v>
      </c>
      <c r="C891" s="106" t="str">
        <f>B33_Assessment!$A$79</f>
        <v>B17</v>
      </c>
      <c r="D891" s="142">
        <f>B33_Assessment!$B$79</f>
        <v>0.5</v>
      </c>
      <c r="E891" s="142">
        <f>B33_Assessment!$C$79</f>
        <v>0.5</v>
      </c>
      <c r="F891" s="106">
        <f>B33_Assessment!$D$79</f>
        <v>0.5</v>
      </c>
      <c r="G891" s="106">
        <f>B33_Assessment!$E$79</f>
        <v>0.5</v>
      </c>
      <c r="H891" s="106">
        <f>B33_Assessment!$F$79</f>
        <v>0.5</v>
      </c>
      <c r="I891" s="106" t="str">
        <f>B33_Assessment!$G$79</f>
        <v>Verify</v>
      </c>
      <c r="J891" s="106">
        <f>B33_Assessment!$H$79</f>
        <v>0.5</v>
      </c>
      <c r="K891" s="106" t="str">
        <f>B33_Assessment!$I$79</f>
        <v>Partial / Yellow</v>
      </c>
      <c r="L891" s="106" t="str">
        <f>B33_Assessment!$J$79</f>
        <v>Existing Tel Closet and transition point; protect active services until cutover complete.</v>
      </c>
    </row>
    <row r="892" spans="1:12" ht="34.950000000000003" customHeight="1">
      <c r="A892" s="106" t="str">
        <f>B61_Assessment!$B$2</f>
        <v>61</v>
      </c>
      <c r="B892" s="106" t="str">
        <f>"B61_Assessment"</f>
        <v>B61_Assessment</v>
      </c>
      <c r="C892" s="106" t="str">
        <f>B61_Assessment!$A$92</f>
        <v>B13H-A</v>
      </c>
      <c r="D892" s="142">
        <f>B61_Assessment!$B$92</f>
        <v>0.5</v>
      </c>
      <c r="E892" s="142">
        <f>B61_Assessment!$C$92</f>
        <v>0.5</v>
      </c>
      <c r="F892" s="106">
        <f>B61_Assessment!$D$92</f>
        <v>0.5</v>
      </c>
      <c r="G892" s="106">
        <f>B61_Assessment!$E$92</f>
        <v>0.5</v>
      </c>
      <c r="H892" s="106">
        <f>B61_Assessment!$F$92</f>
        <v>0.5</v>
      </c>
      <c r="I892" s="106" t="str">
        <f>B61_Assessment!$G$92</f>
        <v>Verify</v>
      </c>
      <c r="J892" s="106">
        <f>B61_Assessment!$H$92</f>
        <v>0.5</v>
      </c>
      <c r="K892" s="106" t="str">
        <f>B61_Assessment!$I$92</f>
        <v>Partial / Yellow</v>
      </c>
      <c r="L892" s="106" t="str">
        <f>B61_Assessment!$J$92</f>
        <v>Basement TR with 142 total ports including allowance, dedicated cooling, UPS/PDU, cable tray and fire/life-safety scope.</v>
      </c>
    </row>
    <row r="893" spans="1:12" ht="34.950000000000003" customHeight="1">
      <c r="A893" s="106" t="str">
        <f>B61_Assessment!$B$2</f>
        <v>61</v>
      </c>
      <c r="B893" s="106" t="str">
        <f>"B61_Assessment"</f>
        <v>B61_Assessment</v>
      </c>
      <c r="C893" s="106" t="str">
        <f>B61_Assessment!$A$93</f>
        <v>124</v>
      </c>
      <c r="D893" s="142">
        <f>B61_Assessment!$B$93</f>
        <v>0.5</v>
      </c>
      <c r="E893" s="142">
        <f>B61_Assessment!$C$93</f>
        <v>0.5</v>
      </c>
      <c r="F893" s="106">
        <f>B61_Assessment!$D$93</f>
        <v>0.5</v>
      </c>
      <c r="G893" s="106">
        <f>B61_Assessment!$E$93</f>
        <v>0.5</v>
      </c>
      <c r="H893" s="106">
        <f>B61_Assessment!$F$93</f>
        <v>0.5</v>
      </c>
      <c r="I893" s="106" t="str">
        <f>B61_Assessment!$G$93</f>
        <v>Verify</v>
      </c>
      <c r="J893" s="106">
        <f>B61_Assessment!$H$93</f>
        <v>0.5</v>
      </c>
      <c r="K893" s="106" t="str">
        <f>B61_Assessment!$I$93</f>
        <v>Partial / Yellow</v>
      </c>
      <c r="L893" s="106" t="str">
        <f>B61_Assessment!$J$93</f>
        <v>First-level TR with dedicated cooling, UPS/PDU, cable tray and potential electrical room-name mapping issue.</v>
      </c>
    </row>
    <row r="894" spans="1:12" ht="40.65" customHeight="1">
      <c r="A894" s="106" t="str">
        <f>B61_Assessment!$B$2</f>
        <v>61</v>
      </c>
      <c r="B894" s="106" t="str">
        <f>"B61_Assessment"</f>
        <v>B61_Assessment</v>
      </c>
      <c r="C894" s="106" t="str">
        <f>B61_Assessment!$A$94</f>
        <v>226</v>
      </c>
      <c r="D894" s="142">
        <f>B61_Assessment!$B$94</f>
        <v>0.5</v>
      </c>
      <c r="E894" s="142">
        <f>B61_Assessment!$C$94</f>
        <v>0.5</v>
      </c>
      <c r="F894" s="106">
        <f>B61_Assessment!$D$94</f>
        <v>0.5</v>
      </c>
      <c r="G894" s="106">
        <f>B61_Assessment!$E$94</f>
        <v>0.5</v>
      </c>
      <c r="H894" s="106">
        <f>B61_Assessment!$F$94</f>
        <v>0.5</v>
      </c>
      <c r="I894" s="106" t="str">
        <f>B61_Assessment!$G$94</f>
        <v>Verify</v>
      </c>
      <c r="J894" s="106">
        <f>B61_Assessment!$H$94</f>
        <v>0.5</v>
      </c>
      <c r="K894" s="106" t="str">
        <f>B61_Assessment!$I$94</f>
        <v>Partial / Yellow</v>
      </c>
      <c r="L894" s="106" t="str">
        <f>B61_Assessment!$J$94</f>
        <v>Second-level TR with 172 total ports including allowance, dedicated cooling, UPS/PDU and riser/firestop coordination.</v>
      </c>
    </row>
    <row r="895" spans="1:12" ht="29.1" customHeight="1">
      <c r="A895" s="106" t="str">
        <f>B61_Assessment!$B$2</f>
        <v>61</v>
      </c>
      <c r="B895" s="106" t="str">
        <f>"B61_Assessment"</f>
        <v>B61_Assessment</v>
      </c>
      <c r="C895" s="106" t="str">
        <f>B61_Assessment!$A$95</f>
        <v>137 / 137A</v>
      </c>
      <c r="D895" s="142">
        <f>B61_Assessment!$B$95</f>
        <v>0.5</v>
      </c>
      <c r="E895" s="142">
        <f>B61_Assessment!$C$95</f>
        <v>0.5</v>
      </c>
      <c r="F895" s="106">
        <f>B61_Assessment!$D$95</f>
        <v>0.5</v>
      </c>
      <c r="G895" s="106">
        <f>B61_Assessment!$E$95</f>
        <v>0.5</v>
      </c>
      <c r="H895" s="106">
        <f>B61_Assessment!$F$95</f>
        <v>0.5</v>
      </c>
      <c r="I895" s="106" t="str">
        <f>B61_Assessment!$G$95</f>
        <v>Verify</v>
      </c>
      <c r="J895" s="106">
        <f>B61_Assessment!$H$95</f>
        <v>0.5</v>
      </c>
      <c r="K895" s="106" t="str">
        <f>B61_Assessment!$I$95</f>
        <v>Partial / Yellow</v>
      </c>
      <c r="L895" s="106" t="str">
        <f>B61_Assessment!$J$95</f>
        <v>Existing demarc/server room inventory; protect active services until cutover and acceptance complete.</v>
      </c>
    </row>
    <row r="896" spans="1:12" ht="7.35" customHeight="1">
      <c r="A896" s="106">
        <f>B62_TR_Assessment!$B$2</f>
        <v>62</v>
      </c>
      <c r="B896" s="106" t="str">
        <f t="shared" ref="B896:B959" si="83">"B62_TR_Assessment"</f>
        <v>B62_TR_Assessment</v>
      </c>
      <c r="C896" s="106" t="str">
        <f>B62_TR_Assessment!$A$76</f>
        <v>B24A</v>
      </c>
      <c r="D896" s="142">
        <f>B62_TR_Assessment!$B$76</f>
        <v>0.5</v>
      </c>
      <c r="E896" s="142">
        <f>B62_TR_Assessment!$C$76</f>
        <v>0.5</v>
      </c>
      <c r="F896" s="142">
        <f>B62_TR_Assessment!$D$76</f>
        <v>0.5</v>
      </c>
      <c r="G896" s="142">
        <f>B62_TR_Assessment!$E$76</f>
        <v>0.5</v>
      </c>
      <c r="H896" s="142">
        <f>B62_TR_Assessment!$F$76</f>
        <v>0.5</v>
      </c>
      <c r="I896" s="106" t="str">
        <f>B62_TR_Assessment!$G$76</f>
        <v>Verify</v>
      </c>
      <c r="J896" s="142">
        <f>B62_TR_Assessment!$H$76</f>
        <v>0.5</v>
      </c>
      <c r="K896" s="106" t="str">
        <f>B62_TR_Assessment!$I$76</f>
        <v>Partial / Yellow</v>
      </c>
      <c r="L896" s="106">
        <f>B62_TR_Assessment!$J$76</f>
        <v>0</v>
      </c>
    </row>
    <row r="897" spans="1:12" ht="7.35" customHeight="1">
      <c r="A897" s="106">
        <f>B62_TR_Assessment!$B$2</f>
        <v>62</v>
      </c>
      <c r="B897" s="106" t="str">
        <f t="shared" si="83"/>
        <v>B62_TR_Assessment</v>
      </c>
      <c r="C897" s="106" t="str">
        <f>B62_TR_Assessment!$A$77</f>
        <v>125</v>
      </c>
      <c r="D897" s="142">
        <f>B62_TR_Assessment!$B$77</f>
        <v>0.5</v>
      </c>
      <c r="E897" s="142">
        <f>B62_TR_Assessment!$C$77</f>
        <v>0.5</v>
      </c>
      <c r="F897" s="142">
        <f>B62_TR_Assessment!$D$77</f>
        <v>0.5</v>
      </c>
      <c r="G897" s="142">
        <f>B62_TR_Assessment!$E$77</f>
        <v>0.5</v>
      </c>
      <c r="H897" s="142">
        <f>B62_TR_Assessment!$F$77</f>
        <v>0.5</v>
      </c>
      <c r="I897" s="106" t="str">
        <f>B62_TR_Assessment!$G$77</f>
        <v>Verify</v>
      </c>
      <c r="J897" s="142">
        <f>B62_TR_Assessment!$H$77</f>
        <v>0.5</v>
      </c>
      <c r="K897" s="106" t="str">
        <f>B62_TR_Assessment!$I$77</f>
        <v>Partial / Yellow</v>
      </c>
      <c r="L897" s="106">
        <f>B62_TR_Assessment!$J$77</f>
        <v>0</v>
      </c>
    </row>
    <row r="898" spans="1:12" ht="7.35" customHeight="1">
      <c r="A898" s="106">
        <f>B62_TR_Assessment!$B$2</f>
        <v>62</v>
      </c>
      <c r="B898" s="106" t="str">
        <f t="shared" si="83"/>
        <v>B62_TR_Assessment</v>
      </c>
      <c r="C898" s="106" t="str">
        <f>B62_TR_Assessment!$A$78</f>
        <v>225</v>
      </c>
      <c r="D898" s="142">
        <f>B62_TR_Assessment!$B$78</f>
        <v>0.5</v>
      </c>
      <c r="E898" s="142">
        <f>B62_TR_Assessment!$C$78</f>
        <v>0.5</v>
      </c>
      <c r="F898" s="142">
        <f>B62_TR_Assessment!$D$78</f>
        <v>0.5</v>
      </c>
      <c r="G898" s="142">
        <f>B62_TR_Assessment!$E$78</f>
        <v>0.5</v>
      </c>
      <c r="H898" s="142">
        <f>B62_TR_Assessment!$F$78</f>
        <v>0.5</v>
      </c>
      <c r="I898" s="106" t="str">
        <f>B62_TR_Assessment!$G$78</f>
        <v>Verify</v>
      </c>
      <c r="J898" s="142">
        <f>B62_TR_Assessment!$H$78</f>
        <v>0.5</v>
      </c>
      <c r="K898" s="106" t="str">
        <f>B62_TR_Assessment!$I$78</f>
        <v>Partial / Yellow</v>
      </c>
      <c r="L898" s="106">
        <f>B62_TR_Assessment!$J$78</f>
        <v>0</v>
      </c>
    </row>
    <row r="899" spans="1:12" ht="7.35" customHeight="1">
      <c r="A899" s="106">
        <f>B70_TR_Assessment!$B$2</f>
        <v>70</v>
      </c>
      <c r="B899" s="106" t="str">
        <f t="shared" si="83"/>
        <v>B62_TR_Assessment</v>
      </c>
      <c r="C899" s="106" t="str">
        <f>B70_TR_Assessment!$A$79</f>
        <v>B27</v>
      </c>
      <c r="D899" s="142">
        <f>B70_TR_Assessment!$B$79</f>
        <v>0.5</v>
      </c>
      <c r="E899" s="142">
        <f>B70_TR_Assessment!$C$79</f>
        <v>0.5</v>
      </c>
      <c r="F899" s="142">
        <f>B70_TR_Assessment!$D$79</f>
        <v>0.5</v>
      </c>
      <c r="G899" s="142">
        <f>B70_TR_Assessment!$E$79</f>
        <v>0.5</v>
      </c>
      <c r="H899" s="142">
        <f>B70_TR_Assessment!$F$79</f>
        <v>0.5</v>
      </c>
      <c r="I899" s="106" t="str">
        <f>B70_TR_Assessment!$G$79</f>
        <v>Verify</v>
      </c>
      <c r="J899" s="142">
        <f>B70_TR_Assessment!$H$79</f>
        <v>0.5</v>
      </c>
      <c r="K899" s="106" t="str">
        <f>B70_TR_Assessment!$I$79</f>
        <v>Partial / Yellow</v>
      </c>
      <c r="L899" s="106">
        <f>B70_TR_Assessment!$J$79</f>
        <v>0</v>
      </c>
    </row>
    <row r="900" spans="1:12" ht="7.35" customHeight="1">
      <c r="A900" s="106">
        <f>B70_TR_Assessment!$B$2</f>
        <v>70</v>
      </c>
      <c r="B900" s="106" t="str">
        <f t="shared" si="83"/>
        <v>B62_TR_Assessment</v>
      </c>
      <c r="C900" s="106" t="str">
        <f>B70_TR_Assessment!$A$80</f>
        <v>125A</v>
      </c>
      <c r="D900" s="142">
        <f>B70_TR_Assessment!$B$80</f>
        <v>0.5</v>
      </c>
      <c r="E900" s="142">
        <f>B70_TR_Assessment!$C$80</f>
        <v>0.5</v>
      </c>
      <c r="F900" s="142">
        <f>B70_TR_Assessment!$D$80</f>
        <v>0.5</v>
      </c>
      <c r="G900" s="142">
        <f>B70_TR_Assessment!$E$80</f>
        <v>0.5</v>
      </c>
      <c r="H900" s="142">
        <f>B70_TR_Assessment!$F$80</f>
        <v>0.5</v>
      </c>
      <c r="I900" s="106" t="str">
        <f>B70_TR_Assessment!$G$80</f>
        <v>Verify</v>
      </c>
      <c r="J900" s="142">
        <f>B70_TR_Assessment!$H$80</f>
        <v>0.5</v>
      </c>
      <c r="K900" s="106" t="str">
        <f>B70_TR_Assessment!$I$80</f>
        <v>Partial / Yellow</v>
      </c>
      <c r="L900" s="106">
        <f>B70_TR_Assessment!$J$80</f>
        <v>0</v>
      </c>
    </row>
    <row r="901" spans="1:12" ht="7.35" customHeight="1">
      <c r="A901" s="106">
        <f>B70_TR_Assessment!$B$2</f>
        <v>70</v>
      </c>
      <c r="B901" s="106" t="str">
        <f t="shared" si="83"/>
        <v>B62_TR_Assessment</v>
      </c>
      <c r="C901" s="106" t="str">
        <f>B70_TR_Assessment!$A$81</f>
        <v>262A</v>
      </c>
      <c r="D901" s="142">
        <f>B70_TR_Assessment!$B$81</f>
        <v>0.5</v>
      </c>
      <c r="E901" s="142">
        <f>B70_TR_Assessment!$C$81</f>
        <v>0.5</v>
      </c>
      <c r="F901" s="142">
        <f>B70_TR_Assessment!$D$81</f>
        <v>0.5</v>
      </c>
      <c r="G901" s="142">
        <f>B70_TR_Assessment!$E$81</f>
        <v>0.5</v>
      </c>
      <c r="H901" s="142">
        <f>B70_TR_Assessment!$F$81</f>
        <v>0.5</v>
      </c>
      <c r="I901" s="106" t="str">
        <f>B70_TR_Assessment!$G$81</f>
        <v>Verify</v>
      </c>
      <c r="J901" s="142">
        <f>B70_TR_Assessment!$H$81</f>
        <v>0.5</v>
      </c>
      <c r="K901" s="106" t="str">
        <f>B70_TR_Assessment!$I$81</f>
        <v>Partial / Yellow</v>
      </c>
      <c r="L901" s="106">
        <f>B70_TR_Assessment!$J$81</f>
        <v>0</v>
      </c>
    </row>
    <row r="902" spans="1:12" ht="11.7" customHeight="1">
      <c r="A902" s="106">
        <f>B70_TR_Assessment!$B$2</f>
        <v>70</v>
      </c>
      <c r="B902" s="106" t="str">
        <f t="shared" si="83"/>
        <v>B62_TR_Assessment</v>
      </c>
      <c r="C902" s="106" t="str">
        <f>B70_TR_Assessment!$A$226</f>
        <v>SOURCE / DRAWING REVIEW NOTES</v>
      </c>
      <c r="D902" s="142">
        <f>B70_TR_Assessment!$B$226</f>
        <v>0</v>
      </c>
      <c r="E902" s="142">
        <f>B70_TR_Assessment!$C$226</f>
        <v>0</v>
      </c>
      <c r="F902" s="106">
        <f>B70_TR_Assessment!$D$226</f>
        <v>0</v>
      </c>
      <c r="G902" s="106">
        <f>B70_TR_Assessment!$E$226</f>
        <v>0</v>
      </c>
      <c r="H902" s="106">
        <f>B70_TR_Assessment!$F$226</f>
        <v>0</v>
      </c>
      <c r="I902" s="106">
        <f>B70_TR_Assessment!$G$226</f>
        <v>0</v>
      </c>
      <c r="J902" s="106">
        <f>B70_TR_Assessment!$H$226</f>
        <v>0</v>
      </c>
      <c r="K902" s="106">
        <f>B70_TR_Assessment!$I$226</f>
        <v>0</v>
      </c>
      <c r="L902" s="106">
        <f>B70_TR_Assessment!$J$226</f>
        <v>0</v>
      </c>
    </row>
    <row r="903" spans="1:12" ht="22.95" customHeight="1">
      <c r="A903" s="106">
        <f>B70_TR_Assessment!$B$2</f>
        <v>70</v>
      </c>
      <c r="B903" s="106" t="str">
        <f t="shared" si="83"/>
        <v>B62_TR_Assessment</v>
      </c>
      <c r="C903" s="106" t="str">
        <f>B70_TR_Assessment!$A$227</f>
        <v>Source package</v>
      </c>
      <c r="D903" s="142" t="str">
        <f>B70_TR_Assessment!$B$227</f>
        <v>518-22-700.Bedford.EHRM.IFC.B70.20260316.pdf</v>
      </c>
      <c r="E903" s="142">
        <f>B70_TR_Assessment!$C$227</f>
        <v>0</v>
      </c>
      <c r="F903" s="106">
        <f>B70_TR_Assessment!$D$227</f>
        <v>0</v>
      </c>
      <c r="G903" s="106">
        <f>B70_TR_Assessment!$E$227</f>
        <v>0</v>
      </c>
      <c r="H903" s="106">
        <f>B70_TR_Assessment!$F$227</f>
        <v>0</v>
      </c>
      <c r="I903" s="106">
        <f>B70_TR_Assessment!$G$227</f>
        <v>0</v>
      </c>
      <c r="J903" s="106">
        <f>B70_TR_Assessment!$H$227</f>
        <v>0</v>
      </c>
      <c r="K903" s="106">
        <f>B70_TR_Assessment!$I$227</f>
        <v>0</v>
      </c>
      <c r="L903" s="106">
        <f>B70_TR_Assessment!$J$227</f>
        <v>0</v>
      </c>
    </row>
    <row r="904" spans="1:12" ht="52.2" customHeight="1">
      <c r="A904" s="106">
        <f>B70_TR_Assessment!$B$2</f>
        <v>70</v>
      </c>
      <c r="B904" s="106" t="str">
        <f t="shared" si="83"/>
        <v>B62_TR_Assessment</v>
      </c>
      <c r="C904" s="106" t="str">
        <f>B70_TR_Assessment!$A$228</f>
        <v>TR locations identified</v>
      </c>
      <c r="D904" s="142" t="str">
        <f>B70_TR_Assessment!$B$228</f>
        <v>B27 basement, 125A first floor, 262A second floor based on architectural, fire protection, mechanical, and telecom drawing references.</v>
      </c>
      <c r="E904" s="142">
        <f>B70_TR_Assessment!$C$228</f>
        <v>0</v>
      </c>
      <c r="F904" s="106">
        <f>B70_TR_Assessment!$D$228</f>
        <v>0</v>
      </c>
      <c r="G904" s="106">
        <f>B70_TR_Assessment!$E$228</f>
        <v>0</v>
      </c>
      <c r="H904" s="106">
        <f>B70_TR_Assessment!$F$228</f>
        <v>0</v>
      </c>
      <c r="I904" s="106">
        <f>B70_TR_Assessment!$G$228</f>
        <v>0</v>
      </c>
      <c r="J904" s="106">
        <f>B70_TR_Assessment!$H$228</f>
        <v>0</v>
      </c>
      <c r="K904" s="106">
        <f>B70_TR_Assessment!$I$228</f>
        <v>0</v>
      </c>
      <c r="L904" s="106">
        <f>B70_TR_Assessment!$J$228</f>
        <v>0</v>
      </c>
    </row>
    <row r="905" spans="1:12" ht="58.35" customHeight="1">
      <c r="A905" s="106">
        <f>B70_TR_Assessment!$B$2</f>
        <v>70</v>
      </c>
      <c r="B905" s="106" t="str">
        <f t="shared" si="83"/>
        <v>B62_TR_Assessment</v>
      </c>
      <c r="C905" s="106" t="str">
        <f>B70_TR_Assessment!$A$229</f>
        <v>Fire protection basis</v>
      </c>
      <c r="D905" s="142" t="str">
        <f>B70_TR_Assessment!$B$229</f>
        <v>Building 70 is fully sprinklered. TRs require sprinkler modifications, fire alarm devices, extinguisher coverage within 75 feet, and firestopping at penetrations.</v>
      </c>
      <c r="E905" s="142">
        <f>B70_TR_Assessment!$C$229</f>
        <v>0</v>
      </c>
      <c r="F905" s="106">
        <f>B70_TR_Assessment!$D$229</f>
        <v>0</v>
      </c>
      <c r="G905" s="106">
        <f>B70_TR_Assessment!$E$229</f>
        <v>0</v>
      </c>
      <c r="H905" s="106">
        <f>B70_TR_Assessment!$F$229</f>
        <v>0</v>
      </c>
      <c r="I905" s="106">
        <f>B70_TR_Assessment!$G$229</f>
        <v>0</v>
      </c>
      <c r="J905" s="106">
        <f>B70_TR_Assessment!$H$229</f>
        <v>0</v>
      </c>
      <c r="K905" s="106">
        <f>B70_TR_Assessment!$I$229</f>
        <v>0</v>
      </c>
      <c r="L905" s="106">
        <f>B70_TR_Assessment!$J$229</f>
        <v>0</v>
      </c>
    </row>
    <row r="906" spans="1:12" ht="58.35" customHeight="1">
      <c r="A906" s="106">
        <f>B70_TR_Assessment!$B$2</f>
        <v>70</v>
      </c>
      <c r="B906" s="106" t="str">
        <f t="shared" si="83"/>
        <v>B62_TR_Assessment</v>
      </c>
      <c r="C906" s="106" t="str">
        <f>B70_TR_Assessment!$A$230</f>
        <v>HVAC basis</v>
      </c>
      <c r="D906" s="142" t="str">
        <f>B70_TR_Assessment!$B$230</f>
        <v>New indoor units, condensate routing, thermostat, and BACnet adapter are noted for TR spaces; emergency power and operational continuity should be field verified.</v>
      </c>
      <c r="E906" s="142">
        <f>B70_TR_Assessment!$C$230</f>
        <v>0</v>
      </c>
      <c r="F906" s="106">
        <f>B70_TR_Assessment!$D$230</f>
        <v>0</v>
      </c>
      <c r="G906" s="106">
        <f>B70_TR_Assessment!$E$230</f>
        <v>0</v>
      </c>
      <c r="H906" s="106">
        <f>B70_TR_Assessment!$F$230</f>
        <v>0</v>
      </c>
      <c r="I906" s="106">
        <f>B70_TR_Assessment!$G$230</f>
        <v>0</v>
      </c>
      <c r="J906" s="106">
        <f>B70_TR_Assessment!$H$230</f>
        <v>0</v>
      </c>
      <c r="K906" s="106">
        <f>B70_TR_Assessment!$I$230</f>
        <v>0</v>
      </c>
      <c r="L906" s="106">
        <f>B70_TR_Assessment!$J$230</f>
        <v>0</v>
      </c>
    </row>
    <row r="907" spans="1:12" ht="46.35" customHeight="1">
      <c r="A907" s="106">
        <f>B70_TR_Assessment!$B$2</f>
        <v>70</v>
      </c>
      <c r="B907" s="106" t="str">
        <f t="shared" si="83"/>
        <v>B62_TR_Assessment</v>
      </c>
      <c r="C907" s="106" t="str">
        <f>B70_TR_Assessment!$A$231</f>
        <v>Telecom basis</v>
      </c>
      <c r="D907" s="142" t="str">
        <f>B70_TR_Assessment!$B$231</f>
        <v>TR rack elevations show 1 rack plus future rack at B-27, 125-A, and 262-A with UPS/PDU/cable management/grounding requirements.</v>
      </c>
      <c r="E907" s="142">
        <f>B70_TR_Assessment!$C$231</f>
        <v>0</v>
      </c>
      <c r="F907" s="106">
        <f>B70_TR_Assessment!$D$231</f>
        <v>0</v>
      </c>
      <c r="G907" s="106">
        <f>B70_TR_Assessment!$E$231</f>
        <v>0</v>
      </c>
      <c r="H907" s="106">
        <f>B70_TR_Assessment!$F$231</f>
        <v>0</v>
      </c>
      <c r="I907" s="106">
        <f>B70_TR_Assessment!$G$231</f>
        <v>0</v>
      </c>
      <c r="J907" s="106">
        <f>B70_TR_Assessment!$H$231</f>
        <v>0</v>
      </c>
      <c r="K907" s="106">
        <f>B70_TR_Assessment!$I$231</f>
        <v>0</v>
      </c>
      <c r="L907" s="106">
        <f>B70_TR_Assessment!$J$231</f>
        <v>0</v>
      </c>
    </row>
    <row r="908" spans="1:12" ht="110.7" customHeight="1">
      <c r="A908" s="106">
        <f>B70_TR_Assessment!$B$2</f>
        <v>70</v>
      </c>
      <c r="B908" s="106" t="str">
        <f t="shared" si="83"/>
        <v>B62_TR_Assessment</v>
      </c>
      <c r="C908" s="106" t="str">
        <f>B70_TR_Assessment!$A$235</f>
        <v xml:space="preserve">Based on the Building 70 IFC review, the telecom scope is very similar to Building 62, but Building 70 appears to have three TRs (B27, 125A, and 262A) instead of a single room. The project introduces new racks, UPS equipment, dedicated cooling, fire alarm modifications, sprinkler modifications, grounding, cable management, and access control while maintaining hospital operations. </v>
      </c>
      <c r="D908" s="142" t="str">
        <f>B70_TR_Assessment!$A$86</f>
        <v>Telecom Room Build</v>
      </c>
      <c r="E908" s="142" t="str">
        <f>B70_TR_Assessment!$B$86</f>
        <v>Not Started</v>
      </c>
      <c r="F908" s="106">
        <f>B70_TR_Assessment!$C$86</f>
        <v>0</v>
      </c>
      <c r="G908" s="106">
        <f>B70_TR_Assessment!$D$86</f>
        <v>0</v>
      </c>
      <c r="H908" s="106" t="str">
        <f>B70_TR_Assessment!$E$86</f>
        <v>🟡</v>
      </c>
      <c r="I908" s="106">
        <f>B70_TR_Assessment!$F$86</f>
        <v>0</v>
      </c>
      <c r="J908" s="106">
        <f>B70_TR_Assessment!$G$86</f>
        <v>0</v>
      </c>
      <c r="K908" s="106">
        <f>B70_TR_Assessment!$H$86</f>
        <v>0</v>
      </c>
      <c r="L908" s="106">
        <f>B70_TR_Assessment!$I$86</f>
        <v>0</v>
      </c>
    </row>
    <row r="909" spans="1:12" ht="17.25" customHeight="1">
      <c r="A909" s="106">
        <f>B70_TR_Assessment!$B$2</f>
        <v>70</v>
      </c>
      <c r="B909" s="106" t="str">
        <f t="shared" si="83"/>
        <v>B62_TR_Assessment</v>
      </c>
      <c r="C909" s="106" t="str">
        <f>B70_TR_Assessment!$A$237</f>
        <v>Building 70 – Telecom Room Infrastructure Scope</v>
      </c>
      <c r="D909" s="142" t="str">
        <f>B70_TR_Assessment!$A$88</f>
        <v>UPS Installation</v>
      </c>
      <c r="E909" s="142" t="str">
        <f>B70_TR_Assessment!$B$88</f>
        <v>Not Started</v>
      </c>
      <c r="F909" s="106">
        <f>B70_TR_Assessment!$C$88</f>
        <v>1</v>
      </c>
      <c r="G909" s="106">
        <f>B70_TR_Assessment!$D$88</f>
        <v>0</v>
      </c>
      <c r="H909" s="106" t="str">
        <f>B70_TR_Assessment!$E$88</f>
        <v>🟢</v>
      </c>
      <c r="I909" s="106">
        <f>B70_TR_Assessment!$F$88</f>
        <v>-1</v>
      </c>
      <c r="J909" s="106">
        <f>B70_TR_Assessment!$G$88</f>
        <v>0</v>
      </c>
      <c r="K909" s="106">
        <f>B70_TR_Assessment!$H$88</f>
        <v>0</v>
      </c>
      <c r="L909" s="106">
        <f>B70_TR_Assessment!$I$88</f>
        <v>0</v>
      </c>
    </row>
    <row r="910" spans="1:12" ht="11.7" customHeight="1">
      <c r="A910" s="106">
        <f>B70_TR_Assessment!$B$2</f>
        <v>70</v>
      </c>
      <c r="B910" s="106" t="str">
        <f t="shared" si="83"/>
        <v>B62_TR_Assessment</v>
      </c>
      <c r="C910" s="106" t="str">
        <f>B70_TR_Assessment!$A$239</f>
        <v>Existing Conditions Survey</v>
      </c>
      <c r="D910" s="142" t="str">
        <f>B70_TR_Assessment!$A$90</f>
        <v>Firestopping</v>
      </c>
      <c r="E910" s="142" t="str">
        <f>B70_TR_Assessment!$B$90</f>
        <v>Not Started</v>
      </c>
      <c r="F910" s="106">
        <f>B70_TR_Assessment!$C$90</f>
        <v>1</v>
      </c>
      <c r="G910" s="106">
        <f>B70_TR_Assessment!$D$90</f>
        <v>0</v>
      </c>
      <c r="H910" s="106" t="str">
        <f>B70_TR_Assessment!$E$90</f>
        <v>🟢</v>
      </c>
      <c r="I910" s="106">
        <f>B70_TR_Assessment!$F$90</f>
        <v>-1</v>
      </c>
      <c r="J910" s="106">
        <f>B70_TR_Assessment!$G$90</f>
        <v>0</v>
      </c>
      <c r="K910" s="106">
        <f>B70_TR_Assessment!$H$90</f>
        <v>0</v>
      </c>
      <c r="L910" s="106">
        <f>B70_TR_Assessment!$I$90</f>
        <v>0</v>
      </c>
    </row>
    <row r="911" spans="1:12" ht="22.95" customHeight="1">
      <c r="A911" s="106">
        <f>B70_TR_Assessment!$B$2</f>
        <v>70</v>
      </c>
      <c r="B911" s="106" t="str">
        <f t="shared" si="83"/>
        <v>B62_TR_Assessment</v>
      </c>
      <c r="C911" s="106" t="str">
        <f>B70_TR_Assessment!$A$241</f>
        <v>Verify existing conditions of TR-B27, TR-125A, and TR-262A.</v>
      </c>
      <c r="D911" s="142">
        <f>B70_TR_Assessment!$A$92</f>
        <v>0</v>
      </c>
      <c r="E911" s="142">
        <f>B70_TR_Assessment!$B$92</f>
        <v>0</v>
      </c>
      <c r="F911" s="106">
        <f>B70_TR_Assessment!$C$92</f>
        <v>0</v>
      </c>
      <c r="G911" s="106">
        <f>B70_TR_Assessment!$D$92</f>
        <v>0</v>
      </c>
      <c r="H911" s="106">
        <f>B70_TR_Assessment!$E$92</f>
        <v>0</v>
      </c>
      <c r="I911" s="106">
        <f>B70_TR_Assessment!$F$92</f>
        <v>0</v>
      </c>
      <c r="J911" s="106">
        <f>B70_TR_Assessment!$G$92</f>
        <v>0</v>
      </c>
      <c r="K911" s="106">
        <f>B70_TR_Assessment!$H$92</f>
        <v>0</v>
      </c>
      <c r="L911" s="106">
        <f>B70_TR_Assessment!$I$92</f>
        <v>0</v>
      </c>
    </row>
    <row r="912" spans="1:12" ht="29.1" customHeight="1">
      <c r="A912" s="106">
        <f>B70_TR_Assessment!$B$2</f>
        <v>70</v>
      </c>
      <c r="B912" s="106" t="str">
        <f t="shared" si="83"/>
        <v>B62_TR_Assessment</v>
      </c>
      <c r="C912" s="106" t="str">
        <f>B70_TR_Assessment!$A$242</f>
        <v>Document existing racks, power, HVAC, fire protection, grounding, and pathway systems.</v>
      </c>
      <c r="D912" s="142" t="str">
        <f>B70_TR_Assessment!$A$93</f>
        <v>13. OIT ACTIVATION READINESS</v>
      </c>
      <c r="E912" s="142">
        <f>B70_TR_Assessment!$B$93</f>
        <v>0</v>
      </c>
      <c r="F912" s="106">
        <f>B70_TR_Assessment!$C$93</f>
        <v>0</v>
      </c>
      <c r="G912" s="106">
        <f>B70_TR_Assessment!$D$93</f>
        <v>0</v>
      </c>
      <c r="H912" s="106">
        <f>B70_TR_Assessment!$E$93</f>
        <v>0</v>
      </c>
      <c r="I912" s="106">
        <f>B70_TR_Assessment!$F$93</f>
        <v>0</v>
      </c>
      <c r="J912" s="106">
        <f>B70_TR_Assessment!$G$93</f>
        <v>0</v>
      </c>
      <c r="K912" s="106">
        <f>B70_TR_Assessment!$H$93</f>
        <v>0</v>
      </c>
      <c r="L912" s="106">
        <f>B70_TR_Assessment!$I$93</f>
        <v>0</v>
      </c>
    </row>
    <row r="913" spans="1:12" ht="11.7" customHeight="1">
      <c r="A913" s="106">
        <f>B70_TR_Assessment!$B$2</f>
        <v>70</v>
      </c>
      <c r="B913" s="106" t="str">
        <f t="shared" si="83"/>
        <v>B62_TR_Assessment</v>
      </c>
      <c r="C913" s="106" t="str">
        <f>B70_TR_Assessment!$A$243</f>
        <v>Photograph all existing conditions.</v>
      </c>
      <c r="D913" s="142" t="str">
        <f>B70_TR_Assessment!$A$94</f>
        <v>Requirement</v>
      </c>
      <c r="E913" s="142" t="str">
        <f>B70_TR_Assessment!$B$94</f>
        <v>Status</v>
      </c>
      <c r="F913" s="106" t="str">
        <f>B70_TR_Assessment!$C$94</f>
        <v>Verified</v>
      </c>
      <c r="G913" s="106" t="str">
        <f>B70_TR_Assessment!$D$94</f>
        <v>Complete</v>
      </c>
      <c r="H913" s="106" t="str">
        <f>B70_TR_Assessment!$E$94</f>
        <v>Score</v>
      </c>
      <c r="I913" s="106" t="str">
        <f>B70_TR_Assessment!$F$94</f>
        <v>Risk / Comments</v>
      </c>
      <c r="J913" s="106" t="str">
        <f>B70_TR_Assessment!$G$94</f>
        <v>Evidence Ref.</v>
      </c>
      <c r="K913" s="106">
        <f>B70_TR_Assessment!$H$94</f>
        <v>0</v>
      </c>
      <c r="L913" s="106">
        <f>B70_TR_Assessment!$I$94</f>
        <v>0</v>
      </c>
    </row>
    <row r="914" spans="1:12" ht="29.1" customHeight="1">
      <c r="A914" s="106">
        <f>B70_TR_Assessment!$B$2</f>
        <v>70</v>
      </c>
      <c r="B914" s="106" t="str">
        <f t="shared" si="83"/>
        <v>B62_TR_Assessment</v>
      </c>
      <c r="C914" s="106" t="str">
        <f>B70_TR_Assessment!$A$244</f>
        <v>Verify existing active services and identify systems requiring uninterrupted operation.</v>
      </c>
      <c r="D914" s="142" t="str">
        <f>B70_TR_Assessment!$A$95</f>
        <v>Telecom Room Complete</v>
      </c>
      <c r="E914" s="142" t="str">
        <f>B70_TR_Assessment!$B$95</f>
        <v>Not Started</v>
      </c>
      <c r="F914" s="106" t="str">
        <f>B70_TR_Assessment!$C$95</f>
        <v>N/A</v>
      </c>
      <c r="G914" s="106" t="str">
        <f>B70_TR_Assessment!$D$95</f>
        <v>N/A</v>
      </c>
      <c r="H914" s="106">
        <f>B70_TR_Assessment!$E$95</f>
        <v>0</v>
      </c>
      <c r="I914" s="106">
        <f>B70_TR_Assessment!$F$95</f>
        <v>0</v>
      </c>
      <c r="J914" s="106">
        <f>B70_TR_Assessment!$G$95</f>
        <v>0</v>
      </c>
      <c r="K914" s="106">
        <f>B70_TR_Assessment!$H$95</f>
        <v>0</v>
      </c>
      <c r="L914" s="106">
        <f>B70_TR_Assessment!$I$95</f>
        <v>0</v>
      </c>
    </row>
    <row r="915" spans="1:12" ht="17.25" customHeight="1">
      <c r="A915" s="106">
        <f>B70_TR_Assessment!$B$2</f>
        <v>70</v>
      </c>
      <c r="B915" s="106" t="str">
        <f t="shared" si="83"/>
        <v>B62_TR_Assessment</v>
      </c>
      <c r="C915" s="106" t="str">
        <f>B70_TR_Assessment!$A$245</f>
        <v>Verify room dimensions and equipment clearances.</v>
      </c>
      <c r="D915" s="142" t="str">
        <f>B70_TR_Assessment!$A$96</f>
        <v>Rack Installed</v>
      </c>
      <c r="E915" s="142" t="str">
        <f>B70_TR_Assessment!$B$96</f>
        <v>Not Started</v>
      </c>
      <c r="F915" s="106" t="str">
        <f>B70_TR_Assessment!$C$96</f>
        <v>N/A</v>
      </c>
      <c r="G915" s="106" t="str">
        <f>B70_TR_Assessment!$D$96</f>
        <v>N/A</v>
      </c>
      <c r="H915" s="106">
        <f>B70_TR_Assessment!$E$96</f>
        <v>0</v>
      </c>
      <c r="I915" s="106">
        <f>B70_TR_Assessment!$F$96</f>
        <v>0</v>
      </c>
      <c r="J915" s="106">
        <f>B70_TR_Assessment!$G$96</f>
        <v>0</v>
      </c>
      <c r="K915" s="106">
        <f>B70_TR_Assessment!$H$96</f>
        <v>0</v>
      </c>
      <c r="L915" s="106">
        <f>B70_TR_Assessment!$I$96</f>
        <v>0</v>
      </c>
    </row>
    <row r="916" spans="1:12" ht="7.35" customHeight="1">
      <c r="A916" s="106">
        <f>B70_TR_Assessment!$B$2</f>
        <v>70</v>
      </c>
      <c r="B916" s="106" t="str">
        <f t="shared" si="83"/>
        <v>B62_TR_Assessment</v>
      </c>
      <c r="C916" s="106" t="str">
        <f>B70_TR_Assessment!$A$247</f>
        <v>Architectural</v>
      </c>
      <c r="D916" s="142" t="str">
        <f>B70_TR_Assessment!$A$98</f>
        <v>UPS Operational</v>
      </c>
      <c r="E916" s="142" t="str">
        <f>B70_TR_Assessment!$B$98</f>
        <v>Not Started</v>
      </c>
      <c r="F916" s="106" t="str">
        <f>B70_TR_Assessment!$C$98</f>
        <v>N/A</v>
      </c>
      <c r="G916" s="106" t="str">
        <f>B70_TR_Assessment!$D$98</f>
        <v>N/A</v>
      </c>
      <c r="H916" s="106">
        <f>B70_TR_Assessment!$E$98</f>
        <v>0</v>
      </c>
      <c r="I916" s="106">
        <f>B70_TR_Assessment!$F$98</f>
        <v>0</v>
      </c>
      <c r="J916" s="106">
        <f>B70_TR_Assessment!$G$98</f>
        <v>0</v>
      </c>
      <c r="K916" s="106">
        <f>B70_TR_Assessment!$H$98</f>
        <v>0</v>
      </c>
      <c r="L916" s="106">
        <f>B70_TR_Assessment!$I$98</f>
        <v>0</v>
      </c>
    </row>
    <row r="917" spans="1:12" ht="11.7" customHeight="1">
      <c r="A917" s="106">
        <f>B70_TR_Assessment!$B$2</f>
        <v>70</v>
      </c>
      <c r="B917" s="106" t="str">
        <f t="shared" si="83"/>
        <v>B62_TR_Assessment</v>
      </c>
      <c r="C917" s="106" t="str">
        <f>B70_TR_Assessment!$A$249</f>
        <v>Prepare rooms for new telecom infrastructure.</v>
      </c>
      <c r="D917" s="142" t="str">
        <f>B70_TR_Assessment!$A$100</f>
        <v>National OIT Approval</v>
      </c>
      <c r="E917" s="142" t="str">
        <f>B70_TR_Assessment!$B$100</f>
        <v>Not Started</v>
      </c>
      <c r="F917" s="106" t="str">
        <f>B70_TR_Assessment!$C$100</f>
        <v>N/A</v>
      </c>
      <c r="G917" s="106" t="str">
        <f>B70_TR_Assessment!$D$100</f>
        <v>N/A</v>
      </c>
      <c r="H917" s="106">
        <f>B70_TR_Assessment!$E$100</f>
        <v>0</v>
      </c>
      <c r="I917" s="106">
        <f>B70_TR_Assessment!$F$100</f>
        <v>0</v>
      </c>
      <c r="J917" s="106">
        <f>B70_TR_Assessment!$G$100</f>
        <v>0</v>
      </c>
      <c r="K917" s="106">
        <f>B70_TR_Assessment!$H$100</f>
        <v>0</v>
      </c>
      <c r="L917" s="106">
        <f>B70_TR_Assessment!$I$100</f>
        <v>0</v>
      </c>
    </row>
    <row r="918" spans="1:12" ht="22.95" customHeight="1">
      <c r="A918" s="106">
        <f>B70_TR_Assessment!$B$2</f>
        <v>70</v>
      </c>
      <c r="B918" s="106" t="str">
        <f t="shared" si="83"/>
        <v>B62_TR_Assessment</v>
      </c>
      <c r="C918" s="106" t="str">
        <f>B70_TR_Assessment!$A$250</f>
        <v>Patch and repair walls, ceilings, and penetrations as required.</v>
      </c>
      <c r="D918" s="142" t="str">
        <f>B70_TR_Assessment!$A$101</f>
        <v>Local OIT Ready</v>
      </c>
      <c r="E918" s="142" t="str">
        <f>B70_TR_Assessment!$B$101</f>
        <v>Not Started</v>
      </c>
      <c r="F918" s="106" t="str">
        <f>B70_TR_Assessment!$C$101</f>
        <v>N/A</v>
      </c>
      <c r="G918" s="106" t="str">
        <f>B70_TR_Assessment!$D$101</f>
        <v>N/A</v>
      </c>
      <c r="H918" s="106">
        <f>B70_TR_Assessment!$E$101</f>
        <v>0</v>
      </c>
      <c r="I918" s="106">
        <f>B70_TR_Assessment!$F$101</f>
        <v>0</v>
      </c>
      <c r="J918" s="106">
        <f>B70_TR_Assessment!$G$101</f>
        <v>0</v>
      </c>
      <c r="K918" s="106">
        <f>B70_TR_Assessment!$H$101</f>
        <v>0</v>
      </c>
      <c r="L918" s="106">
        <f>B70_TR_Assessment!$I$101</f>
        <v>0</v>
      </c>
    </row>
    <row r="919" spans="1:12" ht="11.7" customHeight="1">
      <c r="A919" s="106">
        <f>B70_TR_Assessment!$B$2</f>
        <v>70</v>
      </c>
      <c r="B919" s="106" t="str">
        <f t="shared" si="83"/>
        <v>B62_TR_Assessment</v>
      </c>
      <c r="C919" s="106" t="str">
        <f>B70_TR_Assessment!$A$251</f>
        <v>Maintain or restore all fire-rated assemblies.</v>
      </c>
      <c r="D919" s="142" t="str">
        <f>B70_TR_Assessment!$A$102</f>
        <v>Activation Scheduled</v>
      </c>
      <c r="E919" s="142" t="str">
        <f>B70_TR_Assessment!$B$102</f>
        <v>Not Started</v>
      </c>
      <c r="F919" s="106" t="str">
        <f>B70_TR_Assessment!$C$102</f>
        <v>N/A</v>
      </c>
      <c r="G919" s="106" t="str">
        <f>B70_TR_Assessment!$D$102</f>
        <v>N/A</v>
      </c>
      <c r="H919" s="106">
        <f>B70_TR_Assessment!$E$102</f>
        <v>0</v>
      </c>
      <c r="I919" s="106">
        <f>B70_TR_Assessment!$F$102</f>
        <v>0</v>
      </c>
      <c r="J919" s="106">
        <f>B70_TR_Assessment!$G$102</f>
        <v>0</v>
      </c>
      <c r="K919" s="106">
        <f>B70_TR_Assessment!$H$102</f>
        <v>0</v>
      </c>
      <c r="L919" s="106">
        <f>B70_TR_Assessment!$I$102</f>
        <v>0</v>
      </c>
    </row>
    <row r="920" spans="1:12" ht="17.25" customHeight="1">
      <c r="A920" s="106">
        <f>B70_TR_Assessment!$B$2</f>
        <v>70</v>
      </c>
      <c r="B920" s="106" t="str">
        <f t="shared" si="83"/>
        <v>B62_TR_Assessment</v>
      </c>
      <c r="C920" s="106" t="str">
        <f>B70_TR_Assessment!$A$252</f>
        <v>Verify door hardware, access control, and room security.</v>
      </c>
      <c r="D920" s="142" t="str">
        <f>B70_TR_Assessment!$A$103</f>
        <v>OIT Readiness</v>
      </c>
      <c r="E920" s="142">
        <f>B70_TR_Assessment!$B$103</f>
        <v>0</v>
      </c>
      <c r="F920" s="106" t="str">
        <f>B70_TR_Assessment!$C$103</f>
        <v/>
      </c>
      <c r="G920" s="106">
        <f>B70_TR_Assessment!$D$103</f>
        <v>0</v>
      </c>
      <c r="H920" s="106" t="str">
        <f>B70_TR_Assessment!$E$103</f>
        <v>Success: Required OIT activation prerequisites are complete or formally coordinated.</v>
      </c>
      <c r="I920" s="106">
        <f>B70_TR_Assessment!$F$103</f>
        <v>0</v>
      </c>
      <c r="J920" s="106">
        <f>B70_TR_Assessment!$G$103</f>
        <v>0</v>
      </c>
      <c r="K920" s="106">
        <f>B70_TR_Assessment!$H$103</f>
        <v>0</v>
      </c>
      <c r="L920" s="106">
        <f>B70_TR_Assessment!$I$103</f>
        <v>0</v>
      </c>
    </row>
    <row r="921" spans="1:12" ht="17.25" customHeight="1">
      <c r="A921" s="106">
        <f>B70_TR_Assessment!$B$2</f>
        <v>70</v>
      </c>
      <c r="B921" s="106" t="str">
        <f t="shared" si="83"/>
        <v>B62_TR_Assessment</v>
      </c>
      <c r="C921" s="106" t="str">
        <f>B70_TR_Assessment!$A$253</f>
        <v>Label rooms and equipment per VA standards.</v>
      </c>
      <c r="D921" s="142">
        <f>B70_TR_Assessment!$A$104</f>
        <v>0</v>
      </c>
      <c r="E921" s="142">
        <f>B70_TR_Assessment!$B$104</f>
        <v>0</v>
      </c>
      <c r="F921" s="106">
        <f>B70_TR_Assessment!$C$104</f>
        <v>0</v>
      </c>
      <c r="G921" s="106">
        <f>B70_TR_Assessment!$D$104</f>
        <v>0</v>
      </c>
      <c r="H921" s="106">
        <f>B70_TR_Assessment!$E$104</f>
        <v>0</v>
      </c>
      <c r="I921" s="106">
        <f>B70_TR_Assessment!$F$104</f>
        <v>0</v>
      </c>
      <c r="J921" s="106">
        <f>B70_TR_Assessment!$G$104</f>
        <v>0</v>
      </c>
      <c r="K921" s="106">
        <f>B70_TR_Assessment!$H$104</f>
        <v>0</v>
      </c>
      <c r="L921" s="106">
        <f>B70_TR_Assessment!$I$104</f>
        <v>0</v>
      </c>
    </row>
    <row r="922" spans="1:12" ht="7.35" customHeight="1">
      <c r="A922" s="106">
        <f>B70_TR_Assessment!$B$2</f>
        <v>70</v>
      </c>
      <c r="B922" s="106" t="str">
        <f t="shared" si="83"/>
        <v>B62_TR_Assessment</v>
      </c>
      <c r="C922" s="106" t="str">
        <f>B70_TR_Assessment!$A$255</f>
        <v>Fire Protection</v>
      </c>
      <c r="D922" s="142" t="str">
        <f>B70_TR_Assessment!$A$106</f>
        <v>Spec / Item</v>
      </c>
      <c r="E922" s="142" t="str">
        <f>B70_TR_Assessment!$B$106</f>
        <v>Status</v>
      </c>
      <c r="F922" s="106" t="str">
        <f>B70_TR_Assessment!$C$106</f>
        <v>Approved</v>
      </c>
      <c r="G922" s="106" t="str">
        <f>B70_TR_Assessment!$D$106</f>
        <v>Installed</v>
      </c>
      <c r="H922" s="106" t="str">
        <f>B70_TR_Assessment!$E$106</f>
        <v>Match</v>
      </c>
      <c r="I922" s="106" t="str">
        <f>B70_TR_Assessment!$F$106</f>
        <v>QA Result</v>
      </c>
      <c r="J922" s="106" t="str">
        <f>B70_TR_Assessment!$G$106</f>
        <v>Comments / Evidence</v>
      </c>
      <c r="K922" s="106">
        <f>B70_TR_Assessment!$H$106</f>
        <v>0</v>
      </c>
      <c r="L922" s="106">
        <f>B70_TR_Assessment!$I$106</f>
        <v>0</v>
      </c>
    </row>
    <row r="923" spans="1:12" ht="17.25" customHeight="1">
      <c r="A923" s="106">
        <f>B70_TR_Assessment!$B$2</f>
        <v>70</v>
      </c>
      <c r="B923" s="106" t="str">
        <f t="shared" si="83"/>
        <v>B62_TR_Assessment</v>
      </c>
      <c r="C923" s="106" t="str">
        <f>B70_TR_Assessment!$A$257</f>
        <v>Verify sprinkler coverage within each TR.</v>
      </c>
      <c r="D923" s="142" t="str">
        <f>B70_TR_Assessment!$A$108</f>
        <v>Cable Tray</v>
      </c>
      <c r="E923" s="142" t="str">
        <f>B70_TR_Assessment!$B$108</f>
        <v>Not Started</v>
      </c>
      <c r="F923" s="106" t="str">
        <f>B70_TR_Assessment!$C$108</f>
        <v>No</v>
      </c>
      <c r="G923" s="106" t="str">
        <f>B70_TR_Assessment!$D$108</f>
        <v>No</v>
      </c>
      <c r="H923" s="106" t="str">
        <f>B70_TR_Assessment!$E$108</f>
        <v>No</v>
      </c>
      <c r="I923" s="106" t="str">
        <f>B70_TR_Assessment!$F$108</f>
        <v>Pending</v>
      </c>
      <c r="J923" s="106">
        <f>B70_TR_Assessment!$G$108</f>
        <v>0</v>
      </c>
      <c r="K923" s="106">
        <f>B70_TR_Assessment!$H$108</f>
        <v>0</v>
      </c>
      <c r="L923" s="106">
        <f>B70_TR_Assessment!$I$108</f>
        <v>0</v>
      </c>
    </row>
    <row r="924" spans="1:12" ht="17.25" customHeight="1">
      <c r="A924" s="106">
        <f>B70_TR_Assessment!$B$2</f>
        <v>70</v>
      </c>
      <c r="B924" s="106" t="str">
        <f t="shared" si="83"/>
        <v>B62_TR_Assessment</v>
      </c>
      <c r="C924" s="106" t="str">
        <f>B70_TR_Assessment!$A$258</f>
        <v>Reconfigure sprinkler piping and heads where required.</v>
      </c>
      <c r="D924" s="142" t="str">
        <f>B70_TR_Assessment!$A$109</f>
        <v>Firestop System</v>
      </c>
      <c r="E924" s="142" t="str">
        <f>B70_TR_Assessment!$B$109</f>
        <v>Not Started</v>
      </c>
      <c r="F924" s="106" t="str">
        <f>B70_TR_Assessment!$C$109</f>
        <v>No</v>
      </c>
      <c r="G924" s="106" t="str">
        <f>B70_TR_Assessment!$D$109</f>
        <v>No</v>
      </c>
      <c r="H924" s="106" t="str">
        <f>B70_TR_Assessment!$E$109</f>
        <v>No</v>
      </c>
      <c r="I924" s="106" t="str">
        <f>B70_TR_Assessment!$F$109</f>
        <v>Pending</v>
      </c>
      <c r="J924" s="106">
        <f>B70_TR_Assessment!$G$109</f>
        <v>0</v>
      </c>
      <c r="K924" s="106">
        <f>B70_TR_Assessment!$H$109</f>
        <v>0</v>
      </c>
      <c r="L924" s="106">
        <f>B70_TR_Assessment!$I$109</f>
        <v>0</v>
      </c>
    </row>
    <row r="925" spans="1:12" ht="11.7" customHeight="1">
      <c r="A925" s="106">
        <f>B70_TR_Assessment!$B$2</f>
        <v>70</v>
      </c>
      <c r="B925" s="106" t="str">
        <f t="shared" si="83"/>
        <v>B62_TR_Assessment</v>
      </c>
      <c r="C925" s="106" t="str">
        <f>B70_TR_Assessment!$A$259</f>
        <v>Verify no obstructions to sprinkler discharge.</v>
      </c>
      <c r="D925" s="142" t="str">
        <f>B70_TR_Assessment!$A$110</f>
        <v>HVAC Equipment</v>
      </c>
      <c r="E925" s="142" t="str">
        <f>B70_TR_Assessment!$B$110</f>
        <v>Not Started</v>
      </c>
      <c r="F925" s="106" t="str">
        <f>B70_TR_Assessment!$C$110</f>
        <v>No</v>
      </c>
      <c r="G925" s="106" t="str">
        <f>B70_TR_Assessment!$D$110</f>
        <v>No</v>
      </c>
      <c r="H925" s="106" t="str">
        <f>B70_TR_Assessment!$E$110</f>
        <v>No</v>
      </c>
      <c r="I925" s="106" t="str">
        <f>B70_TR_Assessment!$F$110</f>
        <v>Pending</v>
      </c>
      <c r="J925" s="106">
        <f>B70_TR_Assessment!$G$110</f>
        <v>0</v>
      </c>
      <c r="K925" s="106">
        <f>B70_TR_Assessment!$H$110</f>
        <v>0</v>
      </c>
      <c r="L925" s="106">
        <f>B70_TR_Assessment!$I$110</f>
        <v>0</v>
      </c>
    </row>
    <row r="926" spans="1:12" ht="29.1" customHeight="1">
      <c r="A926" s="106">
        <f>B70_TR_Assessment!$B$2</f>
        <v>70</v>
      </c>
      <c r="B926" s="106" t="str">
        <f t="shared" si="83"/>
        <v>B62_TR_Assessment</v>
      </c>
      <c r="C926" s="106" t="str">
        <f>B70_TR_Assessment!$A$260</f>
        <v>Provide fire extinguisher cabinet and clean-agent or CO₂ extinguisher within 75 feet of each TR.</v>
      </c>
      <c r="D926" s="142" t="str">
        <f>B70_TR_Assessment!$A$111</f>
        <v>Electrical Equipment</v>
      </c>
      <c r="E926" s="142" t="str">
        <f>B70_TR_Assessment!$B$111</f>
        <v>Not Started</v>
      </c>
      <c r="F926" s="106" t="str">
        <f>B70_TR_Assessment!$C$111</f>
        <v>No</v>
      </c>
      <c r="G926" s="106" t="str">
        <f>B70_TR_Assessment!$D$111</f>
        <v>No</v>
      </c>
      <c r="H926" s="106" t="str">
        <f>B70_TR_Assessment!$E$111</f>
        <v>No</v>
      </c>
      <c r="I926" s="106" t="str">
        <f>B70_TR_Assessment!$F$111</f>
        <v>Pending</v>
      </c>
      <c r="J926" s="106">
        <f>B70_TR_Assessment!$G$111</f>
        <v>0</v>
      </c>
      <c r="K926" s="106">
        <f>B70_TR_Assessment!$H$111</f>
        <v>0</v>
      </c>
      <c r="L926" s="106">
        <f>B70_TR_Assessment!$I$111</f>
        <v>0</v>
      </c>
    </row>
    <row r="927" spans="1:12" ht="17.25" customHeight="1">
      <c r="A927" s="106">
        <f>B70_TR_Assessment!$B$2</f>
        <v>70</v>
      </c>
      <c r="B927" s="106" t="str">
        <f t="shared" si="83"/>
        <v>B62_TR_Assessment</v>
      </c>
      <c r="C927" s="106" t="str">
        <f>B70_TR_Assessment!$A$261</f>
        <v>Firestop all penetrations through rated assemblies.</v>
      </c>
      <c r="D927" s="142" t="str">
        <f>B70_TR_Assessment!$A$112</f>
        <v>Inspection Compliance</v>
      </c>
      <c r="E927" s="142">
        <f>B70_TR_Assessment!$B$112</f>
        <v>0</v>
      </c>
      <c r="F927" s="106">
        <f>B70_TR_Assessment!$C$112</f>
        <v>0</v>
      </c>
      <c r="G927" s="106">
        <f>B70_TR_Assessment!$D$112</f>
        <v>0</v>
      </c>
      <c r="H927" s="106" t="str">
        <f>B70_TR_Assessment!$E$112</f>
        <v>Success: Installed materials match approved submittals and deficiencies are documented.</v>
      </c>
      <c r="I927" s="106">
        <f>B70_TR_Assessment!$F$112</f>
        <v>0</v>
      </c>
      <c r="J927" s="106">
        <f>B70_TR_Assessment!$G$112</f>
        <v>0</v>
      </c>
      <c r="K927" s="106">
        <f>B70_TR_Assessment!$H$112</f>
        <v>0</v>
      </c>
      <c r="L927" s="106">
        <f>B70_TR_Assessment!$I$112</f>
        <v>0</v>
      </c>
    </row>
    <row r="928" spans="1:12" ht="22.95" customHeight="1">
      <c r="A928" s="106">
        <f>B70_TR_Assessment!$B$2</f>
        <v>70</v>
      </c>
      <c r="B928" s="106" t="str">
        <f t="shared" si="83"/>
        <v>B62_TR_Assessment</v>
      </c>
      <c r="C928" s="106" t="str">
        <f>B70_TR_Assessment!$A$262</f>
        <v>Verify compliance with NFPA 13 and VA Fire Protection Design Manual requirements.</v>
      </c>
      <c r="D928" s="142">
        <f>B70_TR_Assessment!$A$113</f>
        <v>0</v>
      </c>
      <c r="E928" s="142">
        <f>B70_TR_Assessment!$B$113</f>
        <v>0</v>
      </c>
      <c r="F928" s="106">
        <f>B70_TR_Assessment!$C$113</f>
        <v>0</v>
      </c>
      <c r="G928" s="106">
        <f>B70_TR_Assessment!$D$113</f>
        <v>0</v>
      </c>
      <c r="H928" s="106">
        <f>B70_TR_Assessment!$E$113</f>
        <v>0</v>
      </c>
      <c r="I928" s="106">
        <f>B70_TR_Assessment!$F$113</f>
        <v>0</v>
      </c>
      <c r="J928" s="106">
        <f>B70_TR_Assessment!$G$113</f>
        <v>0</v>
      </c>
      <c r="K928" s="106">
        <f>B70_TR_Assessment!$H$113</f>
        <v>0</v>
      </c>
      <c r="L928" s="106">
        <f>B70_TR_Assessment!$I$113</f>
        <v>0</v>
      </c>
    </row>
    <row r="929" spans="1:12" ht="7.35" customHeight="1">
      <c r="A929" s="106">
        <f>B70_TR_Assessment!$B$2</f>
        <v>70</v>
      </c>
      <c r="B929" s="106" t="str">
        <f t="shared" si="83"/>
        <v>B62_TR_Assessment</v>
      </c>
      <c r="C929" s="106" t="str">
        <f>B70_TR_Assessment!$A$264</f>
        <v>Fire Alarm</v>
      </c>
      <c r="D929" s="142" t="str">
        <f>B70_TR_Assessment!$A$115</f>
        <v>Trade</v>
      </c>
      <c r="E929" s="142" t="str">
        <f>B70_TR_Assessment!$B$115</f>
        <v>Status</v>
      </c>
      <c r="F929" s="106" t="str">
        <f>B70_TR_Assessment!$C$115</f>
        <v>Planned</v>
      </c>
      <c r="G929" s="106" t="str">
        <f>B70_TR_Assessment!$D$115</f>
        <v>Actual</v>
      </c>
      <c r="H929" s="106" t="str">
        <f>B70_TR_Assessment!$E$115</f>
        <v>Crew</v>
      </c>
      <c r="I929" s="106" t="str">
        <f>B70_TR_Assessment!$F$115</f>
        <v>Productivity</v>
      </c>
      <c r="J929" s="106" t="str">
        <f>B70_TR_Assessment!$G$115</f>
        <v>Work Observed / Delay Cause</v>
      </c>
      <c r="K929" s="106">
        <f>B70_TR_Assessment!$H$115</f>
        <v>0</v>
      </c>
      <c r="L929" s="106">
        <f>B70_TR_Assessment!$I$115</f>
        <v>0</v>
      </c>
    </row>
    <row r="930" spans="1:12" ht="11.7" customHeight="1">
      <c r="A930" s="106">
        <f>B70_TR_Assessment!$B$2</f>
        <v>70</v>
      </c>
      <c r="B930" s="106" t="str">
        <f t="shared" si="83"/>
        <v>B62_TR_Assessment</v>
      </c>
      <c r="C930" s="106" t="str">
        <f>B70_TR_Assessment!$A$266</f>
        <v>Verify smoke detection coverage.</v>
      </c>
      <c r="D930" s="142" t="str">
        <f>B70_TR_Assessment!$A$117</f>
        <v>Telecom</v>
      </c>
      <c r="E930" s="142" t="str">
        <f>B70_TR_Assessment!$B$117</f>
        <v>Not Started</v>
      </c>
      <c r="F930" s="106">
        <f>B70_TR_Assessment!$C$117</f>
        <v>0</v>
      </c>
      <c r="G930" s="106">
        <f>B70_TR_Assessment!$D$117</f>
        <v>0</v>
      </c>
      <c r="H930" s="106">
        <f>B70_TR_Assessment!$E$117</f>
        <v>0</v>
      </c>
      <c r="I930" s="106" t="str">
        <f>B70_TR_Assessment!$F$117</f>
        <v/>
      </c>
      <c r="J930" s="106">
        <f>B70_TR_Assessment!$G$117</f>
        <v>0</v>
      </c>
      <c r="K930" s="106">
        <f>B70_TR_Assessment!$H$117</f>
        <v>0</v>
      </c>
      <c r="L930" s="106">
        <f>B70_TR_Assessment!$I$117</f>
        <v>0</v>
      </c>
    </row>
    <row r="931" spans="1:12" ht="11.7" customHeight="1">
      <c r="A931" s="106">
        <f>B70_TR_Assessment!$B$2</f>
        <v>70</v>
      </c>
      <c r="B931" s="106" t="str">
        <f t="shared" si="83"/>
        <v>B62_TR_Assessment</v>
      </c>
      <c r="C931" s="106" t="str">
        <f>B70_TR_Assessment!$A$267</f>
        <v>Verify horn/strobe coverage.</v>
      </c>
      <c r="D931" s="142" t="str">
        <f>B70_TR_Assessment!$A$118</f>
        <v>Mechanical</v>
      </c>
      <c r="E931" s="142" t="str">
        <f>B70_TR_Assessment!$B$118</f>
        <v>Not Started</v>
      </c>
      <c r="F931" s="106">
        <f>B70_TR_Assessment!$C$118</f>
        <v>0</v>
      </c>
      <c r="G931" s="106">
        <f>B70_TR_Assessment!$D$118</f>
        <v>0</v>
      </c>
      <c r="H931" s="106">
        <f>B70_TR_Assessment!$E$118</f>
        <v>0</v>
      </c>
      <c r="I931" s="106" t="str">
        <f>B70_TR_Assessment!$F$118</f>
        <v/>
      </c>
      <c r="J931" s="106">
        <f>B70_TR_Assessment!$G$118</f>
        <v>0</v>
      </c>
      <c r="K931" s="106">
        <f>B70_TR_Assessment!$H$118</f>
        <v>0</v>
      </c>
      <c r="L931" s="106">
        <f>B70_TR_Assessment!$I$118</f>
        <v>0</v>
      </c>
    </row>
    <row r="932" spans="1:12" ht="17.25" customHeight="1">
      <c r="A932" s="106">
        <f>B70_TR_Assessment!$B$2</f>
        <v>70</v>
      </c>
      <c r="B932" s="106" t="str">
        <f t="shared" si="83"/>
        <v>B62_TR_Assessment</v>
      </c>
      <c r="C932" s="106" t="str">
        <f>B70_TR_Assessment!$A$268</f>
        <v>Coordinate relocation or addition of devices as required.</v>
      </c>
      <c r="D932" s="142" t="str">
        <f>B70_TR_Assessment!$A$119</f>
        <v>Firestop</v>
      </c>
      <c r="E932" s="142" t="str">
        <f>B70_TR_Assessment!$B$119</f>
        <v>Not Started</v>
      </c>
      <c r="F932" s="106">
        <f>B70_TR_Assessment!$C$119</f>
        <v>0</v>
      </c>
      <c r="G932" s="106">
        <f>B70_TR_Assessment!$D$119</f>
        <v>0</v>
      </c>
      <c r="H932" s="106">
        <f>B70_TR_Assessment!$E$119</f>
        <v>0</v>
      </c>
      <c r="I932" s="106" t="str">
        <f>B70_TR_Assessment!$F$119</f>
        <v/>
      </c>
      <c r="J932" s="106">
        <f>B70_TR_Assessment!$G$119</f>
        <v>0</v>
      </c>
      <c r="K932" s="106">
        <f>B70_TR_Assessment!$H$119</f>
        <v>0</v>
      </c>
      <c r="L932" s="106">
        <f>B70_TR_Assessment!$I$119</f>
        <v>0</v>
      </c>
    </row>
    <row r="933" spans="1:12" ht="22.95" customHeight="1">
      <c r="A933" s="106">
        <f>B70_TR_Assessment!$B$2</f>
        <v>70</v>
      </c>
      <c r="B933" s="106" t="str">
        <f t="shared" si="83"/>
        <v>B62_TR_Assessment</v>
      </c>
      <c r="C933" s="106" t="str">
        <f>B70_TR_Assessment!$A$269</f>
        <v>Verify monitoring and reporting through existing fire alarm systems.</v>
      </c>
      <c r="D933" s="142" t="str">
        <f>B70_TR_Assessment!$A$120</f>
        <v>Contractor Performance</v>
      </c>
      <c r="E933" s="142">
        <f>B70_TR_Assessment!$B$120</f>
        <v>0</v>
      </c>
      <c r="F933" s="106">
        <f>B70_TR_Assessment!$C$120</f>
        <v>0</v>
      </c>
      <c r="G933" s="106">
        <f>B70_TR_Assessment!$D$120</f>
        <v>0</v>
      </c>
      <c r="H933" s="106" t="str">
        <f>B70_TR_Assessment!$E$120</f>
        <v>Success: Actual production is on or above baseline, or delay cause is documented.</v>
      </c>
      <c r="I933" s="106">
        <f>B70_TR_Assessment!$F$120</f>
        <v>0</v>
      </c>
      <c r="J933" s="106">
        <f>B70_TR_Assessment!$G$120</f>
        <v>0</v>
      </c>
      <c r="K933" s="106">
        <f>B70_TR_Assessment!$H$120</f>
        <v>0</v>
      </c>
      <c r="L933" s="106">
        <f>B70_TR_Assessment!$I$120</f>
        <v>0</v>
      </c>
    </row>
    <row r="934" spans="1:12" ht="11.7" customHeight="1">
      <c r="A934" s="106">
        <f>B70_TR_Assessment!$B$2</f>
        <v>70</v>
      </c>
      <c r="B934" s="106" t="str">
        <f t="shared" si="83"/>
        <v>B62_TR_Assessment</v>
      </c>
      <c r="C934" s="106" t="str">
        <f>B70_TR_Assessment!$A$270</f>
        <v>Test and document final operation.</v>
      </c>
      <c r="D934" s="142">
        <f>B70_TR_Assessment!$A$121</f>
        <v>0</v>
      </c>
      <c r="E934" s="142">
        <f>B70_TR_Assessment!$B$121</f>
        <v>0</v>
      </c>
      <c r="F934" s="106">
        <f>B70_TR_Assessment!$C$121</f>
        <v>0</v>
      </c>
      <c r="G934" s="106">
        <f>B70_TR_Assessment!$D$121</f>
        <v>0</v>
      </c>
      <c r="H934" s="106">
        <f>B70_TR_Assessment!$E$121</f>
        <v>0</v>
      </c>
      <c r="I934" s="106">
        <f>B70_TR_Assessment!$F$121</f>
        <v>0</v>
      </c>
      <c r="J934" s="106">
        <f>B70_TR_Assessment!$G$121</f>
        <v>0</v>
      </c>
      <c r="K934" s="106">
        <f>B70_TR_Assessment!$H$121</f>
        <v>0</v>
      </c>
      <c r="L934" s="106">
        <f>B70_TR_Assessment!$I$121</f>
        <v>0</v>
      </c>
    </row>
    <row r="935" spans="1:12" ht="7.35" customHeight="1">
      <c r="A935" s="106">
        <f>B70_TR_Assessment!$B$2</f>
        <v>70</v>
      </c>
      <c r="B935" s="106" t="str">
        <f t="shared" si="83"/>
        <v>B62_TR_Assessment</v>
      </c>
      <c r="C935" s="106" t="str">
        <f>B70_TR_Assessment!$A$272</f>
        <v>Mechanical / HVAC</v>
      </c>
      <c r="D935" s="142" t="str">
        <f>B70_TR_Assessment!$A$123</f>
        <v>Requirement</v>
      </c>
      <c r="E935" s="142" t="str">
        <f>B70_TR_Assessment!$B$123</f>
        <v>Status</v>
      </c>
      <c r="F935" s="106" t="str">
        <f>B70_TR_Assessment!$C$123</f>
        <v>Required</v>
      </c>
      <c r="G935" s="106" t="str">
        <f>B70_TR_Assessment!$D$123</f>
        <v>Complete</v>
      </c>
      <c r="H935" s="106" t="str">
        <f>B70_TR_Assessment!$E$123</f>
        <v>Score</v>
      </c>
      <c r="I935" s="106" t="str">
        <f>B70_TR_Assessment!$F$123</f>
        <v>Comments</v>
      </c>
      <c r="J935" s="106" t="str">
        <f>B70_TR_Assessment!$G$123</f>
        <v>Evidence Ref.</v>
      </c>
      <c r="K935" s="106">
        <f>B70_TR_Assessment!$H$123</f>
        <v>0</v>
      </c>
      <c r="L935" s="106">
        <f>B70_TR_Assessment!$I$123</f>
        <v>0</v>
      </c>
    </row>
    <row r="936" spans="1:12" ht="17.25" customHeight="1">
      <c r="A936" s="106">
        <f>B70_TR_Assessment!$B$2</f>
        <v>70</v>
      </c>
      <c r="B936" s="106" t="str">
        <f t="shared" si="83"/>
        <v>B62_TR_Assessment</v>
      </c>
      <c r="C936" s="106" t="str">
        <f>B70_TR_Assessment!$A$274</f>
        <v>Verify dedicated cooling units serving each telecom room.</v>
      </c>
      <c r="D936" s="142" t="str">
        <f>B70_TR_Assessment!$A$125</f>
        <v>QA/QC Complete</v>
      </c>
      <c r="E936" s="142" t="str">
        <f>B70_TR_Assessment!$B$125</f>
        <v>Not Started</v>
      </c>
      <c r="F936" s="106" t="str">
        <f>B70_TR_Assessment!$C$125</f>
        <v>Yes</v>
      </c>
      <c r="G936" s="106" t="str">
        <f>B70_TR_Assessment!$D$125</f>
        <v>No</v>
      </c>
      <c r="H936" s="106">
        <f>B70_TR_Assessment!$E$125</f>
        <v>0</v>
      </c>
      <c r="I936" s="106">
        <f>B70_TR_Assessment!$F$125</f>
        <v>0</v>
      </c>
      <c r="J936" s="106">
        <f>B70_TR_Assessment!$G$125</f>
        <v>0</v>
      </c>
      <c r="K936" s="106">
        <f>B70_TR_Assessment!$H$125</f>
        <v>0</v>
      </c>
      <c r="L936" s="106">
        <f>B70_TR_Assessment!$I$125</f>
        <v>0</v>
      </c>
    </row>
    <row r="937" spans="1:12" ht="11.7" customHeight="1">
      <c r="A937" s="106">
        <f>B70_TR_Assessment!$B$2</f>
        <v>70</v>
      </c>
      <c r="B937" s="106" t="str">
        <f t="shared" si="83"/>
        <v>B62_TR_Assessment</v>
      </c>
      <c r="C937" s="106" t="str">
        <f>B70_TR_Assessment!$A$275</f>
        <v>Verify thermostat installation.</v>
      </c>
      <c r="D937" s="142" t="str">
        <f>B70_TR_Assessment!$A$126</f>
        <v>Deficiencies Closed</v>
      </c>
      <c r="E937" s="142" t="str">
        <f>B70_TR_Assessment!$B$126</f>
        <v>Not Started</v>
      </c>
      <c r="F937" s="106" t="str">
        <f>B70_TR_Assessment!$C$126</f>
        <v>Yes</v>
      </c>
      <c r="G937" s="106" t="str">
        <f>B70_TR_Assessment!$D$126</f>
        <v>No</v>
      </c>
      <c r="H937" s="106">
        <f>B70_TR_Assessment!$E$126</f>
        <v>0</v>
      </c>
      <c r="I937" s="106">
        <f>B70_TR_Assessment!$F$126</f>
        <v>0</v>
      </c>
      <c r="J937" s="106">
        <f>B70_TR_Assessment!$G$126</f>
        <v>0</v>
      </c>
      <c r="K937" s="106">
        <f>B70_TR_Assessment!$H$126</f>
        <v>0</v>
      </c>
      <c r="L937" s="106">
        <f>B70_TR_Assessment!$I$126</f>
        <v>0</v>
      </c>
    </row>
    <row r="938" spans="1:12" ht="17.25" customHeight="1">
      <c r="A938" s="106">
        <f>B70_TR_Assessment!$B$2</f>
        <v>70</v>
      </c>
      <c r="B938" s="106" t="str">
        <f t="shared" si="83"/>
        <v>B62_TR_Assessment</v>
      </c>
      <c r="C938" s="106" t="str">
        <f>B70_TR_Assessment!$A$276</f>
        <v>Verify BACnet integration and controls.</v>
      </c>
      <c r="D938" s="142" t="str">
        <f>B70_TR_Assessment!$A$127</f>
        <v>OIT Ready</v>
      </c>
      <c r="E938" s="142" t="str">
        <f>B70_TR_Assessment!$B$127</f>
        <v>Not Started</v>
      </c>
      <c r="F938" s="106" t="str">
        <f>B70_TR_Assessment!$C$127</f>
        <v>Yes</v>
      </c>
      <c r="G938" s="106" t="str">
        <f>B70_TR_Assessment!$D$127</f>
        <v>No</v>
      </c>
      <c r="H938" s="106">
        <f>B70_TR_Assessment!$E$127</f>
        <v>0</v>
      </c>
      <c r="I938" s="106">
        <f>B70_TR_Assessment!$F$127</f>
        <v>0</v>
      </c>
      <c r="J938" s="106">
        <f>B70_TR_Assessment!$G$127</f>
        <v>0</v>
      </c>
      <c r="K938" s="106">
        <f>B70_TR_Assessment!$H$127</f>
        <v>0</v>
      </c>
      <c r="L938" s="106">
        <f>B70_TR_Assessment!$I$127</f>
        <v>0</v>
      </c>
    </row>
    <row r="939" spans="1:12" ht="11.7" customHeight="1">
      <c r="A939" s="106">
        <f>B70_TR_Assessment!$B$2</f>
        <v>70</v>
      </c>
      <c r="B939" s="106" t="str">
        <f t="shared" si="83"/>
        <v>B62_TR_Assessment</v>
      </c>
      <c r="C939" s="106" t="str">
        <f>B70_TR_Assessment!$A$277</f>
        <v>Verify condensate routing and drainage.</v>
      </c>
      <c r="D939" s="142" t="str">
        <f>B70_TR_Assessment!$A$128</f>
        <v>Documentation Complete</v>
      </c>
      <c r="E939" s="142" t="str">
        <f>B70_TR_Assessment!$B$128</f>
        <v>Not Started</v>
      </c>
      <c r="F939" s="106" t="str">
        <f>B70_TR_Assessment!$C$128</f>
        <v>Yes</v>
      </c>
      <c r="G939" s="106" t="str">
        <f>B70_TR_Assessment!$D$128</f>
        <v>No</v>
      </c>
      <c r="H939" s="106">
        <f>B70_TR_Assessment!$E$128</f>
        <v>0</v>
      </c>
      <c r="I939" s="106">
        <f>B70_TR_Assessment!$F$128</f>
        <v>0</v>
      </c>
      <c r="J939" s="106">
        <f>B70_TR_Assessment!$G$128</f>
        <v>0</v>
      </c>
      <c r="K939" s="106">
        <f>B70_TR_Assessment!$H$128</f>
        <v>0</v>
      </c>
      <c r="L939" s="106">
        <f>B70_TR_Assessment!$I$128</f>
        <v>0</v>
      </c>
    </row>
    <row r="940" spans="1:12" ht="17.25" customHeight="1">
      <c r="A940" s="106">
        <f>B70_TR_Assessment!$B$2</f>
        <v>70</v>
      </c>
      <c r="B940" s="106" t="str">
        <f t="shared" si="83"/>
        <v>B62_TR_Assessment</v>
      </c>
      <c r="C940" s="106" t="str">
        <f>B70_TR_Assessment!$A$278</f>
        <v>Verify emergency power requirements for cooling equipment.</v>
      </c>
      <c r="D940" s="142" t="str">
        <f>B70_TR_Assessment!$A$129</f>
        <v>Recommended for Acceptance</v>
      </c>
      <c r="E940" s="142" t="str">
        <f>B70_TR_Assessment!$B$129</f>
        <v>Not Started</v>
      </c>
      <c r="F940" s="106" t="str">
        <f>B70_TR_Assessment!$C$129</f>
        <v>Yes</v>
      </c>
      <c r="G940" s="106" t="str">
        <f>B70_TR_Assessment!$D$129</f>
        <v>No</v>
      </c>
      <c r="H940" s="106">
        <f>B70_TR_Assessment!$E$129</f>
        <v>0</v>
      </c>
      <c r="I940" s="106">
        <f>B70_TR_Assessment!$F$129</f>
        <v>0</v>
      </c>
      <c r="J940" s="106">
        <f>B70_TR_Assessment!$G$129</f>
        <v>0</v>
      </c>
      <c r="K940" s="106">
        <f>B70_TR_Assessment!$H$129</f>
        <v>0</v>
      </c>
      <c r="L940" s="106">
        <f>B70_TR_Assessment!$I$129</f>
        <v>0</v>
      </c>
    </row>
    <row r="941" spans="1:12" ht="22.95" customHeight="1">
      <c r="A941" s="106">
        <f>B70_TR_Assessment!$B$2</f>
        <v>70</v>
      </c>
      <c r="B941" s="106" t="str">
        <f t="shared" si="83"/>
        <v>B62_TR_Assessment</v>
      </c>
      <c r="C941" s="106" t="str">
        <f>B70_TR_Assessment!$A$279</f>
        <v>Verify continuous cooling capability during hospital operations.</v>
      </c>
      <c r="D941" s="142" t="str">
        <f>B70_TR_Assessment!$A$130</f>
        <v>Acceptance Readiness</v>
      </c>
      <c r="E941" s="142">
        <f>B70_TR_Assessment!$B$130</f>
        <v>0</v>
      </c>
      <c r="F941" s="106">
        <f>B70_TR_Assessment!$C$130</f>
        <v>0</v>
      </c>
      <c r="G941" s="106">
        <f>B70_TR_Assessment!$D$130</f>
        <v>0</v>
      </c>
      <c r="H941" s="106" t="str">
        <f>B70_TR_Assessment!$E$130</f>
        <v>Success: Building is ready for turnover when all required gates are complete.</v>
      </c>
      <c r="I941" s="106">
        <f>B70_TR_Assessment!$F$130</f>
        <v>0</v>
      </c>
      <c r="J941" s="106">
        <f>B70_TR_Assessment!$G$130</f>
        <v>0</v>
      </c>
      <c r="K941" s="106">
        <f>B70_TR_Assessment!$H$130</f>
        <v>0</v>
      </c>
      <c r="L941" s="106">
        <f>B70_TR_Assessment!$I$130</f>
        <v>0</v>
      </c>
    </row>
    <row r="942" spans="1:12" ht="11.7" customHeight="1">
      <c r="A942" s="106">
        <f>B70_TR_Assessment!$B$2</f>
        <v>70</v>
      </c>
      <c r="B942" s="106" t="str">
        <f t="shared" si="83"/>
        <v>B62_TR_Assessment</v>
      </c>
      <c r="C942" s="106" t="str">
        <f>B70_TR_Assessment!$A$280</f>
        <v>Perform startup and commissioning.</v>
      </c>
      <c r="D942" s="142">
        <f>B70_TR_Assessment!$A$131</f>
        <v>0</v>
      </c>
      <c r="E942" s="142">
        <f>B70_TR_Assessment!$B$131</f>
        <v>0</v>
      </c>
      <c r="F942" s="106">
        <f>B70_TR_Assessment!$C$131</f>
        <v>0</v>
      </c>
      <c r="G942" s="106">
        <f>B70_TR_Assessment!$D$131</f>
        <v>0</v>
      </c>
      <c r="H942" s="106">
        <f>B70_TR_Assessment!$E$131</f>
        <v>0</v>
      </c>
      <c r="I942" s="106">
        <f>B70_TR_Assessment!$F$131</f>
        <v>0</v>
      </c>
      <c r="J942" s="106">
        <f>B70_TR_Assessment!$G$131</f>
        <v>0</v>
      </c>
      <c r="K942" s="106">
        <f>B70_TR_Assessment!$H$131</f>
        <v>0</v>
      </c>
      <c r="L942" s="106">
        <f>B70_TR_Assessment!$I$131</f>
        <v>0</v>
      </c>
    </row>
    <row r="943" spans="1:12" ht="7.35" customHeight="1">
      <c r="A943" s="106">
        <f>B70_TR_Assessment!$B$2</f>
        <v>70</v>
      </c>
      <c r="B943" s="106" t="str">
        <f t="shared" si="83"/>
        <v>B62_TR_Assessment</v>
      </c>
      <c r="C943" s="106" t="str">
        <f>B70_TR_Assessment!$A$282</f>
        <v>Electrical</v>
      </c>
      <c r="D943" s="142" t="str">
        <f>B70_TR_Assessment!$A$133</f>
        <v>Source Package</v>
      </c>
      <c r="E943" s="142" t="str">
        <f>B70_TR_Assessment!$B$133</f>
        <v>518-22-700.Bedford.EHRM.IFC.B61.20260316.pdf</v>
      </c>
      <c r="F943" s="106">
        <f>B70_TR_Assessment!$C$133</f>
        <v>0</v>
      </c>
      <c r="G943" s="106">
        <f>B70_TR_Assessment!$D$133</f>
        <v>0</v>
      </c>
      <c r="H943" s="106">
        <f>B70_TR_Assessment!$E$133</f>
        <v>0</v>
      </c>
      <c r="I943" s="106">
        <f>B70_TR_Assessment!$F$133</f>
        <v>0</v>
      </c>
      <c r="J943" s="106">
        <f>B70_TR_Assessment!$G$133</f>
        <v>0</v>
      </c>
      <c r="K943" s="106">
        <f>B70_TR_Assessment!$H$133</f>
        <v>0</v>
      </c>
      <c r="L943" s="106">
        <f>B70_TR_Assessment!$I$133</f>
        <v>0</v>
      </c>
    </row>
    <row r="944" spans="1:12" ht="17.25" customHeight="1">
      <c r="A944" s="106">
        <f>B70_TR_Assessment!$B$2</f>
        <v>70</v>
      </c>
      <c r="B944" s="106" t="str">
        <f t="shared" si="83"/>
        <v>B62_TR_Assessment</v>
      </c>
      <c r="C944" s="106" t="str">
        <f>B70_TR_Assessment!$A$284</f>
        <v>Verify new electrical distribution serving telecom equipment.</v>
      </c>
      <c r="D944" s="142" t="str">
        <f>B70_TR_Assessment!$A$135</f>
        <v>Architectural / Hazardous Basis</v>
      </c>
      <c r="E944" s="142" t="str">
        <f>B70_TR_Assessment!$B$135</f>
        <v>Drawing index includes 61H-101 first-level and 61H-102 second-level hazardous material abatement plans plus architectural enlarged views 61A-400/401 for basement, first and second levels.</v>
      </c>
      <c r="F944" s="106">
        <f>B70_TR_Assessment!$C$135</f>
        <v>0</v>
      </c>
      <c r="G944" s="106">
        <f>B70_TR_Assessment!$D$135</f>
        <v>0</v>
      </c>
      <c r="H944" s="106">
        <f>B70_TR_Assessment!$E$135</f>
        <v>0</v>
      </c>
      <c r="I944" s="106">
        <f>B70_TR_Assessment!$F$135</f>
        <v>0</v>
      </c>
      <c r="J944" s="106">
        <f>B70_TR_Assessment!$G$135</f>
        <v>0</v>
      </c>
      <c r="K944" s="106">
        <f>B70_TR_Assessment!$H$135</f>
        <v>0</v>
      </c>
      <c r="L944" s="106">
        <f>B70_TR_Assessment!$I$135</f>
        <v>0</v>
      </c>
    </row>
    <row r="945" spans="1:12" ht="11.7" customHeight="1">
      <c r="A945" s="106">
        <f>B70_TR_Assessment!$B$2</f>
        <v>70</v>
      </c>
      <c r="B945" s="106" t="str">
        <f t="shared" si="83"/>
        <v>B62_TR_Assessment</v>
      </c>
      <c r="C945" s="106" t="str">
        <f>B70_TR_Assessment!$A$285</f>
        <v>Verify dedicated panel assignments.</v>
      </c>
      <c r="D945" s="142" t="str">
        <f>B70_TR_Assessment!$A$136</f>
        <v>Mechanical Basis</v>
      </c>
      <c r="E945" s="142" t="str">
        <f>B70_TR_Assessment!$B$136</f>
        <v>61M sheets identify dedicated split-system cooling for telecom rooms using IU-0-01/IU-1-01/IU-2-01 and CU-0-01/CU-1-01/CU-2-01, with BACnet adapter mounted adjacent to unit in telecom room; verify emergency power, condensate and alarms.</v>
      </c>
      <c r="F945" s="106">
        <f>B70_TR_Assessment!$C$136</f>
        <v>0</v>
      </c>
      <c r="G945" s="106">
        <f>B70_TR_Assessment!$D$136</f>
        <v>0</v>
      </c>
      <c r="H945" s="106">
        <f>B70_TR_Assessment!$E$136</f>
        <v>0</v>
      </c>
      <c r="I945" s="106">
        <f>B70_TR_Assessment!$F$136</f>
        <v>0</v>
      </c>
      <c r="J945" s="106">
        <f>B70_TR_Assessment!$G$136</f>
        <v>0</v>
      </c>
      <c r="K945" s="106">
        <f>B70_TR_Assessment!$H$136</f>
        <v>0</v>
      </c>
      <c r="L945" s="106">
        <f>B70_TR_Assessment!$I$136</f>
        <v>0</v>
      </c>
    </row>
    <row r="946" spans="1:12" ht="11.7" customHeight="1">
      <c r="A946" s="106">
        <f>B70_TR_Assessment!$B$2</f>
        <v>70</v>
      </c>
      <c r="B946" s="106" t="str">
        <f t="shared" si="83"/>
        <v>B62_TR_Assessment</v>
      </c>
      <c r="C946" s="106" t="str">
        <f>B70_TR_Assessment!$A$286</f>
        <v>Verify UPS installation and ratings.</v>
      </c>
      <c r="D946" s="142" t="str">
        <f>B70_TR_Assessment!$A$137</f>
        <v>Electrical Basis</v>
      </c>
      <c r="E946" s="142" t="str">
        <f>B70_TR_Assessment!$B$137</f>
        <v>61E-401/402/601/701/702/703 identify B61 telecom panelboards and PD panels including B61-TRB13A/B, B61-TR124A/B, B61-TR226A/B, B61-TR137AA/AB, rack receptacles, SPDs, UPS/PDU and cooling equipment circuits.</v>
      </c>
      <c r="F946" s="106">
        <f>B70_TR_Assessment!$C$137</f>
        <v>0</v>
      </c>
      <c r="G946" s="106">
        <f>B70_TR_Assessment!$D$137</f>
        <v>0</v>
      </c>
      <c r="H946" s="106">
        <f>B70_TR_Assessment!$E$137</f>
        <v>0</v>
      </c>
      <c r="I946" s="106">
        <f>B70_TR_Assessment!$F$137</f>
        <v>0</v>
      </c>
      <c r="J946" s="106">
        <f>B70_TR_Assessment!$G$137</f>
        <v>0</v>
      </c>
      <c r="K946" s="106">
        <f>B70_TR_Assessment!$H$137</f>
        <v>0</v>
      </c>
      <c r="L946" s="106">
        <f>B70_TR_Assessment!$I$137</f>
        <v>0</v>
      </c>
    </row>
    <row r="947" spans="1:12" ht="11.7" customHeight="1">
      <c r="A947" s="106">
        <f>B70_TR_Assessment!$B$2</f>
        <v>70</v>
      </c>
      <c r="B947" s="106" t="str">
        <f t="shared" si="83"/>
        <v>B62_TR_Assessment</v>
      </c>
      <c r="C947" s="106" t="str">
        <f>B70_TR_Assessment!$A$287</f>
        <v>Verify rack power distribution units.</v>
      </c>
      <c r="D947" s="142" t="str">
        <f>B70_TR_Assessment!$A$138</f>
        <v>Telecom Basis</v>
      </c>
      <c r="E947" s="142" t="str">
        <f>B70_TR_Assessment!$B$138</f>
        <v>61T-701/702 identify B13H-A: 88 WAO, 74 active, 129 scheduled, 142 with allowance; 226: 109 WAO, 126 active, 156 scheduled, 172 with allowance. Cable tray schedule totals 1,966 ft: basement 890 ft, first 499 ft, second 578 ft.</v>
      </c>
      <c r="F947" s="106">
        <f>B70_TR_Assessment!$C$138</f>
        <v>0</v>
      </c>
      <c r="G947" s="106">
        <f>B70_TR_Assessment!$D$138</f>
        <v>0</v>
      </c>
      <c r="H947" s="106">
        <f>B70_TR_Assessment!$E$138</f>
        <v>0</v>
      </c>
      <c r="I947" s="106">
        <f>B70_TR_Assessment!$F$138</f>
        <v>0</v>
      </c>
      <c r="J947" s="106">
        <f>B70_TR_Assessment!$G$138</f>
        <v>0</v>
      </c>
      <c r="K947" s="106">
        <f>B70_TR_Assessment!$H$138</f>
        <v>0</v>
      </c>
      <c r="L947" s="106">
        <f>B70_TR_Assessment!$I$138</f>
        <v>0</v>
      </c>
    </row>
    <row r="948" spans="1:12" ht="11.7" customHeight="1">
      <c r="A948" s="106">
        <f>B70_TR_Assessment!$B$2</f>
        <v>70</v>
      </c>
      <c r="B948" s="106" t="str">
        <f t="shared" si="83"/>
        <v>B62_TR_Assessment</v>
      </c>
      <c r="C948" s="106" t="str">
        <f>B70_TR_Assessment!$A$288</f>
        <v>Verify emergency power source.</v>
      </c>
      <c r="D948" s="142" t="str">
        <f>B70_TR_Assessment!$A$139</f>
        <v>Server / Demarc Basis</v>
      </c>
      <c r="E948" s="142" t="str">
        <f>B70_TR_Assessment!$B$139</f>
        <v>61T-402/606/607 and 61R-900 reference Room 137/137A existing telecom/server/demarc racks, APC UPS/PDU, Fujitsu equipment, wall-mounted patch panels and active systems requiring protection-in-place and cutover coordination.</v>
      </c>
      <c r="F948" s="106">
        <f>B70_TR_Assessment!$C$139</f>
        <v>0</v>
      </c>
      <c r="G948" s="106">
        <f>B70_TR_Assessment!$D$139</f>
        <v>0</v>
      </c>
      <c r="H948" s="106">
        <f>B70_TR_Assessment!$E$139</f>
        <v>0</v>
      </c>
      <c r="I948" s="106">
        <f>B70_TR_Assessment!$F$139</f>
        <v>0</v>
      </c>
      <c r="J948" s="106">
        <f>B70_TR_Assessment!$G$139</f>
        <v>0</v>
      </c>
      <c r="K948" s="106">
        <f>B70_TR_Assessment!$H$139</f>
        <v>0</v>
      </c>
      <c r="L948" s="106">
        <f>B70_TR_Assessment!$I$139</f>
        <v>0</v>
      </c>
    </row>
    <row r="949" spans="1:12" ht="11.7" customHeight="1">
      <c r="A949" s="106">
        <f>B70_TR_Assessment!$B$2</f>
        <v>70</v>
      </c>
      <c r="B949" s="106" t="str">
        <f t="shared" si="83"/>
        <v>B62_TR_Assessment</v>
      </c>
      <c r="C949" s="106" t="str">
        <f>B70_TR_Assessment!$A$289</f>
        <v>Verify grounding and bonding requirements.</v>
      </c>
      <c r="D949" s="142" t="str">
        <f>B70_TR_Assessment!$A$140</f>
        <v>Operational Basis</v>
      </c>
      <c r="E949" s="142" t="str">
        <f>B70_TR_Assessment!$B$140</f>
        <v>Cover/general notes require existing ports replaced, conduit reuse where possible, 10% data-port allowance, coordination drawings, third-party inspections, commissioning/recommissioning, VA acceptance before active connections, and shutdowns limited one at a time.</v>
      </c>
      <c r="F949" s="106">
        <f>B70_TR_Assessment!$C$140</f>
        <v>0</v>
      </c>
      <c r="G949" s="106">
        <f>B70_TR_Assessment!$D$140</f>
        <v>0</v>
      </c>
      <c r="H949" s="106">
        <f>B70_TR_Assessment!$E$140</f>
        <v>0</v>
      </c>
      <c r="I949" s="106">
        <f>B70_TR_Assessment!$F$140</f>
        <v>0</v>
      </c>
      <c r="J949" s="106">
        <f>B70_TR_Assessment!$G$140</f>
        <v>0</v>
      </c>
      <c r="K949" s="106">
        <f>B70_TR_Assessment!$H$140</f>
        <v>0</v>
      </c>
      <c r="L949" s="106">
        <f>B70_TR_Assessment!$I$140</f>
        <v>0</v>
      </c>
    </row>
    <row r="950" spans="1:12" ht="17.25" customHeight="1">
      <c r="A950" s="106">
        <f>B70_TR_Assessment!$B$2</f>
        <v>70</v>
      </c>
      <c r="B950" s="106" t="str">
        <f t="shared" si="83"/>
        <v>B62_TR_Assessment</v>
      </c>
      <c r="C950" s="106" t="str">
        <f>B70_TR_Assessment!$A$290</f>
        <v>Verify circuit identification and labeling.</v>
      </c>
      <c r="D950" s="142">
        <f>B70_TR_Assessment!$A$141</f>
        <v>0</v>
      </c>
      <c r="E950" s="142">
        <f>B70_TR_Assessment!$B$141</f>
        <v>0</v>
      </c>
      <c r="F950" s="106">
        <f>B70_TR_Assessment!$C$141</f>
        <v>0</v>
      </c>
      <c r="G950" s="106">
        <f>B70_TR_Assessment!$D$141</f>
        <v>0</v>
      </c>
      <c r="H950" s="106">
        <f>B70_TR_Assessment!$E$141</f>
        <v>0</v>
      </c>
      <c r="I950" s="106">
        <f>B70_TR_Assessment!$F$141</f>
        <v>0</v>
      </c>
      <c r="J950" s="106">
        <f>B70_TR_Assessment!$G$141</f>
        <v>0</v>
      </c>
      <c r="K950" s="106">
        <f>B70_TR_Assessment!$H$141</f>
        <v>0</v>
      </c>
      <c r="L950" s="106">
        <f>B70_TR_Assessment!$I$141</f>
        <v>0</v>
      </c>
    </row>
    <row r="951" spans="1:12" ht="7.35" customHeight="1">
      <c r="A951" s="106">
        <f>B70_TR_Assessment!$B$2</f>
        <v>70</v>
      </c>
      <c r="B951" s="106" t="str">
        <f t="shared" si="83"/>
        <v>B62_TR_Assessment</v>
      </c>
      <c r="C951" s="106" t="str">
        <f>B70_TR_Assessment!$A$292</f>
        <v>Telecommunications</v>
      </c>
      <c r="D951" s="142" t="str">
        <f>B70_TR_Assessment!$A$143</f>
        <v>Purpose</v>
      </c>
      <c r="E951" s="142" t="str">
        <f>B70_TR_Assessment!$B$143</f>
        <v>Use this as the objective completion gate for pilot turnover. A building/pilot stays YELLOW until all eight gates are complete.</v>
      </c>
      <c r="F951" s="106">
        <f>B70_TR_Assessment!$C$143</f>
        <v>0</v>
      </c>
      <c r="G951" s="106">
        <f>B70_TR_Assessment!$D$143</f>
        <v>0</v>
      </c>
      <c r="H951" s="106">
        <f>B70_TR_Assessment!$E$143</f>
        <v>0</v>
      </c>
      <c r="I951" s="106">
        <f>B70_TR_Assessment!$F$143</f>
        <v>0</v>
      </c>
      <c r="J951" s="106">
        <f>B70_TR_Assessment!$G$143</f>
        <v>0</v>
      </c>
      <c r="K951" s="106">
        <f>B70_TR_Assessment!$H$143</f>
        <v>0</v>
      </c>
      <c r="L951" s="106">
        <f>B70_TR_Assessment!$I$143</f>
        <v>0</v>
      </c>
    </row>
    <row r="952" spans="1:12" ht="11.7" customHeight="1">
      <c r="A952" s="106">
        <f>B70_TR_Assessment!$B$2</f>
        <v>70</v>
      </c>
      <c r="B952" s="106" t="str">
        <f t="shared" si="83"/>
        <v>B62_TR_Assessment</v>
      </c>
      <c r="C952" s="106" t="str">
        <f>B70_TR_Assessment!$A$294</f>
        <v>Install and/or verify new equipment racks.</v>
      </c>
      <c r="D952" s="142">
        <f>B70_TR_Assessment!$A$145</f>
        <v>0</v>
      </c>
      <c r="E952" s="142">
        <f>B70_TR_Assessment!$B$145</f>
        <v>0</v>
      </c>
      <c r="F952" s="106">
        <f>B70_TR_Assessment!$C$145</f>
        <v>0</v>
      </c>
      <c r="G952" s="106">
        <f>B70_TR_Assessment!$D$145</f>
        <v>0</v>
      </c>
      <c r="H952" s="106">
        <f>B70_TR_Assessment!$E$145</f>
        <v>0</v>
      </c>
      <c r="I952" s="106">
        <f>B70_TR_Assessment!$F$145</f>
        <v>0</v>
      </c>
      <c r="J952" s="106">
        <f>B70_TR_Assessment!$G$145</f>
        <v>0</v>
      </c>
      <c r="K952" s="106">
        <f>B70_TR_Assessment!$H$145</f>
        <v>0</v>
      </c>
      <c r="L952" s="106">
        <f>B70_TR_Assessment!$I$145</f>
        <v>0</v>
      </c>
    </row>
    <row r="953" spans="1:12" ht="17.25" customHeight="1">
      <c r="A953" s="106">
        <f>B70_TR_Assessment!$B$2</f>
        <v>70</v>
      </c>
      <c r="B953" s="106" t="str">
        <f t="shared" si="83"/>
        <v>B62_TR_Assessment</v>
      </c>
      <c r="C953" s="106" t="str">
        <f>B70_TR_Assessment!$A$295</f>
        <v>Install vertical and horizontal cable management.</v>
      </c>
      <c r="D953" s="142" t="str">
        <f>B70_TR_Assessment!$A$146</f>
        <v>Requirement</v>
      </c>
      <c r="E953" s="142" t="str">
        <f>B70_TR_Assessment!$B$146</f>
        <v>Status</v>
      </c>
      <c r="F953" s="106" t="str">
        <f>B70_TR_Assessment!$C$146</f>
        <v>Evidence / Link</v>
      </c>
      <c r="G953" s="106" t="str">
        <f>B70_TR_Assessment!$D$146</f>
        <v>Date</v>
      </c>
      <c r="H953" s="106" t="str">
        <f>B70_TR_Assessment!$E$146</f>
        <v>Owner</v>
      </c>
      <c r="I953" s="106" t="str">
        <f>B70_TR_Assessment!$F$146</f>
        <v>QC Notes</v>
      </c>
      <c r="J953" s="106" t="str">
        <f>B70_TR_Assessment!$G$146</f>
        <v>Gate Met?</v>
      </c>
      <c r="K953" s="106" t="str">
        <f>B70_TR_Assessment!$H$146</f>
        <v>Dashboard Signal</v>
      </c>
      <c r="L953" s="106">
        <f>B70_TR_Assessment!$I$146</f>
        <v>0</v>
      </c>
    </row>
    <row r="954" spans="1:12" ht="11.7" customHeight="1">
      <c r="A954" s="106">
        <f>B70_TR_Assessment!$B$2</f>
        <v>70</v>
      </c>
      <c r="B954" s="106" t="str">
        <f t="shared" si="83"/>
        <v>B62_TR_Assessment</v>
      </c>
      <c r="C954" s="106" t="str">
        <f>B70_TR_Assessment!$A$296</f>
        <v>Install grounding busbars.</v>
      </c>
      <c r="D954" s="142" t="str">
        <f>B70_TR_Assessment!$A$147</f>
        <v>Approved Submittals</v>
      </c>
      <c r="E954" s="142" t="str">
        <f>B70_TR_Assessment!$B$147</f>
        <v>No</v>
      </c>
      <c r="F954" s="106">
        <f>B70_TR_Assessment!$C$147</f>
        <v>0</v>
      </c>
      <c r="G954" s="106">
        <f>B70_TR_Assessment!$D$147</f>
        <v>0</v>
      </c>
      <c r="H954" s="106">
        <f>B70_TR_Assessment!$E$147</f>
        <v>0</v>
      </c>
      <c r="I954" s="106">
        <f>B70_TR_Assessment!$F$147</f>
        <v>0</v>
      </c>
      <c r="J954" s="106" t="str">
        <f>B70_TR_Assessment!$G$147</f>
        <v>🟡</v>
      </c>
      <c r="K954" s="106">
        <f>B70_TR_Assessment!$H$147</f>
        <v>0</v>
      </c>
      <c r="L954" s="106">
        <f>B70_TR_Assessment!$I$147</f>
        <v>0</v>
      </c>
    </row>
    <row r="955" spans="1:12" ht="11.7" customHeight="1">
      <c r="A955" s="106">
        <f>B70_TR_Assessment!$B$2</f>
        <v>70</v>
      </c>
      <c r="B955" s="106" t="str">
        <f t="shared" si="83"/>
        <v>B62_TR_Assessment</v>
      </c>
      <c r="C955" s="106" t="str">
        <f>B70_TR_Assessment!$A$297</f>
        <v>Install fiber termination shelves.</v>
      </c>
      <c r="D955" s="142" t="str">
        <f>B70_TR_Assessment!$A$148</f>
        <v>ICRA / PCRA</v>
      </c>
      <c r="E955" s="142" t="str">
        <f>B70_TR_Assessment!$B$148</f>
        <v>No</v>
      </c>
      <c r="F955" s="106">
        <f>B70_TR_Assessment!$C$148</f>
        <v>0</v>
      </c>
      <c r="G955" s="106">
        <f>B70_TR_Assessment!$D$148</f>
        <v>0</v>
      </c>
      <c r="H955" s="106">
        <f>B70_TR_Assessment!$E$148</f>
        <v>0</v>
      </c>
      <c r="I955" s="106">
        <f>B70_TR_Assessment!$F$148</f>
        <v>0</v>
      </c>
      <c r="J955" s="106" t="str">
        <f>B70_TR_Assessment!$G$148</f>
        <v>🟡</v>
      </c>
      <c r="K955" s="106">
        <f>B70_TR_Assessment!$H$148</f>
        <v>0</v>
      </c>
      <c r="L955" s="106">
        <f>B70_TR_Assessment!$I$148</f>
        <v>0</v>
      </c>
    </row>
    <row r="956" spans="1:12" ht="7.35" customHeight="1">
      <c r="A956" s="106">
        <f>B70_TR_Assessment!$B$2</f>
        <v>70</v>
      </c>
      <c r="B956" s="106" t="str">
        <f t="shared" si="83"/>
        <v>B62_TR_Assessment</v>
      </c>
      <c r="C956" s="106" t="str">
        <f>B70_TR_Assessment!$A$298</f>
        <v>Install patch panels.</v>
      </c>
      <c r="D956" s="142" t="str">
        <f>B70_TR_Assessment!$A$149</f>
        <v>QA/QC Reports</v>
      </c>
      <c r="E956" s="142" t="str">
        <f>B70_TR_Assessment!$B$149</f>
        <v>No</v>
      </c>
      <c r="F956" s="106">
        <f>B70_TR_Assessment!$C$149</f>
        <v>0</v>
      </c>
      <c r="G956" s="106">
        <f>B70_TR_Assessment!$D$149</f>
        <v>0</v>
      </c>
      <c r="H956" s="106">
        <f>B70_TR_Assessment!$E$149</f>
        <v>0</v>
      </c>
      <c r="I956" s="106">
        <f>B70_TR_Assessment!$F$149</f>
        <v>0</v>
      </c>
      <c r="J956" s="106" t="str">
        <f>B70_TR_Assessment!$G$149</f>
        <v>🟡</v>
      </c>
      <c r="K956" s="106">
        <f>B70_TR_Assessment!$H$149</f>
        <v>0</v>
      </c>
      <c r="L956" s="106">
        <f>B70_TR_Assessment!$I$149</f>
        <v>0</v>
      </c>
    </row>
    <row r="957" spans="1:12" ht="11.7" customHeight="1">
      <c r="A957" s="106">
        <f>B70_TR_Assessment!$B$2</f>
        <v>70</v>
      </c>
      <c r="B957" s="106" t="str">
        <f t="shared" si="83"/>
        <v>B62_TR_Assessment</v>
      </c>
      <c r="C957" s="106" t="str">
        <f>B70_TR_Assessment!$A$299</f>
        <v>Verify Cat6A and fiber terminations.</v>
      </c>
      <c r="D957" s="142" t="str">
        <f>B70_TR_Assessment!$A$150</f>
        <v>Firestopping</v>
      </c>
      <c r="E957" s="142" t="str">
        <f>B70_TR_Assessment!$B$150</f>
        <v>No</v>
      </c>
      <c r="F957" s="106">
        <f>B70_TR_Assessment!$C$150</f>
        <v>0</v>
      </c>
      <c r="G957" s="106">
        <f>B70_TR_Assessment!$D$150</f>
        <v>0</v>
      </c>
      <c r="H957" s="106">
        <f>B70_TR_Assessment!$E$150</f>
        <v>0</v>
      </c>
      <c r="I957" s="106">
        <f>B70_TR_Assessment!$F$150</f>
        <v>0</v>
      </c>
      <c r="J957" s="106" t="str">
        <f>B70_TR_Assessment!$G$150</f>
        <v>🟡</v>
      </c>
      <c r="K957" s="106">
        <f>B70_TR_Assessment!$H$150</f>
        <v>0</v>
      </c>
      <c r="L957" s="106">
        <f>B70_TR_Assessment!$I$150</f>
        <v>0</v>
      </c>
    </row>
    <row r="958" spans="1:12" ht="7.35" customHeight="1">
      <c r="A958" s="106">
        <f>B70_TR_Assessment!$B$2</f>
        <v>70</v>
      </c>
      <c r="B958" s="106" t="str">
        <f t="shared" si="83"/>
        <v>B62_TR_Assessment</v>
      </c>
      <c r="C958" s="106" t="str">
        <f>B70_TR_Assessment!$A$300</f>
        <v>Verify cable labeling.</v>
      </c>
      <c r="D958" s="142" t="str">
        <f>B70_TR_Assessment!$A$151</f>
        <v>Cable Tests</v>
      </c>
      <c r="E958" s="142" t="str">
        <f>B70_TR_Assessment!$B$151</f>
        <v>No</v>
      </c>
      <c r="F958" s="106">
        <f>B70_TR_Assessment!$C$151</f>
        <v>0</v>
      </c>
      <c r="G958" s="106">
        <f>B70_TR_Assessment!$D$151</f>
        <v>0</v>
      </c>
      <c r="H958" s="106">
        <f>B70_TR_Assessment!$E$151</f>
        <v>0</v>
      </c>
      <c r="I958" s="106">
        <f>B70_TR_Assessment!$F$151</f>
        <v>0</v>
      </c>
      <c r="J958" s="106" t="str">
        <f>B70_TR_Assessment!$G$151</f>
        <v>🟡</v>
      </c>
      <c r="K958" s="106">
        <f>B70_TR_Assessment!$H$151</f>
        <v>0</v>
      </c>
      <c r="L958" s="106">
        <f>B70_TR_Assessment!$I$151</f>
        <v>0</v>
      </c>
    </row>
    <row r="959" spans="1:12" ht="17.25" customHeight="1">
      <c r="A959" s="106">
        <f>B70_TR_Assessment!$B$2</f>
        <v>70</v>
      </c>
      <c r="B959" s="106" t="str">
        <f t="shared" si="83"/>
        <v>B62_TR_Assessment</v>
      </c>
      <c r="C959" s="106" t="str">
        <f>B70_TR_Assessment!$A$301</f>
        <v>Test and certify all copper and fiber cabling.</v>
      </c>
      <c r="D959" s="142" t="str">
        <f>B70_TR_Assessment!$A$152</f>
        <v>OIT Acceptance</v>
      </c>
      <c r="E959" s="142" t="str">
        <f>B70_TR_Assessment!$B$152</f>
        <v>No</v>
      </c>
      <c r="F959" s="106">
        <f>B70_TR_Assessment!$C$152</f>
        <v>0</v>
      </c>
      <c r="G959" s="106">
        <f>B70_TR_Assessment!$D$152</f>
        <v>0</v>
      </c>
      <c r="H959" s="106">
        <f>B70_TR_Assessment!$E$152</f>
        <v>0</v>
      </c>
      <c r="I959" s="106">
        <f>B70_TR_Assessment!$F$152</f>
        <v>0</v>
      </c>
      <c r="J959" s="106" t="str">
        <f>B70_TR_Assessment!$G$152</f>
        <v>🟡</v>
      </c>
      <c r="K959" s="106">
        <f>B70_TR_Assessment!$H$152</f>
        <v>0</v>
      </c>
      <c r="L959" s="106">
        <f>B70_TR_Assessment!$I$152</f>
        <v>0</v>
      </c>
    </row>
    <row r="960" spans="1:12" ht="11.7" customHeight="1">
      <c r="A960" s="106">
        <f>B70_TR_Assessment!$B$2</f>
        <v>70</v>
      </c>
      <c r="B960" s="106" t="str">
        <f t="shared" ref="B960:B987" si="84">"B70_TR_Assessment"</f>
        <v>B70_TR_Assessment</v>
      </c>
      <c r="C960" s="106" t="str">
        <f>B70_TR_Assessment!$A$302</f>
        <v>Verify compliance with OIT standards.</v>
      </c>
      <c r="D960" s="142" t="str">
        <f>B70_TR_Assessment!$A$153</f>
        <v>Photos</v>
      </c>
      <c r="E960" s="142" t="str">
        <f>B70_TR_Assessment!$B$153</f>
        <v>No</v>
      </c>
      <c r="F960" s="106">
        <f>B70_TR_Assessment!$C$153</f>
        <v>0</v>
      </c>
      <c r="G960" s="106">
        <f>B70_TR_Assessment!$D$153</f>
        <v>0</v>
      </c>
      <c r="H960" s="106">
        <f>B70_TR_Assessment!$E$153</f>
        <v>0</v>
      </c>
      <c r="I960" s="106">
        <f>B70_TR_Assessment!$F$153</f>
        <v>0</v>
      </c>
      <c r="J960" s="106" t="str">
        <f>B70_TR_Assessment!$G$153</f>
        <v>🟡</v>
      </c>
      <c r="K960" s="106">
        <f>B70_TR_Assessment!$H$153</f>
        <v>0</v>
      </c>
      <c r="L960" s="106">
        <f>B70_TR_Assessment!$I$153</f>
        <v>0</v>
      </c>
    </row>
    <row r="961" spans="1:12" ht="7.35" customHeight="1">
      <c r="A961" s="106">
        <f>B70_TR_Assessment!$B$2</f>
        <v>70</v>
      </c>
      <c r="B961" s="106" t="str">
        <f t="shared" si="84"/>
        <v>B70_TR_Assessment</v>
      </c>
      <c r="C961" s="106" t="str">
        <f>B70_TR_Assessment!$A$304</f>
        <v>Security</v>
      </c>
      <c r="D961" s="142" t="str">
        <f>B70_TR_Assessment!$A$155</f>
        <v>Requirement</v>
      </c>
      <c r="E961" s="142" t="str">
        <f>B70_TR_Assessment!$B$155</f>
        <v>What it Means</v>
      </c>
      <c r="F961" s="106">
        <f>B70_TR_Assessment!$C$155</f>
        <v>0</v>
      </c>
      <c r="G961" s="106">
        <f>B70_TR_Assessment!$D$155</f>
        <v>0</v>
      </c>
      <c r="H961" s="106" t="str">
        <f>B70_TR_Assessment!$E$155</f>
        <v>Verification</v>
      </c>
      <c r="I961" s="106">
        <f>B70_TR_Assessment!$F$155</f>
        <v>0</v>
      </c>
      <c r="J961" s="106">
        <f>B70_TR_Assessment!$G$155</f>
        <v>0</v>
      </c>
      <c r="K961" s="106">
        <f>B70_TR_Assessment!$H$155</f>
        <v>0</v>
      </c>
      <c r="L961" s="106">
        <f>B70_TR_Assessment!$I$155</f>
        <v>0</v>
      </c>
    </row>
    <row r="962" spans="1:12" ht="17.25" customHeight="1">
      <c r="A962" s="106">
        <f>B70_TR_Assessment!$B$2</f>
        <v>70</v>
      </c>
      <c r="B962" s="106" t="str">
        <f t="shared" si="84"/>
        <v>B70_TR_Assessment</v>
      </c>
      <c r="C962" s="106" t="str">
        <f>B70_TR_Assessment!$A$306</f>
        <v>Verify PACS access control for all TR doors.</v>
      </c>
      <c r="D962" s="142" t="str">
        <f>B70_TR_Assessment!$A$157</f>
        <v>ICRA / PCRA</v>
      </c>
      <c r="E962" s="142" t="str">
        <f>B70_TR_Assessment!$B$157</f>
        <v>The required Infection Control Risk Assessment and Pre-Construction Risk Assessment were approved, implemented, and maintained throughout construction.</v>
      </c>
      <c r="F962" s="106">
        <f>B70_TR_Assessment!$C$157</f>
        <v>0</v>
      </c>
      <c r="G962" s="106">
        <f>B70_TR_Assessment!$D$157</f>
        <v>0</v>
      </c>
      <c r="H962" s="106" t="str">
        <f>B70_TR_Assessment!$E$157</f>
        <v>Confirm approved plans, barrier inspections, negative air documentation (if applicable), housekeeping, and final removal procedures.</v>
      </c>
      <c r="I962" s="106">
        <f>B70_TR_Assessment!$F$157</f>
        <v>0</v>
      </c>
      <c r="J962" s="106">
        <f>B70_TR_Assessment!$G$157</f>
        <v>0</v>
      </c>
      <c r="K962" s="106">
        <f>B70_TR_Assessment!$H$157</f>
        <v>0</v>
      </c>
      <c r="L962" s="106">
        <f>B70_TR_Assessment!$I$157</f>
        <v>0</v>
      </c>
    </row>
    <row r="963" spans="1:12" ht="11.7" customHeight="1">
      <c r="A963" s="106">
        <f>B70_TR_Assessment!$B$2</f>
        <v>70</v>
      </c>
      <c r="B963" s="106" t="str">
        <f t="shared" si="84"/>
        <v>B70_TR_Assessment</v>
      </c>
      <c r="C963" s="106" t="str">
        <f>B70_TR_Assessment!$A$307</f>
        <v>Verify card reader operation.</v>
      </c>
      <c r="D963" s="142" t="str">
        <f>B70_TR_Assessment!$A$158</f>
        <v>QA/QC Reports</v>
      </c>
      <c r="E963" s="142" t="str">
        <f>B70_TR_Assessment!$B$158</f>
        <v>Contractor quality inspections have been completed and documented.</v>
      </c>
      <c r="F963" s="106">
        <f>B70_TR_Assessment!$C$158</f>
        <v>0</v>
      </c>
      <c r="G963" s="106">
        <f>B70_TR_Assessment!$D$158</f>
        <v>0</v>
      </c>
      <c r="H963" s="106" t="str">
        <f>B70_TR_Assessment!$E$158</f>
        <v>Review QC reports, inspection checklists, deficiency logs, corrective actions, and daily QC documentation.</v>
      </c>
      <c r="I963" s="106">
        <f>B70_TR_Assessment!$F$158</f>
        <v>0</v>
      </c>
      <c r="J963" s="106">
        <f>B70_TR_Assessment!$G$158</f>
        <v>0</v>
      </c>
      <c r="K963" s="106">
        <f>B70_TR_Assessment!$H$158</f>
        <v>0</v>
      </c>
      <c r="L963" s="106">
        <f>B70_TR_Assessment!$I$158</f>
        <v>0</v>
      </c>
    </row>
    <row r="964" spans="1:12" ht="11.7" customHeight="1">
      <c r="A964" s="106">
        <f>B70_TR_Assessment!$B$2</f>
        <v>70</v>
      </c>
      <c r="B964" s="106" t="str">
        <f t="shared" si="84"/>
        <v>B70_TR_Assessment</v>
      </c>
      <c r="C964" s="106" t="str">
        <f>B70_TR_Assessment!$A$308</f>
        <v>Verify door position monitoring.</v>
      </c>
      <c r="D964" s="142" t="str">
        <f>B70_TR_Assessment!$A$159</f>
        <v>Firestopping</v>
      </c>
      <c r="E964" s="142" t="str">
        <f>B70_TR_Assessment!$B$159</f>
        <v>Every penetration through rated walls, floors, and ceilings has been properly firestopped with approved systems.</v>
      </c>
      <c r="F964" s="106">
        <f>B70_TR_Assessment!$C$159</f>
        <v>0</v>
      </c>
      <c r="G964" s="106">
        <f>B70_TR_Assessment!$D$159</f>
        <v>0</v>
      </c>
      <c r="H964" s="106" t="str">
        <f>B70_TR_Assessment!$E$159</f>
        <v>Inspect penetrations, verify UL systems, labels, installation quality, and documentation/photos.</v>
      </c>
      <c r="I964" s="106">
        <f>B70_TR_Assessment!$F$159</f>
        <v>0</v>
      </c>
      <c r="J964" s="106">
        <f>B70_TR_Assessment!$G$159</f>
        <v>0</v>
      </c>
      <c r="K964" s="106">
        <f>B70_TR_Assessment!$H$159</f>
        <v>0</v>
      </c>
      <c r="L964" s="106">
        <f>B70_TR_Assessment!$I$159</f>
        <v>0</v>
      </c>
    </row>
    <row r="965" spans="1:12" ht="17.25" customHeight="1">
      <c r="A965" s="106">
        <f>B70_TR_Assessment!$B$2</f>
        <v>70</v>
      </c>
      <c r="B965" s="106" t="str">
        <f t="shared" si="84"/>
        <v>B70_TR_Assessment</v>
      </c>
      <c r="C965" s="106" t="str">
        <f>B70_TR_Assessment!$A$309</f>
        <v>Verify camera coverage where required.</v>
      </c>
      <c r="D965" s="142" t="str">
        <f>B70_TR_Assessment!$A$160</f>
        <v>Cable Tests</v>
      </c>
      <c r="E965" s="142" t="str">
        <f>B70_TR_Assessment!$B$160</f>
        <v>All network, fiber, and communication cabling has passed required testing.</v>
      </c>
      <c r="F965" s="106">
        <f>B70_TR_Assessment!$C$160</f>
        <v>0</v>
      </c>
      <c r="G965" s="106">
        <f>B70_TR_Assessment!$D$160</f>
        <v>0</v>
      </c>
      <c r="H965" s="106" t="str">
        <f>B70_TR_Assessment!$E$160</f>
        <v>Verify copper certification reports, fiber OTDR/power meter results, labeling, and test documentation.</v>
      </c>
      <c r="I965" s="106">
        <f>B70_TR_Assessment!$F$160</f>
        <v>0</v>
      </c>
      <c r="J965" s="106">
        <f>B70_TR_Assessment!$G$160</f>
        <v>0</v>
      </c>
      <c r="K965" s="106">
        <f>B70_TR_Assessment!$H$160</f>
        <v>0</v>
      </c>
      <c r="L965" s="106">
        <f>B70_TR_Assessment!$I$160</f>
        <v>0</v>
      </c>
    </row>
    <row r="966" spans="1:12" ht="17.25" customHeight="1">
      <c r="A966" s="106">
        <f>B70_TR_Assessment!$B$2</f>
        <v>70</v>
      </c>
      <c r="B966" s="106" t="str">
        <f t="shared" si="84"/>
        <v>B70_TR_Assessment</v>
      </c>
      <c r="C966" s="106" t="str">
        <f>B70_TR_Assessment!$A$310</f>
        <v>Verify integration with existing VA security systems.</v>
      </c>
      <c r="D966" s="142" t="str">
        <f>B70_TR_Assessment!$A$161</f>
        <v>OIT Acceptance</v>
      </c>
      <c r="E966" s="142" t="str">
        <f>B70_TR_Assessment!$B$161</f>
        <v>VA Office of Information &amp; Technology has inspected and accepted the installed IT infrastructure.</v>
      </c>
      <c r="F966" s="106">
        <f>B70_TR_Assessment!$C$161</f>
        <v>0</v>
      </c>
      <c r="G966" s="106">
        <f>B70_TR_Assessment!$D$161</f>
        <v>0</v>
      </c>
      <c r="H966" s="106" t="str">
        <f>B70_TR_Assessment!$E$161</f>
        <v>Obtain written acceptance or signoff from OIT confirming systems are operational and acceptable.</v>
      </c>
      <c r="I966" s="106">
        <f>B70_TR_Assessment!$F$161</f>
        <v>0</v>
      </c>
      <c r="J966" s="106">
        <f>B70_TR_Assessment!$G$161</f>
        <v>0</v>
      </c>
      <c r="K966" s="106">
        <f>B70_TR_Assessment!$H$161</f>
        <v>0</v>
      </c>
      <c r="L966" s="106">
        <f>B70_TR_Assessment!$I$161</f>
        <v>0</v>
      </c>
    </row>
    <row r="967" spans="1:12" ht="11.7" customHeight="1">
      <c r="A967" s="106">
        <f>B70_TR_Assessment!$B$2</f>
        <v>70</v>
      </c>
      <c r="B967" s="106" t="str">
        <f t="shared" si="84"/>
        <v>B70_TR_Assessment</v>
      </c>
      <c r="C967" s="106" t="str">
        <f>B70_TR_Assessment!$A$312</f>
        <v>Operational Risk Review</v>
      </c>
      <c r="D967" s="142" t="str">
        <f>B70_TR_Assessment!$A$163</f>
        <v>Zero Critical Punch Items</v>
      </c>
      <c r="E967" s="142" t="str">
        <f>B70_TR_Assessment!$B$163</f>
        <v>No life safety, code, operational, or mission-critical deficiencies remain. Minor cosmetic items may remain only if allowed by contract.</v>
      </c>
      <c r="F967" s="106">
        <f>B70_TR_Assessment!$C$163</f>
        <v>0</v>
      </c>
      <c r="G967" s="106">
        <f>B70_TR_Assessment!$D$163</f>
        <v>0</v>
      </c>
      <c r="H967" s="106" t="str">
        <f>B70_TR_Assessment!$E$163</f>
        <v>Walk the space and confirm all critical deficiencies have been corrected prior to turnover.</v>
      </c>
      <c r="I967" s="106">
        <f>B70_TR_Assessment!$F$163</f>
        <v>0</v>
      </c>
      <c r="J967" s="106">
        <f>B70_TR_Assessment!$G$163</f>
        <v>0</v>
      </c>
      <c r="K967" s="106">
        <f>B70_TR_Assessment!$H$163</f>
        <v>0</v>
      </c>
      <c r="L967" s="106">
        <f>B70_TR_Assessment!$I$163</f>
        <v>0</v>
      </c>
    </row>
    <row r="968" spans="1:12" ht="17.25" customHeight="1">
      <c r="A968" s="106">
        <f>B70_TR_Assessment!$B$2</f>
        <v>70</v>
      </c>
      <c r="B968" s="106" t="str">
        <f t="shared" si="84"/>
        <v>B70_TR_Assessment</v>
      </c>
      <c r="C968" s="106" t="str">
        <f>B70_TR_Assessment!$A$314</f>
        <v>Identify systems requiring uninterrupted operation.</v>
      </c>
      <c r="D968" s="142" t="str">
        <f>B70_TR_Assessment!$A$165</f>
        <v>Open Gate Count</v>
      </c>
      <c r="E968" s="142">
        <f>B70_TR_Assessment!$B$165</f>
        <v>8</v>
      </c>
      <c r="F968" s="106">
        <f>B70_TR_Assessment!$C$165</f>
        <v>0</v>
      </c>
      <c r="G968" s="106">
        <f>B70_TR_Assessment!$D$165</f>
        <v>0</v>
      </c>
      <c r="H968" s="106">
        <f>B70_TR_Assessment!$E$165</f>
        <v>0</v>
      </c>
      <c r="I968" s="106">
        <f>B70_TR_Assessment!$F$165</f>
        <v>0</v>
      </c>
      <c r="J968" s="106">
        <f>B70_TR_Assessment!$G$165</f>
        <v>0</v>
      </c>
      <c r="K968" s="106">
        <f>B70_TR_Assessment!$H$165</f>
        <v>0</v>
      </c>
      <c r="L968" s="106">
        <f>B70_TR_Assessment!$I$165</f>
        <v>0</v>
      </c>
    </row>
    <row r="969" spans="1:12" ht="11.7" customHeight="1">
      <c r="A969" s="106">
        <f>B70_TR_Assessment!$B$2</f>
        <v>70</v>
      </c>
      <c r="B969" s="106" t="str">
        <f t="shared" si="84"/>
        <v>B70_TR_Assessment</v>
      </c>
      <c r="C969" s="106" t="str">
        <f>B70_TR_Assessment!$A$315</f>
        <v>Develop cutover strategy.</v>
      </c>
      <c r="D969" s="142" t="str">
        <f>B70_TR_Assessment!$A$166</f>
        <v>Gate Completion</v>
      </c>
      <c r="E969" s="142" t="str">
        <f>B70_TR_Assessment!$B$166</f>
        <v>0 / 8 Complete</v>
      </c>
      <c r="F969" s="106">
        <f>B70_TR_Assessment!$C$166</f>
        <v>0</v>
      </c>
      <c r="G969" s="106">
        <f>B70_TR_Assessment!$D$166</f>
        <v>0</v>
      </c>
      <c r="H969" s="106">
        <f>B70_TR_Assessment!$E$166</f>
        <v>0</v>
      </c>
      <c r="I969" s="106">
        <f>B70_TR_Assessment!$F$166</f>
        <v>0</v>
      </c>
      <c r="J969" s="106">
        <f>B70_TR_Assessment!$G$166</f>
        <v>0</v>
      </c>
      <c r="K969" s="106">
        <f>B70_TR_Assessment!$H$166</f>
        <v>0</v>
      </c>
      <c r="L969" s="106">
        <f>B70_TR_Assessment!$I$166</f>
        <v>0</v>
      </c>
    </row>
    <row r="970" spans="1:12" ht="17.25" customHeight="1">
      <c r="A970" s="106">
        <f>B70_TR_Assessment!$B$2</f>
        <v>70</v>
      </c>
      <c r="B970" s="106" t="str">
        <f t="shared" si="84"/>
        <v>B70_TR_Assessment</v>
      </c>
      <c r="C970" s="106" t="str">
        <f>B70_TR_Assessment!$A$316</f>
        <v>Review outage requirements with VA OIT.</v>
      </c>
      <c r="D970" s="142" t="str">
        <f>B70_TR_Assessment!$A$167</f>
        <v>Command Center Rule</v>
      </c>
      <c r="E970" s="142" t="str">
        <f>B70_TR_Assessment!$B$167</f>
        <v>Tile remains YELLOW until B15 returns "🟢 PILOT COMPLETE / ACCEPTANCE READY"; then tile may turn GREEN.</v>
      </c>
      <c r="F970" s="106">
        <f>B70_TR_Assessment!$C$167</f>
        <v>0</v>
      </c>
      <c r="G970" s="106">
        <f>B70_TR_Assessment!$D$167</f>
        <v>0</v>
      </c>
      <c r="H970" s="106">
        <f>B70_TR_Assessment!$E$167</f>
        <v>0</v>
      </c>
      <c r="I970" s="106">
        <f>B70_TR_Assessment!$F$167</f>
        <v>0</v>
      </c>
      <c r="J970" s="106">
        <f>B70_TR_Assessment!$G$167</f>
        <v>0</v>
      </c>
      <c r="K970" s="106">
        <f>B70_TR_Assessment!$H$167</f>
        <v>0</v>
      </c>
      <c r="L970" s="106">
        <f>B70_TR_Assessment!$I$167</f>
        <v>0</v>
      </c>
    </row>
    <row r="971" spans="1:12" ht="17.25" customHeight="1">
      <c r="A971" s="106">
        <f>B70_TR_Assessment!$B$2</f>
        <v>70</v>
      </c>
      <c r="B971" s="106" t="str">
        <f t="shared" si="84"/>
        <v>B70_TR_Assessment</v>
      </c>
      <c r="C971" s="106" t="str">
        <f>B70_TR_Assessment!$A$317</f>
        <v>Review shutdown requirements with facilities staff.</v>
      </c>
      <c r="D971" s="142">
        <f>B70_TR_Assessment!$A$168</f>
        <v>0</v>
      </c>
      <c r="E971" s="142">
        <f>B70_TR_Assessment!$B$168</f>
        <v>0</v>
      </c>
      <c r="F971" s="106">
        <f>B70_TR_Assessment!$C$168</f>
        <v>0</v>
      </c>
      <c r="G971" s="106">
        <f>B70_TR_Assessment!$D$168</f>
        <v>0</v>
      </c>
      <c r="H971" s="106">
        <f>B70_TR_Assessment!$E$168</f>
        <v>0</v>
      </c>
      <c r="I971" s="106">
        <f>B70_TR_Assessment!$F$168</f>
        <v>0</v>
      </c>
      <c r="J971" s="106">
        <f>B70_TR_Assessment!$G$168</f>
        <v>0</v>
      </c>
      <c r="K971" s="106">
        <f>B70_TR_Assessment!$H$168</f>
        <v>0</v>
      </c>
      <c r="L971" s="106">
        <f>B70_TR_Assessment!$I$168</f>
        <v>0</v>
      </c>
    </row>
    <row r="972" spans="1:12" ht="17.25" customHeight="1">
      <c r="A972" s="106">
        <f>B70_TR_Assessment!$B$2</f>
        <v>70</v>
      </c>
      <c r="B972" s="106" t="str">
        <f t="shared" si="84"/>
        <v>B70_TR_Assessment</v>
      </c>
      <c r="C972" s="106" t="str">
        <f>B70_TR_Assessment!$A$318</f>
        <v>Verify no active services are removed before migration.</v>
      </c>
      <c r="D972" s="142" t="str">
        <f>B70_TR_Assessment!$A$169</f>
        <v>Suggested Building Tile Logic</v>
      </c>
      <c r="E972" s="142" t="str">
        <f>B70_TR_Assessment!$B$169</f>
        <v>Example only: =IF(COUNTIF(&lt;building_gate_status_range&gt;,"No")=0,"GREEN","YELLOW")</v>
      </c>
      <c r="F972" s="106">
        <f>B70_TR_Assessment!$C$169</f>
        <v>0</v>
      </c>
      <c r="G972" s="106">
        <f>B70_TR_Assessment!$D$169</f>
        <v>0</v>
      </c>
      <c r="H972" s="106">
        <f>B70_TR_Assessment!$E$169</f>
        <v>0</v>
      </c>
      <c r="I972" s="106">
        <f>B70_TR_Assessment!$F$169</f>
        <v>0</v>
      </c>
      <c r="J972" s="106">
        <f>B70_TR_Assessment!$G$169</f>
        <v>0</v>
      </c>
      <c r="K972" s="106">
        <f>B70_TR_Assessment!$H$169</f>
        <v>0</v>
      </c>
      <c r="L972" s="106">
        <f>B70_TR_Assessment!$I$169</f>
        <v>0</v>
      </c>
    </row>
    <row r="973" spans="1:12" ht="11.7" customHeight="1">
      <c r="A973" s="106">
        <f>B70_TR_Assessment!$B$2</f>
        <v>70</v>
      </c>
      <c r="B973" s="106" t="str">
        <f t="shared" si="84"/>
        <v>B70_TR_Assessment</v>
      </c>
      <c r="C973" s="106" t="str">
        <f>B70_TR_Assessment!$A$320</f>
        <v>Commissioning &amp; Acceptance</v>
      </c>
      <c r="D973" s="142" t="str">
        <f>B70_TR_Assessment!$A$171</f>
        <v>Recommended Payment</v>
      </c>
      <c r="E973" s="142">
        <f>B70_TR_Assessment!$B$171</f>
        <v>0</v>
      </c>
      <c r="F973" s="106">
        <f>B70_TR_Assessment!$C$171</f>
        <v>0</v>
      </c>
      <c r="G973" s="106">
        <f>B70_TR_Assessment!$D$171</f>
        <v>0</v>
      </c>
      <c r="H973" s="106">
        <f>B70_TR_Assessment!$E$171</f>
        <v>0</v>
      </c>
      <c r="I973" s="106">
        <f>B70_TR_Assessment!$F$171</f>
        <v>0</v>
      </c>
      <c r="J973" s="106">
        <f>B70_TR_Assessment!$G$171</f>
        <v>0</v>
      </c>
      <c r="K973" s="106">
        <f>B70_TR_Assessment!$H$171</f>
        <v>0</v>
      </c>
      <c r="L973" s="106">
        <f>B70_TR_Assessment!$I$171</f>
        <v>0</v>
      </c>
    </row>
    <row r="974" spans="1:12" ht="7.35" customHeight="1">
      <c r="A974" s="106">
        <f>B70_TR_Assessment!$B$2</f>
        <v>70</v>
      </c>
      <c r="B974" s="106" t="str">
        <f t="shared" si="84"/>
        <v>B70_TR_Assessment</v>
      </c>
      <c r="C974" s="106" t="str">
        <f>B70_TR_Assessment!$A$322</f>
        <v>HVAC commissioning.</v>
      </c>
      <c r="D974" s="142" t="str">
        <f>B70_TR_Assessment!$A$173</f>
        <v>☐ Full</v>
      </c>
      <c r="E974" s="142">
        <f>B70_TR_Assessment!$B$173</f>
        <v>0</v>
      </c>
      <c r="F974" s="106">
        <f>B70_TR_Assessment!$C$173</f>
        <v>0</v>
      </c>
      <c r="G974" s="106">
        <f>B70_TR_Assessment!$D$173</f>
        <v>0</v>
      </c>
      <c r="H974" s="106">
        <f>B70_TR_Assessment!$E$173</f>
        <v>0</v>
      </c>
      <c r="I974" s="106">
        <f>B70_TR_Assessment!$F$173</f>
        <v>0</v>
      </c>
      <c r="J974" s="106">
        <f>B70_TR_Assessment!$G$173</f>
        <v>0</v>
      </c>
      <c r="K974" s="106">
        <f>B70_TR_Assessment!$H$173</f>
        <v>0</v>
      </c>
      <c r="L974" s="106">
        <f>B70_TR_Assessment!$I$173</f>
        <v>0</v>
      </c>
    </row>
    <row r="975" spans="1:12" ht="11.7" customHeight="1">
      <c r="A975" s="106">
        <f>B70_TR_Assessment!$B$2</f>
        <v>70</v>
      </c>
      <c r="B975" s="106" t="str">
        <f t="shared" si="84"/>
        <v>B70_TR_Assessment</v>
      </c>
      <c r="C975" s="106" t="str">
        <f>B70_TR_Assessment!$A$323</f>
        <v>Electrical commissioning.</v>
      </c>
      <c r="D975" s="142">
        <f>B70_TR_Assessment!$A$174</f>
        <v>0</v>
      </c>
      <c r="E975" s="142">
        <f>B70_TR_Assessment!$B$174</f>
        <v>0</v>
      </c>
      <c r="F975" s="106">
        <f>B70_TR_Assessment!$C$174</f>
        <v>0</v>
      </c>
      <c r="G975" s="106">
        <f>B70_TR_Assessment!$D$174</f>
        <v>0</v>
      </c>
      <c r="H975" s="106">
        <f>B70_TR_Assessment!$E$174</f>
        <v>0</v>
      </c>
      <c r="I975" s="106">
        <f>B70_TR_Assessment!$F$174</f>
        <v>0</v>
      </c>
      <c r="J975" s="106">
        <f>B70_TR_Assessment!$G$174</f>
        <v>0</v>
      </c>
      <c r="K975" s="106">
        <f>B70_TR_Assessment!$H$174</f>
        <v>0</v>
      </c>
      <c r="L975" s="106">
        <f>B70_TR_Assessment!$I$174</f>
        <v>0</v>
      </c>
    </row>
    <row r="976" spans="1:12" ht="11.7" customHeight="1">
      <c r="A976" s="106">
        <f>B70_TR_Assessment!$B$2</f>
        <v>70</v>
      </c>
      <c r="B976" s="106" t="str">
        <f t="shared" si="84"/>
        <v>B70_TR_Assessment</v>
      </c>
      <c r="C976" s="106" t="str">
        <f>B70_TR_Assessment!$A$324</f>
        <v>Telecom testing and certification.</v>
      </c>
      <c r="D976" s="142" t="str">
        <f>B70_TR_Assessment!$A$175</f>
        <v>☐ Partial</v>
      </c>
      <c r="E976" s="142">
        <f>B70_TR_Assessment!$B$175</f>
        <v>0</v>
      </c>
      <c r="F976" s="106">
        <f>B70_TR_Assessment!$C$175</f>
        <v>0</v>
      </c>
      <c r="G976" s="106">
        <f>B70_TR_Assessment!$D$175</f>
        <v>0</v>
      </c>
      <c r="H976" s="106">
        <f>B70_TR_Assessment!$E$175</f>
        <v>0</v>
      </c>
      <c r="I976" s="106">
        <f>B70_TR_Assessment!$F$175</f>
        <v>0</v>
      </c>
      <c r="J976" s="106">
        <f>B70_TR_Assessment!$G$175</f>
        <v>0</v>
      </c>
      <c r="K976" s="106">
        <f>B70_TR_Assessment!$H$175</f>
        <v>0</v>
      </c>
      <c r="L976" s="106">
        <f>B70_TR_Assessment!$I$175</f>
        <v>0</v>
      </c>
    </row>
    <row r="977" spans="1:12" ht="7.35" customHeight="1">
      <c r="A977" s="106">
        <f>B70_TR_Assessment!$B$2</f>
        <v>70</v>
      </c>
      <c r="B977" s="106" t="str">
        <f t="shared" si="84"/>
        <v>B70_TR_Assessment</v>
      </c>
      <c r="C977" s="106" t="str">
        <f>B70_TR_Assessment!$A$325</f>
        <v>Fire alarm testing.</v>
      </c>
      <c r="D977" s="142">
        <f>B70_TR_Assessment!$A$176</f>
        <v>0</v>
      </c>
      <c r="E977" s="142">
        <f>B70_TR_Assessment!$B$176</f>
        <v>0</v>
      </c>
      <c r="F977" s="106">
        <f>B70_TR_Assessment!$C$176</f>
        <v>0</v>
      </c>
      <c r="G977" s="106">
        <f>B70_TR_Assessment!$D$176</f>
        <v>0</v>
      </c>
      <c r="H977" s="106">
        <f>B70_TR_Assessment!$E$176</f>
        <v>0</v>
      </c>
      <c r="I977" s="106">
        <f>B70_TR_Assessment!$F$176</f>
        <v>0</v>
      </c>
      <c r="J977" s="106">
        <f>B70_TR_Assessment!$G$176</f>
        <v>0</v>
      </c>
      <c r="K977" s="106">
        <f>B70_TR_Assessment!$H$176</f>
        <v>0</v>
      </c>
      <c r="L977" s="106">
        <f>B70_TR_Assessment!$I$176</f>
        <v>0</v>
      </c>
    </row>
    <row r="978" spans="1:12" ht="12.45" customHeight="1">
      <c r="A978" s="106">
        <f>B70_TR_Assessment!$B$2</f>
        <v>70</v>
      </c>
      <c r="B978" s="106" t="str">
        <f t="shared" si="84"/>
        <v>B70_TR_Assessment</v>
      </c>
      <c r="C978" s="106" t="str">
        <f>B70_TR_Assessment!$A$326</f>
        <v>Fire protection testing.</v>
      </c>
      <c r="D978" s="142" t="str">
        <f>B70_TR_Assessment!$A$177</f>
        <v>☐ Withhold</v>
      </c>
      <c r="E978" s="142">
        <f>B70_TR_Assessment!$B$177</f>
        <v>0</v>
      </c>
      <c r="F978" s="106">
        <f>B70_TR_Assessment!$C$177</f>
        <v>0</v>
      </c>
      <c r="G978" s="106">
        <f>B70_TR_Assessment!$D$177</f>
        <v>0</v>
      </c>
      <c r="H978" s="106">
        <f>B70_TR_Assessment!$E$177</f>
        <v>0</v>
      </c>
      <c r="I978" s="106">
        <f>B70_TR_Assessment!$F$177</f>
        <v>0</v>
      </c>
      <c r="J978" s="106">
        <f>B70_TR_Assessment!$G$177</f>
        <v>0</v>
      </c>
      <c r="K978" s="106">
        <f>B70_TR_Assessment!$H$177</f>
        <v>0</v>
      </c>
      <c r="L978" s="106">
        <f>B70_TR_Assessment!$I$177</f>
        <v>0</v>
      </c>
    </row>
    <row r="979" spans="1:12" ht="7.35" customHeight="1">
      <c r="A979" s="106">
        <f>B70_TR_Assessment!$B$2</f>
        <v>70</v>
      </c>
      <c r="B979" s="106" t="str">
        <f t="shared" si="84"/>
        <v>B70_TR_Assessment</v>
      </c>
      <c r="C979" s="106" t="str">
        <f>B70_TR_Assessment!$A$327</f>
        <v>Security testing.</v>
      </c>
      <c r="D979" s="142">
        <f>B70_TR_Assessment!$A$178</f>
        <v>0</v>
      </c>
      <c r="E979" s="142">
        <f>B70_TR_Assessment!$B$178</f>
        <v>0</v>
      </c>
      <c r="F979" s="106">
        <f>B70_TR_Assessment!$C$178</f>
        <v>0</v>
      </c>
      <c r="G979" s="106">
        <f>B70_TR_Assessment!$D$178</f>
        <v>0</v>
      </c>
      <c r="H979" s="106">
        <f>B70_TR_Assessment!$E$178</f>
        <v>0</v>
      </c>
      <c r="I979" s="106">
        <f>B70_TR_Assessment!$F$178</f>
        <v>0</v>
      </c>
      <c r="J979" s="106">
        <f>B70_TR_Assessment!$G$178</f>
        <v>0</v>
      </c>
      <c r="K979" s="106">
        <f>B70_TR_Assessment!$H$178</f>
        <v>0</v>
      </c>
      <c r="L979" s="106">
        <f>B70_TR_Assessment!$I$178</f>
        <v>0</v>
      </c>
    </row>
    <row r="980" spans="1:12" ht="17.25" customHeight="1">
      <c r="A980" s="106">
        <f>B70_TR_Assessment!$B$2</f>
        <v>70</v>
      </c>
      <c r="B980" s="106" t="str">
        <f t="shared" si="84"/>
        <v>B70_TR_Assessment</v>
      </c>
      <c r="C980" s="106" t="str">
        <f>B70_TR_Assessment!$A$328</f>
        <v>Final owner acceptance walkthrough.</v>
      </c>
      <c r="D980" s="142">
        <f>B70_TR_Assessment!$A$179</f>
        <v>0</v>
      </c>
      <c r="E980" s="142">
        <f>B70_TR_Assessment!$B$179</f>
        <v>0</v>
      </c>
      <c r="F980" s="106">
        <f>B70_TR_Assessment!$C$179</f>
        <v>0</v>
      </c>
      <c r="G980" s="106">
        <f>B70_TR_Assessment!$D$179</f>
        <v>0</v>
      </c>
      <c r="H980" s="106">
        <f>B70_TR_Assessment!$E$179</f>
        <v>0</v>
      </c>
      <c r="I980" s="106">
        <f>B70_TR_Assessment!$F$179</f>
        <v>0</v>
      </c>
      <c r="J980" s="106">
        <f>B70_TR_Assessment!$G$179</f>
        <v>0</v>
      </c>
      <c r="K980" s="106">
        <f>B70_TR_Assessment!$H$179</f>
        <v>0</v>
      </c>
      <c r="L980" s="106">
        <f>B70_TR_Assessment!$I$179</f>
        <v>0</v>
      </c>
    </row>
    <row r="981" spans="1:12" ht="11.7" customHeight="1">
      <c r="A981" s="106">
        <f>B70_TR_Assessment!$B$2</f>
        <v>70</v>
      </c>
      <c r="B981" s="106" t="str">
        <f t="shared" si="84"/>
        <v>B70_TR_Assessment</v>
      </c>
      <c r="C981" s="106" t="str">
        <f>B70_TR_Assessment!$A$329</f>
        <v>Turnover documentation.</v>
      </c>
      <c r="D981" s="142">
        <f>B70_TR_Assessment!$A$180</f>
        <v>0</v>
      </c>
      <c r="E981" s="142">
        <f>B70_TR_Assessment!$B$180</f>
        <v>0</v>
      </c>
      <c r="F981" s="106">
        <f>B70_TR_Assessment!$C$180</f>
        <v>0</v>
      </c>
      <c r="G981" s="106">
        <f>B70_TR_Assessment!$D$180</f>
        <v>0</v>
      </c>
      <c r="H981" s="106">
        <f>B70_TR_Assessment!$E$180</f>
        <v>0</v>
      </c>
      <c r="I981" s="106">
        <f>B70_TR_Assessment!$F$180</f>
        <v>0</v>
      </c>
      <c r="J981" s="106">
        <f>B70_TR_Assessment!$G$180</f>
        <v>0</v>
      </c>
      <c r="K981" s="106">
        <f>B70_TR_Assessment!$H$180</f>
        <v>0</v>
      </c>
      <c r="L981" s="106">
        <f>B70_TR_Assessment!$I$180</f>
        <v>0</v>
      </c>
    </row>
    <row r="982" spans="1:12" ht="12.45" customHeight="1">
      <c r="A982" s="106">
        <f>B70_TR_Assessment!$B$2</f>
        <v>70</v>
      </c>
      <c r="B982" s="106" t="str">
        <f t="shared" si="84"/>
        <v>B70_TR_Assessment</v>
      </c>
      <c r="C982" s="106" t="str">
        <f>B70_TR_Assessment!$A$331</f>
        <v>Owner Risks Identified</v>
      </c>
      <c r="D982" s="142">
        <f>B70_TR_Assessment!$A$182</f>
        <v>0</v>
      </c>
      <c r="E982" s="142">
        <f>B70_TR_Assessment!$B$182</f>
        <v>0</v>
      </c>
      <c r="F982" s="106">
        <f>B70_TR_Assessment!$C$182</f>
        <v>0</v>
      </c>
      <c r="G982" s="106">
        <f>B70_TR_Assessment!$D$182</f>
        <v>0</v>
      </c>
      <c r="H982" s="106">
        <f>B70_TR_Assessment!$E$182</f>
        <v>0</v>
      </c>
      <c r="I982" s="106">
        <f>B70_TR_Assessment!$F$182</f>
        <v>0</v>
      </c>
      <c r="J982" s="106">
        <f>B70_TR_Assessment!$G$182</f>
        <v>0</v>
      </c>
      <c r="K982" s="106">
        <f>B70_TR_Assessment!$H$182</f>
        <v>0</v>
      </c>
      <c r="L982" s="106">
        <f>B70_TR_Assessment!$I$182</f>
        <v>0</v>
      </c>
    </row>
    <row r="983" spans="1:12" ht="7.35" customHeight="1">
      <c r="A983" s="106">
        <f>B70_TR_Assessment!$B$2</f>
        <v>70</v>
      </c>
      <c r="B983" s="106" t="str">
        <f t="shared" si="84"/>
        <v>B70_TR_Assessment</v>
      </c>
      <c r="C983" s="106" t="str">
        <f>B70_TR_Assessment!$A$333</f>
        <v>High Risk</v>
      </c>
      <c r="D983" s="142">
        <f>B70_TR_Assessment!$A$184</f>
        <v>0</v>
      </c>
      <c r="E983" s="142">
        <f>B70_TR_Assessment!$B$184</f>
        <v>0</v>
      </c>
      <c r="F983" s="106">
        <f>B70_TR_Assessment!$C$184</f>
        <v>0</v>
      </c>
      <c r="G983" s="106">
        <f>B70_TR_Assessment!$D$184</f>
        <v>0</v>
      </c>
      <c r="H983" s="106">
        <f>B70_TR_Assessment!$E$184</f>
        <v>0</v>
      </c>
      <c r="I983" s="106">
        <f>B70_TR_Assessment!$F$184</f>
        <v>0</v>
      </c>
      <c r="J983" s="106">
        <f>B70_TR_Assessment!$G$184</f>
        <v>0</v>
      </c>
      <c r="K983" s="106">
        <f>B70_TR_Assessment!$H$184</f>
        <v>0</v>
      </c>
      <c r="L983" s="106">
        <f>B70_TR_Assessment!$I$184</f>
        <v>0</v>
      </c>
    </row>
    <row r="984" spans="1:12" ht="34.950000000000003" customHeight="1">
      <c r="A984" s="106">
        <f>B78_Assessment!$B$2</f>
        <v>78</v>
      </c>
      <c r="B984" s="106" t="str">
        <f t="shared" si="84"/>
        <v>B70_TR_Assessment</v>
      </c>
      <c r="C984" s="106" t="str">
        <f>B78_Assessment!$A$113</f>
        <v>B30</v>
      </c>
      <c r="D984" s="142">
        <f>B78_Assessment!$B$113</f>
        <v>0.5</v>
      </c>
      <c r="E984" s="142">
        <f>B78_Assessment!$C$113</f>
        <v>0.5</v>
      </c>
      <c r="F984" s="106">
        <f>B78_Assessment!$D$113</f>
        <v>0.5</v>
      </c>
      <c r="G984" s="106">
        <f>B78_Assessment!$E$113</f>
        <v>0.5</v>
      </c>
      <c r="H984" s="106">
        <f>B78_Assessment!$F$113</f>
        <v>0.5</v>
      </c>
      <c r="I984" s="106" t="str">
        <f>B78_Assessment!$G$113</f>
        <v>Verify</v>
      </c>
      <c r="J984" s="106">
        <f>B78_Assessment!$H$113</f>
        <v>0.5</v>
      </c>
      <c r="K984" s="106" t="str">
        <f>B78_Assessment!$I$113</f>
        <v>Partial / Yellow</v>
      </c>
      <c r="L984" s="106" t="str">
        <f>B78_Assessment!$J$113</f>
        <v>Basement TR with 342 total ports including allowance, dedicated cooling, UPS/PDU and 1,702 ft basement cable tray scope.</v>
      </c>
    </row>
    <row r="985" spans="1:12" ht="29.1" customHeight="1">
      <c r="A985" s="106">
        <f>B78_Assessment!$B$2</f>
        <v>78</v>
      </c>
      <c r="B985" s="106" t="str">
        <f t="shared" si="84"/>
        <v>B70_TR_Assessment</v>
      </c>
      <c r="C985" s="106" t="str">
        <f>B78_Assessment!$A$114</f>
        <v>B35</v>
      </c>
      <c r="D985" s="142">
        <f>B78_Assessment!$B$114</f>
        <v>0.5</v>
      </c>
      <c r="E985" s="142">
        <f>B78_Assessment!$C$114</f>
        <v>0.5</v>
      </c>
      <c r="F985" s="106">
        <f>B78_Assessment!$D$114</f>
        <v>0.5</v>
      </c>
      <c r="G985" s="106">
        <f>B78_Assessment!$E$114</f>
        <v>0.5</v>
      </c>
      <c r="H985" s="106">
        <f>B78_Assessment!$F$114</f>
        <v>0.5</v>
      </c>
      <c r="I985" s="106" t="str">
        <f>B78_Assessment!$G$114</f>
        <v>Verify</v>
      </c>
      <c r="J985" s="106">
        <f>B78_Assessment!$H$114</f>
        <v>0.5</v>
      </c>
      <c r="K985" s="106" t="str">
        <f>B78_Assessment!$I$114</f>
        <v>Partial / Yellow</v>
      </c>
      <c r="L985" s="106" t="str">
        <f>B78_Assessment!$J$114</f>
        <v>Basement TR/closet with 70 total ports including allowance and active transition scope.</v>
      </c>
    </row>
    <row r="986" spans="1:12" ht="22.95" customHeight="1">
      <c r="A986" s="106">
        <f>B78_Assessment!$B$2</f>
        <v>78</v>
      </c>
      <c r="B986" s="106" t="str">
        <f t="shared" si="84"/>
        <v>B70_TR_Assessment</v>
      </c>
      <c r="C986" s="106" t="str">
        <f>B78_Assessment!$A$115</f>
        <v>1232</v>
      </c>
      <c r="D986" s="142">
        <f>B78_Assessment!$B$115</f>
        <v>0.5</v>
      </c>
      <c r="E986" s="142">
        <f>B78_Assessment!$C$115</f>
        <v>0.5</v>
      </c>
      <c r="F986" s="106">
        <f>B78_Assessment!$D$115</f>
        <v>0.5</v>
      </c>
      <c r="G986" s="106">
        <f>B78_Assessment!$E$115</f>
        <v>0.5</v>
      </c>
      <c r="H986" s="106">
        <f>B78_Assessment!$F$115</f>
        <v>0.5</v>
      </c>
      <c r="I986" s="106" t="str">
        <f>B78_Assessment!$G$115</f>
        <v>Verify</v>
      </c>
      <c r="J986" s="106">
        <f>B78_Assessment!$H$115</f>
        <v>0.5</v>
      </c>
      <c r="K986" s="106" t="str">
        <f>B78_Assessment!$I$115</f>
        <v>Partial / Yellow</v>
      </c>
      <c r="L986" s="106" t="str">
        <f>B78_Assessment!$J$115</f>
        <v>First-level TR with 444 total ports including allowance and high active port count.</v>
      </c>
    </row>
    <row r="987" spans="1:12" ht="29.1" customHeight="1">
      <c r="A987" s="106">
        <f>B78_Assessment!$B$2</f>
        <v>78</v>
      </c>
      <c r="B987" s="106" t="str">
        <f t="shared" si="84"/>
        <v>B70_TR_Assessment</v>
      </c>
      <c r="C987" s="106" t="str">
        <f>B78_Assessment!$A$116</f>
        <v>227A</v>
      </c>
      <c r="D987" s="142">
        <f>B78_Assessment!$B$116</f>
        <v>0.5</v>
      </c>
      <c r="E987" s="142">
        <f>B78_Assessment!$C$116</f>
        <v>0.5</v>
      </c>
      <c r="F987" s="106">
        <f>B78_Assessment!$D$116</f>
        <v>0.5</v>
      </c>
      <c r="G987" s="106">
        <f>B78_Assessment!$E$116</f>
        <v>0.5</v>
      </c>
      <c r="H987" s="106">
        <f>B78_Assessment!$F$116</f>
        <v>0.5</v>
      </c>
      <c r="I987" s="106" t="str">
        <f>B78_Assessment!$G$116</f>
        <v>Verify</v>
      </c>
      <c r="J987" s="106">
        <f>B78_Assessment!$H$116</f>
        <v>0.5</v>
      </c>
      <c r="K987" s="106" t="str">
        <f>B78_Assessment!$I$116</f>
        <v>Partial / Yellow</v>
      </c>
      <c r="L987" s="106" t="str">
        <f>B78_Assessment!$J$116</f>
        <v>Second-level TR with 383 total ports including allowance and riser/firestop coordination.</v>
      </c>
    </row>
    <row r="988" spans="1:12" ht="22.95" customHeight="1">
      <c r="A988" s="106">
        <f>B78_Assessment!$B$2</f>
        <v>78</v>
      </c>
      <c r="B988" s="106" t="str">
        <f>"B78_Assessment"</f>
        <v>B78_Assessment</v>
      </c>
      <c r="C988" s="106" t="str">
        <f>B78_Assessment!$A$117</f>
        <v>342</v>
      </c>
      <c r="D988" s="142">
        <f>B78_Assessment!$B$117</f>
        <v>0.5</v>
      </c>
      <c r="E988" s="142">
        <f>B78_Assessment!$C$117</f>
        <v>0.5</v>
      </c>
      <c r="F988" s="106">
        <f>B78_Assessment!$D$117</f>
        <v>0.5</v>
      </c>
      <c r="G988" s="106">
        <f>B78_Assessment!$E$117</f>
        <v>0.5</v>
      </c>
      <c r="H988" s="106">
        <f>B78_Assessment!$F$117</f>
        <v>0.5</v>
      </c>
      <c r="I988" s="106" t="str">
        <f>B78_Assessment!$G$117</f>
        <v>Verify</v>
      </c>
      <c r="J988" s="106">
        <f>B78_Assessment!$H$117</f>
        <v>0.5</v>
      </c>
      <c r="K988" s="106" t="str">
        <f>B78_Assessment!$I$117</f>
        <v>Partial / Yellow</v>
      </c>
      <c r="L988" s="106" t="str">
        <f>B78_Assessment!$J$117</f>
        <v>Third-level TR with 318 total ports including allowance and two-rack configuration.</v>
      </c>
    </row>
    <row r="989" spans="1:12" ht="29.1" customHeight="1">
      <c r="A989" s="106">
        <f>B78_Assessment!$B$2</f>
        <v>78</v>
      </c>
      <c r="B989" s="106" t="str">
        <f>"B78_Assessment"</f>
        <v>B78_Assessment</v>
      </c>
      <c r="C989" s="106" t="str">
        <f>B78_Assessment!$A$118</f>
        <v>401</v>
      </c>
      <c r="D989" s="142">
        <f>B78_Assessment!$B$118</f>
        <v>0.5</v>
      </c>
      <c r="E989" s="142">
        <f>B78_Assessment!$C$118</f>
        <v>0.5</v>
      </c>
      <c r="F989" s="106">
        <f>B78_Assessment!$D$118</f>
        <v>0.5</v>
      </c>
      <c r="G989" s="106">
        <f>B78_Assessment!$E$118</f>
        <v>0.5</v>
      </c>
      <c r="H989" s="106">
        <f>B78_Assessment!$F$118</f>
        <v>0.5</v>
      </c>
      <c r="I989" s="106" t="str">
        <f>B78_Assessment!$G$118</f>
        <v>Verify</v>
      </c>
      <c r="J989" s="106">
        <f>B78_Assessment!$H$118</f>
        <v>0.5</v>
      </c>
      <c r="K989" s="106" t="str">
        <f>B78_Assessment!$I$118</f>
        <v>Partial / Yellow</v>
      </c>
      <c r="L989" s="106" t="str">
        <f>B78_Assessment!$J$118</f>
        <v>Fourth-level TR with 135 total ports including allowance and existing 308A/408A transition points.</v>
      </c>
    </row>
    <row r="990" spans="1:12" ht="29.1" customHeight="1">
      <c r="A990" s="106">
        <f>B78_Assessment!$B$2</f>
        <v>78</v>
      </c>
      <c r="B990" s="106" t="str">
        <f>"B78_Assessment"</f>
        <v>B78_Assessment</v>
      </c>
      <c r="C990" s="106" t="str">
        <f>B78_Assessment!$A$119</f>
        <v>Existing rooms</v>
      </c>
      <c r="D990" s="142">
        <f>B78_Assessment!$B$119</f>
        <v>0.5</v>
      </c>
      <c r="E990" s="142">
        <f>B78_Assessment!$C$119</f>
        <v>0.5</v>
      </c>
      <c r="F990" s="106">
        <f>B78_Assessment!$D$119</f>
        <v>0.5</v>
      </c>
      <c r="G990" s="106">
        <f>B78_Assessment!$E$119</f>
        <v>0.5</v>
      </c>
      <c r="H990" s="106">
        <f>B78_Assessment!$F$119</f>
        <v>0.5</v>
      </c>
      <c r="I990" s="106" t="str">
        <f>B78_Assessment!$G$119</f>
        <v>Verify</v>
      </c>
      <c r="J990" s="106">
        <f>B78_Assessment!$H$119</f>
        <v>0.5</v>
      </c>
      <c r="K990" s="106" t="str">
        <f>B78_Assessment!$I$119</f>
        <v>Partial / Yellow</v>
      </c>
      <c r="L990" s="106" t="str">
        <f>B78_Assessment!$J$119</f>
        <v>Existing telecom room inventory; protect active services until cutover and acceptance complete.</v>
      </c>
    </row>
    <row r="991" spans="1:12" ht="40.65" customHeight="1">
      <c r="A991" s="106" t="str">
        <f>B80_Assessment!$B$2</f>
        <v>80</v>
      </c>
      <c r="B991" s="106" t="str">
        <f>"B80_Assessment"</f>
        <v>B80_Assessment</v>
      </c>
      <c r="C991" s="106" t="str">
        <f>B80_Assessment!$A$78</f>
        <v>102</v>
      </c>
      <c r="D991" s="142">
        <f>B80_Assessment!$B$78</f>
        <v>0.5</v>
      </c>
      <c r="E991" s="142">
        <f>B80_Assessment!$C$78</f>
        <v>0.5</v>
      </c>
      <c r="F991" s="106">
        <f>B80_Assessment!$D$78</f>
        <v>0.5</v>
      </c>
      <c r="G991" s="106">
        <f>B80_Assessment!$E$78</f>
        <v>0.5</v>
      </c>
      <c r="H991" s="106">
        <f>B80_Assessment!$F$78</f>
        <v>0.5</v>
      </c>
      <c r="I991" s="106" t="str">
        <f>B80_Assessment!$G$78</f>
        <v>Verify</v>
      </c>
      <c r="J991" s="106">
        <f>B80_Assessment!$H$78</f>
        <v>0.5</v>
      </c>
      <c r="K991" s="106" t="str">
        <f>B80_Assessment!$I$78</f>
        <v>Partial / Yellow</v>
      </c>
      <c r="L991" s="106" t="str">
        <f>B80_Assessment!$J$78</f>
        <v>New first-level TR with 215 total ports including allowance, dedicated cooling, UPS/PDU, cable tray, PACS/CCTV and fire/life-safety scope.</v>
      </c>
    </row>
    <row r="992" spans="1:12" ht="34.950000000000003" customHeight="1">
      <c r="A992" s="106" t="str">
        <f>B80_Assessment!$B$2</f>
        <v>80</v>
      </c>
      <c r="B992" s="106" t="str">
        <f>"B80_Assessment"</f>
        <v>B80_Assessment</v>
      </c>
      <c r="C992" s="106" t="str">
        <f>B80_Assessment!$A$79</f>
        <v>127A / 126</v>
      </c>
      <c r="D992" s="142">
        <f>B80_Assessment!$B$79</f>
        <v>0.5</v>
      </c>
      <c r="E992" s="142">
        <f>B80_Assessment!$C$79</f>
        <v>0.5</v>
      </c>
      <c r="F992" s="106">
        <f>B80_Assessment!$D$79</f>
        <v>0.5</v>
      </c>
      <c r="G992" s="106">
        <f>B80_Assessment!$E$79</f>
        <v>0.5</v>
      </c>
      <c r="H992" s="106">
        <f>B80_Assessment!$F$79</f>
        <v>0.5</v>
      </c>
      <c r="I992" s="106" t="str">
        <f>B80_Assessment!$G$79</f>
        <v>Verify</v>
      </c>
      <c r="J992" s="106">
        <f>B80_Assessment!$H$79</f>
        <v>0.5</v>
      </c>
      <c r="K992" s="106" t="str">
        <f>B80_Assessment!$I$79</f>
        <v>Partial / Yellow</v>
      </c>
      <c r="L992" s="106" t="str">
        <f>B80_Assessment!$J$79</f>
        <v>Existing telecom transition point; protect active services until cutover complete and confirm room-number mapping.</v>
      </c>
    </row>
    <row r="993" spans="1:12" ht="46.35" customHeight="1">
      <c r="A993" s="106" t="str">
        <f>B82_Assessment!$B$2</f>
        <v>82</v>
      </c>
      <c r="B993" s="106" t="str">
        <f>"B82_Assessment"</f>
        <v>B82_Assessment</v>
      </c>
      <c r="C993" s="106" t="str">
        <f>B82_Assessment!$A$78</f>
        <v>102</v>
      </c>
      <c r="D993" s="142">
        <f>B82_Assessment!$B$78</f>
        <v>0.5</v>
      </c>
      <c r="E993" s="142">
        <f>B82_Assessment!$C$78</f>
        <v>0.5</v>
      </c>
      <c r="F993" s="106">
        <f>B82_Assessment!$D$78</f>
        <v>0.5</v>
      </c>
      <c r="G993" s="106">
        <f>B82_Assessment!$E$78</f>
        <v>0.5</v>
      </c>
      <c r="H993" s="106">
        <f>B82_Assessment!$F$78</f>
        <v>0.5</v>
      </c>
      <c r="I993" s="106" t="str">
        <f>B82_Assessment!$G$78</f>
        <v>Verify</v>
      </c>
      <c r="J993" s="106">
        <f>B82_Assessment!$H$78</f>
        <v>0.5</v>
      </c>
      <c r="K993" s="106" t="str">
        <f>B82_Assessment!$I$78</f>
        <v>Partial / Yellow</v>
      </c>
      <c r="L993" s="106" t="str">
        <f>B82_Assessment!$J$78</f>
        <v>New first-level TE/telecom room with 12RU wall enclosure, UPS/PDU, dedicated cooling shown, 278 ft cable tray and 40 total ports including allowance.</v>
      </c>
    </row>
    <row r="994" spans="1:12" ht="29.1" customHeight="1">
      <c r="A994" s="106" t="str">
        <f>B82_Assessment!$B$2</f>
        <v>82</v>
      </c>
      <c r="B994" s="106" t="str">
        <f>"B82_Assessment"</f>
        <v>B82_Assessment</v>
      </c>
      <c r="C994" s="106" t="str">
        <f>B82_Assessment!$A$79</f>
        <v>B01-A</v>
      </c>
      <c r="D994" s="142">
        <f>B82_Assessment!$B$79</f>
        <v>0.5</v>
      </c>
      <c r="E994" s="142">
        <f>B82_Assessment!$C$79</f>
        <v>0.5</v>
      </c>
      <c r="F994" s="106">
        <f>B82_Assessment!$D$79</f>
        <v>0.5</v>
      </c>
      <c r="G994" s="106">
        <f>B82_Assessment!$E$79</f>
        <v>0.5</v>
      </c>
      <c r="H994" s="106">
        <f>B82_Assessment!$F$79</f>
        <v>0.5</v>
      </c>
      <c r="I994" s="106" t="str">
        <f>B82_Assessment!$G$79</f>
        <v>Verify</v>
      </c>
      <c r="J994" s="106">
        <f>B82_Assessment!$H$79</f>
        <v>0.5</v>
      </c>
      <c r="K994" s="106" t="str">
        <f>B82_Assessment!$I$79</f>
        <v>Partial / Yellow</v>
      </c>
      <c r="L994" s="106" t="str">
        <f>B82_Assessment!$J$79</f>
        <v>Existing first-level telecom room and transition point; protect active services until cutover complete.</v>
      </c>
    </row>
    <row r="995" spans="1:12" ht="46.35" customHeight="1">
      <c r="A995" s="106" t="str">
        <f>BCH_Assessment!$B$2</f>
        <v>BCH</v>
      </c>
      <c r="B995" s="106" t="str">
        <f>"BCH_Assessment"</f>
        <v>BCH_Assessment</v>
      </c>
      <c r="C995" s="106" t="str">
        <f>BCH_Assessment!$A$78</f>
        <v>107</v>
      </c>
      <c r="D995" s="142">
        <f>BCH_Assessment!$B$78</f>
        <v>0.5</v>
      </c>
      <c r="E995" s="142">
        <f>BCH_Assessment!$C$78</f>
        <v>0.5</v>
      </c>
      <c r="F995" s="106" t="str">
        <f>BCH_Assessment!$D$78</f>
        <v>N/A / Verify</v>
      </c>
      <c r="G995" s="106">
        <f>BCH_Assessment!$E$78</f>
        <v>0.5</v>
      </c>
      <c r="H995" s="106">
        <f>BCH_Assessment!$F$78</f>
        <v>0.5</v>
      </c>
      <c r="I995" s="106" t="str">
        <f>BCH_Assessment!$G$78</f>
        <v>Verify</v>
      </c>
      <c r="J995" s="106">
        <f>BCH_Assessment!$H$78</f>
        <v>0.5</v>
      </c>
      <c r="K995" s="106" t="str">
        <f>BCH_Assessment!$I$78</f>
        <v>Partial / Yellow</v>
      </c>
      <c r="L995" s="106" t="str">
        <f>BCH_Assessment!$J$78</f>
        <v>BCH first-level Room 107 telecom scope; verify final TE versus telecom room configuration, power, pathway, firestopping and active service transition.</v>
      </c>
    </row>
    <row r="996" spans="1:12" ht="29.1" customHeight="1">
      <c r="A996" s="106" t="str">
        <f>BCH_Assessment!$B$2</f>
        <v>BCH</v>
      </c>
      <c r="B996" s="106" t="str">
        <f>"BCH_Assessment"</f>
        <v>BCH_Assessment</v>
      </c>
      <c r="C996" s="106" t="str">
        <f>BCH_Assessment!$A$79</f>
        <v>00 / 107</v>
      </c>
      <c r="D996" s="142">
        <f>BCH_Assessment!$B$79</f>
        <v>0.5</v>
      </c>
      <c r="E996" s="142">
        <f>BCH_Assessment!$C$79</f>
        <v>0.5</v>
      </c>
      <c r="F996" s="106" t="str">
        <f>BCH_Assessment!$D$79</f>
        <v>N/A / Verify</v>
      </c>
      <c r="G996" s="106">
        <f>BCH_Assessment!$E$79</f>
        <v>0.5</v>
      </c>
      <c r="H996" s="106">
        <f>BCH_Assessment!$F$79</f>
        <v>0.5</v>
      </c>
      <c r="I996" s="106" t="str">
        <f>BCH_Assessment!$G$79</f>
        <v>Verify</v>
      </c>
      <c r="J996" s="106">
        <f>BCH_Assessment!$H$79</f>
        <v>0.5</v>
      </c>
      <c r="K996" s="106" t="str">
        <f>BCH_Assessment!$I$79</f>
        <v>Partial / Yellow</v>
      </c>
      <c r="L996" s="106" t="str">
        <f>BCH_Assessment!$J$79</f>
        <v>Rack/elevation reference requiring confirmation before turnover and PMIS import.</v>
      </c>
    </row>
    <row r="997" spans="1:12" ht="52.2" customHeight="1">
      <c r="A997" s="106" t="str">
        <f>MCR_Assessment!$B$2</f>
        <v>MCR</v>
      </c>
      <c r="B997" s="106" t="str">
        <f>"MCR_Assessment"</f>
        <v>MCR_Assessment</v>
      </c>
      <c r="C997" s="106" t="str">
        <f>MCR_Assessment!$A$101</f>
        <v>107 / MCR</v>
      </c>
      <c r="D997" s="142">
        <f>MCR_Assessment!$B$101</f>
        <v>0.5</v>
      </c>
      <c r="E997" s="142">
        <f>MCR_Assessment!$C$101</f>
        <v>0.5</v>
      </c>
      <c r="F997" s="106">
        <f>MCR_Assessment!$D$101</f>
        <v>0.5</v>
      </c>
      <c r="G997" s="106">
        <f>MCR_Assessment!$E$101</f>
        <v>0.5</v>
      </c>
      <c r="H997" s="106">
        <f>MCR_Assessment!$F$101</f>
        <v>0.5</v>
      </c>
      <c r="I997" s="106" t="str">
        <f>MCR_Assessment!$G$101</f>
        <v>Verify</v>
      </c>
      <c r="J997" s="106">
        <f>MCR_Assessment!$H$101</f>
        <v>0.5</v>
      </c>
      <c r="K997" s="106" t="str">
        <f>MCR_Assessment!$I$101</f>
        <v>Partial / Yellow</v>
      </c>
      <c r="L997" s="106" t="str">
        <f>MCR_Assessment!$J$101</f>
        <v>New critical MCR facility with full architectural/civil/structural/MEP/FP/telecom/security scope; not construction-ready until coordination and commissioning plan are verified.</v>
      </c>
    </row>
    <row r="998" spans="1:12" ht="34.950000000000003" customHeight="1">
      <c r="A998" s="106" t="str">
        <f>MCR_Assessment!$B$2</f>
        <v>MCR</v>
      </c>
      <c r="B998" s="106" t="str">
        <f>"MCR_Assessment"</f>
        <v>MCR_Assessment</v>
      </c>
      <c r="C998" s="106" t="str">
        <f>MCR_Assessment!$A$102</f>
        <v>031</v>
      </c>
      <c r="D998" s="142">
        <f>MCR_Assessment!$B$102</f>
        <v>0.5</v>
      </c>
      <c r="E998" s="142">
        <f>MCR_Assessment!$C$102</f>
        <v>0.5</v>
      </c>
      <c r="F998" s="106">
        <f>MCR_Assessment!$D$102</f>
        <v>0.5</v>
      </c>
      <c r="G998" s="106">
        <f>MCR_Assessment!$E$102</f>
        <v>0.5</v>
      </c>
      <c r="H998" s="106">
        <f>MCR_Assessment!$F$102</f>
        <v>0.5</v>
      </c>
      <c r="I998" s="106" t="str">
        <f>MCR_Assessment!$G$102</f>
        <v>Verify</v>
      </c>
      <c r="J998" s="106">
        <f>MCR_Assessment!$H$102</f>
        <v>0.5</v>
      </c>
      <c r="K998" s="106" t="str">
        <f>MCR_Assessment!$I$102</f>
        <v>Partial / Yellow</v>
      </c>
      <c r="L998" s="106" t="str">
        <f>MCR_Assessment!$J$102</f>
        <v>Fiber Entrance Room 1 schedule and camera/data points require field verification and firestop/pathway coordination.</v>
      </c>
    </row>
    <row r="999" spans="1:12" ht="22.95" customHeight="1">
      <c r="A999" s="106" t="str">
        <f>MCR_Assessment!$B$2</f>
        <v>MCR</v>
      </c>
      <c r="B999" s="106" t="str">
        <f>"MCR_Assessment"</f>
        <v>MCR_Assessment</v>
      </c>
      <c r="C999" s="106" t="str">
        <f>MCR_Assessment!$A$103</f>
        <v>MDA-A/B</v>
      </c>
      <c r="D999" s="142">
        <f>MCR_Assessment!$B$103</f>
        <v>0.5</v>
      </c>
      <c r="E999" s="142">
        <f>MCR_Assessment!$C$103</f>
        <v>0.5</v>
      </c>
      <c r="F999" s="106">
        <f>MCR_Assessment!$D$103</f>
        <v>0.5</v>
      </c>
      <c r="G999" s="106">
        <f>MCR_Assessment!$E$103</f>
        <v>0.5</v>
      </c>
      <c r="H999" s="106">
        <f>MCR_Assessment!$F$103</f>
        <v>0.5</v>
      </c>
      <c r="I999" s="106" t="str">
        <f>MCR_Assessment!$G$103</f>
        <v>Verify</v>
      </c>
      <c r="J999" s="106">
        <f>MCR_Assessment!$H$103</f>
        <v>0.5</v>
      </c>
      <c r="K999" s="106" t="str">
        <f>MCR_Assessment!$I$103</f>
        <v>Partial / Yellow</v>
      </c>
      <c r="L999" s="106" t="str">
        <f>MCR_Assessment!$J$103</f>
        <v>New main distribution rows; A/B fiber diversity and rack/PDU mapping are critical.</v>
      </c>
    </row>
    <row r="1000" spans="1:12" ht="34.950000000000003" customHeight="1">
      <c r="A1000" s="106" t="str">
        <f>MCR_Assessment!$B$2</f>
        <v>MCR</v>
      </c>
      <c r="B1000" s="106" t="str">
        <f>"MCR_Assessment"</f>
        <v>MCR_Assessment</v>
      </c>
      <c r="C1000" s="106" t="str">
        <f>MCR_Assessment!$A$104</f>
        <v>HDA-A/B</v>
      </c>
      <c r="D1000" s="142">
        <f>MCR_Assessment!$B$104</f>
        <v>0.5</v>
      </c>
      <c r="E1000" s="142">
        <f>MCR_Assessment!$C$104</f>
        <v>0.5</v>
      </c>
      <c r="F1000" s="106">
        <f>MCR_Assessment!$D$104</f>
        <v>0.5</v>
      </c>
      <c r="G1000" s="106">
        <f>MCR_Assessment!$E$104</f>
        <v>0.5</v>
      </c>
      <c r="H1000" s="106">
        <f>MCR_Assessment!$F$104</f>
        <v>0.5</v>
      </c>
      <c r="I1000" s="106" t="str">
        <f>MCR_Assessment!$G$104</f>
        <v>Verify</v>
      </c>
      <c r="J1000" s="106">
        <f>MCR_Assessment!$H$104</f>
        <v>0.5</v>
      </c>
      <c r="K1000" s="106" t="str">
        <f>MCR_Assessment!$I$104</f>
        <v>Partial / Yellow</v>
      </c>
      <c r="L1000" s="106" t="str">
        <f>MCR_Assessment!$J$104</f>
        <v>New horizontal distribution/server cabinet rows; airflow, patching, labeling and redundancy must be validated.</v>
      </c>
    </row>
    <row r="1001" spans="1:12" ht="29.1" customHeight="1">
      <c r="A1001" s="106" t="str">
        <f>MCR_Assessment!$B$2</f>
        <v>MCR</v>
      </c>
      <c r="B1001" s="106" t="str">
        <f>"MCR_Assessment"</f>
        <v>MCR_Assessment</v>
      </c>
      <c r="C1001" s="106" t="str">
        <f>MCR_Assessment!$A$105</f>
        <v>Existing 107/137</v>
      </c>
      <c r="D1001" s="142">
        <f>MCR_Assessment!$B$105</f>
        <v>0.5</v>
      </c>
      <c r="E1001" s="142">
        <f>MCR_Assessment!$C$105</f>
        <v>0.5</v>
      </c>
      <c r="F1001" s="106">
        <f>MCR_Assessment!$D$105</f>
        <v>0.5</v>
      </c>
      <c r="G1001" s="106">
        <f>MCR_Assessment!$E$105</f>
        <v>0.5</v>
      </c>
      <c r="H1001" s="106">
        <f>MCR_Assessment!$F$105</f>
        <v>0.5</v>
      </c>
      <c r="I1001" s="106" t="str">
        <f>MCR_Assessment!$G$105</f>
        <v>Verify</v>
      </c>
      <c r="J1001" s="106">
        <f>MCR_Assessment!$H$105</f>
        <v>0.5</v>
      </c>
      <c r="K1001" s="106" t="str">
        <f>MCR_Assessment!$I$105</f>
        <v>Partial / Yellow</v>
      </c>
      <c r="L1001" s="106" t="str">
        <f>MCR_Assessment!$J$105</f>
        <v>Existing MCR/server equipment transition point; protect active service until final activation.</v>
      </c>
    </row>
    <row r="1002" spans="1:12" ht="40.65" customHeight="1">
      <c r="A1002" s="106" t="str">
        <f>SITE_Assesment!$B$2</f>
        <v>SITE</v>
      </c>
      <c r="B1002" s="106" t="str">
        <f>"SITE_Assesment"</f>
        <v>SITE_Assesment</v>
      </c>
      <c r="C1002" s="106" t="str">
        <f>SITE_Assesment!$A$99</f>
        <v>Overall Site</v>
      </c>
      <c r="D1002" s="142">
        <f>SITE_Assesment!$B$99</f>
        <v>0.5</v>
      </c>
      <c r="E1002" s="142">
        <f>SITE_Assesment!$C$99</f>
        <v>0.5</v>
      </c>
      <c r="F1002" s="106">
        <f>SITE_Assesment!$D$99</f>
        <v>0.5</v>
      </c>
      <c r="G1002" s="106">
        <f>SITE_Assesment!$E$99</f>
        <v>0.5</v>
      </c>
      <c r="H1002" s="106">
        <f>SITE_Assesment!$F$99</f>
        <v>0.5</v>
      </c>
      <c r="I1002" s="106" t="str">
        <f>SITE_Assesment!$G$99</f>
        <v>Verify</v>
      </c>
      <c r="J1002" s="106">
        <f>SITE_Assesment!$H$99</f>
        <v>0.5</v>
      </c>
      <c r="K1002" s="106" t="str">
        <f>SITE_Assesment!$I$99</f>
        <v>Partial / Yellow</v>
      </c>
      <c r="L1002" s="106" t="str">
        <f>SITE_Assesment!$J$99</f>
        <v>Campus-wide fiber backbone is not construction-ready until utility locates, path routing, inspection holds and phasing plan are confirmed.</v>
      </c>
    </row>
    <row r="1003" spans="1:12" ht="34.950000000000003" customHeight="1">
      <c r="A1003" s="106" t="str">
        <f>SITE_Assesment!$B$2</f>
        <v>SITE</v>
      </c>
      <c r="B1003" s="106" t="str">
        <f>"SITE_Assesment"</f>
        <v>SITE_Assesment</v>
      </c>
      <c r="C1003" s="106" t="str">
        <f>SITE_Assesment!$A$100</f>
        <v>Path A/B Backbone</v>
      </c>
      <c r="D1003" s="142">
        <f>SITE_Assesment!$B$100</f>
        <v>0.5</v>
      </c>
      <c r="E1003" s="142">
        <f>SITE_Assesment!$C$100</f>
        <v>0.5</v>
      </c>
      <c r="F1003" s="106">
        <f>SITE_Assesment!$D$100</f>
        <v>0.5</v>
      </c>
      <c r="G1003" s="106">
        <f>SITE_Assesment!$E$100</f>
        <v>0.5</v>
      </c>
      <c r="H1003" s="106">
        <f>SITE_Assesment!$F$100</f>
        <v>0.5</v>
      </c>
      <c r="I1003" s="106" t="str">
        <f>SITE_Assesment!$G$100</f>
        <v>Verify</v>
      </c>
      <c r="J1003" s="106">
        <f>SITE_Assesment!$H$100</f>
        <v>0.5</v>
      </c>
      <c r="K1003" s="106" t="str">
        <f>SITE_Assesment!$I$100</f>
        <v>Partial / Yellow</v>
      </c>
      <c r="L1003" s="106" t="str">
        <f>SITE_Assesment!$J$100</f>
        <v>Redundant A/B path separation, conduit counts and T-601 one-line coordination require field verification.</v>
      </c>
    </row>
    <row r="1004" spans="1:12" ht="34.950000000000003" customHeight="1">
      <c r="A1004" s="106" t="str">
        <f>SITE_Assesment!$B$2</f>
        <v>SITE</v>
      </c>
      <c r="B1004" s="106" t="str">
        <f>"SITE_Assesment"</f>
        <v>SITE_Assesment</v>
      </c>
      <c r="C1004" s="106" t="str">
        <f>SITE_Assesment!$A$101</f>
        <v>THH / Manholes</v>
      </c>
      <c r="D1004" s="106">
        <f>SITE_Assesment!$B$101</f>
        <v>0.5</v>
      </c>
      <c r="E1004" s="106">
        <f>SITE_Assesment!$C$101</f>
        <v>0.5</v>
      </c>
      <c r="F1004" s="106">
        <f>SITE_Assesment!$D$101</f>
        <v>0.5</v>
      </c>
      <c r="G1004" s="106">
        <f>SITE_Assesment!$E$101</f>
        <v>0.5</v>
      </c>
      <c r="H1004" s="106">
        <f>SITE_Assesment!$F$101</f>
        <v>0.5</v>
      </c>
      <c r="I1004" s="106" t="str">
        <f>SITE_Assesment!$G$101</f>
        <v>Verify</v>
      </c>
      <c r="J1004" s="106">
        <f>SITE_Assesment!$H$101</f>
        <v>0.5</v>
      </c>
      <c r="K1004" s="106" t="str">
        <f>SITE_Assesment!$I$101</f>
        <v>Partial / Yellow</v>
      </c>
      <c r="L1004" s="106" t="str">
        <f>SITE_Assesment!$J$101</f>
        <v>THH #1-#19 and locking manholes/pullboxes need inventory, labels, photos and acceptance.</v>
      </c>
    </row>
    <row r="1005" spans="1:12" ht="34.950000000000003" customHeight="1">
      <c r="A1005" s="106" t="str">
        <f>SITE_Assesment!$B$2</f>
        <v>SITE</v>
      </c>
      <c r="B1005" s="106" t="str">
        <f>"SITE_Assesment"</f>
        <v>SITE_Assesment</v>
      </c>
      <c r="C1005" s="106" t="str">
        <f>SITE_Assesment!$A$102</f>
        <v>Building Tie-ins</v>
      </c>
      <c r="D1005" s="106">
        <f>SITE_Assesment!$B$102</f>
        <v>0.5</v>
      </c>
      <c r="E1005" s="106">
        <f>SITE_Assesment!$C$102</f>
        <v>0.5</v>
      </c>
      <c r="F1005" s="106">
        <f>SITE_Assesment!$D$102</f>
        <v>0.5</v>
      </c>
      <c r="G1005" s="106">
        <f>SITE_Assesment!$E$102</f>
        <v>0.5</v>
      </c>
      <c r="H1005" s="106">
        <f>SITE_Assesment!$F$102</f>
        <v>0.5</v>
      </c>
      <c r="I1005" s="106" t="str">
        <f>SITE_Assesment!$G$102</f>
        <v>Verify</v>
      </c>
      <c r="J1005" s="106">
        <f>SITE_Assesment!$H$102</f>
        <v>0.5</v>
      </c>
      <c r="K1005" s="106" t="str">
        <f>SITE_Assesment!$I$102</f>
        <v>Partial / Yellow</v>
      </c>
      <c r="L1005" s="106" t="str">
        <f>SITE_Assesment!$J$102</f>
        <v>Building T-101 continuation, penetration/firestop and fiber acceptance must match each building assessment.</v>
      </c>
    </row>
    <row r="1006" spans="1:12" ht="29.1" customHeight="1">
      <c r="A1006" s="106" t="str">
        <f>SITE_Assesment!$B$2</f>
        <v>SITE</v>
      </c>
      <c r="B1006" s="106" t="str">
        <f>"SITE_Assesment"</f>
        <v>SITE_Assesment</v>
      </c>
      <c r="C1006" s="106" t="str">
        <f>SITE_Assesment!$A$103</f>
        <v>MCR / Provider Entrance</v>
      </c>
      <c r="D1006" s="106">
        <f>SITE_Assesment!$B$103</f>
        <v>0.5</v>
      </c>
      <c r="E1006" s="106">
        <f>SITE_Assesment!$C$103</f>
        <v>0.5</v>
      </c>
      <c r="F1006" s="106">
        <f>SITE_Assesment!$D$103</f>
        <v>0.5</v>
      </c>
      <c r="G1006" s="106">
        <f>SITE_Assesment!$E$103</f>
        <v>0.5</v>
      </c>
      <c r="H1006" s="106">
        <f>SITE_Assesment!$F$103</f>
        <v>0.5</v>
      </c>
      <c r="I1006" s="106" t="str">
        <f>SITE_Assesment!$G$103</f>
        <v>Verify</v>
      </c>
      <c r="J1006" s="106">
        <f>SITE_Assesment!$H$103</f>
        <v>0.5</v>
      </c>
      <c r="K1006" s="106" t="str">
        <f>SITE_Assesment!$I$103</f>
        <v>Partial / Yellow</v>
      </c>
      <c r="L1006" s="106" t="str">
        <f>SITE_Assesment!$J$103</f>
        <v>Provider fiber, temporary fiber and new MCR activation sequence are critical path items.</v>
      </c>
    </row>
    <row r="1007" spans="1:12" ht="7.35" customHeight="1">
      <c r="A1007" s="19"/>
      <c r="D1007" s="144"/>
      <c r="E1007" s="144"/>
      <c r="F1007" s="19"/>
    </row>
    <row r="1008" spans="1:12" ht="7.35" customHeight="1">
      <c r="A1008" s="146"/>
      <c r="B1008" s="146"/>
      <c r="C1008" s="146"/>
      <c r="D1008" s="147"/>
      <c r="E1008" s="147"/>
      <c r="F1008" s="146"/>
    </row>
    <row r="1009" spans="1:7" ht="7.35" customHeight="1">
      <c r="A1009" s="106"/>
      <c r="B1009" s="106" t="str">
        <f t="shared" ref="B1009:B1048" si="85">"B01_Assessment"</f>
        <v>B01_Assessment</v>
      </c>
      <c r="C1009" s="106"/>
      <c r="D1009" s="142"/>
      <c r="E1009" s="142"/>
      <c r="F1009" s="106"/>
    </row>
    <row r="1010" spans="1:7" ht="56.4" customHeight="1">
      <c r="A1010" s="19" t="s">
        <v>898</v>
      </c>
      <c r="B1010" s="19" t="str">
        <f t="shared" si="85"/>
        <v>B01_Assessment</v>
      </c>
      <c r="C1010" s="19"/>
      <c r="D1010" s="144"/>
      <c r="E1010" s="144"/>
      <c r="F1010" s="19"/>
      <c r="G1010" s="19"/>
    </row>
    <row r="1011" spans="1:7" ht="7.35" customHeight="1">
      <c r="A1011" s="146" t="s">
        <v>142</v>
      </c>
      <c r="B1011" s="146" t="str">
        <f t="shared" si="85"/>
        <v>B01_Assessment</v>
      </c>
      <c r="C1011" s="146" t="s">
        <v>284</v>
      </c>
      <c r="D1011" s="147" t="s">
        <v>275</v>
      </c>
      <c r="E1011" s="147" t="s">
        <v>899</v>
      </c>
      <c r="F1011" s="146" t="s">
        <v>11</v>
      </c>
      <c r="G1011" s="146" t="s">
        <v>900</v>
      </c>
    </row>
    <row r="1012" spans="1:7" ht="64.2" customHeight="1">
      <c r="A1012" s="106" t="str">
        <f>B01_Assessment!$B$2</f>
        <v>01</v>
      </c>
      <c r="B1012" s="106" t="str">
        <f t="shared" si="85"/>
        <v>B01_Assessment</v>
      </c>
      <c r="C1012" s="106" t="str">
        <f>"Fire"</f>
        <v>Fire</v>
      </c>
      <c r="D1012" s="142" t="str">
        <f>B01_Assessment!$A$24</f>
        <v>107</v>
      </c>
      <c r="E1012" s="142" t="str">
        <f>B01_Assessment!$I$24</f>
        <v>Verify</v>
      </c>
      <c r="F1012" s="106" t="str">
        <f>B01_Assessment!$J$24</f>
        <v>Full fire protection scope included. Verify sprinkler head modifications, fire alarm devices, clean-agent/CO2 2A:10B:C FEC within 75 ft, rated wall/floor penetrations, temporary firestopping and final UL firestop systems.</v>
      </c>
      <c r="G1012" s="106" t="str">
        <f>"B01_Assessment!A24:J24"</f>
        <v>B01_Assessment!A24:J24</v>
      </c>
    </row>
    <row r="1013" spans="1:7" ht="29.1" customHeight="1">
      <c r="A1013" s="106" t="str">
        <f>B01_Assessment!$B$2</f>
        <v>01</v>
      </c>
      <c r="B1013" s="106" t="str">
        <f t="shared" si="85"/>
        <v>B01_Assessment</v>
      </c>
      <c r="C1013" s="106" t="str">
        <f>"Fire"</f>
        <v>Fire</v>
      </c>
      <c r="D1013" s="142" t="str">
        <f>B01_Assessment!$A$25</f>
        <v>B02</v>
      </c>
      <c r="E1013" s="142" t="str">
        <f>B01_Assessment!$I$25</f>
        <v>Verify</v>
      </c>
      <c r="F1013" s="106" t="str">
        <f>B01_Assessment!$J$25</f>
        <v>Existing telecom room; verify FP/FA protection-in-place and seal penetrations after cable removal/reuse.</v>
      </c>
      <c r="G1013" s="106" t="str">
        <f>"B01_Assessment!A25:J25"</f>
        <v>B01_Assessment!A25:J25</v>
      </c>
    </row>
    <row r="1014" spans="1:7" ht="34.950000000000003" customHeight="1">
      <c r="A1014" s="106" t="str">
        <f>B01_Assessment!$B$2</f>
        <v>01</v>
      </c>
      <c r="B1014" s="106" t="str">
        <f t="shared" si="85"/>
        <v>B01_Assessment</v>
      </c>
      <c r="C1014" s="106" t="str">
        <f>"Fire"</f>
        <v>Fire</v>
      </c>
      <c r="D1014" s="142" t="str">
        <f>B01_Assessment!$A$26</f>
        <v>138</v>
      </c>
      <c r="E1014" s="142" t="str">
        <f>B01_Assessment!$I$26</f>
        <v>Verify</v>
      </c>
      <c r="F1014" s="106" t="str">
        <f>B01_Assessment!$J$26</f>
        <v>Existing telecom room; verify fire alarm/sprinkler impacts, protection-in-place and final firestop at cable changes.</v>
      </c>
      <c r="G1014" s="106" t="str">
        <f>"B01_Assessment!A26:J26"</f>
        <v>B01_Assessment!A26:J26</v>
      </c>
    </row>
    <row r="1015" spans="1:7" ht="29.1" customHeight="1">
      <c r="A1015" s="106" t="str">
        <f>B01_Assessment!$B$2</f>
        <v>01</v>
      </c>
      <c r="B1015" s="106" t="str">
        <f t="shared" si="85"/>
        <v>B01_Assessment</v>
      </c>
      <c r="C1015" s="106" t="str">
        <f>"Fire"</f>
        <v>Fire</v>
      </c>
      <c r="D1015" s="142" t="str">
        <f>B01_Assessment!$A$27</f>
        <v>282</v>
      </c>
      <c r="E1015" s="142" t="str">
        <f>B01_Assessment!$I$27</f>
        <v>Verify</v>
      </c>
      <c r="F1015" s="106" t="str">
        <f>B01_Assessment!$J$27</f>
        <v>Existing second-level telecom room; verify riser penetrations, firestopping and protection-in-place.</v>
      </c>
      <c r="G1015" s="106" t="str">
        <f>"B01_Assessment!A27:J27"</f>
        <v>B01_Assessment!A27:J27</v>
      </c>
    </row>
    <row r="1016" spans="1:7" ht="99.15" customHeight="1">
      <c r="A1016" s="106" t="str">
        <f>B01_Assessment!$B$2</f>
        <v>01</v>
      </c>
      <c r="B1016" s="106" t="str">
        <f t="shared" si="85"/>
        <v>B01_Assessment</v>
      </c>
      <c r="C1016" s="106" t="str">
        <f>"HVAC"</f>
        <v>HVAC</v>
      </c>
      <c r="D1016" s="142" t="str">
        <f>B01_Assessment!$A$31</f>
        <v>107</v>
      </c>
      <c r="E1016" s="142" t="str">
        <f>B01_Assessment!$I$31</f>
        <v>Verify</v>
      </c>
      <c r="F1016" s="106" t="str">
        <f>B01_Assessment!$J$31</f>
        <v>Mechanical drawings show IU-1-01 split-system indoor unit and CU-1-01 outdoor unit for Room 107. Notes call for condensate pump, pumped condensate line, BACnet adapter adjacent to unit, FMS integration, room temperature/humidity points and alarms. Confirm capacity, emergency source, condensate path, controls and startup.</v>
      </c>
      <c r="G1016" s="106" t="str">
        <f>"B01_Assessment!A31:J31"</f>
        <v>B01_Assessment!A31:J31</v>
      </c>
    </row>
    <row r="1017" spans="1:7" ht="52.2" customHeight="1">
      <c r="A1017" s="106" t="str">
        <f>B01_Assessment!$B$2</f>
        <v>01</v>
      </c>
      <c r="B1017" s="106" t="str">
        <f t="shared" si="85"/>
        <v>B01_Assessment</v>
      </c>
      <c r="C1017" s="106" t="str">
        <f>"HVAC"</f>
        <v>HVAC</v>
      </c>
      <c r="D1017" s="142" t="str">
        <f>B01_Assessment!$A$32</f>
        <v>B02</v>
      </c>
      <c r="E1017" s="142" t="str">
        <f>B01_Assessment!$I$32</f>
        <v>Verify</v>
      </c>
      <c r="F1017" s="106" t="str">
        <f>B01_Assessment!$J$32</f>
        <v>Existing basement telecom equipment may remain active during cutover. Verify environmental conditions and whether active equipment remains after migration.</v>
      </c>
      <c r="G1017" s="106" t="str">
        <f>"B01_Assessment!A32:J32"</f>
        <v>B01_Assessment!A32:J32</v>
      </c>
    </row>
    <row r="1018" spans="1:7" ht="40.65" customHeight="1">
      <c r="A1018" s="106" t="str">
        <f>B01_Assessment!$B$2</f>
        <v>01</v>
      </c>
      <c r="B1018" s="106" t="str">
        <f t="shared" si="85"/>
        <v>B01_Assessment</v>
      </c>
      <c r="C1018" s="106" t="str">
        <f>"HVAC"</f>
        <v>HVAC</v>
      </c>
      <c r="D1018" s="142" t="str">
        <f>B01_Assessment!$A$33</f>
        <v>138</v>
      </c>
      <c r="E1018" s="142" t="str">
        <f>B01_Assessment!$I$33</f>
        <v>Verify</v>
      </c>
      <c r="F1018" s="106" t="str">
        <f>B01_Assessment!$J$33</f>
        <v>Existing first-level equipment may remain active during transfer; verify temperature, ventilation and protection of active gear.</v>
      </c>
      <c r="G1018" s="106" t="str">
        <f>"B01_Assessment!A33:J33"</f>
        <v>B01_Assessment!A33:J33</v>
      </c>
    </row>
    <row r="1019" spans="1:7" ht="40.65" customHeight="1">
      <c r="A1019" s="106" t="str">
        <f>B01_Assessment!$B$2</f>
        <v>01</v>
      </c>
      <c r="B1019" s="106" t="str">
        <f t="shared" si="85"/>
        <v>B01_Assessment</v>
      </c>
      <c r="C1019" s="106" t="str">
        <f>"HVAC"</f>
        <v>HVAC</v>
      </c>
      <c r="D1019" s="142" t="str">
        <f>B01_Assessment!$A$34</f>
        <v>282</v>
      </c>
      <c r="E1019" s="142" t="str">
        <f>B01_Assessment!$I$34</f>
        <v>Verify</v>
      </c>
      <c r="F1019" s="106" t="str">
        <f>B01_Assessment!$J$34</f>
        <v>Existing second-level equipment may remain active until cutover; verify existing cooling/ambient conditions and no overheating.</v>
      </c>
      <c r="G1019" s="106" t="str">
        <f>"B01_Assessment!A34:J34"</f>
        <v>B01_Assessment!A34:J34</v>
      </c>
    </row>
    <row r="1020" spans="1:7" ht="93.45" customHeight="1">
      <c r="A1020" s="106" t="str">
        <f>B01_Assessment!$B$2</f>
        <v>01</v>
      </c>
      <c r="B1020" s="106" t="str">
        <f t="shared" si="85"/>
        <v>B01_Assessment</v>
      </c>
      <c r="C1020" s="106" t="str">
        <f>"Electrical"</f>
        <v>Electrical</v>
      </c>
      <c r="D1020" s="142" t="str">
        <f>B01_Assessment!$A$38</f>
        <v>107</v>
      </c>
      <c r="E1020" s="142" t="str">
        <f>B01_Assessment!$I$38</f>
        <v>Verify</v>
      </c>
      <c r="F1020" s="106" t="str">
        <f>B01_Assessment!$J$38</f>
        <v>Electrical plans/schedules identify B01-TR107A and B01-TR107B, rack receptacles, normal/emergency receptacles, redundant vertical PDUs, CU-1-01, access controller, lighting/receptacle circuits, SPDs integral to new telecom panels, and 30-day load measurement requirements before panel renovation.</v>
      </c>
      <c r="G1020" s="106" t="str">
        <f>"B01_Assessment!A38:J38"</f>
        <v>B01_Assessment!A38:J38</v>
      </c>
    </row>
    <row r="1021" spans="1:7" ht="40.65" customHeight="1">
      <c r="A1021" s="106" t="str">
        <f>B01_Assessment!$B$2</f>
        <v>01</v>
      </c>
      <c r="B1021" s="106" t="str">
        <f t="shared" si="85"/>
        <v>B01_Assessment</v>
      </c>
      <c r="C1021" s="106" t="str">
        <f>"Electrical"</f>
        <v>Electrical</v>
      </c>
      <c r="D1021" s="142" t="str">
        <f>B01_Assessment!$A$39</f>
        <v>B02</v>
      </c>
      <c r="E1021" s="142" t="str">
        <f>B01_Assessment!$I$39</f>
        <v>Verify</v>
      </c>
      <c r="F1021" s="106" t="str">
        <f>B01_Assessment!$J$39</f>
        <v>Existing B02 rack elevations show UPS on floor and Tripp Lite Smart Pro UPS; verify active source circuits and transfer requirements.</v>
      </c>
      <c r="G1021" s="106" t="str">
        <f>"B01_Assessment!A39:J39"</f>
        <v>B01_Assessment!A39:J39</v>
      </c>
    </row>
    <row r="1022" spans="1:7" ht="34.950000000000003" customHeight="1">
      <c r="A1022" s="106" t="str">
        <f>B01_Assessment!$B$2</f>
        <v>01</v>
      </c>
      <c r="B1022" s="106" t="str">
        <f t="shared" si="85"/>
        <v>B01_Assessment</v>
      </c>
      <c r="C1022" s="106" t="str">
        <f>"Electrical"</f>
        <v>Electrical</v>
      </c>
      <c r="D1022" s="142" t="str">
        <f>B01_Assessment!$A$40</f>
        <v>138</v>
      </c>
      <c r="E1022" s="142" t="str">
        <f>B01_Assessment!$I$40</f>
        <v>Verify</v>
      </c>
      <c r="F1022" s="106" t="str">
        <f>B01_Assessment!$J$40</f>
        <v>Existing 138 rack elevation shows APC UPS floor and patch panels; verify active source circuits and transition.</v>
      </c>
      <c r="G1022" s="106" t="str">
        <f>"B01_Assessment!A40:J40"</f>
        <v>B01_Assessment!A40:J40</v>
      </c>
    </row>
    <row r="1023" spans="1:7" ht="52.2" customHeight="1">
      <c r="A1023" s="106" t="str">
        <f>B01_Assessment!$B$2</f>
        <v>01</v>
      </c>
      <c r="B1023" s="106" t="str">
        <f t="shared" si="85"/>
        <v>B01_Assessment</v>
      </c>
      <c r="C1023" s="106" t="str">
        <f>"Electrical"</f>
        <v>Electrical</v>
      </c>
      <c r="D1023" s="142" t="str">
        <f>B01_Assessment!$A$41</f>
        <v>282</v>
      </c>
      <c r="E1023" s="142" t="str">
        <f>B01_Assessment!$I$41</f>
        <v>Verify</v>
      </c>
      <c r="F1023" s="106" t="str">
        <f>B01_Assessment!$J$41</f>
        <v>Existing Room 282 equipment includes active rack gear and patch panels; verify source circuits, UPS/PDU condition and final decommission/retain scope.</v>
      </c>
      <c r="G1023" s="106" t="str">
        <f>"B01_Assessment!A41:J41"</f>
        <v>B01_Assessment!A41:J41</v>
      </c>
    </row>
    <row r="1024" spans="1:7" ht="69.900000000000006" customHeight="1">
      <c r="A1024" s="106" t="str">
        <f>B01_Assessment!$B$2</f>
        <v>01</v>
      </c>
      <c r="B1024" s="106" t="str">
        <f t="shared" si="85"/>
        <v>B01_Assessment</v>
      </c>
      <c r="C1024" s="106" t="str">
        <f>"Telecom"</f>
        <v>Telecom</v>
      </c>
      <c r="D1024" s="142" t="str">
        <f>B01_Assessment!$A$45</f>
        <v>107</v>
      </c>
      <c r="E1024" s="142" t="str">
        <f>B01_Assessment!$I$45</f>
        <v>Verify</v>
      </c>
      <c r="F1024" s="106" t="str">
        <f>B01_Assessment!$J$45</f>
        <v>01T-701 identifies RM107 with 96 WAO total, 88 active ports per survey, 146 total ports per schedule, and 161 total ports with 10% allowance. Cable tray schedule totals 394 ft: 58 ft basement, 212 ft first level and 124 ft second level. Rack ID TR01-107-1.</v>
      </c>
      <c r="G1024" s="106" t="str">
        <f>"B01_Assessment!A45:J45"</f>
        <v>B01_Assessment!A45:J45</v>
      </c>
    </row>
    <row r="1025" spans="1:7" ht="46.35" customHeight="1">
      <c r="A1025" s="106" t="str">
        <f>B01_Assessment!$B$2</f>
        <v>01</v>
      </c>
      <c r="B1025" s="106" t="str">
        <f t="shared" si="85"/>
        <v>B01_Assessment</v>
      </c>
      <c r="C1025" s="106" t="str">
        <f>"Telecom"</f>
        <v>Telecom</v>
      </c>
      <c r="D1025" s="142" t="str">
        <f>B01_Assessment!$A$46</f>
        <v>B02</v>
      </c>
      <c r="E1025" s="142" t="str">
        <f>B01_Assessment!$I$46</f>
        <v>Verify</v>
      </c>
      <c r="F1025" s="106" t="str">
        <f>B01_Assessment!$J$46</f>
        <v>Existing B02 racks/TE support active services and legacy equipment. Contractor must field verify equipment to be demolished or transferred and provide phasing plan.</v>
      </c>
      <c r="G1025" s="106" t="str">
        <f>"B01_Assessment!A46:J46"</f>
        <v>B01_Assessment!A46:J46</v>
      </c>
    </row>
    <row r="1026" spans="1:7" ht="34.950000000000003" customHeight="1">
      <c r="A1026" s="106" t="str">
        <f>B01_Assessment!$B$2</f>
        <v>01</v>
      </c>
      <c r="B1026" s="106" t="str">
        <f t="shared" si="85"/>
        <v>B01_Assessment</v>
      </c>
      <c r="C1026" s="106" t="str">
        <f>"Telecom"</f>
        <v>Telecom</v>
      </c>
      <c r="D1026" s="142" t="str">
        <f>B01_Assessment!$A$47</f>
        <v>138</v>
      </c>
      <c r="E1026" s="142" t="str">
        <f>B01_Assessment!$I$47</f>
        <v>Verify</v>
      </c>
      <c r="F1026" s="106" t="str">
        <f>B01_Assessment!$J$47</f>
        <v>Existing Room 138 racks and patch panels act as transition/legacy equipment point. Verify active service labels and transfer sequence.</v>
      </c>
      <c r="G1026" s="106" t="str">
        <f>"B01_Assessment!A47:J47"</f>
        <v>B01_Assessment!A47:J47</v>
      </c>
    </row>
    <row r="1027" spans="1:7" ht="40.65" customHeight="1">
      <c r="A1027" s="106" t="str">
        <f>B01_Assessment!$B$2</f>
        <v>01</v>
      </c>
      <c r="B1027" s="106" t="str">
        <f t="shared" si="85"/>
        <v>B01_Assessment</v>
      </c>
      <c r="C1027" s="106" t="str">
        <f>"Telecom"</f>
        <v>Telecom</v>
      </c>
      <c r="D1027" s="142" t="str">
        <f>B01_Assessment!$A$48</f>
        <v>282</v>
      </c>
      <c r="E1027" s="142" t="str">
        <f>B01_Assessment!$I$48</f>
        <v>Verify</v>
      </c>
      <c r="F1027" s="106" t="str">
        <f>B01_Assessment!$J$48</f>
        <v>Existing Room 282 racks and patch panels act as second-level transition point. Verify all active services, WAP/camera cabling, and riser pathway.</v>
      </c>
      <c r="G1027" s="106" t="str">
        <f>"B01_Assessment!A48:J48"</f>
        <v>B01_Assessment!A48:J48</v>
      </c>
    </row>
    <row r="1028" spans="1:7" ht="87.6" customHeight="1">
      <c r="A1028" s="106" t="str">
        <f>B01_Assessment!$B$2</f>
        <v>01</v>
      </c>
      <c r="B1028" s="106" t="str">
        <f t="shared" si="85"/>
        <v>B01_Assessment</v>
      </c>
      <c r="C1028" s="106" t="str">
        <f>"Security"</f>
        <v>Security</v>
      </c>
      <c r="D1028" s="142" t="str">
        <f>B01_Assessment!$A$52</f>
        <v>107</v>
      </c>
      <c r="E1028" s="142" t="str">
        <f>B01_Assessment!$I$52</f>
        <v>Verify</v>
      </c>
      <c r="F1028" s="106" t="str">
        <f>B01_Assessment!$J$52</f>
        <v>Electrical/telecom plans show new access control, power supply/battery backup for PACS, HDP12/FIPS-compliant PIV-ready card reader with PIN pad, and camera 107-CAM-1. Verify CR/RX/DC/ES/MD devices, controller, camera/VMS integration and door hardware coordination.</v>
      </c>
      <c r="G1028" s="106" t="str">
        <f>"B01_Assessment!A52:J52"</f>
        <v>B01_Assessment!A52:J52</v>
      </c>
    </row>
    <row r="1029" spans="1:7" ht="46.35" customHeight="1">
      <c r="A1029" s="106" t="str">
        <f>B01_Assessment!$B$2</f>
        <v>01</v>
      </c>
      <c r="B1029" s="106" t="str">
        <f t="shared" si="85"/>
        <v>B01_Assessment</v>
      </c>
      <c r="C1029" s="106" t="str">
        <f>"Security"</f>
        <v>Security</v>
      </c>
      <c r="D1029" s="142" t="str">
        <f>B01_Assessment!$A$53</f>
        <v>B02</v>
      </c>
      <c r="E1029" s="142" t="str">
        <f>B01_Assessment!$I$53</f>
        <v>Verify</v>
      </c>
      <c r="F1029" s="106" t="str">
        <f>B01_Assessment!$J$53</f>
        <v>Verify existing security/CCTV equipment and any retained cameras. Maintain camera angles where existing security cameras are recabled.</v>
      </c>
      <c r="G1029" s="106" t="str">
        <f>"B01_Assessment!A53:J53"</f>
        <v>B01_Assessment!A53:J53</v>
      </c>
    </row>
    <row r="1030" spans="1:7" ht="29.1" customHeight="1">
      <c r="A1030" s="106" t="str">
        <f>B01_Assessment!$B$2</f>
        <v>01</v>
      </c>
      <c r="B1030" s="106" t="str">
        <f t="shared" si="85"/>
        <v>B01_Assessment</v>
      </c>
      <c r="C1030" s="106" t="str">
        <f>"Security"</f>
        <v>Security</v>
      </c>
      <c r="D1030" s="142" t="str">
        <f>B01_Assessment!$A$54</f>
        <v>138</v>
      </c>
      <c r="E1030" s="142" t="str">
        <f>B01_Assessment!$I$54</f>
        <v>Verify</v>
      </c>
      <c r="F1030" s="106" t="str">
        <f>B01_Assessment!$J$54</f>
        <v>Verify existing security/access conditions and protection-in-place during rack transfer.</v>
      </c>
      <c r="G1030" s="106" t="str">
        <f>"B01_Assessment!A54:J54"</f>
        <v>B01_Assessment!A54:J54</v>
      </c>
    </row>
    <row r="1031" spans="1:7" ht="29.1" customHeight="1">
      <c r="A1031" s="106" t="str">
        <f>B01_Assessment!$B$2</f>
        <v>01</v>
      </c>
      <c r="B1031" s="106" t="str">
        <f t="shared" si="85"/>
        <v>B01_Assessment</v>
      </c>
      <c r="C1031" s="106" t="str">
        <f>"Security"</f>
        <v>Security</v>
      </c>
      <c r="D1031" s="142" t="str">
        <f>B01_Assessment!$A$55</f>
        <v>282</v>
      </c>
      <c r="E1031" s="142" t="str">
        <f>B01_Assessment!$I$55</f>
        <v>Verify</v>
      </c>
      <c r="F1031" s="106" t="str">
        <f>B01_Assessment!$J$55</f>
        <v>Verify second-level existing security/CCTV impacts during cabling and equipment transfer.</v>
      </c>
      <c r="G1031" s="106" t="str">
        <f>"B01_Assessment!A55:J55"</f>
        <v>B01_Assessment!A55:J55</v>
      </c>
    </row>
    <row r="1032" spans="1:7" ht="58.35" customHeight="1">
      <c r="A1032" s="106" t="str">
        <f>B02_Assessment!$B$2</f>
        <v>02</v>
      </c>
      <c r="B1032" s="106" t="str">
        <f t="shared" si="85"/>
        <v>B01_Assessment</v>
      </c>
      <c r="C1032" s="106" t="str">
        <f>"Fire"</f>
        <v>Fire</v>
      </c>
      <c r="D1032" s="142" t="str">
        <f>B02_Assessment!$A$25</f>
        <v>141</v>
      </c>
      <c r="E1032" s="142" t="str">
        <f>B02_Assessment!$I$25</f>
        <v>Verify</v>
      </c>
      <c r="F1032" s="106" t="str">
        <f>B02_Assessment!$J$25</f>
        <v>Full fire protection scope included. Verify sprinkler modifications, fire alarm devices, clean-agent/CO2 2A:10B:C FEC within 75 ft, rated wall/floor penetrations, temporary firestopping and final UL systems.</v>
      </c>
      <c r="G1032" s="106" t="str">
        <f>"B02_Assessment!A25:J25"</f>
        <v>B02_Assessment!A25:J25</v>
      </c>
    </row>
    <row r="1033" spans="1:7" ht="40.65" customHeight="1">
      <c r="A1033" s="106" t="str">
        <f>B02_Assessment!$B$2</f>
        <v>02</v>
      </c>
      <c r="B1033" s="106" t="str">
        <f t="shared" si="85"/>
        <v>B01_Assessment</v>
      </c>
      <c r="C1033" s="106" t="str">
        <f>"Fire"</f>
        <v>Fire</v>
      </c>
      <c r="D1033" s="142" t="str">
        <f>B02_Assessment!$A$26</f>
        <v>236</v>
      </c>
      <c r="E1033" s="142" t="str">
        <f>B02_Assessment!$I$26</f>
        <v>Verify</v>
      </c>
      <c r="F1033" s="106" t="str">
        <f>B02_Assessment!$J$26</f>
        <v>Verify second-level TR sprinkler/fire alarm modifications, FEC location, cable tray penetrations, and temporary/final firestopping.</v>
      </c>
      <c r="G1033" s="106" t="str">
        <f>"B02_Assessment!A26:J26"</f>
        <v>B02_Assessment!A26:J26</v>
      </c>
    </row>
    <row r="1034" spans="1:7" ht="34.950000000000003" customHeight="1">
      <c r="A1034" s="106" t="str">
        <f>B02_Assessment!$B$2</f>
        <v>02</v>
      </c>
      <c r="B1034" s="106" t="str">
        <f t="shared" si="85"/>
        <v>B01_Assessment</v>
      </c>
      <c r="C1034" s="106" t="str">
        <f>"Fire"</f>
        <v>Fire</v>
      </c>
      <c r="D1034" s="142" t="str">
        <f>B02_Assessment!$A$27</f>
        <v>342</v>
      </c>
      <c r="E1034" s="142" t="str">
        <f>B02_Assessment!$I$27</f>
        <v>Verify</v>
      </c>
      <c r="F1034" s="106" t="str">
        <f>B02_Assessment!$J$27</f>
        <v>Verify third-level TR sprinkler/fire alarm modifications, FEC location, riser penetrations and firestopping.</v>
      </c>
      <c r="G1034" s="106" t="str">
        <f>"B02_Assessment!A27:J27"</f>
        <v>B02_Assessment!A27:J27</v>
      </c>
    </row>
    <row r="1035" spans="1:7" ht="29.1" customHeight="1">
      <c r="A1035" s="106" t="str">
        <f>B02_Assessment!$B$2</f>
        <v>02</v>
      </c>
      <c r="B1035" s="106" t="str">
        <f t="shared" si="85"/>
        <v>B01_Assessment</v>
      </c>
      <c r="C1035" s="106" t="str">
        <f>"Fire"</f>
        <v>Fire</v>
      </c>
      <c r="D1035" s="142" t="str">
        <f>B02_Assessment!$A$28</f>
        <v>B-06 / existing rooms</v>
      </c>
      <c r="E1035" s="142" t="str">
        <f>B02_Assessment!$I$28</f>
        <v>Verify</v>
      </c>
      <c r="F1035" s="106" t="str">
        <f>B02_Assessment!$J$28</f>
        <v>Existing telecom rooms; verify FP/FA protection-in-place and seal penetrations after cable removal/reuse.</v>
      </c>
      <c r="G1035" s="106" t="str">
        <f>"B02_Assessment!A28:J28"</f>
        <v>B02_Assessment!A28:J28</v>
      </c>
    </row>
    <row r="1036" spans="1:7" ht="75.599999999999994" customHeight="1">
      <c r="A1036" s="106" t="str">
        <f>B02_Assessment!$B$2</f>
        <v>02</v>
      </c>
      <c r="B1036" s="106" t="str">
        <f t="shared" si="85"/>
        <v>B01_Assessment</v>
      </c>
      <c r="C1036" s="106" t="str">
        <f>"HVAC"</f>
        <v>HVAC</v>
      </c>
      <c r="D1036" s="142" t="str">
        <f>B02_Assessment!$A$32</f>
        <v>141</v>
      </c>
      <c r="E1036" s="142" t="str">
        <f>B02_Assessment!$I$32</f>
        <v>Verify</v>
      </c>
      <c r="F1036" s="106" t="str">
        <f>B02_Assessment!$J$32</f>
        <v>Electrical schedule references CU-1-01, CU-2-01 and CU-3-01 on B02-TR141B; mechanical sheets include dedicated TR cooling. Confirm which indoor/outdoor unit serves Room 141, capacity, emergency power, condensate, controls/BACnet and alarms.</v>
      </c>
      <c r="G1036" s="106" t="str">
        <f>"B02_Assessment!A32:J32"</f>
        <v>B02_Assessment!A32:J32</v>
      </c>
    </row>
    <row r="1037" spans="1:7" ht="46.35" customHeight="1">
      <c r="A1037" s="106" t="str">
        <f>B02_Assessment!$B$2</f>
        <v>02</v>
      </c>
      <c r="B1037" s="106" t="str">
        <f t="shared" si="85"/>
        <v>B01_Assessment</v>
      </c>
      <c r="C1037" s="106" t="str">
        <f>"HVAC"</f>
        <v>HVAC</v>
      </c>
      <c r="D1037" s="142" t="str">
        <f>B02_Assessment!$A$33</f>
        <v>236</v>
      </c>
      <c r="E1037" s="142" t="str">
        <f>B02_Assessment!$I$33</f>
        <v>Verify</v>
      </c>
      <c r="F1037" s="106" t="str">
        <f>B02_Assessment!$J$33</f>
        <v>Confirm dedicated cooling equipment serving Room 236, condensate route, 24/7 operation, emergency source and FMS/BACnet high-temperature alarm.</v>
      </c>
      <c r="G1037" s="106" t="str">
        <f>"B02_Assessment!A33:J33"</f>
        <v>B02_Assessment!A33:J33</v>
      </c>
    </row>
    <row r="1038" spans="1:7" ht="40.65" customHeight="1">
      <c r="A1038" s="106" t="str">
        <f>B02_Assessment!$B$2</f>
        <v>02</v>
      </c>
      <c r="B1038" s="106" t="str">
        <f t="shared" si="85"/>
        <v>B01_Assessment</v>
      </c>
      <c r="C1038" s="106" t="str">
        <f>"HVAC"</f>
        <v>HVAC</v>
      </c>
      <c r="D1038" s="142" t="str">
        <f>B02_Assessment!$A$34</f>
        <v>342</v>
      </c>
      <c r="E1038" s="142" t="str">
        <f>B02_Assessment!$I$34</f>
        <v>Verify</v>
      </c>
      <c r="F1038" s="106" t="str">
        <f>B02_Assessment!$J$34</f>
        <v>Confirm dedicated cooling equipment serving Room 342, condensate route, controls, emergency source and alarm integration.</v>
      </c>
      <c r="G1038" s="106" t="str">
        <f>"B02_Assessment!A34:J34"</f>
        <v>B02_Assessment!A34:J34</v>
      </c>
    </row>
    <row r="1039" spans="1:7" ht="40.65" customHeight="1">
      <c r="A1039" s="106" t="str">
        <f>B02_Assessment!$B$2</f>
        <v>02</v>
      </c>
      <c r="B1039" s="106" t="str">
        <f t="shared" si="85"/>
        <v>B01_Assessment</v>
      </c>
      <c r="C1039" s="106" t="str">
        <f>"HVAC"</f>
        <v>HVAC</v>
      </c>
      <c r="D1039" s="142" t="str">
        <f>B02_Assessment!$A$35</f>
        <v>B-06 / existing rooms</v>
      </c>
      <c r="E1039" s="142" t="str">
        <f>B02_Assessment!$I$35</f>
        <v>Verify</v>
      </c>
      <c r="F1039" s="106" t="str">
        <f>B02_Assessment!$J$35</f>
        <v>Existing telecom equipment may remain active during cutover. Verify ambient temperature/cooling protection until migration complete.</v>
      </c>
      <c r="G1039" s="106" t="str">
        <f>"B02_Assessment!A35:J35"</f>
        <v>B02_Assessment!A35:J35</v>
      </c>
    </row>
    <row r="1040" spans="1:7" ht="69.900000000000006" customHeight="1">
      <c r="A1040" s="106" t="str">
        <f>B02_Assessment!$B$2</f>
        <v>02</v>
      </c>
      <c r="B1040" s="106" t="str">
        <f t="shared" si="85"/>
        <v>B01_Assessment</v>
      </c>
      <c r="C1040" s="106" t="str">
        <f>"Electrical"</f>
        <v>Electrical</v>
      </c>
      <c r="D1040" s="142" t="str">
        <f>B02_Assessment!$A$39</f>
        <v>141</v>
      </c>
      <c r="E1040" s="142" t="str">
        <f>B02_Assessment!$I$39</f>
        <v>Verify</v>
      </c>
      <c r="F1040" s="106" t="str">
        <f>B02_Assessment!$J$39</f>
        <v>Electrical one-line/schedules identify B02-TR141A/B with rack receptacles, lighting/receptacles, SPDs integral to new telecom panelboards and cooling equipment references. Verify source, 30-day load measurement, LOTO and labels.</v>
      </c>
      <c r="G1040" s="106" t="str">
        <f>"B02_Assessment!A39:J39"</f>
        <v>B02_Assessment!A39:J39</v>
      </c>
    </row>
    <row r="1041" spans="1:7" ht="58.35" customHeight="1">
      <c r="A1041" s="106" t="str">
        <f>B02_Assessment!$B$2</f>
        <v>02</v>
      </c>
      <c r="B1041" s="106" t="str">
        <f t="shared" si="85"/>
        <v>B01_Assessment</v>
      </c>
      <c r="C1041" s="106" t="str">
        <f>"Electrical"</f>
        <v>Electrical</v>
      </c>
      <c r="D1041" s="142" t="str">
        <f>B02_Assessment!$A$40</f>
        <v>236</v>
      </c>
      <c r="E1041" s="142" t="str">
        <f>B02_Assessment!$I$40</f>
        <v>Verify</v>
      </c>
      <c r="F1041" s="106" t="str">
        <f>B02_Assessment!$J$40</f>
        <v>Electrical one-line/schedules identify B02-TR236A/B with rack receptacles, lighting/receptacles, SPDs and normal/emergency power requirements. Verify source and rack PDU mapping.</v>
      </c>
      <c r="G1041" s="106" t="str">
        <f>"B02_Assessment!A40:J40"</f>
        <v>B02_Assessment!A40:J40</v>
      </c>
    </row>
    <row r="1042" spans="1:7" ht="46.35" customHeight="1">
      <c r="A1042" s="106" t="str">
        <f>B02_Assessment!$B$2</f>
        <v>02</v>
      </c>
      <c r="B1042" s="106" t="str">
        <f t="shared" si="85"/>
        <v>B01_Assessment</v>
      </c>
      <c r="C1042" s="106" t="str">
        <f>"Electrical"</f>
        <v>Electrical</v>
      </c>
      <c r="D1042" s="142" t="str">
        <f>B02_Assessment!$A$41</f>
        <v>342</v>
      </c>
      <c r="E1042" s="142" t="str">
        <f>B02_Assessment!$I$41</f>
        <v>Verify</v>
      </c>
      <c r="F1042" s="106" t="str">
        <f>B02_Assessment!$J$41</f>
        <v>Electrical one-line/schedules identify B02-TR342A/B with rack receptacles, lighting/receptacles and SPDs. Verify source panels and UPS/PDU circuits.</v>
      </c>
      <c r="G1042" s="106" t="str">
        <f>"B02_Assessment!A41:J41"</f>
        <v>B02_Assessment!A41:J41</v>
      </c>
    </row>
    <row r="1043" spans="1:7" ht="34.950000000000003" customHeight="1">
      <c r="A1043" s="106" t="str">
        <f>B02_Assessment!$B$2</f>
        <v>02</v>
      </c>
      <c r="B1043" s="106" t="str">
        <f t="shared" si="85"/>
        <v>B01_Assessment</v>
      </c>
      <c r="C1043" s="106" t="str">
        <f>"Electrical"</f>
        <v>Electrical</v>
      </c>
      <c r="D1043" s="142" t="str">
        <f>B02_Assessment!$A$42</f>
        <v>B-06 / existing rooms</v>
      </c>
      <c r="E1043" s="142" t="str">
        <f>B02_Assessment!$I$42</f>
        <v>Verify</v>
      </c>
      <c r="F1043" s="106" t="str">
        <f>B02_Assessment!$J$42</f>
        <v>Existing racks/panels remain active during transfer; verify power source, UPS status and temporary power needs.</v>
      </c>
      <c r="G1043" s="106" t="str">
        <f>"B02_Assessment!A42:J42"</f>
        <v>B02_Assessment!A42:J42</v>
      </c>
    </row>
    <row r="1044" spans="1:7" ht="58.35" customHeight="1">
      <c r="A1044" s="106" t="str">
        <f>B02_Assessment!$B$2</f>
        <v>02</v>
      </c>
      <c r="B1044" s="106" t="str">
        <f t="shared" si="85"/>
        <v>B01_Assessment</v>
      </c>
      <c r="C1044" s="106" t="str">
        <f>"Telecom"</f>
        <v>Telecom</v>
      </c>
      <c r="D1044" s="142" t="str">
        <f>B02_Assessment!$A$46</f>
        <v>141</v>
      </c>
      <c r="E1044" s="142" t="str">
        <f>B02_Assessment!$I$46</f>
        <v>Verify</v>
      </c>
      <c r="F1044" s="106" t="str">
        <f>B02_Assessment!$J$46</f>
        <v>02T-701 identifies RM141 with 211 WAO total, 215 active ports, 322 scheduled ports, 354 ports with allowance. Rack IDs TR01-141-01/02. Cable tray schedule total includes 1,069 ft first-level cable tray.</v>
      </c>
      <c r="G1044" s="106" t="str">
        <f>"B02_Assessment!A46:J46"</f>
        <v>B02_Assessment!A46:J46</v>
      </c>
    </row>
    <row r="1045" spans="1:7" ht="64.2" customHeight="1">
      <c r="A1045" s="106" t="str">
        <f>B02_Assessment!$B$2</f>
        <v>02</v>
      </c>
      <c r="B1045" s="106" t="str">
        <f t="shared" si="85"/>
        <v>B01_Assessment</v>
      </c>
      <c r="C1045" s="106" t="str">
        <f>"Telecom"</f>
        <v>Telecom</v>
      </c>
      <c r="D1045" s="142" t="str">
        <f>B02_Assessment!$A$47</f>
        <v>236</v>
      </c>
      <c r="E1045" s="142" t="str">
        <f>B02_Assessment!$I$47</f>
        <v>Verify</v>
      </c>
      <c r="F1045" s="106" t="str">
        <f>B02_Assessment!$J$47</f>
        <v>02T-702 identifies RM236 with 179 WAO total, 178 active ports, 314 scheduled ports and approx. 345 with allowance. Rack IDs TR01-236-01/02. Verify second-level cable tray, riser and cutover from existing 282/236 scope.</v>
      </c>
      <c r="G1045" s="106" t="str">
        <f>"B02_Assessment!A47:J47"</f>
        <v>B02_Assessment!A47:J47</v>
      </c>
    </row>
    <row r="1046" spans="1:7" ht="52.2" customHeight="1">
      <c r="A1046" s="106" t="str">
        <f>B02_Assessment!$B$2</f>
        <v>02</v>
      </c>
      <c r="B1046" s="106" t="str">
        <f t="shared" si="85"/>
        <v>B01_Assessment</v>
      </c>
      <c r="C1046" s="106" t="str">
        <f>"Telecom"</f>
        <v>Telecom</v>
      </c>
      <c r="D1046" s="142" t="str">
        <f>B02_Assessment!$A$48</f>
        <v>342</v>
      </c>
      <c r="E1046" s="142" t="str">
        <f>B02_Assessment!$I$48</f>
        <v>Verify</v>
      </c>
      <c r="F1046" s="106" t="str">
        <f>B02_Assessment!$J$48</f>
        <v>02T-703 identifies RM342 with 274 WAO total, 96 active ports, 353 scheduled ports, 388 with allowance. Rack IDs TR01-342-01/02. Verify third-level cable tray and high outlet count.</v>
      </c>
      <c r="G1046" s="106" t="str">
        <f>"B02_Assessment!A48:J48"</f>
        <v>B02_Assessment!A48:J48</v>
      </c>
    </row>
    <row r="1047" spans="1:7" ht="40.65" customHeight="1">
      <c r="A1047" s="106" t="str">
        <f>B02_Assessment!$B$2</f>
        <v>02</v>
      </c>
      <c r="B1047" s="106" t="str">
        <f t="shared" si="85"/>
        <v>B01_Assessment</v>
      </c>
      <c r="C1047" s="106" t="str">
        <f>"Telecom"</f>
        <v>Telecom</v>
      </c>
      <c r="D1047" s="142" t="str">
        <f>B02_Assessment!$A$49</f>
        <v>B-06 / existing rooms</v>
      </c>
      <c r="E1047" s="142" t="str">
        <f>B02_Assessment!$I$49</f>
        <v>Verify</v>
      </c>
      <c r="F1047" s="106" t="str">
        <f>B02_Assessment!$J$49</f>
        <v>Existing B-06/141/236 racks support legacy services. Field verify all active circuits, existing patch panels, labels, and transfer plan before cutover.</v>
      </c>
      <c r="G1047" s="106" t="str">
        <f>"B02_Assessment!A49:J49"</f>
        <v>B02_Assessment!A49:J49</v>
      </c>
    </row>
    <row r="1048" spans="1:7" ht="64.2" customHeight="1">
      <c r="A1048" s="106" t="str">
        <f>B02_Assessment!$B$2</f>
        <v>02</v>
      </c>
      <c r="B1048" s="106" t="str">
        <f t="shared" si="85"/>
        <v>B01_Assessment</v>
      </c>
      <c r="C1048" s="106" t="str">
        <f>"Security"</f>
        <v>Security</v>
      </c>
      <c r="D1048" s="142" t="str">
        <f>B02_Assessment!$A$53</f>
        <v>141</v>
      </c>
      <c r="E1048" s="142" t="str">
        <f>B02_Assessment!$I$53</f>
        <v>Verify</v>
      </c>
      <c r="F1048" s="106" t="str">
        <f>B02_Assessment!$J$53</f>
        <v>Plans show 174-CAM-01 associated with the first-level TR area and PACS/security requirements. Verify camera/VMS integration, access controller/power supply, CR/RX/DC/ES/MD and door hardware.</v>
      </c>
      <c r="G1048" s="106" t="str">
        <f>"B02_Assessment!A53:J53"</f>
        <v>B02_Assessment!A53:J53</v>
      </c>
    </row>
    <row r="1049" spans="1:7" ht="34.950000000000003" customHeight="1">
      <c r="A1049" s="106" t="str">
        <f>B02_Assessment!$B$2</f>
        <v>02</v>
      </c>
      <c r="B1049" s="106" t="str">
        <f t="shared" ref="B1049:B1068" si="86">"B02_Assessment"</f>
        <v>B02_Assessment</v>
      </c>
      <c r="C1049" s="106" t="str">
        <f>"Security"</f>
        <v>Security</v>
      </c>
      <c r="D1049" s="142" t="str">
        <f>B02_Assessment!$A$54</f>
        <v>236</v>
      </c>
      <c r="E1049" s="142" t="str">
        <f>B02_Assessment!$I$54</f>
        <v>Verify</v>
      </c>
      <c r="F1049" s="106" t="str">
        <f>B02_Assessment!$J$54</f>
        <v>Plans show 236-CAM-01. Verify camera/VMS integration, access control, door hardware, motion/detection devices and power.</v>
      </c>
      <c r="G1049" s="106" t="str">
        <f>"B02_Assessment!A54:J54"</f>
        <v>B02_Assessment!A54:J54</v>
      </c>
    </row>
    <row r="1050" spans="1:7" ht="34.950000000000003" customHeight="1">
      <c r="A1050" s="106" t="str">
        <f>B02_Assessment!$B$2</f>
        <v>02</v>
      </c>
      <c r="B1050" s="106" t="str">
        <f t="shared" si="86"/>
        <v>B02_Assessment</v>
      </c>
      <c r="C1050" s="106" t="str">
        <f>"Security"</f>
        <v>Security</v>
      </c>
      <c r="D1050" s="142" t="str">
        <f>B02_Assessment!$A$55</f>
        <v>342</v>
      </c>
      <c r="E1050" s="142" t="str">
        <f>B02_Assessment!$I$55</f>
        <v>Verify</v>
      </c>
      <c r="F1050" s="106" t="str">
        <f>B02_Assessment!$J$55</f>
        <v>Plans show 342-CAM-01 and 342A-CK-A. Verify camera/VMS integration and access control/security rough-in.</v>
      </c>
      <c r="G1050" s="106" t="str">
        <f>"B02_Assessment!A55:J55"</f>
        <v>B02_Assessment!A55:J55</v>
      </c>
    </row>
    <row r="1051" spans="1:7" ht="34.950000000000003" customHeight="1">
      <c r="A1051" s="106" t="str">
        <f>B02_Assessment!$B$2</f>
        <v>02</v>
      </c>
      <c r="B1051" s="106" t="str">
        <f t="shared" si="86"/>
        <v>B02_Assessment</v>
      </c>
      <c r="C1051" s="106" t="str">
        <f>"Security"</f>
        <v>Security</v>
      </c>
      <c r="D1051" s="142" t="str">
        <f>B02_Assessment!$A$56</f>
        <v>B-06 / existing rooms</v>
      </c>
      <c r="E1051" s="142" t="str">
        <f>B02_Assessment!$I$56</f>
        <v>Verify</v>
      </c>
      <c r="F1051" s="106" t="str">
        <f>B02_Assessment!$J$56</f>
        <v>Maintain existing camera angles when re-cabling and protect existing PACS/equipment racks during transfer.</v>
      </c>
      <c r="G1051" s="106" t="str">
        <f>"B02_Assessment!A56:J56"</f>
        <v>B02_Assessment!A56:J56</v>
      </c>
    </row>
    <row r="1052" spans="1:7" ht="58.35" customHeight="1">
      <c r="A1052" s="106" t="str">
        <f>B03_Assessment!$B$2</f>
        <v>03</v>
      </c>
      <c r="B1052" s="106" t="str">
        <f t="shared" si="86"/>
        <v>B02_Assessment</v>
      </c>
      <c r="C1052" s="106" t="str">
        <f>"Fire"</f>
        <v>Fire</v>
      </c>
      <c r="D1052" s="142" t="str">
        <f>B03_Assessment!$A$24</f>
        <v>101E</v>
      </c>
      <c r="E1052" s="142" t="str">
        <f>B03_Assessment!$I$24</f>
        <v>Verify</v>
      </c>
      <c r="F1052" s="106" t="str">
        <f>B03_Assessment!$J$24</f>
        <v>Full fire protection scope included. Verify sprinkler modifications, fire alarm devices, clean-agent/CO2 2A:10B:C FEC within 75 ft, rated wall/floor penetrations, temporary firestopping and final UL systems.</v>
      </c>
      <c r="G1052" s="106" t="str">
        <f>"B03_Assessment!A24:J24"</f>
        <v>B03_Assessment!A24:J24</v>
      </c>
    </row>
    <row r="1053" spans="1:7" ht="40.65" customHeight="1">
      <c r="A1053" s="106" t="str">
        <f>B03_Assessment!$B$2</f>
        <v>03</v>
      </c>
      <c r="B1053" s="106" t="str">
        <f t="shared" si="86"/>
        <v>B02_Assessment</v>
      </c>
      <c r="C1053" s="106" t="str">
        <f>"Fire"</f>
        <v>Fire</v>
      </c>
      <c r="D1053" s="142" t="str">
        <f>B03_Assessment!$A$25</f>
        <v>107</v>
      </c>
      <c r="E1053" s="142" t="str">
        <f>B03_Assessment!$I$25</f>
        <v>Verify</v>
      </c>
      <c r="F1053" s="106" t="str">
        <f>B03_Assessment!$J$25</f>
        <v>Existing telecom room; verify fire alarm/sprinkler protection-in-place and seal penetrations after fiber/cable transfer or reuse.</v>
      </c>
      <c r="G1053" s="106" t="str">
        <f>"B03_Assessment!A25:J25"</f>
        <v>B03_Assessment!A25:J25</v>
      </c>
    </row>
    <row r="1054" spans="1:7" ht="34.950000000000003" customHeight="1">
      <c r="A1054" s="106" t="str">
        <f>B03_Assessment!$B$2</f>
        <v>03</v>
      </c>
      <c r="B1054" s="106" t="str">
        <f t="shared" si="86"/>
        <v>B02_Assessment</v>
      </c>
      <c r="C1054" s="106" t="str">
        <f>"Fire"</f>
        <v>Fire</v>
      </c>
      <c r="D1054" s="142" t="str">
        <f>B03_Assessment!$A$26</f>
        <v>101C</v>
      </c>
      <c r="E1054" s="142" t="str">
        <f>B03_Assessment!$I$26</f>
        <v>Verify</v>
      </c>
      <c r="F1054" s="106" t="str">
        <f>B03_Assessment!$J$26</f>
        <v>Existing DMARC/telecom room; fire alarm/sprinkler and firestopping must remain in service during transfer.</v>
      </c>
      <c r="G1054" s="106" t="str">
        <f>"B03_Assessment!A26:J26"</f>
        <v>B03_Assessment!A26:J26</v>
      </c>
    </row>
    <row r="1055" spans="1:7" ht="40.65" customHeight="1">
      <c r="A1055" s="106" t="str">
        <f>B03_Assessment!$B$2</f>
        <v>03</v>
      </c>
      <c r="B1055" s="106" t="str">
        <f t="shared" si="86"/>
        <v>B02_Assessment</v>
      </c>
      <c r="C1055" s="106" t="str">
        <f>"Fire"</f>
        <v>Fire</v>
      </c>
      <c r="D1055" s="142" t="str">
        <f>B03_Assessment!$A$27</f>
        <v>WAO Areas</v>
      </c>
      <c r="E1055" s="142" t="str">
        <f>B03_Assessment!$I$27</f>
        <v>Verify</v>
      </c>
      <c r="F1055" s="106" t="str">
        <f>B03_Assessment!$J$27</f>
        <v>Coordinate ceiling removal, temporary barriers/upright sprinklers if ceiling tiles remain open, and firestopping at all rated penetrations.</v>
      </c>
      <c r="G1055" s="106" t="str">
        <f>"B03_Assessment!A27:J27"</f>
        <v>B03_Assessment!A27:J27</v>
      </c>
    </row>
    <row r="1056" spans="1:7" ht="75.599999999999994" customHeight="1">
      <c r="A1056" s="106" t="str">
        <f>B03_Assessment!$B$2</f>
        <v>03</v>
      </c>
      <c r="B1056" s="106" t="str">
        <f t="shared" si="86"/>
        <v>B02_Assessment</v>
      </c>
      <c r="C1056" s="106" t="str">
        <f>"HVAC"</f>
        <v>HVAC</v>
      </c>
      <c r="D1056" s="142" t="str">
        <f>B03_Assessment!$A$31</f>
        <v>101E</v>
      </c>
      <c r="E1056" s="142" t="str">
        <f>B03_Assessment!$I$31</f>
        <v>Verify</v>
      </c>
      <c r="F1056" s="106" t="str">
        <f>B03_Assessment!$J$31</f>
        <v>Electrical schedule references CU-01 on B03-TR101CB and mechanical package includes dedicated TR cooling. Confirm indoor/outdoor unit serving Room 101E, capacity, emergency source, condensate route, controls/BACnet and high-temperature alarm.</v>
      </c>
      <c r="G1056" s="106" t="str">
        <f>"B03_Assessment!A31:J31"</f>
        <v>B03_Assessment!A31:J31</v>
      </c>
    </row>
    <row r="1057" spans="1:7" ht="46.35" customHeight="1">
      <c r="A1057" s="106" t="str">
        <f>B03_Assessment!$B$2</f>
        <v>03</v>
      </c>
      <c r="B1057" s="106" t="str">
        <f t="shared" si="86"/>
        <v>B02_Assessment</v>
      </c>
      <c r="C1057" s="106" t="str">
        <f>"HVAC"</f>
        <v>HVAC</v>
      </c>
      <c r="D1057" s="142" t="str">
        <f>B03_Assessment!$A$32</f>
        <v>107</v>
      </c>
      <c r="E1057" s="142" t="str">
        <f>B03_Assessment!$I$32</f>
        <v>Verify</v>
      </c>
      <c r="F1057" s="106" t="str">
        <f>B03_Assessment!$J$32</f>
        <v>Existing basement telecom equipment may remain active during transfer. Verify ambient temperature/cooling protection until migration is complete.</v>
      </c>
      <c r="G1057" s="106" t="str">
        <f>"B03_Assessment!A32:J32"</f>
        <v>B03_Assessment!A32:J32</v>
      </c>
    </row>
    <row r="1058" spans="1:7" ht="46.35" customHeight="1">
      <c r="A1058" s="106" t="str">
        <f>B03_Assessment!$B$2</f>
        <v>03</v>
      </c>
      <c r="B1058" s="106" t="str">
        <f t="shared" si="86"/>
        <v>B02_Assessment</v>
      </c>
      <c r="C1058" s="106" t="str">
        <f>"HVAC"</f>
        <v>HVAC</v>
      </c>
      <c r="D1058" s="142" t="str">
        <f>B03_Assessment!$A$33</f>
        <v>101C</v>
      </c>
      <c r="E1058" s="142" t="str">
        <f>B03_Assessment!$I$33</f>
        <v>Verify</v>
      </c>
      <c r="F1058" s="106" t="str">
        <f>B03_Assessment!$J$33</f>
        <v>Existing DMARC/fiber services may remain active during cutover; verify existing environmental conditions and heat load if equipment remains.</v>
      </c>
      <c r="G1058" s="106" t="str">
        <f>"B03_Assessment!A33:J33"</f>
        <v>B03_Assessment!A33:J33</v>
      </c>
    </row>
    <row r="1059" spans="1:7" ht="29.1" customHeight="1">
      <c r="A1059" s="106" t="str">
        <f>B03_Assessment!$B$2</f>
        <v>03</v>
      </c>
      <c r="B1059" s="106" t="str">
        <f t="shared" si="86"/>
        <v>B02_Assessment</v>
      </c>
      <c r="C1059" s="106" t="str">
        <f>"HVAC"</f>
        <v>HVAC</v>
      </c>
      <c r="D1059" s="142" t="str">
        <f>B03_Assessment!$A$34</f>
        <v>WAO Areas</v>
      </c>
      <c r="E1059" s="142" t="str">
        <f>B03_Assessment!$I$34</f>
        <v>N/A</v>
      </c>
      <c r="F1059" s="106" t="str">
        <f>B03_Assessment!$J$34</f>
        <v>No dedicated HVAC for WAO areas; maintain infection control/IAQ and ceiling restoration requirements.</v>
      </c>
      <c r="G1059" s="106" t="str">
        <f>"B03_Assessment!A34:J34"</f>
        <v>B03_Assessment!A34:J34</v>
      </c>
    </row>
    <row r="1060" spans="1:7" ht="69.900000000000006" customHeight="1">
      <c r="A1060" s="106" t="str">
        <f>B03_Assessment!$B$2</f>
        <v>03</v>
      </c>
      <c r="B1060" s="106" t="str">
        <f t="shared" si="86"/>
        <v>B02_Assessment</v>
      </c>
      <c r="C1060" s="106" t="str">
        <f>"Electrical"</f>
        <v>Electrical</v>
      </c>
      <c r="D1060" s="142" t="str">
        <f>B03_Assessment!$A$38</f>
        <v>101E</v>
      </c>
      <c r="E1060" s="142" t="str">
        <f>B03_Assessment!$I$38</f>
        <v>Verify</v>
      </c>
      <c r="F1060" s="106" t="str">
        <f>B03_Assessment!$J$38</f>
        <v>Electrical one-line/schedules identify B03-TR101CA/B with rack receptacles, TR receptacles, access controller, CU-01 on B03-TR101CB, SPDs integral to telecom panels, PXR20 trip units, and 30-day load measurement requirements.</v>
      </c>
      <c r="G1060" s="106" t="str">
        <f>"B03_Assessment!A38:J38"</f>
        <v>B03_Assessment!A38:J38</v>
      </c>
    </row>
    <row r="1061" spans="1:7" ht="46.35" customHeight="1">
      <c r="A1061" s="106" t="str">
        <f>B03_Assessment!$B$2</f>
        <v>03</v>
      </c>
      <c r="B1061" s="106" t="str">
        <f t="shared" si="86"/>
        <v>B02_Assessment</v>
      </c>
      <c r="C1061" s="106" t="str">
        <f>"Electrical"</f>
        <v>Electrical</v>
      </c>
      <c r="D1061" s="142" t="str">
        <f>B03_Assessment!$A$39</f>
        <v>107</v>
      </c>
      <c r="E1061" s="142" t="str">
        <f>B03_Assessment!$I$39</f>
        <v>Verify</v>
      </c>
      <c r="F1061" s="106" t="str">
        <f>B03_Assessment!$J$39</f>
        <v>Existing Room 107 rack elevation shows UPS on floor and legacy telecom equipment. Verify active source circuits and transfer requirements.</v>
      </c>
      <c r="G1061" s="106" t="str">
        <f>"B03_Assessment!A39:J39"</f>
        <v>B03_Assessment!A39:J39</v>
      </c>
    </row>
    <row r="1062" spans="1:7" ht="40.65" customHeight="1">
      <c r="A1062" s="106" t="str">
        <f>B03_Assessment!$B$2</f>
        <v>03</v>
      </c>
      <c r="B1062" s="106" t="str">
        <f t="shared" si="86"/>
        <v>B02_Assessment</v>
      </c>
      <c r="C1062" s="106" t="str">
        <f>"Electrical"</f>
        <v>Electrical</v>
      </c>
      <c r="D1062" s="142" t="str">
        <f>B03_Assessment!$A$40</f>
        <v>101C</v>
      </c>
      <c r="E1062" s="142" t="str">
        <f>B03_Assessment!$I$40</f>
        <v>Verify</v>
      </c>
      <c r="F1062" s="106" t="str">
        <f>B03_Assessment!$J$40</f>
        <v>Existing DMARC plan shows existing branch panel and patch panel removal/relocation scope. Verify source circuits before demolition or transfer.</v>
      </c>
      <c r="G1062" s="106" t="str">
        <f>"B03_Assessment!A40:J40"</f>
        <v>B03_Assessment!A40:J40</v>
      </c>
    </row>
    <row r="1063" spans="1:7" ht="34.950000000000003" customHeight="1">
      <c r="A1063" s="106" t="str">
        <f>B03_Assessment!$B$2</f>
        <v>03</v>
      </c>
      <c r="B1063" s="106" t="str">
        <f t="shared" si="86"/>
        <v>B02_Assessment</v>
      </c>
      <c r="C1063" s="106" t="str">
        <f>"Electrical"</f>
        <v>Electrical</v>
      </c>
      <c r="D1063" s="142" t="str">
        <f>B03_Assessment!$A$41</f>
        <v>WAO Areas</v>
      </c>
      <c r="E1063" s="142" t="str">
        <f>B03_Assessment!$I$41</f>
        <v>Verify</v>
      </c>
      <c r="F1063" s="106" t="str">
        <f>B03_Assessment!$J$41</f>
        <v>Verify power/data coordination at outlets, cameras, WAPs, Centrak/clock devices and hard-lid ceiling locations.</v>
      </c>
      <c r="G1063" s="106" t="str">
        <f>"B03_Assessment!A41:J41"</f>
        <v>B03_Assessment!A41:J41</v>
      </c>
    </row>
    <row r="1064" spans="1:7" ht="69.900000000000006" customHeight="1">
      <c r="A1064" s="106" t="str">
        <f>B03_Assessment!$B$2</f>
        <v>03</v>
      </c>
      <c r="B1064" s="106" t="str">
        <f t="shared" si="86"/>
        <v>B02_Assessment</v>
      </c>
      <c r="C1064" s="106" t="str">
        <f>"Telecom"</f>
        <v>Telecom</v>
      </c>
      <c r="D1064" s="142" t="str">
        <f>B03_Assessment!$A$45</f>
        <v>101E</v>
      </c>
      <c r="E1064" s="142" t="str">
        <f>B03_Assessment!$I$45</f>
        <v>Verify</v>
      </c>
      <c r="F1064" s="106" t="str">
        <f>B03_Assessment!$J$45</f>
        <v>03T-701 identifies RM101E with 143 WAO total, 213 active ports, 187 scheduled ports and 206 total ports with 10% allowance. Cable tray schedule totals 961 ft: 615 ft basement level and 346 ft first level. Rack IDs TR01-101E-1 and TR01-101E-2.</v>
      </c>
      <c r="G1064" s="106" t="str">
        <f>"B03_Assessment!A45:J45"</f>
        <v>B03_Assessment!A45:J45</v>
      </c>
    </row>
    <row r="1065" spans="1:7" ht="46.35" customHeight="1">
      <c r="A1065" s="106" t="str">
        <f>B03_Assessment!$B$2</f>
        <v>03</v>
      </c>
      <c r="B1065" s="106" t="str">
        <f t="shared" si="86"/>
        <v>B02_Assessment</v>
      </c>
      <c r="C1065" s="106" t="str">
        <f>"Telecom"</f>
        <v>Telecom</v>
      </c>
      <c r="D1065" s="142" t="str">
        <f>B03_Assessment!$A$46</f>
        <v>107</v>
      </c>
      <c r="E1065" s="142" t="str">
        <f>B03_Assessment!$I$46</f>
        <v>Verify</v>
      </c>
      <c r="F1065" s="106" t="str">
        <f>B03_Assessment!$J$46</f>
        <v>Existing Room 107 rack supports legacy active services; verify B3-LB-B13-TC-FIBER equipment inventory, fiber LIU, patch panels, Cisco switch and UPS before cutover.</v>
      </c>
      <c r="G1065" s="106" t="str">
        <f>"B03_Assessment!A46:J46"</f>
        <v>B03_Assessment!A46:J46</v>
      </c>
    </row>
    <row r="1066" spans="1:7" ht="58.35" customHeight="1">
      <c r="A1066" s="106" t="str">
        <f>B03_Assessment!$B$2</f>
        <v>03</v>
      </c>
      <c r="B1066" s="106" t="str">
        <f t="shared" si="86"/>
        <v>B02_Assessment</v>
      </c>
      <c r="C1066" s="106" t="str">
        <f>"Telecom"</f>
        <v>Telecom</v>
      </c>
      <c r="D1066" s="142" t="str">
        <f>B03_Assessment!$A$47</f>
        <v>101C</v>
      </c>
      <c r="E1066" s="142" t="str">
        <f>B03_Assessment!$I$47</f>
        <v>Verify</v>
      </c>
      <c r="F1066" s="106" t="str">
        <f>B03_Assessment!$J$47</f>
        <v>Existing DMARC/telecom room 101C includes patch panels/cabinet/branch panel and 101C-CAM-01; protect active provider/fiber/DMARC services until new fiber/rack work is accepted.</v>
      </c>
      <c r="G1066" s="106" t="str">
        <f>"B03_Assessment!A47:J47"</f>
        <v>B03_Assessment!A47:J47</v>
      </c>
    </row>
    <row r="1067" spans="1:7" ht="52.2" customHeight="1">
      <c r="A1067" s="106" t="str">
        <f>B03_Assessment!$B$2</f>
        <v>03</v>
      </c>
      <c r="B1067" s="106" t="str">
        <f t="shared" si="86"/>
        <v>B02_Assessment</v>
      </c>
      <c r="C1067" s="106" t="str">
        <f>"Telecom"</f>
        <v>Telecom</v>
      </c>
      <c r="D1067" s="142" t="str">
        <f>B03_Assessment!$A$48</f>
        <v>WAO Areas</v>
      </c>
      <c r="E1067" s="142" t="str">
        <f>B03_Assessment!$I$48</f>
        <v>Verify</v>
      </c>
      <c r="F1067" s="106" t="str">
        <f>B03_Assessment!$J$48</f>
        <v>Existing ports replaced; 3- and 4-port outlets reduced to two Cat6A ports where coordinated. WAPs remain protected in place while cabling/faceplate/jack are replaced.</v>
      </c>
      <c r="G1067" s="106" t="str">
        <f>"B03_Assessment!A48:J48"</f>
        <v>B03_Assessment!A48:J48</v>
      </c>
    </row>
    <row r="1068" spans="1:7" ht="64.2" customHeight="1">
      <c r="A1068" s="106" t="str">
        <f>B03_Assessment!$B$2</f>
        <v>03</v>
      </c>
      <c r="B1068" s="106" t="str">
        <f t="shared" si="86"/>
        <v>B02_Assessment</v>
      </c>
      <c r="C1068" s="106" t="str">
        <f>"Security"</f>
        <v>Security</v>
      </c>
      <c r="D1068" s="142" t="str">
        <f>B03_Assessment!$A$52</f>
        <v>101E</v>
      </c>
      <c r="E1068" s="142" t="str">
        <f>B03_Assessment!$I$52</f>
        <v>Verify</v>
      </c>
      <c r="F1068" s="106" t="str">
        <f>B03_Assessment!$J$52</f>
        <v>Plans require PACS for TR doors and electrical details include access-controlled door rough-in. Verify access controller, power supply/battery backup, CR/RX/DC/ES/MD devices, reader, strike and door hardware coordination.</v>
      </c>
      <c r="G1068" s="106" t="str">
        <f>"B03_Assessment!A52:J52"</f>
        <v>B03_Assessment!A52:J52</v>
      </c>
    </row>
    <row r="1069" spans="1:7" ht="40.65" customHeight="1">
      <c r="A1069" s="106" t="str">
        <f>B03_Assessment!$B$2</f>
        <v>03</v>
      </c>
      <c r="B1069" s="106" t="str">
        <f t="shared" ref="B1069:B1083" si="87">"B03_Assessment"</f>
        <v>B03_Assessment</v>
      </c>
      <c r="C1069" s="106" t="str">
        <f>"Security"</f>
        <v>Security</v>
      </c>
      <c r="D1069" s="142" t="str">
        <f>B03_Assessment!$A$53</f>
        <v>101C</v>
      </c>
      <c r="E1069" s="142" t="str">
        <f>B03_Assessment!$I$53</f>
        <v>Verify</v>
      </c>
      <c r="F1069" s="106" t="str">
        <f>B03_Assessment!$J$53</f>
        <v>Enlarged plan and schedule identify 101C-CAM-01 and 101C-CK-A. Verify camera/VMS integration, existing camera angles and protection-in-place.</v>
      </c>
      <c r="G1069" s="106" t="str">
        <f>"B03_Assessment!A53:J53"</f>
        <v>B03_Assessment!A53:J53</v>
      </c>
    </row>
    <row r="1070" spans="1:7" ht="29.1" customHeight="1">
      <c r="A1070" s="106" t="str">
        <f>B03_Assessment!$B$2</f>
        <v>03</v>
      </c>
      <c r="B1070" s="106" t="str">
        <f t="shared" si="87"/>
        <v>B03_Assessment</v>
      </c>
      <c r="C1070" s="106" t="str">
        <f>"Security"</f>
        <v>Security</v>
      </c>
      <c r="D1070" s="142" t="str">
        <f>B03_Assessment!$A$54</f>
        <v>107</v>
      </c>
      <c r="E1070" s="142" t="str">
        <f>B03_Assessment!$I$54</f>
        <v>Verify</v>
      </c>
      <c r="F1070" s="106" t="str">
        <f>B03_Assessment!$J$54</f>
        <v>Verify existing security/CCTV/PACS impacts during basement telecom room transfer.</v>
      </c>
      <c r="G1070" s="106" t="str">
        <f>"B03_Assessment!A54:J54"</f>
        <v>B03_Assessment!A54:J54</v>
      </c>
    </row>
    <row r="1071" spans="1:7" ht="34.950000000000003" customHeight="1">
      <c r="A1071" s="106" t="str">
        <f>B03_Assessment!$B$2</f>
        <v>03</v>
      </c>
      <c r="B1071" s="106" t="str">
        <f t="shared" si="87"/>
        <v>B03_Assessment</v>
      </c>
      <c r="C1071" s="106" t="str">
        <f>"Security"</f>
        <v>Security</v>
      </c>
      <c r="D1071" s="142" t="str">
        <f>B03_Assessment!$A$55</f>
        <v>WAO Areas</v>
      </c>
      <c r="E1071" s="142" t="str">
        <f>B03_Assessment!$I$55</f>
        <v>Verify</v>
      </c>
      <c r="F1071" s="106" t="str">
        <f>B03_Assessment!$J$55</f>
        <v>Maintain existing camera angles when re-cabling; verify WAP/security/clock/Centrak devices are relabeled and tested.</v>
      </c>
      <c r="G1071" s="106" t="str">
        <f>"B03_Assessment!A55:J55"</f>
        <v>B03_Assessment!A55:J55</v>
      </c>
    </row>
    <row r="1072" spans="1:7" ht="29.1" customHeight="1">
      <c r="A1072" s="106" t="str">
        <f>B04_Assessment!$B$2</f>
        <v>04</v>
      </c>
      <c r="B1072" s="106" t="str">
        <f t="shared" si="87"/>
        <v>B03_Assessment</v>
      </c>
      <c r="C1072" s="106" t="str">
        <f>"Fire"</f>
        <v>Fire</v>
      </c>
      <c r="D1072" s="142" t="str">
        <f>B04_Assessment!$A$22</f>
        <v>B05</v>
      </c>
      <c r="E1072" s="142" t="str">
        <f>B04_Assessment!$I$22</f>
        <v>Verify</v>
      </c>
      <c r="F1072" s="106" t="str">
        <f>B04_Assessment!$J$22</f>
        <v>Fully sprinklered building; basement TR requires verification of sprinkler coverage and impairment planning.</v>
      </c>
      <c r="G1072" s="106" t="str">
        <f>"B04_Assessment!A22:J22"</f>
        <v>B04_Assessment!A22:J22</v>
      </c>
    </row>
    <row r="1073" spans="1:7" ht="29.1" customHeight="1">
      <c r="A1073" s="106" t="str">
        <f>B04_Assessment!$B$2</f>
        <v>04</v>
      </c>
      <c r="B1073" s="106" t="str">
        <f t="shared" si="87"/>
        <v>B03_Assessment</v>
      </c>
      <c r="C1073" s="106" t="str">
        <f>"Fire"</f>
        <v>Fire</v>
      </c>
      <c r="D1073" s="142" t="str">
        <f>B04_Assessment!$A$23</f>
        <v>141</v>
      </c>
      <c r="E1073" s="142" t="str">
        <f>B04_Assessment!$I$23</f>
        <v>Verify</v>
      </c>
      <c r="F1073" s="106" t="str">
        <f>B04_Assessment!$J$23</f>
        <v>FEC with clean-agent 2A:10B:C extinguisher within 75 ft; TR open to deck; maintain rated assemblies.</v>
      </c>
      <c r="G1073" s="106" t="str">
        <f>"B04_Assessment!A23:J23"</f>
        <v>B04_Assessment!A23:J23</v>
      </c>
    </row>
    <row r="1074" spans="1:7" ht="29.1" customHeight="1">
      <c r="A1074" s="106" t="str">
        <f>B04_Assessment!$B$2</f>
        <v>04</v>
      </c>
      <c r="B1074" s="106" t="str">
        <f t="shared" si="87"/>
        <v>B03_Assessment</v>
      </c>
      <c r="C1074" s="106" t="str">
        <f>"Fire"</f>
        <v>Fire</v>
      </c>
      <c r="D1074" s="142" t="str">
        <f>B04_Assessment!$A$24</f>
        <v>244A</v>
      </c>
      <c r="E1074" s="142" t="str">
        <f>B04_Assessment!$I$24</f>
        <v>Verify</v>
      </c>
      <c r="F1074" s="106" t="str">
        <f>B04_Assessment!$J$24</f>
        <v>Verify sprinkler/fire alarm device locations and firestop for riser/pathway penetrations.</v>
      </c>
      <c r="G1074" s="106" t="str">
        <f>"B04_Assessment!A24:J24"</f>
        <v>B04_Assessment!A24:J24</v>
      </c>
    </row>
    <row r="1075" spans="1:7" ht="34.950000000000003" customHeight="1">
      <c r="A1075" s="106" t="str">
        <f>B04_Assessment!$B$2</f>
        <v>04</v>
      </c>
      <c r="B1075" s="106" t="str">
        <f t="shared" si="87"/>
        <v>B03_Assessment</v>
      </c>
      <c r="C1075" s="106" t="str">
        <f>"HVAC"</f>
        <v>HVAC</v>
      </c>
      <c r="D1075" s="142" t="str">
        <f>B04_Assessment!$A$28</f>
        <v>B05</v>
      </c>
      <c r="E1075" s="142" t="str">
        <f>B04_Assessment!$I$28</f>
        <v>Verify</v>
      </c>
      <c r="F1075" s="106" t="str">
        <f>B04_Assessment!$J$28</f>
        <v>Verify dedicated cooling for two-rack basement TR and whether unit/controls/condensate are backed up.</v>
      </c>
      <c r="G1075" s="106" t="str">
        <f>"B04_Assessment!A28:J28"</f>
        <v>B04_Assessment!A28:J28</v>
      </c>
    </row>
    <row r="1076" spans="1:7" ht="34.950000000000003" customHeight="1">
      <c r="A1076" s="106" t="str">
        <f>B04_Assessment!$B$2</f>
        <v>04</v>
      </c>
      <c r="B1076" s="106" t="str">
        <f t="shared" si="87"/>
        <v>B03_Assessment</v>
      </c>
      <c r="C1076" s="106" t="str">
        <f>"HVAC"</f>
        <v>HVAC</v>
      </c>
      <c r="D1076" s="142" t="str">
        <f>B04_Assessment!$A$29</f>
        <v>141</v>
      </c>
      <c r="E1076" s="142" t="str">
        <f>B04_Assessment!$I$29</f>
        <v>Verify</v>
      </c>
      <c r="F1076" s="106" t="str">
        <f>B04_Assessment!$J$29</f>
        <v>Verify dedicated cooling and coordination with open-to-deck room, racks, cable tray, and access control.</v>
      </c>
      <c r="G1076" s="106" t="str">
        <f>"B04_Assessment!A29:J29"</f>
        <v>B04_Assessment!A29:J29</v>
      </c>
    </row>
    <row r="1077" spans="1:7" ht="29.1" customHeight="1">
      <c r="A1077" s="106" t="str">
        <f>B04_Assessment!$B$2</f>
        <v>04</v>
      </c>
      <c r="B1077" s="106" t="str">
        <f t="shared" si="87"/>
        <v>B03_Assessment</v>
      </c>
      <c r="C1077" s="106" t="str">
        <f>"HVAC"</f>
        <v>HVAC</v>
      </c>
      <c r="D1077" s="142" t="str">
        <f>B04_Assessment!$A$30</f>
        <v>244A</v>
      </c>
      <c r="E1077" s="142" t="str">
        <f>B04_Assessment!$I$30</f>
        <v>Verify</v>
      </c>
      <c r="F1077" s="106" t="str">
        <f>B04_Assessment!$J$30</f>
        <v>Verify cooling unit, routing, condensate, controls, and emergency/backup power path.</v>
      </c>
      <c r="G1077" s="106" t="str">
        <f>"B04_Assessment!A30:J30"</f>
        <v>B04_Assessment!A30:J30</v>
      </c>
    </row>
    <row r="1078" spans="1:7" ht="46.35" customHeight="1">
      <c r="A1078" s="106" t="str">
        <f>B04_Assessment!$B$2</f>
        <v>04</v>
      </c>
      <c r="B1078" s="106" t="str">
        <f t="shared" si="87"/>
        <v>B03_Assessment</v>
      </c>
      <c r="C1078" s="106" t="str">
        <f>"Electrical"</f>
        <v>Electrical</v>
      </c>
      <c r="D1078" s="142" t="str">
        <f>B04_Assessment!$A$34</f>
        <v>B05</v>
      </c>
      <c r="E1078" s="142" t="str">
        <f>B04_Assessment!$I$34</f>
        <v>Verify</v>
      </c>
      <c r="F1078" s="106" t="str">
        <f>B04_Assessment!$J$34</f>
        <v>Panel schedule shows B04-NPA-TR in Telecom Room B05, feeding B04-TRB05A/B; TRB05A includes rack receptacle and branch circuits.</v>
      </c>
      <c r="G1078" s="106" t="str">
        <f>"B04_Assessment!A34:J34"</f>
        <v>B04_Assessment!A34:J34</v>
      </c>
    </row>
    <row r="1079" spans="1:7" ht="29.1" customHeight="1">
      <c r="A1079" s="106" t="str">
        <f>B04_Assessment!$B$2</f>
        <v>04</v>
      </c>
      <c r="B1079" s="106" t="str">
        <f t="shared" si="87"/>
        <v>B03_Assessment</v>
      </c>
      <c r="C1079" s="106" t="str">
        <f>"Electrical"</f>
        <v>Electrical</v>
      </c>
      <c r="D1079" s="142" t="str">
        <f>B04_Assessment!$A$35</f>
        <v>141</v>
      </c>
      <c r="E1079" s="142" t="str">
        <f>B04_Assessment!$I$35</f>
        <v>Verify</v>
      </c>
      <c r="F1079" s="106" t="str">
        <f>B04_Assessment!$J$35</f>
        <v>Panel schedule identifies B04-TR141A 60A 3-pole load; verify rack/UPS/PDU circuiting.</v>
      </c>
      <c r="G1079" s="106" t="str">
        <f>"B04_Assessment!A35:J35"</f>
        <v>B04_Assessment!A35:J35</v>
      </c>
    </row>
    <row r="1080" spans="1:7" ht="29.1" customHeight="1">
      <c r="A1080" s="106" t="str">
        <f>B04_Assessment!$B$2</f>
        <v>04</v>
      </c>
      <c r="B1080" s="106" t="str">
        <f t="shared" si="87"/>
        <v>B03_Assessment</v>
      </c>
      <c r="C1080" s="106" t="str">
        <f>"Electrical"</f>
        <v>Electrical</v>
      </c>
      <c r="D1080" s="142" t="str">
        <f>B04_Assessment!$A$36</f>
        <v>244A</v>
      </c>
      <c r="E1080" s="142" t="str">
        <f>B04_Assessment!$I$36</f>
        <v>Verify</v>
      </c>
      <c r="F1080" s="106" t="str">
        <f>B04_Assessment!$J$36</f>
        <v>Panel schedule identifies B04-TR244A 60A 3-pole load; confirm panel/circuit locations and source.</v>
      </c>
      <c r="G1080" s="106" t="str">
        <f>"B04_Assessment!A36:J36"</f>
        <v>B04_Assessment!A36:J36</v>
      </c>
    </row>
    <row r="1081" spans="1:7" ht="46.35" customHeight="1">
      <c r="A1081" s="106" t="str">
        <f>B04_Assessment!$B$2</f>
        <v>04</v>
      </c>
      <c r="B1081" s="106" t="str">
        <f t="shared" si="87"/>
        <v>B03_Assessment</v>
      </c>
      <c r="C1081" s="106" t="str">
        <f>"Telecom"</f>
        <v>Telecom</v>
      </c>
      <c r="D1081" s="142" t="str">
        <f>B04_Assessment!$A$40</f>
        <v>B05</v>
      </c>
      <c r="E1081" s="142" t="str">
        <f>B04_Assessment!$I$40</f>
        <v>Verify</v>
      </c>
      <c r="F1081" s="106" t="str">
        <f>B04_Assessment!$J$40</f>
        <v>New rack elevations show two 4-post floor racks with UPS, Zone PDU, cable managers, network switches, Cat6A patch panels, Cat5E patch panel, and Fiber LIU.</v>
      </c>
      <c r="G1081" s="106" t="str">
        <f>"B04_Assessment!A40:J40"</f>
        <v>B04_Assessment!A40:J40</v>
      </c>
    </row>
    <row r="1082" spans="1:7" ht="52.2" customHeight="1">
      <c r="A1082" s="106" t="str">
        <f>B04_Assessment!$B$2</f>
        <v>04</v>
      </c>
      <c r="B1082" s="106" t="str">
        <f t="shared" si="87"/>
        <v>B03_Assessment</v>
      </c>
      <c r="C1082" s="106" t="str">
        <f>"Telecom"</f>
        <v>Telecom</v>
      </c>
      <c r="D1082" s="142" t="str">
        <f>B04_Assessment!$A$41</f>
        <v>141</v>
      </c>
      <c r="E1082" s="142" t="str">
        <f>B04_Assessment!$I$41</f>
        <v>Verify</v>
      </c>
      <c r="F1082" s="106" t="str">
        <f>B04_Assessment!$J$41</f>
        <v>New rack elevation shows one 4-post rack plus future rack; includes UPS, future Zone PDU, switches, cable managers, Cat6A patch panels, Cat5E patch panel, and Fiber LIU.</v>
      </c>
      <c r="G1082" s="106" t="str">
        <f>"B04_Assessment!A41:J41"</f>
        <v>B04_Assessment!A41:J41</v>
      </c>
    </row>
    <row r="1083" spans="1:7" ht="22.95" customHeight="1">
      <c r="A1083" s="106" t="str">
        <f>B04_Assessment!$B$2</f>
        <v>04</v>
      </c>
      <c r="B1083" s="106" t="str">
        <f t="shared" si="87"/>
        <v>B03_Assessment</v>
      </c>
      <c r="C1083" s="106" t="str">
        <f>"Telecom"</f>
        <v>Telecom</v>
      </c>
      <c r="D1083" s="142" t="str">
        <f>B04_Assessment!$A$42</f>
        <v>244A</v>
      </c>
      <c r="E1083" s="142" t="str">
        <f>B04_Assessment!$I$42</f>
        <v>Verify</v>
      </c>
      <c r="F1083" s="106" t="str">
        <f>B04_Assessment!$J$42</f>
        <v>TR/panel identified; verify rack elevation and pathway details against 04T sheets.</v>
      </c>
      <c r="G1083" s="106" t="str">
        <f>"B04_Assessment!A42:J42"</f>
        <v>B04_Assessment!A42:J42</v>
      </c>
    </row>
    <row r="1084" spans="1:7" ht="22.95" customHeight="1">
      <c r="A1084" s="106" t="str">
        <f>B04_Assessment!$B$2</f>
        <v>04</v>
      </c>
      <c r="B1084" s="106" t="str">
        <f t="shared" ref="B1084:B1093" si="88">"B04_Assessment"</f>
        <v>B04_Assessment</v>
      </c>
      <c r="C1084" s="106" t="str">
        <f>"Security"</f>
        <v>Security</v>
      </c>
      <c r="D1084" s="142" t="str">
        <f>B04_Assessment!$A$46</f>
        <v>B05</v>
      </c>
      <c r="E1084" s="142" t="str">
        <f>B04_Assessment!$I$46</f>
        <v>Verify</v>
      </c>
      <c r="F1084" s="106" t="str">
        <f>B04_Assessment!$J$46</f>
        <v>Verify access-controlled TR door, camera, and VMS/PACS integration.</v>
      </c>
      <c r="G1084" s="106" t="str">
        <f>"B04_Assessment!A46:J46"</f>
        <v>B04_Assessment!A46:J46</v>
      </c>
    </row>
    <row r="1085" spans="1:7" ht="34.950000000000003" customHeight="1">
      <c r="A1085" s="106" t="str">
        <f>B04_Assessment!$B$2</f>
        <v>04</v>
      </c>
      <c r="B1085" s="106" t="str">
        <f t="shared" si="88"/>
        <v>B04_Assessment</v>
      </c>
      <c r="C1085" s="106" t="str">
        <f>"Security"</f>
        <v>Security</v>
      </c>
      <c r="D1085" s="142" t="str">
        <f>B04_Assessment!$A$47</f>
        <v>141</v>
      </c>
      <c r="E1085" s="142" t="str">
        <f>B04_Assessment!$I$47</f>
        <v>Verify</v>
      </c>
      <c r="F1085" s="106" t="str">
        <f>B04_Assessment!$J$47</f>
        <v>Architectural notes require door/access control coordination; verify card reader/electric strike rough-in.</v>
      </c>
      <c r="G1085" s="106" t="str">
        <f>"B04_Assessment!A47:J47"</f>
        <v>B04_Assessment!A47:J47</v>
      </c>
    </row>
    <row r="1086" spans="1:7" ht="22.95" customHeight="1">
      <c r="A1086" s="106" t="str">
        <f>B04_Assessment!$B$2</f>
        <v>04</v>
      </c>
      <c r="B1086" s="106" t="str">
        <f t="shared" si="88"/>
        <v>B04_Assessment</v>
      </c>
      <c r="C1086" s="106" t="str">
        <f>"Security"</f>
        <v>Security</v>
      </c>
      <c r="D1086" s="142" t="str">
        <f>B04_Assessment!$A$48</f>
        <v>244A</v>
      </c>
      <c r="E1086" s="142" t="str">
        <f>B04_Assessment!$I$48</f>
        <v>Verify</v>
      </c>
      <c r="F1086" s="106" t="str">
        <f>B04_Assessment!$J$48</f>
        <v>Verify room security details and device integration with VA systems.</v>
      </c>
      <c r="G1086" s="106" t="str">
        <f>"B04_Assessment!A48:J48"</f>
        <v>B04_Assessment!A48:J48</v>
      </c>
    </row>
    <row r="1087" spans="1:7" ht="40.65" customHeight="1">
      <c r="A1087" s="106" t="str">
        <f>B05_Assessment!$B$2</f>
        <v>05</v>
      </c>
      <c r="B1087" s="106" t="str">
        <f t="shared" si="88"/>
        <v>B04_Assessment</v>
      </c>
      <c r="C1087" s="106" t="str">
        <f>"Fire"</f>
        <v>Fire</v>
      </c>
      <c r="D1087" s="142" t="str">
        <f>B05_Assessment!$A$20</f>
        <v>150</v>
      </c>
      <c r="E1087" s="142" t="str">
        <f>B05_Assessment!$I$20</f>
        <v>Verify</v>
      </c>
      <c r="F1087" s="106" t="str">
        <f>B05_Assessment!$J$20</f>
        <v>Cover sheet note states mechanical and fire protection scope excluded; still verify firestopping and existing fire alarm/life safety impacts.</v>
      </c>
      <c r="G1087" s="106" t="str">
        <f>"B05_Assessment!A20:J20"</f>
        <v>B05_Assessment!A20:J20</v>
      </c>
    </row>
    <row r="1088" spans="1:7" ht="29.1" customHeight="1">
      <c r="A1088" s="106" t="str">
        <f>B05_Assessment!$B$2</f>
        <v>05</v>
      </c>
      <c r="B1088" s="106" t="str">
        <f t="shared" si="88"/>
        <v>B04_Assessment</v>
      </c>
      <c r="C1088" s="106" t="str">
        <f>"Fire"</f>
        <v>Fire</v>
      </c>
      <c r="D1088" s="142" t="str">
        <f>B05_Assessment!$A$21</f>
        <v>153-A</v>
      </c>
      <c r="E1088" s="142" t="str">
        <f>B05_Assessment!$I$21</f>
        <v>Verify</v>
      </c>
      <c r="F1088" s="106" t="str">
        <f>B05_Assessment!$J$21</f>
        <v>Existing conditions only; verify protection-in-place and no unsealed penetrations after cabling.</v>
      </c>
      <c r="G1088" s="106" t="str">
        <f>"B05_Assessment!A21:J21"</f>
        <v>B05_Assessment!A21:J21</v>
      </c>
    </row>
    <row r="1089" spans="1:7" ht="40.65" customHeight="1">
      <c r="A1089" s="106" t="str">
        <f>B05_Assessment!$B$2</f>
        <v>05</v>
      </c>
      <c r="B1089" s="106" t="str">
        <f t="shared" si="88"/>
        <v>B04_Assessment</v>
      </c>
      <c r="C1089" s="106" t="str">
        <f>"HVAC"</f>
        <v>HVAC</v>
      </c>
      <c r="D1089" s="142" t="str">
        <f>B05_Assessment!$A$25</f>
        <v>150</v>
      </c>
      <c r="E1089" s="142" t="str">
        <f>B05_Assessment!$I$25</f>
        <v>N/A</v>
      </c>
      <c r="F1089" s="106" t="str">
        <f>B05_Assessment!$J$25</f>
        <v>Mechanical scope is excluded for Building 05; verify TE heat load is acceptable in existing space and does not require added cooling.</v>
      </c>
      <c r="G1089" s="106" t="str">
        <f>"B05_Assessment!A25:J25"</f>
        <v>B05_Assessment!A25:J25</v>
      </c>
    </row>
    <row r="1090" spans="1:7" ht="29.1" customHeight="1">
      <c r="A1090" s="106" t="str">
        <f>B05_Assessment!$B$2</f>
        <v>05</v>
      </c>
      <c r="B1090" s="106" t="str">
        <f t="shared" si="88"/>
        <v>B04_Assessment</v>
      </c>
      <c r="C1090" s="106" t="str">
        <f>"HVAC"</f>
        <v>HVAC</v>
      </c>
      <c r="D1090" s="142" t="str">
        <f>B05_Assessment!$A$26</f>
        <v>153-A</v>
      </c>
      <c r="E1090" s="142" t="str">
        <f>B05_Assessment!$I$26</f>
        <v>N/A</v>
      </c>
      <c r="F1090" s="106" t="str">
        <f>B05_Assessment!$J$26</f>
        <v>Existing wall/wall-mount TE area; verify existing environmental conditions during field survey.</v>
      </c>
      <c r="G1090" s="106" t="str">
        <f>"B05_Assessment!A26:J26"</f>
        <v>B05_Assessment!A26:J26</v>
      </c>
    </row>
    <row r="1091" spans="1:7" ht="52.2" customHeight="1">
      <c r="A1091" s="106" t="str">
        <f>B05_Assessment!$B$2</f>
        <v>05</v>
      </c>
      <c r="B1091" s="106" t="str">
        <f t="shared" si="88"/>
        <v>B04_Assessment</v>
      </c>
      <c r="C1091" s="106" t="str">
        <f>"Electrical"</f>
        <v>Electrical</v>
      </c>
      <c r="D1091" s="142" t="str">
        <f>B05_Assessment!$A$30</f>
        <v>150</v>
      </c>
      <c r="E1091" s="142" t="str">
        <f>B05_Assessment!$I$30</f>
        <v>Verify</v>
      </c>
      <c r="F1091" s="106" t="str">
        <f>B05_Assessment!$J$30</f>
        <v>05T-604 shows APC UPS, two PDU L-530 input / NEMA 5-20 output units, 1200V outlet UPS, and 1200V outlet PDU; verify actual electrical schedule/panel/circuit source.</v>
      </c>
      <c r="G1091" s="106" t="str">
        <f>"B05_Assessment!A30:J30"</f>
        <v>B05_Assessment!A30:J30</v>
      </c>
    </row>
    <row r="1092" spans="1:7" ht="34.950000000000003" customHeight="1">
      <c r="A1092" s="106" t="str">
        <f>B05_Assessment!$B$2</f>
        <v>05</v>
      </c>
      <c r="B1092" s="106" t="str">
        <f t="shared" si="88"/>
        <v>B04_Assessment</v>
      </c>
      <c r="C1092" s="106" t="str">
        <f>"Electrical"</f>
        <v>Electrical</v>
      </c>
      <c r="D1092" s="142" t="str">
        <f>B05_Assessment!$A$31</f>
        <v>153-A</v>
      </c>
      <c r="E1092" s="142" t="str">
        <f>B05_Assessment!$I$31</f>
        <v>Verify</v>
      </c>
      <c r="F1092" s="106" t="str">
        <f>B05_Assessment!$J$31</f>
        <v>Existing elevation shows floor UPS and legacy wall-mounted TE equipment; protect active equipment until cutover.</v>
      </c>
      <c r="G1092" s="106" t="str">
        <f>"B05_Assessment!A31:J31"</f>
        <v>B05_Assessment!A31:J31</v>
      </c>
    </row>
    <row r="1093" spans="1:7" ht="46.35" customHeight="1">
      <c r="A1093" s="106" t="str">
        <f>B05_Assessment!$B$2</f>
        <v>05</v>
      </c>
      <c r="B1093" s="106" t="str">
        <f t="shared" si="88"/>
        <v>B04_Assessment</v>
      </c>
      <c r="C1093" s="106" t="str">
        <f>"Telecom"</f>
        <v>Telecom</v>
      </c>
      <c r="D1093" s="142" t="str">
        <f>B05_Assessment!$A$35</f>
        <v>150</v>
      </c>
      <c r="E1093" s="142" t="str">
        <f>B05_Assessment!$I$35</f>
        <v>Verify</v>
      </c>
      <c r="F1093" s="106" t="str">
        <f>B05_Assessment!$J$35</f>
        <v>New Room 150 Telecom Enclosure: 12RU TE with APC UPS, PDUs, cable managers, 48-port angled patch panels, 48-port Cat6A patch panel, and Fiber LIU.</v>
      </c>
      <c r="G1093" s="106" t="str">
        <f>"B05_Assessment!A35:J35"</f>
        <v>B05_Assessment!A35:J35</v>
      </c>
    </row>
    <row r="1094" spans="1:7" ht="40.65" customHeight="1">
      <c r="A1094" s="106" t="str">
        <f>B05_Assessment!$B$2</f>
        <v>05</v>
      </c>
      <c r="B1094" s="106" t="str">
        <f t="shared" ref="B1094:B1108" si="89">"B05_Assessment"</f>
        <v>B05_Assessment</v>
      </c>
      <c r="C1094" s="106" t="str">
        <f>"Telecom"</f>
        <v>Telecom</v>
      </c>
      <c r="D1094" s="142" t="str">
        <f>B05_Assessment!$A$36</f>
        <v>153-A</v>
      </c>
      <c r="E1094" s="142" t="str">
        <f>B05_Assessment!$I$36</f>
        <v>Verify</v>
      </c>
      <c r="F1094" s="106" t="str">
        <f>B05_Assessment!$J$36</f>
        <v>Existing Room 153-A wall/wall-mount TE contains Cisco switches and legacy 24-port patch panels; confirm cutover, reuse, demo, and records.</v>
      </c>
      <c r="G1094" s="106" t="str">
        <f>"B05_Assessment!A36:J36"</f>
        <v>B05_Assessment!A36:J36</v>
      </c>
    </row>
    <row r="1095" spans="1:7" ht="46.35" customHeight="1">
      <c r="A1095" s="106" t="str">
        <f>B05_Assessment!$B$2</f>
        <v>05</v>
      </c>
      <c r="B1095" s="106" t="str">
        <f t="shared" si="89"/>
        <v>B05_Assessment</v>
      </c>
      <c r="C1095" s="106" t="str">
        <f>"Security"</f>
        <v>Security</v>
      </c>
      <c r="D1095" s="142" t="str">
        <f>B05_Assessment!$A$40</f>
        <v>150</v>
      </c>
      <c r="E1095" s="142" t="str">
        <f>B05_Assessment!$I$40</f>
        <v>Verify</v>
      </c>
      <c r="F1095" s="106" t="str">
        <f>B05_Assessment!$J$40</f>
        <v>Project general scope includes CCTV and PACS for telecom spaces; verify whether TE location receives camera/access control or is served by existing room controls.</v>
      </c>
      <c r="G1095" s="106" t="str">
        <f>"B05_Assessment!A40:J40"</f>
        <v>B05_Assessment!A40:J40</v>
      </c>
    </row>
    <row r="1096" spans="1:7" ht="29.1" customHeight="1">
      <c r="A1096" s="106" t="str">
        <f>B05_Assessment!$B$2</f>
        <v>05</v>
      </c>
      <c r="B1096" s="106" t="str">
        <f t="shared" si="89"/>
        <v>B05_Assessment</v>
      </c>
      <c r="C1096" s="106" t="str">
        <f>"Security"</f>
        <v>Security</v>
      </c>
      <c r="D1096" s="142" t="str">
        <f>B05_Assessment!$A$41</f>
        <v>153-A</v>
      </c>
      <c r="E1096" s="142" t="str">
        <f>B05_Assessment!$I$41</f>
        <v>Verify</v>
      </c>
      <c r="F1096" s="106" t="str">
        <f>B05_Assessment!$J$41</f>
        <v>Verify existing security protection and whether access-control work is needed for existing TE area.</v>
      </c>
      <c r="G1096" s="106" t="str">
        <f>"B05_Assessment!A41:J41"</f>
        <v>B05_Assessment!A41:J41</v>
      </c>
    </row>
    <row r="1097" spans="1:7" ht="22.95" customHeight="1">
      <c r="A1097" s="106" t="str">
        <f>B06_Assessment!$B$2</f>
        <v>06</v>
      </c>
      <c r="B1097" s="106" t="str">
        <f t="shared" si="89"/>
        <v>B05_Assessment</v>
      </c>
      <c r="C1097" s="106" t="str">
        <f>"Fire"</f>
        <v>Fire</v>
      </c>
      <c r="D1097" s="142" t="str">
        <f>B06_Assessment!$A$22</f>
        <v>B-01</v>
      </c>
      <c r="E1097" s="142" t="str">
        <f>B06_Assessment!$I$22</f>
        <v>Verify</v>
      </c>
      <c r="F1097" s="106" t="str">
        <f>B06_Assessment!$J$22</f>
        <v>Existing equipment area; verify no cabling penetrations are left unsealed.</v>
      </c>
      <c r="G1097" s="106" t="str">
        <f>"B06_Assessment!A22:J22"</f>
        <v>B06_Assessment!A22:J22</v>
      </c>
    </row>
    <row r="1098" spans="1:7" ht="40.65" customHeight="1">
      <c r="A1098" s="106" t="str">
        <f>B06_Assessment!$B$2</f>
        <v>06</v>
      </c>
      <c r="B1098" s="106" t="str">
        <f t="shared" si="89"/>
        <v>B05_Assessment</v>
      </c>
      <c r="C1098" s="106" t="str">
        <f>"Fire"</f>
        <v>Fire</v>
      </c>
      <c r="D1098" s="142" t="str">
        <f>B06_Assessment!$A$23</f>
        <v>178</v>
      </c>
      <c r="E1098" s="142" t="str">
        <f>B06_Assessment!$I$23</f>
        <v>Verify</v>
      </c>
      <c r="F1098" s="106" t="str">
        <f>B06_Assessment!$J$23</f>
        <v>Fully sprinklered building; verify sprinkler modifications, fire alarm devices, FEC location, and impairment/fire watch needs.</v>
      </c>
      <c r="G1098" s="106" t="str">
        <f>"B06_Assessment!A23:J23"</f>
        <v>B06_Assessment!A23:J23</v>
      </c>
    </row>
    <row r="1099" spans="1:7" ht="29.1" customHeight="1">
      <c r="A1099" s="106" t="str">
        <f>B06_Assessment!$B$2</f>
        <v>06</v>
      </c>
      <c r="B1099" s="106" t="str">
        <f t="shared" si="89"/>
        <v>B05_Assessment</v>
      </c>
      <c r="C1099" s="106" t="str">
        <f>"Fire"</f>
        <v>Fire</v>
      </c>
      <c r="D1099" s="142" t="str">
        <f>B06_Assessment!$A$24</f>
        <v>233</v>
      </c>
      <c r="E1099" s="142" t="str">
        <f>B06_Assessment!$I$24</f>
        <v>Verify</v>
      </c>
      <c r="F1099" s="106" t="str">
        <f>B06_Assessment!$J$24</f>
        <v>Architectural enlarged views call for 1-hour fire/smoke-rated walls, 45-minute door/frame, and FEC within 75 ft.</v>
      </c>
      <c r="G1099" s="106" t="str">
        <f>"B06_Assessment!A24:J24"</f>
        <v>B06_Assessment!A24:J24</v>
      </c>
    </row>
    <row r="1100" spans="1:7" ht="34.950000000000003" customHeight="1">
      <c r="A1100" s="106" t="str">
        <f>B06_Assessment!$B$2</f>
        <v>06</v>
      </c>
      <c r="B1100" s="106" t="str">
        <f t="shared" si="89"/>
        <v>B05_Assessment</v>
      </c>
      <c r="C1100" s="106" t="str">
        <f>"HVAC"</f>
        <v>HVAC</v>
      </c>
      <c r="D1100" s="142" t="str">
        <f>B06_Assessment!$A$28</f>
        <v>B-01</v>
      </c>
      <c r="E1100" s="142" t="str">
        <f>B06_Assessment!$I$28</f>
        <v>Verify</v>
      </c>
      <c r="F1100" s="106" t="str">
        <f>B06_Assessment!$J$28</f>
        <v>Verify basement equipment environmental condition and any heat/load issues during cutover.</v>
      </c>
      <c r="G1100" s="106" t="str">
        <f>"B06_Assessment!A28:J28"</f>
        <v>B06_Assessment!A28:J28</v>
      </c>
    </row>
    <row r="1101" spans="1:7" ht="52.2" customHeight="1">
      <c r="A1101" s="106" t="str">
        <f>B06_Assessment!$B$2</f>
        <v>06</v>
      </c>
      <c r="B1101" s="106" t="str">
        <f t="shared" si="89"/>
        <v>B05_Assessment</v>
      </c>
      <c r="C1101" s="106" t="str">
        <f>"HVAC"</f>
        <v>HVAC</v>
      </c>
      <c r="D1101" s="142" t="str">
        <f>B06_Assessment!$A$29</f>
        <v>178</v>
      </c>
      <c r="E1101" s="142" t="str">
        <f>B06_Assessment!$I$29</f>
        <v>Verify</v>
      </c>
      <c r="F1101" s="106" t="str">
        <f>B06_Assessment!$J$29</f>
        <v>Mechanical enlarged plan shows new indoor unit IU-1-01 and outdoor CU-1-01; confirm 208V emergency power, BACnet adapter, thermostat, condensate route.</v>
      </c>
      <c r="G1101" s="106" t="str">
        <f>"B06_Assessment!A29:J29"</f>
        <v>B06_Assessment!A29:J29</v>
      </c>
    </row>
    <row r="1102" spans="1:7" ht="46.35" customHeight="1">
      <c r="A1102" s="106" t="str">
        <f>B06_Assessment!$B$2</f>
        <v>06</v>
      </c>
      <c r="B1102" s="106" t="str">
        <f t="shared" si="89"/>
        <v>B05_Assessment</v>
      </c>
      <c r="C1102" s="106" t="str">
        <f>"HVAC"</f>
        <v>HVAC</v>
      </c>
      <c r="D1102" s="142" t="str">
        <f>B06_Assessment!$A$30</f>
        <v>233</v>
      </c>
      <c r="E1102" s="142" t="str">
        <f>B06_Assessment!$I$30</f>
        <v>Verify</v>
      </c>
      <c r="F1102" s="106" t="str">
        <f>B06_Assessment!$J$30</f>
        <v>Mechanical enlarged plan shows new indoor unit IU-2-01 and outdoor CU-2-01; confirm 208V emergency power, condensate and controls.</v>
      </c>
      <c r="G1102" s="106" t="str">
        <f>"B06_Assessment!A30:J30"</f>
        <v>B06_Assessment!A30:J30</v>
      </c>
    </row>
    <row r="1103" spans="1:7" ht="34.950000000000003" customHeight="1">
      <c r="A1103" s="106" t="str">
        <f>B06_Assessment!$B$2</f>
        <v>06</v>
      </c>
      <c r="B1103" s="106" t="str">
        <f t="shared" si="89"/>
        <v>B05_Assessment</v>
      </c>
      <c r="C1103" s="106" t="str">
        <f>"Electrical"</f>
        <v>Electrical</v>
      </c>
      <c r="D1103" s="142" t="str">
        <f>B06_Assessment!$A$34</f>
        <v>B-01</v>
      </c>
      <c r="E1103" s="142" t="str">
        <f>B06_Assessment!$I$34</f>
        <v>Verify</v>
      </c>
      <c r="F1103" s="106" t="str">
        <f>B06_Assessment!$J$34</f>
        <v>Existing UPS on floor shown at B-01; protect active service and confirm any transition/demo requirements.</v>
      </c>
      <c r="G1103" s="106" t="str">
        <f>"B06_Assessment!A34:J34"</f>
        <v>B06_Assessment!A34:J34</v>
      </c>
    </row>
    <row r="1104" spans="1:7" ht="52.2" customHeight="1">
      <c r="A1104" s="106" t="str">
        <f>B06_Assessment!$B$2</f>
        <v>06</v>
      </c>
      <c r="B1104" s="106" t="str">
        <f t="shared" si="89"/>
        <v>B05_Assessment</v>
      </c>
      <c r="C1104" s="106" t="str">
        <f>"Electrical"</f>
        <v>Electrical</v>
      </c>
      <c r="D1104" s="142" t="str">
        <f>B06_Assessment!$A$35</f>
        <v>178</v>
      </c>
      <c r="E1104" s="142" t="str">
        <f>B06_Assessment!$I$35</f>
        <v>Verify</v>
      </c>
      <c r="F1104" s="106" t="str">
        <f>B06_Assessment!$J$35</f>
        <v>Panel schedule shows B06-EP-TR in Telecom Room 178; B06-TR178A/B panels and SPD requirements; load measurement required prior to panel renovation.</v>
      </c>
      <c r="G1104" s="106" t="str">
        <f>"B06_Assessment!A35:J35"</f>
        <v>B06_Assessment!A35:J35</v>
      </c>
    </row>
    <row r="1105" spans="1:7" ht="40.65" customHeight="1">
      <c r="A1105" s="106" t="str">
        <f>B06_Assessment!$B$2</f>
        <v>06</v>
      </c>
      <c r="B1105" s="106" t="str">
        <f t="shared" si="89"/>
        <v>B05_Assessment</v>
      </c>
      <c r="C1105" s="106" t="str">
        <f>"Electrical"</f>
        <v>Electrical</v>
      </c>
      <c r="D1105" s="142" t="str">
        <f>B06_Assessment!$A$36</f>
        <v>233</v>
      </c>
      <c r="E1105" s="142" t="str">
        <f>B06_Assessment!$I$36</f>
        <v>Verify</v>
      </c>
      <c r="F1105" s="106" t="str">
        <f>B06_Assessment!$J$36</f>
        <v>Panel schedule identifies B06-TR233A/B in Telecom Room 233; verify source, circuits, rack receptacles and emergency power.</v>
      </c>
      <c r="G1105" s="106" t="str">
        <f>"B06_Assessment!A36:J36"</f>
        <v>B06_Assessment!A36:J36</v>
      </c>
    </row>
    <row r="1106" spans="1:7" ht="29.1" customHeight="1">
      <c r="A1106" s="106" t="str">
        <f>B06_Assessment!$B$2</f>
        <v>06</v>
      </c>
      <c r="B1106" s="106" t="str">
        <f t="shared" si="89"/>
        <v>B05_Assessment</v>
      </c>
      <c r="C1106" s="106" t="str">
        <f>"Telecom"</f>
        <v>Telecom</v>
      </c>
      <c r="D1106" s="142" t="str">
        <f>B06_Assessment!$A$40</f>
        <v>B-01</v>
      </c>
      <c r="E1106" s="142" t="str">
        <f>B06_Assessment!$I$40</f>
        <v>Verify</v>
      </c>
      <c r="F1106" s="106" t="str">
        <f>B06_Assessment!$J$40</f>
        <v>Existing Cisco switches, legacy 48-port patch panels, wall/wall-mount TE and floor UPS.</v>
      </c>
      <c r="G1106" s="106" t="str">
        <f>"B06_Assessment!A40:J40"</f>
        <v>B06_Assessment!A40:J40</v>
      </c>
    </row>
    <row r="1107" spans="1:7" ht="40.65" customHeight="1">
      <c r="A1107" s="106" t="str">
        <f>B06_Assessment!$B$2</f>
        <v>06</v>
      </c>
      <c r="B1107" s="106" t="str">
        <f t="shared" si="89"/>
        <v>B05_Assessment</v>
      </c>
      <c r="C1107" s="106" t="str">
        <f>"Telecom"</f>
        <v>Telecom</v>
      </c>
      <c r="D1107" s="142" t="str">
        <f>B06_Assessment!$A$41</f>
        <v>178</v>
      </c>
      <c r="E1107" s="142" t="str">
        <f>B06_Assessment!$I$41</f>
        <v>Verify</v>
      </c>
      <c r="F1107" s="106" t="str">
        <f>B06_Assessment!$J$41</f>
        <v>Existing Room 178 rack elevations show multiple existing 2-post racks; new electrical, cable path, grounding and cutover require verification.</v>
      </c>
      <c r="G1107" s="106" t="str">
        <f>"B06_Assessment!A41:J41"</f>
        <v>B06_Assessment!A41:J41</v>
      </c>
    </row>
    <row r="1108" spans="1:7" ht="46.35" customHeight="1">
      <c r="A1108" s="106" t="str">
        <f>B06_Assessment!$B$2</f>
        <v>06</v>
      </c>
      <c r="B1108" s="106" t="str">
        <f t="shared" si="89"/>
        <v>B05_Assessment</v>
      </c>
      <c r="C1108" s="106" t="str">
        <f>"Telecom"</f>
        <v>Telecom</v>
      </c>
      <c r="D1108" s="142" t="str">
        <f>B06_Assessment!$A$42</f>
        <v>233</v>
      </c>
      <c r="E1108" s="142" t="str">
        <f>B06_Assessment!$I$42</f>
        <v>Verify</v>
      </c>
      <c r="F1108" s="106" t="str">
        <f>B06_Assessment!$J$42</f>
        <v>Room 233 future new rack elevation shows UPS, network switches, cable managers, Cat6A patch panels, Cat5E patch panel and Fiber LIU.</v>
      </c>
      <c r="G1108" s="106" t="str">
        <f>"B06_Assessment!A42:J42"</f>
        <v>B06_Assessment!A42:J42</v>
      </c>
    </row>
    <row r="1109" spans="1:7" ht="29.1" customHeight="1">
      <c r="A1109" s="106" t="str">
        <f>B06_Assessment!$B$2</f>
        <v>06</v>
      </c>
      <c r="B1109" s="106" t="str">
        <f t="shared" ref="B1109:B1118" si="90">"B06_Assessment"</f>
        <v>B06_Assessment</v>
      </c>
      <c r="C1109" s="106" t="str">
        <f>"Security"</f>
        <v>Security</v>
      </c>
      <c r="D1109" s="142" t="str">
        <f>B06_Assessment!$A$46</f>
        <v>B-01</v>
      </c>
      <c r="E1109" s="142" t="str">
        <f>B06_Assessment!$I$46</f>
        <v>Verify</v>
      </c>
      <c r="F1109" s="106" t="str">
        <f>B06_Assessment!$J$46</f>
        <v>Verify existing basement access/security while protecting active equipment.</v>
      </c>
      <c r="G1109" s="106" t="str">
        <f>"B06_Assessment!A46:J46"</f>
        <v>B06_Assessment!A46:J46</v>
      </c>
    </row>
    <row r="1110" spans="1:7" ht="46.35" customHeight="1">
      <c r="A1110" s="106" t="str">
        <f>B06_Assessment!$B$2</f>
        <v>06</v>
      </c>
      <c r="B1110" s="106" t="str">
        <f t="shared" si="90"/>
        <v>B06_Assessment</v>
      </c>
      <c r="C1110" s="106" t="str">
        <f>"Security"</f>
        <v>Security</v>
      </c>
      <c r="D1110" s="142" t="str">
        <f>B06_Assessment!$A$47</f>
        <v>178</v>
      </c>
      <c r="E1110" s="142" t="str">
        <f>B06_Assessment!$I$47</f>
        <v>Verify</v>
      </c>
      <c r="F1110" s="106" t="str">
        <f>B06_Assessment!$J$47</f>
        <v>Electrical enlarged plan references existing card reader to remain/protect in place and new tri-tech motion sensor; verify PACS/CCTV integration.</v>
      </c>
      <c r="G1110" s="106" t="str">
        <f>"B06_Assessment!A47:J47"</f>
        <v>B06_Assessment!A47:J47</v>
      </c>
    </row>
    <row r="1111" spans="1:7" ht="29.1" customHeight="1">
      <c r="A1111" s="106" t="str">
        <f>B06_Assessment!$B$2</f>
        <v>06</v>
      </c>
      <c r="B1111" s="106" t="str">
        <f t="shared" si="90"/>
        <v>B06_Assessment</v>
      </c>
      <c r="C1111" s="106" t="str">
        <f>"Security"</f>
        <v>Security</v>
      </c>
      <c r="D1111" s="142" t="str">
        <f>B06_Assessment!$A$48</f>
        <v>233</v>
      </c>
      <c r="E1111" s="142" t="str">
        <f>B06_Assessment!$I$48</f>
        <v>Verify</v>
      </c>
      <c r="F1111" s="106" t="str">
        <f>B06_Assessment!$J$48</f>
        <v>Verify door hardware/access control, motion sensor, camera, and VA security integration.</v>
      </c>
      <c r="G1111" s="106" t="str">
        <f>"B06_Assessment!A48:J48"</f>
        <v>B06_Assessment!A48:J48</v>
      </c>
    </row>
    <row r="1112" spans="1:7" ht="46.35" customHeight="1">
      <c r="A1112" s="106" t="str">
        <f>B07_Assessment!$B$2</f>
        <v>07</v>
      </c>
      <c r="B1112" s="106" t="str">
        <f t="shared" si="90"/>
        <v>B06_Assessment</v>
      </c>
      <c r="C1112" s="106" t="str">
        <f>"Fire"</f>
        <v>Fire</v>
      </c>
      <c r="D1112" s="142" t="str">
        <f>B07_Assessment!$A$20</f>
        <v>B-18</v>
      </c>
      <c r="E1112" s="142" t="str">
        <f>B07_Assessment!$I$20</f>
        <v>Verify</v>
      </c>
      <c r="F1112" s="106" t="str">
        <f>B07_Assessment!$J$20</f>
        <v>Fully sprinklered building; basement TR requires sprinkler coverage verification, firestop at cabling/sleeves and impairment coordination.</v>
      </c>
      <c r="G1112" s="106" t="str">
        <f>"B07_Assessment!A20:J20"</f>
        <v>B07_Assessment!A20:J20</v>
      </c>
    </row>
    <row r="1113" spans="1:7" ht="46.35" customHeight="1">
      <c r="A1113" s="106" t="str">
        <f>B07_Assessment!$B$2</f>
        <v>07</v>
      </c>
      <c r="B1113" s="106" t="str">
        <f t="shared" si="90"/>
        <v>B06_Assessment</v>
      </c>
      <c r="C1113" s="106" t="str">
        <f>"Fire"</f>
        <v>Fire</v>
      </c>
      <c r="D1113" s="142" t="str">
        <f>B07_Assessment!$A$21</f>
        <v>228A</v>
      </c>
      <c r="E1113" s="142" t="str">
        <f>B07_Assessment!$I$21</f>
        <v>Verify</v>
      </c>
      <c r="F1113" s="106" t="str">
        <f>B07_Assessment!$J$21</f>
        <v>Architectural notes require clean-agent 2A:10B:C extinguisher within 75 ft, 45-minute rated door/frame and rated wall construction; verify FA/FP modifications.</v>
      </c>
      <c r="G1113" s="106" t="str">
        <f>"B07_Assessment!A21:J21"</f>
        <v>B07_Assessment!A21:J21</v>
      </c>
    </row>
    <row r="1114" spans="1:7" ht="46.35" customHeight="1">
      <c r="A1114" s="106" t="str">
        <f>B07_Assessment!$B$2</f>
        <v>07</v>
      </c>
      <c r="B1114" s="106" t="str">
        <f t="shared" si="90"/>
        <v>B06_Assessment</v>
      </c>
      <c r="C1114" s="106" t="str">
        <f>"HVAC"</f>
        <v>HVAC</v>
      </c>
      <c r="D1114" s="142" t="str">
        <f>B07_Assessment!$A$25</f>
        <v>B-18</v>
      </c>
      <c r="E1114" s="142" t="str">
        <f>B07_Assessment!$I$25</f>
        <v>Verify</v>
      </c>
      <c r="F1114" s="106" t="str">
        <f>B07_Assessment!$J$25</f>
        <v>Mechanical schedule lists 18,000 BTUH wall-mounted IU-0-01 and CU-0-01; verify exact room assignment, emergency power, condensate, controls and high-temp alarm.</v>
      </c>
      <c r="G1114" s="106" t="str">
        <f>"B07_Assessment!A25:J25"</f>
        <v>B07_Assessment!A25:J25</v>
      </c>
    </row>
    <row r="1115" spans="1:7" ht="46.35" customHeight="1">
      <c r="A1115" s="106" t="str">
        <f>B07_Assessment!$B$2</f>
        <v>07</v>
      </c>
      <c r="B1115" s="106" t="str">
        <f t="shared" si="90"/>
        <v>B06_Assessment</v>
      </c>
      <c r="C1115" s="106" t="str">
        <f>"HVAC"</f>
        <v>HVAC</v>
      </c>
      <c r="D1115" s="142" t="str">
        <f>B07_Assessment!$A$26</f>
        <v>228A</v>
      </c>
      <c r="E1115" s="142" t="str">
        <f>B07_Assessment!$I$26</f>
        <v>Verify</v>
      </c>
      <c r="F1115" s="106" t="str">
        <f>B07_Assessment!$J$26</f>
        <v>Mechanical schedule lists 36,000 BTUH wall-mounted IU-2-01 and CU-2-01; electrical enlarged plan shows IU-2-01 at TR 228A; verify emergency power and condensate route.</v>
      </c>
      <c r="G1115" s="106" t="str">
        <f>"B07_Assessment!A26:J26"</f>
        <v>B07_Assessment!A26:J26</v>
      </c>
    </row>
    <row r="1116" spans="1:7" ht="52.2" customHeight="1">
      <c r="A1116" s="106" t="str">
        <f>B07_Assessment!$B$2</f>
        <v>07</v>
      </c>
      <c r="B1116" s="106" t="str">
        <f t="shared" si="90"/>
        <v>B06_Assessment</v>
      </c>
      <c r="C1116" s="106" t="str">
        <f>"Electrical"</f>
        <v>Electrical</v>
      </c>
      <c r="D1116" s="142" t="str">
        <f>B07_Assessment!$A$30</f>
        <v>B-18</v>
      </c>
      <c r="E1116" s="142" t="str">
        <f>B07_Assessment!$I$30</f>
        <v>Verify</v>
      </c>
      <c r="F1116" s="106" t="str">
        <f>B07_Assessment!$J$30</f>
        <v>Electrical enlarged plans identify B07-TRB18A/B circuits serving basement TR equipment; verify panel source, receptacles, SPD, emergency source and load measurement.</v>
      </c>
      <c r="G1116" s="106" t="str">
        <f>"B07_Assessment!A30:J30"</f>
        <v>B07_Assessment!A30:J30</v>
      </c>
    </row>
    <row r="1117" spans="1:7" ht="46.35" customHeight="1">
      <c r="A1117" s="106" t="str">
        <f>B07_Assessment!$B$2</f>
        <v>07</v>
      </c>
      <c r="B1117" s="106" t="str">
        <f t="shared" si="90"/>
        <v>B06_Assessment</v>
      </c>
      <c r="C1117" s="106" t="str">
        <f>"Electrical"</f>
        <v>Electrical</v>
      </c>
      <c r="D1117" s="142" t="str">
        <f>B07_Assessment!$A$31</f>
        <v>228A</v>
      </c>
      <c r="E1117" s="142" t="str">
        <f>B07_Assessment!$I$31</f>
        <v>Verify</v>
      </c>
      <c r="F1117" s="106" t="str">
        <f>B07_Assessment!$J$31</f>
        <v>Electrical enlarged plans identify B07-TR228A/B circuits serving TR 228A equipment and IU-2-01; verify rack receptacles, cooling power, SPD and labels.</v>
      </c>
      <c r="G1117" s="106" t="str">
        <f>"B07_Assessment!A31:J31"</f>
        <v>B07_Assessment!A31:J31</v>
      </c>
    </row>
    <row r="1118" spans="1:7" ht="58.35" customHeight="1">
      <c r="A1118" s="106" t="str">
        <f>B07_Assessment!$B$2</f>
        <v>07</v>
      </c>
      <c r="B1118" s="106" t="str">
        <f t="shared" si="90"/>
        <v>B06_Assessment</v>
      </c>
      <c r="C1118" s="106" t="str">
        <f>"Telecom"</f>
        <v>Telecom</v>
      </c>
      <c r="D1118" s="142" t="str">
        <f>B07_Assessment!$A$35</f>
        <v>B-18</v>
      </c>
      <c r="E1118" s="142" t="str">
        <f>B07_Assessment!$I$35</f>
        <v>Verify</v>
      </c>
      <c r="F1118" s="106" t="str">
        <f>B07_Assessment!$J$35</f>
        <v>07T-604 rack elevation: 1 rack plus future; includes UPS, future Zone PDU, cable managers, network switches, three 48-port Cat6A angled patch panels, 24-port Cat5E patch panel and Fiber LIU.</v>
      </c>
      <c r="G1118" s="106" t="str">
        <f>"B07_Assessment!A35:J35"</f>
        <v>B07_Assessment!A35:J35</v>
      </c>
    </row>
    <row r="1119" spans="1:7" ht="58.35" customHeight="1">
      <c r="A1119" s="106" t="str">
        <f>B07_Assessment!$B$2</f>
        <v>07</v>
      </c>
      <c r="B1119" s="106" t="str">
        <f t="shared" ref="B1119:B1133" si="91">"B07_Assessment"</f>
        <v>B07_Assessment</v>
      </c>
      <c r="C1119" s="106" t="str">
        <f>"Telecom"</f>
        <v>Telecom</v>
      </c>
      <c r="D1119" s="142" t="str">
        <f>B07_Assessment!$A$36</f>
        <v>228A</v>
      </c>
      <c r="E1119" s="142" t="str">
        <f>B07_Assessment!$I$36</f>
        <v>Verify</v>
      </c>
      <c r="F1119" s="106" t="str">
        <f>B07_Assessment!$J$36</f>
        <v>TR 228A is shown on second-level telecom/electrical enlarged plans; verify rack elevation, fiber paths, Cat6A replacement, labeling/testing and VA acceptance before cutover.</v>
      </c>
      <c r="G1119" s="106" t="str">
        <f>"B07_Assessment!A36:J36"</f>
        <v>B07_Assessment!A36:J36</v>
      </c>
    </row>
    <row r="1120" spans="1:7" ht="29.1" customHeight="1">
      <c r="A1120" s="106" t="str">
        <f>B07_Assessment!$B$2</f>
        <v>07</v>
      </c>
      <c r="B1120" s="106" t="str">
        <f t="shared" si="91"/>
        <v>B07_Assessment</v>
      </c>
      <c r="C1120" s="106" t="str">
        <f>"Security"</f>
        <v>Security</v>
      </c>
      <c r="D1120" s="142" t="str">
        <f>B07_Assessment!$A$40</f>
        <v>B-18</v>
      </c>
      <c r="E1120" s="142" t="str">
        <f>B07_Assessment!$I$40</f>
        <v>Verify</v>
      </c>
      <c r="F1120" s="106" t="str">
        <f>B07_Assessment!$J$40</f>
        <v>Verify access control, door hardware and CCTV/PACS integration for basement TR.</v>
      </c>
      <c r="G1120" s="106" t="str">
        <f>"B07_Assessment!A40:J40"</f>
        <v>B07_Assessment!A40:J40</v>
      </c>
    </row>
    <row r="1121" spans="1:7" ht="46.35" customHeight="1">
      <c r="A1121" s="106" t="str">
        <f>B07_Assessment!$B$2</f>
        <v>07</v>
      </c>
      <c r="B1121" s="106" t="str">
        <f t="shared" si="91"/>
        <v>B07_Assessment</v>
      </c>
      <c r="C1121" s="106" t="str">
        <f>"Security"</f>
        <v>Security</v>
      </c>
      <c r="D1121" s="142" t="str">
        <f>B07_Assessment!$A$41</f>
        <v>228A</v>
      </c>
      <c r="E1121" s="142" t="str">
        <f>B07_Assessment!$I$41</f>
        <v>Verify</v>
      </c>
      <c r="F1121" s="106" t="str">
        <f>B07_Assessment!$J$41</f>
        <v>Architectural notes require access control hardware modifications at new rated door; verify card reader, electric strike, door position switch, motion sensor and camera.</v>
      </c>
      <c r="G1121" s="106" t="str">
        <f>"B07_Assessment!A41:J41"</f>
        <v>B07_Assessment!A41:J41</v>
      </c>
    </row>
    <row r="1122" spans="1:7" ht="34.950000000000003" customHeight="1">
      <c r="A1122" s="106" t="str">
        <f>B08_Assessment!$B$2</f>
        <v>08</v>
      </c>
      <c r="B1122" s="106" t="str">
        <f t="shared" si="91"/>
        <v>B07_Assessment</v>
      </c>
      <c r="C1122" s="106" t="str">
        <f>"Fire"</f>
        <v>Fire</v>
      </c>
      <c r="D1122" s="142" t="str">
        <f>B08_Assessment!$A$22</f>
        <v>B-15</v>
      </c>
      <c r="E1122" s="142" t="str">
        <f>B08_Assessment!$I$22</f>
        <v>Verify</v>
      </c>
      <c r="F1122" s="106" t="str">
        <f>B08_Assessment!$J$22</f>
        <v>Existing equipment area; verify no new penetrations are left unsealed and active systems remain protected.</v>
      </c>
      <c r="G1122" s="106" t="str">
        <f>"B08_Assessment!A22:J22"</f>
        <v>B08_Assessment!A22:J22</v>
      </c>
    </row>
    <row r="1123" spans="1:7" ht="46.35" customHeight="1">
      <c r="A1123" s="106" t="str">
        <f>B08_Assessment!$B$2</f>
        <v>08</v>
      </c>
      <c r="B1123" s="106" t="str">
        <f t="shared" si="91"/>
        <v>B07_Assessment</v>
      </c>
      <c r="C1123" s="106" t="str">
        <f>"Fire"</f>
        <v>Fire</v>
      </c>
      <c r="D1123" s="142" t="str">
        <f>B08_Assessment!$A$23</f>
        <v>B12B</v>
      </c>
      <c r="E1123" s="142" t="str">
        <f>B08_Assessment!$I$23</f>
        <v>Verify</v>
      </c>
      <c r="F1123" s="106" t="str">
        <f>B08_Assessment!$J$23</f>
        <v>Door schedule shows 45-minute door; verify fire/smoke requirements, FEC requirement applicability, firestopping and temporary barriers.</v>
      </c>
      <c r="G1123" s="106" t="str">
        <f>"B08_Assessment!A23:J23"</f>
        <v>B08_Assessment!A23:J23</v>
      </c>
    </row>
    <row r="1124" spans="1:7" ht="52.2" customHeight="1">
      <c r="A1124" s="106" t="str">
        <f>B08_Assessment!$B$2</f>
        <v>08</v>
      </c>
      <c r="B1124" s="106" t="str">
        <f t="shared" si="91"/>
        <v>B07_Assessment</v>
      </c>
      <c r="C1124" s="106" t="str">
        <f>"Fire"</f>
        <v>Fire</v>
      </c>
      <c r="D1124" s="142" t="str">
        <f>B08_Assessment!$A$24</f>
        <v>2065A</v>
      </c>
      <c r="E1124" s="142" t="str">
        <f>B08_Assessment!$I$24</f>
        <v>Verify</v>
      </c>
      <c r="F1124" s="106" t="str">
        <f>B08_Assessment!$J$24</f>
        <v>Architectural notes require new 45-minute door, clean-agent 2A:10B:C extinguisher within 75 ft, open-to-deck telecom room and 1-hour fire/smoke-rated existing wall upgrades.</v>
      </c>
      <c r="G1124" s="106" t="str">
        <f>"B08_Assessment!A24:J24"</f>
        <v>B08_Assessment!A24:J24</v>
      </c>
    </row>
    <row r="1125" spans="1:7" ht="34.950000000000003" customHeight="1">
      <c r="A1125" s="106" t="str">
        <f>B08_Assessment!$B$2</f>
        <v>08</v>
      </c>
      <c r="B1125" s="106" t="str">
        <f t="shared" si="91"/>
        <v>B07_Assessment</v>
      </c>
      <c r="C1125" s="106" t="str">
        <f>"HVAC"</f>
        <v>HVAC</v>
      </c>
      <c r="D1125" s="142" t="str">
        <f>B08_Assessment!$A$28</f>
        <v>B-15</v>
      </c>
      <c r="E1125" s="142" t="str">
        <f>B08_Assessment!$I$28</f>
        <v>Verify</v>
      </c>
      <c r="F1125" s="106" t="str">
        <f>B08_Assessment!$J$28</f>
        <v>Verify existing environmental conditions and whether active legacy equipment remains during cutover.</v>
      </c>
      <c r="G1125" s="106" t="str">
        <f>"B08_Assessment!A28:J28"</f>
        <v>B08_Assessment!A28:J28</v>
      </c>
    </row>
    <row r="1126" spans="1:7" ht="29.1" customHeight="1">
      <c r="A1126" s="106" t="str">
        <f>B08_Assessment!$B$2</f>
        <v>08</v>
      </c>
      <c r="B1126" s="106" t="str">
        <f t="shared" si="91"/>
        <v>B07_Assessment</v>
      </c>
      <c r="C1126" s="106" t="str">
        <f>"HVAC"</f>
        <v>HVAC</v>
      </c>
      <c r="D1126" s="142" t="str">
        <f>B08_Assessment!$A$29</f>
        <v>B12B</v>
      </c>
      <c r="E1126" s="142" t="str">
        <f>B08_Assessment!$I$29</f>
        <v>Verify</v>
      </c>
      <c r="F1126" s="106" t="str">
        <f>B08_Assessment!$J$29</f>
        <v>Field verify whether TE equipment load requires cooling or if served by existing building HVAC.</v>
      </c>
      <c r="G1126" s="106" t="str">
        <f>"B08_Assessment!A29:J29"</f>
        <v>B08_Assessment!A29:J29</v>
      </c>
    </row>
    <row r="1127" spans="1:7" ht="46.35" customHeight="1">
      <c r="A1127" s="106" t="str">
        <f>B08_Assessment!$B$2</f>
        <v>08</v>
      </c>
      <c r="B1127" s="106" t="str">
        <f t="shared" si="91"/>
        <v>B07_Assessment</v>
      </c>
      <c r="C1127" s="106" t="str">
        <f>"HVAC"</f>
        <v>HVAC</v>
      </c>
      <c r="D1127" s="142" t="str">
        <f>B08_Assessment!$A$30</f>
        <v>2065A</v>
      </c>
      <c r="E1127" s="142" t="str">
        <f>B08_Assessment!$I$30</f>
        <v>Verify</v>
      </c>
      <c r="F1127" s="106" t="str">
        <f>B08_Assessment!$J$30</f>
        <v>Mechanical schedule lists IU-2-01/CU-2-01 at 36,000 BTUH; verify room assignment, emergency power, condensate pump/route, BACnet controller and controls.</v>
      </c>
      <c r="G1127" s="106" t="str">
        <f>"B08_Assessment!A30:J30"</f>
        <v>B08_Assessment!A30:J30</v>
      </c>
    </row>
    <row r="1128" spans="1:7" ht="40.65" customHeight="1">
      <c r="A1128" s="106" t="str">
        <f>B08_Assessment!$B$2</f>
        <v>08</v>
      </c>
      <c r="B1128" s="106" t="str">
        <f t="shared" si="91"/>
        <v>B07_Assessment</v>
      </c>
      <c r="C1128" s="106" t="str">
        <f>"Electrical"</f>
        <v>Electrical</v>
      </c>
      <c r="D1128" s="142" t="str">
        <f>B08_Assessment!$A$34</f>
        <v>B-15</v>
      </c>
      <c r="E1128" s="142" t="str">
        <f>B08_Assessment!$I$34</f>
        <v>Verify</v>
      </c>
      <c r="F1128" s="106" t="str">
        <f>B08_Assessment!$J$34</f>
        <v>Existing rack elevation shows floor UPS and legacy equipment; protect active service and verify transition/demo requirements.</v>
      </c>
      <c r="G1128" s="106" t="str">
        <f>"B08_Assessment!A34:J34"</f>
        <v>B08_Assessment!A34:J34</v>
      </c>
    </row>
    <row r="1129" spans="1:7" ht="34.950000000000003" customHeight="1">
      <c r="A1129" s="106" t="str">
        <f>B08_Assessment!$B$2</f>
        <v>08</v>
      </c>
      <c r="B1129" s="106" t="str">
        <f t="shared" si="91"/>
        <v>B07_Assessment</v>
      </c>
      <c r="C1129" s="106" t="str">
        <f>"Electrical"</f>
        <v>Electrical</v>
      </c>
      <c r="D1129" s="142" t="str">
        <f>B08_Assessment!$A$35</f>
        <v>B12B</v>
      </c>
      <c r="E1129" s="142" t="str">
        <f>B08_Assessment!$I$35</f>
        <v>Verify</v>
      </c>
      <c r="F1129" s="106" t="str">
        <f>B08_Assessment!$J$35</f>
        <v>Electrical schedule includes TE receptacle Room B12B; confirm panel/circuit source and if B12B is served from telecom panel.</v>
      </c>
      <c r="G1129" s="106" t="str">
        <f>"B08_Assessment!A35:J35"</f>
        <v>B08_Assessment!A35:J35</v>
      </c>
    </row>
    <row r="1130" spans="1:7" ht="58.35" customHeight="1">
      <c r="A1130" s="106" t="str">
        <f>B08_Assessment!$B$2</f>
        <v>08</v>
      </c>
      <c r="B1130" s="106" t="str">
        <f t="shared" si="91"/>
        <v>B07_Assessment</v>
      </c>
      <c r="C1130" s="106" t="str">
        <f>"Electrical"</f>
        <v>Electrical</v>
      </c>
      <c r="D1130" s="142" t="str">
        <f>B08_Assessment!$A$36</f>
        <v>2065A</v>
      </c>
      <c r="E1130" s="142" t="str">
        <f>B08_Assessment!$I$36</f>
        <v>Verify</v>
      </c>
      <c r="F1130" s="106" t="str">
        <f>B08_Assessment!$J$36</f>
        <v>Electrical schedule identifies B08-TR2065AB in Telecom Room 2065A with TR receptacles, rack receptacles, lighting, access controller, CU-2-01 and SPD notes; verify B08-TR2065AA source/scope.</v>
      </c>
      <c r="G1130" s="106" t="str">
        <f>"B08_Assessment!A36:J36"</f>
        <v>B08_Assessment!A36:J36</v>
      </c>
    </row>
    <row r="1131" spans="1:7" ht="34.950000000000003" customHeight="1">
      <c r="A1131" s="106" t="str">
        <f>B08_Assessment!$B$2</f>
        <v>08</v>
      </c>
      <c r="B1131" s="106" t="str">
        <f t="shared" si="91"/>
        <v>B07_Assessment</v>
      </c>
      <c r="C1131" s="106" t="str">
        <f>"Telecom"</f>
        <v>Telecom</v>
      </c>
      <c r="D1131" s="142" t="str">
        <f>B08_Assessment!$A$40</f>
        <v>B-15</v>
      </c>
      <c r="E1131" s="142" t="str">
        <f>B08_Assessment!$I$40</f>
        <v>Verify</v>
      </c>
      <c r="F1131" s="106" t="str">
        <f>B08_Assessment!$J$40</f>
        <v>Existing Room B-15 rack elevations show wall/wall-mounted TE, legacy 24/48-port patch panels, legacy Fiber LIU and UPS.</v>
      </c>
      <c r="G1131" s="106" t="str">
        <f>"B08_Assessment!A40:J40"</f>
        <v>B08_Assessment!A40:J40</v>
      </c>
    </row>
    <row r="1132" spans="1:7" ht="46.35" customHeight="1">
      <c r="A1132" s="106" t="str">
        <f>B08_Assessment!$B$2</f>
        <v>08</v>
      </c>
      <c r="B1132" s="106" t="str">
        <f t="shared" si="91"/>
        <v>B07_Assessment</v>
      </c>
      <c r="C1132" s="106" t="str">
        <f>"Telecom"</f>
        <v>Telecom</v>
      </c>
      <c r="D1132" s="142" t="str">
        <f>B08_Assessment!$A$41</f>
        <v>B12B</v>
      </c>
      <c r="E1132" s="142" t="str">
        <f>B08_Assessment!$I$41</f>
        <v>Verify</v>
      </c>
      <c r="F1132" s="106" t="str">
        <f>B08_Assessment!$J$41</f>
        <v>Telecom schedule uses Rack ID TE01-B12B-1; 80 WAO total, 159 active ports per survey, 116 total ports per schedule, and 128 total ports with 10% allowance.</v>
      </c>
      <c r="G1132" s="106" t="str">
        <f>"B08_Assessment!A41:J41"</f>
        <v>B08_Assessment!A41:J41</v>
      </c>
    </row>
    <row r="1133" spans="1:7" ht="64.2" customHeight="1">
      <c r="A1133" s="106" t="str">
        <f>B08_Assessment!$B$2</f>
        <v>08</v>
      </c>
      <c r="B1133" s="106" t="str">
        <f t="shared" si="91"/>
        <v>B07_Assessment</v>
      </c>
      <c r="C1133" s="106" t="str">
        <f>"Telecom"</f>
        <v>Telecom</v>
      </c>
      <c r="D1133" s="142" t="str">
        <f>B08_Assessment!$A$42</f>
        <v>2065A</v>
      </c>
      <c r="E1133" s="142" t="str">
        <f>B08_Assessment!$I$42</f>
        <v>Verify</v>
      </c>
      <c r="F1133" s="106" t="str">
        <f>B08_Assessment!$J$42</f>
        <v>New Room 2065A rack elevations show two 4-post floor racks; Rack 1 includes Fiber LIU, 24-port Cat5E patch panel, four 48-port Cat6A patch panels, network switches, Zone PDU and UPS; Rack 2 includes future switches and UPS.</v>
      </c>
      <c r="G1133" s="106" t="str">
        <f>"B08_Assessment!A42:J42"</f>
        <v>B08_Assessment!A42:J42</v>
      </c>
    </row>
    <row r="1134" spans="1:7" ht="29.1" customHeight="1">
      <c r="A1134" s="106" t="str">
        <f>B08_Assessment!$B$2</f>
        <v>08</v>
      </c>
      <c r="B1134" s="106" t="str">
        <f t="shared" ref="B1134:B1148" si="92">"B08_Assessment"</f>
        <v>B08_Assessment</v>
      </c>
      <c r="C1134" s="106" t="str">
        <f>"Security"</f>
        <v>Security</v>
      </c>
      <c r="D1134" s="142" t="str">
        <f>B08_Assessment!$A$46</f>
        <v>B-15</v>
      </c>
      <c r="E1134" s="142" t="str">
        <f>B08_Assessment!$I$46</f>
        <v>Verify</v>
      </c>
      <c r="F1134" s="106" t="str">
        <f>B08_Assessment!$J$46</f>
        <v>Verify existing basement access/security while protecting active equipment.</v>
      </c>
      <c r="G1134" s="106" t="str">
        <f>"B08_Assessment!A46:J46"</f>
        <v>B08_Assessment!A46:J46</v>
      </c>
    </row>
    <row r="1135" spans="1:7" ht="29.1" customHeight="1">
      <c r="A1135" s="106" t="str">
        <f>B08_Assessment!$B$2</f>
        <v>08</v>
      </c>
      <c r="B1135" s="106" t="str">
        <f t="shared" si="92"/>
        <v>B08_Assessment</v>
      </c>
      <c r="C1135" s="106" t="str">
        <f>"Security"</f>
        <v>Security</v>
      </c>
      <c r="D1135" s="142" t="str">
        <f>B08_Assessment!$A$47</f>
        <v>B12B</v>
      </c>
      <c r="E1135" s="142" t="str">
        <f>B08_Assessment!$I$47</f>
        <v>Verify</v>
      </c>
      <c r="F1135" s="106" t="str">
        <f>B08_Assessment!$J$47</f>
        <v>45-minute door shown; verify access-control hardware applicability and whether TE is secured.</v>
      </c>
      <c r="G1135" s="106" t="str">
        <f>"B08_Assessment!A47:J47"</f>
        <v>B08_Assessment!A47:J47</v>
      </c>
    </row>
    <row r="1136" spans="1:7" ht="58.35" customHeight="1">
      <c r="A1136" s="106" t="str">
        <f>B08_Assessment!$B$2</f>
        <v>08</v>
      </c>
      <c r="B1136" s="106" t="str">
        <f t="shared" si="92"/>
        <v>B08_Assessment</v>
      </c>
      <c r="C1136" s="106" t="str">
        <f>"Security"</f>
        <v>Security</v>
      </c>
      <c r="D1136" s="142" t="str">
        <f>B08_Assessment!$A$48</f>
        <v>2065A</v>
      </c>
      <c r="E1136" s="142" t="str">
        <f>B08_Assessment!$I$48</f>
        <v>Verify</v>
      </c>
      <c r="F1136" s="106" t="str">
        <f>B08_Assessment!$J$48</f>
        <v>Door schedule/hardware note requires coordination with electrical/access control; verify card reader, electric strike, door position, motion sensor, camera and VA integration.</v>
      </c>
      <c r="G1136" s="106" t="str">
        <f>"B08_Assessment!A48:J48"</f>
        <v>B08_Assessment!A48:J48</v>
      </c>
    </row>
    <row r="1137" spans="1:7" ht="40.65" customHeight="1">
      <c r="A1137" s="106" t="str">
        <f>B09_Assessment!$B$2</f>
        <v>09</v>
      </c>
      <c r="B1137" s="106" t="str">
        <f t="shared" si="92"/>
        <v>B08_Assessment</v>
      </c>
      <c r="C1137" s="106" t="str">
        <f>"Fire"</f>
        <v>Fire</v>
      </c>
      <c r="D1137" s="142" t="str">
        <f>B09_Assessment!$A$22</f>
        <v>B01</v>
      </c>
      <c r="E1137" s="142" t="str">
        <f>B09_Assessment!$I$22</f>
        <v>Verify</v>
      </c>
      <c r="F1137" s="106" t="str">
        <f>B09_Assessment!$J$22</f>
        <v>Fully sprinklered building; verify sprinkler head coverage, rated penetrations, temporary firestopping, and FEC location for basement TR.</v>
      </c>
      <c r="G1137" s="106" t="str">
        <f>"B09_Assessment!A22:J22"</f>
        <v>B09_Assessment!A22:J22</v>
      </c>
    </row>
    <row r="1138" spans="1:7" ht="52.2" customHeight="1">
      <c r="A1138" s="106" t="str">
        <f>B09_Assessment!$B$2</f>
        <v>09</v>
      </c>
      <c r="B1138" s="106" t="str">
        <f t="shared" si="92"/>
        <v>B08_Assessment</v>
      </c>
      <c r="C1138" s="106" t="str">
        <f>"Fire"</f>
        <v>Fire</v>
      </c>
      <c r="D1138" s="142" t="str">
        <f>B09_Assessment!$A$23</f>
        <v>104B</v>
      </c>
      <c r="E1138" s="142" t="str">
        <f>B09_Assessment!$I$23</f>
        <v>Verify</v>
      </c>
      <c r="F1138" s="106" t="str">
        <f>B09_Assessment!$J$23</f>
        <v>Fire protection enlarged plan shows Telecom Room 104B and rated wall legend; verify sprinkler/fire alarm modifications and clean-agent extinguisher within 75 ft.</v>
      </c>
      <c r="G1138" s="106" t="str">
        <f>"B09_Assessment!A23:J23"</f>
        <v>B09_Assessment!A23:J23</v>
      </c>
    </row>
    <row r="1139" spans="1:7" ht="46.35" customHeight="1">
      <c r="A1139" s="106" t="str">
        <f>B09_Assessment!$B$2</f>
        <v>09</v>
      </c>
      <c r="B1139" s="106" t="str">
        <f t="shared" si="92"/>
        <v>B08_Assessment</v>
      </c>
      <c r="C1139" s="106" t="str">
        <f>"Fire"</f>
        <v>Fire</v>
      </c>
      <c r="D1139" s="142" t="str">
        <f>B09_Assessment!$A$24</f>
        <v>206A</v>
      </c>
      <c r="E1139" s="142" t="str">
        <f>B09_Assessment!$I$24</f>
        <v>Verify</v>
      </c>
      <c r="F1139" s="106" t="str">
        <f>B09_Assessment!$J$24</f>
        <v>Fire protection enlarged plan shows Telecom Room 206A; verify sprinkler cage/coverage, fire alarm device relocation/additions, and rated penetrations.</v>
      </c>
      <c r="G1139" s="106" t="str">
        <f>"B09_Assessment!A24:J24"</f>
        <v>B09_Assessment!A24:J24</v>
      </c>
    </row>
    <row r="1140" spans="1:7" ht="52.2" customHeight="1">
      <c r="A1140" s="106" t="str">
        <f>B09_Assessment!$B$2</f>
        <v>09</v>
      </c>
      <c r="B1140" s="106" t="str">
        <f t="shared" si="92"/>
        <v>B08_Assessment</v>
      </c>
      <c r="C1140" s="106" t="str">
        <f>"HVAC"</f>
        <v>HVAC</v>
      </c>
      <c r="D1140" s="142" t="str">
        <f>B09_Assessment!$A$28</f>
        <v>B01</v>
      </c>
      <c r="E1140" s="142" t="str">
        <f>B09_Assessment!$I$28</f>
        <v>Verify</v>
      </c>
      <c r="F1140" s="106" t="str">
        <f>B09_Assessment!$J$28</f>
        <v>Electrical enlarged/panel data identifies CU-0-1 serving basement work; verify mechanical schedule, emergency source, condensate, controls and alarms.</v>
      </c>
      <c r="G1140" s="106" t="str">
        <f>"B09_Assessment!A28:J28"</f>
        <v>B09_Assessment!A28:J28</v>
      </c>
    </row>
    <row r="1141" spans="1:7" ht="34.950000000000003" customHeight="1">
      <c r="A1141" s="106" t="str">
        <f>B09_Assessment!$B$2</f>
        <v>09</v>
      </c>
      <c r="B1141" s="106" t="str">
        <f t="shared" si="92"/>
        <v>B08_Assessment</v>
      </c>
      <c r="C1141" s="106" t="str">
        <f>"HVAC"</f>
        <v>HVAC</v>
      </c>
      <c r="D1141" s="142" t="str">
        <f>B09_Assessment!$A$29</f>
        <v>104B</v>
      </c>
      <c r="E1141" s="142" t="str">
        <f>B09_Assessment!$I$29</f>
        <v>Verify</v>
      </c>
      <c r="F1141" s="106" t="str">
        <f>B09_Assessment!$J$29</f>
        <v>Electrical enlarged plan identifies IU-1-01 in Telecom Room 104B and CU-1-1; verify dedicated 24/7 cooling and emergency power.</v>
      </c>
      <c r="G1141" s="106" t="str">
        <f>"B09_Assessment!A29:J29"</f>
        <v>B09_Assessment!A29:J29</v>
      </c>
    </row>
    <row r="1142" spans="1:7" ht="34.950000000000003" customHeight="1">
      <c r="A1142" s="106" t="str">
        <f>B09_Assessment!$B$2</f>
        <v>09</v>
      </c>
      <c r="B1142" s="106" t="str">
        <f t="shared" si="92"/>
        <v>B08_Assessment</v>
      </c>
      <c r="C1142" s="106" t="str">
        <f>"HVAC"</f>
        <v>HVAC</v>
      </c>
      <c r="D1142" s="142" t="str">
        <f>B09_Assessment!$A$30</f>
        <v>206A</v>
      </c>
      <c r="E1142" s="142" t="str">
        <f>B09_Assessment!$I$30</f>
        <v>Verify</v>
      </c>
      <c r="F1142" s="106" t="str">
        <f>B09_Assessment!$J$30</f>
        <v>Electrical enlarged plan identifies IU-2-01 in Telecom Room 206A and CU-2-1; verify dedicated 24/7 cooling and emergency power.</v>
      </c>
      <c r="G1142" s="106" t="str">
        <f>"B09_Assessment!A30:J30"</f>
        <v>B09_Assessment!A30:J30</v>
      </c>
    </row>
    <row r="1143" spans="1:7" ht="52.2" customHeight="1">
      <c r="A1143" s="106" t="str">
        <f>B09_Assessment!$B$2</f>
        <v>09</v>
      </c>
      <c r="B1143" s="106" t="str">
        <f t="shared" si="92"/>
        <v>B08_Assessment</v>
      </c>
      <c r="C1143" s="106" t="str">
        <f>"Electrical"</f>
        <v>Electrical</v>
      </c>
      <c r="D1143" s="142" t="str">
        <f>B09_Assessment!$A$34</f>
        <v>B01</v>
      </c>
      <c r="E1143" s="142" t="str">
        <f>B09_Assessment!$I$34</f>
        <v>Verify</v>
      </c>
      <c r="F1143" s="106" t="str">
        <f>B09_Assessment!$J$34</f>
        <v>Panel schedule lists B09-TRB01A/B in Telecom Room B01 with 208Y/120V panels, rack receptacles, access controller, mechanical equipment, lighting and SPD notes.</v>
      </c>
      <c r="G1143" s="106" t="str">
        <f>"B09_Assessment!A34:J34"</f>
        <v>B09_Assessment!A34:J34</v>
      </c>
    </row>
    <row r="1144" spans="1:7" ht="46.35" customHeight="1">
      <c r="A1144" s="106" t="str">
        <f>B09_Assessment!$B$2</f>
        <v>09</v>
      </c>
      <c r="B1144" s="106" t="str">
        <f t="shared" si="92"/>
        <v>B08_Assessment</v>
      </c>
      <c r="C1144" s="106" t="str">
        <f>"Electrical"</f>
        <v>Electrical</v>
      </c>
      <c r="D1144" s="142" t="str">
        <f>B09_Assessment!$A$35</f>
        <v>104B</v>
      </c>
      <c r="E1144" s="142" t="str">
        <f>B09_Assessment!$I$35</f>
        <v>Verify</v>
      </c>
      <c r="F1144" s="106" t="str">
        <f>B09_Assessment!$J$35</f>
        <v>Electrical enlarged plan shows panel references B09-TR104BA/B, IU-1-01, security devices, lighting and receptacle/rack circuits.</v>
      </c>
      <c r="G1144" s="106" t="str">
        <f>"B09_Assessment!A35:J35"</f>
        <v>B09_Assessment!A35:J35</v>
      </c>
    </row>
    <row r="1145" spans="1:7" ht="46.35" customHeight="1">
      <c r="A1145" s="106" t="str">
        <f>B09_Assessment!$B$2</f>
        <v>09</v>
      </c>
      <c r="B1145" s="106" t="str">
        <f t="shared" si="92"/>
        <v>B08_Assessment</v>
      </c>
      <c r="C1145" s="106" t="str">
        <f>"Electrical"</f>
        <v>Electrical</v>
      </c>
      <c r="D1145" s="142" t="str">
        <f>B09_Assessment!$A$36</f>
        <v>206A</v>
      </c>
      <c r="E1145" s="142" t="str">
        <f>B09_Assessment!$I$36</f>
        <v>Verify</v>
      </c>
      <c r="F1145" s="106" t="str">
        <f>B09_Assessment!$J$36</f>
        <v>Electrical enlarged plan shows panel references B09-TR206AA/B, IU-2-01, security devices, lighting and receptacle/rack circuits.</v>
      </c>
      <c r="G1145" s="106" t="str">
        <f>"B09_Assessment!A36:J36"</f>
        <v>B09_Assessment!A36:J36</v>
      </c>
    </row>
    <row r="1146" spans="1:7" ht="40.65" customHeight="1">
      <c r="A1146" s="106" t="str">
        <f>B09_Assessment!$B$2</f>
        <v>09</v>
      </c>
      <c r="B1146" s="106" t="str">
        <f t="shared" si="92"/>
        <v>B08_Assessment</v>
      </c>
      <c r="C1146" s="106" t="str">
        <f>"Telecom"</f>
        <v>Telecom</v>
      </c>
      <c r="D1146" s="142" t="str">
        <f>B09_Assessment!$A$40</f>
        <v>B01</v>
      </c>
      <c r="E1146" s="142" t="str">
        <f>B09_Assessment!$I$40</f>
        <v>Verify</v>
      </c>
      <c r="F1146" s="106" t="str">
        <f>B09_Assessment!$J$40</f>
        <v>Fiber riser identifies Building 09 basement B01 with two-rack TR; verify rack elevations, fiber Path A/B, Cat6A replacement, LIU, bonding and cutover.</v>
      </c>
      <c r="G1146" s="106" t="str">
        <f>"B09_Assessment!A40:J40"</f>
        <v>B09_Assessment!A40:J40</v>
      </c>
    </row>
    <row r="1147" spans="1:7" ht="46.35" customHeight="1">
      <c r="A1147" s="106" t="str">
        <f>B09_Assessment!$B$2</f>
        <v>09</v>
      </c>
      <c r="B1147" s="106" t="str">
        <f t="shared" si="92"/>
        <v>B08_Assessment</v>
      </c>
      <c r="C1147" s="106" t="str">
        <f>"Telecom"</f>
        <v>Telecom</v>
      </c>
      <c r="D1147" s="142" t="str">
        <f>B09_Assessment!$A$41</f>
        <v>104B</v>
      </c>
      <c r="E1147" s="142" t="str">
        <f>B09_Assessment!$I$41</f>
        <v>Verify</v>
      </c>
      <c r="F1147" s="106" t="str">
        <f>B09_Assessment!$J$41</f>
        <v>Fiber riser identifies first-level Room 104B with two-rack TR; verify rack elevation details, patch panels, UPS/PDU, fiber LIU, grounding and test records.</v>
      </c>
      <c r="G1147" s="106" t="str">
        <f>"B09_Assessment!A41:J41"</f>
        <v>B09_Assessment!A41:J41</v>
      </c>
    </row>
    <row r="1148" spans="1:7" ht="46.35" customHeight="1">
      <c r="A1148" s="106" t="str">
        <f>B09_Assessment!$B$2</f>
        <v>09</v>
      </c>
      <c r="B1148" s="106" t="str">
        <f t="shared" si="92"/>
        <v>B08_Assessment</v>
      </c>
      <c r="C1148" s="106" t="str">
        <f>"Telecom"</f>
        <v>Telecom</v>
      </c>
      <c r="D1148" s="142" t="str">
        <f>B09_Assessment!$A$42</f>
        <v>206A</v>
      </c>
      <c r="E1148" s="142" t="str">
        <f>B09_Assessment!$I$42</f>
        <v>Verify</v>
      </c>
      <c r="F1148" s="106" t="str">
        <f>B09_Assessment!$J$42</f>
        <v>Fiber riser identifies second-level Room 206A with two-rack TR; verify rack elevation details, patch panels, UPS/PDU, fiber LIU, grounding and test records.</v>
      </c>
      <c r="G1148" s="106" t="str">
        <f>"B09_Assessment!A42:J42"</f>
        <v>B09_Assessment!A42:J42</v>
      </c>
    </row>
    <row r="1149" spans="1:7" ht="58.35" customHeight="1">
      <c r="A1149" s="106" t="str">
        <f>B09_Assessment!$B$2</f>
        <v>09</v>
      </c>
      <c r="B1149" s="106" t="str">
        <f t="shared" ref="B1149:B1163" si="93">"B09_Assessment"</f>
        <v>B09_Assessment</v>
      </c>
      <c r="C1149" s="106" t="str">
        <f>"Security"</f>
        <v>Security</v>
      </c>
      <c r="D1149" s="142" t="str">
        <f>B09_Assessment!$A$46</f>
        <v>B01</v>
      </c>
      <c r="E1149" s="142" t="str">
        <f>B09_Assessment!$I$46</f>
        <v>Verify</v>
      </c>
      <c r="F1149" s="106" t="str">
        <f>B09_Assessment!$J$46</f>
        <v>Enlarged plans show existing/new security boxes, network door controller, camera/security scope; verify PACS/CCTV integration and protection of active security systems.</v>
      </c>
      <c r="G1149" s="106" t="str">
        <f>"B09_Assessment!A46:J46"</f>
        <v>B09_Assessment!A46:J46</v>
      </c>
    </row>
    <row r="1150" spans="1:7" ht="52.2" customHeight="1">
      <c r="A1150" s="106" t="str">
        <f>B09_Assessment!$B$2</f>
        <v>09</v>
      </c>
      <c r="B1150" s="106" t="str">
        <f t="shared" si="93"/>
        <v>B09_Assessment</v>
      </c>
      <c r="C1150" s="106" t="str">
        <f>"Security"</f>
        <v>Security</v>
      </c>
      <c r="D1150" s="142" t="str">
        <f>B09_Assessment!$A$47</f>
        <v>104B</v>
      </c>
      <c r="E1150" s="142" t="str">
        <f>B09_Assessment!$I$47</f>
        <v>Verify</v>
      </c>
      <c r="F1150" s="106" t="str">
        <f>B09_Assessment!$J$47</f>
        <v>First-level enlarged plan shows CR/RX/DC/ES/MD-type device symbols and 104B camera designation; verify card reader, electric strike, door contact, motion and camera.</v>
      </c>
      <c r="G1150" s="106" t="str">
        <f>"B09_Assessment!A47:J47"</f>
        <v>B09_Assessment!A47:J47</v>
      </c>
    </row>
    <row r="1151" spans="1:7" ht="46.35" customHeight="1">
      <c r="A1151" s="106" t="str">
        <f>B09_Assessment!$B$2</f>
        <v>09</v>
      </c>
      <c r="B1151" s="106" t="str">
        <f t="shared" si="93"/>
        <v>B09_Assessment</v>
      </c>
      <c r="C1151" s="106" t="str">
        <f>"Security"</f>
        <v>Security</v>
      </c>
      <c r="D1151" s="142" t="str">
        <f>B09_Assessment!$A$48</f>
        <v>206A</v>
      </c>
      <c r="E1151" s="142" t="str">
        <f>B09_Assessment!$I$48</f>
        <v>Verify</v>
      </c>
      <c r="F1151" s="106" t="str">
        <f>B09_Assessment!$J$48</f>
        <v>Second-level enlarged plan shows CR/RX/DC/ES/MD-type device symbols and 206A camera designation; verify PACS/VMS integration and commissioning.</v>
      </c>
      <c r="G1151" s="106" t="str">
        <f>"B09_Assessment!A48:J48"</f>
        <v>B09_Assessment!A48:J48</v>
      </c>
    </row>
    <row r="1152" spans="1:7" ht="46.35" customHeight="1">
      <c r="A1152" s="106" t="str">
        <f>B10_Assessment!$B$2</f>
        <v>10</v>
      </c>
      <c r="B1152" s="106" t="str">
        <f t="shared" si="93"/>
        <v>B09_Assessment</v>
      </c>
      <c r="C1152" s="106" t="str">
        <f>"Fire"</f>
        <v>Fire</v>
      </c>
      <c r="D1152" s="142" t="str">
        <f>B10_Assessment!$A$22</f>
        <v>200A</v>
      </c>
      <c r="E1152" s="142" t="str">
        <f>B10_Assessment!$I$22</f>
        <v>Verify</v>
      </c>
      <c r="F1152" s="106" t="str">
        <f>B10_Assessment!$J$22</f>
        <v>Attic-level TR requires verification of sprinkler/fire alarm modifications, clean-agent 2A:10B:C FEC within 75 ft, rated penetrations and temporary firestopping.</v>
      </c>
      <c r="G1152" s="106" t="str">
        <f>"B10_Assessment!A22:J22"</f>
        <v>B10_Assessment!A22:J22</v>
      </c>
    </row>
    <row r="1153" spans="1:7" ht="29.1" customHeight="1">
      <c r="A1153" s="106" t="str">
        <f>B10_Assessment!$B$2</f>
        <v>10</v>
      </c>
      <c r="B1153" s="106" t="str">
        <f t="shared" si="93"/>
        <v>B09_Assessment</v>
      </c>
      <c r="C1153" s="106" t="str">
        <f>"Fire"</f>
        <v>Fire</v>
      </c>
      <c r="D1153" s="142" t="str">
        <f>B10_Assessment!$A$23</f>
        <v>B24</v>
      </c>
      <c r="E1153" s="142" t="str">
        <f>B10_Assessment!$I$23</f>
        <v>Verify</v>
      </c>
      <c r="F1153" s="106" t="str">
        <f>B10_Assessment!$J$23</f>
        <v>Electrical work may require penetrations or shutdowns; verify firestopping and protection-in-place.</v>
      </c>
      <c r="G1153" s="106" t="str">
        <f>"B10_Assessment!A23:J23"</f>
        <v>B10_Assessment!A23:J23</v>
      </c>
    </row>
    <row r="1154" spans="1:7" ht="29.1" customHeight="1">
      <c r="A1154" s="106" t="str">
        <f>B10_Assessment!$B$2</f>
        <v>10</v>
      </c>
      <c r="B1154" s="106" t="str">
        <f t="shared" si="93"/>
        <v>B09_Assessment</v>
      </c>
      <c r="C1154" s="106" t="str">
        <f>"Fire"</f>
        <v>Fire</v>
      </c>
      <c r="D1154" s="142" t="str">
        <f>B10_Assessment!$A$24</f>
        <v>B25</v>
      </c>
      <c r="E1154" s="142" t="str">
        <f>B10_Assessment!$I$24</f>
        <v>Verify</v>
      </c>
      <c r="F1154" s="106" t="str">
        <f>B10_Assessment!$J$24</f>
        <v>Emergency electrical room coordination; verify no unsealed penetrations or life-safety impairment.</v>
      </c>
      <c r="G1154" s="106" t="str">
        <f>"B10_Assessment!A24:J24"</f>
        <v>B10_Assessment!A24:J24</v>
      </c>
    </row>
    <row r="1155" spans="1:7" ht="52.2" customHeight="1">
      <c r="A1155" s="106" t="str">
        <f>B10_Assessment!$B$2</f>
        <v>10</v>
      </c>
      <c r="B1155" s="106" t="str">
        <f t="shared" si="93"/>
        <v>B09_Assessment</v>
      </c>
      <c r="C1155" s="106" t="str">
        <f>"HVAC"</f>
        <v>HVAC</v>
      </c>
      <c r="D1155" s="142" t="str">
        <f>B10_Assessment!$A$28</f>
        <v>200A</v>
      </c>
      <c r="E1155" s="142" t="str">
        <f>B10_Assessment!$I$28</f>
        <v>Verify</v>
      </c>
      <c r="F1155" s="106" t="str">
        <f>B10_Assessment!$J$28</f>
        <v>Mechanical/electrical drawings identify IU-1-01 in Telecom Room 200A and CU-1-01 outdoor unit; verify capacity, emergency power, condensate route, BACnet adapter and high-temp alarm.</v>
      </c>
      <c r="G1155" s="106" t="str">
        <f>"B10_Assessment!A28:J28"</f>
        <v>B10_Assessment!A28:J28</v>
      </c>
    </row>
    <row r="1156" spans="1:7" ht="29.1" customHeight="1">
      <c r="A1156" s="106" t="str">
        <f>B10_Assessment!$B$2</f>
        <v>10</v>
      </c>
      <c r="B1156" s="106" t="str">
        <f t="shared" si="93"/>
        <v>B09_Assessment</v>
      </c>
      <c r="C1156" s="106" t="str">
        <f>"HVAC"</f>
        <v>HVAC</v>
      </c>
      <c r="D1156" s="142" t="str">
        <f>B10_Assessment!$A$29</f>
        <v>B24</v>
      </c>
      <c r="E1156" s="142" t="str">
        <f>B10_Assessment!$I$29</f>
        <v>N/A</v>
      </c>
      <c r="F1156" s="106" t="str">
        <f>B10_Assessment!$J$29</f>
        <v>No dedicated TR cooling scope; verify electrical room ventilation is not impacted by new work.</v>
      </c>
      <c r="G1156" s="106" t="str">
        <f>"B10_Assessment!A29:J29"</f>
        <v>B10_Assessment!A29:J29</v>
      </c>
    </row>
    <row r="1157" spans="1:7" ht="29.1" customHeight="1">
      <c r="A1157" s="106" t="str">
        <f>B10_Assessment!$B$2</f>
        <v>10</v>
      </c>
      <c r="B1157" s="106" t="str">
        <f t="shared" si="93"/>
        <v>B09_Assessment</v>
      </c>
      <c r="C1157" s="106" t="str">
        <f>"HVAC"</f>
        <v>HVAC</v>
      </c>
      <c r="D1157" s="142" t="str">
        <f>B10_Assessment!$A$30</f>
        <v>B25</v>
      </c>
      <c r="E1157" s="142" t="str">
        <f>B10_Assessment!$I$30</f>
        <v>N/A</v>
      </c>
      <c r="F1157" s="106" t="str">
        <f>B10_Assessment!$J$30</f>
        <v>No dedicated TR cooling scope; verify emergency electrical room ventilation is not impacted.</v>
      </c>
      <c r="G1157" s="106" t="str">
        <f>"B10_Assessment!A30:J30"</f>
        <v>B10_Assessment!A30:J30</v>
      </c>
    </row>
    <row r="1158" spans="1:7" ht="64.2" customHeight="1">
      <c r="A1158" s="106" t="str">
        <f>B10_Assessment!$B$2</f>
        <v>10</v>
      </c>
      <c r="B1158" s="106" t="str">
        <f t="shared" si="93"/>
        <v>B09_Assessment</v>
      </c>
      <c r="C1158" s="106" t="str">
        <f>"Electrical"</f>
        <v>Electrical</v>
      </c>
      <c r="D1158" s="142" t="str">
        <f>B10_Assessment!$A$34</f>
        <v>200A</v>
      </c>
      <c r="E1158" s="142" t="str">
        <f>B10_Assessment!$I$34</f>
        <v>Verify</v>
      </c>
      <c r="F1158" s="106" t="str">
        <f>B10_Assessment!$J$34</f>
        <v>Electrical schedule identifies B10-TR200AA/AB in Telecom Room 200A with rack receptacles, TR receptacles, lighting, access controller, CU-1-01 and SPD requirements; verify source and labels.</v>
      </c>
      <c r="G1158" s="106" t="str">
        <f>"B10_Assessment!A34:J34"</f>
        <v>B10_Assessment!A34:J34</v>
      </c>
    </row>
    <row r="1159" spans="1:7" ht="40.65" customHeight="1">
      <c r="A1159" s="106" t="str">
        <f>B10_Assessment!$B$2</f>
        <v>10</v>
      </c>
      <c r="B1159" s="106" t="str">
        <f t="shared" si="93"/>
        <v>B09_Assessment</v>
      </c>
      <c r="C1159" s="106" t="str">
        <f>"Electrical"</f>
        <v>Electrical</v>
      </c>
      <c r="D1159" s="142" t="str">
        <f>B10_Assessment!$A$35</f>
        <v>B24</v>
      </c>
      <c r="E1159" s="142" t="str">
        <f>B10_Assessment!$I$35</f>
        <v>Verify</v>
      </c>
      <c r="F1159" s="106" t="str">
        <f>B10_Assessment!$J$35</f>
        <v>Basement normal electrical source; verify load measurement, new breakers/feeders, panel access, LOTO and shutdown sequencing.</v>
      </c>
      <c r="G1159" s="106" t="str">
        <f>"B10_Assessment!A35:J35"</f>
        <v>B10_Assessment!A35:J35</v>
      </c>
    </row>
    <row r="1160" spans="1:7" ht="29.1" customHeight="1">
      <c r="A1160" s="106" t="str">
        <f>B10_Assessment!$B$2</f>
        <v>10</v>
      </c>
      <c r="B1160" s="106" t="str">
        <f t="shared" si="93"/>
        <v>B09_Assessment</v>
      </c>
      <c r="C1160" s="106" t="str">
        <f>"Electrical"</f>
        <v>Electrical</v>
      </c>
      <c r="D1160" s="142" t="str">
        <f>B10_Assessment!$A$36</f>
        <v>B25</v>
      </c>
      <c r="E1160" s="142" t="str">
        <f>B10_Assessment!$I$36</f>
        <v>Verify</v>
      </c>
      <c r="F1160" s="106" t="str">
        <f>B10_Assessment!$J$36</f>
        <v>Emergency source coordination; verify generator/ATS feed to TR critical loads and cooling where required.</v>
      </c>
      <c r="G1160" s="106" t="str">
        <f>"B10_Assessment!A36:J36"</f>
        <v>B10_Assessment!A36:J36</v>
      </c>
    </row>
    <row r="1161" spans="1:7" ht="64.2" customHeight="1">
      <c r="A1161" s="106" t="str">
        <f>B10_Assessment!$B$2</f>
        <v>10</v>
      </c>
      <c r="B1161" s="106" t="str">
        <f t="shared" si="93"/>
        <v>B09_Assessment</v>
      </c>
      <c r="C1161" s="106" t="str">
        <f>"Telecom"</f>
        <v>Telecom</v>
      </c>
      <c r="D1161" s="142" t="str">
        <f>B10_Assessment!$A$40</f>
        <v>200A</v>
      </c>
      <c r="E1161" s="142" t="str">
        <f>B10_Assessment!$I$40</f>
        <v>Verify</v>
      </c>
      <c r="F1161" s="106" t="str">
        <f>B10_Assessment!$J$40</f>
        <v>10T sheets show attic telecom plan/rack elevations; provide 4-post racks, UPS, redundant PDUs, switches, Cat6A patch panels, Fiber LIU, bonding/grounding, labeling, testing and VA acceptance before cutover.</v>
      </c>
      <c r="G1161" s="106" t="str">
        <f>"B10_Assessment!A40:J40"</f>
        <v>B10_Assessment!A40:J40</v>
      </c>
    </row>
    <row r="1162" spans="1:7" ht="29.1" customHeight="1">
      <c r="A1162" s="106" t="str">
        <f>B10_Assessment!$B$2</f>
        <v>10</v>
      </c>
      <c r="B1162" s="106" t="str">
        <f t="shared" si="93"/>
        <v>B09_Assessment</v>
      </c>
      <c r="C1162" s="106" t="str">
        <f>"Telecom"</f>
        <v>Telecom</v>
      </c>
      <c r="D1162" s="142" t="str">
        <f>B10_Assessment!$A$41</f>
        <v>B24</v>
      </c>
      <c r="E1162" s="142" t="str">
        <f>B10_Assessment!$I$41</f>
        <v>Verify</v>
      </c>
      <c r="F1162" s="106" t="str">
        <f>B10_Assessment!$J$41</f>
        <v>Coordinate telecom power pathways through/source from basement electrical room if applicable.</v>
      </c>
      <c r="G1162" s="106" t="str">
        <f>"B10_Assessment!A41:J41"</f>
        <v>B10_Assessment!A41:J41</v>
      </c>
    </row>
    <row r="1163" spans="1:7" ht="22.95" customHeight="1">
      <c r="A1163" s="106" t="str">
        <f>B10_Assessment!$B$2</f>
        <v>10</v>
      </c>
      <c r="B1163" s="106" t="str">
        <f t="shared" si="93"/>
        <v>B09_Assessment</v>
      </c>
      <c r="C1163" s="106" t="str">
        <f>"Telecom"</f>
        <v>Telecom</v>
      </c>
      <c r="D1163" s="142" t="str">
        <f>B10_Assessment!$A$42</f>
        <v>B25</v>
      </c>
      <c r="E1163" s="142" t="str">
        <f>B10_Assessment!$I$42</f>
        <v>Verify</v>
      </c>
      <c r="F1163" s="106" t="str">
        <f>B10_Assessment!$J$42</f>
        <v>Coordinate emergency source/backup power pathways for telecom equipment and cooling.</v>
      </c>
      <c r="G1163" s="106" t="str">
        <f>"B10_Assessment!A42:J42"</f>
        <v>B10_Assessment!A42:J42</v>
      </c>
    </row>
    <row r="1164" spans="1:7" ht="58.35" customHeight="1">
      <c r="A1164" s="106" t="str">
        <f>B10_Assessment!$B$2</f>
        <v>10</v>
      </c>
      <c r="B1164" s="106" t="str">
        <f t="shared" ref="B1164:B1173" si="94">"B10_Assessment"</f>
        <v>B10_Assessment</v>
      </c>
      <c r="C1164" s="106" t="str">
        <f>"Security"</f>
        <v>Security</v>
      </c>
      <c r="D1164" s="142" t="str">
        <f>B10_Assessment!$A$46</f>
        <v>200A</v>
      </c>
      <c r="E1164" s="142" t="str">
        <f>B10_Assessment!$I$46</f>
        <v>Verify</v>
      </c>
      <c r="F1164" s="106" t="str">
        <f>B10_Assessment!$J$46</f>
        <v>General scope requires PACS/CCTV for TR doors; verify door hardware, access controller, camera/VMS integration and any existing attic access/security constraints.</v>
      </c>
      <c r="G1164" s="106" t="str">
        <f>"B10_Assessment!A46:J46"</f>
        <v>B10_Assessment!A46:J46</v>
      </c>
    </row>
    <row r="1165" spans="1:7" ht="22.95" customHeight="1">
      <c r="A1165" s="106" t="str">
        <f>B10_Assessment!$B$2</f>
        <v>10</v>
      </c>
      <c r="B1165" s="106" t="str">
        <f t="shared" si="94"/>
        <v>B10_Assessment</v>
      </c>
      <c r="C1165" s="106" t="str">
        <f>"Security"</f>
        <v>Security</v>
      </c>
      <c r="D1165" s="142" t="str">
        <f>B10_Assessment!$A$47</f>
        <v>B24</v>
      </c>
      <c r="E1165" s="142" t="str">
        <f>B10_Assessment!$I$47</f>
        <v>Verify</v>
      </c>
      <c r="F1165" s="106" t="str">
        <f>B10_Assessment!$J$47</f>
        <v>Verify security impact only if electrical source room access or devices are modified.</v>
      </c>
      <c r="G1165" s="106" t="str">
        <f>"B10_Assessment!A47:J47"</f>
        <v>B10_Assessment!A47:J47</v>
      </c>
    </row>
    <row r="1166" spans="1:7" ht="29.1" customHeight="1">
      <c r="A1166" s="106" t="str">
        <f>B10_Assessment!$B$2</f>
        <v>10</v>
      </c>
      <c r="B1166" s="106" t="str">
        <f t="shared" si="94"/>
        <v>B10_Assessment</v>
      </c>
      <c r="C1166" s="106" t="str">
        <f>"Security"</f>
        <v>Security</v>
      </c>
      <c r="D1166" s="142" t="str">
        <f>B10_Assessment!$A$48</f>
        <v>B25</v>
      </c>
      <c r="E1166" s="142" t="str">
        <f>B10_Assessment!$I$48</f>
        <v>Verify</v>
      </c>
      <c r="F1166" s="106" t="str">
        <f>B10_Assessment!$J$48</f>
        <v>Verify emergency electrical room security impact if work requires access control changes.</v>
      </c>
      <c r="G1166" s="106" t="str">
        <f>"B10_Assessment!A48:J48"</f>
        <v>B10_Assessment!A48:J48</v>
      </c>
    </row>
    <row r="1167" spans="1:7" ht="40.65" customHeight="1">
      <c r="A1167" s="106" t="str">
        <f>B12_Assessment!$B$2</f>
        <v>12</v>
      </c>
      <c r="B1167" s="106" t="str">
        <f t="shared" si="94"/>
        <v>B10_Assessment</v>
      </c>
      <c r="C1167" s="106" t="str">
        <f>"Fire"</f>
        <v>Fire</v>
      </c>
      <c r="D1167" s="142" t="str">
        <f>B12_Assessment!$A$20</f>
        <v>Fiber path B/1/2</v>
      </c>
      <c r="E1167" s="142" t="str">
        <f>B12_Assessment!$I$20</f>
        <v>Verify</v>
      </c>
      <c r="F1167" s="106" t="str">
        <f>B12_Assessment!$J$20</f>
        <v>No fire protection drawing package beyond general notes; verify penetrations/firestopping for fiber pull-through route.</v>
      </c>
      <c r="G1167" s="106" t="str">
        <f>"B12_Assessment!A20:J20"</f>
        <v>B12_Assessment!A20:J20</v>
      </c>
    </row>
    <row r="1168" spans="1:7" ht="29.1" customHeight="1">
      <c r="A1168" s="106" t="str">
        <f>B12_Assessment!$B$2</f>
        <v>12</v>
      </c>
      <c r="B1168" s="106" t="str">
        <f t="shared" si="94"/>
        <v>B10_Assessment</v>
      </c>
      <c r="C1168" s="106" t="str">
        <f>"Fire"</f>
        <v>Fire</v>
      </c>
      <c r="D1168" s="142" t="str">
        <f>B12_Assessment!$A$21</f>
        <v>Existing rack/demarc - field verify</v>
      </c>
      <c r="E1168" s="142" t="str">
        <f>B12_Assessment!$I$21</f>
        <v>Verify</v>
      </c>
      <c r="F1168" s="106" t="str">
        <f>B12_Assessment!$J$21</f>
        <v>No new TR/FEC shown; verify no rated assemblies are compromised by fiber pathway work.</v>
      </c>
      <c r="G1168" s="106" t="str">
        <f>"B12_Assessment!A21:J21"</f>
        <v>B12_Assessment!A21:J21</v>
      </c>
    </row>
    <row r="1169" spans="1:7" ht="29.1" customHeight="1">
      <c r="A1169" s="106" t="str">
        <f>B12_Assessment!$B$2</f>
        <v>12</v>
      </c>
      <c r="B1169" s="106" t="str">
        <f t="shared" si="94"/>
        <v>B10_Assessment</v>
      </c>
      <c r="C1169" s="106" t="str">
        <f>"HVAC"</f>
        <v>HVAC</v>
      </c>
      <c r="D1169" s="142" t="str">
        <f>B12_Assessment!$A$25</f>
        <v>Fiber path B/1/2</v>
      </c>
      <c r="E1169" s="142" t="str">
        <f>B12_Assessment!$I$25</f>
        <v>N/A</v>
      </c>
      <c r="F1169" s="106" t="str">
        <f>B12_Assessment!$J$25</f>
        <v>No HVAC drawing package for Building 12; fiber-only scope does not indicate new cooling equipment.</v>
      </c>
      <c r="G1169" s="106" t="str">
        <f>"B12_Assessment!A25:J25"</f>
        <v>B12_Assessment!A25:J25</v>
      </c>
    </row>
    <row r="1170" spans="1:7" ht="34.950000000000003" customHeight="1">
      <c r="A1170" s="106" t="str">
        <f>B12_Assessment!$B$2</f>
        <v>12</v>
      </c>
      <c r="B1170" s="106" t="str">
        <f t="shared" si="94"/>
        <v>B10_Assessment</v>
      </c>
      <c r="C1170" s="106" t="str">
        <f>"HVAC"</f>
        <v>HVAC</v>
      </c>
      <c r="D1170" s="142" t="str">
        <f>B12_Assessment!$A$26</f>
        <v>Existing rack/demarc - field verify</v>
      </c>
      <c r="E1170" s="142" t="str">
        <f>B12_Assessment!$I$26</f>
        <v>N/A</v>
      </c>
      <c r="F1170" s="106" t="str">
        <f>B12_Assessment!$J$26</f>
        <v>Field verify existing environmental conditions only if existing service point/equipment is accessed.</v>
      </c>
      <c r="G1170" s="106" t="str">
        <f>"B12_Assessment!A26:J26"</f>
        <v>B12_Assessment!A26:J26</v>
      </c>
    </row>
    <row r="1171" spans="1:7" ht="34.950000000000003" customHeight="1">
      <c r="A1171" s="106" t="str">
        <f>B12_Assessment!$B$2</f>
        <v>12</v>
      </c>
      <c r="B1171" s="106" t="str">
        <f t="shared" si="94"/>
        <v>B10_Assessment</v>
      </c>
      <c r="C1171" s="106" t="str">
        <f>"Electrical"</f>
        <v>Electrical</v>
      </c>
      <c r="D1171" s="142" t="str">
        <f>B12_Assessment!$A$30</f>
        <v>Fiber path B/1/2</v>
      </c>
      <c r="E1171" s="142" t="str">
        <f>B12_Assessment!$I$30</f>
        <v>Verify</v>
      </c>
      <c r="F1171" s="106" t="str">
        <f>B12_Assessment!$J$30</f>
        <v>No electrical drawing package for Building 12; no new panel/UPS/PDU/rack receptacle scope shown.</v>
      </c>
      <c r="G1171" s="106" t="str">
        <f>"B12_Assessment!A30:J30"</f>
        <v>B12_Assessment!A30:J30</v>
      </c>
    </row>
    <row r="1172" spans="1:7" ht="34.950000000000003" customHeight="1">
      <c r="A1172" s="106" t="str">
        <f>B12_Assessment!$B$2</f>
        <v>12</v>
      </c>
      <c r="B1172" s="106" t="str">
        <f t="shared" si="94"/>
        <v>B10_Assessment</v>
      </c>
      <c r="C1172" s="106" t="str">
        <f>"Electrical"</f>
        <v>Electrical</v>
      </c>
      <c r="D1172" s="142" t="str">
        <f>B12_Assessment!$A$31</f>
        <v>Existing rack/demarc - field verify</v>
      </c>
      <c r="E1172" s="142" t="str">
        <f>B12_Assessment!$I$31</f>
        <v>Verify</v>
      </c>
      <c r="F1172" s="106" t="str">
        <f>B12_Assessment!$J$31</f>
        <v>Confirm whether any existing equipment is touched. Scope appears limited to fiber pull-through and testing/labeling.</v>
      </c>
      <c r="G1172" s="106" t="str">
        <f>"B12_Assessment!A31:J31"</f>
        <v>B12_Assessment!A31:J31</v>
      </c>
    </row>
    <row r="1173" spans="1:7" ht="64.2" customHeight="1">
      <c r="A1173" s="106" t="str">
        <f>B12_Assessment!$B$2</f>
        <v>12</v>
      </c>
      <c r="B1173" s="106" t="str">
        <f t="shared" si="94"/>
        <v>B10_Assessment</v>
      </c>
      <c r="C1173" s="106" t="str">
        <f>"Telecom"</f>
        <v>Telecom</v>
      </c>
      <c r="D1173" s="142" t="str">
        <f>B12_Assessment!$A$35</f>
        <v>Fiber path B/1/2</v>
      </c>
      <c r="E1173" s="142" t="str">
        <f>B12_Assessment!$I$35</f>
        <v>Verify</v>
      </c>
      <c r="F1173" s="106" t="str">
        <f>B12_Assessment!$J$35</f>
        <v>Building 12 receives fiber only. Verify pull-through path on basement/first/second telecom plans, redundant Path A/B fiber, pathway capacity, grounding/bonding where applicable, labeling and testing.</v>
      </c>
      <c r="G1173" s="106" t="str">
        <f>"B12_Assessment!A35:J35"</f>
        <v>B12_Assessment!A35:J35</v>
      </c>
    </row>
    <row r="1174" spans="1:7" ht="46.35" customHeight="1">
      <c r="A1174" s="106" t="str">
        <f>B12_Assessment!$B$2</f>
        <v>12</v>
      </c>
      <c r="B1174" s="106" t="str">
        <f t="shared" ref="B1174:B1183" si="95">"B12_Assessment"</f>
        <v>B12_Assessment</v>
      </c>
      <c r="C1174" s="106" t="str">
        <f>"Telecom"</f>
        <v>Telecom</v>
      </c>
      <c r="D1174" s="142" t="str">
        <f>B12_Assessment!$A$36</f>
        <v>Existing rack/demarc - field verify</v>
      </c>
      <c r="E1174" s="142" t="str">
        <f>B12_Assessment!$I$36</f>
        <v>Verify</v>
      </c>
      <c r="F1174" s="106" t="str">
        <f>B12_Assessment!$J$36</f>
        <v>12T-604 shows rack number 00/room 00 and notes fiber-only with no mounting type; verify existing service/termination point and whether fiber passes through only.</v>
      </c>
      <c r="G1174" s="106" t="str">
        <f>"B12_Assessment!A36:J36"</f>
        <v>B12_Assessment!A36:J36</v>
      </c>
    </row>
    <row r="1175" spans="1:7" ht="40.65" customHeight="1">
      <c r="A1175" s="106" t="str">
        <f>B12_Assessment!$B$2</f>
        <v>12</v>
      </c>
      <c r="B1175" s="106" t="str">
        <f t="shared" si="95"/>
        <v>B12_Assessment</v>
      </c>
      <c r="C1175" s="106" t="str">
        <f>"Security"</f>
        <v>Security</v>
      </c>
      <c r="D1175" s="142" t="str">
        <f>B12_Assessment!$A$40</f>
        <v>Fiber path B/1/2</v>
      </c>
      <c r="E1175" s="142" t="str">
        <f>B12_Assessment!$I$40</f>
        <v>N/A / Verify</v>
      </c>
      <c r="F1175" s="106" t="str">
        <f>B12_Assessment!$J$40</f>
        <v>No new TR door or PACS/CCTV package shown for Building 12; verify security access only for work areas and existing equipment rooms.</v>
      </c>
      <c r="G1175" s="106" t="str">
        <f>"B12_Assessment!A40:J40"</f>
        <v>B12_Assessment!A40:J40</v>
      </c>
    </row>
    <row r="1176" spans="1:7" ht="29.1" customHeight="1">
      <c r="A1176" s="106" t="str">
        <f>B12_Assessment!$B$2</f>
        <v>12</v>
      </c>
      <c r="B1176" s="106" t="str">
        <f t="shared" si="95"/>
        <v>B12_Assessment</v>
      </c>
      <c r="C1176" s="106" t="str">
        <f>"Security"</f>
        <v>Security</v>
      </c>
      <c r="D1176" s="142" t="str">
        <f>B12_Assessment!$A$41</f>
        <v>Existing rack/demarc - field verify</v>
      </c>
      <c r="E1176" s="142" t="str">
        <f>B12_Assessment!$I$41</f>
        <v>N/A / Verify</v>
      </c>
      <c r="F1176" s="106" t="str">
        <f>B12_Assessment!$J$41</f>
        <v>Confirm access requirements to existing closet/demarc while protecting active operations.</v>
      </c>
      <c r="G1176" s="106" t="str">
        <f>"B12_Assessment!A41:J41"</f>
        <v>B12_Assessment!A41:J41</v>
      </c>
    </row>
    <row r="1177" spans="1:7" ht="58.35" customHeight="1">
      <c r="A1177" s="106" t="str">
        <f>B13_Assessment!$B$2</f>
        <v>13</v>
      </c>
      <c r="B1177" s="106" t="str">
        <f t="shared" si="95"/>
        <v>B12_Assessment</v>
      </c>
      <c r="C1177" s="106" t="str">
        <f>"Fire"</f>
        <v>Fire</v>
      </c>
      <c r="D1177" s="142" t="str">
        <f>B13_Assessment!$A$20</f>
        <v>124</v>
      </c>
      <c r="E1177" s="142" t="str">
        <f>B13_Assessment!$I$20</f>
        <v>Verify</v>
      </c>
      <c r="F1177" s="106" t="str">
        <f>B13_Assessment!$J$20</f>
        <v>Fully sprinklered building; confirm sprinkler/fire alarm modifications, clean-agent 2A:10B:C extinguisher within 75 ft, rated wall/ceiling penetrations, and temporary firestopping during cable pulls.</v>
      </c>
      <c r="G1177" s="106" t="str">
        <f>"B13_Assessment!A20:J20"</f>
        <v>B13_Assessment!A20:J20</v>
      </c>
    </row>
    <row r="1178" spans="1:7" ht="40.65" customHeight="1">
      <c r="A1178" s="106" t="str">
        <f>B13_Assessment!$B$2</f>
        <v>13</v>
      </c>
      <c r="B1178" s="106" t="str">
        <f t="shared" si="95"/>
        <v>B12_Assessment</v>
      </c>
      <c r="C1178" s="106" t="str">
        <f>"Fire"</f>
        <v>Fire</v>
      </c>
      <c r="D1178" s="142" t="str">
        <f>B13_Assessment!$A$21</f>
        <v>222</v>
      </c>
      <c r="E1178" s="142" t="str">
        <f>B13_Assessment!$I$21</f>
        <v>Verify</v>
      </c>
      <c r="F1178" s="106" t="str">
        <f>B13_Assessment!$J$21</f>
        <v>Existing tel room; verify fire alarm/sprinkler protection-in-place and seal any removed/reused penetration after cutover.</v>
      </c>
      <c r="G1178" s="106" t="str">
        <f>"B13_Assessment!A21:J21"</f>
        <v>B13_Assessment!A21:J21</v>
      </c>
    </row>
    <row r="1179" spans="1:7" ht="69.900000000000006" customHeight="1">
      <c r="A1179" s="106" t="str">
        <f>B13_Assessment!$B$2</f>
        <v>13</v>
      </c>
      <c r="B1179" s="106" t="str">
        <f t="shared" si="95"/>
        <v>B12_Assessment</v>
      </c>
      <c r="C1179" s="106" t="str">
        <f>"HVAC"</f>
        <v>HVAC</v>
      </c>
      <c r="D1179" s="142" t="str">
        <f>B13_Assessment!$A$25</f>
        <v>124</v>
      </c>
      <c r="E1179" s="142" t="str">
        <f>B13_Assessment!$I$25</f>
        <v>Verify</v>
      </c>
      <c r="F1179" s="106" t="str">
        <f>B13_Assessment!$J$25</f>
        <v>Mechanical/electrical drawings show IU-1-01 in Telecom Room 124 and CU-1-01 outdoor unit. Confirm capacity, emergency/standby source, BACnet adapter, thermostat/control point, condensate path, disconnects, and high-temperature alarm.</v>
      </c>
      <c r="G1179" s="106" t="str">
        <f>"B13_Assessment!A25:J25"</f>
        <v>B13_Assessment!A25:J25</v>
      </c>
    </row>
    <row r="1180" spans="1:7" ht="46.35" customHeight="1">
      <c r="A1180" s="106" t="str">
        <f>B13_Assessment!$B$2</f>
        <v>13</v>
      </c>
      <c r="B1180" s="106" t="str">
        <f t="shared" si="95"/>
        <v>B12_Assessment</v>
      </c>
      <c r="C1180" s="106" t="str">
        <f>"HVAC"</f>
        <v>HVAC</v>
      </c>
      <c r="D1180" s="142" t="str">
        <f>B13_Assessment!$A$26</f>
        <v>222</v>
      </c>
      <c r="E1180" s="142" t="str">
        <f>B13_Assessment!$I$26</f>
        <v>Verify</v>
      </c>
      <c r="F1180" s="106" t="str">
        <f>B13_Assessment!$J$26</f>
        <v>Existing Tel Room 222 photo/reference notes show existing indoor AC unit; verify whether it remains active, is abandoned, or needs protection during cutover.</v>
      </c>
      <c r="G1180" s="106" t="str">
        <f>"B13_Assessment!A26:J26"</f>
        <v>B13_Assessment!A26:J26</v>
      </c>
    </row>
    <row r="1181" spans="1:7" ht="75.599999999999994" customHeight="1">
      <c r="A1181" s="106" t="str">
        <f>B13_Assessment!$B$2</f>
        <v>13</v>
      </c>
      <c r="B1181" s="106" t="str">
        <f t="shared" si="95"/>
        <v>B12_Assessment</v>
      </c>
      <c r="C1181" s="106" t="str">
        <f>"Electrical"</f>
        <v>Electrical</v>
      </c>
      <c r="D1181" s="142" t="str">
        <f>B13_Assessment!$A$30</f>
        <v>124</v>
      </c>
      <c r="E1181" s="142" t="str">
        <f>B13_Assessment!$I$30</f>
        <v>Verify</v>
      </c>
      <c r="F1181" s="106" t="str">
        <f>B13_Assessment!$J$30</f>
        <v>Electrical enlarged plans and schedules identify B13-TR124AA/AB, 240V 1-phase UPS circuits, normal/emergency rack power, rack receptacles, TR receptacles, access/security devices, lighting, CU-1-01, and SPD requirements.</v>
      </c>
      <c r="G1181" s="106" t="str">
        <f>"B13_Assessment!A30:J30"</f>
        <v>B13_Assessment!A30:J30</v>
      </c>
    </row>
    <row r="1182" spans="1:7" ht="40.65" customHeight="1">
      <c r="A1182" s="106" t="str">
        <f>B13_Assessment!$B$2</f>
        <v>13</v>
      </c>
      <c r="B1182" s="106" t="str">
        <f t="shared" si="95"/>
        <v>B12_Assessment</v>
      </c>
      <c r="C1182" s="106" t="str">
        <f>"Electrical"</f>
        <v>Electrical</v>
      </c>
      <c r="D1182" s="142" t="str">
        <f>B13_Assessment!$A$31</f>
        <v>222</v>
      </c>
      <c r="E1182" s="142" t="str">
        <f>B13_Assessment!$I$31</f>
        <v>Verify</v>
      </c>
      <c r="F1182" s="106" t="str">
        <f>B13_Assessment!$J$31</f>
        <v>Existing rack/equipment area; verify power source, active equipment, UPS status, and transition requirements before disconnect or removal.</v>
      </c>
      <c r="G1182" s="106" t="str">
        <f>"B13_Assessment!A31:J31"</f>
        <v>B13_Assessment!A31:J31</v>
      </c>
    </row>
    <row r="1183" spans="1:7" ht="69.900000000000006" customHeight="1">
      <c r="A1183" s="106" t="str">
        <f>B13_Assessment!$B$2</f>
        <v>13</v>
      </c>
      <c r="B1183" s="106" t="str">
        <f t="shared" si="95"/>
        <v>B12_Assessment</v>
      </c>
      <c r="C1183" s="106" t="str">
        <f>"Telecom"</f>
        <v>Telecom</v>
      </c>
      <c r="D1183" s="142" t="str">
        <f>B13_Assessment!$A$35</f>
        <v>124</v>
      </c>
      <c r="E1183" s="142" t="str">
        <f>B13_Assessment!$I$35</f>
        <v>Verify</v>
      </c>
      <c r="F1183" s="106" t="str">
        <f>B13_Assessment!$J$35</f>
        <v>13T-701 identifies Room 124 schedule: 58 WAO total, 65 active ports per survey, 91 total ports per schedule, and 100 total ports with 10% allowance. New Rack ID TR01-124-1 serves first and second level outlets with Fiber Path A/B.</v>
      </c>
      <c r="G1183" s="106" t="str">
        <f>"B13_Assessment!A35:J35"</f>
        <v>B13_Assessment!A35:J35</v>
      </c>
    </row>
    <row r="1184" spans="1:7" ht="58.35" customHeight="1">
      <c r="A1184" s="106" t="str">
        <f>B13_Assessment!$B$2</f>
        <v>13</v>
      </c>
      <c r="B1184" s="106" t="str">
        <f t="shared" ref="B1184:B1198" si="96">"B13_Assessment"</f>
        <v>B13_Assessment</v>
      </c>
      <c r="C1184" s="106" t="str">
        <f>"Telecom"</f>
        <v>Telecom</v>
      </c>
      <c r="D1184" s="142" t="str">
        <f>B13_Assessment!$A$36</f>
        <v>222</v>
      </c>
      <c r="E1184" s="142" t="str">
        <f>B13_Assessment!$I$36</f>
        <v>Verify</v>
      </c>
      <c r="F1184" s="106" t="str">
        <f>B13_Assessment!$J$36</f>
        <v>Existing Room 222 equipment includes wall-mounted rack, telco patch, plywood backboard, patch panel, security cabinet, and existing AC; verify active services and transfer plan to Room 124.</v>
      </c>
      <c r="G1184" s="106" t="str">
        <f>"B13_Assessment!A36:J36"</f>
        <v>B13_Assessment!A36:J36</v>
      </c>
    </row>
    <row r="1185" spans="1:7" ht="64.2" customHeight="1">
      <c r="A1185" s="106" t="str">
        <f>B13_Assessment!$B$2</f>
        <v>13</v>
      </c>
      <c r="B1185" s="106" t="str">
        <f t="shared" si="96"/>
        <v>B13_Assessment</v>
      </c>
      <c r="C1185" s="106" t="str">
        <f>"Security"</f>
        <v>Security</v>
      </c>
      <c r="D1185" s="142" t="str">
        <f>B13_Assessment!$A$40</f>
        <v>124</v>
      </c>
      <c r="E1185" s="142" t="str">
        <f>B13_Assessment!$I$40</f>
        <v>Verify</v>
      </c>
      <c r="F1185" s="106" t="str">
        <f>B13_Assessment!$J$40</f>
        <v>Electrical enlarged plan shows security/access-control device callouts at Room 124 and 124-CAM-01 camera designation; verify CR/RX/DC/ES/MD devices, controller, camera/VMS integration, and door hardware coordination.</v>
      </c>
      <c r="G1185" s="106" t="str">
        <f>"B13_Assessment!A40:J40"</f>
        <v>B13_Assessment!A40:J40</v>
      </c>
    </row>
    <row r="1186" spans="1:7" ht="46.35" customHeight="1">
      <c r="A1186" s="106" t="str">
        <f>B13_Assessment!$B$2</f>
        <v>13</v>
      </c>
      <c r="B1186" s="106" t="str">
        <f t="shared" si="96"/>
        <v>B13_Assessment</v>
      </c>
      <c r="C1186" s="106" t="str">
        <f>"Security"</f>
        <v>Security</v>
      </c>
      <c r="D1186" s="142" t="str">
        <f>B13_Assessment!$A$41</f>
        <v>222</v>
      </c>
      <c r="E1186" s="142" t="str">
        <f>B13_Assessment!$I$41</f>
        <v>Verify</v>
      </c>
      <c r="F1186" s="106" t="str">
        <f>B13_Assessment!$J$41</f>
        <v>Existing security cabinet shown in Tel Room 222; verify whether security equipment remains, is relocated, or requires temporary protection during cutover.</v>
      </c>
      <c r="G1186" s="106" t="str">
        <f>"B13_Assessment!A41:J41"</f>
        <v>B13_Assessment!A41:J41</v>
      </c>
    </row>
    <row r="1187" spans="1:7" ht="58.35" customHeight="1">
      <c r="A1187" s="106" t="str">
        <f>B14_Assessment!$B$2</f>
        <v>14</v>
      </c>
      <c r="B1187" s="106" t="str">
        <f t="shared" si="96"/>
        <v>B13_Assessment</v>
      </c>
      <c r="C1187" s="106" t="str">
        <f>"Fire"</f>
        <v>Fire</v>
      </c>
      <c r="D1187" s="142" t="str">
        <f>B14_Assessment!$A$22</f>
        <v>119</v>
      </c>
      <c r="E1187" s="142" t="str">
        <f>B14_Assessment!$I$22</f>
        <v>Verify</v>
      </c>
      <c r="F1187" s="106" t="str">
        <f>B14_Assessment!$J$22</f>
        <v>Fully sprinklered building; confirm sprinkler/fire alarm modifications, clean-agent 2A:10B:C extinguisher within 75 ft, rated wall/ceiling penetrations, and temporary firestopping during cable pulls.</v>
      </c>
      <c r="G1187" s="106" t="str">
        <f>"B14_Assessment!A22:J22"</f>
        <v>B14_Assessment!A22:J22</v>
      </c>
    </row>
    <row r="1188" spans="1:7" ht="46.35" customHeight="1">
      <c r="A1188" s="106" t="str">
        <f>B14_Assessment!$B$2</f>
        <v>14</v>
      </c>
      <c r="B1188" s="106" t="str">
        <f t="shared" si="96"/>
        <v>B13_Assessment</v>
      </c>
      <c r="C1188" s="106" t="str">
        <f>"Fire"</f>
        <v>Fire</v>
      </c>
      <c r="D1188" s="142" t="str">
        <f>B14_Assessment!$A$23</f>
        <v>B.01</v>
      </c>
      <c r="E1188" s="142" t="str">
        <f>B14_Assessment!$I$23</f>
        <v>Verify</v>
      </c>
      <c r="F1188" s="106" t="str">
        <f>B14_Assessment!$J$23</f>
        <v>Existing basement tel room; verify fire alarm/sprinkler protection-in-place and seal any removed/reused penetration after cutover.</v>
      </c>
      <c r="G1188" s="106" t="str">
        <f>"B14_Assessment!A23:J23"</f>
        <v>B14_Assessment!A23:J23</v>
      </c>
    </row>
    <row r="1189" spans="1:7" ht="34.950000000000003" customHeight="1">
      <c r="A1189" s="106" t="str">
        <f>B14_Assessment!$B$2</f>
        <v>14</v>
      </c>
      <c r="B1189" s="106" t="str">
        <f t="shared" si="96"/>
        <v>B13_Assessment</v>
      </c>
      <c r="C1189" s="106" t="str">
        <f>"Fire"</f>
        <v>Fire</v>
      </c>
      <c r="D1189" s="142" t="str">
        <f>B14_Assessment!$A$24</f>
        <v>B2</v>
      </c>
      <c r="E1189" s="142" t="str">
        <f>B14_Assessment!$I$24</f>
        <v>Verify</v>
      </c>
      <c r="F1189" s="106" t="str">
        <f>B14_Assessment!$J$24</f>
        <v>Existing basement telecom room; verify no unsealed penetrations remain after cable transfer or reuse.</v>
      </c>
      <c r="G1189" s="106" t="str">
        <f>"B14_Assessment!A24:J24"</f>
        <v>B14_Assessment!A24:J24</v>
      </c>
    </row>
    <row r="1190" spans="1:7" ht="69.900000000000006" customHeight="1">
      <c r="A1190" s="106" t="str">
        <f>B14_Assessment!$B$2</f>
        <v>14</v>
      </c>
      <c r="B1190" s="106" t="str">
        <f t="shared" si="96"/>
        <v>B13_Assessment</v>
      </c>
      <c r="C1190" s="106" t="str">
        <f>"HVAC"</f>
        <v>HVAC</v>
      </c>
      <c r="D1190" s="142" t="str">
        <f>B14_Assessment!$A$28</f>
        <v>119</v>
      </c>
      <c r="E1190" s="142" t="str">
        <f>B14_Assessment!$I$28</f>
        <v>Verify</v>
      </c>
      <c r="F1190" s="106" t="str">
        <f>B14_Assessment!$J$28</f>
        <v>Mechanical/electrical drawings show IU-1-01 in Telecom Room 119 and CU-1-01 outdoor unit. Confirm capacity, emergency/standby source, BACnet adapter, thermostat/control point, condensate path, disconnects, and high-temperature alarm.</v>
      </c>
      <c r="G1190" s="106" t="str">
        <f>"B14_Assessment!A28:J28"</f>
        <v>B14_Assessment!A28:J28</v>
      </c>
    </row>
    <row r="1191" spans="1:7" ht="40.65" customHeight="1">
      <c r="A1191" s="106" t="str">
        <f>B14_Assessment!$B$2</f>
        <v>14</v>
      </c>
      <c r="B1191" s="106" t="str">
        <f t="shared" si="96"/>
        <v>B13_Assessment</v>
      </c>
      <c r="C1191" s="106" t="str">
        <f>"HVAC"</f>
        <v>HVAC</v>
      </c>
      <c r="D1191" s="142" t="str">
        <f>B14_Assessment!$A$29</f>
        <v>B.01</v>
      </c>
      <c r="E1191" s="142" t="str">
        <f>B14_Assessment!$I$29</f>
        <v>Verify</v>
      </c>
      <c r="F1191" s="106" t="str">
        <f>B14_Assessment!$J$29</f>
        <v>Existing Tel/F Panel room; verify existing environmental conditions during cutover and whether legacy equipment remains active.</v>
      </c>
      <c r="G1191" s="106" t="str">
        <f>"B14_Assessment!A29:J29"</f>
        <v>B14_Assessment!A29:J29</v>
      </c>
    </row>
    <row r="1192" spans="1:7" ht="29.1" customHeight="1">
      <c r="A1192" s="106" t="str">
        <f>B14_Assessment!$B$2</f>
        <v>14</v>
      </c>
      <c r="B1192" s="106" t="str">
        <f t="shared" si="96"/>
        <v>B13_Assessment</v>
      </c>
      <c r="C1192" s="106" t="str">
        <f>"HVAC"</f>
        <v>HVAC</v>
      </c>
      <c r="D1192" s="142" t="str">
        <f>B14_Assessment!$A$30</f>
        <v>B2</v>
      </c>
      <c r="E1192" s="142" t="str">
        <f>B14_Assessment!$I$30</f>
        <v>Verify</v>
      </c>
      <c r="F1192" s="106" t="str">
        <f>B14_Assessment!$J$30</f>
        <v>Existing telecom room reference; field verify cooling/ventilation and active equipment condition.</v>
      </c>
      <c r="G1192" s="106" t="str">
        <f>"B14_Assessment!A30:J30"</f>
        <v>B14_Assessment!A30:J30</v>
      </c>
    </row>
    <row r="1193" spans="1:7" ht="81.45" customHeight="1">
      <c r="A1193" s="106" t="str">
        <f>B14_Assessment!$B$2</f>
        <v>14</v>
      </c>
      <c r="B1193" s="106" t="str">
        <f t="shared" si="96"/>
        <v>B13_Assessment</v>
      </c>
      <c r="C1193" s="106" t="str">
        <f>"Electrical"</f>
        <v>Electrical</v>
      </c>
      <c r="D1193" s="142" t="str">
        <f>B14_Assessment!$A$34</f>
        <v>119</v>
      </c>
      <c r="E1193" s="142" t="str">
        <f>B14_Assessment!$I$34</f>
        <v>Verify</v>
      </c>
      <c r="F1193" s="106" t="str">
        <f>B14_Assessment!$J$34</f>
        <v>Electrical plan/schedules identify B14-TR119A/B, 240V rack UPS requirements, normal/emergency rack power, rack receptacles, TR receptacles, lighting, CU-1-01, SPD requirements, and panel load measurement requirements.</v>
      </c>
      <c r="G1193" s="106" t="str">
        <f>"B14_Assessment!A34:J34"</f>
        <v>B14_Assessment!A34:J34</v>
      </c>
    </row>
    <row r="1194" spans="1:7" ht="52.2" customHeight="1">
      <c r="A1194" s="106" t="str">
        <f>B14_Assessment!$B$2</f>
        <v>14</v>
      </c>
      <c r="B1194" s="106" t="str">
        <f t="shared" si="96"/>
        <v>B13_Assessment</v>
      </c>
      <c r="C1194" s="106" t="str">
        <f>"Electrical"</f>
        <v>Electrical</v>
      </c>
      <c r="D1194" s="142" t="str">
        <f>B14_Assessment!$A$35</f>
        <v>B.01</v>
      </c>
      <c r="E1194" s="142" t="str">
        <f>B14_Assessment!$I$35</f>
        <v>Verify</v>
      </c>
      <c r="F1194" s="106" t="str">
        <f>B14_Assessment!$J$35</f>
        <v>Existing basement wall-mounted TE/equipment area; verify power source, active equipment, UPS/PDU status, and transition requirements before disconnect or removal.</v>
      </c>
      <c r="G1194" s="106" t="str">
        <f>"B14_Assessment!A35:J35"</f>
        <v>B14_Assessment!A35:J35</v>
      </c>
    </row>
    <row r="1195" spans="1:7" ht="29.1" customHeight="1">
      <c r="A1195" s="106" t="str">
        <f>B14_Assessment!$B$2</f>
        <v>14</v>
      </c>
      <c r="B1195" s="106" t="str">
        <f t="shared" si="96"/>
        <v>B13_Assessment</v>
      </c>
      <c r="C1195" s="106" t="str">
        <f>"Electrical"</f>
        <v>Electrical</v>
      </c>
      <c r="D1195" s="142" t="str">
        <f>B14_Assessment!$A$36</f>
        <v>B2</v>
      </c>
      <c r="E1195" s="142" t="str">
        <f>B14_Assessment!$I$36</f>
        <v>Verify</v>
      </c>
      <c r="F1195" s="106" t="str">
        <f>B14_Assessment!$J$36</f>
        <v>Existing telecom room photo reference; confirm power sources and any cutover requirements.</v>
      </c>
      <c r="G1195" s="106" t="str">
        <f>"B14_Assessment!A36:J36"</f>
        <v>B14_Assessment!A36:J36</v>
      </c>
    </row>
    <row r="1196" spans="1:7" ht="69.900000000000006" customHeight="1">
      <c r="A1196" s="106" t="str">
        <f>B14_Assessment!$B$2</f>
        <v>14</v>
      </c>
      <c r="B1196" s="106" t="str">
        <f t="shared" si="96"/>
        <v>B13_Assessment</v>
      </c>
      <c r="C1196" s="106" t="str">
        <f>"Telecom"</f>
        <v>Telecom</v>
      </c>
      <c r="D1196" s="142" t="str">
        <f>B14_Assessment!$A$40</f>
        <v>119</v>
      </c>
      <c r="E1196" s="142" t="str">
        <f>B14_Assessment!$I$40</f>
        <v>Verify</v>
      </c>
      <c r="F1196" s="106" t="str">
        <f>B14_Assessment!$J$40</f>
        <v>14T-701 identifies Room 119 schedule: 44 WAO total, 29 active ports per survey, 76 total ports per schedule, and 84 total ports with 10% allowance. New Rack ID TR01-119-1 serves first and second level outlets with Fiber Path A/B.</v>
      </c>
      <c r="G1196" s="106" t="str">
        <f>"B14_Assessment!A40:J40"</f>
        <v>B14_Assessment!A40:J40</v>
      </c>
    </row>
    <row r="1197" spans="1:7" ht="64.2" customHeight="1">
      <c r="A1197" s="106" t="str">
        <f>B14_Assessment!$B$2</f>
        <v>14</v>
      </c>
      <c r="B1197" s="106" t="str">
        <f t="shared" si="96"/>
        <v>B13_Assessment</v>
      </c>
      <c r="C1197" s="106" t="str">
        <f>"Telecom"</f>
        <v>Telecom</v>
      </c>
      <c r="D1197" s="142" t="str">
        <f>B14_Assessment!$A$41</f>
        <v>B.01</v>
      </c>
      <c r="E1197" s="142" t="str">
        <f>B14_Assessment!$I$41</f>
        <v>Verify</v>
      </c>
      <c r="F1197" s="106" t="str">
        <f>B14_Assessment!$J$41</f>
        <v>Existing Room B.01 equipment includes wall-mounted TE, Cisco switch/legacy patch panel, telco patch, plywood backboards, and legacy Fiber LIU; verify active services and transfer plan to Room 119.</v>
      </c>
      <c r="G1197" s="106" t="str">
        <f>"B14_Assessment!A41:J41"</f>
        <v>B14_Assessment!A41:J41</v>
      </c>
    </row>
    <row r="1198" spans="1:7" ht="34.950000000000003" customHeight="1">
      <c r="A1198" s="106" t="str">
        <f>B14_Assessment!$B$2</f>
        <v>14</v>
      </c>
      <c r="B1198" s="106" t="str">
        <f t="shared" si="96"/>
        <v>B13_Assessment</v>
      </c>
      <c r="C1198" s="106" t="str">
        <f>"Telecom"</f>
        <v>Telecom</v>
      </c>
      <c r="D1198" s="142" t="str">
        <f>B14_Assessment!$A$42</f>
        <v>B2</v>
      </c>
      <c r="E1198" s="142" t="str">
        <f>B14_Assessment!$I$42</f>
        <v>Verify</v>
      </c>
      <c r="F1198" s="106" t="str">
        <f>B14_Assessment!$J$42</f>
        <v>Existing basement telecom room B2 is identified by photo reference; verify active devices, routing, and relation to B.01.</v>
      </c>
      <c r="G1198" s="106" t="str">
        <f>"B14_Assessment!A42:J42"</f>
        <v>B14_Assessment!A42:J42</v>
      </c>
    </row>
    <row r="1199" spans="1:7" ht="58.35" customHeight="1">
      <c r="A1199" s="106" t="str">
        <f>B14_Assessment!$B$2</f>
        <v>14</v>
      </c>
      <c r="B1199" s="106" t="str">
        <f t="shared" ref="B1199:B1213" si="97">"B14_Assessment"</f>
        <v>B14_Assessment</v>
      </c>
      <c r="C1199" s="106" t="str">
        <f>"Security"</f>
        <v>Security</v>
      </c>
      <c r="D1199" s="142" t="str">
        <f>B14_Assessment!$A$46</f>
        <v>119</v>
      </c>
      <c r="E1199" s="142" t="str">
        <f>B14_Assessment!$I$46</f>
        <v>Verify</v>
      </c>
      <c r="F1199" s="106" t="str">
        <f>B14_Assessment!$J$46</f>
        <v>Telecom/electrical plans show 119-CAM-01 and security/access-control scope for Room 119; verify CR/RX/DC/ES/MD devices, controller, camera/VMS integration, and door hardware coordination.</v>
      </c>
      <c r="G1199" s="106" t="str">
        <f>"B14_Assessment!A46:J46"</f>
        <v>B14_Assessment!A46:J46</v>
      </c>
    </row>
    <row r="1200" spans="1:7" ht="34.950000000000003" customHeight="1">
      <c r="A1200" s="106" t="str">
        <f>B14_Assessment!$B$2</f>
        <v>14</v>
      </c>
      <c r="B1200" s="106" t="str">
        <f t="shared" si="97"/>
        <v>B14_Assessment</v>
      </c>
      <c r="C1200" s="106" t="str">
        <f>"Security"</f>
        <v>Security</v>
      </c>
      <c r="D1200" s="142" t="str">
        <f>B14_Assessment!$A$47</f>
        <v>B.01</v>
      </c>
      <c r="E1200" s="142" t="str">
        <f>B14_Assessment!$I$47</f>
        <v>Verify</v>
      </c>
      <c r="F1200" s="106" t="str">
        <f>B14_Assessment!$J$47</f>
        <v>Verify whether existing security equipment remains, is relocated, or requires temporary protection during cutover.</v>
      </c>
      <c r="G1200" s="106" t="str">
        <f>"B14_Assessment!A47:J47"</f>
        <v>B14_Assessment!A47:J47</v>
      </c>
    </row>
    <row r="1201" spans="1:7" ht="22.95" customHeight="1">
      <c r="A1201" s="106" t="str">
        <f>B14_Assessment!$B$2</f>
        <v>14</v>
      </c>
      <c r="B1201" s="106" t="str">
        <f t="shared" si="97"/>
        <v>B14_Assessment</v>
      </c>
      <c r="C1201" s="106" t="str">
        <f>"Security"</f>
        <v>Security</v>
      </c>
      <c r="D1201" s="142" t="str">
        <f>B14_Assessment!$A$48</f>
        <v>B2</v>
      </c>
      <c r="E1201" s="142" t="str">
        <f>B14_Assessment!$I$48</f>
        <v>Verify</v>
      </c>
      <c r="F1201" s="106" t="str">
        <f>B14_Assessment!$J$48</f>
        <v>Verify security/access conditions and whether any legacy security equipment is present.</v>
      </c>
      <c r="G1201" s="106" t="str">
        <f>"B14_Assessment!A48:J48"</f>
        <v>B14_Assessment!A48:J48</v>
      </c>
    </row>
    <row r="1202" spans="1:7" ht="58.35" customHeight="1">
      <c r="A1202" s="106" t="str">
        <f>B15_Assessment!$B$2</f>
        <v>15</v>
      </c>
      <c r="B1202" s="106" t="str">
        <f t="shared" si="97"/>
        <v>B14_Assessment</v>
      </c>
      <c r="C1202" s="106" t="str">
        <f>"Fire"</f>
        <v>Fire</v>
      </c>
      <c r="D1202" s="142" t="str">
        <f>B15_Assessment!$A$22</f>
        <v>124A</v>
      </c>
      <c r="E1202" s="142" t="str">
        <f>B15_Assessment!$I$22</f>
        <v>Verify</v>
      </c>
      <c r="F1202" s="106" t="str">
        <f>B15_Assessment!$J$22</f>
        <v>Fully sprinklered building; confirm sprinkler/fire alarm modifications, clean-agent 2A:10B:C extinguisher within 75 ft, rated wall/ceiling penetrations, and temporary firestopping during cable pulls.</v>
      </c>
      <c r="G1202" s="106" t="str">
        <f>"B15_Assessment!A22:J22"</f>
        <v>B15_Assessment!A22:J22</v>
      </c>
    </row>
    <row r="1203" spans="1:7" ht="40.65" customHeight="1">
      <c r="A1203" s="106" t="str">
        <f>B15_Assessment!$B$2</f>
        <v>15</v>
      </c>
      <c r="B1203" s="106" t="str">
        <f t="shared" si="97"/>
        <v>B14_Assessment</v>
      </c>
      <c r="C1203" s="106" t="str">
        <f>"Fire"</f>
        <v>Fire</v>
      </c>
      <c r="D1203" s="142" t="str">
        <f>B15_Assessment!$A$23</f>
        <v>222</v>
      </c>
      <c r="E1203" s="142" t="str">
        <f>B15_Assessment!$I$23</f>
        <v>Verify</v>
      </c>
      <c r="F1203" s="106" t="str">
        <f>B15_Assessment!$J$23</f>
        <v>Existing tel room; verify fire alarm/sprinkler protection-in-place and seal any removed/reused penetration after cutover.</v>
      </c>
      <c r="G1203" s="106" t="str">
        <f>"B15_Assessment!A23:J23"</f>
        <v>B15_Assessment!A23:J23</v>
      </c>
    </row>
    <row r="1204" spans="1:7" ht="34.950000000000003" customHeight="1">
      <c r="A1204" s="106" t="str">
        <f>B15_Assessment!$B$2</f>
        <v>15</v>
      </c>
      <c r="B1204" s="106" t="str">
        <f t="shared" si="97"/>
        <v>B14_Assessment</v>
      </c>
      <c r="C1204" s="106" t="str">
        <f>"Fire"</f>
        <v>Fire</v>
      </c>
      <c r="D1204" s="142" t="str">
        <f>B15_Assessment!$A$24</f>
        <v>B01</v>
      </c>
      <c r="E1204" s="142" t="str">
        <f>B15_Assessment!$I$24</f>
        <v>Verify</v>
      </c>
      <c r="F1204" s="106" t="str">
        <f>B15_Assessment!$J$24</f>
        <v>Existing basement telecom/crossover room; verify no unsealed penetrations remain after cable transfer or reuse.</v>
      </c>
      <c r="G1204" s="106" t="str">
        <f>"B15_Assessment!A24:J24"</f>
        <v>B15_Assessment!A24:J24</v>
      </c>
    </row>
    <row r="1205" spans="1:7" ht="75.599999999999994" customHeight="1">
      <c r="A1205" s="106" t="str">
        <f>B15_Assessment!$B$2</f>
        <v>15</v>
      </c>
      <c r="B1205" s="106" t="str">
        <f t="shared" si="97"/>
        <v>B14_Assessment</v>
      </c>
      <c r="C1205" s="106" t="str">
        <f>"HVAC"</f>
        <v>HVAC</v>
      </c>
      <c r="D1205" s="142" t="str">
        <f>B15_Assessment!$A$28</f>
        <v>124A</v>
      </c>
      <c r="E1205" s="142" t="str">
        <f>B15_Assessment!$I$28</f>
        <v>Verify</v>
      </c>
      <c r="F1205" s="106" t="str">
        <f>B15_Assessment!$J$28</f>
        <v>Mechanical/electrical drawings show IU-1-01 in Telecom Room 124A and CU-1-01 outdoor heat-pump/A/C unit. Confirm capacity, emergency/standby source, BACnet adapter, thermostat/control point, condensate path, disconnects, and high-temperature alarm.</v>
      </c>
      <c r="G1205" s="106" t="str">
        <f>"B15_Assessment!A28:J28"</f>
        <v>B15_Assessment!A28:J28</v>
      </c>
    </row>
    <row r="1206" spans="1:7" ht="46.35" customHeight="1">
      <c r="A1206" s="106" t="str">
        <f>B15_Assessment!$B$2</f>
        <v>15</v>
      </c>
      <c r="B1206" s="106" t="str">
        <f t="shared" si="97"/>
        <v>B14_Assessment</v>
      </c>
      <c r="C1206" s="106" t="str">
        <f>"HVAC"</f>
        <v>HVAC</v>
      </c>
      <c r="D1206" s="142" t="str">
        <f>B15_Assessment!$A$29</f>
        <v>222</v>
      </c>
      <c r="E1206" s="142" t="str">
        <f>B15_Assessment!$I$29</f>
        <v>Verify</v>
      </c>
      <c r="F1206" s="106" t="str">
        <f>B15_Assessment!$J$29</f>
        <v>Existing Tel Room 222 is shown with existing/remain indoor AC unit; verify whether it remains active, is abandoned, or needs protection during cutover.</v>
      </c>
      <c r="G1206" s="106" t="str">
        <f>"B15_Assessment!A29:J29"</f>
        <v>B15_Assessment!A29:J29</v>
      </c>
    </row>
    <row r="1207" spans="1:7" ht="46.35" customHeight="1">
      <c r="A1207" s="106" t="str">
        <f>B15_Assessment!$B$2</f>
        <v>15</v>
      </c>
      <c r="B1207" s="106" t="str">
        <f t="shared" si="97"/>
        <v>B14_Assessment</v>
      </c>
      <c r="C1207" s="106" t="str">
        <f>"HVAC"</f>
        <v>HVAC</v>
      </c>
      <c r="D1207" s="142" t="str">
        <f>B15_Assessment!$A$30</f>
        <v>B01</v>
      </c>
      <c r="E1207" s="142" t="str">
        <f>B15_Assessment!$I$30</f>
        <v>Verify</v>
      </c>
      <c r="F1207" s="106" t="str">
        <f>B15_Assessment!$J$30</f>
        <v>Existing basement telecom/crossover space; verify environmental conditions and whether active equipment remains during cutover.</v>
      </c>
      <c r="G1207" s="106" t="str">
        <f>"B15_Assessment!A30:J30"</f>
        <v>B15_Assessment!A30:J30</v>
      </c>
    </row>
    <row r="1208" spans="1:7" ht="81.45" customHeight="1">
      <c r="A1208" s="106" t="str">
        <f>B15_Assessment!$B$2</f>
        <v>15</v>
      </c>
      <c r="B1208" s="106" t="str">
        <f t="shared" si="97"/>
        <v>B14_Assessment</v>
      </c>
      <c r="C1208" s="106" t="str">
        <f>"Electrical"</f>
        <v>Electrical</v>
      </c>
      <c r="D1208" s="142" t="str">
        <f>B15_Assessment!$A$34</f>
        <v>124A</v>
      </c>
      <c r="E1208" s="142" t="str">
        <f>B15_Assessment!$I$34</f>
        <v>Verify</v>
      </c>
      <c r="F1208" s="106" t="str">
        <f>B15_Assessment!$J$34</f>
        <v>Electrical enlarged plans and schedules identify B15-TR124AA/AB, 240V rack UPS requirements, normal/emergency rack power, rack receptacles, TR receptacles, lighting, CU-1-01, SPD requirements, and 30-day load measurement requirements.</v>
      </c>
      <c r="G1208" s="106" t="str">
        <f>"B15_Assessment!A34:J34"</f>
        <v>B15_Assessment!A34:J34</v>
      </c>
    </row>
    <row r="1209" spans="1:7" ht="46.35" customHeight="1">
      <c r="A1209" s="106" t="str">
        <f>B15_Assessment!$B$2</f>
        <v>15</v>
      </c>
      <c r="B1209" s="106" t="str">
        <f t="shared" si="97"/>
        <v>B14_Assessment</v>
      </c>
      <c r="C1209" s="106" t="str">
        <f>"Electrical"</f>
        <v>Electrical</v>
      </c>
      <c r="D1209" s="142" t="str">
        <f>B15_Assessment!$A$35</f>
        <v>222</v>
      </c>
      <c r="E1209" s="142" t="str">
        <f>B15_Assessment!$I$35</f>
        <v>Verify</v>
      </c>
      <c r="F1209" s="106" t="str">
        <f>B15_Assessment!$J$35</f>
        <v>Existing rack/equipment area; verify power source, active equipment, APC floor UPS status, and transition requirements before disconnect or removal.</v>
      </c>
      <c r="G1209" s="106" t="str">
        <f>"B15_Assessment!A35:J35"</f>
        <v>B15_Assessment!A35:J35</v>
      </c>
    </row>
    <row r="1210" spans="1:7" ht="29.1" customHeight="1">
      <c r="A1210" s="106" t="str">
        <f>B15_Assessment!$B$2</f>
        <v>15</v>
      </c>
      <c r="B1210" s="106" t="str">
        <f t="shared" si="97"/>
        <v>B14_Assessment</v>
      </c>
      <c r="C1210" s="106" t="str">
        <f>"Electrical"</f>
        <v>Electrical</v>
      </c>
      <c r="D1210" s="142" t="str">
        <f>B15_Assessment!$A$36</f>
        <v>B01</v>
      </c>
      <c r="E1210" s="142" t="str">
        <f>B15_Assessment!$I$36</f>
        <v>Verify</v>
      </c>
      <c r="F1210" s="106" t="str">
        <f>B15_Assessment!$J$36</f>
        <v>Existing B-01 crossover; verify power sources and cutover needs for legacy patch panel/crossover.</v>
      </c>
      <c r="G1210" s="106" t="str">
        <f>"B15_Assessment!A36:J36"</f>
        <v>B15_Assessment!A36:J36</v>
      </c>
    </row>
    <row r="1211" spans="1:7" ht="87.6" customHeight="1">
      <c r="A1211" s="106" t="str">
        <f>B15_Assessment!$B$2</f>
        <v>15</v>
      </c>
      <c r="B1211" s="106" t="str">
        <f t="shared" si="97"/>
        <v>B14_Assessment</v>
      </c>
      <c r="C1211" s="106" t="str">
        <f>"Telecom"</f>
        <v>Telecom</v>
      </c>
      <c r="D1211" s="142" t="str">
        <f>B15_Assessment!$A$40</f>
        <v>124A</v>
      </c>
      <c r="E1211" s="142" t="str">
        <f>B15_Assessment!$I$40</f>
        <v>Verify</v>
      </c>
      <c r="F1211" s="106" t="str">
        <f>B15_Assessment!$J$40</f>
        <v>15T-701 identifies Room 109A schedule but field plan/electrical room callouts identify Telecom Room 124A; schedule has 62 WAO total, 76 active ports per survey, 101 total ports per schedule, and 111 total ports with 10% allowance. New Rack ID TR15-109A-01 serves basement, first and second level outlets.</v>
      </c>
      <c r="G1211" s="106" t="str">
        <f>"B15_Assessment!A40:J40"</f>
        <v>B15_Assessment!A40:J40</v>
      </c>
    </row>
    <row r="1212" spans="1:7" ht="64.2" customHeight="1">
      <c r="A1212" s="106" t="str">
        <f>B15_Assessment!$B$2</f>
        <v>15</v>
      </c>
      <c r="B1212" s="106" t="str">
        <f t="shared" si="97"/>
        <v>B14_Assessment</v>
      </c>
      <c r="C1212" s="106" t="str">
        <f>"Telecom"</f>
        <v>Telecom</v>
      </c>
      <c r="D1212" s="142" t="str">
        <f>B15_Assessment!$A$41</f>
        <v>222</v>
      </c>
      <c r="E1212" s="142" t="str">
        <f>B15_Assessment!$I$41</f>
        <v>Verify</v>
      </c>
      <c r="F1212" s="106" t="str">
        <f>B15_Assessment!$J$41</f>
        <v>Existing Room 222 equipment includes wall/wall-mounted TE, Cisco switches, legacy 48-port patch panels, ground bar, plywood backboard, security cabinet, and floor UPS; verify active services and transfer plan to Room 124A.</v>
      </c>
      <c r="G1212" s="106" t="str">
        <f>"B15_Assessment!A41:J41"</f>
        <v>B15_Assessment!A41:J41</v>
      </c>
    </row>
    <row r="1213" spans="1:7" ht="40.65" customHeight="1">
      <c r="A1213" s="106" t="str">
        <f>B15_Assessment!$B$2</f>
        <v>15</v>
      </c>
      <c r="B1213" s="106" t="str">
        <f t="shared" si="97"/>
        <v>B14_Assessment</v>
      </c>
      <c r="C1213" s="106" t="str">
        <f>"Telecom"</f>
        <v>Telecom</v>
      </c>
      <c r="D1213" s="142" t="str">
        <f>B15_Assessment!$A$42</f>
        <v>B01</v>
      </c>
      <c r="E1213" s="142" t="str">
        <f>B15_Assessment!$I$42</f>
        <v>Verify</v>
      </c>
      <c r="F1213" s="106" t="str">
        <f>B15_Assessment!$J$42</f>
        <v>Existing B-01 crossover includes legacy 24-port patch panel; verify active devices, routing, and relation to Room 222 and Room 124A.</v>
      </c>
      <c r="G1213" s="106" t="str">
        <f>"B15_Assessment!A42:J42"</f>
        <v>B15_Assessment!A42:J42</v>
      </c>
    </row>
    <row r="1214" spans="1:7" ht="58.35" customHeight="1">
      <c r="A1214" s="106" t="str">
        <f>B15_Assessment!$B$2</f>
        <v>15</v>
      </c>
      <c r="B1214" s="106" t="str">
        <f t="shared" ref="B1214:B1223" si="98">"B15_Assessment"</f>
        <v>B15_Assessment</v>
      </c>
      <c r="C1214" s="106" t="str">
        <f>"Security"</f>
        <v>Security</v>
      </c>
      <c r="D1214" s="142" t="str">
        <f>B15_Assessment!$A$46</f>
        <v>124A</v>
      </c>
      <c r="E1214" s="142" t="str">
        <f>B15_Assessment!$I$46</f>
        <v>Verify</v>
      </c>
      <c r="F1214" s="106" t="str">
        <f>B15_Assessment!$J$46</f>
        <v>Telecom/electrical plans show 124A-CAM-1 and security/access-control scope for Room 124A; verify CR/RX/DC/ES/MD devices, controller, camera/VMS integration, and door hardware coordination.</v>
      </c>
      <c r="G1214" s="106" t="str">
        <f>"B15_Assessment!A46:J46"</f>
        <v>B15_Assessment!A46:J46</v>
      </c>
    </row>
    <row r="1215" spans="1:7" ht="46.35" customHeight="1">
      <c r="A1215" s="106" t="str">
        <f>B15_Assessment!$B$2</f>
        <v>15</v>
      </c>
      <c r="B1215" s="106" t="str">
        <f t="shared" si="98"/>
        <v>B15_Assessment</v>
      </c>
      <c r="C1215" s="106" t="str">
        <f>"Security"</f>
        <v>Security</v>
      </c>
      <c r="D1215" s="142" t="str">
        <f>B15_Assessment!$A$47</f>
        <v>222</v>
      </c>
      <c r="E1215" s="142" t="str">
        <f>B15_Assessment!$I$47</f>
        <v>Verify</v>
      </c>
      <c r="F1215" s="106" t="str">
        <f>B15_Assessment!$J$47</f>
        <v>Existing security cabinet shown in Tel Room 222; verify whether security equipment remains, is relocated, or requires temporary protection during cutover.</v>
      </c>
      <c r="G1215" s="106" t="str">
        <f>"B15_Assessment!A47:J47"</f>
        <v>B15_Assessment!A47:J47</v>
      </c>
    </row>
    <row r="1216" spans="1:7" ht="22.95" customHeight="1">
      <c r="A1216" s="106" t="str">
        <f>B15_Assessment!$B$2</f>
        <v>15</v>
      </c>
      <c r="B1216" s="106" t="str">
        <f t="shared" si="98"/>
        <v>B15_Assessment</v>
      </c>
      <c r="C1216" s="106" t="str">
        <f>"Security"</f>
        <v>Security</v>
      </c>
      <c r="D1216" s="142" t="str">
        <f>B15_Assessment!$A$48</f>
        <v>B01</v>
      </c>
      <c r="E1216" s="142" t="str">
        <f>B15_Assessment!$I$48</f>
        <v>Verify</v>
      </c>
      <c r="F1216" s="106" t="str">
        <f>B15_Assessment!$J$48</f>
        <v>Verify security/access conditions and whether any legacy security equipment is present.</v>
      </c>
      <c r="G1216" s="106" t="str">
        <f>"B15_Assessment!A48:J48"</f>
        <v>B15_Assessment!A48:J48</v>
      </c>
    </row>
    <row r="1217" spans="1:7" ht="64.2" customHeight="1">
      <c r="A1217" s="106" t="str">
        <f>B16_Assessment!$B$2</f>
        <v>16</v>
      </c>
      <c r="B1217" s="106" t="str">
        <f t="shared" si="98"/>
        <v>B15_Assessment</v>
      </c>
      <c r="C1217" s="106" t="str">
        <f>"Fire"</f>
        <v>Fire</v>
      </c>
      <c r="D1217" s="142" t="str">
        <f>B16_Assessment!$A$20</f>
        <v>015</v>
      </c>
      <c r="E1217" s="142" t="str">
        <f>B16_Assessment!$I$20</f>
        <v>Verify</v>
      </c>
      <c r="F1217" s="106" t="str">
        <f>B16_Assessment!$J$20</f>
        <v>Fully sprinklered building; confirm sprinkler/fire alarm modifications, clean-agent 2A:10B:C extinguisher within 75 ft, rated wall/ceiling/floor penetrations, and temporary firestopping during cable pulls.</v>
      </c>
      <c r="G1217" s="106" t="str">
        <f>"B16_Assessment!A20:J20"</f>
        <v>B16_Assessment!A20:J20</v>
      </c>
    </row>
    <row r="1218" spans="1:7" ht="46.35" customHeight="1">
      <c r="A1218" s="106" t="str">
        <f>B16_Assessment!$B$2</f>
        <v>16</v>
      </c>
      <c r="B1218" s="106" t="str">
        <f t="shared" si="98"/>
        <v>B15_Assessment</v>
      </c>
      <c r="C1218" s="106" t="str">
        <f>"Fire"</f>
        <v>Fire</v>
      </c>
      <c r="D1218" s="142" t="str">
        <f>B16_Assessment!$A$21</f>
        <v>014</v>
      </c>
      <c r="E1218" s="142" t="str">
        <f>B16_Assessment!$I$21</f>
        <v>Verify</v>
      </c>
      <c r="F1218" s="106" t="str">
        <f>B16_Assessment!$J$21</f>
        <v>Existing telecom room; verify fire alarm/sprinkler protection-in-place and seal any removed/reused penetration after cutover.</v>
      </c>
      <c r="G1218" s="106" t="str">
        <f>"B16_Assessment!A21:J21"</f>
        <v>B16_Assessment!A21:J21</v>
      </c>
    </row>
    <row r="1219" spans="1:7" ht="69.900000000000006" customHeight="1">
      <c r="A1219" s="106" t="str">
        <f>B16_Assessment!$B$2</f>
        <v>16</v>
      </c>
      <c r="B1219" s="106" t="str">
        <f t="shared" si="98"/>
        <v>B15_Assessment</v>
      </c>
      <c r="C1219" s="106" t="str">
        <f>"HVAC"</f>
        <v>HVAC</v>
      </c>
      <c r="D1219" s="142" t="str">
        <f>B16_Assessment!$A$25</f>
        <v>015</v>
      </c>
      <c r="E1219" s="142" t="str">
        <f>B16_Assessment!$I$25</f>
        <v>Verify</v>
      </c>
      <c r="F1219" s="106" t="str">
        <f>B16_Assessment!$J$25</f>
        <v>Mechanical/electrical drawings show IU-1-01 in Telecom Room 015 and CU-1-01 outdoor unit. Confirm capacity, emergency/standby source, BACnet adapter, thermostat/control point, condensate path, disconnects, and high-temperature alarm.</v>
      </c>
      <c r="G1219" s="106" t="str">
        <f>"B16_Assessment!A25:J25"</f>
        <v>B16_Assessment!A25:J25</v>
      </c>
    </row>
    <row r="1220" spans="1:7" ht="40.65" customHeight="1">
      <c r="A1220" s="106" t="str">
        <f>B16_Assessment!$B$2</f>
        <v>16</v>
      </c>
      <c r="B1220" s="106" t="str">
        <f t="shared" si="98"/>
        <v>B15_Assessment</v>
      </c>
      <c r="C1220" s="106" t="str">
        <f>"HVAC"</f>
        <v>HVAC</v>
      </c>
      <c r="D1220" s="142" t="str">
        <f>B16_Assessment!$A$26</f>
        <v>014</v>
      </c>
      <c r="E1220" s="142" t="str">
        <f>B16_Assessment!$I$26</f>
        <v>Verify</v>
      </c>
      <c r="F1220" s="106" t="str">
        <f>B16_Assessment!$J$26</f>
        <v>Existing Telecom Room 014; verify existing environmental conditions during cutover and whether legacy equipment remains active.</v>
      </c>
      <c r="G1220" s="106" t="str">
        <f>"B16_Assessment!A26:J26"</f>
        <v>B16_Assessment!A26:J26</v>
      </c>
    </row>
    <row r="1221" spans="1:7" ht="87.6" customHeight="1">
      <c r="A1221" s="106" t="str">
        <f>B16_Assessment!$B$2</f>
        <v>16</v>
      </c>
      <c r="B1221" s="106" t="str">
        <f t="shared" si="98"/>
        <v>B15_Assessment</v>
      </c>
      <c r="C1221" s="106" t="str">
        <f>"Electrical"</f>
        <v>Electrical</v>
      </c>
      <c r="D1221" s="142" t="str">
        <f>B16_Assessment!$A$30</f>
        <v>015</v>
      </c>
      <c r="E1221" s="142" t="str">
        <f>B16_Assessment!$I$30</f>
        <v>Verify</v>
      </c>
      <c r="F1221" s="106" t="str">
        <f>B16_Assessment!$J$30</f>
        <v>Electrical plans/schedules identify B16-TR015A/B, 240V rack UPS requirements, rack receptacles, TR receptacles, lighting, access controller, CU-1-01, SPD requirements, existing panel demolition/replacement, and 30-day load measurement requirements.</v>
      </c>
      <c r="G1221" s="106" t="str">
        <f>"B16_Assessment!A30:J30"</f>
        <v>B16_Assessment!A30:J30</v>
      </c>
    </row>
    <row r="1222" spans="1:7" ht="40.65" customHeight="1">
      <c r="A1222" s="106" t="str">
        <f>B16_Assessment!$B$2</f>
        <v>16</v>
      </c>
      <c r="B1222" s="106" t="str">
        <f t="shared" si="98"/>
        <v>B15_Assessment</v>
      </c>
      <c r="C1222" s="106" t="str">
        <f>"Electrical"</f>
        <v>Electrical</v>
      </c>
      <c r="D1222" s="142" t="str">
        <f>B16_Assessment!$A$31</f>
        <v>014</v>
      </c>
      <c r="E1222" s="142" t="str">
        <f>B16_Assessment!$I$31</f>
        <v>Verify</v>
      </c>
      <c r="F1222" s="106" t="str">
        <f>B16_Assessment!$J$31</f>
        <v>Existing rack/equipment area; verify power source, active equipment, UPS status, and transition requirements before disconnect or removal.</v>
      </c>
      <c r="G1222" s="106" t="str">
        <f>"B16_Assessment!A31:J31"</f>
        <v>B16_Assessment!A31:J31</v>
      </c>
    </row>
    <row r="1223" spans="1:7" ht="69.900000000000006" customHeight="1">
      <c r="A1223" s="106" t="str">
        <f>B16_Assessment!$B$2</f>
        <v>16</v>
      </c>
      <c r="B1223" s="106" t="str">
        <f t="shared" si="98"/>
        <v>B15_Assessment</v>
      </c>
      <c r="C1223" s="106" t="str">
        <f>"Telecom"</f>
        <v>Telecom</v>
      </c>
      <c r="D1223" s="142" t="str">
        <f>B16_Assessment!$A$35</f>
        <v>015</v>
      </c>
      <c r="E1223" s="142" t="str">
        <f>B16_Assessment!$I$35</f>
        <v>Verify</v>
      </c>
      <c r="F1223" s="106" t="str">
        <f>B16_Assessment!$J$35</f>
        <v>16T-701 identifies Room 015-A schedule: 25 WAO total, 25 active ports per survey, 36 total ports per schedule, and 40 total ports with 10% allowance. New Rack ID TR01-015-A-1 serves basement, first, second and attic level outlets.</v>
      </c>
      <c r="G1223" s="106" t="str">
        <f>"B16_Assessment!A35:J35"</f>
        <v>B16_Assessment!A35:J35</v>
      </c>
    </row>
    <row r="1224" spans="1:7" ht="58.35" customHeight="1">
      <c r="A1224" s="106" t="str">
        <f>B16_Assessment!$B$2</f>
        <v>16</v>
      </c>
      <c r="B1224" s="106" t="str">
        <f t="shared" ref="B1224:B1238" si="99">"B16_Assessment"</f>
        <v>B16_Assessment</v>
      </c>
      <c r="C1224" s="106" t="str">
        <f>"Telecom"</f>
        <v>Telecom</v>
      </c>
      <c r="D1224" s="142" t="str">
        <f>B16_Assessment!$A$36</f>
        <v>014</v>
      </c>
      <c r="E1224" s="142" t="str">
        <f>B16_Assessment!$I$36</f>
        <v>Verify</v>
      </c>
      <c r="F1224" s="106" t="str">
        <f>B16_Assessment!$J$36</f>
        <v>Existing Room 014 equipment includes wall/TE rack, floor-mounted UPS, Cisco switch, legacy 12-port modular patch panel and Fiber LIU; verify active services and transfer plan to Room 015.</v>
      </c>
      <c r="G1224" s="106" t="str">
        <f>"B16_Assessment!A36:J36"</f>
        <v>B16_Assessment!A36:J36</v>
      </c>
    </row>
    <row r="1225" spans="1:7" ht="58.35" customHeight="1">
      <c r="A1225" s="106" t="str">
        <f>B16_Assessment!$B$2</f>
        <v>16</v>
      </c>
      <c r="B1225" s="106" t="str">
        <f t="shared" si="99"/>
        <v>B16_Assessment</v>
      </c>
      <c r="C1225" s="106" t="str">
        <f>"Security"</f>
        <v>Security</v>
      </c>
      <c r="D1225" s="142" t="str">
        <f>B16_Assessment!$A$40</f>
        <v>015</v>
      </c>
      <c r="E1225" s="142" t="str">
        <f>B16_Assessment!$I$40</f>
        <v>Verify</v>
      </c>
      <c r="F1225" s="106" t="str">
        <f>B16_Assessment!$J$40</f>
        <v>Telecom/electrical plans show 015-CAM-1 and security/access-control scope for Room 015; verify CR/RX/DC/ES/MD devices, controller, camera/VMS integration, and door hardware coordination.</v>
      </c>
      <c r="G1225" s="106" t="str">
        <f>"B16_Assessment!A40:J40"</f>
        <v>B16_Assessment!A40:J40</v>
      </c>
    </row>
    <row r="1226" spans="1:7" ht="46.35" customHeight="1">
      <c r="A1226" s="106" t="str">
        <f>B16_Assessment!$B$2</f>
        <v>16</v>
      </c>
      <c r="B1226" s="106" t="str">
        <f t="shared" si="99"/>
        <v>B16_Assessment</v>
      </c>
      <c r="C1226" s="106" t="str">
        <f>"Security"</f>
        <v>Security</v>
      </c>
      <c r="D1226" s="142" t="str">
        <f>B16_Assessment!$A$41</f>
        <v>014</v>
      </c>
      <c r="E1226" s="142" t="str">
        <f>B16_Assessment!$I$41</f>
        <v>Verify</v>
      </c>
      <c r="F1226" s="106" t="str">
        <f>B16_Assessment!$J$41</f>
        <v>Existing security cabinet shown in Room 014; verify whether security equipment remains, is relocated, or requires temporary protection during cutover.</v>
      </c>
      <c r="G1226" s="106" t="str">
        <f>"B16_Assessment!A41:J41"</f>
        <v>B16_Assessment!A41:J41</v>
      </c>
    </row>
    <row r="1227" spans="1:7" ht="64.2" customHeight="1">
      <c r="A1227" s="106" t="str">
        <f>B17_Assessment!$B$2</f>
        <v>17</v>
      </c>
      <c r="B1227" s="106" t="str">
        <f t="shared" si="99"/>
        <v>B16_Assessment</v>
      </c>
      <c r="C1227" s="106" t="str">
        <f>"Fire"</f>
        <v>Fire</v>
      </c>
      <c r="D1227" s="142" t="str">
        <f>B17_Assessment!$A$22</f>
        <v>118</v>
      </c>
      <c r="E1227" s="142" t="str">
        <f>B17_Assessment!$I$22</f>
        <v>Verify</v>
      </c>
      <c r="F1227" s="106" t="str">
        <f>B17_Assessment!$J$22</f>
        <v>Fully sprinklered building; confirm sprinkler/fire alarm modifications, clean-agent 2A:10B:C extinguisher within 75 ft, rated wall/ceiling/floor penetrations, and temporary firestopping during cable pulls.</v>
      </c>
      <c r="G1227" s="106" t="str">
        <f>"B17_Assessment!A22:J22"</f>
        <v>B17_Assessment!A22:J22</v>
      </c>
    </row>
    <row r="1228" spans="1:7" ht="46.35" customHeight="1">
      <c r="A1228" s="106" t="str">
        <f>B17_Assessment!$B$2</f>
        <v>17</v>
      </c>
      <c r="B1228" s="106" t="str">
        <f t="shared" si="99"/>
        <v>B16_Assessment</v>
      </c>
      <c r="C1228" s="106" t="str">
        <f>"Fire"</f>
        <v>Fire</v>
      </c>
      <c r="D1228" s="142" t="str">
        <f>B17_Assessment!$A$23</f>
        <v>B35A</v>
      </c>
      <c r="E1228" s="142" t="str">
        <f>B17_Assessment!$I$23</f>
        <v>Verify</v>
      </c>
      <c r="F1228" s="106" t="str">
        <f>B17_Assessment!$J$23</f>
        <v>Existing telecom closet; verify fire alarm/sprinkler protection-in-place and seal any removed/reused penetration after cutover.</v>
      </c>
      <c r="G1228" s="106" t="str">
        <f>"B17_Assessment!A23:J23"</f>
        <v>B17_Assessment!A23:J23</v>
      </c>
    </row>
    <row r="1229" spans="1:7" ht="34.950000000000003" customHeight="1">
      <c r="A1229" s="106" t="str">
        <f>B17_Assessment!$B$2</f>
        <v>17</v>
      </c>
      <c r="B1229" s="106" t="str">
        <f t="shared" si="99"/>
        <v>B16_Assessment</v>
      </c>
      <c r="C1229" s="106" t="str">
        <f>"Fire"</f>
        <v>Fire</v>
      </c>
      <c r="D1229" s="142" t="str">
        <f>B17_Assessment!$A$24</f>
        <v>B29 Path</v>
      </c>
      <c r="E1229" s="142" t="str">
        <f>B17_Assessment!$I$24</f>
        <v>Verify</v>
      </c>
      <c r="F1229" s="106" t="str">
        <f>B17_Assessment!$J$24</f>
        <v>Verify firestopping at pathway penetrations between Building 17 and Building 29 and any rated floor/wall assemblies.</v>
      </c>
      <c r="G1229" s="106" t="str">
        <f>"B17_Assessment!A24:J24"</f>
        <v>B17_Assessment!A24:J24</v>
      </c>
    </row>
    <row r="1230" spans="1:7" ht="69.900000000000006" customHeight="1">
      <c r="A1230" s="106" t="str">
        <f>B17_Assessment!$B$2</f>
        <v>17</v>
      </c>
      <c r="B1230" s="106" t="str">
        <f t="shared" si="99"/>
        <v>B16_Assessment</v>
      </c>
      <c r="C1230" s="106" t="str">
        <f>"HVAC"</f>
        <v>HVAC</v>
      </c>
      <c r="D1230" s="142" t="str">
        <f>B17_Assessment!$A$28</f>
        <v>118</v>
      </c>
      <c r="E1230" s="142" t="str">
        <f>B17_Assessment!$I$28</f>
        <v>Verify</v>
      </c>
      <c r="F1230" s="106" t="str">
        <f>B17_Assessment!$J$28</f>
        <v>Mechanical/electrical drawings show IU-1-01 in Telecom Room 118 and CU-1-01 outdoor unit. Confirm capacity, emergency/standby source, BACnet adapter, thermostat/control point, condensate path, disconnects, and high-temperature alarm.</v>
      </c>
      <c r="G1230" s="106" t="str">
        <f>"B17_Assessment!A28:J28"</f>
        <v>B17_Assessment!A28:J28</v>
      </c>
    </row>
    <row r="1231" spans="1:7" ht="46.35" customHeight="1">
      <c r="A1231" s="106" t="str">
        <f>B17_Assessment!$B$2</f>
        <v>17</v>
      </c>
      <c r="B1231" s="106" t="str">
        <f t="shared" si="99"/>
        <v>B16_Assessment</v>
      </c>
      <c r="C1231" s="106" t="str">
        <f>"HVAC"</f>
        <v>HVAC</v>
      </c>
      <c r="D1231" s="142" t="str">
        <f>B17_Assessment!$A$29</f>
        <v>B35A</v>
      </c>
      <c r="E1231" s="142" t="str">
        <f>B17_Assessment!$I$29</f>
        <v>Verify</v>
      </c>
      <c r="F1231" s="106" t="str">
        <f>B17_Assessment!$J$29</f>
        <v>Existing B35A is shown with existing indoor AC unit; verify whether it remains active, is abandoned, or needs temporary protection during cutover.</v>
      </c>
      <c r="G1231" s="106" t="str">
        <f>"B17_Assessment!A29:J29"</f>
        <v>B17_Assessment!A29:J29</v>
      </c>
    </row>
    <row r="1232" spans="1:7" ht="40.65" customHeight="1">
      <c r="A1232" s="106" t="str">
        <f>B17_Assessment!$B$2</f>
        <v>17</v>
      </c>
      <c r="B1232" s="106" t="str">
        <f t="shared" si="99"/>
        <v>B16_Assessment</v>
      </c>
      <c r="C1232" s="106" t="str">
        <f>"HVAC"</f>
        <v>HVAC</v>
      </c>
      <c r="D1232" s="142" t="str">
        <f>B17_Assessment!$A$30</f>
        <v>B29 Path</v>
      </c>
      <c r="E1232" s="142" t="str">
        <f>B17_Assessment!$I$30</f>
        <v>N/A</v>
      </c>
      <c r="F1232" s="106" t="str">
        <f>B17_Assessment!$J$30</f>
        <v>No dedicated cooling expected for pathway; verify any equipment cabinets or active service locations in Building 29 if applicable.</v>
      </c>
      <c r="G1232" s="106" t="str">
        <f>"B17_Assessment!A30:J30"</f>
        <v>B17_Assessment!A30:J30</v>
      </c>
    </row>
    <row r="1233" spans="1:7" ht="81.45" customHeight="1">
      <c r="A1233" s="106" t="str">
        <f>B17_Assessment!$B$2</f>
        <v>17</v>
      </c>
      <c r="B1233" s="106" t="str">
        <f t="shared" si="99"/>
        <v>B16_Assessment</v>
      </c>
      <c r="C1233" s="106" t="str">
        <f>"Electrical"</f>
        <v>Electrical</v>
      </c>
      <c r="D1233" s="142" t="str">
        <f>B17_Assessment!$A$34</f>
        <v>118</v>
      </c>
      <c r="E1233" s="142" t="str">
        <f>B17_Assessment!$I$34</f>
        <v>Verify</v>
      </c>
      <c r="F1233" s="106" t="str">
        <f>B17_Assessment!$J$34</f>
        <v>Electrical plans/schedules identify B17-TR118A fed from BUS-B17-NPB1-R and B17-TR118B fed from BUS-B17-EQDP, with TR RM118 rack receptacles, 208V UPS/PDU equipment, CU-1-01, SPD requirements, and 30-day load measurement requirements.</v>
      </c>
      <c r="G1233" s="106" t="str">
        <f>"B17_Assessment!A34:J34"</f>
        <v>B17_Assessment!A34:J34</v>
      </c>
    </row>
    <row r="1234" spans="1:7" ht="46.35" customHeight="1">
      <c r="A1234" s="106" t="str">
        <f>B17_Assessment!$B$2</f>
        <v>17</v>
      </c>
      <c r="B1234" s="106" t="str">
        <f t="shared" si="99"/>
        <v>B16_Assessment</v>
      </c>
      <c r="C1234" s="106" t="str">
        <f>"Electrical"</f>
        <v>Electrical</v>
      </c>
      <c r="D1234" s="142" t="str">
        <f>B17_Assessment!$A$35</f>
        <v>B35A</v>
      </c>
      <c r="E1234" s="142" t="str">
        <f>B17_Assessment!$I$35</f>
        <v>Verify</v>
      </c>
      <c r="F1234" s="106" t="str">
        <f>B17_Assessment!$J$35</f>
        <v>Existing rack/equipment area; verify active equipment, floor UPS status, source circuits, and transfer requirements before disconnect/removal.</v>
      </c>
      <c r="G1234" s="106" t="str">
        <f>"B17_Assessment!A35:J35"</f>
        <v>B17_Assessment!A35:J35</v>
      </c>
    </row>
    <row r="1235" spans="1:7" ht="40.65" customHeight="1">
      <c r="A1235" s="106" t="str">
        <f>B17_Assessment!$B$2</f>
        <v>17</v>
      </c>
      <c r="B1235" s="106" t="str">
        <f t="shared" si="99"/>
        <v>B16_Assessment</v>
      </c>
      <c r="C1235" s="106" t="str">
        <f>"Electrical"</f>
        <v>Electrical</v>
      </c>
      <c r="D1235" s="142" t="str">
        <f>B17_Assessment!$A$36</f>
        <v>B29 Path</v>
      </c>
      <c r="E1235" s="142" t="str">
        <f>B17_Assessment!$I$36</f>
        <v>Verify</v>
      </c>
      <c r="F1235" s="106" t="str">
        <f>B17_Assessment!$J$36</f>
        <v>Verify whether any Building 29 equipment or extension path requires power, grounding, bonding, or labeling tied back to B17 TR 118.</v>
      </c>
      <c r="G1235" s="106" t="str">
        <f>"B17_Assessment!A36:J36"</f>
        <v>B17_Assessment!A36:J36</v>
      </c>
    </row>
    <row r="1236" spans="1:7" ht="69.900000000000006" customHeight="1">
      <c r="A1236" s="106" t="str">
        <f>B17_Assessment!$B$2</f>
        <v>17</v>
      </c>
      <c r="B1236" s="106" t="str">
        <f t="shared" si="99"/>
        <v>B16_Assessment</v>
      </c>
      <c r="C1236" s="106" t="str">
        <f>"Telecom"</f>
        <v>Telecom</v>
      </c>
      <c r="D1236" s="142" t="str">
        <f>B17_Assessment!$A$40</f>
        <v>118</v>
      </c>
      <c r="E1236" s="142" t="str">
        <f>B17_Assessment!$I$40</f>
        <v>Verify</v>
      </c>
      <c r="F1236" s="106" t="str">
        <f>B17_Assessment!$J$40</f>
        <v>17_29T-701 identifies Room 118 schedule: 113 WAO total, 67 active ports per survey, 154 total ports per schedule, and 169 total ports with 10% allowance. Rack ID TR17-118-1 serves basement, first, second-level outlets and Building 29 path.</v>
      </c>
      <c r="G1236" s="106" t="str">
        <f>"B17_Assessment!A40:J40"</f>
        <v>B17_Assessment!A40:J40</v>
      </c>
    </row>
    <row r="1237" spans="1:7" ht="75.599999999999994" customHeight="1">
      <c r="A1237" s="106" t="str">
        <f>B17_Assessment!$B$2</f>
        <v>17</v>
      </c>
      <c r="B1237" s="106" t="str">
        <f t="shared" si="99"/>
        <v>B16_Assessment</v>
      </c>
      <c r="C1237" s="106" t="str">
        <f>"Telecom"</f>
        <v>Telecom</v>
      </c>
      <c r="D1237" s="142" t="str">
        <f>B17_Assessment!$A$41</f>
        <v>B35A</v>
      </c>
      <c r="E1237" s="142" t="str">
        <f>B17_Assessment!$I$41</f>
        <v>Verify</v>
      </c>
      <c r="F1237" s="106" t="str">
        <f>B17_Assessment!$J$41</f>
        <v>Existing Room B35A equipment includes SERTEX utility service ports, legacy Ortronics patch panels, Cisco switches, wall-mounted TE, Fiber/legacy equipment, security cabinet, and floor UPS; verify active services and transfer plan to Room 118.</v>
      </c>
      <c r="G1237" s="106" t="str">
        <f>"B17_Assessment!A41:J41"</f>
        <v>B17_Assessment!A41:J41</v>
      </c>
    </row>
    <row r="1238" spans="1:7" ht="40.65" customHeight="1">
      <c r="A1238" s="106" t="str">
        <f>B17_Assessment!$B$2</f>
        <v>17</v>
      </c>
      <c r="B1238" s="106" t="str">
        <f t="shared" si="99"/>
        <v>B16_Assessment</v>
      </c>
      <c r="C1238" s="106" t="str">
        <f>"Telecom"</f>
        <v>Telecom</v>
      </c>
      <c r="D1238" s="142" t="str">
        <f>B17_Assessment!$A$42</f>
        <v>B29 Path</v>
      </c>
      <c r="E1238" s="142" t="str">
        <f>B17_Assessment!$I$42</f>
        <v>Verify</v>
      </c>
      <c r="F1238" s="106" t="str">
        <f>B17_Assessment!$J$42</f>
        <v>Building 29 is shown served from B17; verify fiber from Building 17 to Building 29, path to B29 4-inch PVC, outlet labels, test records and as-builts.</v>
      </c>
      <c r="G1238" s="106" t="str">
        <f>"B17_Assessment!A42:J42"</f>
        <v>B17_Assessment!A42:J42</v>
      </c>
    </row>
    <row r="1239" spans="1:7" ht="58.35" customHeight="1">
      <c r="A1239" s="106" t="str">
        <f>B17_Assessment!$B$2</f>
        <v>17</v>
      </c>
      <c r="B1239" s="106" t="str">
        <f t="shared" ref="B1239:B1253" si="100">"B17_Assessment"</f>
        <v>B17_Assessment</v>
      </c>
      <c r="C1239" s="106" t="str">
        <f>"Security"</f>
        <v>Security</v>
      </c>
      <c r="D1239" s="142" t="str">
        <f>B17_Assessment!$A$46</f>
        <v>118</v>
      </c>
      <c r="E1239" s="142" t="str">
        <f>B17_Assessment!$I$46</f>
        <v>Verify</v>
      </c>
      <c r="F1239" s="106" t="str">
        <f>B17_Assessment!$J$46</f>
        <v>Telecom/electrical plans show 118-CAM-01 and security/access-control scope for Room 118; verify CR/RX/DC/ES/MD devices, controller, camera/VMS integration, and door hardware coordination.</v>
      </c>
      <c r="G1239" s="106" t="str">
        <f>"B17_Assessment!A46:J46"</f>
        <v>B17_Assessment!A46:J46</v>
      </c>
    </row>
    <row r="1240" spans="1:7" ht="46.35" customHeight="1">
      <c r="A1240" s="106" t="str">
        <f>B17_Assessment!$B$2</f>
        <v>17</v>
      </c>
      <c r="B1240" s="106" t="str">
        <f t="shared" si="100"/>
        <v>B17_Assessment</v>
      </c>
      <c r="C1240" s="106" t="str">
        <f>"Security"</f>
        <v>Security</v>
      </c>
      <c r="D1240" s="142" t="str">
        <f>B17_Assessment!$A$47</f>
        <v>B35A</v>
      </c>
      <c r="E1240" s="142" t="str">
        <f>B17_Assessment!$I$47</f>
        <v>Verify</v>
      </c>
      <c r="F1240" s="106" t="str">
        <f>B17_Assessment!$J$47</f>
        <v>Existing security cabinet shown in B35A; verify whether security equipment remains, is relocated, or requires temporary protection during cutover.</v>
      </c>
      <c r="G1240" s="106" t="str">
        <f>"B17_Assessment!A47:J47"</f>
        <v>B17_Assessment!A47:J47</v>
      </c>
    </row>
    <row r="1241" spans="1:7" ht="29.1" customHeight="1">
      <c r="A1241" s="106" t="str">
        <f>B17_Assessment!$B$2</f>
        <v>17</v>
      </c>
      <c r="B1241" s="106" t="str">
        <f t="shared" si="100"/>
        <v>B17_Assessment</v>
      </c>
      <c r="C1241" s="106" t="str">
        <f>"Security"</f>
        <v>Security</v>
      </c>
      <c r="D1241" s="142" t="str">
        <f>B17_Assessment!$A$48</f>
        <v>B29 Path</v>
      </c>
      <c r="E1241" s="142" t="str">
        <f>B17_Assessment!$I$48</f>
        <v>Verify</v>
      </c>
      <c r="F1241" s="106" t="str">
        <f>B17_Assessment!$J$48</f>
        <v>Verify Building 29 pathway and any security scope tied into B17 TR 118/VMS/PACS.</v>
      </c>
      <c r="G1241" s="106" t="str">
        <f>"B17_Assessment!A48:J48"</f>
        <v>B17_Assessment!A48:J48</v>
      </c>
    </row>
    <row r="1242" spans="1:7" ht="64.2" customHeight="1">
      <c r="A1242" s="106" t="str">
        <f>B18_Assessment!$B$2</f>
        <v>18</v>
      </c>
      <c r="B1242" s="106" t="str">
        <f t="shared" si="100"/>
        <v>B17_Assessment</v>
      </c>
      <c r="C1242" s="106" t="str">
        <f>"Fire"</f>
        <v>Fire</v>
      </c>
      <c r="D1242" s="142" t="str">
        <f>B18_Assessment!$A$22</f>
        <v>110</v>
      </c>
      <c r="E1242" s="142" t="str">
        <f>B18_Assessment!$I$22</f>
        <v>Verify</v>
      </c>
      <c r="F1242" s="106" t="str">
        <f>B18_Assessment!$J$22</f>
        <v>Fully sprinklered building; confirm sprinkler/fire alarm modifications, clean-agent 2A:10B:C extinguisher within 75 ft, rated wall/ceiling/floor penetrations, and temporary firestopping during cable pulls.</v>
      </c>
      <c r="G1242" s="106" t="str">
        <f>"B18_Assessment!A22:J22"</f>
        <v>B18_Assessment!A22:J22</v>
      </c>
    </row>
    <row r="1243" spans="1:7" ht="40.65" customHeight="1">
      <c r="A1243" s="106" t="str">
        <f>B18_Assessment!$B$2</f>
        <v>18</v>
      </c>
      <c r="B1243" s="106" t="str">
        <f t="shared" si="100"/>
        <v>B17_Assessment</v>
      </c>
      <c r="C1243" s="106" t="str">
        <f>"Fire"</f>
        <v>Fire</v>
      </c>
      <c r="D1243" s="142" t="str">
        <f>B18_Assessment!$A$23</f>
        <v>111B</v>
      </c>
      <c r="E1243" s="142" t="str">
        <f>B18_Assessment!$I$23</f>
        <v>Verify</v>
      </c>
      <c r="F1243" s="106" t="str">
        <f>B18_Assessment!$J$23</f>
        <v>Existing TE room; verify fire alarm/sprinkler protection-in-place and seal removed/reused penetrations after cutover.</v>
      </c>
      <c r="G1243" s="106" t="str">
        <f>"B18_Assessment!A23:J23"</f>
        <v>B18_Assessment!A23:J23</v>
      </c>
    </row>
    <row r="1244" spans="1:7" ht="34.950000000000003" customHeight="1">
      <c r="A1244" s="106" t="str">
        <f>B18_Assessment!$B$2</f>
        <v>18</v>
      </c>
      <c r="B1244" s="106" t="str">
        <f t="shared" si="100"/>
        <v>B17_Assessment</v>
      </c>
      <c r="C1244" s="106" t="str">
        <f>"Fire"</f>
        <v>Fire</v>
      </c>
      <c r="D1244" s="142" t="str">
        <f>B18_Assessment!$A$24</f>
        <v>213</v>
      </c>
      <c r="E1244" s="142" t="str">
        <f>B18_Assessment!$I$24</f>
        <v>Verify</v>
      </c>
      <c r="F1244" s="106" t="str">
        <f>B18_Assessment!$J$24</f>
        <v>Existing second-level closet; verify protection-in-place and firestopping after transfer or abandonment.</v>
      </c>
      <c r="G1244" s="106" t="str">
        <f>"B18_Assessment!A24:J24"</f>
        <v>B18_Assessment!A24:J24</v>
      </c>
    </row>
    <row r="1245" spans="1:7" ht="69.900000000000006" customHeight="1">
      <c r="A1245" s="106" t="str">
        <f>B18_Assessment!$B$2</f>
        <v>18</v>
      </c>
      <c r="B1245" s="106" t="str">
        <f t="shared" si="100"/>
        <v>B17_Assessment</v>
      </c>
      <c r="C1245" s="106" t="str">
        <f>"HVAC"</f>
        <v>HVAC</v>
      </c>
      <c r="D1245" s="142" t="str">
        <f>B18_Assessment!$A$28</f>
        <v>110</v>
      </c>
      <c r="E1245" s="142" t="str">
        <f>B18_Assessment!$I$28</f>
        <v>Verify</v>
      </c>
      <c r="F1245" s="106" t="str">
        <f>B18_Assessment!$J$28</f>
        <v>Mechanical/electrical drawings show IU-1-01 in Telecom Room 110 and CU-1-01 outdoor unit. Confirm capacity, emergency/standby source, BACnet adapter, thermostat/control point, condensate path, disconnects, and high-temperature alarm.</v>
      </c>
      <c r="G1245" s="106" t="str">
        <f>"B18_Assessment!A28:J28"</f>
        <v>B18_Assessment!A28:J28</v>
      </c>
    </row>
    <row r="1246" spans="1:7" ht="40.65" customHeight="1">
      <c r="A1246" s="106" t="str">
        <f>B18_Assessment!$B$2</f>
        <v>18</v>
      </c>
      <c r="B1246" s="106" t="str">
        <f t="shared" si="100"/>
        <v>B17_Assessment</v>
      </c>
      <c r="C1246" s="106" t="str">
        <f>"HVAC"</f>
        <v>HVAC</v>
      </c>
      <c r="D1246" s="142" t="str">
        <f>B18_Assessment!$A$29</f>
        <v>111B</v>
      </c>
      <c r="E1246" s="142" t="str">
        <f>B18_Assessment!$I$29</f>
        <v>Verify</v>
      </c>
      <c r="F1246" s="106" t="str">
        <f>B18_Assessment!$J$29</f>
        <v>Existing TE 111B; verify existing environmental conditions during cutover and whether legacy equipment remains active.</v>
      </c>
      <c r="G1246" s="106" t="str">
        <f>"B18_Assessment!A29:J29"</f>
        <v>B18_Assessment!A29:J29</v>
      </c>
    </row>
    <row r="1247" spans="1:7" ht="40.65" customHeight="1">
      <c r="A1247" s="106" t="str">
        <f>B18_Assessment!$B$2</f>
        <v>18</v>
      </c>
      <c r="B1247" s="106" t="str">
        <f t="shared" si="100"/>
        <v>B17_Assessment</v>
      </c>
      <c r="C1247" s="106" t="str">
        <f>"HVAC"</f>
        <v>HVAC</v>
      </c>
      <c r="D1247" s="142" t="str">
        <f>B18_Assessment!$A$30</f>
        <v>213</v>
      </c>
      <c r="E1247" s="142" t="str">
        <f>B18_Assessment!$I$30</f>
        <v>Verify</v>
      </c>
      <c r="F1247" s="106" t="str">
        <f>B18_Assessment!$J$30</f>
        <v>Existing Closet 213; verify existing environmental conditions during cutover and whether legacy equipment remains active.</v>
      </c>
      <c r="G1247" s="106" t="str">
        <f>"B18_Assessment!A30:J30"</f>
        <v>B18_Assessment!A30:J30</v>
      </c>
    </row>
    <row r="1248" spans="1:7" ht="69.900000000000006" customHeight="1">
      <c r="A1248" s="106" t="str">
        <f>B18_Assessment!$B$2</f>
        <v>18</v>
      </c>
      <c r="B1248" s="106" t="str">
        <f t="shared" si="100"/>
        <v>B17_Assessment</v>
      </c>
      <c r="C1248" s="106" t="str">
        <f>"Electrical"</f>
        <v>Electrical</v>
      </c>
      <c r="D1248" s="142" t="str">
        <f>B18_Assessment!$A$34</f>
        <v>110</v>
      </c>
      <c r="E1248" s="142" t="str">
        <f>B18_Assessment!$I$34</f>
        <v>Verify</v>
      </c>
      <c r="F1248" s="106" t="str">
        <f>B18_Assessment!$J$34</f>
        <v>Electrical plans/schedules identify B18-TR110A/B, 208V rack UPS requirements, rack receptacles, TR receptacles, lighting, CU-1-01, SPD requirements, and telecom panelboard schedule requirements.</v>
      </c>
      <c r="G1248" s="106" t="str">
        <f>"B18_Assessment!A34:J34"</f>
        <v>B18_Assessment!A34:J34</v>
      </c>
    </row>
    <row r="1249" spans="1:7" ht="46.35" customHeight="1">
      <c r="A1249" s="106" t="str">
        <f>B18_Assessment!$B$2</f>
        <v>18</v>
      </c>
      <c r="B1249" s="106" t="str">
        <f t="shared" si="100"/>
        <v>B17_Assessment</v>
      </c>
      <c r="C1249" s="106" t="str">
        <f>"Electrical"</f>
        <v>Electrical</v>
      </c>
      <c r="D1249" s="142" t="str">
        <f>B18_Assessment!$A$35</f>
        <v>111B</v>
      </c>
      <c r="E1249" s="142" t="str">
        <f>B18_Assessment!$I$35</f>
        <v>Verify</v>
      </c>
      <c r="F1249" s="106" t="str">
        <f>B18_Assessment!$J$35</f>
        <v>Existing rack/equipment area; verify active equipment, floor UPS status, source circuits, and transfer requirements before disconnect/removal.</v>
      </c>
      <c r="G1249" s="106" t="str">
        <f>"B18_Assessment!A35:J35"</f>
        <v>B18_Assessment!A35:J35</v>
      </c>
    </row>
    <row r="1250" spans="1:7" ht="52.2" customHeight="1">
      <c r="A1250" s="106" t="str">
        <f>B18_Assessment!$B$2</f>
        <v>18</v>
      </c>
      <c r="B1250" s="106" t="str">
        <f t="shared" si="100"/>
        <v>B17_Assessment</v>
      </c>
      <c r="C1250" s="106" t="str">
        <f>"Electrical"</f>
        <v>Electrical</v>
      </c>
      <c r="D1250" s="142" t="str">
        <f>B18_Assessment!$A$36</f>
        <v>213</v>
      </c>
      <c r="E1250" s="142" t="str">
        <f>B18_Assessment!$I$36</f>
        <v>Verify</v>
      </c>
      <c r="F1250" s="106" t="str">
        <f>B18_Assessment!$J$36</f>
        <v>Existing rack/equipment area; verify active equipment, APC UPS status, source circuits, SERTEX utility service and transfer requirements before disconnect/removal.</v>
      </c>
      <c r="G1250" s="106" t="str">
        <f>"B18_Assessment!A36:J36"</f>
        <v>B18_Assessment!A36:J36</v>
      </c>
    </row>
    <row r="1251" spans="1:7" ht="81.45" customHeight="1">
      <c r="A1251" s="106" t="str">
        <f>B18_Assessment!$B$2</f>
        <v>18</v>
      </c>
      <c r="B1251" s="106" t="str">
        <f t="shared" si="100"/>
        <v>B17_Assessment</v>
      </c>
      <c r="C1251" s="106" t="str">
        <f>"Telecom"</f>
        <v>Telecom</v>
      </c>
      <c r="D1251" s="142" t="str">
        <f>B18_Assessment!$A$40</f>
        <v>110</v>
      </c>
      <c r="E1251" s="142" t="str">
        <f>B18_Assessment!$I$40</f>
        <v>Verify</v>
      </c>
      <c r="F1251" s="106" t="str">
        <f>B18_Assessment!$J$40</f>
        <v>18T-701 identifies RM 111A schedule: 86 WAO total, 61 active ports per survey, 122 ports per schedule, and 134 total ports with 10% allowance. New rack elevation is Room 110, 1 rack plus future, with UPS, Future Zone PDU, switches, Cat6A patch panels, Cat5E patch panel and Fiber LIU.</v>
      </c>
      <c r="G1251" s="106" t="str">
        <f>"B18_Assessment!A40:J40"</f>
        <v>B18_Assessment!A40:J40</v>
      </c>
    </row>
    <row r="1252" spans="1:7" ht="58.35" customHeight="1">
      <c r="A1252" s="106" t="str">
        <f>B18_Assessment!$B$2</f>
        <v>18</v>
      </c>
      <c r="B1252" s="106" t="str">
        <f t="shared" si="100"/>
        <v>B17_Assessment</v>
      </c>
      <c r="C1252" s="106" t="str">
        <f>"Telecom"</f>
        <v>Telecom</v>
      </c>
      <c r="D1252" s="142" t="str">
        <f>B18_Assessment!$A$41</f>
        <v>111B</v>
      </c>
      <c r="E1252" s="142" t="str">
        <f>B18_Assessment!$I$41</f>
        <v>Verify</v>
      </c>
      <c r="F1252" s="106" t="str">
        <f>B18_Assessment!$J$41</f>
        <v>Existing Room 111B equipment includes wall-mounted rack, plywood backboard, patch panel, security cabinet, floor UPS and 5RU fiber optic housing; verify active services and transfer plan to Room 110.</v>
      </c>
      <c r="G1252" s="106" t="str">
        <f>"B18_Assessment!A41:J41"</f>
        <v>B18_Assessment!A41:J41</v>
      </c>
    </row>
    <row r="1253" spans="1:7" ht="64.2" customHeight="1">
      <c r="A1253" s="106" t="str">
        <f>B18_Assessment!$B$2</f>
        <v>18</v>
      </c>
      <c r="B1253" s="106" t="str">
        <f t="shared" si="100"/>
        <v>B17_Assessment</v>
      </c>
      <c r="C1253" s="106" t="str">
        <f>"Telecom"</f>
        <v>Telecom</v>
      </c>
      <c r="D1253" s="142" t="str">
        <f>B18_Assessment!$A$42</f>
        <v>213</v>
      </c>
      <c r="E1253" s="142" t="str">
        <f>B18_Assessment!$I$42</f>
        <v>Verify</v>
      </c>
      <c r="F1253" s="106" t="str">
        <f>B18_Assessment!$J$42</f>
        <v>Existing Room 213 equipment includes SERTEX utility service ports, Cisco switch, multiple legacy Ortronics patch panels, wall/wall-mount TE and APC floor UPS; verify active services and transfer plan to Room 110.</v>
      </c>
      <c r="G1253" s="106" t="str">
        <f>"B18_Assessment!A42:J42"</f>
        <v>B18_Assessment!A42:J42</v>
      </c>
    </row>
    <row r="1254" spans="1:7" ht="64.2" customHeight="1">
      <c r="A1254" s="106" t="str">
        <f>B18_Assessment!$B$2</f>
        <v>18</v>
      </c>
      <c r="B1254" s="106" t="str">
        <f t="shared" ref="B1254:B1263" si="101">"B18_Assessment"</f>
        <v>B18_Assessment</v>
      </c>
      <c r="C1254" s="106" t="str">
        <f>"Security"</f>
        <v>Security</v>
      </c>
      <c r="D1254" s="142" t="str">
        <f>B18_Assessment!$A$46</f>
        <v>110</v>
      </c>
      <c r="E1254" s="142" t="str">
        <f>B18_Assessment!$I$46</f>
        <v>Verify</v>
      </c>
      <c r="F1254" s="106" t="str">
        <f>B18_Assessment!$J$46</f>
        <v>Telecom/electrical plans show 111A-CAM-01 and security/access-control scope for the new TR area; verify room naming, CR/RX/DC/ES/MD devices, controller, camera/VMS integration, and door hardware coordination.</v>
      </c>
      <c r="G1254" s="106" t="str">
        <f>"B18_Assessment!A46:J46"</f>
        <v>B18_Assessment!A46:J46</v>
      </c>
    </row>
    <row r="1255" spans="1:7" ht="40.65" customHeight="1">
      <c r="A1255" s="106" t="str">
        <f>B18_Assessment!$B$2</f>
        <v>18</v>
      </c>
      <c r="B1255" s="106" t="str">
        <f t="shared" si="101"/>
        <v>B18_Assessment</v>
      </c>
      <c r="C1255" s="106" t="str">
        <f>"Security"</f>
        <v>Security</v>
      </c>
      <c r="D1255" s="142" t="str">
        <f>B18_Assessment!$A$47</f>
        <v>111B</v>
      </c>
      <c r="E1255" s="142" t="str">
        <f>B18_Assessment!$I$47</f>
        <v>Verify</v>
      </c>
      <c r="F1255" s="106" t="str">
        <f>B18_Assessment!$J$47</f>
        <v>Existing security cabinet shown in 111B; verify whether security equipment remains, is relocated, or requires temporary protection during cutover.</v>
      </c>
      <c r="G1255" s="106" t="str">
        <f>"B18_Assessment!A47:J47"</f>
        <v>B18_Assessment!A47:J47</v>
      </c>
    </row>
    <row r="1256" spans="1:7" ht="40.65" customHeight="1">
      <c r="A1256" s="106" t="str">
        <f>B18_Assessment!$B$2</f>
        <v>18</v>
      </c>
      <c r="B1256" s="106" t="str">
        <f t="shared" si="101"/>
        <v>B18_Assessment</v>
      </c>
      <c r="C1256" s="106" t="str">
        <f>"Security"</f>
        <v>Security</v>
      </c>
      <c r="D1256" s="142" t="str">
        <f>B18_Assessment!$A$48</f>
        <v>213</v>
      </c>
      <c r="E1256" s="142" t="str">
        <f>B18_Assessment!$I$48</f>
        <v>Verify</v>
      </c>
      <c r="F1256" s="106" t="str">
        <f>B18_Assessment!$J$48</f>
        <v>Existing security cabinet shown in 213; verify whether security equipment remains, is relocated, or requires temporary protection during cutover.</v>
      </c>
      <c r="G1256" s="106" t="str">
        <f>"B18_Assessment!A48:J48"</f>
        <v>B18_Assessment!A48:J48</v>
      </c>
    </row>
    <row r="1257" spans="1:7" ht="64.2" customHeight="1">
      <c r="A1257" s="106" t="str">
        <f>B20_Assessment!$B$2</f>
        <v>20</v>
      </c>
      <c r="B1257" s="106" t="str">
        <f t="shared" si="101"/>
        <v>B18_Assessment</v>
      </c>
      <c r="C1257" s="106" t="str">
        <f>"Fire"</f>
        <v>Fire</v>
      </c>
      <c r="D1257" s="142" t="str">
        <f>B20_Assessment!$A$20</f>
        <v>1B</v>
      </c>
      <c r="E1257" s="142" t="str">
        <f>B20_Assessment!$I$20</f>
        <v>Verify</v>
      </c>
      <c r="F1257" s="106" t="str">
        <f>B20_Assessment!$J$20</f>
        <v>Cover sheet states Building 20 receives a Telecom Enclosure and mechanical/fire protection scope is excluded. Still verify firestopping of rated penetrations, 4-inch sleeve, wall/floor openings, and any life-safety device impacts.</v>
      </c>
      <c r="G1257" s="106" t="str">
        <f>"B20_Assessment!A20:J20"</f>
        <v>B20_Assessment!A20:J20</v>
      </c>
    </row>
    <row r="1258" spans="1:7" ht="22.95" customHeight="1">
      <c r="A1258" s="106" t="str">
        <f>B20_Assessment!$B$2</f>
        <v>20</v>
      </c>
      <c r="B1258" s="106" t="str">
        <f t="shared" si="101"/>
        <v>B18_Assessment</v>
      </c>
      <c r="C1258" s="106" t="str">
        <f>"Fire"</f>
        <v>Fire</v>
      </c>
      <c r="D1258" s="142" t="str">
        <f>B20_Assessment!$A$21</f>
        <v>8A</v>
      </c>
      <c r="E1258" s="142" t="str">
        <f>B20_Assessment!$I$21</f>
        <v>Verify</v>
      </c>
      <c r="F1258" s="106" t="str">
        <f>B20_Assessment!$J$21</f>
        <v>Existing closet; verify protection-in-place and firestopping after cable transfer or reuse.</v>
      </c>
      <c r="G1258" s="106" t="str">
        <f>"B20_Assessment!A21:J21"</f>
        <v>B20_Assessment!A21:J21</v>
      </c>
    </row>
    <row r="1259" spans="1:7" ht="52.2" customHeight="1">
      <c r="A1259" s="106" t="str">
        <f>B20_Assessment!$B$2</f>
        <v>20</v>
      </c>
      <c r="B1259" s="106" t="str">
        <f t="shared" si="101"/>
        <v>B18_Assessment</v>
      </c>
      <c r="C1259" s="106" t="str">
        <f>"HVAC"</f>
        <v>HVAC</v>
      </c>
      <c r="D1259" s="142" t="str">
        <f>B20_Assessment!$A$25</f>
        <v>1B</v>
      </c>
      <c r="E1259" s="142" t="str">
        <f>B20_Assessment!$I$25</f>
        <v>N/A</v>
      </c>
      <c r="F1259" s="106" t="str">
        <f>B20_Assessment!$J$25</f>
        <v>Cover sheet states mechanical scope is excluded. Verify whether Office 1B ambient conditions are acceptable for wall-mount TE/UPS/PDU/network equipment.</v>
      </c>
      <c r="G1259" s="106" t="str">
        <f>"B20_Assessment!A25:J25"</f>
        <v>B20_Assessment!A25:J25</v>
      </c>
    </row>
    <row r="1260" spans="1:7" ht="52.2" customHeight="1">
      <c r="A1260" s="106" t="str">
        <f>B20_Assessment!$B$2</f>
        <v>20</v>
      </c>
      <c r="B1260" s="106" t="str">
        <f t="shared" si="101"/>
        <v>B18_Assessment</v>
      </c>
      <c r="C1260" s="106" t="str">
        <f>"HVAC"</f>
        <v>HVAC</v>
      </c>
      <c r="D1260" s="142" t="str">
        <f>B20_Assessment!$A$26</f>
        <v>8A</v>
      </c>
      <c r="E1260" s="142" t="str">
        <f>B20_Assessment!$I$26</f>
        <v>Verify</v>
      </c>
      <c r="F1260" s="106" t="str">
        <f>B20_Assessment!$J$26</f>
        <v>Existing Tel/Data Closet 8A includes indoor AC unit to remain/protect in place; verify operation during cutover and whether equipment remains after transition.</v>
      </c>
      <c r="G1260" s="106" t="str">
        <f>"B20_Assessment!A26:J26"</f>
        <v>B20_Assessment!A26:J26</v>
      </c>
    </row>
    <row r="1261" spans="1:7" ht="81.45" customHeight="1">
      <c r="A1261" s="106" t="str">
        <f>B20_Assessment!$B$2</f>
        <v>20</v>
      </c>
      <c r="B1261" s="106" t="str">
        <f t="shared" si="101"/>
        <v>B18_Assessment</v>
      </c>
      <c r="C1261" s="106" t="str">
        <f>"Electrical"</f>
        <v>Electrical</v>
      </c>
      <c r="D1261" s="142" t="str">
        <f>B20_Assessment!$A$30</f>
        <v>1B</v>
      </c>
      <c r="E1261" s="142" t="str">
        <f>B20_Assessment!$I$30</f>
        <v>Verify</v>
      </c>
      <c r="F1261" s="106" t="str">
        <f>B20_Assessment!$J$30</f>
        <v>20T-701 new enclosure elevation shows APC UPS, two PDU L5-30 input / NEMA 5-20 output units, 120V outlet UPS, 120V outlet PDU, network switch, 48-port Cat6A patch panel and Fiber LIU. Verify circuit source, receptacle type, grounding/bonding and labels.</v>
      </c>
      <c r="G1261" s="106" t="str">
        <f>"B20_Assessment!A30:J30"</f>
        <v>B20_Assessment!A30:J30</v>
      </c>
    </row>
    <row r="1262" spans="1:7" ht="52.2" customHeight="1">
      <c r="A1262" s="106" t="str">
        <f>B20_Assessment!$B$2</f>
        <v>20</v>
      </c>
      <c r="B1262" s="106" t="str">
        <f t="shared" si="101"/>
        <v>B18_Assessment</v>
      </c>
      <c r="C1262" s="106" t="str">
        <f>"Electrical"</f>
        <v>Electrical</v>
      </c>
      <c r="D1262" s="142" t="str">
        <f>B20_Assessment!$A$31</f>
        <v>8A</v>
      </c>
      <c r="E1262" s="142" t="str">
        <f>B20_Assessment!$I$31</f>
        <v>Verify</v>
      </c>
      <c r="F1262" s="106" t="str">
        <f>B20_Assessment!$J$31</f>
        <v>Existing 8A elevation shows UPS on ground, legacy patch equipment and Fiber LIU on wall; verify source circuits, UPS status, and transition requirements before disconnect/removal.</v>
      </c>
      <c r="G1262" s="106" t="str">
        <f>"B20_Assessment!A31:J31"</f>
        <v>B20_Assessment!A31:J31</v>
      </c>
    </row>
    <row r="1263" spans="1:7" ht="69.900000000000006" customHeight="1">
      <c r="A1263" s="106" t="str">
        <f>B20_Assessment!$B$2</f>
        <v>20</v>
      </c>
      <c r="B1263" s="106" t="str">
        <f t="shared" si="101"/>
        <v>B18_Assessment</v>
      </c>
      <c r="C1263" s="106" t="str">
        <f>"Telecom"</f>
        <v>Telecom</v>
      </c>
      <c r="D1263" s="142" t="str">
        <f>B20_Assessment!$A$35</f>
        <v>1B</v>
      </c>
      <c r="E1263" s="142" t="str">
        <f>B20_Assessment!$I$35</f>
        <v>Verify</v>
      </c>
      <c r="F1263" s="106" t="str">
        <f>B20_Assessment!$J$35</f>
        <v>20T-701 identifies TE01-1B-1: 21 WAO total, 24 active ports per survey, 30 ports per schedule, 33 total ports with 10% allowance. Provide new wall-mount TE cabinet and 10 new Cat6A cross-connect cables from existing TE to new TE location.</v>
      </c>
      <c r="G1263" s="106" t="str">
        <f>"B20_Assessment!A35:J35"</f>
        <v>B20_Assessment!A35:J35</v>
      </c>
    </row>
    <row r="1264" spans="1:7" ht="69.900000000000006" customHeight="1">
      <c r="A1264" s="106" t="str">
        <f>B20_Assessment!$B$2</f>
        <v>20</v>
      </c>
      <c r="B1264" s="106" t="str">
        <f t="shared" ref="B1264:B1278" si="102">"B20_Assessment"</f>
        <v>B20_Assessment</v>
      </c>
      <c r="C1264" s="106" t="str">
        <f>"Telecom"</f>
        <v>Telecom</v>
      </c>
      <c r="D1264" s="142" t="str">
        <f>B20_Assessment!$A$36</f>
        <v>8A</v>
      </c>
      <c r="E1264" s="142" t="str">
        <f>B20_Assessment!$I$36</f>
        <v>Verify</v>
      </c>
      <c r="F1264" s="106" t="str">
        <f>B20_Assessment!$J$36</f>
        <v>Existing Tel/Data Closet 8A contains open TE cabinet, ground bar, patch panel, equipment box, indoor AC unit, plywood backboard, BIX blocks, Cisco switch, legacy 48-port patch panel and Fiber LIU. Field verify all active services.</v>
      </c>
      <c r="G1264" s="106" t="str">
        <f>"B20_Assessment!A36:J36"</f>
        <v>B20_Assessment!A36:J36</v>
      </c>
    </row>
    <row r="1265" spans="1:7" ht="58.35" customHeight="1">
      <c r="A1265" s="106" t="str">
        <f>B20_Assessment!$B$2</f>
        <v>20</v>
      </c>
      <c r="B1265" s="106" t="str">
        <f t="shared" si="102"/>
        <v>B20_Assessment</v>
      </c>
      <c r="C1265" s="106" t="str">
        <f>"Security"</f>
        <v>Security</v>
      </c>
      <c r="D1265" s="142" t="str">
        <f>B20_Assessment!$A$40</f>
        <v>1B</v>
      </c>
      <c r="E1265" s="142" t="str">
        <f>B20_Assessment!$I$40</f>
        <v>Verify</v>
      </c>
      <c r="F1265" s="106" t="str">
        <f>B20_Assessment!$J$40</f>
        <v>Building 20 does not appear to create a new TR door/PACS package. Verify any existing cameras/security devices in Office 1B and ensure no camera angle or VMS integration is disrupted.</v>
      </c>
      <c r="G1265" s="106" t="str">
        <f>"B20_Assessment!A40:J40"</f>
        <v>B20_Assessment!A40:J40</v>
      </c>
    </row>
    <row r="1266" spans="1:7" ht="46.35" customHeight="1">
      <c r="A1266" s="106" t="str">
        <f>B20_Assessment!$B$2</f>
        <v>20</v>
      </c>
      <c r="B1266" s="106" t="str">
        <f t="shared" si="102"/>
        <v>B20_Assessment</v>
      </c>
      <c r="C1266" s="106" t="str">
        <f>"Security"</f>
        <v>Security</v>
      </c>
      <c r="D1266" s="142" t="str">
        <f>B20_Assessment!$A$41</f>
        <v>8A</v>
      </c>
      <c r="E1266" s="142" t="str">
        <f>B20_Assessment!$I$41</f>
        <v>Verify</v>
      </c>
      <c r="F1266" s="106" t="str">
        <f>B20_Assessment!$J$41</f>
        <v>Keynotes indicate existing cameras are to be retained and re-used/protected in place; verify existing security equipment and cabinet impacts during cutover.</v>
      </c>
      <c r="G1266" s="106" t="str">
        <f>"B20_Assessment!A41:J41"</f>
        <v>B20_Assessment!A41:J41</v>
      </c>
    </row>
    <row r="1267" spans="1:7" ht="64.2" customHeight="1">
      <c r="A1267" s="106" t="str">
        <f>B21_Assessment!$B$2</f>
        <v>21</v>
      </c>
      <c r="B1267" s="106" t="str">
        <f t="shared" si="102"/>
        <v>B20_Assessment</v>
      </c>
      <c r="C1267" s="106" t="str">
        <f>"Fire"</f>
        <v>Fire</v>
      </c>
      <c r="D1267" s="142" t="str">
        <f>B21_Assessment!$A$22</f>
        <v>100A</v>
      </c>
      <c r="E1267" s="142" t="str">
        <f>B21_Assessment!$I$22</f>
        <v>Verify</v>
      </c>
      <c r="F1267" s="106" t="str">
        <f>B21_Assessment!$J$22</f>
        <v>Cover sheet states Building 21_19 receives a Telecom Enclosure and fire protection scope is excluded. Still verify firestopping of rated penetrations, 4-inch sleeve, wall/floor openings, and any life-safety device impacts.</v>
      </c>
      <c r="G1267" s="106" t="str">
        <f>"B21_Assessment!A22:J22"</f>
        <v>B21_Assessment!A22:J22</v>
      </c>
    </row>
    <row r="1268" spans="1:7" ht="29.1" customHeight="1">
      <c r="A1268" s="106" t="str">
        <f>B21_Assessment!$B$2</f>
        <v>21</v>
      </c>
      <c r="B1268" s="106" t="str">
        <f t="shared" si="102"/>
        <v>B20_Assessment</v>
      </c>
      <c r="C1268" s="106" t="str">
        <f>"Fire"</f>
        <v>Fire</v>
      </c>
      <c r="D1268" s="142" t="str">
        <f>B21_Assessment!$A$23</f>
        <v>B1.TR</v>
      </c>
      <c r="E1268" s="142" t="str">
        <f>B21_Assessment!$I$23</f>
        <v>Verify</v>
      </c>
      <c r="F1268" s="106" t="str">
        <f>B21_Assessment!$J$23</f>
        <v>Existing B21 basement TR; verify protection-in-place and firestopping after cable transfer or reuse.</v>
      </c>
      <c r="G1268" s="106" t="str">
        <f>"B21_Assessment!A23:J23"</f>
        <v>B21_Assessment!A23:J23</v>
      </c>
    </row>
    <row r="1269" spans="1:7" ht="29.1" customHeight="1">
      <c r="A1269" s="106" t="str">
        <f>B21_Assessment!$B$2</f>
        <v>21</v>
      </c>
      <c r="B1269" s="106" t="str">
        <f t="shared" si="102"/>
        <v>B20_Assessment</v>
      </c>
      <c r="C1269" s="106" t="str">
        <f>"Fire"</f>
        <v>Fire</v>
      </c>
      <c r="D1269" s="142" t="str">
        <f>B21_Assessment!$A$24</f>
        <v>B05TR</v>
      </c>
      <c r="E1269" s="142" t="str">
        <f>B21_Assessment!$I$24</f>
        <v>Verify</v>
      </c>
      <c r="F1269" s="106" t="str">
        <f>B21_Assessment!$J$24</f>
        <v>Existing B19 B05TR; verify protection-in-place and firestopping after cable transfer or reuse.</v>
      </c>
      <c r="G1269" s="106" t="str">
        <f>"B21_Assessment!A24:J24"</f>
        <v>B21_Assessment!A24:J24</v>
      </c>
    </row>
    <row r="1270" spans="1:7" ht="58.35" customHeight="1">
      <c r="A1270" s="106" t="str">
        <f>B21_Assessment!$B$2</f>
        <v>21</v>
      </c>
      <c r="B1270" s="106" t="str">
        <f t="shared" si="102"/>
        <v>B20_Assessment</v>
      </c>
      <c r="C1270" s="106" t="str">
        <f>"HVAC"</f>
        <v>HVAC</v>
      </c>
      <c r="D1270" s="142" t="str">
        <f>B21_Assessment!$A$28</f>
        <v>100A</v>
      </c>
      <c r="E1270" s="142" t="str">
        <f>B21_Assessment!$I$28</f>
        <v>Verify</v>
      </c>
      <c r="F1270" s="106" t="str">
        <f>B21_Assessment!$J$28</f>
        <v>Mechanical sheets exist in index. Verify whether new TE heat load in Office 100A is supported by existing/new HVAC and whether any mechanical scope applies despite TE designation.</v>
      </c>
      <c r="G1270" s="106" t="str">
        <f>"B21_Assessment!A28:J28"</f>
        <v>B21_Assessment!A28:J28</v>
      </c>
    </row>
    <row r="1271" spans="1:7" ht="34.950000000000003" customHeight="1">
      <c r="A1271" s="106" t="str">
        <f>B21_Assessment!$B$2</f>
        <v>21</v>
      </c>
      <c r="B1271" s="106" t="str">
        <f t="shared" si="102"/>
        <v>B20_Assessment</v>
      </c>
      <c r="C1271" s="106" t="str">
        <f>"HVAC"</f>
        <v>HVAC</v>
      </c>
      <c r="D1271" s="142" t="str">
        <f>B21_Assessment!$A$29</f>
        <v>B1.TR</v>
      </c>
      <c r="E1271" s="142" t="str">
        <f>B21_Assessment!$I$29</f>
        <v>Verify</v>
      </c>
      <c r="F1271" s="106" t="str">
        <f>B21_Assessment!$J$29</f>
        <v>Existing B21 B1.TR; verify environmental conditions during cutover and whether legacy equipment remains active.</v>
      </c>
      <c r="G1271" s="106" t="str">
        <f>"B21_Assessment!A29:J29"</f>
        <v>B21_Assessment!A29:J29</v>
      </c>
    </row>
    <row r="1272" spans="1:7" ht="34.950000000000003" customHeight="1">
      <c r="A1272" s="106" t="str">
        <f>B21_Assessment!$B$2</f>
        <v>21</v>
      </c>
      <c r="B1272" s="106" t="str">
        <f t="shared" si="102"/>
        <v>B20_Assessment</v>
      </c>
      <c r="C1272" s="106" t="str">
        <f>"HVAC"</f>
        <v>HVAC</v>
      </c>
      <c r="D1272" s="142" t="str">
        <f>B21_Assessment!$A$30</f>
        <v>B05TR</v>
      </c>
      <c r="E1272" s="142" t="str">
        <f>B21_Assessment!$I$30</f>
        <v>Verify</v>
      </c>
      <c r="F1272" s="106" t="str">
        <f>B21_Assessment!$J$30</f>
        <v>Existing B19 B05TR; verify environmental conditions and whether equipment remains active during/after Building 21 transfer.</v>
      </c>
      <c r="G1272" s="106" t="str">
        <f>"B21_Assessment!A30:J30"</f>
        <v>B21_Assessment!A30:J30</v>
      </c>
    </row>
    <row r="1273" spans="1:7" ht="81.45" customHeight="1">
      <c r="A1273" s="106" t="str">
        <f>B21_Assessment!$B$2</f>
        <v>21</v>
      </c>
      <c r="B1273" s="106" t="str">
        <f t="shared" si="102"/>
        <v>B20_Assessment</v>
      </c>
      <c r="C1273" s="106" t="str">
        <f>"Electrical"</f>
        <v>Electrical</v>
      </c>
      <c r="D1273" s="142" t="str">
        <f>B21_Assessment!$A$34</f>
        <v>100A</v>
      </c>
      <c r="E1273" s="142" t="str">
        <f>B21_Assessment!$I$34</f>
        <v>Verify</v>
      </c>
      <c r="F1273" s="106" t="str">
        <f>B21_Assessment!$J$34</f>
        <v>21_19T-604 new enclosure elevation shows APC UPS, two PDU L5-30 input / NEMA 5-20 output units, 120V outlet UPS, 120V outlet PDU, network switches, 48-port Cat6A patch panel and Fiber LIU. Verify circuit source, receptacle type, grounding/bonding and labels.</v>
      </c>
      <c r="G1273" s="106" t="str">
        <f>"B21_Assessment!A34:J34"</f>
        <v>B21_Assessment!A34:J34</v>
      </c>
    </row>
    <row r="1274" spans="1:7" ht="52.2" customHeight="1">
      <c r="A1274" s="106" t="str">
        <f>B21_Assessment!$B$2</f>
        <v>21</v>
      </c>
      <c r="B1274" s="106" t="str">
        <f t="shared" si="102"/>
        <v>B20_Assessment</v>
      </c>
      <c r="C1274" s="106" t="str">
        <f>"Electrical"</f>
        <v>Electrical</v>
      </c>
      <c r="D1274" s="142" t="str">
        <f>B21_Assessment!$A$35</f>
        <v>B1.TR</v>
      </c>
      <c r="E1274" s="142" t="str">
        <f>B21_Assessment!$I$35</f>
        <v>Verify</v>
      </c>
      <c r="F1274" s="106" t="str">
        <f>B21_Assessment!$J$35</f>
        <v>Existing B21 B1.TR elevation shows UPS on ground, Cisco switch, legacy patch panels and Fiber LIU; verify source circuits, UPS status, and transition requirements.</v>
      </c>
      <c r="G1274" s="106" t="str">
        <f>"B21_Assessment!A35:J35"</f>
        <v>B21_Assessment!A35:J35</v>
      </c>
    </row>
    <row r="1275" spans="1:7" ht="52.2" customHeight="1">
      <c r="A1275" s="106" t="str">
        <f>B21_Assessment!$B$2</f>
        <v>21</v>
      </c>
      <c r="B1275" s="106" t="str">
        <f t="shared" si="102"/>
        <v>B20_Assessment</v>
      </c>
      <c r="C1275" s="106" t="str">
        <f>"Electrical"</f>
        <v>Electrical</v>
      </c>
      <c r="D1275" s="142" t="str">
        <f>B21_Assessment!$A$36</f>
        <v>B05TR</v>
      </c>
      <c r="E1275" s="142" t="str">
        <f>B21_Assessment!$I$36</f>
        <v>Verify</v>
      </c>
      <c r="F1275" s="106" t="str">
        <f>B21_Assessment!$J$36</f>
        <v>Existing B19 B05TR elevations show APC floor UPS, legacy patch panels, Cisco switch and Fiber LIU; verify power source, active equipment and transfer/retention requirements.</v>
      </c>
      <c r="G1275" s="106" t="str">
        <f>"B21_Assessment!A36:J36"</f>
        <v>B21_Assessment!A36:J36</v>
      </c>
    </row>
    <row r="1276" spans="1:7" ht="58.35" customHeight="1">
      <c r="A1276" s="106" t="str">
        <f>B21_Assessment!$B$2</f>
        <v>21</v>
      </c>
      <c r="B1276" s="106" t="str">
        <f t="shared" si="102"/>
        <v>B20_Assessment</v>
      </c>
      <c r="C1276" s="106" t="str">
        <f>"Telecom"</f>
        <v>Telecom</v>
      </c>
      <c r="D1276" s="142" t="str">
        <f>B21_Assessment!$A$40</f>
        <v>100A</v>
      </c>
      <c r="E1276" s="142" t="str">
        <f>B21_Assessment!$I$40</f>
        <v>Verify</v>
      </c>
      <c r="F1276" s="106" t="str">
        <f>B21_Assessment!$J$40</f>
        <v>21_19T-701 identifies RM 104 schedule: 90 WAO total, 67 active ports per survey, 119 ports per schedule, and 131 total ports with 10% allowance. 659 ft cable tray total: 63 ft basement and 596 ft first level.</v>
      </c>
      <c r="G1276" s="106" t="str">
        <f>"B21_Assessment!A40:J40"</f>
        <v>B21_Assessment!A40:J40</v>
      </c>
    </row>
    <row r="1277" spans="1:7" ht="52.2" customHeight="1">
      <c r="A1277" s="106" t="str">
        <f>B21_Assessment!$B$2</f>
        <v>21</v>
      </c>
      <c r="B1277" s="106" t="str">
        <f t="shared" si="102"/>
        <v>B20_Assessment</v>
      </c>
      <c r="C1277" s="106" t="str">
        <f>"Telecom"</f>
        <v>Telecom</v>
      </c>
      <c r="D1277" s="142" t="str">
        <f>B21_Assessment!$A$41</f>
        <v>B1.TR</v>
      </c>
      <c r="E1277" s="142" t="str">
        <f>B21_Assessment!$I$41</f>
        <v>Verify</v>
      </c>
      <c r="F1277" s="106" t="str">
        <f>B21_Assessment!$J$41</f>
        <v>Existing B21 B1.TR equipment includes multiple legacy patch panels, Cisco switch, UPS on ground, Fiber LIU and APC floor UPS; verify active services and transfer plan to new TE.</v>
      </c>
      <c r="G1277" s="106" t="str">
        <f>"B21_Assessment!A41:J41"</f>
        <v>B21_Assessment!A41:J41</v>
      </c>
    </row>
    <row r="1278" spans="1:7" ht="58.35" customHeight="1">
      <c r="A1278" s="106" t="str">
        <f>B21_Assessment!$B$2</f>
        <v>21</v>
      </c>
      <c r="B1278" s="106" t="str">
        <f t="shared" si="102"/>
        <v>B20_Assessment</v>
      </c>
      <c r="C1278" s="106" t="str">
        <f>"Telecom"</f>
        <v>Telecom</v>
      </c>
      <c r="D1278" s="142" t="str">
        <f>B21_Assessment!$A$42</f>
        <v>B05TR</v>
      </c>
      <c r="E1278" s="142" t="str">
        <f>B21_Assessment!$I$42</f>
        <v>Verify</v>
      </c>
      <c r="F1278" s="106" t="str">
        <f>B21_Assessment!$J$42</f>
        <v>Existing B19 B05TR equipment includes legacy Ortronics patch panels, Cisco switch, Fiber LIU and APC floor UPS; verify active services and whether B19/B21 devices are served from new enclosure.</v>
      </c>
      <c r="G1278" s="106" t="str">
        <f>"B21_Assessment!A42:J42"</f>
        <v>B21_Assessment!A42:J42</v>
      </c>
    </row>
    <row r="1279" spans="1:7" ht="64.2" customHeight="1">
      <c r="A1279" s="106" t="str">
        <f>B21_Assessment!$B$2</f>
        <v>21</v>
      </c>
      <c r="B1279" s="106" t="str">
        <f t="shared" ref="B1279:B1288" si="103">"B21_Assessment"</f>
        <v>B21_Assessment</v>
      </c>
      <c r="C1279" s="106" t="str">
        <f>"Security"</f>
        <v>Security</v>
      </c>
      <c r="D1279" s="142" t="str">
        <f>B21_Assessment!$A$46</f>
        <v>100A</v>
      </c>
      <c r="E1279" s="142" t="str">
        <f>B21_Assessment!$I$46</f>
        <v>Verify</v>
      </c>
      <c r="F1279" s="106" t="str">
        <f>B21_Assessment!$J$46</f>
        <v>Building 21_19 appears to create a TE enclosure rather than a full TR door/PACS package. Verify any existing cameras/security devices in Room 100A and ensure no camera angle or VMS integration is disrupted.</v>
      </c>
      <c r="G1279" s="106" t="str">
        <f>"B21_Assessment!A46:J46"</f>
        <v>B21_Assessment!A46:J46</v>
      </c>
    </row>
    <row r="1280" spans="1:7" ht="22.95" customHeight="1">
      <c r="A1280" s="106" t="str">
        <f>B21_Assessment!$B$2</f>
        <v>21</v>
      </c>
      <c r="B1280" s="106" t="str">
        <f t="shared" si="103"/>
        <v>B21_Assessment</v>
      </c>
      <c r="C1280" s="106" t="str">
        <f>"Security"</f>
        <v>Security</v>
      </c>
      <c r="D1280" s="142" t="str">
        <f>B21_Assessment!$A$47</f>
        <v>B1.TR</v>
      </c>
      <c r="E1280" s="142" t="str">
        <f>B21_Assessment!$I$47</f>
        <v>Verify</v>
      </c>
      <c r="F1280" s="106" t="str">
        <f>B21_Assessment!$J$47</f>
        <v>Verify any existing security device/cabinet impacts during cutover.</v>
      </c>
      <c r="G1280" s="106" t="str">
        <f>"B21_Assessment!A47:J47"</f>
        <v>B21_Assessment!A47:J47</v>
      </c>
    </row>
    <row r="1281" spans="1:7" ht="34.950000000000003" customHeight="1">
      <c r="A1281" s="106" t="str">
        <f>B21_Assessment!$B$2</f>
        <v>21</v>
      </c>
      <c r="B1281" s="106" t="str">
        <f t="shared" si="103"/>
        <v>B21_Assessment</v>
      </c>
      <c r="C1281" s="106" t="str">
        <f>"Security"</f>
        <v>Security</v>
      </c>
      <c r="D1281" s="142" t="str">
        <f>B21_Assessment!$A$48</f>
        <v>B05TR</v>
      </c>
      <c r="E1281" s="142" t="str">
        <f>B21_Assessment!$I$48</f>
        <v>Verify</v>
      </c>
      <c r="F1281" s="106" t="str">
        <f>B21_Assessment!$J$48</f>
        <v>Verify existing security/camera protection-in-place and any impact from B19/B21 shared telecom equipment.</v>
      </c>
      <c r="G1281" s="106" t="str">
        <f>"B21_Assessment!A48:J48"</f>
        <v>B21_Assessment!A48:J48</v>
      </c>
    </row>
    <row r="1282" spans="1:7" ht="64.2" customHeight="1">
      <c r="A1282" s="106" t="str">
        <f>B22_Assessment!$B$2</f>
        <v>22</v>
      </c>
      <c r="B1282" s="106" t="str">
        <f t="shared" si="103"/>
        <v>B21_Assessment</v>
      </c>
      <c r="C1282" s="106" t="str">
        <f>"Fire"</f>
        <v>Fire</v>
      </c>
      <c r="D1282" s="142" t="str">
        <f>B22_Assessment!$A$20</f>
        <v>102</v>
      </c>
      <c r="E1282" s="142" t="str">
        <f>B22_Assessment!$I$20</f>
        <v>Verify</v>
      </c>
      <c r="F1282" s="106" t="str">
        <f>B22_Assessment!$J$20</f>
        <v>Cover sheet states Building 22 receives a Telecom Enclosure and mechanical/fire protection scope is excluded. Still verify firestopping of rated penetrations, 4-inch sleeve, wall/floor openings, and life-safety device impacts.</v>
      </c>
      <c r="G1282" s="106" t="str">
        <f>"B22_Assessment!A20:J20"</f>
        <v>B22_Assessment!A20:J20</v>
      </c>
    </row>
    <row r="1283" spans="1:7" ht="29.1" customHeight="1">
      <c r="A1283" s="106" t="str">
        <f>B22_Assessment!$B$2</f>
        <v>22</v>
      </c>
      <c r="B1283" s="106" t="str">
        <f t="shared" si="103"/>
        <v>B21_Assessment</v>
      </c>
      <c r="C1283" s="106" t="str">
        <f>"Fire"</f>
        <v>Fire</v>
      </c>
      <c r="D1283" s="142" t="str">
        <f>B22_Assessment!$A$21</f>
        <v>103</v>
      </c>
      <c r="E1283" s="142" t="str">
        <f>B22_Assessment!$I$21</f>
        <v>Verify</v>
      </c>
      <c r="F1283" s="106" t="str">
        <f>B22_Assessment!$J$21</f>
        <v>Existing TE room; verify protection-in-place and firestopping after cable transfer or reuse.</v>
      </c>
      <c r="G1283" s="106" t="str">
        <f>"B22_Assessment!A21:J21"</f>
        <v>B22_Assessment!A21:J21</v>
      </c>
    </row>
    <row r="1284" spans="1:7" ht="52.2" customHeight="1">
      <c r="A1284" s="106" t="str">
        <f>B22_Assessment!$B$2</f>
        <v>22</v>
      </c>
      <c r="B1284" s="106" t="str">
        <f t="shared" si="103"/>
        <v>B21_Assessment</v>
      </c>
      <c r="C1284" s="106" t="str">
        <f>"HVAC"</f>
        <v>HVAC</v>
      </c>
      <c r="D1284" s="142" t="str">
        <f>B22_Assessment!$A$25</f>
        <v>102</v>
      </c>
      <c r="E1284" s="142" t="str">
        <f>B22_Assessment!$I$25</f>
        <v>N/A</v>
      </c>
      <c r="F1284" s="106" t="str">
        <f>B22_Assessment!$J$25</f>
        <v>Cover sheet states mechanical scope is excluded. Verify whether Break Room 102 ambient conditions are acceptable for wall-mount TE/UPS/PDU/network equipment.</v>
      </c>
      <c r="G1284" s="106" t="str">
        <f>"B22_Assessment!A25:J25"</f>
        <v>B22_Assessment!A25:J25</v>
      </c>
    </row>
    <row r="1285" spans="1:7" ht="40.65" customHeight="1">
      <c r="A1285" s="106" t="str">
        <f>B22_Assessment!$B$2</f>
        <v>22</v>
      </c>
      <c r="B1285" s="106" t="str">
        <f t="shared" si="103"/>
        <v>B21_Assessment</v>
      </c>
      <c r="C1285" s="106" t="str">
        <f>"HVAC"</f>
        <v>HVAC</v>
      </c>
      <c r="D1285" s="142" t="str">
        <f>B22_Assessment!$A$26</f>
        <v>103</v>
      </c>
      <c r="E1285" s="142" t="str">
        <f>B22_Assessment!$I$26</f>
        <v>Verify</v>
      </c>
      <c r="F1285" s="106" t="str">
        <f>B22_Assessment!$J$26</f>
        <v>Existing Room 103 equipment area; verify existing environmental conditions during cutover and whether legacy equipment remains active.</v>
      </c>
      <c r="G1285" s="106" t="str">
        <f>"B22_Assessment!A26:J26"</f>
        <v>B22_Assessment!A26:J26</v>
      </c>
    </row>
    <row r="1286" spans="1:7" ht="81.45" customHeight="1">
      <c r="A1286" s="106" t="str">
        <f>B22_Assessment!$B$2</f>
        <v>22</v>
      </c>
      <c r="B1286" s="106" t="str">
        <f t="shared" si="103"/>
        <v>B21_Assessment</v>
      </c>
      <c r="C1286" s="106" t="str">
        <f>"Electrical"</f>
        <v>Electrical</v>
      </c>
      <c r="D1286" s="142" t="str">
        <f>B22_Assessment!$A$30</f>
        <v>102</v>
      </c>
      <c r="E1286" s="142" t="str">
        <f>B22_Assessment!$I$30</f>
        <v>Verify</v>
      </c>
      <c r="F1286" s="106" t="str">
        <f>B22_Assessment!$J$30</f>
        <v>22T-701 new enclosure elevation shows APC UPS, two PDU L5-30 input / NEMA 5-20 output units, 120V outlet UPS, 120V outlet PDU, network switch, 48-port Cat6A patch panel and Fiber LIU. Verify circuit source, receptacle type, grounding/bonding and labels.</v>
      </c>
      <c r="G1286" s="106" t="str">
        <f>"B22_Assessment!A30:J30"</f>
        <v>B22_Assessment!A30:J30</v>
      </c>
    </row>
    <row r="1287" spans="1:7" ht="58.35" customHeight="1">
      <c r="A1287" s="106" t="str">
        <f>B22_Assessment!$B$2</f>
        <v>22</v>
      </c>
      <c r="B1287" s="106" t="str">
        <f t="shared" si="103"/>
        <v>B21_Assessment</v>
      </c>
      <c r="C1287" s="106" t="str">
        <f>"Electrical"</f>
        <v>Electrical</v>
      </c>
      <c r="D1287" s="142" t="str">
        <f>B22_Assessment!$A$31</f>
        <v>103</v>
      </c>
      <c r="E1287" s="142" t="str">
        <f>B22_Assessment!$I$31</f>
        <v>Verify</v>
      </c>
      <c r="F1287" s="106" t="str">
        <f>B22_Assessment!$J$31</f>
        <v>Existing 103 elevation shows APC UPS, Cisco switch, SERTEX utility service, legacy patch equipment and Fiber LIU on wall; verify source circuits, UPS status, and transition requirements before disconnect/removal.</v>
      </c>
      <c r="G1287" s="106" t="str">
        <f>"B22_Assessment!A31:J31"</f>
        <v>B22_Assessment!A31:J31</v>
      </c>
    </row>
    <row r="1288" spans="1:7" ht="81.45" customHeight="1">
      <c r="A1288" s="106" t="str">
        <f>B22_Assessment!$B$2</f>
        <v>22</v>
      </c>
      <c r="B1288" s="106" t="str">
        <f t="shared" si="103"/>
        <v>B21_Assessment</v>
      </c>
      <c r="C1288" s="106" t="str">
        <f>"Telecom"</f>
        <v>Telecom</v>
      </c>
      <c r="D1288" s="142" t="str">
        <f>B22_Assessment!$A$35</f>
        <v>102</v>
      </c>
      <c r="E1288" s="142" t="str">
        <f>B22_Assessment!$I$35</f>
        <v>Verify</v>
      </c>
      <c r="F1288" s="106" t="str">
        <f>B22_Assessment!$J$35</f>
        <v>22T-701 identifies TR01-102-1: 6 WAO total, 96 WAO available, 93% expansion capacity, 7 total port quantities, and 8 total ports with 10% allowance. Provide new wall-mount 12RU TE cabinet and 10 new Cat6A cross-connect cables from existing TE to new TE location.</v>
      </c>
      <c r="G1288" s="106" t="str">
        <f>"B22_Assessment!A35:J35"</f>
        <v>B22_Assessment!A35:J35</v>
      </c>
    </row>
    <row r="1289" spans="1:7" ht="64.2" customHeight="1">
      <c r="A1289" s="106" t="str">
        <f>B22_Assessment!$B$2</f>
        <v>22</v>
      </c>
      <c r="B1289" s="106" t="str">
        <f t="shared" ref="B1289:B1298" si="104">"B22_Assessment"</f>
        <v>B22_Assessment</v>
      </c>
      <c r="C1289" s="106" t="str">
        <f>"Telecom"</f>
        <v>Telecom</v>
      </c>
      <c r="D1289" s="142" t="str">
        <f>B22_Assessment!$A$36</f>
        <v>103</v>
      </c>
      <c r="E1289" s="142" t="str">
        <f>B22_Assessment!$I$36</f>
        <v>Verify</v>
      </c>
      <c r="F1289" s="106" t="str">
        <f>B22_Assessment!$J$36</f>
        <v>Existing Room 103 contains APC UPS, Cisco switch, SERTEX utility service, legacy Ortronics 24-port patch panel, Fiber LIU on wall and ports 1-24 to Bldg 19 ports 73-96. Field verify all active services and B19 handoff.</v>
      </c>
      <c r="G1289" s="106" t="str">
        <f>"B22_Assessment!A36:J36"</f>
        <v>B22_Assessment!A36:J36</v>
      </c>
    </row>
    <row r="1290" spans="1:7" ht="58.35" customHeight="1">
      <c r="A1290" s="106" t="str">
        <f>B22_Assessment!$B$2</f>
        <v>22</v>
      </c>
      <c r="B1290" s="106" t="str">
        <f t="shared" si="104"/>
        <v>B22_Assessment</v>
      </c>
      <c r="C1290" s="106" t="str">
        <f>"Security"</f>
        <v>Security</v>
      </c>
      <c r="D1290" s="142" t="str">
        <f>B22_Assessment!$A$40</f>
        <v>102</v>
      </c>
      <c r="E1290" s="142" t="str">
        <f>B22_Assessment!$I$40</f>
        <v>Verify</v>
      </c>
      <c r="F1290" s="106" t="str">
        <f>B22_Assessment!$J$40</f>
        <v>Building 22 does not appear to create a new full TR door/PACS package. Verify any existing cameras/security devices in Break Room 102 and ensure no camera angle or VMS integration is disrupted.</v>
      </c>
      <c r="G1290" s="106" t="str">
        <f>"B22_Assessment!A40:J40"</f>
        <v>B22_Assessment!A40:J40</v>
      </c>
    </row>
    <row r="1291" spans="1:7" ht="29.1" customHeight="1">
      <c r="A1291" s="106" t="str">
        <f>B22_Assessment!$B$2</f>
        <v>22</v>
      </c>
      <c r="B1291" s="106" t="str">
        <f t="shared" si="104"/>
        <v>B22_Assessment</v>
      </c>
      <c r="C1291" s="106" t="str">
        <f>"Security"</f>
        <v>Security</v>
      </c>
      <c r="D1291" s="142" t="str">
        <f>B22_Assessment!$A$41</f>
        <v>103</v>
      </c>
      <c r="E1291" s="142" t="str">
        <f>B22_Assessment!$I$41</f>
        <v>Verify</v>
      </c>
      <c r="F1291" s="106" t="str">
        <f>B22_Assessment!$J$41</f>
        <v>Verify security/access conditions and whether any legacy security equipment is present at existing TE location.</v>
      </c>
      <c r="G1291" s="106" t="str">
        <f>"B22_Assessment!A41:J41"</f>
        <v>B22_Assessment!A41:J41</v>
      </c>
    </row>
    <row r="1292" spans="1:7" ht="64.2" customHeight="1">
      <c r="A1292" s="106" t="str">
        <f>B33_Assessment!$B$2</f>
        <v>33</v>
      </c>
      <c r="B1292" s="106" t="str">
        <f t="shared" si="104"/>
        <v>B22_Assessment</v>
      </c>
      <c r="C1292" s="106" t="str">
        <f>"Fire"</f>
        <v>Fire</v>
      </c>
      <c r="D1292" s="142" t="str">
        <f>B33_Assessment!$A$20</f>
        <v>B23</v>
      </c>
      <c r="E1292" s="142" t="str">
        <f>B33_Assessment!$I$20</f>
        <v>Verify</v>
      </c>
      <c r="F1292" s="106" t="str">
        <f>B33_Assessment!$J$20</f>
        <v>Cover sheet states Building 33 receives a Telecom Enclosure and mechanical/fire protection scope is excluded. Still verify firestopping of rated penetrations, 4-inch sleeve, wall/floor openings, and life-safety device impacts.</v>
      </c>
      <c r="G1292" s="106" t="str">
        <f>"B33_Assessment!A20:J20"</f>
        <v>B33_Assessment!A20:J20</v>
      </c>
    </row>
    <row r="1293" spans="1:7" ht="29.1" customHeight="1">
      <c r="A1293" s="106" t="str">
        <f>B33_Assessment!$B$2</f>
        <v>33</v>
      </c>
      <c r="B1293" s="106" t="str">
        <f t="shared" si="104"/>
        <v>B22_Assessment</v>
      </c>
      <c r="C1293" s="106" t="str">
        <f>"Fire"</f>
        <v>Fire</v>
      </c>
      <c r="D1293" s="142" t="str">
        <f>B33_Assessment!$A$21</f>
        <v>B17</v>
      </c>
      <c r="E1293" s="142" t="str">
        <f>B33_Assessment!$I$21</f>
        <v>Verify</v>
      </c>
      <c r="F1293" s="106" t="str">
        <f>B33_Assessment!$J$21</f>
        <v>Existing Tel Closet; verify protection-in-place and firestopping after cable transfer or reuse.</v>
      </c>
      <c r="G1293" s="106" t="str">
        <f>"B33_Assessment!A21:J21"</f>
        <v>B33_Assessment!A21:J21</v>
      </c>
    </row>
    <row r="1294" spans="1:7" ht="52.2" customHeight="1">
      <c r="A1294" s="106" t="str">
        <f>B33_Assessment!$B$2</f>
        <v>33</v>
      </c>
      <c r="B1294" s="106" t="str">
        <f t="shared" si="104"/>
        <v>B22_Assessment</v>
      </c>
      <c r="C1294" s="106" t="str">
        <f>"HVAC"</f>
        <v>HVAC</v>
      </c>
      <c r="D1294" s="142" t="str">
        <f>B33_Assessment!$A$25</f>
        <v>B23</v>
      </c>
      <c r="E1294" s="142" t="str">
        <f>B33_Assessment!$I$25</f>
        <v>N/A</v>
      </c>
      <c r="F1294" s="106" t="str">
        <f>B33_Assessment!$J$25</f>
        <v>Cover sheet states mechanical scope is excluded. Verify whether Office B23 ambient conditions are acceptable for wall-mount TE/UPS/PDU/network equipment.</v>
      </c>
      <c r="G1294" s="106" t="str">
        <f>"B33_Assessment!A25:J25"</f>
        <v>B33_Assessment!A25:J25</v>
      </c>
    </row>
    <row r="1295" spans="1:7" ht="46.35" customHeight="1">
      <c r="A1295" s="106" t="str">
        <f>B33_Assessment!$B$2</f>
        <v>33</v>
      </c>
      <c r="B1295" s="106" t="str">
        <f t="shared" si="104"/>
        <v>B22_Assessment</v>
      </c>
      <c r="C1295" s="106" t="str">
        <f>"HVAC"</f>
        <v>HVAC</v>
      </c>
      <c r="D1295" s="142" t="str">
        <f>B33_Assessment!$A$26</f>
        <v>B17</v>
      </c>
      <c r="E1295" s="142" t="str">
        <f>B33_Assessment!$I$26</f>
        <v>Verify</v>
      </c>
      <c r="F1295" s="106" t="str">
        <f>B33_Assessment!$J$26</f>
        <v>Existing B17 enlarged plan identifies an existing indoor AC unit. Verify operation during cutover and determine whether active legacy equipment remains after transfer to B23.</v>
      </c>
      <c r="G1295" s="106" t="str">
        <f>"B33_Assessment!A26:J26"</f>
        <v>B33_Assessment!A26:J26</v>
      </c>
    </row>
    <row r="1296" spans="1:7" ht="81.45" customHeight="1">
      <c r="A1296" s="106" t="str">
        <f>B33_Assessment!$B$2</f>
        <v>33</v>
      </c>
      <c r="B1296" s="106" t="str">
        <f t="shared" si="104"/>
        <v>B22_Assessment</v>
      </c>
      <c r="C1296" s="106" t="str">
        <f>"Electrical"</f>
        <v>Electrical</v>
      </c>
      <c r="D1296" s="142" t="str">
        <f>B33_Assessment!$A$30</f>
        <v>B23</v>
      </c>
      <c r="E1296" s="142" t="str">
        <f>B33_Assessment!$I$30</f>
        <v>Verify</v>
      </c>
      <c r="F1296" s="106" t="str">
        <f>B33_Assessment!$J$30</f>
        <v>33T-604 new enclosure elevation shows APC UPS, two PDU L5-30 input / NEMA 5-20 output units, 120V outlet UPS, 120V outlet PDU, network switch, 48-port Cat6A patch panel and Fiber LIU. Verify circuit source, receptacle type, grounding/bonding and labels.</v>
      </c>
      <c r="G1296" s="106" t="str">
        <f>"B33_Assessment!A30:J30"</f>
        <v>B33_Assessment!A30:J30</v>
      </c>
    </row>
    <row r="1297" spans="1:7" ht="58.35" customHeight="1">
      <c r="A1297" s="106" t="str">
        <f>B33_Assessment!$B$2</f>
        <v>33</v>
      </c>
      <c r="B1297" s="106" t="str">
        <f t="shared" si="104"/>
        <v>B22_Assessment</v>
      </c>
      <c r="C1297" s="106" t="str">
        <f>"Electrical"</f>
        <v>Electrical</v>
      </c>
      <c r="D1297" s="142" t="str">
        <f>B33_Assessment!$A$31</f>
        <v>B17</v>
      </c>
      <c r="E1297" s="142" t="str">
        <f>B33_Assessment!$I$31</f>
        <v>Verify</v>
      </c>
      <c r="F1297" s="106" t="str">
        <f>B33_Assessment!$J$31</f>
        <v>Existing B17 elevations show UPS on floor, Cisco switches, SERTEX utility service, legacy patch panels and Fiber LIU; verify source circuits, UPS status, and transition requirements before disconnect/removal.</v>
      </c>
      <c r="G1297" s="106" t="str">
        <f>"B33_Assessment!A31:J31"</f>
        <v>B33_Assessment!A31:J31</v>
      </c>
    </row>
    <row r="1298" spans="1:7" ht="75.599999999999994" customHeight="1">
      <c r="A1298" s="106" t="str">
        <f>B33_Assessment!$B$2</f>
        <v>33</v>
      </c>
      <c r="B1298" s="106" t="str">
        <f t="shared" si="104"/>
        <v>B22_Assessment</v>
      </c>
      <c r="C1298" s="106" t="str">
        <f>"Telecom"</f>
        <v>Telecom</v>
      </c>
      <c r="D1298" s="142" t="str">
        <f>B33_Assessment!$A$35</f>
        <v>B23</v>
      </c>
      <c r="E1298" s="142" t="str">
        <f>B33_Assessment!$I$35</f>
        <v>Verify</v>
      </c>
      <c r="F1298" s="106" t="str">
        <f>B33_Assessment!$J$35</f>
        <v>33T-701 identifies TE01-B23-1: 55 WAO total, 34 active ports per survey, 88 total ports per schedule, and 97 total ports with 10% allowance. Basement cable tray schedule totals 102 ft. Provide 10 new Cat6A cross-connect cables from existing TE to new TE location.</v>
      </c>
      <c r="G1298" s="106" t="str">
        <f>"B33_Assessment!A35:J35"</f>
        <v>B33_Assessment!A35:J35</v>
      </c>
    </row>
    <row r="1299" spans="1:7" ht="69.900000000000006" customHeight="1">
      <c r="A1299" s="106" t="str">
        <f>B33_Assessment!$B$2</f>
        <v>33</v>
      </c>
      <c r="B1299" s="106" t="str">
        <f t="shared" ref="B1299:B1318" si="105">"B33_Assessment"</f>
        <v>B33_Assessment</v>
      </c>
      <c r="C1299" s="106" t="str">
        <f>"Telecom"</f>
        <v>Telecom</v>
      </c>
      <c r="D1299" s="142" t="str">
        <f>B33_Assessment!$A$36</f>
        <v>B17</v>
      </c>
      <c r="E1299" s="142" t="str">
        <f>B33_Assessment!$I$36</f>
        <v>Verify</v>
      </c>
      <c r="F1299" s="106" t="str">
        <f>B33_Assessment!$J$36</f>
        <v>Existing B17 rack elevations include Cisco switches, legacy 24/48-port patch panels, SERTEX utility service, legacy Fiber LIU, passive Fiber LIU/wall mount, UPS on floor and cross-building port references to Bldgs 3, 80 and 82.</v>
      </c>
      <c r="G1299" s="106" t="str">
        <f>"B33_Assessment!A36:J36"</f>
        <v>B33_Assessment!A36:J36</v>
      </c>
    </row>
    <row r="1300" spans="1:7" ht="58.35" customHeight="1">
      <c r="A1300" s="106" t="str">
        <f>B33_Assessment!$B$2</f>
        <v>33</v>
      </c>
      <c r="B1300" s="106" t="str">
        <f t="shared" si="105"/>
        <v>B33_Assessment</v>
      </c>
      <c r="C1300" s="106" t="str">
        <f>"Security"</f>
        <v>Security</v>
      </c>
      <c r="D1300" s="142" t="str">
        <f>B33_Assessment!$A$40</f>
        <v>B23</v>
      </c>
      <c r="E1300" s="142" t="str">
        <f>B33_Assessment!$I$40</f>
        <v>Verify</v>
      </c>
      <c r="F1300" s="106" t="str">
        <f>B33_Assessment!$J$40</f>
        <v>Building 33 does not appear to create a new full TR door/PACS package. Verify existing cameras/security devices in B23 and ensure no camera angle or VMS integration is disrupted.</v>
      </c>
      <c r="G1300" s="106" t="str">
        <f>"B33_Assessment!A40:J40"</f>
        <v>B33_Assessment!A40:J40</v>
      </c>
    </row>
    <row r="1301" spans="1:7" ht="46.35" customHeight="1">
      <c r="A1301" s="106" t="str">
        <f>B33_Assessment!$B$2</f>
        <v>33</v>
      </c>
      <c r="B1301" s="106" t="str">
        <f t="shared" si="105"/>
        <v>B33_Assessment</v>
      </c>
      <c r="C1301" s="106" t="str">
        <f>"Security"</f>
        <v>Security</v>
      </c>
      <c r="D1301" s="142" t="str">
        <f>B33_Assessment!$A$41</f>
        <v>B17</v>
      </c>
      <c r="E1301" s="142" t="str">
        <f>B33_Assessment!$I$41</f>
        <v>Verify</v>
      </c>
      <c r="F1301" s="106" t="str">
        <f>B33_Assessment!$J$41</f>
        <v>Existing B17 enlarged plan identifies network door controller, keypad and equipment box; verify protection-in-place and whether any security equipment is relocated or recabled.</v>
      </c>
      <c r="G1301" s="106" t="str">
        <f>"B33_Assessment!A41:J41"</f>
        <v>B33_Assessment!A41:J41</v>
      </c>
    </row>
    <row r="1302" spans="1:7" ht="52.2" customHeight="1">
      <c r="A1302" s="106" t="str">
        <f>B61_Assessment!$B$2</f>
        <v>61</v>
      </c>
      <c r="B1302" s="106" t="str">
        <f t="shared" si="105"/>
        <v>B33_Assessment</v>
      </c>
      <c r="C1302" s="106" t="str">
        <f>"Fire"</f>
        <v>Fire</v>
      </c>
      <c r="D1302" s="142" t="str">
        <f>B61_Assessment!$A$24</f>
        <v>B13H-A</v>
      </c>
      <c r="E1302" s="142" t="str">
        <f>B61_Assessment!$I$24</f>
        <v>Verify</v>
      </c>
      <c r="F1302" s="106" t="str">
        <f>B61_Assessment!$J$24</f>
        <v>Dedicated TR scope includes fire protection drawings. Verify sprinkler modifications, fire alarm devices, clean-agent 2A:10B:C FEC within 75 ft, rated penetrations, and temporary firestopping.</v>
      </c>
      <c r="G1302" s="106" t="str">
        <f>"B61_Assessment!A24:J24"</f>
        <v>B61_Assessment!A24:J24</v>
      </c>
    </row>
    <row r="1303" spans="1:7" ht="40.65" customHeight="1">
      <c r="A1303" s="106" t="str">
        <f>B61_Assessment!$B$2</f>
        <v>61</v>
      </c>
      <c r="B1303" s="106" t="str">
        <f t="shared" si="105"/>
        <v>B33_Assessment</v>
      </c>
      <c r="C1303" s="106" t="str">
        <f>"Fire"</f>
        <v>Fire</v>
      </c>
      <c r="D1303" s="142" t="str">
        <f>B61_Assessment!$A$25</f>
        <v>124</v>
      </c>
      <c r="E1303" s="142" t="str">
        <f>B61_Assessment!$I$25</f>
        <v>Verify</v>
      </c>
      <c r="F1303" s="106" t="str">
        <f>B61_Assessment!$J$25</f>
        <v>Verify sprinkler/fire alarm modifications, clean-agent FEC location, penetrations, cable tray/riser openings, and final UL firestop systems.</v>
      </c>
      <c r="G1303" s="106" t="str">
        <f>"B61_Assessment!A25:J25"</f>
        <v>B61_Assessment!A25:J25</v>
      </c>
    </row>
    <row r="1304" spans="1:7" ht="40.65" customHeight="1">
      <c r="A1304" s="106" t="str">
        <f>B61_Assessment!$B$2</f>
        <v>61</v>
      </c>
      <c r="B1304" s="106" t="str">
        <f t="shared" si="105"/>
        <v>B33_Assessment</v>
      </c>
      <c r="C1304" s="106" t="str">
        <f>"Fire"</f>
        <v>Fire</v>
      </c>
      <c r="D1304" s="142" t="str">
        <f>B61_Assessment!$A$26</f>
        <v>226</v>
      </c>
      <c r="E1304" s="142" t="str">
        <f>B61_Assessment!$I$26</f>
        <v>Verify</v>
      </c>
      <c r="F1304" s="106" t="str">
        <f>B61_Assessment!$J$26</f>
        <v>Verify second-level TR sprinkler/fire alarm modifications, clean-agent FEC location, vertical riser penetrations, and firestopping.</v>
      </c>
      <c r="G1304" s="106" t="str">
        <f>"B61_Assessment!A26:J26"</f>
        <v>B61_Assessment!A26:J26</v>
      </c>
    </row>
    <row r="1305" spans="1:7" ht="40.65" customHeight="1">
      <c r="A1305" s="106" t="str">
        <f>B61_Assessment!$B$2</f>
        <v>61</v>
      </c>
      <c r="B1305" s="106" t="str">
        <f t="shared" si="105"/>
        <v>B33_Assessment</v>
      </c>
      <c r="C1305" s="106" t="str">
        <f>"Fire"</f>
        <v>Fire</v>
      </c>
      <c r="D1305" s="142" t="str">
        <f>B61_Assessment!$A$27</f>
        <v>137 / 137A</v>
      </c>
      <c r="E1305" s="142" t="str">
        <f>B61_Assessment!$I$27</f>
        <v>Verify</v>
      </c>
      <c r="F1305" s="106" t="str">
        <f>B61_Assessment!$J$27</f>
        <v>Existing demarc/server rooms may remain active; verify protection-in-place, FA/FP continuity, and no unsealed penetrations after cabling work.</v>
      </c>
      <c r="G1305" s="106" t="str">
        <f>"B61_Assessment!A27:J27"</f>
        <v>B61_Assessment!A27:J27</v>
      </c>
    </row>
    <row r="1306" spans="1:7" ht="64.2" customHeight="1">
      <c r="A1306" s="106" t="str">
        <f>B61_Assessment!$B$2</f>
        <v>61</v>
      </c>
      <c r="B1306" s="106" t="str">
        <f t="shared" si="105"/>
        <v>B33_Assessment</v>
      </c>
      <c r="C1306" s="106" t="str">
        <f>"HVAC"</f>
        <v>HVAC</v>
      </c>
      <c r="D1306" s="142" t="str">
        <f>B61_Assessment!$A$31</f>
        <v>B13H-A</v>
      </c>
      <c r="E1306" s="142" t="str">
        <f>B61_Assessment!$I$31</f>
        <v>Verify</v>
      </c>
      <c r="F1306" s="106" t="str">
        <f>B61_Assessment!$J$31</f>
        <v>Mechanical sheets identify dedicated split-system cooling with BACnet adapter mounted adjacent to unit in telecom room. Confirm capacity, emergency source, condensate, disconnect, controls, and alarms.</v>
      </c>
      <c r="G1306" s="106" t="str">
        <f>"B61_Assessment!A31:J31"</f>
        <v>B61_Assessment!A31:J31</v>
      </c>
    </row>
    <row r="1307" spans="1:7" ht="46.35" customHeight="1">
      <c r="A1307" s="106" t="str">
        <f>B61_Assessment!$B$2</f>
        <v>61</v>
      </c>
      <c r="B1307" s="106" t="str">
        <f t="shared" si="105"/>
        <v>B33_Assessment</v>
      </c>
      <c r="C1307" s="106" t="str">
        <f>"HVAC"</f>
        <v>HVAC</v>
      </c>
      <c r="D1307" s="142" t="str">
        <f>B61_Assessment!$A$32</f>
        <v>124</v>
      </c>
      <c r="E1307" s="142" t="str">
        <f>B61_Assessment!$I$32</f>
        <v>Verify</v>
      </c>
      <c r="F1307" s="106" t="str">
        <f>B61_Assessment!$J$32</f>
        <v>Mechanical/electrical plans identify IU-1-01/CU-1-01 for first-level TR. Confirm 24/7 operation, emergency/standby source and high-temp alarm.</v>
      </c>
      <c r="G1307" s="106" t="str">
        <f>"B61_Assessment!A32:J32"</f>
        <v>B61_Assessment!A32:J32</v>
      </c>
    </row>
    <row r="1308" spans="1:7" ht="46.35" customHeight="1">
      <c r="A1308" s="106" t="str">
        <f>B61_Assessment!$B$2</f>
        <v>61</v>
      </c>
      <c r="B1308" s="106" t="str">
        <f t="shared" si="105"/>
        <v>B33_Assessment</v>
      </c>
      <c r="C1308" s="106" t="str">
        <f>"HVAC"</f>
        <v>HVAC</v>
      </c>
      <c r="D1308" s="142" t="str">
        <f>B61_Assessment!$A$33</f>
        <v>226</v>
      </c>
      <c r="E1308" s="142" t="str">
        <f>B61_Assessment!$I$33</f>
        <v>Verify</v>
      </c>
      <c r="F1308" s="106" t="str">
        <f>B61_Assessment!$J$33</f>
        <v>Mechanical/electrical plans identify IU-2-01/CU-2-01 for second-level TR. Confirm refrigerant route, condensate route, controls and alarm tie-in.</v>
      </c>
      <c r="G1308" s="106" t="str">
        <f>"B61_Assessment!A33:J33"</f>
        <v>B61_Assessment!A33:J33</v>
      </c>
    </row>
    <row r="1309" spans="1:7" ht="64.2" customHeight="1">
      <c r="A1309" s="106" t="str">
        <f>B61_Assessment!$B$2</f>
        <v>61</v>
      </c>
      <c r="B1309" s="106" t="str">
        <f t="shared" si="105"/>
        <v>B33_Assessment</v>
      </c>
      <c r="C1309" s="106" t="str">
        <f>"HVAC"</f>
        <v>HVAC</v>
      </c>
      <c r="D1309" s="142" t="str">
        <f>B61_Assessment!$A$34</f>
        <v>137 / 137A</v>
      </c>
      <c r="E1309" s="142" t="str">
        <f>B61_Assessment!$I$34</f>
        <v>Verify</v>
      </c>
      <c r="F1309" s="106" t="str">
        <f>B61_Assessment!$J$34</f>
        <v>Existing demarc/server equipment likely has existing cooling dependencies. Verify active equipment heat load, airflow, operational temperatures and whether any existing cooling is modified or protected.</v>
      </c>
      <c r="G1309" s="106" t="str">
        <f>"B61_Assessment!A34:J34"</f>
        <v>B61_Assessment!A34:J34</v>
      </c>
    </row>
    <row r="1310" spans="1:7" ht="64.2" customHeight="1">
      <c r="A1310" s="106" t="str">
        <f>B61_Assessment!$B$2</f>
        <v>61</v>
      </c>
      <c r="B1310" s="106" t="str">
        <f t="shared" si="105"/>
        <v>B33_Assessment</v>
      </c>
      <c r="C1310" s="106" t="str">
        <f>"Electrical"</f>
        <v>Electrical</v>
      </c>
      <c r="D1310" s="142" t="str">
        <f>B61_Assessment!$A$38</f>
        <v>B13H-A</v>
      </c>
      <c r="E1310" s="142" t="str">
        <f>B61_Assessment!$I$38</f>
        <v>Verify</v>
      </c>
      <c r="F1310" s="106" t="str">
        <f>B61_Assessment!$J$38</f>
        <v>Electrical enlarged plans and schedules identify rack receptacles, UPS circuits, PDUs, panelboards, SPD devices and dedicated cooling power for B13H-A. Verify B61-TRB13A/B source, LOTO and labels.</v>
      </c>
      <c r="G1310" s="106" t="str">
        <f>"B61_Assessment!A38:J38"</f>
        <v>B61_Assessment!A38:J38</v>
      </c>
    </row>
    <row r="1311" spans="1:7" ht="46.35" customHeight="1">
      <c r="A1311" s="106" t="str">
        <f>B61_Assessment!$B$2</f>
        <v>61</v>
      </c>
      <c r="B1311" s="106" t="str">
        <f t="shared" si="105"/>
        <v>B33_Assessment</v>
      </c>
      <c r="C1311" s="106" t="str">
        <f>"Electrical"</f>
        <v>Electrical</v>
      </c>
      <c r="D1311" s="142" t="str">
        <f>B61_Assessment!$A$39</f>
        <v>124</v>
      </c>
      <c r="E1311" s="142" t="str">
        <f>B61_Assessment!$I$39</f>
        <v>Verify</v>
      </c>
      <c r="F1311" s="106" t="str">
        <f>B61_Assessment!$J$39</f>
        <v>Electrical schedules identify B61-TR124A/B and rack receptacles. Verify apparent room-name mismatch with RM137B rack receptacles in schedules.</v>
      </c>
      <c r="G1311" s="106" t="str">
        <f>"B61_Assessment!A39:J39"</f>
        <v>B61_Assessment!A39:J39</v>
      </c>
    </row>
    <row r="1312" spans="1:7" ht="40.65" customHeight="1">
      <c r="A1312" s="106" t="str">
        <f>B61_Assessment!$B$2</f>
        <v>61</v>
      </c>
      <c r="B1312" s="106" t="str">
        <f t="shared" si="105"/>
        <v>B33_Assessment</v>
      </c>
      <c r="C1312" s="106" t="str">
        <f>"Electrical"</f>
        <v>Electrical</v>
      </c>
      <c r="D1312" s="142" t="str">
        <f>B61_Assessment!$A$40</f>
        <v>226</v>
      </c>
      <c r="E1312" s="142" t="str">
        <f>B61_Assessment!$I$40</f>
        <v>Verify</v>
      </c>
      <c r="F1312" s="106" t="str">
        <f>B61_Assessment!$J$40</f>
        <v>Electrical schedules identify B61-TR226A/B, rack receptacles, CU-2-01 and SPD requirements. Verify source circuits and labels.</v>
      </c>
      <c r="G1312" s="106" t="str">
        <f>"B61_Assessment!A40:J40"</f>
        <v>B61_Assessment!A40:J40</v>
      </c>
    </row>
    <row r="1313" spans="1:7" ht="64.2" customHeight="1">
      <c r="A1313" s="106" t="str">
        <f>B61_Assessment!$B$2</f>
        <v>61</v>
      </c>
      <c r="B1313" s="106" t="str">
        <f t="shared" si="105"/>
        <v>B33_Assessment</v>
      </c>
      <c r="C1313" s="106" t="str">
        <f>"Electrical"</f>
        <v>Electrical</v>
      </c>
      <c r="D1313" s="142" t="str">
        <f>B61_Assessment!$A$41</f>
        <v>137 / 137A</v>
      </c>
      <c r="E1313" s="142" t="str">
        <f>B61_Assessment!$I$41</f>
        <v>Verify</v>
      </c>
      <c r="F1313" s="106" t="str">
        <f>B61_Assessment!$J$41</f>
        <v>Existing rack inventory includes APC UPS/PDU and server/demarc equipment. Electrical one-line/schedules list B61-TR137AA/AB and PD-B61-TR137 panels; verify active sources and transition impact.</v>
      </c>
      <c r="G1313" s="106" t="str">
        <f>"B61_Assessment!A41:J41"</f>
        <v>B61_Assessment!A41:J41</v>
      </c>
    </row>
    <row r="1314" spans="1:7" ht="52.2" customHeight="1">
      <c r="A1314" s="106" t="str">
        <f>B61_Assessment!$B$2</f>
        <v>61</v>
      </c>
      <c r="B1314" s="106" t="str">
        <f t="shared" si="105"/>
        <v>B33_Assessment</v>
      </c>
      <c r="C1314" s="106" t="str">
        <f>"Telecom"</f>
        <v>Telecom</v>
      </c>
      <c r="D1314" s="142" t="str">
        <f>B61_Assessment!$A$45</f>
        <v>B13H-A</v>
      </c>
      <c r="E1314" s="142" t="str">
        <f>B61_Assessment!$I$45</f>
        <v>Verify</v>
      </c>
      <c r="F1314" s="106" t="str">
        <f>B61_Assessment!$J$45</f>
        <v>61T-701: 88 WAO total, 74 active ports, 129 scheduled ports, 142 with 10% allowance. Rack ID TR01-B13H-A-1. Basement cable tray included in 890 ft basement total.</v>
      </c>
      <c r="G1314" s="106" t="str">
        <f>"B61_Assessment!A45:J45"</f>
        <v>B61_Assessment!A45:J45</v>
      </c>
    </row>
    <row r="1315" spans="1:7" ht="52.2" customHeight="1">
      <c r="A1315" s="106" t="str">
        <f>B61_Assessment!$B$2</f>
        <v>61</v>
      </c>
      <c r="B1315" s="106" t="str">
        <f t="shared" si="105"/>
        <v>B33_Assessment</v>
      </c>
      <c r="C1315" s="106" t="str">
        <f>"Telecom"</f>
        <v>Telecom</v>
      </c>
      <c r="D1315" s="142" t="str">
        <f>B61_Assessment!$A$46</f>
        <v>124</v>
      </c>
      <c r="E1315" s="142" t="str">
        <f>B61_Assessment!$I$46</f>
        <v>Verify</v>
      </c>
      <c r="F1315" s="106" t="str">
        <f>B61_Assessment!$J$46</f>
        <v>61T-701: first-level Room 124 / Rack ID TR01-124-1. Schedule data runs across first-level outlets. Include labels, Fiber LIU, Cat6A patch panels, UPS/PDU and VA/OIT acceptance.</v>
      </c>
      <c r="G1315" s="106" t="str">
        <f>"B61_Assessment!A46:J46"</f>
        <v>B61_Assessment!A46:J46</v>
      </c>
    </row>
    <row r="1316" spans="1:7" ht="46.35" customHeight="1">
      <c r="A1316" s="106" t="str">
        <f>B61_Assessment!$B$2</f>
        <v>61</v>
      </c>
      <c r="B1316" s="106" t="str">
        <f t="shared" si="105"/>
        <v>B33_Assessment</v>
      </c>
      <c r="C1316" s="106" t="str">
        <f>"Telecom"</f>
        <v>Telecom</v>
      </c>
      <c r="D1316" s="142" t="str">
        <f>B61_Assessment!$A$47</f>
        <v>226</v>
      </c>
      <c r="E1316" s="142" t="str">
        <f>B61_Assessment!$I$47</f>
        <v>Verify</v>
      </c>
      <c r="F1316" s="106" t="str">
        <f>B61_Assessment!$J$47</f>
        <v>61T-702: 109 WAO total, 126 active ports, 156 scheduled ports, 172 with 10% allowance. Rack ID TR01-226-1. Verify second-level cable tray and riser penetrations.</v>
      </c>
      <c r="G1316" s="106" t="str">
        <f>"B61_Assessment!A47:J47"</f>
        <v>B61_Assessment!A47:J47</v>
      </c>
    </row>
    <row r="1317" spans="1:7" ht="52.2" customHeight="1">
      <c r="A1317" s="106" t="str">
        <f>B61_Assessment!$B$2</f>
        <v>61</v>
      </c>
      <c r="B1317" s="106" t="str">
        <f t="shared" si="105"/>
        <v>B33_Assessment</v>
      </c>
      <c r="C1317" s="106" t="str">
        <f>"Telecom"</f>
        <v>Telecom</v>
      </c>
      <c r="D1317" s="142" t="str">
        <f>B61_Assessment!$A$48</f>
        <v>137 / 137A</v>
      </c>
      <c r="E1317" s="142" t="str">
        <f>B61_Assessment!$I$48</f>
        <v>Verify</v>
      </c>
      <c r="F1317" s="106" t="str">
        <f>B61_Assessment!$J$48</f>
        <v>61T-402/606/607 inventory existing demarc/server racks and equipment. Protect active systems, coordinate cutover, preserve labels, document equipment remaining in service.</v>
      </c>
      <c r="G1317" s="106" t="str">
        <f>"B61_Assessment!A48:J48"</f>
        <v>B61_Assessment!A48:J48</v>
      </c>
    </row>
    <row r="1318" spans="1:7" ht="46.35" customHeight="1">
      <c r="A1318" s="106" t="str">
        <f>B61_Assessment!$B$2</f>
        <v>61</v>
      </c>
      <c r="B1318" s="106" t="str">
        <f t="shared" si="105"/>
        <v>B33_Assessment</v>
      </c>
      <c r="C1318" s="106" t="str">
        <f>"Security"</f>
        <v>Security</v>
      </c>
      <c r="D1318" s="142" t="str">
        <f>B61_Assessment!$A$52</f>
        <v>B13H-A</v>
      </c>
      <c r="E1318" s="142" t="str">
        <f>B61_Assessment!$I$52</f>
        <v>Verify</v>
      </c>
      <c r="F1318" s="106" t="str">
        <f>B61_Assessment!$J$52</f>
        <v>Telecom plans call for wall-mounted CCTV at TRs and PACS for TR doors. Verify camera, controller, CR/RX/DC/ES/MD, and VMS/PACS integration.</v>
      </c>
      <c r="G1318" s="106" t="str">
        <f>"B61_Assessment!A52:J52"</f>
        <v>B61_Assessment!A52:J52</v>
      </c>
    </row>
    <row r="1319" spans="1:7" ht="29.1" customHeight="1">
      <c r="A1319" s="106" t="str">
        <f>B61_Assessment!$B$2</f>
        <v>61</v>
      </c>
      <c r="B1319" s="106" t="str">
        <f t="shared" ref="B1319:B1327" si="106">"B61_Assessment"</f>
        <v>B61_Assessment</v>
      </c>
      <c r="C1319" s="106" t="str">
        <f>"Security"</f>
        <v>Security</v>
      </c>
      <c r="D1319" s="142" t="str">
        <f>B61_Assessment!$A$53</f>
        <v>124</v>
      </c>
      <c r="E1319" s="142" t="str">
        <f>B61_Assessment!$I$53</f>
        <v>Verify</v>
      </c>
      <c r="F1319" s="106" t="str">
        <f>B61_Assessment!$J$53</f>
        <v>Verify TR door hardware and access control, CCTV camera, network door controller and integration.</v>
      </c>
      <c r="G1319" s="106" t="str">
        <f>"B61_Assessment!A53:J53"</f>
        <v>B61_Assessment!A53:J53</v>
      </c>
    </row>
    <row r="1320" spans="1:7" ht="29.1" customHeight="1">
      <c r="A1320" s="106" t="str">
        <f>B61_Assessment!$B$2</f>
        <v>61</v>
      </c>
      <c r="B1320" s="106" t="str">
        <f t="shared" si="106"/>
        <v>B61_Assessment</v>
      </c>
      <c r="C1320" s="106" t="str">
        <f>"Security"</f>
        <v>Security</v>
      </c>
      <c r="D1320" s="142" t="str">
        <f>B61_Assessment!$A$54</f>
        <v>226</v>
      </c>
      <c r="E1320" s="142" t="str">
        <f>B61_Assessment!$I$54</f>
        <v>Verify</v>
      </c>
      <c r="F1320" s="106" t="str">
        <f>B61_Assessment!$J$54</f>
        <v>Verify second-level TR access control, CCTV camera, door hardware, and VMS/PACS integration.</v>
      </c>
      <c r="G1320" s="106" t="str">
        <f>"B61_Assessment!A54:J54"</f>
        <v>B61_Assessment!A54:J54</v>
      </c>
    </row>
    <row r="1321" spans="1:7" ht="46.35" customHeight="1">
      <c r="A1321" s="106" t="str">
        <f>B61_Assessment!$B$2</f>
        <v>61</v>
      </c>
      <c r="B1321" s="106" t="str">
        <f t="shared" si="106"/>
        <v>B61_Assessment</v>
      </c>
      <c r="C1321" s="106" t="str">
        <f>"Security"</f>
        <v>Security</v>
      </c>
      <c r="D1321" s="142" t="str">
        <f>B61_Assessment!$A$55</f>
        <v>137 / 137A</v>
      </c>
      <c r="E1321" s="142" t="str">
        <f>B61_Assessment!$I$55</f>
        <v>Verify</v>
      </c>
      <c r="F1321" s="106" t="str">
        <f>B61_Assessment!$J$55</f>
        <v>Existing PACS/equipment racks are referenced. Verify existing security devices protected-in-place and any new recabling or integration scope.</v>
      </c>
      <c r="G1321" s="106" t="str">
        <f>"B61_Assessment!A55:J55"</f>
        <v>B61_Assessment!A55:J55</v>
      </c>
    </row>
    <row r="1322" spans="1:7" ht="11.7" customHeight="1">
      <c r="A1322" s="106">
        <f>B62_TR_Assessment!$B$2</f>
        <v>62</v>
      </c>
      <c r="B1322" s="106" t="str">
        <f t="shared" si="106"/>
        <v>B61_Assessment</v>
      </c>
      <c r="C1322" s="106" t="str">
        <f>"Fire"</f>
        <v>Fire</v>
      </c>
      <c r="D1322" s="142" t="str">
        <f>B62_TR_Assessment!$A$24</f>
        <v>B24A</v>
      </c>
      <c r="E1322" s="142" t="str">
        <f>B62_TR_Assessment!$I$24</f>
        <v>Verify</v>
      </c>
      <c r="F1322" s="106">
        <f>B62_TR_Assessment!$J$24</f>
        <v>0</v>
      </c>
      <c r="G1322" s="106" t="str">
        <f>"B62_TR_Assessment!A24:J24"</f>
        <v>B62_TR_Assessment!A24:J24</v>
      </c>
    </row>
    <row r="1323" spans="1:7" ht="11.7" customHeight="1">
      <c r="A1323" s="106">
        <f>B62_TR_Assessment!$B$2</f>
        <v>62</v>
      </c>
      <c r="B1323" s="106" t="str">
        <f t="shared" si="106"/>
        <v>B61_Assessment</v>
      </c>
      <c r="C1323" s="106" t="str">
        <f>"Fire"</f>
        <v>Fire</v>
      </c>
      <c r="D1323" s="142" t="str">
        <f>B62_TR_Assessment!$A$25</f>
        <v>125</v>
      </c>
      <c r="E1323" s="142" t="str">
        <f>B62_TR_Assessment!$I$25</f>
        <v>Verify</v>
      </c>
      <c r="F1323" s="106">
        <f>B62_TR_Assessment!$J$25</f>
        <v>0</v>
      </c>
      <c r="G1323" s="106" t="str">
        <f>"B62_TR_Assessment!A25:J25"</f>
        <v>B62_TR_Assessment!A25:J25</v>
      </c>
    </row>
    <row r="1324" spans="1:7" ht="11.7" customHeight="1">
      <c r="A1324" s="106">
        <f>B62_TR_Assessment!$B$2</f>
        <v>62</v>
      </c>
      <c r="B1324" s="106" t="str">
        <f t="shared" si="106"/>
        <v>B61_Assessment</v>
      </c>
      <c r="C1324" s="106" t="str">
        <f>"Fire"</f>
        <v>Fire</v>
      </c>
      <c r="D1324" s="142" t="str">
        <f>B62_TR_Assessment!$A$26</f>
        <v>225</v>
      </c>
      <c r="E1324" s="142" t="str">
        <f>B62_TR_Assessment!$I$26</f>
        <v>Verify</v>
      </c>
      <c r="F1324" s="106">
        <f>B62_TR_Assessment!$J$26</f>
        <v>0</v>
      </c>
      <c r="G1324" s="106" t="str">
        <f>"B62_TR_Assessment!A26:J26"</f>
        <v>B62_TR_Assessment!A26:J26</v>
      </c>
    </row>
    <row r="1325" spans="1:7" ht="11.7" customHeight="1">
      <c r="A1325" s="106">
        <f>B62_TR_Assessment!$B$2</f>
        <v>62</v>
      </c>
      <c r="B1325" s="106" t="str">
        <f t="shared" si="106"/>
        <v>B61_Assessment</v>
      </c>
      <c r="C1325" s="106" t="str">
        <f>"HVAC"</f>
        <v>HVAC</v>
      </c>
      <c r="D1325" s="142" t="str">
        <f>B62_TR_Assessment!$A$31</f>
        <v>B24A</v>
      </c>
      <c r="E1325" s="142" t="str">
        <f>B62_TR_Assessment!$I$31</f>
        <v>Verify</v>
      </c>
      <c r="F1325" s="106">
        <f>B62_TR_Assessment!$J$31</f>
        <v>0</v>
      </c>
      <c r="G1325" s="106" t="str">
        <f>"B62_TR_Assessment!A31:J31"</f>
        <v>B62_TR_Assessment!A31:J31</v>
      </c>
    </row>
    <row r="1326" spans="1:7" ht="11.7" customHeight="1">
      <c r="A1326" s="106">
        <f>B62_TR_Assessment!$B$2</f>
        <v>62</v>
      </c>
      <c r="B1326" s="106" t="str">
        <f t="shared" si="106"/>
        <v>B61_Assessment</v>
      </c>
      <c r="C1326" s="106" t="str">
        <f>"HVAC"</f>
        <v>HVAC</v>
      </c>
      <c r="D1326" s="142" t="str">
        <f>B62_TR_Assessment!$A$32</f>
        <v>125</v>
      </c>
      <c r="E1326" s="142" t="str">
        <f>B62_TR_Assessment!$I$32</f>
        <v>Verify</v>
      </c>
      <c r="F1326" s="106">
        <f>B62_TR_Assessment!$J$32</f>
        <v>0</v>
      </c>
      <c r="G1326" s="106" t="str">
        <f>"B62_TR_Assessment!A32:J32"</f>
        <v>B62_TR_Assessment!A32:J32</v>
      </c>
    </row>
    <row r="1327" spans="1:7" ht="11.7" customHeight="1">
      <c r="A1327" s="106">
        <f>B62_TR_Assessment!$B$2</f>
        <v>62</v>
      </c>
      <c r="B1327" s="106" t="str">
        <f t="shared" si="106"/>
        <v>B61_Assessment</v>
      </c>
      <c r="C1327" s="106" t="str">
        <f>"HVAC"</f>
        <v>HVAC</v>
      </c>
      <c r="D1327" s="142" t="str">
        <f>B62_TR_Assessment!$A$33</f>
        <v>225</v>
      </c>
      <c r="E1327" s="142" t="str">
        <f>B62_TR_Assessment!$I$33</f>
        <v>Verify</v>
      </c>
      <c r="F1327" s="106">
        <f>B62_TR_Assessment!$J$33</f>
        <v>0</v>
      </c>
      <c r="G1327" s="106" t="str">
        <f>"B62_TR_Assessment!A33:J33"</f>
        <v>B62_TR_Assessment!A33:J33</v>
      </c>
    </row>
    <row r="1328" spans="1:7" ht="11.7" customHeight="1">
      <c r="A1328" s="106">
        <f>B62_TR_Assessment!$B$2</f>
        <v>62</v>
      </c>
      <c r="B1328" s="106" t="str">
        <f t="shared" ref="B1328:B1336" si="107">"B62_TR_Assessment"</f>
        <v>B62_TR_Assessment</v>
      </c>
      <c r="C1328" s="106" t="str">
        <f>"Electrical"</f>
        <v>Electrical</v>
      </c>
      <c r="D1328" s="142" t="str">
        <f>B62_TR_Assessment!$A$38</f>
        <v>B24A</v>
      </c>
      <c r="E1328" s="142" t="str">
        <f>B62_TR_Assessment!$I$38</f>
        <v>Verify</v>
      </c>
      <c r="F1328" s="106">
        <f>B62_TR_Assessment!$J$38</f>
        <v>0</v>
      </c>
      <c r="G1328" s="106" t="str">
        <f>"B62_TR_Assessment!A38:J38"</f>
        <v>B62_TR_Assessment!A38:J38</v>
      </c>
    </row>
    <row r="1329" spans="1:7" ht="11.7" customHeight="1">
      <c r="A1329" s="106">
        <f>B62_TR_Assessment!$B$2</f>
        <v>62</v>
      </c>
      <c r="B1329" s="106" t="str">
        <f t="shared" si="107"/>
        <v>B62_TR_Assessment</v>
      </c>
      <c r="C1329" s="106" t="str">
        <f>"Electrical"</f>
        <v>Electrical</v>
      </c>
      <c r="D1329" s="142" t="str">
        <f>B62_TR_Assessment!$A$39</f>
        <v>125</v>
      </c>
      <c r="E1329" s="142" t="str">
        <f>B62_TR_Assessment!$I$39</f>
        <v>Verify</v>
      </c>
      <c r="F1329" s="106">
        <f>B62_TR_Assessment!$J$39</f>
        <v>0</v>
      </c>
      <c r="G1329" s="106" t="str">
        <f>"B62_TR_Assessment!A39:J39"</f>
        <v>B62_TR_Assessment!A39:J39</v>
      </c>
    </row>
    <row r="1330" spans="1:7" ht="11.7" customHeight="1">
      <c r="A1330" s="106">
        <f>B62_TR_Assessment!$B$2</f>
        <v>62</v>
      </c>
      <c r="B1330" s="106" t="str">
        <f t="shared" si="107"/>
        <v>B62_TR_Assessment</v>
      </c>
      <c r="C1330" s="106" t="str">
        <f>"Electrical"</f>
        <v>Electrical</v>
      </c>
      <c r="D1330" s="142" t="str">
        <f>B62_TR_Assessment!$A$40</f>
        <v>225</v>
      </c>
      <c r="E1330" s="142" t="str">
        <f>B62_TR_Assessment!$I$40</f>
        <v>Verify</v>
      </c>
      <c r="F1330" s="106">
        <f>B62_TR_Assessment!$J$40</f>
        <v>0</v>
      </c>
      <c r="G1330" s="106" t="str">
        <f>"B62_TR_Assessment!A40:J40"</f>
        <v>B62_TR_Assessment!A40:J40</v>
      </c>
    </row>
    <row r="1331" spans="1:7" ht="11.7" customHeight="1">
      <c r="A1331" s="106">
        <f>B70_TR_Assessment!$B$2</f>
        <v>70</v>
      </c>
      <c r="B1331" s="106" t="str">
        <f t="shared" si="107"/>
        <v>B62_TR_Assessment</v>
      </c>
      <c r="C1331" s="106" t="str">
        <f>"Fire"</f>
        <v>Fire</v>
      </c>
      <c r="D1331" s="142" t="str">
        <f>B70_TR_Assessment!$A$24</f>
        <v>B27</v>
      </c>
      <c r="E1331" s="142" t="str">
        <f>B70_TR_Assessment!$I$24</f>
        <v>Verify</v>
      </c>
      <c r="F1331" s="106">
        <f>B70_TR_Assessment!$J$24</f>
        <v>0</v>
      </c>
      <c r="G1331" s="106" t="str">
        <f>"B70_TR_Assessment!A24:J24"</f>
        <v>B70_TR_Assessment!A24:J24</v>
      </c>
    </row>
    <row r="1332" spans="1:7" ht="11.7" customHeight="1">
      <c r="A1332" s="106">
        <f>B70_TR_Assessment!$B$2</f>
        <v>70</v>
      </c>
      <c r="B1332" s="106" t="str">
        <f t="shared" si="107"/>
        <v>B62_TR_Assessment</v>
      </c>
      <c r="C1332" s="106" t="str">
        <f>"Fire"</f>
        <v>Fire</v>
      </c>
      <c r="D1332" s="142" t="str">
        <f>B70_TR_Assessment!$A$25</f>
        <v>125A</v>
      </c>
      <c r="E1332" s="142" t="str">
        <f>B70_TR_Assessment!$I$25</f>
        <v>Verify</v>
      </c>
      <c r="F1332" s="106">
        <f>B70_TR_Assessment!$J$25</f>
        <v>0</v>
      </c>
      <c r="G1332" s="106" t="str">
        <f>"B70_TR_Assessment!A25:J25"</f>
        <v>B70_TR_Assessment!A25:J25</v>
      </c>
    </row>
    <row r="1333" spans="1:7" ht="11.7" customHeight="1">
      <c r="A1333" s="106">
        <f>B70_TR_Assessment!$B$2</f>
        <v>70</v>
      </c>
      <c r="B1333" s="106" t="str">
        <f t="shared" si="107"/>
        <v>B62_TR_Assessment</v>
      </c>
      <c r="C1333" s="106" t="str">
        <f>"Fire"</f>
        <v>Fire</v>
      </c>
      <c r="D1333" s="142" t="str">
        <f>B70_TR_Assessment!$A$26</f>
        <v>262A</v>
      </c>
      <c r="E1333" s="142" t="str">
        <f>B70_TR_Assessment!$I$26</f>
        <v>Verify</v>
      </c>
      <c r="F1333" s="106">
        <f>B70_TR_Assessment!$J$26</f>
        <v>0</v>
      </c>
      <c r="G1333" s="106" t="str">
        <f>"B70_TR_Assessment!A26:J26"</f>
        <v>B70_TR_Assessment!A26:J26</v>
      </c>
    </row>
    <row r="1334" spans="1:7" ht="11.7" customHeight="1">
      <c r="A1334" s="106">
        <f>B70_TR_Assessment!$B$2</f>
        <v>70</v>
      </c>
      <c r="B1334" s="106" t="str">
        <f t="shared" si="107"/>
        <v>B62_TR_Assessment</v>
      </c>
      <c r="C1334" s="106" t="str">
        <f>"HVAC"</f>
        <v>HVAC</v>
      </c>
      <c r="D1334" s="142" t="str">
        <f>B70_TR_Assessment!$A$31</f>
        <v>B27</v>
      </c>
      <c r="E1334" s="142" t="str">
        <f>B70_TR_Assessment!$I$31</f>
        <v>Verify</v>
      </c>
      <c r="F1334" s="106">
        <f>B70_TR_Assessment!$J$31</f>
        <v>0</v>
      </c>
      <c r="G1334" s="106" t="str">
        <f>"B70_TR_Assessment!A31:J31"</f>
        <v>B70_TR_Assessment!A31:J31</v>
      </c>
    </row>
    <row r="1335" spans="1:7" ht="11.7" customHeight="1">
      <c r="A1335" s="106">
        <f>B70_TR_Assessment!$B$2</f>
        <v>70</v>
      </c>
      <c r="B1335" s="106" t="str">
        <f t="shared" si="107"/>
        <v>B62_TR_Assessment</v>
      </c>
      <c r="C1335" s="106" t="str">
        <f>"HVAC"</f>
        <v>HVAC</v>
      </c>
      <c r="D1335" s="142" t="str">
        <f>B70_TR_Assessment!$A$32</f>
        <v>125A</v>
      </c>
      <c r="E1335" s="142" t="str">
        <f>B70_TR_Assessment!$I$32</f>
        <v>Verify</v>
      </c>
      <c r="F1335" s="106">
        <f>B70_TR_Assessment!$J$32</f>
        <v>0</v>
      </c>
      <c r="G1335" s="106" t="str">
        <f>"B70_TR_Assessment!A32:J32"</f>
        <v>B70_TR_Assessment!A32:J32</v>
      </c>
    </row>
    <row r="1336" spans="1:7" ht="11.7" customHeight="1">
      <c r="A1336" s="106">
        <f>B70_TR_Assessment!$B$2</f>
        <v>70</v>
      </c>
      <c r="B1336" s="106" t="str">
        <f t="shared" si="107"/>
        <v>B62_TR_Assessment</v>
      </c>
      <c r="C1336" s="106" t="str">
        <f>"HVAC"</f>
        <v>HVAC</v>
      </c>
      <c r="D1336" s="142" t="str">
        <f>B70_TR_Assessment!$A$33</f>
        <v>262A</v>
      </c>
      <c r="E1336" s="142" t="str">
        <f>B70_TR_Assessment!$I$33</f>
        <v>Verify</v>
      </c>
      <c r="F1336" s="106">
        <f>B70_TR_Assessment!$J$33</f>
        <v>0</v>
      </c>
      <c r="G1336" s="106" t="str">
        <f>"B70_TR_Assessment!A33:J33"</f>
        <v>B70_TR_Assessment!A33:J33</v>
      </c>
    </row>
    <row r="1337" spans="1:7" ht="11.7" customHeight="1">
      <c r="A1337" s="106">
        <f>B70_TR_Assessment!$B$2</f>
        <v>70</v>
      </c>
      <c r="B1337" s="106" t="str">
        <f t="shared" ref="B1337:B1371" si="108">"B70_TR_Assessment"</f>
        <v>B70_TR_Assessment</v>
      </c>
      <c r="C1337" s="106" t="str">
        <f t="shared" ref="C1337:C1343" si="109">"Electrical"</f>
        <v>Electrical</v>
      </c>
      <c r="D1337" s="142" t="str">
        <f>B70_TR_Assessment!$A$38</f>
        <v>B27</v>
      </c>
      <c r="E1337" s="142" t="str">
        <f>B70_TR_Assessment!$I$38</f>
        <v>Verify</v>
      </c>
      <c r="F1337" s="106">
        <f>B70_TR_Assessment!$J$38</f>
        <v>0</v>
      </c>
      <c r="G1337" s="106" t="str">
        <f>"B70_TR_Assessment!A38:J38"</f>
        <v>B70_TR_Assessment!A38:J38</v>
      </c>
    </row>
    <row r="1338" spans="1:7" ht="11.7" customHeight="1">
      <c r="A1338" s="106">
        <f>B70_TR_Assessment!$B$2</f>
        <v>70</v>
      </c>
      <c r="B1338" s="106" t="str">
        <f t="shared" si="108"/>
        <v>B70_TR_Assessment</v>
      </c>
      <c r="C1338" s="106" t="str">
        <f t="shared" si="109"/>
        <v>Electrical</v>
      </c>
      <c r="D1338" s="142" t="str">
        <f>B70_TR_Assessment!$A$39</f>
        <v>125A</v>
      </c>
      <c r="E1338" s="142" t="str">
        <f>B70_TR_Assessment!$I$39</f>
        <v>Verify</v>
      </c>
      <c r="F1338" s="106">
        <f>B70_TR_Assessment!$J$39</f>
        <v>0</v>
      </c>
      <c r="G1338" s="106" t="str">
        <f>"B70_TR_Assessment!A39:J39"</f>
        <v>B70_TR_Assessment!A39:J39</v>
      </c>
    </row>
    <row r="1339" spans="1:7" ht="11.7" customHeight="1">
      <c r="A1339" s="106">
        <f>B70_TR_Assessment!$B$2</f>
        <v>70</v>
      </c>
      <c r="B1339" s="106" t="str">
        <f t="shared" si="108"/>
        <v>B70_TR_Assessment</v>
      </c>
      <c r="C1339" s="106" t="str">
        <f t="shared" si="109"/>
        <v>Electrical</v>
      </c>
      <c r="D1339" s="142" t="str">
        <f>B70_TR_Assessment!$A$40</f>
        <v>262A</v>
      </c>
      <c r="E1339" s="142" t="str">
        <f>B70_TR_Assessment!$I$40</f>
        <v>Verify</v>
      </c>
      <c r="F1339" s="106">
        <f>B70_TR_Assessment!$J$40</f>
        <v>0</v>
      </c>
      <c r="G1339" s="106" t="str">
        <f>"B70_TR_Assessment!A40:J40"</f>
        <v>B70_TR_Assessment!A40:J40</v>
      </c>
    </row>
    <row r="1340" spans="1:7" ht="40.65" customHeight="1">
      <c r="A1340" s="106">
        <f>B78_Assessment!$B$2</f>
        <v>78</v>
      </c>
      <c r="B1340" s="106" t="str">
        <f t="shared" si="108"/>
        <v>B70_TR_Assessment</v>
      </c>
      <c r="C1340" s="106" t="str">
        <f t="shared" si="109"/>
        <v>Electrical</v>
      </c>
      <c r="D1340" s="142" t="str">
        <f>B78_Assessment!$A$30</f>
        <v>B30</v>
      </c>
      <c r="E1340" s="142" t="str">
        <f>B78_Assessment!$I$30</f>
        <v>Verify</v>
      </c>
      <c r="F1340" s="106" t="str">
        <f>B78_Assessment!$J$30</f>
        <v>Full fire protection scope included. Verify sprinkler modifications, fire alarm devices, clean-agent 2A:10B:C FEC within 75 ft, and rated penetrations.</v>
      </c>
      <c r="G1340" s="106" t="str">
        <f>"B78_Assessment!A30:J30"</f>
        <v>B78_Assessment!A30:J30</v>
      </c>
    </row>
    <row r="1341" spans="1:7" ht="29.1" customHeight="1">
      <c r="A1341" s="106">
        <f>B78_Assessment!$B$2</f>
        <v>78</v>
      </c>
      <c r="B1341" s="106" t="str">
        <f t="shared" si="108"/>
        <v>B70_TR_Assessment</v>
      </c>
      <c r="C1341" s="106" t="str">
        <f t="shared" si="109"/>
        <v>Electrical</v>
      </c>
      <c r="D1341" s="142" t="str">
        <f>B78_Assessment!$A$31</f>
        <v>B35</v>
      </c>
      <c r="E1341" s="142" t="str">
        <f>B78_Assessment!$I$31</f>
        <v>Verify</v>
      </c>
      <c r="F1341" s="106" t="str">
        <f>B78_Assessment!$J$31</f>
        <v>Verify FP/FA modifications, FEC location, temporary firestopping and final UL systems.</v>
      </c>
      <c r="G1341" s="106" t="str">
        <f>"B78_Assessment!A31:J31"</f>
        <v>B78_Assessment!A31:J31</v>
      </c>
    </row>
    <row r="1342" spans="1:7" ht="22.95" customHeight="1">
      <c r="A1342" s="106">
        <f>B78_Assessment!$B$2</f>
        <v>78</v>
      </c>
      <c r="B1342" s="106" t="str">
        <f t="shared" si="108"/>
        <v>B70_TR_Assessment</v>
      </c>
      <c r="C1342" s="106" t="str">
        <f t="shared" si="109"/>
        <v>Electrical</v>
      </c>
      <c r="D1342" s="142" t="str">
        <f>B78_Assessment!$A$32</f>
        <v>1232</v>
      </c>
      <c r="E1342" s="142" t="str">
        <f>B78_Assessment!$I$32</f>
        <v>Verify</v>
      </c>
      <c r="F1342" s="106" t="str">
        <f>B78_Assessment!$J$32</f>
        <v>Verify first-level TR sprinkler/FA work, FEC location and cable tray penetrations.</v>
      </c>
      <c r="G1342" s="106" t="str">
        <f>"B78_Assessment!A32:J32"</f>
        <v>B78_Assessment!A32:J32</v>
      </c>
    </row>
    <row r="1343" spans="1:7" ht="29.1" customHeight="1">
      <c r="A1343" s="106">
        <f>B78_Assessment!$B$2</f>
        <v>78</v>
      </c>
      <c r="B1343" s="106" t="str">
        <f t="shared" si="108"/>
        <v>B70_TR_Assessment</v>
      </c>
      <c r="C1343" s="106" t="str">
        <f t="shared" si="109"/>
        <v>Electrical</v>
      </c>
      <c r="D1343" s="142" t="str">
        <f>B78_Assessment!$A$33</f>
        <v>227A</v>
      </c>
      <c r="E1343" s="142" t="str">
        <f>B78_Assessment!$I$33</f>
        <v>Verify</v>
      </c>
      <c r="F1343" s="106" t="str">
        <f>B78_Assessment!$J$33</f>
        <v>Verify second-level TR sprinkler/FA work, FEC location, vertical riser penetrations and firestopping.</v>
      </c>
      <c r="G1343" s="106" t="str">
        <f>"B78_Assessment!A33:J33"</f>
        <v>B78_Assessment!A33:J33</v>
      </c>
    </row>
    <row r="1344" spans="1:7" ht="22.95" customHeight="1">
      <c r="A1344" s="106">
        <f>B78_Assessment!$B$2</f>
        <v>78</v>
      </c>
      <c r="B1344" s="106" t="str">
        <f t="shared" si="108"/>
        <v>B70_TR_Assessment</v>
      </c>
      <c r="C1344" s="106" t="str">
        <f t="shared" ref="C1344:C1350" si="110">"Fire"</f>
        <v>Fire</v>
      </c>
      <c r="D1344" s="142" t="str">
        <f>B78_Assessment!$A$34</f>
        <v>342</v>
      </c>
      <c r="E1344" s="142" t="str">
        <f>B78_Assessment!$I$34</f>
        <v>Verify</v>
      </c>
      <c r="F1344" s="106" t="str">
        <f>B78_Assessment!$J$34</f>
        <v>Verify third-level TR fire protection/fire alarm coordination and firestop work.</v>
      </c>
      <c r="G1344" s="106" t="str">
        <f>"B78_Assessment!A34:J34"</f>
        <v>B78_Assessment!A34:J34</v>
      </c>
    </row>
    <row r="1345" spans="1:7" ht="22.95" customHeight="1">
      <c r="A1345" s="106">
        <f>B78_Assessment!$B$2</f>
        <v>78</v>
      </c>
      <c r="B1345" s="106" t="str">
        <f t="shared" si="108"/>
        <v>B70_TR_Assessment</v>
      </c>
      <c r="C1345" s="106" t="str">
        <f t="shared" si="110"/>
        <v>Fire</v>
      </c>
      <c r="D1345" s="142" t="str">
        <f>B78_Assessment!$A$35</f>
        <v>401</v>
      </c>
      <c r="E1345" s="142" t="str">
        <f>B78_Assessment!$I$35</f>
        <v>Verify</v>
      </c>
      <c r="F1345" s="106" t="str">
        <f>B78_Assessment!$J$35</f>
        <v>Verify fourth-level TR fire protection/fire alarm coordination and firestop work.</v>
      </c>
      <c r="G1345" s="106" t="str">
        <f>"B78_Assessment!A35:J35"</f>
        <v>B78_Assessment!A35:J35</v>
      </c>
    </row>
    <row r="1346" spans="1:7" ht="29.1" customHeight="1">
      <c r="A1346" s="106">
        <f>B78_Assessment!$B$2</f>
        <v>78</v>
      </c>
      <c r="B1346" s="106" t="str">
        <f t="shared" si="108"/>
        <v>B70_TR_Assessment</v>
      </c>
      <c r="C1346" s="106" t="str">
        <f t="shared" si="110"/>
        <v>Fire</v>
      </c>
      <c r="D1346" s="142" t="str">
        <f>B78_Assessment!$A$36</f>
        <v>Existing rooms</v>
      </c>
      <c r="E1346" s="142" t="str">
        <f>B78_Assessment!$I$36</f>
        <v>Verify</v>
      </c>
      <c r="F1346" s="106" t="str">
        <f>B78_Assessment!$J$36</f>
        <v>Verify existing rooms remain protected during cutover and no unsealed penetrations remain.</v>
      </c>
      <c r="G1346" s="106" t="str">
        <f>"B78_Assessment!A36:J36"</f>
        <v>B78_Assessment!A36:J36</v>
      </c>
    </row>
    <row r="1347" spans="1:7" ht="52.2" customHeight="1">
      <c r="A1347" s="106">
        <f>B78_Assessment!$B$2</f>
        <v>78</v>
      </c>
      <c r="B1347" s="106" t="str">
        <f t="shared" si="108"/>
        <v>B70_TR_Assessment</v>
      </c>
      <c r="C1347" s="106" t="str">
        <f t="shared" si="110"/>
        <v>Fire</v>
      </c>
      <c r="D1347" s="142" t="str">
        <f>B78_Assessment!$A$40</f>
        <v>B30</v>
      </c>
      <c r="E1347" s="142" t="str">
        <f>B78_Assessment!$I$40</f>
        <v>Verify</v>
      </c>
      <c r="F1347" s="106" t="str">
        <f>B78_Assessment!$J$40</f>
        <v>Mechanical sheets included for basement. Verify dedicated cooling equipment, capacity, condensate, emergency source, controls/BACnet and high-temperature alarm.</v>
      </c>
      <c r="G1347" s="106" t="str">
        <f>"B78_Assessment!A40:J40"</f>
        <v>B78_Assessment!A40:J40</v>
      </c>
    </row>
    <row r="1348" spans="1:7" ht="22.95" customHeight="1">
      <c r="A1348" s="106">
        <f>B78_Assessment!$B$2</f>
        <v>78</v>
      </c>
      <c r="B1348" s="106" t="str">
        <f t="shared" si="108"/>
        <v>B70_TR_Assessment</v>
      </c>
      <c r="C1348" s="106" t="str">
        <f t="shared" si="110"/>
        <v>Fire</v>
      </c>
      <c r="D1348" s="142" t="str">
        <f>B78_Assessment!$A$41</f>
        <v>B35</v>
      </c>
      <c r="E1348" s="142" t="str">
        <f>B78_Assessment!$I$41</f>
        <v>Verify</v>
      </c>
      <c r="F1348" s="106" t="str">
        <f>B78_Assessment!$J$41</f>
        <v>Verify dedicated cooling and relationship to B30/B35 telecom buildout.</v>
      </c>
      <c r="G1348" s="106" t="str">
        <f>"B78_Assessment!A41:J41"</f>
        <v>B78_Assessment!A41:J41</v>
      </c>
    </row>
    <row r="1349" spans="1:7" ht="22.95" customHeight="1">
      <c r="A1349" s="106">
        <f>B78_Assessment!$B$2</f>
        <v>78</v>
      </c>
      <c r="B1349" s="106" t="str">
        <f t="shared" si="108"/>
        <v>B70_TR_Assessment</v>
      </c>
      <c r="C1349" s="106" t="str">
        <f t="shared" si="110"/>
        <v>Fire</v>
      </c>
      <c r="D1349" s="142" t="str">
        <f>B78_Assessment!$A$42</f>
        <v>1232</v>
      </c>
      <c r="E1349" s="142" t="str">
        <f>B78_Assessment!$I$42</f>
        <v>Verify</v>
      </c>
      <c r="F1349" s="106" t="str">
        <f>B78_Assessment!$J$42</f>
        <v>Verify first-level TR cooling, controls, emergency power and alarm tie-in.</v>
      </c>
      <c r="G1349" s="106" t="str">
        <f>"B78_Assessment!A42:J42"</f>
        <v>B78_Assessment!A42:J42</v>
      </c>
    </row>
    <row r="1350" spans="1:7" ht="22.95" customHeight="1">
      <c r="A1350" s="106">
        <f>B78_Assessment!$B$2</f>
        <v>78</v>
      </c>
      <c r="B1350" s="106" t="str">
        <f t="shared" si="108"/>
        <v>B70_TR_Assessment</v>
      </c>
      <c r="C1350" s="106" t="str">
        <f t="shared" si="110"/>
        <v>Fire</v>
      </c>
      <c r="D1350" s="142" t="str">
        <f>B78_Assessment!$A$43</f>
        <v>227A</v>
      </c>
      <c r="E1350" s="142" t="str">
        <f>B78_Assessment!$I$43</f>
        <v>Verify</v>
      </c>
      <c r="F1350" s="106" t="str">
        <f>B78_Assessment!$J$43</f>
        <v>Verify second-level TR cooling, condensate route and 24/7 operation.</v>
      </c>
      <c r="G1350" s="106" t="str">
        <f>"B78_Assessment!A43:J43"</f>
        <v>B78_Assessment!A43:J43</v>
      </c>
    </row>
    <row r="1351" spans="1:7" ht="22.95" customHeight="1">
      <c r="A1351" s="106">
        <f>B78_Assessment!$B$2</f>
        <v>78</v>
      </c>
      <c r="B1351" s="106" t="str">
        <f t="shared" si="108"/>
        <v>B70_TR_Assessment</v>
      </c>
      <c r="C1351" s="106" t="str">
        <f t="shared" ref="C1351:C1357" si="111">"HVAC"</f>
        <v>HVAC</v>
      </c>
      <c r="D1351" s="142" t="str">
        <f>B78_Assessment!$A$44</f>
        <v>342</v>
      </c>
      <c r="E1351" s="142" t="str">
        <f>B78_Assessment!$I$44</f>
        <v>Verify</v>
      </c>
      <c r="F1351" s="106" t="str">
        <f>B78_Assessment!$J$44</f>
        <v>Verify third-level TR cooling and control/alarm integration.</v>
      </c>
      <c r="G1351" s="106" t="str">
        <f>"B78_Assessment!A44:J44"</f>
        <v>B78_Assessment!A44:J44</v>
      </c>
    </row>
    <row r="1352" spans="1:7" ht="22.95" customHeight="1">
      <c r="A1352" s="106">
        <f>B78_Assessment!$B$2</f>
        <v>78</v>
      </c>
      <c r="B1352" s="106" t="str">
        <f t="shared" si="108"/>
        <v>B70_TR_Assessment</v>
      </c>
      <c r="C1352" s="106" t="str">
        <f t="shared" si="111"/>
        <v>HVAC</v>
      </c>
      <c r="D1352" s="142" t="str">
        <f>B78_Assessment!$A$45</f>
        <v>401</v>
      </c>
      <c r="E1352" s="142" t="str">
        <f>B78_Assessment!$I$45</f>
        <v>Verify</v>
      </c>
      <c r="F1352" s="106" t="str">
        <f>B78_Assessment!$J$45</f>
        <v>Verify fourth-level TR cooling and control/alarm integration.</v>
      </c>
      <c r="G1352" s="106" t="str">
        <f>"B78_Assessment!A45:J45"</f>
        <v>B78_Assessment!A45:J45</v>
      </c>
    </row>
    <row r="1353" spans="1:7" ht="46.35" customHeight="1">
      <c r="A1353" s="106">
        <f>B78_Assessment!$B$2</f>
        <v>78</v>
      </c>
      <c r="B1353" s="106" t="str">
        <f t="shared" si="108"/>
        <v>B70_TR_Assessment</v>
      </c>
      <c r="C1353" s="106" t="str">
        <f t="shared" si="111"/>
        <v>HVAC</v>
      </c>
      <c r="D1353" s="142" t="str">
        <f>B78_Assessment!$A$46</f>
        <v>Existing rooms</v>
      </c>
      <c r="E1353" s="142" t="str">
        <f>B78_Assessment!$I$46</f>
        <v>Verify</v>
      </c>
      <c r="F1353" s="106" t="str">
        <f>B78_Assessment!$J$46</f>
        <v>Existing telecom rooms likely have legacy cooling dependencies. Verify active equipment temperature and any protect-in-place cooling requirements.</v>
      </c>
      <c r="G1353" s="106" t="str">
        <f>"B78_Assessment!A46:J46"</f>
        <v>B78_Assessment!A46:J46</v>
      </c>
    </row>
    <row r="1354" spans="1:7" ht="52.2" customHeight="1">
      <c r="A1354" s="106">
        <f>B78_Assessment!$B$2</f>
        <v>78</v>
      </c>
      <c r="B1354" s="106" t="str">
        <f t="shared" si="108"/>
        <v>B70_TR_Assessment</v>
      </c>
      <c r="C1354" s="106" t="str">
        <f t="shared" si="111"/>
        <v>HVAC</v>
      </c>
      <c r="D1354" s="142" t="str">
        <f>B78_Assessment!$A$50</f>
        <v>B30</v>
      </c>
      <c r="E1354" s="142" t="str">
        <f>B78_Assessment!$I$50</f>
        <v>Verify</v>
      </c>
      <c r="F1354" s="106" t="str">
        <f>B78_Assessment!$J$50</f>
        <v>Rack elevations identify new rack UPS/PDU and future rack. Verify panelboard/source, SPD, rack receptacles, PDU feeds, labels, load measurement and LOTO.</v>
      </c>
      <c r="G1354" s="106" t="str">
        <f>"B78_Assessment!A50:J50"</f>
        <v>B78_Assessment!A50:J50</v>
      </c>
    </row>
    <row r="1355" spans="1:7" ht="22.95" customHeight="1">
      <c r="A1355" s="106">
        <f>B78_Assessment!$B$2</f>
        <v>78</v>
      </c>
      <c r="B1355" s="106" t="str">
        <f t="shared" si="108"/>
        <v>B70_TR_Assessment</v>
      </c>
      <c r="C1355" s="106" t="str">
        <f t="shared" si="111"/>
        <v>HVAC</v>
      </c>
      <c r="D1355" s="142" t="str">
        <f>B78_Assessment!$A$51</f>
        <v>B35</v>
      </c>
      <c r="E1355" s="142" t="str">
        <f>B78_Assessment!$I$51</f>
        <v>Verify</v>
      </c>
      <c r="F1355" s="106" t="str">
        <f>B78_Assessment!$J$51</f>
        <v>Verify rack UPS/PDU source, spare/future rack provisions and grounding/bonding.</v>
      </c>
      <c r="G1355" s="106" t="str">
        <f>"B78_Assessment!A51:J51"</f>
        <v>B78_Assessment!A51:J51</v>
      </c>
    </row>
    <row r="1356" spans="1:7" ht="29.1" customHeight="1">
      <c r="A1356" s="106">
        <f>B78_Assessment!$B$2</f>
        <v>78</v>
      </c>
      <c r="B1356" s="106" t="str">
        <f t="shared" si="108"/>
        <v>B70_TR_Assessment</v>
      </c>
      <c r="C1356" s="106" t="str">
        <f t="shared" si="111"/>
        <v>HVAC</v>
      </c>
      <c r="D1356" s="142" t="str">
        <f>B78_Assessment!$A$52</f>
        <v>1232</v>
      </c>
      <c r="E1356" s="142" t="str">
        <f>B78_Assessment!$I$52</f>
        <v>Verify</v>
      </c>
      <c r="F1356" s="106" t="str">
        <f>B78_Assessment!$J$52</f>
        <v>Verify first-level rack receptacles, UPS/PDU, panel sources, SPDs and labeling.</v>
      </c>
      <c r="G1356" s="106" t="str">
        <f>"B78_Assessment!A52:J52"</f>
        <v>B78_Assessment!A52:J52</v>
      </c>
    </row>
    <row r="1357" spans="1:7" ht="29.1" customHeight="1">
      <c r="A1357" s="106">
        <f>B78_Assessment!$B$2</f>
        <v>78</v>
      </c>
      <c r="B1357" s="106" t="str">
        <f t="shared" si="108"/>
        <v>B70_TR_Assessment</v>
      </c>
      <c r="C1357" s="106" t="str">
        <f t="shared" si="111"/>
        <v>HVAC</v>
      </c>
      <c r="D1357" s="142" t="str">
        <f>B78_Assessment!$A$53</f>
        <v>227A</v>
      </c>
      <c r="E1357" s="142" t="str">
        <f>B78_Assessment!$I$53</f>
        <v>Verify</v>
      </c>
      <c r="F1357" s="106" t="str">
        <f>B78_Assessment!$J$53</f>
        <v>Verify second-level rack receptacles, UPS/PDU, panel sources, SPDs and labeling.</v>
      </c>
      <c r="G1357" s="106" t="str">
        <f>"B78_Assessment!A53:J53"</f>
        <v>B78_Assessment!A53:J53</v>
      </c>
    </row>
    <row r="1358" spans="1:7" ht="29.1" customHeight="1">
      <c r="A1358" s="106">
        <f>B78_Assessment!$B$2</f>
        <v>78</v>
      </c>
      <c r="B1358" s="106" t="str">
        <f t="shared" si="108"/>
        <v>B70_TR_Assessment</v>
      </c>
      <c r="C1358" s="106" t="str">
        <f t="shared" ref="C1358:C1364" si="112">"Electrical"</f>
        <v>Electrical</v>
      </c>
      <c r="D1358" s="142" t="str">
        <f>B78_Assessment!$A$54</f>
        <v>342</v>
      </c>
      <c r="E1358" s="142" t="str">
        <f>B78_Assessment!$I$54</f>
        <v>Verify</v>
      </c>
      <c r="F1358" s="106" t="str">
        <f>B78_Assessment!$J$54</f>
        <v>Verify third-level rack receptacles for two racks, UPS/PDU, panel sources and labels.</v>
      </c>
      <c r="G1358" s="106" t="str">
        <f>"B78_Assessment!A54:J54"</f>
        <v>B78_Assessment!A54:J54</v>
      </c>
    </row>
    <row r="1359" spans="1:7" ht="22.95" customHeight="1">
      <c r="A1359" s="106">
        <f>B78_Assessment!$B$2</f>
        <v>78</v>
      </c>
      <c r="B1359" s="106" t="str">
        <f t="shared" si="108"/>
        <v>B70_TR_Assessment</v>
      </c>
      <c r="C1359" s="106" t="str">
        <f t="shared" si="112"/>
        <v>Electrical</v>
      </c>
      <c r="D1359" s="142" t="str">
        <f>B78_Assessment!$A$55</f>
        <v>401</v>
      </c>
      <c r="E1359" s="142" t="str">
        <f>B78_Assessment!$I$55</f>
        <v>Verify</v>
      </c>
      <c r="F1359" s="106" t="str">
        <f>B78_Assessment!$J$55</f>
        <v>Verify fourth-level rack receptacles, UPS/PDU, panel sources and labels.</v>
      </c>
      <c r="G1359" s="106" t="str">
        <f>"B78_Assessment!A55:J55"</f>
        <v>B78_Assessment!A55:J55</v>
      </c>
    </row>
    <row r="1360" spans="1:7" ht="52.2" customHeight="1">
      <c r="A1360" s="106">
        <f>B78_Assessment!$B$2</f>
        <v>78</v>
      </c>
      <c r="B1360" s="106" t="str">
        <f t="shared" si="108"/>
        <v>B70_TR_Assessment</v>
      </c>
      <c r="C1360" s="106" t="str">
        <f t="shared" si="112"/>
        <v>Electrical</v>
      </c>
      <c r="D1360" s="142" t="str">
        <f>B78_Assessment!$A$56</f>
        <v>Existing rooms</v>
      </c>
      <c r="E1360" s="142" t="str">
        <f>B78_Assessment!$I$56</f>
        <v>Verify</v>
      </c>
      <c r="F1360" s="106" t="str">
        <f>B78_Assessment!$J$56</f>
        <v>Existing rack elevations show wall-mounted racks/2-post racks, existing UPS/PDU and demarc/fiber equipment. Confirm active power and transfer needs.</v>
      </c>
      <c r="G1360" s="106" t="str">
        <f>"B78_Assessment!A56:J56"</f>
        <v>B78_Assessment!A56:J56</v>
      </c>
    </row>
    <row r="1361" spans="1:7" ht="46.35" customHeight="1">
      <c r="A1361" s="106">
        <f>B78_Assessment!$B$2</f>
        <v>78</v>
      </c>
      <c r="B1361" s="106" t="str">
        <f t="shared" si="108"/>
        <v>B70_TR_Assessment</v>
      </c>
      <c r="C1361" s="106" t="str">
        <f t="shared" si="112"/>
        <v>Electrical</v>
      </c>
      <c r="D1361" s="142" t="str">
        <f>B78_Assessment!$A$60</f>
        <v>B30</v>
      </c>
      <c r="E1361" s="142" t="str">
        <f>B78_Assessment!$I$60</f>
        <v>Verify</v>
      </c>
      <c r="F1361" s="106" t="str">
        <f>B78_Assessment!$J$60</f>
        <v>78_78AT-701: 210 WAO total, 23 active ports, 311 scheduled ports, 342 with allowance; rack IDs TR01-B30-1/-2. Basement cable tray total 1,702 ft.</v>
      </c>
      <c r="G1361" s="106" t="str">
        <f>"B78_Assessment!A60:J60"</f>
        <v>B78_Assessment!A60:J60</v>
      </c>
    </row>
    <row r="1362" spans="1:7" ht="40.65" customHeight="1">
      <c r="A1362" s="106">
        <f>B78_Assessment!$B$2</f>
        <v>78</v>
      </c>
      <c r="B1362" s="106" t="str">
        <f t="shared" si="108"/>
        <v>B70_TR_Assessment</v>
      </c>
      <c r="C1362" s="106" t="str">
        <f t="shared" si="112"/>
        <v>Electrical</v>
      </c>
      <c r="D1362" s="142" t="str">
        <f>B78_Assessment!$A$61</f>
        <v>B35</v>
      </c>
      <c r="E1362" s="142" t="str">
        <f>B78_Assessment!$I$61</f>
        <v>Verify</v>
      </c>
      <c r="F1362" s="106" t="str">
        <f>B78_Assessment!$J$61</f>
        <v>78_78AT-702: 53 WAO total, 23 active ports, 64 scheduled ports, 70 with allowance. Confirm rack ID/room relation and active services.</v>
      </c>
      <c r="G1362" s="106" t="str">
        <f>"B78_Assessment!A61:J61"</f>
        <v>B78_Assessment!A61:J61</v>
      </c>
    </row>
    <row r="1363" spans="1:7" ht="40.65" customHeight="1">
      <c r="A1363" s="106">
        <f>B78_Assessment!$B$2</f>
        <v>78</v>
      </c>
      <c r="B1363" s="106" t="str">
        <f t="shared" si="108"/>
        <v>B70_TR_Assessment</v>
      </c>
      <c r="C1363" s="106" t="str">
        <f t="shared" si="112"/>
        <v>Electrical</v>
      </c>
      <c r="D1363" s="142" t="str">
        <f>B78_Assessment!$A$62</f>
        <v>1232</v>
      </c>
      <c r="E1363" s="142" t="str">
        <f>B78_Assessment!$I$62</f>
        <v>Verify</v>
      </c>
      <c r="F1363" s="106" t="str">
        <f>B78_Assessment!$J$62</f>
        <v>78_78AT-702/703: 301 WAO total, 388 active ports, 404 scheduled ports, 444 with allowance. Large active port count; high cutover risk.</v>
      </c>
      <c r="G1363" s="106" t="str">
        <f>"B78_Assessment!A62:J62"</f>
        <v>B78_Assessment!A62:J62</v>
      </c>
    </row>
    <row r="1364" spans="1:7" ht="46.35" customHeight="1">
      <c r="A1364" s="106">
        <f>B78_Assessment!$B$2</f>
        <v>78</v>
      </c>
      <c r="B1364" s="106" t="str">
        <f t="shared" si="108"/>
        <v>B70_TR_Assessment</v>
      </c>
      <c r="C1364" s="106" t="str">
        <f t="shared" si="112"/>
        <v>Electrical</v>
      </c>
      <c r="D1364" s="142" t="str">
        <f>B78_Assessment!$A$63</f>
        <v>227A</v>
      </c>
      <c r="E1364" s="142" t="str">
        <f>B78_Assessment!$I$63</f>
        <v>Verify</v>
      </c>
      <c r="F1364" s="106" t="str">
        <f>B78_Assessment!$J$63</f>
        <v>78_78AT-703/704: 256 WAO total, 153 active ports, 348 scheduled ports, 383 with allowance. Verify second-level test records and riser labels.</v>
      </c>
      <c r="G1364" s="106" t="str">
        <f>"B78_Assessment!A63:J63"</f>
        <v>B78_Assessment!A63:J63</v>
      </c>
    </row>
    <row r="1365" spans="1:7" ht="34.950000000000003" customHeight="1">
      <c r="A1365" s="106">
        <f>B78_Assessment!$B$2</f>
        <v>78</v>
      </c>
      <c r="B1365" s="106" t="str">
        <f t="shared" si="108"/>
        <v>B70_TR_Assessment</v>
      </c>
      <c r="C1365" s="106" t="str">
        <f t="shared" ref="C1365:C1371" si="113">"Telecom"</f>
        <v>Telecom</v>
      </c>
      <c r="D1365" s="142" t="str">
        <f>B78_Assessment!$A$64</f>
        <v>342</v>
      </c>
      <c r="E1365" s="142" t="str">
        <f>B78_Assessment!$I$64</f>
        <v>Verify</v>
      </c>
      <c r="F1365" s="106" t="str">
        <f>B78_Assessment!$J$64</f>
        <v>78_78AT-704: 158 WAO total, 163 active ports, 289 scheduled ports, 318 with allowance. Rack IDs TR01-342-1/-2.</v>
      </c>
      <c r="G1365" s="106" t="str">
        <f>"B78_Assessment!A64:J64"</f>
        <v>B78_Assessment!A64:J64</v>
      </c>
    </row>
    <row r="1366" spans="1:7" ht="22.95" customHeight="1">
      <c r="A1366" s="106">
        <f>B78_Assessment!$B$2</f>
        <v>78</v>
      </c>
      <c r="B1366" s="106" t="str">
        <f t="shared" si="108"/>
        <v>B70_TR_Assessment</v>
      </c>
      <c r="C1366" s="106" t="str">
        <f t="shared" si="113"/>
        <v>Telecom</v>
      </c>
      <c r="D1366" s="142" t="str">
        <f>B78_Assessment!$A$65</f>
        <v>401</v>
      </c>
      <c r="E1366" s="142" t="str">
        <f>B78_Assessment!$I$65</f>
        <v>Verify</v>
      </c>
      <c r="F1366" s="106" t="str">
        <f>B78_Assessment!$J$65</f>
        <v>78_78AT-705: 89 WAO total, 65 active ports, 123 scheduled ports, 135 with allowance.</v>
      </c>
      <c r="G1366" s="106" t="str">
        <f>"B78_Assessment!A65:J65"</f>
        <v>B78_Assessment!A65:J65</v>
      </c>
    </row>
    <row r="1367" spans="1:7" ht="40.65" customHeight="1">
      <c r="A1367" s="106">
        <f>B78_Assessment!$B$2</f>
        <v>78</v>
      </c>
      <c r="B1367" s="106" t="str">
        <f t="shared" si="108"/>
        <v>B70_TR_Assessment</v>
      </c>
      <c r="C1367" s="106" t="str">
        <f t="shared" si="113"/>
        <v>Telecom</v>
      </c>
      <c r="D1367" s="142" t="str">
        <f>B78_Assessment!$A$66</f>
        <v>Existing rooms</v>
      </c>
      <c r="E1367" s="142" t="str">
        <f>B78_Assessment!$I$66</f>
        <v>Verify</v>
      </c>
      <c r="F1367" s="106" t="str">
        <f>B78_Assessment!$J$66</f>
        <v>Photo references identify existing telecom rooms 15E, 1234, 353, 308A and 408A; verify all active services and transfer plan.</v>
      </c>
      <c r="G1367" s="106" t="str">
        <f>"B78_Assessment!A66:J66"</f>
        <v>B78_Assessment!A66:J66</v>
      </c>
    </row>
    <row r="1368" spans="1:7" ht="40.65" customHeight="1">
      <c r="A1368" s="106">
        <f>B78_Assessment!$B$2</f>
        <v>78</v>
      </c>
      <c r="B1368" s="106" t="str">
        <f t="shared" si="108"/>
        <v>B70_TR_Assessment</v>
      </c>
      <c r="C1368" s="106" t="str">
        <f t="shared" si="113"/>
        <v>Telecom</v>
      </c>
      <c r="D1368" s="142" t="str">
        <f>B78_Assessment!$A$70</f>
        <v>B30</v>
      </c>
      <c r="E1368" s="142" t="str">
        <f>B78_Assessment!$I$70</f>
        <v>Verify</v>
      </c>
      <c r="F1368" s="106" t="str">
        <f>B78_Assessment!$J$70</f>
        <v>TR scope includes wall-mounted CCTV cameras and PACS for TR doors. Verify CR/RX/DC/ES/MD, controller and VMS integration.</v>
      </c>
      <c r="G1368" s="106" t="str">
        <f>"B78_Assessment!A70:J70"</f>
        <v>B78_Assessment!A70:J70</v>
      </c>
    </row>
    <row r="1369" spans="1:7" ht="17.25" customHeight="1">
      <c r="A1369" s="106">
        <f>B78_Assessment!$B$2</f>
        <v>78</v>
      </c>
      <c r="B1369" s="106" t="str">
        <f t="shared" si="108"/>
        <v>B70_TR_Assessment</v>
      </c>
      <c r="C1369" s="106" t="str">
        <f t="shared" si="113"/>
        <v>Telecom</v>
      </c>
      <c r="D1369" s="142" t="str">
        <f>B78_Assessment!$A$71</f>
        <v>B35</v>
      </c>
      <c r="E1369" s="142" t="str">
        <f>B78_Assessment!$I$71</f>
        <v>Verify</v>
      </c>
      <c r="F1369" s="106" t="str">
        <f>B78_Assessment!$J$71</f>
        <v>Verify PACS/CCTV integration and door hardware coordination.</v>
      </c>
      <c r="G1369" s="106" t="str">
        <f>"B78_Assessment!A71:J71"</f>
        <v>B78_Assessment!A71:J71</v>
      </c>
    </row>
    <row r="1370" spans="1:7" ht="17.25" customHeight="1">
      <c r="A1370" s="106">
        <f>B78_Assessment!$B$2</f>
        <v>78</v>
      </c>
      <c r="B1370" s="106" t="str">
        <f t="shared" si="108"/>
        <v>B70_TR_Assessment</v>
      </c>
      <c r="C1370" s="106" t="str">
        <f t="shared" si="113"/>
        <v>Telecom</v>
      </c>
      <c r="D1370" s="142" t="str">
        <f>B78_Assessment!$A$72</f>
        <v>1232</v>
      </c>
      <c r="E1370" s="142" t="str">
        <f>B78_Assessment!$I$72</f>
        <v>Verify</v>
      </c>
      <c r="F1370" s="106" t="str">
        <f>B78_Assessment!$J$72</f>
        <v>Verify first-level TR PACS/CCTV and VMS integration.</v>
      </c>
      <c r="G1370" s="106" t="str">
        <f>"B78_Assessment!A72:J72"</f>
        <v>B78_Assessment!A72:J72</v>
      </c>
    </row>
    <row r="1371" spans="1:7" ht="17.25" customHeight="1">
      <c r="A1371" s="106">
        <f>B78_Assessment!$B$2</f>
        <v>78</v>
      </c>
      <c r="B1371" s="106" t="str">
        <f t="shared" si="108"/>
        <v>B70_TR_Assessment</v>
      </c>
      <c r="C1371" s="106" t="str">
        <f t="shared" si="113"/>
        <v>Telecom</v>
      </c>
      <c r="D1371" s="142" t="str">
        <f>B78_Assessment!$A$73</f>
        <v>227A</v>
      </c>
      <c r="E1371" s="142" t="str">
        <f>B78_Assessment!$I$73</f>
        <v>Verify</v>
      </c>
      <c r="F1371" s="106" t="str">
        <f>B78_Assessment!$J$73</f>
        <v>Verify second-level TR PACS/CCTV and VMS integration.</v>
      </c>
      <c r="G1371" s="106" t="str">
        <f>"B78_Assessment!A73:J73"</f>
        <v>B78_Assessment!A73:J73</v>
      </c>
    </row>
    <row r="1372" spans="1:7" ht="17.25" customHeight="1">
      <c r="A1372" s="106">
        <f>B78_Assessment!$B$2</f>
        <v>78</v>
      </c>
      <c r="B1372" s="106" t="str">
        <f t="shared" ref="B1372:B1381" si="114">"B78_Assessment"</f>
        <v>B78_Assessment</v>
      </c>
      <c r="C1372" s="106" t="str">
        <f>"Security"</f>
        <v>Security</v>
      </c>
      <c r="D1372" s="142" t="str">
        <f>B78_Assessment!$A$74</f>
        <v>342</v>
      </c>
      <c r="E1372" s="142" t="str">
        <f>B78_Assessment!$I$74</f>
        <v>Verify</v>
      </c>
      <c r="F1372" s="106" t="str">
        <f>B78_Assessment!$J$74</f>
        <v>Verify third-level TR PACS/CCTV and VMS integration.</v>
      </c>
      <c r="G1372" s="106" t="str">
        <f>"B78_Assessment!A74:J74"</f>
        <v>B78_Assessment!A74:J74</v>
      </c>
    </row>
    <row r="1373" spans="1:7" ht="17.25" customHeight="1">
      <c r="A1373" s="106">
        <f>B78_Assessment!$B$2</f>
        <v>78</v>
      </c>
      <c r="B1373" s="106" t="str">
        <f t="shared" si="114"/>
        <v>B78_Assessment</v>
      </c>
      <c r="C1373" s="106" t="str">
        <f>"Security"</f>
        <v>Security</v>
      </c>
      <c r="D1373" s="142" t="str">
        <f>B78_Assessment!$A$75</f>
        <v>401</v>
      </c>
      <c r="E1373" s="142" t="str">
        <f>B78_Assessment!$I$75</f>
        <v>Verify</v>
      </c>
      <c r="F1373" s="106" t="str">
        <f>B78_Assessment!$J$75</f>
        <v>Verify fourth-level TR PACS/CCTV and VMS integration.</v>
      </c>
      <c r="G1373" s="106" t="str">
        <f>"B78_Assessment!A75:J75"</f>
        <v>B78_Assessment!A75:J75</v>
      </c>
    </row>
    <row r="1374" spans="1:7" ht="29.1" customHeight="1">
      <c r="A1374" s="106">
        <f>B78_Assessment!$B$2</f>
        <v>78</v>
      </c>
      <c r="B1374" s="106" t="str">
        <f t="shared" si="114"/>
        <v>B78_Assessment</v>
      </c>
      <c r="C1374" s="106" t="str">
        <f>"Security"</f>
        <v>Security</v>
      </c>
      <c r="D1374" s="142" t="str">
        <f>B78_Assessment!$A$76</f>
        <v>Existing rooms</v>
      </c>
      <c r="E1374" s="142" t="str">
        <f>B78_Assessment!$I$76</f>
        <v>Verify</v>
      </c>
      <c r="F1374" s="106" t="str">
        <f>B78_Assessment!$J$76</f>
        <v>Verify existing PACS/security devices are protected-in-place or recabled without VMS/PACS disruption.</v>
      </c>
      <c r="G1374" s="106" t="str">
        <f>"B78_Assessment!A76:J76"</f>
        <v>B78_Assessment!A76:J76</v>
      </c>
    </row>
    <row r="1375" spans="1:7" ht="58.35" customHeight="1">
      <c r="A1375" s="106" t="str">
        <f>B80_Assessment!$B$2</f>
        <v>80</v>
      </c>
      <c r="B1375" s="106" t="str">
        <f t="shared" si="114"/>
        <v>B78_Assessment</v>
      </c>
      <c r="C1375" s="106" t="str">
        <f>"Fire"</f>
        <v>Fire</v>
      </c>
      <c r="D1375" s="142" t="str">
        <f>B80_Assessment!$A$20</f>
        <v>102</v>
      </c>
      <c r="E1375" s="142" t="str">
        <f>B80_Assessment!$I$20</f>
        <v>Verify</v>
      </c>
      <c r="F1375" s="106" t="str">
        <f>B80_Assessment!$J$20</f>
        <v>Full fire protection scope included. Verify sprinkler modifications, fire alarm devices, clean-agent 2A:10B:C FEC within 75 ft, rated wall/floor penetrations, and temporary firestopping during cable pulls.</v>
      </c>
      <c r="G1375" s="106" t="str">
        <f>"B80_Assessment!A20:J20"</f>
        <v>B80_Assessment!A20:J20</v>
      </c>
    </row>
    <row r="1376" spans="1:7" ht="40.65" customHeight="1">
      <c r="A1376" s="106" t="str">
        <f>B80_Assessment!$B$2</f>
        <v>80</v>
      </c>
      <c r="B1376" s="106" t="str">
        <f t="shared" si="114"/>
        <v>B78_Assessment</v>
      </c>
      <c r="C1376" s="106" t="str">
        <f>"Fire"</f>
        <v>Fire</v>
      </c>
      <c r="D1376" s="142" t="str">
        <f>B80_Assessment!$A$21</f>
        <v>127A / 126</v>
      </c>
      <c r="E1376" s="142" t="str">
        <f>B80_Assessment!$I$21</f>
        <v>Verify</v>
      </c>
      <c r="F1376" s="106" t="str">
        <f>B80_Assessment!$J$21</f>
        <v>Existing telecom closet/room; verify fire alarm/sprinkler protection-in-place and seal removed/reused penetrations after cutover.</v>
      </c>
      <c r="G1376" s="106" t="str">
        <f>"B80_Assessment!A21:J21"</f>
        <v>B80_Assessment!A21:J21</v>
      </c>
    </row>
    <row r="1377" spans="1:7" ht="75.599999999999994" customHeight="1">
      <c r="A1377" s="106" t="str">
        <f>B80_Assessment!$B$2</f>
        <v>80</v>
      </c>
      <c r="B1377" s="106" t="str">
        <f t="shared" si="114"/>
        <v>B78_Assessment</v>
      </c>
      <c r="C1377" s="106" t="str">
        <f>"HVAC"</f>
        <v>HVAC</v>
      </c>
      <c r="D1377" s="142" t="str">
        <f>B80_Assessment!$A$25</f>
        <v>102</v>
      </c>
      <c r="E1377" s="142" t="str">
        <f>B80_Assessment!$I$25</f>
        <v>Verify</v>
      </c>
      <c r="F1377" s="106" t="str">
        <f>B80_Assessment!$J$25</f>
        <v>Mechanical/electrical drawings show IU-1-01 in Telecom Room 102 and CU-1-01 outdoor unit. Confirm capacity, emergency/standby source, BACnet interface, thermostat/control point, condensate pump/path, disconnects, and high-temperature alarm.</v>
      </c>
      <c r="G1377" s="106" t="str">
        <f>"B80_Assessment!A25:J25"</f>
        <v>B80_Assessment!A25:J25</v>
      </c>
    </row>
    <row r="1378" spans="1:7" ht="52.2" customHeight="1">
      <c r="A1378" s="106" t="str">
        <f>B80_Assessment!$B$2</f>
        <v>80</v>
      </c>
      <c r="B1378" s="106" t="str">
        <f t="shared" si="114"/>
        <v>B78_Assessment</v>
      </c>
      <c r="C1378" s="106" t="str">
        <f>"HVAC"</f>
        <v>HVAC</v>
      </c>
      <c r="D1378" s="142" t="str">
        <f>B80_Assessment!$A$26</f>
        <v>127A / 126</v>
      </c>
      <c r="E1378" s="142" t="str">
        <f>B80_Assessment!$I$26</f>
        <v>Verify</v>
      </c>
      <c r="F1378" s="106" t="str">
        <f>B80_Assessment!$J$26</f>
        <v>Existing telecom room/closet may remain active during cutover. Verify existing environmental condition and whether any active equipment remains after migration to Room 102.</v>
      </c>
      <c r="G1378" s="106" t="str">
        <f>"B80_Assessment!A26:J26"</f>
        <v>B80_Assessment!A26:J26</v>
      </c>
    </row>
    <row r="1379" spans="1:7" ht="69.900000000000006" customHeight="1">
      <c r="A1379" s="106" t="str">
        <f>B80_Assessment!$B$2</f>
        <v>80</v>
      </c>
      <c r="B1379" s="106" t="str">
        <f t="shared" si="114"/>
        <v>B78_Assessment</v>
      </c>
      <c r="C1379" s="106" t="str">
        <f>"Electrical"</f>
        <v>Electrical</v>
      </c>
      <c r="D1379" s="142" t="str">
        <f>B80_Assessment!$A$30</f>
        <v>102</v>
      </c>
      <c r="E1379" s="142" t="str">
        <f>B80_Assessment!$I$30</f>
        <v>Verify</v>
      </c>
      <c r="F1379" s="106" t="str">
        <f>B80_Assessment!$J$30</f>
        <v>Electrical plans/schedules identify B80-TR102A fed from BUS-B80-MDP and B80-TR102B fed from BUS-B80-E1, with rack receptacles, normal/emergency circuits, CU-1-01, SPD requirements and 30-day load measurement requirements.</v>
      </c>
      <c r="G1379" s="106" t="str">
        <f>"B80_Assessment!A30:J30"</f>
        <v>B80_Assessment!A30:J30</v>
      </c>
    </row>
    <row r="1380" spans="1:7" ht="58.35" customHeight="1">
      <c r="A1380" s="106" t="str">
        <f>B80_Assessment!$B$2</f>
        <v>80</v>
      </c>
      <c r="B1380" s="106" t="str">
        <f t="shared" si="114"/>
        <v>B78_Assessment</v>
      </c>
      <c r="C1380" s="106" t="str">
        <f>"Electrical"</f>
        <v>Electrical</v>
      </c>
      <c r="D1380" s="142" t="str">
        <f>B80_Assessment!$A$31</f>
        <v>127A / 126</v>
      </c>
      <c r="E1380" s="142" t="str">
        <f>B80_Assessment!$I$31</f>
        <v>Verify</v>
      </c>
      <c r="F1380" s="106" t="str">
        <f>B80_Assessment!$J$31</f>
        <v>Existing rack/equipment area includes APC floor UPS and legacy telecom power. Verify source circuits, active equipment, UPS status, and transfer requirements before disconnect/removal.</v>
      </c>
      <c r="G1380" s="106" t="str">
        <f>"B80_Assessment!A31:J31"</f>
        <v>B80_Assessment!A31:J31</v>
      </c>
    </row>
    <row r="1381" spans="1:7" ht="93.45" customHeight="1">
      <c r="A1381" s="106" t="str">
        <f>B80_Assessment!$B$2</f>
        <v>80</v>
      </c>
      <c r="B1381" s="106" t="str">
        <f t="shared" si="114"/>
        <v>B78_Assessment</v>
      </c>
      <c r="C1381" s="106" t="str">
        <f>"Telecom"</f>
        <v>Telecom</v>
      </c>
      <c r="D1381" s="142" t="str">
        <f>B80_Assessment!$A$35</f>
        <v>102</v>
      </c>
      <c r="E1381" s="142" t="str">
        <f>B80_Assessment!$I$35</f>
        <v>Verify</v>
      </c>
      <c r="F1381" s="106" t="str">
        <f>B80_Assessment!$J$35</f>
        <v>80T-701 identifies RM102 with 117 WAO total, 98 active ports per survey, 195 total ports per schedule, and 215 total ports with 10% allowance. Rack IDs include TR01-102-1 and TR01-102-2; rack elevation shows 1 new rack plus future rack with switches, Cat6A patch panels, Cat5e patch panel, Fiber LIU, UPS and PDU.</v>
      </c>
      <c r="G1381" s="106" t="str">
        <f>"B80_Assessment!A35:J35"</f>
        <v>B80_Assessment!A35:J35</v>
      </c>
    </row>
    <row r="1382" spans="1:7" ht="75.599999999999994" customHeight="1">
      <c r="A1382" s="106" t="str">
        <f>B80_Assessment!$B$2</f>
        <v>80</v>
      </c>
      <c r="B1382" s="106" t="str">
        <f t="shared" ref="B1382:B1391" si="115">"B80_Assessment"</f>
        <v>B80_Assessment</v>
      </c>
      <c r="C1382" s="106" t="str">
        <f>"Telecom"</f>
        <v>Telecom</v>
      </c>
      <c r="D1382" s="142" t="str">
        <f>B80_Assessment!$A$36</f>
        <v>127A / 126</v>
      </c>
      <c r="E1382" s="142" t="str">
        <f>B80_Assessment!$I$36</f>
        <v>Verify</v>
      </c>
      <c r="F1382" s="106" t="str">
        <f>B80_Assessment!$J$36</f>
        <v>Existing rack elevation shows Cisco switches, legacy optical Fiber LIU on wall, multiple legacy Ortronics 24/48-port patch panels, legacy Cat5e 24-port patch panel, and APC floor UPS. Contractor must transfer existing devices to new rack and protect active services.</v>
      </c>
      <c r="G1382" s="106" t="str">
        <f>"B80_Assessment!A36:J36"</f>
        <v>B80_Assessment!A36:J36</v>
      </c>
    </row>
    <row r="1383" spans="1:7" ht="64.2" customHeight="1">
      <c r="A1383" s="106" t="str">
        <f>B80_Assessment!$B$2</f>
        <v>80</v>
      </c>
      <c r="B1383" s="106" t="str">
        <f t="shared" si="115"/>
        <v>B80_Assessment</v>
      </c>
      <c r="C1383" s="106" t="str">
        <f>"Security"</f>
        <v>Security</v>
      </c>
      <c r="D1383" s="142" t="str">
        <f>B80_Assessment!$A$40</f>
        <v>102</v>
      </c>
      <c r="E1383" s="142" t="str">
        <f>B80_Assessment!$I$40</f>
        <v>Verify</v>
      </c>
      <c r="F1383" s="106" t="str">
        <f>B80_Assessment!$J$40</f>
        <v>Electrical/telecom plans show access-control scope and camera 102-CAM-1. Verify CR/RX/DC/ES/MD devices, controller, electric strike, camera/VMS integration, and door hardware coordination.</v>
      </c>
      <c r="G1383" s="106" t="str">
        <f>"B80_Assessment!A40:J40"</f>
        <v>B80_Assessment!A40:J40</v>
      </c>
    </row>
    <row r="1384" spans="1:7" ht="52.2" customHeight="1">
      <c r="A1384" s="106" t="str">
        <f>B80_Assessment!$B$2</f>
        <v>80</v>
      </c>
      <c r="B1384" s="106" t="str">
        <f t="shared" si="115"/>
        <v>B80_Assessment</v>
      </c>
      <c r="C1384" s="106" t="str">
        <f>"Security"</f>
        <v>Security</v>
      </c>
      <c r="D1384" s="142" t="str">
        <f>B80_Assessment!$A$41</f>
        <v>127A / 126</v>
      </c>
      <c r="E1384" s="142" t="str">
        <f>B80_Assessment!$I$41</f>
        <v>Verify</v>
      </c>
      <c r="F1384" s="106" t="str">
        <f>B80_Assessment!$J$41</f>
        <v>Verify existing security/PACS equipment conditions and whether any existing camera/security device is protected, recabled, or removed during cutover.</v>
      </c>
      <c r="G1384" s="106" t="str">
        <f>"B80_Assessment!A41:J41"</f>
        <v>B80_Assessment!A41:J41</v>
      </c>
    </row>
    <row r="1385" spans="1:7" ht="64.2" customHeight="1">
      <c r="A1385" s="106" t="str">
        <f>B82_Assessment!$B$2</f>
        <v>82</v>
      </c>
      <c r="B1385" s="106" t="str">
        <f t="shared" si="115"/>
        <v>B80_Assessment</v>
      </c>
      <c r="C1385" s="106" t="str">
        <f>"Fire"</f>
        <v>Fire</v>
      </c>
      <c r="D1385" s="142" t="str">
        <f>B82_Assessment!$A$20</f>
        <v>102</v>
      </c>
      <c r="E1385" s="142" t="str">
        <f>B82_Assessment!$I$20</f>
        <v>Verify</v>
      </c>
      <c r="F1385" s="106" t="str">
        <f>B82_Assessment!$J$20</f>
        <v>Cover sheet states Building 82 receives a Telecom Enclosure and fire protection scope is excluded. Still verify rated penetrations, 4-inch sleeve, wall/floor openings, temporary firestopping, and life-safety device impacts.</v>
      </c>
      <c r="G1385" s="106" t="str">
        <f>"B82_Assessment!A20:J20"</f>
        <v>B82_Assessment!A20:J20</v>
      </c>
    </row>
    <row r="1386" spans="1:7" ht="29.1" customHeight="1">
      <c r="A1386" s="106" t="str">
        <f>B82_Assessment!$B$2</f>
        <v>82</v>
      </c>
      <c r="B1386" s="106" t="str">
        <f t="shared" si="115"/>
        <v>B80_Assessment</v>
      </c>
      <c r="C1386" s="106" t="str">
        <f>"Fire"</f>
        <v>Fire</v>
      </c>
      <c r="D1386" s="142" t="str">
        <f>B82_Assessment!$A$21</f>
        <v>B01-A</v>
      </c>
      <c r="E1386" s="142" t="str">
        <f>B82_Assessment!$I$21</f>
        <v>Verify</v>
      </c>
      <c r="F1386" s="106" t="str">
        <f>B82_Assessment!$J$21</f>
        <v>Existing telecom room; verify protection-in-place and firestopping after cable transfer or reuse.</v>
      </c>
      <c r="G1386" s="106" t="str">
        <f>"B82_Assessment!A21:J21"</f>
        <v>B82_Assessment!A21:J21</v>
      </c>
    </row>
    <row r="1387" spans="1:7" ht="87.6" customHeight="1">
      <c r="A1387" s="106" t="str">
        <f>B82_Assessment!$B$2</f>
        <v>82</v>
      </c>
      <c r="B1387" s="106" t="str">
        <f t="shared" si="115"/>
        <v>B80_Assessment</v>
      </c>
      <c r="C1387" s="106" t="str">
        <f>"HVAC"</f>
        <v>HVAC</v>
      </c>
      <c r="D1387" s="142" t="str">
        <f>B82_Assessment!$A$25</f>
        <v>102</v>
      </c>
      <c r="E1387" s="142" t="str">
        <f>B82_Assessment!$I$25</f>
        <v>Verify</v>
      </c>
      <c r="F1387" s="106" t="str">
        <f>B82_Assessment!$J$25</f>
        <v>Mechanical and electrical drawings show IU-1-01 in/near Telecom Room 102 and CU-1-01 outdoor unit. Mechanical notes call for BACnet adapter mounted adjacent to unit in telecom room. Confirm capacity, emergency/standby source, condensate pump/path, disconnects, controls, and high-temp alarm.</v>
      </c>
      <c r="G1387" s="106" t="str">
        <f>"B82_Assessment!A25:J25"</f>
        <v>B82_Assessment!A25:J25</v>
      </c>
    </row>
    <row r="1388" spans="1:7" ht="46.35" customHeight="1">
      <c r="A1388" s="106" t="str">
        <f>B82_Assessment!$B$2</f>
        <v>82</v>
      </c>
      <c r="B1388" s="106" t="str">
        <f t="shared" si="115"/>
        <v>B80_Assessment</v>
      </c>
      <c r="C1388" s="106" t="str">
        <f>"HVAC"</f>
        <v>HVAC</v>
      </c>
      <c r="D1388" s="142" t="str">
        <f>B82_Assessment!$A$26</f>
        <v>B01-A</v>
      </c>
      <c r="E1388" s="142" t="str">
        <f>B82_Assessment!$I$26</f>
        <v>Verify</v>
      </c>
      <c r="F1388" s="106" t="str">
        <f>B82_Assessment!$J$26</f>
        <v>Existing telecom room may remain active during cutover. Verify existing environmental conditions and whether active equipment remains after transfer to Room 102.</v>
      </c>
      <c r="G1388" s="106" t="str">
        <f>"B82_Assessment!A26:J26"</f>
        <v>B82_Assessment!A26:J26</v>
      </c>
    </row>
    <row r="1389" spans="1:7" ht="75.599999999999994" customHeight="1">
      <c r="A1389" s="106" t="str">
        <f>B82_Assessment!$B$2</f>
        <v>82</v>
      </c>
      <c r="B1389" s="106" t="str">
        <f t="shared" si="115"/>
        <v>B80_Assessment</v>
      </c>
      <c r="C1389" s="106" t="str">
        <f>"Electrical"</f>
        <v>Electrical</v>
      </c>
      <c r="D1389" s="142" t="str">
        <f>B82_Assessment!$A$30</f>
        <v>102</v>
      </c>
      <c r="E1389" s="142" t="str">
        <f>B82_Assessment!$I$30</f>
        <v>Verify</v>
      </c>
      <c r="F1389" s="106" t="str">
        <f>B82_Assessment!$J$30</f>
        <v>Electrical plans/schedules identify TE receptacle, CU-1-01, B82-MDP and B82-P-EMER sources, with SPD devices integral to new telecom panelboards. Verify receptacle type, grounding/bonding, emergency source, labels, and circuit loading.</v>
      </c>
      <c r="G1389" s="106" t="str">
        <f>"B82_Assessment!A30:J30"</f>
        <v>B82_Assessment!A30:J30</v>
      </c>
    </row>
    <row r="1390" spans="1:7" ht="58.35" customHeight="1">
      <c r="A1390" s="106" t="str">
        <f>B82_Assessment!$B$2</f>
        <v>82</v>
      </c>
      <c r="B1390" s="106" t="str">
        <f t="shared" si="115"/>
        <v>B80_Assessment</v>
      </c>
      <c r="C1390" s="106" t="str">
        <f>"Electrical"</f>
        <v>Electrical</v>
      </c>
      <c r="D1390" s="142" t="str">
        <f>B82_Assessment!$A$31</f>
        <v>B01-A</v>
      </c>
      <c r="E1390" s="142" t="str">
        <f>B82_Assessment!$I$31</f>
        <v>Verify</v>
      </c>
      <c r="F1390" s="106" t="str">
        <f>B82_Assessment!$J$31</f>
        <v>Existing rack/equipment area includes APC floor UPS and legacy telecom power. Verify source circuits, active equipment, UPS status, and transfer requirements before disconnect/removal.</v>
      </c>
      <c r="G1390" s="106" t="str">
        <f>"B82_Assessment!A31:J31"</f>
        <v>B82_Assessment!A31:J31</v>
      </c>
    </row>
    <row r="1391" spans="1:7" ht="87.6" customHeight="1">
      <c r="A1391" s="106" t="str">
        <f>B82_Assessment!$B$2</f>
        <v>82</v>
      </c>
      <c r="B1391" s="106" t="str">
        <f t="shared" si="115"/>
        <v>B80_Assessment</v>
      </c>
      <c r="C1391" s="106" t="str">
        <f>"Telecom"</f>
        <v>Telecom</v>
      </c>
      <c r="D1391" s="142" t="str">
        <f>B82_Assessment!$A$35</f>
        <v>102</v>
      </c>
      <c r="E1391" s="142" t="str">
        <f>B82_Assessment!$I$35</f>
        <v>Verify</v>
      </c>
      <c r="F1391" s="106" t="str">
        <f>B82_Assessment!$J$35</f>
        <v>82T-701 identifies RM102 with 26 WAO total, 31 active ports per survey, 36 total ports per schedule, and 40 total ports with 10% allowance. Rack ID TR01-102-01. Cable tray schedule totals 278 ft on first level. New enclosure includes APC UPS, two PDUs, network switch, Cat6A patch panel and Fiber LIU.</v>
      </c>
      <c r="G1391" s="106" t="str">
        <f>"B82_Assessment!A35:J35"</f>
        <v>B82_Assessment!A35:J35</v>
      </c>
    </row>
    <row r="1392" spans="1:7" ht="64.2" customHeight="1">
      <c r="A1392" s="106" t="str">
        <f>B82_Assessment!$B$2</f>
        <v>82</v>
      </c>
      <c r="B1392" s="106" t="str">
        <f t="shared" ref="B1392:B1401" si="116">"B82_Assessment"</f>
        <v>B82_Assessment</v>
      </c>
      <c r="C1392" s="106" t="str">
        <f>"Telecom"</f>
        <v>Telecom</v>
      </c>
      <c r="D1392" s="142" t="str">
        <f>B82_Assessment!$A$36</f>
        <v>B01-A</v>
      </c>
      <c r="E1392" s="142" t="str">
        <f>B82_Assessment!$I$36</f>
        <v>Verify</v>
      </c>
      <c r="F1392" s="106" t="str">
        <f>B82_Assessment!$J$36</f>
        <v>Existing B01-A elevations identify Cisco switches, cable management, two Ortronics 24-port patch panels with 11 and 6 used, existing patch panels and APC floor UPS. Field verify active services and transfer plan to new TE.</v>
      </c>
      <c r="G1392" s="106" t="str">
        <f>"B82_Assessment!A36:J36"</f>
        <v>B82_Assessment!A36:J36</v>
      </c>
    </row>
    <row r="1393" spans="1:7" ht="58.35" customHeight="1">
      <c r="A1393" s="106" t="str">
        <f>B82_Assessment!$B$2</f>
        <v>82</v>
      </c>
      <c r="B1393" s="106" t="str">
        <f t="shared" si="116"/>
        <v>B82_Assessment</v>
      </c>
      <c r="C1393" s="106" t="str">
        <f>"Security"</f>
        <v>Security</v>
      </c>
      <c r="D1393" s="142" t="str">
        <f>B82_Assessment!$A$40</f>
        <v>102</v>
      </c>
      <c r="E1393" s="142" t="str">
        <f>B82_Assessment!$I$40</f>
        <v>Verify</v>
      </c>
      <c r="F1393" s="106" t="str">
        <f>B82_Assessment!$J$40</f>
        <v>Building 82 appears to create a TE enclosure rather than a full TR door/PACS package. Verify existing cameras/security devices in Room 102 and ensure no camera angle or VMS integration is disrupted.</v>
      </c>
      <c r="G1393" s="106" t="str">
        <f>"B82_Assessment!A40:J40"</f>
        <v>B82_Assessment!A40:J40</v>
      </c>
    </row>
    <row r="1394" spans="1:7" ht="58.35" customHeight="1">
      <c r="A1394" s="106" t="str">
        <f>B82_Assessment!$B$2</f>
        <v>82</v>
      </c>
      <c r="B1394" s="106" t="str">
        <f t="shared" si="116"/>
        <v>B82_Assessment</v>
      </c>
      <c r="C1394" s="106" t="str">
        <f>"Security"</f>
        <v>Security</v>
      </c>
      <c r="D1394" s="142" t="str">
        <f>B82_Assessment!$A$41</f>
        <v>B01-A</v>
      </c>
      <c r="E1394" s="142" t="str">
        <f>B82_Assessment!$I$41</f>
        <v>Verify</v>
      </c>
      <c r="F1394" s="106" t="str">
        <f>B82_Assessment!$J$41</f>
        <v>Keynotes indicate existing cameras are to be retained and re-used. Verify security/access conditions and whether any legacy security equipment is present at existing telecom room.</v>
      </c>
      <c r="G1394" s="106" t="str">
        <f>"B82_Assessment!A41:J41"</f>
        <v>B82_Assessment!A41:J41</v>
      </c>
    </row>
    <row r="1395" spans="1:7" ht="75.599999999999994" customHeight="1">
      <c r="A1395" s="106" t="str">
        <f>BCH_Assessment!$B$2</f>
        <v>BCH</v>
      </c>
      <c r="B1395" s="106" t="str">
        <f t="shared" si="116"/>
        <v>B82_Assessment</v>
      </c>
      <c r="C1395" s="106" t="str">
        <f>"Fire"</f>
        <v>Fire</v>
      </c>
      <c r="D1395" s="142" t="str">
        <f>BCH_Assessment!$A$20</f>
        <v>107</v>
      </c>
      <c r="E1395" s="142" t="str">
        <f>BCH_Assessment!$I$20</f>
        <v>Verify</v>
      </c>
      <c r="F1395" s="106" t="str">
        <f>BCH_Assessment!$J$20</f>
        <v>Cover sheet states BCH receives a Telecom Enclosure and mechanical/fire protection scope has been excluded. Still verify existing life-safety protection, rated penetrations, 4-inch sleeve fire caulk, temporary firestopping and abandoned penetration patching.</v>
      </c>
      <c r="G1395" s="106" t="str">
        <f>"BCH_Assessment!A20:J20"</f>
        <v>BCH_Assessment!A20:J20</v>
      </c>
    </row>
    <row r="1396" spans="1:7" ht="52.2" customHeight="1">
      <c r="A1396" s="106" t="str">
        <f>BCH_Assessment!$B$2</f>
        <v>BCH</v>
      </c>
      <c r="B1396" s="106" t="str">
        <f t="shared" si="116"/>
        <v>B82_Assessment</v>
      </c>
      <c r="C1396" s="106" t="str">
        <f>"Fire"</f>
        <v>Fire</v>
      </c>
      <c r="D1396" s="142" t="str">
        <f>BCH_Assessment!$A$21</f>
        <v>00 / 107</v>
      </c>
      <c r="E1396" s="142" t="str">
        <f>BCH_Assessment!$I$21</f>
        <v>Verify</v>
      </c>
      <c r="F1396" s="106" t="str">
        <f>BCH_Assessment!$J$21</f>
        <v>TE-only scope does not appear to require new FEC/fire sprinkler work, but all wall/floor/ceiling penetrations must be sealed and rated assemblies maintained.</v>
      </c>
      <c r="G1396" s="106" t="str">
        <f>"BCH_Assessment!A21:J21"</f>
        <v>BCH_Assessment!A21:J21</v>
      </c>
    </row>
    <row r="1397" spans="1:7" ht="58.35" customHeight="1">
      <c r="A1397" s="106" t="str">
        <f>BCH_Assessment!$B$2</f>
        <v>BCH</v>
      </c>
      <c r="B1397" s="106" t="str">
        <f t="shared" si="116"/>
        <v>B82_Assessment</v>
      </c>
      <c r="C1397" s="106" t="str">
        <f>"HVAC"</f>
        <v>HVAC</v>
      </c>
      <c r="D1397" s="142" t="str">
        <f>BCH_Assessment!$A$25</f>
        <v>107</v>
      </c>
      <c r="E1397" s="142" t="str">
        <f>BCH_Assessment!$I$25</f>
        <v>N/A</v>
      </c>
      <c r="F1397" s="106" t="str">
        <f>BCH_Assessment!$J$25</f>
        <v>Cover sheet explicitly excludes mechanical scope. Verify existing room ambient conditions are acceptable for TE equipment and that no active network equipment will overheat.</v>
      </c>
      <c r="G1397" s="106" t="str">
        <f>"BCH_Assessment!A25:J25"</f>
        <v>BCH_Assessment!A25:J25</v>
      </c>
    </row>
    <row r="1398" spans="1:7" ht="52.2" customHeight="1">
      <c r="A1398" s="106" t="str">
        <f>BCH_Assessment!$B$2</f>
        <v>BCH</v>
      </c>
      <c r="B1398" s="106" t="str">
        <f t="shared" si="116"/>
        <v>B82_Assessment</v>
      </c>
      <c r="C1398" s="106" t="str">
        <f>"HVAC"</f>
        <v>HVAC</v>
      </c>
      <c r="D1398" s="142" t="str">
        <f>BCH_Assessment!$A$26</f>
        <v>00 / 107</v>
      </c>
      <c r="E1398" s="142" t="str">
        <f>BCH_Assessment!$I$26</f>
        <v>N/A</v>
      </c>
      <c r="F1398" s="106" t="str">
        <f>BCH_Assessment!$J$26</f>
        <v>If the final scope is a 45RU new telecom room rather than a small TE, HVAC exclusion should be confirmed with VA/AE because telecom-room heat load may differ from TE assumptions.</v>
      </c>
      <c r="G1398" s="106" t="str">
        <f>"BCH_Assessment!A26:J26"</f>
        <v>BCH_Assessment!A26:J26</v>
      </c>
    </row>
    <row r="1399" spans="1:7" ht="75.599999999999994" customHeight="1">
      <c r="A1399" s="106" t="str">
        <f>BCH_Assessment!$B$2</f>
        <v>BCH</v>
      </c>
      <c r="B1399" s="106" t="str">
        <f t="shared" si="116"/>
        <v>B82_Assessment</v>
      </c>
      <c r="C1399" s="106" t="str">
        <f>"Electrical"</f>
        <v>Electrical</v>
      </c>
      <c r="D1399" s="142" t="str">
        <f>BCH_Assessment!$A$30</f>
        <v>107</v>
      </c>
      <c r="E1399" s="142" t="str">
        <f>BCH_Assessment!$I$30</f>
        <v>Verify</v>
      </c>
      <c r="F1399" s="106" t="str">
        <f>BCH_Assessment!$J$30</f>
        <v>Electrical plan includes first-level electrical work and notes for new wall-mount telecom enclosure, grounding/bonding and camera. Verify circuit source, receptacle type, UPS/PDU load, emergency source if required, grounding/bonding and labels.</v>
      </c>
      <c r="G1399" s="106" t="str">
        <f>"BCH_Assessment!A30:J30"</f>
        <v>BCH_Assessment!A30:J30</v>
      </c>
    </row>
    <row r="1400" spans="1:7" ht="58.35" customHeight="1">
      <c r="A1400" s="106" t="str">
        <f>BCH_Assessment!$B$2</f>
        <v>BCH</v>
      </c>
      <c r="B1400" s="106" t="str">
        <f t="shared" si="116"/>
        <v>B82_Assessment</v>
      </c>
      <c r="C1400" s="106" t="str">
        <f>"Electrical"</f>
        <v>Electrical</v>
      </c>
      <c r="D1400" s="142" t="str">
        <f>BCH_Assessment!$A$31</f>
        <v>00 / 107</v>
      </c>
      <c r="E1400" s="142" t="str">
        <f>BCH_Assessment!$I$31</f>
        <v>Verify</v>
      </c>
      <c r="F1400" s="106" t="str">
        <f>BCH_Assessment!$J$31</f>
        <v>BCHT-604 shows 12RU TE equipment with APC UPS and PDUs and also a BCH 45RU new telecom room elevation. Confirm exact UPS/PDU/rack power requirement before acceptance.</v>
      </c>
      <c r="G1400" s="106" t="str">
        <f>"BCH_Assessment!A31:J31"</f>
        <v>BCH_Assessment!A31:J31</v>
      </c>
    </row>
    <row r="1401" spans="1:7" ht="81.45" customHeight="1">
      <c r="A1401" s="106" t="str">
        <f>BCH_Assessment!$B$2</f>
        <v>BCH</v>
      </c>
      <c r="B1401" s="106" t="str">
        <f t="shared" si="116"/>
        <v>B82_Assessment</v>
      </c>
      <c r="C1401" s="106" t="str">
        <f>"Telecom"</f>
        <v>Telecom</v>
      </c>
      <c r="D1401" s="142" t="str">
        <f>BCH_Assessment!$A$35</f>
        <v>107</v>
      </c>
      <c r="E1401" s="142" t="str">
        <f>BCH_Assessment!$I$35</f>
        <v>Verify</v>
      </c>
      <c r="F1401" s="106" t="str">
        <f>BCH_Assessment!$J$35</f>
        <v>BCHT-101 identifies telecom plan first level and enlarged Room 107. BCHT-604 identifies new telecom room/no existing elevations. There is no BCHT-701 schedule in the drawing index, so WAO/cable-tray totals must be field verified from plans and contractor coordination drawings.</v>
      </c>
      <c r="G1401" s="106" t="str">
        <f>"BCH_Assessment!A35:J35"</f>
        <v>BCH_Assessment!A35:J35</v>
      </c>
    </row>
    <row r="1402" spans="1:7" ht="75.599999999999994" customHeight="1">
      <c r="A1402" s="106" t="str">
        <f>BCH_Assessment!$B$2</f>
        <v>BCH</v>
      </c>
      <c r="B1402" s="106" t="str">
        <f t="shared" ref="B1402:B1426" si="117">"BCH_Assessment"</f>
        <v>BCH_Assessment</v>
      </c>
      <c r="C1402" s="106" t="str">
        <f>"Telecom"</f>
        <v>Telecom</v>
      </c>
      <c r="D1402" s="142" t="str">
        <f>BCH_Assessment!$A$36</f>
        <v>00 / 107</v>
      </c>
      <c r="E1402" s="142" t="str">
        <f>BCH_Assessment!$I$36</f>
        <v>Verify</v>
      </c>
      <c r="F1402" s="106" t="str">
        <f>BCH_Assessment!$J$36</f>
        <v>BCHT-604 identifies a 12RU TE elevation: APC UPS, two PDUs, network switch, 48-port Cat6A patch panel and Fiber LIU. Also shows BCH Crescent House Room 107 new telecom room elevation. Confirm governing rack/enclosure and labeling.</v>
      </c>
      <c r="G1402" s="106" t="str">
        <f>"BCH_Assessment!A36:J36"</f>
        <v>BCH_Assessment!A36:J36</v>
      </c>
    </row>
    <row r="1403" spans="1:7" ht="58.35" customHeight="1">
      <c r="A1403" s="106" t="str">
        <f>BCH_Assessment!$B$2</f>
        <v>BCH</v>
      </c>
      <c r="B1403" s="106" t="str">
        <f t="shared" si="117"/>
        <v>BCH_Assessment</v>
      </c>
      <c r="C1403" s="106" t="str">
        <f>"Security"</f>
        <v>Security</v>
      </c>
      <c r="D1403" s="142" t="str">
        <f>BCH_Assessment!$A$40</f>
        <v>107</v>
      </c>
      <c r="E1403" s="142" t="str">
        <f>BCH_Assessment!$I$40</f>
        <v>Verify</v>
      </c>
      <c r="F1403" s="106" t="str">
        <f>BCH_Assessment!$J$40</f>
        <v>Telecom/electrical notes reference new IP-addressable camera with wall mount at 8'-6" A.F.F. and VMS integration. Verify whether PACS applies; TE buildings typically do not create full TR door/PACS scope.</v>
      </c>
      <c r="G1403" s="106" t="str">
        <f>"BCH_Assessment!A40:J40"</f>
        <v>BCH_Assessment!A40:J40</v>
      </c>
    </row>
    <row r="1404" spans="1:7" ht="34.950000000000003" customHeight="1">
      <c r="A1404" s="106" t="str">
        <f>BCH_Assessment!$B$2</f>
        <v>BCH</v>
      </c>
      <c r="B1404" s="106" t="str">
        <f t="shared" si="117"/>
        <v>BCH_Assessment</v>
      </c>
      <c r="C1404" s="106" t="str">
        <f>"Security"</f>
        <v>Security</v>
      </c>
      <c r="D1404" s="142" t="str">
        <f>BCH_Assessment!$A$41</f>
        <v>00 / 107</v>
      </c>
      <c r="E1404" s="142" t="str">
        <f>BCH_Assessment!$I$41</f>
        <v>Verify</v>
      </c>
      <c r="F1404" s="106" t="str">
        <f>BCH_Assessment!$J$41</f>
        <v>Verify existing camera/security conditions, protection-in-place, and any recabling or VMS integration required.</v>
      </c>
      <c r="G1404" s="106" t="str">
        <f>"BCH_Assessment!A41:J41"</f>
        <v>BCH_Assessment!A41:J41</v>
      </c>
    </row>
    <row r="1405" spans="1:7" ht="75.599999999999994" customHeight="1">
      <c r="A1405" s="106" t="str">
        <f>MCR_Assessment!$B$2</f>
        <v>MCR</v>
      </c>
      <c r="B1405" s="106" t="str">
        <f t="shared" si="117"/>
        <v>BCH_Assessment</v>
      </c>
      <c r="C1405" s="106" t="str">
        <f>"Fire"</f>
        <v>Fire</v>
      </c>
      <c r="D1405" s="142" t="str">
        <f>MCR_Assessment!$A$28</f>
        <v>107 / MCR</v>
      </c>
      <c r="E1405" s="142" t="str">
        <f>MCR_Assessment!$I$28</f>
        <v>Verify</v>
      </c>
      <c r="F1405" s="106" t="str">
        <f>MCR_Assessment!$J$28</f>
        <v>MCR has full fire protection scope including wet pipe and clean-agent fire suppression system. Verify preaction/clean-agent design, agent release interface, fire alarm matrix, detection, abort/release stations, room integrity and acceptance testing.</v>
      </c>
      <c r="G1405" s="106" t="str">
        <f>"MCR_Assessment!A28:J28"</f>
        <v>MCR_Assessment!A28:J28</v>
      </c>
    </row>
    <row r="1406" spans="1:7" ht="46.35" customHeight="1">
      <c r="A1406" s="106" t="str">
        <f>MCR_Assessment!$B$2</f>
        <v>MCR</v>
      </c>
      <c r="B1406" s="106" t="str">
        <f t="shared" si="117"/>
        <v>BCH_Assessment</v>
      </c>
      <c r="C1406" s="106" t="str">
        <f>"Fire"</f>
        <v>Fire</v>
      </c>
      <c r="D1406" s="142" t="str">
        <f>MCR_Assessment!$A$29</f>
        <v>031</v>
      </c>
      <c r="E1406" s="142" t="str">
        <f>MCR_Assessment!$I$29</f>
        <v>Verify</v>
      </c>
      <c r="F1406" s="106" t="str">
        <f>MCR_Assessment!$J$29</f>
        <v>Verify fiber entrance room protection, rated penetrations, firestopping, detector/strobe coverage and no gaps after cable tray installation.</v>
      </c>
      <c r="G1406" s="106" t="str">
        <f>"MCR_Assessment!A29:J29"</f>
        <v>MCR_Assessment!A29:J29</v>
      </c>
    </row>
    <row r="1407" spans="1:7" ht="34.950000000000003" customHeight="1">
      <c r="A1407" s="106" t="str">
        <f>MCR_Assessment!$B$2</f>
        <v>MCR</v>
      </c>
      <c r="B1407" s="106" t="str">
        <f t="shared" si="117"/>
        <v>BCH_Assessment</v>
      </c>
      <c r="C1407" s="106" t="str">
        <f>"Fire"</f>
        <v>Fire</v>
      </c>
      <c r="D1407" s="142" t="str">
        <f>MCR_Assessment!$A$30</f>
        <v>MDA-A/B</v>
      </c>
      <c r="E1407" s="142" t="str">
        <f>MCR_Assessment!$I$30</f>
        <v>Verify</v>
      </c>
      <c r="F1407" s="106" t="str">
        <f>MCR_Assessment!$J$30</f>
        <v>Verify sprinkler/clean-agent coverage around MDA equipment, fire alarm devices, rack clearance and final firestop assemblies.</v>
      </c>
      <c r="G1407" s="106" t="str">
        <f>"MCR_Assessment!A30:J30"</f>
        <v>MCR_Assessment!A30:J30</v>
      </c>
    </row>
    <row r="1408" spans="1:7" ht="34.950000000000003" customHeight="1">
      <c r="A1408" s="106" t="str">
        <f>MCR_Assessment!$B$2</f>
        <v>MCR</v>
      </c>
      <c r="B1408" s="106" t="str">
        <f t="shared" si="117"/>
        <v>BCH_Assessment</v>
      </c>
      <c r="C1408" s="106" t="str">
        <f>"Fire"</f>
        <v>Fire</v>
      </c>
      <c r="D1408" s="142" t="str">
        <f>MCR_Assessment!$A$31</f>
        <v>HDA-A/B</v>
      </c>
      <c r="E1408" s="142" t="str">
        <f>MCR_Assessment!$I$31</f>
        <v>Verify</v>
      </c>
      <c r="F1408" s="106" t="str">
        <f>MCR_Assessment!$J$31</f>
        <v>Verify clean-agent coverage, detector placement, alarm interfaces, and open cabinet airflow protection.</v>
      </c>
      <c r="G1408" s="106" t="str">
        <f>"MCR_Assessment!A31:J31"</f>
        <v>MCR_Assessment!A31:J31</v>
      </c>
    </row>
    <row r="1409" spans="1:7" ht="46.35" customHeight="1">
      <c r="A1409" s="106" t="str">
        <f>MCR_Assessment!$B$2</f>
        <v>MCR</v>
      </c>
      <c r="B1409" s="106" t="str">
        <f t="shared" si="117"/>
        <v>BCH_Assessment</v>
      </c>
      <c r="C1409" s="106" t="str">
        <f>"Fire"</f>
        <v>Fire</v>
      </c>
      <c r="D1409" s="142" t="str">
        <f>MCR_Assessment!$A$32</f>
        <v>Existing 107/137</v>
      </c>
      <c r="E1409" s="142" t="str">
        <f>MCR_Assessment!$I$32</f>
        <v>Verify</v>
      </c>
      <c r="F1409" s="106" t="str">
        <f>MCR_Assessment!$J$32</f>
        <v>Existing systems must remain protected during temporary fiber, umbilical cord and core relocation work. Verify no impairment without approved fire watch/impairment plan.</v>
      </c>
      <c r="G1409" s="106" t="str">
        <f>"MCR_Assessment!A32:J32"</f>
        <v>MCR_Assessment!A32:J32</v>
      </c>
    </row>
    <row r="1410" spans="1:7" ht="69.900000000000006" customHeight="1">
      <c r="A1410" s="106" t="str">
        <f>MCR_Assessment!$B$2</f>
        <v>MCR</v>
      </c>
      <c r="B1410" s="106" t="str">
        <f t="shared" si="117"/>
        <v>BCH_Assessment</v>
      </c>
      <c r="C1410" s="106" t="str">
        <f>"HVAC"</f>
        <v>HVAC</v>
      </c>
      <c r="D1410" s="142" t="str">
        <f>MCR_Assessment!$A$36</f>
        <v>107 / MCR</v>
      </c>
      <c r="E1410" s="142" t="str">
        <f>MCR_Assessment!$I$36</f>
        <v>Verify</v>
      </c>
      <c r="F1410" s="106" t="str">
        <f>MCR_Assessment!$J$36</f>
        <v>Telecom notes call for indoor computer room air conditioner (CRAC) units tied to building management system. Mechanical sheets included; verify redundant capacity, setpoints, humidity, condensate, controls, alarms and emergency power.</v>
      </c>
      <c r="G1410" s="106" t="str">
        <f>"MCR_Assessment!A36:J36"</f>
        <v>MCR_Assessment!A36:J36</v>
      </c>
    </row>
    <row r="1411" spans="1:7" ht="46.35" customHeight="1">
      <c r="A1411" s="106" t="str">
        <f>MCR_Assessment!$B$2</f>
        <v>MCR</v>
      </c>
      <c r="B1411" s="106" t="str">
        <f t="shared" si="117"/>
        <v>BCH_Assessment</v>
      </c>
      <c r="C1411" s="106" t="str">
        <f>"HVAC"</f>
        <v>HVAC</v>
      </c>
      <c r="D1411" s="142" t="str">
        <f>MCR_Assessment!$A$37</f>
        <v>UPS-A / UPS-B</v>
      </c>
      <c r="E1411" s="142" t="str">
        <f>MCR_Assessment!$I$37</f>
        <v>Verify</v>
      </c>
      <c r="F1411" s="106" t="str">
        <f>MCR_Assessment!$J$37</f>
        <v>UPS rooms/equipment require thermal load validation, ventilation, emergency power and alarm integration. Verify battery/UPS environmental requirements.</v>
      </c>
      <c r="G1411" s="106" t="str">
        <f>"MCR_Assessment!A37:J37"</f>
        <v>MCR_Assessment!A37:J37</v>
      </c>
    </row>
    <row r="1412" spans="1:7" ht="40.65" customHeight="1">
      <c r="A1412" s="106" t="str">
        <f>MCR_Assessment!$B$2</f>
        <v>MCR</v>
      </c>
      <c r="B1412" s="106" t="str">
        <f t="shared" si="117"/>
        <v>BCH_Assessment</v>
      </c>
      <c r="C1412" s="106" t="str">
        <f>"HVAC"</f>
        <v>HVAC</v>
      </c>
      <c r="D1412" s="142" t="str">
        <f>MCR_Assessment!$A$38</f>
        <v>MDA-A/B</v>
      </c>
      <c r="E1412" s="142" t="str">
        <f>MCR_Assessment!$I$38</f>
        <v>Verify</v>
      </c>
      <c r="F1412" s="106" t="str">
        <f>MCR_Assessment!$J$38</f>
        <v>Verify airflow/cold aisle/hot aisle assumptions, blanking panels, floor/ceiling distribution and temperature monitoring.</v>
      </c>
      <c r="G1412" s="106" t="str">
        <f>"MCR_Assessment!A38:J38"</f>
        <v>MCR_Assessment!A38:J38</v>
      </c>
    </row>
    <row r="1413" spans="1:7" ht="40.65" customHeight="1">
      <c r="A1413" s="106" t="str">
        <f>MCR_Assessment!$B$2</f>
        <v>MCR</v>
      </c>
      <c r="B1413" s="106" t="str">
        <f t="shared" si="117"/>
        <v>BCH_Assessment</v>
      </c>
      <c r="C1413" s="106" t="str">
        <f>"HVAC"</f>
        <v>HVAC</v>
      </c>
      <c r="D1413" s="142" t="str">
        <f>MCR_Assessment!$A$39</f>
        <v>HDA-A/B</v>
      </c>
      <c r="E1413" s="142" t="str">
        <f>MCR_Assessment!$I$39</f>
        <v>Verify</v>
      </c>
      <c r="F1413" s="106" t="str">
        <f>MCR_Assessment!$J$39</f>
        <v>Server cabinets and patch fields require stable 24/7 cooling and monitoring. Confirm no local hot spots at dense LIU/patch panel zones.</v>
      </c>
      <c r="G1413" s="106" t="str">
        <f>"MCR_Assessment!A39:J39"</f>
        <v>MCR_Assessment!A39:J39</v>
      </c>
    </row>
    <row r="1414" spans="1:7" ht="52.2" customHeight="1">
      <c r="A1414" s="106" t="str">
        <f>MCR_Assessment!$B$2</f>
        <v>MCR</v>
      </c>
      <c r="B1414" s="106" t="str">
        <f t="shared" si="117"/>
        <v>BCH_Assessment</v>
      </c>
      <c r="C1414" s="106" t="str">
        <f>"HVAC"</f>
        <v>HVAC</v>
      </c>
      <c r="D1414" s="142" t="str">
        <f>MCR_Assessment!$A$40</f>
        <v>Existing 107/137</v>
      </c>
      <c r="E1414" s="142" t="str">
        <f>MCR_Assessment!$I$40</f>
        <v>Verify</v>
      </c>
      <c r="F1414" s="106" t="str">
        <f>MCR_Assessment!$J$40</f>
        <v>During split-core temporary phase, existing MCR/server equipment remains active. Verify existing cooling remains in service until cutover and decommissioning are complete.</v>
      </c>
      <c r="G1414" s="106" t="str">
        <f>"MCR_Assessment!A40:J40"</f>
        <v>MCR_Assessment!A40:J40</v>
      </c>
    </row>
    <row r="1415" spans="1:7" ht="75.599999999999994" customHeight="1">
      <c r="A1415" s="106" t="str">
        <f>MCR_Assessment!$B$2</f>
        <v>MCR</v>
      </c>
      <c r="B1415" s="106" t="str">
        <f t="shared" si="117"/>
        <v>BCH_Assessment</v>
      </c>
      <c r="C1415" s="106" t="str">
        <f>"Electrical"</f>
        <v>Electrical</v>
      </c>
      <c r="D1415" s="142" t="str">
        <f>MCR_Assessment!$A$44</f>
        <v>107 / MCR</v>
      </c>
      <c r="E1415" s="142" t="str">
        <f>MCR_Assessment!$I$44</f>
        <v>Verify</v>
      </c>
      <c r="F1415" s="106" t="str">
        <f>MCR_Assessment!$J$44</f>
        <v>Electrical set includes site plan, enlarged MCR plans, one-lines and schedules. Verify switchboard/service, ATS/generator integration, normal/emergency/UPS distribution, grounding, lightning protection, SPD, load measurements and commissioning.</v>
      </c>
      <c r="G1415" s="106" t="str">
        <f>"MCR_Assessment!A44:J44"</f>
        <v>MCR_Assessment!A44:J44</v>
      </c>
    </row>
    <row r="1416" spans="1:7" ht="40.65" customHeight="1">
      <c r="A1416" s="106" t="str">
        <f>MCR_Assessment!$B$2</f>
        <v>MCR</v>
      </c>
      <c r="B1416" s="106" t="str">
        <f t="shared" si="117"/>
        <v>BCH_Assessment</v>
      </c>
      <c r="C1416" s="106" t="str">
        <f>"Electrical"</f>
        <v>Electrical</v>
      </c>
      <c r="D1416" s="142" t="str">
        <f>MCR_Assessment!$A$45</f>
        <v>MDA-A/B</v>
      </c>
      <c r="E1416" s="142" t="str">
        <f>MCR_Assessment!$I$45</f>
        <v>Verify</v>
      </c>
      <c r="F1416" s="106" t="str">
        <f>MCR_Assessment!$J$45</f>
        <v>MDA rack elevations include new 4-post floor cabinets, LIUs and network elements. Verify redundant A/B power feeds and PDU arrangements.</v>
      </c>
      <c r="G1416" s="106" t="str">
        <f>"MCR_Assessment!A45:J45"</f>
        <v>MCR_Assessment!A45:J45</v>
      </c>
    </row>
    <row r="1417" spans="1:7" ht="52.2" customHeight="1">
      <c r="A1417" s="106" t="str">
        <f>MCR_Assessment!$B$2</f>
        <v>MCR</v>
      </c>
      <c r="B1417" s="106" t="str">
        <f t="shared" si="117"/>
        <v>BCH_Assessment</v>
      </c>
      <c r="C1417" s="106" t="str">
        <f>"Electrical"</f>
        <v>Electrical</v>
      </c>
      <c r="D1417" s="142" t="str">
        <f>MCR_Assessment!$A$46</f>
        <v>HDA-A/B</v>
      </c>
      <c r="E1417" s="142" t="str">
        <f>MCR_Assessment!$I$46</f>
        <v>Verify</v>
      </c>
      <c r="F1417" s="106" t="str">
        <f>MCR_Assessment!$J$46</f>
        <v>HDA cabinets include server cabinet front/rear elevations with patch panels and active equipment. Confirm A/B feed separation, PDU mounting, load capacity and labels.</v>
      </c>
      <c r="G1417" s="106" t="str">
        <f>"MCR_Assessment!A46:J46"</f>
        <v>MCR_Assessment!A46:J46</v>
      </c>
    </row>
    <row r="1418" spans="1:7" ht="58.35" customHeight="1">
      <c r="A1418" s="106" t="str">
        <f>MCR_Assessment!$B$2</f>
        <v>MCR</v>
      </c>
      <c r="B1418" s="106" t="str">
        <f t="shared" si="117"/>
        <v>BCH_Assessment</v>
      </c>
      <c r="C1418" s="106" t="str">
        <f>"Electrical"</f>
        <v>Electrical</v>
      </c>
      <c r="D1418" s="142" t="str">
        <f>MCR_Assessment!$A$47</f>
        <v>Existing 107/137</v>
      </c>
      <c r="E1418" s="142" t="str">
        <f>MCR_Assessment!$I$47</f>
        <v>Verify</v>
      </c>
      <c r="F1418" s="106" t="str">
        <f>MCR_Assessment!$J$47</f>
        <v>Existing rack elevations identify multiple APC/Chatsworth/HP PDUs, APC Smart UPS and Eaton 9PX units. Verify what transfers, what stays, and temporary power during migration.</v>
      </c>
      <c r="G1418" s="106" t="str">
        <f>"MCR_Assessment!A47:J47"</f>
        <v>MCR_Assessment!A47:J47</v>
      </c>
    </row>
    <row r="1419" spans="1:7" ht="52.2" customHeight="1">
      <c r="A1419" s="106" t="str">
        <f>MCR_Assessment!$B$2</f>
        <v>MCR</v>
      </c>
      <c r="B1419" s="106" t="str">
        <f t="shared" si="117"/>
        <v>BCH_Assessment</v>
      </c>
      <c r="C1419" s="106" t="str">
        <f>"Electrical"</f>
        <v>Electrical</v>
      </c>
      <c r="D1419" s="142" t="str">
        <f>MCR_Assessment!$A$48</f>
        <v>Site / Utility</v>
      </c>
      <c r="E1419" s="142" t="str">
        <f>MCR_Assessment!$I$48</f>
        <v>Verify</v>
      </c>
      <c r="F1419" s="106" t="str">
        <f>MCR_Assessment!$J$48</f>
        <v>New MCR is standalone critical infrastructure. Verify utility service, generator/ATS paths, emergency distribution, grounding electrode and ductbank/site electrical coordination.</v>
      </c>
      <c r="G1419" s="106" t="str">
        <f>"MCR_Assessment!A48:J48"</f>
        <v>MCR_Assessment!A48:J48</v>
      </c>
    </row>
    <row r="1420" spans="1:7" ht="64.2" customHeight="1">
      <c r="A1420" s="106" t="str">
        <f>MCR_Assessment!$B$2</f>
        <v>MCR</v>
      </c>
      <c r="B1420" s="106" t="str">
        <f t="shared" si="117"/>
        <v>BCH_Assessment</v>
      </c>
      <c r="C1420" s="106" t="str">
        <f>"Telecom"</f>
        <v>Telecom</v>
      </c>
      <c r="D1420" s="142" t="str">
        <f>MCR_Assessment!$A$52</f>
        <v>107 / MCR</v>
      </c>
      <c r="E1420" s="142" t="str">
        <f>MCR_Assessment!$I$52</f>
        <v>Verify</v>
      </c>
      <c r="F1420" s="106" t="str">
        <f>MCR_Assessment!$J$52</f>
        <v>MCRT-101 shows new MCR with MDA-A/B, HDA-A/B, UPS-A/B, cameras and fiber path legend. MCRT-701 shows 10 WAO total, 720 WAO available, 98.1% expansion capacity, 10 total ports with 20% allowance and 359 ft cable tray.</v>
      </c>
      <c r="G1420" s="106" t="str">
        <f>"MCR_Assessment!A52:J52"</f>
        <v>MCR_Assessment!A52:J52</v>
      </c>
    </row>
    <row r="1421" spans="1:7" ht="52.2" customHeight="1">
      <c r="A1421" s="106" t="str">
        <f>MCR_Assessment!$B$2</f>
        <v>MCR</v>
      </c>
      <c r="B1421" s="106" t="str">
        <f t="shared" si="117"/>
        <v>BCH_Assessment</v>
      </c>
      <c r="C1421" s="106" t="str">
        <f>"Telecom"</f>
        <v>Telecom</v>
      </c>
      <c r="D1421" s="142" t="str">
        <f>MCR_Assessment!$A$53</f>
        <v>031</v>
      </c>
      <c r="E1421" s="142" t="str">
        <f>MCR_Assessment!$I$53</f>
        <v>Verify</v>
      </c>
      <c r="F1421" s="106" t="str">
        <f>MCR_Assessment!$J$53</f>
        <v>MCRT-701 Data Device and Circuit Schedule - Fiber Entrance Room 1: outlets 31-A/B/C/D plus security devices 07-CAM-03/04/07/08/11; Rack ID TR01-031-1.</v>
      </c>
      <c r="G1421" s="106" t="str">
        <f>"MCR_Assessment!A53:J53"</f>
        <v>MCR_Assessment!A53:J53</v>
      </c>
    </row>
    <row r="1422" spans="1:7" ht="52.2" customHeight="1">
      <c r="A1422" s="106" t="str">
        <f>MCR_Assessment!$B$2</f>
        <v>MCR</v>
      </c>
      <c r="B1422" s="106" t="str">
        <f t="shared" si="117"/>
        <v>BCH_Assessment</v>
      </c>
      <c r="C1422" s="106" t="str">
        <f>"Telecom"</f>
        <v>Telecom</v>
      </c>
      <c r="D1422" s="142" t="str">
        <f>MCR_Assessment!$A$54</f>
        <v>MDA-A/B</v>
      </c>
      <c r="E1422" s="142" t="str">
        <f>MCR_Assessment!$I$54</f>
        <v>Verify</v>
      </c>
      <c r="F1422" s="106" t="str">
        <f>MCR_Assessment!$J$54</f>
        <v>MCRT-607: MDA A/B racks contain horizontal distribution LIUs, hybrid FOC, 48x Cat6A to HDA, and reserved LAN/spine/aggregation elements. Maintain A/B path separation.</v>
      </c>
      <c r="G1422" s="106" t="str">
        <f>"MCR_Assessment!A54:J54"</f>
        <v>MCR_Assessment!A54:J54</v>
      </c>
    </row>
    <row r="1423" spans="1:7" ht="40.65" customHeight="1">
      <c r="A1423" s="106" t="str">
        <f>MCR_Assessment!$B$2</f>
        <v>MCR</v>
      </c>
      <c r="B1423" s="106" t="str">
        <f t="shared" si="117"/>
        <v>BCH_Assessment</v>
      </c>
      <c r="C1423" s="106" t="str">
        <f>"Telecom"</f>
        <v>Telecom</v>
      </c>
      <c r="D1423" s="142" t="str">
        <f>MCR_Assessment!$A$55</f>
        <v>HDA-A/B</v>
      </c>
      <c r="E1423" s="142" t="str">
        <f>MCR_Assessment!$I$55</f>
        <v>Verify</v>
      </c>
      <c r="F1423" s="106" t="str">
        <f>MCR_Assessment!$J$55</f>
        <v>MCRT-608/609: HDA A/B include 48-port Cat6A patch panels, HD fiber LIUs, backbone side A/B LIU and server cabinet arrangements.</v>
      </c>
      <c r="G1423" s="106" t="str">
        <f>"MCR_Assessment!A55:J55"</f>
        <v>MCR_Assessment!A55:J55</v>
      </c>
    </row>
    <row r="1424" spans="1:7" ht="52.2" customHeight="1">
      <c r="A1424" s="106" t="str">
        <f>MCR_Assessment!$B$2</f>
        <v>MCR</v>
      </c>
      <c r="B1424" s="106" t="str">
        <f t="shared" si="117"/>
        <v>BCH_Assessment</v>
      </c>
      <c r="C1424" s="106" t="str">
        <f>"Telecom"</f>
        <v>Telecom</v>
      </c>
      <c r="D1424" s="142" t="str">
        <f>MCR_Assessment!$A$56</f>
        <v>Existing 107/137</v>
      </c>
      <c r="E1424" s="142" t="str">
        <f>MCR_Assessment!$I$56</f>
        <v>Verify</v>
      </c>
      <c r="F1424" s="106" t="str">
        <f>MCR_Assessment!$J$56</f>
        <v>Existing MCR rows 1-3 and B61 server cabinet transfer references are extensive. Maintain service using temporary fiber/umbilical cords and phased core relocation.</v>
      </c>
      <c r="G1424" s="106" t="str">
        <f>"MCR_Assessment!A56:J56"</f>
        <v>MCR_Assessment!A56:J56</v>
      </c>
    </row>
    <row r="1425" spans="1:7" ht="75.599999999999994" customHeight="1">
      <c r="A1425" s="106" t="str">
        <f>MCR_Assessment!$B$2</f>
        <v>MCR</v>
      </c>
      <c r="B1425" s="106" t="str">
        <f t="shared" si="117"/>
        <v>BCH_Assessment</v>
      </c>
      <c r="C1425" s="106" t="str">
        <f>"Security"</f>
        <v>Security</v>
      </c>
      <c r="D1425" s="142" t="str">
        <f>MCR_Assessment!$A$60</f>
        <v>107 / MCR</v>
      </c>
      <c r="E1425" s="142" t="str">
        <f>MCR_Assessment!$I$60</f>
        <v>Verify</v>
      </c>
      <c r="F1425" s="106" t="str">
        <f>MCR_Assessment!$J$60</f>
        <v>MCRT-101 identifies cameras 07-CAM-01 through 07-CAM-12 around the MCR. Telecom notes call for IP-addressable network cameras integrated into existing VMS and PACS/access-control systems including iSTAR Edge/Avigilon ACM controller.</v>
      </c>
      <c r="G1425" s="106" t="str">
        <f>"MCR_Assessment!A60:J60"</f>
        <v>MCR_Assessment!A60:J60</v>
      </c>
    </row>
    <row r="1426" spans="1:7" ht="40.65" customHeight="1">
      <c r="A1426" s="106" t="str">
        <f>MCR_Assessment!$B$2</f>
        <v>MCR</v>
      </c>
      <c r="B1426" s="106" t="str">
        <f t="shared" si="117"/>
        <v>BCH_Assessment</v>
      </c>
      <c r="C1426" s="106" t="str">
        <f>"Security"</f>
        <v>Security</v>
      </c>
      <c r="D1426" s="142" t="str">
        <f>MCR_Assessment!$A$61</f>
        <v>031</v>
      </c>
      <c r="E1426" s="142" t="str">
        <f>MCR_Assessment!$I$61</f>
        <v>Verify</v>
      </c>
      <c r="F1426" s="106" t="str">
        <f>MCR_Assessment!$J$61</f>
        <v>MCRT-701 includes security camera/data devices assigned to TR01-031-1. Confirm camera IDs, mounting, cabling, and VMS commissioning.</v>
      </c>
      <c r="G1426" s="106" t="str">
        <f>"MCR_Assessment!A61:J61"</f>
        <v>MCR_Assessment!A61:J61</v>
      </c>
    </row>
    <row r="1427" spans="1:7" ht="34.950000000000003" customHeight="1">
      <c r="A1427" s="106" t="str">
        <f>MCR_Assessment!$B$2</f>
        <v>MCR</v>
      </c>
      <c r="B1427" s="106" t="str">
        <f t="shared" ref="B1427:B1437" si="118">"MCR_Assessment"</f>
        <v>MCR_Assessment</v>
      </c>
      <c r="C1427" s="106" t="str">
        <f>"Security"</f>
        <v>Security</v>
      </c>
      <c r="D1427" s="142" t="str">
        <f>MCR_Assessment!$A$62</f>
        <v>MDA-A/B</v>
      </c>
      <c r="E1427" s="142" t="str">
        <f>MCR_Assessment!$I$62</f>
        <v>Verify</v>
      </c>
      <c r="F1427" s="106" t="str">
        <f>MCR_Assessment!$J$62</f>
        <v>Verify camera coverage, door/access points, VMS monitoring and access control zones for critical equipment.</v>
      </c>
      <c r="G1427" s="106" t="str">
        <f>"MCR_Assessment!A62:J62"</f>
        <v>MCR_Assessment!A62:J62</v>
      </c>
    </row>
    <row r="1428" spans="1:7" ht="34.950000000000003" customHeight="1">
      <c r="A1428" s="106" t="str">
        <f>MCR_Assessment!$B$2</f>
        <v>MCR</v>
      </c>
      <c r="B1428" s="106" t="str">
        <f t="shared" si="118"/>
        <v>MCR_Assessment</v>
      </c>
      <c r="C1428" s="106" t="str">
        <f>"Security"</f>
        <v>Security</v>
      </c>
      <c r="D1428" s="142" t="str">
        <f>MCR_Assessment!$A$63</f>
        <v>HDA-A/B</v>
      </c>
      <c r="E1428" s="142" t="str">
        <f>MCR_Assessment!$I$63</f>
        <v>Verify</v>
      </c>
      <c r="F1428" s="106" t="str">
        <f>MCR_Assessment!$J$63</f>
        <v>Verify coverage of HDA cabinets, doors, motion detection and any lockable cabinet/security requirements.</v>
      </c>
      <c r="G1428" s="106" t="str">
        <f>"MCR_Assessment!A63:J63"</f>
        <v>MCR_Assessment!A63:J63</v>
      </c>
    </row>
    <row r="1429" spans="1:7" ht="40.65" customHeight="1">
      <c r="A1429" s="106" t="str">
        <f>MCR_Assessment!$B$2</f>
        <v>MCR</v>
      </c>
      <c r="B1429" s="106" t="str">
        <f t="shared" si="118"/>
        <v>MCR_Assessment</v>
      </c>
      <c r="C1429" s="106" t="str">
        <f>"Security"</f>
        <v>Security</v>
      </c>
      <c r="D1429" s="142" t="str">
        <f>MCR_Assessment!$A$64</f>
        <v>Existing 107/137</v>
      </c>
      <c r="E1429" s="142" t="str">
        <f>MCR_Assessment!$I$64</f>
        <v>Verify</v>
      </c>
      <c r="F1429" s="106" t="str">
        <f>MCR_Assessment!$J$64</f>
        <v>Existing security systems must remain functional during transition; protect existing camera angles and access controls until final turnover.</v>
      </c>
      <c r="G1429" s="106" t="str">
        <f>"MCR_Assessment!A64:J64"</f>
        <v>MCR_Assessment!A64:J64</v>
      </c>
    </row>
    <row r="1430" spans="1:7" ht="58.35" customHeight="1">
      <c r="A1430" s="106" t="str">
        <f>SITE_Assesment!$B$2</f>
        <v>SITE</v>
      </c>
      <c r="B1430" s="106" t="str">
        <f t="shared" si="118"/>
        <v>MCR_Assessment</v>
      </c>
      <c r="C1430" s="106" t="str">
        <f>"Electrical"</f>
        <v>Electrical</v>
      </c>
      <c r="D1430" s="142" t="str">
        <f>SITE_Assesment!$A$46</f>
        <v>Overall Site</v>
      </c>
      <c r="E1430" s="142" t="str">
        <f>SITE_Assesment!$I$46</f>
        <v>Verify</v>
      </c>
      <c r="F1430" s="106" t="str">
        <f>SITE_Assesment!$J$46</f>
        <v>Electrical site plans ES101/ES401 are included. Existing utility locations are approximate; coordinate electrical vaults, underground electrical, storm drain manholes and sanitary manholes.</v>
      </c>
      <c r="G1430" s="106" t="str">
        <f>"SITE_Assesment!A46:J46"</f>
        <v>SITE_Assesment!A46:J46</v>
      </c>
    </row>
    <row r="1431" spans="1:7" ht="46.35" customHeight="1">
      <c r="A1431" s="106" t="str">
        <f>SITE_Assesment!$B$2</f>
        <v>SITE</v>
      </c>
      <c r="B1431" s="106" t="str">
        <f t="shared" si="118"/>
        <v>MCR_Assessment</v>
      </c>
      <c r="C1431" s="106" t="str">
        <f>"Electrical"</f>
        <v>Electrical</v>
      </c>
      <c r="D1431" s="142" t="str">
        <f>SITE_Assesment!$A$47</f>
        <v>THH / Manholes</v>
      </c>
      <c r="E1431" s="142" t="str">
        <f>SITE_Assesment!$I$47</f>
        <v>Verify</v>
      </c>
      <c r="F1431" s="106" t="str">
        <f>SITE_Assesment!$J$47</f>
        <v>Locking covers and handhole/manhole locations must be field verified. Confirm bonding/grounding requirements where metallic components are present.</v>
      </c>
      <c r="G1431" s="106" t="str">
        <f>"SITE_Assesment!A47:J47"</f>
        <v>SITE_Assesment!A47:J47</v>
      </c>
    </row>
    <row r="1432" spans="1:7" ht="46.35" customHeight="1">
      <c r="A1432" s="106" t="str">
        <f>SITE_Assesment!$B$2</f>
        <v>SITE</v>
      </c>
      <c r="B1432" s="106" t="str">
        <f t="shared" si="118"/>
        <v>MCR_Assessment</v>
      </c>
      <c r="C1432" s="106" t="str">
        <f>"Electrical"</f>
        <v>Electrical</v>
      </c>
      <c r="D1432" s="142" t="str">
        <f>SITE_Assesment!$A$48</f>
        <v>MCR / Provider Entrance</v>
      </c>
      <c r="E1432" s="142" t="str">
        <f>SITE_Assesment!$I$48</f>
        <v>Verify</v>
      </c>
      <c r="F1432" s="106" t="str">
        <f>SITE_Assesment!$J$48</f>
        <v>T-601 shows WAN/provider fiber entrances and new fiber Path A/B to the MCR. Coordinate with Century Link/service provider and MCR activation.</v>
      </c>
      <c r="G1432" s="106" t="str">
        <f>"SITE_Assesment!A48:J48"</f>
        <v>SITE_Assesment!A48:J48</v>
      </c>
    </row>
    <row r="1433" spans="1:7" ht="40.65" customHeight="1">
      <c r="A1433" s="106" t="str">
        <f>SITE_Assesment!$B$2</f>
        <v>SITE</v>
      </c>
      <c r="B1433" s="106" t="str">
        <f t="shared" si="118"/>
        <v>MCR_Assessment</v>
      </c>
      <c r="C1433" s="106" t="str">
        <f>"Electrical"</f>
        <v>Electrical</v>
      </c>
      <c r="D1433" s="142" t="str">
        <f>SITE_Assesment!$A$49</f>
        <v>Building Tie-ins</v>
      </c>
      <c r="E1433" s="142" t="str">
        <f>SITE_Assesment!$I$49</f>
        <v>Verify</v>
      </c>
      <c r="F1433" s="106" t="str">
        <f>SITE_Assesment!$J$49</f>
        <v>Coordinate conduit penetrations with building electrical/telecom/firestop scope and avoid conflicts with existing services.</v>
      </c>
      <c r="G1433" s="106" t="str">
        <f>"SITE_Assesment!A49:J49"</f>
        <v>SITE_Assesment!A49:J49</v>
      </c>
    </row>
    <row r="1434" spans="1:7" ht="40.65" customHeight="1">
      <c r="A1434" s="106" t="str">
        <f>SITE_Assesment!$B$2</f>
        <v>SITE</v>
      </c>
      <c r="B1434" s="106" t="str">
        <f t="shared" si="118"/>
        <v>MCR_Assessment</v>
      </c>
      <c r="C1434" s="106" t="str">
        <f>"Telecom"</f>
        <v>Telecom</v>
      </c>
      <c r="D1434" s="142" t="str">
        <f>SITE_Assesment!$A$53</f>
        <v>Campus Backbone</v>
      </c>
      <c r="E1434" s="142" t="str">
        <f>SITE_Assesment!$I$53</f>
        <v>Verify</v>
      </c>
      <c r="F1434" s="106" t="str">
        <f>SITE_Assesment!$J$53</f>
        <v>Legend identifies new fiber in A route, B route, and A+B routes in separate conduits. Confirm no cross-connect gaps at THHs/manholes.</v>
      </c>
      <c r="G1434" s="106" t="str">
        <f>"SITE_Assesment!A53:J53"</f>
        <v>SITE_Assesment!A53:J53</v>
      </c>
    </row>
    <row r="1435" spans="1:7" ht="40.65" customHeight="1">
      <c r="A1435" s="106" t="str">
        <f>SITE_Assesment!$B$2</f>
        <v>SITE</v>
      </c>
      <c r="B1435" s="106" t="str">
        <f t="shared" si="118"/>
        <v>MCR_Assessment</v>
      </c>
      <c r="C1435" s="106" t="str">
        <f>"Telecom"</f>
        <v>Telecom</v>
      </c>
      <c r="D1435" s="142" t="str">
        <f>SITE_Assesment!$A$54</f>
        <v>MCR Provider / WAN</v>
      </c>
      <c r="E1435" s="142" t="str">
        <f>SITE_Assesment!$I$54</f>
        <v>Verify</v>
      </c>
      <c r="F1435" s="106" t="str">
        <f>SITE_Assesment!$J$54</f>
        <v>Site one-line shows WAN fiber from service provider and temporary/provider extension pathways. Coordinate with MCR activation and OIT.</v>
      </c>
      <c r="G1435" s="106" t="str">
        <f>"SITE_Assesment!A54:J54"</f>
        <v>SITE_Assesment!A54:J54</v>
      </c>
    </row>
    <row r="1436" spans="1:7" ht="29.1" customHeight="1">
      <c r="A1436" s="106" t="str">
        <f>SITE_Assesment!$B$2</f>
        <v>SITE</v>
      </c>
      <c r="B1436" s="106" t="str">
        <f t="shared" si="118"/>
        <v>MCR_Assessment</v>
      </c>
      <c r="C1436" s="106" t="str">
        <f>"Telecom"</f>
        <v>Telecom</v>
      </c>
      <c r="D1436" s="142" t="str">
        <f>SITE_Assesment!$A$55</f>
        <v>Building Drops</v>
      </c>
      <c r="E1436" s="142" t="str">
        <f>SITE_Assesment!$I$55</f>
        <v>Verify</v>
      </c>
      <c r="F1436" s="106" t="str">
        <f>SITE_Assesment!$J$55</f>
        <v>Each building tie-in must be tested, labeled, and accepted before connection to active operations.</v>
      </c>
      <c r="G1436" s="106" t="str">
        <f>"SITE_Assesment!A55:J55"</f>
        <v>SITE_Assesment!A55:J55</v>
      </c>
    </row>
    <row r="1437" spans="1:7" ht="46.35" customHeight="1">
      <c r="A1437" s="106" t="str">
        <f>SITE_Assesment!$B$2</f>
        <v>SITE</v>
      </c>
      <c r="B1437" s="106" t="str">
        <f t="shared" si="118"/>
        <v>MCR_Assessment</v>
      </c>
      <c r="C1437" s="106" t="str">
        <f>"Telecom"</f>
        <v>Telecom</v>
      </c>
      <c r="D1437" s="142" t="str">
        <f>SITE_Assesment!$A$56</f>
        <v>THH Network</v>
      </c>
      <c r="E1437" s="142" t="str">
        <f>SITE_Assesment!$I$56</f>
        <v>Verify</v>
      </c>
      <c r="F1437" s="106" t="str">
        <f>SITE_Assesment!$J$56</f>
        <v>T-601 one-line lists THH #1-#19 and path counts such as 6 Path A + 4 Path B, 6 Path A + 6 Path B, 7 Path A + 7 Path B, 5 Path A + 4 Path B, and 9 Path A + 7 Path B.</v>
      </c>
      <c r="G1437" s="106" t="str">
        <f>"SITE_Assesment!A56:J56"</f>
        <v>SITE_Assesment!A56:J56</v>
      </c>
    </row>
    <row r="1438" spans="1:7" ht="40.65" customHeight="1">
      <c r="A1438" s="106" t="str">
        <f>SITE_Assesment!$B$2</f>
        <v>SITE</v>
      </c>
      <c r="B1438" s="106" t="str">
        <f>"SITE_Assesment"</f>
        <v>SITE_Assesment</v>
      </c>
      <c r="C1438" s="106" t="str">
        <f>"Security"</f>
        <v>Security</v>
      </c>
      <c r="D1438" s="106" t="str">
        <f>SITE_Assesment!$A$60</f>
        <v>Campus Site Work</v>
      </c>
      <c r="E1438" s="106" t="str">
        <f>SITE_Assesment!$I$60</f>
        <v>Verify</v>
      </c>
      <c r="F1438" s="106" t="str">
        <f>SITE_Assesment!$J$60</f>
        <v>Coordinate staging, access, material storage, noisy work, utility interruption, trench barricades and public access with owner.</v>
      </c>
      <c r="G1438" s="106" t="str">
        <f>"SITE_Assesment!A60:J60"</f>
        <v>SITE_Assesment!A60:J60</v>
      </c>
    </row>
    <row r="1439" spans="1:7" ht="52.2" customHeight="1">
      <c r="A1439" s="106" t="str">
        <f>SITE_Assesment!$B$2</f>
        <v>SITE</v>
      </c>
      <c r="B1439" s="106" t="str">
        <f>"SITE_Assesment"</f>
        <v>SITE_Assesment</v>
      </c>
      <c r="C1439" s="106" t="str">
        <f>"Security"</f>
        <v>Security</v>
      </c>
      <c r="D1439" s="106" t="str">
        <f>SITE_Assesment!$A$61</f>
        <v>Road / Parking Impacts</v>
      </c>
      <c r="E1439" s="106" t="str">
        <f>SITE_Assesment!$I$61</f>
        <v>Verify</v>
      </c>
      <c r="F1439" s="106" t="str">
        <f>SITE_Assesment!$J$61</f>
        <v>General notes specifically identify accessible parking and public right-of-way impacts; temporary barricades must prevent injury and protect parking signage.</v>
      </c>
      <c r="G1439" s="106" t="str">
        <f>"SITE_Assesment!A61:J61"</f>
        <v>SITE_Assesment!A61:J61</v>
      </c>
    </row>
    <row r="1440" spans="1:7" ht="46.35" customHeight="1">
      <c r="A1440" s="106" t="str">
        <f>SITE_Assesment!$B$2</f>
        <v>SITE</v>
      </c>
      <c r="B1440" s="106" t="str">
        <f>"SITE_Assesment"</f>
        <v>SITE_Assesment</v>
      </c>
      <c r="C1440" s="106" t="str">
        <f>"Security"</f>
        <v>Security</v>
      </c>
      <c r="D1440" s="106" t="str">
        <f>SITE_Assesment!$A$62</f>
        <v>Critical Utility Crossings</v>
      </c>
      <c r="E1440" s="106" t="str">
        <f>SITE_Assesment!$I$62</f>
        <v>Verify</v>
      </c>
      <c r="F1440" s="106" t="str">
        <f>SITE_Assesment!$J$62</f>
        <v>Hand digging at existing utility crossings is in base bid. Confirm permits, Dig Safe, VA utility locate and escort requirements before excavation.</v>
      </c>
      <c r="G1440" s="106" t="str">
        <f>"SITE_Assesment!A62:J62"</f>
        <v>SITE_Assesment!A62:J62</v>
      </c>
    </row>
  </sheetData>
  <conditionalFormatting sqref="D3:D32">
    <cfRule type="colorScale" priority="9">
      <colorScale>
        <cfvo type="num" val="0"/>
        <cfvo type="num" val="0.65"/>
        <cfvo type="num" val="0.9"/>
        <color rgb="FFFEE2E2"/>
        <color rgb="FFFEF3C7"/>
        <color rgb="FFDCFCE7"/>
      </colorScale>
    </cfRule>
  </conditionalFormatting>
  <conditionalFormatting sqref="Q3:Q32">
    <cfRule type="cellIs" dxfId="1501" priority="10" operator="greaterThan">
      <formula>0</formula>
    </cfRule>
  </conditionalFormatting>
  <conditionalFormatting sqref="Z3:Z32">
    <cfRule type="colorScale" priority="1">
      <colorScale>
        <cfvo type="min"/>
        <cfvo type="percentile" val="50"/>
        <cfvo type="max"/>
        <color rgb="FFF8696B"/>
        <color rgb="FFFFEB84"/>
        <color rgb="FF63BE7B"/>
      </colorScale>
    </cfRule>
  </conditionalFormatting>
  <conditionalFormatting sqref="AB3:AB32">
    <cfRule type="colorScale" priority="2">
      <colorScale>
        <cfvo type="min"/>
        <cfvo type="percentile" val="50"/>
        <cfvo type="max"/>
        <color rgb="FFF8696B"/>
        <color rgb="FFFFEB84"/>
        <color rgb="FF63BE7B"/>
      </colorScale>
    </cfRule>
  </conditionalFormatting>
  <conditionalFormatting sqref="AE3:AE32">
    <cfRule type="colorScale" priority="3">
      <colorScale>
        <cfvo type="min"/>
        <cfvo type="percentile" val="50"/>
        <cfvo type="max"/>
        <color rgb="FFF8696B"/>
        <color rgb="FFFFEB84"/>
        <color rgb="FF63BE7B"/>
      </colorScale>
    </cfRule>
  </conditionalFormatting>
  <conditionalFormatting sqref="AG3:AG32">
    <cfRule type="colorScale" priority="4">
      <colorScale>
        <cfvo type="min"/>
        <cfvo type="percentile" val="50"/>
        <cfvo type="max"/>
        <color rgb="FFF8696B"/>
        <color rgb="FFFFEB84"/>
        <color rgb="FF63BE7B"/>
      </colorScale>
    </cfRule>
  </conditionalFormatting>
  <conditionalFormatting sqref="AI3:AI32">
    <cfRule type="colorScale" priority="5">
      <colorScale>
        <cfvo type="min"/>
        <cfvo type="percentile" val="50"/>
        <cfvo type="max"/>
        <color rgb="FFF8696B"/>
        <color rgb="FFFFEB84"/>
        <color rgb="FF63BE7B"/>
      </colorScale>
    </cfRule>
  </conditionalFormatting>
  <conditionalFormatting sqref="AN3:AN32">
    <cfRule type="expression" dxfId="1500" priority="6">
      <formula>LEFT(AN3,1)="🟢"</formula>
    </cfRule>
    <cfRule type="expression" dxfId="1499" priority="7">
      <formula>LEFT(AN3,1)="🟡"</formula>
    </cfRule>
    <cfRule type="expression" dxfId="1498" priority="8">
      <formula>LEFT(AN3,1)="🔴"</formula>
    </cfRule>
  </conditionalFormatting>
  <dataValidations count="1">
    <dataValidation type="list" sqref="E1009:E1437 F269:F499 K35:K263 K599:K825" xr:uid="{D84C1493-C167-4964-A021-937542ACE97C}">
      <formula1>"Open,Closed,Verify,Pass,Fail,N/A,Partial / Yellow"</formula1>
      <formula2>0</formula2>
    </dataValidation>
  </dataValidations>
  <pageMargins left="0.7" right="0.7" top="0.75" bottom="0.75" header="0.3" footer="0.3"/>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AC15D-C619-42C0-9C5C-BB7A56BAEC02}">
  <dimension ref="A1:J240"/>
  <sheetViews>
    <sheetView showGridLines="0" topLeftCell="A4" zoomScale="80" zoomScaleNormal="80" workbookViewId="0">
      <selection activeCell="E11" sqref="E11"/>
    </sheetView>
  </sheetViews>
  <sheetFormatPr defaultColWidth="8.6640625" defaultRowHeight="14.4"/>
  <cols>
    <col min="1" max="1" width="16" style="8" customWidth="1"/>
    <col min="2" max="2" width="18" style="8" customWidth="1"/>
    <col min="3" max="3" width="20" style="8" customWidth="1"/>
    <col min="4" max="6" width="18" style="8" customWidth="1"/>
    <col min="7" max="7" width="20" style="8" customWidth="1"/>
    <col min="8" max="8" width="26.33203125" style="8" customWidth="1"/>
    <col min="9" max="9" width="18" style="8" customWidth="1"/>
    <col min="10" max="10" width="34" style="8" customWidth="1"/>
    <col min="11" max="12" width="8.6640625" style="8" customWidth="1"/>
    <col min="13" max="16384" width="8.6640625" style="8"/>
  </cols>
  <sheetData>
    <row r="1" spans="1:10" ht="39" customHeight="1">
      <c r="A1" s="851" t="s">
        <v>3172</v>
      </c>
      <c r="B1" s="839"/>
      <c r="C1" s="839"/>
      <c r="D1" s="839"/>
      <c r="E1" s="839"/>
      <c r="F1" s="839"/>
      <c r="G1" s="839"/>
      <c r="H1" s="839"/>
      <c r="I1" s="839"/>
      <c r="J1" s="839"/>
    </row>
    <row r="2" spans="1:10" s="227" customFormat="1" ht="16.95" customHeight="1">
      <c r="A2" s="223" t="s">
        <v>142</v>
      </c>
      <c r="B2" s="224" t="s">
        <v>374</v>
      </c>
      <c r="C2" s="223" t="s">
        <v>902</v>
      </c>
      <c r="D2" s="224" t="s">
        <v>5699</v>
      </c>
      <c r="E2" s="223" t="s">
        <v>151</v>
      </c>
      <c r="F2" s="224" t="s">
        <v>5700</v>
      </c>
      <c r="G2" s="223" t="s">
        <v>174</v>
      </c>
      <c r="H2" s="225">
        <v>0.55000000000000004</v>
      </c>
      <c r="I2" s="223" t="s">
        <v>154</v>
      </c>
      <c r="J2" s="226" t="s">
        <v>5698</v>
      </c>
    </row>
    <row r="3" spans="1:10" s="231" customFormat="1" ht="34.950000000000003" customHeight="1">
      <c r="A3" s="223" t="s">
        <v>903</v>
      </c>
      <c r="B3" s="228">
        <v>46198.794316967593</v>
      </c>
      <c r="C3" s="229" t="s">
        <v>904</v>
      </c>
      <c r="D3" s="230" t="s">
        <v>721</v>
      </c>
      <c r="E3" s="223" t="s">
        <v>905</v>
      </c>
      <c r="F3" s="230" t="s">
        <v>3173</v>
      </c>
      <c r="G3" s="223" t="s">
        <v>907</v>
      </c>
      <c r="H3" s="230" t="s">
        <v>908</v>
      </c>
      <c r="I3" s="223" t="s">
        <v>551</v>
      </c>
      <c r="J3" s="230" t="s">
        <v>3174</v>
      </c>
    </row>
    <row r="4" spans="1:10" s="231" customFormat="1" ht="281.25" customHeight="1">
      <c r="A4" s="223" t="s">
        <v>161</v>
      </c>
      <c r="B4" s="230">
        <v>0</v>
      </c>
      <c r="C4" s="223" t="s">
        <v>199</v>
      </c>
      <c r="D4" s="230">
        <v>0</v>
      </c>
      <c r="E4" s="223" t="s">
        <v>179</v>
      </c>
      <c r="F4" s="230">
        <v>0</v>
      </c>
      <c r="G4" s="223" t="s">
        <v>870</v>
      </c>
      <c r="H4" s="232" t="s">
        <v>3175</v>
      </c>
      <c r="I4" s="233"/>
      <c r="J4" s="233"/>
    </row>
    <row r="5" spans="1:10" s="231" customFormat="1" ht="39" customHeight="1">
      <c r="A5" s="234" t="s">
        <v>911</v>
      </c>
      <c r="B5" s="225" t="s">
        <v>484</v>
      </c>
      <c r="C5" s="235" t="s">
        <v>912</v>
      </c>
      <c r="D5" s="225" t="s">
        <v>484</v>
      </c>
      <c r="E5" s="236" t="s">
        <v>913</v>
      </c>
      <c r="F5" s="225" t="s">
        <v>484</v>
      </c>
      <c r="G5" s="237" t="s">
        <v>914</v>
      </c>
      <c r="H5" s="225" t="s">
        <v>484</v>
      </c>
      <c r="I5" s="237" t="s">
        <v>915</v>
      </c>
      <c r="J5" s="225" t="s">
        <v>484</v>
      </c>
    </row>
    <row r="6" spans="1:10" s="231" customFormat="1" ht="78.75" customHeight="1">
      <c r="A6" s="238" t="s">
        <v>916</v>
      </c>
      <c r="B6" s="225" t="s">
        <v>484</v>
      </c>
      <c r="C6" s="239" t="s">
        <v>869</v>
      </c>
      <c r="D6" s="854" t="s">
        <v>3176</v>
      </c>
      <c r="E6" s="853"/>
      <c r="F6" s="853"/>
      <c r="G6" s="853"/>
      <c r="H6" s="853"/>
      <c r="I6" s="853"/>
      <c r="J6" s="853"/>
    </row>
    <row r="7" spans="1:10" ht="7.35" customHeight="1">
      <c r="A7" s="13"/>
      <c r="B7" s="13"/>
      <c r="C7" s="13"/>
      <c r="D7" s="13"/>
      <c r="E7" s="13"/>
      <c r="F7" s="13"/>
      <c r="G7" s="13"/>
      <c r="H7" s="13"/>
      <c r="I7" s="13"/>
      <c r="J7" s="13"/>
    </row>
    <row r="8" spans="1:10">
      <c r="A8" s="842" t="s">
        <v>918</v>
      </c>
      <c r="B8" s="839"/>
      <c r="C8" s="839"/>
      <c r="D8" s="85"/>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108.75" customHeight="1">
      <c r="A10" s="13" t="s">
        <v>374</v>
      </c>
      <c r="B10" s="13" t="s">
        <v>3177</v>
      </c>
      <c r="C10" s="13" t="s">
        <v>923</v>
      </c>
      <c r="D10" s="13" t="s">
        <v>3178</v>
      </c>
      <c r="E10" s="13" t="s">
        <v>356</v>
      </c>
      <c r="F10" s="13">
        <v>1</v>
      </c>
      <c r="G10" s="13">
        <v>1</v>
      </c>
      <c r="H10" s="13" t="s">
        <v>546</v>
      </c>
      <c r="I10" s="13" t="s">
        <v>3179</v>
      </c>
      <c r="J10" s="13" t="s">
        <v>3180</v>
      </c>
    </row>
    <row r="11" spans="1:10" ht="110.25" customHeight="1">
      <c r="A11" s="13" t="s">
        <v>374</v>
      </c>
      <c r="B11" s="13" t="s">
        <v>699</v>
      </c>
      <c r="C11" s="13" t="s">
        <v>919</v>
      </c>
      <c r="D11" s="13" t="s">
        <v>3181</v>
      </c>
      <c r="E11" s="13" t="s">
        <v>356</v>
      </c>
      <c r="F11" s="13">
        <v>1</v>
      </c>
      <c r="G11" s="13">
        <v>1</v>
      </c>
      <c r="H11" s="13" t="s">
        <v>546</v>
      </c>
      <c r="I11" s="13" t="s">
        <v>3182</v>
      </c>
      <c r="J11" s="13" t="s">
        <v>3183</v>
      </c>
    </row>
    <row r="12" spans="1:10" ht="109.5" customHeight="1">
      <c r="A12" s="13" t="s">
        <v>374</v>
      </c>
      <c r="B12" s="13" t="s">
        <v>709</v>
      </c>
      <c r="C12" s="13" t="s">
        <v>933</v>
      </c>
      <c r="D12" s="13" t="s">
        <v>3184</v>
      </c>
      <c r="E12" s="13" t="s">
        <v>356</v>
      </c>
      <c r="F12" s="13">
        <v>1</v>
      </c>
      <c r="G12" s="13">
        <v>1</v>
      </c>
      <c r="H12" s="13" t="s">
        <v>546</v>
      </c>
      <c r="I12" s="13" t="s">
        <v>3185</v>
      </c>
      <c r="J12" s="13" t="s">
        <v>3186</v>
      </c>
    </row>
    <row r="13" spans="1:10" ht="110.4">
      <c r="A13" s="13" t="s">
        <v>374</v>
      </c>
      <c r="B13" s="13" t="s">
        <v>3187</v>
      </c>
      <c r="C13" s="13" t="s">
        <v>919</v>
      </c>
      <c r="D13" s="13" t="s">
        <v>3188</v>
      </c>
      <c r="E13" s="13" t="s">
        <v>3189</v>
      </c>
      <c r="F13" s="13">
        <v>11</v>
      </c>
      <c r="G13" s="13">
        <v>0</v>
      </c>
      <c r="H13" s="13" t="s">
        <v>546</v>
      </c>
      <c r="I13" s="13" t="s">
        <v>3190</v>
      </c>
      <c r="J13" s="13" t="s">
        <v>3191</v>
      </c>
    </row>
    <row r="14" spans="1:10">
      <c r="A14" s="13"/>
      <c r="B14" s="13"/>
      <c r="C14" s="13"/>
      <c r="D14" s="13"/>
      <c r="E14" s="13"/>
      <c r="F14" s="13"/>
      <c r="G14" s="13"/>
      <c r="H14" s="13"/>
      <c r="I14" s="13"/>
      <c r="J14" s="13"/>
    </row>
    <row r="15" spans="1:10">
      <c r="A15" s="842" t="s">
        <v>936</v>
      </c>
      <c r="B15" s="839"/>
      <c r="C15" s="839"/>
      <c r="D15" s="85"/>
      <c r="E15" s="85"/>
      <c r="F15" s="85"/>
      <c r="G15" s="85"/>
      <c r="H15" s="85"/>
      <c r="I15" s="85"/>
      <c r="J15" s="85"/>
    </row>
    <row r="16" spans="1:10">
      <c r="A16" s="50" t="s">
        <v>275</v>
      </c>
      <c r="B16" s="50" t="s">
        <v>937</v>
      </c>
      <c r="C16" s="50" t="s">
        <v>938</v>
      </c>
      <c r="D16" s="50" t="s">
        <v>939</v>
      </c>
      <c r="E16" s="50" t="s">
        <v>940</v>
      </c>
      <c r="F16" s="50" t="s">
        <v>941</v>
      </c>
      <c r="G16" s="50" t="s">
        <v>942</v>
      </c>
      <c r="H16" s="50" t="s">
        <v>943</v>
      </c>
      <c r="I16" s="50" t="s">
        <v>899</v>
      </c>
      <c r="J16" s="50" t="s">
        <v>944</v>
      </c>
    </row>
    <row r="17" spans="1:10" ht="92.25" customHeight="1">
      <c r="A17" s="13" t="s">
        <v>3177</v>
      </c>
      <c r="B17" s="13" t="s">
        <v>677</v>
      </c>
      <c r="C17" s="13" t="s">
        <v>677</v>
      </c>
      <c r="D17" s="13" t="s">
        <v>677</v>
      </c>
      <c r="E17" s="13" t="s">
        <v>677</v>
      </c>
      <c r="F17" s="13" t="s">
        <v>677</v>
      </c>
      <c r="G17" s="13" t="s">
        <v>677</v>
      </c>
      <c r="H17" s="13" t="s">
        <v>677</v>
      </c>
      <c r="I17" s="13" t="s">
        <v>677</v>
      </c>
      <c r="J17" s="13" t="s">
        <v>3192</v>
      </c>
    </row>
    <row r="18" spans="1:10" ht="75.75" customHeight="1">
      <c r="A18" s="13" t="s">
        <v>699</v>
      </c>
      <c r="B18" s="13" t="s">
        <v>677</v>
      </c>
      <c r="C18" s="13" t="s">
        <v>677</v>
      </c>
      <c r="D18" s="13" t="s">
        <v>677</v>
      </c>
      <c r="E18" s="13" t="s">
        <v>677</v>
      </c>
      <c r="F18" s="13" t="s">
        <v>677</v>
      </c>
      <c r="G18" s="13" t="s">
        <v>677</v>
      </c>
      <c r="H18" s="13" t="s">
        <v>677</v>
      </c>
      <c r="I18" s="13" t="s">
        <v>677</v>
      </c>
      <c r="J18" s="13" t="s">
        <v>3193</v>
      </c>
    </row>
    <row r="19" spans="1:10" ht="82.5" customHeight="1">
      <c r="A19" s="13" t="s">
        <v>709</v>
      </c>
      <c r="B19" s="13" t="s">
        <v>677</v>
      </c>
      <c r="C19" s="13" t="s">
        <v>677</v>
      </c>
      <c r="D19" s="13" t="s">
        <v>677</v>
      </c>
      <c r="E19" s="13" t="s">
        <v>677</v>
      </c>
      <c r="F19" s="13" t="s">
        <v>677</v>
      </c>
      <c r="G19" s="13" t="s">
        <v>677</v>
      </c>
      <c r="H19" s="13" t="s">
        <v>677</v>
      </c>
      <c r="I19" s="13" t="s">
        <v>677</v>
      </c>
      <c r="J19" s="13" t="s">
        <v>3194</v>
      </c>
    </row>
    <row r="20" spans="1:10" ht="55.2">
      <c r="A20" s="13" t="s">
        <v>3187</v>
      </c>
      <c r="B20" s="13" t="s">
        <v>946</v>
      </c>
      <c r="C20" s="13" t="s">
        <v>946</v>
      </c>
      <c r="D20" s="13" t="s">
        <v>946</v>
      </c>
      <c r="E20" s="13" t="s">
        <v>677</v>
      </c>
      <c r="F20" s="13" t="s">
        <v>677</v>
      </c>
      <c r="G20" s="13" t="s">
        <v>677</v>
      </c>
      <c r="H20" s="13" t="s">
        <v>677</v>
      </c>
      <c r="I20" s="13" t="s">
        <v>677</v>
      </c>
      <c r="J20" s="13" t="s">
        <v>3195</v>
      </c>
    </row>
    <row r="21" spans="1:10">
      <c r="A21" s="13"/>
      <c r="B21" s="13"/>
      <c r="C21" s="13"/>
      <c r="D21" s="13"/>
      <c r="E21" s="13"/>
      <c r="F21" s="13"/>
      <c r="G21" s="13"/>
      <c r="H21" s="13"/>
      <c r="I21" s="13"/>
      <c r="J21" s="13"/>
    </row>
    <row r="22" spans="1:10">
      <c r="A22" s="842" t="s">
        <v>951</v>
      </c>
      <c r="B22" s="839"/>
      <c r="C22" s="839"/>
      <c r="D22" s="85"/>
      <c r="E22" s="85"/>
      <c r="F22" s="85"/>
      <c r="G22" s="85"/>
      <c r="H22" s="85"/>
      <c r="I22" s="85"/>
      <c r="J22" s="85"/>
    </row>
    <row r="23" spans="1:10">
      <c r="A23" s="50" t="s">
        <v>275</v>
      </c>
      <c r="B23" s="50" t="s">
        <v>952</v>
      </c>
      <c r="C23" s="50" t="s">
        <v>953</v>
      </c>
      <c r="D23" s="50" t="s">
        <v>954</v>
      </c>
      <c r="E23" s="50" t="s">
        <v>955</v>
      </c>
      <c r="F23" s="50" t="s">
        <v>956</v>
      </c>
      <c r="G23" s="50" t="s">
        <v>957</v>
      </c>
      <c r="H23" s="50" t="s">
        <v>958</v>
      </c>
      <c r="I23" s="50" t="s">
        <v>899</v>
      </c>
      <c r="J23" s="50" t="s">
        <v>959</v>
      </c>
    </row>
    <row r="24" spans="1:10" ht="95.25" customHeight="1">
      <c r="A24" s="13" t="s">
        <v>3177</v>
      </c>
      <c r="B24" s="13" t="s">
        <v>677</v>
      </c>
      <c r="C24" s="13" t="s">
        <v>677</v>
      </c>
      <c r="D24" s="13" t="s">
        <v>677</v>
      </c>
      <c r="E24" s="13" t="s">
        <v>677</v>
      </c>
      <c r="F24" s="13" t="s">
        <v>677</v>
      </c>
      <c r="G24" s="13" t="s">
        <v>677</v>
      </c>
      <c r="H24" s="13" t="s">
        <v>677</v>
      </c>
      <c r="I24" s="13" t="s">
        <v>677</v>
      </c>
      <c r="J24" s="13" t="s">
        <v>3196</v>
      </c>
    </row>
    <row r="25" spans="1:10" ht="69.75" customHeight="1">
      <c r="A25" s="13" t="s">
        <v>699</v>
      </c>
      <c r="B25" s="13" t="s">
        <v>677</v>
      </c>
      <c r="C25" s="13" t="s">
        <v>677</v>
      </c>
      <c r="D25" s="13" t="s">
        <v>677</v>
      </c>
      <c r="E25" s="13" t="s">
        <v>677</v>
      </c>
      <c r="F25" s="13" t="s">
        <v>677</v>
      </c>
      <c r="G25" s="13" t="s">
        <v>677</v>
      </c>
      <c r="H25" s="13" t="s">
        <v>677</v>
      </c>
      <c r="I25" s="13" t="s">
        <v>677</v>
      </c>
      <c r="J25" s="13" t="s">
        <v>3197</v>
      </c>
    </row>
    <row r="26" spans="1:10" ht="68.25" customHeight="1">
      <c r="A26" s="13" t="s">
        <v>709</v>
      </c>
      <c r="B26" s="13" t="s">
        <v>677</v>
      </c>
      <c r="C26" s="13" t="s">
        <v>677</v>
      </c>
      <c r="D26" s="13" t="s">
        <v>677</v>
      </c>
      <c r="E26" s="13" t="s">
        <v>677</v>
      </c>
      <c r="F26" s="13" t="s">
        <v>677</v>
      </c>
      <c r="G26" s="13" t="s">
        <v>677</v>
      </c>
      <c r="H26" s="13" t="s">
        <v>677</v>
      </c>
      <c r="I26" s="13" t="s">
        <v>677</v>
      </c>
      <c r="J26" s="13" t="s">
        <v>3198</v>
      </c>
    </row>
    <row r="27" spans="1:10" ht="55.2">
      <c r="A27" s="13" t="s">
        <v>3187</v>
      </c>
      <c r="B27" s="13" t="s">
        <v>677</v>
      </c>
      <c r="C27" s="13" t="s">
        <v>679</v>
      </c>
      <c r="D27" s="13" t="s">
        <v>677</v>
      </c>
      <c r="E27" s="13" t="s">
        <v>677</v>
      </c>
      <c r="F27" s="13" t="s">
        <v>677</v>
      </c>
      <c r="G27" s="13" t="s">
        <v>677</v>
      </c>
      <c r="H27" s="13" t="s">
        <v>677</v>
      </c>
      <c r="I27" s="13" t="s">
        <v>677</v>
      </c>
      <c r="J27" s="13" t="s">
        <v>3199</v>
      </c>
    </row>
    <row r="28" spans="1:10">
      <c r="A28" s="13"/>
      <c r="B28" s="13"/>
      <c r="C28" s="13"/>
      <c r="D28" s="13"/>
      <c r="E28" s="13"/>
      <c r="F28" s="13"/>
      <c r="G28" s="13"/>
      <c r="H28" s="13"/>
      <c r="I28" s="13"/>
      <c r="J28" s="13"/>
    </row>
    <row r="29" spans="1:10">
      <c r="A29" s="842" t="s">
        <v>964</v>
      </c>
      <c r="B29" s="839"/>
      <c r="C29" s="839"/>
      <c r="D29" s="85"/>
      <c r="E29" s="85"/>
      <c r="F29" s="85"/>
      <c r="G29" s="85"/>
      <c r="H29" s="85"/>
      <c r="I29" s="85"/>
      <c r="J29" s="85"/>
    </row>
    <row r="30" spans="1:10">
      <c r="A30" s="50" t="s">
        <v>275</v>
      </c>
      <c r="B30" s="50" t="s">
        <v>965</v>
      </c>
      <c r="C30" s="50" t="s">
        <v>966</v>
      </c>
      <c r="D30" s="50" t="s">
        <v>967</v>
      </c>
      <c r="E30" s="50" t="s">
        <v>968</v>
      </c>
      <c r="F30" s="50" t="s">
        <v>969</v>
      </c>
      <c r="G30" s="50" t="s">
        <v>970</v>
      </c>
      <c r="H30" s="50" t="s">
        <v>971</v>
      </c>
      <c r="I30" s="50" t="s">
        <v>899</v>
      </c>
      <c r="J30" s="50" t="s">
        <v>959</v>
      </c>
    </row>
    <row r="31" spans="1:10" ht="91.5" customHeight="1">
      <c r="A31" s="13" t="s">
        <v>3177</v>
      </c>
      <c r="B31" s="13" t="s">
        <v>1696</v>
      </c>
      <c r="C31" s="13" t="s">
        <v>677</v>
      </c>
      <c r="D31" s="13" t="s">
        <v>677</v>
      </c>
      <c r="E31" s="13" t="s">
        <v>677</v>
      </c>
      <c r="F31" s="13" t="s">
        <v>677</v>
      </c>
      <c r="G31" s="13" t="s">
        <v>677</v>
      </c>
      <c r="H31" s="13" t="s">
        <v>677</v>
      </c>
      <c r="I31" s="13" t="s">
        <v>677</v>
      </c>
      <c r="J31" s="13" t="s">
        <v>3200</v>
      </c>
    </row>
    <row r="32" spans="1:10" ht="67.5" customHeight="1">
      <c r="A32" s="13" t="s">
        <v>699</v>
      </c>
      <c r="B32" s="13" t="s">
        <v>972</v>
      </c>
      <c r="C32" s="13" t="s">
        <v>677</v>
      </c>
      <c r="D32" s="13" t="s">
        <v>677</v>
      </c>
      <c r="E32" s="13" t="s">
        <v>677</v>
      </c>
      <c r="F32" s="13" t="s">
        <v>677</v>
      </c>
      <c r="G32" s="13" t="s">
        <v>677</v>
      </c>
      <c r="H32" s="13" t="s">
        <v>677</v>
      </c>
      <c r="I32" s="13" t="s">
        <v>677</v>
      </c>
      <c r="J32" s="13" t="s">
        <v>3201</v>
      </c>
    </row>
    <row r="33" spans="1:10" ht="71.25" customHeight="1">
      <c r="A33" s="13" t="s">
        <v>709</v>
      </c>
      <c r="B33" s="13" t="s">
        <v>1589</v>
      </c>
      <c r="C33" s="13" t="s">
        <v>677</v>
      </c>
      <c r="D33" s="13" t="s">
        <v>677</v>
      </c>
      <c r="E33" s="13" t="s">
        <v>677</v>
      </c>
      <c r="F33" s="13" t="s">
        <v>677</v>
      </c>
      <c r="G33" s="13" t="s">
        <v>677</v>
      </c>
      <c r="H33" s="13" t="s">
        <v>677</v>
      </c>
      <c r="I33" s="13" t="s">
        <v>677</v>
      </c>
      <c r="J33" s="13" t="s">
        <v>3202</v>
      </c>
    </row>
    <row r="34" spans="1:10" ht="82.8">
      <c r="A34" s="13" t="s">
        <v>3187</v>
      </c>
      <c r="B34" s="13" t="s">
        <v>946</v>
      </c>
      <c r="C34" s="13" t="s">
        <v>677</v>
      </c>
      <c r="D34" s="13" t="s">
        <v>677</v>
      </c>
      <c r="E34" s="13" t="s">
        <v>677</v>
      </c>
      <c r="F34" s="13" t="s">
        <v>677</v>
      </c>
      <c r="G34" s="13" t="s">
        <v>677</v>
      </c>
      <c r="H34" s="13" t="s">
        <v>677</v>
      </c>
      <c r="I34" s="13" t="s">
        <v>677</v>
      </c>
      <c r="J34" s="13" t="s">
        <v>3203</v>
      </c>
    </row>
    <row r="35" spans="1:10">
      <c r="A35" s="13"/>
      <c r="B35" s="13"/>
      <c r="C35" s="13"/>
      <c r="D35" s="13"/>
      <c r="E35" s="13"/>
      <c r="F35" s="13"/>
      <c r="G35" s="13"/>
      <c r="H35" s="13"/>
      <c r="I35" s="13"/>
      <c r="J35" s="13"/>
    </row>
    <row r="36" spans="1:10">
      <c r="A36" s="842" t="s">
        <v>977</v>
      </c>
      <c r="B36" s="839"/>
      <c r="C36" s="839"/>
      <c r="D36" s="85"/>
      <c r="E36" s="85"/>
      <c r="F36" s="85"/>
      <c r="G36" s="85"/>
      <c r="H36" s="85"/>
      <c r="I36" s="85"/>
      <c r="J36" s="85"/>
    </row>
    <row r="37" spans="1:10">
      <c r="A37" s="50" t="s">
        <v>275</v>
      </c>
      <c r="B37" s="50" t="s">
        <v>978</v>
      </c>
      <c r="C37" s="50" t="s">
        <v>979</v>
      </c>
      <c r="D37" s="50" t="s">
        <v>980</v>
      </c>
      <c r="E37" s="50" t="s">
        <v>981</v>
      </c>
      <c r="F37" s="50" t="s">
        <v>982</v>
      </c>
      <c r="G37" s="50" t="s">
        <v>983</v>
      </c>
      <c r="H37" s="50" t="s">
        <v>984</v>
      </c>
      <c r="I37" s="50" t="s">
        <v>899</v>
      </c>
      <c r="J37" s="50" t="s">
        <v>11</v>
      </c>
    </row>
    <row r="38" spans="1:10" ht="96" customHeight="1">
      <c r="A38" s="13" t="s">
        <v>3177</v>
      </c>
      <c r="B38" s="13" t="s">
        <v>677</v>
      </c>
      <c r="C38" s="13" t="s">
        <v>985</v>
      </c>
      <c r="D38" s="13" t="s">
        <v>677</v>
      </c>
      <c r="E38" s="13" t="s">
        <v>677</v>
      </c>
      <c r="F38" s="13" t="s">
        <v>3204</v>
      </c>
      <c r="G38" s="13" t="s">
        <v>677</v>
      </c>
      <c r="H38" s="13" t="s">
        <v>677</v>
      </c>
      <c r="I38" s="13" t="s">
        <v>677</v>
      </c>
      <c r="J38" s="13" t="s">
        <v>3205</v>
      </c>
    </row>
    <row r="39" spans="1:10" ht="75.75" customHeight="1">
      <c r="A39" s="13" t="s">
        <v>699</v>
      </c>
      <c r="B39" s="13" t="s">
        <v>677</v>
      </c>
      <c r="C39" s="13" t="s">
        <v>985</v>
      </c>
      <c r="D39" s="13" t="s">
        <v>677</v>
      </c>
      <c r="E39" s="13" t="s">
        <v>677</v>
      </c>
      <c r="F39" s="13" t="s">
        <v>3206</v>
      </c>
      <c r="G39" s="13" t="s">
        <v>677</v>
      </c>
      <c r="H39" s="13" t="s">
        <v>677</v>
      </c>
      <c r="I39" s="13" t="s">
        <v>677</v>
      </c>
      <c r="J39" s="13" t="s">
        <v>3207</v>
      </c>
    </row>
    <row r="40" spans="1:10" ht="63" customHeight="1">
      <c r="A40" s="13" t="s">
        <v>709</v>
      </c>
      <c r="B40" s="13" t="s">
        <v>677</v>
      </c>
      <c r="C40" s="13" t="s">
        <v>985</v>
      </c>
      <c r="D40" s="13" t="s">
        <v>677</v>
      </c>
      <c r="E40" s="13" t="s">
        <v>677</v>
      </c>
      <c r="F40" s="13" t="s">
        <v>3208</v>
      </c>
      <c r="G40" s="13" t="s">
        <v>677</v>
      </c>
      <c r="H40" s="13" t="s">
        <v>677</v>
      </c>
      <c r="I40" s="13" t="s">
        <v>677</v>
      </c>
      <c r="J40" s="13" t="s">
        <v>3209</v>
      </c>
    </row>
    <row r="41" spans="1:10" ht="82.8">
      <c r="A41" s="13" t="s">
        <v>3187</v>
      </c>
      <c r="B41" s="13" t="s">
        <v>946</v>
      </c>
      <c r="C41" s="13" t="s">
        <v>3210</v>
      </c>
      <c r="D41" s="13" t="s">
        <v>946</v>
      </c>
      <c r="E41" s="13" t="s">
        <v>677</v>
      </c>
      <c r="F41" s="13" t="s">
        <v>3211</v>
      </c>
      <c r="G41" s="13" t="s">
        <v>677</v>
      </c>
      <c r="H41" s="13" t="s">
        <v>677</v>
      </c>
      <c r="I41" s="13" t="s">
        <v>677</v>
      </c>
      <c r="J41" s="13" t="s">
        <v>3212</v>
      </c>
    </row>
    <row r="42" spans="1:10">
      <c r="A42" s="13"/>
      <c r="B42" s="13"/>
      <c r="C42" s="13"/>
      <c r="D42" s="13"/>
      <c r="E42" s="13"/>
      <c r="F42" s="13"/>
      <c r="G42" s="13"/>
      <c r="H42" s="13"/>
      <c r="I42" s="13"/>
      <c r="J42" s="13"/>
    </row>
    <row r="43" spans="1:10">
      <c r="A43" s="842" t="s">
        <v>994</v>
      </c>
      <c r="B43" s="839"/>
      <c r="C43" s="839"/>
      <c r="D43" s="85"/>
      <c r="E43" s="85"/>
      <c r="F43" s="85"/>
      <c r="G43" s="85"/>
      <c r="H43" s="85"/>
      <c r="I43" s="85"/>
      <c r="J43" s="85"/>
    </row>
    <row r="44" spans="1:10">
      <c r="A44" s="50" t="s">
        <v>275</v>
      </c>
      <c r="B44" s="50" t="s">
        <v>995</v>
      </c>
      <c r="C44" s="50" t="s">
        <v>996</v>
      </c>
      <c r="D44" s="50" t="s">
        <v>997</v>
      </c>
      <c r="E44" s="50" t="s">
        <v>998</v>
      </c>
      <c r="F44" s="50" t="s">
        <v>999</v>
      </c>
      <c r="G44" s="50" t="s">
        <v>1000</v>
      </c>
      <c r="H44" s="50" t="s">
        <v>1001</v>
      </c>
      <c r="I44" s="50" t="s">
        <v>899</v>
      </c>
      <c r="J44" s="50" t="s">
        <v>11</v>
      </c>
    </row>
    <row r="45" spans="1:10" ht="75" customHeight="1">
      <c r="A45" s="13" t="s">
        <v>3177</v>
      </c>
      <c r="B45" s="13" t="s">
        <v>677</v>
      </c>
      <c r="C45" s="13" t="s">
        <v>677</v>
      </c>
      <c r="D45" s="13" t="s">
        <v>677</v>
      </c>
      <c r="E45" s="13" t="s">
        <v>677</v>
      </c>
      <c r="F45" s="13" t="s">
        <v>677</v>
      </c>
      <c r="G45" s="13" t="s">
        <v>677</v>
      </c>
      <c r="H45" s="13" t="s">
        <v>677</v>
      </c>
      <c r="I45" s="13" t="s">
        <v>677</v>
      </c>
      <c r="J45" s="13" t="s">
        <v>3213</v>
      </c>
    </row>
    <row r="46" spans="1:10" ht="79.2" customHeight="1">
      <c r="A46" s="13" t="s">
        <v>699</v>
      </c>
      <c r="B46" s="13" t="s">
        <v>677</v>
      </c>
      <c r="C46" s="13" t="s">
        <v>677</v>
      </c>
      <c r="D46" s="13" t="s">
        <v>677</v>
      </c>
      <c r="E46" s="13" t="s">
        <v>677</v>
      </c>
      <c r="F46" s="13" t="s">
        <v>677</v>
      </c>
      <c r="G46" s="13" t="s">
        <v>677</v>
      </c>
      <c r="H46" s="13" t="s">
        <v>677</v>
      </c>
      <c r="I46" s="13" t="s">
        <v>677</v>
      </c>
      <c r="J46" s="13" t="s">
        <v>3214</v>
      </c>
    </row>
    <row r="47" spans="1:10" ht="75.599999999999994" customHeight="1">
      <c r="A47" s="13" t="s">
        <v>709</v>
      </c>
      <c r="B47" s="13" t="s">
        <v>677</v>
      </c>
      <c r="C47" s="13" t="s">
        <v>677</v>
      </c>
      <c r="D47" s="13" t="s">
        <v>677</v>
      </c>
      <c r="E47" s="13" t="s">
        <v>677</v>
      </c>
      <c r="F47" s="13" t="s">
        <v>677</v>
      </c>
      <c r="G47" s="13" t="s">
        <v>677</v>
      </c>
      <c r="H47" s="13" t="s">
        <v>677</v>
      </c>
      <c r="I47" s="13" t="s">
        <v>677</v>
      </c>
      <c r="J47" s="13" t="s">
        <v>3215</v>
      </c>
    </row>
    <row r="48" spans="1:10" ht="69">
      <c r="A48" s="13" t="s">
        <v>3187</v>
      </c>
      <c r="B48" s="13" t="s">
        <v>946</v>
      </c>
      <c r="C48" s="13" t="s">
        <v>946</v>
      </c>
      <c r="D48" s="13" t="s">
        <v>946</v>
      </c>
      <c r="E48" s="13" t="s">
        <v>677</v>
      </c>
      <c r="F48" s="13" t="s">
        <v>677</v>
      </c>
      <c r="G48" s="13" t="s">
        <v>677</v>
      </c>
      <c r="H48" s="13" t="s">
        <v>677</v>
      </c>
      <c r="I48" s="13" t="s">
        <v>677</v>
      </c>
      <c r="J48" s="13" t="s">
        <v>3216</v>
      </c>
    </row>
    <row r="49" spans="1:10">
      <c r="A49" s="13"/>
      <c r="B49" s="13"/>
      <c r="C49" s="13"/>
      <c r="D49" s="13"/>
      <c r="E49" s="13"/>
      <c r="F49" s="13"/>
      <c r="G49" s="13"/>
      <c r="H49" s="13"/>
      <c r="I49" s="13"/>
      <c r="J49" s="13"/>
    </row>
    <row r="50" spans="1:10">
      <c r="A50" s="842" t="s">
        <v>1007</v>
      </c>
      <c r="B50" s="839"/>
      <c r="C50" s="839"/>
      <c r="D50" s="85"/>
      <c r="E50" s="85"/>
      <c r="F50" s="85"/>
      <c r="G50" s="85"/>
      <c r="H50" s="85"/>
      <c r="I50" s="85"/>
      <c r="J50" s="85"/>
    </row>
    <row r="51" spans="1:10">
      <c r="A51" s="50" t="s">
        <v>275</v>
      </c>
      <c r="B51" s="50" t="s">
        <v>1008</v>
      </c>
      <c r="C51" s="50" t="s">
        <v>1009</v>
      </c>
      <c r="D51" s="50" t="s">
        <v>1010</v>
      </c>
      <c r="E51" s="50" t="s">
        <v>1011</v>
      </c>
      <c r="F51" s="50" t="s">
        <v>1012</v>
      </c>
      <c r="G51" s="50" t="s">
        <v>1013</v>
      </c>
      <c r="H51" s="50" t="s">
        <v>1014</v>
      </c>
      <c r="I51" s="50" t="s">
        <v>899</v>
      </c>
      <c r="J51" s="50" t="s">
        <v>11</v>
      </c>
    </row>
    <row r="52" spans="1:10" ht="80.25" customHeight="1">
      <c r="A52" s="13" t="s">
        <v>3177</v>
      </c>
      <c r="B52" s="13" t="s">
        <v>677</v>
      </c>
      <c r="C52" s="13" t="s">
        <v>677</v>
      </c>
      <c r="D52" s="13" t="s">
        <v>677</v>
      </c>
      <c r="E52" s="13" t="s">
        <v>677</v>
      </c>
      <c r="F52" s="13" t="s">
        <v>677</v>
      </c>
      <c r="G52" s="13" t="s">
        <v>677</v>
      </c>
      <c r="H52" s="13" t="s">
        <v>677</v>
      </c>
      <c r="I52" s="13" t="s">
        <v>677</v>
      </c>
      <c r="J52" s="13" t="s">
        <v>3217</v>
      </c>
    </row>
    <row r="53" spans="1:10" ht="55.2" customHeight="1">
      <c r="A53" s="13" t="s">
        <v>699</v>
      </c>
      <c r="B53" s="13" t="s">
        <v>677</v>
      </c>
      <c r="C53" s="13" t="s">
        <v>677</v>
      </c>
      <c r="D53" s="13" t="s">
        <v>677</v>
      </c>
      <c r="E53" s="13" t="s">
        <v>677</v>
      </c>
      <c r="F53" s="13" t="s">
        <v>677</v>
      </c>
      <c r="G53" s="13" t="s">
        <v>677</v>
      </c>
      <c r="H53" s="13" t="s">
        <v>677</v>
      </c>
      <c r="I53" s="13" t="s">
        <v>677</v>
      </c>
      <c r="J53" s="13" t="s">
        <v>3218</v>
      </c>
    </row>
    <row r="54" spans="1:10" ht="66" customHeight="1">
      <c r="A54" s="13" t="s">
        <v>709</v>
      </c>
      <c r="B54" s="13" t="s">
        <v>677</v>
      </c>
      <c r="C54" s="13" t="s">
        <v>677</v>
      </c>
      <c r="D54" s="13" t="s">
        <v>677</v>
      </c>
      <c r="E54" s="13" t="s">
        <v>677</v>
      </c>
      <c r="F54" s="13" t="s">
        <v>677</v>
      </c>
      <c r="G54" s="13" t="s">
        <v>677</v>
      </c>
      <c r="H54" s="13" t="s">
        <v>677</v>
      </c>
      <c r="I54" s="13" t="s">
        <v>677</v>
      </c>
      <c r="J54" s="13" t="s">
        <v>3219</v>
      </c>
    </row>
    <row r="55" spans="1:10" ht="55.2">
      <c r="A55" s="13" t="s">
        <v>3187</v>
      </c>
      <c r="B55" s="13" t="s">
        <v>946</v>
      </c>
      <c r="C55" s="13" t="s">
        <v>946</v>
      </c>
      <c r="D55" s="13" t="s">
        <v>946</v>
      </c>
      <c r="E55" s="13" t="s">
        <v>946</v>
      </c>
      <c r="F55" s="13" t="s">
        <v>677</v>
      </c>
      <c r="G55" s="13" t="s">
        <v>677</v>
      </c>
      <c r="H55" s="13" t="s">
        <v>677</v>
      </c>
      <c r="I55" s="13" t="s">
        <v>677</v>
      </c>
      <c r="J55" s="13" t="s">
        <v>3220</v>
      </c>
    </row>
    <row r="56" spans="1:10">
      <c r="A56" s="13"/>
      <c r="B56" s="13"/>
      <c r="C56" s="13"/>
      <c r="D56" s="13"/>
      <c r="E56" s="13"/>
      <c r="F56" s="13"/>
      <c r="G56" s="13"/>
      <c r="H56" s="13"/>
      <c r="I56" s="13"/>
      <c r="J56" s="13"/>
    </row>
    <row r="57" spans="1:10">
      <c r="A57" s="842" t="s">
        <v>1019</v>
      </c>
      <c r="B57" s="839"/>
      <c r="C57" s="839"/>
      <c r="D57" s="85"/>
      <c r="E57" s="85"/>
      <c r="F57" s="85"/>
      <c r="G57" s="85"/>
      <c r="H57" s="85"/>
      <c r="I57" s="85"/>
      <c r="J57" s="85"/>
    </row>
    <row r="58" spans="1:10">
      <c r="A58" s="50" t="s">
        <v>213</v>
      </c>
      <c r="B58" s="50" t="s">
        <v>275</v>
      </c>
      <c r="C58" s="50" t="s">
        <v>573</v>
      </c>
      <c r="D58" s="50" t="s">
        <v>215</v>
      </c>
      <c r="E58" s="50" t="s">
        <v>257</v>
      </c>
      <c r="F58" s="50" t="s">
        <v>572</v>
      </c>
      <c r="G58" s="50" t="s">
        <v>259</v>
      </c>
      <c r="H58" s="50" t="s">
        <v>216</v>
      </c>
      <c r="I58" s="50" t="s">
        <v>77</v>
      </c>
      <c r="J58" s="50" t="s">
        <v>11</v>
      </c>
    </row>
    <row r="59" spans="1:10" ht="93" customHeight="1">
      <c r="A59" s="13" t="s">
        <v>3221</v>
      </c>
      <c r="B59" s="13" t="s">
        <v>575</v>
      </c>
      <c r="C59" s="13" t="s">
        <v>3222</v>
      </c>
      <c r="D59" s="13" t="s">
        <v>391</v>
      </c>
      <c r="E59" s="13" t="s">
        <v>488</v>
      </c>
      <c r="F59" s="13">
        <v>6</v>
      </c>
      <c r="G59" s="13" t="s">
        <v>1022</v>
      </c>
      <c r="H59" s="13" t="s">
        <v>1023</v>
      </c>
      <c r="I59" s="13" t="s">
        <v>502</v>
      </c>
      <c r="J59" s="13" t="s">
        <v>3223</v>
      </c>
    </row>
    <row r="60" spans="1:10" ht="100.5" customHeight="1">
      <c r="A60" s="13" t="s">
        <v>3224</v>
      </c>
      <c r="B60" s="13" t="s">
        <v>3225</v>
      </c>
      <c r="C60" s="13" t="s">
        <v>3226</v>
      </c>
      <c r="D60" s="13" t="s">
        <v>391</v>
      </c>
      <c r="E60" s="13" t="s">
        <v>488</v>
      </c>
      <c r="F60" s="13">
        <v>6</v>
      </c>
      <c r="G60" s="13" t="s">
        <v>3227</v>
      </c>
      <c r="H60" s="13" t="s">
        <v>1858</v>
      </c>
      <c r="I60" s="13" t="s">
        <v>502</v>
      </c>
      <c r="J60" s="13" t="s">
        <v>3228</v>
      </c>
    </row>
    <row r="61" spans="1:10" ht="108" customHeight="1">
      <c r="A61" s="13" t="s">
        <v>3229</v>
      </c>
      <c r="B61" s="13" t="s">
        <v>3187</v>
      </c>
      <c r="C61" s="13" t="s">
        <v>3230</v>
      </c>
      <c r="D61" s="13" t="s">
        <v>492</v>
      </c>
      <c r="E61" s="13" t="s">
        <v>488</v>
      </c>
      <c r="F61" s="13">
        <v>8</v>
      </c>
      <c r="G61" s="13" t="s">
        <v>3231</v>
      </c>
      <c r="H61" s="13" t="s">
        <v>595</v>
      </c>
      <c r="I61" s="13" t="s">
        <v>502</v>
      </c>
      <c r="J61" s="13" t="s">
        <v>3232</v>
      </c>
    </row>
    <row r="62" spans="1:10" ht="86.25" customHeight="1">
      <c r="A62" s="13" t="s">
        <v>3233</v>
      </c>
      <c r="B62" s="13" t="s">
        <v>1159</v>
      </c>
      <c r="C62" s="13" t="s">
        <v>3234</v>
      </c>
      <c r="D62" s="13" t="s">
        <v>492</v>
      </c>
      <c r="E62" s="13" t="s">
        <v>488</v>
      </c>
      <c r="F62" s="13">
        <v>8</v>
      </c>
      <c r="G62" s="13" t="s">
        <v>3235</v>
      </c>
      <c r="H62" s="13" t="s">
        <v>592</v>
      </c>
      <c r="I62" s="13" t="s">
        <v>502</v>
      </c>
      <c r="J62" s="13" t="s">
        <v>3236</v>
      </c>
    </row>
    <row r="63" spans="1:10" ht="96.75" customHeight="1">
      <c r="A63" s="13" t="s">
        <v>3237</v>
      </c>
      <c r="B63" s="13" t="s">
        <v>1159</v>
      </c>
      <c r="C63" s="13" t="s">
        <v>3238</v>
      </c>
      <c r="D63" s="13" t="s">
        <v>492</v>
      </c>
      <c r="E63" s="13" t="s">
        <v>488</v>
      </c>
      <c r="F63" s="13">
        <v>8</v>
      </c>
      <c r="G63" s="13" t="s">
        <v>3239</v>
      </c>
      <c r="H63" s="13" t="s">
        <v>1032</v>
      </c>
      <c r="I63" s="13" t="s">
        <v>502</v>
      </c>
      <c r="J63" s="13" t="s">
        <v>3240</v>
      </c>
    </row>
    <row r="64" spans="1:10" ht="95.25" customHeight="1">
      <c r="A64" s="13" t="s">
        <v>3241</v>
      </c>
      <c r="B64" s="13" t="s">
        <v>575</v>
      </c>
      <c r="C64" s="13" t="s">
        <v>3242</v>
      </c>
      <c r="D64" s="13" t="s">
        <v>391</v>
      </c>
      <c r="E64" s="13" t="s">
        <v>488</v>
      </c>
      <c r="F64" s="13">
        <v>6</v>
      </c>
      <c r="G64" s="13" t="s">
        <v>3243</v>
      </c>
      <c r="H64" s="13" t="s">
        <v>1037</v>
      </c>
      <c r="I64" s="13" t="s">
        <v>502</v>
      </c>
      <c r="J64" s="13" t="s">
        <v>3244</v>
      </c>
    </row>
    <row r="65" spans="1:10" ht="96.75" customHeight="1">
      <c r="A65" s="13" t="s">
        <v>3245</v>
      </c>
      <c r="B65" s="13" t="s">
        <v>575</v>
      </c>
      <c r="C65" s="13" t="s">
        <v>3246</v>
      </c>
      <c r="D65" s="13" t="s">
        <v>492</v>
      </c>
      <c r="E65" s="13" t="s">
        <v>488</v>
      </c>
      <c r="F65" s="13">
        <v>8</v>
      </c>
      <c r="G65" s="13" t="s">
        <v>1039</v>
      </c>
      <c r="H65" s="13" t="s">
        <v>584</v>
      </c>
      <c r="I65" s="13" t="s">
        <v>502</v>
      </c>
      <c r="J65" s="13" t="s">
        <v>3247</v>
      </c>
    </row>
    <row r="66" spans="1:10" ht="82.8">
      <c r="A66" s="13" t="s">
        <v>3248</v>
      </c>
      <c r="B66" s="13" t="s">
        <v>575</v>
      </c>
      <c r="C66" s="13" t="s">
        <v>1047</v>
      </c>
      <c r="D66" s="13" t="s">
        <v>391</v>
      </c>
      <c r="E66" s="13" t="s">
        <v>488</v>
      </c>
      <c r="F66" s="13">
        <v>6</v>
      </c>
      <c r="G66" s="13" t="s">
        <v>1048</v>
      </c>
      <c r="H66" s="13" t="s">
        <v>1049</v>
      </c>
      <c r="I66" s="13" t="s">
        <v>502</v>
      </c>
      <c r="J66" s="13" t="s">
        <v>3249</v>
      </c>
    </row>
    <row r="67" spans="1:10">
      <c r="A67" s="13"/>
      <c r="B67" s="13"/>
      <c r="C67" s="13"/>
      <c r="D67" s="13"/>
      <c r="E67" s="13"/>
      <c r="F67" s="13"/>
      <c r="G67" s="13"/>
      <c r="H67" s="13"/>
      <c r="I67" s="13"/>
      <c r="J67" s="13"/>
    </row>
    <row r="68" spans="1:10">
      <c r="A68" s="842" t="s">
        <v>1051</v>
      </c>
      <c r="B68" s="839"/>
      <c r="C68" s="839"/>
      <c r="D68" s="85"/>
      <c r="E68" s="85"/>
      <c r="F68" s="85"/>
      <c r="G68" s="85"/>
      <c r="H68" s="85"/>
      <c r="I68" s="85"/>
      <c r="J68" s="85"/>
    </row>
    <row r="69" spans="1:10">
      <c r="A69" s="50" t="s">
        <v>221</v>
      </c>
      <c r="B69" s="50" t="s">
        <v>222</v>
      </c>
      <c r="C69" s="50" t="s">
        <v>265</v>
      </c>
      <c r="D69" s="50" t="s">
        <v>77</v>
      </c>
      <c r="E69" s="50" t="s">
        <v>878</v>
      </c>
      <c r="F69" s="50" t="s">
        <v>879</v>
      </c>
      <c r="G69" s="50" t="s">
        <v>880</v>
      </c>
      <c r="H69" s="50" t="s">
        <v>494</v>
      </c>
      <c r="I69" s="50" t="s">
        <v>881</v>
      </c>
      <c r="J69" s="50" t="s">
        <v>11</v>
      </c>
    </row>
    <row r="70" spans="1:10" ht="111.75" customHeight="1">
      <c r="A70" s="13" t="s">
        <v>3250</v>
      </c>
      <c r="B70" s="13" t="s">
        <v>3251</v>
      </c>
      <c r="C70" s="13" t="s">
        <v>579</v>
      </c>
      <c r="D70" s="13" t="s">
        <v>502</v>
      </c>
      <c r="E70" s="13"/>
      <c r="F70" s="13"/>
      <c r="G70" s="13" t="s">
        <v>580</v>
      </c>
      <c r="H70" s="13"/>
      <c r="I70" s="13"/>
      <c r="J70" s="13"/>
    </row>
    <row r="71" spans="1:10" ht="80.25" customHeight="1">
      <c r="A71" s="13" t="s">
        <v>3252</v>
      </c>
      <c r="B71" s="13" t="s">
        <v>3253</v>
      </c>
      <c r="C71" s="13" t="s">
        <v>587</v>
      </c>
      <c r="D71" s="13" t="s">
        <v>502</v>
      </c>
      <c r="E71" s="13"/>
      <c r="F71" s="13"/>
      <c r="G71" s="13" t="s">
        <v>3254</v>
      </c>
      <c r="H71" s="13"/>
      <c r="I71" s="13"/>
      <c r="J71" s="13"/>
    </row>
    <row r="72" spans="1:10" ht="97.5" customHeight="1">
      <c r="A72" s="13" t="s">
        <v>3255</v>
      </c>
      <c r="B72" s="13" t="s">
        <v>3256</v>
      </c>
      <c r="C72" s="13" t="s">
        <v>616</v>
      </c>
      <c r="D72" s="13" t="s">
        <v>502</v>
      </c>
      <c r="E72" s="13"/>
      <c r="F72" s="13"/>
      <c r="G72" s="13" t="s">
        <v>3257</v>
      </c>
      <c r="H72" s="13"/>
      <c r="I72" s="13"/>
      <c r="J72" s="13"/>
    </row>
    <row r="73" spans="1:10" ht="102.75" customHeight="1">
      <c r="A73" s="13" t="s">
        <v>3258</v>
      </c>
      <c r="B73" s="13" t="s">
        <v>3259</v>
      </c>
      <c r="C73" s="13" t="s">
        <v>601</v>
      </c>
      <c r="D73" s="13" t="s">
        <v>502</v>
      </c>
      <c r="E73" s="13"/>
      <c r="F73" s="13"/>
      <c r="G73" s="13" t="s">
        <v>602</v>
      </c>
      <c r="H73" s="13"/>
      <c r="I73" s="13"/>
      <c r="J73" s="13"/>
    </row>
    <row r="74" spans="1:10" ht="84.75" customHeight="1">
      <c r="A74" s="13" t="s">
        <v>3260</v>
      </c>
      <c r="B74" s="13" t="s">
        <v>3261</v>
      </c>
      <c r="C74" s="13" t="s">
        <v>609</v>
      </c>
      <c r="D74" s="13" t="s">
        <v>502</v>
      </c>
      <c r="E74" s="13"/>
      <c r="F74" s="13"/>
      <c r="G74" s="13" t="s">
        <v>610</v>
      </c>
      <c r="H74" s="13"/>
      <c r="I74" s="13"/>
      <c r="J74" s="13"/>
    </row>
    <row r="75" spans="1:10" ht="109.5" customHeight="1">
      <c r="A75" s="13" t="s">
        <v>3262</v>
      </c>
      <c r="B75" s="13" t="s">
        <v>3263</v>
      </c>
      <c r="C75" s="13" t="s">
        <v>616</v>
      </c>
      <c r="D75" s="13" t="s">
        <v>502</v>
      </c>
      <c r="E75" s="13"/>
      <c r="F75" s="13"/>
      <c r="G75" s="13" t="s">
        <v>617</v>
      </c>
      <c r="H75" s="13"/>
      <c r="I75" s="13"/>
      <c r="J75" s="13"/>
    </row>
    <row r="76" spans="1:10" ht="119.25" customHeight="1">
      <c r="A76" s="13" t="s">
        <v>3264</v>
      </c>
      <c r="B76" s="13" t="s">
        <v>3265</v>
      </c>
      <c r="C76" s="13" t="s">
        <v>622</v>
      </c>
      <c r="D76" s="13" t="s">
        <v>502</v>
      </c>
      <c r="E76" s="13"/>
      <c r="F76" s="13"/>
      <c r="G76" s="13" t="s">
        <v>623</v>
      </c>
      <c r="H76" s="13"/>
      <c r="I76" s="13"/>
      <c r="J76" s="13"/>
    </row>
    <row r="77" spans="1:10" ht="109.5" customHeight="1">
      <c r="A77" s="13" t="s">
        <v>3266</v>
      </c>
      <c r="B77" s="13" t="s">
        <v>3267</v>
      </c>
      <c r="C77" s="13" t="s">
        <v>630</v>
      </c>
      <c r="D77" s="13" t="s">
        <v>502</v>
      </c>
      <c r="E77" s="13"/>
      <c r="F77" s="13"/>
      <c r="G77" s="13" t="s">
        <v>631</v>
      </c>
      <c r="H77" s="13"/>
      <c r="I77" s="13"/>
      <c r="J77" s="13"/>
    </row>
    <row r="78" spans="1:10" ht="35.25" customHeight="1">
      <c r="A78" s="13" t="s">
        <v>5767</v>
      </c>
      <c r="B78" s="13" t="s">
        <v>5768</v>
      </c>
      <c r="C78" s="13" t="s">
        <v>630</v>
      </c>
      <c r="D78" s="13" t="s">
        <v>502</v>
      </c>
      <c r="E78" s="13"/>
      <c r="F78" s="13"/>
      <c r="G78" s="13" t="s">
        <v>631</v>
      </c>
      <c r="H78" s="13"/>
      <c r="I78" s="13"/>
      <c r="J78" s="13"/>
    </row>
    <row r="79" spans="1:10">
      <c r="A79" s="842" t="s">
        <v>1052</v>
      </c>
      <c r="B79" s="839"/>
      <c r="C79" s="839"/>
      <c r="D79" s="85"/>
      <c r="E79" s="85"/>
      <c r="F79" s="85"/>
      <c r="G79" s="85"/>
      <c r="H79" s="85"/>
      <c r="I79" s="85"/>
      <c r="J79" s="85"/>
    </row>
    <row r="80" spans="1:10">
      <c r="A80" s="50" t="s">
        <v>291</v>
      </c>
      <c r="B80" s="50" t="s">
        <v>275</v>
      </c>
      <c r="C80" s="50" t="s">
        <v>493</v>
      </c>
      <c r="D80" s="50" t="s">
        <v>214</v>
      </c>
      <c r="E80" s="50" t="s">
        <v>263</v>
      </c>
      <c r="F80" s="50" t="s">
        <v>891</v>
      </c>
      <c r="G80" s="50" t="s">
        <v>892</v>
      </c>
      <c r="H80" s="50" t="s">
        <v>893</v>
      </c>
      <c r="I80" s="50" t="s">
        <v>77</v>
      </c>
      <c r="J80" s="50" t="s">
        <v>11</v>
      </c>
    </row>
    <row r="81" spans="1:10" ht="104.25" customHeight="1">
      <c r="A81" s="13" t="s">
        <v>3268</v>
      </c>
      <c r="B81" s="13" t="s">
        <v>3177</v>
      </c>
      <c r="C81" s="13" t="s">
        <v>269</v>
      </c>
      <c r="D81" s="13" t="s">
        <v>3269</v>
      </c>
      <c r="E81" s="13"/>
      <c r="F81" s="13" t="s">
        <v>229</v>
      </c>
      <c r="G81" s="13"/>
      <c r="H81" s="13" t="s">
        <v>3270</v>
      </c>
      <c r="I81" s="13" t="s">
        <v>502</v>
      </c>
      <c r="J81" s="13"/>
    </row>
    <row r="82" spans="1:10" ht="109.5" customHeight="1">
      <c r="A82" s="13" t="s">
        <v>3271</v>
      </c>
      <c r="B82" s="13" t="s">
        <v>699</v>
      </c>
      <c r="C82" s="13" t="s">
        <v>269</v>
      </c>
      <c r="D82" s="13" t="s">
        <v>3272</v>
      </c>
      <c r="E82" s="13"/>
      <c r="F82" s="13" t="s">
        <v>229</v>
      </c>
      <c r="G82" s="13"/>
      <c r="H82" s="13" t="s">
        <v>3273</v>
      </c>
      <c r="I82" s="13" t="s">
        <v>502</v>
      </c>
      <c r="J82" s="13"/>
    </row>
    <row r="83" spans="1:10" ht="117.75" customHeight="1">
      <c r="A83" s="13" t="s">
        <v>3274</v>
      </c>
      <c r="B83" s="13" t="s">
        <v>709</v>
      </c>
      <c r="C83" s="13" t="s">
        <v>269</v>
      </c>
      <c r="D83" s="13" t="s">
        <v>3275</v>
      </c>
      <c r="E83" s="13"/>
      <c r="F83" s="13" t="s">
        <v>229</v>
      </c>
      <c r="G83" s="13"/>
      <c r="H83" s="13" t="s">
        <v>3273</v>
      </c>
      <c r="I83" s="13" t="s">
        <v>502</v>
      </c>
      <c r="J83" s="13"/>
    </row>
    <row r="84" spans="1:10" ht="126.75" customHeight="1">
      <c r="A84" s="13" t="s">
        <v>3276</v>
      </c>
      <c r="B84" s="13" t="s">
        <v>3187</v>
      </c>
      <c r="C84" s="13" t="s">
        <v>1058</v>
      </c>
      <c r="D84" s="13" t="s">
        <v>3277</v>
      </c>
      <c r="E84" s="13"/>
      <c r="F84" s="13" t="s">
        <v>229</v>
      </c>
      <c r="G84" s="13"/>
      <c r="H84" s="13" t="s">
        <v>3278</v>
      </c>
      <c r="I84" s="13" t="s">
        <v>502</v>
      </c>
      <c r="J84" s="13"/>
    </row>
    <row r="85" spans="1:10" ht="117" customHeight="1">
      <c r="A85" s="13" t="s">
        <v>3279</v>
      </c>
      <c r="B85" s="13" t="s">
        <v>1159</v>
      </c>
      <c r="C85" s="13" t="s">
        <v>148</v>
      </c>
      <c r="D85" s="13" t="s">
        <v>3280</v>
      </c>
      <c r="E85" s="13"/>
      <c r="F85" s="13" t="s">
        <v>229</v>
      </c>
      <c r="G85" s="13"/>
      <c r="H85" s="13" t="s">
        <v>3233</v>
      </c>
      <c r="I85" s="13" t="s">
        <v>502</v>
      </c>
      <c r="J85" s="13"/>
    </row>
    <row r="86" spans="1:10" ht="106.5" customHeight="1">
      <c r="A86" s="13" t="s">
        <v>3281</v>
      </c>
      <c r="B86" s="13" t="s">
        <v>1159</v>
      </c>
      <c r="C86" s="13" t="s">
        <v>153</v>
      </c>
      <c r="D86" s="13" t="s">
        <v>3282</v>
      </c>
      <c r="E86" s="13"/>
      <c r="F86" s="13" t="s">
        <v>229</v>
      </c>
      <c r="G86" s="13"/>
      <c r="H86" s="13" t="s">
        <v>3237</v>
      </c>
      <c r="I86" s="13" t="s">
        <v>502</v>
      </c>
      <c r="J86" s="13"/>
    </row>
    <row r="87" spans="1:10" ht="110.25" customHeight="1">
      <c r="A87" s="13" t="s">
        <v>3283</v>
      </c>
      <c r="B87" s="13" t="s">
        <v>575</v>
      </c>
      <c r="C87" s="13" t="s">
        <v>1072</v>
      </c>
      <c r="D87" s="13" t="s">
        <v>3284</v>
      </c>
      <c r="E87" s="13"/>
      <c r="F87" s="13" t="s">
        <v>229</v>
      </c>
      <c r="G87" s="13"/>
      <c r="H87" s="13" t="s">
        <v>3241</v>
      </c>
      <c r="I87" s="13" t="s">
        <v>502</v>
      </c>
      <c r="J87" s="13"/>
    </row>
    <row r="88" spans="1:10" ht="82.8">
      <c r="A88" s="13" t="s">
        <v>3285</v>
      </c>
      <c r="B88" s="13" t="s">
        <v>575</v>
      </c>
      <c r="C88" s="13" t="s">
        <v>1076</v>
      </c>
      <c r="D88" s="13" t="s">
        <v>3286</v>
      </c>
      <c r="E88" s="13"/>
      <c r="F88" s="13" t="s">
        <v>229</v>
      </c>
      <c r="G88" s="13"/>
      <c r="H88" s="13" t="s">
        <v>3287</v>
      </c>
      <c r="I88" s="13" t="s">
        <v>502</v>
      </c>
      <c r="J88" s="13"/>
    </row>
    <row r="89" spans="1:10">
      <c r="A89" s="13"/>
      <c r="B89" s="13"/>
      <c r="C89" s="13"/>
      <c r="D89" s="13"/>
      <c r="E89" s="13"/>
      <c r="F89" s="13"/>
      <c r="G89" s="13"/>
      <c r="H89" s="13"/>
      <c r="I89" s="13"/>
      <c r="J89" s="13"/>
    </row>
    <row r="90" spans="1:10">
      <c r="A90" s="842" t="s">
        <v>1079</v>
      </c>
      <c r="B90" s="839"/>
      <c r="C90" s="839"/>
      <c r="D90" s="85"/>
      <c r="E90" s="85"/>
      <c r="F90" s="85"/>
      <c r="G90" s="85"/>
      <c r="H90" s="85"/>
      <c r="I90" s="85"/>
      <c r="J90" s="85"/>
    </row>
    <row r="91" spans="1:10">
      <c r="A91" s="50" t="s">
        <v>275</v>
      </c>
      <c r="B91" s="50" t="s">
        <v>895</v>
      </c>
      <c r="C91" s="50" t="s">
        <v>896</v>
      </c>
      <c r="D91" s="50" t="s">
        <v>148</v>
      </c>
      <c r="E91" s="50" t="s">
        <v>153</v>
      </c>
      <c r="F91" s="50" t="s">
        <v>155</v>
      </c>
      <c r="G91" s="50" t="s">
        <v>491</v>
      </c>
      <c r="H91" s="50" t="s">
        <v>897</v>
      </c>
      <c r="I91" s="50" t="s">
        <v>174</v>
      </c>
      <c r="J91" s="50" t="s">
        <v>11</v>
      </c>
    </row>
    <row r="92" spans="1:10" ht="63.75" customHeight="1">
      <c r="A92" s="13" t="s">
        <v>3177</v>
      </c>
      <c r="B92" s="126">
        <v>0.5</v>
      </c>
      <c r="C92" s="126">
        <v>0.5</v>
      </c>
      <c r="D92" s="126">
        <v>0.5</v>
      </c>
      <c r="E92" s="126">
        <v>0.5</v>
      </c>
      <c r="F92" s="126">
        <v>0.5</v>
      </c>
      <c r="G92" s="13" t="s">
        <v>677</v>
      </c>
      <c r="H92" s="126">
        <v>0.5</v>
      </c>
      <c r="I92" s="13" t="s">
        <v>1201</v>
      </c>
      <c r="J92" s="13" t="s">
        <v>3288</v>
      </c>
    </row>
    <row r="93" spans="1:10" ht="62.25" customHeight="1">
      <c r="A93" s="13" t="s">
        <v>699</v>
      </c>
      <c r="B93" s="126">
        <v>0.5</v>
      </c>
      <c r="C93" s="126">
        <v>0.5</v>
      </c>
      <c r="D93" s="126">
        <v>0.5</v>
      </c>
      <c r="E93" s="126">
        <v>0.5</v>
      </c>
      <c r="F93" s="126">
        <v>0.5</v>
      </c>
      <c r="G93" s="13" t="s">
        <v>677</v>
      </c>
      <c r="H93" s="126">
        <v>0.5</v>
      </c>
      <c r="I93" s="13" t="s">
        <v>1201</v>
      </c>
      <c r="J93" s="13" t="s">
        <v>3289</v>
      </c>
    </row>
    <row r="94" spans="1:10" ht="75.75" customHeight="1">
      <c r="A94" s="13" t="s">
        <v>709</v>
      </c>
      <c r="B94" s="126">
        <v>0.5</v>
      </c>
      <c r="C94" s="126">
        <v>0.5</v>
      </c>
      <c r="D94" s="126">
        <v>0.5</v>
      </c>
      <c r="E94" s="126">
        <v>0.5</v>
      </c>
      <c r="F94" s="126">
        <v>0.5</v>
      </c>
      <c r="G94" s="13" t="s">
        <v>677</v>
      </c>
      <c r="H94" s="126">
        <v>0.5</v>
      </c>
      <c r="I94" s="13" t="s">
        <v>1201</v>
      </c>
      <c r="J94" s="13" t="s">
        <v>3290</v>
      </c>
    </row>
    <row r="95" spans="1:10" ht="41.4">
      <c r="A95" s="13" t="s">
        <v>3187</v>
      </c>
      <c r="B95" s="126">
        <v>0.5</v>
      </c>
      <c r="C95" s="126">
        <v>0.5</v>
      </c>
      <c r="D95" s="126">
        <v>0.5</v>
      </c>
      <c r="E95" s="126">
        <v>0.5</v>
      </c>
      <c r="F95" s="126">
        <v>0.5</v>
      </c>
      <c r="G95" s="13" t="s">
        <v>677</v>
      </c>
      <c r="H95" s="126">
        <v>0.5</v>
      </c>
      <c r="I95" s="13" t="s">
        <v>1201</v>
      </c>
      <c r="J95" s="13" t="s">
        <v>3291</v>
      </c>
    </row>
    <row r="96" spans="1:10" ht="15" thickBot="1">
      <c r="A96" s="13"/>
      <c r="B96" s="13"/>
      <c r="C96" s="13"/>
      <c r="D96" s="13"/>
      <c r="E96" s="13"/>
      <c r="F96" s="13"/>
      <c r="G96" s="13"/>
      <c r="H96" s="13"/>
      <c r="I96" s="13"/>
      <c r="J96" s="13"/>
    </row>
    <row r="97" spans="1:10" ht="15" customHeight="1">
      <c r="A97" s="855" t="s">
        <v>5875</v>
      </c>
      <c r="B97" s="856"/>
      <c r="C97" s="856"/>
      <c r="D97" s="857"/>
      <c r="E97" s="856"/>
      <c r="F97" s="856"/>
      <c r="G97" s="857"/>
      <c r="H97" s="857"/>
      <c r="I97" s="857"/>
      <c r="J97" s="858"/>
    </row>
    <row r="98" spans="1:10" ht="30" customHeight="1">
      <c r="A98" s="325" t="s">
        <v>5817</v>
      </c>
      <c r="B98" s="326" t="s">
        <v>77</v>
      </c>
      <c r="C98" s="326" t="s">
        <v>5818</v>
      </c>
      <c r="D98" s="326" t="s">
        <v>5819</v>
      </c>
      <c r="E98" s="326" t="s">
        <v>5841</v>
      </c>
      <c r="F98" s="326" t="s">
        <v>5808</v>
      </c>
      <c r="G98" s="859" t="s">
        <v>5842</v>
      </c>
      <c r="H98" s="859"/>
      <c r="I98" s="859"/>
      <c r="J98" s="860"/>
    </row>
    <row r="99" spans="1:10" ht="25.5" customHeight="1">
      <c r="A99" s="327" t="s">
        <v>5820</v>
      </c>
      <c r="B99" s="336" t="s">
        <v>484</v>
      </c>
      <c r="C99" s="329">
        <v>0</v>
      </c>
      <c r="D99" s="329">
        <v>0</v>
      </c>
      <c r="E99" s="196" t="s">
        <v>5881</v>
      </c>
      <c r="F99" s="329">
        <f>IF(AND(C99&lt;&gt;"",D99&lt;&gt;""),D99-C99,"")</f>
        <v>0</v>
      </c>
      <c r="G99" s="861"/>
      <c r="H99" s="861"/>
      <c r="I99" s="861"/>
      <c r="J99" s="862"/>
    </row>
    <row r="100" spans="1:10" ht="25.5" customHeight="1">
      <c r="A100" s="330" t="s">
        <v>5821</v>
      </c>
      <c r="B100" s="336" t="s">
        <v>484</v>
      </c>
      <c r="C100" s="329">
        <v>0</v>
      </c>
      <c r="D100" s="329">
        <v>0</v>
      </c>
      <c r="E100" s="314" t="s">
        <v>5882</v>
      </c>
      <c r="F100" s="331">
        <f>IF(AND(C100&lt;&gt;"",D100&lt;&gt;""),D100-C100,"")</f>
        <v>0</v>
      </c>
      <c r="G100" s="863"/>
      <c r="H100" s="863"/>
      <c r="I100" s="863"/>
      <c r="J100" s="864"/>
    </row>
    <row r="101" spans="1:10" ht="15" customHeight="1">
      <c r="A101" s="327" t="s">
        <v>5822</v>
      </c>
      <c r="B101" s="336" t="s">
        <v>484</v>
      </c>
      <c r="C101" s="329">
        <v>0</v>
      </c>
      <c r="D101" s="329">
        <v>0</v>
      </c>
      <c r="E101" s="314" t="s">
        <v>5882</v>
      </c>
      <c r="F101" s="329">
        <f>IF(AND(C101&lt;&gt;"",D101&lt;&gt;""),D101-C101,"")</f>
        <v>0</v>
      </c>
      <c r="G101" s="332"/>
      <c r="H101" s="231"/>
      <c r="I101" s="231"/>
      <c r="J101" s="333"/>
    </row>
    <row r="102" spans="1:10" ht="15" customHeight="1">
      <c r="A102" s="330" t="s">
        <v>5823</v>
      </c>
      <c r="B102" s="336" t="s">
        <v>484</v>
      </c>
      <c r="C102" s="329">
        <v>0</v>
      </c>
      <c r="D102" s="329">
        <v>0</v>
      </c>
      <c r="E102" s="314" t="s">
        <v>5882</v>
      </c>
      <c r="F102" s="331">
        <f>IF(AND(C102&lt;&gt;"",D102&lt;&gt;""),D102-C102,"")</f>
        <v>0</v>
      </c>
      <c r="G102" s="863"/>
      <c r="H102" s="863"/>
      <c r="I102" s="863"/>
      <c r="J102" s="864"/>
    </row>
    <row r="103" spans="1:10" ht="15" customHeight="1">
      <c r="A103" s="327" t="s">
        <v>5168</v>
      </c>
      <c r="B103" s="336" t="s">
        <v>484</v>
      </c>
      <c r="C103" s="329">
        <v>0</v>
      </c>
      <c r="D103" s="329">
        <v>0</v>
      </c>
      <c r="E103" s="314" t="s">
        <v>5882</v>
      </c>
      <c r="F103" s="329">
        <f>IF(AND(C103&lt;&gt;"",D103&lt;&gt;""),D103-C103,"")</f>
        <v>0</v>
      </c>
      <c r="G103" s="332"/>
      <c r="H103" s="231"/>
      <c r="I103" s="231"/>
      <c r="J103" s="333"/>
    </row>
    <row r="104" spans="1:10" ht="15.75" customHeight="1">
      <c r="A104" s="865" t="s">
        <v>5843</v>
      </c>
      <c r="B104" s="713"/>
      <c r="C104" s="334">
        <f>IFERROR(AVERAGE(C99:C103),"")</f>
        <v>0</v>
      </c>
      <c r="D104" s="334">
        <f>IFERROR(AVERAGE(D99:D103),"")</f>
        <v>0</v>
      </c>
      <c r="E104" s="866" t="s">
        <v>5844</v>
      </c>
      <c r="F104" s="866"/>
      <c r="G104" s="866"/>
      <c r="H104" s="866"/>
      <c r="I104" s="866"/>
      <c r="J104" s="867"/>
    </row>
    <row r="105" spans="1:10" ht="20.25" customHeight="1">
      <c r="A105" s="335"/>
      <c r="B105" s="320"/>
      <c r="C105" s="320"/>
      <c r="D105" s="320"/>
      <c r="E105" s="320"/>
      <c r="F105" s="320"/>
      <c r="G105" s="320"/>
      <c r="H105" s="231"/>
      <c r="I105" s="231"/>
      <c r="J105" s="333"/>
    </row>
    <row r="106" spans="1:10">
      <c r="A106" s="876" t="s">
        <v>5876</v>
      </c>
      <c r="B106" s="853"/>
      <c r="C106" s="853"/>
      <c r="D106" s="842"/>
      <c r="E106" s="853"/>
      <c r="F106" s="853"/>
      <c r="G106" s="842"/>
      <c r="H106" s="842"/>
      <c r="I106" s="842"/>
      <c r="J106" s="868"/>
    </row>
    <row r="107" spans="1:10">
      <c r="A107" s="325" t="s">
        <v>4946</v>
      </c>
      <c r="B107" s="326" t="s">
        <v>77</v>
      </c>
      <c r="C107" s="326" t="s">
        <v>273</v>
      </c>
      <c r="D107" s="326" t="s">
        <v>482</v>
      </c>
      <c r="E107" s="326" t="s">
        <v>572</v>
      </c>
      <c r="F107" s="326" t="s">
        <v>5846</v>
      </c>
      <c r="G107" s="859" t="s">
        <v>5847</v>
      </c>
      <c r="H107" s="859"/>
      <c r="I107" s="859"/>
      <c r="J107" s="860"/>
    </row>
    <row r="108" spans="1:10" ht="31.5" customHeight="1">
      <c r="A108" s="330" t="s">
        <v>5809</v>
      </c>
      <c r="B108" s="336" t="s">
        <v>484</v>
      </c>
      <c r="C108" s="336" t="s">
        <v>1096</v>
      </c>
      <c r="D108" s="328" t="s">
        <v>1096</v>
      </c>
      <c r="E108" s="336">
        <f>IF(D108="Yes",1,0)</f>
        <v>0</v>
      </c>
      <c r="F108" s="877"/>
      <c r="G108" s="877"/>
      <c r="H108" s="877"/>
      <c r="I108" s="877"/>
      <c r="J108" s="878"/>
    </row>
    <row r="109" spans="1:10" ht="20.25" customHeight="1">
      <c r="A109" s="327" t="s">
        <v>995</v>
      </c>
      <c r="B109" s="336" t="s">
        <v>484</v>
      </c>
      <c r="C109" s="336" t="s">
        <v>1096</v>
      </c>
      <c r="D109" s="328" t="s">
        <v>1096</v>
      </c>
      <c r="E109" s="328">
        <f t="shared" ref="E109:E115" si="0">IF(D109="Yes",1,0)</f>
        <v>0</v>
      </c>
      <c r="F109" s="877"/>
      <c r="G109" s="877"/>
      <c r="H109" s="877"/>
      <c r="I109" s="877"/>
      <c r="J109" s="878"/>
    </row>
    <row r="110" spans="1:10" ht="24.75" customHeight="1">
      <c r="A110" s="330" t="s">
        <v>5810</v>
      </c>
      <c r="B110" s="336" t="s">
        <v>484</v>
      </c>
      <c r="C110" s="336" t="s">
        <v>1096</v>
      </c>
      <c r="D110" s="328" t="s">
        <v>1096</v>
      </c>
      <c r="E110" s="336">
        <f t="shared" si="0"/>
        <v>0</v>
      </c>
      <c r="F110" s="877"/>
      <c r="G110" s="877"/>
      <c r="H110" s="877"/>
      <c r="I110" s="877"/>
      <c r="J110" s="878"/>
    </row>
    <row r="111" spans="1:10">
      <c r="A111" s="327" t="s">
        <v>5824</v>
      </c>
      <c r="B111" s="336" t="s">
        <v>484</v>
      </c>
      <c r="C111" s="336" t="s">
        <v>1096</v>
      </c>
      <c r="D111" s="328" t="s">
        <v>1096</v>
      </c>
      <c r="E111" s="328">
        <f t="shared" si="0"/>
        <v>0</v>
      </c>
      <c r="F111" s="877"/>
      <c r="G111" s="877"/>
      <c r="H111" s="877"/>
      <c r="I111" s="877"/>
      <c r="J111" s="878"/>
    </row>
    <row r="112" spans="1:10" ht="39.6">
      <c r="A112" s="330" t="s">
        <v>5825</v>
      </c>
      <c r="B112" s="336" t="s">
        <v>484</v>
      </c>
      <c r="C112" s="336" t="s">
        <v>1096</v>
      </c>
      <c r="D112" s="328" t="s">
        <v>1096</v>
      </c>
      <c r="E112" s="336">
        <f t="shared" si="0"/>
        <v>0</v>
      </c>
      <c r="F112" s="877"/>
      <c r="G112" s="877"/>
      <c r="H112" s="877"/>
      <c r="I112" s="877"/>
      <c r="J112" s="878"/>
    </row>
    <row r="113" spans="1:10" ht="26.4">
      <c r="A113" s="327" t="s">
        <v>5826</v>
      </c>
      <c r="B113" s="336" t="s">
        <v>484</v>
      </c>
      <c r="C113" s="336" t="s">
        <v>1096</v>
      </c>
      <c r="D113" s="328" t="s">
        <v>1096</v>
      </c>
      <c r="E113" s="328">
        <f t="shared" si="0"/>
        <v>0</v>
      </c>
      <c r="F113" s="877"/>
      <c r="G113" s="877"/>
      <c r="H113" s="877"/>
      <c r="I113" s="877"/>
      <c r="J113" s="878"/>
    </row>
    <row r="114" spans="1:10" ht="18.75" customHeight="1">
      <c r="A114" s="330" t="s">
        <v>5811</v>
      </c>
      <c r="B114" s="336" t="s">
        <v>484</v>
      </c>
      <c r="C114" s="336" t="s">
        <v>1096</v>
      </c>
      <c r="D114" s="336" t="s">
        <v>1096</v>
      </c>
      <c r="E114" s="336">
        <f t="shared" si="0"/>
        <v>0</v>
      </c>
      <c r="F114" s="877"/>
      <c r="G114" s="877"/>
      <c r="H114" s="877"/>
      <c r="I114" s="877"/>
      <c r="J114" s="878"/>
    </row>
    <row r="115" spans="1:10" ht="26.4">
      <c r="A115" s="327" t="s">
        <v>5812</v>
      </c>
      <c r="B115" s="336" t="s">
        <v>484</v>
      </c>
      <c r="C115" s="336" t="s">
        <v>1096</v>
      </c>
      <c r="D115" s="328" t="s">
        <v>1096</v>
      </c>
      <c r="E115" s="328">
        <f t="shared" si="0"/>
        <v>0</v>
      </c>
      <c r="F115" s="877"/>
      <c r="G115" s="877"/>
      <c r="H115" s="877"/>
      <c r="I115" s="877"/>
      <c r="J115" s="878"/>
    </row>
    <row r="116" spans="1:10" ht="28.5" customHeight="1">
      <c r="A116" s="865" t="s">
        <v>5848</v>
      </c>
      <c r="B116" s="713"/>
      <c r="C116" s="871" t="str">
        <f>IFERROR(SUM(E108:E115)/COUNTIF(C108:C115,"Yes"),"")</f>
        <v/>
      </c>
      <c r="D116" s="872"/>
      <c r="E116" s="866" t="s">
        <v>5849</v>
      </c>
      <c r="F116" s="866"/>
      <c r="G116" s="866"/>
      <c r="H116" s="866"/>
      <c r="I116" s="866"/>
      <c r="J116" s="867"/>
    </row>
    <row r="117" spans="1:10" ht="20.25" customHeight="1">
      <c r="A117" s="335"/>
      <c r="B117" s="320"/>
      <c r="C117" s="320"/>
      <c r="D117" s="320"/>
      <c r="E117" s="320"/>
      <c r="F117" s="320"/>
      <c r="G117" s="320"/>
      <c r="H117" s="231"/>
      <c r="I117" s="231"/>
      <c r="J117" s="333"/>
    </row>
    <row r="118" spans="1:10">
      <c r="A118" s="876" t="s">
        <v>5877</v>
      </c>
      <c r="B118" s="853"/>
      <c r="C118" s="853"/>
      <c r="D118" s="842"/>
      <c r="E118" s="853"/>
      <c r="F118" s="853"/>
      <c r="G118" s="842"/>
      <c r="H118" s="842"/>
      <c r="I118" s="842"/>
      <c r="J118" s="868"/>
    </row>
    <row r="119" spans="1:10" ht="30" customHeight="1">
      <c r="A119" s="325" t="s">
        <v>5850</v>
      </c>
      <c r="B119" s="326" t="s">
        <v>77</v>
      </c>
      <c r="C119" s="326" t="s">
        <v>5827</v>
      </c>
      <c r="D119" s="326" t="s">
        <v>5828</v>
      </c>
      <c r="E119" s="326" t="s">
        <v>5829</v>
      </c>
      <c r="F119" s="326" t="s">
        <v>5851</v>
      </c>
      <c r="G119" s="859" t="s">
        <v>5852</v>
      </c>
      <c r="H119" s="859"/>
      <c r="I119" s="859"/>
      <c r="J119" s="860"/>
    </row>
    <row r="120" spans="1:10" ht="26.4">
      <c r="A120" s="330" t="s">
        <v>5830</v>
      </c>
      <c r="B120" s="336" t="s">
        <v>482</v>
      </c>
      <c r="C120" s="328" t="s">
        <v>1096</v>
      </c>
      <c r="D120" s="328" t="s">
        <v>1096</v>
      </c>
      <c r="E120" s="328" t="s">
        <v>1096</v>
      </c>
      <c r="F120" s="336" t="s">
        <v>679</v>
      </c>
      <c r="G120" s="869"/>
      <c r="H120" s="869"/>
      <c r="I120" s="869"/>
      <c r="J120" s="870"/>
    </row>
    <row r="121" spans="1:10" ht="53.4" customHeight="1">
      <c r="A121" s="327" t="s">
        <v>5831</v>
      </c>
      <c r="B121" s="336" t="s">
        <v>482</v>
      </c>
      <c r="C121" s="328" t="s">
        <v>1096</v>
      </c>
      <c r="D121" s="328" t="s">
        <v>1096</v>
      </c>
      <c r="E121" s="328" t="s">
        <v>1096</v>
      </c>
      <c r="F121" s="336" t="s">
        <v>679</v>
      </c>
      <c r="G121" s="869"/>
      <c r="H121" s="869"/>
      <c r="I121" s="869"/>
      <c r="J121" s="870"/>
    </row>
    <row r="122" spans="1:10" ht="53.4" customHeight="1">
      <c r="A122" s="330" t="s">
        <v>5853</v>
      </c>
      <c r="B122" s="336" t="s">
        <v>482</v>
      </c>
      <c r="C122" s="328" t="s">
        <v>1096</v>
      </c>
      <c r="D122" s="328" t="s">
        <v>1096</v>
      </c>
      <c r="E122" s="328" t="s">
        <v>1096</v>
      </c>
      <c r="F122" s="336" t="s">
        <v>679</v>
      </c>
      <c r="G122" s="869"/>
      <c r="H122" s="869"/>
      <c r="I122" s="869"/>
      <c r="J122" s="870"/>
    </row>
    <row r="123" spans="1:10" ht="53.4" customHeight="1">
      <c r="A123" s="327" t="s">
        <v>5832</v>
      </c>
      <c r="B123" s="336" t="s">
        <v>482</v>
      </c>
      <c r="C123" s="328" t="s">
        <v>1096</v>
      </c>
      <c r="D123" s="328" t="s">
        <v>1096</v>
      </c>
      <c r="E123" s="328" t="s">
        <v>1096</v>
      </c>
      <c r="F123" s="336" t="s">
        <v>679</v>
      </c>
      <c r="G123" s="869"/>
      <c r="H123" s="869"/>
      <c r="I123" s="869"/>
      <c r="J123" s="870"/>
    </row>
    <row r="124" spans="1:10" ht="53.4" customHeight="1">
      <c r="A124" s="330" t="s">
        <v>5833</v>
      </c>
      <c r="B124" s="336" t="s">
        <v>482</v>
      </c>
      <c r="C124" s="328" t="s">
        <v>1096</v>
      </c>
      <c r="D124" s="328" t="s">
        <v>1096</v>
      </c>
      <c r="E124" s="328" t="s">
        <v>1096</v>
      </c>
      <c r="F124" s="336" t="s">
        <v>679</v>
      </c>
      <c r="G124" s="869"/>
      <c r="H124" s="869"/>
      <c r="I124" s="869"/>
      <c r="J124" s="870"/>
    </row>
    <row r="125" spans="1:10" ht="53.4" customHeight="1">
      <c r="A125" s="865" t="s">
        <v>5884</v>
      </c>
      <c r="B125" s="713"/>
      <c r="C125" s="871">
        <f>IFERROR(COUNTIF(E120:E124,"Yes")/COUNTA(A120:A124),"")</f>
        <v>0</v>
      </c>
      <c r="D125" s="872"/>
      <c r="E125" s="866" t="s">
        <v>5855</v>
      </c>
      <c r="F125" s="866"/>
      <c r="G125" s="866"/>
      <c r="H125" s="866"/>
      <c r="I125" s="866"/>
      <c r="J125" s="867"/>
    </row>
    <row r="126" spans="1:10" ht="20.25" customHeight="1">
      <c r="A126" s="335"/>
      <c r="B126" s="320"/>
      <c r="C126" s="320"/>
      <c r="D126" s="320"/>
      <c r="E126" s="320"/>
      <c r="F126" s="320"/>
      <c r="G126" s="874"/>
      <c r="H126" s="874"/>
      <c r="I126" s="874"/>
      <c r="J126" s="875"/>
    </row>
    <row r="127" spans="1:10" ht="53.4" customHeight="1">
      <c r="A127" s="876" t="s">
        <v>5878</v>
      </c>
      <c r="B127" s="853"/>
      <c r="C127" s="853"/>
      <c r="D127" s="842"/>
      <c r="E127" s="853"/>
      <c r="F127" s="853"/>
      <c r="G127" s="842"/>
      <c r="H127" s="842"/>
      <c r="I127" s="842"/>
      <c r="J127" s="868"/>
    </row>
    <row r="128" spans="1:10" ht="53.4" customHeight="1">
      <c r="A128" s="326" t="s">
        <v>5813</v>
      </c>
      <c r="B128" s="326" t="s">
        <v>77</v>
      </c>
      <c r="C128" s="326" t="s">
        <v>5834</v>
      </c>
      <c r="D128" s="326" t="s">
        <v>5835</v>
      </c>
      <c r="E128" s="326" t="s">
        <v>5836</v>
      </c>
      <c r="F128" s="326" t="s">
        <v>5837</v>
      </c>
      <c r="G128" s="859" t="s">
        <v>5885</v>
      </c>
      <c r="H128" s="859"/>
      <c r="I128" s="859"/>
      <c r="J128" s="859"/>
    </row>
    <row r="129" spans="1:10">
      <c r="A129" s="332" t="s">
        <v>153</v>
      </c>
      <c r="B129" s="328" t="s">
        <v>484</v>
      </c>
      <c r="C129" s="328">
        <v>8</v>
      </c>
      <c r="D129" s="328">
        <v>0</v>
      </c>
      <c r="E129" s="328">
        <v>0</v>
      </c>
      <c r="F129" s="329">
        <f>IFERROR(D129/C129,"")</f>
        <v>0</v>
      </c>
      <c r="G129" s="873"/>
      <c r="H129" s="873"/>
      <c r="I129" s="873"/>
      <c r="J129" s="873"/>
    </row>
    <row r="130" spans="1:10">
      <c r="A130" s="339" t="s">
        <v>155</v>
      </c>
      <c r="B130" s="336" t="s">
        <v>484</v>
      </c>
      <c r="C130" s="336">
        <v>8</v>
      </c>
      <c r="D130" s="336">
        <v>0</v>
      </c>
      <c r="E130" s="336">
        <v>0</v>
      </c>
      <c r="F130" s="331">
        <f>IFERROR(D130/C130,"")</f>
        <v>0</v>
      </c>
      <c r="G130" s="873"/>
      <c r="H130" s="873"/>
      <c r="I130" s="873"/>
      <c r="J130" s="873"/>
    </row>
    <row r="131" spans="1:10">
      <c r="A131" s="332" t="s">
        <v>4821</v>
      </c>
      <c r="B131" s="328" t="s">
        <v>484</v>
      </c>
      <c r="C131" s="328">
        <v>10</v>
      </c>
      <c r="D131" s="328">
        <v>0</v>
      </c>
      <c r="E131" s="328">
        <v>0</v>
      </c>
      <c r="F131" s="329">
        <f>IFERROR(D131/C131,"")</f>
        <v>0</v>
      </c>
      <c r="G131" s="873"/>
      <c r="H131" s="873"/>
      <c r="I131" s="873"/>
      <c r="J131" s="873"/>
    </row>
    <row r="132" spans="1:10">
      <c r="A132" s="339" t="s">
        <v>957</v>
      </c>
      <c r="B132" s="336" t="s">
        <v>484</v>
      </c>
      <c r="C132" s="336">
        <v>10</v>
      </c>
      <c r="D132" s="336">
        <v>0</v>
      </c>
      <c r="E132" s="336">
        <v>0</v>
      </c>
      <c r="F132" s="331">
        <f>IFERROR(D132/C132,"")</f>
        <v>0</v>
      </c>
      <c r="G132" s="873"/>
      <c r="H132" s="873"/>
      <c r="I132" s="873"/>
      <c r="J132" s="873"/>
    </row>
    <row r="133" spans="1:10">
      <c r="A133" s="879" t="s">
        <v>5856</v>
      </c>
      <c r="B133" s="879"/>
      <c r="C133" s="879"/>
      <c r="D133" s="879"/>
      <c r="E133" s="866" t="s">
        <v>5857</v>
      </c>
      <c r="F133" s="866"/>
      <c r="G133" s="866"/>
      <c r="H133" s="866"/>
      <c r="I133" s="866"/>
      <c r="J133" s="866"/>
    </row>
    <row r="134" spans="1:10">
      <c r="A134" s="879"/>
      <c r="B134" s="879"/>
      <c r="C134" s="879"/>
      <c r="D134" s="879"/>
      <c r="E134" s="866"/>
      <c r="F134" s="866"/>
      <c r="G134" s="866"/>
      <c r="H134" s="866"/>
      <c r="I134" s="866"/>
      <c r="J134" s="866"/>
    </row>
    <row r="135" spans="1:10">
      <c r="A135" s="842" t="s">
        <v>5879</v>
      </c>
      <c r="B135" s="842"/>
      <c r="C135" s="842"/>
      <c r="D135" s="842"/>
      <c r="E135" s="842"/>
      <c r="F135" s="842"/>
      <c r="G135" s="842"/>
      <c r="H135" s="842"/>
      <c r="I135" s="842"/>
      <c r="J135" s="842"/>
    </row>
    <row r="136" spans="1:10">
      <c r="A136" s="326" t="s">
        <v>4946</v>
      </c>
      <c r="B136" s="326" t="s">
        <v>77</v>
      </c>
      <c r="C136" s="326" t="s">
        <v>5845</v>
      </c>
      <c r="D136" s="326" t="s">
        <v>482</v>
      </c>
      <c r="E136" s="326" t="s">
        <v>572</v>
      </c>
      <c r="F136" s="326" t="s">
        <v>944</v>
      </c>
      <c r="G136" s="859" t="s">
        <v>5847</v>
      </c>
      <c r="H136" s="859"/>
      <c r="I136" s="859"/>
      <c r="J136" s="859"/>
    </row>
    <row r="137" spans="1:10" ht="26.4">
      <c r="A137" s="332" t="s">
        <v>5814</v>
      </c>
      <c r="B137" s="336" t="s">
        <v>484</v>
      </c>
      <c r="C137" s="328" t="s">
        <v>679</v>
      </c>
      <c r="D137" s="328" t="s">
        <v>679</v>
      </c>
      <c r="E137" s="328">
        <f t="shared" ref="E137:E142" si="1">IF(D137="Yes",1,0)</f>
        <v>0</v>
      </c>
      <c r="F137" s="328"/>
      <c r="G137" s="873"/>
      <c r="H137" s="873"/>
      <c r="I137" s="873"/>
      <c r="J137" s="873"/>
    </row>
    <row r="138" spans="1:10">
      <c r="A138" s="339" t="s">
        <v>5815</v>
      </c>
      <c r="B138" s="336" t="s">
        <v>484</v>
      </c>
      <c r="C138" s="328" t="s">
        <v>679</v>
      </c>
      <c r="D138" s="328" t="s">
        <v>679</v>
      </c>
      <c r="E138" s="336">
        <f t="shared" si="1"/>
        <v>0</v>
      </c>
      <c r="F138" s="336"/>
      <c r="G138" s="873"/>
      <c r="H138" s="873"/>
      <c r="I138" s="873"/>
      <c r="J138" s="873"/>
    </row>
    <row r="139" spans="1:10" ht="26.4">
      <c r="A139" s="332" t="s">
        <v>5816</v>
      </c>
      <c r="B139" s="336" t="s">
        <v>484</v>
      </c>
      <c r="C139" s="328" t="s">
        <v>679</v>
      </c>
      <c r="D139" s="328" t="s">
        <v>679</v>
      </c>
      <c r="E139" s="328">
        <f t="shared" si="1"/>
        <v>0</v>
      </c>
      <c r="F139" s="328"/>
      <c r="G139" s="873"/>
      <c r="H139" s="873"/>
      <c r="I139" s="873"/>
      <c r="J139" s="873"/>
    </row>
    <row r="140" spans="1:10">
      <c r="A140" s="339" t="s">
        <v>5838</v>
      </c>
      <c r="B140" s="336" t="s">
        <v>484</v>
      </c>
      <c r="C140" s="328" t="s">
        <v>679</v>
      </c>
      <c r="D140" s="328" t="s">
        <v>679</v>
      </c>
      <c r="E140" s="336">
        <f t="shared" si="1"/>
        <v>0</v>
      </c>
      <c r="F140" s="336"/>
      <c r="G140" s="873"/>
      <c r="H140" s="873"/>
      <c r="I140" s="873"/>
      <c r="J140" s="873"/>
    </row>
    <row r="141" spans="1:10" ht="27.75" customHeight="1">
      <c r="A141" s="332" t="s">
        <v>5839</v>
      </c>
      <c r="B141" s="336" t="s">
        <v>484</v>
      </c>
      <c r="C141" s="328" t="s">
        <v>679</v>
      </c>
      <c r="D141" s="328" t="s">
        <v>679</v>
      </c>
      <c r="E141" s="328">
        <f t="shared" si="1"/>
        <v>0</v>
      </c>
      <c r="F141" s="328"/>
      <c r="G141" s="873"/>
      <c r="H141" s="873"/>
      <c r="I141" s="873"/>
      <c r="J141" s="873"/>
    </row>
    <row r="142" spans="1:10" ht="29.25" customHeight="1">
      <c r="A142" s="339" t="s">
        <v>5840</v>
      </c>
      <c r="B142" s="336" t="s">
        <v>484</v>
      </c>
      <c r="C142" s="328" t="s">
        <v>679</v>
      </c>
      <c r="D142" s="328" t="s">
        <v>679</v>
      </c>
      <c r="E142" s="336">
        <f t="shared" si="1"/>
        <v>0</v>
      </c>
      <c r="F142" s="336"/>
      <c r="G142" s="873"/>
      <c r="H142" s="873"/>
      <c r="I142" s="873"/>
      <c r="J142" s="873"/>
    </row>
    <row r="143" spans="1:10" ht="15.6">
      <c r="A143" s="880" t="s">
        <v>5858</v>
      </c>
      <c r="B143" s="713"/>
      <c r="C143" s="871" t="str">
        <f>IFERROR(SUM(E137:E142)/COUNTIF(C137:C142,"Yes"),"")</f>
        <v/>
      </c>
      <c r="D143" s="872"/>
      <c r="E143" s="866" t="s">
        <v>5859</v>
      </c>
      <c r="F143" s="866"/>
      <c r="G143" s="866"/>
      <c r="H143" s="866"/>
      <c r="I143" s="866"/>
      <c r="J143" s="866"/>
    </row>
    <row r="144" spans="1:10" ht="20.25" customHeight="1">
      <c r="A144" s="196"/>
      <c r="B144" s="196"/>
      <c r="C144" s="196"/>
      <c r="D144" s="196"/>
      <c r="E144" s="196"/>
      <c r="F144" s="196"/>
      <c r="G144" s="196"/>
      <c r="H144" s="196"/>
      <c r="I144" s="196"/>
      <c r="J144" s="196"/>
    </row>
    <row r="145" spans="1:10">
      <c r="A145" s="842" t="s">
        <v>5880</v>
      </c>
      <c r="B145" s="853"/>
      <c r="C145" s="853"/>
      <c r="D145" s="321"/>
      <c r="E145" s="321"/>
      <c r="F145" s="321"/>
      <c r="G145" s="321"/>
      <c r="H145" s="321"/>
      <c r="I145" s="321"/>
      <c r="J145" s="321"/>
    </row>
    <row r="146" spans="1:10" ht="55.2">
      <c r="A146" s="322" t="s">
        <v>905</v>
      </c>
      <c r="B146" s="322" t="s">
        <v>830</v>
      </c>
      <c r="C146" s="322"/>
      <c r="D146" s="322"/>
      <c r="E146" s="322"/>
      <c r="F146" s="322"/>
      <c r="G146" s="322"/>
      <c r="H146" s="322"/>
      <c r="I146" s="322"/>
      <c r="J146" s="322"/>
    </row>
    <row r="147" spans="1:10">
      <c r="A147" s="319" t="s">
        <v>1086</v>
      </c>
      <c r="B147" s="852" t="s">
        <v>3292</v>
      </c>
      <c r="C147" s="853"/>
      <c r="D147" s="853"/>
      <c r="E147" s="853"/>
      <c r="F147" s="853"/>
      <c r="G147" s="853"/>
      <c r="H147" s="853"/>
      <c r="I147" s="853"/>
      <c r="J147" s="853"/>
    </row>
    <row r="148" spans="1:10" ht="27.6">
      <c r="A148" s="319" t="s">
        <v>2090</v>
      </c>
      <c r="B148" s="852" t="s">
        <v>3293</v>
      </c>
      <c r="C148" s="853"/>
      <c r="D148" s="853"/>
      <c r="E148" s="853"/>
      <c r="F148" s="853"/>
      <c r="G148" s="853"/>
      <c r="H148" s="853"/>
      <c r="I148" s="853"/>
      <c r="J148" s="853"/>
    </row>
    <row r="149" spans="1:10">
      <c r="A149" s="319" t="s">
        <v>1089</v>
      </c>
      <c r="B149" s="852" t="s">
        <v>3294</v>
      </c>
      <c r="C149" s="853"/>
      <c r="D149" s="853"/>
      <c r="E149" s="853"/>
      <c r="F149" s="853"/>
      <c r="G149" s="853"/>
      <c r="H149" s="853"/>
      <c r="I149" s="853"/>
      <c r="J149" s="853"/>
    </row>
    <row r="150" spans="1:10">
      <c r="A150" s="319" t="s">
        <v>1090</v>
      </c>
      <c r="B150" s="852" t="s">
        <v>3295</v>
      </c>
      <c r="C150" s="853"/>
      <c r="D150" s="853"/>
      <c r="E150" s="853"/>
      <c r="F150" s="853"/>
      <c r="G150" s="853"/>
      <c r="H150" s="853"/>
      <c r="I150" s="853"/>
      <c r="J150" s="853"/>
    </row>
    <row r="151" spans="1:10">
      <c r="A151" s="319" t="s">
        <v>1088</v>
      </c>
      <c r="B151" s="852" t="s">
        <v>3296</v>
      </c>
      <c r="C151" s="853"/>
      <c r="D151" s="853"/>
      <c r="E151" s="853"/>
      <c r="F151" s="853"/>
      <c r="G151" s="853"/>
      <c r="H151" s="853"/>
      <c r="I151" s="853"/>
      <c r="J151" s="853"/>
    </row>
    <row r="152" spans="1:10" ht="27.6">
      <c r="A152" s="319" t="s">
        <v>3297</v>
      </c>
      <c r="B152" s="852" t="s">
        <v>3298</v>
      </c>
      <c r="C152" s="853"/>
      <c r="D152" s="853"/>
      <c r="E152" s="853"/>
      <c r="F152" s="853"/>
      <c r="G152" s="853"/>
      <c r="H152" s="853"/>
      <c r="I152" s="853"/>
      <c r="J152" s="853"/>
    </row>
    <row r="153" spans="1:10">
      <c r="A153" s="319" t="s">
        <v>1563</v>
      </c>
      <c r="B153" s="852" t="s">
        <v>1776</v>
      </c>
      <c r="C153" s="853"/>
      <c r="D153" s="853"/>
      <c r="E153" s="853"/>
      <c r="F153" s="853"/>
      <c r="G153" s="853"/>
      <c r="H153" s="853"/>
      <c r="I153" s="853"/>
      <c r="J153" s="853"/>
    </row>
    <row r="154" spans="1:10">
      <c r="A154" s="231"/>
      <c r="B154" s="231"/>
      <c r="C154" s="231"/>
      <c r="D154" s="231"/>
      <c r="E154" s="231"/>
      <c r="F154" s="231"/>
      <c r="G154" s="231"/>
      <c r="H154" s="231"/>
      <c r="I154" s="231"/>
      <c r="J154" s="231"/>
    </row>
    <row r="155" spans="1:10">
      <c r="A155" s="842" t="s">
        <v>5901</v>
      </c>
      <c r="B155" s="842"/>
      <c r="C155" s="842"/>
      <c r="D155" s="842"/>
      <c r="E155" s="842"/>
      <c r="F155" s="842"/>
      <c r="G155" s="842"/>
      <c r="H155" s="842"/>
      <c r="I155" s="842"/>
      <c r="J155" s="842"/>
    </row>
    <row r="156" spans="1:10">
      <c r="A156" s="340" t="s">
        <v>5886</v>
      </c>
      <c r="B156" s="196"/>
      <c r="C156" s="196"/>
      <c r="D156" s="196"/>
      <c r="E156" s="196"/>
      <c r="F156" s="196"/>
      <c r="G156" s="196"/>
      <c r="H156" s="196"/>
      <c r="I156" s="196"/>
      <c r="J156" s="196"/>
    </row>
    <row r="157" spans="1:10">
      <c r="A157" s="196"/>
      <c r="B157" s="196"/>
      <c r="C157" s="196"/>
      <c r="D157" s="196"/>
      <c r="E157" s="196"/>
      <c r="F157" s="196"/>
      <c r="G157" s="196"/>
      <c r="H157" s="196"/>
      <c r="I157" s="196"/>
      <c r="J157" s="196"/>
    </row>
    <row r="158" spans="1:10">
      <c r="A158" s="196" t="s">
        <v>5887</v>
      </c>
      <c r="B158" s="196"/>
      <c r="C158" s="196"/>
      <c r="D158" s="196"/>
      <c r="E158" s="196"/>
      <c r="F158" s="196"/>
      <c r="G158" s="196"/>
      <c r="H158" s="196"/>
      <c r="I158" s="196"/>
      <c r="J158" s="196"/>
    </row>
    <row r="159" spans="1:10">
      <c r="A159" s="196"/>
      <c r="B159" s="196"/>
      <c r="C159" s="196"/>
      <c r="D159" s="196"/>
      <c r="E159" s="196"/>
      <c r="F159" s="196"/>
      <c r="G159" s="196"/>
      <c r="H159" s="196"/>
      <c r="I159" s="196"/>
      <c r="J159" s="196"/>
    </row>
    <row r="160" spans="1:10">
      <c r="A160" s="196" t="s">
        <v>5888</v>
      </c>
      <c r="B160" s="196"/>
      <c r="C160" s="196"/>
      <c r="D160" s="196"/>
      <c r="E160" s="196"/>
      <c r="F160" s="196"/>
      <c r="G160" s="196"/>
      <c r="H160" s="196"/>
      <c r="I160" s="196"/>
      <c r="J160" s="196"/>
    </row>
    <row r="161" spans="1:10">
      <c r="A161" s="196"/>
      <c r="B161" s="196"/>
      <c r="C161" s="196"/>
      <c r="D161" s="196"/>
      <c r="E161" s="196"/>
      <c r="F161" s="196"/>
      <c r="G161" s="196"/>
      <c r="H161" s="196"/>
      <c r="I161" s="196"/>
      <c r="J161" s="196"/>
    </row>
    <row r="162" spans="1:10">
      <c r="A162" s="196" t="s">
        <v>5889</v>
      </c>
      <c r="B162" s="196"/>
      <c r="C162" s="196"/>
      <c r="D162" s="196"/>
      <c r="E162" s="196"/>
      <c r="F162" s="196"/>
      <c r="G162" s="196"/>
      <c r="H162" s="196"/>
      <c r="I162" s="196"/>
      <c r="J162" s="196"/>
    </row>
    <row r="163" spans="1:10">
      <c r="A163" s="196"/>
      <c r="B163" s="196"/>
      <c r="C163" s="196"/>
      <c r="D163" s="196"/>
      <c r="E163" s="196"/>
      <c r="F163" s="196"/>
      <c r="G163" s="196"/>
      <c r="H163" s="196"/>
      <c r="I163" s="196"/>
      <c r="J163" s="196"/>
    </row>
    <row r="164" spans="1:10">
      <c r="A164" s="196"/>
      <c r="B164" s="196"/>
      <c r="C164" s="196"/>
      <c r="D164" s="196"/>
      <c r="E164" s="196"/>
      <c r="F164" s="196"/>
      <c r="G164" s="196"/>
      <c r="H164" s="196"/>
      <c r="I164" s="196"/>
      <c r="J164" s="196"/>
    </row>
    <row r="165" spans="1:10">
      <c r="A165" s="196"/>
      <c r="B165" s="196"/>
      <c r="C165" s="196"/>
      <c r="D165" s="196"/>
      <c r="E165" s="196"/>
      <c r="F165" s="196"/>
      <c r="G165" s="196"/>
      <c r="H165" s="196"/>
      <c r="I165" s="196"/>
      <c r="J165" s="196"/>
    </row>
    <row r="166" spans="1:10">
      <c r="A166" s="842" t="s">
        <v>5902</v>
      </c>
      <c r="B166" s="842"/>
      <c r="C166" s="842"/>
      <c r="D166" s="842"/>
      <c r="E166" s="842"/>
      <c r="F166" s="842"/>
      <c r="G166" s="842"/>
      <c r="H166" s="842"/>
      <c r="I166" s="842"/>
      <c r="J166" s="842"/>
    </row>
    <row r="167" spans="1:10">
      <c r="A167" s="196"/>
      <c r="B167" s="196"/>
      <c r="C167" s="196"/>
      <c r="D167" s="196"/>
      <c r="E167" s="196"/>
      <c r="F167" s="196"/>
      <c r="G167" s="196"/>
      <c r="H167" s="196"/>
      <c r="I167" s="196"/>
      <c r="J167" s="196"/>
    </row>
    <row r="168" spans="1:10">
      <c r="A168" s="196" t="s">
        <v>5890</v>
      </c>
      <c r="B168" s="196"/>
      <c r="C168" s="196"/>
      <c r="D168" s="196"/>
      <c r="E168" s="196"/>
      <c r="F168" s="196"/>
      <c r="G168" s="196"/>
      <c r="H168" s="196"/>
      <c r="I168" s="196"/>
      <c r="J168" s="196"/>
    </row>
    <row r="169" spans="1:10">
      <c r="A169" s="196"/>
      <c r="B169" s="196"/>
      <c r="C169" s="196"/>
      <c r="D169" s="196"/>
      <c r="E169" s="196"/>
      <c r="F169" s="196"/>
      <c r="G169" s="196"/>
      <c r="H169" s="196"/>
      <c r="I169" s="196"/>
      <c r="J169" s="196"/>
    </row>
    <row r="170" spans="1:10">
      <c r="A170" s="196" t="s">
        <v>5891</v>
      </c>
      <c r="B170" s="196"/>
      <c r="C170" s="196"/>
      <c r="D170" s="196"/>
      <c r="E170" s="196"/>
      <c r="F170" s="196"/>
      <c r="G170" s="196"/>
      <c r="H170" s="196"/>
      <c r="I170" s="196"/>
      <c r="J170" s="196"/>
    </row>
    <row r="171" spans="1:10">
      <c r="A171" s="196"/>
      <c r="B171" s="196"/>
      <c r="C171" s="196"/>
      <c r="D171" s="196"/>
      <c r="E171" s="196"/>
      <c r="F171" s="196"/>
      <c r="G171" s="196"/>
      <c r="H171" s="196"/>
      <c r="I171" s="196"/>
      <c r="J171" s="196"/>
    </row>
    <row r="172" spans="1:10">
      <c r="A172" s="196" t="s">
        <v>5892</v>
      </c>
      <c r="B172" s="196"/>
      <c r="C172" s="196"/>
      <c r="D172" s="196"/>
      <c r="E172" s="196"/>
      <c r="F172" s="196"/>
      <c r="G172" s="196"/>
      <c r="H172" s="196"/>
      <c r="I172" s="196"/>
      <c r="J172" s="196"/>
    </row>
    <row r="173" spans="1:10">
      <c r="A173" s="196"/>
      <c r="B173" s="196"/>
      <c r="C173" s="196"/>
      <c r="D173" s="196"/>
      <c r="E173" s="196"/>
      <c r="F173" s="196"/>
      <c r="G173" s="196"/>
      <c r="H173" s="196"/>
      <c r="I173" s="196"/>
      <c r="J173" s="196"/>
    </row>
    <row r="174" spans="1:10">
      <c r="A174" s="196"/>
      <c r="B174" s="196"/>
      <c r="C174" s="196"/>
      <c r="D174" s="196"/>
      <c r="E174" s="196"/>
      <c r="F174" s="196"/>
      <c r="G174" s="196"/>
      <c r="H174" s="196"/>
      <c r="I174" s="196"/>
      <c r="J174" s="196"/>
    </row>
    <row r="175" spans="1:10">
      <c r="A175" s="196"/>
      <c r="B175" s="196"/>
      <c r="C175" s="196"/>
      <c r="D175" s="196"/>
      <c r="E175" s="196"/>
      <c r="F175" s="196"/>
      <c r="G175" s="196"/>
      <c r="H175" s="196"/>
      <c r="I175" s="196"/>
      <c r="J175" s="196"/>
    </row>
    <row r="176" spans="1:10">
      <c r="A176" s="842" t="s">
        <v>5903</v>
      </c>
      <c r="B176" s="842"/>
      <c r="C176" s="842"/>
      <c r="D176" s="842"/>
      <c r="E176" s="842"/>
      <c r="F176" s="842"/>
      <c r="G176" s="842"/>
      <c r="H176" s="842"/>
      <c r="I176" s="842"/>
      <c r="J176" s="842"/>
    </row>
    <row r="177" spans="1:10">
      <c r="A177" s="196"/>
      <c r="B177" s="196"/>
      <c r="C177" s="196"/>
      <c r="D177" s="196"/>
      <c r="E177" s="196"/>
      <c r="F177" s="196"/>
      <c r="G177" s="196"/>
      <c r="H177" s="196"/>
      <c r="I177" s="196"/>
      <c r="J177" s="196"/>
    </row>
    <row r="178" spans="1:10">
      <c r="A178" s="196" t="s">
        <v>5893</v>
      </c>
      <c r="B178" s="196"/>
      <c r="C178" s="196"/>
      <c r="D178" s="196"/>
      <c r="E178" s="196"/>
      <c r="F178" s="196"/>
      <c r="G178" s="196"/>
      <c r="H178" s="196"/>
      <c r="I178" s="196"/>
      <c r="J178" s="196"/>
    </row>
    <row r="179" spans="1:10">
      <c r="A179" s="196"/>
      <c r="B179" s="196"/>
      <c r="C179" s="196"/>
      <c r="D179" s="196"/>
      <c r="E179" s="196"/>
      <c r="F179" s="196"/>
      <c r="G179" s="196"/>
      <c r="H179" s="196"/>
      <c r="I179" s="196"/>
      <c r="J179" s="196"/>
    </row>
    <row r="180" spans="1:10">
      <c r="A180" s="196" t="s">
        <v>5894</v>
      </c>
      <c r="B180" s="196"/>
      <c r="C180" s="196"/>
      <c r="D180" s="196"/>
      <c r="E180" s="196"/>
      <c r="F180" s="196"/>
      <c r="G180" s="196"/>
      <c r="H180" s="196"/>
      <c r="I180" s="196"/>
      <c r="J180" s="196"/>
    </row>
    <row r="181" spans="1:10">
      <c r="A181" s="196"/>
      <c r="B181" s="196"/>
      <c r="C181" s="196"/>
      <c r="D181" s="196"/>
      <c r="E181" s="196"/>
      <c r="F181" s="196"/>
      <c r="G181" s="196"/>
      <c r="H181" s="196"/>
      <c r="I181" s="196"/>
      <c r="J181" s="196"/>
    </row>
    <row r="182" spans="1:10">
      <c r="A182" s="196" t="s">
        <v>5895</v>
      </c>
      <c r="B182" s="196"/>
      <c r="C182" s="196"/>
      <c r="D182" s="196"/>
      <c r="E182" s="196"/>
      <c r="F182" s="196"/>
      <c r="G182" s="196"/>
      <c r="H182" s="196"/>
      <c r="I182" s="196"/>
      <c r="J182" s="196"/>
    </row>
    <row r="183" spans="1:10">
      <c r="A183" s="196"/>
      <c r="B183" s="196"/>
      <c r="C183" s="196"/>
      <c r="D183" s="196"/>
      <c r="E183" s="196"/>
      <c r="F183" s="196"/>
      <c r="G183" s="196"/>
      <c r="H183" s="196"/>
      <c r="I183" s="196"/>
      <c r="J183" s="196"/>
    </row>
    <row r="184" spans="1:10">
      <c r="A184" s="196" t="s">
        <v>5896</v>
      </c>
      <c r="B184" s="196"/>
      <c r="C184" s="196"/>
      <c r="D184" s="196"/>
      <c r="E184" s="196"/>
      <c r="F184" s="196"/>
      <c r="G184" s="196"/>
      <c r="H184" s="196"/>
      <c r="I184" s="196"/>
      <c r="J184" s="196"/>
    </row>
    <row r="185" spans="1:10">
      <c r="A185" s="196"/>
      <c r="B185" s="196"/>
      <c r="C185" s="196"/>
      <c r="D185" s="196"/>
      <c r="E185" s="196"/>
      <c r="F185" s="196"/>
      <c r="G185" s="196"/>
      <c r="H185" s="196"/>
      <c r="I185" s="196"/>
      <c r="J185" s="196"/>
    </row>
    <row r="186" spans="1:10">
      <c r="A186" s="196"/>
      <c r="B186" s="196"/>
      <c r="C186" s="196"/>
      <c r="D186" s="196"/>
      <c r="E186" s="196"/>
      <c r="F186" s="196"/>
      <c r="G186" s="196"/>
      <c r="H186" s="196"/>
      <c r="I186" s="196"/>
      <c r="J186" s="196"/>
    </row>
    <row r="187" spans="1:10">
      <c r="A187" s="196"/>
      <c r="B187" s="196"/>
      <c r="C187" s="196"/>
      <c r="D187" s="196"/>
      <c r="E187" s="196"/>
      <c r="F187" s="196"/>
      <c r="G187" s="196"/>
      <c r="H187" s="196"/>
      <c r="I187" s="196"/>
      <c r="J187" s="196"/>
    </row>
    <row r="188" spans="1:10">
      <c r="A188" s="842" t="s">
        <v>5904</v>
      </c>
      <c r="B188" s="842"/>
      <c r="C188" s="842"/>
      <c r="D188" s="842"/>
      <c r="E188" s="842"/>
      <c r="F188" s="842"/>
      <c r="G188" s="842"/>
      <c r="H188" s="842"/>
      <c r="I188" s="842"/>
      <c r="J188" s="842"/>
    </row>
    <row r="189" spans="1:10">
      <c r="A189" s="196"/>
      <c r="B189" s="196"/>
      <c r="C189" s="196"/>
      <c r="D189" s="196"/>
      <c r="E189" s="196"/>
      <c r="F189" s="196"/>
      <c r="G189" s="196"/>
      <c r="H189" s="196"/>
      <c r="I189" s="196"/>
      <c r="J189" s="196"/>
    </row>
    <row r="190" spans="1:10">
      <c r="A190" s="196" t="s">
        <v>5897</v>
      </c>
      <c r="B190" s="196"/>
      <c r="C190" s="196"/>
      <c r="D190" s="196"/>
      <c r="E190" s="196"/>
      <c r="F190" s="196"/>
      <c r="G190" s="196"/>
      <c r="H190" s="196"/>
      <c r="I190" s="196"/>
      <c r="J190" s="196"/>
    </row>
    <row r="191" spans="1:10">
      <c r="A191" s="196"/>
      <c r="B191" s="196"/>
      <c r="C191" s="196"/>
      <c r="D191" s="196"/>
      <c r="E191" s="196"/>
      <c r="F191" s="196"/>
      <c r="G191" s="196"/>
      <c r="H191" s="196"/>
      <c r="I191" s="196"/>
      <c r="J191" s="196"/>
    </row>
    <row r="192" spans="1:10">
      <c r="A192" s="196" t="s">
        <v>5898</v>
      </c>
      <c r="B192" s="196"/>
      <c r="C192" s="196"/>
      <c r="D192" s="196"/>
      <c r="E192" s="196"/>
      <c r="F192" s="196"/>
      <c r="G192" s="196"/>
      <c r="H192" s="196"/>
      <c r="I192" s="196"/>
      <c r="J192" s="196"/>
    </row>
    <row r="193" spans="1:10">
      <c r="A193" s="196"/>
      <c r="B193" s="196"/>
      <c r="C193" s="196"/>
      <c r="D193" s="196"/>
      <c r="E193" s="196"/>
      <c r="F193" s="196"/>
      <c r="G193" s="196"/>
      <c r="H193" s="196"/>
      <c r="I193" s="196"/>
      <c r="J193" s="196"/>
    </row>
    <row r="194" spans="1:10">
      <c r="A194" s="196" t="s">
        <v>5899</v>
      </c>
      <c r="B194" s="196"/>
      <c r="C194" s="196"/>
      <c r="D194" s="196"/>
      <c r="E194" s="196"/>
      <c r="F194" s="196"/>
      <c r="G194" s="196"/>
      <c r="H194" s="196"/>
      <c r="I194" s="196"/>
      <c r="J194" s="196"/>
    </row>
    <row r="195" spans="1:10">
      <c r="A195" s="196"/>
      <c r="B195" s="196"/>
      <c r="C195" s="196"/>
      <c r="D195" s="196"/>
      <c r="E195" s="196"/>
      <c r="F195" s="196"/>
      <c r="G195" s="196"/>
      <c r="H195" s="196"/>
      <c r="I195" s="196"/>
      <c r="J195" s="196"/>
    </row>
    <row r="196" spans="1:10">
      <c r="A196" s="196"/>
      <c r="B196" s="196"/>
      <c r="C196" s="196"/>
      <c r="D196" s="196"/>
      <c r="E196" s="196"/>
      <c r="F196" s="196"/>
      <c r="G196" s="196"/>
      <c r="H196" s="196"/>
      <c r="I196" s="196"/>
      <c r="J196" s="196"/>
    </row>
    <row r="197" spans="1:10">
      <c r="A197" s="196"/>
      <c r="B197" s="196"/>
      <c r="C197" s="196"/>
      <c r="D197" s="196"/>
      <c r="E197" s="196"/>
      <c r="F197" s="196"/>
      <c r="G197" s="196"/>
      <c r="H197" s="196"/>
      <c r="I197" s="196"/>
      <c r="J197" s="196"/>
    </row>
    <row r="198" spans="1:10">
      <c r="A198" s="196" t="s">
        <v>5900</v>
      </c>
      <c r="B198" s="196"/>
      <c r="C198" s="196"/>
      <c r="D198" s="196"/>
      <c r="E198" s="196"/>
      <c r="F198" s="196"/>
      <c r="G198" s="196"/>
      <c r="H198" s="196"/>
      <c r="I198" s="196"/>
      <c r="J198" s="196"/>
    </row>
    <row r="199" spans="1:10">
      <c r="A199" s="196"/>
      <c r="B199" s="196"/>
      <c r="C199" s="196"/>
      <c r="D199" s="196"/>
      <c r="E199" s="196"/>
      <c r="F199" s="196"/>
      <c r="G199" s="196"/>
      <c r="H199" s="196"/>
      <c r="I199" s="196"/>
      <c r="J199" s="196"/>
    </row>
    <row r="200" spans="1:10">
      <c r="A200" s="341"/>
      <c r="B200" s="341"/>
      <c r="C200" s="341"/>
      <c r="D200" s="341"/>
      <c r="E200" s="341"/>
      <c r="F200" s="341"/>
      <c r="G200" s="341"/>
      <c r="H200" s="341"/>
      <c r="I200" s="341"/>
      <c r="J200" s="341"/>
    </row>
    <row r="201" spans="1:10">
      <c r="A201" s="341"/>
      <c r="B201" s="341"/>
      <c r="C201" s="341"/>
      <c r="D201" s="341"/>
      <c r="E201" s="341"/>
      <c r="F201" s="341"/>
      <c r="G201" s="341"/>
      <c r="H201" s="341"/>
      <c r="I201" s="341"/>
      <c r="J201" s="341"/>
    </row>
    <row r="202" spans="1:10">
      <c r="A202" s="341"/>
      <c r="B202" s="341"/>
      <c r="C202" s="341"/>
      <c r="D202" s="341"/>
      <c r="E202" s="341"/>
      <c r="F202" s="341"/>
      <c r="G202" s="341"/>
      <c r="H202" s="341"/>
      <c r="I202" s="341"/>
      <c r="J202" s="341"/>
    </row>
    <row r="203" spans="1:10">
      <c r="A203" s="341"/>
      <c r="B203" s="341"/>
      <c r="C203" s="341"/>
      <c r="D203" s="341"/>
      <c r="E203" s="341"/>
      <c r="F203" s="341"/>
      <c r="G203" s="341"/>
      <c r="H203" s="341"/>
      <c r="I203" s="341"/>
      <c r="J203" s="341"/>
    </row>
    <row r="204" spans="1:10">
      <c r="A204" s="341"/>
      <c r="B204" s="341"/>
      <c r="C204" s="341"/>
      <c r="D204" s="341"/>
      <c r="E204" s="341"/>
      <c r="F204" s="341"/>
      <c r="G204" s="341"/>
      <c r="H204" s="341"/>
      <c r="I204" s="341"/>
      <c r="J204" s="341"/>
    </row>
    <row r="205" spans="1:10">
      <c r="A205" s="341"/>
      <c r="B205" s="341"/>
      <c r="C205" s="341"/>
      <c r="D205" s="341"/>
      <c r="E205" s="341"/>
      <c r="F205" s="341"/>
      <c r="G205" s="341"/>
      <c r="H205" s="341"/>
      <c r="I205" s="341"/>
      <c r="J205" s="341"/>
    </row>
    <row r="206" spans="1:10">
      <c r="A206" s="341"/>
      <c r="B206" s="341"/>
      <c r="C206" s="341"/>
      <c r="D206" s="341"/>
      <c r="E206" s="341"/>
      <c r="F206" s="341"/>
      <c r="G206" s="341"/>
      <c r="H206" s="341"/>
      <c r="I206" s="341"/>
      <c r="J206" s="341"/>
    </row>
    <row r="207" spans="1:10">
      <c r="A207" s="341"/>
      <c r="B207" s="341"/>
      <c r="C207" s="341"/>
      <c r="D207" s="341"/>
      <c r="E207" s="341"/>
      <c r="F207" s="341"/>
      <c r="G207" s="341"/>
      <c r="H207" s="341"/>
      <c r="I207" s="341"/>
      <c r="J207" s="341"/>
    </row>
    <row r="208" spans="1:10">
      <c r="A208" s="341"/>
      <c r="B208" s="341"/>
      <c r="C208" s="341"/>
      <c r="D208" s="341"/>
      <c r="E208" s="341"/>
      <c r="F208" s="341"/>
      <c r="G208" s="341"/>
      <c r="H208" s="341"/>
      <c r="I208" s="341"/>
      <c r="J208" s="341"/>
    </row>
    <row r="209" spans="1:10">
      <c r="A209" s="196"/>
      <c r="B209" s="196"/>
      <c r="C209" s="196"/>
      <c r="D209" s="196"/>
      <c r="E209" s="196"/>
      <c r="F209" s="196"/>
      <c r="G209" s="196"/>
      <c r="H209" s="196"/>
      <c r="I209" s="196"/>
      <c r="J209" s="196"/>
    </row>
    <row r="210" spans="1:10">
      <c r="A210" s="320"/>
      <c r="B210" s="320"/>
      <c r="C210" s="320"/>
      <c r="D210" s="320"/>
      <c r="E210" s="320"/>
      <c r="F210" s="320"/>
      <c r="G210" s="874"/>
      <c r="H210" s="874"/>
      <c r="I210" s="874"/>
      <c r="J210" s="874"/>
    </row>
    <row r="213" spans="1:10" ht="17.399999999999999">
      <c r="A213" s="827" t="s">
        <v>5966</v>
      </c>
      <c r="B213" s="827"/>
      <c r="C213" s="827"/>
      <c r="D213" s="827"/>
      <c r="E213" s="827"/>
      <c r="F213" s="827"/>
      <c r="G213" s="827"/>
      <c r="H213" s="827"/>
      <c r="I213" s="231"/>
      <c r="J213" s="231"/>
    </row>
    <row r="214" spans="1:10">
      <c r="A214" s="276" t="s">
        <v>2</v>
      </c>
      <c r="B214" s="828" t="s">
        <v>5770</v>
      </c>
      <c r="C214" s="828"/>
      <c r="D214" s="828"/>
      <c r="E214" s="828"/>
      <c r="F214" s="828"/>
      <c r="G214" s="828"/>
      <c r="H214" s="828"/>
      <c r="I214" s="231"/>
      <c r="J214" s="231"/>
    </row>
    <row r="215" spans="1:10">
      <c r="A215" s="276" t="s">
        <v>5771</v>
      </c>
      <c r="B215" s="828" t="s">
        <v>5772</v>
      </c>
      <c r="C215" s="828"/>
      <c r="D215" s="828"/>
      <c r="E215" s="828"/>
      <c r="F215" s="828"/>
      <c r="G215" s="828"/>
      <c r="H215" s="828"/>
      <c r="I215" s="231"/>
      <c r="J215" s="231"/>
    </row>
    <row r="216" spans="1:10">
      <c r="A216" s="196"/>
      <c r="B216" s="196"/>
      <c r="C216" s="196"/>
      <c r="D216" s="196"/>
      <c r="E216" s="196"/>
      <c r="F216" s="196"/>
      <c r="G216" s="196"/>
      <c r="H216" s="196"/>
      <c r="I216" s="231"/>
      <c r="J216" s="231"/>
    </row>
    <row r="217" spans="1:10">
      <c r="A217" s="323" t="s">
        <v>4946</v>
      </c>
      <c r="B217" s="323" t="s">
        <v>77</v>
      </c>
      <c r="C217" s="323" t="s">
        <v>5773</v>
      </c>
      <c r="D217" s="323" t="s">
        <v>263</v>
      </c>
      <c r="E217" s="323" t="s">
        <v>216</v>
      </c>
      <c r="F217" s="323" t="s">
        <v>5774</v>
      </c>
      <c r="G217" s="323" t="s">
        <v>5775</v>
      </c>
      <c r="H217" s="323" t="s">
        <v>5776</v>
      </c>
      <c r="I217" s="231"/>
      <c r="J217" s="231"/>
    </row>
    <row r="218" spans="1:10" ht="26.4">
      <c r="A218" s="277" t="s">
        <v>5777</v>
      </c>
      <c r="B218" s="278" t="s">
        <v>1096</v>
      </c>
      <c r="C218" s="277"/>
      <c r="D218" s="277"/>
      <c r="E218" s="277"/>
      <c r="F218" s="277"/>
      <c r="G218" s="279" t="str">
        <f t="shared" ref="G218:G225" si="2">IF(OR(B218="Yes",B218="N/A"),"🟢","🟡")</f>
        <v>🟡</v>
      </c>
      <c r="H218" s="277"/>
      <c r="I218" s="231"/>
      <c r="J218" s="231"/>
    </row>
    <row r="219" spans="1:10">
      <c r="A219" s="277" t="s">
        <v>5778</v>
      </c>
      <c r="B219" s="278" t="s">
        <v>1096</v>
      </c>
      <c r="C219" s="277"/>
      <c r="D219" s="277"/>
      <c r="E219" s="277"/>
      <c r="F219" s="277"/>
      <c r="G219" s="279" t="str">
        <f t="shared" si="2"/>
        <v>🟡</v>
      </c>
      <c r="H219" s="277"/>
      <c r="I219" s="231"/>
      <c r="J219" s="231"/>
    </row>
    <row r="220" spans="1:10">
      <c r="A220" s="277" t="s">
        <v>5779</v>
      </c>
      <c r="B220" s="278" t="s">
        <v>1096</v>
      </c>
      <c r="C220" s="277"/>
      <c r="D220" s="277"/>
      <c r="E220" s="277"/>
      <c r="F220" s="277"/>
      <c r="G220" s="279" t="str">
        <f t="shared" si="2"/>
        <v>🟡</v>
      </c>
      <c r="H220" s="277"/>
      <c r="I220" s="231"/>
      <c r="J220" s="231"/>
    </row>
    <row r="221" spans="1:10">
      <c r="A221" s="277" t="s">
        <v>5168</v>
      </c>
      <c r="B221" s="278" t="s">
        <v>1096</v>
      </c>
      <c r="C221" s="277"/>
      <c r="D221" s="277"/>
      <c r="E221" s="277"/>
      <c r="F221" s="277"/>
      <c r="G221" s="279" t="str">
        <f t="shared" si="2"/>
        <v>🟡</v>
      </c>
      <c r="H221" s="277"/>
      <c r="I221" s="231"/>
      <c r="J221" s="231"/>
    </row>
    <row r="222" spans="1:10">
      <c r="A222" s="277" t="s">
        <v>5780</v>
      </c>
      <c r="B222" s="278" t="s">
        <v>1096</v>
      </c>
      <c r="C222" s="277"/>
      <c r="D222" s="277"/>
      <c r="E222" s="277"/>
      <c r="F222" s="277"/>
      <c r="G222" s="279" t="str">
        <f t="shared" si="2"/>
        <v>🟡</v>
      </c>
      <c r="H222" s="277"/>
      <c r="I222" s="231"/>
      <c r="J222" s="231"/>
    </row>
    <row r="223" spans="1:10">
      <c r="A223" s="277" t="s">
        <v>5781</v>
      </c>
      <c r="B223" s="278" t="s">
        <v>1096</v>
      </c>
      <c r="C223" s="277"/>
      <c r="D223" s="277"/>
      <c r="E223" s="277"/>
      <c r="F223" s="277"/>
      <c r="G223" s="279" t="str">
        <f t="shared" si="2"/>
        <v>🟡</v>
      </c>
      <c r="H223" s="277"/>
      <c r="I223" s="231"/>
      <c r="J223" s="231"/>
    </row>
    <row r="224" spans="1:10">
      <c r="A224" s="277" t="s">
        <v>178</v>
      </c>
      <c r="B224" s="278" t="s">
        <v>1096</v>
      </c>
      <c r="C224" s="277"/>
      <c r="D224" s="277"/>
      <c r="E224" s="277"/>
      <c r="F224" s="277"/>
      <c r="G224" s="279" t="str">
        <f t="shared" si="2"/>
        <v>🟡</v>
      </c>
      <c r="H224" s="277"/>
      <c r="I224" s="231"/>
      <c r="J224" s="231"/>
    </row>
    <row r="225" spans="1:10" ht="26.4">
      <c r="A225" s="277" t="s">
        <v>5782</v>
      </c>
      <c r="B225" s="278" t="s">
        <v>1096</v>
      </c>
      <c r="C225" s="277"/>
      <c r="D225" s="277"/>
      <c r="E225" s="277"/>
      <c r="F225" s="277"/>
      <c r="G225" s="279" t="str">
        <f t="shared" si="2"/>
        <v>🟡</v>
      </c>
      <c r="H225" s="277"/>
      <c r="I225" s="231"/>
      <c r="J225" s="231"/>
    </row>
    <row r="226" spans="1:10" ht="42" customHeight="1">
      <c r="A226" s="324" t="s">
        <v>4946</v>
      </c>
      <c r="B226" s="324" t="s">
        <v>5790</v>
      </c>
      <c r="C226" s="196"/>
      <c r="D226" s="196"/>
      <c r="E226" s="324" t="s">
        <v>5791</v>
      </c>
      <c r="F226" s="196"/>
      <c r="G226" s="196"/>
      <c r="H226" s="196"/>
      <c r="I226" s="231"/>
      <c r="J226" s="231"/>
    </row>
    <row r="227" spans="1:10" ht="42" customHeight="1">
      <c r="A227" s="291" t="s">
        <v>5777</v>
      </c>
      <c r="B227" s="768" t="s">
        <v>5792</v>
      </c>
      <c r="C227" s="768"/>
      <c r="D227" s="768"/>
      <c r="E227" s="768" t="s">
        <v>5793</v>
      </c>
      <c r="F227" s="768"/>
      <c r="G227" s="768"/>
      <c r="H227" s="196"/>
      <c r="I227" s="231"/>
      <c r="J227" s="231"/>
    </row>
    <row r="228" spans="1:10" ht="42" customHeight="1">
      <c r="A228" s="291" t="s">
        <v>5778</v>
      </c>
      <c r="B228" s="768" t="s">
        <v>5794</v>
      </c>
      <c r="C228" s="768"/>
      <c r="D228" s="768"/>
      <c r="E228" s="768" t="s">
        <v>5795</v>
      </c>
      <c r="F228" s="768"/>
      <c r="G228" s="768"/>
      <c r="H228" s="196"/>
      <c r="I228" s="231"/>
      <c r="J228" s="231"/>
    </row>
    <row r="229" spans="1:10" ht="42" customHeight="1">
      <c r="A229" s="291" t="s">
        <v>5779</v>
      </c>
      <c r="B229" s="768" t="s">
        <v>5796</v>
      </c>
      <c r="C229" s="768"/>
      <c r="D229" s="768"/>
      <c r="E229" s="768" t="s">
        <v>5797</v>
      </c>
      <c r="F229" s="768"/>
      <c r="G229" s="768"/>
      <c r="H229" s="196"/>
      <c r="I229" s="231"/>
      <c r="J229" s="231"/>
    </row>
    <row r="230" spans="1:10" ht="42" customHeight="1">
      <c r="A230" s="291" t="s">
        <v>5168</v>
      </c>
      <c r="B230" s="768" t="s">
        <v>5798</v>
      </c>
      <c r="C230" s="768"/>
      <c r="D230" s="768"/>
      <c r="E230" s="768" t="s">
        <v>5799</v>
      </c>
      <c r="F230" s="768"/>
      <c r="G230" s="768"/>
      <c r="H230" s="196"/>
      <c r="I230" s="231"/>
      <c r="J230" s="231"/>
    </row>
    <row r="231" spans="1:10" ht="42" customHeight="1">
      <c r="A231" s="291" t="s">
        <v>5780</v>
      </c>
      <c r="B231" s="768" t="s">
        <v>5800</v>
      </c>
      <c r="C231" s="768"/>
      <c r="D231" s="768"/>
      <c r="E231" s="768" t="s">
        <v>5801</v>
      </c>
      <c r="F231" s="768"/>
      <c r="G231" s="768"/>
      <c r="H231" s="196"/>
      <c r="I231" s="231"/>
      <c r="J231" s="231"/>
    </row>
    <row r="232" spans="1:10" ht="42" customHeight="1">
      <c r="A232" s="291" t="s">
        <v>5781</v>
      </c>
      <c r="B232" s="768" t="s">
        <v>5802</v>
      </c>
      <c r="C232" s="768"/>
      <c r="D232" s="768"/>
      <c r="E232" s="768" t="s">
        <v>5803</v>
      </c>
      <c r="F232" s="768"/>
      <c r="G232" s="768"/>
      <c r="H232" s="196"/>
      <c r="I232" s="231"/>
      <c r="J232" s="231"/>
    </row>
    <row r="233" spans="1:10" ht="42" customHeight="1">
      <c r="A233" s="291" t="s">
        <v>178</v>
      </c>
      <c r="B233" s="768" t="s">
        <v>5804</v>
      </c>
      <c r="C233" s="768"/>
      <c r="D233" s="768"/>
      <c r="E233" s="768" t="s">
        <v>5805</v>
      </c>
      <c r="F233" s="768"/>
      <c r="G233" s="768"/>
      <c r="H233" s="196"/>
      <c r="I233" s="231"/>
      <c r="J233" s="231"/>
    </row>
    <row r="234" spans="1:10" ht="42" customHeight="1">
      <c r="A234" s="291" t="s">
        <v>5782</v>
      </c>
      <c r="B234" s="768" t="s">
        <v>5806</v>
      </c>
      <c r="C234" s="768"/>
      <c r="D234" s="768"/>
      <c r="E234" s="768" t="s">
        <v>5807</v>
      </c>
      <c r="F234" s="768"/>
      <c r="G234" s="768"/>
      <c r="H234" s="196"/>
      <c r="I234" s="231"/>
      <c r="J234" s="231"/>
    </row>
    <row r="235" spans="1:10">
      <c r="A235" s="276" t="s">
        <v>5783</v>
      </c>
      <c r="B235" s="280" t="str">
        <f>IF(COUNTIF(B218:B225,"No")=0,"🟢 PILOT COMPLETE / ACCEPTANCE READY","🟡 NOT COMPLETE — ACCEPTANCE GATES OPEN")</f>
        <v>🟡 NOT COMPLETE — ACCEPTANCE GATES OPEN</v>
      </c>
      <c r="C235" s="280"/>
      <c r="D235" s="280"/>
      <c r="E235" s="280"/>
      <c r="F235" s="280"/>
      <c r="G235" s="280"/>
      <c r="H235" s="280"/>
    </row>
    <row r="236" spans="1:10">
      <c r="A236" s="276" t="s">
        <v>5784</v>
      </c>
      <c r="B236" s="280">
        <f>COUNTIF(B218:B225,"No")</f>
        <v>8</v>
      </c>
      <c r="C236" s="280"/>
      <c r="D236" s="280"/>
      <c r="E236" s="280"/>
      <c r="F236" s="280"/>
      <c r="G236" s="280"/>
      <c r="H236" s="280"/>
    </row>
    <row r="237" spans="1:10">
      <c r="A237" s="276" t="s">
        <v>5785</v>
      </c>
      <c r="B237" s="280" t="str">
        <f>COUNTIF(B218:B225,"Yes")&amp;" / 8 Complete"</f>
        <v>0 / 8 Complete</v>
      </c>
      <c r="C237" s="280"/>
      <c r="D237" s="280"/>
      <c r="E237" s="280"/>
      <c r="F237" s="280"/>
      <c r="G237" s="280"/>
      <c r="H237" s="280"/>
    </row>
    <row r="238" spans="1:10" ht="93">
      <c r="A238" s="281" t="s">
        <v>5786</v>
      </c>
      <c r="B238" s="282" t="s">
        <v>5787</v>
      </c>
      <c r="C238" s="282"/>
      <c r="D238" s="282"/>
      <c r="E238" s="282"/>
      <c r="F238" s="282"/>
      <c r="G238" s="282"/>
      <c r="H238" s="282"/>
    </row>
    <row r="239" spans="1:10">
      <c r="A239" s="281"/>
      <c r="B239" s="282"/>
      <c r="C239" s="282"/>
      <c r="D239" s="282"/>
      <c r="E239" s="282"/>
      <c r="F239" s="282"/>
      <c r="G239" s="282"/>
      <c r="H239" s="282"/>
    </row>
    <row r="240" spans="1:10" ht="66.599999999999994">
      <c r="A240" s="281" t="s">
        <v>5788</v>
      </c>
      <c r="B240" s="282" t="s">
        <v>5789</v>
      </c>
      <c r="C240" s="282"/>
      <c r="D240" s="282"/>
      <c r="E240" s="282"/>
      <c r="F240" s="282"/>
      <c r="G240" s="282"/>
      <c r="H240" s="282"/>
    </row>
  </sheetData>
  <mergeCells count="113">
    <mergeCell ref="G141:J141"/>
    <mergeCell ref="G142:J142"/>
    <mergeCell ref="A166:C166"/>
    <mergeCell ref="D166:F166"/>
    <mergeCell ref="G166:J166"/>
    <mergeCell ref="A176:C176"/>
    <mergeCell ref="D176:F176"/>
    <mergeCell ref="G176:J176"/>
    <mergeCell ref="E234:G234"/>
    <mergeCell ref="B231:D231"/>
    <mergeCell ref="E231:G231"/>
    <mergeCell ref="B232:D232"/>
    <mergeCell ref="E232:G232"/>
    <mergeCell ref="B233:D233"/>
    <mergeCell ref="E233:G233"/>
    <mergeCell ref="A188:C188"/>
    <mergeCell ref="D188:F188"/>
    <mergeCell ref="G188:J188"/>
    <mergeCell ref="B234:D234"/>
    <mergeCell ref="B230:D230"/>
    <mergeCell ref="E230:G230"/>
    <mergeCell ref="G107:J107"/>
    <mergeCell ref="F108:J108"/>
    <mergeCell ref="F109:J109"/>
    <mergeCell ref="F110:J110"/>
    <mergeCell ref="F111:J111"/>
    <mergeCell ref="A106:C106"/>
    <mergeCell ref="D106:F106"/>
    <mergeCell ref="G106:J106"/>
    <mergeCell ref="A118:C118"/>
    <mergeCell ref="D118:F118"/>
    <mergeCell ref="G118:J118"/>
    <mergeCell ref="G119:J119"/>
    <mergeCell ref="G120:J120"/>
    <mergeCell ref="F112:J112"/>
    <mergeCell ref="F113:J113"/>
    <mergeCell ref="F114:J114"/>
    <mergeCell ref="F115:J115"/>
    <mergeCell ref="A116:B116"/>
    <mergeCell ref="C116:D116"/>
    <mergeCell ref="E116:J116"/>
    <mergeCell ref="D127:F127"/>
    <mergeCell ref="B215:H215"/>
    <mergeCell ref="B227:D227"/>
    <mergeCell ref="E227:G227"/>
    <mergeCell ref="B228:D228"/>
    <mergeCell ref="E228:G228"/>
    <mergeCell ref="B229:D229"/>
    <mergeCell ref="E229:G229"/>
    <mergeCell ref="G210:J210"/>
    <mergeCell ref="B149:J149"/>
    <mergeCell ref="G130:J130"/>
    <mergeCell ref="G131:J131"/>
    <mergeCell ref="G132:J132"/>
    <mergeCell ref="A133:D134"/>
    <mergeCell ref="E133:J134"/>
    <mergeCell ref="A143:B143"/>
    <mergeCell ref="C143:D143"/>
    <mergeCell ref="E143:J143"/>
    <mergeCell ref="A155:C155"/>
    <mergeCell ref="D155:F155"/>
    <mergeCell ref="G155:J155"/>
    <mergeCell ref="G138:J138"/>
    <mergeCell ref="G139:J139"/>
    <mergeCell ref="G140:J140"/>
    <mergeCell ref="A50:C50"/>
    <mergeCell ref="A57:C57"/>
    <mergeCell ref="B151:J151"/>
    <mergeCell ref="B147:J147"/>
    <mergeCell ref="B153:J153"/>
    <mergeCell ref="A213:H213"/>
    <mergeCell ref="B214:H214"/>
    <mergeCell ref="G127:J127"/>
    <mergeCell ref="G128:J128"/>
    <mergeCell ref="G121:J121"/>
    <mergeCell ref="G122:J122"/>
    <mergeCell ref="G123:J123"/>
    <mergeCell ref="G124:J124"/>
    <mergeCell ref="A125:B125"/>
    <mergeCell ref="C125:D125"/>
    <mergeCell ref="E125:J125"/>
    <mergeCell ref="A135:C135"/>
    <mergeCell ref="D135:F135"/>
    <mergeCell ref="G135:J135"/>
    <mergeCell ref="G136:J136"/>
    <mergeCell ref="G137:J137"/>
    <mergeCell ref="G129:J129"/>
    <mergeCell ref="G126:J126"/>
    <mergeCell ref="A127:C127"/>
    <mergeCell ref="A1:J1"/>
    <mergeCell ref="B152:J152"/>
    <mergeCell ref="A68:C68"/>
    <mergeCell ref="D6:J6"/>
    <mergeCell ref="A15:C15"/>
    <mergeCell ref="B148:J148"/>
    <mergeCell ref="A36:C36"/>
    <mergeCell ref="A79:C79"/>
    <mergeCell ref="B150:J150"/>
    <mergeCell ref="A8:C8"/>
    <mergeCell ref="A22:C22"/>
    <mergeCell ref="A145:C145"/>
    <mergeCell ref="A29:C29"/>
    <mergeCell ref="A43:C43"/>
    <mergeCell ref="A90:C90"/>
    <mergeCell ref="A97:C97"/>
    <mergeCell ref="D97:F97"/>
    <mergeCell ref="G97:J97"/>
    <mergeCell ref="G98:J98"/>
    <mergeCell ref="G99:J99"/>
    <mergeCell ref="G100:J100"/>
    <mergeCell ref="G102:J102"/>
    <mergeCell ref="A104:B104"/>
    <mergeCell ref="E104:J104"/>
  </mergeCells>
  <phoneticPr fontId="58" type="noConversion"/>
  <conditionalFormatting sqref="B99:B103">
    <cfRule type="expression" dxfId="1497" priority="6">
      <formula>B99="Complete"</formula>
    </cfRule>
    <cfRule type="expression" dxfId="1496" priority="7">
      <formula>B99="In Progress"</formula>
    </cfRule>
    <cfRule type="expression" dxfId="1495" priority="8">
      <formula>B99="At Risk"</formula>
    </cfRule>
    <cfRule type="expression" dxfId="1494" priority="9">
      <formula>B99="Blocked"</formula>
    </cfRule>
    <cfRule type="expression" dxfId="1493" priority="10">
      <formula>B99="Not Started"</formula>
    </cfRule>
  </conditionalFormatting>
  <conditionalFormatting sqref="B108:B115">
    <cfRule type="expression" dxfId="1492" priority="34">
      <formula>B108="Complete"</formula>
    </cfRule>
    <cfRule type="expression" dxfId="1491" priority="35">
      <formula>B108="In Progress"</formula>
    </cfRule>
    <cfRule type="expression" dxfId="1490" priority="36">
      <formula>B108="At Risk"</formula>
    </cfRule>
    <cfRule type="expression" dxfId="1489" priority="37">
      <formula>B108="Blocked"</formula>
    </cfRule>
    <cfRule type="expression" dxfId="1488" priority="38">
      <formula>B108="Not Started"</formula>
    </cfRule>
  </conditionalFormatting>
  <conditionalFormatting sqref="B120:B124">
    <cfRule type="expression" dxfId="1487" priority="39">
      <formula>B120="Complete"</formula>
    </cfRule>
    <cfRule type="expression" dxfId="1486" priority="40">
      <formula>B120="In Progress"</formula>
    </cfRule>
    <cfRule type="expression" dxfId="1485" priority="41">
      <formula>B120="At Risk"</formula>
    </cfRule>
    <cfRule type="expression" dxfId="1484" priority="42">
      <formula>B120="Blocked"</formula>
    </cfRule>
    <cfRule type="expression" dxfId="1483" priority="43">
      <formula>B120="Not Started"</formula>
    </cfRule>
  </conditionalFormatting>
  <conditionalFormatting sqref="B129:B132">
    <cfRule type="expression" dxfId="1482" priority="14">
      <formula>B129="Complete"</formula>
    </cfRule>
    <cfRule type="expression" dxfId="1481" priority="15">
      <formula>B129="In Progress"</formula>
    </cfRule>
    <cfRule type="expression" dxfId="1480" priority="16">
      <formula>B129="At Risk"</formula>
    </cfRule>
    <cfRule type="expression" dxfId="1479" priority="17">
      <formula>B129="Blocked"</formula>
    </cfRule>
    <cfRule type="expression" dxfId="1478" priority="18">
      <formula>B129="Not Started"</formula>
    </cfRule>
  </conditionalFormatting>
  <conditionalFormatting sqref="B137:B142">
    <cfRule type="expression" dxfId="1477" priority="1">
      <formula>B137="Complete"</formula>
    </cfRule>
    <cfRule type="expression" dxfId="1476" priority="2">
      <formula>B137="In Progress"</formula>
    </cfRule>
    <cfRule type="expression" dxfId="1475" priority="3">
      <formula>B137="At Risk"</formula>
    </cfRule>
    <cfRule type="expression" dxfId="1474" priority="4">
      <formula>B137="Blocked"</formula>
    </cfRule>
    <cfRule type="expression" dxfId="1473" priority="5">
      <formula>B137="Not Started"</formula>
    </cfRule>
  </conditionalFormatting>
  <conditionalFormatting sqref="B218:B225">
    <cfRule type="expression" dxfId="1472" priority="99">
      <formula>B218="Yes"</formula>
    </cfRule>
    <cfRule type="expression" dxfId="1471" priority="100">
      <formula>B218="N/A"</formula>
    </cfRule>
    <cfRule type="expression" dxfId="1470" priority="101">
      <formula>B218="No"</formula>
    </cfRule>
  </conditionalFormatting>
  <conditionalFormatting sqref="B235:H235">
    <cfRule type="expression" dxfId="1469" priority="102">
      <formula>COUNTIF($B$6:$B$13,"No")=0</formula>
    </cfRule>
    <cfRule type="expression" dxfId="1468" priority="103">
      <formula>COUNTIF($B$6:$B$13,"No")&gt;0</formula>
    </cfRule>
  </conditionalFormatting>
  <conditionalFormatting sqref="C104:D104">
    <cfRule type="dataBar" priority="53">
      <dataBar>
        <cfvo type="num" val="0"/>
        <cfvo type="num" val="1"/>
        <color rgb="FF5B9BD5"/>
      </dataBar>
    </cfRule>
  </conditionalFormatting>
  <conditionalFormatting sqref="C108:D115">
    <cfRule type="expression" dxfId="1467" priority="44">
      <formula>C108="Yes"</formula>
    </cfRule>
    <cfRule type="expression" dxfId="1466" priority="45">
      <formula>C108="No"</formula>
    </cfRule>
    <cfRule type="expression" dxfId="1465" priority="46">
      <formula>C108="N/A"</formula>
    </cfRule>
  </conditionalFormatting>
  <conditionalFormatting sqref="C116:D116">
    <cfRule type="dataBar" priority="54">
      <dataBar>
        <cfvo type="num" val="0"/>
        <cfvo type="num" val="1"/>
        <color rgb="FF5B9BD5"/>
      </dataBar>
    </cfRule>
  </conditionalFormatting>
  <conditionalFormatting sqref="C125:D125">
    <cfRule type="dataBar" priority="55">
      <dataBar>
        <cfvo type="num" val="0"/>
        <cfvo type="num" val="1"/>
        <color rgb="FF5B9BD5"/>
      </dataBar>
    </cfRule>
  </conditionalFormatting>
  <conditionalFormatting sqref="C137:D142">
    <cfRule type="expression" dxfId="1464" priority="24">
      <formula>C137="Yes"</formula>
    </cfRule>
    <cfRule type="expression" dxfId="1463" priority="25">
      <formula>C137="No"</formula>
    </cfRule>
    <cfRule type="expression" dxfId="1462" priority="26">
      <formula>C137="N/A"</formula>
    </cfRule>
  </conditionalFormatting>
  <conditionalFormatting sqref="C143:D143">
    <cfRule type="dataBar" priority="28">
      <dataBar>
        <cfvo type="num" val="0"/>
        <cfvo type="num" val="1"/>
        <color rgb="FF5B9BD5"/>
      </dataBar>
    </cfRule>
  </conditionalFormatting>
  <conditionalFormatting sqref="C120:E124">
    <cfRule type="expression" dxfId="1461" priority="11">
      <formula>C120="Yes"</formula>
    </cfRule>
    <cfRule type="expression" dxfId="1460" priority="12">
      <formula>C120="No"</formula>
    </cfRule>
    <cfRule type="expression" dxfId="1459" priority="13">
      <formula>C120="N/A"</formula>
    </cfRule>
  </conditionalFormatting>
  <conditionalFormatting sqref="E5 G5 I5">
    <cfRule type="expression" dxfId="1458" priority="104">
      <formula>E5="Pass"</formula>
    </cfRule>
    <cfRule type="expression" dxfId="1457" priority="105">
      <formula>E5="Verify"</formula>
    </cfRule>
    <cfRule type="expression" dxfId="1456" priority="106">
      <formula>E5="Fail"</formula>
    </cfRule>
    <cfRule type="expression" dxfId="1455" priority="107">
      <formula>E5="Not Started"</formula>
    </cfRule>
  </conditionalFormatting>
  <conditionalFormatting sqref="F3">
    <cfRule type="expression" dxfId="1454" priority="108">
      <formula>F3="Yes"</formula>
    </cfRule>
    <cfRule type="expression" dxfId="1453" priority="109">
      <formula>F3="No"</formula>
    </cfRule>
  </conditionalFormatting>
  <conditionalFormatting sqref="F120:F124">
    <cfRule type="expression" dxfId="1452" priority="50">
      <formula>F120="Pass"</formula>
    </cfRule>
    <cfRule type="expression" dxfId="1451" priority="51">
      <formula>F120="Fail"</formula>
    </cfRule>
    <cfRule type="expression" dxfId="1450" priority="52">
      <formula>F120="Pending"</formula>
    </cfRule>
  </conditionalFormatting>
  <conditionalFormatting sqref="F129:F132">
    <cfRule type="dataBar" priority="27">
      <dataBar>
        <cfvo type="num" val="0"/>
        <cfvo type="num" val="1"/>
        <color rgb="FF5B9BD5"/>
      </dataBar>
    </cfRule>
  </conditionalFormatting>
  <dataValidations count="5">
    <dataValidation type="list" sqref="B5:B6 D5 F5 H5 H10:H20 J5 H148:I153 I16:I20 D70:D78 H145:I146 H21:I96" xr:uid="{00000000-0002-0000-3900-000000000000}">
      <formula1>"Not Started,Verify,Pass,Fail,N/A,Open,Closed,Partial / Yellow"</formula1>
      <formula2>0</formula2>
    </dataValidation>
    <dataValidation type="list" sqref="B218:B225" xr:uid="{AD767393-3FC0-41F9-BC30-8F8F5BD21270}">
      <formula1>"No,Yes,N/A"</formula1>
    </dataValidation>
    <dataValidation type="list" allowBlank="1" sqref="B120:B124 B129:B132 B108:B115 B99:B103 B137:B142" xr:uid="{AB3827B4-5DAF-457B-8EA8-E916410E8E93}">
      <formula1>"Not Started,In Progress,Complete,At Risk,Blocked"</formula1>
    </dataValidation>
    <dataValidation type="list" allowBlank="1" sqref="C120:E124 C108:D115 C137:D142" xr:uid="{26EE3A2A-D52D-4BA8-ABFA-368D3B53B178}">
      <formula1>"Yes,No,N/A"</formula1>
    </dataValidation>
    <dataValidation type="list" allowBlank="1" sqref="F120:F124" xr:uid="{70BA0F6D-D9E9-400E-8046-1ABD47FD8BE1}">
      <formula1>"Pending,Pass,Fail,N/A"</formula1>
    </dataValidation>
  </dataValidations>
  <pageMargins left="0.7" right="0.7" top="0.75" bottom="0.75" header="0.3" footer="0.3"/>
  <legacy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2AC1C-6046-4566-8629-9286F7F51CE2}">
  <dimension ref="A1:P340"/>
  <sheetViews>
    <sheetView topLeftCell="A231" workbookViewId="0">
      <selection activeCell="G245" sqref="G245"/>
    </sheetView>
  </sheetViews>
  <sheetFormatPr defaultRowHeight="13.2"/>
  <cols>
    <col min="1" max="1" width="13.33203125" style="196" customWidth="1"/>
    <col min="2" max="2" width="20" style="196" customWidth="1"/>
    <col min="3" max="3" width="31.109375" style="196" customWidth="1"/>
    <col min="4" max="4" width="15.5546875" style="196" customWidth="1"/>
    <col min="5" max="5" width="16.6640625" style="196" customWidth="1"/>
    <col min="6" max="6" width="13.33203125" style="196" customWidth="1"/>
    <col min="7" max="9" width="15.5546875" style="196" customWidth="1"/>
    <col min="10" max="10" width="17.77734375" style="196" customWidth="1"/>
    <col min="11" max="11" width="15.5546875" style="196" customWidth="1"/>
    <col min="12" max="12" width="20" style="196" customWidth="1"/>
    <col min="13" max="13" width="37.77734375" style="196" customWidth="1"/>
    <col min="14" max="14" width="44.44140625" style="196" customWidth="1"/>
    <col min="15" max="15" width="28.88671875" style="196" customWidth="1"/>
    <col min="16" max="16" width="33.33203125" style="196" customWidth="1"/>
    <col min="17" max="16384" width="8.88671875" style="196"/>
  </cols>
  <sheetData>
    <row r="1" spans="1:16">
      <c r="A1" s="549" t="s">
        <v>6032</v>
      </c>
      <c r="B1" s="549"/>
      <c r="C1" s="549"/>
      <c r="D1" s="549"/>
      <c r="E1" s="549"/>
      <c r="F1" s="549"/>
      <c r="G1" s="549"/>
      <c r="H1" s="549"/>
      <c r="I1" s="549"/>
      <c r="J1" s="549"/>
      <c r="K1" s="549"/>
      <c r="L1" s="549"/>
      <c r="M1" s="549"/>
      <c r="N1" s="549"/>
      <c r="O1" s="549"/>
      <c r="P1" s="549"/>
    </row>
    <row r="2" spans="1:16">
      <c r="A2" s="549"/>
      <c r="B2" s="549"/>
      <c r="C2" s="549"/>
      <c r="D2" s="549"/>
      <c r="E2" s="549"/>
      <c r="F2" s="549"/>
      <c r="G2" s="549"/>
      <c r="H2" s="549"/>
      <c r="I2" s="549"/>
      <c r="J2" s="549"/>
      <c r="K2" s="549"/>
      <c r="L2" s="549"/>
      <c r="M2" s="549"/>
      <c r="N2" s="549"/>
      <c r="O2" s="549"/>
      <c r="P2" s="549"/>
    </row>
    <row r="3" spans="1:16">
      <c r="A3" s="543" t="s">
        <v>6033</v>
      </c>
      <c r="B3" s="543"/>
      <c r="C3" s="543"/>
      <c r="D3" s="543"/>
      <c r="E3" s="543"/>
      <c r="F3" s="543"/>
      <c r="G3" s="543"/>
      <c r="H3" s="543"/>
      <c r="I3" s="543"/>
      <c r="J3" s="543"/>
      <c r="K3" s="543"/>
      <c r="L3" s="543"/>
      <c r="M3" s="543"/>
      <c r="N3" s="543"/>
      <c r="O3" s="543"/>
      <c r="P3" s="543"/>
    </row>
    <row r="4" spans="1:16">
      <c r="A4" s="339"/>
      <c r="B4" s="339"/>
      <c r="C4" s="339"/>
      <c r="D4" s="339"/>
      <c r="E4" s="339"/>
      <c r="F4" s="339"/>
      <c r="G4" s="339"/>
      <c r="H4" s="339"/>
      <c r="I4" s="339"/>
      <c r="J4" s="339"/>
      <c r="K4" s="339"/>
      <c r="L4" s="339"/>
      <c r="M4" s="339"/>
      <c r="N4" s="339"/>
      <c r="O4" s="339"/>
      <c r="P4" s="339"/>
    </row>
    <row r="5" spans="1:16" ht="13.8">
      <c r="A5" s="541" t="s">
        <v>6034</v>
      </c>
      <c r="B5" s="541"/>
      <c r="C5" s="541"/>
      <c r="D5" s="541"/>
      <c r="E5" s="339"/>
      <c r="F5" s="339"/>
      <c r="G5" s="339"/>
      <c r="H5" s="339"/>
      <c r="I5" s="339"/>
      <c r="J5" s="339"/>
      <c r="K5" s="339"/>
      <c r="L5" s="339"/>
      <c r="M5" s="339"/>
      <c r="N5" s="339"/>
      <c r="O5" s="339"/>
      <c r="P5" s="339"/>
    </row>
    <row r="6" spans="1:16" ht="24">
      <c r="A6" s="530" t="s">
        <v>5922</v>
      </c>
      <c r="B6" s="339" t="s">
        <v>374</v>
      </c>
      <c r="C6" s="530" t="s">
        <v>5974</v>
      </c>
      <c r="D6" s="339" t="s">
        <v>5982</v>
      </c>
      <c r="E6" s="339"/>
      <c r="F6" s="339"/>
      <c r="G6" s="339"/>
      <c r="H6" s="339"/>
      <c r="I6" s="339"/>
      <c r="J6" s="339"/>
      <c r="K6" s="339"/>
      <c r="L6" s="339"/>
      <c r="M6" s="339"/>
      <c r="N6" s="339"/>
      <c r="O6" s="339"/>
      <c r="P6" s="339"/>
    </row>
    <row r="7" spans="1:16">
      <c r="A7" s="530" t="s">
        <v>6035</v>
      </c>
      <c r="B7" s="529">
        <v>46216</v>
      </c>
      <c r="C7" s="530" t="s">
        <v>6036</v>
      </c>
      <c r="D7" s="529">
        <v>46220</v>
      </c>
      <c r="E7" s="339"/>
      <c r="F7" s="339"/>
      <c r="G7" s="339"/>
      <c r="H7" s="339"/>
      <c r="I7" s="339"/>
      <c r="J7" s="339"/>
      <c r="K7" s="339"/>
      <c r="L7" s="339"/>
      <c r="M7" s="339"/>
      <c r="N7" s="339"/>
      <c r="O7" s="339"/>
      <c r="P7" s="339"/>
    </row>
    <row r="8" spans="1:16">
      <c r="A8" s="530" t="s">
        <v>6005</v>
      </c>
      <c r="B8" s="339" t="s">
        <v>229</v>
      </c>
      <c r="C8" s="530" t="s">
        <v>6006</v>
      </c>
      <c r="D8" s="339" t="s">
        <v>5981</v>
      </c>
      <c r="E8" s="339"/>
      <c r="F8" s="339"/>
      <c r="G8" s="339"/>
      <c r="H8" s="339"/>
      <c r="I8" s="339"/>
      <c r="J8" s="339"/>
      <c r="K8" s="339"/>
      <c r="L8" s="339"/>
      <c r="M8" s="339"/>
      <c r="N8" s="339"/>
      <c r="O8" s="339"/>
      <c r="P8" s="339"/>
    </row>
    <row r="9" spans="1:16">
      <c r="A9" s="339"/>
      <c r="B9" s="339"/>
      <c r="C9" s="339"/>
      <c r="D9" s="339"/>
      <c r="E9" s="339"/>
      <c r="F9" s="339"/>
      <c r="G9" s="339"/>
      <c r="H9" s="339"/>
      <c r="I9" s="339"/>
      <c r="J9" s="339"/>
      <c r="K9" s="339"/>
      <c r="L9" s="339"/>
      <c r="M9" s="339"/>
      <c r="N9" s="339"/>
      <c r="O9" s="339"/>
      <c r="P9" s="339"/>
    </row>
    <row r="10" spans="1:16" ht="13.8">
      <c r="A10" s="541" t="s">
        <v>358</v>
      </c>
      <c r="B10" s="541"/>
      <c r="C10" s="541" t="s">
        <v>538</v>
      </c>
      <c r="D10" s="541"/>
      <c r="E10" s="541" t="s">
        <v>145</v>
      </c>
      <c r="F10" s="541"/>
      <c r="G10" s="541" t="s">
        <v>161</v>
      </c>
      <c r="H10" s="541"/>
      <c r="I10" s="541" t="s">
        <v>199</v>
      </c>
      <c r="J10" s="541"/>
      <c r="K10" s="541" t="s">
        <v>5672</v>
      </c>
      <c r="L10" s="541"/>
      <c r="M10" s="541" t="s">
        <v>171</v>
      </c>
      <c r="N10" s="541"/>
      <c r="O10" s="541" t="s">
        <v>5967</v>
      </c>
      <c r="P10" s="541"/>
    </row>
    <row r="11" spans="1:16">
      <c r="A11" s="881">
        <f>COUNTIF(PMIS_Data!$A$3:$A$40,"&lt;&gt;")</f>
        <v>30</v>
      </c>
      <c r="B11" s="881"/>
      <c r="C11" s="883">
        <f>IFERROR(AVERAGEIF(PMIS_Data!$E$3:$E$40,"&gt;0"),0)</f>
        <v>0.5066666666666666</v>
      </c>
      <c r="D11" s="881"/>
      <c r="E11" s="881">
        <f>SUM(PMIS_Data!$G$3:$G$40)</f>
        <v>814</v>
      </c>
      <c r="F11" s="881"/>
      <c r="G11" s="881">
        <f>SUM(PMIS_Data!$H$3:$H$40)</f>
        <v>0</v>
      </c>
      <c r="H11" s="881"/>
      <c r="I11" s="881">
        <f>SUM(PMIS_Data!$I$3:$I$40)</f>
        <v>0</v>
      </c>
      <c r="J11" s="881"/>
      <c r="K11" s="881">
        <f>COUNTIFS(Shutdown_Tracker!$I$5:$I$100,"&lt;&gt;Closed",Shutdown_Tracker!$A$5:$A$100,"&lt;&gt;")</f>
        <v>1</v>
      </c>
      <c r="L11" s="881"/>
      <c r="M11" s="881">
        <f>COUNTIF(PMIS_Data!$F$3:$F$40,"No")</f>
        <v>29</v>
      </c>
      <c r="N11" s="881"/>
      <c r="O11" s="881">
        <f>COUNTIFS($J$241:$J$320,"Yes",$G$241:$G$320,"&lt;&gt;Closed",$A$241:$A$320,"&lt;&gt;")</f>
        <v>6</v>
      </c>
      <c r="P11" s="881"/>
    </row>
    <row r="12" spans="1:16">
      <c r="A12" s="881"/>
      <c r="B12" s="881"/>
      <c r="C12" s="881"/>
      <c r="D12" s="881"/>
      <c r="E12" s="881"/>
      <c r="F12" s="881"/>
      <c r="G12" s="881"/>
      <c r="H12" s="881"/>
      <c r="I12" s="881"/>
      <c r="J12" s="881"/>
      <c r="K12" s="881"/>
      <c r="L12" s="881"/>
      <c r="M12" s="881"/>
      <c r="N12" s="881"/>
      <c r="O12" s="881"/>
      <c r="P12" s="881"/>
    </row>
    <row r="13" spans="1:16">
      <c r="A13" s="881"/>
      <c r="B13" s="881"/>
      <c r="C13" s="881"/>
      <c r="D13" s="881"/>
      <c r="E13" s="881"/>
      <c r="F13" s="881"/>
      <c r="G13" s="881"/>
      <c r="H13" s="881"/>
      <c r="I13" s="881"/>
      <c r="J13" s="881"/>
      <c r="K13" s="881"/>
      <c r="L13" s="881"/>
      <c r="M13" s="881"/>
      <c r="N13" s="881"/>
      <c r="O13" s="881"/>
      <c r="P13" s="881"/>
    </row>
    <row r="14" spans="1:16">
      <c r="A14" s="339"/>
      <c r="B14" s="339"/>
      <c r="C14" s="339"/>
      <c r="D14" s="339"/>
      <c r="E14" s="339"/>
      <c r="F14" s="339"/>
      <c r="G14" s="339"/>
      <c r="H14" s="339"/>
      <c r="I14" s="339"/>
      <c r="J14" s="339"/>
      <c r="K14" s="339"/>
      <c r="L14" s="339"/>
      <c r="M14" s="339"/>
      <c r="N14" s="339"/>
      <c r="O14" s="339"/>
      <c r="P14" s="339"/>
    </row>
    <row r="15" spans="1:16" ht="13.8">
      <c r="A15" s="541" t="s">
        <v>6037</v>
      </c>
      <c r="B15" s="541"/>
      <c r="C15" s="541"/>
      <c r="D15" s="541"/>
      <c r="E15" s="541"/>
      <c r="F15" s="541"/>
      <c r="G15" s="541"/>
      <c r="H15" s="541"/>
      <c r="I15" s="541"/>
      <c r="J15" s="541"/>
      <c r="K15" s="541"/>
      <c r="L15" s="541"/>
      <c r="M15" s="541"/>
      <c r="N15" s="541"/>
      <c r="O15" s="541"/>
      <c r="P15" s="541"/>
    </row>
    <row r="16" spans="1:16">
      <c r="A16" s="536" t="s">
        <v>142</v>
      </c>
      <c r="B16" s="536" t="s">
        <v>5</v>
      </c>
      <c r="C16" s="536" t="s">
        <v>77</v>
      </c>
      <c r="D16" s="536" t="s">
        <v>174</v>
      </c>
      <c r="E16" s="536" t="s">
        <v>154</v>
      </c>
      <c r="F16" s="536" t="s">
        <v>145</v>
      </c>
      <c r="G16" s="536" t="s">
        <v>161</v>
      </c>
      <c r="H16" s="536" t="s">
        <v>199</v>
      </c>
      <c r="I16" s="536" t="s">
        <v>869</v>
      </c>
      <c r="J16" s="536" t="s">
        <v>870</v>
      </c>
      <c r="K16" s="536" t="s">
        <v>5906</v>
      </c>
      <c r="L16" s="536" t="s">
        <v>5912</v>
      </c>
      <c r="M16" s="339"/>
      <c r="N16" s="339"/>
      <c r="O16" s="339"/>
      <c r="P16" s="339"/>
    </row>
    <row r="17" spans="1:16" ht="27.6" customHeight="1">
      <c r="A17" s="339" t="str">
        <f>IFERROR(INDEX(PMIS_Data!$A$3:$A$40,1),"")</f>
        <v>01</v>
      </c>
      <c r="B17" s="339" t="str">
        <f>IF($A17="","",IFERROR(INDEX(PMIS_Data!$B$3:$B$40,1),""))</f>
        <v>B01_Assessment</v>
      </c>
      <c r="C17" s="339" t="str">
        <f>IF($A17="","",IFERROR(INDEX(PMIS_Data!$C$3:$C$40,1),""))</f>
        <v>Yellow</v>
      </c>
      <c r="D17" s="535">
        <f>IF($A17="","",IFERROR(INDEX(PMIS_Data!$E$3:$E$40,1),""))</f>
        <v>0.5</v>
      </c>
      <c r="E17" s="339" t="str">
        <f>IF($A17="","",IFERROR(INDEX(PMIS_Data!$F$3:$F$40,1),""))</f>
        <v>No</v>
      </c>
      <c r="F17" s="339">
        <f>IF($A17="","",IFERROR(INDEX(PMIS_Data!$G$3:$G$40,1),""))</f>
        <v>29</v>
      </c>
      <c r="G17" s="339">
        <f>IF($A17="","",IFERROR(INDEX(PMIS_Data!$H$3:$H$40,1),""))</f>
        <v>0</v>
      </c>
      <c r="H17" s="339">
        <f>IF($A17="","",IFERROR(INDEX(PMIS_Data!$I$3:$I$40,1),""))</f>
        <v>0</v>
      </c>
      <c r="I17" s="339" t="str">
        <f>IF($A17="","",IFERROR(INDEX(PMIS_Data!$Q$3:$Q$40,1),""))</f>
        <v>Field verify Room 107, existing B02, 138, and 282; confirm active services, existing rack/equipment transfer, B01-TR107A/B panel sources, IU-1-01/CU-1-01 cooling, fire alarm/sprinkler impacts, FEC location, PACS/CCTV scope, 394 ft cable tray routes, and telecom cutover sequence.</v>
      </c>
      <c r="J17" s="339" t="str">
        <f>IF($A17="","",IFERROR(INDEX(PMIS_Data!$R$3:$R$40,1),""))</f>
        <v>Building 01 is a full-scope telecom room building with new First-Level Telecom Room 107 and existing telecom transition rooms B02, 138, and 282. Scope includes architectural, hazardous, fire protection, mechanical, electrical, telecom, security, rack elevations, schedules, and photo references. Major open items include active service transfer from existing rooms, IU-1-01/CU-1-01 cooling, B01-TR107A/B normal/emergency power, UPS/PDU rack power, PACS/CCTV, 394 ft cable tray, firestopping, fiber Path A/B, and room/equipment cutover planning.</v>
      </c>
      <c r="K17" s="339" t="str">
        <f ca="1">IF($A17="","",IFERROR(INDEX(PMIS_Data!$AC$3:$AC$40,1),""))</f>
        <v>Blocked</v>
      </c>
      <c r="L17" s="339" t="str">
        <f ca="1">IF($A17="","",IFERROR(INDEX(PMIS_Data!$AJ$3:$AJ$40,1),""))</f>
        <v>Not Ready</v>
      </c>
      <c r="M17" s="339"/>
      <c r="N17" s="339"/>
      <c r="O17" s="339"/>
      <c r="P17" s="339"/>
    </row>
    <row r="18" spans="1:16" ht="27.6" customHeight="1">
      <c r="A18" s="339" t="str">
        <f>IFERROR(INDEX(PMIS_Data!$A$3:$A$40,2),"")</f>
        <v>02</v>
      </c>
      <c r="B18" s="339" t="str">
        <f>IF($A18="","",IFERROR(INDEX(PMIS_Data!$B$3:$B$40,2),""))</f>
        <v>B02_Assessment</v>
      </c>
      <c r="C18" s="339" t="str">
        <f>IF($A18="","",IFERROR(INDEX(PMIS_Data!$C$3:$C$40,2),""))</f>
        <v>Yellow</v>
      </c>
      <c r="D18" s="535">
        <f>IF($A18="","",IFERROR(INDEX(PMIS_Data!$E$3:$E$40,2),""))</f>
        <v>0.5</v>
      </c>
      <c r="E18" s="339" t="str">
        <f>IF($A18="","",IFERROR(INDEX(PMIS_Data!$F$3:$F$40,2),""))</f>
        <v>No</v>
      </c>
      <c r="F18" s="339">
        <f>IF($A18="","",IFERROR(INDEX(PMIS_Data!$G$3:$G$40,2),""))</f>
        <v>30</v>
      </c>
      <c r="G18" s="339">
        <f>IF($A18="","",IFERROR(INDEX(PMIS_Data!$H$3:$H$40,2),""))</f>
        <v>0</v>
      </c>
      <c r="H18" s="339">
        <f>IF($A18="","",IFERROR(INDEX(PMIS_Data!$I$3:$I$40,2),""))</f>
        <v>0</v>
      </c>
      <c r="I18" s="339" t="str">
        <f>IF($A18="","",IFERROR(INDEX(PMIS_Data!$Q$3:$Q$40,2),""))</f>
        <v>Field verify new Rooms 141, 236, 342 and existing B-06/141/236; confirm active services, rack/equipment transfer, B02-TR141A/B, B02-TR236A/B, B02-TR342A/B panel sources, CU-1-01/CU-2-01/CU-3-01 cooling assignments, fire alarm/sprinkler impacts, FEC locations, PACS/CCTV scope, 2,560 ft cable tray routes, and telecom cutover sequence.</v>
      </c>
      <c r="J18" s="339" t="str">
        <f>IF($A18="","",IFERROR(INDEX(PMIS_Data!$R$3:$R$40,2),""))</f>
        <v>Building 02 is a large full-scope telecom room building with new Telecom Rooms 141, 236, and 342, plus existing telecom transition rooms B-06, 141, and 236. Scope includes architectural, infection control, fire protection, mechanical, electrical, telecommunications, rack elevations, schedules, PACS/CCTV, and photo references. Major open items include active service transfer, multiple panel sets B02-TR141/236/342 A/B, dedicated cooling CU-1/2/3-01, firestopping, PACS/CCTV integration, 2,560 ft cable tray, and high WAO/cable quantity acceptance.</v>
      </c>
      <c r="K18" s="339" t="str">
        <f ca="1">IF($A18="","",IFERROR(INDEX(PMIS_Data!$AC$3:$AC$40,2),""))</f>
        <v>Blocked</v>
      </c>
      <c r="L18" s="339" t="str">
        <f ca="1">IF($A18="","",IFERROR(INDEX(PMIS_Data!$AJ$3:$AJ$40,2),""))</f>
        <v>Not Ready</v>
      </c>
      <c r="M18" s="339"/>
      <c r="N18" s="339"/>
      <c r="O18" s="339"/>
      <c r="P18" s="339"/>
    </row>
    <row r="19" spans="1:16" ht="27.6" customHeight="1">
      <c r="A19" s="339" t="str">
        <f>IFERROR(INDEX(PMIS_Data!$A$3:$A$40,3),"")</f>
        <v>03</v>
      </c>
      <c r="B19" s="339" t="str">
        <f>IF($A19="","",IFERROR(INDEX(PMIS_Data!$B$3:$B$40,3),""))</f>
        <v>B03_Assessment</v>
      </c>
      <c r="C19" s="339" t="str">
        <f>IF($A19="","",IFERROR(INDEX(PMIS_Data!$C$3:$C$40,3),""))</f>
        <v>Yellow</v>
      </c>
      <c r="D19" s="535">
        <f>IF($A19="","",IFERROR(INDEX(PMIS_Data!$E$3:$E$40,3),""))</f>
        <v>0.5</v>
      </c>
      <c r="E19" s="339" t="str">
        <f>IF($A19="","",IFERROR(INDEX(PMIS_Data!$F$3:$F$40,3),""))</f>
        <v>No</v>
      </c>
      <c r="F19" s="339">
        <f>IF($A19="","",IFERROR(INDEX(PMIS_Data!$G$3:$G$40,3),""))</f>
        <v>29</v>
      </c>
      <c r="G19" s="339">
        <f>IF($A19="","",IFERROR(INDEX(PMIS_Data!$H$3:$H$40,3),""))</f>
        <v>0</v>
      </c>
      <c r="H19" s="339">
        <f>IF($A19="","",IFERROR(INDEX(PMIS_Data!$I$3:$I$40,3),""))</f>
        <v>0</v>
      </c>
      <c r="I19" s="339" t="str">
        <f>IF($A19="","",IFERROR(INDEX(PMIS_Data!$Q$3:$Q$40,3),""))</f>
        <v>Field verify Room 101E, existing Room 107, and existing DMARC Room 101C; confirm active services, existing rack/equipment transfer, B03-TR101CA/B panel sources, CU-01 cooling assignment, fire alarm/sprinkler impacts, FEC location, PACS/CCTV scope, 961 ft cable tray routes, Room 107 inventory, and telecom cutover/fiber transfer sequence.</v>
      </c>
      <c r="J19" s="339" t="str">
        <f>IF($A19="","",IFERROR(INDEX(PMIS_Data!$R$3:$R$40,3),""))</f>
        <v>Building 03 is a full-scope telecom room building centered on new/renovated Telecom Room 101E, with existing Basement Telecom Room 107 and existing first-floor DMARC/telecom Room 101C as transition points. Scope includes architectural, infection control, fire protection, mechanical, electrical, telecommunications, rack elevations, Room 107 inventory, PACS/CCTV, 961 ft cable tray, and 206 total ports with allowance. Major open items include transfer from existing 107/101C, active DMARC/fiber protection, B03-TR101CA/B panel sources, CU-01 cooling, firestopping, camera 101C-CAM-01, and OIT acceptance.</v>
      </c>
      <c r="K19" s="339" t="str">
        <f ca="1">IF($A19="","",IFERROR(INDEX(PMIS_Data!$AC$3:$AC$40,3),""))</f>
        <v>Blocked</v>
      </c>
      <c r="L19" s="339" t="str">
        <f ca="1">IF($A19="","",IFERROR(INDEX(PMIS_Data!$AJ$3:$AJ$40,3),""))</f>
        <v>Not Ready</v>
      </c>
      <c r="M19" s="339"/>
      <c r="N19" s="339"/>
      <c r="O19" s="339"/>
      <c r="P19" s="339"/>
    </row>
    <row r="20" spans="1:16" ht="27.6" customHeight="1">
      <c r="A20" s="339" t="str">
        <f>IFERROR(INDEX(PMIS_Data!$A$3:$A$40,4),"")</f>
        <v>04</v>
      </c>
      <c r="B20" s="339" t="str">
        <f>IF($A20="","",IFERROR(INDEX(PMIS_Data!$B$3:$B$40,4),""))</f>
        <v>B04_Assessment</v>
      </c>
      <c r="C20" s="339" t="str">
        <f>IF($A20="","",IFERROR(INDEX(PMIS_Data!$C$3:$C$40,4),""))</f>
        <v>Yellow</v>
      </c>
      <c r="D20" s="535">
        <f>IF($A20="","",IFERROR(INDEX(PMIS_Data!$E$3:$E$40,4),""))</f>
        <v>0.5</v>
      </c>
      <c r="E20" s="339" t="str">
        <f>IF($A20="","",IFERROR(INDEX(PMIS_Data!$F$3:$F$40,4),""))</f>
        <v>No</v>
      </c>
      <c r="F20" s="339">
        <f>IF($A20="","",IFERROR(INDEX(PMIS_Data!$G$3:$G$40,4),""))</f>
        <v>27</v>
      </c>
      <c r="G20" s="339">
        <f>IF($A20="","",IFERROR(INDEX(PMIS_Data!$H$3:$H$40,4),""))</f>
        <v>0</v>
      </c>
      <c r="H20" s="339">
        <f>IF($A20="","",IFERROR(INDEX(PMIS_Data!$I$3:$I$40,4),""))</f>
        <v>0</v>
      </c>
      <c r="I20" s="339" t="str">
        <f>IF($A20="","",IFERROR(INDEX(PMIS_Data!$Q$3:$Q$40,4),""))</f>
        <v>Field verify TR rooms B05, 141, and 244A; confirm cooling, panel/circuiting, fire alarm/sprinkler impacts, FEC locations, and cutover/phasing plan.</v>
      </c>
      <c r="J20" s="339" t="str">
        <f>IF($A20="","",IFERROR(INDEX(PMIS_Data!$R$3:$R$40,4),""))</f>
        <v>B04 has multiple TRs across basement/first/second levels; field verification, abatement coordination, cooling power, firestopping, and cutover phasing remain open.</v>
      </c>
      <c r="K20" s="339" t="str">
        <f ca="1">IF($A20="","",IFERROR(INDEX(PMIS_Data!$AC$3:$AC$40,4),""))</f>
        <v>Blocked</v>
      </c>
      <c r="L20" s="339" t="str">
        <f ca="1">IF($A20="","",IFERROR(INDEX(PMIS_Data!$AJ$3:$AJ$40,4),""))</f>
        <v>Not Ready</v>
      </c>
      <c r="M20" s="339"/>
      <c r="N20" s="339"/>
      <c r="O20" s="339"/>
      <c r="P20" s="339"/>
    </row>
    <row r="21" spans="1:16" ht="27.6" customHeight="1">
      <c r="A21" s="339" t="str">
        <f>IFERROR(INDEX(PMIS_Data!$A$3:$A$40,5),"")</f>
        <v>05</v>
      </c>
      <c r="B21" s="339" t="str">
        <f>IF($A21="","",IFERROR(INDEX(PMIS_Data!$B$3:$B$40,5),""))</f>
        <v>B05_Assessment</v>
      </c>
      <c r="C21" s="339" t="str">
        <f>IF($A21="","",IFERROR(INDEX(PMIS_Data!$C$3:$C$40,5),""))</f>
        <v>Yellow</v>
      </c>
      <c r="D21" s="535">
        <f>IF($A21="","",IFERROR(INDEX(PMIS_Data!$E$3:$E$40,5),""))</f>
        <v>0.55000000000000004</v>
      </c>
      <c r="E21" s="339" t="str">
        <f>IF($A21="","",IFERROR(INDEX(PMIS_Data!$F$3:$F$40,5),""))</f>
        <v>No</v>
      </c>
      <c r="F21" s="339">
        <f>IF($A21="","",IFERROR(INDEX(PMIS_Data!$G$3:$G$40,5),""))</f>
        <v>26</v>
      </c>
      <c r="G21" s="339">
        <f>IF($A21="","",IFERROR(INDEX(PMIS_Data!$H$3:$H$40,5),""))</f>
        <v>0</v>
      </c>
      <c r="H21" s="339">
        <f>IF($A21="","",IFERROR(INDEX(PMIS_Data!$I$3:$I$40,5),""))</f>
        <v>0</v>
      </c>
      <c r="I21" s="339" t="str">
        <f>IF($A21="","",IFERROR(INDEX(PMIS_Data!$Q$3:$Q$40,5),""))</f>
        <v>Field verify Room 150 TE location, existing 153-A equipment to remain/transition, electrical source, UPS/PDU receptacles, PACS/CCTV requirements, firestopping, and cutover sequence.</v>
      </c>
      <c r="J21" s="339" t="str">
        <f>IF($A21="","",IFERROR(INDEX(PMIS_Data!$R$3:$R$40,5),""))</f>
        <v>Building 05 receives a Telecom Enclosure only; mechanical and fire protection scope is excluded, so TE power, telecom cutover, existing room conditions, and fire/life-safety interfaces must be verified.</v>
      </c>
      <c r="K21" s="339" t="str">
        <f ca="1">IF($A21="","",IFERROR(INDEX(PMIS_Data!$AC$3:$AC$40,5),""))</f>
        <v>Blocked</v>
      </c>
      <c r="L21" s="339" t="str">
        <f ca="1">IF($A21="","",IFERROR(INDEX(PMIS_Data!$AJ$3:$AJ$40,5),""))</f>
        <v>Not Ready</v>
      </c>
      <c r="M21" s="339"/>
      <c r="N21" s="339"/>
      <c r="O21" s="339"/>
      <c r="P21" s="339"/>
    </row>
    <row r="22" spans="1:16" ht="27.6" customHeight="1">
      <c r="A22" s="339" t="str">
        <f>IFERROR(INDEX(PMIS_Data!$A$3:$A$40,6),"")</f>
        <v>06</v>
      </c>
      <c r="B22" s="339" t="str">
        <f>IF($A22="","",IFERROR(INDEX(PMIS_Data!$B$3:$B$40,6),""))</f>
        <v>B06_Assessment</v>
      </c>
      <c r="C22" s="339" t="str">
        <f>IF($A22="","",IFERROR(INDEX(PMIS_Data!$C$3:$C$40,6),""))</f>
        <v>Yellow</v>
      </c>
      <c r="D22" s="535">
        <f>IF($A22="","",IFERROR(INDEX(PMIS_Data!$E$3:$E$40,6),""))</f>
        <v>0.5</v>
      </c>
      <c r="E22" s="339" t="str">
        <f>IF($A22="","",IFERROR(INDEX(PMIS_Data!$F$3:$F$40,6),""))</f>
        <v>No</v>
      </c>
      <c r="F22" s="339">
        <f>IF($A22="","",IFERROR(INDEX(PMIS_Data!$G$3:$G$40,6),""))</f>
        <v>27</v>
      </c>
      <c r="G22" s="339">
        <f>IF($A22="","",IFERROR(INDEX(PMIS_Data!$H$3:$H$40,6),""))</f>
        <v>0</v>
      </c>
      <c r="H22" s="339">
        <f>IF($A22="","",IFERROR(INDEX(PMIS_Data!$I$3:$I$40,6),""))</f>
        <v>0</v>
      </c>
      <c r="I22" s="339" t="str">
        <f>IF($A22="","",IFERROR(INDEX(PMIS_Data!$Q$3:$Q$40,6),""))</f>
        <v>Field verify existing B-01 equipment, Rooms 178 and 233, panel sources, IU/CU cooling, fire alarm/sprinkler impacts, FEC locations, and telecom cutover sequence.</v>
      </c>
      <c r="J22" s="339" t="str">
        <f>IF($A22="","",IFERROR(INDEX(PMIS_Data!$R$3:$R$40,6),""))</f>
        <v>Building 06 has active existing telecom equipment plus new TR work in Rooms 178 and 233; field verification, cutover phasing, cooling, firestopping, and emergency power remain open.</v>
      </c>
      <c r="K22" s="339" t="str">
        <f ca="1">IF($A22="","",IFERROR(INDEX(PMIS_Data!$AC$3:$AC$40,6),""))</f>
        <v>Blocked</v>
      </c>
      <c r="L22" s="339" t="str">
        <f ca="1">IF($A22="","",IFERROR(INDEX(PMIS_Data!$AJ$3:$AJ$40,6),""))</f>
        <v>Not Ready</v>
      </c>
      <c r="M22" s="339"/>
      <c r="N22" s="339"/>
      <c r="O22" s="339"/>
      <c r="P22" s="339"/>
    </row>
    <row r="23" spans="1:16" ht="27.6" customHeight="1">
      <c r="A23" s="339" t="str">
        <f>IFERROR(INDEX(PMIS_Data!$A$3:$A$40,7),"")</f>
        <v>07</v>
      </c>
      <c r="B23" s="339" t="str">
        <f>IF($A23="","",IFERROR(INDEX(PMIS_Data!$B$3:$B$40,7),""))</f>
        <v>B07_Assessment</v>
      </c>
      <c r="C23" s="339" t="str">
        <f>IF($A23="","",IFERROR(INDEX(PMIS_Data!$C$3:$C$40,7),""))</f>
        <v>Yellow</v>
      </c>
      <c r="D23" s="535">
        <f>IF($A23="","",IFERROR(INDEX(PMIS_Data!$E$3:$E$40,7),""))</f>
        <v>0.5</v>
      </c>
      <c r="E23" s="339" t="str">
        <f>IF($A23="","",IFERROR(INDEX(PMIS_Data!$F$3:$F$40,7),""))</f>
        <v>No</v>
      </c>
      <c r="F23" s="339">
        <f>IF($A23="","",IFERROR(INDEX(PMIS_Data!$G$3:$G$40,7),""))</f>
        <v>26</v>
      </c>
      <c r="G23" s="339">
        <f>IF($A23="","",IFERROR(INDEX(PMIS_Data!$H$3:$H$40,7),""))</f>
        <v>0</v>
      </c>
      <c r="H23" s="339">
        <f>IF($A23="","",IFERROR(INDEX(PMIS_Data!$I$3:$I$40,7),""))</f>
        <v>0</v>
      </c>
      <c r="I23" s="339" t="str">
        <f>IF($A23="","",IFERROR(INDEX(PMIS_Data!$Q$3:$Q$40,7),""))</f>
        <v>Field verify TR B-18 and 228A; confirm rack/equipment layout, panel sources, IU/CU cooling, fire alarm/sprinkler impacts, FEC locations, PACS/CCTV scope, and telecom cutover sequence.</v>
      </c>
      <c r="J23" s="339" t="str">
        <f>IF($A23="","",IFERROR(INDEX(PMIS_Data!$R$3:$R$40,7),""))</f>
        <v>Building 07 includes basement TR B-18 and second-level TR 228A; field verification, active-service cutover, cooling, firestopping, rated construction, and power source confirmation remain open.</v>
      </c>
      <c r="K23" s="339" t="str">
        <f ca="1">IF($A23="","",IFERROR(INDEX(PMIS_Data!$AC$3:$AC$40,7),""))</f>
        <v>Blocked</v>
      </c>
      <c r="L23" s="339" t="str">
        <f ca="1">IF($A23="","",IFERROR(INDEX(PMIS_Data!$AJ$3:$AJ$40,7),""))</f>
        <v>Not Ready</v>
      </c>
      <c r="M23" s="339"/>
      <c r="N23" s="339"/>
      <c r="O23" s="339"/>
      <c r="P23" s="339"/>
    </row>
    <row r="24" spans="1:16" ht="27.6" customHeight="1">
      <c r="A24" s="339" t="str">
        <f>IFERROR(INDEX(PMIS_Data!$A$3:$A$40,8),"")</f>
        <v>08</v>
      </c>
      <c r="B24" s="339" t="str">
        <f>IF($A24="","",IFERROR(INDEX(PMIS_Data!$B$3:$B$40,8),""))</f>
        <v>B08_Assessment</v>
      </c>
      <c r="C24" s="339" t="str">
        <f>IF($A24="","",IFERROR(INDEX(PMIS_Data!$C$3:$C$40,8),""))</f>
        <v>Yellow</v>
      </c>
      <c r="D24" s="535">
        <f>IF($A24="","",IFERROR(INDEX(PMIS_Data!$E$3:$E$40,8),""))</f>
        <v>0.5</v>
      </c>
      <c r="E24" s="339" t="str">
        <f>IF($A24="","",IFERROR(INDEX(PMIS_Data!$F$3:$F$40,8),""))</f>
        <v>No</v>
      </c>
      <c r="F24" s="339">
        <f>IF($A24="","",IFERROR(INDEX(PMIS_Data!$G$3:$G$40,8),""))</f>
        <v>27</v>
      </c>
      <c r="G24" s="339">
        <f>IF($A24="","",IFERROR(INDEX(PMIS_Data!$H$3:$H$40,8),""))</f>
        <v>0</v>
      </c>
      <c r="H24" s="339">
        <f>IF($A24="","",IFERROR(INDEX(PMIS_Data!$I$3:$I$40,8),""))</f>
        <v>0</v>
      </c>
      <c r="I24" s="339" t="str">
        <f>IF($A24="","",IFERROR(INDEX(PMIS_Data!$Q$3:$Q$40,8),""))</f>
        <v>Field verify B-15, B12B, and 2065A; confirm active services, 2065A rack layout, panel/power source, IU/CU cooling, hazardous material/abatement impacts, FEC locations, PACS/CCTV, and telecom cutover sequence.</v>
      </c>
      <c r="J24" s="339" t="str">
        <f>IF($A24="","",IFERROR(INDEX(PMIS_Data!$R$3:$R$40,8),""))</f>
        <v>Building 08 includes existing basement telecom equipment at B-15, basement TE/cabling scope at B12B, and new second-level TR 2065A; field verification, abatement, rated construction, cooling/power, firestopping, and cutover phasing remain open.</v>
      </c>
      <c r="K24" s="339" t="str">
        <f ca="1">IF($A24="","",IFERROR(INDEX(PMIS_Data!$AC$3:$AC$40,8),""))</f>
        <v>Blocked</v>
      </c>
      <c r="L24" s="339" t="str">
        <f ca="1">IF($A24="","",IFERROR(INDEX(PMIS_Data!$AJ$3:$AJ$40,8),""))</f>
        <v>Not Ready</v>
      </c>
      <c r="M24" s="339"/>
      <c r="N24" s="339"/>
      <c r="O24" s="339"/>
      <c r="P24" s="339"/>
    </row>
    <row r="25" spans="1:16" ht="27.6" customHeight="1">
      <c r="A25" s="339" t="str">
        <f>IFERROR(INDEX(PMIS_Data!$A$3:$A$40,9),"")</f>
        <v>09</v>
      </c>
      <c r="B25" s="339" t="str">
        <f>IF($A25="","",IFERROR(INDEX(PMIS_Data!$B$3:$B$40,9),""))</f>
        <v>B09_Assessment</v>
      </c>
      <c r="C25" s="339" t="str">
        <f>IF($A25="","",IFERROR(INDEX(PMIS_Data!$C$3:$C$40,9),""))</f>
        <v>Yellow</v>
      </c>
      <c r="D25" s="535">
        <f>IF($A25="","",IFERROR(INDEX(PMIS_Data!$E$3:$E$40,9),""))</f>
        <v>0.5</v>
      </c>
      <c r="E25" s="339" t="str">
        <f>IF($A25="","",IFERROR(INDEX(PMIS_Data!$F$3:$F$40,9),""))</f>
        <v>No</v>
      </c>
      <c r="F25" s="339">
        <f>IF($A25="","",IFERROR(INDEX(PMIS_Data!$G$3:$G$40,9),""))</f>
        <v>27</v>
      </c>
      <c r="G25" s="339">
        <f>IF($A25="","",IFERROR(INDEX(PMIS_Data!$H$3:$H$40,9),""))</f>
        <v>0</v>
      </c>
      <c r="H25" s="339">
        <f>IF($A25="","",IFERROR(INDEX(PMIS_Data!$I$3:$I$40,9),""))</f>
        <v>0</v>
      </c>
      <c r="I25" s="339" t="str">
        <f>IF($A25="","",IFERROR(INDEX(PMIS_Data!$Q$3:$Q$40,9),""))</f>
        <v>Field verify B01, 104B, and 206A; confirm existing equipment and active services, panel sources, IU/CU cooling, fire alarm/sprinkler impacts, FEC locations, PACS/CCTV scope, hazardous/abatement impacts, and telecom cutover sequence.</v>
      </c>
      <c r="J25" s="339" t="str">
        <f>IF($A25="","",IFERROR(INDEX(PMIS_Data!$R$3:$R$40,9),""))</f>
        <v>Building 09 includes three telecom spaces across basement, first, and second levels; field verification, hazardous material coordination, active service cutover, cooling, power/panel source, firestopping, and rated wall/door work remain open.</v>
      </c>
      <c r="K25" s="339" t="str">
        <f ca="1">IF($A25="","",IFERROR(INDEX(PMIS_Data!$AC$3:$AC$40,9),""))</f>
        <v>Blocked</v>
      </c>
      <c r="L25" s="339" t="str">
        <f ca="1">IF($A25="","",IFERROR(INDEX(PMIS_Data!$AJ$3:$AJ$40,9),""))</f>
        <v>Not Ready</v>
      </c>
      <c r="M25" s="339"/>
      <c r="N25" s="339"/>
      <c r="O25" s="339"/>
      <c r="P25" s="339"/>
    </row>
    <row r="26" spans="1:16" ht="27.6" customHeight="1">
      <c r="A26" s="339" t="str">
        <f>IFERROR(INDEX(PMIS_Data!$A$3:$A$40,10),"")</f>
        <v>10</v>
      </c>
      <c r="B26" s="339" t="str">
        <f>IF($A26="","",IFERROR(INDEX(PMIS_Data!$B$3:$B$40,10),""))</f>
        <v>B10_Assessment</v>
      </c>
      <c r="C26" s="339" t="str">
        <f>IF($A26="","",IFERROR(INDEX(PMIS_Data!$C$3:$C$40,10),""))</f>
        <v>Yellow</v>
      </c>
      <c r="D26" s="535">
        <f>IF($A26="","",IFERROR(INDEX(PMIS_Data!$E$3:$E$40,10),""))</f>
        <v>0.5</v>
      </c>
      <c r="E26" s="339" t="str">
        <f>IF($A26="","",IFERROR(INDEX(PMIS_Data!$F$3:$F$40,10),""))</f>
        <v>No</v>
      </c>
      <c r="F26" s="339">
        <f>IF($A26="","",IFERROR(INDEX(PMIS_Data!$G$3:$G$40,10),""))</f>
        <v>27</v>
      </c>
      <c r="G26" s="339">
        <f>IF($A26="","",IFERROR(INDEX(PMIS_Data!$H$3:$H$40,10),""))</f>
        <v>0</v>
      </c>
      <c r="H26" s="339">
        <f>IF($A26="","",IFERROR(INDEX(PMIS_Data!$I$3:$I$40,10),""))</f>
        <v>0</v>
      </c>
      <c r="I26" s="339" t="str">
        <f>IF($A26="","",IFERROR(INDEX(PMIS_Data!$Q$3:$Q$40,10),""))</f>
        <v>Field verify attic Telecom Room 200A, basement normal/emergency electrical source rooms B24/B25, existing wall-mounted rack/equipment, panel sources B10-TR200AA/AB, IU/CU-1-01 cooling, FEC/fire alarm/sprinkler impacts, hazardous/abatement scope, and telecom cutover plan.</v>
      </c>
      <c r="J26" s="339" t="str">
        <f>IF($A26="","",IFERROR(INDEX(PMIS_Data!$R$3:$R$40,10),""))</f>
        <v>Building 10 scope centers on attic Telecom Room 200A with related basement electrical source rooms B24/B25, attic hazardous material abatement, dedicated cooling, new telecom panels, rack/UPS/PDU equipment, firestopping, and cutover coordination.</v>
      </c>
      <c r="K26" s="339" t="str">
        <f ca="1">IF($A26="","",IFERROR(INDEX(PMIS_Data!$AC$3:$AC$40,10),""))</f>
        <v>Blocked</v>
      </c>
      <c r="L26" s="339" t="str">
        <f ca="1">IF($A26="","",IFERROR(INDEX(PMIS_Data!$AJ$3:$AJ$40,10),""))</f>
        <v>Not Ready</v>
      </c>
      <c r="M26" s="339"/>
      <c r="N26" s="339"/>
      <c r="O26" s="339"/>
      <c r="P26" s="339"/>
    </row>
    <row r="27" spans="1:16" ht="27.6" customHeight="1">
      <c r="A27" s="339" t="str">
        <f>IFERROR(INDEX(PMIS_Data!$A$3:$A$40,11),"")</f>
        <v>12</v>
      </c>
      <c r="B27" s="339" t="str">
        <f>IF($A27="","",IFERROR(INDEX(PMIS_Data!$B$3:$B$40,11),""))</f>
        <v>B12_Assessment</v>
      </c>
      <c r="C27" s="339" t="str">
        <f>IF($A27="","",IFERROR(INDEX(PMIS_Data!$C$3:$C$40,11),""))</f>
        <v>Yellow</v>
      </c>
      <c r="D27" s="535">
        <f>IF($A27="","",IFERROR(INDEX(PMIS_Data!$E$3:$E$40,11),""))</f>
        <v>0.6</v>
      </c>
      <c r="E27" s="339" t="str">
        <f>IF($A27="","",IFERROR(INDEX(PMIS_Data!$F$3:$F$40,11),""))</f>
        <v>No</v>
      </c>
      <c r="F27" s="339">
        <f>IF($A27="","",IFERROR(INDEX(PMIS_Data!$G$3:$G$40,11),""))</f>
        <v>26</v>
      </c>
      <c r="G27" s="339">
        <f>IF($A27="","",IFERROR(INDEX(PMIS_Data!$H$3:$H$40,11),""))</f>
        <v>0</v>
      </c>
      <c r="H27" s="339">
        <f>IF($A27="","",IFERROR(INDEX(PMIS_Data!$I$3:$I$40,11),""))</f>
        <v>0</v>
      </c>
      <c r="I27" s="339" t="str">
        <f>IF($A27="","",IFERROR(INDEX(PMIS_Data!$Q$3:$Q$40,11),""))</f>
        <v>Field verify existing fiber pathway through Building 12, existing rack/demarc/serving closet condition, floor/wall penetrations, routing from basement/first/second level telecom plans, phasing/cutover approach, and test/label/as-built deliverables.</v>
      </c>
      <c r="J27" s="339" t="str">
        <f>IF($A27="","",IFERROR(INDEX(PMIS_Data!$R$3:$R$40,11),""))</f>
        <v>Building 12 is explicitly identified as fiber-only with no new TR buildout, no new rack, and no electrical/HVAC/fire protection drawing packages; key owner risk is confirming pull-through fiber path, existing service continuity, pathway/firestopping, and VA/OIT acceptance before cutover.</v>
      </c>
      <c r="K27" s="339" t="str">
        <f ca="1">IF($A27="","",IFERROR(INDEX(PMIS_Data!$AC$3:$AC$40,11),""))</f>
        <v>Blocked</v>
      </c>
      <c r="L27" s="339" t="str">
        <f ca="1">IF($A27="","",IFERROR(INDEX(PMIS_Data!$AJ$3:$AJ$40,11),""))</f>
        <v>Not Ready</v>
      </c>
      <c r="M27" s="339"/>
      <c r="N27" s="339"/>
      <c r="O27" s="339"/>
      <c r="P27" s="339"/>
    </row>
    <row r="28" spans="1:16" ht="27.6" customHeight="1">
      <c r="A28" s="339" t="str">
        <f>IFERROR(INDEX(PMIS_Data!$A$3:$A$40,12),"")</f>
        <v>13</v>
      </c>
      <c r="B28" s="339" t="str">
        <f>IF($A28="","",IFERROR(INDEX(PMIS_Data!$B$3:$B$40,12),""))</f>
        <v>B13_Assessment</v>
      </c>
      <c r="C28" s="339" t="str">
        <f>IF($A28="","",IFERROR(INDEX(PMIS_Data!$C$3:$C$40,12),""))</f>
        <v>Yellow</v>
      </c>
      <c r="D28" s="535">
        <f>IF($A28="","",IFERROR(INDEX(PMIS_Data!$E$3:$E$40,12),""))</f>
        <v>0.5</v>
      </c>
      <c r="E28" s="339" t="str">
        <f>IF($A28="","",IFERROR(INDEX(PMIS_Data!$F$3:$F$40,12),""))</f>
        <v>No</v>
      </c>
      <c r="F28" s="339">
        <f>IF($A28="","",IFERROR(INDEX(PMIS_Data!$G$3:$G$40,12),""))</f>
        <v>26</v>
      </c>
      <c r="G28" s="339">
        <f>IF($A28="","",IFERROR(INDEX(PMIS_Data!$H$3:$H$40,12),""))</f>
        <v>0</v>
      </c>
      <c r="H28" s="339">
        <f>IF($A28="","",IFERROR(INDEX(PMIS_Data!$I$3:$I$40,12),""))</f>
        <v>0</v>
      </c>
      <c r="I28" s="339" t="str">
        <f>IF($A28="","",IFERROR(INDEX(PMIS_Data!$Q$3:$Q$40,12),""))</f>
        <v>Field verify Room 124 and existing Tel Room 222; confirm active services, rack/equipment transfer, B13-TR124AA/AB panel sources, IU/CU-1-01 cooling, fire alarm/sprinkler impacts, FEC location, PACS/CCTV scope, first-level hazardous/abatement impacts, and telecom cutover sequence.</v>
      </c>
      <c r="J28" s="339" t="str">
        <f>IF($A28="","",IFERROR(INDEX(PMIS_Data!$R$3:$R$40,12),""))</f>
        <v>Building 13 includes new first-level Telecom Room 124 and existing second-level Tel Room 222; field verification, active service cutover, 240V UPS/PDU power, dedicated cooling, first-level hazardous material coordination, firestopping, and PACS/CCTV integration remain open.</v>
      </c>
      <c r="K28" s="339" t="str">
        <f ca="1">IF($A28="","",IFERROR(INDEX(PMIS_Data!$AC$3:$AC$40,12),""))</f>
        <v>Blocked</v>
      </c>
      <c r="L28" s="339" t="str">
        <f ca="1">IF($A28="","",IFERROR(INDEX(PMIS_Data!$AJ$3:$AJ$40,12),""))</f>
        <v>Not Ready</v>
      </c>
      <c r="M28" s="339"/>
      <c r="N28" s="339"/>
      <c r="O28" s="339"/>
      <c r="P28" s="339"/>
    </row>
    <row r="29" spans="1:16" ht="27.6" customHeight="1">
      <c r="A29" s="339" t="str">
        <f>IFERROR(INDEX(PMIS_Data!$A$3:$A$40,13),"")</f>
        <v>14</v>
      </c>
      <c r="B29" s="339" t="str">
        <f>IF($A29="","",IFERROR(INDEX(PMIS_Data!$B$3:$B$40,13),""))</f>
        <v>B14_Assessment</v>
      </c>
      <c r="C29" s="339" t="str">
        <f>IF($A29="","",IFERROR(INDEX(PMIS_Data!$C$3:$C$40,13),""))</f>
        <v>Yellow</v>
      </c>
      <c r="D29" s="535">
        <f>IF($A29="","",IFERROR(INDEX(PMIS_Data!$E$3:$E$40,13),""))</f>
        <v>0.5</v>
      </c>
      <c r="E29" s="339" t="str">
        <f>IF($A29="","",IFERROR(INDEX(PMIS_Data!$F$3:$F$40,13),""))</f>
        <v>No</v>
      </c>
      <c r="F29" s="339">
        <f>IF($A29="","",IFERROR(INDEX(PMIS_Data!$G$3:$G$40,13),""))</f>
        <v>27</v>
      </c>
      <c r="G29" s="339">
        <f>IF($A29="","",IFERROR(INDEX(PMIS_Data!$H$3:$H$40,13),""))</f>
        <v>0</v>
      </c>
      <c r="H29" s="339">
        <f>IF($A29="","",IFERROR(INDEX(PMIS_Data!$I$3:$I$40,13),""))</f>
        <v>0</v>
      </c>
      <c r="I29" s="339" t="str">
        <f>IF($A29="","",IFERROR(INDEX(PMIS_Data!$Q$3:$Q$40,13),""))</f>
        <v>Field verify Room 119 and existing basement Tel/F Panel B.01/B2; confirm active services, rack/equipment transfer, B14-TR119A/B panel sources, IU/CU-1-01 cooling, fire alarm/sprinkler impacts, FEC location, PACS/CCTV scope, first-level hazardous/abatement impacts, and telecom cutover sequence.</v>
      </c>
      <c r="J29" s="339" t="str">
        <f>IF($A29="","",IFERROR(INDEX(PMIS_Data!$R$3:$R$40,13),""))</f>
        <v>Building 14 includes new first-level Telecom Room 119 and existing basement telecom rooms B.01/B2; field verification, active service cutover, 240V UPS/PDU power, dedicated cooling, first-level hazardous material coordination, firestopping, and PACS/CCTV integration remain open.</v>
      </c>
      <c r="K29" s="339" t="str">
        <f ca="1">IF($A29="","",IFERROR(INDEX(PMIS_Data!$AC$3:$AC$40,13),""))</f>
        <v>Blocked</v>
      </c>
      <c r="L29" s="339" t="str">
        <f ca="1">IF($A29="","",IFERROR(INDEX(PMIS_Data!$AJ$3:$AJ$40,13),""))</f>
        <v>Not Ready</v>
      </c>
      <c r="M29" s="339"/>
      <c r="N29" s="339"/>
      <c r="O29" s="339"/>
      <c r="P29" s="339"/>
    </row>
    <row r="30" spans="1:16" ht="27.6" customHeight="1">
      <c r="A30" s="339" t="str">
        <f>IFERROR(INDEX(PMIS_Data!$A$3:$A$40,14),"")</f>
        <v>15</v>
      </c>
      <c r="B30" s="339" t="str">
        <f>IF($A30="","",IFERROR(INDEX(PMIS_Data!$B$3:$B$40,14),""))</f>
        <v>B15_Assessment</v>
      </c>
      <c r="C30" s="339" t="str">
        <f>IF($A30="","",IFERROR(INDEX(PMIS_Data!$C$3:$C$40,14),""))</f>
        <v>Yellow</v>
      </c>
      <c r="D30" s="535">
        <f>IF($A30="","",IFERROR(INDEX(PMIS_Data!$E$3:$E$40,14),""))</f>
        <v>0.5</v>
      </c>
      <c r="E30" s="339" t="str">
        <f>IF($A30="","",IFERROR(INDEX(PMIS_Data!$F$3:$F$40,14),""))</f>
        <v>No</v>
      </c>
      <c r="F30" s="339">
        <f>IF($A30="","",IFERROR(INDEX(PMIS_Data!$G$3:$G$40,14),""))</f>
        <v>27</v>
      </c>
      <c r="G30" s="339">
        <f>IF($A30="","",IFERROR(INDEX(PMIS_Data!$H$3:$H$40,14),""))</f>
        <v>0</v>
      </c>
      <c r="H30" s="339">
        <f>IF($A30="","",IFERROR(INDEX(PMIS_Data!$I$3:$I$40,14),""))</f>
        <v>0</v>
      </c>
      <c r="I30" s="339" t="str">
        <f>IF($A30="","",IFERROR(INDEX(PMIS_Data!$Q$3:$Q$40,14),""))</f>
        <v>Field verify Room 124A, existing Tel Room 222 and basement B01; confirm active services, rack/equipment transfer, B15-TR124AA/AB panel sources, IU/CU-1-01 cooling, fire alarm/sprinkler impacts, FEC location, PACS/CCTV scope, first-level hazardous/abatement impacts, and telecom cutover sequence.</v>
      </c>
      <c r="J30" s="339" t="str">
        <f>IF($A30="","",IFERROR(INDEX(PMIS_Data!$R$3:$R$40,14),""))</f>
        <v>Building 15 includes new first-level Telecom Room 124A and existing telecom transition points at second-level Tel Room 222 and basement B01; field verification, active service cutover, 240V UPS/PDU power, dedicated heat-pump cooling, first-level hazardous material coordination, firestopping, and PACS/CCTV integration remain open.</v>
      </c>
      <c r="K30" s="339" t="str">
        <f ca="1">IF($A30="","",IFERROR(INDEX(PMIS_Data!$AC$3:$AC$40,14),""))</f>
        <v>Blocked</v>
      </c>
      <c r="L30" s="339" t="str">
        <f ca="1">IF($A30="","",IFERROR(INDEX(PMIS_Data!$AJ$3:$AJ$40,14),""))</f>
        <v>Not Ready</v>
      </c>
      <c r="M30" s="339"/>
      <c r="N30" s="339"/>
      <c r="O30" s="339"/>
      <c r="P30" s="339"/>
    </row>
    <row r="31" spans="1:16" ht="27.6" customHeight="1">
      <c r="A31" s="339" t="str">
        <f>IFERROR(INDEX(PMIS_Data!$A$3:$A$40,15),"")</f>
        <v>16</v>
      </c>
      <c r="B31" s="339" t="str">
        <f>IF($A31="","",IFERROR(INDEX(PMIS_Data!$B$3:$B$40,15),""))</f>
        <v>B16_Assessment</v>
      </c>
      <c r="C31" s="339" t="str">
        <f>IF($A31="","",IFERROR(INDEX(PMIS_Data!$C$3:$C$40,15),""))</f>
        <v>Yellow</v>
      </c>
      <c r="D31" s="535">
        <f>IF($A31="","",IFERROR(INDEX(PMIS_Data!$E$3:$E$40,15),""))</f>
        <v>0.5</v>
      </c>
      <c r="E31" s="339" t="str">
        <f>IF($A31="","",IFERROR(INDEX(PMIS_Data!$F$3:$F$40,15),""))</f>
        <v>No</v>
      </c>
      <c r="F31" s="339">
        <f>IF($A31="","",IFERROR(INDEX(PMIS_Data!$G$3:$G$40,15),""))</f>
        <v>26</v>
      </c>
      <c r="G31" s="339">
        <f>IF($A31="","",IFERROR(INDEX(PMIS_Data!$H$3:$H$40,15),""))</f>
        <v>0</v>
      </c>
      <c r="H31" s="339">
        <f>IF($A31="","",IFERROR(INDEX(PMIS_Data!$I$3:$I$40,15),""))</f>
        <v>0</v>
      </c>
      <c r="I31" s="339" t="str">
        <f>IF($A31="","",IFERROR(INDEX(PMIS_Data!$Q$3:$Q$40,15),""))</f>
        <v>Field verify Room 015 and existing Room 014; confirm active services, rack/equipment transfer, B16-TR015A/B panel sources, IU/CU-1-01 cooling, fire alarm/sprinkler impacts, FEC location, PACS/CCTV scope, panel replacement/load measurement, and telecom cutover sequence.</v>
      </c>
      <c r="J31" s="339" t="str">
        <f>IF($A31="","",IFERROR(INDEX(PMIS_Data!$R$3:$R$40,15),""))</f>
        <v>Building 16 includes new basement Telecom Room 015 and existing basement Telecom Room 014; field verification, active service transfer, 240V UPS/PDU power, dedicated cooling, panel replacement/source coordination, firestopping, PACS/CCTV integration, and cable tray coordination remain open.</v>
      </c>
      <c r="K31" s="339" t="str">
        <f ca="1">IF($A31="","",IFERROR(INDEX(PMIS_Data!$AC$3:$AC$40,15),""))</f>
        <v>Blocked</v>
      </c>
      <c r="L31" s="339" t="str">
        <f ca="1">IF($A31="","",IFERROR(INDEX(PMIS_Data!$AJ$3:$AJ$40,15),""))</f>
        <v>Not Ready</v>
      </c>
      <c r="M31" s="339"/>
      <c r="N31" s="339"/>
      <c r="O31" s="339"/>
      <c r="P31" s="339"/>
    </row>
    <row r="32" spans="1:16" ht="27.6" customHeight="1">
      <c r="A32" s="339" t="str">
        <f>IFERROR(INDEX(PMIS_Data!$A$3:$A$40,16),"")</f>
        <v>17</v>
      </c>
      <c r="B32" s="339" t="str">
        <f>IF($A32="","",IFERROR(INDEX(PMIS_Data!$B$3:$B$40,16),""))</f>
        <v>B17_Assessment</v>
      </c>
      <c r="C32" s="339" t="str">
        <f>IF($A32="","",IFERROR(INDEX(PMIS_Data!$C$3:$C$40,16),""))</f>
        <v>Yellow</v>
      </c>
      <c r="D32" s="535">
        <f>IF($A32="","",IFERROR(INDEX(PMIS_Data!$E$3:$E$40,16),""))</f>
        <v>0.5</v>
      </c>
      <c r="E32" s="339" t="str">
        <f>IF($A32="","",IFERROR(INDEX(PMIS_Data!$F$3:$F$40,16),""))</f>
        <v>No</v>
      </c>
      <c r="F32" s="339">
        <f>IF($A32="","",IFERROR(INDEX(PMIS_Data!$G$3:$G$40,16),""))</f>
        <v>27</v>
      </c>
      <c r="G32" s="339">
        <f>IF($A32="","",IFERROR(INDEX(PMIS_Data!$H$3:$H$40,16),""))</f>
        <v>0</v>
      </c>
      <c r="H32" s="339">
        <f>IF($A32="","",IFERROR(INDEX(PMIS_Data!$I$3:$I$40,16),""))</f>
        <v>0</v>
      </c>
      <c r="I32" s="339" t="str">
        <f>IF($A32="","",IFERROR(INDEX(PMIS_Data!$Q$3:$Q$40,16),""))</f>
        <v>Field verify Telecom Room 118, existing B35A, and Building 29 service path; confirm active services, B17-TR118A/B panel sources, BUS-B17-EQDP / BUS-B17-NPB1-R sources, IU/CU-1-01 cooling, FEC, fire alarm/sprinkler impacts, cable tray route, PACS/CCTV scope, hazardous material impacts, and cutover plan.</v>
      </c>
      <c r="J32" s="339" t="str">
        <f>IF($A32="","",IFERROR(INDEX(PMIS_Data!$R$3:$R$40,16),""))</f>
        <v>Building 17_29 includes new first-level Telecom Room 118 serving Building 17 and Building 29, plus existing basement Telecom Closet B35A; field verification, active-service transfer, 208V UPS/PDU power, dedicated cooling, first-level hazardous material coordination, cable tray, firestopping, and PACS/CCTV integration remain open.</v>
      </c>
      <c r="K32" s="339" t="str">
        <f ca="1">IF($A32="","",IFERROR(INDEX(PMIS_Data!$AC$3:$AC$40,16),""))</f>
        <v>Blocked</v>
      </c>
      <c r="L32" s="339" t="str">
        <f ca="1">IF($A32="","",IFERROR(INDEX(PMIS_Data!$AJ$3:$AJ$40,16),""))</f>
        <v>Not Ready</v>
      </c>
      <c r="M32" s="339"/>
      <c r="N32" s="339"/>
      <c r="O32" s="339"/>
      <c r="P32" s="339"/>
    </row>
    <row r="33" spans="1:16" ht="27.6" customHeight="1">
      <c r="A33" s="339" t="str">
        <f>IFERROR(INDEX(PMIS_Data!$A$3:$A$40,17),"")</f>
        <v>18</v>
      </c>
      <c r="B33" s="339" t="str">
        <f>IF($A33="","",IFERROR(INDEX(PMIS_Data!$B$3:$B$40,17),""))</f>
        <v>B18_Assessment</v>
      </c>
      <c r="C33" s="339" t="str">
        <f>IF($A33="","",IFERROR(INDEX(PMIS_Data!$C$3:$C$40,17),""))</f>
        <v>Yellow</v>
      </c>
      <c r="D33" s="535">
        <f>IF($A33="","",IFERROR(INDEX(PMIS_Data!$E$3:$E$40,17),""))</f>
        <v>0.5</v>
      </c>
      <c r="E33" s="339" t="str">
        <f>IF($A33="","",IFERROR(INDEX(PMIS_Data!$F$3:$F$40,17),""))</f>
        <v>No</v>
      </c>
      <c r="F33" s="339">
        <f>IF($A33="","",IFERROR(INDEX(PMIS_Data!$G$3:$G$40,17),""))</f>
        <v>27</v>
      </c>
      <c r="G33" s="339">
        <f>IF($A33="","",IFERROR(INDEX(PMIS_Data!$H$3:$H$40,17),""))</f>
        <v>0</v>
      </c>
      <c r="H33" s="339">
        <f>IF($A33="","",IFERROR(INDEX(PMIS_Data!$I$3:$I$40,17),""))</f>
        <v>0</v>
      </c>
      <c r="I33" s="339" t="str">
        <f>IF($A33="","",IFERROR(INDEX(PMIS_Data!$Q$3:$Q$40,17),""))</f>
        <v>Field verify Telecom Room 110, existing TE 111B, existing Closet 213, and all active services; confirm B18-TR110A/B panel sources, IU/CU-1-01 cooling, FEC, fire alarm/sprinkler impacts, cable tray route, PACS/CCTV scope, lead-paint/hazardous impacts, and cutover plan.</v>
      </c>
      <c r="J33" s="339" t="str">
        <f>IF($A33="","",IFERROR(INDEX(PMIS_Data!$R$3:$R$40,17),""))</f>
        <v>Building 18 includes new first-level Telecom Room 110 and existing telecom transition rooms 111B and 213; field verification, active-service transfer, 208V UPS/PDU power, dedicated cooling, lead-paint/first-level hazardous material coordination, firestopping, cable tray, and PACS/CCTV integration remain open.</v>
      </c>
      <c r="K33" s="339" t="str">
        <f ca="1">IF($A33="","",IFERROR(INDEX(PMIS_Data!$AC$3:$AC$40,17),""))</f>
        <v>Blocked</v>
      </c>
      <c r="L33" s="339" t="str">
        <f ca="1">IF($A33="","",IFERROR(INDEX(PMIS_Data!$AJ$3:$AJ$40,17),""))</f>
        <v>Not Ready</v>
      </c>
      <c r="M33" s="339"/>
      <c r="N33" s="339"/>
      <c r="O33" s="339"/>
      <c r="P33" s="339"/>
    </row>
    <row r="34" spans="1:16" ht="27.6" customHeight="1">
      <c r="A34" s="339" t="str">
        <f>IFERROR(INDEX(PMIS_Data!$A$3:$A$40,18),"")</f>
        <v>20</v>
      </c>
      <c r="B34" s="339" t="str">
        <f>IF($A34="","",IFERROR(INDEX(PMIS_Data!$B$3:$B$40,18),""))</f>
        <v>B20_Assessment</v>
      </c>
      <c r="C34" s="339" t="str">
        <f>IF($A34="","",IFERROR(INDEX(PMIS_Data!$C$3:$C$40,18),""))</f>
        <v>Yellow</v>
      </c>
      <c r="D34" s="535">
        <f>IF($A34="","",IFERROR(INDEX(PMIS_Data!$E$3:$E$40,18),""))</f>
        <v>0.5</v>
      </c>
      <c r="E34" s="339" t="str">
        <f>IF($A34="","",IFERROR(INDEX(PMIS_Data!$F$3:$F$40,18),""))</f>
        <v>No</v>
      </c>
      <c r="F34" s="339">
        <f>IF($A34="","",IFERROR(INDEX(PMIS_Data!$G$3:$G$40,18),""))</f>
        <v>26</v>
      </c>
      <c r="G34" s="339">
        <f>IF($A34="","",IFERROR(INDEX(PMIS_Data!$H$3:$H$40,18),""))</f>
        <v>0</v>
      </c>
      <c r="H34" s="339">
        <f>IF($A34="","",IFERROR(INDEX(PMIS_Data!$I$3:$I$40,18),""))</f>
        <v>0</v>
      </c>
      <c r="I34" s="339" t="str">
        <f>IF($A34="","",IFERROR(INDEX(PMIS_Data!$Q$3:$Q$40,18),""))</f>
        <v>Field verify Office 1B new TE location, existing Tel/Data Closet 8A, active services, TE01-1B-1 schedule, existing open TE cabinet, existing ground bar/patch panel/equipment box/indoor AC/backboard, 459 ft cable tray route, 10 Cat6A cross-connect cables, power/UPS/PDU source, and fiber Path A/B cutover.</v>
      </c>
      <c r="J34" s="339" t="str">
        <f>IF($A34="","",IFERROR(INDEX(PMIS_Data!$R$3:$R$40,18),""))</f>
        <v>Building 20 is a telecom-enclosure building, not a full TR buildout. Scope centers on new first-level Office 1B wall-mount TE enclosure and existing Tel/Data Closet 8A; mechanical and fire protection scope are excluded by the cover sheet, but field verification, active equipment transfer, fiber/copper cutover, cable tray, firestopping, power/UPS/PDU, and existing equipment protection remain open.</v>
      </c>
      <c r="K34" s="339" t="str">
        <f ca="1">IF($A34="","",IFERROR(INDEX(PMIS_Data!$AC$3:$AC$40,18),""))</f>
        <v>Blocked</v>
      </c>
      <c r="L34" s="339" t="str">
        <f ca="1">IF($A34="","",IFERROR(INDEX(PMIS_Data!$AJ$3:$AJ$40,18),""))</f>
        <v>Not Ready</v>
      </c>
      <c r="M34" s="339"/>
      <c r="N34" s="339"/>
      <c r="O34" s="339"/>
      <c r="P34" s="339"/>
    </row>
    <row r="35" spans="1:16" ht="27.6" customHeight="1">
      <c r="A35" s="339" t="str">
        <f>IFERROR(INDEX(PMIS_Data!$A$3:$A$40,19),"")</f>
        <v>21</v>
      </c>
      <c r="B35" s="339" t="str">
        <f>IF($A35="","",IFERROR(INDEX(PMIS_Data!$B$3:$B$40,19),""))</f>
        <v>B21_Assessment</v>
      </c>
      <c r="C35" s="339" t="str">
        <f>IF($A35="","",IFERROR(INDEX(PMIS_Data!$C$3:$C$40,19),""))</f>
        <v>Yellow</v>
      </c>
      <c r="D35" s="535">
        <f>IF($A35="","",IFERROR(INDEX(PMIS_Data!$E$3:$E$40,19),""))</f>
        <v>0.5</v>
      </c>
      <c r="E35" s="339" t="str">
        <f>IF($A35="","",IFERROR(INDEX(PMIS_Data!$F$3:$F$40,19),""))</f>
        <v>No</v>
      </c>
      <c r="F35" s="339">
        <f>IF($A35="","",IFERROR(INDEX(PMIS_Data!$G$3:$G$40,19),""))</f>
        <v>27</v>
      </c>
      <c r="G35" s="339">
        <f>IF($A35="","",IFERROR(INDEX(PMIS_Data!$H$3:$H$40,19),""))</f>
        <v>0</v>
      </c>
      <c r="H35" s="339">
        <f>IF($A35="","",IFERROR(INDEX(PMIS_Data!$I$3:$I$40,19),""))</f>
        <v>0</v>
      </c>
      <c r="I35" s="339" t="str">
        <f>IF($A35="","",IFERROR(INDEX(PMIS_Data!$Q$3:$Q$40,19),""))</f>
        <v>Field verify new TE location at M&amp;O Foreman Office 100A, existing B21 B1.TR, existing B19 B05TR, B19-serving-B21 relationship, active services, TR01-104-1 / 100-A schedule, 659 ft cable tray route, 10 Cat6A cross-connect cables, UPS/PDU source, fiber paths A/B, and all firestopping/penetrations.</v>
      </c>
      <c r="J35" s="339" t="str">
        <f>IF($A35="","",IFERROR(INDEX(PMIS_Data!$R$3:$R$40,19),""))</f>
        <v>Building 21 is combined with Building 19 and is primarily a telecom-enclosure scope. New first-level M&amp;O Foreman Office 100A / RM 104 schedule is served by a new 12RU TE enclosure, while existing Building 21 B1.TR and Building 19 B05TR equipment remain transition points. Fire protection scope is excluded, but mechanical/electrical sheets exist for equipment support. Field verification, active-service transfer, 659 ft cable tray, firestopping, UPS/PDU power, fiber/copper cutover, and B19/B21 scope boundary remain open.</v>
      </c>
      <c r="K35" s="339" t="str">
        <f ca="1">IF($A35="","",IFERROR(INDEX(PMIS_Data!$AC$3:$AC$40,19),""))</f>
        <v>Blocked</v>
      </c>
      <c r="L35" s="339" t="str">
        <f ca="1">IF($A35="","",IFERROR(INDEX(PMIS_Data!$AJ$3:$AJ$40,19),""))</f>
        <v>Not Ready</v>
      </c>
      <c r="M35" s="339"/>
      <c r="N35" s="339"/>
      <c r="O35" s="339"/>
      <c r="P35" s="339"/>
    </row>
    <row r="36" spans="1:16" ht="27.6" customHeight="1">
      <c r="A36" s="339" t="str">
        <f>IFERROR(INDEX(PMIS_Data!$A$3:$A$40,20),"")</f>
        <v>22</v>
      </c>
      <c r="B36" s="339" t="str">
        <f>IF($A36="","",IFERROR(INDEX(PMIS_Data!$B$3:$B$40,20),""))</f>
        <v>B22_Assessment</v>
      </c>
      <c r="C36" s="339" t="str">
        <f>IF($A36="","",IFERROR(INDEX(PMIS_Data!$C$3:$C$40,20),""))</f>
        <v>Yellow</v>
      </c>
      <c r="D36" s="535">
        <f>IF($A36="","",IFERROR(INDEX(PMIS_Data!$E$3:$E$40,20),""))</f>
        <v>0.5</v>
      </c>
      <c r="E36" s="339" t="str">
        <f>IF($A36="","",IFERROR(INDEX(PMIS_Data!$F$3:$F$40,20),""))</f>
        <v>No</v>
      </c>
      <c r="F36" s="339">
        <f>IF($A36="","",IFERROR(INDEX(PMIS_Data!$G$3:$G$40,20),""))</f>
        <v>26</v>
      </c>
      <c r="G36" s="339">
        <f>IF($A36="","",IFERROR(INDEX(PMIS_Data!$H$3:$H$40,20),""))</f>
        <v>0</v>
      </c>
      <c r="H36" s="339">
        <f>IF($A36="","",IFERROR(INDEX(PMIS_Data!$I$3:$I$40,20),""))</f>
        <v>0</v>
      </c>
      <c r="I36" s="339" t="str">
        <f>IF($A36="","",IFERROR(INDEX(PMIS_Data!$Q$3:$Q$40,20),""))</f>
        <v>Field verify Break Room 102 new TE location, existing Room 103 wall/wall-mount TE, active services, TR01-102-1 schedule, 139 ft cable tray route, 10 Cat6A cross-connect cables, UPS/PDU source, fiber paths A/B, firestopping/sleeves, and existing B19 port relationship.</v>
      </c>
      <c r="J36" s="339" t="str">
        <f>IF($A36="","",IFERROR(INDEX(PMIS_Data!$R$3:$R$40,20),""))</f>
        <v>Building 22 is a telecom-enclosure building with mechanical and fire protection scope excluded. Scope centers on new first-level Break Room 102 TE enclosure and existing first-level wall/wall-mount TE Room 103. Field verification, active service transfer, 139 ft cable tray, 10 Cat6A cross-connect cables, UPS/PDU power, firestopping, and B19 utility service relationship remain open.</v>
      </c>
      <c r="K36" s="339" t="str">
        <f ca="1">IF($A36="","",IFERROR(INDEX(PMIS_Data!$AC$3:$AC$40,20),""))</f>
        <v>Blocked</v>
      </c>
      <c r="L36" s="339" t="str">
        <f ca="1">IF($A36="","",IFERROR(INDEX(PMIS_Data!$AJ$3:$AJ$40,20),""))</f>
        <v>Not Ready</v>
      </c>
      <c r="M36" s="339"/>
      <c r="N36" s="339"/>
      <c r="O36" s="339"/>
      <c r="P36" s="339"/>
    </row>
    <row r="37" spans="1:16" ht="27.6" customHeight="1">
      <c r="A37" s="339" t="str">
        <f>IFERROR(INDEX(PMIS_Data!$A$3:$A$40,21),"")</f>
        <v>33</v>
      </c>
      <c r="B37" s="339" t="str">
        <f>IF($A37="","",IFERROR(INDEX(PMIS_Data!$B$3:$B$40,21),""))</f>
        <v>B33_Assessment</v>
      </c>
      <c r="C37" s="339" t="str">
        <f>IF($A37="","",IFERROR(INDEX(PMIS_Data!$C$3:$C$40,21),""))</f>
        <v>Yellow</v>
      </c>
      <c r="D37" s="535">
        <f>IF($A37="","",IFERROR(INDEX(PMIS_Data!$E$3:$E$40,21),""))</f>
        <v>0.5</v>
      </c>
      <c r="E37" s="339" t="str">
        <f>IF($A37="","",IFERROR(INDEX(PMIS_Data!$F$3:$F$40,21),""))</f>
        <v>No</v>
      </c>
      <c r="F37" s="339">
        <f>IF($A37="","",IFERROR(INDEX(PMIS_Data!$G$3:$G$40,21),""))</f>
        <v>26</v>
      </c>
      <c r="G37" s="339">
        <f>IF($A37="","",IFERROR(INDEX(PMIS_Data!$H$3:$H$40,21),""))</f>
        <v>0</v>
      </c>
      <c r="H37" s="339">
        <f>IF($A37="","",IFERROR(INDEX(PMIS_Data!$I$3:$I$40,21),""))</f>
        <v>0</v>
      </c>
      <c r="I37" s="339" t="str">
        <f>IF($A37="","",IFERROR(INDEX(PMIS_Data!$Q$3:$Q$40,21),""))</f>
        <v>Field verify EEO Manager Office B23 new TE location, existing Tel Closet B17, active services, TE01-B23-1 schedule, 102 ft basement cable tray route, 10 Cat6A cross-connect cables, UPS/PDU source, fiber paths A/B, firestopping/sleeves, existing camera/security devices, and B17 legacy port/service relationships.</v>
      </c>
      <c r="J37" s="339" t="str">
        <f>IF($A37="","",IFERROR(INDEX(PMIS_Data!$R$3:$R$40,21),""))</f>
        <v>Building 33 is a telecom-enclosure building with mechanical and fire protection scope excluded. Scope centers on new basement EEO Manager Office B23 TE enclosure and existing Tel Closet B17. Field verification, active service transfer, 102 ft basement cable tray, 10 Cat6A cross-connect cables, UPS/PDU power, firestopping, fiber/copper cutover, and legacy service relationships to Buildings 3, 80 and 82 remain open.</v>
      </c>
      <c r="K37" s="339" t="str">
        <f ca="1">IF($A37="","",IFERROR(INDEX(PMIS_Data!$AC$3:$AC$40,21),""))</f>
        <v>Blocked</v>
      </c>
      <c r="L37" s="339" t="str">
        <f ca="1">IF($A37="","",IFERROR(INDEX(PMIS_Data!$AJ$3:$AJ$40,21),""))</f>
        <v>Not Ready</v>
      </c>
      <c r="M37" s="339"/>
      <c r="N37" s="339"/>
      <c r="O37" s="339"/>
      <c r="P37" s="339"/>
    </row>
    <row r="38" spans="1:16" ht="27.6" customHeight="1">
      <c r="A38" s="339" t="str">
        <f>IFERROR(INDEX(PMIS_Data!$A$3:$A$40,22),"")</f>
        <v>61</v>
      </c>
      <c r="B38" s="339" t="str">
        <f>IF($A38="","",IFERROR(INDEX(PMIS_Data!$B$3:$B$40,22),""))</f>
        <v>B61_Assessment</v>
      </c>
      <c r="C38" s="339" t="str">
        <f>IF($A38="","",IFERROR(INDEX(PMIS_Data!$C$3:$C$40,22),""))</f>
        <v>PILOT PHASE</v>
      </c>
      <c r="D38" s="535">
        <f>IF($A38="","",IFERROR(INDEX(PMIS_Data!$E$3:$E$40,22),""))</f>
        <v>0.55000000000000004</v>
      </c>
      <c r="E38" s="339" t="str">
        <f>IF($A38="","",IFERROR(INDEX(PMIS_Data!$F$3:$F$40,22),""))</f>
        <v>YES</v>
      </c>
      <c r="F38" s="339">
        <f>IF($A38="","",IFERROR(INDEX(PMIS_Data!$G$3:$G$40,22),""))</f>
        <v>29</v>
      </c>
      <c r="G38" s="339">
        <f>IF($A38="","",IFERROR(INDEX(PMIS_Data!$H$3:$H$40,22),""))</f>
        <v>0</v>
      </c>
      <c r="H38" s="339">
        <f>IF($A38="","",IFERROR(INDEX(PMIS_Data!$I$3:$I$40,22),""))</f>
        <v>0</v>
      </c>
      <c r="I38" s="339" t="str">
        <f>IF($A38="","",IFERROR(INDEX(PMIS_Data!$Q$3:$Q$40,22),""))</f>
        <v>Field verify B13H-A, 124, 226, and existing 137/137A; confirm active services, rack/equipment transfer, B61-TRB13A/B, B61-TR124A/B, B61-TR226A/B, B61-TR137AA/AB panel sources, IU/CU equipment, fire alarm/sprinkler impacts, FEC locations, PACS/CCTV scope, hazardous/abatement impacts, 1,966 ft cable tray routes, and cutover sequence.</v>
      </c>
      <c r="J38" s="339" t="str">
        <f>IF($A38="","",IFERROR(INDEX(PMIS_Data!$R$3:$R$40,22),""))</f>
        <v>Building 61 is a large full-scope TR building with hazardous abatement, architectural, fire protection, plumbing, mechanical, electrical, security, telecom, server/demarc and rack elevation scope. Primary new telecom rooms include basement B13H-A, first-level 124, second-level 226, and existing Room 137/137A demarc/server equipment. Major open issues include active-service cutover, dedicated cooling IU/CU-0-01/1-01/2-01, panel source coordination, rack UPS/PDU power, cable tray coordination, firestopping, PACS/CCTV, and turnover testing.</v>
      </c>
      <c r="K38" s="339" t="str">
        <f ca="1">IF($A38="","",IFERROR(INDEX(PMIS_Data!$AC$3:$AC$40,22),""))</f>
        <v>Blocked</v>
      </c>
      <c r="L38" s="339" t="str">
        <f ca="1">IF($A38="","",IFERROR(INDEX(PMIS_Data!$AJ$3:$AJ$40,22),""))</f>
        <v>Not Ready</v>
      </c>
      <c r="M38" s="339"/>
      <c r="N38" s="339"/>
      <c r="O38" s="339"/>
      <c r="P38" s="339"/>
    </row>
    <row r="39" spans="1:16" ht="27.6" customHeight="1">
      <c r="A39" s="339" t="str">
        <f>IFERROR(INDEX(PMIS_Data!$A$3:$A$40,23),"")</f>
        <v>62</v>
      </c>
      <c r="B39" s="339" t="str">
        <f>IF($A39="","",IFERROR(INDEX(PMIS_Data!$B$3:$B$40,23),""))</f>
        <v>B62_TR_Assessment</v>
      </c>
      <c r="C39" s="339" t="str">
        <f>IF($A39="","",IFERROR(INDEX(PMIS_Data!$C$3:$C$40,23),""))</f>
        <v>Yellow</v>
      </c>
      <c r="D39" s="535">
        <f>IF($A39="","",IFERROR(INDEX(PMIS_Data!$E$3:$E$40,23),""))</f>
        <v>0.5</v>
      </c>
      <c r="E39" s="339" t="str">
        <f>IF($A39="","",IFERROR(INDEX(PMIS_Data!$F$3:$F$40,23),""))</f>
        <v>No</v>
      </c>
      <c r="F39" s="339">
        <f>IF($A39="","",IFERROR(INDEX(PMIS_Data!$G$3:$G$40,23),""))</f>
        <v>23</v>
      </c>
      <c r="G39" s="339">
        <f>IF($A39="","",IFERROR(INDEX(PMIS_Data!$H$3:$H$40,23),""))</f>
        <v>0</v>
      </c>
      <c r="H39" s="339">
        <f>IF($A39="","",IFERROR(INDEX(PMIS_Data!$I$3:$I$40,23),""))</f>
        <v>0</v>
      </c>
      <c r="I39" s="339" t="str">
        <f>IF($A39="","",IFERROR(INDEX(PMIS_Data!$Q$3:$Q$40,23),""))</f>
        <v>Verify cooling power path, firestopping, extinguisher location, and existing conditions</v>
      </c>
      <c r="J39" s="339" t="str">
        <f>IF($A39="","",IFERROR(INDEX(PMIS_Data!$R$3:$R$40,23),""))</f>
        <v>Cooling / emergency power not verified</v>
      </c>
      <c r="K39" s="339" t="str">
        <f ca="1">IF($A39="","",IFERROR(INDEX(PMIS_Data!$AC$3:$AC$40,23),""))</f>
        <v>Blocked</v>
      </c>
      <c r="L39" s="339" t="str">
        <f ca="1">IF($A39="","",IFERROR(INDEX(PMIS_Data!$AJ$3:$AJ$40,23),""))</f>
        <v>Not Ready</v>
      </c>
      <c r="M39" s="339"/>
      <c r="N39" s="339"/>
      <c r="O39" s="339"/>
      <c r="P39" s="339"/>
    </row>
    <row r="40" spans="1:16" ht="27.6" customHeight="1">
      <c r="A40" s="339" t="str">
        <f>IFERROR(INDEX(PMIS_Data!$A$3:$A$40,24),"")</f>
        <v>70</v>
      </c>
      <c r="B40" s="339" t="str">
        <f>IF($A40="","",IFERROR(INDEX(PMIS_Data!$B$3:$B$40,24),""))</f>
        <v>B70_TR_Assessment</v>
      </c>
      <c r="C40" s="339" t="str">
        <f>IF($A40="","",IFERROR(INDEX(PMIS_Data!$C$3:$C$40,24),""))</f>
        <v>Yellow</v>
      </c>
      <c r="D40" s="535">
        <f>IF($A40="","",IFERROR(INDEX(PMIS_Data!$E$3:$E$40,24),""))</f>
        <v>0.5</v>
      </c>
      <c r="E40" s="339" t="str">
        <f>IF($A40="","",IFERROR(INDEX(PMIS_Data!$F$3:$F$40,24),""))</f>
        <v>No</v>
      </c>
      <c r="F40" s="339">
        <f>IF($A40="","",IFERROR(INDEX(PMIS_Data!$G$3:$G$40,24),""))</f>
        <v>23</v>
      </c>
      <c r="G40" s="339">
        <f>IF($A40="","",IFERROR(INDEX(PMIS_Data!$H$3:$H$40,24),""))</f>
        <v>0</v>
      </c>
      <c r="H40" s="339">
        <f>IF($A40="","",IFERROR(INDEX(PMIS_Data!$I$3:$I$40,24),""))</f>
        <v>0</v>
      </c>
      <c r="I40" s="339" t="str">
        <f>IF($A40="","",IFERROR(INDEX(PMIS_Data!$Q$3:$Q$40,24),""))</f>
        <v>Verify cooling power path, firestopping, extinguisher locations, and migration phasing</v>
      </c>
      <c r="J40" s="339" t="str">
        <f>IF($A40="","",IFERROR(INDEX(PMIS_Data!$R$3:$R$40,24),""))</f>
        <v>Cooling / emergency power and existing TR phasing not verified</v>
      </c>
      <c r="K40" s="339" t="str">
        <f ca="1">IF($A40="","",IFERROR(INDEX(PMIS_Data!$AC$3:$AC$40,24),""))</f>
        <v>Blocked</v>
      </c>
      <c r="L40" s="339" t="str">
        <f ca="1">IF($A40="","",IFERROR(INDEX(PMIS_Data!$AJ$3:$AJ$40,24),""))</f>
        <v>Not Ready</v>
      </c>
      <c r="M40" s="339"/>
      <c r="N40" s="339"/>
      <c r="O40" s="339"/>
      <c r="P40" s="339"/>
    </row>
    <row r="41" spans="1:16" ht="27.6" customHeight="1">
      <c r="A41" s="339" t="str">
        <f>IFERROR(INDEX(PMIS_Data!$A$3:$A$40,25),"")</f>
        <v>78</v>
      </c>
      <c r="B41" s="339" t="str">
        <f>IF($A41="","",IFERROR(INDEX(PMIS_Data!$B$3:$B$40,25),""))</f>
        <v>B78_Assessment</v>
      </c>
      <c r="C41" s="339" t="str">
        <f>IF($A41="","",IFERROR(INDEX(PMIS_Data!$C$3:$C$40,25),""))</f>
        <v>Yellow</v>
      </c>
      <c r="D41" s="535">
        <f>IF($A41="","",IFERROR(INDEX(PMIS_Data!$E$3:$E$40,25),""))</f>
        <v>0.5</v>
      </c>
      <c r="E41" s="339" t="str">
        <f>IF($A41="","",IFERROR(INDEX(PMIS_Data!$F$3:$F$40,25),""))</f>
        <v>No</v>
      </c>
      <c r="F41" s="339">
        <f>IF($A41="","",IFERROR(INDEX(PMIS_Data!$G$3:$G$40,25),""))</f>
        <v>32</v>
      </c>
      <c r="G41" s="339">
        <f>IF($A41="","",IFERROR(INDEX(PMIS_Data!$H$3:$H$40,25),""))</f>
        <v>0</v>
      </c>
      <c r="H41" s="339">
        <f>IF($A41="","",IFERROR(INDEX(PMIS_Data!$I$3:$I$40,25),""))</f>
        <v>0</v>
      </c>
      <c r="I41" s="339" t="str">
        <f>IF($A41="","",IFERROR(INDEX(PMIS_Data!$Q$3:$Q$40,25),""))</f>
        <v>Field verify rooms B30, B35, 1232, 227A, 342, 401 and existing telecom rooms 15E, 1234, 353, 308A, 408A; confirm active equipment, rack transfers, HVAC units, panel sources, UPS/PDU power, FEC locations, FA/FP modifications, PACS/CCTV, hazardous material impacts, cable tray routes, firestopping, and cutover sequence.</v>
      </c>
      <c r="J41" s="339" t="str">
        <f>IF($A41="","",IFERROR(INDEX(PMIS_Data!$R$3:$R$40,25),""))</f>
        <v>Building 78/78A is a very large full-scope TR building with basement through fourth-level telecom rooms, existing telecom rooms, hazardous abatement, architectural, fire protection, mechanical, electrical, security, telecom, rack elevations and photo references. Major open issues include active service cutover, dedicated HVAC validation, panel/UPS/PDU coordination, 4,849 ft cable tray routes, firestopping, PACS/CCTV, existing rack transfers, and turnover testing.</v>
      </c>
      <c r="K41" s="339" t="str">
        <f ca="1">IF($A41="","",IFERROR(INDEX(PMIS_Data!$AC$3:$AC$40,25),""))</f>
        <v>Blocked</v>
      </c>
      <c r="L41" s="339" t="str">
        <f ca="1">IF($A41="","",IFERROR(INDEX(PMIS_Data!$AJ$3:$AJ$40,25),""))</f>
        <v>Not Ready</v>
      </c>
      <c r="M41" s="339"/>
      <c r="N41" s="339"/>
      <c r="O41" s="339"/>
      <c r="P41" s="339"/>
    </row>
    <row r="42" spans="1:16" ht="27.6" customHeight="1">
      <c r="A42" s="339" t="str">
        <f>IFERROR(INDEX(PMIS_Data!$A$3:$A$40,26),"")</f>
        <v>80</v>
      </c>
      <c r="B42" s="339" t="str">
        <f>IF($A42="","",IFERROR(INDEX(PMIS_Data!$B$3:$B$40,26),""))</f>
        <v>B80_Assessment</v>
      </c>
      <c r="C42" s="339" t="str">
        <f>IF($A42="","",IFERROR(INDEX(PMIS_Data!$C$3:$C$40,26),""))</f>
        <v>Yellow</v>
      </c>
      <c r="D42" s="535">
        <f>IF($A42="","",IFERROR(INDEX(PMIS_Data!$E$3:$E$40,26),""))</f>
        <v>0.5</v>
      </c>
      <c r="E42" s="339" t="str">
        <f>IF($A42="","",IFERROR(INDEX(PMIS_Data!$F$3:$F$40,26),""))</f>
        <v>No</v>
      </c>
      <c r="F42" s="339">
        <f>IF($A42="","",IFERROR(INDEX(PMIS_Data!$G$3:$G$40,26),""))</f>
        <v>26</v>
      </c>
      <c r="G42" s="339">
        <f>IF($A42="","",IFERROR(INDEX(PMIS_Data!$H$3:$H$40,26),""))</f>
        <v>0</v>
      </c>
      <c r="H42" s="339">
        <f>IF($A42="","",IFERROR(INDEX(PMIS_Data!$I$3:$I$40,26),""))</f>
        <v>0</v>
      </c>
      <c r="I42" s="339" t="str">
        <f>IF($A42="","",IFERROR(INDEX(PMIS_Data!$Q$3:$Q$40,26),""))</f>
        <v>Field verify Telecom Room 102 and existing 127A/126; confirm active services, existing rack/equipment transfer, B80-TR102A/B panel sources, IU-1-01/CU-1-01 cooling, fire alarm/sprinkler impacts, FEC location, PACS/CCTV scope, cable tray route, and telecom cutover sequence.</v>
      </c>
      <c r="J42" s="339" t="str">
        <f>IF($A42="","",IFERROR(INDEX(PMIS_Data!$R$3:$R$40,26),""))</f>
        <v>Building 80 includes a new first-level Telecom Room 102 and existing Tel Closet 127A / photo-reference Room 126 transition point. Field verification, active equipment transfer, dedicated cooling IU-1-01/CU-1-01, B80-TR102A/B power, 811 ft cable tray, firestopping, PACS/CCTV, existing two-post rack migration, and room-number mapping remain open.</v>
      </c>
      <c r="K42" s="339" t="str">
        <f ca="1">IF($A42="","",IFERROR(INDEX(PMIS_Data!$AC$3:$AC$40,26),""))</f>
        <v>Blocked</v>
      </c>
      <c r="L42" s="339" t="str">
        <f ca="1">IF($A42="","",IFERROR(INDEX(PMIS_Data!$AJ$3:$AJ$40,26),""))</f>
        <v>Not Ready</v>
      </c>
      <c r="M42" s="339"/>
      <c r="N42" s="339"/>
      <c r="O42" s="339"/>
      <c r="P42" s="339"/>
    </row>
    <row r="43" spans="1:16" ht="27.6" customHeight="1">
      <c r="A43" s="339" t="str">
        <f>IFERROR(INDEX(PMIS_Data!$A$3:$A$40,27),"")</f>
        <v>82</v>
      </c>
      <c r="B43" s="339" t="str">
        <f>IF($A43="","",IFERROR(INDEX(PMIS_Data!$B$3:$B$40,27),""))</f>
        <v>B82_Assessment</v>
      </c>
      <c r="C43" s="339" t="str">
        <f>IF($A43="","",IFERROR(INDEX(PMIS_Data!$C$3:$C$40,27),""))</f>
        <v>Yellow</v>
      </c>
      <c r="D43" s="535">
        <f>IF($A43="","",IFERROR(INDEX(PMIS_Data!$E$3:$E$40,27),""))</f>
        <v>0.5</v>
      </c>
      <c r="E43" s="339" t="str">
        <f>IF($A43="","",IFERROR(INDEX(PMIS_Data!$F$3:$F$40,27),""))</f>
        <v>No</v>
      </c>
      <c r="F43" s="339">
        <f>IF($A43="","",IFERROR(INDEX(PMIS_Data!$G$3:$G$40,27),""))</f>
        <v>26</v>
      </c>
      <c r="G43" s="339">
        <f>IF($A43="","",IFERROR(INDEX(PMIS_Data!$H$3:$H$40,27),""))</f>
        <v>0</v>
      </c>
      <c r="H43" s="339">
        <f>IF($A43="","",IFERROR(INDEX(PMIS_Data!$I$3:$I$40,27),""))</f>
        <v>0</v>
      </c>
      <c r="I43" s="339" t="str">
        <f>IF($A43="","",IFERROR(INDEX(PMIS_Data!$Q$3:$Q$40,27),""))</f>
        <v>Field verify Room 102 new TE location, existing B01-A, active services, TR01-102-01 schedule, 278 ft cable tray route, 10 Cat6A cable legend, UPS/PDU source, B82-MDP/B82-P-EMER connections, IU-1-01/CU-1-01 cooling, fiber paths A/B, firestopping/sleeves, existing cameras and TE cutover plan.</v>
      </c>
      <c r="J43" s="339" t="str">
        <f>IF($A43="","",IFERROR(INDEX(PMIS_Data!$R$3:$R$40,27),""))</f>
        <v>Building 82 is identified as a Telecom Enclosure (TE) building on the cover sheet, with fire protection scope excluded, but mechanical sheets show IU-1-01/CU-1-01 dedicated cooling for Room 102 and electrical drawings show B82-MDP/B82-P-EMER power. Scope centers on new first-level Telecom Room 102 / 12RU enclosure and existing first-level Telecom Room B01-A transition point. Field verification, active-equipment transfer, 278 ft cable tray, firestopping, UPS/PDU power, HVAC controls, fiber/copper cutover, and room/equipment mapping remain open.</v>
      </c>
      <c r="K43" s="339" t="str">
        <f ca="1">IF($A43="","",IFERROR(INDEX(PMIS_Data!$AC$3:$AC$40,27),""))</f>
        <v>Blocked</v>
      </c>
      <c r="L43" s="339" t="str">
        <f ca="1">IF($A43="","",IFERROR(INDEX(PMIS_Data!$AJ$3:$AJ$40,27),""))</f>
        <v>Not Ready</v>
      </c>
      <c r="M43" s="339"/>
      <c r="N43" s="339"/>
      <c r="O43" s="339"/>
      <c r="P43" s="339"/>
    </row>
    <row r="44" spans="1:16" ht="27.6" customHeight="1">
      <c r="A44" s="339" t="str">
        <f>IFERROR(INDEX(PMIS_Data!$A$3:$A$40,28),"")</f>
        <v>BCH</v>
      </c>
      <c r="B44" s="339" t="str">
        <f>IF($A44="","",IFERROR(INDEX(PMIS_Data!$B$3:$B$40,28),""))</f>
        <v>BCH_Assessment</v>
      </c>
      <c r="C44" s="339" t="str">
        <f>IF($A44="","",IFERROR(INDEX(PMIS_Data!$C$3:$C$40,28),""))</f>
        <v>Yellow</v>
      </c>
      <c r="D44" s="535">
        <f>IF($A44="","",IFERROR(INDEX(PMIS_Data!$E$3:$E$40,28),""))</f>
        <v>0.5</v>
      </c>
      <c r="E44" s="339" t="str">
        <f>IF($A44="","",IFERROR(INDEX(PMIS_Data!$F$3:$F$40,28),""))</f>
        <v>No</v>
      </c>
      <c r="F44" s="339">
        <f>IF($A44="","",IFERROR(INDEX(PMIS_Data!$G$3:$G$40,28),""))</f>
        <v>26</v>
      </c>
      <c r="G44" s="339">
        <f>IF($A44="","",IFERROR(INDEX(PMIS_Data!$H$3:$H$40,28),""))</f>
        <v>0</v>
      </c>
      <c r="H44" s="339">
        <f>IF($A44="","",IFERROR(INDEX(PMIS_Data!$I$3:$I$40,28),""))</f>
        <v>0</v>
      </c>
      <c r="I44" s="339" t="str">
        <f>IF($A44="","",IFERROR(INDEX(PMIS_Data!$Q$3:$Q$40,28),""))</f>
        <v>Field verify Room 107, Room 00-107 rack/elevation reference, new TE/enclosure location, active services, cable tray route, power/UPS/PDU source, grounding/bonding, fiber Path A/B, 4-inch sleeve/firestop scope, camera/VMS scope, and confirm whether the BCH rack elevation is TE-only or new telecom room buildout.</v>
      </c>
      <c r="J44" s="339" t="str">
        <f>IF($A44="","",IFERROR(INDEX(PMIS_Data!$R$3:$R$40,28),""))</f>
        <v>Crescent House/BCH is a Telecom Enclosure (TE) scope with mechanical and fire protection excluded by the cover sheet. Scope centers on first-level Room 107 and rack/equipment location shown as Room 00-107 / BCH Crescent House. Field verification, room naming, wall-mounted TE versus 45RU room/rack elevation conflict, active-service cutover, power/UPS/PDU source, firestopping, fiber A/B routing, and cable tray/WAO quantities remain open.</v>
      </c>
      <c r="K44" s="339" t="str">
        <f ca="1">IF($A44="","",IFERROR(INDEX(PMIS_Data!$AC$3:$AC$40,28),""))</f>
        <v>Blocked</v>
      </c>
      <c r="L44" s="339" t="str">
        <f ca="1">IF($A44="","",IFERROR(INDEX(PMIS_Data!$AJ$3:$AJ$40,28),""))</f>
        <v>Not Ready</v>
      </c>
      <c r="M44" s="339"/>
      <c r="N44" s="339"/>
      <c r="O44" s="339"/>
      <c r="P44" s="339"/>
    </row>
    <row r="45" spans="1:16" ht="27.6" customHeight="1">
      <c r="A45" s="339" t="str">
        <f>IFERROR(INDEX(PMIS_Data!$A$3:$A$40,29),"")</f>
        <v>MCR</v>
      </c>
      <c r="B45" s="339" t="str">
        <f>IF($A45="","",IFERROR(INDEX(PMIS_Data!$B$3:$B$40,29),""))</f>
        <v>MCR_Assessment</v>
      </c>
      <c r="C45" s="339" t="str">
        <f>IF($A45="","",IFERROR(INDEX(PMIS_Data!$C$3:$C$40,29),""))</f>
        <v>Yellow</v>
      </c>
      <c r="D45" s="535">
        <f>IF($A45="","",IFERROR(INDEX(PMIS_Data!$E$3:$E$40,29),""))</f>
        <v>0.5</v>
      </c>
      <c r="E45" s="339" t="str">
        <f>IF($A45="","",IFERROR(INDEX(PMIS_Data!$F$3:$F$40,29),""))</f>
        <v>No</v>
      </c>
      <c r="F45" s="339">
        <f>IF($A45="","",IFERROR(INDEX(PMIS_Data!$G$3:$G$40,29),""))</f>
        <v>31</v>
      </c>
      <c r="G45" s="339">
        <f>IF($A45="","",IFERROR(INDEX(PMIS_Data!$H$3:$H$40,29),""))</f>
        <v>0</v>
      </c>
      <c r="H45" s="339">
        <f>IF($A45="","",IFERROR(INDEX(PMIS_Data!$I$3:$I$40,29),""))</f>
        <v>0</v>
      </c>
      <c r="I45" s="339" t="str">
        <f>IF($A45="","",IFERROR(INDEX(PMIS_Data!$Q$3:$Q$40,29),""))</f>
        <v>Field verify new MCR Room 107 / Room 031 naming, MDA-A/B and HDA-A/B rack rows, existing MCR/server equipment in 107/137, UPS-A/B, CRAC units, clean-agent/preaction/fire alarm systems, MCR panel/ATS/generator sources, camera/access control devices, fiber Path A/B, service provider entrance, cable tray/firestop scope, third-party inspections, and phased activation/cutover sequence.</v>
      </c>
      <c r="J45" s="339" t="str">
        <f>IF($A45="","",IFERROR(INDEX(PMIS_Data!$R$3:$R$40,29),""))</f>
        <v>MCR is the most critical EHRM infrastructure building. Scope includes new Main Computer Room, new MDA A/B rows, HDA A/B rows, existing server/MCR equipment transfer from 107/137, redundant fiber Path A/B, new CRAC cooling, UPS A/B, electrical service/ATS/generator integration, clean-agent fire suppression, wet sprinkler/fire alarm interfaces, PACS/CCTV, 359 ft cable tray, and MCR activation window. Major risk is service continuity during backbone/core migration and VA activation.</v>
      </c>
      <c r="K45" s="339" t="str">
        <f ca="1">IF($A45="","",IFERROR(INDEX(PMIS_Data!$AC$3:$AC$40,29),""))</f>
        <v>Blocked</v>
      </c>
      <c r="L45" s="339" t="str">
        <f ca="1">IF($A45="","",IFERROR(INDEX(PMIS_Data!$AJ$3:$AJ$40,29),""))</f>
        <v>Not Ready</v>
      </c>
      <c r="M45" s="339"/>
      <c r="N45" s="339"/>
      <c r="O45" s="339"/>
      <c r="P45" s="339"/>
    </row>
    <row r="46" spans="1:16" ht="27.6" customHeight="1">
      <c r="A46" s="339" t="str">
        <f>IFERROR(INDEX(PMIS_Data!$A$3:$A$40,30),"")</f>
        <v>SITE</v>
      </c>
      <c r="B46" s="339" t="str">
        <f>IF($A46="","",IFERROR(INDEX(PMIS_Data!$B$3:$B$40,30),""))</f>
        <v>SITE_Assesment</v>
      </c>
      <c r="C46" s="339" t="str">
        <f>IF($A46="","",IFERROR(INDEX(PMIS_Data!$C$3:$C$40,30),""))</f>
        <v>Yellow</v>
      </c>
      <c r="D46" s="535">
        <f>IF($A46="","",IFERROR(INDEX(PMIS_Data!$E$3:$E$40,30),""))</f>
        <v>0.5</v>
      </c>
      <c r="E46" s="339" t="str">
        <f>IF($A46="","",IFERROR(INDEX(PMIS_Data!$F$3:$F$40,30),""))</f>
        <v>No</v>
      </c>
      <c r="F46" s="339">
        <f>IF($A46="","",IFERROR(INDEX(PMIS_Data!$G$3:$G$40,30),""))</f>
        <v>32</v>
      </c>
      <c r="G46" s="339">
        <f>IF($A46="","",IFERROR(INDEX(PMIS_Data!$H$3:$H$40,30),""))</f>
        <v>0</v>
      </c>
      <c r="H46" s="339">
        <f>IF($A46="","",IFERROR(INDEX(PMIS_Data!$I$3:$I$40,30),""))</f>
        <v>0</v>
      </c>
      <c r="I46" s="339" t="str">
        <f>IF($A46="","",IFERROR(INDEX(PMIS_Data!$Q$3:$Q$40,30),""))</f>
        <v>Field verify all THH/manhole locations, utility depths, trench routes, concrete ductbank sizes, Path A/B conduit counts, building tie-in points, site electrical conflicts, MCR/provider entrance points, restoration limits, traffic/pedestrian controls, inspection hold points, and fiber testing/acceptance sequence.</v>
      </c>
      <c r="J46" s="339" t="str">
        <f>IF($A46="","",IFERROR(INDEX(PMIS_Data!$R$3:$R$40,30),""))</f>
        <v>Site package controls the redundant telecommunications backbone for the full EHRM campus. Scope includes site survey, electrical site plans, telecom site plans, enlarged views, plan/profile sheets for Path A/B, concrete ductbank, direct-bury conduit, handholes THH #1-#19, communication manholes with locking covers, concrete pullboxes, trench restoration, and the site one-line fiber diagram. Major risks are existing utility conflicts, A/B path separation, ductbank inspection before backfill, MCR activation sequencing, and coordination of multiple building tie-ins.</v>
      </c>
      <c r="K46" s="339" t="str">
        <f ca="1">IF($A46="","",IFERROR(INDEX(PMIS_Data!$AC$3:$AC$40,30),""))</f>
        <v>Blocked</v>
      </c>
      <c r="L46" s="339" t="str">
        <f ca="1">IF($A46="","",IFERROR(INDEX(PMIS_Data!$AJ$3:$AJ$40,30),""))</f>
        <v>Not Ready</v>
      </c>
      <c r="M46" s="339"/>
      <c r="N46" s="339"/>
      <c r="O46" s="339"/>
      <c r="P46" s="339"/>
    </row>
    <row r="47" spans="1:16" ht="27.6" customHeight="1">
      <c r="A47" s="339"/>
      <c r="B47" s="339"/>
      <c r="C47" s="339"/>
      <c r="D47" s="339"/>
      <c r="E47" s="339"/>
      <c r="F47" s="339"/>
      <c r="G47" s="339"/>
      <c r="H47" s="339"/>
      <c r="I47" s="339"/>
      <c r="J47" s="339"/>
      <c r="K47" s="339"/>
      <c r="L47" s="339"/>
      <c r="M47" s="339"/>
      <c r="N47" s="339"/>
      <c r="O47" s="339"/>
      <c r="P47" s="339"/>
    </row>
    <row r="48" spans="1:16">
      <c r="A48" s="339"/>
      <c r="B48" s="339"/>
      <c r="C48" s="339"/>
      <c r="D48" s="339"/>
      <c r="E48" s="339"/>
      <c r="F48" s="339"/>
      <c r="G48" s="339"/>
      <c r="H48" s="339"/>
      <c r="I48" s="339"/>
      <c r="J48" s="339"/>
      <c r="K48" s="339"/>
      <c r="L48" s="339"/>
      <c r="M48" s="339"/>
      <c r="N48" s="339"/>
      <c r="O48" s="339"/>
      <c r="P48" s="339"/>
    </row>
    <row r="49" spans="1:16" ht="13.8">
      <c r="A49" s="541" t="s">
        <v>6038</v>
      </c>
      <c r="B49" s="541"/>
      <c r="C49" s="541"/>
      <c r="D49" s="541"/>
      <c r="E49" s="541"/>
      <c r="F49" s="541"/>
      <c r="G49" s="541"/>
      <c r="H49" s="541"/>
      <c r="I49" s="541"/>
      <c r="J49" s="541"/>
      <c r="K49" s="541"/>
      <c r="L49" s="541"/>
      <c r="M49" s="541"/>
      <c r="N49" s="541"/>
      <c r="O49" s="541"/>
      <c r="P49" s="541"/>
    </row>
    <row r="50" spans="1:16" ht="24">
      <c r="A50" s="536" t="s">
        <v>142</v>
      </c>
      <c r="B50" s="536" t="s">
        <v>5455</v>
      </c>
      <c r="C50" s="536" t="s">
        <v>3348</v>
      </c>
      <c r="D50" s="536" t="s">
        <v>3349</v>
      </c>
      <c r="E50" s="536" t="s">
        <v>5456</v>
      </c>
      <c r="F50" s="536" t="s">
        <v>5457</v>
      </c>
      <c r="G50" s="536" t="s">
        <v>4526</v>
      </c>
      <c r="H50" s="536" t="s">
        <v>199</v>
      </c>
      <c r="I50" s="339"/>
      <c r="J50" s="339"/>
      <c r="K50" s="339"/>
      <c r="L50" s="339"/>
      <c r="M50" s="339"/>
      <c r="N50" s="339"/>
      <c r="O50" s="339"/>
      <c r="P50" s="339"/>
    </row>
    <row r="51" spans="1:16" ht="26.4" customHeight="1">
      <c r="A51" s="339" t="str">
        <f>IFERROR(INDEX(PMIS_Trade_Notes!$A$2:$A$40,1),"")</f>
        <v>01</v>
      </c>
      <c r="B51" s="339" t="str">
        <f>IF($A51="","",IFERROR(INDEX(PMIS_Trade_Notes!$D$2:$D$40,1),""))</f>
        <v>• Full fire protection scope included. Verify sprinkler head modifications, fire alarm devices, clean-agent/CO2 2A:10B:C FEC within 75 ft, rated wall/floor penetrations, temporary firestopping and final UL firestop systems.
• Existing telecom room; verify FP/FA protection-in-place and seal penetrations after cable removal/reuse.
• Existing telecom room; verify fire alarm/sprinkler impacts, protection-in-place and final firestop at cable changes.
• Existing second-level telecom room; verify riser penetrations, firestopping and protection-in-place.</v>
      </c>
      <c r="C51" s="339" t="str">
        <f>IF($A51="","",IFERROR(INDEX(PMIS_Trade_Notes!$E$2:$E$40,1),""))</f>
        <v>• Mechanical drawings show IU-1-01 split-system indoor unit and CU-1-01 outdoor unit for Room 107. Notes call for condensate pump, pumped condensate line, BACnet adapter adjacent to unit, FMS integration, room temperature/humidity points and alarms. Confirm capacity, emergency source, condensate path, controls and startup.
• Existing basement telecom equipment may remain active during cutover. Verify environmental conditions and whether active equipment remains after migration.
• Existing first-level equipment may remain active during transfer; verify temperature, ventilation and protection of active gear.
• Existing second-level equipment may remain active until cutover; verify existing cooling/ambient conditions and no overheating.</v>
      </c>
      <c r="D51" s="339" t="str">
        <f>IF($A51="","",IFERROR(INDEX(PMIS_Trade_Notes!$F$2:$F$40,1),""))</f>
        <v>• Electrical plans/schedules identify B01-TR107A and B01-TR107B, rack receptacles, normal/emergency receptacles, redundant vertical PDUs, CU-1-01, access controller, lighting/receptacle circuits, SPDs integral to new telecom panels, and 30-day load measurement requirements before panel renovation.
• Existing B02 rack elevations show UPS on floor and Tripp Lite Smart Pro UPS; verify active source circuits and transfer requirements.
• Existing 138 rack elevation shows APC UPS floor and patch panels; verify active source circuits and transition.
• Existing Room 282 equipment includes active rack gear and patch panels; verify source circuits, UPS/PDU condition and final decommission/retain scope.</v>
      </c>
      <c r="E51" s="339" t="str">
        <f>IF($A51="","",IFERROR(INDEX(PMIS_Trade_Notes!$G$2:$G$40,1),""))</f>
        <v>• 01T-701 identifies RM107 with 96 WAO total, 88 active ports per survey, 146 total ports per schedule, and 161 total ports with 10% allowance. Cable tray schedule totals 394 ft: 58 ft basement, 212 ft first level and 124 ft second level. Rack ID TR01-107-1.
• Existing B02 racks/TE support active services and legacy equipment. Contractor must field verify equipment to be demolished or transferred and provide phasing plan.
• Existing Room 138 racks and patch panels act as transition/legacy equipment point. Verify active service labels and transfer sequence.
• Existing Room 282 racks and patch panels act as second-level transition point. Verify all active services, WAP/camera cabling, and riser pathway.</v>
      </c>
      <c r="F51" s="339" t="str">
        <f>IF($A51="","",IFERROR(INDEX(PMIS_Trade_Notes!$H$2:$H$40,1),""))</f>
        <v>• Electrical/telecom plans show new access control, power supply/battery backup for PACS, HDP12/FIPS-compliant PIV-ready card reader with PIN pad, and camera 107-CAM-1. Verify CR/RX/DC/ES/MD devices, controller, camera/VMS integration and door hardware coordination.
• Verify existing security/CCTV equipment and any retained cameras. Maintain camera angles where existing security cameras are recabled.
• Verify existing security/access conditions and protection-in-place during rack transfer.
• Verify second-level existing security/CCTV impacts during cabling and equipment transfer.</v>
      </c>
      <c r="G51" s="339" t="str">
        <f>IF($A51="","",IFERROR(INDEX(PMIS_Trade_Notes!$I$2:$I$40,1),""))</f>
        <v>• High: Existing conditions for Room 107 and transition rooms B02/138/282 not field verified — Perform existing conditions survey with photos and active-service inventory before mobilization
• Critical: Existing equipment may remain active during transfer to Room 107 — Document active services, protect in place, identify OIT cutover windows, phasing, rollback path and temporary utilities
• Critical: Dedicated cooling emergency power, condensate, BACnet and alarms not verified — Confirm IU-1-01/CU-1-01 power source, condensate route, controls, BACnet adapter, thermostat, humidity and high-temp alarms
• High: B01-TR107A/B UPS/PDU and panel source coordination could delay energization — Verify panels, breakers, receptacles, SPD, labels, 30-day load measurement and LOTO needs
• High: 394 feet of cable tray/pathway requires coordination and firestop tracking — Verify route, supports, seismic bracing, 40% fill, penetrations, lighting/HVAC conflicts and firestop assemblies
• Critical: Telecom/fiber cutover could affect active hospital communications across basement/first/second levels — Require cutover plan, test records, labels, as-builts, OIT coordination and VA acceptance before active connection</v>
      </c>
      <c r="H51" s="339" t="str">
        <f>IF($A51="","",IFERROR(INDEX(PMIS_Trade_Notes!$J$2:$J$40,1),""))</f>
        <v>• B01-Q1 — Confirm final telecom scope: new Room 107 with existing B02, 138 and 282 transition/transfer points? [Closed] Impact: Room inventory could miss scope
• B01-Q2 — What active services are currently fed from existing Rooms B02, 138 and 282? [Closed] Impact: Potential communications/security outage
• B01-Q3 — What equipment from existing racks transfers to new Room 107 versus remains/decommissions? [Closed] Impact: Cutover and rack elevation risk
• B01-Q4 — Is IU-1-01/CU-1-01 on emergency/backup power and dedicated to Room 107? [Closed] Impact: Cooling continuity unclear
• B01-Q5 — Where is the clean-agent/CO2 extinguisher cabinet located within 75 ft of Room 107? [Closed] Impact: Life-safety acceptance risk
• B01-Q6 — Are B01-TR107A/B sources, rack receptacles, SPDs, labels and 30-day load measurements approved? [Closed] Impact: Electrical readiness unknown</v>
      </c>
      <c r="I51" s="339"/>
      <c r="J51" s="339"/>
      <c r="K51" s="339"/>
      <c r="L51" s="339"/>
      <c r="M51" s="339"/>
      <c r="N51" s="339"/>
      <c r="O51" s="339"/>
      <c r="P51" s="339"/>
    </row>
    <row r="52" spans="1:16" ht="26.4" customHeight="1">
      <c r="A52" s="339" t="str">
        <f>IFERROR(INDEX(PMIS_Trade_Notes!$A$2:$A$40,2),"")</f>
        <v>02</v>
      </c>
      <c r="B52" s="339" t="str">
        <f>IF($A52="","",IFERROR(INDEX(PMIS_Trade_Notes!$D$2:$D$40,2),""))</f>
        <v>• Full fire protection scope included. Verify sprinkler modifications, fire alarm devices, clean-agent/CO2 2A:10B:C FEC within 75 ft, rated wall/floor penetrations, temporary firestopping and final UL systems.
• Verify second-level TR sprinkler/fire alarm modifications, FEC location, cable tray penetrations, and temporary/final firestopping.
• Verify third-level TR sprinkler/fire alarm modifications, FEC location, riser penetrations and firestopping.
• Existing telecom rooms; verify FP/FA protection-in-place and seal penetrations after cable removal/reuse.</v>
      </c>
      <c r="C52" s="339" t="str">
        <f>IF($A52="","",IFERROR(INDEX(PMIS_Trade_Notes!$E$2:$E$40,2),""))</f>
        <v>• Electrical schedule references CU-1-01, CU-2-01 and CU-3-01 on B02-TR141B; mechanical sheets include dedicated TR cooling. Confirm which indoor/outdoor unit serves Room 141, capacity, emergency power, condensate, controls/BACnet and alarms.
• Confirm dedicated cooling equipment serving Room 236, condensate route, 24/7 operation, emergency source and FMS/BACnet high-temperature alarm.
• Confirm dedicated cooling equipment serving Room 342, condensate route, controls, emergency source and alarm integration.
• Existing telecom equipment may remain active during cutover. Verify ambient temperature/cooling protection until migration complete.</v>
      </c>
      <c r="D52" s="339" t="str">
        <f>IF($A52="","",IFERROR(INDEX(PMIS_Trade_Notes!$F$2:$F$40,2),""))</f>
        <v>• Electrical one-line/schedules identify B02-TR141A/B with rack receptacles, lighting/receptacles, SPDs integral to new telecom panelboards and cooling equipment references. Verify source, 30-day load measurement, LOTO and labels.
• Electrical one-line/schedules identify B02-TR236A/B with rack receptacles, lighting/receptacles, SPDs and normal/emergency power requirements. Verify source and rack PDU mapping.
• Electrical one-line/schedules identify B02-TR342A/B with rack receptacles, lighting/receptacles and SPDs. Verify source panels and UPS/PDU circuits.
• Existing racks/panels remain active during transfer; verify power source, UPS status and temporary power needs.</v>
      </c>
      <c r="E52" s="339" t="str">
        <f>IF($A52="","",IFERROR(INDEX(PMIS_Trade_Notes!$G$2:$G$40,2),""))</f>
        <v>• 02T-701 identifies RM141 with 211 WAO total, 215 active ports, 322 scheduled ports, 354 ports with allowance. Rack IDs TR01-141-01/02. Cable tray schedule total includes 1,069 ft first-level cable tray.
• 02T-702 identifies RM236 with 179 WAO total, 178 active ports, 314 scheduled ports and approx. 345 with allowance. Rack IDs TR01-236-01/02. Verify second-level cable tray, riser and cutover from existing 282/236 scope.
• 02T-703 identifies RM342 with 274 WAO total, 96 active ports, 353 scheduled ports, 388 with allowance. Rack IDs TR01-342-01/02. Verify third-level cable tray and high outlet count.
• Existing B-06/141/236 racks support legacy services. Field verify all active circuits, existing patch panels, labels, and transfer plan before cutover.</v>
      </c>
      <c r="F52" s="339" t="str">
        <f>IF($A52="","",IFERROR(INDEX(PMIS_Trade_Notes!$H$2:$H$40,2),""))</f>
        <v>• Plans show 174-CAM-01 associated with the first-level TR area and PACS/security requirements. Verify camera/VMS integration, access controller/power supply, CR/RX/DC/ES/MD and door hardware.
• Plans show 236-CAM-01. Verify camera/VMS integration, access control, door hardware, motion/detection devices and power.
• Plans show 342-CAM-01 and 342A-CK-A. Verify camera/VMS integration and access control/security rough-in.
• Maintain existing camera angles when re-cabling and protect existing PACS/equipment racks during transfer.</v>
      </c>
      <c r="G52" s="339" t="str">
        <f>IF($A52="","",IFERROR(INDEX(PMIS_Trade_Notes!$I$2:$I$40,2),""))</f>
        <v>• High: Existing conditions for Rooms 141/236/342 and existing B-06/141/236 not field verified — Perform existing conditions survey with photos and active-service inventory before mobilization
• Critical: Existing equipment may remain active during transfer to new TRs — Document active services, protect in place, identify OIT cutover windows, phasing, rollback path and temporary utilities
• Critical: Dedicated cooling assignment, emergency power, condensate, BACnet and alarms not verified — Confirm each IU/CU serving each TR, power source, condensate route, controls, BACnet, thermostat and high-temp alarms
• High: B02-TR141/236/342 A/B UPS/PDU and panel source coordination could delay energization — Verify panels, breakers, receptacles, SPDs, labels, 30-day load measurement and LOTO needs
• High: 2,560 feet of cable tray/pathway requires coordination and firestop tracking — Verify route, supports, seismic bracing, 40% fill, penetrations, lighting/HVAC conflicts and firestop assemblies
• Critical: Telecom/fiber cutover could affect active hospital communications across several floors — Require cutover plan, test records, labels, as-builts, OIT coordination and VA acceptance before active connection</v>
      </c>
      <c r="H52" s="339" t="str">
        <f>IF($A52="","",IFERROR(INDEX(PMIS_Trade_Notes!$J$2:$J$40,2),""))</f>
        <v>• B02-Q1 — Confirm final telecom scope: new Rooms 141, 236 and 342 with existing B-06/141/236 transition points? [Open] Impact: Room inventory could miss scope
• B02-Q2 — What active services are currently fed from existing Rooms B-06, 141 and 236? [Open] Impact: Potential communications/security outage
• B02-Q3 — What existing equipment is transferred, relocated, removed or protected in Rooms 141 and 236? [Open] Impact: Cutover and rack elevation risk
• B02-Q4 — Which IU/CU pair serves each TR and are they on emergency/backup power? [Open] Impact: Cooling continuity unclear
• B02-Q5 — Where are clean-agent/CO2 extinguisher cabinets located within 75 ft of Rooms 141, 236 and 342? [Open] Impact: Life-safety acceptance risk
• B02-Q6 — Are B02-TR141/236/342 A/B sources, rack receptacles, SPDs, labels and 30-day load measurements approved? [Open] Impact: Electrical readiness unknown</v>
      </c>
      <c r="I52" s="339"/>
      <c r="J52" s="339"/>
      <c r="K52" s="339"/>
      <c r="L52" s="339"/>
      <c r="M52" s="339"/>
      <c r="N52" s="339"/>
      <c r="O52" s="339"/>
      <c r="P52" s="339"/>
    </row>
    <row r="53" spans="1:16" ht="26.4" customHeight="1">
      <c r="A53" s="339" t="str">
        <f>IFERROR(INDEX(PMIS_Trade_Notes!$A$2:$A$40,3),"")</f>
        <v>03</v>
      </c>
      <c r="B53" s="339" t="str">
        <f>IF($A53="","",IFERROR(INDEX(PMIS_Trade_Notes!$D$2:$D$40,3),""))</f>
        <v>• Full fire protection scope included. Verify sprinkler modifications, fire alarm devices, clean-agent/CO2 2A:10B:C FEC within 75 ft, rated wall/floor penetrations, temporary firestopping and final UL systems.
• Existing telecom room; verify fire alarm/sprinkler protection-in-place and seal penetrations after fiber/cable transfer or reuse.
• Existing DMARC/telecom room; fire alarm/sprinkler and firestopping must remain in service during transfer.
• Coordinate ceiling removal, temporary barriers/upright sprinklers if ceiling tiles remain open, and firestopping at all rated penetrations.</v>
      </c>
      <c r="C53" s="339" t="str">
        <f>IF($A53="","",IFERROR(INDEX(PMIS_Trade_Notes!$E$2:$E$40,3),""))</f>
        <v>• Electrical schedule references CU-01 on B03-TR101CB and mechanical package includes dedicated TR cooling. Confirm indoor/outdoor unit serving Room 101E, capacity, emergency source, condensate route, controls/BACnet and high-temperature alarm.
• Existing basement telecom equipment may remain active during transfer. Verify ambient temperature/cooling protection until migration is complete.
• Existing DMARC/fiber services may remain active during cutover; verify existing environmental conditions and heat load if equipment remains.
• No dedicated HVAC for WAO areas; maintain infection control/IAQ and ceiling restoration requirements.</v>
      </c>
      <c r="D53" s="339" t="str">
        <f>IF($A53="","",IFERROR(INDEX(PMIS_Trade_Notes!$F$2:$F$40,3),""))</f>
        <v>• Electrical one-line/schedules identify B03-TR101CA/B with rack receptacles, TR receptacles, access controller, CU-01 on B03-TR101CB, SPDs integral to telecom panels, PXR20 trip units, and 30-day load measurement requirements.
• Existing Room 107 rack elevation shows UPS on floor and legacy telecom equipment. Verify active source circuits and transfer requirements.
• Existing DMARC plan shows existing branch panel and patch panel removal/relocation scope. Verify source circuits before demolition or transfer.
• Verify power/data coordination at outlets, cameras, WAPs, Centrak/clock devices and hard-lid ceiling locations.</v>
      </c>
      <c r="E53" s="339" t="str">
        <f>IF($A53="","",IFERROR(INDEX(PMIS_Trade_Notes!$G$2:$G$40,3),""))</f>
        <v>• 03T-701 identifies RM101E with 143 WAO total, 213 active ports, 187 scheduled ports and 206 total ports with 10% allowance. Cable tray schedule totals 961 ft: 615 ft basement level and 346 ft first level. Rack IDs TR01-101E-1 and TR01-101E-2.
• Existing Room 107 rack supports legacy active services; verify B3-LB-B13-TC-FIBER equipment inventory, fiber LIU, patch panels, Cisco switch and UPS before cutover.
• Existing DMARC/telecom room 101C includes patch panels/cabinet/branch panel and 101C-CAM-01; protect active provider/fiber/DMARC services until new fiber/rack work is accepted.
• Existing ports replaced; 3- and 4-port outlets reduced to two Cat6A ports where coordinated. WAPs remain protected in place while cabling/faceplate/jack are replaced.</v>
      </c>
      <c r="F53" s="339" t="str">
        <f>IF($A53="","",IFERROR(INDEX(PMIS_Trade_Notes!$H$2:$H$40,3),""))</f>
        <v>• Plans require PACS for TR doors and electrical details include access-controlled door rough-in. Verify access controller, power supply/battery backup, CR/RX/DC/ES/MD devices, reader, strike and door hardware coordination.
• Enlarged plan and schedule identify 101C-CAM-01 and 101C-CK-A. Verify camera/VMS integration, existing camera angles and protection-in-place.
• Verify existing security/CCTV/PACS impacts during basement telecom room transfer.
• Maintain existing camera angles when re-cabling; verify WAP/security/clock/Centrak devices are relabeled and tested.</v>
      </c>
      <c r="G53" s="339" t="str">
        <f>IF($A53="","",IFERROR(INDEX(PMIS_Trade_Notes!$I$2:$I$40,3),""))</f>
        <v>• High: Existing conditions for Room 101E and transition rooms 107/101C not field verified — Perform existing conditions survey with photos and active-service inventory before mobilization
• Critical: Existing DMARC/fiber/telecom equipment may remain active during transfer to Room 101E — Document active services, protect in place, identify OIT/provider cutover windows, phasing, rollback path and temporary utilities
• Critical: Dedicated cooling assignment, emergency power, condensate, BACnet and alarms not verified — Confirm CU-01/IU serving Room 101E, power source, condensate, controls, BACnet, thermostat and high-temp alarms
• High: B03-TR101CA/B UPS/PDU and panel source coordination could delay energization — Verify panels, breakers, receptacles, SPDs, PXR20 trip units, labels, 30-day load measurement and LOTO needs
• High: 961 feet of cable tray/pathway requires coordination and firestop tracking — Verify route, supports, seismic bracing, 40% fill, penetrations, lighting/HVAC conflicts and firestop assemblies
• Critical: Telecom/fiber cutover could affect active hospital communications and provider/DMARC services — Require cutover plan, test records, labels, as-builts, OIT/provider coordination and VA acceptance before active connection</v>
      </c>
      <c r="H53" s="339" t="str">
        <f>IF($A53="","",IFERROR(INDEX(PMIS_Trade_Notes!$J$2:$J$40,3),""))</f>
        <v>• B03-Q1 — Confirm final telecom scope: new Room 101E with existing Basement Room 107 and existing DMARC Room 101C transition points? [Open] Impact: Room inventory could miss scope
• B03-Q2 — What active services are currently fed from existing Room 107 and DMARC Room 101C? [Open] Impact: Potential communications/provider outage
• B03-Q3 — What existing equipment transfers to new Room 101E versus remains/decommissions? [Open] Impact: Cutover and rack elevation risk
• B03-Q4 — Which IU/CU pair serves Room 101E and is it on emergency/backup power? [Open] Impact: Cooling continuity unclear
• B03-Q5 — Where is the clean-agent/CO2 extinguisher cabinet located within 75 ft of Room 101E? [Open] Impact: Life-safety acceptance risk
• B03-Q6 — Are B03-TR101CA/B sources, rack receptacles, SPDs, labels and 30-day load measurements approved? [Open] Impact: Electrical readiness unknown</v>
      </c>
      <c r="I53" s="339"/>
      <c r="J53" s="339"/>
      <c r="K53" s="339"/>
      <c r="L53" s="339"/>
      <c r="M53" s="339"/>
      <c r="N53" s="339"/>
      <c r="O53" s="339"/>
      <c r="P53" s="339"/>
    </row>
    <row r="54" spans="1:16" ht="26.4" customHeight="1">
      <c r="A54" s="339" t="str">
        <f>IFERROR(INDEX(PMIS_Trade_Notes!$A$2:$A$40,4),"")</f>
        <v>04</v>
      </c>
      <c r="B54" s="339" t="str">
        <f>IF($A54="","",IFERROR(INDEX(PMIS_Trade_Notes!$D$2:$D$40,4),""))</f>
        <v>• Fully sprinklered building; basement TR requires verification of sprinkler coverage and impairment planning.
• FEC with clean-agent 2A:10B:C extinguisher within 75 ft; TR open to deck; maintain rated assemblies.
• Verify sprinkler/fire alarm device locations and firestop for riser/pathway penetrations.</v>
      </c>
      <c r="C54" s="339" t="str">
        <f>IF($A54="","",IFERROR(INDEX(PMIS_Trade_Notes!$E$2:$E$40,4),""))</f>
        <v>• Verify dedicated cooling for two-rack basement TR and whether unit/controls/condensate are backed up.
• Verify dedicated cooling and coordination with open-to-deck room, racks, cable tray, and access control.
• Verify cooling unit, routing, condensate, controls, and emergency/backup power path.</v>
      </c>
      <c r="D54" s="339" t="str">
        <f>IF($A54="","",IFERROR(INDEX(PMIS_Trade_Notes!$F$2:$F$40,4),""))</f>
        <v>• Panel schedule shows B04-NPA-TR in Telecom Room B05, feeding B04-TRB05A/B; TRB05A includes rack receptacle and branch circuits.
• Panel schedule identifies B04-TR141A 60A 3-pole load; verify rack/UPS/PDU circuiting.
• Panel schedule identifies B04-TR244A 60A 3-pole load; confirm panel/circuit locations and source.</v>
      </c>
      <c r="E54" s="339" t="str">
        <f>IF($A54="","",IFERROR(INDEX(PMIS_Trade_Notes!$G$2:$G$40,4),""))</f>
        <v>• New rack elevations show two 4-post floor racks with UPS, Zone PDU, cable managers, network switches, Cat6A patch panels, Cat5E patch panel, and Fiber LIU.
• New rack elevation shows one 4-post rack plus future rack; includes UPS, future Zone PDU, switches, cable managers, Cat6A patch panels, Cat5E patch panel, and Fiber LIU.
• TR/panel identified; verify rack elevation and pathway details against 04T sheets.</v>
      </c>
      <c r="F54" s="339" t="str">
        <f>IF($A54="","",IFERROR(INDEX(PMIS_Trade_Notes!$H$2:$H$40,4),""))</f>
        <v>• Verify access-controlled TR door, camera, and VMS/PACS integration.
• Architectural notes require door/access control coordination; verify card reader/electric strike rough-in.
• Verify room security details and device integration with VA systems.</v>
      </c>
      <c r="G54" s="339" t="str">
        <f>IF($A54="","",IFERROR(INDEX(PMIS_Trade_Notes!$I$2:$I$40,4),""))</f>
        <v>• High: Existing conditions across basement/first/second TR areas not verified — Perform existing conditions survey with photos before mobilization
• High: Basement TR routing may conflict with existing utilities / abatement areas — Coordinate hazardous material survey, utility locations, penetrations, and pathway routing
• High: 1-hour fire/smoke-rated envelope and 45-minute door not field verified — Inspect rated walls, door/frame, ceiling/open-to-deck conditions, and penetrations
• Critical: Cooling emergency power / 24/7 continuity not verified — Confirm source power for indoor/outdoor units, controls, condensate pumps, and alarms
• High: UPS/PDU/rack electrical source and load coordination unresolved — Verify panel schedules, source, SPD, breaker sizes, labeling, and load measurements
• Critical: Telecom/fiber cutover could affect active hospital communications — Require phasing plan, test results, and VA/OIT acceptance before cutover</v>
      </c>
      <c r="H54" s="339" t="str">
        <f>IF($A54="","",IFERROR(INDEX(PMIS_Trade_Notes!$J$2:$J$40,4),""))</f>
        <v>• B04-Q1 — Confirm final TR room list: B05, 141, and 244A; are there additional served-from rooms? [Open] Impact: Incomplete room inventory / missed scope
• B04-Q2 — Are B05, 141, and 244A cooling systems on emergency/backup power? [Open] Impact: Cooling continuity not confirmed
• B04-Q3 — Where are clean-agent/CO2 extinguisher cabinets located within 75 ft of each TR? [Open] Impact: Life safety acceptance risk
• B04-Q4 — What is the approved migration and cutover sequence for active Building 04 services? [Open] Impact: Potential communications outage
• B04-Q5 — Are hazardous/abatement impacts cleared for basement and first-level penetrations/floor work? [Open] Impact: Work stoppage or exposure risk
• B04-Q6 — Are all B04 panelboards/feeders/breakers/SPDs/load measurements approved before renovation? [Open] Impact: Electrical delay or overload risk</v>
      </c>
      <c r="I54" s="339"/>
      <c r="J54" s="339"/>
      <c r="K54" s="339"/>
      <c r="L54" s="339"/>
      <c r="M54" s="339"/>
      <c r="N54" s="339"/>
      <c r="O54" s="339"/>
      <c r="P54" s="339"/>
    </row>
    <row r="55" spans="1:16" ht="26.4" customHeight="1">
      <c r="A55" s="339" t="str">
        <f>IFERROR(INDEX(PMIS_Trade_Notes!$A$2:$A$40,5),"")</f>
        <v>05</v>
      </c>
      <c r="B55" s="339" t="str">
        <f>IF($A55="","",IFERROR(INDEX(PMIS_Trade_Notes!$D$2:$D$40,5),""))</f>
        <v>• Cover sheet note states mechanical and fire protection scope excluded; still verify firestopping and existing fire alarm/life safety impacts.
• Existing conditions only; verify protection-in-place and no unsealed penetrations after cabling.</v>
      </c>
      <c r="C55" s="339" t="str">
        <f>IF($A55="","",IFERROR(INDEX(PMIS_Trade_Notes!$E$2:$E$40,5),""))</f>
        <v>• Mechanical scope is excluded for Building 05; verify TE heat load is acceptable in existing space and does not require added cooling.
• Existing wall/wall-mount TE area; verify existing environmental conditions during field survey.</v>
      </c>
      <c r="D55" s="339" t="str">
        <f>IF($A55="","",IFERROR(INDEX(PMIS_Trade_Notes!$F$2:$F$40,5),""))</f>
        <v>• 05T-604 shows APC UPS, two PDU L-530 input / NEMA 5-20 output units, 1200V outlet UPS, and 1200V outlet PDU; verify actual electrical schedule/panel/circuit source.
• Existing elevation shows floor UPS and legacy wall-mounted TE equipment; protect active equipment until cutover.</v>
      </c>
      <c r="E55" s="339" t="str">
        <f>IF($A55="","",IFERROR(INDEX(PMIS_Trade_Notes!$G$2:$G$40,5),""))</f>
        <v>• New Room 150 Telecom Enclosure: 12RU TE with APC UPS, PDUs, cable managers, 48-port angled patch panels, 48-port Cat6A patch panel, and Fiber LIU.
• Existing Room 153-A wall/wall-mount TE contains Cisco switches and legacy 24-port patch panels; confirm cutover, reuse, demo, and records.</v>
      </c>
      <c r="F55" s="339" t="str">
        <f>IF($A55="","",IFERROR(INDEX(PMIS_Trade_Notes!$H$2:$H$40,5),""))</f>
        <v>• Project general scope includes CCTV and PACS for telecom spaces; verify whether TE location receives camera/access control or is served by existing room controls.
• Verify existing security protection and whether access-control work is needed for existing TE area.</v>
      </c>
      <c r="G55" s="339" t="str">
        <f>IF($A55="","",IFERROR(INDEX(PMIS_Trade_Notes!$I$2:$I$40,5),""))</f>
        <v>• High: Telecom Enclosure installation details not field verified — Survey wall/backing, clearances, power, conduit/wireway, and access path before installation
• Critical: Existing legacy equipment/cabling may remain active during cutover — Document active services, create cutover plan, protect-in-place until new TE is operational
• Medium: Mechanical/fire protection scope excluded may hide interface risks — Confirm no added cooling/sprinkler work is required and document basis for N/A
• High: Electrical panel/circuit source for TE equipment not confirmed — Verify 05E-401/501/601/701 schedules, UPS/PDU receptacles, labels, and emergency power source
• High: Firestopping/penetration sealing still required despite fire protection scope exclusion — Inspect all new and reused conduits, sleeves, wall/floor penetrations, and temporary firestop
• Medium: Commissioning / acceptance documentation may be treated as minor due to TE scope — Track testing, labeling, OIT acceptance, third-party inspections, and as-builts</v>
      </c>
      <c r="H55" s="339" t="str">
        <f>IF($A55="","",IFERROR(INDEX(PMIS_Trade_Notes!$J$2:$J$40,5),""))</f>
        <v>• B05-Q1 — Confirm final TE room/location: Room 150 new TE and Room 153-A existing TE transition point? [Open] Impact: Room inventory could be wrong
• B05-Q2 — What active services are currently fed from the existing 153-A TE/legacy patch panels? [Open] Impact: Potential communications outage
• B05-Q3 — What is the approved cutover sequence from existing 153-A equipment to new Room 150 TE? [Open] Impact: Cutover risk
• B05-Q4 — Which electrical panel/circuit serves the Room 150 UPS/PDU outlets? [Open] Impact: Power source cannot be verified
• B05-Q5 — Is emergency/backup power required or provided for the TE UPS/PDU source? [Open] Impact: Continuity requirement unclear
• B05-Q6 — Are firestopping locations and surface raceway/conduit routes shown and coordinated? [Open] Impact: Rated assembly/firestop risk</v>
      </c>
      <c r="I55" s="339"/>
      <c r="J55" s="339"/>
      <c r="K55" s="339"/>
      <c r="L55" s="339"/>
      <c r="M55" s="339"/>
      <c r="N55" s="339"/>
      <c r="O55" s="339"/>
      <c r="P55" s="339"/>
    </row>
    <row r="56" spans="1:16" ht="26.4" customHeight="1">
      <c r="A56" s="339" t="str">
        <f>IFERROR(INDEX(PMIS_Trade_Notes!$A$2:$A$40,6),"")</f>
        <v>06</v>
      </c>
      <c r="B56" s="339" t="str">
        <f>IF($A56="","",IFERROR(INDEX(PMIS_Trade_Notes!$D$2:$D$40,6),""))</f>
        <v>• Existing equipment area; verify no cabling penetrations are left unsealed.
• Fully sprinklered building; verify sprinkler modifications, fire alarm devices, FEC location, and impairment/fire watch needs.
• Architectural enlarged views call for 1-hour fire/smoke-rated walls, 45-minute door/frame, and FEC within 75 ft.</v>
      </c>
      <c r="C56" s="339" t="str">
        <f>IF($A56="","",IFERROR(INDEX(PMIS_Trade_Notes!$E$2:$E$40,6),""))</f>
        <v>• Verify basement equipment environmental condition and any heat/load issues during cutover.
• Mechanical enlarged plan shows new indoor unit IU-1-01 and outdoor CU-1-01; confirm 208V emergency power, BACnet adapter, thermostat, condensate route.
• Mechanical enlarged plan shows new indoor unit IU-2-01 and outdoor CU-2-01; confirm 208V emergency power, condensate and controls.</v>
      </c>
      <c r="D56" s="339" t="str">
        <f>IF($A56="","",IFERROR(INDEX(PMIS_Trade_Notes!$F$2:$F$40,6),""))</f>
        <v>• Existing UPS on floor shown at B-01; protect active service and confirm any transition/demo requirements.
• Panel schedule shows B06-EP-TR in Telecom Room 178; B06-TR178A/B panels and SPD requirements; load measurement required prior to panel renovation.
• Panel schedule identifies B06-TR233A/B in Telecom Room 233; verify source, circuits, rack receptacles and emergency power.</v>
      </c>
      <c r="E56" s="339" t="str">
        <f>IF($A56="","",IFERROR(INDEX(PMIS_Trade_Notes!$G$2:$G$40,6),""))</f>
        <v>• Existing Cisco switches, legacy 48-port patch panels, wall/wall-mount TE and floor UPS.
• Existing Room 178 rack elevations show multiple existing 2-post racks; new electrical, cable path, grounding and cutover require verification.
• Room 233 future new rack elevation shows UPS, network switches, cable managers, Cat6A patch panels, Cat5E patch panel and Fiber LIU.</v>
      </c>
      <c r="F56" s="339" t="str">
        <f>IF($A56="","",IFERROR(INDEX(PMIS_Trade_Notes!$H$2:$H$40,6),""))</f>
        <v>• Verify existing basement access/security while protecting active equipment.
• Electrical enlarged plan references existing card reader to remain/protect in place and new tri-tech motion sensor; verify PACS/CCTV integration.
• Verify door hardware/access control, motion sensor, camera, and VA security integration.</v>
      </c>
      <c r="G56" s="339" t="str">
        <f>IF($A56="","",IFERROR(INDEX(PMIS_Trade_Notes!$I$2:$I$40,6),""))</f>
        <v>• High: Existing conditions across B-01, 178 and 233 not field verified — Perform existing conditions survey with photos before mobilization
• Critical: Existing basement equipment may remain active during cutover — Document active services and protect in place until new system is tested and accepted
• Critical: Electrical panel replacement/new telecom power could interrupt active systems — Coordinate load measurement, panel renovation, shutdowns and temporary power plan
• High: Room 233 conversion/rated wall and door work may impact adjacent patient toilet/private bath areas — Verify phasing, barriers, infection control and temporary life-safety provisions
• Critical: Dedicated cooling emergency power, controls, condensate and BACnet interface not verified — Confirm emergency power source, disconnects, condensate routes, BACnet adapter and high-temp alarms
• Critical: Fire alarm/sprinkler impairments and penetrations may affect occupied operations — Track impairments, fire watch, temporary firestop and third-party reports</v>
      </c>
      <c r="H56" s="339" t="str">
        <f>IF($A56="","",IFERROR(INDEX(PMIS_Trade_Notes!$J$2:$J$40,6),""))</f>
        <v>• B06-Q1 — Confirm final TR/TE scope: B-01 existing equipment, Room 178, and Room 233? [Open] Impact: Room inventory could miss scope
• B06-Q2 — What active services are fed from existing B-01 and Room 178 legacy equipment? [Open] Impact: Potential communications outage
• B06-Q3 — What is the approved cutover sequence for B-01, 178 and 233? [Open] Impact: Cutover risk
• B06-Q4 — Are IU-1-01/CU-1-01 and IU-2-01/CU-2-01 on emergency/backup power? [Open] Impact: Cooling continuity unclear
• B06-Q5 — Where are clean-agent/CO2 extinguisher cabinets located within 75 ft of each TR? [Open] Impact: Life safety acceptance risk
• B06-Q6 — Are all panel load measurements, replacement panels, breakers, SPDs and labels approved? [Open] Impact: Electrical readiness unknown</v>
      </c>
      <c r="I56" s="339"/>
      <c r="J56" s="339"/>
      <c r="K56" s="339"/>
      <c r="L56" s="339"/>
      <c r="M56" s="339"/>
      <c r="N56" s="339"/>
      <c r="O56" s="339"/>
      <c r="P56" s="339"/>
    </row>
    <row r="57" spans="1:16" ht="26.4" customHeight="1">
      <c r="A57" s="339" t="str">
        <f>IFERROR(INDEX(PMIS_Trade_Notes!$A$2:$A$40,7),"")</f>
        <v>07</v>
      </c>
      <c r="B57" s="339" t="str">
        <f>IF($A57="","",IFERROR(INDEX(PMIS_Trade_Notes!$D$2:$D$40,7),""))</f>
        <v>• Fully sprinklered building; basement TR requires sprinkler coverage verification, firestop at cabling/sleeves and impairment coordination.
• Architectural notes require clean-agent 2A:10B:C extinguisher within 75 ft, 45-minute rated door/frame and rated wall construction; verify FA/FP modifications.</v>
      </c>
      <c r="C57" s="339" t="str">
        <f>IF($A57="","",IFERROR(INDEX(PMIS_Trade_Notes!$E$2:$E$40,7),""))</f>
        <v>• Mechanical schedule lists 18,000 BTUH wall-mounted IU-0-01 and CU-0-01; verify exact room assignment, emergency power, condensate, controls and high-temp alarm.
• Mechanical schedule lists 36,000 BTUH wall-mounted IU-2-01 and CU-2-01; electrical enlarged plan shows IU-2-01 at TR 228A; verify emergency power and condensate route.</v>
      </c>
      <c r="D57" s="339" t="str">
        <f>IF($A57="","",IFERROR(INDEX(PMIS_Trade_Notes!$F$2:$F$40,7),""))</f>
        <v>• Electrical enlarged plans identify B07-TRB18A/B circuits serving basement TR equipment; verify panel source, receptacles, SPD, emergency source and load measurement.
• Electrical enlarged plans identify B07-TR228A/B circuits serving TR 228A equipment and IU-2-01; verify rack receptacles, cooling power, SPD and labels.</v>
      </c>
      <c r="E57" s="339" t="str">
        <f>IF($A57="","",IFERROR(INDEX(PMIS_Trade_Notes!$G$2:$G$40,7),""))</f>
        <v>• 07T-604 rack elevation: 1 rack plus future; includes UPS, future Zone PDU, cable managers, network switches, three 48-port Cat6A angled patch panels, 24-port Cat5E patch panel and Fiber LIU.
• TR 228A is shown on second-level telecom/electrical enlarged plans; verify rack elevation, fiber paths, Cat6A replacement, labeling/testing and VA acceptance before cutover.</v>
      </c>
      <c r="F57" s="339" t="str">
        <f>IF($A57="","",IFERROR(INDEX(PMIS_Trade_Notes!$H$2:$H$40,7),""))</f>
        <v>• Verify access control, door hardware and CCTV/PACS integration for basement TR.
• Architectural notes require access control hardware modifications at new rated door; verify card reader, electric strike, door position switch, motion sensor and camera.</v>
      </c>
      <c r="G57" s="339" t="str">
        <f>IF($A57="","",IFERROR(INDEX(PMIS_Trade_Notes!$I$2:$I$40,7),""))</f>
        <v>• High: Existing conditions for B-18 and 228A not field verified — Perform existing conditions survey with photos before mobilization
• High: Basement TR conversion may conflict with existing utilities, office finishes or active pathways — Verify routing, clearances, penetrations, existing conduit and access before work
• High: Second-floor rated wall/door work and exterior furring wall/window enclosure could affect schedule — Coordinate architectural work, door/frame, wall rating, furring wall, finishes and infection control barriers
• Critical: Dedicated cooling emergency power, controls, condensate and high-temp alarms not verified — Confirm IU/CU assignments, emergency source, BACnet/interface, condensate pump routing and alarm points
• High: Electrical panel/circuit source and rack load coordination unresolved — Verify B07-TRB18A/B and B07-TR228A/B panel schedules, circuit labels, SPDs and load measurements
• Critical: Telecom/fiber cutover may affect active hospital communications — Require cutover plan, test results, OIT coordination and VA acceptance before active connection</v>
      </c>
      <c r="H57" s="339" t="str">
        <f>IF($A57="","",IFERROR(INDEX(PMIS_Trade_Notes!$J$2:$J$40,7),""))</f>
        <v>• B07-Q1 — Confirm final TR scope: B-18 basement and 228A second floor only? [Open] Impact: Room inventory could miss scope
• B07-Q2 — Are IU-0-01/CU-0-01 assigned to B-18 and IU-2-01/CU-2-01 assigned to 228A? [Open] Impact: Cooling scope unclear
• B07-Q3 — Are cooling units and controls on emergency/backup power? [Open] Impact: Cooling continuity not confirmed
• B07-Q4 — Where are clean-agent/CO2 extinguisher cabinets located within 75 ft of each TR? [Open] Impact: Life safety acceptance risk
• B07-Q5 — What active services are currently fed from B-18 and/or existing pathways serving 228A? [Open] Impact: Potential communications outage
• B07-Q6 — Are all B07 panelboard sources, circuits, SPDs, labels and load measurements approved? [Open] Impact: Electrical readiness unknown</v>
      </c>
      <c r="I57" s="339"/>
      <c r="J57" s="339"/>
      <c r="K57" s="339"/>
      <c r="L57" s="339"/>
      <c r="M57" s="339"/>
      <c r="N57" s="339"/>
      <c r="O57" s="339"/>
      <c r="P57" s="339"/>
    </row>
    <row r="58" spans="1:16" ht="26.4" customHeight="1">
      <c r="A58" s="339" t="str">
        <f>IFERROR(INDEX(PMIS_Trade_Notes!$A$2:$A$40,8),"")</f>
        <v>08</v>
      </c>
      <c r="B58" s="339" t="str">
        <f>IF($A58="","",IFERROR(INDEX(PMIS_Trade_Notes!$D$2:$D$40,8),""))</f>
        <v>• Existing equipment area; verify no new penetrations are left unsealed and active systems remain protected.
• Door schedule shows 45-minute door; verify fire/smoke requirements, FEC requirement applicability, firestopping and temporary barriers.
• Architectural notes require new 45-minute door, clean-agent 2A:10B:C extinguisher within 75 ft, open-to-deck telecom room and 1-hour fire/smoke-rated existing wall upgrades.</v>
      </c>
      <c r="C58" s="339" t="str">
        <f>IF($A58="","",IFERROR(INDEX(PMIS_Trade_Notes!$E$2:$E$40,8),""))</f>
        <v>• Verify existing environmental conditions and whether active legacy equipment remains during cutover.
• Field verify whether TE equipment load requires cooling or if served by existing building HVAC.
• Mechanical schedule lists IU-2-01/CU-2-01 at 36,000 BTUH; verify room assignment, emergency power, condensate pump/route, BACnet controller and controls.</v>
      </c>
      <c r="D58" s="339" t="str">
        <f>IF($A58="","",IFERROR(INDEX(PMIS_Trade_Notes!$F$2:$F$40,8),""))</f>
        <v>• Existing rack elevation shows floor UPS and legacy equipment; protect active service and verify transition/demo requirements.
• Electrical schedule includes TE receptacle Room B12B; confirm panel/circuit source and if B12B is served from telecom panel.
• Electrical schedule identifies B08-TR2065AB in Telecom Room 2065A with TR receptacles, rack receptacles, lighting, access controller, CU-2-01 and SPD notes; verify B08-TR2065AA source/scope.</v>
      </c>
      <c r="E58" s="339" t="str">
        <f>IF($A58="","",IFERROR(INDEX(PMIS_Trade_Notes!$G$2:$G$40,8),""))</f>
        <v>• Existing Room B-15 rack elevations show wall/wall-mounted TE, legacy 24/48-port patch panels, legacy Fiber LIU and UPS.
• Telecom schedule uses Rack ID TE01-B12B-1; 80 WAO total, 159 active ports per survey, 116 total ports per schedule, and 128 total ports with 10% allowance.
• New Room 2065A rack elevations show two 4-post floor racks; Rack 1 includes Fiber LIU, 24-port Cat5E patch panel, four 48-port Cat6A patch panels, network switches, Zone PDU and UPS; Rack 2 includes future switches and UPS.</v>
      </c>
      <c r="F58" s="339" t="str">
        <f>IF($A58="","",IFERROR(INDEX(PMIS_Trade_Notes!$H$2:$H$40,8),""))</f>
        <v>• Verify existing basement access/security while protecting active equipment.
• 45-minute door shown; verify access-control hardware applicability and whether TE is secured.
• Door schedule/hardware note requires coordination with electrical/access control; verify card reader, electric strike, door position, motion sensor, camera and VA integration.</v>
      </c>
      <c r="G58" s="339" t="str">
        <f>IF($A58="","",IFERROR(INDEX(PMIS_Trade_Notes!$I$2:$I$40,8),""))</f>
        <v>• High: Existing conditions for B-15, B12B and 2065A not field verified — Perform existing conditions survey with photos before mobilization
• Critical: Existing basement legacy equipment may remain active during cutover — Document active services, protect in place and define cutover/demo sequence
• High: Basement B12B appears as Office in architectural schedule but TE in telecom/electrical schedules — Field verify actual TE location, room name, door/wall rating and panel/cable routing
• High: Second-floor Telecom Room conversion includes rated wall/door/open-to-deck work and possible hazardous material impacts — Coordinate architectural work, dust barriers, floor abatement, FEC and rated assemblies before construction
• Critical: Dedicated cooling emergency power, controls, condensate and high-temp alarms not verified — Confirm IU/CU assignment, emergency source, BACnet/interface, condensate routing and alarm points
• High: Electrical panel/circuit source and rack load coordination unresolved — Verify B08-TR2065AA/AB panel schedules, rack receptacles, SPD, labels and load measurement requirements</v>
      </c>
      <c r="H58" s="339" t="str">
        <f>IF($A58="","",IFERROR(INDEX(PMIS_Trade_Notes!$J$2:$J$40,8),""))</f>
        <v>• B08-Q1 — Confirm final scope: existing B-15 equipment, B12B TE/cabling area, and new TR 2065A? [Open] Impact: Room inventory may miss scope
• B08-Q2 — What active services are currently fed from existing B-15 equipment? [Open] Impact: Potential communications outage
• B08-Q3 — Is B12B truly a TE/equipment location or only a cabling pathway/service area? [Open] Impact: Scope ambiguity
• B08-Q4 — Is IU-2-01/CU-2-01 dedicated to TR 2065A and on emergency/backup power? [Open] Impact: Cooling continuity unclear
• B08-Q5 — Where are clean-agent/CO2 extinguisher cabinets located within 75 ft of each TR/TE? [Open] Impact: Life safety acceptance risk
• B08-Q6 — Are all B08 panelboard sources, circuits, SPDs, rack receptacles and load measurements approved? [Open] Impact: Electrical readiness unknown</v>
      </c>
      <c r="I58" s="339"/>
      <c r="J58" s="339"/>
      <c r="K58" s="339"/>
      <c r="L58" s="339"/>
      <c r="M58" s="339"/>
      <c r="N58" s="339"/>
      <c r="O58" s="339"/>
      <c r="P58" s="339"/>
    </row>
    <row r="59" spans="1:16" ht="26.4" customHeight="1">
      <c r="A59" s="339" t="str">
        <f>IFERROR(INDEX(PMIS_Trade_Notes!$A$2:$A$40,9),"")</f>
        <v>09</v>
      </c>
      <c r="B59" s="339" t="str">
        <f>IF($A59="","",IFERROR(INDEX(PMIS_Trade_Notes!$D$2:$D$40,9),""))</f>
        <v>• Fully sprinklered building; verify sprinkler head coverage, rated penetrations, temporary firestopping, and FEC location for basement TR.
• Fire protection enlarged plan shows Telecom Room 104B and rated wall legend; verify sprinkler/fire alarm modifications and clean-agent extinguisher within 75 ft.
• Fire protection enlarged plan shows Telecom Room 206A; verify sprinkler cage/coverage, fire alarm device relocation/additions, and rated penetrations.</v>
      </c>
      <c r="C59" s="339" t="str">
        <f>IF($A59="","",IFERROR(INDEX(PMIS_Trade_Notes!$E$2:$E$40,9),""))</f>
        <v>• Electrical enlarged/panel data identifies CU-0-1 serving basement work; verify mechanical schedule, emergency source, condensate, controls and alarms.
• Electrical enlarged plan identifies IU-1-01 in Telecom Room 104B and CU-1-1; verify dedicated 24/7 cooling and emergency power.
• Electrical enlarged plan identifies IU-2-01 in Telecom Room 206A and CU-2-1; verify dedicated 24/7 cooling and emergency power.</v>
      </c>
      <c r="D59" s="339" t="str">
        <f>IF($A59="","",IFERROR(INDEX(PMIS_Trade_Notes!$F$2:$F$40,9),""))</f>
        <v>• Panel schedule lists B09-TRB01A/B in Telecom Room B01 with 208Y/120V panels, rack receptacles, access controller, mechanical equipment, lighting and SPD notes.
• Electrical enlarged plan shows panel references B09-TR104BA/B, IU-1-01, security devices, lighting and receptacle/rack circuits.
• Electrical enlarged plan shows panel references B09-TR206AA/B, IU-2-01, security devices, lighting and receptacle/rack circuits.</v>
      </c>
      <c r="E59" s="339" t="str">
        <f>IF($A59="","",IFERROR(INDEX(PMIS_Trade_Notes!$G$2:$G$40,9),""))</f>
        <v>• Fiber riser identifies Building 09 basement B01 with two-rack TR; verify rack elevations, fiber Path A/B, Cat6A replacement, LIU, bonding and cutover.
• Fiber riser identifies first-level Room 104B with two-rack TR; verify rack elevation details, patch panels, UPS/PDU, fiber LIU, grounding and test records.
• Fiber riser identifies second-level Room 206A with two-rack TR; verify rack elevation details, patch panels, UPS/PDU, fiber LIU, grounding and test records.</v>
      </c>
      <c r="F59" s="339" t="str">
        <f>IF($A59="","",IFERROR(INDEX(PMIS_Trade_Notes!$H$2:$H$40,9),""))</f>
        <v>• Enlarged plans show existing/new security boxes, network door controller, camera/security scope; verify PACS/CCTV integration and protection of active security systems.
• First-level enlarged plan shows CR/RX/DC/ES/MD-type device symbols and 104B camera designation; verify card reader, electric strike, door contact, motion and camera.
• Second-level enlarged plan shows CR/RX/DC/ES/MD-type device symbols and 206A camera designation; verify PACS/VMS integration and commissioning.</v>
      </c>
      <c r="G59" s="339" t="str">
        <f>IF($A59="","",IFERROR(INDEX(PMIS_Trade_Notes!$I$2:$I$40,9),""))</f>
        <v>• High: Existing conditions for B01, 104B and 206A not field verified — Perform existing conditions survey with photos before mobilization
• Critical: Basement TR includes existing equipment and could remain active during cutover — Document active services, protect-in-place and define cutover/demo sequence
• High: Hazardous material abatement plans exist for basement, first and second levels — Coordinate ACM/lead/abatement review before penetrations, flooring removal or ceiling/wall work
• High: Rated wall/door work and fire/smoke assemblies could affect schedule and acceptance — Verify wall ratings, door/frame rating, penetrations, smoke/fire barriers and access control hardware
• Critical: Dedicated cooling emergency power, controls, condensate and high-temp alarms not verified — Confirm IU/CU assignments, emergency source, BACnet/interface, condensate routing and alarms
• High: Electrical panel/circuit source and rack load coordination unresolved — Verify B09-TRB01A/B, B09-TR104BA/B, B09-TR206AA/B schedules, SPDs, labels and load measurements</v>
      </c>
      <c r="H59" s="339" t="str">
        <f>IF($A59="","",IFERROR(INDEX(PMIS_Trade_Notes!$J$2:$J$40,9),""))</f>
        <v>• B09-Q1 — Confirm final TR scope: B01 basement, 104B first level, and 206A second level? [Open] Impact: Room inventory may miss scope
• B09-Q2 — What active services are currently fed from B01 existing equipment/security/network devices? [Open] Impact: Potential communications/security outage
• B09-Q3 — What hazardous/abatement steps apply to B01, 104B and 206A work areas? [Open] Impact: Work delay or exposure risk
• B09-Q4 — Are IU-0-01/CU-0-1, IU-1-01/CU-1-1 and IU-2-01/CU-2-1 on emergency/backup power? [Open] Impact: Cooling continuity unclear
• B09-Q5 — Where are clean-agent/CO2 extinguisher cabinets located within 75 ft of each TR? [Open] Impact: Life safety acceptance risk
• B09-Q6 — Are all B09 panelboard sources, circuits, SPDs, rack receptacles and load measurements approved? [Open] Impact: Electrical readiness unknown</v>
      </c>
      <c r="I59" s="339"/>
      <c r="J59" s="339"/>
      <c r="K59" s="339"/>
      <c r="L59" s="339"/>
      <c r="M59" s="339"/>
      <c r="N59" s="339"/>
      <c r="O59" s="339"/>
      <c r="P59" s="339"/>
    </row>
    <row r="60" spans="1:16" ht="26.4" customHeight="1">
      <c r="A60" s="339" t="str">
        <f>IFERROR(INDEX(PMIS_Trade_Notes!$A$2:$A$40,10),"")</f>
        <v>10</v>
      </c>
      <c r="B60" s="339" t="str">
        <f>IF($A60="","",IFERROR(INDEX(PMIS_Trade_Notes!$D$2:$D$40,10),""))</f>
        <v>• Attic-level TR requires verification of sprinkler/fire alarm modifications, clean-agent 2A:10B:C FEC within 75 ft, rated penetrations and temporary firestopping.
• Electrical work may require penetrations or shutdowns; verify firestopping and protection-in-place.
• Emergency electrical room coordination; verify no unsealed penetrations or life-safety impairment.</v>
      </c>
      <c r="C60" s="339" t="str">
        <f>IF($A60="","",IFERROR(INDEX(PMIS_Trade_Notes!$E$2:$E$40,10),""))</f>
        <v>• Mechanical/electrical drawings identify IU-1-01 in Telecom Room 200A and CU-1-01 outdoor unit; verify capacity, emergency power, condensate route, BACnet adapter and high-temp alarm.
• No dedicated TR cooling scope; verify electrical room ventilation is not impacted by new work.
• No dedicated TR cooling scope; verify emergency electrical room ventilation is not impacted.</v>
      </c>
      <c r="D60" s="339" t="str">
        <f>IF($A60="","",IFERROR(INDEX(PMIS_Trade_Notes!$F$2:$F$40,10),""))</f>
        <v>• Electrical schedule identifies B10-TR200AA/AB in Telecom Room 200A with rack receptacles, TR receptacles, lighting, access controller, CU-1-01 and SPD requirements; verify source and labels.
• Basement normal electrical source; verify load measurement, new breakers/feeders, panel access, LOTO and shutdown sequencing.
• Emergency source coordination; verify generator/ATS feed to TR critical loads and cooling where required.</v>
      </c>
      <c r="E60" s="339" t="str">
        <f>IF($A60="","",IFERROR(INDEX(PMIS_Trade_Notes!$G$2:$G$40,10),""))</f>
        <v>• 10T sheets show attic telecom plan/rack elevations; provide 4-post racks, UPS, redundant PDUs, switches, Cat6A patch panels, Fiber LIU, bonding/grounding, labeling, testing and VA acceptance before cutover.
• Coordinate telecom power pathways through/source from basement electrical room if applicable.
• Coordinate emergency source/backup power pathways for telecom equipment and cooling.</v>
      </c>
      <c r="F60" s="339" t="str">
        <f>IF($A60="","",IFERROR(INDEX(PMIS_Trade_Notes!$H$2:$H$40,10),""))</f>
        <v>• General scope requires PACS/CCTV for TR doors; verify door hardware, access controller, camera/VMS integration and any existing attic access/security constraints.
• Verify security impact only if electrical source room access or devices are modified.
• Verify emergency electrical room security impact if work requires access control changes.</v>
      </c>
      <c r="G60" s="339" t="str">
        <f>IF($A60="","",IFERROR(INDEX(PMIS_Trade_Notes!$I$2:$I$40,10),""))</f>
        <v>• High: Attic Telecom Room existing conditions and access not field verified — Survey Room 200A, attic access route, existing rack/equipment, floor/deck conditions, clearances and utilities
• High: Hazardous material abatement plan exists for attic level — Coordinate attic abatement/IH review before penetrations, ceiling/floor work, cabling or HVAC/electrical installation
• Critical: Existing wall-mounted rack/equipment may remain active during cutover — Document active services, protect in place and develop night-shift cutover/temporary rack plan
• Critical: Dedicated cooling emergency power, condensate, BACnet and alarms not verified — Confirm IU-1-01/CU-1-01 capacity, power source, condensate routing, BACnet adapter, thermostat and high-temp alarm
• Critical: Panel source, generator/ATS path and shutdown sequencing unclear — Verify B10-MDP, B10-L10-E, ATS-B10-LSD, panel feeders, load measurement and LOTO before electrical work
• Critical: Fire alarm/sprinkler/firestopping work in attic TR could affect occupied operations — Track impairments, fire watch, sprinkler/head changes, FA device work, rated penetrations and temporary firestopping</v>
      </c>
      <c r="H60" s="339" t="str">
        <f>IF($A60="","",IFERROR(INDEX(PMIS_Trade_Notes!$J$2:$J$40,10),""))</f>
        <v>• B10-Q1 — Confirm final scope: attic Telecom Room 200A only, with basement electrical source coordination in B24/B25? [Open] Impact: Room inventory could miss scope
• B10-Q2 — What active services are currently fed from the existing wall-mounted rack/equipment in Room 200A? [Open] Impact: Potential communications outage
• B10-Q3 — What attic hazardous material/abatement steps apply before cabling, penetrations, HVAC or electrical work? [Open] Impact: Work delay/exposure risk
• B10-Q4 — Is IU-1-01/CU-1-01 on emergency/backup power and does it serve Room 200A only? [Open] Impact: Cooling continuity unclear
• B10-Q5 — Where is the clean-agent/CO2 extinguisher cabinet located within 75 ft of Room 200A? [Open] Impact: Life-safety acceptance risk
• B10-Q6 — Are B10-TR200AA/AB, B10-MDP, B10-L10-E and ATS-B10-LSD source circuits/load measurements approved? [Open] Impact: Electrical readiness unknown</v>
      </c>
      <c r="I60" s="339"/>
      <c r="J60" s="339"/>
      <c r="K60" s="339"/>
      <c r="L60" s="339"/>
      <c r="M60" s="339"/>
      <c r="N60" s="339"/>
      <c r="O60" s="339"/>
      <c r="P60" s="339"/>
    </row>
    <row r="61" spans="1:16" ht="26.4" customHeight="1">
      <c r="A61" s="339" t="str">
        <f>IFERROR(INDEX(PMIS_Trade_Notes!$A$2:$A$40,11),"")</f>
        <v>12</v>
      </c>
      <c r="B61" s="339" t="str">
        <f>IF($A61="","",IFERROR(INDEX(PMIS_Trade_Notes!$D$2:$D$40,11),""))</f>
        <v>• No fire protection drawing package beyond general notes; verify penetrations/firestopping for fiber pull-through route.
• No new TR/FEC shown; verify no rated assemblies are compromised by fiber pathway work.</v>
      </c>
      <c r="C61" s="339" t="str">
        <f>IF($A61="","",IFERROR(INDEX(PMIS_Trade_Notes!$E$2:$E$40,11),""))</f>
        <v>• No HVAC drawing package for Building 12; fiber-only scope does not indicate new cooling equipment.
• Field verify existing environmental conditions only if existing service point/equipment is accessed.</v>
      </c>
      <c r="D61" s="339" t="str">
        <f>IF($A61="","",IFERROR(INDEX(PMIS_Trade_Notes!$F$2:$F$40,11),""))</f>
        <v>• No electrical drawing package for Building 12; no new panel/UPS/PDU/rack receptacle scope shown.
• Confirm whether any existing equipment is touched. Scope appears limited to fiber pull-through and testing/labeling.</v>
      </c>
      <c r="E61" s="339" t="str">
        <f>IF($A61="","",IFERROR(INDEX(PMIS_Trade_Notes!$G$2:$G$40,11),""))</f>
        <v>• Building 12 receives fiber only. Verify pull-through path on basement/first/second telecom plans, redundant Path A/B fiber, pathway capacity, grounding/bonding where applicable, labeling and testing.
• 12T-604 shows rack number 00/room 00 and notes fiber-only with no mounting type; verify existing service/termination point and whether fiber passes through only.</v>
      </c>
      <c r="F61" s="339" t="str">
        <f>IF($A61="","",IFERROR(INDEX(PMIS_Trade_Notes!$H$2:$H$40,11),""))</f>
        <v>• No new TR door or PACS/CCTV package shown for Building 12; verify security access only for work areas and existing equipment rooms.
• Confirm access requirements to existing closet/demarc while protecting active operations.</v>
      </c>
      <c r="G61" s="339" t="str">
        <f>IF($A61="","",IFERROR(INDEX(PMIS_Trade_Notes!$I$2:$I$40,11),""))</f>
        <v>• High: Fiber-only scope could be mistaken for full TR scope or skipped as minor work — Clearly tag Building 12 as fiber-only and verify required fiber path, testing, labels and acceptance deliverables
• High: Existing pull-through pathway not field verified — Trace basement/first/second level pathway, conduit/cable tray capacity, pull points and access before scheduled pull
• Critical: Existing service continuity during fiber pull/cutover may not be defined — Coordinate with VA OIT, submit phasing/cutover plan, and maintain legacy service until new fiber is tested and accepted
• High: Pathway penetrations/firestopping may be overlooked because there is no architectural/FP package — Inspect all new/reused penetrations and require permanent or temporary firestopping at end of shift
• Medium: Existing termination/demarc location and ownership unclear — Field document existing rack/demarc/serving closet and confirm where new fiber terminates or passes through
• High: Test reports, labels and as-builts may be incomplete for fiber-only work — Track fiber OTDR/certification, labeling, route documentation and VA/OIT acceptance before closeout</v>
      </c>
      <c r="H61" s="339" t="str">
        <f>IF($A61="","",IFERROR(INDEX(PMIS_Trade_Notes!$J$2:$J$40,11),""))</f>
        <v>• B12-Q1 — Confirm Building 12 scope is fiber-only with no new TR, no new rack, no new electrical, HVAC, fire protection, PACS or CCTV work? [Open] Impact: Scope misunderstanding
• B12-Q2 — What exact pathway does the Building 12 fiber take through basement, first and second levels? [Open] Impact: Fiber pull and access risk
• B12-Q3 — Where does the Building 12 fiber terminate, and is the existing rack/demarc/closet to be touched? [Open] Impact: Termination and ownership unclear
• B12-Q4 — Are existing conduits/cable trays available and below fill limits for the new fiber? [Open] Impact: Pathway capacity risk
• B12-Q5 — Are there any floor/rated wall penetrations requiring firestop or temporary firestop during cable pull? [Open] Impact: Life safety/firestop risk
• B12-Q6 — What is the approved cutover/testing/acceptance sequence for Building 12 fiber? [Open] Impact: Possible outage or acceptance delay</v>
      </c>
      <c r="I61" s="339"/>
      <c r="J61" s="339"/>
      <c r="K61" s="339"/>
      <c r="L61" s="339"/>
      <c r="M61" s="339"/>
      <c r="N61" s="339"/>
      <c r="O61" s="339"/>
      <c r="P61" s="339"/>
    </row>
    <row r="62" spans="1:16" ht="26.4" customHeight="1">
      <c r="A62" s="339" t="str">
        <f>IFERROR(INDEX(PMIS_Trade_Notes!$A$2:$A$40,12),"")</f>
        <v>13</v>
      </c>
      <c r="B62" s="339" t="str">
        <f>IF($A62="","",IFERROR(INDEX(PMIS_Trade_Notes!$D$2:$D$40,12),""))</f>
        <v>• Fully sprinklered building; confirm sprinkler/fire alarm modifications, clean-agent 2A:10B:C extinguisher within 75 ft, rated wall/ceiling penetrations, and temporary firestopping during cable pulls.
• Existing tel room; verify fire alarm/sprinkler protection-in-place and seal any removed/reused penetration after cutover.</v>
      </c>
      <c r="C62" s="339" t="str">
        <f>IF($A62="","",IFERROR(INDEX(PMIS_Trade_Notes!$E$2:$E$40,12),""))</f>
        <v>• Mechanical/electrical drawings show IU-1-01 in Telecom Room 124 and CU-1-01 outdoor unit. Confirm capacity, emergency/standby source, BACnet adapter, thermostat/control point, condensate path, disconnects, and high-temperature alarm.
• Existing Tel Room 222 photo/reference notes show existing indoor AC unit; verify whether it remains active, is abandoned, or needs protection during cutover.</v>
      </c>
      <c r="D62" s="339" t="str">
        <f>IF($A62="","",IFERROR(INDEX(PMIS_Trade_Notes!$F$2:$F$40,12),""))</f>
        <v>• Electrical enlarged plans and schedules identify B13-TR124AA/AB, 240V 1-phase UPS circuits, normal/emergency rack power, rack receptacles, TR receptacles, access/security devices, lighting, CU-1-01, and SPD requirements.
• Existing rack/equipment area; verify power source, active equipment, UPS status, and transition requirements before disconnect or removal.</v>
      </c>
      <c r="E62" s="339" t="str">
        <f>IF($A62="","",IFERROR(INDEX(PMIS_Trade_Notes!$G$2:$G$40,12),""))</f>
        <v>• 13T-701 identifies Room 124 schedule: 58 WAO total, 65 active ports per survey, 91 total ports per schedule, and 100 total ports with 10% allowance. New Rack ID TR01-124-1 serves first and second level outlets with Fiber Path A/B.
• Existing Room 222 equipment includes wall-mounted rack, telco patch, plywood backboard, patch panel, security cabinet, and existing AC; verify active services and transfer plan to Room 124.</v>
      </c>
      <c r="F62" s="339" t="str">
        <f>IF($A62="","",IFERROR(INDEX(PMIS_Trade_Notes!$H$2:$H$40,12),""))</f>
        <v>• Electrical enlarged plan shows security/access-control device callouts at Room 124 and 124-CAM-01 camera designation; verify CR/RX/DC/ES/MD devices, controller, camera/VMS integration, and door hardware coordination.
• Existing security cabinet shown in Tel Room 222; verify whether security equipment remains, is relocated, or requires temporary protection during cutover.</v>
      </c>
      <c r="G62" s="339" t="str">
        <f>IF($A62="","",IFERROR(INDEX(PMIS_Trade_Notes!$I$2:$I$40,12),""))</f>
        <v>• High: Existing conditions for Room 124 and existing Tel Room 222 not field verified — Perform existing conditions survey with photos before mobilization
• High: First-level hazardous material abatement plan exists — Coordinate IH/abatement review before wall, floor, ceiling, conduit, or penetration work
• Critical: Existing Tel Room 222 equipment may remain active during cutover — Document active services, protect in place, identify owner/OIT cutover windows, and preserve rollback path
• Critical: Dedicated cooling emergency power, condensate, BACnet and alarms not verified — Confirm IU-1-01/CU-1-01 power source, condensate route, controls, BACnet adapter, thermostat and high-temp alarm
• High: 240V UPS/PDU and panel source coordination could delay energization — Verify B13-TR124AA/AB schedules, breakers, receptacles, SPD, labels, load measurement, normal/emergency source and LOTO needs
• High: Rated wall/door/firestop scope may affect life-safety acceptance — Inspect 1-hour wall/smoke barrier conditions, rated door/frame, penetrations, FEC location, temporary firestopping and final UL systems</v>
      </c>
      <c r="H62" s="339" t="str">
        <f>IF($A62="","",IFERROR(INDEX(PMIS_Trade_Notes!$J$2:$J$40,12),""))</f>
        <v>• B13-Q1 — Confirm final telecom scope: new Room 124 and existing Tel Room 222 transition only? [Open] Impact: Room inventory could miss scope
• B13-Q2 — What active services are currently fed from existing Tel Room 222 equipment? [Open] Impact: Potential communications/security outage
• B13-Q3 — What hazardous/abatement steps apply to first-level Room 124 work? [Open] Impact: Work delay or exposure risk
• B13-Q4 — Is IU-1-01/CU-1-01 on emergency/backup power and dedicated to Room 124? [Open] Impact: Cooling continuity unclear
• B13-Q5 — Where is the clean-agent/CO2 extinguisher cabinet located within 75 ft of Room 124? [Open] Impact: Life-safety acceptance risk
• B13-Q6 — Are B13-TR124AA/AB sources, rack receptacles, SPDs, circuit labels and load measurements approved? [Open] Impact: Electrical readiness unknown</v>
      </c>
      <c r="I62" s="339"/>
      <c r="J62" s="339"/>
      <c r="K62" s="339"/>
      <c r="L62" s="339"/>
      <c r="M62" s="339"/>
      <c r="N62" s="339"/>
      <c r="O62" s="339"/>
      <c r="P62" s="339"/>
    </row>
    <row r="63" spans="1:16" ht="26.4" customHeight="1">
      <c r="A63" s="339" t="str">
        <f>IFERROR(INDEX(PMIS_Trade_Notes!$A$2:$A$40,13),"")</f>
        <v>14</v>
      </c>
      <c r="B63" s="339" t="str">
        <f>IF($A63="","",IFERROR(INDEX(PMIS_Trade_Notes!$D$2:$D$40,13),""))</f>
        <v>• Fully sprinklered building; confirm sprinkler/fire alarm modifications, clean-agent 2A:10B:C extinguisher within 75 ft, rated wall/ceiling penetrations, and temporary firestopping during cable pulls.
• Existing basement tel room; verify fire alarm/sprinkler protection-in-place and seal any removed/reused penetration after cutover.
• Existing basement telecom room; verify no unsealed penetrations remain after cable transfer or reuse.</v>
      </c>
      <c r="C63" s="339" t="str">
        <f>IF($A63="","",IFERROR(INDEX(PMIS_Trade_Notes!$E$2:$E$40,13),""))</f>
        <v>• Mechanical/electrical drawings show IU-1-01 in Telecom Room 119 and CU-1-01 outdoor unit. Confirm capacity, emergency/standby source, BACnet adapter, thermostat/control point, condensate path, disconnects, and high-temperature alarm.
• Existing Tel/F Panel room; verify existing environmental conditions during cutover and whether legacy equipment remains active.
• Existing telecom room reference; field verify cooling/ventilation and active equipment condition.</v>
      </c>
      <c r="D63" s="339" t="str">
        <f>IF($A63="","",IFERROR(INDEX(PMIS_Trade_Notes!$F$2:$F$40,13),""))</f>
        <v>• Electrical plan/schedules identify B14-TR119A/B, 240V rack UPS requirements, normal/emergency rack power, rack receptacles, TR receptacles, lighting, CU-1-01, SPD requirements, and panel load measurement requirements.
• Existing basement wall-mounted TE/equipment area; verify power source, active equipment, UPS/PDU status, and transition requirements before disconnect or removal.
• Existing telecom room photo reference; confirm power sources and any cutover requirements.</v>
      </c>
      <c r="E63" s="339" t="str">
        <f>IF($A63="","",IFERROR(INDEX(PMIS_Trade_Notes!$G$2:$G$40,13),""))</f>
        <v>• 14T-701 identifies Room 119 schedule: 44 WAO total, 29 active ports per survey, 76 total ports per schedule, and 84 total ports with 10% allowance. New Rack ID TR01-119-1 serves first and second level outlets with Fiber Path A/B.
• Existing Room B.01 equipment includes wall-mounted TE, Cisco switch/legacy patch panel, telco patch, plywood backboards, and legacy Fiber LIU; verify active services and transfer plan to Room 119.
• Existing basement telecom room B2 is identified by photo reference; verify active devices, routing, and relation to B.01.</v>
      </c>
      <c r="F63" s="339" t="str">
        <f>IF($A63="","",IFERROR(INDEX(PMIS_Trade_Notes!$H$2:$H$40,13),""))</f>
        <v>• Telecom/electrical plans show 119-CAM-01 and security/access-control scope for Room 119; verify CR/RX/DC/ES/MD devices, controller, camera/VMS integration, and door hardware coordination.
• Verify whether existing security equipment remains, is relocated, or requires temporary protection during cutover.
• Verify security/access conditions and whether any legacy security equipment is present.</v>
      </c>
      <c r="G63" s="339" t="str">
        <f>IF($A63="","",IFERROR(INDEX(PMIS_Trade_Notes!$I$2:$I$40,13),""))</f>
        <v>• High: Existing conditions for Room 119 and existing basement telecom rooms B.01/B2 not field verified — Perform existing conditions survey with photos before mobilization
• High: First-level hazardous material abatement plan exists — Coordinate IH/abatement review before wall, floor, ceiling, conduit, or penetration work
• Critical: Existing basement telecom equipment may remain active during cutover — Document active services, protect in place, identify owner/OIT cutover windows, and preserve rollback path
• Critical: Dedicated cooling emergency power, condensate, BACnet and alarms not verified — Confirm IU-1-01/CU-1-01 power source, condensate route, controls, BACnet adapter, thermostat and high-temp alarm
• High: 240V UPS/PDU and panel source coordination could delay energization — Verify B14-TR119A/B schedules, breakers, receptacles, SPD, labels, load measurement, normal/emergency source and LOTO needs
• High: Rated wall/door/firestop scope may affect life-safety acceptance — Inspect 1-hour wall/smoke barrier conditions, rated door/frame, penetrations, FEC location, temporary firestopping and final UL systems</v>
      </c>
      <c r="H63" s="339" t="str">
        <f>IF($A63="","",IFERROR(INDEX(PMIS_Trade_Notes!$J$2:$J$40,13),""))</f>
        <v>• B14-Q1 — Confirm final telecom scope: new Room 119 and existing basement B.01/B2 transition only? [Open] Impact: Room inventory could miss scope
• B14-Q2 — What active services are currently fed from existing B.01/B2 equipment? [Open] Impact: Potential communications/security outage
• B14-Q3 — What hazardous/abatement steps apply to first-level Room 119 work? [Open] Impact: Work delay or exposure risk
• B14-Q4 — Is IU-1-01/CU-1-01 on emergency/backup power and dedicated to Room 119? [Open] Impact: Cooling continuity unclear
• B14-Q5 — Where is the clean-agent/CO2 extinguisher cabinet located within 75 ft of Room 119? [Open] Impact: Life-safety acceptance risk
• B14-Q6 — Are B14-TR119A/B sources, rack receptacles, SPDs, circuit labels and load measurements approved? [Open] Impact: Electrical readiness unknown</v>
      </c>
      <c r="I63" s="339"/>
      <c r="J63" s="339"/>
      <c r="K63" s="339"/>
      <c r="L63" s="339"/>
      <c r="M63" s="339"/>
      <c r="N63" s="339"/>
      <c r="O63" s="339"/>
      <c r="P63" s="339"/>
    </row>
    <row r="64" spans="1:16" ht="26.4" customHeight="1">
      <c r="A64" s="339" t="str">
        <f>IFERROR(INDEX(PMIS_Trade_Notes!$A$2:$A$40,14),"")</f>
        <v>15</v>
      </c>
      <c r="B64" s="339" t="str">
        <f>IF($A64="","",IFERROR(INDEX(PMIS_Trade_Notes!$D$2:$D$40,14),""))</f>
        <v>• Fully sprinklered building; confirm sprinkler/fire alarm modifications, clean-agent 2A:10B:C extinguisher within 75 ft, rated wall/ceiling penetrations, and temporary firestopping during cable pulls.
• Existing tel room; verify fire alarm/sprinkler protection-in-place and seal any removed/reused penetration after cutover.
• Existing basement telecom/crossover room; verify no unsealed penetrations remain after cable transfer or reuse.</v>
      </c>
      <c r="C64" s="339" t="str">
        <f>IF($A64="","",IFERROR(INDEX(PMIS_Trade_Notes!$E$2:$E$40,14),""))</f>
        <v>• Mechanical/electrical drawings show IU-1-01 in Telecom Room 124A and CU-1-01 outdoor heat-pump/A/C unit. Confirm capacity, emergency/standby source, BACnet adapter, thermostat/control point, condensate path, disconnects, and high-temperature alarm.
• Existing Tel Room 222 is shown with existing/remain indoor AC unit; verify whether it remains active, is abandoned, or needs protection during cutover.
• Existing basement telecom/crossover space; verify environmental conditions and whether active equipment remains during cutover.</v>
      </c>
      <c r="D64" s="339" t="str">
        <f>IF($A64="","",IFERROR(INDEX(PMIS_Trade_Notes!$F$2:$F$40,14),""))</f>
        <v>• Electrical enlarged plans and schedules identify B15-TR124AA/AB, 240V rack UPS requirements, normal/emergency rack power, rack receptacles, TR receptacles, lighting, CU-1-01, SPD requirements, and 30-day load measurement requirements.
• Existing rack/equipment area; verify power source, active equipment, APC floor UPS status, and transition requirements before disconnect or removal.
• Existing B-01 crossover; verify power sources and cutover needs for legacy patch panel/crossover.</v>
      </c>
      <c r="E64" s="339" t="str">
        <f>IF($A64="","",IFERROR(INDEX(PMIS_Trade_Notes!$G$2:$G$40,14),""))</f>
        <v>• 15T-701 identifies Room 109A schedule but field plan/electrical room callouts identify Telecom Room 124A; schedule has 62 WAO total, 76 active ports per survey, 101 total ports per schedule, and 111 total ports with 10% allowance. New Rack ID TR15-109A-01 serves basement, first and second level outlets.
• Existing Room 222 equipment includes wall/wall-mounted TE, Cisco switches, legacy 48-port patch panels, ground bar, plywood backboard, security cabinet, and floor UPS; verify active services and transfer plan to Room 124A.
• Existing B-01 crossover includes legacy 24-port patch panel; verify active devices, routing, and relation to Room 222 and Room 124A.</v>
      </c>
      <c r="F64" s="339" t="str">
        <f>IF($A64="","",IFERROR(INDEX(PMIS_Trade_Notes!$H$2:$H$40,14),""))</f>
        <v>• Telecom/electrical plans show 124A-CAM-1 and security/access-control scope for Room 124A; verify CR/RX/DC/ES/MD devices, controller, camera/VMS integration, and door hardware coordination.
• Existing security cabinet shown in Tel Room 222; verify whether security equipment remains, is relocated, or requires temporary protection during cutover.
• Verify security/access conditions and whether any legacy security equipment is present.</v>
      </c>
      <c r="G64" s="339" t="str">
        <f>IF($A64="","",IFERROR(INDEX(PMIS_Trade_Notes!$I$2:$I$40,14),""))</f>
        <v>• High: Existing conditions for Room 124A and existing telecom rooms 222/B01 not field verified — Perform existing conditions survey with photos before mobilization
• High: First-level hazardous material abatement plan exists — Coordinate IH/abatement review before wall, floor, ceiling, conduit, or penetration work
• Critical: Existing telecom equipment may remain active during cutover — Document active services, protect in place, identify owner/OIT cutover windows, and preserve rollback path
• Critical: Dedicated cooling emergency power, condensate, BACnet and alarms not verified — Confirm IU-1-01/CU-1-01 power source, condensate route, controls, BACnet adapter, thermostat and high-temp alarm
• High: 240V UPS/PDU and panel source coordination could delay energization — Verify B15-TR124AA/AB schedules, breakers, receptacles, SPD, labels, load measurement, normal/emergency source and LOTO needs
• High: Rated wall/door/firestop scope may affect life-safety acceptance — Inspect 1-hour wall/smoke barrier conditions, rated door/frame, penetrations, FEC location, temporary firestopping and final UL systems</v>
      </c>
      <c r="H64" s="339" t="str">
        <f>IF($A64="","",IFERROR(INDEX(PMIS_Trade_Notes!$J$2:$J$40,14),""))</f>
        <v>• B15-Q1 — Confirm final telecom scope: new Room 124A and existing Rooms 222/B01 transition only? [Open] Impact: Room inventory could miss scope
• B15-Q2 — Why does 15T-701 reference RM 109A while plans and electrical schedules identify Telecom Room 124A? [Open] Impact: Room naming mismatch could affect PMIS tracking
• B15-Q3 — What active services are currently fed from existing Room 222 and B01 equipment? [Open] Impact: Potential communications/security outage
• B15-Q4 — What hazardous/abatement steps apply to first-level Room 124A work? [Open] Impact: Work delay or exposure risk
• B15-Q5 — Is IU-1-01/CU-1-01 on emergency/backup power and dedicated to Room 124A? [Open] Impact: Cooling continuity unclear
• B15-Q6 — Where is the clean-agent/CO2 extinguisher cabinet located within 75 ft of Room 124A? [Open] Impact: Life-safety acceptance risk</v>
      </c>
      <c r="I64" s="339"/>
      <c r="J64" s="339"/>
      <c r="K64" s="339"/>
      <c r="L64" s="339"/>
      <c r="M64" s="339"/>
      <c r="N64" s="339"/>
      <c r="O64" s="339"/>
      <c r="P64" s="339"/>
    </row>
    <row r="65" spans="1:16" ht="26.4" customHeight="1">
      <c r="A65" s="339" t="str">
        <f>IFERROR(INDEX(PMIS_Trade_Notes!$A$2:$A$40,15),"")</f>
        <v>16</v>
      </c>
      <c r="B65" s="339" t="str">
        <f>IF($A65="","",IFERROR(INDEX(PMIS_Trade_Notes!$D$2:$D$40,15),""))</f>
        <v>• Fully sprinklered building; confirm sprinkler/fire alarm modifications, clean-agent 2A:10B:C extinguisher within 75 ft, rated wall/ceiling/floor penetrations, and temporary firestopping during cable pulls.
• Existing telecom room; verify fire alarm/sprinkler protection-in-place and seal any removed/reused penetration after cutover.</v>
      </c>
      <c r="C65" s="339" t="str">
        <f>IF($A65="","",IFERROR(INDEX(PMIS_Trade_Notes!$E$2:$E$40,15),""))</f>
        <v>• Mechanical/electrical drawings show IU-1-01 in Telecom Room 015 and CU-1-01 outdoor unit. Confirm capacity, emergency/standby source, BACnet adapter, thermostat/control point, condensate path, disconnects, and high-temperature alarm.
• Existing Telecom Room 014; verify existing environmental conditions during cutover and whether legacy equipment remains active.</v>
      </c>
      <c r="D65" s="339" t="str">
        <f>IF($A65="","",IFERROR(INDEX(PMIS_Trade_Notes!$F$2:$F$40,15),""))</f>
        <v>• Electrical plans/schedules identify B16-TR015A/B, 240V rack UPS requirements, rack receptacles, TR receptacles, lighting, access controller, CU-1-01, SPD requirements, existing panel demolition/replacement, and 30-day load measurement requirements.
• Existing rack/equipment area; verify power source, active equipment, UPS status, and transition requirements before disconnect or removal.</v>
      </c>
      <c r="E65" s="339" t="str">
        <f>IF($A65="","",IFERROR(INDEX(PMIS_Trade_Notes!$G$2:$G$40,15),""))</f>
        <v>• 16T-701 identifies Room 015-A schedule: 25 WAO total, 25 active ports per survey, 36 total ports per schedule, and 40 total ports with 10% allowance. New Rack ID TR01-015-A-1 serves basement, first, second and attic level outlets.
• Existing Room 014 equipment includes wall/TE rack, floor-mounted UPS, Cisco switch, legacy 12-port modular patch panel and Fiber LIU; verify active services and transfer plan to Room 015.</v>
      </c>
      <c r="F65" s="339" t="str">
        <f>IF($A65="","",IFERROR(INDEX(PMIS_Trade_Notes!$H$2:$H$40,15),""))</f>
        <v>• Telecom/electrical plans show 015-CAM-1 and security/access-control scope for Room 015; verify CR/RX/DC/ES/MD devices, controller, camera/VMS integration, and door hardware coordination.
• Existing security cabinet shown in Room 014; verify whether security equipment remains, is relocated, or requires temporary protection during cutover.</v>
      </c>
      <c r="G65" s="339" t="str">
        <f>IF($A65="","",IFERROR(INDEX(PMIS_Trade_Notes!$I$2:$I$40,15),""))</f>
        <v>• High: Existing conditions for Room 015 and existing Telecom Room 014 not field verified — Perform existing conditions survey with photos before mobilization
• Critical: Existing telecom equipment may remain active during cutover — Document active services, protect in place, identify owner/OIT cutover windows, and preserve rollback path
• High: Basement TR buildout may conflict with existing utilities, water heater/stair/storage conditions and pathway routing — Survey adjacent Water Heater 010, Vacant 011/012/013, Stair 014, pathway/ductbank routing, and constructability constraints
• Critical: Dedicated cooling emergency power, condensate, BACnet and alarms not verified — Confirm IU-1-01/CU-1-01 power source, condensate route, controls, BACnet adapter, thermostat and high-temp alarm
• High: 240V UPS/PDU and panel source coordination could delay energization — Verify B16-TR015A/B schedules, breakers, receptacles, SPD, labels, load measurement, normal/emergency source and LOTO needs
• High: Rated wall/door/firestop scope may affect life-safety acceptance — Inspect 1-hour wall/smoke barrier conditions, rated door/frame, penetrations, FEC location, temporary firestopping and final UL systems</v>
      </c>
      <c r="H65" s="339" t="str">
        <f>IF($A65="","",IFERROR(INDEX(PMIS_Trade_Notes!$J$2:$J$40,15),""))</f>
        <v>• B16-Q1 — Confirm final telecom scope: new Room 015 and existing Room 014 transition only? [Open] Impact: Room inventory could miss scope
• B16-Q2 — What active services are currently fed from existing Room 014 equipment? [Open] Impact: Potential communications/security outage
• B16-Q3 — Is IU-1-01/CU-1-01 on emergency/backup power and dedicated to Room 015? [Open] Impact: Cooling continuity unclear
• B16-Q4 — Where is the clean-agent/CO2 extinguisher cabinet located within 75 ft of Room 015? [Open] Impact: Life-safety acceptance risk
• B16-Q5 — Are B16-TR015A/B sources, rack receptacles, SPDs, circuit labels and load measurements approved? [Open] Impact: Electrical readiness unknown
• B16-Q6 — Which existing panel/circuit breaker/feeder demolition and replacement affects Room 015 telecom power? [Open] Impact: Panel outage/cutover risk</v>
      </c>
      <c r="I65" s="339"/>
      <c r="J65" s="339"/>
      <c r="K65" s="339"/>
      <c r="L65" s="339"/>
      <c r="M65" s="339"/>
      <c r="N65" s="339"/>
      <c r="O65" s="339"/>
      <c r="P65" s="339"/>
    </row>
    <row r="66" spans="1:16" ht="26.4" customHeight="1">
      <c r="A66" s="339" t="str">
        <f>IFERROR(INDEX(PMIS_Trade_Notes!$A$2:$A$40,16),"")</f>
        <v>17</v>
      </c>
      <c r="B66" s="339" t="str">
        <f>IF($A66="","",IFERROR(INDEX(PMIS_Trade_Notes!$D$2:$D$40,16),""))</f>
        <v>• Fully sprinklered building; confirm sprinkler/fire alarm modifications, clean-agent 2A:10B:C extinguisher within 75 ft, rated wall/ceiling/floor penetrations, and temporary firestopping during cable pulls.
• Existing telecom closet; verify fire alarm/sprinkler protection-in-place and seal any removed/reused penetration after cutover.
• Verify firestopping at pathway penetrations between Building 17 and Building 29 and any rated floor/wall assemblies.</v>
      </c>
      <c r="C66" s="339" t="str">
        <f>IF($A66="","",IFERROR(INDEX(PMIS_Trade_Notes!$E$2:$E$40,16),""))</f>
        <v>• Mechanical/electrical drawings show IU-1-01 in Telecom Room 118 and CU-1-01 outdoor unit. Confirm capacity, emergency/standby source, BACnet adapter, thermostat/control point, condensate path, disconnects, and high-temperature alarm.
• Existing B35A is shown with existing indoor AC unit; verify whether it remains active, is abandoned, or needs temporary protection during cutover.
• No dedicated cooling expected for pathway; verify any equipment cabinets or active service locations in Building 29 if applicable.</v>
      </c>
      <c r="D66" s="339" t="str">
        <f>IF($A66="","",IFERROR(INDEX(PMIS_Trade_Notes!$F$2:$F$40,16),""))</f>
        <v>• Electrical plans/schedules identify B17-TR118A fed from BUS-B17-NPB1-R and B17-TR118B fed from BUS-B17-EQDP, with TR RM118 rack receptacles, 208V UPS/PDU equipment, CU-1-01, SPD requirements, and 30-day load measurement requirements.
• Existing rack/equipment area; verify active equipment, floor UPS status, source circuits, and transfer requirements before disconnect/removal.
• Verify whether any Building 29 equipment or extension path requires power, grounding, bonding, or labeling tied back to B17 TR 118.</v>
      </c>
      <c r="E66" s="339" t="str">
        <f>IF($A66="","",IFERROR(INDEX(PMIS_Trade_Notes!$G$2:$G$40,16),""))</f>
        <v>• 17_29T-701 identifies Room 118 schedule: 113 WAO total, 67 active ports per survey, 154 total ports per schedule, and 169 total ports with 10% allowance. Rack ID TR17-118-1 serves basement, first, second-level outlets and Building 29 path.
• Existing Room B35A equipment includes SERTEX utility service ports, legacy Ortronics patch panels, Cisco switches, wall-mounted TE, Fiber/legacy equipment, security cabinet, and floor UPS; verify active services and transfer plan to Room 118.
• Building 29 is shown served from B17; verify fiber from Building 17 to Building 29, path to B29 4-inch PVC, outlet labels, test records and as-builts.</v>
      </c>
      <c r="F66" s="339" t="str">
        <f>IF($A66="","",IFERROR(INDEX(PMIS_Trade_Notes!$H$2:$H$40,16),""))</f>
        <v>• Telecom/electrical plans show 118-CAM-01 and security/access-control scope for Room 118; verify CR/RX/DC/ES/MD devices, controller, camera/VMS integration, and door hardware coordination.
• Existing security cabinet shown in B35A; verify whether security equipment remains, is relocated, or requires temporary protection during cutover.
• Verify Building 29 pathway and any security scope tied into B17 TR 118/VMS/PACS.</v>
      </c>
      <c r="G66" s="339" t="str">
        <f>IF($A66="","",IFERROR(INDEX(PMIS_Trade_Notes!$I$2:$I$40,16),""))</f>
        <v>• High: Existing conditions for Room 118, B35A and Building 29 service path not field verified — Perform existing conditions survey with photos before mobilization
• High: First-level hazardous material abatement plan exists — Coordinate IH/abatement review before wall, floor, ceiling, conduit, or penetration work
• Critical: Existing telecom equipment may remain active during cutover — Document active services, protect in place, identify owner/OIT cutover windows, and preserve rollback path
• Critical: Dedicated cooling emergency power, condensate, BACnet and alarms not verified — Confirm IU-1-01/CU-1-01 power source, condensate route, controls, BACnet adapter, thermostat and high-temp alarm
• High: 208V UPS/PDU and panel source coordination could delay energization — Verify B17-TR118A/B schedules, BUS-B17-EQDP, BUS-B17-NPB1-R, rack receptacles, SPD, labels, load measurement and LOTO needs
• High: Cable tray and pathway scope is large and crosses multiple levels/building service boundary — Verify 517 ft cable tray, supports, seismic bracing, 40% fill, path to B29 4-inch PVC, penetrations and labeling before install</v>
      </c>
      <c r="H66" s="339" t="str">
        <f>IF($A66="","",IFERROR(INDEX(PMIS_Trade_Notes!$J$2:$J$40,16),""))</f>
        <v>• B17-Q1 — Confirm final telecom scope: new Room 118, existing B35A, and Building 29 served from B17? [Open] Impact: Room inventory or PMIS mapping could miss scope
• B17-Q2 — What active services are currently fed from existing B35A equipment? [Open] Impact: Potential communications/security outage
• B17-Q3 — What exact Building 29 outlets/devices are served through TR17-118-1? [Open] Impact: Building 29 scope boundary unclear
• B17-Q4 — Is IU-1-01/CU-1-01 on emergency/backup power and dedicated to Room 118? [Open] Impact: Cooling continuity unclear
• B17-Q5 — Where is the clean-agent/CO2 extinguisher cabinet located within 75 ft of Room 118? [Open] Impact: Life-safety acceptance risk
• B17-Q6 — Are B17-TR118A/B sources, rack receptacles, SPDs, circuit labels and load measurements approved? [Open] Impact: Electrical readiness unknown</v>
      </c>
      <c r="I66" s="339"/>
      <c r="J66" s="339"/>
      <c r="K66" s="339"/>
      <c r="L66" s="339"/>
      <c r="M66" s="339"/>
      <c r="N66" s="339"/>
      <c r="O66" s="339"/>
      <c r="P66" s="339"/>
    </row>
    <row r="67" spans="1:16" ht="26.4" customHeight="1">
      <c r="A67" s="339" t="str">
        <f>IFERROR(INDEX(PMIS_Trade_Notes!$A$2:$A$40,17),"")</f>
        <v>18</v>
      </c>
      <c r="B67" s="339" t="str">
        <f>IF($A67="","",IFERROR(INDEX(PMIS_Trade_Notes!$D$2:$D$40,17),""))</f>
        <v>• Fully sprinklered building; confirm sprinkler/fire alarm modifications, clean-agent 2A:10B:C extinguisher within 75 ft, rated wall/ceiling/floor penetrations, and temporary firestopping during cable pulls.
• Existing TE room; verify fire alarm/sprinkler protection-in-place and seal removed/reused penetrations after cutover.
• Existing second-level closet; verify protection-in-place and firestopping after transfer or abandonment.</v>
      </c>
      <c r="C67" s="339" t="str">
        <f>IF($A67="","",IFERROR(INDEX(PMIS_Trade_Notes!$E$2:$E$40,17),""))</f>
        <v>• Mechanical/electrical drawings show IU-1-01 in Telecom Room 110 and CU-1-01 outdoor unit. Confirm capacity, emergency/standby source, BACnet adapter, thermostat/control point, condensate path, disconnects, and high-temperature alarm.
• Existing TE 111B; verify existing environmental conditions during cutover and whether legacy equipment remains active.
• Existing Closet 213; verify existing environmental conditions during cutover and whether legacy equipment remains active.</v>
      </c>
      <c r="D67" s="339" t="str">
        <f>IF($A67="","",IFERROR(INDEX(PMIS_Trade_Notes!$F$2:$F$40,17),""))</f>
        <v>• Electrical plans/schedules identify B18-TR110A/B, 208V rack UPS requirements, rack receptacles, TR receptacles, lighting, CU-1-01, SPD requirements, and telecom panelboard schedule requirements.
• Existing rack/equipment area; verify active equipment, floor UPS status, source circuits, and transfer requirements before disconnect/removal.
• Existing rack/equipment area; verify active equipment, APC UPS status, source circuits, SERTEX utility service and transfer requirements before disconnect/removal.</v>
      </c>
      <c r="E67" s="339" t="str">
        <f>IF($A67="","",IFERROR(INDEX(PMIS_Trade_Notes!$G$2:$G$40,17),""))</f>
        <v>• 18T-701 identifies RM 111A schedule: 86 WAO total, 61 active ports per survey, 122 ports per schedule, and 134 total ports with 10% allowance. New rack elevation is Room 110, 1 rack plus future, with UPS, Future Zone PDU, switches, Cat6A patch panels, Cat5E patch panel and Fiber LIU.
• Existing Room 111B equipment includes wall-mounted rack, plywood backboard, patch panel, security cabinet, floor UPS and 5RU fiber optic housing; verify active services and transfer plan to Room 110.
• Existing Room 213 equipment includes SERTEX utility service ports, Cisco switch, multiple legacy Ortronics patch panels, wall/wall-mount TE and APC floor UPS; verify active services and transfer plan to Room 110.</v>
      </c>
      <c r="F67" s="339" t="str">
        <f>IF($A67="","",IFERROR(INDEX(PMIS_Trade_Notes!$H$2:$H$40,17),""))</f>
        <v>• Telecom/electrical plans show 111A-CAM-01 and security/access-control scope for the new TR area; verify room naming, CR/RX/DC/ES/MD devices, controller, camera/VMS integration, and door hardware coordination.
• Existing security cabinet shown in 111B; verify whether security equipment remains, is relocated, or requires temporary protection during cutover.
• Existing security cabinet shown in 213; verify whether security equipment remains, is relocated, or requires temporary protection during cutover.</v>
      </c>
      <c r="G67" s="339" t="str">
        <f>IF($A67="","",IFERROR(INDEX(PMIS_Trade_Notes!$I$2:$I$40,17),""))</f>
        <v>• High: Existing conditions for Room 110, Room 111B and Room 213 not field verified — Perform existing conditions survey with photos before mobilization
• High: First-level hazardous material / lead-based paint abatement plan exists — Coordinate IH/abatement review before wall, floor, ceiling, conduit, or penetration work
• Critical: Existing telecom equipment may remain active during cutover — Document active services, protect in place, identify owner/OIT cutover windows, and preserve rollback path
• Critical: Dedicated cooling emergency power, condensate, BACnet and alarms not verified — Confirm IU-1-01/CU-1-01 power source, condensate route, controls, BACnet adapter, thermostat and high-temp alarm
• High: 208V UPS/PDU and panel source coordination could delay energization — Verify B18-TR110A/B schedules, rack receptacles, SPD, labels, source circuits and LOTO needs
• High: Cable tray and pathway scope crosses first and second levels — Verify 315 ft cable tray, supports, seismic bracing, 40% fill, penetrations, coordination with lighting/HVAC and labeling before install</v>
      </c>
      <c r="H67" s="339" t="str">
        <f>IF($A67="","",IFERROR(INDEX(PMIS_Trade_Notes!$J$2:$J$40,17),""))</f>
        <v>• B18-Q1 — Confirm final telecom scope: new Room 110 with existing 111B and 213 transition only? [Open] Impact: Room inventory or PMIS mapping could miss scope
• B18-Q2 — Why does 18T-701 reference RM 111A while new rack/electrical plans identify Telecom Room 110? [Open] Impact: Room naming mismatch could affect PMIS tracking
• B18-Q3 — What active services are currently fed from existing 111B and 213 equipment? [Open] Impact: Potential communications/security outage
• B18-Q4 — Is IU-1-01/CU-1-01 on emergency/backup power and dedicated to Room 110? [Open] Impact: Cooling continuity unclear
• B18-Q5 — Where is the clean-agent/CO2 extinguisher cabinet located within 75 ft of Room 110? [Open] Impact: Life-safety acceptance risk
• B18-Q6 — Are B18-TR110A/B sources, rack receptacles, SPDs, circuit labels and load measurements approved? [Open] Impact: Electrical readiness unknown</v>
      </c>
      <c r="I67" s="339"/>
      <c r="J67" s="339"/>
      <c r="K67" s="339"/>
      <c r="L67" s="339"/>
      <c r="M67" s="339"/>
      <c r="N67" s="339"/>
      <c r="O67" s="339"/>
      <c r="P67" s="339"/>
    </row>
    <row r="68" spans="1:16" ht="26.4" customHeight="1">
      <c r="A68" s="339" t="str">
        <f>IFERROR(INDEX(PMIS_Trade_Notes!$A$2:$A$40,18),"")</f>
        <v>20</v>
      </c>
      <c r="B68" s="339" t="str">
        <f>IF($A68="","",IFERROR(INDEX(PMIS_Trade_Notes!$D$2:$D$40,18),""))</f>
        <v>• Cover sheet states Building 20 receives a Telecom Enclosure and mechanical/fire protection scope is excluded. Still verify firestopping of rated penetrations, 4-inch sleeve, wall/floor openings, and any life-safety device impacts.
• Existing closet; verify protection-in-place and firestopping after cable transfer or reuse.</v>
      </c>
      <c r="C68" s="339" t="str">
        <f>IF($A68="","",IFERROR(INDEX(PMIS_Trade_Notes!$E$2:$E$40,18),""))</f>
        <v>• Cover sheet states mechanical scope is excluded. Verify whether Office 1B ambient conditions are acceptable for wall-mount TE/UPS/PDU/network equipment.
• Existing Tel/Data Closet 8A includes indoor AC unit to remain/protect in place; verify operation during cutover and whether equipment remains after transition.</v>
      </c>
      <c r="D68" s="339" t="str">
        <f>IF($A68="","",IFERROR(INDEX(PMIS_Trade_Notes!$F$2:$F$40,18),""))</f>
        <v>• 20T-701 new enclosure elevation shows APC UPS, two PDU L5-30 input / NEMA 5-20 output units, 120V outlet UPS, 120V outlet PDU, network switch, 48-port Cat6A patch panel and Fiber LIU. Verify circuit source, receptacle type, grounding/bonding and labels.
• Existing 8A elevation shows UPS on ground, legacy patch equipment and Fiber LIU on wall; verify source circuits, UPS status, and transition requirements before disconnect/removal.</v>
      </c>
      <c r="E68" s="339" t="str">
        <f>IF($A68="","",IFERROR(INDEX(PMIS_Trade_Notes!$G$2:$G$40,18),""))</f>
        <v>• 20T-701 identifies TE01-1B-1: 21 WAO total, 24 active ports per survey, 30 ports per schedule, 33 total ports with 10% allowance. Provide new wall-mount TE cabinet and 10 new Cat6A cross-connect cables from existing TE to new TE location.
• Existing Tel/Data Closet 8A contains open TE cabinet, ground bar, patch panel, equipment box, indoor AC unit, plywood backboard, BIX blocks, Cisco switch, legacy 48-port patch panel and Fiber LIU. Field verify all active services.</v>
      </c>
      <c r="F68" s="339" t="str">
        <f>IF($A68="","",IFERROR(INDEX(PMIS_Trade_Notes!$H$2:$H$40,18),""))</f>
        <v>• Building 20 does not appear to create a new TR door/PACS package. Verify any existing cameras/security devices in Office 1B and ensure no camera angle or VMS integration is disrupted.
• Keynotes indicate existing cameras are to be retained and re-used/protected in place; verify existing security equipment and cabinet impacts during cutover.</v>
      </c>
      <c r="G68" s="339" t="str">
        <f>IF($A68="","",IFERROR(INDEX(PMIS_Trade_Notes!$I$2:$I$40,18),""))</f>
        <v>• High: Existing conditions for new Office 1B TE and existing Tel/Data Closet 8A not field verified — Perform existing conditions survey with photos before mobilization
• Critical: Existing equipment in 8A may remain active during transfer to new TE in 1B — Document active services, protect in place, identify OIT cutover windows, phasing, rollback path and temporary utilities
• Medium: Room naming and TE designation could cause PMIS mapping confusion — Track as Building 20 / Office 1B / TE01-1B-1 and link existing Room 8A as transition point
• High: No mechanical scope, but TE/UPS/network equipment may add heat load to Office 1B — Verify heat load, office ventilation, equipment clearances and owner acceptance before energizing enclosure
• High: UPS/PDU/receptacle source and grounding/bonding not verified — Verify circuit source, receptacle type, UPS/PDU load, grounding bar, bonding and labels
• High: 459 feet of cable tray/pathway requires coordination despite small port count — Verify route, supports, seismic bracing, 40% fill, penetrations, light fixtures and coordination drawings before install</v>
      </c>
      <c r="H68" s="339" t="str">
        <f>IF($A68="","",IFERROR(INDEX(PMIS_Trade_Notes!$J$2:$J$40,18),""))</f>
        <v>• B20-Q1 — Confirm final scope: new wall-mount TE enclosure in Office 1B and existing Tel/Data Closet 8A transition only? [Open] Impact: Room inventory or PMIS mapping could miss scope
• B20-Q2 — What active services are currently fed from existing 8A open TE cabinet and related equipment? [Open] Impact: Potential communications/security outage
• B20-Q3 — What is the approved power source, receptacle type and circuit capacity for the new APC UPS/PDU in Office 1B? [Open] Impact: Electrical readiness unknown
• B20-Q4 — Is Office 1B HVAC/ambient condition acceptable for a wall-mount TE with UPS/PDU/network switch? [Open] Impact: Heat/load risk after mechanical scope excluded
• B20-Q5 — Are existing cameras/security devices in Building 20 protected and retained with no VMS/PACS changes? [Open] Impact: Security continuity unclear
• B20-Q6 — Are all 459 feet of cable tray route, sleeves, supports and firestopping details field verified? [Open] Impact: Install delay or firestop gap</v>
      </c>
      <c r="I68" s="339"/>
      <c r="J68" s="339"/>
      <c r="K68" s="339"/>
      <c r="L68" s="339"/>
      <c r="M68" s="339"/>
      <c r="N68" s="339"/>
      <c r="O68" s="339"/>
      <c r="P68" s="339"/>
    </row>
    <row r="69" spans="1:16" ht="26.4" customHeight="1">
      <c r="A69" s="339" t="str">
        <f>IFERROR(INDEX(PMIS_Trade_Notes!$A$2:$A$40,19),"")</f>
        <v>21</v>
      </c>
      <c r="B69" s="339" t="str">
        <f>IF($A69="","",IFERROR(INDEX(PMIS_Trade_Notes!$D$2:$D$40,19),""))</f>
        <v>• Cover sheet states Building 21_19 receives a Telecom Enclosure and fire protection scope is excluded. Still verify firestopping of rated penetrations, 4-inch sleeve, wall/floor openings, and any life-safety device impacts.
• Existing B21 basement TR; verify protection-in-place and firestopping after cable transfer or reuse.
• Existing B19 B05TR; verify protection-in-place and firestopping after cable transfer or reuse.</v>
      </c>
      <c r="C69" s="339" t="str">
        <f>IF($A69="","",IFERROR(INDEX(PMIS_Trade_Notes!$E$2:$E$40,19),""))</f>
        <v>• Mechanical sheets exist in index. Verify whether new TE heat load in Office 100A is supported by existing/new HVAC and whether any mechanical scope applies despite TE designation.
• Existing B21 B1.TR; verify environmental conditions during cutover and whether legacy equipment remains active.
• Existing B19 B05TR; verify environmental conditions and whether equipment remains active during/after Building 21 transfer.</v>
      </c>
      <c r="D69" s="339" t="str">
        <f>IF($A69="","",IFERROR(INDEX(PMIS_Trade_Notes!$F$2:$F$40,19),""))</f>
        <v>• 21_19T-604 new enclosure elevation shows APC UPS, two PDU L5-30 input / NEMA 5-20 output units, 120V outlet UPS, 120V outlet PDU, network switches, 48-port Cat6A patch panel and Fiber LIU. Verify circuit source, receptacle type, grounding/bonding and labels.
• Existing B21 B1.TR elevation shows UPS on ground, Cisco switch, legacy patch panels and Fiber LIU; verify source circuits, UPS status, and transition requirements.
• Existing B19 B05TR elevations show APC floor UPS, legacy patch panels, Cisco switch and Fiber LIU; verify power source, active equipment and transfer/retention requirements.</v>
      </c>
      <c r="E69" s="339" t="str">
        <f>IF($A69="","",IFERROR(INDEX(PMIS_Trade_Notes!$G$2:$G$40,19),""))</f>
        <v>• 21_19T-701 identifies RM 104 schedule: 90 WAO total, 67 active ports per survey, 119 ports per schedule, and 131 total ports with 10% allowance. 659 ft cable tray total: 63 ft basement and 596 ft first level.
• Existing B21 B1.TR equipment includes multiple legacy patch panels, Cisco switch, UPS on ground, Fiber LIU and APC floor UPS; verify active services and transfer plan to new TE.
• Existing B19 B05TR equipment includes legacy Ortronics patch panels, Cisco switch, Fiber LIU and APC floor UPS; verify active services and whether B19/B21 devices are served from new enclosure.</v>
      </c>
      <c r="F69" s="339" t="str">
        <f>IF($A69="","",IFERROR(INDEX(PMIS_Trade_Notes!$H$2:$H$40,19),""))</f>
        <v>• Building 21_19 appears to create a TE enclosure rather than a full TR door/PACS package. Verify any existing cameras/security devices in Room 100A and ensure no camera angle or VMS integration is disrupted.
• Verify any existing security device/cabinet impacts during cutover.
• Verify existing security/camera protection-in-place and any impact from B19/B21 shared telecom equipment.</v>
      </c>
      <c r="G69" s="339" t="str">
        <f>IF($A69="","",IFERROR(INDEX(PMIS_Trade_Notes!$I$2:$I$40,19),""))</f>
        <v>• High: Existing conditions for new 100A TE, B21 B1.TR and B19 B05TR not field verified — Perform existing conditions survey with photos before mobilization
• Critical: Existing equipment may remain active during transfer to new TE enclosure — Document active services, protect in place, identify OIT cutover windows, phasing, rollback path and temporary utilities
• High: Room naming mismatch: schedule says RM 104 / TR01-104-1 while plan/enlarged view identifies Room 100A — Track PMIS as Building 21 / Room 100A / Schedule RM 104 / Rack ID TR01-104-1 and confirm with designer
• High: B19/B21 combined package may blur scope boundary and ownership of ports — Separate Building 21 work, Building 19 transition work, and shared service/cross-connect items in PMIS notes
• High: UPS/PDU/receptacle source and grounding/bonding not verified — Verify circuit source, receptacle type, UPS/PDU load, grounding bar, bonding and labels
• High: 659 feet of cable tray/pathway requires coordination and firestop tracking — Verify route, supports, seismic bracing, 40% fill, penetrations, light fixtures and coordination drawings before install</v>
      </c>
      <c r="H69" s="339" t="str">
        <f>IF($A69="","",IFERROR(INDEX(PMIS_Trade_Notes!$J$2:$J$40,19),""))</f>
        <v>• B21-Q1 — Confirm final scope: new TE enclosure at Room 100A/RM 104 and existing B21 B1.TR plus B19 B05TR transition? [Open] Impact: Room inventory or PMIS mapping could miss scope
• B21-Q2 — Why does 21_19T-701 list RM 104 / TR01-104-1 while enlarged plan identifies Room 100A? [Open] Impact: Room naming mismatch could affect PMIS tracking
• B21-Q3 — What active services are currently fed from existing B21 B1.TR and B19 B05TR equipment? [Open] Impact: Potential communications/security outage
• B21-Q4 — What exactly is meant by '19 serving 21' on the new TE enclosure elevation? [Open] Impact: Building 19/21 boundary unclear
• B21-Q5 — What is the approved power source, receptacle type and circuit capacity for the new APC UPS/PDU in 100A? [Open] Impact: Electrical readiness unknown
• B21-Q6 — Are all 659 ft of cable tray route, sleeves, supports and firestopping details field verified? [Open] Impact: Install delay or firestop gap</v>
      </c>
      <c r="I69" s="339"/>
      <c r="J69" s="339"/>
      <c r="K69" s="339"/>
      <c r="L69" s="339"/>
      <c r="M69" s="339"/>
      <c r="N69" s="339"/>
      <c r="O69" s="339"/>
      <c r="P69" s="339"/>
    </row>
    <row r="70" spans="1:16" ht="26.4" customHeight="1">
      <c r="A70" s="339" t="str">
        <f>IFERROR(INDEX(PMIS_Trade_Notes!$A$2:$A$40,20),"")</f>
        <v>22</v>
      </c>
      <c r="B70" s="339" t="str">
        <f>IF($A70="","",IFERROR(INDEX(PMIS_Trade_Notes!$D$2:$D$40,20),""))</f>
        <v>• Cover sheet states Building 22 receives a Telecom Enclosure and mechanical/fire protection scope is excluded. Still verify firestopping of rated penetrations, 4-inch sleeve, wall/floor openings, and life-safety device impacts.
• Existing TE room; verify protection-in-place and firestopping after cable transfer or reuse.</v>
      </c>
      <c r="C70" s="339" t="str">
        <f>IF($A70="","",IFERROR(INDEX(PMIS_Trade_Notes!$E$2:$E$40,20),""))</f>
        <v>• Cover sheet states mechanical scope is excluded. Verify whether Break Room 102 ambient conditions are acceptable for wall-mount TE/UPS/PDU/network equipment.
• Existing Room 103 equipment area; verify existing environmental conditions during cutover and whether legacy equipment remains active.</v>
      </c>
      <c r="D70" s="339" t="str">
        <f>IF($A70="","",IFERROR(INDEX(PMIS_Trade_Notes!$F$2:$F$40,20),""))</f>
        <v>• 22T-701 new enclosure elevation shows APC UPS, two PDU L5-30 input / NEMA 5-20 output units, 120V outlet UPS, 120V outlet PDU, network switch, 48-port Cat6A patch panel and Fiber LIU. Verify circuit source, receptacle type, grounding/bonding and labels.
• Existing 103 elevation shows APC UPS, Cisco switch, SERTEX utility service, legacy patch equipment and Fiber LIU on wall; verify source circuits, UPS status, and transition requirements before disconnect/removal.</v>
      </c>
      <c r="E70" s="339" t="str">
        <f>IF($A70="","",IFERROR(INDEX(PMIS_Trade_Notes!$G$2:$G$40,20),""))</f>
        <v>• 22T-701 identifies TR01-102-1: 6 WAO total, 96 WAO available, 93% expansion capacity, 7 total port quantities, and 8 total ports with 10% allowance. Provide new wall-mount 12RU TE cabinet and 10 new Cat6A cross-connect cables from existing TE to new TE location.
• Existing Room 103 contains APC UPS, Cisco switch, SERTEX utility service, legacy Ortronics 24-port patch panel, Fiber LIU on wall and ports 1-24 to Bldg 19 ports 73-96. Field verify all active services and B19 handoff.</v>
      </c>
      <c r="F70" s="339" t="str">
        <f>IF($A70="","",IFERROR(INDEX(PMIS_Trade_Notes!$H$2:$H$40,20),""))</f>
        <v>• Building 22 does not appear to create a new full TR door/PACS package. Verify any existing cameras/security devices in Break Room 102 and ensure no camera angle or VMS integration is disrupted.
• Verify security/access conditions and whether any legacy security equipment is present at existing TE location.</v>
      </c>
      <c r="G70" s="339" t="str">
        <f>IF($A70="","",IFERROR(INDEX(PMIS_Trade_Notes!$I$2:$I$40,20),""))</f>
        <v>• High: Existing conditions for new Break Room 102 TE and existing Room 103 TE not field verified — Perform existing conditions survey with photos before mobilization
• Critical: Existing equipment in 103 may remain active during transfer to new TE in 102 — Document active services, protect in place, identify OIT cutover windows, phasing, rollback path and temporary utilities
• Medium: Break Room 102 use may conflict with wall-mount TE access and clearances — Verify wall backing, enclosure clearances, working space, furniture/occupant impacts and owner acceptance
• High: No mechanical scope, but TE/UPS/network equipment may add heat load to Break Room 102 — Verify heat load, room ventilation, equipment clearances and owner acceptance before energizing enclosure
• High: UPS/PDU/receptacle source and grounding/bonding not verified — Verify circuit source, receptacle type, UPS/PDU load, grounding bar, bonding and labels
• High: 139 feet of cable tray/pathway requires coordination despite small port count — Verify route, supports, seismic bracing, 40% fill, penetrations, light fixtures and coordination drawings before install</v>
      </c>
      <c r="H70" s="339" t="str">
        <f>IF($A70="","",IFERROR(INDEX(PMIS_Trade_Notes!$J$2:$J$40,20),""))</f>
        <v>• B22-Q1 — Confirm final scope: new wall-mount TE enclosure in Break Room 102 and existing Room 103 transition only? [Open] Impact: Room inventory or PMIS mapping could miss scope
• B22-Q2 — What active services are currently fed from existing Room 103 equipment? [Open] Impact: Potential communications/security outage
• B22-Q3 — What is the approved power source, receptacle type and circuit capacity for the new APC UPS/PDU in Room 102? [Open] Impact: Electrical readiness unknown
• B22-Q4 — Is Break Room 102 HVAC/ambient condition acceptable for a wall-mount TE with UPS/PDU/network switch? [Open] Impact: Heat/load risk after mechanical scope excluded
• B22-Q5 — Are existing cameras/security devices in Building 22 protected and retained with no VMS/PACS changes? [Open] Impact: Security continuity unclear
• B22-Q6 — Are all 139 feet of cable tray route, sleeves, supports and firestopping details field verified? [Open] Impact: Install delay or firestop gap</v>
      </c>
      <c r="I70" s="339"/>
      <c r="J70" s="339"/>
      <c r="K70" s="339"/>
      <c r="L70" s="339"/>
      <c r="M70" s="339"/>
      <c r="N70" s="339"/>
      <c r="O70" s="339"/>
      <c r="P70" s="339"/>
    </row>
    <row r="71" spans="1:16" ht="26.4" customHeight="1">
      <c r="A71" s="339" t="str">
        <f>IFERROR(INDEX(PMIS_Trade_Notes!$A$2:$A$40,21),"")</f>
        <v>33</v>
      </c>
      <c r="B71" s="339" t="str">
        <f>IF($A71="","",IFERROR(INDEX(PMIS_Trade_Notes!$D$2:$D$40,21),""))</f>
        <v>• Cover sheet states Building 33 receives a Telecom Enclosure and mechanical/fire protection scope is excluded. Still verify firestopping of rated penetrations, 4-inch sleeve, wall/floor openings, and life-safety device impacts.
• Existing Tel Closet; verify protection-in-place and firestopping after cable transfer or reuse.</v>
      </c>
      <c r="C71" s="339" t="str">
        <f>IF($A71="","",IFERROR(INDEX(PMIS_Trade_Notes!$E$2:$E$40,21),""))</f>
        <v>• Cover sheet states mechanical scope is excluded. Verify whether Office B23 ambient conditions are acceptable for wall-mount TE/UPS/PDU/network equipment.
• Existing B17 enlarged plan identifies an existing indoor AC unit. Verify operation during cutover and determine whether active legacy equipment remains after transfer to B23.</v>
      </c>
      <c r="D71" s="339" t="str">
        <f>IF($A71="","",IFERROR(INDEX(PMIS_Trade_Notes!$F$2:$F$40,21),""))</f>
        <v>• 33T-604 new enclosure elevation shows APC UPS, two PDU L5-30 input / NEMA 5-20 output units, 120V outlet UPS, 120V outlet PDU, network switch, 48-port Cat6A patch panel and Fiber LIU. Verify circuit source, receptacle type, grounding/bonding and labels.
• Existing B17 elevations show UPS on floor, Cisco switches, SERTEX utility service, legacy patch panels and Fiber LIU; verify source circuits, UPS status, and transition requirements before disconnect/removal.</v>
      </c>
      <c r="E71" s="339" t="str">
        <f>IF($A71="","",IFERROR(INDEX(PMIS_Trade_Notes!$G$2:$G$40,21),""))</f>
        <v>• 33T-701 identifies TE01-B23-1: 55 WAO total, 34 active ports per survey, 88 total ports per schedule, and 97 total ports with 10% allowance. Basement cable tray schedule totals 102 ft. Provide 10 new Cat6A cross-connect cables from existing TE to new TE location.
• Existing B17 rack elevations include Cisco switches, legacy 24/48-port patch panels, SERTEX utility service, legacy Fiber LIU, passive Fiber LIU/wall mount, UPS on floor and cross-building port references to Bldgs 3, 80 and 82.</v>
      </c>
      <c r="F71" s="339" t="str">
        <f>IF($A71="","",IFERROR(INDEX(PMIS_Trade_Notes!$H$2:$H$40,21),""))</f>
        <v>• Building 33 does not appear to create a new full TR door/PACS package. Verify existing cameras/security devices in B23 and ensure no camera angle or VMS integration is disrupted.
• Existing B17 enlarged plan identifies network door controller, keypad and equipment box; verify protection-in-place and whether any security equipment is relocated or recabled.</v>
      </c>
      <c r="G71" s="339" t="str">
        <f>IF($A71="","",IFERROR(INDEX(PMIS_Trade_Notes!$I$2:$I$40,21),""))</f>
        <v>• High: Existing conditions for new B23 TE and existing B17 Tel Closet not field verified — Perform existing conditions survey with photos before mobilization
• Critical: Existing equipment in B17 may remain active during transfer to new TE in B23 — Document active services, protect in place, identify OIT cutover windows, phasing, rollback path and temporary utilities
• Medium: Office B23 use may conflict with wall-mount TE access and clearances — Verify wall backing, enclosure clearances, working space, furniture/occupant impacts and owner acceptance
• High: No mechanical scope, but TE/UPS/network equipment may add heat load to Office B23 — Verify heat load, room ventilation, equipment clearances and owner acceptance before energizing enclosure
• High: UPS/PDU/receptacle source and grounding/bonding not verified — Verify circuit source, receptacle type, UPS/PDU load, grounding bar, bonding and labels
• High: 102 feet of basement cable tray/pathway requires coordination and firestop tracking — Verify route, supports, seismic bracing, 40% fill, penetrations, light fixtures and coordination drawings before install</v>
      </c>
      <c r="H71" s="339" t="str">
        <f>IF($A71="","",IFERROR(INDEX(PMIS_Trade_Notes!$J$2:$J$40,21),""))</f>
        <v>• B33-Q1 — Confirm final scope: new wall-mount TE enclosure in B23 and existing B17 transition only? [Open] Impact: Room inventory or PMIS mapping could miss scope
• B33-Q2 — What active services are currently fed from existing B17 equipment? [Open] Impact: Potential communications/security outage
• B33-Q3 — What is the approved power source, receptacle type and circuit capacity for the new APC UPS/PDU in B23? [Open] Impact: Electrical readiness unknown
• B33-Q4 — Is Office B23 HVAC/ambient condition acceptable for a wall-mount TE with UPS/PDU/network switch? [Open] Impact: Heat/load risk after mechanical scope excluded
• B33-Q5 — Are existing cameras/security devices in Building 33 protected and retained with no VMS/PACS disruption? [Open] Impact: Security continuity unclear
• B33-Q6 — Are all 102 feet of cable tray route, sleeves, supports and firestopping details field verified? [Open] Impact: Install delay or firestop gap</v>
      </c>
      <c r="I71" s="339"/>
      <c r="J71" s="339"/>
      <c r="K71" s="339"/>
      <c r="L71" s="339"/>
      <c r="M71" s="339"/>
      <c r="N71" s="339"/>
      <c r="O71" s="339"/>
      <c r="P71" s="339"/>
    </row>
    <row r="72" spans="1:16" ht="26.4" customHeight="1">
      <c r="A72" s="339" t="str">
        <f>IFERROR(INDEX(PMIS_Trade_Notes!$A$2:$A$40,22),"")</f>
        <v>61</v>
      </c>
      <c r="B72" s="339" t="str">
        <f>IF($A72="","",IFERROR(INDEX(PMIS_Trade_Notes!$D$2:$D$40,22),""))</f>
        <v>• Dedicated TR scope includes fire protection drawings. Verify sprinkler modifications, fire alarm devices, clean-agent 2A:10B:C FEC within 75 ft, rated penetrations, and temporary firestopping.
• Verify sprinkler/fire alarm modifications, clean-agent FEC location, penetrations, cable tray/riser openings, and final UL firestop systems.
• Verify second-level TR sprinkler/fire alarm modifications, clean-agent FEC location, vertical riser penetrations, and firestopping.
• Existing demarc/server rooms may remain active; verify protection-in-place, FA/FP continuity, and no unsealed penetrations after cabling work.</v>
      </c>
      <c r="C72" s="339" t="str">
        <f>IF($A72="","",IFERROR(INDEX(PMIS_Trade_Notes!$E$2:$E$40,22),""))</f>
        <v>• Mechanical sheets identify dedicated split-system cooling with BACnet adapter mounted adjacent to unit in telecom room. Confirm capacity, emergency source, condensate, disconnect, controls, and alarms.
• Mechanical/electrical plans identify IU-1-01/CU-1-01 for first-level TR. Confirm 24/7 operation, emergency/standby source and high-temp alarm.
• Mechanical/electrical plans identify IU-2-01/CU-2-01 for second-level TR. Confirm refrigerant route, condensate route, controls and alarm tie-in.
• Existing demarc/server equipment likely has existing cooling dependencies. Verify active equipment heat load, airflow, operational temperatures and whether any existing cooling is modified or protected.</v>
      </c>
      <c r="D72" s="339" t="str">
        <f>IF($A72="","",IFERROR(INDEX(PMIS_Trade_Notes!$F$2:$F$40,22),""))</f>
        <v>• Electrical enlarged plans and schedules identify rack receptacles, UPS circuits, PDUs, panelboards, SPD devices and dedicated cooling power for B13H-A. Verify B61-TRB13A/B source, LOTO and labels.
• Electrical schedules identify B61-TR124A/B and rack receptacles. Verify apparent room-name mismatch with RM137B rack receptacles in schedules.
• Electrical schedules identify B61-TR226A/B, rack receptacles, CU-2-01 and SPD requirements. Verify source circuits and labels.
• Existing rack inventory includes APC UPS/PDU and server/demarc equipment. Electrical one-line/schedules list B61-TR137AA/AB and PD-B61-TR137 panels; verify active sources and transition impact.</v>
      </c>
      <c r="E72" s="339" t="str">
        <f>IF($A72="","",IFERROR(INDEX(PMIS_Trade_Notes!$G$2:$G$40,22),""))</f>
        <v>• 61T-701: 88 WAO total, 74 active ports, 129 scheduled ports, 142 with 10% allowance. Rack ID TR01-B13H-A-1. Basement cable tray included in 890 ft basement total.
• 61T-701: first-level Room 124 / Rack ID TR01-124-1. Schedule data runs across first-level outlets. Include labels, Fiber LIU, Cat6A patch panels, UPS/PDU and VA/OIT acceptance.
• 61T-702: 109 WAO total, 126 active ports, 156 scheduled ports, 172 with 10% allowance. Rack ID TR01-226-1. Verify second-level cable tray and riser penetrations.
• 61T-402/606/607 inventory existing demarc/server racks and equipment. Protect active systems, coordinate cutover, preserve labels, document equipment remaining in service.</v>
      </c>
      <c r="F72" s="339" t="str">
        <f>IF($A72="","",IFERROR(INDEX(PMIS_Trade_Notes!$H$2:$H$40,22),""))</f>
        <v>• Telecom plans call for wall-mounted CCTV at TRs and PACS for TR doors. Verify camera, controller, CR/RX/DC/ES/MD, and VMS/PACS integration.
• Verify TR door hardware and access control, CCTV camera, network door controller and integration.
• Verify second-level TR access control, CCTV camera, door hardware, and VMS/PACS integration.
• Existing PACS/equipment racks are referenced. Verify existing security devices protected-in-place and any new recabling or integration scope.</v>
      </c>
      <c r="G72" s="339" t="str">
        <f>IF($A72="","",IFERROR(INDEX(PMIS_Trade_Notes!$I$2:$I$40,22),""))</f>
        <v>• High: Existing conditions and active equipment across B13H-A, 124, 226 and 137/137A not field verified — Perform existing conditions survey with photos and active-service inventory before mobilization
• High: Hazardous material abatement plans exist for first and second levels — Coordinate IH/abatement review before penetrations, wall/ceiling work, cabling or mechanical/electrical installation
• Critical: Existing server/demarc equipment may remain active during cutover — Document active services, service provider circuits, rack inventory, OIT windows, temporary utilities and rollback path
• Critical: Dedicated cooling sequence, emergency power, condensate, BACnet and alarms not verified — Confirm IU/CU-0/1/2 power source, condensate, controls, BACnet adapter, thermostat and high-temp alarm
• Critical: Panel source, UPS/PDU and rack receptacle coordination could delay energization — Verify B61-TRB13A/B, B61-TR124A/B, B61-TR226A/B, B61-TR137AA/AB, PD panels, SPDs and load measurements
• High: Large cable tray scope creates coordination and firestop risk — Verify 1,966 ft cable tray route, supports, seismic bracing, 40% fill, MEP conflicts, sleeves and final firestop assemblies</v>
      </c>
      <c r="H72" s="339" t="str">
        <f>IF($A72="","",IFERROR(INDEX(PMIS_Trade_Notes!$J$2:$J$40,22),""))</f>
        <v>• B61-Q1 — Confirm final telecom room list and PMIS mapping: B13H-A, 124, 226 and existing 137/137A demarc/server rooms? [Open] Impact: Room inventory could miss scope
• B61-Q2 — What active services and circuits are currently housed in Room 137/137A? [Open] Impact: Potential outage/cutover risk
• B61-Q3 — Are B61-TR137AA/AB panel references tied to Room 137 or a schedule naming mismatch for Room 124? [Open] Impact: Electrical PMIS mapping risk
• B61-Q4 — Are IU/CU-0-01, 1-01 and 2-01 on emergency/backup power and dedicated to the TRs they serve? [Open] Impact: Cooling continuity unclear
• B61-Q5 — Where are clean-agent/CO2 FEC cabinets located within 75 ft of each new TR? [Open] Impact: Life-safety acceptance risk
• B61-Q6 — Are rack UPS/PDU circuits, SPDs, labels, load measurements and LOTO requirements approved for all TR panelboards? [Open] Impact: Electrical readiness unknown</v>
      </c>
      <c r="I72" s="339"/>
      <c r="J72" s="339"/>
      <c r="K72" s="339"/>
      <c r="L72" s="339"/>
      <c r="M72" s="339"/>
      <c r="N72" s="339"/>
      <c r="O72" s="339"/>
      <c r="P72" s="339"/>
    </row>
    <row r="73" spans="1:16" ht="26.4" customHeight="1">
      <c r="A73" s="339" t="str">
        <f>IFERROR(INDEX(PMIS_Trade_Notes!$A$2:$A$40,23),"")</f>
        <v>62</v>
      </c>
      <c r="B73" s="339" t="str">
        <f>IF($A73="","",IFERROR(INDEX(PMIS_Trade_Notes!$D$2:$D$40,23),""))</f>
        <v>• Verify</v>
      </c>
      <c r="C73" s="339" t="str">
        <f>IF($A73="","",IFERROR(INDEX(PMIS_Trade_Notes!$E$2:$E$40,23),""))</f>
        <v>• Verify</v>
      </c>
      <c r="D73" s="339" t="str">
        <f>IF($A73="","",IFERROR(INDEX(PMIS_Trade_Notes!$F$2:$F$40,23),""))</f>
        <v>• Verify</v>
      </c>
      <c r="E73" s="339" t="str">
        <f>IF($A73="","",IFERROR(INDEX(PMIS_Trade_Notes!$G$2:$G$40,23),""))</f>
        <v>• Verify</v>
      </c>
      <c r="F73" s="339" t="str">
        <f>IF($A73="","",IFERROR(INDEX(PMIS_Trade_Notes!$H$2:$H$40,23),""))</f>
        <v>• No security / pacs / cctv items captured for this building.</v>
      </c>
      <c r="G73" s="339" t="str">
        <f>IF($A73="","",IFERROR(INDEX(PMIS_Trade_Notes!$I$2:$I$40,23),""))</f>
        <v>• High: Cooling redundancy / emergency power not verified — Confirm power path for cooling, controls, condensate pump
• High: Firestopping condition unknown — Survey penetrations and temporary/permanent firestop plan
• Medium: Existing room conditions undocumented — Create photo record before construction begins
• High: Condensate leak risk near IT equipment — Verify condensate routing and alarms</v>
      </c>
      <c r="H73" s="339" t="str">
        <f>IF($A73="","",IFERROR(INDEX(PMIS_Trade_Notes!$J$2:$J$40,23),""))</f>
        <v>• B62-Q1 — Are cooling units emergency powered? [Open] Impact: Cannot confirm continuity of operations
• B62-Q2 — Are future rack loads included in HVAC sizing? [Open] Impact: Cooling may be undersized after expansion
• B62-Q3 — Is extinguisher location identified within 75 feet? [Open] Impact: Life safety / acceptance risk
• B62-Q4 — Are all penetrations fully documented and firestopped? [Open] Impact: Fire/smoke spread risk</v>
      </c>
      <c r="I73" s="339"/>
      <c r="J73" s="339"/>
      <c r="K73" s="339"/>
      <c r="L73" s="339"/>
      <c r="M73" s="339"/>
      <c r="N73" s="339"/>
      <c r="O73" s="339"/>
      <c r="P73" s="339"/>
    </row>
    <row r="74" spans="1:16" ht="26.4" customHeight="1">
      <c r="A74" s="339" t="str">
        <f>IFERROR(INDEX(PMIS_Trade_Notes!$A$2:$A$40,24),"")</f>
        <v>70</v>
      </c>
      <c r="B74" s="339" t="str">
        <f>IF($A74="","",IFERROR(INDEX(PMIS_Trade_Notes!$D$2:$D$40,24),""))</f>
        <v>• Verify</v>
      </c>
      <c r="C74" s="339" t="str">
        <f>IF($A74="","",IFERROR(INDEX(PMIS_Trade_Notes!$E$2:$E$40,24),""))</f>
        <v>• Verify</v>
      </c>
      <c r="D74" s="339" t="str">
        <f>IF($A74="","",IFERROR(INDEX(PMIS_Trade_Notes!$F$2:$F$40,24),""))</f>
        <v>• Verify</v>
      </c>
      <c r="E74" s="339" t="str">
        <f>IF($A74="","",IFERROR(INDEX(PMIS_Trade_Notes!$G$2:$G$40,24),""))</f>
        <v>• Verify</v>
      </c>
      <c r="F74" s="339" t="str">
        <f>IF($A74="","",IFERROR(INDEX(PMIS_Trade_Notes!$H$2:$H$40,24),""))</f>
        <v>• No security / pacs / cctv items captured for this building.</v>
      </c>
      <c r="G74" s="339" t="str">
        <f>IF($A74="","",IFERROR(INDEX(PMIS_Trade_Notes!$I$2:$I$40,24),""))</f>
        <v>• High: Cooling emergency power / continuity not verified — Confirm power path for cooling, controls, BACnet adapter, and condensate pump
• High: 1-hour rated/smoke-rated TR envelope and penetrations not field verified — Survey walls, doors, sleeves, trays, firestop, and head-of-wall conditions
• Medium: Existing basement service conditions may constrain routing and access — Document existing utilities, clearances, and phasing around active systems
• High: Existing TR/service equipment transfer could affect active operations — Require phasing plan and maintain analog/low-voltage systems operational
• High: Condensate leak risk near IT equipment — Verify condensate routing, insulation, pump power, and alarms</v>
      </c>
      <c r="H74" s="339" t="str">
        <f>IF($A74="","",IFERROR(INDEX(PMIS_Trade_Notes!$J$2:$J$40,24),""))</f>
        <v>• B70-Q1 — Are cooling units and controls on emergency/backup power? [Open] Impact: Cannot confirm continuity of operations
• B70-Q2 — Are future rack loads included in HVAC sizing for B27, 125A, and 262A? [Open] Impact: Cooling may be undersized after expansion
• B70-Q3 — Are extinguisher cabinet locations identified within 75 feet of each TR? [Open] Impact: Acceptance / life safety risk
• B70-Q4 — Are all wall/floor penetrations and speed sleeves shown and firestopped? [Open] Impact: Fire/smoke spread risk
• B70-Q5 — What phasing is required to keep existing low-voltage/analog systems operational? [Open] Impact: Potential communications interruption</v>
      </c>
      <c r="I74" s="339"/>
      <c r="J74" s="339"/>
      <c r="K74" s="339"/>
      <c r="L74" s="339"/>
      <c r="M74" s="339"/>
      <c r="N74" s="339"/>
      <c r="O74" s="339"/>
      <c r="P74" s="339"/>
    </row>
    <row r="75" spans="1:16" ht="26.4" customHeight="1">
      <c r="A75" s="339" t="str">
        <f>IFERROR(INDEX(PMIS_Trade_Notes!$A$2:$A$40,25),"")</f>
        <v>78</v>
      </c>
      <c r="B75" s="339" t="str">
        <f>IF($A75="","",IFERROR(INDEX(PMIS_Trade_Notes!$D$2:$D$40,25),""))</f>
        <v>• Full fire protection scope included. Verify sprinkler modifications, fire alarm devices, clean-agent 2A:10B:C FEC within 75 ft, and rated penetrations.
• Verify FP/FA modifications, FEC location, temporary firestopping and final UL systems.
• Verify first-level TR sprinkler/FA work, FEC location and cable tray penetrations.
• Verify second-level TR sprinkler/FA work, FEC location, vertical riser penetrations and firestopping.
• Verify third-level TR fire protection/fire alarm coordination and firestop work.</v>
      </c>
      <c r="C75" s="339" t="str">
        <f>IF($A75="","",IFERROR(INDEX(PMIS_Trade_Notes!$E$2:$E$40,25),""))</f>
        <v>• Mechanical sheets included for basement. Verify dedicated cooling equipment, capacity, condensate, emergency source, controls/BACnet and high-temperature alarm.
• Verify dedicated cooling and relationship to B30/B35 telecom buildout.
• Verify first-level TR cooling, controls, emergency power and alarm tie-in.
• Verify second-level TR cooling, condensate route and 24/7 operation.
• Verify third-level TR cooling and control/alarm integration.</v>
      </c>
      <c r="D75" s="339" t="str">
        <f>IF($A75="","",IFERROR(INDEX(PMIS_Trade_Notes!$F$2:$F$40,25),""))</f>
        <v>• Rack elevations identify new rack UPS/PDU and future rack. Verify panelboard/source, SPD, rack receptacles, PDU feeds, labels, load measurement and LOTO.
• Verify rack UPS/PDU source, spare/future rack provisions and grounding/bonding.
• Verify first-level rack receptacles, UPS/PDU, panel sources, SPDs and labeling.
• Verify second-level rack receptacles, UPS/PDU, panel sources, SPDs and labeling.
• Verify third-level rack receptacles for two racks, UPS/PDU, panel sources and labels.</v>
      </c>
      <c r="E75" s="339" t="str">
        <f>IF($A75="","",IFERROR(INDEX(PMIS_Trade_Notes!$G$2:$G$40,25),""))</f>
        <v>• 78_78AT-701: 210 WAO total, 23 active ports, 311 scheduled ports, 342 with allowance; rack IDs TR01-B30-1/-2. Basement cable tray total 1,702 ft.
• 78_78AT-702: 53 WAO total, 23 active ports, 64 scheduled ports, 70 with allowance. Confirm rack ID/room relation and active services.
• 78_78AT-702/703: 301 WAO total, 388 active ports, 404 scheduled ports, 444 with allowance. Large active port count; high cutover risk.
• 78_78AT-703/704: 256 WAO total, 153 active ports, 348 scheduled ports, 383 with allowance. Verify second-level test records and riser labels.
• 78_78AT-704: 158 WAO total, 163 active ports, 289 scheduled ports, 318 with allowance. Rack IDs TR01-342-1/-2.</v>
      </c>
      <c r="F75" s="339" t="str">
        <f>IF($A75="","",IFERROR(INDEX(PMIS_Trade_Notes!$H$2:$H$40,25),""))</f>
        <v>• TR scope includes wall-mounted CCTV cameras and PACS for TR doors. Verify CR/RX/DC/ES/MD, controller and VMS integration.
• Verify PACS/CCTV integration and door hardware coordination.
• Verify first-level TR PACS/CCTV and VMS integration.
• Verify second-level TR PACS/CCTV and VMS integration.
• Verify third-level TR PACS/CCTV and VMS integration.</v>
      </c>
      <c r="G75" s="339" t="str">
        <f>IF($A75="","",IFERROR(INDEX(PMIS_Trade_Notes!$I$2:$I$40,25),""))</f>
        <v>• High: Existing conditions and active equipment across six TRs and existing telecom rooms not field verified — Perform detailed room-by-room existing condition survey with photos and active-service inventory
• High: Hazardous material abatement plans exist for basement and third level — Coordinate IH/abatement review before penetrations, wall/ceiling work, cabling or MEP installation
• Critical: Existing telecom equipment may remain active during cutover — Document active services, OIT windows, rack inventory, temporary utilities and rollback plan
• Critical: Dedicated cooling sequence, emergency power, condensate and alarms not verified — Confirm HVAC equipment serving each TR, emergency source, condensate, controls/BACnet and high-temp alarms
• Critical: Panel source, UPS/PDU and rack receptacle coordination could delay energization — Verify telecom panelboards, breakers, rack receptacles, UPS/PDU sources, SPDs, labels and LOTO requirements
• High: Large cable tray scope creates coordination and firestop risk — Verify 4,849 ft cable tray route, supports, seismic bracing, 40% fill, MEP conflicts, sleeves and final firestop assemblies</v>
      </c>
      <c r="H75" s="339" t="str">
        <f>IF($A75="","",IFERROR(INDEX(PMIS_Trade_Notes!$J$2:$J$40,25),""))</f>
        <v>• B78-Q1 — Confirm final telecom room list and PMIS mapping: B30, B35, 1232, 227A, 342, 401 plus existing rooms 15E/1234/353/308A/408A? [Open] Impact: Room inventory could miss scope
• B78-Q2 — What active services currently remain in each existing telecom room/photo reference location? [Open] Impact: Potential outage/cutover risk
• B78-Q3 — Are Room 1232 and existing Room 1234 separate rooms or naming/mapping references for the same telecom space? [Open] Impact: PMIS mapping risk
• B78-Q4 — Which dedicated cooling units serve each TR and are they on emergency/backup power? [Open] Impact: Cooling continuity unclear
• B78-Q5 — Where are clean-agent/CO2 FEC cabinets located within 75 ft of each new TR? [Open] Impact: Life-safety acceptance risk
• B78-Q6 — Are rack UPS/PDU circuits, SPDs, labels, load measurements and LOTO requirements approved for all TR panelboards? [Open] Impact: Electrical readiness unknown</v>
      </c>
      <c r="I75" s="339"/>
      <c r="J75" s="339"/>
      <c r="K75" s="339"/>
      <c r="L75" s="339"/>
      <c r="M75" s="339"/>
      <c r="N75" s="339"/>
      <c r="O75" s="339"/>
      <c r="P75" s="339"/>
    </row>
    <row r="76" spans="1:16" ht="26.4" customHeight="1">
      <c r="A76" s="339" t="str">
        <f>IFERROR(INDEX(PMIS_Trade_Notes!$A$2:$A$40,26),"")</f>
        <v>80</v>
      </c>
      <c r="B76" s="339" t="str">
        <f>IF($A76="","",IFERROR(INDEX(PMIS_Trade_Notes!$D$2:$D$40,26),""))</f>
        <v>• Full fire protection scope included. Verify sprinkler modifications, fire alarm devices, clean-agent 2A:10B:C FEC within 75 ft, rated wall/floor penetrations, and temporary firestopping during cable pulls.
• Existing telecom closet/room; verify fire alarm/sprinkler protection-in-place and seal removed/reused penetrations after cutover.</v>
      </c>
      <c r="C76" s="339" t="str">
        <f>IF($A76="","",IFERROR(INDEX(PMIS_Trade_Notes!$E$2:$E$40,26),""))</f>
        <v>• Mechanical/electrical drawings show IU-1-01 in Telecom Room 102 and CU-1-01 outdoor unit. Confirm capacity, emergency/standby source, BACnet interface, thermostat/control point, condensate pump/path, disconnects, and high-temperature alarm.
• Existing telecom room/closet may remain active during cutover. Verify existing environmental condition and whether any active equipment remains after migration to Room 102.</v>
      </c>
      <c r="D76" s="339" t="str">
        <f>IF($A76="","",IFERROR(INDEX(PMIS_Trade_Notes!$F$2:$F$40,26),""))</f>
        <v>• Electrical plans/schedules identify B80-TR102A fed from BUS-B80-MDP and B80-TR102B fed from BUS-B80-E1, with rack receptacles, normal/emergency circuits, CU-1-01, SPD requirements and 30-day load measurement requirements.
• Existing rack/equipment area includes APC floor UPS and legacy telecom power. Verify source circuits, active equipment, UPS status, and transfer requirements before disconnect/removal.</v>
      </c>
      <c r="E76" s="339" t="str">
        <f>IF($A76="","",IFERROR(INDEX(PMIS_Trade_Notes!$G$2:$G$40,26),""))</f>
        <v>• 80T-701 identifies RM102 with 117 WAO total, 98 active ports per survey, 195 total ports per schedule, and 215 total ports with 10% allowance. Rack IDs include TR01-102-1 and TR01-102-2; rack elevation shows 1 new rack plus future rack with switches, Cat6A patch panels, Cat5e patch panel, Fiber LIU, UPS and PDU.
• Existing rack elevation shows Cisco switches, legacy optical Fiber LIU on wall, multiple legacy Ortronics 24/48-port patch panels, legacy Cat5e 24-port patch panel, and APC floor UPS. Contractor must transfer existing devices to new rack and protect active services.</v>
      </c>
      <c r="F76" s="339" t="str">
        <f>IF($A76="","",IFERROR(INDEX(PMIS_Trade_Notes!$H$2:$H$40,26),""))</f>
        <v>• Electrical/telecom plans show access-control scope and camera 102-CAM-1. Verify CR/RX/DC/ES/MD devices, controller, electric strike, camera/VMS integration, and door hardware coordination.
• Verify existing security/PACS equipment conditions and whether any existing camera/security device is protected, recabled, or removed during cutover.</v>
      </c>
      <c r="G76" s="339" t="str">
        <f>IF($A76="","",IFERROR(INDEX(PMIS_Trade_Notes!$I$2:$I$40,26),""))</f>
        <v>• High: Existing conditions for Room 102 and existing 127A/126 not field verified — Perform existing conditions survey with photos before mobilization
• Critical: Existing telecom equipment may remain active during transfer to Room 102 — Document active services, protect in place, identify OIT cutover windows, phasing and rollback plan
• High: Room-number mismatch between Tel Closet 127A and photo/rack reference Room 126/127-A — Track both IDs in PMIS and confirm field room signage/owner mapping before punch list and turnover
• Critical: Dedicated cooling emergency power, condensate, BACnet and alarms not verified — Confirm IU-1-01/CU-1-01 power source, condensate route, controls, BACnet adapter, thermostat and high-temp alarm
• High: B80-TR102A/B UPS/PDU and panel source coordination could delay energization — Verify panel sources BUS-B80-MDP and BUS-B80-E1, breakers, receptacles, SPD, labels, load measurement and LOTO needs
• High: 811 feet of cable tray/pathway requires coordination and firestop tracking — Verify route, supports, seismic bracing, 40% fill, penetrations, lighting/HVAC conflicts and firestop assemblies</v>
      </c>
      <c r="H76" s="339" t="str">
        <f>IF($A76="","",IFERROR(INDEX(PMIS_Trade_Notes!$J$2:$J$40,26),""))</f>
        <v>• B80-Q1 — Confirm final telecom scope: new Room 102 with existing 127A/126 transition only? [Open] Impact: Room inventory could miss scope
• B80-Q2 — What active services are currently fed from existing Room 127A/126 equipment? [Open] Impact: Potential communications/security outage
• B80-Q3 — Are Room 127A and Room 126 the same telecom room, or separate locations? [Open] Impact: PMIS mapping and turnover risk
• B80-Q4 — Is IU-1-01/CU-1-01 on emergency/backup power and dedicated to Room 102? [Open] Impact: Cooling continuity unclear
• B80-Q5 — Where is the clean-agent/CO2 extinguisher cabinet located within 75 ft of Room 102? [Open] Impact: Life-safety acceptance risk
• B80-Q6 — Are B80-TR102A/B sources, rack receptacles, SPDs, circuit labels and load measurements approved? [Open] Impact: Electrical readiness unknown</v>
      </c>
      <c r="I76" s="339"/>
      <c r="J76" s="339"/>
      <c r="K76" s="339"/>
      <c r="L76" s="339"/>
      <c r="M76" s="339"/>
      <c r="N76" s="339"/>
      <c r="O76" s="339"/>
      <c r="P76" s="339"/>
    </row>
    <row r="77" spans="1:16" ht="26.4" customHeight="1">
      <c r="A77" s="339" t="str">
        <f>IFERROR(INDEX(PMIS_Trade_Notes!$A$2:$A$40,27),"")</f>
        <v>82</v>
      </c>
      <c r="B77" s="339" t="str">
        <f>IF($A77="","",IFERROR(INDEX(PMIS_Trade_Notes!$D$2:$D$40,27),""))</f>
        <v>• Cover sheet states Building 82 receives a Telecom Enclosure and fire protection scope is excluded. Still verify rated penetrations, 4-inch sleeve, wall/floor openings, temporary firestopping, and life-safety device impacts.
• Existing telecom room; verify protection-in-place and firestopping after cable transfer or reuse.</v>
      </c>
      <c r="C77" s="339" t="str">
        <f>IF($A77="","",IFERROR(INDEX(PMIS_Trade_Notes!$E$2:$E$40,27),""))</f>
        <v>• Mechanical and electrical drawings show IU-1-01 in/near Telecom Room 102 and CU-1-01 outdoor unit. Mechanical notes call for BACnet adapter mounted adjacent to unit in telecom room. Confirm capacity, emergency/standby source, condensate pump/path, disconnects, controls, and high-temp alarm.
• Existing telecom room may remain active during cutover. Verify existing environmental conditions and whether active equipment remains after transfer to Room 102.</v>
      </c>
      <c r="D77" s="339" t="str">
        <f>IF($A77="","",IFERROR(INDEX(PMIS_Trade_Notes!$F$2:$F$40,27),""))</f>
        <v>• Electrical plans/schedules identify TE receptacle, CU-1-01, B82-MDP and B82-P-EMER sources, with SPD devices integral to new telecom panelboards. Verify receptacle type, grounding/bonding, emergency source, labels, and circuit loading.
• Existing rack/equipment area includes APC floor UPS and legacy telecom power. Verify source circuits, active equipment, UPS status, and transfer requirements before disconnect/removal.</v>
      </c>
      <c r="E77" s="339" t="str">
        <f>IF($A77="","",IFERROR(INDEX(PMIS_Trade_Notes!$G$2:$G$40,27),""))</f>
        <v>• 82T-701 identifies RM102 with 26 WAO total, 31 active ports per survey, 36 total ports per schedule, and 40 total ports with 10% allowance. Rack ID TR01-102-01. Cable tray schedule totals 278 ft on first level. New enclosure includes APC UPS, two PDUs, network switch, Cat6A patch panel and Fiber LIU.
• Existing B01-A elevations identify Cisco switches, cable management, two Ortronics 24-port patch panels with 11 and 6 used, existing patch panels and APC floor UPS. Field verify active services and transfer plan to new TE.</v>
      </c>
      <c r="F77" s="339" t="str">
        <f>IF($A77="","",IFERROR(INDEX(PMIS_Trade_Notes!$H$2:$H$40,27),""))</f>
        <v>• Building 82 appears to create a TE enclosure rather than a full TR door/PACS package. Verify existing cameras/security devices in Room 102 and ensure no camera angle or VMS integration is disrupted.
• Keynotes indicate existing cameras are to be retained and re-used. Verify security/access conditions and whether any legacy security equipment is present at existing telecom room.</v>
      </c>
      <c r="G77" s="339" t="str">
        <f>IF($A77="","",IFERROR(INDEX(PMIS_Trade_Notes!$I$2:$I$40,27),""))</f>
        <v>• High: Existing conditions for new Room 102 TE and existing B01-A not field verified — Perform existing conditions survey with photos before mobilization
• Critical: Existing equipment in B01-A may remain active during transfer to new TE in 102 — Document active services, protect in place, identify OIT cutover windows, phasing, rollback path and temporary utilities
• High: Cover sheet says TE, but mechanical cooling is included for Room 102 — Confirm scope interpretation with VA/AE and ensure cooling is commissioned if it serves active TE equipment
• Critical: Dedicated cooling emergency power, condensate, BACnet and alarms not verified — Confirm IU-1-01/CU-1-01 power source, condensate, controls, BACnet adapter, thermostat and high-temp alarm
• High: UPS/PDU/receptacle source and grounding/bonding not verified — Verify circuit source, receptacle type, UPS/PDU load, grounding bar, bonding, SPD and labels
• High: 278 feet of first-level cable tray/pathway requires coordination and firestop tracking — Verify route, supports, seismic bracing, 40% fill, penetrations, light/HVAC conflicts and firestop assemblies</v>
      </c>
      <c r="H77" s="339" t="str">
        <f>IF($A77="","",IFERROR(INDEX(PMIS_Trade_Notes!$J$2:$J$40,27),""))</f>
        <v>• B82-Q1 — Confirm final scope: new 12RU wall-mount TE enclosure in Room 102 and existing B01-A transition only? [Open] Impact: Room inventory or PMIS mapping could miss scope
• B82-Q2 — What active services are currently fed from existing B01-A equipment? [Open] Impact: Potential communications/security outage
• B82-Q3 — Is Room 102 officially a TE-only scope or a conditioned telecom room with mechanical support? [Open] Impact: Scope and commissioning responsibility unclear
• B82-Q4 — Is IU-1-01/CU-1-01 on emergency/backup power and dedicated to Room 102? [Open] Impact: Cooling continuity unclear
• B82-Q5 — What is the approved power source, receptacle type and circuit capacity for the new APC UPS/PDU in Room 102? [Open] Impact: Electrical readiness unknown
• B82-Q6 — Are all 278 feet of cable tray route, sleeves, supports and firestopping details field verified? [Open] Impact: Install delay or firestop gap</v>
      </c>
      <c r="I77" s="339"/>
      <c r="J77" s="339"/>
      <c r="K77" s="339"/>
      <c r="L77" s="339"/>
      <c r="M77" s="339"/>
      <c r="N77" s="339"/>
      <c r="O77" s="339"/>
      <c r="P77" s="339"/>
    </row>
    <row r="78" spans="1:16" ht="26.4" customHeight="1">
      <c r="A78" s="339" t="str">
        <f>IFERROR(INDEX(PMIS_Trade_Notes!$A$2:$A$40,28),"")</f>
        <v>BCH</v>
      </c>
      <c r="B78" s="339" t="str">
        <f>IF($A78="","",IFERROR(INDEX(PMIS_Trade_Notes!$D$2:$D$40,28),""))</f>
        <v>• Cover sheet states BCH receives a Telecom Enclosure and mechanical/fire protection scope has been excluded. Still verify existing life-safety protection, rated penetrations, 4-inch sleeve fire caulk, temporary firestopping and abandoned penetration patching.
• TE-only scope does not appear to require new FEC/fire sprinkler work, but all wall/floor/ceiling penetrations must be sealed and rated assemblies maintained.</v>
      </c>
      <c r="C78" s="339" t="str">
        <f>IF($A78="","",IFERROR(INDEX(PMIS_Trade_Notes!$E$2:$E$40,28),""))</f>
        <v>• Cover sheet explicitly excludes mechanical scope. Verify existing room ambient conditions are acceptable for TE equipment and that no active network equipment will overheat.
• If the final scope is a 45RU new telecom room rather than a small TE, HVAC exclusion should be confirmed with VA/AE because telecom-room heat load may differ from TE assumptions.</v>
      </c>
      <c r="D78" s="339" t="str">
        <f>IF($A78="","",IFERROR(INDEX(PMIS_Trade_Notes!$F$2:$F$40,28),""))</f>
        <v>• Electrical plan includes first-level electrical work and notes for new wall-mount telecom enclosure, grounding/bonding and camera. Verify circuit source, receptacle type, UPS/PDU load, emergency source if required, grounding/bonding and labels.
• BCHT-604 shows 12RU TE equipment with APC UPS and PDUs and also a BCH 45RU new telecom room elevation. Confirm exact UPS/PDU/rack power requirement before acceptance.</v>
      </c>
      <c r="E78" s="339" t="str">
        <f>IF($A78="","",IFERROR(INDEX(PMIS_Trade_Notes!$G$2:$G$40,28),""))</f>
        <v>• BCHT-101 identifies telecom plan first level and enlarged Room 107. BCHT-604 identifies new telecom room/no existing elevations. There is no BCHT-701 schedule in the drawing index, so WAO/cable-tray totals must be field verified from plans and contractor coordination drawings.
• BCHT-604 identifies a 12RU TE elevation: APC UPS, two PDUs, network switch, 48-port Cat6A patch panel and Fiber LIU. Also shows BCH Crescent House Room 107 new telecom room elevation. Confirm governing rack/enclosure and labeling.</v>
      </c>
      <c r="F78" s="339" t="str">
        <f>IF($A78="","",IFERROR(INDEX(PMIS_Trade_Notes!$H$2:$H$40,28),""))</f>
        <v>• Telecom/electrical notes reference new IP-addressable camera with wall mount at 8'-6" A.F.F. and VMS integration. Verify whether PACS applies; TE buildings typically do not create full TR door/PACS scope.
• Verify existing camera/security conditions, protection-in-place, and any recabling or VMS integration required.</v>
      </c>
      <c r="G78" s="339" t="str">
        <f>IF($A78="","",IFERROR(INDEX(PMIS_Trade_Notes!$I$2:$I$40,28),""))</f>
        <v>• High: Existing conditions for Crescent House Room 107 not field verified — Perform existing conditions survey with photos before mobilization
• High: Mechanical and fire protection are excluded despite telecom/electronics installation — Verify existing environmental and life-safety conditions support TE equipment; confirm no dedicated HVAC/FP requirement applies
• High: Rack/elevation conflict: TE 12RU enclosure versus BCH Room 107 new telecom room elevation — Submit RFI/confirm with AE which elevation governs and map room/equipment in PMIS
• Critical: Active services and existing devices may require phasing/temporary service — Document active services, maintain existing service, use phasing plan, temporary utilities and OIT cutover windows
• High: UPS/PDU/receptacle source and grounding/bonding not verified — Verify circuit source, receptacle type, UPS/PDU load, grounding bar, bonding and labels
• High: Cable tray, sleeve and pathway quantities not scheduled in a BCHT-701 sheet — Require coordination drawings showing route, supports, fill, penetrations, sleeves and cable counts</v>
      </c>
      <c r="H78" s="339" t="str">
        <f>IF($A78="","",IFERROR(INDEX(PMIS_Trade_Notes!$J$2:$J$40,28),""))</f>
        <v>• BCH-Q1 — Confirm final BCH scope: Room 107 TE enclosure only, or a new telecom room/rack buildout? [Open] Impact: PMIS scope and acceptance criteria unclear
• BCH-Q2 — Why does BCHT-604 show a T78 12RU TE enclosure and a separate BCH Crescent House Room 107 new telecom room elevation? [Open] Impact: Rack/equipment mapping conflict
• BCH-Q3 — What active services currently serve Crescent House and where are existing terminations located? [Open] Impact: Cutover/outage risk
• BCH-Q4 — What is the approved power source, receptacle type and circuit capacity for the new UPS/PDU? [Open] Impact: Electrical readiness unknown
• BCH-Q5 — Is existing HVAC/ambient condition acceptable for TE/network equipment since mechanical scope is excluded? [Open] Impact: Heat/load risk
• BCH-Q6 — Are cable tray route, sleeve locations, supports and firestopping details shown/field verified without a BCHT-701 schedule? [Open] Impact: Install delay or firestop gap</v>
      </c>
      <c r="I78" s="339"/>
      <c r="J78" s="339"/>
      <c r="K78" s="339"/>
      <c r="L78" s="339"/>
      <c r="M78" s="339"/>
      <c r="N78" s="339"/>
      <c r="O78" s="339"/>
      <c r="P78" s="339"/>
    </row>
    <row r="79" spans="1:16" ht="26.4" customHeight="1">
      <c r="A79" s="339" t="str">
        <f>IFERROR(INDEX(PMIS_Trade_Notes!$A$2:$A$40,29),"")</f>
        <v>MCR</v>
      </c>
      <c r="B79" s="339" t="str">
        <f>IF($A79="","",IFERROR(INDEX(PMIS_Trade_Notes!$D$2:$D$40,29),""))</f>
        <v>• MCR has full fire protection scope including wet pipe and clean-agent fire suppression system. Verify preaction/clean-agent design, agent release interface, fire alarm matrix, detection, abort/release stations, room integrity and acceptance testing.
• Verify fiber entrance room protection, rated penetrations, firestopping, detector/strobe coverage and no gaps after cable tray installation.
• Verify sprinkler/clean-agent coverage around MDA equipment, fire alarm devices, rack clearance and final firestop assemblies.
• Verify clean-agent coverage, detector placement, alarm interfaces, and open cabinet airflow protection.
• Existing systems must remain protected during temporary fiber, umbilical cord and core relocation work. Verify no impairment without approved fire watch/impairment plan.</v>
      </c>
      <c r="C79" s="339" t="str">
        <f>IF($A79="","",IFERROR(INDEX(PMIS_Trade_Notes!$E$2:$E$40,29),""))</f>
        <v>• Telecom notes call for indoor computer room air conditioner (CRAC) units tied to building management system. Mechanical sheets included; verify redundant capacity, setpoints, humidity, condensate, controls, alarms and emergency power.
• UPS rooms/equipment require thermal load validation, ventilation, emergency power and alarm integration. Verify battery/UPS environmental requirements.
• Verify airflow/cold aisle/hot aisle assumptions, blanking panels, floor/ceiling distribution and temperature monitoring.
• Server cabinets and patch fields require stable 24/7 cooling and monitoring. Confirm no local hot spots at dense LIU/patch panel zones.
• During split-core temporary phase, existing MCR/server equipment remains active. Verify existing cooling remains in service until cutover and decommissioning are complete.</v>
      </c>
      <c r="D79" s="339" t="str">
        <f>IF($A79="","",IFERROR(INDEX(PMIS_Trade_Notes!$F$2:$F$40,29),""))</f>
        <v>• Electrical set includes site plan, enlarged MCR plans, one-lines and schedules. Verify switchboard/service, ATS/generator integration, normal/emergency/UPS distribution, grounding, lightning protection, SPD, load measurements and commissioning.
• MDA rack elevations include new 4-post floor cabinets, LIUs and network elements. Verify redundant A/B power feeds and PDU arrangements.
• HDA cabinets include server cabinet front/rear elevations with patch panels and active equipment. Confirm A/B feed separation, PDU mounting, load capacity and labels.
• Existing rack elevations identify multiple APC/Chatsworth/HP PDUs, APC Smart UPS and Eaton 9PX units. Verify what transfers, what stays, and temporary power during migration.
• New MCR is standalone critical infrastructure. Verify utility service, generator/ATS paths, emergency distribution, grounding electrode and ductbank/site electrical coordination.</v>
      </c>
      <c r="E79" s="339" t="str">
        <f>IF($A79="","",IFERROR(INDEX(PMIS_Trade_Notes!$G$2:$G$40,29),""))</f>
        <v>• MCRT-101 shows new MCR with MDA-A/B, HDA-A/B, UPS-A/B, cameras and fiber path legend. MCRT-701 shows 10 WAO total, 720 WAO available, 98.1% expansion capacity, 10 total ports with 20% allowance and 359 ft cable tray.
• MCRT-701 Data Device and Circuit Schedule - Fiber Entrance Room 1: outlets 31-A/B/C/D plus security devices 07-CAM-03/04/07/08/11; Rack ID TR01-031-1.
• MCRT-607: MDA A/B racks contain horizontal distribution LIUs, hybrid FOC, 48x Cat6A to HDA, and reserved LAN/spine/aggregation elements. Maintain A/B path separation.
• MCRT-608/609: HDA A/B include 48-port Cat6A patch panels, HD fiber LIUs, backbone side A/B LIU and server cabinet arrangements.
• Existing MCR rows 1-3 and B61 server cabinet transfer references are extensive. Maintain service using temporary fiber/umbilical cords and phased core relocation.</v>
      </c>
      <c r="F79" s="339" t="str">
        <f>IF($A79="","",IFERROR(INDEX(PMIS_Trade_Notes!$H$2:$H$40,29),""))</f>
        <v>• MCRT-101 identifies cameras 07-CAM-01 through 07-CAM-12 around the MCR. Telecom notes call for IP-addressable network cameras integrated into existing VMS and PACS/access-control systems including iSTAR Edge/Avigilon ACM controller.
• MCRT-701 includes security camera/data devices assigned to TR01-031-1. Confirm camera IDs, mounting, cabling, and VMS commissioning.
• Verify camera coverage, door/access points, VMS monitoring and access control zones for critical equipment.
• Verify coverage of HDA cabinets, doors, motion detection and any lockable cabinet/security requirements.
• Existing security systems must remain functional during transition; protect existing camera angles and access controls until final turnover.</v>
      </c>
      <c r="G79" s="339" t="str">
        <f>IF($A79="","",IFERROR(INDEX(PMIS_Trade_Notes!$I$2:$I$40,29),""))</f>
        <v>• Critical: MCR is a new standalone critical facility with 120-sheet multi-discipline scope — Use discipline-by-discipline pre-install checklist, coordination drawings, third-party inspections and commissioning tracker
• Critical: Existing MCR/server/core equipment transfer may interrupt hospital network operations — Require detailed OIT cutover plan, temporary fiber/umbilicals, rollback plan, VA activation windows and after-hours phasing
• Critical: A/B fiber path diversity and backbone commissioning not verified — Verify OSP/ISP Path A/B routing, no intermediate splices, test results, labeling and geographic diversity
• Critical: UPS-A/B, ATS/generator, panel source and PDU coordination could delay activation — Verify one-line, load banks, breaker settings, panel labels, generator/ATS tests, UPS start-up and A/B power mapping
• Critical: CRAC capacity, redundancy, condensate, BMS/FMS alarms and emergency power not verified — Confirm mechanical schedules, CRAC start-up, controls, alarm points, emergency source, environmental monitoring and hot/cold aisle performance
• Critical: Clean-agent/preaction/fire alarm interface and room integrity acceptance risk — Track clean-agent calculations, room integrity test, release/abort stations, FA matrix, sprinkler/preaction tests and AHJ/third-party acceptance</v>
      </c>
      <c r="H79" s="339" t="str">
        <f>IF($A79="","",IFERROR(INDEX(PMIS_Trade_Notes!$J$2:$J$40,29),""))</f>
        <v>• MCR-Q1 — Confirm final room naming and PMIS mapping: MCR Room 107, Fiber Entrance Room 031, Existing 107/137 server/MCR references. [Open] Impact: Room inventory and turnover mapping could be wrong
• MCR-Q2 — What existing core/server/rack equipment is being relocated from the existing MCR/server rooms, and what remains? [Open] Impact: Cutover and outage risk
• MCR-Q3 — What is the approved MCR activation sequence and required VA/OIT hold points? [Open] Impact: Schedule/cutover impact
• MCR-Q4 — Are UPS-A/B, generator/ATS and emergency power paths commissioned and mapped to each rack/PDU? [Open] Impact: Electrical readiness unknown
• MCR-Q5 — Are CRAC units fully commissioned with BMS/FMS alarms, redundancy and emergency power? [Open] Impact: Cooling continuity risk
• MCR-Q6 — Are clean-agent/preaction/fire alarm systems fully designed, tested and accepted? [Open] Impact: Life-safety acceptance risk</v>
      </c>
      <c r="I79" s="339"/>
      <c r="J79" s="339"/>
      <c r="K79" s="339"/>
      <c r="L79" s="339"/>
      <c r="M79" s="339"/>
      <c r="N79" s="339"/>
      <c r="O79" s="339"/>
      <c r="P79" s="339"/>
    </row>
    <row r="80" spans="1:16" ht="26.4" customHeight="1">
      <c r="A80" s="339" t="str">
        <f>IFERROR(INDEX(PMIS_Trade_Notes!$A$2:$A$40,30),"")</f>
        <v>SPEC</v>
      </c>
      <c r="B80" s="339" t="str">
        <f>IF($A80="","",IFERROR(INDEX(PMIS_Trade_Notes!$D$2:$D$40,30),""))</f>
        <v>• No fire / life safety items captured for this building.</v>
      </c>
      <c r="C80" s="339" t="str">
        <f>IF($A80="","",IFERROR(INDEX(PMIS_Trade_Notes!$E$2:$E$40,30),""))</f>
        <v>• No hvac / cooling items captured for this building.</v>
      </c>
      <c r="D80" s="339" t="str">
        <f>IF($A80="","",IFERROR(INDEX(PMIS_Trade_Notes!$F$2:$F$40,30),""))</f>
        <v>• No electrical / ups items captured for this building.</v>
      </c>
      <c r="E80" s="339" t="str">
        <f>IF($A80="","",IFERROR(INDEX(PMIS_Trade_Notes!$G$2:$G$40,30),""))</f>
        <v>• No telecom / fiber items captured for this building.</v>
      </c>
      <c r="F80" s="339" t="str">
        <f>IF($A80="","",IFERROR(INDEX(PMIS_Trade_Notes!$H$2:$H$40,30),""))</f>
        <v>• No security / pacs / cctv items captured for this building.</v>
      </c>
      <c r="G80" s="339" t="str">
        <f>IF($A80="","",IFERROR(INDEX(PMIS_Trade_Notes!$I$2:$I$40,30),""))</f>
        <v>• No owner risks items captured for this building.</v>
      </c>
      <c r="H80" s="339" t="str">
        <f>IF($A80="","",IFERROR(INDEX(PMIS_Trade_Notes!$J$2:$J$40,30),""))</f>
        <v>• No open questions items captured for this building.</v>
      </c>
      <c r="I80" s="339"/>
      <c r="J80" s="339"/>
      <c r="K80" s="339"/>
      <c r="L80" s="339"/>
      <c r="M80" s="339"/>
      <c r="N80" s="339"/>
      <c r="O80" s="339"/>
      <c r="P80" s="339"/>
    </row>
    <row r="81" spans="1:16">
      <c r="A81" s="339"/>
      <c r="B81" s="339"/>
      <c r="C81" s="339"/>
      <c r="D81" s="339"/>
      <c r="E81" s="339"/>
      <c r="F81" s="339"/>
      <c r="G81" s="339"/>
      <c r="H81" s="339"/>
      <c r="I81" s="339"/>
      <c r="J81" s="339"/>
      <c r="K81" s="339"/>
      <c r="L81" s="339"/>
      <c r="M81" s="339"/>
      <c r="N81" s="339"/>
      <c r="O81" s="339"/>
      <c r="P81" s="339"/>
    </row>
    <row r="82" spans="1:16">
      <c r="A82" s="339"/>
      <c r="B82" s="339"/>
      <c r="C82" s="339"/>
      <c r="D82" s="339"/>
      <c r="E82" s="339"/>
      <c r="F82" s="339"/>
      <c r="G82" s="339"/>
      <c r="H82" s="339"/>
      <c r="I82" s="339"/>
      <c r="J82" s="339"/>
      <c r="K82" s="339"/>
      <c r="L82" s="339"/>
      <c r="M82" s="339"/>
      <c r="N82" s="339"/>
      <c r="O82" s="339"/>
      <c r="P82" s="339"/>
    </row>
    <row r="83" spans="1:16" ht="13.8">
      <c r="A83" s="541" t="s">
        <v>6019</v>
      </c>
      <c r="B83" s="541"/>
      <c r="C83" s="541"/>
      <c r="D83" s="541"/>
      <c r="E83" s="541"/>
      <c r="F83" s="541"/>
      <c r="G83" s="541"/>
      <c r="H83" s="541"/>
      <c r="I83" s="541"/>
      <c r="J83" s="541"/>
      <c r="K83" s="541"/>
      <c r="L83" s="541"/>
      <c r="M83" s="541"/>
      <c r="N83" s="541"/>
      <c r="O83" s="541"/>
      <c r="P83" s="541"/>
    </row>
    <row r="84" spans="1:16">
      <c r="A84" s="536" t="s">
        <v>142</v>
      </c>
      <c r="B84" s="536" t="s">
        <v>161</v>
      </c>
      <c r="C84" s="536" t="s">
        <v>199</v>
      </c>
      <c r="D84" s="536" t="s">
        <v>871</v>
      </c>
      <c r="E84" s="536" t="s">
        <v>872</v>
      </c>
      <c r="F84" s="536" t="s">
        <v>874</v>
      </c>
      <c r="G84" s="536" t="s">
        <v>875</v>
      </c>
      <c r="H84" s="536" t="s">
        <v>5776</v>
      </c>
      <c r="I84" s="536"/>
      <c r="J84" s="536"/>
      <c r="K84" s="339"/>
      <c r="L84" s="339"/>
      <c r="M84" s="339"/>
      <c r="N84" s="339"/>
      <c r="O84" s="339"/>
      <c r="P84" s="339"/>
    </row>
    <row r="85" spans="1:16">
      <c r="A85" s="339" t="str">
        <f>IFERROR(INDEX(PMIS_Data!$A$3:$A$40,1),"")</f>
        <v>01</v>
      </c>
      <c r="B85" s="339">
        <f>IF($A85="","",IFERROR(INDEX(PMIS_Data!$H$3:$H$40,1),""))</f>
        <v>0</v>
      </c>
      <c r="C85" s="339">
        <f>IF($A85="","",IFERROR(INDEX(PMIS_Data!$I$3:$I$40,1),""))</f>
        <v>0</v>
      </c>
      <c r="D85" s="529">
        <f>IF($A85="","",IFERROR(INDEX(PMIS_Data!$S$3:$S$40,1),""))</f>
        <v>0</v>
      </c>
      <c r="E85" s="529">
        <f>IF($A85="","",IFERROR(INDEX(PMIS_Data!$T$3:$T$40,1),""))</f>
        <v>0</v>
      </c>
      <c r="F85" s="529" t="str">
        <f>IF($A85="","",IFERROR(INDEX(PMIS_Data!$V$3:$V$40,1),""))</f>
        <v>Monitor</v>
      </c>
      <c r="G85" s="339" t="str">
        <f>IF($A85="","",IFERROR(INDEX(PMIS_Data!$W$3:$W$40,1),""))</f>
        <v>Review</v>
      </c>
      <c r="H85" s="339" t="str">
        <f ca="1">IF($A85="","",IFERROR(INDEX(PMIS_Data!$AN$3:$AN$40,1),""))</f>
        <v>🔴 ATTENTION</v>
      </c>
      <c r="I85" s="339"/>
      <c r="J85" s="339"/>
      <c r="K85" s="339"/>
      <c r="L85" s="339"/>
      <c r="M85" s="339"/>
      <c r="N85" s="339"/>
      <c r="O85" s="339"/>
      <c r="P85" s="339"/>
    </row>
    <row r="86" spans="1:16">
      <c r="A86" s="339" t="str">
        <f>IFERROR(INDEX(PMIS_Data!$A$3:$A$40,2),"")</f>
        <v>02</v>
      </c>
      <c r="B86" s="339">
        <f>IF($A86="","",IFERROR(INDEX(PMIS_Data!$H$3:$H$40,2),""))</f>
        <v>0</v>
      </c>
      <c r="C86" s="339">
        <f>IF($A86="","",IFERROR(INDEX(PMIS_Data!$I$3:$I$40,2),""))</f>
        <v>0</v>
      </c>
      <c r="D86" s="529">
        <f>IF($A86="","",IFERROR(INDEX(PMIS_Data!$S$3:$S$40,2),""))</f>
        <v>0</v>
      </c>
      <c r="E86" s="529">
        <f>IF($A86="","",IFERROR(INDEX(PMIS_Data!$T$3:$T$40,2),""))</f>
        <v>0</v>
      </c>
      <c r="F86" s="529" t="str">
        <f>IF($A86="","",IFERROR(INDEX(PMIS_Data!$V$3:$V$40,2),""))</f>
        <v>Monitor</v>
      </c>
      <c r="G86" s="339" t="str">
        <f>IF($A86="","",IFERROR(INDEX(PMIS_Data!$W$3:$W$40,2),""))</f>
        <v>Review</v>
      </c>
      <c r="H86" s="339" t="str">
        <f ca="1">IF($A86="","",IFERROR(INDEX(PMIS_Data!$AN$3:$AN$40,2),""))</f>
        <v>🔴 ATTENTION</v>
      </c>
      <c r="I86" s="339"/>
      <c r="J86" s="339"/>
      <c r="K86" s="339"/>
      <c r="L86" s="339"/>
      <c r="M86" s="339"/>
      <c r="N86" s="339"/>
      <c r="O86" s="339"/>
      <c r="P86" s="339"/>
    </row>
    <row r="87" spans="1:16">
      <c r="A87" s="339" t="str">
        <f>IFERROR(INDEX(PMIS_Data!$A$3:$A$40,3),"")</f>
        <v>03</v>
      </c>
      <c r="B87" s="339">
        <f>IF($A87="","",IFERROR(INDEX(PMIS_Data!$H$3:$H$40,3),""))</f>
        <v>0</v>
      </c>
      <c r="C87" s="339">
        <f>IF($A87="","",IFERROR(INDEX(PMIS_Data!$I$3:$I$40,3),""))</f>
        <v>0</v>
      </c>
      <c r="D87" s="529">
        <f>IF($A87="","",IFERROR(INDEX(PMIS_Data!$S$3:$S$40,3),""))</f>
        <v>0</v>
      </c>
      <c r="E87" s="529">
        <f>IF($A87="","",IFERROR(INDEX(PMIS_Data!$T$3:$T$40,3),""))</f>
        <v>0</v>
      </c>
      <c r="F87" s="529" t="str">
        <f>IF($A87="","",IFERROR(INDEX(PMIS_Data!$V$3:$V$40,3),""))</f>
        <v>Monitor</v>
      </c>
      <c r="G87" s="339" t="str">
        <f>IF($A87="","",IFERROR(INDEX(PMIS_Data!$W$3:$W$40,3),""))</f>
        <v>Review</v>
      </c>
      <c r="H87" s="339" t="str">
        <f ca="1">IF($A87="","",IFERROR(INDEX(PMIS_Data!$AN$3:$AN$40,3),""))</f>
        <v>🔴 ATTENTION</v>
      </c>
      <c r="I87" s="339"/>
      <c r="J87" s="339"/>
      <c r="K87" s="339"/>
      <c r="L87" s="339"/>
      <c r="M87" s="339"/>
      <c r="N87" s="339"/>
      <c r="O87" s="339"/>
      <c r="P87" s="339"/>
    </row>
    <row r="88" spans="1:16">
      <c r="A88" s="339" t="str">
        <f>IFERROR(INDEX(PMIS_Data!$A$3:$A$40,4),"")</f>
        <v>04</v>
      </c>
      <c r="B88" s="339">
        <f>IF($A88="","",IFERROR(INDEX(PMIS_Data!$H$3:$H$40,4),""))</f>
        <v>0</v>
      </c>
      <c r="C88" s="339">
        <f>IF($A88="","",IFERROR(INDEX(PMIS_Data!$I$3:$I$40,4),""))</f>
        <v>0</v>
      </c>
      <c r="D88" s="529">
        <f>IF($A88="","",IFERROR(INDEX(PMIS_Data!$S$3:$S$40,4),""))</f>
        <v>0</v>
      </c>
      <c r="E88" s="529">
        <f>IF($A88="","",IFERROR(INDEX(PMIS_Data!$T$3:$T$40,4),""))</f>
        <v>0</v>
      </c>
      <c r="F88" s="529" t="str">
        <f>IF($A88="","",IFERROR(INDEX(PMIS_Data!$V$3:$V$40,4),""))</f>
        <v>Monitor</v>
      </c>
      <c r="G88" s="339" t="str">
        <f>IF($A88="","",IFERROR(INDEX(PMIS_Data!$W$3:$W$40,4),""))</f>
        <v>Review</v>
      </c>
      <c r="H88" s="339" t="str">
        <f ca="1">IF($A88="","",IFERROR(INDEX(PMIS_Data!$AN$3:$AN$40,4),""))</f>
        <v>🔴 ATTENTION</v>
      </c>
      <c r="I88" s="339"/>
      <c r="J88" s="339"/>
      <c r="K88" s="339"/>
      <c r="L88" s="339"/>
      <c r="M88" s="339"/>
      <c r="N88" s="339"/>
      <c r="O88" s="339"/>
      <c r="P88" s="339"/>
    </row>
    <row r="89" spans="1:16">
      <c r="A89" s="339" t="str">
        <f>IFERROR(INDEX(PMIS_Data!$A$3:$A$40,5),"")</f>
        <v>05</v>
      </c>
      <c r="B89" s="339">
        <f>IF($A89="","",IFERROR(INDEX(PMIS_Data!$H$3:$H$40,5),""))</f>
        <v>0</v>
      </c>
      <c r="C89" s="339">
        <f>IF($A89="","",IFERROR(INDEX(PMIS_Data!$I$3:$I$40,5),""))</f>
        <v>0</v>
      </c>
      <c r="D89" s="529">
        <f>IF($A89="","",IFERROR(INDEX(PMIS_Data!$S$3:$S$40,5),""))</f>
        <v>0</v>
      </c>
      <c r="E89" s="529">
        <f>IF($A89="","",IFERROR(INDEX(PMIS_Data!$T$3:$T$40,5),""))</f>
        <v>0</v>
      </c>
      <c r="F89" s="529" t="str">
        <f>IF($A89="","",IFERROR(INDEX(PMIS_Data!$V$3:$V$40,5),""))</f>
        <v>Monitor</v>
      </c>
      <c r="G89" s="339" t="str">
        <f>IF($A89="","",IFERROR(INDEX(PMIS_Data!$W$3:$W$40,5),""))</f>
        <v>Review</v>
      </c>
      <c r="H89" s="339" t="str">
        <f ca="1">IF($A89="","",IFERROR(INDEX(PMIS_Data!$AN$3:$AN$40,5),""))</f>
        <v>🔴 ATTENTION</v>
      </c>
      <c r="I89" s="339"/>
      <c r="J89" s="339"/>
      <c r="K89" s="339"/>
      <c r="L89" s="339"/>
      <c r="M89" s="339"/>
      <c r="N89" s="339"/>
      <c r="O89" s="339"/>
      <c r="P89" s="339"/>
    </row>
    <row r="90" spans="1:16">
      <c r="A90" s="339" t="str">
        <f>IFERROR(INDEX(PMIS_Data!$A$3:$A$40,6),"")</f>
        <v>06</v>
      </c>
      <c r="B90" s="339">
        <f>IF($A90="","",IFERROR(INDEX(PMIS_Data!$H$3:$H$40,6),""))</f>
        <v>0</v>
      </c>
      <c r="C90" s="339">
        <f>IF($A90="","",IFERROR(INDEX(PMIS_Data!$I$3:$I$40,6),""))</f>
        <v>0</v>
      </c>
      <c r="D90" s="529">
        <f>IF($A90="","",IFERROR(INDEX(PMIS_Data!$S$3:$S$40,6),""))</f>
        <v>0</v>
      </c>
      <c r="E90" s="529">
        <f>IF($A90="","",IFERROR(INDEX(PMIS_Data!$T$3:$T$40,6),""))</f>
        <v>0</v>
      </c>
      <c r="F90" s="529" t="str">
        <f>IF($A90="","",IFERROR(INDEX(PMIS_Data!$V$3:$V$40,6),""))</f>
        <v>Monitor</v>
      </c>
      <c r="G90" s="339" t="str">
        <f>IF($A90="","",IFERROR(INDEX(PMIS_Data!$W$3:$W$40,6),""))</f>
        <v>Review</v>
      </c>
      <c r="H90" s="339" t="str">
        <f ca="1">IF($A90="","",IFERROR(INDEX(PMIS_Data!$AN$3:$AN$40,6),""))</f>
        <v>🔴 ATTENTION</v>
      </c>
      <c r="I90" s="339"/>
      <c r="J90" s="339"/>
      <c r="K90" s="339"/>
      <c r="L90" s="339"/>
      <c r="M90" s="339"/>
      <c r="N90" s="339"/>
      <c r="O90" s="339"/>
      <c r="P90" s="339"/>
    </row>
    <row r="91" spans="1:16">
      <c r="A91" s="339" t="str">
        <f>IFERROR(INDEX(PMIS_Data!$A$3:$A$40,7),"")</f>
        <v>07</v>
      </c>
      <c r="B91" s="339">
        <f>IF($A91="","",IFERROR(INDEX(PMIS_Data!$H$3:$H$40,7),""))</f>
        <v>0</v>
      </c>
      <c r="C91" s="339">
        <f>IF($A91="","",IFERROR(INDEX(PMIS_Data!$I$3:$I$40,7),""))</f>
        <v>0</v>
      </c>
      <c r="D91" s="529">
        <f>IF($A91="","",IFERROR(INDEX(PMIS_Data!$S$3:$S$40,7),""))</f>
        <v>0</v>
      </c>
      <c r="E91" s="529">
        <f>IF($A91="","",IFERROR(INDEX(PMIS_Data!$T$3:$T$40,7),""))</f>
        <v>0</v>
      </c>
      <c r="F91" s="529" t="str">
        <f>IF($A91="","",IFERROR(INDEX(PMIS_Data!$V$3:$V$40,7),""))</f>
        <v>Monitor</v>
      </c>
      <c r="G91" s="339" t="str">
        <f>IF($A91="","",IFERROR(INDEX(PMIS_Data!$W$3:$W$40,7),""))</f>
        <v>Review</v>
      </c>
      <c r="H91" s="339" t="str">
        <f ca="1">IF($A91="","",IFERROR(INDEX(PMIS_Data!$AN$3:$AN$40,7),""))</f>
        <v>🔴 ATTENTION</v>
      </c>
      <c r="I91" s="339"/>
      <c r="J91" s="339"/>
      <c r="K91" s="339"/>
      <c r="L91" s="339"/>
      <c r="M91" s="339"/>
      <c r="N91" s="339"/>
      <c r="O91" s="339"/>
      <c r="P91" s="339"/>
    </row>
    <row r="92" spans="1:16">
      <c r="A92" s="339" t="str">
        <f>IFERROR(INDEX(PMIS_Data!$A$3:$A$40,8),"")</f>
        <v>08</v>
      </c>
      <c r="B92" s="339">
        <f>IF($A92="","",IFERROR(INDEX(PMIS_Data!$H$3:$H$40,8),""))</f>
        <v>0</v>
      </c>
      <c r="C92" s="339">
        <f>IF($A92="","",IFERROR(INDEX(PMIS_Data!$I$3:$I$40,8),""))</f>
        <v>0</v>
      </c>
      <c r="D92" s="529">
        <f>IF($A92="","",IFERROR(INDEX(PMIS_Data!$S$3:$S$40,8),""))</f>
        <v>0</v>
      </c>
      <c r="E92" s="529">
        <f>IF($A92="","",IFERROR(INDEX(PMIS_Data!$T$3:$T$40,8),""))</f>
        <v>0</v>
      </c>
      <c r="F92" s="529" t="str">
        <f>IF($A92="","",IFERROR(INDEX(PMIS_Data!$V$3:$V$40,8),""))</f>
        <v>Monitor</v>
      </c>
      <c r="G92" s="339" t="str">
        <f>IF($A92="","",IFERROR(INDEX(PMIS_Data!$W$3:$W$40,8),""))</f>
        <v>Review</v>
      </c>
      <c r="H92" s="339" t="str">
        <f ca="1">IF($A92="","",IFERROR(INDEX(PMIS_Data!$AN$3:$AN$40,8),""))</f>
        <v>🔴 ATTENTION</v>
      </c>
      <c r="I92" s="339"/>
      <c r="J92" s="339"/>
      <c r="K92" s="339"/>
      <c r="L92" s="339"/>
      <c r="M92" s="339"/>
      <c r="N92" s="339"/>
      <c r="O92" s="339"/>
      <c r="P92" s="339"/>
    </row>
    <row r="93" spans="1:16">
      <c r="A93" s="339" t="str">
        <f>IFERROR(INDEX(PMIS_Data!$A$3:$A$40,9),"")</f>
        <v>09</v>
      </c>
      <c r="B93" s="339">
        <f>IF($A93="","",IFERROR(INDEX(PMIS_Data!$H$3:$H$40,9),""))</f>
        <v>0</v>
      </c>
      <c r="C93" s="339">
        <f>IF($A93="","",IFERROR(INDEX(PMIS_Data!$I$3:$I$40,9),""))</f>
        <v>0</v>
      </c>
      <c r="D93" s="529">
        <f>IF($A93="","",IFERROR(INDEX(PMIS_Data!$S$3:$S$40,9),""))</f>
        <v>0</v>
      </c>
      <c r="E93" s="529">
        <f>IF($A93="","",IFERROR(INDEX(PMIS_Data!$T$3:$T$40,9),""))</f>
        <v>0</v>
      </c>
      <c r="F93" s="529" t="str">
        <f>IF($A93="","",IFERROR(INDEX(PMIS_Data!$V$3:$V$40,9),""))</f>
        <v>Monitor</v>
      </c>
      <c r="G93" s="339" t="str">
        <f>IF($A93="","",IFERROR(INDEX(PMIS_Data!$W$3:$W$40,9),""))</f>
        <v>Review</v>
      </c>
      <c r="H93" s="339" t="str">
        <f ca="1">IF($A93="","",IFERROR(INDEX(PMIS_Data!$AN$3:$AN$40,9),""))</f>
        <v>🔴 ATTENTION</v>
      </c>
      <c r="I93" s="339"/>
      <c r="J93" s="339"/>
      <c r="K93" s="339"/>
      <c r="L93" s="339"/>
      <c r="M93" s="339"/>
      <c r="N93" s="339"/>
      <c r="O93" s="339"/>
      <c r="P93" s="339"/>
    </row>
    <row r="94" spans="1:16">
      <c r="A94" s="339" t="str">
        <f>IFERROR(INDEX(PMIS_Data!$A$3:$A$40,10),"")</f>
        <v>10</v>
      </c>
      <c r="B94" s="339">
        <f>IF($A94="","",IFERROR(INDEX(PMIS_Data!$H$3:$H$40,10),""))</f>
        <v>0</v>
      </c>
      <c r="C94" s="339">
        <f>IF($A94="","",IFERROR(INDEX(PMIS_Data!$I$3:$I$40,10),""))</f>
        <v>0</v>
      </c>
      <c r="D94" s="529">
        <f>IF($A94="","",IFERROR(INDEX(PMIS_Data!$S$3:$S$40,10),""))</f>
        <v>0</v>
      </c>
      <c r="E94" s="529">
        <f>IF($A94="","",IFERROR(INDEX(PMIS_Data!$T$3:$T$40,10),""))</f>
        <v>0</v>
      </c>
      <c r="F94" s="529" t="str">
        <f>IF($A94="","",IFERROR(INDEX(PMIS_Data!$V$3:$V$40,10),""))</f>
        <v>Monitor</v>
      </c>
      <c r="G94" s="339" t="str">
        <f>IF($A94="","",IFERROR(INDEX(PMIS_Data!$W$3:$W$40,10),""))</f>
        <v>Review</v>
      </c>
      <c r="H94" s="339" t="str">
        <f ca="1">IF($A94="","",IFERROR(INDEX(PMIS_Data!$AN$3:$AN$40,10),""))</f>
        <v>🔴 ATTENTION</v>
      </c>
      <c r="I94" s="339"/>
      <c r="J94" s="339"/>
      <c r="K94" s="339"/>
      <c r="L94" s="339"/>
      <c r="M94" s="339"/>
      <c r="N94" s="339"/>
      <c r="O94" s="339"/>
      <c r="P94" s="339"/>
    </row>
    <row r="95" spans="1:16">
      <c r="A95" s="339" t="str">
        <f>IFERROR(INDEX(PMIS_Data!$A$3:$A$40,11),"")</f>
        <v>12</v>
      </c>
      <c r="B95" s="339">
        <f>IF($A95="","",IFERROR(INDEX(PMIS_Data!$H$3:$H$40,11),""))</f>
        <v>0</v>
      </c>
      <c r="C95" s="339">
        <f>IF($A95="","",IFERROR(INDEX(PMIS_Data!$I$3:$I$40,11),""))</f>
        <v>0</v>
      </c>
      <c r="D95" s="339">
        <f>IF($A95="","",IFERROR(INDEX(PMIS_Data!$S$3:$S$40,11),""))</f>
        <v>0</v>
      </c>
      <c r="E95" s="339">
        <f>IF($A95="","",IFERROR(INDEX(PMIS_Data!$T$3:$T$40,11),""))</f>
        <v>0</v>
      </c>
      <c r="F95" s="339" t="str">
        <f>IF($A95="","",IFERROR(INDEX(PMIS_Data!$V$3:$V$40,11),""))</f>
        <v>Monitor</v>
      </c>
      <c r="G95" s="339" t="str">
        <f>IF($A95="","",IFERROR(INDEX(PMIS_Data!$W$3:$W$40,11),""))</f>
        <v>Review</v>
      </c>
      <c r="H95" s="339" t="str">
        <f ca="1">IF($A95="","",IFERROR(INDEX(PMIS_Data!$AN$3:$AN$40,11),""))</f>
        <v>🔴 ATTENTION</v>
      </c>
      <c r="I95" s="339"/>
      <c r="J95" s="339"/>
      <c r="K95" s="339"/>
      <c r="L95" s="339"/>
      <c r="M95" s="339"/>
      <c r="N95" s="339"/>
      <c r="O95" s="339"/>
      <c r="P95" s="339"/>
    </row>
    <row r="96" spans="1:16">
      <c r="A96" s="339" t="str">
        <f>IFERROR(INDEX(PMIS_Data!$A$3:$A$40,12),"")</f>
        <v>13</v>
      </c>
      <c r="B96" s="339">
        <f>IF($A96="","",IFERROR(INDEX(PMIS_Data!$H$3:$H$40,12),""))</f>
        <v>0</v>
      </c>
      <c r="C96" s="339">
        <f>IF($A96="","",IFERROR(INDEX(PMIS_Data!$I$3:$I$40,12),""))</f>
        <v>0</v>
      </c>
      <c r="D96" s="339">
        <f>IF($A96="","",IFERROR(INDEX(PMIS_Data!$S$3:$S$40,12),""))</f>
        <v>0</v>
      </c>
      <c r="E96" s="339">
        <f>IF($A96="","",IFERROR(INDEX(PMIS_Data!$T$3:$T$40,12),""))</f>
        <v>0</v>
      </c>
      <c r="F96" s="339" t="str">
        <f>IF($A96="","",IFERROR(INDEX(PMIS_Data!$V$3:$V$40,12),""))</f>
        <v>Monitor</v>
      </c>
      <c r="G96" s="339" t="str">
        <f>IF($A96="","",IFERROR(INDEX(PMIS_Data!$W$3:$W$40,12),""))</f>
        <v>Review</v>
      </c>
      <c r="H96" s="339" t="str">
        <f ca="1">IF($A96="","",IFERROR(INDEX(PMIS_Data!$AN$3:$AN$40,12),""))</f>
        <v>🔴 ATTENTION</v>
      </c>
      <c r="I96" s="339"/>
      <c r="J96" s="339"/>
      <c r="K96" s="339"/>
      <c r="L96" s="339"/>
      <c r="M96" s="339"/>
      <c r="N96" s="339"/>
      <c r="O96" s="339"/>
      <c r="P96" s="339"/>
    </row>
    <row r="97" spans="1:16">
      <c r="A97" s="339" t="str">
        <f>IFERROR(INDEX(PMIS_Data!$A$3:$A$40,13),"")</f>
        <v>14</v>
      </c>
      <c r="B97" s="339">
        <f>IF($A97="","",IFERROR(INDEX(PMIS_Data!$H$3:$H$40,13),""))</f>
        <v>0</v>
      </c>
      <c r="C97" s="339">
        <f>IF($A97="","",IFERROR(INDEX(PMIS_Data!$I$3:$I$40,13),""))</f>
        <v>0</v>
      </c>
      <c r="D97" s="339">
        <f>IF($A97="","",IFERROR(INDEX(PMIS_Data!$S$3:$S$40,13),""))</f>
        <v>0</v>
      </c>
      <c r="E97" s="339">
        <f>IF($A97="","",IFERROR(INDEX(PMIS_Data!$T$3:$T$40,13),""))</f>
        <v>0</v>
      </c>
      <c r="F97" s="339" t="str">
        <f>IF($A97="","",IFERROR(INDEX(PMIS_Data!$V$3:$V$40,13),""))</f>
        <v>Monitor</v>
      </c>
      <c r="G97" s="339" t="str">
        <f>IF($A97="","",IFERROR(INDEX(PMIS_Data!$W$3:$W$40,13),""))</f>
        <v>Review</v>
      </c>
      <c r="H97" s="339" t="str">
        <f ca="1">IF($A97="","",IFERROR(INDEX(PMIS_Data!$AN$3:$AN$40,13),""))</f>
        <v>🔴 ATTENTION</v>
      </c>
      <c r="I97" s="339"/>
      <c r="J97" s="339"/>
      <c r="K97" s="339"/>
      <c r="L97" s="339"/>
      <c r="M97" s="339"/>
      <c r="N97" s="339"/>
      <c r="O97" s="339"/>
      <c r="P97" s="339"/>
    </row>
    <row r="98" spans="1:16">
      <c r="A98" s="339" t="str">
        <f>IFERROR(INDEX(PMIS_Data!$A$3:$A$40,14),"")</f>
        <v>15</v>
      </c>
      <c r="B98" s="339">
        <f>IF($A98="","",IFERROR(INDEX(PMIS_Data!$H$3:$H$40,14),""))</f>
        <v>0</v>
      </c>
      <c r="C98" s="339">
        <f>IF($A98="","",IFERROR(INDEX(PMIS_Data!$I$3:$I$40,14),""))</f>
        <v>0</v>
      </c>
      <c r="D98" s="339">
        <f>IF($A98="","",IFERROR(INDEX(PMIS_Data!$S$3:$S$40,14),""))</f>
        <v>0</v>
      </c>
      <c r="E98" s="339">
        <f>IF($A98="","",IFERROR(INDEX(PMIS_Data!$T$3:$T$40,14),""))</f>
        <v>0</v>
      </c>
      <c r="F98" s="339" t="str">
        <f>IF($A98="","",IFERROR(INDEX(PMIS_Data!$V$3:$V$40,14),""))</f>
        <v>Monitor</v>
      </c>
      <c r="G98" s="339" t="str">
        <f>IF($A98="","",IFERROR(INDEX(PMIS_Data!$W$3:$W$40,14),""))</f>
        <v>Review</v>
      </c>
      <c r="H98" s="339" t="str">
        <f ca="1">IF($A98="","",IFERROR(INDEX(PMIS_Data!$AN$3:$AN$40,14),""))</f>
        <v>🔴 ATTENTION</v>
      </c>
      <c r="I98" s="339"/>
      <c r="J98" s="339"/>
      <c r="K98" s="339"/>
      <c r="L98" s="339"/>
      <c r="M98" s="339"/>
      <c r="N98" s="339"/>
      <c r="O98" s="339"/>
      <c r="P98" s="339"/>
    </row>
    <row r="99" spans="1:16">
      <c r="A99" s="339" t="str">
        <f>IFERROR(INDEX(PMIS_Data!$A$3:$A$40,15),"")</f>
        <v>16</v>
      </c>
      <c r="B99" s="339">
        <f>IF($A99="","",IFERROR(INDEX(PMIS_Data!$H$3:$H$40,15),""))</f>
        <v>0</v>
      </c>
      <c r="C99" s="339">
        <f>IF($A99="","",IFERROR(INDEX(PMIS_Data!$I$3:$I$40,15),""))</f>
        <v>0</v>
      </c>
      <c r="D99" s="339">
        <f>IF($A99="","",IFERROR(INDEX(PMIS_Data!$S$3:$S$40,15),""))</f>
        <v>0</v>
      </c>
      <c r="E99" s="339">
        <f>IF($A99="","",IFERROR(INDEX(PMIS_Data!$T$3:$T$40,15),""))</f>
        <v>0</v>
      </c>
      <c r="F99" s="339" t="str">
        <f>IF($A99="","",IFERROR(INDEX(PMIS_Data!$V$3:$V$40,15),""))</f>
        <v>Monitor</v>
      </c>
      <c r="G99" s="535" t="str">
        <f>IF($A99="","",IFERROR(INDEX(PMIS_Data!$W$3:$W$40,15),""))</f>
        <v>Review</v>
      </c>
      <c r="H99" s="339" t="str">
        <f ca="1">IF($A99="","",IFERROR(INDEX(PMIS_Data!$AN$3:$AN$40,15),""))</f>
        <v>🔴 ATTENTION</v>
      </c>
      <c r="I99" s="535"/>
      <c r="J99" s="339"/>
      <c r="K99" s="339"/>
      <c r="L99" s="339"/>
      <c r="M99" s="339"/>
      <c r="N99" s="339"/>
      <c r="O99" s="339"/>
      <c r="P99" s="339"/>
    </row>
    <row r="100" spans="1:16">
      <c r="A100" s="339" t="str">
        <f>IFERROR(INDEX(PMIS_Data!$A$3:$A$40,16),"")</f>
        <v>17</v>
      </c>
      <c r="B100" s="339">
        <f>IF($A100="","",IFERROR(INDEX(PMIS_Data!$H$3:$H$40,16),""))</f>
        <v>0</v>
      </c>
      <c r="C100" s="339">
        <f>IF($A100="","",IFERROR(INDEX(PMIS_Data!$I$3:$I$40,16),""))</f>
        <v>0</v>
      </c>
      <c r="D100" s="339">
        <f>IF($A100="","",IFERROR(INDEX(PMIS_Data!$S$3:$S$40,16),""))</f>
        <v>0</v>
      </c>
      <c r="E100" s="339">
        <f>IF($A100="","",IFERROR(INDEX(PMIS_Data!$T$3:$T$40,16),""))</f>
        <v>0</v>
      </c>
      <c r="F100" s="339" t="str">
        <f>IF($A100="","",IFERROR(INDEX(PMIS_Data!$V$3:$V$40,16),""))</f>
        <v>Monitor</v>
      </c>
      <c r="G100" s="535" t="str">
        <f>IF($A100="","",IFERROR(INDEX(PMIS_Data!$W$3:$W$40,16),""))</f>
        <v>Review</v>
      </c>
      <c r="H100" s="339" t="str">
        <f ca="1">IF($A100="","",IFERROR(INDEX(PMIS_Data!$AN$3:$AN$40,16),""))</f>
        <v>🔴 ATTENTION</v>
      </c>
      <c r="I100" s="535"/>
      <c r="J100" s="339"/>
      <c r="K100" s="339"/>
      <c r="L100" s="339"/>
      <c r="M100" s="339"/>
      <c r="N100" s="339"/>
      <c r="O100" s="339"/>
      <c r="P100" s="339"/>
    </row>
    <row r="101" spans="1:16">
      <c r="A101" s="339" t="str">
        <f>IFERROR(INDEX(PMIS_Data!$A$3:$A$40,17),"")</f>
        <v>18</v>
      </c>
      <c r="B101" s="339">
        <f>IF($A101="","",IFERROR(INDEX(PMIS_Data!$H$3:$H$40,17),""))</f>
        <v>0</v>
      </c>
      <c r="C101" s="339">
        <f>IF($A101="","",IFERROR(INDEX(PMIS_Data!$I$3:$I$40,17),""))</f>
        <v>0</v>
      </c>
      <c r="D101" s="339">
        <f>IF($A101="","",IFERROR(INDEX(PMIS_Data!$S$3:$S$40,17),""))</f>
        <v>0</v>
      </c>
      <c r="E101" s="339">
        <f>IF($A101="","",IFERROR(INDEX(PMIS_Data!$T$3:$T$40,17),""))</f>
        <v>0</v>
      </c>
      <c r="F101" s="339" t="str">
        <f>IF($A101="","",IFERROR(INDEX(PMIS_Data!$V$3:$V$40,17),""))</f>
        <v>Monitor</v>
      </c>
      <c r="G101" s="535" t="str">
        <f>IF($A101="","",IFERROR(INDEX(PMIS_Data!$W$3:$W$40,17),""))</f>
        <v>Review</v>
      </c>
      <c r="H101" s="339" t="str">
        <f ca="1">IF($A101="","",IFERROR(INDEX(PMIS_Data!$AN$3:$AN$40,17),""))</f>
        <v>🔴 ATTENTION</v>
      </c>
      <c r="I101" s="535"/>
      <c r="J101" s="339"/>
      <c r="K101" s="339"/>
      <c r="L101" s="339"/>
      <c r="M101" s="339"/>
      <c r="N101" s="339"/>
      <c r="O101" s="339"/>
      <c r="P101" s="339"/>
    </row>
    <row r="102" spans="1:16">
      <c r="A102" s="339" t="str">
        <f>IFERROR(INDEX(PMIS_Data!$A$3:$A$40,18),"")</f>
        <v>20</v>
      </c>
      <c r="B102" s="339">
        <f>IF($A102="","",IFERROR(INDEX(PMIS_Data!$H$3:$H$40,18),""))</f>
        <v>0</v>
      </c>
      <c r="C102" s="339">
        <f>IF($A102="","",IFERROR(INDEX(PMIS_Data!$I$3:$I$40,18),""))</f>
        <v>0</v>
      </c>
      <c r="D102" s="339">
        <f>IF($A102="","",IFERROR(INDEX(PMIS_Data!$S$3:$S$40,18),""))</f>
        <v>0</v>
      </c>
      <c r="E102" s="339">
        <f>IF($A102="","",IFERROR(INDEX(PMIS_Data!$T$3:$T$40,18),""))</f>
        <v>0</v>
      </c>
      <c r="F102" s="339" t="str">
        <f>IF($A102="","",IFERROR(INDEX(PMIS_Data!$V$3:$V$40,18),""))</f>
        <v>Monitor</v>
      </c>
      <c r="G102" s="535" t="str">
        <f>IF($A102="","",IFERROR(INDEX(PMIS_Data!$W$3:$W$40,18),""))</f>
        <v>Review</v>
      </c>
      <c r="H102" s="339" t="str">
        <f ca="1">IF($A102="","",IFERROR(INDEX(PMIS_Data!$AN$3:$AN$40,18),""))</f>
        <v>🔴 ATTENTION</v>
      </c>
      <c r="I102" s="535"/>
      <c r="J102" s="339"/>
      <c r="K102" s="339"/>
      <c r="L102" s="339"/>
      <c r="M102" s="339"/>
      <c r="N102" s="339"/>
      <c r="O102" s="339"/>
      <c r="P102" s="339"/>
    </row>
    <row r="103" spans="1:16">
      <c r="A103" s="339" t="str">
        <f>IFERROR(INDEX(PMIS_Data!$A$3:$A$40,19),"")</f>
        <v>21</v>
      </c>
      <c r="B103" s="339">
        <f>IF($A103="","",IFERROR(INDEX(PMIS_Data!$H$3:$H$40,19),""))</f>
        <v>0</v>
      </c>
      <c r="C103" s="339">
        <f>IF($A103="","",IFERROR(INDEX(PMIS_Data!$I$3:$I$40,19),""))</f>
        <v>0</v>
      </c>
      <c r="D103" s="339">
        <f>IF($A103="","",IFERROR(INDEX(PMIS_Data!$S$3:$S$40,19),""))</f>
        <v>0</v>
      </c>
      <c r="E103" s="339">
        <f>IF($A103="","",IFERROR(INDEX(PMIS_Data!$T$3:$T$40,19),""))</f>
        <v>0</v>
      </c>
      <c r="F103" s="339" t="str">
        <f>IF($A103="","",IFERROR(INDEX(PMIS_Data!$V$3:$V$40,19),""))</f>
        <v>Monitor</v>
      </c>
      <c r="G103" s="535" t="str">
        <f>IF($A103="","",IFERROR(INDEX(PMIS_Data!$W$3:$W$40,19),""))</f>
        <v>Review</v>
      </c>
      <c r="H103" s="339" t="str">
        <f ca="1">IF($A103="","",IFERROR(INDEX(PMIS_Data!$AN$3:$AN$40,19),""))</f>
        <v>🔴 ATTENTION</v>
      </c>
      <c r="I103" s="535"/>
      <c r="J103" s="339"/>
      <c r="K103" s="339"/>
      <c r="L103" s="339"/>
      <c r="M103" s="339"/>
      <c r="N103" s="339"/>
      <c r="O103" s="339"/>
      <c r="P103" s="339"/>
    </row>
    <row r="104" spans="1:16">
      <c r="A104" s="339" t="str">
        <f>IFERROR(INDEX(PMIS_Data!$A$3:$A$40,20),"")</f>
        <v>22</v>
      </c>
      <c r="B104" s="339">
        <f>IF($A104="","",IFERROR(INDEX(PMIS_Data!$H$3:$H$40,20),""))</f>
        <v>0</v>
      </c>
      <c r="C104" s="339">
        <f>IF($A104="","",IFERROR(INDEX(PMIS_Data!$I$3:$I$40,20),""))</f>
        <v>0</v>
      </c>
      <c r="D104" s="339">
        <f>IF($A104="","",IFERROR(INDEX(PMIS_Data!$S$3:$S$40,20),""))</f>
        <v>0</v>
      </c>
      <c r="E104" s="339">
        <f>IF($A104="","",IFERROR(INDEX(PMIS_Data!$T$3:$T$40,20),""))</f>
        <v>0</v>
      </c>
      <c r="F104" s="339" t="str">
        <f>IF($A104="","",IFERROR(INDEX(PMIS_Data!$V$3:$V$40,20),""))</f>
        <v>Monitor</v>
      </c>
      <c r="G104" s="535" t="str">
        <f>IF($A104="","",IFERROR(INDEX(PMIS_Data!$W$3:$W$40,20),""))</f>
        <v>Review</v>
      </c>
      <c r="H104" s="339" t="str">
        <f ca="1">IF($A104="","",IFERROR(INDEX(PMIS_Data!$AN$3:$AN$40,20),""))</f>
        <v>🔴 ATTENTION</v>
      </c>
      <c r="I104" s="535"/>
      <c r="J104" s="339"/>
      <c r="K104" s="339"/>
      <c r="L104" s="339"/>
      <c r="M104" s="339"/>
      <c r="N104" s="339"/>
      <c r="O104" s="339"/>
      <c r="P104" s="339"/>
    </row>
    <row r="105" spans="1:16">
      <c r="A105" s="339" t="str">
        <f>IFERROR(INDEX(PMIS_Data!$A$3:$A$40,21),"")</f>
        <v>33</v>
      </c>
      <c r="B105" s="339">
        <f>IF($A105="","",IFERROR(INDEX(PMIS_Data!$H$3:$H$40,21),""))</f>
        <v>0</v>
      </c>
      <c r="C105" s="339">
        <f>IF($A105="","",IFERROR(INDEX(PMIS_Data!$I$3:$I$40,21),""))</f>
        <v>0</v>
      </c>
      <c r="D105" s="339">
        <f>IF($A105="","",IFERROR(INDEX(PMIS_Data!$S$3:$S$40,21),""))</f>
        <v>0</v>
      </c>
      <c r="E105" s="339">
        <f>IF($A105="","",IFERROR(INDEX(PMIS_Data!$T$3:$T$40,21),""))</f>
        <v>0</v>
      </c>
      <c r="F105" s="339" t="str">
        <f>IF($A105="","",IFERROR(INDEX(PMIS_Data!$V$3:$V$40,21),""))</f>
        <v>Monitor</v>
      </c>
      <c r="G105" s="535" t="str">
        <f>IF($A105="","",IFERROR(INDEX(PMIS_Data!$W$3:$W$40,21),""))</f>
        <v>Review</v>
      </c>
      <c r="H105" s="339" t="str">
        <f ca="1">IF($A105="","",IFERROR(INDEX(PMIS_Data!$AN$3:$AN$40,21),""))</f>
        <v>🔴 ATTENTION</v>
      </c>
      <c r="I105" s="535"/>
      <c r="J105" s="339"/>
      <c r="K105" s="339"/>
      <c r="L105" s="339"/>
      <c r="M105" s="339"/>
      <c r="N105" s="339"/>
      <c r="O105" s="339"/>
      <c r="P105" s="339"/>
    </row>
    <row r="106" spans="1:16">
      <c r="A106" s="339" t="str">
        <f>IFERROR(INDEX(PMIS_Data!$A$3:$A$40,22),"")</f>
        <v>61</v>
      </c>
      <c r="B106" s="339">
        <f>IF($A106="","",IFERROR(INDEX(PMIS_Data!$H$3:$H$40,22),""))</f>
        <v>0</v>
      </c>
      <c r="C106" s="339">
        <f>IF($A106="","",IFERROR(INDEX(PMIS_Data!$I$3:$I$40,22),""))</f>
        <v>0</v>
      </c>
      <c r="D106" s="339">
        <f>IF($A106="","",IFERROR(INDEX(PMIS_Data!$S$3:$S$40,22),""))</f>
        <v>0</v>
      </c>
      <c r="E106" s="339">
        <f>IF($A106="","",IFERROR(INDEX(PMIS_Data!$T$3:$T$40,22),""))</f>
        <v>0</v>
      </c>
      <c r="F106" s="339" t="str">
        <f>IF($A106="","",IFERROR(INDEX(PMIS_Data!$V$3:$V$40,22),""))</f>
        <v>Monitor</v>
      </c>
      <c r="G106" s="535" t="str">
        <f>IF($A106="","",IFERROR(INDEX(PMIS_Data!$W$3:$W$40,22),""))</f>
        <v>Ready</v>
      </c>
      <c r="H106" s="339" t="str">
        <f ca="1">IF($A106="","",IFERROR(INDEX(PMIS_Data!$AN$3:$AN$40,22),""))</f>
        <v>🔴 ATTENTION</v>
      </c>
      <c r="I106" s="535"/>
      <c r="J106" s="339"/>
      <c r="K106" s="339"/>
      <c r="L106" s="339"/>
      <c r="M106" s="339"/>
      <c r="N106" s="339"/>
      <c r="O106" s="339"/>
      <c r="P106" s="339"/>
    </row>
    <row r="107" spans="1:16">
      <c r="A107" s="339" t="str">
        <f>IFERROR(INDEX(PMIS_Data!$A$3:$A$40,23),"")</f>
        <v>62</v>
      </c>
      <c r="B107" s="339">
        <f>IF($A107="","",IFERROR(INDEX(PMIS_Data!$H$3:$H$40,23),""))</f>
        <v>0</v>
      </c>
      <c r="C107" s="339">
        <f>IF($A107="","",IFERROR(INDEX(PMIS_Data!$I$3:$I$40,23),""))</f>
        <v>0</v>
      </c>
      <c r="D107" s="339">
        <f>IF($A107="","",IFERROR(INDEX(PMIS_Data!$S$3:$S$40,23),""))</f>
        <v>0</v>
      </c>
      <c r="E107" s="339">
        <f>IF($A107="","",IFERROR(INDEX(PMIS_Data!$T$3:$T$40,23),""))</f>
        <v>0</v>
      </c>
      <c r="F107" s="339" t="str">
        <f>IF($A107="","",IFERROR(INDEX(PMIS_Data!$V$3:$V$40,23),""))</f>
        <v>Monitor</v>
      </c>
      <c r="G107" s="535" t="str">
        <f>IF($A107="","",IFERROR(INDEX(PMIS_Data!$W$3:$W$40,23),""))</f>
        <v>Review</v>
      </c>
      <c r="H107" s="339" t="str">
        <f ca="1">IF($A107="","",IFERROR(INDEX(PMIS_Data!$AN$3:$AN$40,23),""))</f>
        <v>🔴 ATTENTION</v>
      </c>
      <c r="I107" s="535"/>
      <c r="J107" s="339"/>
      <c r="K107" s="339"/>
      <c r="L107" s="339"/>
      <c r="M107" s="339"/>
      <c r="N107" s="339"/>
      <c r="O107" s="339"/>
      <c r="P107" s="339"/>
    </row>
    <row r="108" spans="1:16">
      <c r="A108" s="339" t="str">
        <f>IFERROR(INDEX(PMIS_Data!$A$3:$A$40,24),"")</f>
        <v>70</v>
      </c>
      <c r="B108" s="339">
        <f>IF($A108="","",IFERROR(INDEX(PMIS_Data!$H$3:$H$40,24),""))</f>
        <v>0</v>
      </c>
      <c r="C108" s="339">
        <f>IF($A108="","",IFERROR(INDEX(PMIS_Data!$I$3:$I$40,24),""))</f>
        <v>0</v>
      </c>
      <c r="D108" s="339">
        <f>IF($A108="","",IFERROR(INDEX(PMIS_Data!$S$3:$S$40,24),""))</f>
        <v>0</v>
      </c>
      <c r="E108" s="339">
        <f>IF($A108="","",IFERROR(INDEX(PMIS_Data!$T$3:$T$40,24),""))</f>
        <v>0</v>
      </c>
      <c r="F108" s="339" t="str">
        <f>IF($A108="","",IFERROR(INDEX(PMIS_Data!$V$3:$V$40,24),""))</f>
        <v>Monitor</v>
      </c>
      <c r="G108" s="535" t="str">
        <f>IF($A108="","",IFERROR(INDEX(PMIS_Data!$W$3:$W$40,24),""))</f>
        <v>Review</v>
      </c>
      <c r="H108" s="339" t="str">
        <f ca="1">IF($A108="","",IFERROR(INDEX(PMIS_Data!$AN$3:$AN$40,24),""))</f>
        <v>🔴 ATTENTION</v>
      </c>
      <c r="I108" s="535"/>
      <c r="J108" s="339"/>
      <c r="K108" s="339"/>
      <c r="L108" s="339"/>
      <c r="M108" s="339"/>
      <c r="N108" s="339"/>
      <c r="O108" s="339"/>
      <c r="P108" s="339"/>
    </row>
    <row r="109" spans="1:16">
      <c r="A109" s="339" t="str">
        <f>IFERROR(INDEX(PMIS_Data!$A$3:$A$40,25),"")</f>
        <v>78</v>
      </c>
      <c r="B109" s="339">
        <f>IF($A109="","",IFERROR(INDEX(PMIS_Data!$H$3:$H$40,25),""))</f>
        <v>0</v>
      </c>
      <c r="C109" s="339">
        <f>IF($A109="","",IFERROR(INDEX(PMIS_Data!$I$3:$I$40,25),""))</f>
        <v>0</v>
      </c>
      <c r="D109" s="339">
        <f>IF($A109="","",IFERROR(INDEX(PMIS_Data!$S$3:$S$40,25),""))</f>
        <v>0</v>
      </c>
      <c r="E109" s="339">
        <f>IF($A109="","",IFERROR(INDEX(PMIS_Data!$T$3:$T$40,25),""))</f>
        <v>0</v>
      </c>
      <c r="F109" s="339" t="str">
        <f>IF($A109="","",IFERROR(INDEX(PMIS_Data!$V$3:$V$40,25),""))</f>
        <v>Monitor</v>
      </c>
      <c r="G109" s="535" t="str">
        <f>IF($A109="","",IFERROR(INDEX(PMIS_Data!$W$3:$W$40,25),""))</f>
        <v>Review</v>
      </c>
      <c r="H109" s="339" t="str">
        <f ca="1">IF($A109="","",IFERROR(INDEX(PMIS_Data!$AN$3:$AN$40,25),""))</f>
        <v>🔴 ATTENTION</v>
      </c>
      <c r="I109" s="535"/>
      <c r="J109" s="339"/>
      <c r="K109" s="339"/>
      <c r="L109" s="339"/>
      <c r="M109" s="339"/>
      <c r="N109" s="339"/>
      <c r="O109" s="339"/>
      <c r="P109" s="339"/>
    </row>
    <row r="110" spans="1:16">
      <c r="A110" s="339" t="str">
        <f>IFERROR(INDEX(PMIS_Data!$A$3:$A$40,26),"")</f>
        <v>80</v>
      </c>
      <c r="B110" s="339">
        <f>IF($A110="","",IFERROR(INDEX(PMIS_Data!$H$3:$H$40,26),""))</f>
        <v>0</v>
      </c>
      <c r="C110" s="339">
        <f>IF($A110="","",IFERROR(INDEX(PMIS_Data!$I$3:$I$40,26),""))</f>
        <v>0</v>
      </c>
      <c r="D110" s="339">
        <f>IF($A110="","",IFERROR(INDEX(PMIS_Data!$S$3:$S$40,26),""))</f>
        <v>0</v>
      </c>
      <c r="E110" s="339">
        <f>IF($A110="","",IFERROR(INDEX(PMIS_Data!$T$3:$T$40,26),""))</f>
        <v>0</v>
      </c>
      <c r="F110" s="339" t="str">
        <f>IF($A110="","",IFERROR(INDEX(PMIS_Data!$V$3:$V$40,26),""))</f>
        <v>Monitor</v>
      </c>
      <c r="G110" s="535" t="str">
        <f>IF($A110="","",IFERROR(INDEX(PMIS_Data!$W$3:$W$40,26),""))</f>
        <v>Review</v>
      </c>
      <c r="H110" s="339" t="str">
        <f ca="1">IF($A110="","",IFERROR(INDEX(PMIS_Data!$AN$3:$AN$40,26),""))</f>
        <v>🔴 ATTENTION</v>
      </c>
      <c r="I110" s="535"/>
      <c r="J110" s="339"/>
      <c r="K110" s="339"/>
      <c r="L110" s="339"/>
      <c r="M110" s="339"/>
      <c r="N110" s="339"/>
      <c r="O110" s="339"/>
      <c r="P110" s="339"/>
    </row>
    <row r="111" spans="1:16">
      <c r="A111" s="339" t="str">
        <f>IFERROR(INDEX(PMIS_Data!$A$3:$A$40,27),"")</f>
        <v>82</v>
      </c>
      <c r="B111" s="339">
        <f>IF($A111="","",IFERROR(INDEX(PMIS_Data!$H$3:$H$40,27),""))</f>
        <v>0</v>
      </c>
      <c r="C111" s="339">
        <f>IF($A111="","",IFERROR(INDEX(PMIS_Data!$I$3:$I$40,27),""))</f>
        <v>0</v>
      </c>
      <c r="D111" s="339">
        <f>IF($A111="","",IFERROR(INDEX(PMIS_Data!$S$3:$S$40,27),""))</f>
        <v>0</v>
      </c>
      <c r="E111" s="339">
        <f>IF($A111="","",IFERROR(INDEX(PMIS_Data!$T$3:$T$40,27),""))</f>
        <v>0</v>
      </c>
      <c r="F111" s="339" t="str">
        <f>IF($A111="","",IFERROR(INDEX(PMIS_Data!$V$3:$V$40,27),""))</f>
        <v>Monitor</v>
      </c>
      <c r="G111" s="535" t="str">
        <f>IF($A111="","",IFERROR(INDEX(PMIS_Data!$W$3:$W$40,27),""))</f>
        <v>Review</v>
      </c>
      <c r="H111" s="339" t="str">
        <f ca="1">IF($A111="","",IFERROR(INDEX(PMIS_Data!$AN$3:$AN$40,27),""))</f>
        <v>🔴 ATTENTION</v>
      </c>
      <c r="I111" s="535"/>
      <c r="J111" s="339"/>
      <c r="K111" s="339"/>
      <c r="L111" s="339"/>
      <c r="M111" s="339"/>
      <c r="N111" s="339"/>
      <c r="O111" s="339"/>
      <c r="P111" s="339"/>
    </row>
    <row r="112" spans="1:16">
      <c r="A112" s="339" t="str">
        <f>IFERROR(INDEX(PMIS_Data!$A$3:$A$40,28),"")</f>
        <v>BCH</v>
      </c>
      <c r="B112" s="339">
        <f>IF($A112="","",IFERROR(INDEX(PMIS_Data!$H$3:$H$40,28),""))</f>
        <v>0</v>
      </c>
      <c r="C112" s="339">
        <f>IF($A112="","",IFERROR(INDEX(PMIS_Data!$I$3:$I$40,28),""))</f>
        <v>0</v>
      </c>
      <c r="D112" s="339">
        <f>IF($A112="","",IFERROR(INDEX(PMIS_Data!$S$3:$S$40,28),""))</f>
        <v>0</v>
      </c>
      <c r="E112" s="339">
        <f>IF($A112="","",IFERROR(INDEX(PMIS_Data!$T$3:$T$40,28),""))</f>
        <v>0</v>
      </c>
      <c r="F112" s="339" t="str">
        <f>IF($A112="","",IFERROR(INDEX(PMIS_Data!$V$3:$V$40,28),""))</f>
        <v>Monitor</v>
      </c>
      <c r="G112" s="535" t="str">
        <f>IF($A112="","",IFERROR(INDEX(PMIS_Data!$W$3:$W$40,28),""))</f>
        <v>Review</v>
      </c>
      <c r="H112" s="339" t="str">
        <f ca="1">IF($A112="","",IFERROR(INDEX(PMIS_Data!$AN$3:$AN$40,28),""))</f>
        <v>🔴 ATTENTION</v>
      </c>
      <c r="I112" s="535"/>
      <c r="J112" s="339"/>
      <c r="K112" s="339"/>
      <c r="L112" s="339"/>
      <c r="M112" s="339"/>
      <c r="N112" s="339"/>
      <c r="O112" s="339"/>
      <c r="P112" s="339"/>
    </row>
    <row r="113" spans="1:16">
      <c r="A113" s="339" t="str">
        <f>IFERROR(INDEX(PMIS_Data!$A$3:$A$40,29),"")</f>
        <v>MCR</v>
      </c>
      <c r="B113" s="339">
        <f>IF($A113="","",IFERROR(INDEX(PMIS_Data!$H$3:$H$40,29),""))</f>
        <v>0</v>
      </c>
      <c r="C113" s="339">
        <f>IF($A113="","",IFERROR(INDEX(PMIS_Data!$I$3:$I$40,29),""))</f>
        <v>0</v>
      </c>
      <c r="D113" s="339">
        <f>IF($A113="","",IFERROR(INDEX(PMIS_Data!$S$3:$S$40,29),""))</f>
        <v>0</v>
      </c>
      <c r="E113" s="339">
        <f>IF($A113="","",IFERROR(INDEX(PMIS_Data!$T$3:$T$40,29),""))</f>
        <v>0</v>
      </c>
      <c r="F113" s="339" t="str">
        <f>IF($A113="","",IFERROR(INDEX(PMIS_Data!$V$3:$V$40,29),""))</f>
        <v>Monitor</v>
      </c>
      <c r="G113" s="535" t="str">
        <f>IF($A113="","",IFERROR(INDEX(PMIS_Data!$W$3:$W$40,29),""))</f>
        <v>Review</v>
      </c>
      <c r="H113" s="339" t="str">
        <f ca="1">IF($A113="","",IFERROR(INDEX(PMIS_Data!$AN$3:$AN$40,29),""))</f>
        <v>🔴 ATTENTION</v>
      </c>
      <c r="I113" s="535"/>
      <c r="J113" s="339"/>
      <c r="K113" s="339"/>
      <c r="L113" s="339"/>
      <c r="M113" s="339"/>
      <c r="N113" s="339"/>
      <c r="O113" s="339"/>
      <c r="P113" s="339"/>
    </row>
    <row r="114" spans="1:16">
      <c r="A114" s="339" t="str">
        <f>IFERROR(INDEX(PMIS_Data!$A$3:$A$40,30),"")</f>
        <v>SITE</v>
      </c>
      <c r="B114" s="339">
        <f>IF($A114="","",IFERROR(INDEX(PMIS_Data!$H$3:$H$40,30),""))</f>
        <v>0</v>
      </c>
      <c r="C114" s="339">
        <f>IF($A114="","",IFERROR(INDEX(PMIS_Data!$I$3:$I$40,30),""))</f>
        <v>0</v>
      </c>
      <c r="D114" s="339">
        <f>IF($A114="","",IFERROR(INDEX(PMIS_Data!$S$3:$S$40,30),""))</f>
        <v>0</v>
      </c>
      <c r="E114" s="339">
        <f>IF($A114="","",IFERROR(INDEX(PMIS_Data!$T$3:$T$40,30),""))</f>
        <v>0</v>
      </c>
      <c r="F114" s="339" t="str">
        <f>IF($A114="","",IFERROR(INDEX(PMIS_Data!$V$3:$V$40,30),""))</f>
        <v>Monitor</v>
      </c>
      <c r="G114" s="535" t="str">
        <f>IF($A114="","",IFERROR(INDEX(PMIS_Data!$W$3:$W$40,30),""))</f>
        <v>Review</v>
      </c>
      <c r="H114" s="339" t="str">
        <f ca="1">IF($A114="","",IFERROR(INDEX(PMIS_Data!$AN$3:$AN$40,30),""))</f>
        <v>🔴 ATTENTION</v>
      </c>
      <c r="I114" s="535"/>
      <c r="J114" s="339"/>
      <c r="K114" s="339"/>
      <c r="L114" s="339"/>
      <c r="M114" s="339"/>
      <c r="N114" s="339"/>
      <c r="O114" s="339"/>
      <c r="P114" s="339"/>
    </row>
    <row r="115" spans="1:16">
      <c r="A115" s="339"/>
      <c r="B115" s="339"/>
      <c r="C115" s="339"/>
      <c r="D115" s="339"/>
      <c r="E115" s="339"/>
      <c r="F115" s="339"/>
      <c r="G115" s="535"/>
      <c r="H115" s="339"/>
      <c r="I115" s="535"/>
      <c r="J115" s="339"/>
      <c r="K115" s="339"/>
      <c r="L115" s="339"/>
      <c r="M115" s="339"/>
      <c r="N115" s="339"/>
      <c r="O115" s="339"/>
      <c r="P115" s="339"/>
    </row>
    <row r="116" spans="1:16">
      <c r="A116" s="339"/>
      <c r="B116" s="339"/>
      <c r="C116" s="339"/>
      <c r="D116" s="339"/>
      <c r="E116" s="339"/>
      <c r="F116" s="339"/>
      <c r="G116" s="535"/>
      <c r="H116" s="339"/>
      <c r="I116" s="535"/>
      <c r="J116" s="339"/>
      <c r="K116" s="339"/>
      <c r="L116" s="339"/>
      <c r="M116" s="339"/>
      <c r="N116" s="339"/>
      <c r="O116" s="339"/>
      <c r="P116" s="339"/>
    </row>
    <row r="117" spans="1:16" ht="13.8">
      <c r="A117" s="541" t="s">
        <v>6039</v>
      </c>
      <c r="B117" s="541"/>
      <c r="C117" s="541"/>
      <c r="D117" s="541"/>
      <c r="E117" s="541"/>
      <c r="F117" s="541"/>
      <c r="G117" s="882"/>
      <c r="H117" s="541"/>
      <c r="I117" s="882"/>
      <c r="J117" s="541"/>
      <c r="K117" s="541"/>
      <c r="L117" s="541"/>
      <c r="M117" s="541"/>
      <c r="N117" s="541"/>
      <c r="O117" s="541"/>
      <c r="P117" s="541"/>
    </row>
    <row r="118" spans="1:16" ht="24">
      <c r="A118" s="536" t="s">
        <v>295</v>
      </c>
      <c r="B118" s="536" t="s">
        <v>218</v>
      </c>
      <c r="C118" s="536" t="s">
        <v>142</v>
      </c>
      <c r="D118" s="536" t="s">
        <v>6021</v>
      </c>
      <c r="E118" s="536" t="s">
        <v>5827</v>
      </c>
      <c r="F118" s="536" t="s">
        <v>219</v>
      </c>
      <c r="G118" s="539" t="s">
        <v>299</v>
      </c>
      <c r="H118" s="536" t="s">
        <v>300</v>
      </c>
      <c r="I118" s="539" t="s">
        <v>77</v>
      </c>
      <c r="J118" s="536" t="s">
        <v>11</v>
      </c>
      <c r="K118" s="339"/>
      <c r="L118" s="339"/>
      <c r="M118" s="339"/>
      <c r="N118" s="339"/>
      <c r="O118" s="339"/>
      <c r="P118" s="339"/>
    </row>
    <row r="119" spans="1:16">
      <c r="A119" s="339">
        <f>IFERROR(INDEX(Shutdown_Tracker!$A$5:$A$100,5),"")</f>
        <v>0</v>
      </c>
      <c r="B119" s="339">
        <f>IFERROR(INDEX(Shutdown_Tracker!$B$5:$B$100,5),"")</f>
        <v>0</v>
      </c>
      <c r="C119" s="339">
        <f>IFERROR(INDEX(Shutdown_Tracker!$C$5:$C$100,5),"")</f>
        <v>0</v>
      </c>
      <c r="D119" s="529">
        <f>IFERROR(INDEX(Shutdown_Tracker!$D$5:$D$100,5),"")</f>
        <v>0</v>
      </c>
      <c r="E119" s="529">
        <f>IFERROR(INDEX(Shutdown_Tracker!$E$5:$E$100,5),"")</f>
        <v>0</v>
      </c>
      <c r="F119" s="529">
        <f>IFERROR(INDEX(Shutdown_Tracker!$F$5:$F$100,5),"")</f>
        <v>0</v>
      </c>
      <c r="G119" s="535">
        <f>IFERROR(INDEX(Shutdown_Tracker!$G$5:$G$100,5),"")</f>
        <v>0</v>
      </c>
      <c r="H119" s="339">
        <f>IFERROR(INDEX(Shutdown_Tracker!$H$5:$H$100,5),"")</f>
        <v>0</v>
      </c>
      <c r="I119" s="535">
        <f>IFERROR(INDEX(Shutdown_Tracker!$I$5:$I$100,5),"")</f>
        <v>0</v>
      </c>
      <c r="J119" s="339">
        <f>IFERROR(INDEX(Shutdown_Tracker!$J$5:$J$100,5),"")</f>
        <v>0</v>
      </c>
      <c r="K119" s="339"/>
      <c r="L119" s="339"/>
      <c r="M119" s="339"/>
      <c r="N119" s="339"/>
      <c r="O119" s="339"/>
      <c r="P119" s="339"/>
    </row>
    <row r="120" spans="1:16">
      <c r="A120" s="339">
        <f>IFERROR(INDEX(Shutdown_Tracker!$A$5:$A$100,6),"")</f>
        <v>0</v>
      </c>
      <c r="B120" s="339">
        <f>IFERROR(INDEX(Shutdown_Tracker!$B$5:$B$100,6),"")</f>
        <v>0</v>
      </c>
      <c r="C120" s="339">
        <f>IFERROR(INDEX(Shutdown_Tracker!$C$5:$C$100,6),"")</f>
        <v>0</v>
      </c>
      <c r="D120" s="529">
        <f>IFERROR(INDEX(Shutdown_Tracker!$D$5:$D$100,6),"")</f>
        <v>0</v>
      </c>
      <c r="E120" s="529">
        <f>IFERROR(INDEX(Shutdown_Tracker!$E$5:$E$100,6),"")</f>
        <v>0</v>
      </c>
      <c r="F120" s="529">
        <f>IFERROR(INDEX(Shutdown_Tracker!$F$5:$F$100,6),"")</f>
        <v>0</v>
      </c>
      <c r="G120" s="535">
        <f>IFERROR(INDEX(Shutdown_Tracker!$G$5:$G$100,6),"")</f>
        <v>0</v>
      </c>
      <c r="H120" s="339">
        <f>IFERROR(INDEX(Shutdown_Tracker!$H$5:$H$100,6),"")</f>
        <v>0</v>
      </c>
      <c r="I120" s="535">
        <f>IFERROR(INDEX(Shutdown_Tracker!$I$5:$I$100,6),"")</f>
        <v>0</v>
      </c>
      <c r="J120" s="339">
        <f>IFERROR(INDEX(Shutdown_Tracker!$J$5:$J$100,6),"")</f>
        <v>0</v>
      </c>
      <c r="K120" s="339"/>
      <c r="L120" s="339"/>
      <c r="M120" s="339"/>
      <c r="N120" s="339"/>
      <c r="O120" s="339"/>
      <c r="P120" s="339"/>
    </row>
    <row r="121" spans="1:16">
      <c r="A121" s="339">
        <f>IFERROR(INDEX(Shutdown_Tracker!$A$5:$A$100,7),"")</f>
        <v>0</v>
      </c>
      <c r="B121" s="339">
        <f>IFERROR(INDEX(Shutdown_Tracker!$B$5:$B$100,7),"")</f>
        <v>0</v>
      </c>
      <c r="C121" s="339">
        <f>IFERROR(INDEX(Shutdown_Tracker!$C$5:$C$100,7),"")</f>
        <v>0</v>
      </c>
      <c r="D121" s="529">
        <f>IFERROR(INDEX(Shutdown_Tracker!$D$5:$D$100,7),"")</f>
        <v>0</v>
      </c>
      <c r="E121" s="529">
        <f>IFERROR(INDEX(Shutdown_Tracker!$E$5:$E$100,7),"")</f>
        <v>0</v>
      </c>
      <c r="F121" s="529">
        <f>IFERROR(INDEX(Shutdown_Tracker!$F$5:$F$100,7),"")</f>
        <v>0</v>
      </c>
      <c r="G121" s="535">
        <f>IFERROR(INDEX(Shutdown_Tracker!$G$5:$G$100,7),"")</f>
        <v>0</v>
      </c>
      <c r="H121" s="339">
        <f>IFERROR(INDEX(Shutdown_Tracker!$H$5:$H$100,7),"")</f>
        <v>0</v>
      </c>
      <c r="I121" s="535">
        <f>IFERROR(INDEX(Shutdown_Tracker!$I$5:$I$100,7),"")</f>
        <v>0</v>
      </c>
      <c r="J121" s="339">
        <f>IFERROR(INDEX(Shutdown_Tracker!$J$5:$J$100,7),"")</f>
        <v>0</v>
      </c>
      <c r="K121" s="339"/>
      <c r="L121" s="339"/>
      <c r="M121" s="339"/>
      <c r="N121" s="339"/>
      <c r="O121" s="339"/>
      <c r="P121" s="339"/>
    </row>
    <row r="122" spans="1:16">
      <c r="A122" s="339">
        <f>IFERROR(INDEX(Shutdown_Tracker!$A$5:$A$100,8),"")</f>
        <v>0</v>
      </c>
      <c r="B122" s="339">
        <f>IFERROR(INDEX(Shutdown_Tracker!$B$5:$B$100,8),"")</f>
        <v>0</v>
      </c>
      <c r="C122" s="339">
        <f>IFERROR(INDEX(Shutdown_Tracker!$C$5:$C$100,8),"")</f>
        <v>0</v>
      </c>
      <c r="D122" s="529">
        <f>IFERROR(INDEX(Shutdown_Tracker!$D$5:$D$100,8),"")</f>
        <v>0</v>
      </c>
      <c r="E122" s="529">
        <f>IFERROR(INDEX(Shutdown_Tracker!$E$5:$E$100,8),"")</f>
        <v>0</v>
      </c>
      <c r="F122" s="529">
        <f>IFERROR(INDEX(Shutdown_Tracker!$F$5:$F$100,8),"")</f>
        <v>0</v>
      </c>
      <c r="G122" s="535">
        <f>IFERROR(INDEX(Shutdown_Tracker!$G$5:$G$100,8),"")</f>
        <v>0</v>
      </c>
      <c r="H122" s="339">
        <f>IFERROR(INDEX(Shutdown_Tracker!$H$5:$H$100,8),"")</f>
        <v>0</v>
      </c>
      <c r="I122" s="535">
        <f>IFERROR(INDEX(Shutdown_Tracker!$I$5:$I$100,8),"")</f>
        <v>0</v>
      </c>
      <c r="J122" s="339">
        <f>IFERROR(INDEX(Shutdown_Tracker!$J$5:$J$100,8),"")</f>
        <v>0</v>
      </c>
      <c r="K122" s="339"/>
      <c r="L122" s="339"/>
      <c r="M122" s="339"/>
      <c r="N122" s="339"/>
      <c r="O122" s="339"/>
      <c r="P122" s="339"/>
    </row>
    <row r="123" spans="1:16">
      <c r="A123" s="339">
        <f>IFERROR(INDEX(Shutdown_Tracker!$A$5:$A$100,9),"")</f>
        <v>0</v>
      </c>
      <c r="B123" s="339">
        <f>IFERROR(INDEX(Shutdown_Tracker!$B$5:$B$100,9),"")</f>
        <v>0</v>
      </c>
      <c r="C123" s="339">
        <f>IFERROR(INDEX(Shutdown_Tracker!$C$5:$C$100,9),"")</f>
        <v>0</v>
      </c>
      <c r="D123" s="529">
        <f>IFERROR(INDEX(Shutdown_Tracker!$D$5:$D$100,9),"")</f>
        <v>0</v>
      </c>
      <c r="E123" s="529">
        <f>IFERROR(INDEX(Shutdown_Tracker!$E$5:$E$100,9),"")</f>
        <v>0</v>
      </c>
      <c r="F123" s="529">
        <f>IFERROR(INDEX(Shutdown_Tracker!$F$5:$F$100,9),"")</f>
        <v>0</v>
      </c>
      <c r="G123" s="535">
        <f>IFERROR(INDEX(Shutdown_Tracker!$G$5:$G$100,9),"")</f>
        <v>0</v>
      </c>
      <c r="H123" s="339">
        <f>IFERROR(INDEX(Shutdown_Tracker!$H$5:$H$100,9),"")</f>
        <v>0</v>
      </c>
      <c r="I123" s="535">
        <f>IFERROR(INDEX(Shutdown_Tracker!$I$5:$I$100,9),"")</f>
        <v>0</v>
      </c>
      <c r="J123" s="339">
        <f>IFERROR(INDEX(Shutdown_Tracker!$J$5:$J$100,9),"")</f>
        <v>0</v>
      </c>
      <c r="K123" s="339"/>
      <c r="L123" s="339"/>
      <c r="M123" s="339"/>
      <c r="N123" s="339"/>
      <c r="O123" s="339"/>
      <c r="P123" s="339"/>
    </row>
    <row r="124" spans="1:16">
      <c r="A124" s="339">
        <f>IFERROR(INDEX(Shutdown_Tracker!$A$5:$A$100,10),"")</f>
        <v>0</v>
      </c>
      <c r="B124" s="339">
        <f>IFERROR(INDEX(Shutdown_Tracker!$B$5:$B$100,10),"")</f>
        <v>0</v>
      </c>
      <c r="C124" s="339">
        <f>IFERROR(INDEX(Shutdown_Tracker!$C$5:$C$100,10),"")</f>
        <v>0</v>
      </c>
      <c r="D124" s="529">
        <f>IFERROR(INDEX(Shutdown_Tracker!$D$5:$D$100,10),"")</f>
        <v>0</v>
      </c>
      <c r="E124" s="529">
        <f>IFERROR(INDEX(Shutdown_Tracker!$E$5:$E$100,10),"")</f>
        <v>0</v>
      </c>
      <c r="F124" s="529">
        <f>IFERROR(INDEX(Shutdown_Tracker!$F$5:$F$100,10),"")</f>
        <v>0</v>
      </c>
      <c r="G124" s="535">
        <f>IFERROR(INDEX(Shutdown_Tracker!$G$5:$G$100,10),"")</f>
        <v>0</v>
      </c>
      <c r="H124" s="339">
        <f>IFERROR(INDEX(Shutdown_Tracker!$H$5:$H$100,10),"")</f>
        <v>0</v>
      </c>
      <c r="I124" s="535">
        <f>IFERROR(INDEX(Shutdown_Tracker!$I$5:$I$100,10),"")</f>
        <v>0</v>
      </c>
      <c r="J124" s="339">
        <f>IFERROR(INDEX(Shutdown_Tracker!$J$5:$J$100,10),"")</f>
        <v>0</v>
      </c>
      <c r="K124" s="339"/>
      <c r="L124" s="339"/>
      <c r="M124" s="339"/>
      <c r="N124" s="339"/>
      <c r="O124" s="339"/>
      <c r="P124" s="339"/>
    </row>
    <row r="125" spans="1:16">
      <c r="A125" s="339">
        <f>IFERROR(INDEX(Shutdown_Tracker!$A$5:$A$100,11),"")</f>
        <v>0</v>
      </c>
      <c r="B125" s="339">
        <f>IFERROR(INDEX(Shutdown_Tracker!$B$5:$B$100,11),"")</f>
        <v>0</v>
      </c>
      <c r="C125" s="339">
        <f>IFERROR(INDEX(Shutdown_Tracker!$C$5:$C$100,11),"")</f>
        <v>0</v>
      </c>
      <c r="D125" s="529">
        <f>IFERROR(INDEX(Shutdown_Tracker!$D$5:$D$100,11),"")</f>
        <v>0</v>
      </c>
      <c r="E125" s="529">
        <f>IFERROR(INDEX(Shutdown_Tracker!$E$5:$E$100,11),"")</f>
        <v>0</v>
      </c>
      <c r="F125" s="529">
        <f>IFERROR(INDEX(Shutdown_Tracker!$F$5:$F$100,11),"")</f>
        <v>0</v>
      </c>
      <c r="G125" s="535">
        <f>IFERROR(INDEX(Shutdown_Tracker!$G$5:$G$100,11),"")</f>
        <v>0</v>
      </c>
      <c r="H125" s="339">
        <f>IFERROR(INDEX(Shutdown_Tracker!$H$5:$H$100,11),"")</f>
        <v>0</v>
      </c>
      <c r="I125" s="535">
        <f>IFERROR(INDEX(Shutdown_Tracker!$I$5:$I$100,11),"")</f>
        <v>0</v>
      </c>
      <c r="J125" s="339">
        <f>IFERROR(INDEX(Shutdown_Tracker!$J$5:$J$100,11),"")</f>
        <v>0</v>
      </c>
      <c r="K125" s="339"/>
      <c r="L125" s="339"/>
      <c r="M125" s="339"/>
      <c r="N125" s="339"/>
      <c r="O125" s="339"/>
      <c r="P125" s="339"/>
    </row>
    <row r="126" spans="1:16">
      <c r="A126" s="339">
        <f>IFERROR(INDEX(Shutdown_Tracker!$A$5:$A$100,12),"")</f>
        <v>0</v>
      </c>
      <c r="B126" s="339">
        <f>IFERROR(INDEX(Shutdown_Tracker!$B$5:$B$100,12),"")</f>
        <v>0</v>
      </c>
      <c r="C126" s="339">
        <f>IFERROR(INDEX(Shutdown_Tracker!$C$5:$C$100,12),"")</f>
        <v>0</v>
      </c>
      <c r="D126" s="529">
        <f>IFERROR(INDEX(Shutdown_Tracker!$D$5:$D$100,12),"")</f>
        <v>0</v>
      </c>
      <c r="E126" s="529">
        <f>IFERROR(INDEX(Shutdown_Tracker!$E$5:$E$100,12),"")</f>
        <v>0</v>
      </c>
      <c r="F126" s="529">
        <f>IFERROR(INDEX(Shutdown_Tracker!$F$5:$F$100,12),"")</f>
        <v>0</v>
      </c>
      <c r="G126" s="535">
        <f>IFERROR(INDEX(Shutdown_Tracker!$G$5:$G$100,12),"")</f>
        <v>0</v>
      </c>
      <c r="H126" s="339">
        <f>IFERROR(INDEX(Shutdown_Tracker!$H$5:$H$100,12),"")</f>
        <v>0</v>
      </c>
      <c r="I126" s="535">
        <f>IFERROR(INDEX(Shutdown_Tracker!$I$5:$I$100,12),"")</f>
        <v>0</v>
      </c>
      <c r="J126" s="339">
        <f>IFERROR(INDEX(Shutdown_Tracker!$J$5:$J$100,12),"")</f>
        <v>0</v>
      </c>
      <c r="K126" s="339"/>
      <c r="L126" s="339"/>
      <c r="M126" s="339"/>
      <c r="N126" s="339"/>
      <c r="O126" s="339"/>
      <c r="P126" s="339"/>
    </row>
    <row r="127" spans="1:16">
      <c r="A127" s="339">
        <f>IFERROR(INDEX(Shutdown_Tracker!$A$5:$A$100,13),"")</f>
        <v>0</v>
      </c>
      <c r="B127" s="339">
        <f>IFERROR(INDEX(Shutdown_Tracker!$B$5:$B$100,13),"")</f>
        <v>0</v>
      </c>
      <c r="C127" s="339">
        <f>IFERROR(INDEX(Shutdown_Tracker!$C$5:$C$100,13),"")</f>
        <v>0</v>
      </c>
      <c r="D127" s="529">
        <f>IFERROR(INDEX(Shutdown_Tracker!$D$5:$D$100,13),"")</f>
        <v>0</v>
      </c>
      <c r="E127" s="529">
        <f>IFERROR(INDEX(Shutdown_Tracker!$E$5:$E$100,13),"")</f>
        <v>0</v>
      </c>
      <c r="F127" s="529">
        <f>IFERROR(INDEX(Shutdown_Tracker!$F$5:$F$100,13),"")</f>
        <v>0</v>
      </c>
      <c r="G127" s="535">
        <f>IFERROR(INDEX(Shutdown_Tracker!$G$5:$G$100,13),"")</f>
        <v>0</v>
      </c>
      <c r="H127" s="339">
        <f>IFERROR(INDEX(Shutdown_Tracker!$H$5:$H$100,13),"")</f>
        <v>0</v>
      </c>
      <c r="I127" s="535">
        <f>IFERROR(INDEX(Shutdown_Tracker!$I$5:$I$100,13),"")</f>
        <v>0</v>
      </c>
      <c r="J127" s="339">
        <f>IFERROR(INDEX(Shutdown_Tracker!$J$5:$J$100,13),"")</f>
        <v>0</v>
      </c>
      <c r="K127" s="339"/>
      <c r="L127" s="339"/>
      <c r="M127" s="339"/>
      <c r="N127" s="339"/>
      <c r="O127" s="339"/>
      <c r="P127" s="339"/>
    </row>
    <row r="128" spans="1:16">
      <c r="A128" s="339">
        <f>IFERROR(INDEX(Shutdown_Tracker!$A$5:$A$100,14),"")</f>
        <v>0</v>
      </c>
      <c r="B128" s="339">
        <f>IFERROR(INDEX(Shutdown_Tracker!$B$5:$B$100,14),"")</f>
        <v>0</v>
      </c>
      <c r="C128" s="339">
        <f>IFERROR(INDEX(Shutdown_Tracker!$C$5:$C$100,14),"")</f>
        <v>0</v>
      </c>
      <c r="D128" s="529">
        <f>IFERROR(INDEX(Shutdown_Tracker!$D$5:$D$100,14),"")</f>
        <v>0</v>
      </c>
      <c r="E128" s="529">
        <f>IFERROR(INDEX(Shutdown_Tracker!$E$5:$E$100,14),"")</f>
        <v>0</v>
      </c>
      <c r="F128" s="529">
        <f>IFERROR(INDEX(Shutdown_Tracker!$F$5:$F$100,14),"")</f>
        <v>0</v>
      </c>
      <c r="G128" s="535">
        <f>IFERROR(INDEX(Shutdown_Tracker!$G$5:$G$100,14),"")</f>
        <v>0</v>
      </c>
      <c r="H128" s="339">
        <f>IFERROR(INDEX(Shutdown_Tracker!$H$5:$H$100,14),"")</f>
        <v>0</v>
      </c>
      <c r="I128" s="535">
        <f>IFERROR(INDEX(Shutdown_Tracker!$I$5:$I$100,14),"")</f>
        <v>0</v>
      </c>
      <c r="J128" s="339">
        <f>IFERROR(INDEX(Shutdown_Tracker!$J$5:$J$100,14),"")</f>
        <v>0</v>
      </c>
      <c r="K128" s="339"/>
      <c r="L128" s="339"/>
      <c r="M128" s="339"/>
      <c r="N128" s="339"/>
      <c r="O128" s="339"/>
      <c r="P128" s="339"/>
    </row>
    <row r="129" spans="1:16">
      <c r="A129" s="339"/>
      <c r="B129" s="339"/>
      <c r="C129" s="339"/>
      <c r="D129" s="339"/>
      <c r="E129" s="339"/>
      <c r="F129" s="339"/>
      <c r="G129" s="339"/>
      <c r="H129" s="339"/>
      <c r="I129" s="339"/>
      <c r="J129" s="339"/>
      <c r="K129" s="339"/>
      <c r="L129" s="339"/>
      <c r="M129" s="339"/>
      <c r="N129" s="339"/>
      <c r="O129" s="339"/>
      <c r="P129" s="339"/>
    </row>
    <row r="130" spans="1:16" ht="24">
      <c r="A130" s="536" t="s">
        <v>6040</v>
      </c>
      <c r="B130" s="536" t="s">
        <v>6008</v>
      </c>
      <c r="C130" s="536" t="s">
        <v>215</v>
      </c>
      <c r="D130" s="536" t="s">
        <v>4590</v>
      </c>
      <c r="E130" s="536" t="s">
        <v>216</v>
      </c>
      <c r="F130" s="536" t="s">
        <v>6041</v>
      </c>
      <c r="G130" s="339"/>
      <c r="H130" s="339"/>
      <c r="I130" s="339"/>
      <c r="J130" s="339"/>
      <c r="K130" s="339"/>
      <c r="L130" s="339"/>
      <c r="M130" s="339"/>
      <c r="N130" s="339"/>
      <c r="O130" s="339"/>
      <c r="P130" s="339"/>
    </row>
    <row r="131" spans="1:16" ht="13.8">
      <c r="A131" s="541" t="s">
        <v>5990</v>
      </c>
      <c r="B131" s="541" t="s">
        <v>6015</v>
      </c>
      <c r="C131" s="541" t="s">
        <v>6042</v>
      </c>
      <c r="D131" s="541" t="s">
        <v>6043</v>
      </c>
      <c r="E131" s="541" t="s">
        <v>229</v>
      </c>
      <c r="F131" s="541" t="s">
        <v>6044</v>
      </c>
      <c r="G131" s="541"/>
      <c r="H131" s="541"/>
      <c r="I131" s="541"/>
      <c r="J131" s="541"/>
      <c r="K131" s="541"/>
      <c r="L131" s="541"/>
      <c r="M131" s="541"/>
      <c r="N131" s="541"/>
      <c r="O131" s="541"/>
      <c r="P131" s="541"/>
    </row>
    <row r="132" spans="1:16" ht="69.599999999999994" customHeight="1">
      <c r="A132" s="339" t="s">
        <v>6045</v>
      </c>
      <c r="B132" s="339" t="s">
        <v>6046</v>
      </c>
      <c r="C132" s="339" t="s">
        <v>6047</v>
      </c>
      <c r="D132" s="339" t="s">
        <v>6048</v>
      </c>
      <c r="E132" s="339" t="s">
        <v>5981</v>
      </c>
      <c r="F132" s="339" t="s">
        <v>6049</v>
      </c>
      <c r="G132" s="339"/>
      <c r="H132" s="529"/>
      <c r="I132" s="529"/>
      <c r="J132" s="339"/>
      <c r="K132" s="339"/>
      <c r="L132" s="339"/>
      <c r="M132" s="339"/>
      <c r="N132" s="339"/>
      <c r="O132" s="339"/>
      <c r="P132" s="339"/>
    </row>
    <row r="133" spans="1:16" ht="69.599999999999994" customHeight="1">
      <c r="A133" s="339" t="s">
        <v>6050</v>
      </c>
      <c r="B133" s="339" t="s">
        <v>348</v>
      </c>
      <c r="C133" s="339" t="s">
        <v>6051</v>
      </c>
      <c r="D133" s="339" t="s">
        <v>6043</v>
      </c>
      <c r="E133" s="339" t="s">
        <v>229</v>
      </c>
      <c r="F133" s="339" t="s">
        <v>6052</v>
      </c>
      <c r="G133" s="339"/>
      <c r="H133" s="529"/>
      <c r="I133" s="529"/>
      <c r="J133" s="339"/>
      <c r="K133" s="339"/>
      <c r="L133" s="339"/>
      <c r="M133" s="339"/>
      <c r="N133" s="339"/>
      <c r="O133" s="339"/>
      <c r="P133" s="339"/>
    </row>
    <row r="134" spans="1:16" ht="79.2">
      <c r="A134" s="339" t="s">
        <v>6053</v>
      </c>
      <c r="B134" s="339" t="s">
        <v>6054</v>
      </c>
      <c r="C134" s="339" t="s">
        <v>6055</v>
      </c>
      <c r="D134" s="339" t="s">
        <v>5418</v>
      </c>
      <c r="E134" s="339" t="s">
        <v>5978</v>
      </c>
      <c r="F134" s="339" t="s">
        <v>6056</v>
      </c>
      <c r="G134" s="339"/>
      <c r="H134" s="529"/>
      <c r="I134" s="529"/>
      <c r="J134" s="339"/>
      <c r="K134" s="339"/>
      <c r="L134" s="339"/>
      <c r="M134" s="339"/>
      <c r="N134" s="339"/>
      <c r="O134" s="339"/>
      <c r="P134" s="339"/>
    </row>
    <row r="135" spans="1:16" ht="52.8">
      <c r="A135" s="339" t="s">
        <v>6010</v>
      </c>
      <c r="B135" s="339" t="s">
        <v>499</v>
      </c>
      <c r="C135" s="339" t="s">
        <v>6057</v>
      </c>
      <c r="D135" s="339" t="s">
        <v>6058</v>
      </c>
      <c r="E135" s="339" t="s">
        <v>5978</v>
      </c>
      <c r="F135" s="339" t="s">
        <v>6059</v>
      </c>
      <c r="G135" s="339"/>
      <c r="H135" s="529"/>
      <c r="I135" s="529"/>
      <c r="J135" s="339"/>
      <c r="K135" s="339"/>
      <c r="L135" s="339"/>
      <c r="M135" s="339"/>
      <c r="N135" s="339"/>
      <c r="O135" s="339"/>
      <c r="P135" s="339"/>
    </row>
    <row r="136" spans="1:16">
      <c r="A136" s="339"/>
      <c r="B136" s="339"/>
      <c r="C136" s="339"/>
      <c r="D136" s="339"/>
      <c r="E136" s="339"/>
      <c r="F136" s="339"/>
      <c r="G136" s="339"/>
      <c r="H136" s="529"/>
      <c r="I136" s="529"/>
      <c r="J136" s="339"/>
      <c r="K136" s="339"/>
      <c r="L136" s="339"/>
      <c r="M136" s="339"/>
      <c r="N136" s="339"/>
      <c r="O136" s="339"/>
      <c r="P136" s="339"/>
    </row>
    <row r="137" spans="1:16" ht="13.8">
      <c r="A137" s="541" t="s">
        <v>6023</v>
      </c>
      <c r="B137" s="541"/>
      <c r="C137" s="541"/>
      <c r="D137" s="541"/>
      <c r="E137" s="541"/>
      <c r="F137" s="541"/>
      <c r="G137" s="541"/>
      <c r="H137" s="542"/>
      <c r="I137" s="542"/>
      <c r="J137" s="541"/>
      <c r="K137" s="541"/>
      <c r="L137" s="541"/>
      <c r="M137" s="541"/>
      <c r="N137" s="541"/>
      <c r="O137" s="541"/>
      <c r="P137" s="541"/>
    </row>
    <row r="138" spans="1:16">
      <c r="A138" s="536" t="s">
        <v>142</v>
      </c>
      <c r="B138" s="536" t="s">
        <v>199</v>
      </c>
      <c r="C138" s="536" t="s">
        <v>870</v>
      </c>
      <c r="D138" s="536" t="s">
        <v>5455</v>
      </c>
      <c r="E138" s="536" t="s">
        <v>3348</v>
      </c>
      <c r="F138" s="536" t="s">
        <v>3349</v>
      </c>
      <c r="G138" s="536" t="s">
        <v>5456</v>
      </c>
      <c r="H138" s="529"/>
      <c r="I138" s="529"/>
      <c r="J138" s="339"/>
      <c r="K138" s="339"/>
      <c r="L138" s="339"/>
      <c r="M138" s="339"/>
      <c r="N138" s="339"/>
      <c r="O138" s="339"/>
      <c r="P138" s="339"/>
    </row>
    <row r="139" spans="1:16" ht="30" customHeight="1">
      <c r="A139" s="339" t="str">
        <f>IFERROR(INDEX(PMIS_Trade_Notes!$A$2:$A$40,1),"")</f>
        <v>01</v>
      </c>
      <c r="B139" s="339" t="str">
        <f>IF($A139="","",IFERROR(INDEX(PMIS_Trade_Notes!$J$2:$J$40,1),""))</f>
        <v>• B01-Q1 — Confirm final telecom scope: new Room 107 with existing B02, 138 and 282 transition/transfer points? [Closed] Impact: Room inventory could miss scope
• B01-Q2 — What active services are currently fed from existing Rooms B02, 138 and 282? [Closed] Impact: Potential communications/security outage
• B01-Q3 — What equipment from existing racks transfers to new Room 107 versus remains/decommissions? [Closed] Impact: Cutover and rack elevation risk
• B01-Q4 — Is IU-1-01/CU-1-01 on emergency/backup power and dedicated to Room 107? [Closed] Impact: Cooling continuity unclear
• B01-Q5 — Where is the clean-agent/CO2 extinguisher cabinet located within 75 ft of Room 107? [Closed] Impact: Life-safety acceptance risk
• B01-Q6 — Are B01-TR107A/B sources, rack receptacles, SPDs, labels and 30-day load measurements approved? [Closed] Impact: Electrical readiness unknown</v>
      </c>
      <c r="C139" s="339" t="str">
        <f>IF($A139="","",IFERROR(INDEX(PMIS_Trade_Notes!$K$2:$K$40,1),""))</f>
        <v>Building 01 is a full-scope telecom room building with new First-Level Telecom Room 107 and existing telecom transition rooms B02, 138, and 282. Scope includes architectural, hazardous, fire protection, mechanical, electrical, telecom, security, rack elevations, schedules, and photo references. Major open items include active service transfer from existing rooms, IU-1-01/CU-1-01 cooling, B01-TR107A/B normal/emergency power, UPS/PDU rack power, PACS/CCTV, 394 ft cable tray, firestopping, fiber Path A/B, and room/equipment cutover planning.</v>
      </c>
      <c r="D139" s="339" t="str">
        <f>IF($A139="","",IFERROR(INDEX(PMIS_Trade_Notes!$D$2:$D$40,1),""))</f>
        <v>• Full fire protection scope included. Verify sprinkler head modifications, fire alarm devices, clean-agent/CO2 2A:10B:C FEC within 75 ft, rated wall/floor penetrations, temporary firestopping and final UL firestop systems.
• Existing telecom room; verify FP/FA protection-in-place and seal penetrations after cable removal/reuse.
• Existing telecom room; verify fire alarm/sprinkler impacts, protection-in-place and final firestop at cable changes.
• Existing second-level telecom room; verify riser penetrations, firestopping and protection-in-place.</v>
      </c>
      <c r="E139" s="339" t="str">
        <f>IF($A139="","",IFERROR(INDEX(PMIS_Trade_Notes!$E$2:$E$40,1),""))</f>
        <v>• Mechanical drawings show IU-1-01 split-system indoor unit and CU-1-01 outdoor unit for Room 107. Notes call for condensate pump, pumped condensate line, BACnet adapter adjacent to unit, FMS integration, room temperature/humidity points and alarms. Confirm capacity, emergency source, condensate path, controls and startup.
• Existing basement telecom equipment may remain active during cutover. Verify environmental conditions and whether active equipment remains after migration.
• Existing first-level equipment may remain active during transfer; verify temperature, ventilation and protection of active gear.
• Existing second-level equipment may remain active until cutover; verify existing cooling/ambient conditions and no overheating.</v>
      </c>
      <c r="F139" s="339" t="str">
        <f>IF($A139="","",IFERROR(INDEX(PMIS_Trade_Notes!$F$2:$F$40,1),""))</f>
        <v>• Electrical plans/schedules identify B01-TR107A and B01-TR107B, rack receptacles, normal/emergency receptacles, redundant vertical PDUs, CU-1-01, access controller, lighting/receptacle circuits, SPDs integral to new telecom panels, and 30-day load measurement requirements before panel renovation.
• Existing B02 rack elevations show UPS on floor and Tripp Lite Smart Pro UPS; verify active source circuits and transfer requirements.
• Existing 138 rack elevation shows APC UPS floor and patch panels; verify active source circuits and transition.
• Existing Room 282 equipment includes active rack gear and patch panels; verify source circuits, UPS/PDU condition and final decommission/retain scope.</v>
      </c>
      <c r="G139" s="339" t="str">
        <f>IF($A139="","",IFERROR(INDEX(PMIS_Trade_Notes!$G$2:$G$40,1),""))</f>
        <v>• 01T-701 identifies RM107 with 96 WAO total, 88 active ports per survey, 146 total ports per schedule, and 161 total ports with 10% allowance. Cable tray schedule totals 394 ft: 58 ft basement, 212 ft first level and 124 ft second level. Rack ID TR01-107-1.
• Existing B02 racks/TE support active services and legacy equipment. Contractor must field verify equipment to be demolished or transferred and provide phasing plan.
• Existing Room 138 racks and patch panels act as transition/legacy equipment point. Verify active service labels and transfer sequence.
• Existing Room 282 racks and patch panels act as second-level transition point. Verify all active services, WAP/camera cabling, and riser pathway.</v>
      </c>
      <c r="H139" s="529"/>
      <c r="I139" s="529"/>
      <c r="J139" s="339"/>
      <c r="K139" s="339"/>
      <c r="L139" s="339"/>
      <c r="M139" s="339"/>
      <c r="N139" s="339"/>
      <c r="O139" s="339"/>
      <c r="P139" s="339"/>
    </row>
    <row r="140" spans="1:16" ht="30" customHeight="1">
      <c r="A140" s="339" t="str">
        <f>IFERROR(INDEX(PMIS_Trade_Notes!$A$2:$A$40,2),"")</f>
        <v>02</v>
      </c>
      <c r="B140" s="339" t="str">
        <f>IF($A140="","",IFERROR(INDEX(PMIS_Trade_Notes!$J$2:$J$40,2),""))</f>
        <v>• B02-Q1 — Confirm final telecom scope: new Rooms 141, 236 and 342 with existing B-06/141/236 transition points? [Open] Impact: Room inventory could miss scope
• B02-Q2 — What active services are currently fed from existing Rooms B-06, 141 and 236? [Open] Impact: Potential communications/security outage
• B02-Q3 — What existing equipment is transferred, relocated, removed or protected in Rooms 141 and 236? [Open] Impact: Cutover and rack elevation risk
• B02-Q4 — Which IU/CU pair serves each TR and are they on emergency/backup power? [Open] Impact: Cooling continuity unclear
• B02-Q5 — Where are clean-agent/CO2 extinguisher cabinets located within 75 ft of Rooms 141, 236 and 342? [Open] Impact: Life-safety acceptance risk
• B02-Q6 — Are B02-TR141/236/342 A/B sources, rack receptacles, SPDs, labels and 30-day load measurements approved? [Open] Impact: Electrical readiness unknown</v>
      </c>
      <c r="C140" s="339" t="str">
        <f>IF($A140="","",IFERROR(INDEX(PMIS_Trade_Notes!$K$2:$K$40,2),""))</f>
        <v>Building 02 is a large full-scope telecom room building with new Telecom Rooms 141, 236, and 342, plus existing telecom transition rooms B-06, 141, and 236. Scope includes architectural, infection control, fire protection, mechanical, electrical, telecommunications, rack elevations, schedules, PACS/CCTV, and photo references. Major open items include active service transfer, multiple panel sets B02-TR141/236/342 A/B, dedicated cooling CU-1/2/3-01, firestopping, PACS/CCTV integration, 2,560 ft cable tray, and high WAO/cable quantity acceptance.</v>
      </c>
      <c r="D140" s="339" t="str">
        <f>IF($A140="","",IFERROR(INDEX(PMIS_Trade_Notes!$D$2:$D$40,2),""))</f>
        <v>• Full fire protection scope included. Verify sprinkler modifications, fire alarm devices, clean-agent/CO2 2A:10B:C FEC within 75 ft, rated wall/floor penetrations, temporary firestopping and final UL systems.
• Verify second-level TR sprinkler/fire alarm modifications, FEC location, cable tray penetrations, and temporary/final firestopping.
• Verify third-level TR sprinkler/fire alarm modifications, FEC location, riser penetrations and firestopping.
• Existing telecom rooms; verify FP/FA protection-in-place and seal penetrations after cable removal/reuse.</v>
      </c>
      <c r="E140" s="339" t="str">
        <f>IF($A140="","",IFERROR(INDEX(PMIS_Trade_Notes!$E$2:$E$40,2),""))</f>
        <v>• Electrical schedule references CU-1-01, CU-2-01 and CU-3-01 on B02-TR141B; mechanical sheets include dedicated TR cooling. Confirm which indoor/outdoor unit serves Room 141, capacity, emergency power, condensate, controls/BACnet and alarms.
• Confirm dedicated cooling equipment serving Room 236, condensate route, 24/7 operation, emergency source and FMS/BACnet high-temperature alarm.
• Confirm dedicated cooling equipment serving Room 342, condensate route, controls, emergency source and alarm integration.
• Existing telecom equipment may remain active during cutover. Verify ambient temperature/cooling protection until migration complete.</v>
      </c>
      <c r="F140" s="339" t="str">
        <f>IF($A140="","",IFERROR(INDEX(PMIS_Trade_Notes!$F$2:$F$40,2),""))</f>
        <v>• Electrical one-line/schedules identify B02-TR141A/B with rack receptacles, lighting/receptacles, SPDs integral to new telecom panelboards and cooling equipment references. Verify source, 30-day load measurement, LOTO and labels.
• Electrical one-line/schedules identify B02-TR236A/B with rack receptacles, lighting/receptacles, SPDs and normal/emergency power requirements. Verify source and rack PDU mapping.
• Electrical one-line/schedules identify B02-TR342A/B with rack receptacles, lighting/receptacles and SPDs. Verify source panels and UPS/PDU circuits.
• Existing racks/panels remain active during transfer; verify power source, UPS status and temporary power needs.</v>
      </c>
      <c r="G140" s="339" t="str">
        <f>IF($A140="","",IFERROR(INDEX(PMIS_Trade_Notes!$G$2:$G$40,2),""))</f>
        <v>• 02T-701 identifies RM141 with 211 WAO total, 215 active ports, 322 scheduled ports, 354 ports with allowance. Rack IDs TR01-141-01/02. Cable tray schedule total includes 1,069 ft first-level cable tray.
• 02T-702 identifies RM236 with 179 WAO total, 178 active ports, 314 scheduled ports and approx. 345 with allowance. Rack IDs TR01-236-01/02. Verify second-level cable tray, riser and cutover from existing 282/236 scope.
• 02T-703 identifies RM342 with 274 WAO total, 96 active ports, 353 scheduled ports, 388 with allowance. Rack IDs TR01-342-01/02. Verify third-level cable tray and high outlet count.
• Existing B-06/141/236 racks support legacy services. Field verify all active circuits, existing patch panels, labels, and transfer plan before cutover.</v>
      </c>
      <c r="H140" s="529"/>
      <c r="I140" s="529"/>
      <c r="J140" s="339"/>
      <c r="K140" s="339"/>
      <c r="L140" s="339"/>
      <c r="M140" s="339"/>
      <c r="N140" s="339"/>
      <c r="O140" s="339"/>
      <c r="P140" s="339"/>
    </row>
    <row r="141" spans="1:16" ht="30" customHeight="1">
      <c r="A141" s="339" t="str">
        <f>IFERROR(INDEX(PMIS_Trade_Notes!$A$2:$A$40,3),"")</f>
        <v>03</v>
      </c>
      <c r="B141" s="339" t="str">
        <f>IF($A141="","",IFERROR(INDEX(PMIS_Trade_Notes!$J$2:$J$40,3),""))</f>
        <v>• B03-Q1 — Confirm final telecom scope: new Room 101E with existing Basement Room 107 and existing DMARC Room 101C transition points? [Open] Impact: Room inventory could miss scope
• B03-Q2 — What active services are currently fed from existing Room 107 and DMARC Room 101C? [Open] Impact: Potential communications/provider outage
• B03-Q3 — What existing equipment transfers to new Room 101E versus remains/decommissions? [Open] Impact: Cutover and rack elevation risk
• B03-Q4 — Which IU/CU pair serves Room 101E and is it on emergency/backup power? [Open] Impact: Cooling continuity unclear
• B03-Q5 — Where is the clean-agent/CO2 extinguisher cabinet located within 75 ft of Room 101E? [Open] Impact: Life-safety acceptance risk
• B03-Q6 — Are B03-TR101CA/B sources, rack receptacles, SPDs, labels and 30-day load measurements approved? [Open] Impact: Electrical readiness unknown</v>
      </c>
      <c r="C141" s="339" t="str">
        <f>IF($A141="","",IFERROR(INDEX(PMIS_Trade_Notes!$K$2:$K$40,3),""))</f>
        <v>Building 03 is a full-scope telecom room building centered on new/renovated Telecom Room 101E, with existing Basement Telecom Room 107 and existing first-floor DMARC/telecom Room 101C as transition points. Scope includes architectural, infection control, fire protection, mechanical, electrical, telecommunications, rack elevations, Room 107 inventory, PACS/CCTV, 961 ft cable tray, and 206 total ports with allowance. Major open items include transfer from existing 107/101C, active DMARC/fiber protection, B03-TR101CA/B panel sources, CU-01 cooling, firestopping, camera 101C-CAM-01, and OIT acceptance.</v>
      </c>
      <c r="D141" s="339" t="str">
        <f>IF($A141="","",IFERROR(INDEX(PMIS_Trade_Notes!$D$2:$D$40,3),""))</f>
        <v>• Full fire protection scope included. Verify sprinkler modifications, fire alarm devices, clean-agent/CO2 2A:10B:C FEC within 75 ft, rated wall/floor penetrations, temporary firestopping and final UL systems.
• Existing telecom room; verify fire alarm/sprinkler protection-in-place and seal penetrations after fiber/cable transfer or reuse.
• Existing DMARC/telecom room; fire alarm/sprinkler and firestopping must remain in service during transfer.
• Coordinate ceiling removal, temporary barriers/upright sprinklers if ceiling tiles remain open, and firestopping at all rated penetrations.</v>
      </c>
      <c r="E141" s="339" t="str">
        <f>IF($A141="","",IFERROR(INDEX(PMIS_Trade_Notes!$E$2:$E$40,3),""))</f>
        <v>• Electrical schedule references CU-01 on B03-TR101CB and mechanical package includes dedicated TR cooling. Confirm indoor/outdoor unit serving Room 101E, capacity, emergency source, condensate route, controls/BACnet and high-temperature alarm.
• Existing basement telecom equipment may remain active during transfer. Verify ambient temperature/cooling protection until migration is complete.
• Existing DMARC/fiber services may remain active during cutover; verify existing environmental conditions and heat load if equipment remains.
• No dedicated HVAC for WAO areas; maintain infection control/IAQ and ceiling restoration requirements.</v>
      </c>
      <c r="F141" s="339" t="str">
        <f>IF($A141="","",IFERROR(INDEX(PMIS_Trade_Notes!$F$2:$F$40,3),""))</f>
        <v>• Electrical one-line/schedules identify B03-TR101CA/B with rack receptacles, TR receptacles, access controller, CU-01 on B03-TR101CB, SPDs integral to telecom panels, PXR20 trip units, and 30-day load measurement requirements.
• Existing Room 107 rack elevation shows UPS on floor and legacy telecom equipment. Verify active source circuits and transfer requirements.
• Existing DMARC plan shows existing branch panel and patch panel removal/relocation scope. Verify source circuits before demolition or transfer.
• Verify power/data coordination at outlets, cameras, WAPs, Centrak/clock devices and hard-lid ceiling locations.</v>
      </c>
      <c r="G141" s="339" t="str">
        <f>IF($A141="","",IFERROR(INDEX(PMIS_Trade_Notes!$G$2:$G$40,3),""))</f>
        <v>• 03T-701 identifies RM101E with 143 WAO total, 213 active ports, 187 scheduled ports and 206 total ports with 10% allowance. Cable tray schedule totals 961 ft: 615 ft basement level and 346 ft first level. Rack IDs TR01-101E-1 and TR01-101E-2.
• Existing Room 107 rack supports legacy active services; verify B3-LB-B13-TC-FIBER equipment inventory, fiber LIU, patch panels, Cisco switch and UPS before cutover.
• Existing DMARC/telecom room 101C includes patch panels/cabinet/branch panel and 101C-CAM-01; protect active provider/fiber/DMARC services until new fiber/rack work is accepted.
• Existing ports replaced; 3- and 4-port outlets reduced to two Cat6A ports where coordinated. WAPs remain protected in place while cabling/faceplate/jack are replaced.</v>
      </c>
      <c r="H141" s="529"/>
      <c r="I141" s="529"/>
      <c r="J141" s="339"/>
      <c r="K141" s="339"/>
      <c r="L141" s="339"/>
      <c r="M141" s="339"/>
      <c r="N141" s="339"/>
      <c r="O141" s="339"/>
      <c r="P141" s="339"/>
    </row>
    <row r="142" spans="1:16" ht="30" customHeight="1">
      <c r="A142" s="339" t="str">
        <f>IFERROR(INDEX(PMIS_Trade_Notes!$A$2:$A$40,4),"")</f>
        <v>04</v>
      </c>
      <c r="B142" s="339" t="str">
        <f>IF($A142="","",IFERROR(INDEX(PMIS_Trade_Notes!$J$2:$J$40,4),""))</f>
        <v>• B04-Q1 — Confirm final TR room list: B05, 141, and 244A; are there additional served-from rooms? [Open] Impact: Incomplete room inventory / missed scope
• B04-Q2 — Are B05, 141, and 244A cooling systems on emergency/backup power? [Open] Impact: Cooling continuity not confirmed
• B04-Q3 — Where are clean-agent/CO2 extinguisher cabinets located within 75 ft of each TR? [Open] Impact: Life safety acceptance risk
• B04-Q4 — What is the approved migration and cutover sequence for active Building 04 services? [Open] Impact: Potential communications outage
• B04-Q5 — Are hazardous/abatement impacts cleared for basement and first-level penetrations/floor work? [Open] Impact: Work stoppage or exposure risk
• B04-Q6 — Are all B04 panelboards/feeders/breakers/SPDs/load measurements approved before renovation? [Open] Impact: Electrical delay or overload risk</v>
      </c>
      <c r="C142" s="339" t="str">
        <f>IF($A142="","",IFERROR(INDEX(PMIS_Trade_Notes!$K$2:$K$40,4),""))</f>
        <v>B04 has multiple TRs across basement/first/second levels; field verification, abatement coordination, cooling power, firestopping, and cutover phasing remain open.</v>
      </c>
      <c r="D142" s="339" t="str">
        <f>IF($A142="","",IFERROR(INDEX(PMIS_Trade_Notes!$D$2:$D$40,4),""))</f>
        <v>• Fully sprinklered building; basement TR requires verification of sprinkler coverage and impairment planning.
• FEC with clean-agent 2A:10B:C extinguisher within 75 ft; TR open to deck; maintain rated assemblies.
• Verify sprinkler/fire alarm device locations and firestop for riser/pathway penetrations.</v>
      </c>
      <c r="E142" s="339" t="str">
        <f>IF($A142="","",IFERROR(INDEX(PMIS_Trade_Notes!$E$2:$E$40,4),""))</f>
        <v>• Verify dedicated cooling for two-rack basement TR and whether unit/controls/condensate are backed up.
• Verify dedicated cooling and coordination with open-to-deck room, racks, cable tray, and access control.
• Verify cooling unit, routing, condensate, controls, and emergency/backup power path.</v>
      </c>
      <c r="F142" s="339" t="str">
        <f>IF($A142="","",IFERROR(INDEX(PMIS_Trade_Notes!$F$2:$F$40,4),""))</f>
        <v>• Panel schedule shows B04-NPA-TR in Telecom Room B05, feeding B04-TRB05A/B; TRB05A includes rack receptacle and branch circuits.
• Panel schedule identifies B04-TR141A 60A 3-pole load; verify rack/UPS/PDU circuiting.
• Panel schedule identifies B04-TR244A 60A 3-pole load; confirm panel/circuit locations and source.</v>
      </c>
      <c r="G142" s="339" t="str">
        <f>IF($A142="","",IFERROR(INDEX(PMIS_Trade_Notes!$G$2:$G$40,4),""))</f>
        <v>• New rack elevations show two 4-post floor racks with UPS, Zone PDU, cable managers, network switches, Cat6A patch panels, Cat5E patch panel, and Fiber LIU.
• New rack elevation shows one 4-post rack plus future rack; includes UPS, future Zone PDU, switches, cable managers, Cat6A patch panels, Cat5E patch panel, and Fiber LIU.
• TR/panel identified; verify rack elevation and pathway details against 04T sheets.</v>
      </c>
      <c r="H142" s="529"/>
      <c r="I142" s="529"/>
      <c r="J142" s="339"/>
      <c r="K142" s="339"/>
      <c r="L142" s="339"/>
      <c r="M142" s="339"/>
      <c r="N142" s="339"/>
      <c r="O142" s="339"/>
      <c r="P142" s="339"/>
    </row>
    <row r="143" spans="1:16" ht="30" customHeight="1">
      <c r="A143" s="339" t="str">
        <f>IFERROR(INDEX(PMIS_Trade_Notes!$A$2:$A$40,5),"")</f>
        <v>05</v>
      </c>
      <c r="B143" s="339" t="str">
        <f>IF($A143="","",IFERROR(INDEX(PMIS_Trade_Notes!$J$2:$J$40,5),""))</f>
        <v>• B05-Q1 — Confirm final TE room/location: Room 150 new TE and Room 153-A existing TE transition point? [Open] Impact: Room inventory could be wrong
• B05-Q2 — What active services are currently fed from the existing 153-A TE/legacy patch panels? [Open] Impact: Potential communications outage
• B05-Q3 — What is the approved cutover sequence from existing 153-A equipment to new Room 150 TE? [Open] Impact: Cutover risk
• B05-Q4 — Which electrical panel/circuit serves the Room 150 UPS/PDU outlets? [Open] Impact: Power source cannot be verified
• B05-Q5 — Is emergency/backup power required or provided for the TE UPS/PDU source? [Open] Impact: Continuity requirement unclear
• B05-Q6 — Are firestopping locations and surface raceway/conduit routes shown and coordinated? [Open] Impact: Rated assembly/firestop risk</v>
      </c>
      <c r="C143" s="339" t="str">
        <f>IF($A143="","",IFERROR(INDEX(PMIS_Trade_Notes!$K$2:$K$40,5),""))</f>
        <v>Building 05 receives a Telecom Enclosure only; mechanical and fire protection scope is excluded, so TE power, telecom cutover, existing room conditions, and fire/life-safety interfaces must be verified.</v>
      </c>
      <c r="D143" s="339" t="str">
        <f>IF($A143="","",IFERROR(INDEX(PMIS_Trade_Notes!$D$2:$D$40,5),""))</f>
        <v>• Cover sheet note states mechanical and fire protection scope excluded; still verify firestopping and existing fire alarm/life safety impacts.
• Existing conditions only; verify protection-in-place and no unsealed penetrations after cabling.</v>
      </c>
      <c r="E143" s="339" t="str">
        <f>IF($A143="","",IFERROR(INDEX(PMIS_Trade_Notes!$E$2:$E$40,5),""))</f>
        <v>• Mechanical scope is excluded for Building 05; verify TE heat load is acceptable in existing space and does not require added cooling.
• Existing wall/wall-mount TE area; verify existing environmental conditions during field survey.</v>
      </c>
      <c r="F143" s="339" t="str">
        <f>IF($A143="","",IFERROR(INDEX(PMIS_Trade_Notes!$F$2:$F$40,5),""))</f>
        <v>• 05T-604 shows APC UPS, two PDU L-530 input / NEMA 5-20 output units, 1200V outlet UPS, and 1200V outlet PDU; verify actual electrical schedule/panel/circuit source.
• Existing elevation shows floor UPS and legacy wall-mounted TE equipment; protect active equipment until cutover.</v>
      </c>
      <c r="G143" s="339" t="str">
        <f>IF($A143="","",IFERROR(INDEX(PMIS_Trade_Notes!$G$2:$G$40,5),""))</f>
        <v>• New Room 150 Telecom Enclosure: 12RU TE with APC UPS, PDUs, cable managers, 48-port angled patch panels, 48-port Cat6A patch panel, and Fiber LIU.
• Existing Room 153-A wall/wall-mount TE contains Cisco switches and legacy 24-port patch panels; confirm cutover, reuse, demo, and records.</v>
      </c>
      <c r="H143" s="529"/>
      <c r="I143" s="529"/>
      <c r="J143" s="339"/>
      <c r="K143" s="339"/>
      <c r="L143" s="339"/>
      <c r="M143" s="339"/>
      <c r="N143" s="339"/>
      <c r="O143" s="339"/>
      <c r="P143" s="339"/>
    </row>
    <row r="144" spans="1:16" ht="30" customHeight="1">
      <c r="A144" s="339" t="str">
        <f>IFERROR(INDEX(PMIS_Trade_Notes!$A$2:$A$40,6),"")</f>
        <v>06</v>
      </c>
      <c r="B144" s="339" t="str">
        <f>IF($A144="","",IFERROR(INDEX(PMIS_Trade_Notes!$J$2:$J$40,6),""))</f>
        <v>• B06-Q1 — Confirm final TR/TE scope: B-01 existing equipment, Room 178, and Room 233? [Open] Impact: Room inventory could miss scope
• B06-Q2 — What active services are fed from existing B-01 and Room 178 legacy equipment? [Open] Impact: Potential communications outage
• B06-Q3 — What is the approved cutover sequence for B-01, 178 and 233? [Open] Impact: Cutover risk
• B06-Q4 — Are IU-1-01/CU-1-01 and IU-2-01/CU-2-01 on emergency/backup power? [Open] Impact: Cooling continuity unclear
• B06-Q5 — Where are clean-agent/CO2 extinguisher cabinets located within 75 ft of each TR? [Open] Impact: Life safety acceptance risk
• B06-Q6 — Are all panel load measurements, replacement panels, breakers, SPDs and labels approved? [Open] Impact: Electrical readiness unknown</v>
      </c>
      <c r="C144" s="339" t="str">
        <f>IF($A144="","",IFERROR(INDEX(PMIS_Trade_Notes!$K$2:$K$40,6),""))</f>
        <v>Building 06 has active existing telecom equipment plus new TR work in Rooms 178 and 233; field verification, cutover phasing, cooling, firestopping, and emergency power remain open.</v>
      </c>
      <c r="D144" s="339" t="str">
        <f>IF($A144="","",IFERROR(INDEX(PMIS_Trade_Notes!$D$2:$D$40,6),""))</f>
        <v>• Existing equipment area; verify no cabling penetrations are left unsealed.
• Fully sprinklered building; verify sprinkler modifications, fire alarm devices, FEC location, and impairment/fire watch needs.
• Architectural enlarged views call for 1-hour fire/smoke-rated walls, 45-minute door/frame, and FEC within 75 ft.</v>
      </c>
      <c r="E144" s="339" t="str">
        <f>IF($A144="","",IFERROR(INDEX(PMIS_Trade_Notes!$E$2:$E$40,6),""))</f>
        <v>• Verify basement equipment environmental condition and any heat/load issues during cutover.
• Mechanical enlarged plan shows new indoor unit IU-1-01 and outdoor CU-1-01; confirm 208V emergency power, BACnet adapter, thermostat, condensate route.
• Mechanical enlarged plan shows new indoor unit IU-2-01 and outdoor CU-2-01; confirm 208V emergency power, condensate and controls.</v>
      </c>
      <c r="F144" s="339" t="str">
        <f>IF($A144="","",IFERROR(INDEX(PMIS_Trade_Notes!$F$2:$F$40,6),""))</f>
        <v>• Existing UPS on floor shown at B-01; protect active service and confirm any transition/demo requirements.
• Panel schedule shows B06-EP-TR in Telecom Room 178; B06-TR178A/B panels and SPD requirements; load measurement required prior to panel renovation.
• Panel schedule identifies B06-TR233A/B in Telecom Room 233; verify source, circuits, rack receptacles and emergency power.</v>
      </c>
      <c r="G144" s="339" t="str">
        <f>IF($A144="","",IFERROR(INDEX(PMIS_Trade_Notes!$G$2:$G$40,6),""))</f>
        <v>• Existing Cisco switches, legacy 48-port patch panels, wall/wall-mount TE and floor UPS.
• Existing Room 178 rack elevations show multiple existing 2-post racks; new electrical, cable path, grounding and cutover require verification.
• Room 233 future new rack elevation shows UPS, network switches, cable managers, Cat6A patch panels, Cat5E patch panel and Fiber LIU.</v>
      </c>
      <c r="H144" s="529"/>
      <c r="I144" s="529"/>
      <c r="J144" s="339"/>
      <c r="K144" s="339"/>
      <c r="L144" s="339"/>
      <c r="M144" s="339"/>
      <c r="N144" s="339"/>
      <c r="O144" s="339"/>
      <c r="P144" s="339"/>
    </row>
    <row r="145" spans="1:16" ht="30" customHeight="1">
      <c r="A145" s="339" t="str">
        <f>IFERROR(INDEX(PMIS_Trade_Notes!$A$2:$A$40,7),"")</f>
        <v>07</v>
      </c>
      <c r="B145" s="339" t="str">
        <f>IF($A145="","",IFERROR(INDEX(PMIS_Trade_Notes!$J$2:$J$40,7),""))</f>
        <v>• B07-Q1 — Confirm final TR scope: B-18 basement and 228A second floor only? [Open] Impact: Room inventory could miss scope
• B07-Q2 — Are IU-0-01/CU-0-01 assigned to B-18 and IU-2-01/CU-2-01 assigned to 228A? [Open] Impact: Cooling scope unclear
• B07-Q3 — Are cooling units and controls on emergency/backup power? [Open] Impact: Cooling continuity not confirmed
• B07-Q4 — Where are clean-agent/CO2 extinguisher cabinets located within 75 ft of each TR? [Open] Impact: Life safety acceptance risk
• B07-Q5 — What active services are currently fed from B-18 and/or existing pathways serving 228A? [Open] Impact: Potential communications outage
• B07-Q6 — Are all B07 panelboard sources, circuits, SPDs, labels and load measurements approved? [Open] Impact: Electrical readiness unknown</v>
      </c>
      <c r="C145" s="339" t="str">
        <f>IF($A145="","",IFERROR(INDEX(PMIS_Trade_Notes!$K$2:$K$40,7),""))</f>
        <v>Building 07 includes basement TR B-18 and second-level TR 228A; field verification, active-service cutover, cooling, firestopping, rated construction, and power source confirmation remain open.</v>
      </c>
      <c r="D145" s="339" t="str">
        <f>IF($A145="","",IFERROR(INDEX(PMIS_Trade_Notes!$D$2:$D$40,7),""))</f>
        <v>• Fully sprinklered building; basement TR requires sprinkler coverage verification, firestop at cabling/sleeves and impairment coordination.
• Architectural notes require clean-agent 2A:10B:C extinguisher within 75 ft, 45-minute rated door/frame and rated wall construction; verify FA/FP modifications.</v>
      </c>
      <c r="E145" s="339" t="str">
        <f>IF($A145="","",IFERROR(INDEX(PMIS_Trade_Notes!$E$2:$E$40,7),""))</f>
        <v>• Mechanical schedule lists 18,000 BTUH wall-mounted IU-0-01 and CU-0-01; verify exact room assignment, emergency power, condensate, controls and high-temp alarm.
• Mechanical schedule lists 36,000 BTUH wall-mounted IU-2-01 and CU-2-01; electrical enlarged plan shows IU-2-01 at TR 228A; verify emergency power and condensate route.</v>
      </c>
      <c r="F145" s="339" t="str">
        <f>IF($A145="","",IFERROR(INDEX(PMIS_Trade_Notes!$F$2:$F$40,7),""))</f>
        <v>• Electrical enlarged plans identify B07-TRB18A/B circuits serving basement TR equipment; verify panel source, receptacles, SPD, emergency source and load measurement.
• Electrical enlarged plans identify B07-TR228A/B circuits serving TR 228A equipment and IU-2-01; verify rack receptacles, cooling power, SPD and labels.</v>
      </c>
      <c r="G145" s="339" t="str">
        <f>IF($A145="","",IFERROR(INDEX(PMIS_Trade_Notes!$G$2:$G$40,7),""))</f>
        <v>• 07T-604 rack elevation: 1 rack plus future; includes UPS, future Zone PDU, cable managers, network switches, three 48-port Cat6A angled patch panels, 24-port Cat5E patch panel and Fiber LIU.
• TR 228A is shown on second-level telecom/electrical enlarged plans; verify rack elevation, fiber paths, Cat6A replacement, labeling/testing and VA acceptance before cutover.</v>
      </c>
      <c r="H145" s="529"/>
      <c r="I145" s="529"/>
      <c r="J145" s="339"/>
      <c r="K145" s="339"/>
      <c r="L145" s="339"/>
      <c r="M145" s="339"/>
      <c r="N145" s="339"/>
      <c r="O145" s="339"/>
      <c r="P145" s="339"/>
    </row>
    <row r="146" spans="1:16" ht="30" customHeight="1">
      <c r="A146" s="339" t="str">
        <f>IFERROR(INDEX(PMIS_Trade_Notes!$A$2:$A$40,8),"")</f>
        <v>08</v>
      </c>
      <c r="B146" s="339" t="str">
        <f>IF($A146="","",IFERROR(INDEX(PMIS_Trade_Notes!$J$2:$J$40,8),""))</f>
        <v>• B08-Q1 — Confirm final scope: existing B-15 equipment, B12B TE/cabling area, and new TR 2065A? [Open] Impact: Room inventory may miss scope
• B08-Q2 — What active services are currently fed from existing B-15 equipment? [Open] Impact: Potential communications outage
• B08-Q3 — Is B12B truly a TE/equipment location or only a cabling pathway/service area? [Open] Impact: Scope ambiguity
• B08-Q4 — Is IU-2-01/CU-2-01 dedicated to TR 2065A and on emergency/backup power? [Open] Impact: Cooling continuity unclear
• B08-Q5 — Where are clean-agent/CO2 extinguisher cabinets located within 75 ft of each TR/TE? [Open] Impact: Life safety acceptance risk
• B08-Q6 — Are all B08 panelboard sources, circuits, SPDs, rack receptacles and load measurements approved? [Open] Impact: Electrical readiness unknown</v>
      </c>
      <c r="C146" s="339" t="str">
        <f>IF($A146="","",IFERROR(INDEX(PMIS_Trade_Notes!$K$2:$K$40,8),""))</f>
        <v>Building 08 includes existing basement telecom equipment at B-15, basement TE/cabling scope at B12B, and new second-level TR 2065A; field verification, abatement, rated construction, cooling/power, firestopping, and cutover phasing remain open.</v>
      </c>
      <c r="D146" s="339" t="str">
        <f>IF($A146="","",IFERROR(INDEX(PMIS_Trade_Notes!$D$2:$D$40,8),""))</f>
        <v>• Existing equipment area; verify no new penetrations are left unsealed and active systems remain protected.
• Door schedule shows 45-minute door; verify fire/smoke requirements, FEC requirement applicability, firestopping and temporary barriers.
• Architectural notes require new 45-minute door, clean-agent 2A:10B:C extinguisher within 75 ft, open-to-deck telecom room and 1-hour fire/smoke-rated existing wall upgrades.</v>
      </c>
      <c r="E146" s="339" t="str">
        <f>IF($A146="","",IFERROR(INDEX(PMIS_Trade_Notes!$E$2:$E$40,8),""))</f>
        <v>• Verify existing environmental conditions and whether active legacy equipment remains during cutover.
• Field verify whether TE equipment load requires cooling or if served by existing building HVAC.
• Mechanical schedule lists IU-2-01/CU-2-01 at 36,000 BTUH; verify room assignment, emergency power, condensate pump/route, BACnet controller and controls.</v>
      </c>
      <c r="F146" s="339" t="str">
        <f>IF($A146="","",IFERROR(INDEX(PMIS_Trade_Notes!$F$2:$F$40,8),""))</f>
        <v>• Existing rack elevation shows floor UPS and legacy equipment; protect active service and verify transition/demo requirements.
• Electrical schedule includes TE receptacle Room B12B; confirm panel/circuit source and if B12B is served from telecom panel.
• Electrical schedule identifies B08-TR2065AB in Telecom Room 2065A with TR receptacles, rack receptacles, lighting, access controller, CU-2-01 and SPD notes; verify B08-TR2065AA source/scope.</v>
      </c>
      <c r="G146" s="339" t="str">
        <f>IF($A146="","",IFERROR(INDEX(PMIS_Trade_Notes!$G$2:$G$40,8),""))</f>
        <v>• Existing Room B-15 rack elevations show wall/wall-mounted TE, legacy 24/48-port patch panels, legacy Fiber LIU and UPS.
• Telecom schedule uses Rack ID TE01-B12B-1; 80 WAO total, 159 active ports per survey, 116 total ports per schedule, and 128 total ports with 10% allowance.
• New Room 2065A rack elevations show two 4-post floor racks; Rack 1 includes Fiber LIU, 24-port Cat5E patch panel, four 48-port Cat6A patch panels, network switches, Zone PDU and UPS; Rack 2 includes future switches and UPS.</v>
      </c>
      <c r="H146" s="529"/>
      <c r="I146" s="529"/>
      <c r="J146" s="339"/>
      <c r="K146" s="339"/>
      <c r="L146" s="339"/>
      <c r="M146" s="339"/>
      <c r="N146" s="339"/>
      <c r="O146" s="339"/>
      <c r="P146" s="339"/>
    </row>
    <row r="147" spans="1:16" ht="30" customHeight="1">
      <c r="A147" s="339" t="str">
        <f>IFERROR(INDEX(PMIS_Trade_Notes!$A$2:$A$40,9),"")</f>
        <v>09</v>
      </c>
      <c r="B147" s="339" t="str">
        <f>IF($A147="","",IFERROR(INDEX(PMIS_Trade_Notes!$J$2:$J$40,9),""))</f>
        <v>• B09-Q1 — Confirm final TR scope: B01 basement, 104B first level, and 206A second level? [Open] Impact: Room inventory may miss scope
• B09-Q2 — What active services are currently fed from B01 existing equipment/security/network devices? [Open] Impact: Potential communications/security outage
• B09-Q3 — What hazardous/abatement steps apply to B01, 104B and 206A work areas? [Open] Impact: Work delay or exposure risk
• B09-Q4 — Are IU-0-01/CU-0-1, IU-1-01/CU-1-1 and IU-2-01/CU-2-1 on emergency/backup power? [Open] Impact: Cooling continuity unclear
• B09-Q5 — Where are clean-agent/CO2 extinguisher cabinets located within 75 ft of each TR? [Open] Impact: Life safety acceptance risk
• B09-Q6 — Are all B09 panelboard sources, circuits, SPDs, rack receptacles and load measurements approved? [Open] Impact: Electrical readiness unknown</v>
      </c>
      <c r="C147" s="339" t="str">
        <f>IF($A147="","",IFERROR(INDEX(PMIS_Trade_Notes!$K$2:$K$40,9),""))</f>
        <v>Building 09 includes three telecom spaces across basement, first, and second levels; field verification, hazardous material coordination, active service cutover, cooling, power/panel source, firestopping, and rated wall/door work remain open.</v>
      </c>
      <c r="D147" s="339" t="str">
        <f>IF($A147="","",IFERROR(INDEX(PMIS_Trade_Notes!$D$2:$D$40,9),""))</f>
        <v>• Fully sprinklered building; verify sprinkler head coverage, rated penetrations, temporary firestopping, and FEC location for basement TR.
• Fire protection enlarged plan shows Telecom Room 104B and rated wall legend; verify sprinkler/fire alarm modifications and clean-agent extinguisher within 75 ft.
• Fire protection enlarged plan shows Telecom Room 206A; verify sprinkler cage/coverage, fire alarm device relocation/additions, and rated penetrations.</v>
      </c>
      <c r="E147" s="339" t="str">
        <f>IF($A147="","",IFERROR(INDEX(PMIS_Trade_Notes!$E$2:$E$40,9),""))</f>
        <v>• Electrical enlarged/panel data identifies CU-0-1 serving basement work; verify mechanical schedule, emergency source, condensate, controls and alarms.
• Electrical enlarged plan identifies IU-1-01 in Telecom Room 104B and CU-1-1; verify dedicated 24/7 cooling and emergency power.
• Electrical enlarged plan identifies IU-2-01 in Telecom Room 206A and CU-2-1; verify dedicated 24/7 cooling and emergency power.</v>
      </c>
      <c r="F147" s="339" t="str">
        <f>IF($A147="","",IFERROR(INDEX(PMIS_Trade_Notes!$F$2:$F$40,9),""))</f>
        <v>• Panel schedule lists B09-TRB01A/B in Telecom Room B01 with 208Y/120V panels, rack receptacles, access controller, mechanical equipment, lighting and SPD notes.
• Electrical enlarged plan shows panel references B09-TR104BA/B, IU-1-01, security devices, lighting and receptacle/rack circuits.
• Electrical enlarged plan shows panel references B09-TR206AA/B, IU-2-01, security devices, lighting and receptacle/rack circuits.</v>
      </c>
      <c r="G147" s="339" t="str">
        <f>IF($A147="","",IFERROR(INDEX(PMIS_Trade_Notes!$G$2:$G$40,9),""))</f>
        <v>• Fiber riser identifies Building 09 basement B01 with two-rack TR; verify rack elevations, fiber Path A/B, Cat6A replacement, LIU, bonding and cutover.
• Fiber riser identifies first-level Room 104B with two-rack TR; verify rack elevation details, patch panels, UPS/PDU, fiber LIU, grounding and test records.
• Fiber riser identifies second-level Room 206A with two-rack TR; verify rack elevation details, patch panels, UPS/PDU, fiber LIU, grounding and test records.</v>
      </c>
      <c r="H147" s="529"/>
      <c r="I147" s="529"/>
      <c r="J147" s="339"/>
      <c r="K147" s="339"/>
      <c r="L147" s="339"/>
      <c r="M147" s="339"/>
      <c r="N147" s="339"/>
      <c r="O147" s="339"/>
      <c r="P147" s="339"/>
    </row>
    <row r="148" spans="1:16" ht="30" customHeight="1">
      <c r="A148" s="339" t="str">
        <f>IFERROR(INDEX(PMIS_Trade_Notes!$A$2:$A$40,10),"")</f>
        <v>10</v>
      </c>
      <c r="B148" s="339" t="str">
        <f>IF($A148="","",IFERROR(INDEX(PMIS_Trade_Notes!$J$2:$J$40,10),""))</f>
        <v>• B10-Q1 — Confirm final scope: attic Telecom Room 200A only, with basement electrical source coordination in B24/B25? [Open] Impact: Room inventory could miss scope
• B10-Q2 — What active services are currently fed from the existing wall-mounted rack/equipment in Room 200A? [Open] Impact: Potential communications outage
• B10-Q3 — What attic hazardous material/abatement steps apply before cabling, penetrations, HVAC or electrical work? [Open] Impact: Work delay/exposure risk
• B10-Q4 — Is IU-1-01/CU-1-01 on emergency/backup power and does it serve Room 200A only? [Open] Impact: Cooling continuity unclear
• B10-Q5 — Where is the clean-agent/CO2 extinguisher cabinet located within 75 ft of Room 200A? [Open] Impact: Life-safety acceptance risk
• B10-Q6 — Are B10-TR200AA/AB, B10-MDP, B10-L10-E and ATS-B10-LSD source circuits/load measurements approved? [Open] Impact: Electrical readiness unknown</v>
      </c>
      <c r="C148" s="339" t="str">
        <f>IF($A148="","",IFERROR(INDEX(PMIS_Trade_Notes!$K$2:$K$40,10),""))</f>
        <v>Building 10 scope centers on attic Telecom Room 200A with related basement electrical source rooms B24/B25, attic hazardous material abatement, dedicated cooling, new telecom panels, rack/UPS/PDU equipment, firestopping, and cutover coordination.</v>
      </c>
      <c r="D148" s="339" t="str">
        <f>IF($A148="","",IFERROR(INDEX(PMIS_Trade_Notes!$D$2:$D$40,10),""))</f>
        <v>• Attic-level TR requires verification of sprinkler/fire alarm modifications, clean-agent 2A:10B:C FEC within 75 ft, rated penetrations and temporary firestopping.
• Electrical work may require penetrations or shutdowns; verify firestopping and protection-in-place.
• Emergency electrical room coordination; verify no unsealed penetrations or life-safety impairment.</v>
      </c>
      <c r="E148" s="339" t="str">
        <f>IF($A148="","",IFERROR(INDEX(PMIS_Trade_Notes!$E$2:$E$40,10),""))</f>
        <v>• Mechanical/electrical drawings identify IU-1-01 in Telecom Room 200A and CU-1-01 outdoor unit; verify capacity, emergency power, condensate route, BACnet adapter and high-temp alarm.
• No dedicated TR cooling scope; verify electrical room ventilation is not impacted by new work.
• No dedicated TR cooling scope; verify emergency electrical room ventilation is not impacted.</v>
      </c>
      <c r="F148" s="339" t="str">
        <f>IF($A148="","",IFERROR(INDEX(PMIS_Trade_Notes!$F$2:$F$40,10),""))</f>
        <v>• Electrical schedule identifies B10-TR200AA/AB in Telecom Room 200A with rack receptacles, TR receptacles, lighting, access controller, CU-1-01 and SPD requirements; verify source and labels.
• Basement normal electrical source; verify load measurement, new breakers/feeders, panel access, LOTO and shutdown sequencing.
• Emergency source coordination; verify generator/ATS feed to TR critical loads and cooling where required.</v>
      </c>
      <c r="G148" s="339" t="str">
        <f>IF($A148="","",IFERROR(INDEX(PMIS_Trade_Notes!$G$2:$G$40,10),""))</f>
        <v>• 10T sheets show attic telecom plan/rack elevations; provide 4-post racks, UPS, redundant PDUs, switches, Cat6A patch panels, Fiber LIU, bonding/grounding, labeling, testing and VA acceptance before cutover.
• Coordinate telecom power pathways through/source from basement electrical room if applicable.
• Coordinate emergency source/backup power pathways for telecom equipment and cooling.</v>
      </c>
      <c r="H148" s="529"/>
      <c r="I148" s="529"/>
      <c r="J148" s="339"/>
      <c r="K148" s="339"/>
      <c r="L148" s="339"/>
      <c r="M148" s="339"/>
      <c r="N148" s="339"/>
      <c r="O148" s="339"/>
      <c r="P148" s="339"/>
    </row>
    <row r="149" spans="1:16" ht="30" customHeight="1">
      <c r="A149" s="339" t="str">
        <f>IFERROR(INDEX(PMIS_Trade_Notes!$A$2:$A$40,11),"")</f>
        <v>12</v>
      </c>
      <c r="B149" s="339" t="str">
        <f>IF($A149="","",IFERROR(INDEX(PMIS_Trade_Notes!$J$2:$J$40,11),""))</f>
        <v>• B12-Q1 — Confirm Building 12 scope is fiber-only with no new TR, no new rack, no new electrical, HVAC, fire protection, PACS or CCTV work? [Open] Impact: Scope misunderstanding
• B12-Q2 — What exact pathway does the Building 12 fiber take through basement, first and second levels? [Open] Impact: Fiber pull and access risk
• B12-Q3 — Where does the Building 12 fiber terminate, and is the existing rack/demarc/closet to be touched? [Open] Impact: Termination and ownership unclear
• B12-Q4 — Are existing conduits/cable trays available and below fill limits for the new fiber? [Open] Impact: Pathway capacity risk
• B12-Q5 — Are there any floor/rated wall penetrations requiring firestop or temporary firestop during cable pull? [Open] Impact: Life safety/firestop risk
• B12-Q6 — What is the approved cutover/testing/acceptance sequence for Building 12 fiber? [Open] Impact: Possible outage or acceptance delay</v>
      </c>
      <c r="C149" s="339" t="str">
        <f>IF($A149="","",IFERROR(INDEX(PMIS_Trade_Notes!$K$2:$K$40,11),""))</f>
        <v>Building 12 is explicitly identified as fiber-only with no new TR buildout, no new rack, and no electrical/HVAC/fire protection drawing packages; key owner risk is confirming pull-through fiber path, existing service continuity, pathway/firestopping, and VA/OIT acceptance before cutover.</v>
      </c>
      <c r="D149" s="339" t="str">
        <f>IF($A149="","",IFERROR(INDEX(PMIS_Trade_Notes!$D$2:$D$40,11),""))</f>
        <v>• No fire protection drawing package beyond general notes; verify penetrations/firestopping for fiber pull-through route.
• No new TR/FEC shown; verify no rated assemblies are compromised by fiber pathway work.</v>
      </c>
      <c r="E149" s="339" t="str">
        <f>IF($A149="","",IFERROR(INDEX(PMIS_Trade_Notes!$E$2:$E$40,11),""))</f>
        <v>• No HVAC drawing package for Building 12; fiber-only scope does not indicate new cooling equipment.
• Field verify existing environmental conditions only if existing service point/equipment is accessed.</v>
      </c>
      <c r="F149" s="339" t="str">
        <f>IF($A149="","",IFERROR(INDEX(PMIS_Trade_Notes!$F$2:$F$40,11),""))</f>
        <v>• No electrical drawing package for Building 12; no new panel/UPS/PDU/rack receptacle scope shown.
• Confirm whether any existing equipment is touched. Scope appears limited to fiber pull-through and testing/labeling.</v>
      </c>
      <c r="G149" s="339" t="str">
        <f>IF($A149="","",IFERROR(INDEX(PMIS_Trade_Notes!$G$2:$G$40,11),""))</f>
        <v>• Building 12 receives fiber only. Verify pull-through path on basement/first/second telecom plans, redundant Path A/B fiber, pathway capacity, grounding/bonding where applicable, labeling and testing.
• 12T-604 shows rack number 00/room 00 and notes fiber-only with no mounting type; verify existing service/termination point and whether fiber passes through only.</v>
      </c>
      <c r="H149" s="529"/>
      <c r="I149" s="529"/>
      <c r="J149" s="339"/>
      <c r="K149" s="339"/>
      <c r="L149" s="339"/>
      <c r="M149" s="339"/>
      <c r="N149" s="339"/>
      <c r="O149" s="339"/>
      <c r="P149" s="339"/>
    </row>
    <row r="150" spans="1:16" ht="30" customHeight="1">
      <c r="A150" s="339" t="str">
        <f>IFERROR(INDEX(PMIS_Trade_Notes!$A$2:$A$40,12),"")</f>
        <v>13</v>
      </c>
      <c r="B150" s="339" t="str">
        <f>IF($A150="","",IFERROR(INDEX(PMIS_Trade_Notes!$J$2:$J$40,12),""))</f>
        <v>• B13-Q1 — Confirm final telecom scope: new Room 124 and existing Tel Room 222 transition only? [Open] Impact: Room inventory could miss scope
• B13-Q2 — What active services are currently fed from existing Tel Room 222 equipment? [Open] Impact: Potential communications/security outage
• B13-Q3 — What hazardous/abatement steps apply to first-level Room 124 work? [Open] Impact: Work delay or exposure risk
• B13-Q4 — Is IU-1-01/CU-1-01 on emergency/backup power and dedicated to Room 124? [Open] Impact: Cooling continuity unclear
• B13-Q5 — Where is the clean-agent/CO2 extinguisher cabinet located within 75 ft of Room 124? [Open] Impact: Life-safety acceptance risk
• B13-Q6 — Are B13-TR124AA/AB sources, rack receptacles, SPDs, circuit labels and load measurements approved? [Open] Impact: Electrical readiness unknown</v>
      </c>
      <c r="C150" s="339" t="str">
        <f>IF($A150="","",IFERROR(INDEX(PMIS_Trade_Notes!$K$2:$K$40,12),""))</f>
        <v>Building 13 includes new first-level Telecom Room 124 and existing second-level Tel Room 222; field verification, active service cutover, 240V UPS/PDU power, dedicated cooling, first-level hazardous material coordination, firestopping, and PACS/CCTV integration remain open.</v>
      </c>
      <c r="D150" s="339" t="str">
        <f>IF($A150="","",IFERROR(INDEX(PMIS_Trade_Notes!$D$2:$D$40,12),""))</f>
        <v>• Fully sprinklered building; confirm sprinkler/fire alarm modifications, clean-agent 2A:10B:C extinguisher within 75 ft, rated wall/ceiling penetrations, and temporary firestopping during cable pulls.
• Existing tel room; verify fire alarm/sprinkler protection-in-place and seal any removed/reused penetration after cutover.</v>
      </c>
      <c r="E150" s="339" t="str">
        <f>IF($A150="","",IFERROR(INDEX(PMIS_Trade_Notes!$E$2:$E$40,12),""))</f>
        <v>• Mechanical/electrical drawings show IU-1-01 in Telecom Room 124 and CU-1-01 outdoor unit. Confirm capacity, emergency/standby source, BACnet adapter, thermostat/control point, condensate path, disconnects, and high-temperature alarm.
• Existing Tel Room 222 photo/reference notes show existing indoor AC unit; verify whether it remains active, is abandoned, or needs protection during cutover.</v>
      </c>
      <c r="F150" s="339" t="str">
        <f>IF($A150="","",IFERROR(INDEX(PMIS_Trade_Notes!$F$2:$F$40,12),""))</f>
        <v>• Electrical enlarged plans and schedules identify B13-TR124AA/AB, 240V 1-phase UPS circuits, normal/emergency rack power, rack receptacles, TR receptacles, access/security devices, lighting, CU-1-01, and SPD requirements.
• Existing rack/equipment area; verify power source, active equipment, UPS status, and transition requirements before disconnect or removal.</v>
      </c>
      <c r="G150" s="339" t="str">
        <f>IF($A150="","",IFERROR(INDEX(PMIS_Trade_Notes!$G$2:$G$40,12),""))</f>
        <v>• 13T-701 identifies Room 124 schedule: 58 WAO total, 65 active ports per survey, 91 total ports per schedule, and 100 total ports with 10% allowance. New Rack ID TR01-124-1 serves first and second level outlets with Fiber Path A/B.
• Existing Room 222 equipment includes wall-mounted rack, telco patch, plywood backboard, patch panel, security cabinet, and existing AC; verify active services and transfer plan to Room 124.</v>
      </c>
      <c r="H150" s="529"/>
      <c r="I150" s="529"/>
      <c r="J150" s="339"/>
      <c r="K150" s="339"/>
      <c r="L150" s="339"/>
      <c r="M150" s="339"/>
      <c r="N150" s="339"/>
      <c r="O150" s="339"/>
      <c r="P150" s="339"/>
    </row>
    <row r="151" spans="1:16" ht="30" customHeight="1">
      <c r="A151" s="339" t="str">
        <f>IFERROR(INDEX(PMIS_Trade_Notes!$A$2:$A$40,13),"")</f>
        <v>14</v>
      </c>
      <c r="B151" s="339" t="str">
        <f>IF($A151="","",IFERROR(INDEX(PMIS_Trade_Notes!$J$2:$J$40,13),""))</f>
        <v>• B14-Q1 — Confirm final telecom scope: new Room 119 and existing basement B.01/B2 transition only? [Open] Impact: Room inventory could miss scope
• B14-Q2 — What active services are currently fed from existing B.01/B2 equipment? [Open] Impact: Potential communications/security outage
• B14-Q3 — What hazardous/abatement steps apply to first-level Room 119 work? [Open] Impact: Work delay or exposure risk
• B14-Q4 — Is IU-1-01/CU-1-01 on emergency/backup power and dedicated to Room 119? [Open] Impact: Cooling continuity unclear
• B14-Q5 — Where is the clean-agent/CO2 extinguisher cabinet located within 75 ft of Room 119? [Open] Impact: Life-safety acceptance risk
• B14-Q6 — Are B14-TR119A/B sources, rack receptacles, SPDs, circuit labels and load measurements approved? [Open] Impact: Electrical readiness unknown</v>
      </c>
      <c r="C151" s="339" t="str">
        <f>IF($A151="","",IFERROR(INDEX(PMIS_Trade_Notes!$K$2:$K$40,13),""))</f>
        <v>Building 14 includes new first-level Telecom Room 119 and existing basement telecom rooms B.01/B2; field verification, active service cutover, 240V UPS/PDU power, dedicated cooling, first-level hazardous material coordination, firestopping, and PACS/CCTV integration remain open.</v>
      </c>
      <c r="D151" s="339" t="str">
        <f>IF($A151="","",IFERROR(INDEX(PMIS_Trade_Notes!$D$2:$D$40,13),""))</f>
        <v>• Fully sprinklered building; confirm sprinkler/fire alarm modifications, clean-agent 2A:10B:C extinguisher within 75 ft, rated wall/ceiling penetrations, and temporary firestopping during cable pulls.
• Existing basement tel room; verify fire alarm/sprinkler protection-in-place and seal any removed/reused penetration after cutover.
• Existing basement telecom room; verify no unsealed penetrations remain after cable transfer or reuse.</v>
      </c>
      <c r="E151" s="339" t="str">
        <f>IF($A151="","",IFERROR(INDEX(PMIS_Trade_Notes!$E$2:$E$40,13),""))</f>
        <v>• Mechanical/electrical drawings show IU-1-01 in Telecom Room 119 and CU-1-01 outdoor unit. Confirm capacity, emergency/standby source, BACnet adapter, thermostat/control point, condensate path, disconnects, and high-temperature alarm.
• Existing Tel/F Panel room; verify existing environmental conditions during cutover and whether legacy equipment remains active.
• Existing telecom room reference; field verify cooling/ventilation and active equipment condition.</v>
      </c>
      <c r="F151" s="339" t="str">
        <f>IF($A151="","",IFERROR(INDEX(PMIS_Trade_Notes!$F$2:$F$40,13),""))</f>
        <v>• Electrical plan/schedules identify B14-TR119A/B, 240V rack UPS requirements, normal/emergency rack power, rack receptacles, TR receptacles, lighting, CU-1-01, SPD requirements, and panel load measurement requirements.
• Existing basement wall-mounted TE/equipment area; verify power source, active equipment, UPS/PDU status, and transition requirements before disconnect or removal.
• Existing telecom room photo reference; confirm power sources and any cutover requirements.</v>
      </c>
      <c r="G151" s="339" t="str">
        <f>IF($A151="","",IFERROR(INDEX(PMIS_Trade_Notes!$G$2:$G$40,13),""))</f>
        <v>• 14T-701 identifies Room 119 schedule: 44 WAO total, 29 active ports per survey, 76 total ports per schedule, and 84 total ports with 10% allowance. New Rack ID TR01-119-1 serves first and second level outlets with Fiber Path A/B.
• Existing Room B.01 equipment includes wall-mounted TE, Cisco switch/legacy patch panel, telco patch, plywood backboards, and legacy Fiber LIU; verify active services and transfer plan to Room 119.
• Existing basement telecom room B2 is identified by photo reference; verify active devices, routing, and relation to B.01.</v>
      </c>
      <c r="H151" s="529"/>
      <c r="I151" s="529"/>
      <c r="J151" s="339"/>
      <c r="K151" s="339"/>
      <c r="L151" s="339"/>
      <c r="M151" s="339"/>
      <c r="N151" s="339"/>
      <c r="O151" s="339"/>
      <c r="P151" s="339"/>
    </row>
    <row r="152" spans="1:16" ht="30" customHeight="1">
      <c r="A152" s="339" t="str">
        <f>IFERROR(INDEX(PMIS_Trade_Notes!$A$2:$A$40,14),"")</f>
        <v>15</v>
      </c>
      <c r="B152" s="339" t="str">
        <f>IF($A152="","",IFERROR(INDEX(PMIS_Trade_Notes!$J$2:$J$40,14),""))</f>
        <v>• B15-Q1 — Confirm final telecom scope: new Room 124A and existing Rooms 222/B01 transition only? [Open] Impact: Room inventory could miss scope
• B15-Q2 — Why does 15T-701 reference RM 109A while plans and electrical schedules identify Telecom Room 124A? [Open] Impact: Room naming mismatch could affect PMIS tracking
• B15-Q3 — What active services are currently fed from existing Room 222 and B01 equipment? [Open] Impact: Potential communications/security outage
• B15-Q4 — What hazardous/abatement steps apply to first-level Room 124A work? [Open] Impact: Work delay or exposure risk
• B15-Q5 — Is IU-1-01/CU-1-01 on emergency/backup power and dedicated to Room 124A? [Open] Impact: Cooling continuity unclear
• B15-Q6 — Where is the clean-agent/CO2 extinguisher cabinet located within 75 ft of Room 124A? [Open] Impact: Life-safety acceptance risk</v>
      </c>
      <c r="C152" s="339" t="str">
        <f>IF($A152="","",IFERROR(INDEX(PMIS_Trade_Notes!$K$2:$K$40,14),""))</f>
        <v>Building 15 includes new first-level Telecom Room 124A and existing telecom transition points at second-level Tel Room 222 and basement B01; field verification, active service cutover, 240V UPS/PDU power, dedicated heat-pump cooling, first-level hazardous material coordination, firestopping, and PACS/CCTV integration remain open.</v>
      </c>
      <c r="D152" s="339" t="str">
        <f>IF($A152="","",IFERROR(INDEX(PMIS_Trade_Notes!$D$2:$D$40,14),""))</f>
        <v>• Fully sprinklered building; confirm sprinkler/fire alarm modifications, clean-agent 2A:10B:C extinguisher within 75 ft, rated wall/ceiling penetrations, and temporary firestopping during cable pulls.
• Existing tel room; verify fire alarm/sprinkler protection-in-place and seal any removed/reused penetration after cutover.
• Existing basement telecom/crossover room; verify no unsealed penetrations remain after cable transfer or reuse.</v>
      </c>
      <c r="E152" s="339" t="str">
        <f>IF($A152="","",IFERROR(INDEX(PMIS_Trade_Notes!$E$2:$E$40,14),""))</f>
        <v>• Mechanical/electrical drawings show IU-1-01 in Telecom Room 124A and CU-1-01 outdoor heat-pump/A/C unit. Confirm capacity, emergency/standby source, BACnet adapter, thermostat/control point, condensate path, disconnects, and high-temperature alarm.
• Existing Tel Room 222 is shown with existing/remain indoor AC unit; verify whether it remains active, is abandoned, or needs protection during cutover.
• Existing basement telecom/crossover space; verify environmental conditions and whether active equipment remains during cutover.</v>
      </c>
      <c r="F152" s="339" t="str">
        <f>IF($A152="","",IFERROR(INDEX(PMIS_Trade_Notes!$F$2:$F$40,14),""))</f>
        <v>• Electrical enlarged plans and schedules identify B15-TR124AA/AB, 240V rack UPS requirements, normal/emergency rack power, rack receptacles, TR receptacles, lighting, CU-1-01, SPD requirements, and 30-day load measurement requirements.
• Existing rack/equipment area; verify power source, active equipment, APC floor UPS status, and transition requirements before disconnect or removal.
• Existing B-01 crossover; verify power sources and cutover needs for legacy patch panel/crossover.</v>
      </c>
      <c r="G152" s="339" t="str">
        <f>IF($A152="","",IFERROR(INDEX(PMIS_Trade_Notes!$G$2:$G$40,14),""))</f>
        <v>• 15T-701 identifies Room 109A schedule but field plan/electrical room callouts identify Telecom Room 124A; schedule has 62 WAO total, 76 active ports per survey, 101 total ports per schedule, and 111 total ports with 10% allowance. New Rack ID TR15-109A-01 serves basement, first and second level outlets.
• Existing Room 222 equipment includes wall/wall-mounted TE, Cisco switches, legacy 48-port patch panels, ground bar, plywood backboard, security cabinet, and floor UPS; verify active services and transfer plan to Room 124A.
• Existing B-01 crossover includes legacy 24-port patch panel; verify active devices, routing, and relation to Room 222 and Room 124A.</v>
      </c>
      <c r="H152" s="529"/>
      <c r="I152" s="529"/>
      <c r="J152" s="339"/>
      <c r="K152" s="339"/>
      <c r="L152" s="339"/>
      <c r="M152" s="339"/>
      <c r="N152" s="339"/>
      <c r="O152" s="339"/>
      <c r="P152" s="339"/>
    </row>
    <row r="153" spans="1:16" ht="30" customHeight="1">
      <c r="A153" s="339" t="str">
        <f>IFERROR(INDEX(PMIS_Trade_Notes!$A$2:$A$40,15),"")</f>
        <v>16</v>
      </c>
      <c r="B153" s="339" t="str">
        <f>IF($A153="","",IFERROR(INDEX(PMIS_Trade_Notes!$J$2:$J$40,15),""))</f>
        <v>• B16-Q1 — Confirm final telecom scope: new Room 015 and existing Room 014 transition only? [Open] Impact: Room inventory could miss scope
• B16-Q2 — What active services are currently fed from existing Room 014 equipment? [Open] Impact: Potential communications/security outage
• B16-Q3 — Is IU-1-01/CU-1-01 on emergency/backup power and dedicated to Room 015? [Open] Impact: Cooling continuity unclear
• B16-Q4 — Where is the clean-agent/CO2 extinguisher cabinet located within 75 ft of Room 015? [Open] Impact: Life-safety acceptance risk
• B16-Q5 — Are B16-TR015A/B sources, rack receptacles, SPDs, circuit labels and load measurements approved? [Open] Impact: Electrical readiness unknown
• B16-Q6 — Which existing panel/circuit breaker/feeder demolition and replacement affects Room 015 telecom power? [Open] Impact: Panel outage/cutover risk</v>
      </c>
      <c r="C153" s="339" t="str">
        <f>IF($A153="","",IFERROR(INDEX(PMIS_Trade_Notes!$K$2:$K$40,15),""))</f>
        <v>Building 16 includes new basement Telecom Room 015 and existing basement Telecom Room 014; field verification, active service transfer, 240V UPS/PDU power, dedicated cooling, panel replacement/source coordination, firestopping, PACS/CCTV integration, and cable tray coordination remain open.</v>
      </c>
      <c r="D153" s="339" t="str">
        <f>IF($A153="","",IFERROR(INDEX(PMIS_Trade_Notes!$D$2:$D$40,15),""))</f>
        <v>• Fully sprinklered building; confirm sprinkler/fire alarm modifications, clean-agent 2A:10B:C extinguisher within 75 ft, rated wall/ceiling/floor penetrations, and temporary firestopping during cable pulls.
• Existing telecom room; verify fire alarm/sprinkler protection-in-place and seal any removed/reused penetration after cutover.</v>
      </c>
      <c r="E153" s="339" t="str">
        <f>IF($A153="","",IFERROR(INDEX(PMIS_Trade_Notes!$E$2:$E$40,15),""))</f>
        <v>• Mechanical/electrical drawings show IU-1-01 in Telecom Room 015 and CU-1-01 outdoor unit. Confirm capacity, emergency/standby source, BACnet adapter, thermostat/control point, condensate path, disconnects, and high-temperature alarm.
• Existing Telecom Room 014; verify existing environmental conditions during cutover and whether legacy equipment remains active.</v>
      </c>
      <c r="F153" s="339" t="str">
        <f>IF($A153="","",IFERROR(INDEX(PMIS_Trade_Notes!$F$2:$F$40,15),""))</f>
        <v>• Electrical plans/schedules identify B16-TR015A/B, 240V rack UPS requirements, rack receptacles, TR receptacles, lighting, access controller, CU-1-01, SPD requirements, existing panel demolition/replacement, and 30-day load measurement requirements.
• Existing rack/equipment area; verify power source, active equipment, UPS status, and transition requirements before disconnect or removal.</v>
      </c>
      <c r="G153" s="339" t="str">
        <f>IF($A153="","",IFERROR(INDEX(PMIS_Trade_Notes!$G$2:$G$40,15),""))</f>
        <v>• 16T-701 identifies Room 015-A schedule: 25 WAO total, 25 active ports per survey, 36 total ports per schedule, and 40 total ports with 10% allowance. New Rack ID TR01-015-A-1 serves basement, first, second and attic level outlets.
• Existing Room 014 equipment includes wall/TE rack, floor-mounted UPS, Cisco switch, legacy 12-port modular patch panel and Fiber LIU; verify active services and transfer plan to Room 015.</v>
      </c>
      <c r="H153" s="529"/>
      <c r="I153" s="529"/>
      <c r="J153" s="339"/>
      <c r="K153" s="339"/>
      <c r="L153" s="339"/>
      <c r="M153" s="339"/>
      <c r="N153" s="339"/>
      <c r="O153" s="339"/>
      <c r="P153" s="339"/>
    </row>
    <row r="154" spans="1:16" ht="30" customHeight="1">
      <c r="A154" s="339" t="str">
        <f>IFERROR(INDEX(PMIS_Trade_Notes!$A$2:$A$40,16),"")</f>
        <v>17</v>
      </c>
      <c r="B154" s="339" t="str">
        <f>IF($A154="","",IFERROR(INDEX(PMIS_Trade_Notes!$J$2:$J$40,16),""))</f>
        <v>• B17-Q1 — Confirm final telecom scope: new Room 118, existing B35A, and Building 29 served from B17? [Open] Impact: Room inventory or PMIS mapping could miss scope
• B17-Q2 — What active services are currently fed from existing B35A equipment? [Open] Impact: Potential communications/security outage
• B17-Q3 — What exact Building 29 outlets/devices are served through TR17-118-1? [Open] Impact: Building 29 scope boundary unclear
• B17-Q4 — Is IU-1-01/CU-1-01 on emergency/backup power and dedicated to Room 118? [Open] Impact: Cooling continuity unclear
• B17-Q5 — Where is the clean-agent/CO2 extinguisher cabinet located within 75 ft of Room 118? [Open] Impact: Life-safety acceptance risk
• B17-Q6 — Are B17-TR118A/B sources, rack receptacles, SPDs, circuit labels and load measurements approved? [Open] Impact: Electrical readiness unknown</v>
      </c>
      <c r="C154" s="339" t="str">
        <f>IF($A154="","",IFERROR(INDEX(PMIS_Trade_Notes!$K$2:$K$40,16),""))</f>
        <v>Building 17_29 includes new first-level Telecom Room 118 serving Building 17 and Building 29, plus existing basement Telecom Closet B35A; field verification, active-service transfer, 208V UPS/PDU power, dedicated cooling, first-level hazardous material coordination, cable tray, firestopping, and PACS/CCTV integration remain open.</v>
      </c>
      <c r="D154" s="339" t="str">
        <f>IF($A154="","",IFERROR(INDEX(PMIS_Trade_Notes!$D$2:$D$40,16),""))</f>
        <v>• Fully sprinklered building; confirm sprinkler/fire alarm modifications, clean-agent 2A:10B:C extinguisher within 75 ft, rated wall/ceiling/floor penetrations, and temporary firestopping during cable pulls.
• Existing telecom closet; verify fire alarm/sprinkler protection-in-place and seal any removed/reused penetration after cutover.
• Verify firestopping at pathway penetrations between Building 17 and Building 29 and any rated floor/wall assemblies.</v>
      </c>
      <c r="E154" s="339" t="str">
        <f>IF($A154="","",IFERROR(INDEX(PMIS_Trade_Notes!$E$2:$E$40,16),""))</f>
        <v>• Mechanical/electrical drawings show IU-1-01 in Telecom Room 118 and CU-1-01 outdoor unit. Confirm capacity, emergency/standby source, BACnet adapter, thermostat/control point, condensate path, disconnects, and high-temperature alarm.
• Existing B35A is shown with existing indoor AC unit; verify whether it remains active, is abandoned, or needs temporary protection during cutover.
• No dedicated cooling expected for pathway; verify any equipment cabinets or active service locations in Building 29 if applicable.</v>
      </c>
      <c r="F154" s="339" t="str">
        <f>IF($A154="","",IFERROR(INDEX(PMIS_Trade_Notes!$F$2:$F$40,16),""))</f>
        <v>• Electrical plans/schedules identify B17-TR118A fed from BUS-B17-NPB1-R and B17-TR118B fed from BUS-B17-EQDP, with TR RM118 rack receptacles, 208V UPS/PDU equipment, CU-1-01, SPD requirements, and 30-day load measurement requirements.
• Existing rack/equipment area; verify active equipment, floor UPS status, source circuits, and transfer requirements before disconnect/removal.
• Verify whether any Building 29 equipment or extension path requires power, grounding, bonding, or labeling tied back to B17 TR 118.</v>
      </c>
      <c r="G154" s="339" t="str">
        <f>IF($A154="","",IFERROR(INDEX(PMIS_Trade_Notes!$G$2:$G$40,16),""))</f>
        <v>• 17_29T-701 identifies Room 118 schedule: 113 WAO total, 67 active ports per survey, 154 total ports per schedule, and 169 total ports with 10% allowance. Rack ID TR17-118-1 serves basement, first, second-level outlets and Building 29 path.
• Existing Room B35A equipment includes SERTEX utility service ports, legacy Ortronics patch panels, Cisco switches, wall-mounted TE, Fiber/legacy equipment, security cabinet, and floor UPS; verify active services and transfer plan to Room 118.
• Building 29 is shown served from B17; verify fiber from Building 17 to Building 29, path to B29 4-inch PVC, outlet labels, test records and as-builts.</v>
      </c>
      <c r="H154" s="529"/>
      <c r="I154" s="529"/>
      <c r="J154" s="339"/>
      <c r="K154" s="339"/>
      <c r="L154" s="339"/>
      <c r="M154" s="339"/>
      <c r="N154" s="339"/>
      <c r="O154" s="339"/>
      <c r="P154" s="339"/>
    </row>
    <row r="155" spans="1:16" ht="30" customHeight="1">
      <c r="A155" s="339" t="str">
        <f>IFERROR(INDEX(PMIS_Trade_Notes!$A$2:$A$40,17),"")</f>
        <v>18</v>
      </c>
      <c r="B155" s="339" t="str">
        <f>IF($A155="","",IFERROR(INDEX(PMIS_Trade_Notes!$J$2:$J$40,17),""))</f>
        <v>• B18-Q1 — Confirm final telecom scope: new Room 110 with existing 111B and 213 transition only? [Open] Impact: Room inventory or PMIS mapping could miss scope
• B18-Q2 — Why does 18T-701 reference RM 111A while new rack/electrical plans identify Telecom Room 110? [Open] Impact: Room naming mismatch could affect PMIS tracking
• B18-Q3 — What active services are currently fed from existing 111B and 213 equipment? [Open] Impact: Potential communications/security outage
• B18-Q4 — Is IU-1-01/CU-1-01 on emergency/backup power and dedicated to Room 110? [Open] Impact: Cooling continuity unclear
• B18-Q5 — Where is the clean-agent/CO2 extinguisher cabinet located within 75 ft of Room 110? [Open] Impact: Life-safety acceptance risk
• B18-Q6 — Are B18-TR110A/B sources, rack receptacles, SPDs, circuit labels and load measurements approved? [Open] Impact: Electrical readiness unknown</v>
      </c>
      <c r="C155" s="339" t="str">
        <f>IF($A155="","",IFERROR(INDEX(PMIS_Trade_Notes!$K$2:$K$40,17),""))</f>
        <v>Building 18 includes new first-level Telecom Room 110 and existing telecom transition rooms 111B and 213; field verification, active-service transfer, 208V UPS/PDU power, dedicated cooling, lead-paint/first-level hazardous material coordination, firestopping, cable tray, and PACS/CCTV integration remain open.</v>
      </c>
      <c r="D155" s="339" t="str">
        <f>IF($A155="","",IFERROR(INDEX(PMIS_Trade_Notes!$D$2:$D$40,17),""))</f>
        <v>• Fully sprinklered building; confirm sprinkler/fire alarm modifications, clean-agent 2A:10B:C extinguisher within 75 ft, rated wall/ceiling/floor penetrations, and temporary firestopping during cable pulls.
• Existing TE room; verify fire alarm/sprinkler protection-in-place and seal removed/reused penetrations after cutover.
• Existing second-level closet; verify protection-in-place and firestopping after transfer or abandonment.</v>
      </c>
      <c r="E155" s="339" t="str">
        <f>IF($A155="","",IFERROR(INDEX(PMIS_Trade_Notes!$E$2:$E$40,17),""))</f>
        <v>• Mechanical/electrical drawings show IU-1-01 in Telecom Room 110 and CU-1-01 outdoor unit. Confirm capacity, emergency/standby source, BACnet adapter, thermostat/control point, condensate path, disconnects, and high-temperature alarm.
• Existing TE 111B; verify existing environmental conditions during cutover and whether legacy equipment remains active.
• Existing Closet 213; verify existing environmental conditions during cutover and whether legacy equipment remains active.</v>
      </c>
      <c r="F155" s="339" t="str">
        <f>IF($A155="","",IFERROR(INDEX(PMIS_Trade_Notes!$F$2:$F$40,17),""))</f>
        <v>• Electrical plans/schedules identify B18-TR110A/B, 208V rack UPS requirements, rack receptacles, TR receptacles, lighting, CU-1-01, SPD requirements, and telecom panelboard schedule requirements.
• Existing rack/equipment area; verify active equipment, floor UPS status, source circuits, and transfer requirements before disconnect/removal.
• Existing rack/equipment area; verify active equipment, APC UPS status, source circuits, SERTEX utility service and transfer requirements before disconnect/removal.</v>
      </c>
      <c r="G155" s="339" t="str">
        <f>IF($A155="","",IFERROR(INDEX(PMIS_Trade_Notes!$G$2:$G$40,17),""))</f>
        <v>• 18T-701 identifies RM 111A schedule: 86 WAO total, 61 active ports per survey, 122 ports per schedule, and 134 total ports with 10% allowance. New rack elevation is Room 110, 1 rack plus future, with UPS, Future Zone PDU, switches, Cat6A patch panels, Cat5E patch panel and Fiber LIU.
• Existing Room 111B equipment includes wall-mounted rack, plywood backboard, patch panel, security cabinet, floor UPS and 5RU fiber optic housing; verify active services and transfer plan to Room 110.
• Existing Room 213 equipment includes SERTEX utility service ports, Cisco switch, multiple legacy Ortronics patch panels, wall/wall-mount TE and APC floor UPS; verify active services and transfer plan to Room 110.</v>
      </c>
      <c r="H155" s="529"/>
      <c r="I155" s="529"/>
      <c r="J155" s="339"/>
      <c r="K155" s="339"/>
      <c r="L155" s="339"/>
      <c r="M155" s="339"/>
      <c r="N155" s="339"/>
      <c r="O155" s="339"/>
      <c r="P155" s="339"/>
    </row>
    <row r="156" spans="1:16" ht="30" customHeight="1">
      <c r="A156" s="339" t="str">
        <f>IFERROR(INDEX(PMIS_Trade_Notes!$A$2:$A$40,18),"")</f>
        <v>20</v>
      </c>
      <c r="B156" s="339" t="str">
        <f>IF($A156="","",IFERROR(INDEX(PMIS_Trade_Notes!$J$2:$J$40,18),""))</f>
        <v>• B20-Q1 — Confirm final scope: new wall-mount TE enclosure in Office 1B and existing Tel/Data Closet 8A transition only? [Open] Impact: Room inventory or PMIS mapping could miss scope
• B20-Q2 — What active services are currently fed from existing 8A open TE cabinet and related equipment? [Open] Impact: Potential communications/security outage
• B20-Q3 — What is the approved power source, receptacle type and circuit capacity for the new APC UPS/PDU in Office 1B? [Open] Impact: Electrical readiness unknown
• B20-Q4 — Is Office 1B HVAC/ambient condition acceptable for a wall-mount TE with UPS/PDU/network switch? [Open] Impact: Heat/load risk after mechanical scope excluded
• B20-Q5 — Are existing cameras/security devices in Building 20 protected and retained with no VMS/PACS changes? [Open] Impact: Security continuity unclear
• B20-Q6 — Are all 459 feet of cable tray route, sleeves, supports and firestopping details field verified? [Open] Impact: Install delay or firestop gap</v>
      </c>
      <c r="C156" s="339" t="str">
        <f>IF($A156="","",IFERROR(INDEX(PMIS_Trade_Notes!$K$2:$K$40,18),""))</f>
        <v>Building 20 is a telecom-enclosure building, not a full TR buildout. Scope centers on new first-level Office 1B wall-mount TE enclosure and existing Tel/Data Closet 8A; mechanical and fire protection scope are excluded by the cover sheet, but field verification, active equipment transfer, fiber/copper cutover, cable tray, firestopping, power/UPS/PDU, and existing equipment protection remain open.</v>
      </c>
      <c r="D156" s="339" t="str">
        <f>IF($A156="","",IFERROR(INDEX(PMIS_Trade_Notes!$D$2:$D$40,18),""))</f>
        <v>• Cover sheet states Building 20 receives a Telecom Enclosure and mechanical/fire protection scope is excluded. Still verify firestopping of rated penetrations, 4-inch sleeve, wall/floor openings, and any life-safety device impacts.
• Existing closet; verify protection-in-place and firestopping after cable transfer or reuse.</v>
      </c>
      <c r="E156" s="339" t="str">
        <f>IF($A156="","",IFERROR(INDEX(PMIS_Trade_Notes!$E$2:$E$40,18),""))</f>
        <v>• Cover sheet states mechanical scope is excluded. Verify whether Office 1B ambient conditions are acceptable for wall-mount TE/UPS/PDU/network equipment.
• Existing Tel/Data Closet 8A includes indoor AC unit to remain/protect in place; verify operation during cutover and whether equipment remains after transition.</v>
      </c>
      <c r="F156" s="339" t="str">
        <f>IF($A156="","",IFERROR(INDEX(PMIS_Trade_Notes!$F$2:$F$40,18),""))</f>
        <v>• 20T-701 new enclosure elevation shows APC UPS, two PDU L5-30 input / NEMA 5-20 output units, 120V outlet UPS, 120V outlet PDU, network switch, 48-port Cat6A patch panel and Fiber LIU. Verify circuit source, receptacle type, grounding/bonding and labels.
• Existing 8A elevation shows UPS on ground, legacy patch equipment and Fiber LIU on wall; verify source circuits, UPS status, and transition requirements before disconnect/removal.</v>
      </c>
      <c r="G156" s="339" t="str">
        <f>IF($A156="","",IFERROR(INDEX(PMIS_Trade_Notes!$G$2:$G$40,18),""))</f>
        <v>• 20T-701 identifies TE01-1B-1: 21 WAO total, 24 active ports per survey, 30 ports per schedule, 33 total ports with 10% allowance. Provide new wall-mount TE cabinet and 10 new Cat6A cross-connect cables from existing TE to new TE location.
• Existing Tel/Data Closet 8A contains open TE cabinet, ground bar, patch panel, equipment box, indoor AC unit, plywood backboard, BIX blocks, Cisco switch, legacy 48-port patch panel and Fiber LIU. Field verify all active services.</v>
      </c>
      <c r="H156" s="529"/>
      <c r="I156" s="529"/>
      <c r="J156" s="339"/>
      <c r="K156" s="339"/>
      <c r="L156" s="339"/>
      <c r="M156" s="339"/>
      <c r="N156" s="339"/>
      <c r="O156" s="339"/>
      <c r="P156" s="339"/>
    </row>
    <row r="157" spans="1:16" ht="30" customHeight="1">
      <c r="A157" s="339" t="str">
        <f>IFERROR(INDEX(PMIS_Trade_Notes!$A$2:$A$40,19),"")</f>
        <v>21</v>
      </c>
      <c r="B157" s="339" t="str">
        <f>IF($A157="","",IFERROR(INDEX(PMIS_Trade_Notes!$J$2:$J$40,19),""))</f>
        <v>• B21-Q1 — Confirm final scope: new TE enclosure at Room 100A/RM 104 and existing B21 B1.TR plus B19 B05TR transition? [Open] Impact: Room inventory or PMIS mapping could miss scope
• B21-Q2 — Why does 21_19T-701 list RM 104 / TR01-104-1 while enlarged plan identifies Room 100A? [Open] Impact: Room naming mismatch could affect PMIS tracking
• B21-Q3 — What active services are currently fed from existing B21 B1.TR and B19 B05TR equipment? [Open] Impact: Potential communications/security outage
• B21-Q4 — What exactly is meant by '19 serving 21' on the new TE enclosure elevation? [Open] Impact: Building 19/21 boundary unclear
• B21-Q5 — What is the approved power source, receptacle type and circuit capacity for the new APC UPS/PDU in 100A? [Open] Impact: Electrical readiness unknown
• B21-Q6 — Are all 659 ft of cable tray route, sleeves, supports and firestopping details field verified? [Open] Impact: Install delay or firestop gap</v>
      </c>
      <c r="C157" s="339" t="str">
        <f>IF($A157="","",IFERROR(INDEX(PMIS_Trade_Notes!$K$2:$K$40,19),""))</f>
        <v>Building 21 is combined with Building 19 and is primarily a telecom-enclosure scope. New first-level M&amp;O Foreman Office 100A / RM 104 schedule is served by a new 12RU TE enclosure, while existing Building 21 B1.TR and Building 19 B05TR equipment remain transition points. Fire protection scope is excluded, but mechanical/electrical sheets exist for equipment support. Field verification, active-service transfer, 659 ft cable tray, firestopping, UPS/PDU power, fiber/copper cutover, and B19/B21 scope boundary remain open.</v>
      </c>
      <c r="D157" s="339" t="str">
        <f>IF($A157="","",IFERROR(INDEX(PMIS_Trade_Notes!$D$2:$D$40,19),""))</f>
        <v>• Cover sheet states Building 21_19 receives a Telecom Enclosure and fire protection scope is excluded. Still verify firestopping of rated penetrations, 4-inch sleeve, wall/floor openings, and any life-safety device impacts.
• Existing B21 basement TR; verify protection-in-place and firestopping after cable transfer or reuse.
• Existing B19 B05TR; verify protection-in-place and firestopping after cable transfer or reuse.</v>
      </c>
      <c r="E157" s="339" t="str">
        <f>IF($A157="","",IFERROR(INDEX(PMIS_Trade_Notes!$E$2:$E$40,19),""))</f>
        <v>• Mechanical sheets exist in index. Verify whether new TE heat load in Office 100A is supported by existing/new HVAC and whether any mechanical scope applies despite TE designation.
• Existing B21 B1.TR; verify environmental conditions during cutover and whether legacy equipment remains active.
• Existing B19 B05TR; verify environmental conditions and whether equipment remains active during/after Building 21 transfer.</v>
      </c>
      <c r="F157" s="339" t="str">
        <f>IF($A157="","",IFERROR(INDEX(PMIS_Trade_Notes!$F$2:$F$40,19),""))</f>
        <v>• 21_19T-604 new enclosure elevation shows APC UPS, two PDU L5-30 input / NEMA 5-20 output units, 120V outlet UPS, 120V outlet PDU, network switches, 48-port Cat6A patch panel and Fiber LIU. Verify circuit source, receptacle type, grounding/bonding and labels.
• Existing B21 B1.TR elevation shows UPS on ground, Cisco switch, legacy patch panels and Fiber LIU; verify source circuits, UPS status, and transition requirements.
• Existing B19 B05TR elevations show APC floor UPS, legacy patch panels, Cisco switch and Fiber LIU; verify power source, active equipment and transfer/retention requirements.</v>
      </c>
      <c r="G157" s="339" t="str">
        <f>IF($A157="","",IFERROR(INDEX(PMIS_Trade_Notes!$G$2:$G$40,19),""))</f>
        <v>• 21_19T-701 identifies RM 104 schedule: 90 WAO total, 67 active ports per survey, 119 ports per schedule, and 131 total ports with 10% allowance. 659 ft cable tray total: 63 ft basement and 596 ft first level.
• Existing B21 B1.TR equipment includes multiple legacy patch panels, Cisco switch, UPS on ground, Fiber LIU and APC floor UPS; verify active services and transfer plan to new TE.
• Existing B19 B05TR equipment includes legacy Ortronics patch panels, Cisco switch, Fiber LIU and APC floor UPS; verify active services and whether B19/B21 devices are served from new enclosure.</v>
      </c>
      <c r="H157" s="529"/>
      <c r="I157" s="529"/>
      <c r="J157" s="339"/>
      <c r="K157" s="339"/>
      <c r="L157" s="339"/>
      <c r="M157" s="339"/>
      <c r="N157" s="339"/>
      <c r="O157" s="339"/>
      <c r="P157" s="339"/>
    </row>
    <row r="158" spans="1:16" ht="30" customHeight="1">
      <c r="A158" s="339" t="str">
        <f>IFERROR(INDEX(PMIS_Trade_Notes!$A$2:$A$40,20),"")</f>
        <v>22</v>
      </c>
      <c r="B158" s="339" t="str">
        <f>IF($A158="","",IFERROR(INDEX(PMIS_Trade_Notes!$J$2:$J$40,20),""))</f>
        <v>• B22-Q1 — Confirm final scope: new wall-mount TE enclosure in Break Room 102 and existing Room 103 transition only? [Open] Impact: Room inventory or PMIS mapping could miss scope
• B22-Q2 — What active services are currently fed from existing Room 103 equipment? [Open] Impact: Potential communications/security outage
• B22-Q3 — What is the approved power source, receptacle type and circuit capacity for the new APC UPS/PDU in Room 102? [Open] Impact: Electrical readiness unknown
• B22-Q4 — Is Break Room 102 HVAC/ambient condition acceptable for a wall-mount TE with UPS/PDU/network switch? [Open] Impact: Heat/load risk after mechanical scope excluded
• B22-Q5 — Are existing cameras/security devices in Building 22 protected and retained with no VMS/PACS changes? [Open] Impact: Security continuity unclear
• B22-Q6 — Are all 139 feet of cable tray route, sleeves, supports and firestopping details field verified? [Open] Impact: Install delay or firestop gap</v>
      </c>
      <c r="C158" s="339" t="str">
        <f>IF($A158="","",IFERROR(INDEX(PMIS_Trade_Notes!$K$2:$K$40,20),""))</f>
        <v>Building 22 is a telecom-enclosure building with mechanical and fire protection scope excluded. Scope centers on new first-level Break Room 102 TE enclosure and existing first-level wall/wall-mount TE Room 103. Field verification, active service transfer, 139 ft cable tray, 10 Cat6A cross-connect cables, UPS/PDU power, firestopping, and B19 utility service relationship remain open.</v>
      </c>
      <c r="D158" s="339" t="str">
        <f>IF($A158="","",IFERROR(INDEX(PMIS_Trade_Notes!$D$2:$D$40,20),""))</f>
        <v>• Cover sheet states Building 22 receives a Telecom Enclosure and mechanical/fire protection scope is excluded. Still verify firestopping of rated penetrations, 4-inch sleeve, wall/floor openings, and life-safety device impacts.
• Existing TE room; verify protection-in-place and firestopping after cable transfer or reuse.</v>
      </c>
      <c r="E158" s="339" t="str">
        <f>IF($A158="","",IFERROR(INDEX(PMIS_Trade_Notes!$E$2:$E$40,20),""))</f>
        <v>• Cover sheet states mechanical scope is excluded. Verify whether Break Room 102 ambient conditions are acceptable for wall-mount TE/UPS/PDU/network equipment.
• Existing Room 103 equipment area; verify existing environmental conditions during cutover and whether legacy equipment remains active.</v>
      </c>
      <c r="F158" s="339" t="str">
        <f>IF($A158="","",IFERROR(INDEX(PMIS_Trade_Notes!$F$2:$F$40,20),""))</f>
        <v>• 22T-701 new enclosure elevation shows APC UPS, two PDU L5-30 input / NEMA 5-20 output units, 120V outlet UPS, 120V outlet PDU, network switch, 48-port Cat6A patch panel and Fiber LIU. Verify circuit source, receptacle type, grounding/bonding and labels.
• Existing 103 elevation shows APC UPS, Cisco switch, SERTEX utility service, legacy patch equipment and Fiber LIU on wall; verify source circuits, UPS status, and transition requirements before disconnect/removal.</v>
      </c>
      <c r="G158" s="339" t="str">
        <f>IF($A158="","",IFERROR(INDEX(PMIS_Trade_Notes!$G$2:$G$40,20),""))</f>
        <v>• 22T-701 identifies TR01-102-1: 6 WAO total, 96 WAO available, 93% expansion capacity, 7 total port quantities, and 8 total ports with 10% allowance. Provide new wall-mount 12RU TE cabinet and 10 new Cat6A cross-connect cables from existing TE to new TE location.
• Existing Room 103 contains APC UPS, Cisco switch, SERTEX utility service, legacy Ortronics 24-port patch panel, Fiber LIU on wall and ports 1-24 to Bldg 19 ports 73-96. Field verify all active services and B19 handoff.</v>
      </c>
      <c r="H158" s="529"/>
      <c r="I158" s="529"/>
      <c r="J158" s="339"/>
      <c r="K158" s="339"/>
      <c r="L158" s="339"/>
      <c r="M158" s="339"/>
      <c r="N158" s="339"/>
      <c r="O158" s="339"/>
      <c r="P158" s="339"/>
    </row>
    <row r="159" spans="1:16" ht="30" customHeight="1">
      <c r="A159" s="339" t="str">
        <f>IFERROR(INDEX(PMIS_Trade_Notes!$A$2:$A$40,21),"")</f>
        <v>33</v>
      </c>
      <c r="B159" s="339" t="str">
        <f>IF($A159="","",IFERROR(INDEX(PMIS_Trade_Notes!$J$2:$J$40,21),""))</f>
        <v>• B33-Q1 — Confirm final scope: new wall-mount TE enclosure in B23 and existing B17 transition only? [Open] Impact: Room inventory or PMIS mapping could miss scope
• B33-Q2 — What active services are currently fed from existing B17 equipment? [Open] Impact: Potential communications/security outage
• B33-Q3 — What is the approved power source, receptacle type and circuit capacity for the new APC UPS/PDU in B23? [Open] Impact: Electrical readiness unknown
• B33-Q4 — Is Office B23 HVAC/ambient condition acceptable for a wall-mount TE with UPS/PDU/network switch? [Open] Impact: Heat/load risk after mechanical scope excluded
• B33-Q5 — Are existing cameras/security devices in Building 33 protected and retained with no VMS/PACS disruption? [Open] Impact: Security continuity unclear
• B33-Q6 — Are all 102 feet of cable tray route, sleeves, supports and firestopping details field verified? [Open] Impact: Install delay or firestop gap</v>
      </c>
      <c r="C159" s="339" t="str">
        <f>IF($A159="","",IFERROR(INDEX(PMIS_Trade_Notes!$K$2:$K$40,21),""))</f>
        <v>Building 33 is a telecom-enclosure building with mechanical and fire protection scope excluded. Scope centers on new basement EEO Manager Office B23 TE enclosure and existing Tel Closet B17. Field verification, active service transfer, 102 ft basement cable tray, 10 Cat6A cross-connect cables, UPS/PDU power, firestopping, fiber/copper cutover, and legacy service relationships to Buildings 3, 80 and 82 remain open.</v>
      </c>
      <c r="D159" s="339" t="str">
        <f>IF($A159="","",IFERROR(INDEX(PMIS_Trade_Notes!$D$2:$D$40,21),""))</f>
        <v>• Cover sheet states Building 33 receives a Telecom Enclosure and mechanical/fire protection scope is excluded. Still verify firestopping of rated penetrations, 4-inch sleeve, wall/floor openings, and life-safety device impacts.
• Existing Tel Closet; verify protection-in-place and firestopping after cable transfer or reuse.</v>
      </c>
      <c r="E159" s="339" t="str">
        <f>IF($A159="","",IFERROR(INDEX(PMIS_Trade_Notes!$E$2:$E$40,21),""))</f>
        <v>• Cover sheet states mechanical scope is excluded. Verify whether Office B23 ambient conditions are acceptable for wall-mount TE/UPS/PDU/network equipment.
• Existing B17 enlarged plan identifies an existing indoor AC unit. Verify operation during cutover and determine whether active legacy equipment remains after transfer to B23.</v>
      </c>
      <c r="F159" s="339" t="str">
        <f>IF($A159="","",IFERROR(INDEX(PMIS_Trade_Notes!$F$2:$F$40,21),""))</f>
        <v>• 33T-604 new enclosure elevation shows APC UPS, two PDU L5-30 input / NEMA 5-20 output units, 120V outlet UPS, 120V outlet PDU, network switch, 48-port Cat6A patch panel and Fiber LIU. Verify circuit source, receptacle type, grounding/bonding and labels.
• Existing B17 elevations show UPS on floor, Cisco switches, SERTEX utility service, legacy patch panels and Fiber LIU; verify source circuits, UPS status, and transition requirements before disconnect/removal.</v>
      </c>
      <c r="G159" s="339" t="str">
        <f>IF($A159="","",IFERROR(INDEX(PMIS_Trade_Notes!$G$2:$G$40,21),""))</f>
        <v>• 33T-701 identifies TE01-B23-1: 55 WAO total, 34 active ports per survey, 88 total ports per schedule, and 97 total ports with 10% allowance. Basement cable tray schedule totals 102 ft. Provide 10 new Cat6A cross-connect cables from existing TE to new TE location.
• Existing B17 rack elevations include Cisco switches, legacy 24/48-port patch panels, SERTEX utility service, legacy Fiber LIU, passive Fiber LIU/wall mount, UPS on floor and cross-building port references to Bldgs 3, 80 and 82.</v>
      </c>
      <c r="H159" s="529"/>
      <c r="I159" s="529"/>
      <c r="J159" s="339"/>
      <c r="K159" s="339"/>
      <c r="L159" s="339"/>
      <c r="M159" s="339"/>
      <c r="N159" s="339"/>
      <c r="O159" s="339"/>
      <c r="P159" s="339"/>
    </row>
    <row r="160" spans="1:16" ht="30" customHeight="1">
      <c r="A160" s="339" t="str">
        <f>IFERROR(INDEX(PMIS_Trade_Notes!$A$2:$A$40,22),"")</f>
        <v>61</v>
      </c>
      <c r="B160" s="339" t="str">
        <f>IF($A160="","",IFERROR(INDEX(PMIS_Trade_Notes!$J$2:$J$40,22),""))</f>
        <v>• B61-Q1 — Confirm final telecom room list and PMIS mapping: B13H-A, 124, 226 and existing 137/137A demarc/server rooms? [Open] Impact: Room inventory could miss scope
• B61-Q2 — What active services and circuits are currently housed in Room 137/137A? [Open] Impact: Potential outage/cutover risk
• B61-Q3 — Are B61-TR137AA/AB panel references tied to Room 137 or a schedule naming mismatch for Room 124? [Open] Impact: Electrical PMIS mapping risk
• B61-Q4 — Are IU/CU-0-01, 1-01 and 2-01 on emergency/backup power and dedicated to the TRs they serve? [Open] Impact: Cooling continuity unclear
• B61-Q5 — Where are clean-agent/CO2 FEC cabinets located within 75 ft of each new TR? [Open] Impact: Life-safety acceptance risk
• B61-Q6 — Are rack UPS/PDU circuits, SPDs, labels, load measurements and LOTO requirements approved for all TR panelboards? [Open] Impact: Electrical readiness unknown</v>
      </c>
      <c r="C160" s="339" t="str">
        <f>IF($A160="","",IFERROR(INDEX(PMIS_Trade_Notes!$K$2:$K$40,22),""))</f>
        <v>Building 61 is a large full-scope TR building with hazardous abatement, architectural, fire protection, plumbing, mechanical, electrical, security, telecom, server/demarc and rack elevation scope. Primary new telecom rooms include basement B13H-A, first-level 124, second-level 226, and existing Room 137/137A demarc/server equipment. Major open issues include active-service cutover, dedicated cooling IU/CU-0-01/1-01/2-01, panel source coordination, rack UPS/PDU power, cable tray coordination, firestopping, PACS/CCTV, and turnover testing.</v>
      </c>
      <c r="D160" s="339" t="str">
        <f>IF($A160="","",IFERROR(INDEX(PMIS_Trade_Notes!$D$2:$D$40,22),""))</f>
        <v>• Dedicated TR scope includes fire protection drawings. Verify sprinkler modifications, fire alarm devices, clean-agent 2A:10B:C FEC within 75 ft, rated penetrations, and temporary firestopping.
• Verify sprinkler/fire alarm modifications, clean-agent FEC location, penetrations, cable tray/riser openings, and final UL firestop systems.
• Verify second-level TR sprinkler/fire alarm modifications, clean-agent FEC location, vertical riser penetrations, and firestopping.
• Existing demarc/server rooms may remain active; verify protection-in-place, FA/FP continuity, and no unsealed penetrations after cabling work.</v>
      </c>
      <c r="E160" s="339" t="str">
        <f>IF($A160="","",IFERROR(INDEX(PMIS_Trade_Notes!$E$2:$E$40,22),""))</f>
        <v>• Mechanical sheets identify dedicated split-system cooling with BACnet adapter mounted adjacent to unit in telecom room. Confirm capacity, emergency source, condensate, disconnect, controls, and alarms.
• Mechanical/electrical plans identify IU-1-01/CU-1-01 for first-level TR. Confirm 24/7 operation, emergency/standby source and high-temp alarm.
• Mechanical/electrical plans identify IU-2-01/CU-2-01 for second-level TR. Confirm refrigerant route, condensate route, controls and alarm tie-in.
• Existing demarc/server equipment likely has existing cooling dependencies. Verify active equipment heat load, airflow, operational temperatures and whether any existing cooling is modified or protected.</v>
      </c>
      <c r="F160" s="339" t="str">
        <f>IF($A160="","",IFERROR(INDEX(PMIS_Trade_Notes!$F$2:$F$40,22),""))</f>
        <v>• Electrical enlarged plans and schedules identify rack receptacles, UPS circuits, PDUs, panelboards, SPD devices and dedicated cooling power for B13H-A. Verify B61-TRB13A/B source, LOTO and labels.
• Electrical schedules identify B61-TR124A/B and rack receptacles. Verify apparent room-name mismatch with RM137B rack receptacles in schedules.
• Electrical schedules identify B61-TR226A/B, rack receptacles, CU-2-01 and SPD requirements. Verify source circuits and labels.
• Existing rack inventory includes APC UPS/PDU and server/demarc equipment. Electrical one-line/schedules list B61-TR137AA/AB and PD-B61-TR137 panels; verify active sources and transition impact.</v>
      </c>
      <c r="G160" s="339" t="str">
        <f>IF($A160="","",IFERROR(INDEX(PMIS_Trade_Notes!$G$2:$G$40,22),""))</f>
        <v>• 61T-701: 88 WAO total, 74 active ports, 129 scheduled ports, 142 with 10% allowance. Rack ID TR01-B13H-A-1. Basement cable tray included in 890 ft basement total.
• 61T-701: first-level Room 124 / Rack ID TR01-124-1. Schedule data runs across first-level outlets. Include labels, Fiber LIU, Cat6A patch panels, UPS/PDU and VA/OIT acceptance.
• 61T-702: 109 WAO total, 126 active ports, 156 scheduled ports, 172 with 10% allowance. Rack ID TR01-226-1. Verify second-level cable tray and riser penetrations.
• 61T-402/606/607 inventory existing demarc/server racks and equipment. Protect active systems, coordinate cutover, preserve labels, document equipment remaining in service.</v>
      </c>
      <c r="H160" s="529"/>
      <c r="I160" s="529"/>
      <c r="J160" s="339"/>
      <c r="K160" s="339"/>
      <c r="L160" s="339"/>
      <c r="M160" s="339"/>
      <c r="N160" s="339"/>
      <c r="O160" s="339"/>
      <c r="P160" s="339"/>
    </row>
    <row r="161" spans="1:16" ht="30" customHeight="1">
      <c r="A161" s="339" t="str">
        <f>IFERROR(INDEX(PMIS_Trade_Notes!$A$2:$A$40,23),"")</f>
        <v>62</v>
      </c>
      <c r="B161" s="339" t="str">
        <f>IF($A161="","",IFERROR(INDEX(PMIS_Trade_Notes!$J$2:$J$40,23),""))</f>
        <v>• B62-Q1 — Are cooling units emergency powered? [Open] Impact: Cannot confirm continuity of operations
• B62-Q2 — Are future rack loads included in HVAC sizing? [Open] Impact: Cooling may be undersized after expansion
• B62-Q3 — Is extinguisher location identified within 75 feet? [Open] Impact: Life safety / acceptance risk
• B62-Q4 — Are all penetrations fully documented and firestopped? [Open] Impact: Fire/smoke spread risk</v>
      </c>
      <c r="C161" s="339" t="str">
        <f>IF($A161="","",IFERROR(INDEX(PMIS_Trade_Notes!$K$2:$K$40,23),""))</f>
        <v>Cooling / emergency power not verified</v>
      </c>
      <c r="D161" s="339" t="str">
        <f>IF($A161="","",IFERROR(INDEX(PMIS_Trade_Notes!$D$2:$D$40,23),""))</f>
        <v>• Verify</v>
      </c>
      <c r="E161" s="339" t="str">
        <f>IF($A161="","",IFERROR(INDEX(PMIS_Trade_Notes!$E$2:$E$40,23),""))</f>
        <v>• Verify</v>
      </c>
      <c r="F161" s="339" t="str">
        <f>IF($A161="","",IFERROR(INDEX(PMIS_Trade_Notes!$F$2:$F$40,23),""))</f>
        <v>• Verify</v>
      </c>
      <c r="G161" s="339" t="str">
        <f>IF($A161="","",IFERROR(INDEX(PMIS_Trade_Notes!$G$2:$G$40,23),""))</f>
        <v>• Verify</v>
      </c>
      <c r="H161" s="529"/>
      <c r="I161" s="529"/>
      <c r="J161" s="339"/>
      <c r="K161" s="339"/>
      <c r="L161" s="339"/>
      <c r="M161" s="339"/>
      <c r="N161" s="339"/>
      <c r="O161" s="339"/>
      <c r="P161" s="339"/>
    </row>
    <row r="162" spans="1:16" ht="30" customHeight="1">
      <c r="A162" s="339" t="str">
        <f>IFERROR(INDEX(PMIS_Trade_Notes!$A$2:$A$40,24),"")</f>
        <v>70</v>
      </c>
      <c r="B162" s="339" t="str">
        <f>IF($A162="","",IFERROR(INDEX(PMIS_Trade_Notes!$J$2:$J$40,24),""))</f>
        <v>• B70-Q1 — Are cooling units and controls on emergency/backup power? [Open] Impact: Cannot confirm continuity of operations
• B70-Q2 — Are future rack loads included in HVAC sizing for B27, 125A, and 262A? [Open] Impact: Cooling may be undersized after expansion
• B70-Q3 — Are extinguisher cabinet locations identified within 75 feet of each TR? [Open] Impact: Acceptance / life safety risk
• B70-Q4 — Are all wall/floor penetrations and speed sleeves shown and firestopped? [Open] Impact: Fire/smoke spread risk
• B70-Q5 — What phasing is required to keep existing low-voltage/analog systems operational? [Open] Impact: Potential communications interruption</v>
      </c>
      <c r="C162" s="339" t="str">
        <f>IF($A162="","",IFERROR(INDEX(PMIS_Trade_Notes!$K$2:$K$40,24),""))</f>
        <v>Cooling / emergency power and existing TR phasing not verified</v>
      </c>
      <c r="D162" s="339" t="str">
        <f>IF($A162="","",IFERROR(INDEX(PMIS_Trade_Notes!$D$2:$D$40,24),""))</f>
        <v>• Verify</v>
      </c>
      <c r="E162" s="339" t="str">
        <f>IF($A162="","",IFERROR(INDEX(PMIS_Trade_Notes!$E$2:$E$40,24),""))</f>
        <v>• Verify</v>
      </c>
      <c r="F162" s="339" t="str">
        <f>IF($A162="","",IFERROR(INDEX(PMIS_Trade_Notes!$F$2:$F$40,24),""))</f>
        <v>• Verify</v>
      </c>
      <c r="G162" s="339" t="str">
        <f>IF($A162="","",IFERROR(INDEX(PMIS_Trade_Notes!$G$2:$G$40,24),""))</f>
        <v>• Verify</v>
      </c>
      <c r="H162" s="529"/>
      <c r="I162" s="529"/>
      <c r="J162" s="339"/>
      <c r="K162" s="339"/>
      <c r="L162" s="339"/>
      <c r="M162" s="339"/>
      <c r="N162" s="339"/>
      <c r="O162" s="339"/>
      <c r="P162" s="339"/>
    </row>
    <row r="163" spans="1:16" ht="30" customHeight="1">
      <c r="A163" s="339" t="str">
        <f>IFERROR(INDEX(PMIS_Trade_Notes!$A$2:$A$40,25),"")</f>
        <v>78</v>
      </c>
      <c r="B163" s="339" t="str">
        <f>IF($A163="","",IFERROR(INDEX(PMIS_Trade_Notes!$J$2:$J$40,25),""))</f>
        <v>• B78-Q1 — Confirm final telecom room list and PMIS mapping: B30, B35, 1232, 227A, 342, 401 plus existing rooms 15E/1234/353/308A/408A? [Open] Impact: Room inventory could miss scope
• B78-Q2 — What active services currently remain in each existing telecom room/photo reference location? [Open] Impact: Potential outage/cutover risk
• B78-Q3 — Are Room 1232 and existing Room 1234 separate rooms or naming/mapping references for the same telecom space? [Open] Impact: PMIS mapping risk
• B78-Q4 — Which dedicated cooling units serve each TR and are they on emergency/backup power? [Open] Impact: Cooling continuity unclear
• B78-Q5 — Where are clean-agent/CO2 FEC cabinets located within 75 ft of each new TR? [Open] Impact: Life-safety acceptance risk
• B78-Q6 — Are rack UPS/PDU circuits, SPDs, labels, load measurements and LOTO requirements approved for all TR panelboards? [Open] Impact: Electrical readiness unknown</v>
      </c>
      <c r="C163" s="339" t="str">
        <f>IF($A163="","",IFERROR(INDEX(PMIS_Trade_Notes!$K$2:$K$40,25),""))</f>
        <v>Building 78/78A is a very large full-scope TR building with basement through fourth-level telecom rooms, existing telecom rooms, hazardous abatement, architectural, fire protection, mechanical, electrical, security, telecom, rack elevations and photo references. Major open issues include active service cutover, dedicated HVAC validation, panel/UPS/PDU coordination, 4,849 ft cable tray routes, firestopping, PACS/CCTV, existing rack transfers, and turnover testing.</v>
      </c>
      <c r="D163" s="339" t="str">
        <f>IF($A163="","",IFERROR(INDEX(PMIS_Trade_Notes!$D$2:$D$40,25),""))</f>
        <v>• Full fire protection scope included. Verify sprinkler modifications, fire alarm devices, clean-agent 2A:10B:C FEC within 75 ft, and rated penetrations.
• Verify FP/FA modifications, FEC location, temporary firestopping and final UL systems.
• Verify first-level TR sprinkler/FA work, FEC location and cable tray penetrations.
• Verify second-level TR sprinkler/FA work, FEC location, vertical riser penetrations and firestopping.
• Verify third-level TR fire protection/fire alarm coordination and firestop work.</v>
      </c>
      <c r="E163" s="339" t="str">
        <f>IF($A163="","",IFERROR(INDEX(PMIS_Trade_Notes!$E$2:$E$40,25),""))</f>
        <v>• Mechanical sheets included for basement. Verify dedicated cooling equipment, capacity, condensate, emergency source, controls/BACnet and high-temperature alarm.
• Verify dedicated cooling and relationship to B30/B35 telecom buildout.
• Verify first-level TR cooling, controls, emergency power and alarm tie-in.
• Verify second-level TR cooling, condensate route and 24/7 operation.
• Verify third-level TR cooling and control/alarm integration.</v>
      </c>
      <c r="F163" s="339" t="str">
        <f>IF($A163="","",IFERROR(INDEX(PMIS_Trade_Notes!$F$2:$F$40,25),""))</f>
        <v>• Rack elevations identify new rack UPS/PDU and future rack. Verify panelboard/source, SPD, rack receptacles, PDU feeds, labels, load measurement and LOTO.
• Verify rack UPS/PDU source, spare/future rack provisions and grounding/bonding.
• Verify first-level rack receptacles, UPS/PDU, panel sources, SPDs and labeling.
• Verify second-level rack receptacles, UPS/PDU, panel sources, SPDs and labeling.
• Verify third-level rack receptacles for two racks, UPS/PDU, panel sources and labels.</v>
      </c>
      <c r="G163" s="339" t="str">
        <f>IF($A163="","",IFERROR(INDEX(PMIS_Trade_Notes!$G$2:$G$40,25),""))</f>
        <v>• 78_78AT-701: 210 WAO total, 23 active ports, 311 scheduled ports, 342 with allowance; rack IDs TR01-B30-1/-2. Basement cable tray total 1,702 ft.
• 78_78AT-702: 53 WAO total, 23 active ports, 64 scheduled ports, 70 with allowance. Confirm rack ID/room relation and active services.
• 78_78AT-702/703: 301 WAO total, 388 active ports, 404 scheduled ports, 444 with allowance. Large active port count; high cutover risk.
• 78_78AT-703/704: 256 WAO total, 153 active ports, 348 scheduled ports, 383 with allowance. Verify second-level test records and riser labels.
• 78_78AT-704: 158 WAO total, 163 active ports, 289 scheduled ports, 318 with allowance. Rack IDs TR01-342-1/-2.</v>
      </c>
      <c r="H163" s="529"/>
      <c r="I163" s="529"/>
      <c r="J163" s="339"/>
      <c r="K163" s="339"/>
      <c r="L163" s="339"/>
      <c r="M163" s="339"/>
      <c r="N163" s="339"/>
      <c r="O163" s="339"/>
      <c r="P163" s="339"/>
    </row>
    <row r="164" spans="1:16" ht="30" customHeight="1">
      <c r="A164" s="339" t="str">
        <f>IFERROR(INDEX(PMIS_Trade_Notes!$A$2:$A$40,26),"")</f>
        <v>80</v>
      </c>
      <c r="B164" s="339" t="str">
        <f>IF($A164="","",IFERROR(INDEX(PMIS_Trade_Notes!$J$2:$J$40,26),""))</f>
        <v>• B80-Q1 — Confirm final telecom scope: new Room 102 with existing 127A/126 transition only? [Open] Impact: Room inventory could miss scope
• B80-Q2 — What active services are currently fed from existing Room 127A/126 equipment? [Open] Impact: Potential communications/security outage
• B80-Q3 — Are Room 127A and Room 126 the same telecom room, or separate locations? [Open] Impact: PMIS mapping and turnover risk
• B80-Q4 — Is IU-1-01/CU-1-01 on emergency/backup power and dedicated to Room 102? [Open] Impact: Cooling continuity unclear
• B80-Q5 — Where is the clean-agent/CO2 extinguisher cabinet located within 75 ft of Room 102? [Open] Impact: Life-safety acceptance risk
• B80-Q6 — Are B80-TR102A/B sources, rack receptacles, SPDs, circuit labels and load measurements approved? [Open] Impact: Electrical readiness unknown</v>
      </c>
      <c r="C164" s="339" t="str">
        <f>IF($A164="","",IFERROR(INDEX(PMIS_Trade_Notes!$K$2:$K$40,26),""))</f>
        <v>Building 80 includes a new first-level Telecom Room 102 and existing Tel Closet 127A / photo-reference Room 126 transition point. Field verification, active equipment transfer, dedicated cooling IU-1-01/CU-1-01, B80-TR102A/B power, 811 ft cable tray, firestopping, PACS/CCTV, existing two-post rack migration, and room-number mapping remain open.</v>
      </c>
      <c r="D164" s="339" t="str">
        <f>IF($A164="","",IFERROR(INDEX(PMIS_Trade_Notes!$D$2:$D$40,26),""))</f>
        <v>• Full fire protection scope included. Verify sprinkler modifications, fire alarm devices, clean-agent 2A:10B:C FEC within 75 ft, rated wall/floor penetrations, and temporary firestopping during cable pulls.
• Existing telecom closet/room; verify fire alarm/sprinkler protection-in-place and seal removed/reused penetrations after cutover.</v>
      </c>
      <c r="E164" s="339" t="str">
        <f>IF($A164="","",IFERROR(INDEX(PMIS_Trade_Notes!$E$2:$E$40,26),""))</f>
        <v>• Mechanical/electrical drawings show IU-1-01 in Telecom Room 102 and CU-1-01 outdoor unit. Confirm capacity, emergency/standby source, BACnet interface, thermostat/control point, condensate pump/path, disconnects, and high-temperature alarm.
• Existing telecom room/closet may remain active during cutover. Verify existing environmental condition and whether any active equipment remains after migration to Room 102.</v>
      </c>
      <c r="F164" s="339" t="str">
        <f>IF($A164="","",IFERROR(INDEX(PMIS_Trade_Notes!$F$2:$F$40,26),""))</f>
        <v>• Electrical plans/schedules identify B80-TR102A fed from BUS-B80-MDP and B80-TR102B fed from BUS-B80-E1, with rack receptacles, normal/emergency circuits, CU-1-01, SPD requirements and 30-day load measurement requirements.
• Existing rack/equipment area includes APC floor UPS and legacy telecom power. Verify source circuits, active equipment, UPS status, and transfer requirements before disconnect/removal.</v>
      </c>
      <c r="G164" s="339" t="str">
        <f>IF($A164="","",IFERROR(INDEX(PMIS_Trade_Notes!$G$2:$G$40,26),""))</f>
        <v>• 80T-701 identifies RM102 with 117 WAO total, 98 active ports per survey, 195 total ports per schedule, and 215 total ports with 10% allowance. Rack IDs include TR01-102-1 and TR01-102-2; rack elevation shows 1 new rack plus future rack with switches, Cat6A patch panels, Cat5e patch panel, Fiber LIU, UPS and PDU.
• Existing rack elevation shows Cisco switches, legacy optical Fiber LIU on wall, multiple legacy Ortronics 24/48-port patch panels, legacy Cat5e 24-port patch panel, and APC floor UPS. Contractor must transfer existing devices to new rack and protect active services.</v>
      </c>
      <c r="H164" s="529"/>
      <c r="I164" s="529"/>
      <c r="J164" s="339"/>
      <c r="K164" s="339"/>
      <c r="L164" s="339"/>
      <c r="M164" s="339"/>
      <c r="N164" s="339"/>
      <c r="O164" s="339"/>
      <c r="P164" s="339"/>
    </row>
    <row r="165" spans="1:16" ht="30" customHeight="1">
      <c r="A165" s="339" t="str">
        <f>IFERROR(INDEX(PMIS_Trade_Notes!$A$2:$A$40,27),"")</f>
        <v>82</v>
      </c>
      <c r="B165" s="339" t="str">
        <f>IF($A165="","",IFERROR(INDEX(PMIS_Trade_Notes!$J$2:$J$40,27),""))</f>
        <v>• B82-Q1 — Confirm final scope: new 12RU wall-mount TE enclosure in Room 102 and existing B01-A transition only? [Open] Impact: Room inventory or PMIS mapping could miss scope
• B82-Q2 — What active services are currently fed from existing B01-A equipment? [Open] Impact: Potential communications/security outage
• B82-Q3 — Is Room 102 officially a TE-only scope or a conditioned telecom room with mechanical support? [Open] Impact: Scope and commissioning responsibility unclear
• B82-Q4 — Is IU-1-01/CU-1-01 on emergency/backup power and dedicated to Room 102? [Open] Impact: Cooling continuity unclear
• B82-Q5 — What is the approved power source, receptacle type and circuit capacity for the new APC UPS/PDU in Room 102? [Open] Impact: Electrical readiness unknown
• B82-Q6 — Are all 278 feet of cable tray route, sleeves, supports and firestopping details field verified? [Open] Impact: Install delay or firestop gap</v>
      </c>
      <c r="C165" s="339" t="str">
        <f>IF($A165="","",IFERROR(INDEX(PMIS_Trade_Notes!$K$2:$K$40,27),""))</f>
        <v>Building 82 is identified as a Telecom Enclosure (TE) building on the cover sheet, with fire protection scope excluded, but mechanical sheets show IU-1-01/CU-1-01 dedicated cooling for Room 102 and electrical drawings show B82-MDP/B82-P-EMER power. Scope centers on new first-level Telecom Room 102 / 12RU enclosure and existing first-level Telecom Room B01-A transition point. Field verification, active-equipment transfer, 278 ft cable tray, firestopping, UPS/PDU power, HVAC controls, fiber/copper cutover, and room/equipment mapping remain open.</v>
      </c>
      <c r="D165" s="339" t="str">
        <f>IF($A165="","",IFERROR(INDEX(PMIS_Trade_Notes!$D$2:$D$40,27),""))</f>
        <v>• Cover sheet states Building 82 receives a Telecom Enclosure and fire protection scope is excluded. Still verify rated penetrations, 4-inch sleeve, wall/floor openings, temporary firestopping, and life-safety device impacts.
• Existing telecom room; verify protection-in-place and firestopping after cable transfer or reuse.</v>
      </c>
      <c r="E165" s="339" t="str">
        <f>IF($A165="","",IFERROR(INDEX(PMIS_Trade_Notes!$E$2:$E$40,27),""))</f>
        <v>• Mechanical and electrical drawings show IU-1-01 in/near Telecom Room 102 and CU-1-01 outdoor unit. Mechanical notes call for BACnet adapter mounted adjacent to unit in telecom room. Confirm capacity, emergency/standby source, condensate pump/path, disconnects, controls, and high-temp alarm.
• Existing telecom room may remain active during cutover. Verify existing environmental conditions and whether active equipment remains after transfer to Room 102.</v>
      </c>
      <c r="F165" s="339" t="str">
        <f>IF($A165="","",IFERROR(INDEX(PMIS_Trade_Notes!$F$2:$F$40,27),""))</f>
        <v>• Electrical plans/schedules identify TE receptacle, CU-1-01, B82-MDP and B82-P-EMER sources, with SPD devices integral to new telecom panelboards. Verify receptacle type, grounding/bonding, emergency source, labels, and circuit loading.
• Existing rack/equipment area includes APC floor UPS and legacy telecom power. Verify source circuits, active equipment, UPS status, and transfer requirements before disconnect/removal.</v>
      </c>
      <c r="G165" s="339" t="str">
        <f>IF($A165="","",IFERROR(INDEX(PMIS_Trade_Notes!$G$2:$G$40,27),""))</f>
        <v>• 82T-701 identifies RM102 with 26 WAO total, 31 active ports per survey, 36 total ports per schedule, and 40 total ports with 10% allowance. Rack ID TR01-102-01. Cable tray schedule totals 278 ft on first level. New enclosure includes APC UPS, two PDUs, network switch, Cat6A patch panel and Fiber LIU.
• Existing B01-A elevations identify Cisco switches, cable management, two Ortronics 24-port patch panels with 11 and 6 used, existing patch panels and APC floor UPS. Field verify active services and transfer plan to new TE.</v>
      </c>
      <c r="H165" s="529"/>
      <c r="I165" s="529"/>
      <c r="J165" s="339"/>
      <c r="K165" s="339"/>
      <c r="L165" s="339"/>
      <c r="M165" s="339"/>
      <c r="N165" s="339"/>
      <c r="O165" s="339"/>
      <c r="P165" s="339"/>
    </row>
    <row r="166" spans="1:16" ht="30" customHeight="1">
      <c r="A166" s="339" t="str">
        <f>IFERROR(INDEX(PMIS_Trade_Notes!$A$2:$A$40,28),"")</f>
        <v>BCH</v>
      </c>
      <c r="B166" s="339" t="str">
        <f>IF($A166="","",IFERROR(INDEX(PMIS_Trade_Notes!$J$2:$J$40,28),""))</f>
        <v>• BCH-Q1 — Confirm final BCH scope: Room 107 TE enclosure only, or a new telecom room/rack buildout? [Open] Impact: PMIS scope and acceptance criteria unclear
• BCH-Q2 — Why does BCHT-604 show a T78 12RU TE enclosure and a separate BCH Crescent House Room 107 new telecom room elevation? [Open] Impact: Rack/equipment mapping conflict
• BCH-Q3 — What active services currently serve Crescent House and where are existing terminations located? [Open] Impact: Cutover/outage risk
• BCH-Q4 — What is the approved power source, receptacle type and circuit capacity for the new UPS/PDU? [Open] Impact: Electrical readiness unknown
• BCH-Q5 — Is existing HVAC/ambient condition acceptable for TE/network equipment since mechanical scope is excluded? [Open] Impact: Heat/load risk
• BCH-Q6 — Are cable tray route, sleeve locations, supports and firestopping details shown/field verified without a BCHT-701 schedule? [Open] Impact: Install delay or firestop gap</v>
      </c>
      <c r="C166" s="339" t="str">
        <f>IF($A166="","",IFERROR(INDEX(PMIS_Trade_Notes!$K$2:$K$40,28),""))</f>
        <v>Crescent House/BCH is a Telecom Enclosure (TE) scope with mechanical and fire protection excluded by the cover sheet. Scope centers on first-level Room 107 and rack/equipment location shown as Room 00-107 / BCH Crescent House. Field verification, room naming, wall-mounted TE versus 45RU room/rack elevation conflict, active-service cutover, power/UPS/PDU source, firestopping, fiber A/B routing, and cable tray/WAO quantities remain open.</v>
      </c>
      <c r="D166" s="339" t="str">
        <f>IF($A166="","",IFERROR(INDEX(PMIS_Trade_Notes!$D$2:$D$40,28),""))</f>
        <v>• Cover sheet states BCH receives a Telecom Enclosure and mechanical/fire protection scope has been excluded. Still verify existing life-safety protection, rated penetrations, 4-inch sleeve fire caulk, temporary firestopping and abandoned penetration patching.
• TE-only scope does not appear to require new FEC/fire sprinkler work, but all wall/floor/ceiling penetrations must be sealed and rated assemblies maintained.</v>
      </c>
      <c r="E166" s="339" t="str">
        <f>IF($A166="","",IFERROR(INDEX(PMIS_Trade_Notes!$E$2:$E$40,28),""))</f>
        <v>• Cover sheet explicitly excludes mechanical scope. Verify existing room ambient conditions are acceptable for TE equipment and that no active network equipment will overheat.
• If the final scope is a 45RU new telecom room rather than a small TE, HVAC exclusion should be confirmed with VA/AE because telecom-room heat load may differ from TE assumptions.</v>
      </c>
      <c r="F166" s="339" t="str">
        <f>IF($A166="","",IFERROR(INDEX(PMIS_Trade_Notes!$F$2:$F$40,28),""))</f>
        <v>• Electrical plan includes first-level electrical work and notes for new wall-mount telecom enclosure, grounding/bonding and camera. Verify circuit source, receptacle type, UPS/PDU load, emergency source if required, grounding/bonding and labels.
• BCHT-604 shows 12RU TE equipment with APC UPS and PDUs and also a BCH 45RU new telecom room elevation. Confirm exact UPS/PDU/rack power requirement before acceptance.</v>
      </c>
      <c r="G166" s="339" t="str">
        <f>IF($A166="","",IFERROR(INDEX(PMIS_Trade_Notes!$G$2:$G$40,28),""))</f>
        <v>• BCHT-101 identifies telecom plan first level and enlarged Room 107. BCHT-604 identifies new telecom room/no existing elevations. There is no BCHT-701 schedule in the drawing index, so WAO/cable-tray totals must be field verified from plans and contractor coordination drawings.
• BCHT-604 identifies a 12RU TE elevation: APC UPS, two PDUs, network switch, 48-port Cat6A patch panel and Fiber LIU. Also shows BCH Crescent House Room 107 new telecom room elevation. Confirm governing rack/enclosure and labeling.</v>
      </c>
      <c r="H166" s="529"/>
      <c r="I166" s="529"/>
      <c r="J166" s="339"/>
      <c r="K166" s="339"/>
      <c r="L166" s="339"/>
      <c r="M166" s="339"/>
      <c r="N166" s="339"/>
      <c r="O166" s="339"/>
      <c r="P166" s="339"/>
    </row>
    <row r="167" spans="1:16" ht="30" customHeight="1">
      <c r="A167" s="339" t="str">
        <f>IFERROR(INDEX(PMIS_Trade_Notes!$A$2:$A$40,29),"")</f>
        <v>MCR</v>
      </c>
      <c r="B167" s="339" t="str">
        <f>IF($A167="","",IFERROR(INDEX(PMIS_Trade_Notes!$J$2:$J$40,29),""))</f>
        <v>• MCR-Q1 — Confirm final room naming and PMIS mapping: MCR Room 107, Fiber Entrance Room 031, Existing 107/137 server/MCR references. [Open] Impact: Room inventory and turnover mapping could be wrong
• MCR-Q2 — What existing core/server/rack equipment is being relocated from the existing MCR/server rooms, and what remains? [Open] Impact: Cutover and outage risk
• MCR-Q3 — What is the approved MCR activation sequence and required VA/OIT hold points? [Open] Impact: Schedule/cutover impact
• MCR-Q4 — Are UPS-A/B, generator/ATS and emergency power paths commissioned and mapped to each rack/PDU? [Open] Impact: Electrical readiness unknown
• MCR-Q5 — Are CRAC units fully commissioned with BMS/FMS alarms, redundancy and emergency power? [Open] Impact: Cooling continuity risk
• MCR-Q6 — Are clean-agent/preaction/fire alarm systems fully designed, tested and accepted? [Open] Impact: Life-safety acceptance risk</v>
      </c>
      <c r="C167" s="339" t="str">
        <f>IF($A167="","",IFERROR(INDEX(PMIS_Trade_Notes!$K$2:$K$40,29),""))</f>
        <v>MCR is the most critical EHRM infrastructure building. Scope includes new Main Computer Room, new MDA A/B rows, HDA A/B rows, existing server/MCR equipment transfer from 107/137, redundant fiber Path A/B, new CRAC cooling, UPS A/B, electrical service/ATS/generator integration, clean-agent fire suppression, wet sprinkler/fire alarm interfaces, PACS/CCTV, 359 ft cable tray, and MCR activation window. Major risk is service continuity during backbone/core migration and VA activation.</v>
      </c>
      <c r="D167" s="339" t="str">
        <f>IF($A167="","",IFERROR(INDEX(PMIS_Trade_Notes!$D$2:$D$40,29),""))</f>
        <v>• MCR has full fire protection scope including wet pipe and clean-agent fire suppression system. Verify preaction/clean-agent design, agent release interface, fire alarm matrix, detection, abort/release stations, room integrity and acceptance testing.
• Verify fiber entrance room protection, rated penetrations, firestopping, detector/strobe coverage and no gaps after cable tray installation.
• Verify sprinkler/clean-agent coverage around MDA equipment, fire alarm devices, rack clearance and final firestop assemblies.
• Verify clean-agent coverage, detector placement, alarm interfaces, and open cabinet airflow protection.
• Existing systems must remain protected during temporary fiber, umbilical cord and core relocation work. Verify no impairment without approved fire watch/impairment plan.</v>
      </c>
      <c r="E167" s="339" t="str">
        <f>IF($A167="","",IFERROR(INDEX(PMIS_Trade_Notes!$E$2:$E$40,29),""))</f>
        <v>• Telecom notes call for indoor computer room air conditioner (CRAC) units tied to building management system. Mechanical sheets included; verify redundant capacity, setpoints, humidity, condensate, controls, alarms and emergency power.
• UPS rooms/equipment require thermal load validation, ventilation, emergency power and alarm integration. Verify battery/UPS environmental requirements.
• Verify airflow/cold aisle/hot aisle assumptions, blanking panels, floor/ceiling distribution and temperature monitoring.
• Server cabinets and patch fields require stable 24/7 cooling and monitoring. Confirm no local hot spots at dense LIU/patch panel zones.
• During split-core temporary phase, existing MCR/server equipment remains active. Verify existing cooling remains in service until cutover and decommissioning are complete.</v>
      </c>
      <c r="F167" s="339" t="str">
        <f>IF($A167="","",IFERROR(INDEX(PMIS_Trade_Notes!$F$2:$F$40,29),""))</f>
        <v>• Electrical set includes site plan, enlarged MCR plans, one-lines and schedules. Verify switchboard/service, ATS/generator integration, normal/emergency/UPS distribution, grounding, lightning protection, SPD, load measurements and commissioning.
• MDA rack elevations include new 4-post floor cabinets, LIUs and network elements. Verify redundant A/B power feeds and PDU arrangements.
• HDA cabinets include server cabinet front/rear elevations with patch panels and active equipment. Confirm A/B feed separation, PDU mounting, load capacity and labels.
• Existing rack elevations identify multiple APC/Chatsworth/HP PDUs, APC Smart UPS and Eaton 9PX units. Verify what transfers, what stays, and temporary power during migration.
• New MCR is standalone critical infrastructure. Verify utility service, generator/ATS paths, emergency distribution, grounding electrode and ductbank/site electrical coordination.</v>
      </c>
      <c r="G167" s="339" t="str">
        <f>IF($A167="","",IFERROR(INDEX(PMIS_Trade_Notes!$G$2:$G$40,29),""))</f>
        <v>• MCRT-101 shows new MCR with MDA-A/B, HDA-A/B, UPS-A/B, cameras and fiber path legend. MCRT-701 shows 10 WAO total, 720 WAO available, 98.1% expansion capacity, 10 total ports with 20% allowance and 359 ft cable tray.
• MCRT-701 Data Device and Circuit Schedule - Fiber Entrance Room 1: outlets 31-A/B/C/D plus security devices 07-CAM-03/04/07/08/11; Rack ID TR01-031-1.
• MCRT-607: MDA A/B racks contain horizontal distribution LIUs, hybrid FOC, 48x Cat6A to HDA, and reserved LAN/spine/aggregation elements. Maintain A/B path separation.
• MCRT-608/609: HDA A/B include 48-port Cat6A patch panels, HD fiber LIUs, backbone side A/B LIU and server cabinet arrangements.
• Existing MCR rows 1-3 and B61 server cabinet transfer references are extensive. Maintain service using temporary fiber/umbilical cords and phased core relocation.</v>
      </c>
      <c r="H167" s="529"/>
      <c r="I167" s="529"/>
      <c r="J167" s="339"/>
      <c r="K167" s="339"/>
      <c r="L167" s="339"/>
      <c r="M167" s="339"/>
      <c r="N167" s="339"/>
      <c r="O167" s="339"/>
      <c r="P167" s="339"/>
    </row>
    <row r="168" spans="1:16" ht="30" customHeight="1">
      <c r="A168" s="339" t="str">
        <f>IFERROR(INDEX(PMIS_Trade_Notes!$A$2:$A$40,30),"")</f>
        <v>SPEC</v>
      </c>
      <c r="B168" s="339" t="str">
        <f>IF($A168="","",IFERROR(INDEX(PMIS_Trade_Notes!$J$2:$J$40,30),""))</f>
        <v>• No open questions items captured for this building.</v>
      </c>
      <c r="C168" s="339" t="str">
        <f>IF($A168="","",IFERROR(INDEX(PMIS_Trade_Notes!$K$2:$K$40,30),""))</f>
        <v/>
      </c>
      <c r="D168" s="339" t="str">
        <f>IF($A168="","",IFERROR(INDEX(PMIS_Trade_Notes!$D$2:$D$40,30),""))</f>
        <v>• No fire / life safety items captured for this building.</v>
      </c>
      <c r="E168" s="339" t="str">
        <f>IF($A168="","",IFERROR(INDEX(PMIS_Trade_Notes!$E$2:$E$40,30),""))</f>
        <v>• No hvac / cooling items captured for this building.</v>
      </c>
      <c r="F168" s="339" t="str">
        <f>IF($A168="","",IFERROR(INDEX(PMIS_Trade_Notes!$F$2:$F$40,30),""))</f>
        <v>• No electrical / ups items captured for this building.</v>
      </c>
      <c r="G168" s="339" t="str">
        <f>IF($A168="","",IFERROR(INDEX(PMIS_Trade_Notes!$G$2:$G$40,30),""))</f>
        <v>• No telecom / fiber items captured for this building.</v>
      </c>
      <c r="H168" s="529"/>
      <c r="I168" s="529"/>
      <c r="J168" s="339"/>
      <c r="K168" s="339"/>
      <c r="L168" s="339"/>
      <c r="M168" s="339"/>
      <c r="N168" s="339"/>
      <c r="O168" s="339"/>
      <c r="P168" s="339"/>
    </row>
    <row r="169" spans="1:16">
      <c r="A169" s="339"/>
      <c r="B169" s="339"/>
      <c r="C169" s="339"/>
      <c r="D169" s="339"/>
      <c r="E169" s="339"/>
      <c r="F169" s="339"/>
      <c r="G169" s="339"/>
      <c r="H169" s="529"/>
      <c r="I169" s="529"/>
      <c r="J169" s="339"/>
      <c r="K169" s="339"/>
      <c r="L169" s="339"/>
      <c r="M169" s="339"/>
      <c r="N169" s="339"/>
      <c r="O169" s="339"/>
      <c r="P169" s="339"/>
    </row>
    <row r="170" spans="1:16">
      <c r="A170" s="339"/>
      <c r="B170" s="339"/>
      <c r="C170" s="339"/>
      <c r="D170" s="339"/>
      <c r="E170" s="339"/>
      <c r="F170" s="339"/>
      <c r="G170" s="339"/>
      <c r="H170" s="529"/>
      <c r="I170" s="529"/>
      <c r="J170" s="339"/>
      <c r="K170" s="339"/>
      <c r="L170" s="339"/>
      <c r="M170" s="339"/>
      <c r="N170" s="339"/>
      <c r="O170" s="339"/>
      <c r="P170" s="339"/>
    </row>
    <row r="171" spans="1:16" ht="13.8">
      <c r="A171" s="541" t="s">
        <v>6024</v>
      </c>
      <c r="B171" s="541"/>
      <c r="C171" s="541"/>
      <c r="D171" s="541"/>
      <c r="E171" s="541"/>
      <c r="F171" s="541"/>
      <c r="G171" s="541"/>
      <c r="H171" s="542"/>
      <c r="I171" s="542"/>
      <c r="J171" s="541"/>
      <c r="K171" s="541"/>
      <c r="L171" s="541"/>
      <c r="M171" s="541"/>
      <c r="N171" s="541"/>
      <c r="O171" s="541"/>
      <c r="P171" s="541"/>
    </row>
    <row r="172" spans="1:16">
      <c r="A172" s="536" t="s">
        <v>142</v>
      </c>
      <c r="B172" s="536" t="s">
        <v>151</v>
      </c>
      <c r="C172" s="536" t="s">
        <v>154</v>
      </c>
      <c r="D172" s="536" t="s">
        <v>896</v>
      </c>
      <c r="E172" s="536" t="s">
        <v>148</v>
      </c>
      <c r="F172" s="536" t="s">
        <v>153</v>
      </c>
      <c r="G172" s="536" t="s">
        <v>155</v>
      </c>
      <c r="H172" s="540" t="s">
        <v>556</v>
      </c>
      <c r="I172" s="529"/>
      <c r="J172" s="339"/>
      <c r="K172" s="339"/>
      <c r="L172" s="339"/>
      <c r="M172" s="339"/>
      <c r="N172" s="339"/>
      <c r="O172" s="339"/>
      <c r="P172" s="339"/>
    </row>
    <row r="173" spans="1:16">
      <c r="A173" s="339" t="str">
        <f>IFERROR(INDEX(PMIS_Data!$A$3:$A$40,1),"")</f>
        <v>01</v>
      </c>
      <c r="B173" s="339" t="str">
        <f>IF($A173="","",IFERROR(INDEX(PMIS_Data!$C$3:$C$40,1),""))</f>
        <v>Yellow</v>
      </c>
      <c r="C173" s="339" t="str">
        <f>IF($A173="","",IFERROR(INDEX(PMIS_Data!$F$3:$F$40,1),""))</f>
        <v>No</v>
      </c>
      <c r="D173" s="339" t="str">
        <f>IF($A173="","",IFERROR(INDEX(PMIS_Data!$N$3:$N$40,1),""))</f>
        <v>Not Started</v>
      </c>
      <c r="E173" s="339" t="str">
        <f>IF($A173="","",IFERROR(INDEX(PMIS_Data!$K$3:$K$40,1),""))</f>
        <v>Not Started</v>
      </c>
      <c r="F173" s="339" t="str">
        <f>IF($A173="","",IFERROR(INDEX(PMIS_Data!$L$3:$L$40,1),""))</f>
        <v>Not Started</v>
      </c>
      <c r="G173" s="339" t="str">
        <f>IF($A173="","",IFERROR(INDEX(PMIS_Data!$M$3:$M$40,1),""))</f>
        <v>Not Started</v>
      </c>
      <c r="H173" s="529" t="str">
        <f>IF($A173="","",IFERROR(INDEX(PMIS_Data!$P$3:$P$40,1),""))</f>
        <v>Not Started</v>
      </c>
      <c r="I173" s="529"/>
      <c r="J173" s="339"/>
      <c r="K173" s="339"/>
      <c r="L173" s="339"/>
      <c r="M173" s="339"/>
      <c r="N173" s="339"/>
      <c r="O173" s="339"/>
      <c r="P173" s="339"/>
    </row>
    <row r="174" spans="1:16">
      <c r="A174" s="339" t="str">
        <f>IFERROR(INDEX(PMIS_Data!$A$3:$A$40,2),"")</f>
        <v>02</v>
      </c>
      <c r="B174" s="339" t="str">
        <f>IF($A174="","",IFERROR(INDEX(PMIS_Data!$C$3:$C$40,2),""))</f>
        <v>Yellow</v>
      </c>
      <c r="C174" s="339" t="str">
        <f>IF($A174="","",IFERROR(INDEX(PMIS_Data!$F$3:$F$40,2),""))</f>
        <v>No</v>
      </c>
      <c r="D174" s="339" t="str">
        <f>IF($A174="","",IFERROR(INDEX(PMIS_Data!$N$3:$N$40,2),""))</f>
        <v>Not Started</v>
      </c>
      <c r="E174" s="339" t="str">
        <f>IF($A174="","",IFERROR(INDEX(PMIS_Data!$K$3:$K$40,2),""))</f>
        <v>Not Started</v>
      </c>
      <c r="F174" s="339" t="str">
        <f>IF($A174="","",IFERROR(INDEX(PMIS_Data!$L$3:$L$40,2),""))</f>
        <v>Not Started</v>
      </c>
      <c r="G174" s="339" t="str">
        <f>IF($A174="","",IFERROR(INDEX(PMIS_Data!$M$3:$M$40,2),""))</f>
        <v>Not Started</v>
      </c>
      <c r="H174" s="529" t="str">
        <f>IF($A174="","",IFERROR(INDEX(PMIS_Data!$P$3:$P$40,2),""))</f>
        <v>Not Started</v>
      </c>
      <c r="I174" s="529"/>
      <c r="J174" s="339"/>
      <c r="K174" s="339"/>
      <c r="L174" s="339"/>
      <c r="M174" s="339"/>
      <c r="N174" s="339"/>
      <c r="O174" s="339"/>
      <c r="P174" s="339"/>
    </row>
    <row r="175" spans="1:16">
      <c r="A175" s="339" t="str">
        <f>IFERROR(INDEX(PMIS_Data!$A$3:$A$40,3),"")</f>
        <v>03</v>
      </c>
      <c r="B175" s="339" t="str">
        <f>IF($A175="","",IFERROR(INDEX(PMIS_Data!$C$3:$C$40,3),""))</f>
        <v>Yellow</v>
      </c>
      <c r="C175" s="339" t="str">
        <f>IF($A175="","",IFERROR(INDEX(PMIS_Data!$F$3:$F$40,3),""))</f>
        <v>No</v>
      </c>
      <c r="D175" s="339" t="str">
        <f>IF($A175="","",IFERROR(INDEX(PMIS_Data!$N$3:$N$40,3),""))</f>
        <v>Not Started</v>
      </c>
      <c r="E175" s="339" t="str">
        <f>IF($A175="","",IFERROR(INDEX(PMIS_Data!$K$3:$K$40,3),""))</f>
        <v>Not Started</v>
      </c>
      <c r="F175" s="339" t="str">
        <f>IF($A175="","",IFERROR(INDEX(PMIS_Data!$L$3:$L$40,3),""))</f>
        <v>Not Started</v>
      </c>
      <c r="G175" s="339" t="str">
        <f>IF($A175="","",IFERROR(INDEX(PMIS_Data!$M$3:$M$40,3),""))</f>
        <v>Not Started</v>
      </c>
      <c r="H175" s="529" t="str">
        <f>IF($A175="","",IFERROR(INDEX(PMIS_Data!$P$3:$P$40,3),""))</f>
        <v>Not Started</v>
      </c>
      <c r="I175" s="529"/>
      <c r="J175" s="339"/>
      <c r="K175" s="339"/>
      <c r="L175" s="339"/>
      <c r="M175" s="339"/>
      <c r="N175" s="339"/>
      <c r="O175" s="339"/>
      <c r="P175" s="339"/>
    </row>
    <row r="176" spans="1:16">
      <c r="A176" s="339" t="str">
        <f>IFERROR(INDEX(PMIS_Data!$A$3:$A$40,4),"")</f>
        <v>04</v>
      </c>
      <c r="B176" s="339" t="str">
        <f>IF($A176="","",IFERROR(INDEX(PMIS_Data!$C$3:$C$40,4),""))</f>
        <v>Yellow</v>
      </c>
      <c r="C176" s="339" t="str">
        <f>IF($A176="","",IFERROR(INDEX(PMIS_Data!$F$3:$F$40,4),""))</f>
        <v>No</v>
      </c>
      <c r="D176" s="339" t="str">
        <f>IF($A176="","",IFERROR(INDEX(PMIS_Data!$N$3:$N$40,4),""))</f>
        <v>Verify</v>
      </c>
      <c r="E176" s="339" t="str">
        <f>IF($A176="","",IFERROR(INDEX(PMIS_Data!$K$3:$K$40,4),""))</f>
        <v>Verify</v>
      </c>
      <c r="F176" s="339" t="str">
        <f>IF($A176="","",IFERROR(INDEX(PMIS_Data!$L$3:$L$40,4),""))</f>
        <v>Verify</v>
      </c>
      <c r="G176" s="339" t="str">
        <f>IF($A176="","",IFERROR(INDEX(PMIS_Data!$M$3:$M$40,4),""))</f>
        <v>Verify</v>
      </c>
      <c r="H176" s="529" t="str">
        <f>IF($A176="","",IFERROR(INDEX(PMIS_Data!$P$3:$P$40,4),""))</f>
        <v>Verify</v>
      </c>
      <c r="I176" s="529"/>
      <c r="J176" s="339"/>
      <c r="K176" s="339"/>
      <c r="L176" s="339"/>
      <c r="M176" s="339"/>
      <c r="N176" s="339"/>
      <c r="O176" s="339"/>
      <c r="P176" s="339"/>
    </row>
    <row r="177" spans="1:16">
      <c r="A177" s="339" t="str">
        <f>IFERROR(INDEX(PMIS_Data!$A$3:$A$40,5),"")</f>
        <v>05</v>
      </c>
      <c r="B177" s="339" t="str">
        <f>IF($A177="","",IFERROR(INDEX(PMIS_Data!$C$3:$C$40,5),""))</f>
        <v>Yellow</v>
      </c>
      <c r="C177" s="339" t="str">
        <f>IF($A177="","",IFERROR(INDEX(PMIS_Data!$F$3:$F$40,5),""))</f>
        <v>No</v>
      </c>
      <c r="D177" s="339" t="str">
        <f>IF($A177="","",IFERROR(INDEX(PMIS_Data!$N$3:$N$40,5),""))</f>
        <v>N/A</v>
      </c>
      <c r="E177" s="339" t="str">
        <f>IF($A177="","",IFERROR(INDEX(PMIS_Data!$K$3:$K$40,5),""))</f>
        <v>N/A</v>
      </c>
      <c r="F177" s="339" t="str">
        <f>IF($A177="","",IFERROR(INDEX(PMIS_Data!$L$3:$L$40,5),""))</f>
        <v>Verify</v>
      </c>
      <c r="G177" s="339" t="str">
        <f>IF($A177="","",IFERROR(INDEX(PMIS_Data!$M$3:$M$40,5),""))</f>
        <v>Verify</v>
      </c>
      <c r="H177" s="529" t="str">
        <f>IF($A177="","",IFERROR(INDEX(PMIS_Data!$P$3:$P$40,5),""))</f>
        <v>Verify</v>
      </c>
      <c r="I177" s="529"/>
      <c r="J177" s="339"/>
      <c r="K177" s="339"/>
      <c r="L177" s="339"/>
      <c r="M177" s="339"/>
      <c r="N177" s="339"/>
      <c r="O177" s="339"/>
      <c r="P177" s="339"/>
    </row>
    <row r="178" spans="1:16">
      <c r="A178" s="339" t="str">
        <f>IFERROR(INDEX(PMIS_Data!$A$3:$A$40,6),"")</f>
        <v>06</v>
      </c>
      <c r="B178" s="339" t="str">
        <f>IF($A178="","",IFERROR(INDEX(PMIS_Data!$C$3:$C$40,6),""))</f>
        <v>Yellow</v>
      </c>
      <c r="C178" s="339" t="str">
        <f>IF($A178="","",IFERROR(INDEX(PMIS_Data!$F$3:$F$40,6),""))</f>
        <v>No</v>
      </c>
      <c r="D178" s="339" t="str">
        <f>IF($A178="","",IFERROR(INDEX(PMIS_Data!$N$3:$N$40,6),""))</f>
        <v>Verify</v>
      </c>
      <c r="E178" s="339" t="str">
        <f>IF($A178="","",IFERROR(INDEX(PMIS_Data!$K$3:$K$40,6),""))</f>
        <v>Verify</v>
      </c>
      <c r="F178" s="339" t="str">
        <f>IF($A178="","",IFERROR(INDEX(PMIS_Data!$L$3:$L$40,6),""))</f>
        <v>Verify</v>
      </c>
      <c r="G178" s="339" t="str">
        <f>IF($A178="","",IFERROR(INDEX(PMIS_Data!$M$3:$M$40,6),""))</f>
        <v>Verify</v>
      </c>
      <c r="H178" s="529" t="str">
        <f>IF($A178="","",IFERROR(INDEX(PMIS_Data!$P$3:$P$40,6),""))</f>
        <v>Verify</v>
      </c>
      <c r="I178" s="529"/>
      <c r="J178" s="339"/>
      <c r="K178" s="339"/>
      <c r="L178" s="339"/>
      <c r="M178" s="339"/>
      <c r="N178" s="339"/>
      <c r="O178" s="339"/>
      <c r="P178" s="339"/>
    </row>
    <row r="179" spans="1:16">
      <c r="A179" s="339" t="str">
        <f>IFERROR(INDEX(PMIS_Data!$A$3:$A$40,7),"")</f>
        <v>07</v>
      </c>
      <c r="B179" s="339" t="str">
        <f>IF($A179="","",IFERROR(INDEX(PMIS_Data!$C$3:$C$40,7),""))</f>
        <v>Yellow</v>
      </c>
      <c r="C179" s="339" t="str">
        <f>IF($A179="","",IFERROR(INDEX(PMIS_Data!$F$3:$F$40,7),""))</f>
        <v>No</v>
      </c>
      <c r="D179" s="339" t="str">
        <f>IF($A179="","",IFERROR(INDEX(PMIS_Data!$N$3:$N$40,7),""))</f>
        <v>Verify</v>
      </c>
      <c r="E179" s="339" t="str">
        <f>IF($A179="","",IFERROR(INDEX(PMIS_Data!$K$3:$K$40,7),""))</f>
        <v>Verify</v>
      </c>
      <c r="F179" s="339" t="str">
        <f>IF($A179="","",IFERROR(INDEX(PMIS_Data!$L$3:$L$40,7),""))</f>
        <v>Verify</v>
      </c>
      <c r="G179" s="339" t="str">
        <f>IF($A179="","",IFERROR(INDEX(PMIS_Data!$M$3:$M$40,7),""))</f>
        <v>Verify</v>
      </c>
      <c r="H179" s="529" t="str">
        <f>IF($A179="","",IFERROR(INDEX(PMIS_Data!$P$3:$P$40,7),""))</f>
        <v>Verify</v>
      </c>
      <c r="I179" s="529"/>
      <c r="J179" s="339"/>
      <c r="K179" s="339"/>
      <c r="L179" s="339"/>
      <c r="M179" s="339"/>
      <c r="N179" s="339"/>
      <c r="O179" s="339"/>
      <c r="P179" s="339"/>
    </row>
    <row r="180" spans="1:16">
      <c r="A180" s="339" t="str">
        <f>IFERROR(INDEX(PMIS_Data!$A$3:$A$40,8),"")</f>
        <v>08</v>
      </c>
      <c r="B180" s="339" t="str">
        <f>IF($A180="","",IFERROR(INDEX(PMIS_Data!$C$3:$C$40,8),""))</f>
        <v>Yellow</v>
      </c>
      <c r="C180" s="339" t="str">
        <f>IF($A180="","",IFERROR(INDEX(PMIS_Data!$F$3:$F$40,8),""))</f>
        <v>No</v>
      </c>
      <c r="D180" s="339" t="str">
        <f>IF($A180="","",IFERROR(INDEX(PMIS_Data!$N$3:$N$40,8),""))</f>
        <v>Verify</v>
      </c>
      <c r="E180" s="339" t="str">
        <f>IF($A180="","",IFERROR(INDEX(PMIS_Data!$K$3:$K$40,8),""))</f>
        <v>Verify</v>
      </c>
      <c r="F180" s="339" t="str">
        <f>IF($A180="","",IFERROR(INDEX(PMIS_Data!$L$3:$L$40,8),""))</f>
        <v>Verify</v>
      </c>
      <c r="G180" s="339" t="str">
        <f>IF($A180="","",IFERROR(INDEX(PMIS_Data!$M$3:$M$40,8),""))</f>
        <v>Verify</v>
      </c>
      <c r="H180" s="529" t="str">
        <f>IF($A180="","",IFERROR(INDEX(PMIS_Data!$P$3:$P$40,8),""))</f>
        <v>Verify</v>
      </c>
      <c r="I180" s="529"/>
      <c r="J180" s="339"/>
      <c r="K180" s="339"/>
      <c r="L180" s="339"/>
      <c r="M180" s="339"/>
      <c r="N180" s="339"/>
      <c r="O180" s="339"/>
      <c r="P180" s="339"/>
    </row>
    <row r="181" spans="1:16">
      <c r="A181" s="339" t="str">
        <f>IFERROR(INDEX(PMIS_Data!$A$3:$A$40,9),"")</f>
        <v>09</v>
      </c>
      <c r="B181" s="339" t="str">
        <f>IF($A181="","",IFERROR(INDEX(PMIS_Data!$C$3:$C$40,9),""))</f>
        <v>Yellow</v>
      </c>
      <c r="C181" s="339" t="str">
        <f>IF($A181="","",IFERROR(INDEX(PMIS_Data!$F$3:$F$40,9),""))</f>
        <v>No</v>
      </c>
      <c r="D181" s="339" t="str">
        <f>IF($A181="","",IFERROR(INDEX(PMIS_Data!$N$3:$N$40,9),""))</f>
        <v>Verify</v>
      </c>
      <c r="E181" s="339" t="str">
        <f>IF($A181="","",IFERROR(INDEX(PMIS_Data!$K$3:$K$40,9),""))</f>
        <v>Verify</v>
      </c>
      <c r="F181" s="339" t="str">
        <f>IF($A181="","",IFERROR(INDEX(PMIS_Data!$L$3:$L$40,9),""))</f>
        <v>Verify</v>
      </c>
      <c r="G181" s="339" t="str">
        <f>IF($A181="","",IFERROR(INDEX(PMIS_Data!$M$3:$M$40,9),""))</f>
        <v>Verify</v>
      </c>
      <c r="H181" s="529" t="str">
        <f>IF($A181="","",IFERROR(INDEX(PMIS_Data!$P$3:$P$40,9),""))</f>
        <v>Verify</v>
      </c>
      <c r="I181" s="529"/>
      <c r="J181" s="339"/>
      <c r="K181" s="339"/>
      <c r="L181" s="339"/>
      <c r="M181" s="339"/>
      <c r="N181" s="339"/>
      <c r="O181" s="339"/>
      <c r="P181" s="339"/>
    </row>
    <row r="182" spans="1:16">
      <c r="A182" s="339" t="str">
        <f>IFERROR(INDEX(PMIS_Data!$A$3:$A$40,10),"")</f>
        <v>10</v>
      </c>
      <c r="B182" s="339" t="str">
        <f>IF($A182="","",IFERROR(INDEX(PMIS_Data!$C$3:$C$40,10),""))</f>
        <v>Yellow</v>
      </c>
      <c r="C182" s="339" t="str">
        <f>IF($A182="","",IFERROR(INDEX(PMIS_Data!$F$3:$F$40,10),""))</f>
        <v>No</v>
      </c>
      <c r="D182" s="339" t="str">
        <f>IF($A182="","",IFERROR(INDEX(PMIS_Data!$N$3:$N$40,10),""))</f>
        <v>Verify</v>
      </c>
      <c r="E182" s="339" t="str">
        <f>IF($A182="","",IFERROR(INDEX(PMIS_Data!$K$3:$K$40,10),""))</f>
        <v>Verify</v>
      </c>
      <c r="F182" s="339" t="str">
        <f>IF($A182="","",IFERROR(INDEX(PMIS_Data!$L$3:$L$40,10),""))</f>
        <v>Verify</v>
      </c>
      <c r="G182" s="339" t="str">
        <f>IF($A182="","",IFERROR(INDEX(PMIS_Data!$M$3:$M$40,10),""))</f>
        <v>Verify</v>
      </c>
      <c r="H182" s="529" t="str">
        <f>IF($A182="","",IFERROR(INDEX(PMIS_Data!$P$3:$P$40,10),""))</f>
        <v>Verify</v>
      </c>
      <c r="I182" s="529"/>
      <c r="J182" s="339"/>
      <c r="K182" s="339"/>
      <c r="L182" s="339"/>
      <c r="M182" s="339"/>
      <c r="N182" s="339"/>
      <c r="O182" s="339"/>
      <c r="P182" s="339"/>
    </row>
    <row r="183" spans="1:16">
      <c r="A183" s="339" t="str">
        <f>IFERROR(INDEX(PMIS_Data!$A$3:$A$40,11),"")</f>
        <v>12</v>
      </c>
      <c r="B183" s="339" t="str">
        <f>IF($A183="","",IFERROR(INDEX(PMIS_Data!$C$3:$C$40,11),""))</f>
        <v>Yellow</v>
      </c>
      <c r="C183" s="339" t="str">
        <f>IF($A183="","",IFERROR(INDEX(PMIS_Data!$F$3:$F$40,11),""))</f>
        <v>No</v>
      </c>
      <c r="D183" s="339" t="str">
        <f>IF($A183="","",IFERROR(INDEX(PMIS_Data!$N$3:$N$40,11),""))</f>
        <v>N/A / Verify</v>
      </c>
      <c r="E183" s="339" t="str">
        <f>IF($A183="","",IFERROR(INDEX(PMIS_Data!$K$3:$K$40,11),""))</f>
        <v>N/A</v>
      </c>
      <c r="F183" s="339" t="str">
        <f>IF($A183="","",IFERROR(INDEX(PMIS_Data!$L$3:$L$40,11),""))</f>
        <v>N/A / Verify</v>
      </c>
      <c r="G183" s="339" t="str">
        <f>IF($A183="","",IFERROR(INDEX(PMIS_Data!$M$3:$M$40,11),""))</f>
        <v>Verify</v>
      </c>
      <c r="H183" s="529" t="str">
        <f>IF($A183="","",IFERROR(INDEX(PMIS_Data!$P$3:$P$40,11),""))</f>
        <v>N/A / Verify</v>
      </c>
      <c r="I183" s="529"/>
      <c r="J183" s="339"/>
      <c r="K183" s="339"/>
      <c r="L183" s="339"/>
      <c r="M183" s="339"/>
      <c r="N183" s="339"/>
      <c r="O183" s="339"/>
      <c r="P183" s="339"/>
    </row>
    <row r="184" spans="1:16">
      <c r="A184" s="339" t="str">
        <f>IFERROR(INDEX(PMIS_Data!$A$3:$A$40,12),"")</f>
        <v>13</v>
      </c>
      <c r="B184" s="339" t="str">
        <f>IF($A184="","",IFERROR(INDEX(PMIS_Data!$C$3:$C$40,12),""))</f>
        <v>Yellow</v>
      </c>
      <c r="C184" s="339" t="str">
        <f>IF($A184="","",IFERROR(INDEX(PMIS_Data!$F$3:$F$40,12),""))</f>
        <v>No</v>
      </c>
      <c r="D184" s="339" t="str">
        <f>IF($A184="","",IFERROR(INDEX(PMIS_Data!$N$3:$N$40,12),""))</f>
        <v>Verify</v>
      </c>
      <c r="E184" s="339" t="str">
        <f>IF($A184="","",IFERROR(INDEX(PMIS_Data!$K$3:$K$40,12),""))</f>
        <v>Verify</v>
      </c>
      <c r="F184" s="339" t="str">
        <f>IF($A184="","",IFERROR(INDEX(PMIS_Data!$L$3:$L$40,12),""))</f>
        <v>Verify</v>
      </c>
      <c r="G184" s="339" t="str">
        <f>IF($A184="","",IFERROR(INDEX(PMIS_Data!$M$3:$M$40,12),""))</f>
        <v>Verify</v>
      </c>
      <c r="H184" s="529" t="str">
        <f>IF($A184="","",IFERROR(INDEX(PMIS_Data!$P$3:$P$40,12),""))</f>
        <v>Verify</v>
      </c>
      <c r="I184" s="529"/>
      <c r="J184" s="339"/>
      <c r="K184" s="339"/>
      <c r="L184" s="339"/>
      <c r="M184" s="339"/>
      <c r="N184" s="339"/>
      <c r="O184" s="339"/>
      <c r="P184" s="339"/>
    </row>
    <row r="185" spans="1:16">
      <c r="A185" s="339" t="str">
        <f>IFERROR(INDEX(PMIS_Data!$A$3:$A$40,13),"")</f>
        <v>14</v>
      </c>
      <c r="B185" s="339" t="str">
        <f>IF($A185="","",IFERROR(INDEX(PMIS_Data!$C$3:$C$40,13),""))</f>
        <v>Yellow</v>
      </c>
      <c r="C185" s="339" t="str">
        <f>IF($A185="","",IFERROR(INDEX(PMIS_Data!$F$3:$F$40,13),""))</f>
        <v>No</v>
      </c>
      <c r="D185" s="339" t="str">
        <f>IF($A185="","",IFERROR(INDEX(PMIS_Data!$N$3:$N$40,13),""))</f>
        <v>Verify</v>
      </c>
      <c r="E185" s="339" t="str">
        <f>IF($A185="","",IFERROR(INDEX(PMIS_Data!$K$3:$K$40,13),""))</f>
        <v>Verify</v>
      </c>
      <c r="F185" s="339" t="str">
        <f>IF($A185="","",IFERROR(INDEX(PMIS_Data!$L$3:$L$40,13),""))</f>
        <v>Verify</v>
      </c>
      <c r="G185" s="339" t="str">
        <f>IF($A185="","",IFERROR(INDEX(PMIS_Data!$M$3:$M$40,13),""))</f>
        <v>Verify</v>
      </c>
      <c r="H185" s="529" t="str">
        <f>IF($A185="","",IFERROR(INDEX(PMIS_Data!$P$3:$P$40,13),""))</f>
        <v>Verify</v>
      </c>
      <c r="I185" s="529"/>
      <c r="J185" s="339"/>
      <c r="K185" s="339"/>
      <c r="L185" s="339"/>
      <c r="M185" s="339"/>
      <c r="N185" s="339"/>
      <c r="O185" s="339"/>
      <c r="P185" s="339"/>
    </row>
    <row r="186" spans="1:16">
      <c r="A186" s="339" t="str">
        <f>IFERROR(INDEX(PMIS_Data!$A$3:$A$40,14),"")</f>
        <v>15</v>
      </c>
      <c r="B186" s="339" t="str">
        <f>IF($A186="","",IFERROR(INDEX(PMIS_Data!$C$3:$C$40,14),""))</f>
        <v>Yellow</v>
      </c>
      <c r="C186" s="339" t="str">
        <f>IF($A186="","",IFERROR(INDEX(PMIS_Data!$F$3:$F$40,14),""))</f>
        <v>No</v>
      </c>
      <c r="D186" s="339" t="str">
        <f>IF($A186="","",IFERROR(INDEX(PMIS_Data!$N$3:$N$40,14),""))</f>
        <v>Verify</v>
      </c>
      <c r="E186" s="339" t="str">
        <f>IF($A186="","",IFERROR(INDEX(PMIS_Data!$K$3:$K$40,14),""))</f>
        <v>Verify</v>
      </c>
      <c r="F186" s="339" t="str">
        <f>IF($A186="","",IFERROR(INDEX(PMIS_Data!$L$3:$L$40,14),""))</f>
        <v>Verify</v>
      </c>
      <c r="G186" s="339" t="str">
        <f>IF($A186="","",IFERROR(INDEX(PMIS_Data!$M$3:$M$40,14),""))</f>
        <v>Verify</v>
      </c>
      <c r="H186" s="529" t="str">
        <f>IF($A186="","",IFERROR(INDEX(PMIS_Data!$P$3:$P$40,14),""))</f>
        <v>Verify</v>
      </c>
      <c r="I186" s="529"/>
      <c r="J186" s="339"/>
      <c r="K186" s="339"/>
      <c r="L186" s="339"/>
      <c r="M186" s="339"/>
      <c r="N186" s="339"/>
      <c r="O186" s="339"/>
      <c r="P186" s="339"/>
    </row>
    <row r="187" spans="1:16">
      <c r="A187" s="339" t="str">
        <f>IFERROR(INDEX(PMIS_Data!$A$3:$A$40,15),"")</f>
        <v>16</v>
      </c>
      <c r="B187" s="339" t="str">
        <f>IF($A187="","",IFERROR(INDEX(PMIS_Data!$C$3:$C$40,15),""))</f>
        <v>Yellow</v>
      </c>
      <c r="C187" s="339" t="str">
        <f>IF($A187="","",IFERROR(INDEX(PMIS_Data!$F$3:$F$40,15),""))</f>
        <v>No</v>
      </c>
      <c r="D187" s="339" t="str">
        <f>IF($A187="","",IFERROR(INDEX(PMIS_Data!$N$3:$N$40,15),""))</f>
        <v>Verify</v>
      </c>
      <c r="E187" s="339" t="str">
        <f>IF($A187="","",IFERROR(INDEX(PMIS_Data!$K$3:$K$40,15),""))</f>
        <v>Verify</v>
      </c>
      <c r="F187" s="339" t="str">
        <f>IF($A187="","",IFERROR(INDEX(PMIS_Data!$L$3:$L$40,15),""))</f>
        <v>Verify</v>
      </c>
      <c r="G187" s="339" t="str">
        <f>IF($A187="","",IFERROR(INDEX(PMIS_Data!$M$3:$M$40,15),""))</f>
        <v>Verify</v>
      </c>
      <c r="H187" s="529" t="str">
        <f>IF($A187="","",IFERROR(INDEX(PMIS_Data!$P$3:$P$40,15),""))</f>
        <v>Verify</v>
      </c>
      <c r="I187" s="529"/>
      <c r="J187" s="339"/>
      <c r="K187" s="339"/>
      <c r="L187" s="339"/>
      <c r="M187" s="339"/>
      <c r="N187" s="339"/>
      <c r="O187" s="339"/>
      <c r="P187" s="339"/>
    </row>
    <row r="188" spans="1:16">
      <c r="A188" s="339" t="str">
        <f>IFERROR(INDEX(PMIS_Data!$A$3:$A$40,16),"")</f>
        <v>17</v>
      </c>
      <c r="B188" s="339" t="str">
        <f>IF($A188="","",IFERROR(INDEX(PMIS_Data!$C$3:$C$40,16),""))</f>
        <v>Yellow</v>
      </c>
      <c r="C188" s="339" t="str">
        <f>IF($A188="","",IFERROR(INDEX(PMIS_Data!$F$3:$F$40,16),""))</f>
        <v>No</v>
      </c>
      <c r="D188" s="339" t="str">
        <f>IF($A188="","",IFERROR(INDEX(PMIS_Data!$N$3:$N$40,16),""))</f>
        <v>Verify</v>
      </c>
      <c r="E188" s="339" t="str">
        <f>IF($A188="","",IFERROR(INDEX(PMIS_Data!$K$3:$K$40,16),""))</f>
        <v>Verify</v>
      </c>
      <c r="F188" s="339" t="str">
        <f>IF($A188="","",IFERROR(INDEX(PMIS_Data!$L$3:$L$40,16),""))</f>
        <v>Verify</v>
      </c>
      <c r="G188" s="339" t="str">
        <f>IF($A188="","",IFERROR(INDEX(PMIS_Data!$M$3:$M$40,16),""))</f>
        <v>Verify</v>
      </c>
      <c r="H188" s="529" t="str">
        <f>IF($A188="","",IFERROR(INDEX(PMIS_Data!$P$3:$P$40,16),""))</f>
        <v>Verify</v>
      </c>
      <c r="I188" s="529"/>
      <c r="J188" s="339"/>
      <c r="K188" s="339"/>
      <c r="L188" s="339"/>
      <c r="M188" s="339"/>
      <c r="N188" s="339"/>
      <c r="O188" s="339"/>
      <c r="P188" s="339"/>
    </row>
    <row r="189" spans="1:16">
      <c r="A189" s="339" t="str">
        <f>IFERROR(INDEX(PMIS_Data!$A$3:$A$40,17),"")</f>
        <v>18</v>
      </c>
      <c r="B189" s="339" t="str">
        <f>IF($A189="","",IFERROR(INDEX(PMIS_Data!$C$3:$C$40,17),""))</f>
        <v>Yellow</v>
      </c>
      <c r="C189" s="339" t="str">
        <f>IF($A189="","",IFERROR(INDEX(PMIS_Data!$F$3:$F$40,17),""))</f>
        <v>No</v>
      </c>
      <c r="D189" s="339" t="str">
        <f>IF($A189="","",IFERROR(INDEX(PMIS_Data!$N$3:$N$40,17),""))</f>
        <v>Verify</v>
      </c>
      <c r="E189" s="339" t="str">
        <f>IF($A189="","",IFERROR(INDEX(PMIS_Data!$K$3:$K$40,17),""))</f>
        <v>Verify</v>
      </c>
      <c r="F189" s="339" t="str">
        <f>IF($A189="","",IFERROR(INDEX(PMIS_Data!$L$3:$L$40,17),""))</f>
        <v>Verify</v>
      </c>
      <c r="G189" s="339" t="str">
        <f>IF($A189="","",IFERROR(INDEX(PMIS_Data!$M$3:$M$40,17),""))</f>
        <v>Verify</v>
      </c>
      <c r="H189" s="529" t="str">
        <f>IF($A189="","",IFERROR(INDEX(PMIS_Data!$P$3:$P$40,17),""))</f>
        <v>Verify</v>
      </c>
      <c r="I189" s="529"/>
      <c r="J189" s="339"/>
      <c r="K189" s="339"/>
      <c r="L189" s="339"/>
      <c r="M189" s="339"/>
      <c r="N189" s="339"/>
      <c r="O189" s="339"/>
      <c r="P189" s="339"/>
    </row>
    <row r="190" spans="1:16" ht="26.4">
      <c r="A190" s="339" t="str">
        <f>IFERROR(INDEX(PMIS_Data!$A$3:$A$40,18),"")</f>
        <v>20</v>
      </c>
      <c r="B190" s="339" t="str">
        <f>IF($A190="","",IFERROR(INDEX(PMIS_Data!$C$3:$C$40,18),""))</f>
        <v>Yellow</v>
      </c>
      <c r="C190" s="339" t="str">
        <f>IF($A190="","",IFERROR(INDEX(PMIS_Data!$F$3:$F$40,18),""))</f>
        <v>No</v>
      </c>
      <c r="D190" s="339" t="str">
        <f>IF($A190="","",IFERROR(INDEX(PMIS_Data!$N$3:$N$40,18),""))</f>
        <v>Excluded / Firestop Only</v>
      </c>
      <c r="E190" s="339" t="str">
        <f>IF($A190="","",IFERROR(INDEX(PMIS_Data!$K$3:$K$40,18),""))</f>
        <v>Excluded / Verify Existing</v>
      </c>
      <c r="F190" s="339" t="str">
        <f>IF($A190="","",IFERROR(INDEX(PMIS_Data!$L$3:$L$40,18),""))</f>
        <v>Verify</v>
      </c>
      <c r="G190" s="339" t="str">
        <f>IF($A190="","",IFERROR(INDEX(PMIS_Data!$M$3:$M$40,18),""))</f>
        <v>Verify</v>
      </c>
      <c r="H190" s="529" t="str">
        <f>IF($A190="","",IFERROR(INDEX(PMIS_Data!$P$3:$P$40,18),""))</f>
        <v>Verify Existing</v>
      </c>
      <c r="I190" s="529"/>
      <c r="J190" s="339"/>
      <c r="K190" s="339"/>
      <c r="L190" s="339"/>
      <c r="M190" s="339"/>
      <c r="N190" s="339"/>
      <c r="O190" s="339"/>
      <c r="P190" s="339"/>
    </row>
    <row r="191" spans="1:16" ht="26.4">
      <c r="A191" s="339" t="str">
        <f>IFERROR(INDEX(PMIS_Data!$A$3:$A$40,19),"")</f>
        <v>21</v>
      </c>
      <c r="B191" s="339" t="str">
        <f>IF($A191="","",IFERROR(INDEX(PMIS_Data!$C$3:$C$40,19),""))</f>
        <v>Yellow</v>
      </c>
      <c r="C191" s="339" t="str">
        <f>IF($A191="","",IFERROR(INDEX(PMIS_Data!$F$3:$F$40,19),""))</f>
        <v>No</v>
      </c>
      <c r="D191" s="339" t="str">
        <f>IF($A191="","",IFERROR(INDEX(PMIS_Data!$N$3:$N$40,19),""))</f>
        <v>Excluded / Firestop Only</v>
      </c>
      <c r="E191" s="339" t="str">
        <f>IF($A191="","",IFERROR(INDEX(PMIS_Data!$K$3:$K$40,19),""))</f>
        <v>Verify</v>
      </c>
      <c r="F191" s="339" t="str">
        <f>IF($A191="","",IFERROR(INDEX(PMIS_Data!$L$3:$L$40,19),""))</f>
        <v>Verify</v>
      </c>
      <c r="G191" s="339" t="str">
        <f>IF($A191="","",IFERROR(INDEX(PMIS_Data!$M$3:$M$40,19),""))</f>
        <v>Verify</v>
      </c>
      <c r="H191" s="529" t="str">
        <f>IF($A191="","",IFERROR(INDEX(PMIS_Data!$P$3:$P$40,19),""))</f>
        <v>Verify Existing</v>
      </c>
      <c r="I191" s="529"/>
      <c r="J191" s="339"/>
      <c r="K191" s="339"/>
      <c r="L191" s="339"/>
      <c r="M191" s="339"/>
      <c r="N191" s="339"/>
      <c r="O191" s="339"/>
      <c r="P191" s="339"/>
    </row>
    <row r="192" spans="1:16" ht="26.4">
      <c r="A192" s="339" t="str">
        <f>IFERROR(INDEX(PMIS_Data!$A$3:$A$40,20),"")</f>
        <v>22</v>
      </c>
      <c r="B192" s="339" t="str">
        <f>IF($A192="","",IFERROR(INDEX(PMIS_Data!$C$3:$C$40,20),""))</f>
        <v>Yellow</v>
      </c>
      <c r="C192" s="339" t="str">
        <f>IF($A192="","",IFERROR(INDEX(PMIS_Data!$F$3:$F$40,20),""))</f>
        <v>No</v>
      </c>
      <c r="D192" s="339" t="str">
        <f>IF($A192="","",IFERROR(INDEX(PMIS_Data!$N$3:$N$40,20),""))</f>
        <v>Excluded / Firestop Only</v>
      </c>
      <c r="E192" s="339" t="str">
        <f>IF($A192="","",IFERROR(INDEX(PMIS_Data!$K$3:$K$40,20),""))</f>
        <v>Excluded / Verify Existing</v>
      </c>
      <c r="F192" s="339" t="str">
        <f>IF($A192="","",IFERROR(INDEX(PMIS_Data!$L$3:$L$40,20),""))</f>
        <v>Verify</v>
      </c>
      <c r="G192" s="339" t="str">
        <f>IF($A192="","",IFERROR(INDEX(PMIS_Data!$M$3:$M$40,20),""))</f>
        <v>Verify</v>
      </c>
      <c r="H192" s="529" t="str">
        <f>IF($A192="","",IFERROR(INDEX(PMIS_Data!$P$3:$P$40,20),""))</f>
        <v>Verify Existing</v>
      </c>
      <c r="I192" s="529"/>
      <c r="J192" s="339"/>
      <c r="K192" s="339"/>
      <c r="L192" s="339"/>
      <c r="M192" s="339"/>
      <c r="N192" s="339"/>
      <c r="O192" s="339"/>
      <c r="P192" s="339"/>
    </row>
    <row r="193" spans="1:16" ht="26.4">
      <c r="A193" s="339" t="str">
        <f>IFERROR(INDEX(PMIS_Data!$A$3:$A$40,21),"")</f>
        <v>33</v>
      </c>
      <c r="B193" s="339" t="str">
        <f>IF($A193="","",IFERROR(INDEX(PMIS_Data!$C$3:$C$40,21),""))</f>
        <v>Yellow</v>
      </c>
      <c r="C193" s="339" t="str">
        <f>IF($A193="","",IFERROR(INDEX(PMIS_Data!$F$3:$F$40,21),""))</f>
        <v>No</v>
      </c>
      <c r="D193" s="339" t="str">
        <f>IF($A193="","",IFERROR(INDEX(PMIS_Data!$N$3:$N$40,21),""))</f>
        <v>Excluded / Firestop Only</v>
      </c>
      <c r="E193" s="339" t="str">
        <f>IF($A193="","",IFERROR(INDEX(PMIS_Data!$K$3:$K$40,21),""))</f>
        <v>Excluded / Verify Existing</v>
      </c>
      <c r="F193" s="339" t="str">
        <f>IF($A193="","",IFERROR(INDEX(PMIS_Data!$L$3:$L$40,21),""))</f>
        <v>Verify</v>
      </c>
      <c r="G193" s="339" t="str">
        <f>IF($A193="","",IFERROR(INDEX(PMIS_Data!$M$3:$M$40,21),""))</f>
        <v>Verify</v>
      </c>
      <c r="H193" s="529" t="str">
        <f>IF($A193="","",IFERROR(INDEX(PMIS_Data!$P$3:$P$40,21),""))</f>
        <v>Verify Existing</v>
      </c>
      <c r="I193" s="529"/>
      <c r="J193" s="339"/>
      <c r="K193" s="339"/>
      <c r="L193" s="339"/>
      <c r="M193" s="339"/>
      <c r="N193" s="339"/>
      <c r="O193" s="339"/>
      <c r="P193" s="339"/>
    </row>
    <row r="194" spans="1:16">
      <c r="A194" s="339" t="str">
        <f>IFERROR(INDEX(PMIS_Data!$A$3:$A$40,22),"")</f>
        <v>61</v>
      </c>
      <c r="B194" s="339" t="str">
        <f>IF($A194="","",IFERROR(INDEX(PMIS_Data!$C$3:$C$40,22),""))</f>
        <v>PILOT PHASE</v>
      </c>
      <c r="C194" s="339" t="str">
        <f>IF($A194="","",IFERROR(INDEX(PMIS_Data!$F$3:$F$40,22),""))</f>
        <v>YES</v>
      </c>
      <c r="D194" s="339" t="str">
        <f>IF($A194="","",IFERROR(INDEX(PMIS_Data!$N$3:$N$40,22),""))</f>
        <v>Not Started</v>
      </c>
      <c r="E194" s="339" t="str">
        <f>IF($A194="","",IFERROR(INDEX(PMIS_Data!$K$3:$K$40,22),""))</f>
        <v>Not Started</v>
      </c>
      <c r="F194" s="339" t="str">
        <f>IF($A194="","",IFERROR(INDEX(PMIS_Data!$L$3:$L$40,22),""))</f>
        <v>Not Started</v>
      </c>
      <c r="G194" s="339" t="str">
        <f>IF($A194="","",IFERROR(INDEX(PMIS_Data!$M$3:$M$40,22),""))</f>
        <v>Not Started</v>
      </c>
      <c r="H194" s="529" t="str">
        <f>IF($A194="","",IFERROR(INDEX(PMIS_Data!$P$3:$P$40,22),""))</f>
        <v>Not Started</v>
      </c>
      <c r="I194" s="529"/>
      <c r="J194" s="339"/>
      <c r="K194" s="339"/>
      <c r="L194" s="339"/>
      <c r="M194" s="339"/>
      <c r="N194" s="339"/>
      <c r="O194" s="339"/>
      <c r="P194" s="339"/>
    </row>
    <row r="195" spans="1:16">
      <c r="A195" s="339" t="str">
        <f>IFERROR(INDEX(PMIS_Data!$A$3:$A$40,23),"")</f>
        <v>62</v>
      </c>
      <c r="B195" s="339" t="str">
        <f>IF($A195="","",IFERROR(INDEX(PMIS_Data!$C$3:$C$40,23),""))</f>
        <v>Yellow</v>
      </c>
      <c r="C195" s="339" t="str">
        <f>IF($A195="","",IFERROR(INDEX(PMIS_Data!$F$3:$F$40,23),""))</f>
        <v>No</v>
      </c>
      <c r="D195" s="339" t="str">
        <f>IF($A195="","",IFERROR(INDEX(PMIS_Data!$N$3:$N$40,23),""))</f>
        <v>Verify</v>
      </c>
      <c r="E195" s="339" t="str">
        <f>IF($A195="","",IFERROR(INDEX(PMIS_Data!$K$3:$K$40,23),""))</f>
        <v>Verify</v>
      </c>
      <c r="F195" s="339" t="str">
        <f>IF($A195="","",IFERROR(INDEX(PMIS_Data!$L$3:$L$40,23),""))</f>
        <v>Verify</v>
      </c>
      <c r="G195" s="339" t="str">
        <f>IF($A195="","",IFERROR(INDEX(PMIS_Data!$M$3:$M$40,23),""))</f>
        <v>Verify</v>
      </c>
      <c r="H195" s="529" t="str">
        <f>IF($A195="","",IFERROR(INDEX(PMIS_Data!$P$3:$P$40,23),""))</f>
        <v>Verify</v>
      </c>
      <c r="I195" s="529"/>
      <c r="J195" s="339"/>
      <c r="K195" s="339"/>
      <c r="L195" s="339"/>
      <c r="M195" s="339"/>
      <c r="N195" s="339"/>
      <c r="O195" s="339"/>
      <c r="P195" s="339"/>
    </row>
    <row r="196" spans="1:16">
      <c r="A196" s="339" t="str">
        <f>IFERROR(INDEX(PMIS_Data!$A$3:$A$40,24),"")</f>
        <v>70</v>
      </c>
      <c r="B196" s="339" t="str">
        <f>IF($A196="","",IFERROR(INDEX(PMIS_Data!$C$3:$C$40,24),""))</f>
        <v>Yellow</v>
      </c>
      <c r="C196" s="339" t="str">
        <f>IF($A196="","",IFERROR(INDEX(PMIS_Data!$F$3:$F$40,24),""))</f>
        <v>No</v>
      </c>
      <c r="D196" s="339" t="str">
        <f>IF($A196="","",IFERROR(INDEX(PMIS_Data!$N$3:$N$40,24),""))</f>
        <v>Verify</v>
      </c>
      <c r="E196" s="339" t="str">
        <f>IF($A196="","",IFERROR(INDEX(PMIS_Data!$K$3:$K$40,24),""))</f>
        <v>Verify</v>
      </c>
      <c r="F196" s="339" t="str">
        <f>IF($A196="","",IFERROR(INDEX(PMIS_Data!$L$3:$L$40,24),""))</f>
        <v>Verify</v>
      </c>
      <c r="G196" s="339" t="str">
        <f>IF($A196="","",IFERROR(INDEX(PMIS_Data!$M$3:$M$40,24),""))</f>
        <v>Verify</v>
      </c>
      <c r="H196" s="529" t="str">
        <f>IF($A196="","",IFERROR(INDEX(PMIS_Data!$P$3:$P$40,24),""))</f>
        <v>Verify</v>
      </c>
      <c r="I196" s="529"/>
      <c r="J196" s="339"/>
      <c r="K196" s="339"/>
      <c r="L196" s="339"/>
      <c r="M196" s="339"/>
      <c r="N196" s="339"/>
      <c r="O196" s="339"/>
      <c r="P196" s="339"/>
    </row>
    <row r="197" spans="1:16">
      <c r="A197" s="339" t="str">
        <f>IFERROR(INDEX(PMIS_Data!$A$3:$A$40,25),"")</f>
        <v>78</v>
      </c>
      <c r="B197" s="339" t="str">
        <f>IF($A197="","",IFERROR(INDEX(PMIS_Data!$C$3:$C$40,25),""))</f>
        <v>Yellow</v>
      </c>
      <c r="C197" s="339" t="str">
        <f>IF($A197="","",IFERROR(INDEX(PMIS_Data!$F$3:$F$40,25),""))</f>
        <v>No</v>
      </c>
      <c r="D197" s="339" t="str">
        <f>IF($A197="","",IFERROR(INDEX(PMIS_Data!$N$3:$N$40,25),""))</f>
        <v>Verify</v>
      </c>
      <c r="E197" s="339" t="str">
        <f>IF($A197="","",IFERROR(INDEX(PMIS_Data!$K$3:$K$40,25),""))</f>
        <v>Verify</v>
      </c>
      <c r="F197" s="339" t="str">
        <f>IF($A197="","",IFERROR(INDEX(PMIS_Data!$L$3:$L$40,25),""))</f>
        <v>Verify</v>
      </c>
      <c r="G197" s="339" t="str">
        <f>IF($A197="","",IFERROR(INDEX(PMIS_Data!$M$3:$M$40,25),""))</f>
        <v>Verify</v>
      </c>
      <c r="H197" s="529" t="str">
        <f>IF($A197="","",IFERROR(INDEX(PMIS_Data!$P$3:$P$40,25),""))</f>
        <v>Verify</v>
      </c>
      <c r="I197" s="529"/>
      <c r="J197" s="339"/>
      <c r="K197" s="339"/>
      <c r="L197" s="339"/>
      <c r="M197" s="339"/>
      <c r="N197" s="339"/>
      <c r="O197" s="339"/>
      <c r="P197" s="339"/>
    </row>
    <row r="198" spans="1:16">
      <c r="A198" s="339" t="str">
        <f>IFERROR(INDEX(PMIS_Data!$A$3:$A$40,26),"")</f>
        <v>80</v>
      </c>
      <c r="B198" s="339" t="str">
        <f>IF($A198="","",IFERROR(INDEX(PMIS_Data!$C$3:$C$40,26),""))</f>
        <v>Yellow</v>
      </c>
      <c r="C198" s="339" t="str">
        <f>IF($A198="","",IFERROR(INDEX(PMIS_Data!$F$3:$F$40,26),""))</f>
        <v>No</v>
      </c>
      <c r="D198" s="339" t="str">
        <f>IF($A198="","",IFERROR(INDEX(PMIS_Data!$N$3:$N$40,26),""))</f>
        <v>Verify</v>
      </c>
      <c r="E198" s="339" t="str">
        <f>IF($A198="","",IFERROR(INDEX(PMIS_Data!$K$3:$K$40,26),""))</f>
        <v>Verify</v>
      </c>
      <c r="F198" s="339" t="str">
        <f>IF($A198="","",IFERROR(INDEX(PMIS_Data!$L$3:$L$40,26),""))</f>
        <v>Verify</v>
      </c>
      <c r="G198" s="339" t="str">
        <f>IF($A198="","",IFERROR(INDEX(PMIS_Data!$M$3:$M$40,26),""))</f>
        <v>Verify</v>
      </c>
      <c r="H198" s="529" t="str">
        <f>IF($A198="","",IFERROR(INDEX(PMIS_Data!$P$3:$P$40,26),""))</f>
        <v>Verify</v>
      </c>
      <c r="I198" s="529"/>
      <c r="J198" s="339"/>
      <c r="K198" s="339"/>
      <c r="L198" s="339"/>
      <c r="M198" s="339"/>
      <c r="N198" s="339"/>
      <c r="O198" s="339"/>
      <c r="P198" s="339"/>
    </row>
    <row r="199" spans="1:16" ht="26.4">
      <c r="A199" s="339" t="str">
        <f>IFERROR(INDEX(PMIS_Data!$A$3:$A$40,27),"")</f>
        <v>82</v>
      </c>
      <c r="B199" s="339" t="str">
        <f>IF($A199="","",IFERROR(INDEX(PMIS_Data!$C$3:$C$40,27),""))</f>
        <v>Yellow</v>
      </c>
      <c r="C199" s="339" t="str">
        <f>IF($A199="","",IFERROR(INDEX(PMIS_Data!$F$3:$F$40,27),""))</f>
        <v>No</v>
      </c>
      <c r="D199" s="339" t="str">
        <f>IF($A199="","",IFERROR(INDEX(PMIS_Data!$N$3:$N$40,27),""))</f>
        <v>Excluded / Firestop Only</v>
      </c>
      <c r="E199" s="339" t="str">
        <f>IF($A199="","",IFERROR(INDEX(PMIS_Data!$K$3:$K$40,27),""))</f>
        <v>Verify</v>
      </c>
      <c r="F199" s="339" t="str">
        <f>IF($A199="","",IFERROR(INDEX(PMIS_Data!$L$3:$L$40,27),""))</f>
        <v>Verify</v>
      </c>
      <c r="G199" s="339" t="str">
        <f>IF($A199="","",IFERROR(INDEX(PMIS_Data!$M$3:$M$40,27),""))</f>
        <v>Verify</v>
      </c>
      <c r="H199" s="529" t="str">
        <f>IF($A199="","",IFERROR(INDEX(PMIS_Data!$P$3:$P$40,27),""))</f>
        <v>Excluded / Verify Existing</v>
      </c>
      <c r="I199" s="529"/>
      <c r="J199" s="339"/>
      <c r="K199" s="339"/>
      <c r="L199" s="339"/>
      <c r="M199" s="339"/>
      <c r="N199" s="339"/>
      <c r="O199" s="339"/>
      <c r="P199" s="339"/>
    </row>
    <row r="200" spans="1:16" ht="26.4">
      <c r="A200" s="339" t="str">
        <f>IFERROR(INDEX(PMIS_Data!$A$3:$A$40,28),"")</f>
        <v>BCH</v>
      </c>
      <c r="B200" s="339" t="str">
        <f>IF($A200="","",IFERROR(INDEX(PMIS_Data!$C$3:$C$40,28),""))</f>
        <v>Yellow</v>
      </c>
      <c r="C200" s="339" t="str">
        <f>IF($A200="","",IFERROR(INDEX(PMIS_Data!$F$3:$F$40,28),""))</f>
        <v>No</v>
      </c>
      <c r="D200" s="339" t="str">
        <f>IF($A200="","",IFERROR(INDEX(PMIS_Data!$N$3:$N$40,28),""))</f>
        <v>Excluded / Firestop Only</v>
      </c>
      <c r="E200" s="339" t="str">
        <f>IF($A200="","",IFERROR(INDEX(PMIS_Data!$K$3:$K$40,28),""))</f>
        <v>Verify</v>
      </c>
      <c r="F200" s="339" t="str">
        <f>IF($A200="","",IFERROR(INDEX(PMIS_Data!$L$3:$L$40,28),""))</f>
        <v>Verify</v>
      </c>
      <c r="G200" s="339" t="str">
        <f>IF($A200="","",IFERROR(INDEX(PMIS_Data!$M$3:$M$40,28),""))</f>
        <v>Verify</v>
      </c>
      <c r="H200" s="529" t="str">
        <f>IF($A200="","",IFERROR(INDEX(PMIS_Data!$P$3:$P$40,28),""))</f>
        <v>Verify Existing</v>
      </c>
      <c r="I200" s="529"/>
      <c r="J200" s="339"/>
      <c r="K200" s="339"/>
      <c r="L200" s="339"/>
      <c r="M200" s="339"/>
      <c r="N200" s="339"/>
      <c r="O200" s="339"/>
      <c r="P200" s="339"/>
    </row>
    <row r="201" spans="1:16">
      <c r="A201" s="339" t="str">
        <f>IFERROR(INDEX(PMIS_Data!$A$3:$A$40,29),"")</f>
        <v>MCR</v>
      </c>
      <c r="B201" s="339" t="str">
        <f>IF($A201="","",IFERROR(INDEX(PMIS_Data!$C$3:$C$40,29),""))</f>
        <v>Yellow</v>
      </c>
      <c r="C201" s="339" t="str">
        <f>IF($A201="","",IFERROR(INDEX(PMIS_Data!$F$3:$F$40,29),""))</f>
        <v>No</v>
      </c>
      <c r="D201" s="339" t="str">
        <f>IF($A201="","",IFERROR(INDEX(PMIS_Data!$N$3:$N$40,29),""))</f>
        <v>Verify</v>
      </c>
      <c r="E201" s="339" t="str">
        <f>IF($A201="","",IFERROR(INDEX(PMIS_Data!$K$3:$K$40,29),""))</f>
        <v>Verify</v>
      </c>
      <c r="F201" s="339" t="str">
        <f>IF($A201="","",IFERROR(INDEX(PMIS_Data!$L$3:$L$40,29),""))</f>
        <v>Verify</v>
      </c>
      <c r="G201" s="339" t="str">
        <f>IF($A201="","",IFERROR(INDEX(PMIS_Data!$M$3:$M$40,29),""))</f>
        <v>Verify</v>
      </c>
      <c r="H201" s="529" t="str">
        <f>IF($A201="","",IFERROR(INDEX(PMIS_Data!$P$3:$P$40,29),""))</f>
        <v>Verify</v>
      </c>
      <c r="I201" s="529"/>
      <c r="J201" s="339"/>
      <c r="K201" s="339"/>
      <c r="L201" s="339"/>
      <c r="M201" s="339"/>
      <c r="N201" s="339"/>
      <c r="O201" s="339"/>
      <c r="P201" s="339"/>
    </row>
    <row r="202" spans="1:16" ht="26.4">
      <c r="A202" s="339" t="str">
        <f>IFERROR(INDEX(PMIS_Data!$A$3:$A$40,30),"")</f>
        <v>SITE</v>
      </c>
      <c r="B202" s="339" t="str">
        <f>IF($A202="","",IFERROR(INDEX(PMIS_Data!$C$3:$C$40,30),""))</f>
        <v>Yellow</v>
      </c>
      <c r="C202" s="339" t="str">
        <f>IF($A202="","",IFERROR(INDEX(PMIS_Data!$F$3:$F$40,30),""))</f>
        <v>No</v>
      </c>
      <c r="D202" s="339" t="str">
        <f>IF($A202="","",IFERROR(INDEX(PMIS_Data!$N$3:$N$40,30),""))</f>
        <v>N/A / Maintain Access</v>
      </c>
      <c r="E202" s="339" t="str">
        <f>IF($A202="","",IFERROR(INDEX(PMIS_Data!$K$3:$K$40,30),""))</f>
        <v>N/A</v>
      </c>
      <c r="F202" s="339" t="str">
        <f>IF($A202="","",IFERROR(INDEX(PMIS_Data!$L$3:$L$40,30),""))</f>
        <v>Verify</v>
      </c>
      <c r="G202" s="339" t="str">
        <f>IF($A202="","",IFERROR(INDEX(PMIS_Data!$M$3:$M$40,30),""))</f>
        <v>Verify</v>
      </c>
      <c r="H202" s="529" t="str">
        <f>IF($A202="","",IFERROR(INDEX(PMIS_Data!$P$3:$P$40,30),""))</f>
        <v>Verify Site Access</v>
      </c>
      <c r="I202" s="529"/>
      <c r="J202" s="339"/>
      <c r="K202" s="339"/>
      <c r="L202" s="339"/>
      <c r="M202" s="339"/>
      <c r="N202" s="339"/>
      <c r="O202" s="339"/>
      <c r="P202" s="339"/>
    </row>
    <row r="203" spans="1:16">
      <c r="A203" s="339"/>
      <c r="B203" s="339"/>
      <c r="C203" s="339"/>
      <c r="D203" s="339"/>
      <c r="E203" s="339"/>
      <c r="F203" s="339"/>
      <c r="G203" s="339"/>
      <c r="H203" s="529"/>
      <c r="I203" s="529"/>
      <c r="J203" s="339"/>
      <c r="K203" s="339"/>
      <c r="L203" s="339"/>
      <c r="M203" s="339"/>
      <c r="N203" s="339"/>
      <c r="O203" s="339"/>
      <c r="P203" s="339"/>
    </row>
    <row r="204" spans="1:16">
      <c r="A204" s="339"/>
      <c r="B204" s="339"/>
      <c r="C204" s="339"/>
      <c r="D204" s="339"/>
      <c r="E204" s="339"/>
      <c r="F204" s="339"/>
      <c r="G204" s="339"/>
      <c r="H204" s="529"/>
      <c r="I204" s="529"/>
      <c r="J204" s="339"/>
      <c r="K204" s="339"/>
      <c r="L204" s="339"/>
      <c r="M204" s="339"/>
      <c r="N204" s="339"/>
      <c r="O204" s="339"/>
      <c r="P204" s="339"/>
    </row>
    <row r="205" spans="1:16" ht="13.8">
      <c r="A205" s="541" t="s">
        <v>6025</v>
      </c>
      <c r="B205" s="541"/>
      <c r="C205" s="541"/>
      <c r="D205" s="541"/>
      <c r="E205" s="541"/>
      <c r="F205" s="541"/>
      <c r="G205" s="541"/>
      <c r="H205" s="542"/>
      <c r="I205" s="542"/>
      <c r="J205" s="541"/>
      <c r="K205" s="541"/>
      <c r="L205" s="541"/>
      <c r="M205" s="541"/>
      <c r="N205" s="541"/>
      <c r="O205" s="541"/>
      <c r="P205" s="541"/>
    </row>
    <row r="206" spans="1:16" ht="24">
      <c r="A206" s="536" t="s">
        <v>142</v>
      </c>
      <c r="B206" s="536" t="s">
        <v>5848</v>
      </c>
      <c r="C206" s="536" t="s">
        <v>5906</v>
      </c>
      <c r="D206" s="536" t="s">
        <v>5907</v>
      </c>
      <c r="E206" s="536" t="s">
        <v>5858</v>
      </c>
      <c r="F206" s="536" t="s">
        <v>5912</v>
      </c>
      <c r="G206" s="536" t="s">
        <v>5784</v>
      </c>
      <c r="H206" s="540" t="s">
        <v>5914</v>
      </c>
      <c r="I206" s="529"/>
      <c r="J206" s="339"/>
      <c r="K206" s="339"/>
      <c r="L206" s="339"/>
      <c r="M206" s="339"/>
      <c r="N206" s="339"/>
      <c r="O206" s="339"/>
      <c r="P206" s="339"/>
    </row>
    <row r="207" spans="1:16" ht="26.4">
      <c r="A207" s="339" t="str">
        <f>IFERROR(INDEX(PMIS_Data!$A$3:$A$40,1),"")</f>
        <v>01</v>
      </c>
      <c r="B207" s="535">
        <f ca="1">IF($A207="","",IFERROR(INDEX(PMIS_Data!$AB$3:$AB$40,1),""))</f>
        <v>0</v>
      </c>
      <c r="C207" s="339" t="str">
        <f ca="1">IF($A207="","",IFERROR(INDEX(PMIS_Data!$AC$3:$AC$40,1),""))</f>
        <v>Blocked</v>
      </c>
      <c r="D207" s="339" t="str">
        <f ca="1">IF($A207="","",IFERROR(INDEX(PMIS_Data!$AD$3:$AD$40,1),""))</f>
        <v>No blocker documented</v>
      </c>
      <c r="E207" s="535">
        <f ca="1">IF($A207="","",IFERROR(INDEX(PMIS_Data!$AI$3:$AI$40,1),""))</f>
        <v>0</v>
      </c>
      <c r="F207" s="339" t="str">
        <f ca="1">IF($A207="","",IFERROR(INDEX(PMIS_Data!$AJ$3:$AJ$40,1),""))</f>
        <v>Not Ready</v>
      </c>
      <c r="G207" s="339">
        <f ca="1">IF($A207="","",IFERROR(INDEX(PMIS_Data!$AL$3:$AL$40,1),""))</f>
        <v>6</v>
      </c>
      <c r="H207" s="529" t="str">
        <f ca="1">IF($A207="","",IFERROR(INDEX(PMIS_Data!$AM$3:$AM$40,1),""))</f>
        <v>Resolve OIT Blocker</v>
      </c>
      <c r="I207" s="529"/>
      <c r="J207" s="339"/>
      <c r="K207" s="339"/>
      <c r="L207" s="339"/>
      <c r="M207" s="339"/>
      <c r="N207" s="339"/>
      <c r="O207" s="339"/>
      <c r="P207" s="339"/>
    </row>
    <row r="208" spans="1:16" ht="26.4">
      <c r="A208" s="339" t="str">
        <f>IFERROR(INDEX(PMIS_Data!$A$3:$A$40,2),"")</f>
        <v>02</v>
      </c>
      <c r="B208" s="535">
        <f ca="1">IF($A208="","",IFERROR(INDEX(PMIS_Data!$AB$3:$AB$40,2),""))</f>
        <v>0</v>
      </c>
      <c r="C208" s="339" t="str">
        <f ca="1">IF($A208="","",IFERROR(INDEX(PMIS_Data!$AC$3:$AC$40,2),""))</f>
        <v>Blocked</v>
      </c>
      <c r="D208" s="339" t="str">
        <f ca="1">IF($A208="","",IFERROR(INDEX(PMIS_Data!$AD$3:$AD$40,2),""))</f>
        <v>No blocker documented</v>
      </c>
      <c r="E208" s="535">
        <f ca="1">IF($A208="","",IFERROR(INDEX(PMIS_Data!$AI$3:$AI$40,2),""))</f>
        <v>0</v>
      </c>
      <c r="F208" s="339" t="str">
        <f ca="1">IF($A208="","",IFERROR(INDEX(PMIS_Data!$AJ$3:$AJ$40,2),""))</f>
        <v>Not Ready</v>
      </c>
      <c r="G208" s="339">
        <f ca="1">IF($A208="","",IFERROR(INDEX(PMIS_Data!$AL$3:$AL$40,2),""))</f>
        <v>6</v>
      </c>
      <c r="H208" s="529" t="str">
        <f ca="1">IF($A208="","",IFERROR(INDEX(PMIS_Data!$AM$3:$AM$40,2),""))</f>
        <v>Resolve OIT Blocker</v>
      </c>
      <c r="I208" s="529"/>
      <c r="J208" s="339"/>
      <c r="K208" s="339"/>
      <c r="L208" s="339"/>
      <c r="M208" s="339"/>
      <c r="N208" s="339"/>
      <c r="O208" s="339"/>
      <c r="P208" s="339"/>
    </row>
    <row r="209" spans="1:16" ht="26.4">
      <c r="A209" s="339" t="str">
        <f>IFERROR(INDEX(PMIS_Data!$A$3:$A$40,3),"")</f>
        <v>03</v>
      </c>
      <c r="B209" s="535">
        <f ca="1">IF($A209="","",IFERROR(INDEX(PMIS_Data!$AB$3:$AB$40,3),""))</f>
        <v>0</v>
      </c>
      <c r="C209" s="339" t="str">
        <f ca="1">IF($A209="","",IFERROR(INDEX(PMIS_Data!$AC$3:$AC$40,3),""))</f>
        <v>Blocked</v>
      </c>
      <c r="D209" s="339" t="str">
        <f ca="1">IF($A209="","",IFERROR(INDEX(PMIS_Data!$AD$3:$AD$40,3),""))</f>
        <v>No blocker documented</v>
      </c>
      <c r="E209" s="535">
        <f ca="1">IF($A209="","",IFERROR(INDEX(PMIS_Data!$AI$3:$AI$40,3),""))</f>
        <v>0</v>
      </c>
      <c r="F209" s="339" t="str">
        <f ca="1">IF($A209="","",IFERROR(INDEX(PMIS_Data!$AJ$3:$AJ$40,3),""))</f>
        <v>Not Ready</v>
      </c>
      <c r="G209" s="339">
        <f ca="1">IF($A209="","",IFERROR(INDEX(PMIS_Data!$AL$3:$AL$40,3),""))</f>
        <v>6</v>
      </c>
      <c r="H209" s="529" t="str">
        <f ca="1">IF($A209="","",IFERROR(INDEX(PMIS_Data!$AM$3:$AM$40,3),""))</f>
        <v>Resolve OIT Blocker</v>
      </c>
      <c r="I209" s="529"/>
      <c r="J209" s="339"/>
      <c r="K209" s="339"/>
      <c r="L209" s="339"/>
      <c r="M209" s="339"/>
      <c r="N209" s="339"/>
      <c r="O209" s="339"/>
      <c r="P209" s="339"/>
    </row>
    <row r="210" spans="1:16" ht="26.4">
      <c r="A210" s="339" t="str">
        <f>IFERROR(INDEX(PMIS_Data!$A$3:$A$40,4),"")</f>
        <v>04</v>
      </c>
      <c r="B210" s="535">
        <f ca="1">IF($A210="","",IFERROR(INDEX(PMIS_Data!$AB$3:$AB$40,4),""))</f>
        <v>0</v>
      </c>
      <c r="C210" s="339" t="str">
        <f ca="1">IF($A210="","",IFERROR(INDEX(PMIS_Data!$AC$3:$AC$40,4),""))</f>
        <v>Blocked</v>
      </c>
      <c r="D210" s="339" t="str">
        <f ca="1">IF($A210="","",IFERROR(INDEX(PMIS_Data!$AD$3:$AD$40,4),""))</f>
        <v>No blocker documented</v>
      </c>
      <c r="E210" s="535">
        <f ca="1">IF($A210="","",IFERROR(INDEX(PMIS_Data!$AI$3:$AI$40,4),""))</f>
        <v>0</v>
      </c>
      <c r="F210" s="339" t="str">
        <f ca="1">IF($A210="","",IFERROR(INDEX(PMIS_Data!$AJ$3:$AJ$40,4),""))</f>
        <v>Not Ready</v>
      </c>
      <c r="G210" s="339">
        <f ca="1">IF($A210="","",IFERROR(INDEX(PMIS_Data!$AL$3:$AL$40,4),""))</f>
        <v>6</v>
      </c>
      <c r="H210" s="529" t="str">
        <f ca="1">IF($A210="","",IFERROR(INDEX(PMIS_Data!$AM$3:$AM$40,4),""))</f>
        <v>Resolve OIT Blocker</v>
      </c>
      <c r="I210" s="529"/>
      <c r="J210" s="339"/>
      <c r="K210" s="339"/>
      <c r="L210" s="339"/>
      <c r="M210" s="339"/>
      <c r="N210" s="339"/>
      <c r="O210" s="339"/>
      <c r="P210" s="339"/>
    </row>
    <row r="211" spans="1:16" ht="26.4">
      <c r="A211" s="339" t="str">
        <f>IFERROR(INDEX(PMIS_Data!$A$3:$A$40,5),"")</f>
        <v>05</v>
      </c>
      <c r="B211" s="535">
        <f ca="1">IF($A211="","",IFERROR(INDEX(PMIS_Data!$AB$3:$AB$40,5),""))</f>
        <v>0</v>
      </c>
      <c r="C211" s="339" t="str">
        <f ca="1">IF($A211="","",IFERROR(INDEX(PMIS_Data!$AC$3:$AC$40,5),""))</f>
        <v>Blocked</v>
      </c>
      <c r="D211" s="339" t="str">
        <f ca="1">IF($A211="","",IFERROR(INDEX(PMIS_Data!$AD$3:$AD$40,5),""))</f>
        <v>No blocker documented</v>
      </c>
      <c r="E211" s="535">
        <f ca="1">IF($A211="","",IFERROR(INDEX(PMIS_Data!$AI$3:$AI$40,5),""))</f>
        <v>0</v>
      </c>
      <c r="F211" s="339" t="str">
        <f ca="1">IF($A211="","",IFERROR(INDEX(PMIS_Data!$AJ$3:$AJ$40,5),""))</f>
        <v>Not Ready</v>
      </c>
      <c r="G211" s="339">
        <f ca="1">IF($A211="","",IFERROR(INDEX(PMIS_Data!$AL$3:$AL$40,5),""))</f>
        <v>6</v>
      </c>
      <c r="H211" s="529" t="str">
        <f ca="1">IF($A211="","",IFERROR(INDEX(PMIS_Data!$AM$3:$AM$40,5),""))</f>
        <v>Resolve OIT Blocker</v>
      </c>
      <c r="I211" s="529"/>
      <c r="J211" s="339"/>
      <c r="K211" s="339"/>
      <c r="L211" s="339"/>
      <c r="M211" s="339"/>
      <c r="N211" s="339"/>
      <c r="O211" s="339"/>
      <c r="P211" s="339"/>
    </row>
    <row r="212" spans="1:16" ht="26.4">
      <c r="A212" s="339" t="str">
        <f>IFERROR(INDEX(PMIS_Data!$A$3:$A$40,6),"")</f>
        <v>06</v>
      </c>
      <c r="B212" s="535">
        <f ca="1">IF($A212="","",IFERROR(INDEX(PMIS_Data!$AB$3:$AB$40,6),""))</f>
        <v>0</v>
      </c>
      <c r="C212" s="339" t="str">
        <f ca="1">IF($A212="","",IFERROR(INDEX(PMIS_Data!$AC$3:$AC$40,6),""))</f>
        <v>Blocked</v>
      </c>
      <c r="D212" s="339" t="str">
        <f ca="1">IF($A212="","",IFERROR(INDEX(PMIS_Data!$AD$3:$AD$40,6),""))</f>
        <v>No blocker documented</v>
      </c>
      <c r="E212" s="535">
        <f ca="1">IF($A212="","",IFERROR(INDEX(PMIS_Data!$AI$3:$AI$40,6),""))</f>
        <v>0</v>
      </c>
      <c r="F212" s="339" t="str">
        <f ca="1">IF($A212="","",IFERROR(INDEX(PMIS_Data!$AJ$3:$AJ$40,6),""))</f>
        <v>Not Ready</v>
      </c>
      <c r="G212" s="339">
        <f ca="1">IF($A212="","",IFERROR(INDEX(PMIS_Data!$AL$3:$AL$40,6),""))</f>
        <v>6</v>
      </c>
      <c r="H212" s="529" t="str">
        <f ca="1">IF($A212="","",IFERROR(INDEX(PMIS_Data!$AM$3:$AM$40,6),""))</f>
        <v>Resolve OIT Blocker</v>
      </c>
      <c r="I212" s="529"/>
      <c r="J212" s="339"/>
      <c r="K212" s="339"/>
      <c r="L212" s="339"/>
      <c r="M212" s="339"/>
      <c r="N212" s="339"/>
      <c r="O212" s="339"/>
      <c r="P212" s="339"/>
    </row>
    <row r="213" spans="1:16" ht="26.4">
      <c r="A213" s="339" t="str">
        <f>IFERROR(INDEX(PMIS_Data!$A$3:$A$40,7),"")</f>
        <v>07</v>
      </c>
      <c r="B213" s="535">
        <f ca="1">IF($A213="","",IFERROR(INDEX(PMIS_Data!$AB$3:$AB$40,7),""))</f>
        <v>0</v>
      </c>
      <c r="C213" s="339" t="str">
        <f ca="1">IF($A213="","",IFERROR(INDEX(PMIS_Data!$AC$3:$AC$40,7),""))</f>
        <v>Blocked</v>
      </c>
      <c r="D213" s="339" t="str">
        <f ca="1">IF($A213="","",IFERROR(INDEX(PMIS_Data!$AD$3:$AD$40,7),""))</f>
        <v>No blocker documented</v>
      </c>
      <c r="E213" s="535">
        <f ca="1">IF($A213="","",IFERROR(INDEX(PMIS_Data!$AI$3:$AI$40,7),""))</f>
        <v>0</v>
      </c>
      <c r="F213" s="339" t="str">
        <f ca="1">IF($A213="","",IFERROR(INDEX(PMIS_Data!$AJ$3:$AJ$40,7),""))</f>
        <v>Not Ready</v>
      </c>
      <c r="G213" s="339">
        <f ca="1">IF($A213="","",IFERROR(INDEX(PMIS_Data!$AL$3:$AL$40,7),""))</f>
        <v>6</v>
      </c>
      <c r="H213" s="529" t="str">
        <f ca="1">IF($A213="","",IFERROR(INDEX(PMIS_Data!$AM$3:$AM$40,7),""))</f>
        <v>Resolve OIT Blocker</v>
      </c>
      <c r="I213" s="529"/>
      <c r="J213" s="339"/>
      <c r="K213" s="339"/>
      <c r="L213" s="339"/>
      <c r="M213" s="339"/>
      <c r="N213" s="339"/>
      <c r="O213" s="339"/>
      <c r="P213" s="339"/>
    </row>
    <row r="214" spans="1:16" ht="26.4">
      <c r="A214" s="339" t="str">
        <f>IFERROR(INDEX(PMIS_Data!$A$3:$A$40,8),"")</f>
        <v>08</v>
      </c>
      <c r="B214" s="535">
        <f ca="1">IF($A214="","",IFERROR(INDEX(PMIS_Data!$AB$3:$AB$40,8),""))</f>
        <v>0</v>
      </c>
      <c r="C214" s="339" t="str">
        <f ca="1">IF($A214="","",IFERROR(INDEX(PMIS_Data!$AC$3:$AC$40,8),""))</f>
        <v>Blocked</v>
      </c>
      <c r="D214" s="339" t="str">
        <f ca="1">IF($A214="","",IFERROR(INDEX(PMIS_Data!$AD$3:$AD$40,8),""))</f>
        <v>No blocker documented</v>
      </c>
      <c r="E214" s="535">
        <f ca="1">IF($A214="","",IFERROR(INDEX(PMIS_Data!$AI$3:$AI$40,8),""))</f>
        <v>0</v>
      </c>
      <c r="F214" s="339" t="str">
        <f ca="1">IF($A214="","",IFERROR(INDEX(PMIS_Data!$AJ$3:$AJ$40,8),""))</f>
        <v>Not Ready</v>
      </c>
      <c r="G214" s="339">
        <f ca="1">IF($A214="","",IFERROR(INDEX(PMIS_Data!$AL$3:$AL$40,8),""))</f>
        <v>6</v>
      </c>
      <c r="H214" s="529" t="str">
        <f ca="1">IF($A214="","",IFERROR(INDEX(PMIS_Data!$AM$3:$AM$40,8),""))</f>
        <v>Resolve OIT Blocker</v>
      </c>
      <c r="I214" s="529"/>
      <c r="J214" s="339"/>
      <c r="K214" s="339"/>
      <c r="L214" s="339"/>
      <c r="M214" s="339"/>
      <c r="N214" s="339"/>
      <c r="O214" s="339"/>
      <c r="P214" s="339"/>
    </row>
    <row r="215" spans="1:16" ht="26.4">
      <c r="A215" s="339" t="str">
        <f>IFERROR(INDEX(PMIS_Data!$A$3:$A$40,9),"")</f>
        <v>09</v>
      </c>
      <c r="B215" s="535">
        <f ca="1">IF($A215="","",IFERROR(INDEX(PMIS_Data!$AB$3:$AB$40,9),""))</f>
        <v>0</v>
      </c>
      <c r="C215" s="339" t="str">
        <f ca="1">IF($A215="","",IFERROR(INDEX(PMIS_Data!$AC$3:$AC$40,9),""))</f>
        <v>Blocked</v>
      </c>
      <c r="D215" s="339" t="str">
        <f ca="1">IF($A215="","",IFERROR(INDEX(PMIS_Data!$AD$3:$AD$40,9),""))</f>
        <v>No blocker documented</v>
      </c>
      <c r="E215" s="535">
        <f ca="1">IF($A215="","",IFERROR(INDEX(PMIS_Data!$AI$3:$AI$40,9),""))</f>
        <v>0</v>
      </c>
      <c r="F215" s="339" t="str">
        <f ca="1">IF($A215="","",IFERROR(INDEX(PMIS_Data!$AJ$3:$AJ$40,9),""))</f>
        <v>Not Ready</v>
      </c>
      <c r="G215" s="339">
        <f ca="1">IF($A215="","",IFERROR(INDEX(PMIS_Data!$AL$3:$AL$40,9),""))</f>
        <v>6</v>
      </c>
      <c r="H215" s="529" t="str">
        <f ca="1">IF($A215="","",IFERROR(INDEX(PMIS_Data!$AM$3:$AM$40,9),""))</f>
        <v>Resolve OIT Blocker</v>
      </c>
      <c r="I215" s="529"/>
      <c r="J215" s="339"/>
      <c r="K215" s="339"/>
      <c r="L215" s="339"/>
      <c r="M215" s="339"/>
      <c r="N215" s="339"/>
      <c r="O215" s="339"/>
      <c r="P215" s="339"/>
    </row>
    <row r="216" spans="1:16" ht="26.4">
      <c r="A216" s="339" t="str">
        <f>IFERROR(INDEX(PMIS_Data!$A$3:$A$40,10),"")</f>
        <v>10</v>
      </c>
      <c r="B216" s="535">
        <f ca="1">IF($A216="","",IFERROR(INDEX(PMIS_Data!$AB$3:$AB$40,10),""))</f>
        <v>0</v>
      </c>
      <c r="C216" s="339" t="str">
        <f ca="1">IF($A216="","",IFERROR(INDEX(PMIS_Data!$AC$3:$AC$40,10),""))</f>
        <v>Blocked</v>
      </c>
      <c r="D216" s="339" t="str">
        <f ca="1">IF($A216="","",IFERROR(INDEX(PMIS_Data!$AD$3:$AD$40,10),""))</f>
        <v>No blocker documented</v>
      </c>
      <c r="E216" s="535">
        <f ca="1">IF($A216="","",IFERROR(INDEX(PMIS_Data!$AI$3:$AI$40,10),""))</f>
        <v>0</v>
      </c>
      <c r="F216" s="339" t="str">
        <f ca="1">IF($A216="","",IFERROR(INDEX(PMIS_Data!$AJ$3:$AJ$40,10),""))</f>
        <v>Not Ready</v>
      </c>
      <c r="G216" s="339">
        <f ca="1">IF($A216="","",IFERROR(INDEX(PMIS_Data!$AL$3:$AL$40,10),""))</f>
        <v>6</v>
      </c>
      <c r="H216" s="529" t="str">
        <f ca="1">IF($A216="","",IFERROR(INDEX(PMIS_Data!$AM$3:$AM$40,10),""))</f>
        <v>Resolve OIT Blocker</v>
      </c>
      <c r="I216" s="529"/>
      <c r="J216" s="339"/>
      <c r="K216" s="339"/>
      <c r="L216" s="339"/>
      <c r="M216" s="339"/>
      <c r="N216" s="339"/>
      <c r="O216" s="339"/>
      <c r="P216" s="339"/>
    </row>
    <row r="217" spans="1:16" ht="26.4">
      <c r="A217" s="339" t="str">
        <f>IFERROR(INDEX(PMIS_Data!$A$3:$A$40,11),"")</f>
        <v>12</v>
      </c>
      <c r="B217" s="535">
        <f ca="1">IF($A217="","",IFERROR(INDEX(PMIS_Data!$AB$3:$AB$40,11),""))</f>
        <v>0</v>
      </c>
      <c r="C217" s="339" t="str">
        <f ca="1">IF($A217="","",IFERROR(INDEX(PMIS_Data!$AC$3:$AC$40,11),""))</f>
        <v>Blocked</v>
      </c>
      <c r="D217" s="339" t="str">
        <f ca="1">IF($A217="","",IFERROR(INDEX(PMIS_Data!$AD$3:$AD$40,11),""))</f>
        <v>No blocker documented</v>
      </c>
      <c r="E217" s="535">
        <f ca="1">IF($A217="","",IFERROR(INDEX(PMIS_Data!$AI$3:$AI$40,11),""))</f>
        <v>0</v>
      </c>
      <c r="F217" s="339" t="str">
        <f ca="1">IF($A217="","",IFERROR(INDEX(PMIS_Data!$AJ$3:$AJ$40,11),""))</f>
        <v>Not Ready</v>
      </c>
      <c r="G217" s="339">
        <f ca="1">IF($A217="","",IFERROR(INDEX(PMIS_Data!$AL$3:$AL$40,11),""))</f>
        <v>6</v>
      </c>
      <c r="H217" s="529" t="str">
        <f ca="1">IF($A217="","",IFERROR(INDEX(PMIS_Data!$AM$3:$AM$40,11),""))</f>
        <v>Resolve OIT Blocker</v>
      </c>
      <c r="I217" s="529"/>
      <c r="J217" s="339"/>
      <c r="K217" s="339"/>
      <c r="L217" s="339"/>
      <c r="M217" s="339"/>
      <c r="N217" s="339"/>
      <c r="O217" s="339"/>
      <c r="P217" s="339"/>
    </row>
    <row r="218" spans="1:16" ht="26.4">
      <c r="A218" s="339" t="str">
        <f>IFERROR(INDEX(PMIS_Data!$A$3:$A$40,12),"")</f>
        <v>13</v>
      </c>
      <c r="B218" s="535">
        <f ca="1">IF($A218="","",IFERROR(INDEX(PMIS_Data!$AB$3:$AB$40,12),""))</f>
        <v>0</v>
      </c>
      <c r="C218" s="339" t="str">
        <f ca="1">IF($A218="","",IFERROR(INDEX(PMIS_Data!$AC$3:$AC$40,12),""))</f>
        <v>Blocked</v>
      </c>
      <c r="D218" s="339" t="str">
        <f ca="1">IF($A218="","",IFERROR(INDEX(PMIS_Data!$AD$3:$AD$40,12),""))</f>
        <v>No blocker documented</v>
      </c>
      <c r="E218" s="535">
        <f ca="1">IF($A218="","",IFERROR(INDEX(PMIS_Data!$AI$3:$AI$40,12),""))</f>
        <v>0</v>
      </c>
      <c r="F218" s="339" t="str">
        <f ca="1">IF($A218="","",IFERROR(INDEX(PMIS_Data!$AJ$3:$AJ$40,12),""))</f>
        <v>Not Ready</v>
      </c>
      <c r="G218" s="339">
        <f ca="1">IF($A218="","",IFERROR(INDEX(PMIS_Data!$AL$3:$AL$40,12),""))</f>
        <v>6</v>
      </c>
      <c r="H218" s="529" t="str">
        <f ca="1">IF($A218="","",IFERROR(INDEX(PMIS_Data!$AM$3:$AM$40,12),""))</f>
        <v>Resolve OIT Blocker</v>
      </c>
      <c r="I218" s="529"/>
      <c r="J218" s="339"/>
      <c r="K218" s="339"/>
      <c r="L218" s="339"/>
      <c r="M218" s="339"/>
      <c r="N218" s="339"/>
      <c r="O218" s="339"/>
      <c r="P218" s="339"/>
    </row>
    <row r="219" spans="1:16" ht="26.4">
      <c r="A219" s="339" t="str">
        <f>IFERROR(INDEX(PMIS_Data!$A$3:$A$40,13),"")</f>
        <v>14</v>
      </c>
      <c r="B219" s="535">
        <f ca="1">IF($A219="","",IFERROR(INDEX(PMIS_Data!$AB$3:$AB$40,13),""))</f>
        <v>0</v>
      </c>
      <c r="C219" s="339" t="str">
        <f ca="1">IF($A219="","",IFERROR(INDEX(PMIS_Data!$AC$3:$AC$40,13),""))</f>
        <v>Blocked</v>
      </c>
      <c r="D219" s="339" t="str">
        <f ca="1">IF($A219="","",IFERROR(INDEX(PMIS_Data!$AD$3:$AD$40,13),""))</f>
        <v>No blocker documented</v>
      </c>
      <c r="E219" s="535">
        <f ca="1">IF($A219="","",IFERROR(INDEX(PMIS_Data!$AI$3:$AI$40,13),""))</f>
        <v>0</v>
      </c>
      <c r="F219" s="339" t="str">
        <f ca="1">IF($A219="","",IFERROR(INDEX(PMIS_Data!$AJ$3:$AJ$40,13),""))</f>
        <v>Not Ready</v>
      </c>
      <c r="G219" s="339">
        <f ca="1">IF($A219="","",IFERROR(INDEX(PMIS_Data!$AL$3:$AL$40,13),""))</f>
        <v>6</v>
      </c>
      <c r="H219" s="529" t="str">
        <f ca="1">IF($A219="","",IFERROR(INDEX(PMIS_Data!$AM$3:$AM$40,13),""))</f>
        <v>Resolve OIT Blocker</v>
      </c>
      <c r="I219" s="529"/>
      <c r="J219" s="339"/>
      <c r="K219" s="339"/>
      <c r="L219" s="339"/>
      <c r="M219" s="339"/>
      <c r="N219" s="339"/>
      <c r="O219" s="339"/>
      <c r="P219" s="339"/>
    </row>
    <row r="220" spans="1:16" ht="26.4">
      <c r="A220" s="339" t="str">
        <f>IFERROR(INDEX(PMIS_Data!$A$3:$A$40,14),"")</f>
        <v>15</v>
      </c>
      <c r="B220" s="535">
        <f ca="1">IF($A220="","",IFERROR(INDEX(PMIS_Data!$AB$3:$AB$40,14),""))</f>
        <v>0</v>
      </c>
      <c r="C220" s="339" t="str">
        <f ca="1">IF($A220="","",IFERROR(INDEX(PMIS_Data!$AC$3:$AC$40,14),""))</f>
        <v>Blocked</v>
      </c>
      <c r="D220" s="339" t="str">
        <f ca="1">IF($A220="","",IFERROR(INDEX(PMIS_Data!$AD$3:$AD$40,14),""))</f>
        <v>No blocker documented</v>
      </c>
      <c r="E220" s="535">
        <f ca="1">IF($A220="","",IFERROR(INDEX(PMIS_Data!$AI$3:$AI$40,14),""))</f>
        <v>0</v>
      </c>
      <c r="F220" s="339" t="str">
        <f ca="1">IF($A220="","",IFERROR(INDEX(PMIS_Data!$AJ$3:$AJ$40,14),""))</f>
        <v>Not Ready</v>
      </c>
      <c r="G220" s="339">
        <f ca="1">IF($A220="","",IFERROR(INDEX(PMIS_Data!$AL$3:$AL$40,14),""))</f>
        <v>6</v>
      </c>
      <c r="H220" s="529" t="str">
        <f ca="1">IF($A220="","",IFERROR(INDEX(PMIS_Data!$AM$3:$AM$40,14),""))</f>
        <v>Resolve OIT Blocker</v>
      </c>
      <c r="I220" s="529"/>
      <c r="J220" s="339"/>
      <c r="K220" s="339"/>
      <c r="L220" s="339"/>
      <c r="M220" s="339"/>
      <c r="N220" s="339"/>
      <c r="O220" s="339"/>
      <c r="P220" s="339"/>
    </row>
    <row r="221" spans="1:16" ht="26.4">
      <c r="A221" s="339" t="str">
        <f>IFERROR(INDEX(PMIS_Data!$A$3:$A$40,15),"")</f>
        <v>16</v>
      </c>
      <c r="B221" s="535">
        <f ca="1">IF($A221="","",IFERROR(INDEX(PMIS_Data!$AB$3:$AB$40,15),""))</f>
        <v>0</v>
      </c>
      <c r="C221" s="339" t="str">
        <f ca="1">IF($A221="","",IFERROR(INDEX(PMIS_Data!$AC$3:$AC$40,15),""))</f>
        <v>Blocked</v>
      </c>
      <c r="D221" s="339" t="str">
        <f ca="1">IF($A221="","",IFERROR(INDEX(PMIS_Data!$AD$3:$AD$40,15),""))</f>
        <v>No blocker documented</v>
      </c>
      <c r="E221" s="535">
        <f ca="1">IF($A221="","",IFERROR(INDEX(PMIS_Data!$AI$3:$AI$40,15),""))</f>
        <v>0</v>
      </c>
      <c r="F221" s="339" t="str">
        <f ca="1">IF($A221="","",IFERROR(INDEX(PMIS_Data!$AJ$3:$AJ$40,15),""))</f>
        <v>Not Ready</v>
      </c>
      <c r="G221" s="339">
        <f ca="1">IF($A221="","",IFERROR(INDEX(PMIS_Data!$AL$3:$AL$40,15),""))</f>
        <v>6</v>
      </c>
      <c r="H221" s="339" t="str">
        <f ca="1">IF($A221="","",IFERROR(INDEX(PMIS_Data!$AM$3:$AM$40,15),""))</f>
        <v>Resolve OIT Blocker</v>
      </c>
      <c r="I221" s="339"/>
      <c r="J221" s="339"/>
      <c r="K221" s="339"/>
      <c r="L221" s="339"/>
      <c r="M221" s="339"/>
      <c r="N221" s="339"/>
      <c r="O221" s="339"/>
      <c r="P221" s="339"/>
    </row>
    <row r="222" spans="1:16" ht="26.4">
      <c r="A222" s="339" t="str">
        <f>IFERROR(INDEX(PMIS_Data!$A$3:$A$40,16),"")</f>
        <v>17</v>
      </c>
      <c r="B222" s="535">
        <f ca="1">IF($A222="","",IFERROR(INDEX(PMIS_Data!$AB$3:$AB$40,16),""))</f>
        <v>0</v>
      </c>
      <c r="C222" s="339" t="str">
        <f ca="1">IF($A222="","",IFERROR(INDEX(PMIS_Data!$AC$3:$AC$40,16),""))</f>
        <v>Blocked</v>
      </c>
      <c r="D222" s="339" t="str">
        <f ca="1">IF($A222="","",IFERROR(INDEX(PMIS_Data!$AD$3:$AD$40,16),""))</f>
        <v>No blocker documented</v>
      </c>
      <c r="E222" s="535">
        <f ca="1">IF($A222="","",IFERROR(INDEX(PMIS_Data!$AI$3:$AI$40,16),""))</f>
        <v>0</v>
      </c>
      <c r="F222" s="339" t="str">
        <f ca="1">IF($A222="","",IFERROR(INDEX(PMIS_Data!$AJ$3:$AJ$40,16),""))</f>
        <v>Not Ready</v>
      </c>
      <c r="G222" s="339">
        <f ca="1">IF($A222="","",IFERROR(INDEX(PMIS_Data!$AL$3:$AL$40,16),""))</f>
        <v>6</v>
      </c>
      <c r="H222" s="339" t="str">
        <f ca="1">IF($A222="","",IFERROR(INDEX(PMIS_Data!$AM$3:$AM$40,16),""))</f>
        <v>Resolve OIT Blocker</v>
      </c>
      <c r="I222" s="339"/>
      <c r="J222" s="339"/>
      <c r="K222" s="339"/>
      <c r="L222" s="339"/>
      <c r="M222" s="339"/>
      <c r="N222" s="339"/>
      <c r="O222" s="339"/>
      <c r="P222" s="339"/>
    </row>
    <row r="223" spans="1:16" ht="26.4">
      <c r="A223" s="339" t="str">
        <f>IFERROR(INDEX(PMIS_Data!$A$3:$A$40,17),"")</f>
        <v>18</v>
      </c>
      <c r="B223" s="535">
        <f ca="1">IF($A223="","",IFERROR(INDEX(PMIS_Data!$AB$3:$AB$40,17),""))</f>
        <v>0</v>
      </c>
      <c r="C223" s="339" t="str">
        <f ca="1">IF($A223="","",IFERROR(INDEX(PMIS_Data!$AC$3:$AC$40,17),""))</f>
        <v>Blocked</v>
      </c>
      <c r="D223" s="339" t="str">
        <f ca="1">IF($A223="","",IFERROR(INDEX(PMIS_Data!$AD$3:$AD$40,17),""))</f>
        <v>No blocker documented</v>
      </c>
      <c r="E223" s="535">
        <f ca="1">IF($A223="","",IFERROR(INDEX(PMIS_Data!$AI$3:$AI$40,17),""))</f>
        <v>0</v>
      </c>
      <c r="F223" s="339" t="str">
        <f ca="1">IF($A223="","",IFERROR(INDEX(PMIS_Data!$AJ$3:$AJ$40,17),""))</f>
        <v>Not Ready</v>
      </c>
      <c r="G223" s="339">
        <f ca="1">IF($A223="","",IFERROR(INDEX(PMIS_Data!$AL$3:$AL$40,17),""))</f>
        <v>6</v>
      </c>
      <c r="H223" s="339" t="str">
        <f ca="1">IF($A223="","",IFERROR(INDEX(PMIS_Data!$AM$3:$AM$40,17),""))</f>
        <v>Resolve OIT Blocker</v>
      </c>
      <c r="I223" s="339"/>
      <c r="J223" s="339"/>
      <c r="K223" s="339"/>
      <c r="L223" s="339"/>
      <c r="M223" s="339"/>
      <c r="N223" s="339"/>
      <c r="O223" s="339"/>
      <c r="P223" s="339"/>
    </row>
    <row r="224" spans="1:16" ht="26.4">
      <c r="A224" s="339" t="str">
        <f>IFERROR(INDEX(PMIS_Data!$A$3:$A$40,18),"")</f>
        <v>20</v>
      </c>
      <c r="B224" s="535">
        <f ca="1">IF($A224="","",IFERROR(INDEX(PMIS_Data!$AB$3:$AB$40,18),""))</f>
        <v>0</v>
      </c>
      <c r="C224" s="339" t="str">
        <f ca="1">IF($A224="","",IFERROR(INDEX(PMIS_Data!$AC$3:$AC$40,18),""))</f>
        <v>Blocked</v>
      </c>
      <c r="D224" s="339" t="str">
        <f ca="1">IF($A224="","",IFERROR(INDEX(PMIS_Data!$AD$3:$AD$40,18),""))</f>
        <v>No blocker documented</v>
      </c>
      <c r="E224" s="535">
        <f ca="1">IF($A224="","",IFERROR(INDEX(PMIS_Data!$AI$3:$AI$40,18),""))</f>
        <v>0</v>
      </c>
      <c r="F224" s="339" t="str">
        <f ca="1">IF($A224="","",IFERROR(INDEX(PMIS_Data!$AJ$3:$AJ$40,18),""))</f>
        <v>Not Ready</v>
      </c>
      <c r="G224" s="339">
        <f ca="1">IF($A224="","",IFERROR(INDEX(PMIS_Data!$AL$3:$AL$40,18),""))</f>
        <v>6</v>
      </c>
      <c r="H224" s="339" t="str">
        <f ca="1">IF($A224="","",IFERROR(INDEX(PMIS_Data!$AM$3:$AM$40,18),""))</f>
        <v>Resolve OIT Blocker</v>
      </c>
      <c r="I224" s="339"/>
      <c r="J224" s="339"/>
      <c r="K224" s="339"/>
      <c r="L224" s="339"/>
      <c r="M224" s="339"/>
      <c r="N224" s="339"/>
      <c r="O224" s="339"/>
      <c r="P224" s="339"/>
    </row>
    <row r="225" spans="1:16" ht="26.4">
      <c r="A225" s="339" t="str">
        <f>IFERROR(INDEX(PMIS_Data!$A$3:$A$40,19),"")</f>
        <v>21</v>
      </c>
      <c r="B225" s="535">
        <f ca="1">IF($A225="","",IFERROR(INDEX(PMIS_Data!$AB$3:$AB$40,19),""))</f>
        <v>0</v>
      </c>
      <c r="C225" s="339" t="str">
        <f ca="1">IF($A225="","",IFERROR(INDEX(PMIS_Data!$AC$3:$AC$40,19),""))</f>
        <v>Blocked</v>
      </c>
      <c r="D225" s="339" t="str">
        <f ca="1">IF($A225="","",IFERROR(INDEX(PMIS_Data!$AD$3:$AD$40,19),""))</f>
        <v>No blocker documented</v>
      </c>
      <c r="E225" s="535">
        <f ca="1">IF($A225="","",IFERROR(INDEX(PMIS_Data!$AI$3:$AI$40,19),""))</f>
        <v>0</v>
      </c>
      <c r="F225" s="339" t="str">
        <f ca="1">IF($A225="","",IFERROR(INDEX(PMIS_Data!$AJ$3:$AJ$40,19),""))</f>
        <v>Not Ready</v>
      </c>
      <c r="G225" s="339">
        <f ca="1">IF($A225="","",IFERROR(INDEX(PMIS_Data!$AL$3:$AL$40,19),""))</f>
        <v>6</v>
      </c>
      <c r="H225" s="339" t="str">
        <f ca="1">IF($A225="","",IFERROR(INDEX(PMIS_Data!$AM$3:$AM$40,19),""))</f>
        <v>Resolve OIT Blocker</v>
      </c>
      <c r="I225" s="339"/>
      <c r="J225" s="339"/>
      <c r="K225" s="339"/>
      <c r="L225" s="339"/>
      <c r="M225" s="339"/>
      <c r="N225" s="339"/>
      <c r="O225" s="339"/>
      <c r="P225" s="339"/>
    </row>
    <row r="226" spans="1:16" ht="26.4">
      <c r="A226" s="339" t="str">
        <f>IFERROR(INDEX(PMIS_Data!$A$3:$A$40,20),"")</f>
        <v>22</v>
      </c>
      <c r="B226" s="535">
        <f ca="1">IF($A226="","",IFERROR(INDEX(PMIS_Data!$AB$3:$AB$40,20),""))</f>
        <v>0</v>
      </c>
      <c r="C226" s="339" t="str">
        <f ca="1">IF($A226="","",IFERROR(INDEX(PMIS_Data!$AC$3:$AC$40,20),""))</f>
        <v>Blocked</v>
      </c>
      <c r="D226" s="339" t="str">
        <f ca="1">IF($A226="","",IFERROR(INDEX(PMIS_Data!$AD$3:$AD$40,20),""))</f>
        <v>No blocker documented</v>
      </c>
      <c r="E226" s="535">
        <f ca="1">IF($A226="","",IFERROR(INDEX(PMIS_Data!$AI$3:$AI$40,20),""))</f>
        <v>0</v>
      </c>
      <c r="F226" s="339" t="str">
        <f ca="1">IF($A226="","",IFERROR(INDEX(PMIS_Data!$AJ$3:$AJ$40,20),""))</f>
        <v>Not Ready</v>
      </c>
      <c r="G226" s="339">
        <f ca="1">IF($A226="","",IFERROR(INDEX(PMIS_Data!$AL$3:$AL$40,20),""))</f>
        <v>6</v>
      </c>
      <c r="H226" s="339" t="str">
        <f ca="1">IF($A226="","",IFERROR(INDEX(PMIS_Data!$AM$3:$AM$40,20),""))</f>
        <v>Resolve OIT Blocker</v>
      </c>
      <c r="I226" s="339"/>
      <c r="J226" s="339"/>
      <c r="K226" s="339"/>
      <c r="L226" s="339"/>
      <c r="M226" s="339"/>
      <c r="N226" s="339"/>
      <c r="O226" s="339"/>
      <c r="P226" s="339"/>
    </row>
    <row r="227" spans="1:16" ht="26.4">
      <c r="A227" s="339" t="str">
        <f>IFERROR(INDEX(PMIS_Data!$A$3:$A$40,21),"")</f>
        <v>33</v>
      </c>
      <c r="B227" s="535">
        <f ca="1">IF($A227="","",IFERROR(INDEX(PMIS_Data!$AB$3:$AB$40,21),""))</f>
        <v>0</v>
      </c>
      <c r="C227" s="339" t="str">
        <f ca="1">IF($A227="","",IFERROR(INDEX(PMIS_Data!$AC$3:$AC$40,21),""))</f>
        <v>Blocked</v>
      </c>
      <c r="D227" s="339" t="str">
        <f ca="1">IF($A227="","",IFERROR(INDEX(PMIS_Data!$AD$3:$AD$40,21),""))</f>
        <v>No blocker documented</v>
      </c>
      <c r="E227" s="535">
        <f ca="1">IF($A227="","",IFERROR(INDEX(PMIS_Data!$AI$3:$AI$40,21),""))</f>
        <v>0</v>
      </c>
      <c r="F227" s="339" t="str">
        <f ca="1">IF($A227="","",IFERROR(INDEX(PMIS_Data!$AJ$3:$AJ$40,21),""))</f>
        <v>Not Ready</v>
      </c>
      <c r="G227" s="339">
        <f ca="1">IF($A227="","",IFERROR(INDEX(PMIS_Data!$AL$3:$AL$40,21),""))</f>
        <v>6</v>
      </c>
      <c r="H227" s="339" t="str">
        <f ca="1">IF($A227="","",IFERROR(INDEX(PMIS_Data!$AM$3:$AM$40,21),""))</f>
        <v>Resolve OIT Blocker</v>
      </c>
      <c r="I227" s="339"/>
      <c r="J227" s="339"/>
      <c r="K227" s="339"/>
      <c r="L227" s="339"/>
      <c r="M227" s="339"/>
      <c r="N227" s="339"/>
      <c r="O227" s="339"/>
      <c r="P227" s="339"/>
    </row>
    <row r="228" spans="1:16" ht="26.4">
      <c r="A228" s="339" t="str">
        <f>IFERROR(INDEX(PMIS_Data!$A$3:$A$40,22),"")</f>
        <v>61</v>
      </c>
      <c r="B228" s="535">
        <f ca="1">IF($A228="","",IFERROR(INDEX(PMIS_Data!$AB$3:$AB$40,22),""))</f>
        <v>0</v>
      </c>
      <c r="C228" s="339" t="str">
        <f ca="1">IF($A228="","",IFERROR(INDEX(PMIS_Data!$AC$3:$AC$40,22),""))</f>
        <v>Blocked</v>
      </c>
      <c r="D228" s="339" t="str">
        <f ca="1">IF($A228="","",IFERROR(INDEX(PMIS_Data!$AD$3:$AD$40,22),""))</f>
        <v>No blocker documented</v>
      </c>
      <c r="E228" s="535">
        <f ca="1">IF($A228="","",IFERROR(INDEX(PMIS_Data!$AI$3:$AI$40,22),""))</f>
        <v>0</v>
      </c>
      <c r="F228" s="339" t="str">
        <f ca="1">IF($A228="","",IFERROR(INDEX(PMIS_Data!$AJ$3:$AJ$40,22),""))</f>
        <v>Not Ready</v>
      </c>
      <c r="G228" s="339">
        <f ca="1">IF($A228="","",IFERROR(INDEX(PMIS_Data!$AL$3:$AL$40,22),""))</f>
        <v>0</v>
      </c>
      <c r="H228" s="339" t="str">
        <f ca="1">IF($A228="","",IFERROR(INDEX(PMIS_Data!$AM$3:$AM$40,22),""))</f>
        <v>Resolve OIT Blocker</v>
      </c>
      <c r="I228" s="339"/>
      <c r="J228" s="339"/>
      <c r="K228" s="339"/>
      <c r="L228" s="339"/>
      <c r="M228" s="339"/>
      <c r="N228" s="339"/>
      <c r="O228" s="339"/>
      <c r="P228" s="339"/>
    </row>
    <row r="229" spans="1:16" ht="26.4">
      <c r="A229" s="339" t="str">
        <f>IFERROR(INDEX(PMIS_Data!$A$3:$A$40,23),"")</f>
        <v>62</v>
      </c>
      <c r="B229" s="535">
        <f ca="1">IF($A229="","",IFERROR(INDEX(PMIS_Data!$AB$3:$AB$40,23),""))</f>
        <v>0</v>
      </c>
      <c r="C229" s="339" t="str">
        <f ca="1">IF($A229="","",IFERROR(INDEX(PMIS_Data!$AC$3:$AC$40,23),""))</f>
        <v>Blocked</v>
      </c>
      <c r="D229" s="339" t="str">
        <f ca="1">IF($A229="","",IFERROR(INDEX(PMIS_Data!$AD$3:$AD$40,23),""))</f>
        <v>No blocker documented</v>
      </c>
      <c r="E229" s="535">
        <f ca="1">IF($A229="","",IFERROR(INDEX(PMIS_Data!$AI$3:$AI$40,23),""))</f>
        <v>0</v>
      </c>
      <c r="F229" s="339" t="str">
        <f ca="1">IF($A229="","",IFERROR(INDEX(PMIS_Data!$AJ$3:$AJ$40,23),""))</f>
        <v>Not Ready</v>
      </c>
      <c r="G229" s="339">
        <f ca="1">IF($A229="","",IFERROR(INDEX(PMIS_Data!$AL$3:$AL$40,23),""))</f>
        <v>6</v>
      </c>
      <c r="H229" s="339" t="str">
        <f ca="1">IF($A229="","",IFERROR(INDEX(PMIS_Data!$AM$3:$AM$40,23),""))</f>
        <v>Resolve OIT Blocker</v>
      </c>
      <c r="I229" s="339"/>
      <c r="J229" s="339"/>
      <c r="K229" s="339"/>
      <c r="L229" s="339"/>
      <c r="M229" s="339"/>
      <c r="N229" s="339"/>
      <c r="O229" s="339"/>
      <c r="P229" s="339"/>
    </row>
    <row r="230" spans="1:16" ht="26.4">
      <c r="A230" s="339" t="str">
        <f>IFERROR(INDEX(PMIS_Data!$A$3:$A$40,24),"")</f>
        <v>70</v>
      </c>
      <c r="B230" s="535">
        <f ca="1">IF($A230="","",IFERROR(INDEX(PMIS_Data!$AB$3:$AB$40,24),""))</f>
        <v>0</v>
      </c>
      <c r="C230" s="339" t="str">
        <f ca="1">IF($A230="","",IFERROR(INDEX(PMIS_Data!$AC$3:$AC$40,24),""))</f>
        <v>Blocked</v>
      </c>
      <c r="D230" s="339" t="str">
        <f ca="1">IF($A230="","",IFERROR(INDEX(PMIS_Data!$AD$3:$AD$40,24),""))</f>
        <v>No blocker documented</v>
      </c>
      <c r="E230" s="535">
        <f ca="1">IF($A230="","",IFERROR(INDEX(PMIS_Data!$AI$3:$AI$40,24),""))</f>
        <v>0</v>
      </c>
      <c r="F230" s="339" t="str">
        <f ca="1">IF($A230="","",IFERROR(INDEX(PMIS_Data!$AJ$3:$AJ$40,24),""))</f>
        <v>Not Ready</v>
      </c>
      <c r="G230" s="339">
        <f ca="1">IF($A230="","",IFERROR(INDEX(PMIS_Data!$AL$3:$AL$40,24),""))</f>
        <v>6</v>
      </c>
      <c r="H230" s="339" t="str">
        <f ca="1">IF($A230="","",IFERROR(INDEX(PMIS_Data!$AM$3:$AM$40,24),""))</f>
        <v>Resolve OIT Blocker</v>
      </c>
      <c r="I230" s="339"/>
      <c r="J230" s="339"/>
      <c r="K230" s="339"/>
      <c r="L230" s="339"/>
      <c r="M230" s="339"/>
      <c r="N230" s="339"/>
      <c r="O230" s="339"/>
      <c r="P230" s="339"/>
    </row>
    <row r="231" spans="1:16" ht="26.4">
      <c r="A231" s="339" t="str">
        <f>IFERROR(INDEX(PMIS_Data!$A$3:$A$40,25),"")</f>
        <v>78</v>
      </c>
      <c r="B231" s="535">
        <f ca="1">IF($A231="","",IFERROR(INDEX(PMIS_Data!$AB$3:$AB$40,25),""))</f>
        <v>0</v>
      </c>
      <c r="C231" s="339" t="str">
        <f ca="1">IF($A231="","",IFERROR(INDEX(PMIS_Data!$AC$3:$AC$40,25),""))</f>
        <v>Blocked</v>
      </c>
      <c r="D231" s="339" t="str">
        <f ca="1">IF($A231="","",IFERROR(INDEX(PMIS_Data!$AD$3:$AD$40,25),""))</f>
        <v>No blocker documented</v>
      </c>
      <c r="E231" s="535">
        <f ca="1">IF($A231="","",IFERROR(INDEX(PMIS_Data!$AI$3:$AI$40,25),""))</f>
        <v>0</v>
      </c>
      <c r="F231" s="339" t="str">
        <f ca="1">IF($A231="","",IFERROR(INDEX(PMIS_Data!$AJ$3:$AJ$40,25),""))</f>
        <v>Not Ready</v>
      </c>
      <c r="G231" s="339">
        <f ca="1">IF($A231="","",IFERROR(INDEX(PMIS_Data!$AL$3:$AL$40,25),""))</f>
        <v>6</v>
      </c>
      <c r="H231" s="339" t="str">
        <f ca="1">IF($A231="","",IFERROR(INDEX(PMIS_Data!$AM$3:$AM$40,25),""))</f>
        <v>Resolve OIT Blocker</v>
      </c>
      <c r="I231" s="339"/>
      <c r="J231" s="339"/>
      <c r="K231" s="339"/>
      <c r="L231" s="339"/>
      <c r="M231" s="339"/>
      <c r="N231" s="339"/>
      <c r="O231" s="339"/>
      <c r="P231" s="339"/>
    </row>
    <row r="232" spans="1:16" ht="26.4">
      <c r="A232" s="339" t="str">
        <f>IFERROR(INDEX(PMIS_Data!$A$3:$A$40,26),"")</f>
        <v>80</v>
      </c>
      <c r="B232" s="535">
        <f ca="1">IF($A232="","",IFERROR(INDEX(PMIS_Data!$AB$3:$AB$40,26),""))</f>
        <v>0</v>
      </c>
      <c r="C232" s="339" t="str">
        <f ca="1">IF($A232="","",IFERROR(INDEX(PMIS_Data!$AC$3:$AC$40,26),""))</f>
        <v>Blocked</v>
      </c>
      <c r="D232" s="339" t="str">
        <f ca="1">IF($A232="","",IFERROR(INDEX(PMIS_Data!$AD$3:$AD$40,26),""))</f>
        <v>No blocker documented</v>
      </c>
      <c r="E232" s="535">
        <f ca="1">IF($A232="","",IFERROR(INDEX(PMIS_Data!$AI$3:$AI$40,26),""))</f>
        <v>0</v>
      </c>
      <c r="F232" s="339" t="str">
        <f ca="1">IF($A232="","",IFERROR(INDEX(PMIS_Data!$AJ$3:$AJ$40,26),""))</f>
        <v>Not Ready</v>
      </c>
      <c r="G232" s="339">
        <f ca="1">IF($A232="","",IFERROR(INDEX(PMIS_Data!$AL$3:$AL$40,26),""))</f>
        <v>6</v>
      </c>
      <c r="H232" s="339" t="str">
        <f ca="1">IF($A232="","",IFERROR(INDEX(PMIS_Data!$AM$3:$AM$40,26),""))</f>
        <v>Resolve OIT Blocker</v>
      </c>
      <c r="I232" s="339"/>
      <c r="J232" s="339"/>
      <c r="K232" s="339"/>
      <c r="L232" s="339"/>
      <c r="M232" s="339"/>
      <c r="N232" s="339"/>
      <c r="O232" s="339"/>
      <c r="P232" s="339"/>
    </row>
    <row r="233" spans="1:16" ht="26.4">
      <c r="A233" s="339" t="str">
        <f>IFERROR(INDEX(PMIS_Data!$A$3:$A$40,27),"")</f>
        <v>82</v>
      </c>
      <c r="B233" s="535">
        <f ca="1">IF($A233="","",IFERROR(INDEX(PMIS_Data!$AB$3:$AB$40,27),""))</f>
        <v>0</v>
      </c>
      <c r="C233" s="339" t="str">
        <f ca="1">IF($A233="","",IFERROR(INDEX(PMIS_Data!$AC$3:$AC$40,27),""))</f>
        <v>Blocked</v>
      </c>
      <c r="D233" s="339" t="str">
        <f ca="1">IF($A233="","",IFERROR(INDEX(PMIS_Data!$AD$3:$AD$40,27),""))</f>
        <v>No blocker documented</v>
      </c>
      <c r="E233" s="535">
        <f ca="1">IF($A233="","",IFERROR(INDEX(PMIS_Data!$AI$3:$AI$40,27),""))</f>
        <v>0</v>
      </c>
      <c r="F233" s="339" t="str">
        <f ca="1">IF($A233="","",IFERROR(INDEX(PMIS_Data!$AJ$3:$AJ$40,27),""))</f>
        <v>Not Ready</v>
      </c>
      <c r="G233" s="339">
        <f ca="1">IF($A233="","",IFERROR(INDEX(PMIS_Data!$AL$3:$AL$40,27),""))</f>
        <v>6</v>
      </c>
      <c r="H233" s="339" t="str">
        <f ca="1">IF($A233="","",IFERROR(INDEX(PMIS_Data!$AM$3:$AM$40,27),""))</f>
        <v>Resolve OIT Blocker</v>
      </c>
      <c r="I233" s="339"/>
      <c r="J233" s="339"/>
      <c r="K233" s="339"/>
      <c r="L233" s="339"/>
      <c r="M233" s="339"/>
      <c r="N233" s="339"/>
      <c r="O233" s="339"/>
      <c r="P233" s="339"/>
    </row>
    <row r="234" spans="1:16" ht="26.4">
      <c r="A234" s="339" t="str">
        <f>IFERROR(INDEX(PMIS_Data!$A$3:$A$40,28),"")</f>
        <v>BCH</v>
      </c>
      <c r="B234" s="535">
        <f ca="1">IF($A234="","",IFERROR(INDEX(PMIS_Data!$AB$3:$AB$40,28),""))</f>
        <v>0</v>
      </c>
      <c r="C234" s="339" t="str">
        <f ca="1">IF($A234="","",IFERROR(INDEX(PMIS_Data!$AC$3:$AC$40,28),""))</f>
        <v>Blocked</v>
      </c>
      <c r="D234" s="339" t="str">
        <f ca="1">IF($A234="","",IFERROR(INDEX(PMIS_Data!$AD$3:$AD$40,28),""))</f>
        <v>No blocker documented</v>
      </c>
      <c r="E234" s="535">
        <f ca="1">IF($A234="","",IFERROR(INDEX(PMIS_Data!$AI$3:$AI$40,28),""))</f>
        <v>0</v>
      </c>
      <c r="F234" s="339" t="str">
        <f ca="1">IF($A234="","",IFERROR(INDEX(PMIS_Data!$AJ$3:$AJ$40,28),""))</f>
        <v>Not Ready</v>
      </c>
      <c r="G234" s="339">
        <f ca="1">IF($A234="","",IFERROR(INDEX(PMIS_Data!$AL$3:$AL$40,28),""))</f>
        <v>6</v>
      </c>
      <c r="H234" s="339" t="str">
        <f ca="1">IF($A234="","",IFERROR(INDEX(PMIS_Data!$AM$3:$AM$40,28),""))</f>
        <v>Resolve OIT Blocker</v>
      </c>
      <c r="I234" s="339"/>
      <c r="J234" s="339"/>
      <c r="K234" s="339"/>
      <c r="L234" s="339"/>
      <c r="M234" s="339"/>
      <c r="N234" s="339"/>
      <c r="O234" s="339"/>
      <c r="P234" s="339"/>
    </row>
    <row r="235" spans="1:16" ht="26.4">
      <c r="A235" s="339" t="str">
        <f>IFERROR(INDEX(PMIS_Data!$A$3:$A$40,29),"")</f>
        <v>MCR</v>
      </c>
      <c r="B235" s="535">
        <f ca="1">IF($A235="","",IFERROR(INDEX(PMIS_Data!$AB$3:$AB$40,29),""))</f>
        <v>0</v>
      </c>
      <c r="C235" s="339" t="str">
        <f ca="1">IF($A235="","",IFERROR(INDEX(PMIS_Data!$AC$3:$AC$40,29),""))</f>
        <v>Blocked</v>
      </c>
      <c r="D235" s="339" t="str">
        <f ca="1">IF($A235="","",IFERROR(INDEX(PMIS_Data!$AD$3:$AD$40,29),""))</f>
        <v>No blocker documented</v>
      </c>
      <c r="E235" s="535">
        <f ca="1">IF($A235="","",IFERROR(INDEX(PMIS_Data!$AI$3:$AI$40,29),""))</f>
        <v>0</v>
      </c>
      <c r="F235" s="339" t="str">
        <f ca="1">IF($A235="","",IFERROR(INDEX(PMIS_Data!$AJ$3:$AJ$40,29),""))</f>
        <v>Not Ready</v>
      </c>
      <c r="G235" s="339">
        <f ca="1">IF($A235="","",IFERROR(INDEX(PMIS_Data!$AL$3:$AL$40,29),""))</f>
        <v>6</v>
      </c>
      <c r="H235" s="339" t="str">
        <f ca="1">IF($A235="","",IFERROR(INDEX(PMIS_Data!$AM$3:$AM$40,29),""))</f>
        <v>Resolve OIT Blocker</v>
      </c>
      <c r="I235" s="339"/>
      <c r="J235" s="339"/>
      <c r="K235" s="339"/>
      <c r="L235" s="339"/>
      <c r="M235" s="339"/>
      <c r="N235" s="339"/>
      <c r="O235" s="339"/>
      <c r="P235" s="339"/>
    </row>
    <row r="236" spans="1:16" ht="26.4">
      <c r="A236" s="339" t="str">
        <f>IFERROR(INDEX(PMIS_Data!$A$3:$A$40,30),"")</f>
        <v>SITE</v>
      </c>
      <c r="B236" s="535">
        <f ca="1">IF($A236="","",IFERROR(INDEX(PMIS_Data!$AB$3:$AB$40,30),""))</f>
        <v>0</v>
      </c>
      <c r="C236" s="339" t="str">
        <f ca="1">IF($A236="","",IFERROR(INDEX(PMIS_Data!$AC$3:$AC$40,30),""))</f>
        <v>Blocked</v>
      </c>
      <c r="D236" s="339" t="str">
        <f ca="1">IF($A236="","",IFERROR(INDEX(PMIS_Data!$AD$3:$AD$40,30),""))</f>
        <v>No blocker documented</v>
      </c>
      <c r="E236" s="535">
        <f ca="1">IF($A236="","",IFERROR(INDEX(PMIS_Data!$AI$3:$AI$40,30),""))</f>
        <v>0</v>
      </c>
      <c r="F236" s="339" t="str">
        <f ca="1">IF($A236="","",IFERROR(INDEX(PMIS_Data!$AJ$3:$AJ$40,30),""))</f>
        <v>Not Ready</v>
      </c>
      <c r="G236" s="339">
        <f ca="1">IF($A236="","",IFERROR(INDEX(PMIS_Data!$AL$3:$AL$40,30),""))</f>
        <v>6</v>
      </c>
      <c r="H236" s="339" t="str">
        <f ca="1">IF($A236="","",IFERROR(INDEX(PMIS_Data!$AM$3:$AM$40,30),""))</f>
        <v>Resolve OIT Blocker</v>
      </c>
      <c r="I236" s="339"/>
      <c r="J236" s="339"/>
      <c r="K236" s="339"/>
      <c r="L236" s="339"/>
      <c r="M236" s="339"/>
      <c r="N236" s="339"/>
      <c r="O236" s="339"/>
      <c r="P236" s="339"/>
    </row>
    <row r="237" spans="1:16">
      <c r="A237" s="339"/>
      <c r="B237" s="339"/>
      <c r="C237" s="339"/>
      <c r="D237" s="339"/>
      <c r="E237" s="339"/>
      <c r="F237" s="339"/>
      <c r="G237" s="339"/>
      <c r="H237" s="339"/>
      <c r="I237" s="339"/>
      <c r="J237" s="339"/>
      <c r="K237" s="339"/>
      <c r="L237" s="339"/>
      <c r="M237" s="339"/>
      <c r="N237" s="339"/>
      <c r="O237" s="339"/>
      <c r="P237" s="339"/>
    </row>
    <row r="238" spans="1:16">
      <c r="A238" s="339"/>
      <c r="B238" s="339"/>
      <c r="C238" s="339"/>
      <c r="D238" s="339"/>
      <c r="E238" s="339"/>
      <c r="F238" s="339"/>
      <c r="G238" s="339"/>
      <c r="H238" s="339"/>
      <c r="I238" s="339"/>
      <c r="J238" s="339"/>
      <c r="K238" s="339"/>
      <c r="L238" s="339"/>
      <c r="M238" s="339"/>
      <c r="N238" s="339"/>
      <c r="O238" s="339"/>
      <c r="P238" s="339"/>
    </row>
    <row r="239" spans="1:16" ht="13.8">
      <c r="A239" s="545" t="s">
        <v>6079</v>
      </c>
      <c r="B239" s="545"/>
      <c r="C239" s="545"/>
      <c r="D239" s="545"/>
      <c r="E239" s="545"/>
      <c r="F239" s="545"/>
      <c r="G239" s="545"/>
      <c r="H239" s="545"/>
      <c r="I239" s="545"/>
      <c r="J239" s="545"/>
      <c r="K239" s="545"/>
      <c r="L239" s="545"/>
      <c r="M239" s="545"/>
      <c r="N239" s="545"/>
      <c r="O239" s="545"/>
      <c r="P239" s="545"/>
    </row>
    <row r="240" spans="1:16" ht="24">
      <c r="A240" s="534" t="s">
        <v>5969</v>
      </c>
      <c r="B240" s="534" t="s">
        <v>5970</v>
      </c>
      <c r="C240" s="534" t="s">
        <v>286</v>
      </c>
      <c r="D240" s="534" t="s">
        <v>142</v>
      </c>
      <c r="E240" s="534" t="s">
        <v>216</v>
      </c>
      <c r="F240" s="534" t="s">
        <v>224</v>
      </c>
      <c r="G240" s="534" t="s">
        <v>77</v>
      </c>
      <c r="H240" s="534" t="s">
        <v>5971</v>
      </c>
      <c r="I240" s="534" t="s">
        <v>266</v>
      </c>
      <c r="J240" s="534" t="s">
        <v>5973</v>
      </c>
      <c r="K240" s="534" t="s">
        <v>5974</v>
      </c>
      <c r="L240" s="534" t="s">
        <v>5975</v>
      </c>
      <c r="M240" s="534" t="s">
        <v>6009</v>
      </c>
      <c r="N240" s="534" t="s">
        <v>5972</v>
      </c>
      <c r="O240" s="534" t="s">
        <v>5773</v>
      </c>
      <c r="P240" s="534" t="s">
        <v>11</v>
      </c>
    </row>
    <row r="241" spans="1:16" ht="26.4">
      <c r="A241" s="339" t="str">
        <f>IF([7]Project_Register!$A6="","",[7]Project_Register!$A6)</f>
        <v>DEL-001</v>
      </c>
      <c r="B241" s="339" t="str">
        <f>IF($A241="","",[7]Project_Register!$B6)</f>
        <v>Deliverable</v>
      </c>
      <c r="C241" s="339" t="str">
        <f>IF($A241="","",[7]Project_Register!$G6)</f>
        <v>Weekly Inspection Report</v>
      </c>
      <c r="D241" s="339" t="str">
        <f>IF($A241="","",[7]Project_Register!$E6)</f>
        <v>ALL</v>
      </c>
      <c r="E241" s="339" t="str">
        <f>IF($A241="","",[7]Project_Register!$K6)</f>
        <v>Aisha</v>
      </c>
      <c r="F241" s="339" t="str">
        <f>IF($A241="","",[7]Project_Register!$M6)</f>
        <v>High</v>
      </c>
      <c r="G241" s="339" t="str">
        <f>IF($A241="","",[7]Project_Register!$N6)</f>
        <v>Open</v>
      </c>
      <c r="H241" s="529">
        <f>IF($A241="","",[7]Project_Register!$P6)</f>
        <v>46219</v>
      </c>
      <c r="I241" s="529">
        <f>IFERROR(IF($A241="","",[7]Project_Register!$Q6),"")</f>
        <v>0</v>
      </c>
      <c r="J241" s="339" t="str">
        <f>IF($A241="","",[7]Project_Register!$AA6)</f>
        <v>No</v>
      </c>
      <c r="K241" s="339" t="str">
        <f>IF($A241="","",[7]Project_Register!$X6)</f>
        <v>Weekly</v>
      </c>
      <c r="L241" s="339" t="str">
        <f>IF($A241="","",[7]Project_Register!$Z6)</f>
        <v>Yes</v>
      </c>
      <c r="M241" s="339" t="str">
        <f>IF($A241="","",[7]Project_Register!$AD6)</f>
        <v>Submit every Friday.</v>
      </c>
      <c r="N241" s="339" t="str">
        <f>IF($A241="","",[7]Project_Register!$AE6)</f>
        <v>Compile assessment, inspection, risk, question, shutdown, and look-ahead data; Paul final review.</v>
      </c>
      <c r="O241" s="339">
        <f>IF($A241="","",[7]Project_Register!$AL6)</f>
        <v>0</v>
      </c>
      <c r="P241" s="339">
        <f>IFERROR(IF($A241="","",[7]Project_Register!$AM6),"")</f>
        <v>0</v>
      </c>
    </row>
    <row r="242" spans="1:16" ht="26.4">
      <c r="A242" s="339" t="str">
        <f>IF([7]Project_Register!$A7="","",[7]Project_Register!$A7)</f>
        <v>DEL-002</v>
      </c>
      <c r="B242" s="339" t="str">
        <f>IF($A242="","",[7]Project_Register!$B7)</f>
        <v>PTR Update</v>
      </c>
      <c r="C242" s="339" t="str">
        <f>IF($A242="","",[7]Project_Register!$G7)</f>
        <v>Biweekly PTR Update</v>
      </c>
      <c r="D242" s="339" t="str">
        <f>IF($A242="","",[7]Project_Register!$E7)</f>
        <v>ALL</v>
      </c>
      <c r="E242" s="339" t="str">
        <f>IF($A242="","",[7]Project_Register!$K7)</f>
        <v>Paul</v>
      </c>
      <c r="F242" s="339" t="str">
        <f>IF($A242="","",[7]Project_Register!$M7)</f>
        <v>High</v>
      </c>
      <c r="G242" s="339" t="str">
        <f>IF($A242="","",[7]Project_Register!$N7)</f>
        <v>Open</v>
      </c>
      <c r="H242" s="529">
        <f>IF($A242="","",[7]Project_Register!$P7)</f>
        <v>46219</v>
      </c>
      <c r="I242" s="529">
        <f>IFERROR(IF($A242="","",[7]Project_Register!$Q7),"")</f>
        <v>0</v>
      </c>
      <c r="J242" s="339" t="str">
        <f>IF($A242="","",[7]Project_Register!$AA7)</f>
        <v>Yes</v>
      </c>
      <c r="K242" s="339" t="str">
        <f>IF($A242="","",[7]Project_Register!$X7)</f>
        <v>Biweekly</v>
      </c>
      <c r="L242" s="339" t="str">
        <f>IF($A242="","",[7]Project_Register!$Z7)</f>
        <v>Yes</v>
      </c>
      <c r="M242" s="339" t="str">
        <f>IF($A242="","",[7]Project_Register!$AD7)</f>
        <v>Confirm PTR ownership and access.</v>
      </c>
      <c r="N242" s="339" t="str">
        <f>IF($A242="","",[7]Project_Register!$AE7)</f>
        <v>Prepare current comments, dates, issues, and milestone status at least 24 hours before meeting.</v>
      </c>
      <c r="O242" s="339">
        <f>IF($A242="","",[7]Project_Register!$AL7)</f>
        <v>0</v>
      </c>
      <c r="P242" s="339">
        <f>IFERROR(IF($A242="","",[7]Project_Register!$AM7),"")</f>
        <v>0</v>
      </c>
    </row>
    <row r="243" spans="1:16" ht="39.6">
      <c r="A243" s="339" t="str">
        <f>IF([7]Project_Register!$A8="","",[7]Project_Register!$A8)</f>
        <v>SCH-001</v>
      </c>
      <c r="B243" s="339" t="str">
        <f>IF($A243="","",[7]Project_Register!$B8)</f>
        <v>Schedule Item</v>
      </c>
      <c r="C243" s="339" t="str">
        <f>IF($A243="","",[7]Project_Register!$G8)</f>
        <v>Contractor Baseline Schedule</v>
      </c>
      <c r="D243" s="339" t="str">
        <f>IF($A243="","",[7]Project_Register!$E8)</f>
        <v>ALL</v>
      </c>
      <c r="E243" s="339" t="str">
        <f>IF($A243="","",[7]Project_Register!$K8)</f>
        <v>Paul</v>
      </c>
      <c r="F243" s="339" t="str">
        <f>IF($A243="","",[7]Project_Register!$M8)</f>
        <v>Critical</v>
      </c>
      <c r="G243" s="339" t="str">
        <f>IF($A243="","",[7]Project_Register!$N8)</f>
        <v>Waiting</v>
      </c>
      <c r="H243" s="529">
        <f>IF($A243="","",[7]Project_Register!$P8)</f>
        <v>46219</v>
      </c>
      <c r="I243" s="529">
        <f>IFERROR(IF($A243="","",[7]Project_Register!$Q8),"")</f>
        <v>0</v>
      </c>
      <c r="J243" s="339" t="str">
        <f>IF($A243="","",[7]Project_Register!$AA8)</f>
        <v>Yes</v>
      </c>
      <c r="K243" s="339" t="str">
        <f>IF($A243="","",[7]Project_Register!$X8)</f>
        <v>Biweekly</v>
      </c>
      <c r="L243" s="339" t="str">
        <f>IF($A243="","",[7]Project_Register!$Z8)</f>
        <v>Yes</v>
      </c>
      <c r="M243" s="339" t="str">
        <f>IF($A243="","",[7]Project_Register!$AD8)</f>
        <v>Contractor schedule has not been received.</v>
      </c>
      <c r="N243" s="339" t="str">
        <f>IF($A243="","",[7]Project_Register!$AE8)</f>
        <v>Obtain and review logic, shutdowns, relocations, submittals, procurement, testing, and commissioning dependencies.</v>
      </c>
      <c r="O243" s="339">
        <f>IF($A243="","",[7]Project_Register!$AL8)</f>
        <v>0</v>
      </c>
      <c r="P243" s="339">
        <f>IFERROR(IF($A243="","",[7]Project_Register!$AM8),"")</f>
        <v>0</v>
      </c>
    </row>
    <row r="244" spans="1:16" ht="26.4">
      <c r="A244" s="339" t="str">
        <f>IF([7]Project_Register!$A9="","",[7]Project_Register!$A9)</f>
        <v>ACT-001</v>
      </c>
      <c r="B244" s="339" t="str">
        <f>IF($A244="","",[7]Project_Register!$B9)</f>
        <v>Action Item</v>
      </c>
      <c r="C244" s="339" t="str">
        <f>IF($A244="","",[7]Project_Register!$G9)</f>
        <v>Confirm COR Reporting Expectations</v>
      </c>
      <c r="D244" s="339" t="str">
        <f>IF($A244="","",[7]Project_Register!$E9)</f>
        <v>ALL</v>
      </c>
      <c r="E244" s="339" t="str">
        <f>IF($A244="","",[7]Project_Register!$K9)</f>
        <v>Paul</v>
      </c>
      <c r="F244" s="339" t="str">
        <f>IF($A244="","",[7]Project_Register!$M9)</f>
        <v>High</v>
      </c>
      <c r="G244" s="339" t="str">
        <f>IF($A244="","",[7]Project_Register!$N9)</f>
        <v>Open</v>
      </c>
      <c r="H244" s="529">
        <f>IF($A244="","",[7]Project_Register!$P9)</f>
        <v>46219</v>
      </c>
      <c r="I244" s="529">
        <f>IFERROR(IF($A244="","",[7]Project_Register!$Q9),"")</f>
        <v>0</v>
      </c>
      <c r="J244" s="339" t="str">
        <f>IF($A244="","",[7]Project_Register!$AA9)</f>
        <v>Yes</v>
      </c>
      <c r="K244" s="339" t="str">
        <f>IF($A244="","",[7]Project_Register!$X9)</f>
        <v>Weekly</v>
      </c>
      <c r="L244" s="339" t="str">
        <f>IF($A244="","",[7]Project_Register!$Z9)</f>
        <v>Yes</v>
      </c>
      <c r="M244" s="339" t="str">
        <f>IF($A244="","",[7]Project_Register!$AD9)</f>
        <v>Confirm templates, routing, due dates, minutes, PTR, and storage.</v>
      </c>
      <c r="N244" s="339" t="str">
        <f>IF($A244="","",[7]Project_Register!$AE9)</f>
        <v>Document agreed reporting workflow before first recurring submission.</v>
      </c>
      <c r="O244" s="339">
        <f>IF($A244="","",[7]Project_Register!$AL9)</f>
        <v>0</v>
      </c>
      <c r="P244" s="339">
        <f>IFERROR(IF($A244="","",[7]Project_Register!$AM9),"")</f>
        <v>0</v>
      </c>
    </row>
    <row r="245" spans="1:16" ht="39.6">
      <c r="A245" s="339" t="str">
        <f>IF([7]Project_Register!$A10="","",[7]Project_Register!$A10)</f>
        <v>DQ-001</v>
      </c>
      <c r="B245" s="339" t="str">
        <f>IF($A245="","",[7]Project_Register!$B10)</f>
        <v>Design Question</v>
      </c>
      <c r="C245" s="339" t="str">
        <f>IF($A245="","",[7]Project_Register!$G10)</f>
        <v>Consolidate Building 61 A/E Questions</v>
      </c>
      <c r="D245" s="339" t="str">
        <f>IF($A245="","",[7]Project_Register!$E10)</f>
        <v>61</v>
      </c>
      <c r="E245" s="339" t="str">
        <f>IF($A245="","",[7]Project_Register!$K10)</f>
        <v>Paul</v>
      </c>
      <c r="F245" s="339" t="str">
        <f>IF($A245="","",[7]Project_Register!$M10)</f>
        <v>High</v>
      </c>
      <c r="G245" s="339" t="str">
        <f>IF($A245="","",[7]Project_Register!$N10)</f>
        <v>In Progress</v>
      </c>
      <c r="H245" s="529">
        <f>IF($A245="","",[7]Project_Register!$P10)</f>
        <v>46217</v>
      </c>
      <c r="I245" s="529">
        <f>IFERROR(IF($A245="","",[7]Project_Register!$Q10),"")</f>
        <v>0</v>
      </c>
      <c r="J245" s="339" t="str">
        <f>IF($A245="","",[7]Project_Register!$AA10)</f>
        <v>Yes</v>
      </c>
      <c r="K245" s="339" t="str">
        <f>IF($A245="","",[7]Project_Register!$X10)</f>
        <v>Weekly</v>
      </c>
      <c r="L245" s="339" t="str">
        <f>IF($A245="","",[7]Project_Register!$Z10)</f>
        <v>Yes</v>
      </c>
      <c r="M245" s="339" t="str">
        <f>IF($A245="","",[7]Project_Register!$AD10)</f>
        <v>A/E clarification required.</v>
      </c>
      <c r="N245" s="339" t="str">
        <f>IF($A245="","",[7]Project_Register!$AE10)</f>
        <v>Issue coordinated question package through COR.</v>
      </c>
      <c r="O245" s="339" t="str">
        <f>IF($A245="","",[7]Project_Register!$AL10)</f>
        <v>B61_Assessment</v>
      </c>
      <c r="P245" s="339">
        <f>IFERROR(IF($A245="","",[7]Project_Register!$AM10),"")</f>
        <v>0</v>
      </c>
    </row>
    <row r="246" spans="1:16" ht="26.4">
      <c r="A246" s="339" t="str">
        <f>IF([7]Project_Register!$A11="","",[7]Project_Register!$A11)</f>
        <v>ACT-002</v>
      </c>
      <c r="B246" s="339" t="str">
        <f>IF($A246="","",[7]Project_Register!$B11)</f>
        <v>Action Item</v>
      </c>
      <c r="C246" s="339" t="str">
        <f>IF($A246="","",[7]Project_Register!$G11)</f>
        <v>Occupied Room Relocation Planning</v>
      </c>
      <c r="D246" s="339" t="str">
        <f>IF($A246="","",[7]Project_Register!$E11)</f>
        <v>ALL</v>
      </c>
      <c r="E246" s="339" t="str">
        <f>IF($A246="","",[7]Project_Register!$K11)</f>
        <v>Aisha</v>
      </c>
      <c r="F246" s="339" t="str">
        <f>IF($A246="","",[7]Project_Register!$M11)</f>
        <v>High</v>
      </c>
      <c r="G246" s="339" t="str">
        <f>IF($A246="","",[7]Project_Register!$N11)</f>
        <v>Open</v>
      </c>
      <c r="H246" s="529">
        <f>IF($A246="","",[7]Project_Register!$P11)</f>
        <v>46213</v>
      </c>
      <c r="I246" s="529">
        <f>IFERROR(IF($A246="","",[7]Project_Register!$Q11),"")</f>
        <v>0</v>
      </c>
      <c r="J246" s="339" t="str">
        <f>IF($A246="","",[7]Project_Register!$AA11)</f>
        <v>Yes</v>
      </c>
      <c r="K246" s="339" t="str">
        <f>IF($A246="","",[7]Project_Register!$X11)</f>
        <v>Weekly</v>
      </c>
      <c r="L246" s="339" t="str">
        <f>IF($A246="","",[7]Project_Register!$Z11)</f>
        <v>Yes</v>
      </c>
      <c r="M246" s="339" t="str">
        <f>IF($A246="","",[7]Project_Register!$AD11)</f>
        <v>Hospital direction needed for relocation approach.</v>
      </c>
      <c r="N246" s="339" t="str">
        <f>IF($A246="","",[7]Project_Register!$AE11)</f>
        <v>Coordinate stakeholders before contractor sequencing is accepted.</v>
      </c>
      <c r="O246" s="339" t="str">
        <f>IF($A246="","",[7]Project_Register!$AL11)</f>
        <v>Building_Register</v>
      </c>
      <c r="P246" s="339">
        <f>IFERROR(IF($A246="","",[7]Project_Register!$AM11),"")</f>
        <v>0</v>
      </c>
    </row>
    <row r="247" spans="1:16" ht="26.4">
      <c r="A247" s="339" t="str">
        <f>IF([7]Project_Register!$A12="","",[7]Project_Register!$A12)</f>
        <v>DEL-003</v>
      </c>
      <c r="B247" s="339" t="str">
        <f>IF($A247="","",[7]Project_Register!$B12)</f>
        <v>Pay Application</v>
      </c>
      <c r="C247" s="339" t="str">
        <f>IF($A247="","",[7]Project_Register!$G12)</f>
        <v>GC Pay Application Review</v>
      </c>
      <c r="D247" s="339" t="str">
        <f>IF($A247="","",[7]Project_Register!$E12)</f>
        <v>ALL</v>
      </c>
      <c r="E247" s="339" t="str">
        <f>IF($A247="","",[7]Project_Register!$K12)</f>
        <v>Paul</v>
      </c>
      <c r="F247" s="339" t="str">
        <f>IF($A247="","",[7]Project_Register!$M12)</f>
        <v>High</v>
      </c>
      <c r="G247" s="339" t="str">
        <f>IF($A247="","",[7]Project_Register!$N12)</f>
        <v>Not Started</v>
      </c>
      <c r="H247" s="529">
        <f>IF($A247="","",[7]Project_Register!$P12)</f>
        <v>46219</v>
      </c>
      <c r="I247" s="529">
        <f>IFERROR(IF($A247="","",[7]Project_Register!$Q12),"")</f>
        <v>0</v>
      </c>
      <c r="J247" s="339" t="str">
        <f>IF($A247="","",[7]Project_Register!$AA12)</f>
        <v>No</v>
      </c>
      <c r="K247" s="339" t="str">
        <f>IF($A247="","",[7]Project_Register!$X12)</f>
        <v>Monthly</v>
      </c>
      <c r="L247" s="339" t="str">
        <f>IF($A247="","",[7]Project_Register!$Z12)</f>
        <v>Yes</v>
      </c>
      <c r="M247" s="339" t="str">
        <f>IF($A247="","",[7]Project_Register!$AD12)</f>
        <v>Review within five business days of receipt.</v>
      </c>
      <c r="N247" s="339" t="str">
        <f>IF($A247="","",[7]Project_Register!$AE12)</f>
        <v>Verify work complete versus work billed using schedule, assessments, field records, and deficiencies.</v>
      </c>
      <c r="O247" s="339">
        <f>IF($A247="","",[7]Project_Register!$AL12)</f>
        <v>0</v>
      </c>
      <c r="P247" s="339">
        <f>IFERROR(IF($A247="","",[7]Project_Register!$AM12),"")</f>
        <v>0</v>
      </c>
    </row>
    <row r="248" spans="1:16" ht="26.4">
      <c r="A248" s="339" t="str">
        <f>IF([7]Project_Register!$A13="","",[7]Project_Register!$A13)</f>
        <v>DEL-004</v>
      </c>
      <c r="B248" s="339" t="str">
        <f>IF($A248="","",[7]Project_Register!$B13)</f>
        <v>Commissioning</v>
      </c>
      <c r="C248" s="339" t="str">
        <f>IF($A248="","",[7]Project_Register!$G13)</f>
        <v>Commissioning Responsibility Matrix</v>
      </c>
      <c r="D248" s="339" t="str">
        <f>IF($A248="","",[7]Project_Register!$E13)</f>
        <v>ALL</v>
      </c>
      <c r="E248" s="339" t="str">
        <f>IF($A248="","",[7]Project_Register!$K13)</f>
        <v>Aisha</v>
      </c>
      <c r="F248" s="339" t="str">
        <f>IF($A248="","",[7]Project_Register!$M13)</f>
        <v>High</v>
      </c>
      <c r="G248" s="339" t="str">
        <f>IF($A248="","",[7]Project_Register!$N13)</f>
        <v>Not Started</v>
      </c>
      <c r="H248" s="529">
        <f>IF($A248="","",[7]Project_Register!$P13)</f>
        <v>46219</v>
      </c>
      <c r="I248" s="529">
        <f>IFERROR(IF($A248="","",[7]Project_Register!$Q13),"")</f>
        <v>0</v>
      </c>
      <c r="J248" s="339" t="str">
        <f>IF($A248="","",[7]Project_Register!$AA13)</f>
        <v>Yes</v>
      </c>
      <c r="K248" s="339" t="str">
        <f>IF($A248="","",[7]Project_Register!$X13)</f>
        <v>Monthly</v>
      </c>
      <c r="L248" s="339" t="str">
        <f>IF($A248="","",[7]Project_Register!$Z13)</f>
        <v>Yes</v>
      </c>
      <c r="M248" s="339" t="str">
        <f>IF($A248="","",[7]Project_Register!$AD13)</f>
        <v>Confirm roles after kickoff.</v>
      </c>
      <c r="N248" s="339" t="str">
        <f>IF($A248="","",[7]Project_Register!$AE13)</f>
        <v>Establish prerequisites, testing, documentation, training, and acceptance responsibilities.</v>
      </c>
      <c r="O248" s="339" t="str">
        <f>IF($A248="","",[7]Project_Register!$AL13)</f>
        <v>Pilot / Specs</v>
      </c>
      <c r="P248" s="339">
        <f>IFERROR(IF($A248="","",[7]Project_Register!$AM13),"")</f>
        <v>0</v>
      </c>
    </row>
    <row r="249" spans="1:16" ht="39.6">
      <c r="A249" s="339" t="str">
        <f>IF([7]Project_Register!$A14="","",[7]Project_Register!$A14)</f>
        <v/>
      </c>
      <c r="B249" s="339" t="str">
        <f>IF($A249="","",[7]Project_Register!$B14)</f>
        <v/>
      </c>
      <c r="C249" s="339" t="str">
        <f>IF($A249="","",[7]Project_Register!$G14)</f>
        <v/>
      </c>
      <c r="D249" s="339" t="str">
        <f>IF($A249="","",[7]Project_Register!$E14)</f>
        <v/>
      </c>
      <c r="E249" s="339" t="str">
        <f>IF($A249="","",[7]Project_Register!$K14)</f>
        <v/>
      </c>
      <c r="F249" s="339" t="str">
        <f>IF($A249="","",[7]Project_Register!$M14)</f>
        <v/>
      </c>
      <c r="G249" s="339" t="str">
        <f>IF($A249="","",[7]Project_Register!$N14)</f>
        <v/>
      </c>
      <c r="H249" s="529" t="str">
        <f>IF($A249="","",[7]Project_Register!$P14)</f>
        <v/>
      </c>
      <c r="I249" s="529" t="str">
        <f>IFERROR(IF($A249="","",[7]Project_Register!$Q14),"")</f>
        <v/>
      </c>
      <c r="J249" s="339" t="str">
        <f>IF($A249="","",[7]Project_Register!$AA14)</f>
        <v/>
      </c>
      <c r="K249" s="339" t="str">
        <f>IF($A249="","",[7]Project_Register!$X14)</f>
        <v/>
      </c>
      <c r="L249" s="339" t="str">
        <f>IF($A249="","",[7]Project_Register!$Z14)</f>
        <v/>
      </c>
      <c r="M249" s="339" t="str">
        <f>IF($A249="","",[7]Project_Register!$AD14)</f>
        <v/>
      </c>
      <c r="N249" s="339" t="str">
        <f>IF($A249="","",[7]Project_Register!$AE14)</f>
        <v/>
      </c>
      <c r="O249" s="339" t="str">
        <f>IF($A249="","",[7]Project_Register!$AL14)</f>
        <v/>
      </c>
      <c r="P249" s="339" t="str">
        <f>IFERROR(IF($A249="","",[7]Project_Register!$AM14),"")</f>
        <v/>
      </c>
    </row>
    <row r="250" spans="1:16" ht="26.4">
      <c r="A250" s="339" t="str">
        <f>IF([7]Project_Register!$A15="","",[7]Project_Register!$A15)</f>
        <v/>
      </c>
      <c r="B250" s="339" t="str">
        <f>IF($A250="","",[7]Project_Register!$B15)</f>
        <v/>
      </c>
      <c r="C250" s="339" t="str">
        <f>IF($A250="","",[7]Project_Register!$G15)</f>
        <v/>
      </c>
      <c r="D250" s="339" t="str">
        <f>IF($A250="","",[7]Project_Register!$E15)</f>
        <v/>
      </c>
      <c r="E250" s="339" t="str">
        <f>IF($A250="","",[7]Project_Register!$K15)</f>
        <v/>
      </c>
      <c r="F250" s="339" t="str">
        <f>IF($A250="","",[7]Project_Register!$M15)</f>
        <v/>
      </c>
      <c r="G250" s="339" t="str">
        <f>IF($A250="","",[7]Project_Register!$N15)</f>
        <v/>
      </c>
      <c r="H250" s="529" t="str">
        <f>IF($A250="","",[7]Project_Register!$P15)</f>
        <v/>
      </c>
      <c r="I250" s="529" t="str">
        <f>IFERROR(IF($A250="","",[7]Project_Register!$Q15),"")</f>
        <v/>
      </c>
      <c r="J250" s="339" t="str">
        <f>IF($A250="","",[7]Project_Register!$AA15)</f>
        <v/>
      </c>
      <c r="K250" s="339" t="str">
        <f>IF($A250="","",[7]Project_Register!$X15)</f>
        <v/>
      </c>
      <c r="L250" s="339" t="str">
        <f>IF($A250="","",[7]Project_Register!$Z15)</f>
        <v/>
      </c>
      <c r="M250" s="339" t="str">
        <f>IF($A250="","",[7]Project_Register!$AD15)</f>
        <v/>
      </c>
      <c r="N250" s="339" t="str">
        <f>IF($A250="","",[7]Project_Register!$AE15)</f>
        <v/>
      </c>
      <c r="O250" s="339" t="str">
        <f>IF($A250="","",[7]Project_Register!$AL15)</f>
        <v/>
      </c>
      <c r="P250" s="339" t="str">
        <f>IFERROR(IF($A250="","",[7]Project_Register!$AM15),"")</f>
        <v/>
      </c>
    </row>
    <row r="251" spans="1:16">
      <c r="A251" s="339" t="str">
        <f>IF([7]Project_Register!$A16="","",[7]Project_Register!$A16)</f>
        <v/>
      </c>
      <c r="B251" s="339" t="str">
        <f>IF($A251="","",[7]Project_Register!$B16)</f>
        <v/>
      </c>
      <c r="C251" s="339" t="str">
        <f>IF($A251="","",[7]Project_Register!$G16)</f>
        <v/>
      </c>
      <c r="D251" s="339" t="str">
        <f>IF($A251="","",[7]Project_Register!$E16)</f>
        <v/>
      </c>
      <c r="E251" s="339" t="str">
        <f>IF($A251="","",[7]Project_Register!$K16)</f>
        <v/>
      </c>
      <c r="F251" s="339" t="str">
        <f>IF($A251="","",[7]Project_Register!$M16)</f>
        <v/>
      </c>
      <c r="G251" s="339" t="str">
        <f>IF($A251="","",[7]Project_Register!$N16)</f>
        <v/>
      </c>
      <c r="H251" s="529" t="str">
        <f>IF($A251="","",[7]Project_Register!$P16)</f>
        <v/>
      </c>
      <c r="I251" s="529" t="str">
        <f>IFERROR(IF($A251="","",[7]Project_Register!$Q16),"")</f>
        <v/>
      </c>
      <c r="J251" s="339" t="str">
        <f>IF($A251="","",[7]Project_Register!$AA16)</f>
        <v/>
      </c>
      <c r="K251" s="339" t="str">
        <f>IF($A251="","",[7]Project_Register!$X16)</f>
        <v/>
      </c>
      <c r="L251" s="339" t="str">
        <f>IF($A251="","",[7]Project_Register!$Z16)</f>
        <v/>
      </c>
      <c r="M251" s="339" t="str">
        <f>IF($A251="","",[7]Project_Register!$AD16)</f>
        <v/>
      </c>
      <c r="N251" s="339" t="str">
        <f>IF($A251="","",[7]Project_Register!$AE16)</f>
        <v/>
      </c>
      <c r="O251" s="339" t="str">
        <f>IF($A251="","",[7]Project_Register!$AL16)</f>
        <v/>
      </c>
      <c r="P251" s="339" t="str">
        <f>IFERROR(IF($A251="","",[7]Project_Register!$AM16),"")</f>
        <v/>
      </c>
    </row>
    <row r="252" spans="1:16">
      <c r="A252" s="339" t="str">
        <f>IF([7]Project_Register!$A17="","",[7]Project_Register!$A17)</f>
        <v/>
      </c>
      <c r="B252" s="339" t="str">
        <f>IF($A252="","",[7]Project_Register!$B17)</f>
        <v/>
      </c>
      <c r="C252" s="339" t="str">
        <f>IF($A252="","",[7]Project_Register!$G17)</f>
        <v/>
      </c>
      <c r="D252" s="339" t="str">
        <f>IF($A252="","",[7]Project_Register!$E17)</f>
        <v/>
      </c>
      <c r="E252" s="339" t="str">
        <f>IF($A252="","",[7]Project_Register!$K17)</f>
        <v/>
      </c>
      <c r="F252" s="339" t="str">
        <f>IF($A252="","",[7]Project_Register!$M17)</f>
        <v/>
      </c>
      <c r="G252" s="339" t="str">
        <f>IF($A252="","",[7]Project_Register!$N17)</f>
        <v/>
      </c>
      <c r="H252" s="529" t="str">
        <f>IF($A252="","",[7]Project_Register!$P17)</f>
        <v/>
      </c>
      <c r="I252" s="529" t="str">
        <f>IFERROR(IF($A252="","",[7]Project_Register!$Q17),"")</f>
        <v/>
      </c>
      <c r="J252" s="339" t="str">
        <f>IF($A252="","",[7]Project_Register!$AA17)</f>
        <v/>
      </c>
      <c r="K252" s="339" t="str">
        <f>IF($A252="","",[7]Project_Register!$X17)</f>
        <v/>
      </c>
      <c r="L252" s="339" t="str">
        <f>IF($A252="","",[7]Project_Register!$Z17)</f>
        <v/>
      </c>
      <c r="M252" s="339" t="str">
        <f>IF($A252="","",[7]Project_Register!$AD17)</f>
        <v/>
      </c>
      <c r="N252" s="339" t="str">
        <f>IF($A252="","",[7]Project_Register!$AE17)</f>
        <v/>
      </c>
      <c r="O252" s="339" t="str">
        <f>IF($A252="","",[7]Project_Register!$AL17)</f>
        <v/>
      </c>
      <c r="P252" s="339" t="str">
        <f>IFERROR(IF($A252="","",[7]Project_Register!$AM17),"")</f>
        <v/>
      </c>
    </row>
    <row r="253" spans="1:16">
      <c r="A253" s="339" t="str">
        <f>IF([7]Project_Register!$A18="","",[7]Project_Register!$A18)</f>
        <v/>
      </c>
      <c r="B253" s="339" t="str">
        <f>IF($A253="","",[7]Project_Register!$B18)</f>
        <v/>
      </c>
      <c r="C253" s="339" t="str">
        <f>IF($A253="","",[7]Project_Register!$G18)</f>
        <v/>
      </c>
      <c r="D253" s="339" t="str">
        <f>IF($A253="","",[7]Project_Register!$E18)</f>
        <v/>
      </c>
      <c r="E253" s="339" t="str">
        <f>IF($A253="","",[7]Project_Register!$K18)</f>
        <v/>
      </c>
      <c r="F253" s="339" t="str">
        <f>IF($A253="","",[7]Project_Register!$M18)</f>
        <v/>
      </c>
      <c r="G253" s="339" t="str">
        <f>IF($A253="","",[7]Project_Register!$N18)</f>
        <v/>
      </c>
      <c r="H253" s="529" t="str">
        <f>IF($A253="","",[7]Project_Register!$P18)</f>
        <v/>
      </c>
      <c r="I253" s="529" t="str">
        <f>IFERROR(IF($A253="","",[7]Project_Register!$Q18),"")</f>
        <v/>
      </c>
      <c r="J253" s="339" t="str">
        <f>IF($A253="","",[7]Project_Register!$AA18)</f>
        <v/>
      </c>
      <c r="K253" s="339" t="str">
        <f>IF($A253="","",[7]Project_Register!$X18)</f>
        <v/>
      </c>
      <c r="L253" s="339" t="str">
        <f>IF($A253="","",[7]Project_Register!$Z18)</f>
        <v/>
      </c>
      <c r="M253" s="339" t="str">
        <f>IF($A253="","",[7]Project_Register!$AD18)</f>
        <v/>
      </c>
      <c r="N253" s="339" t="str">
        <f>IF($A253="","",[7]Project_Register!$AE18)</f>
        <v/>
      </c>
      <c r="O253" s="339" t="str">
        <f>IF($A253="","",[7]Project_Register!$AL18)</f>
        <v/>
      </c>
      <c r="P253" s="339" t="str">
        <f>IFERROR(IF($A253="","",[7]Project_Register!$AM18),"")</f>
        <v/>
      </c>
    </row>
    <row r="254" spans="1:16">
      <c r="A254" s="339" t="str">
        <f>IF([7]Project_Register!$A19="","",[7]Project_Register!$A19)</f>
        <v/>
      </c>
      <c r="B254" s="339" t="str">
        <f>IF($A254="","",[7]Project_Register!$B19)</f>
        <v/>
      </c>
      <c r="C254" s="339" t="str">
        <f>IF($A254="","",[7]Project_Register!$G19)</f>
        <v/>
      </c>
      <c r="D254" s="339" t="str">
        <f>IF($A254="","",[7]Project_Register!$E19)</f>
        <v/>
      </c>
      <c r="E254" s="339" t="str">
        <f>IF($A254="","",[7]Project_Register!$K19)</f>
        <v/>
      </c>
      <c r="F254" s="339" t="str">
        <f>IF($A254="","",[7]Project_Register!$M19)</f>
        <v/>
      </c>
      <c r="G254" s="339" t="str">
        <f>IF($A254="","",[7]Project_Register!$N19)</f>
        <v/>
      </c>
      <c r="H254" s="529" t="str">
        <f>IF($A254="","",[7]Project_Register!$P19)</f>
        <v/>
      </c>
      <c r="I254" s="529" t="str">
        <f>IFERROR(IF($A254="","",[7]Project_Register!$Q19),"")</f>
        <v/>
      </c>
      <c r="J254" s="339" t="str">
        <f>IF($A254="","",[7]Project_Register!$AA19)</f>
        <v/>
      </c>
      <c r="K254" s="339" t="str">
        <f>IF($A254="","",[7]Project_Register!$X19)</f>
        <v/>
      </c>
      <c r="L254" s="339" t="str">
        <f>IF($A254="","",[7]Project_Register!$Z19)</f>
        <v/>
      </c>
      <c r="M254" s="339" t="str">
        <f>IF($A254="","",[7]Project_Register!$AD19)</f>
        <v/>
      </c>
      <c r="N254" s="339" t="str">
        <f>IF($A254="","",[7]Project_Register!$AE19)</f>
        <v/>
      </c>
      <c r="O254" s="339" t="str">
        <f>IF($A254="","",[7]Project_Register!$AL19)</f>
        <v/>
      </c>
      <c r="P254" s="339" t="str">
        <f>IFERROR(IF($A254="","",[7]Project_Register!$AM19),"")</f>
        <v/>
      </c>
    </row>
    <row r="255" spans="1:16">
      <c r="A255" s="339" t="str">
        <f>IF([7]Project_Register!$A20="","",[7]Project_Register!$A20)</f>
        <v/>
      </c>
      <c r="B255" s="339" t="str">
        <f>IF($A255="","",[7]Project_Register!$B20)</f>
        <v/>
      </c>
      <c r="C255" s="339" t="str">
        <f>IF($A255="","",[7]Project_Register!$G20)</f>
        <v/>
      </c>
      <c r="D255" s="339" t="str">
        <f>IF($A255="","",[7]Project_Register!$E20)</f>
        <v/>
      </c>
      <c r="E255" s="339" t="str">
        <f>IF($A255="","",[7]Project_Register!$K20)</f>
        <v/>
      </c>
      <c r="F255" s="339" t="str">
        <f>IF($A255="","",[7]Project_Register!$M20)</f>
        <v/>
      </c>
      <c r="G255" s="339" t="str">
        <f>IF($A255="","",[7]Project_Register!$N20)</f>
        <v/>
      </c>
      <c r="H255" s="529" t="str">
        <f>IF($A255="","",[7]Project_Register!$P20)</f>
        <v/>
      </c>
      <c r="I255" s="529" t="str">
        <f>IFERROR(IF($A255="","",[7]Project_Register!$Q20),"")</f>
        <v/>
      </c>
      <c r="J255" s="339" t="str">
        <f>IF($A255="","",[7]Project_Register!$AA20)</f>
        <v/>
      </c>
      <c r="K255" s="339" t="str">
        <f>IF($A255="","",[7]Project_Register!$X20)</f>
        <v/>
      </c>
      <c r="L255" s="339" t="str">
        <f>IF($A255="","",[7]Project_Register!$Z20)</f>
        <v/>
      </c>
      <c r="M255" s="339" t="str">
        <f>IF($A255="","",[7]Project_Register!$AD20)</f>
        <v/>
      </c>
      <c r="N255" s="339" t="str">
        <f>IF($A255="","",[7]Project_Register!$AE20)</f>
        <v/>
      </c>
      <c r="O255" s="339" t="str">
        <f>IF($A255="","",[7]Project_Register!$AL20)</f>
        <v/>
      </c>
      <c r="P255" s="339" t="str">
        <f>IFERROR(IF($A255="","",[7]Project_Register!$AM20),"")</f>
        <v/>
      </c>
    </row>
    <row r="256" spans="1:16">
      <c r="A256" s="339" t="str">
        <f>IF([7]Project_Register!$A21="","",[7]Project_Register!$A21)</f>
        <v/>
      </c>
      <c r="B256" s="339" t="str">
        <f>IF($A256="","",[7]Project_Register!$B21)</f>
        <v/>
      </c>
      <c r="C256" s="339" t="str">
        <f>IF($A256="","",[7]Project_Register!$G21)</f>
        <v/>
      </c>
      <c r="D256" s="339" t="str">
        <f>IF($A256="","",[7]Project_Register!$E21)</f>
        <v/>
      </c>
      <c r="E256" s="339" t="str">
        <f>IF($A256="","",[7]Project_Register!$K21)</f>
        <v/>
      </c>
      <c r="F256" s="339" t="str">
        <f>IF($A256="","",[7]Project_Register!$M21)</f>
        <v/>
      </c>
      <c r="G256" s="339" t="str">
        <f>IF($A256="","",[7]Project_Register!$N21)</f>
        <v/>
      </c>
      <c r="H256" s="529" t="str">
        <f>IF($A256="","",[7]Project_Register!$P21)</f>
        <v/>
      </c>
      <c r="I256" s="529" t="str">
        <f>IFERROR(IF($A256="","",[7]Project_Register!$Q21),"")</f>
        <v/>
      </c>
      <c r="J256" s="339" t="str">
        <f>IF($A256="","",[7]Project_Register!$AA21)</f>
        <v/>
      </c>
      <c r="K256" s="339" t="str">
        <f>IF($A256="","",[7]Project_Register!$X21)</f>
        <v/>
      </c>
      <c r="L256" s="339" t="str">
        <f>IF($A256="","",[7]Project_Register!$Z21)</f>
        <v/>
      </c>
      <c r="M256" s="339" t="str">
        <f>IF($A256="","",[7]Project_Register!$AD21)</f>
        <v/>
      </c>
      <c r="N256" s="339" t="str">
        <f>IF($A256="","",[7]Project_Register!$AE21)</f>
        <v/>
      </c>
      <c r="O256" s="339" t="str">
        <f>IF($A256="","",[7]Project_Register!$AL21)</f>
        <v/>
      </c>
      <c r="P256" s="339" t="str">
        <f>IFERROR(IF($A256="","",[7]Project_Register!$AM21),"")</f>
        <v/>
      </c>
    </row>
    <row r="257" spans="1:16">
      <c r="A257" s="339" t="str">
        <f>IF([7]Project_Register!$A22="","",[7]Project_Register!$A22)</f>
        <v/>
      </c>
      <c r="B257" s="339" t="str">
        <f>IF($A257="","",[7]Project_Register!$B22)</f>
        <v/>
      </c>
      <c r="C257" s="339" t="str">
        <f>IF($A257="","",[7]Project_Register!$G22)</f>
        <v/>
      </c>
      <c r="D257" s="339" t="str">
        <f>IF($A257="","",[7]Project_Register!$E22)</f>
        <v/>
      </c>
      <c r="E257" s="339" t="str">
        <f>IF($A257="","",[7]Project_Register!$K22)</f>
        <v/>
      </c>
      <c r="F257" s="339" t="str">
        <f>IF($A257="","",[7]Project_Register!$M22)</f>
        <v/>
      </c>
      <c r="G257" s="339" t="str">
        <f>IF($A257="","",[7]Project_Register!$N22)</f>
        <v/>
      </c>
      <c r="H257" s="529" t="str">
        <f>IF($A257="","",[7]Project_Register!$P22)</f>
        <v/>
      </c>
      <c r="I257" s="529" t="str">
        <f>IFERROR(IF($A257="","",[7]Project_Register!$Q22),"")</f>
        <v/>
      </c>
      <c r="J257" s="339" t="str">
        <f>IF($A257="","",[7]Project_Register!$AA22)</f>
        <v/>
      </c>
      <c r="K257" s="339" t="str">
        <f>IF($A257="","",[7]Project_Register!$X22)</f>
        <v/>
      </c>
      <c r="L257" s="339" t="str">
        <f>IF($A257="","",[7]Project_Register!$Z22)</f>
        <v/>
      </c>
      <c r="M257" s="339" t="str">
        <f>IF($A257="","",[7]Project_Register!$AD22)</f>
        <v/>
      </c>
      <c r="N257" s="339" t="str">
        <f>IF($A257="","",[7]Project_Register!$AE22)</f>
        <v/>
      </c>
      <c r="O257" s="339" t="str">
        <f>IF($A257="","",[7]Project_Register!$AL22)</f>
        <v/>
      </c>
      <c r="P257" s="339" t="str">
        <f>IFERROR(IF($A257="","",[7]Project_Register!$AM22),"")</f>
        <v/>
      </c>
    </row>
    <row r="258" spans="1:16">
      <c r="A258" s="339" t="str">
        <f>IF([7]Project_Register!$A23="","",[7]Project_Register!$A23)</f>
        <v/>
      </c>
      <c r="B258" s="339" t="str">
        <f>IF($A258="","",[7]Project_Register!$B23)</f>
        <v/>
      </c>
      <c r="C258" s="339" t="str">
        <f>IF($A258="","",[7]Project_Register!$G23)</f>
        <v/>
      </c>
      <c r="D258" s="339" t="str">
        <f>IF($A258="","",[7]Project_Register!$E23)</f>
        <v/>
      </c>
      <c r="E258" s="339" t="str">
        <f>IF($A258="","",[7]Project_Register!$K23)</f>
        <v/>
      </c>
      <c r="F258" s="339" t="str">
        <f>IF($A258="","",[7]Project_Register!$M23)</f>
        <v/>
      </c>
      <c r="G258" s="339" t="str">
        <f>IF($A258="","",[7]Project_Register!$N23)</f>
        <v/>
      </c>
      <c r="H258" s="529" t="str">
        <f>IF($A258="","",[7]Project_Register!$P23)</f>
        <v/>
      </c>
      <c r="I258" s="529" t="str">
        <f>IFERROR(IF($A258="","",[7]Project_Register!$Q23),"")</f>
        <v/>
      </c>
      <c r="J258" s="339" t="str">
        <f>IF($A258="","",[7]Project_Register!$AA23)</f>
        <v/>
      </c>
      <c r="K258" s="339" t="str">
        <f>IF($A258="","",[7]Project_Register!$X23)</f>
        <v/>
      </c>
      <c r="L258" s="339" t="str">
        <f>IF($A258="","",[7]Project_Register!$Z23)</f>
        <v/>
      </c>
      <c r="M258" s="339" t="str">
        <f>IF($A258="","",[7]Project_Register!$AD23)</f>
        <v/>
      </c>
      <c r="N258" s="339" t="str">
        <f>IF($A258="","",[7]Project_Register!$AE23)</f>
        <v/>
      </c>
      <c r="O258" s="339" t="str">
        <f>IF($A258="","",[7]Project_Register!$AL23)</f>
        <v/>
      </c>
      <c r="P258" s="339" t="str">
        <f>IFERROR(IF($A258="","",[7]Project_Register!$AM23),"")</f>
        <v/>
      </c>
    </row>
    <row r="259" spans="1:16">
      <c r="A259" s="339" t="str">
        <f>IF([7]Project_Register!$A24="","",[7]Project_Register!$A24)</f>
        <v/>
      </c>
      <c r="B259" s="339" t="str">
        <f>IF($A259="","",[7]Project_Register!$B24)</f>
        <v/>
      </c>
      <c r="C259" s="339" t="str">
        <f>IF($A259="","",[7]Project_Register!$G24)</f>
        <v/>
      </c>
      <c r="D259" s="339" t="str">
        <f>IF($A259="","",[7]Project_Register!$E24)</f>
        <v/>
      </c>
      <c r="E259" s="339" t="str">
        <f>IF($A259="","",[7]Project_Register!$K24)</f>
        <v/>
      </c>
      <c r="F259" s="339" t="str">
        <f>IF($A259="","",[7]Project_Register!$M24)</f>
        <v/>
      </c>
      <c r="G259" s="339" t="str">
        <f>IF($A259="","",[7]Project_Register!$N24)</f>
        <v/>
      </c>
      <c r="H259" s="529" t="str">
        <f>IF($A259="","",[7]Project_Register!$P24)</f>
        <v/>
      </c>
      <c r="I259" s="529" t="str">
        <f>IFERROR(IF($A259="","",[7]Project_Register!$Q24),"")</f>
        <v/>
      </c>
      <c r="J259" s="339" t="str">
        <f>IF($A259="","",[7]Project_Register!$AA24)</f>
        <v/>
      </c>
      <c r="K259" s="339" t="str">
        <f>IF($A259="","",[7]Project_Register!$X24)</f>
        <v/>
      </c>
      <c r="L259" s="339" t="str">
        <f>IF($A259="","",[7]Project_Register!$Z24)</f>
        <v/>
      </c>
      <c r="M259" s="339" t="str">
        <f>IF($A259="","",[7]Project_Register!$AD24)</f>
        <v/>
      </c>
      <c r="N259" s="339" t="str">
        <f>IF($A259="","",[7]Project_Register!$AE24)</f>
        <v/>
      </c>
      <c r="O259" s="339" t="str">
        <f>IF($A259="","",[7]Project_Register!$AL24)</f>
        <v/>
      </c>
      <c r="P259" s="339" t="str">
        <f>IFERROR(IF($A259="","",[7]Project_Register!$AM24),"")</f>
        <v/>
      </c>
    </row>
    <row r="260" spans="1:16">
      <c r="A260" s="339" t="str">
        <f>IF([7]Project_Register!$A25="","",[7]Project_Register!$A25)</f>
        <v/>
      </c>
      <c r="B260" s="339" t="str">
        <f>IF($A260="","",[7]Project_Register!$B25)</f>
        <v/>
      </c>
      <c r="C260" s="339" t="str">
        <f>IF($A260="","",[7]Project_Register!$G25)</f>
        <v/>
      </c>
      <c r="D260" s="339" t="str">
        <f>IF($A260="","",[7]Project_Register!$E25)</f>
        <v/>
      </c>
      <c r="E260" s="339" t="str">
        <f>IF($A260="","",[7]Project_Register!$K25)</f>
        <v/>
      </c>
      <c r="F260" s="339" t="str">
        <f>IF($A260="","",[7]Project_Register!$M25)</f>
        <v/>
      </c>
      <c r="G260" s="339" t="str">
        <f>IF($A260="","",[7]Project_Register!$N25)</f>
        <v/>
      </c>
      <c r="H260" s="529" t="str">
        <f>IF($A260="","",[7]Project_Register!$P25)</f>
        <v/>
      </c>
      <c r="I260" s="529" t="str">
        <f>IFERROR(IF($A260="","",[7]Project_Register!$Q25),"")</f>
        <v/>
      </c>
      <c r="J260" s="339" t="str">
        <f>IF($A260="","",[7]Project_Register!$AA25)</f>
        <v/>
      </c>
      <c r="K260" s="339" t="str">
        <f>IF($A260="","",[7]Project_Register!$X25)</f>
        <v/>
      </c>
      <c r="L260" s="339" t="str">
        <f>IF($A260="","",[7]Project_Register!$Z25)</f>
        <v/>
      </c>
      <c r="M260" s="339" t="str">
        <f>IF($A260="","",[7]Project_Register!$AD25)</f>
        <v/>
      </c>
      <c r="N260" s="339" t="str">
        <f>IF($A260="","",[7]Project_Register!$AE25)</f>
        <v/>
      </c>
      <c r="O260" s="339" t="str">
        <f>IF($A260="","",[7]Project_Register!$AL25)</f>
        <v/>
      </c>
      <c r="P260" s="339" t="str">
        <f>IFERROR(IF($A260="","",[7]Project_Register!$AM25),"")</f>
        <v/>
      </c>
    </row>
    <row r="261" spans="1:16">
      <c r="A261" s="339" t="str">
        <f>IF([7]Project_Register!$A26="","",[7]Project_Register!$A26)</f>
        <v/>
      </c>
      <c r="B261" s="339" t="str">
        <f>IF($A261="","",[7]Project_Register!$B26)</f>
        <v/>
      </c>
      <c r="C261" s="339" t="str">
        <f>IF($A261="","",[7]Project_Register!$G26)</f>
        <v/>
      </c>
      <c r="D261" s="339" t="str">
        <f>IF($A261="","",[7]Project_Register!$E26)</f>
        <v/>
      </c>
      <c r="E261" s="339" t="str">
        <f>IF($A261="","",[7]Project_Register!$K26)</f>
        <v/>
      </c>
      <c r="F261" s="339" t="str">
        <f>IF($A261="","",[7]Project_Register!$M26)</f>
        <v/>
      </c>
      <c r="G261" s="339" t="str">
        <f>IF($A261="","",[7]Project_Register!$N26)</f>
        <v/>
      </c>
      <c r="H261" s="529" t="str">
        <f>IF($A261="","",[7]Project_Register!$P26)</f>
        <v/>
      </c>
      <c r="I261" s="529" t="str">
        <f>IFERROR(IF($A261="","",[7]Project_Register!$Q26),"")</f>
        <v/>
      </c>
      <c r="J261" s="339" t="str">
        <f>IF($A261="","",[7]Project_Register!$AA26)</f>
        <v/>
      </c>
      <c r="K261" s="339" t="str">
        <f>IF($A261="","",[7]Project_Register!$X26)</f>
        <v/>
      </c>
      <c r="L261" s="339" t="str">
        <f>IF($A261="","",[7]Project_Register!$Z26)</f>
        <v/>
      </c>
      <c r="M261" s="339" t="str">
        <f>IF($A261="","",[7]Project_Register!$AD26)</f>
        <v/>
      </c>
      <c r="N261" s="339" t="str">
        <f>IF($A261="","",[7]Project_Register!$AE26)</f>
        <v/>
      </c>
      <c r="O261" s="339" t="str">
        <f>IF($A261="","",[7]Project_Register!$AL26)</f>
        <v/>
      </c>
      <c r="P261" s="339" t="str">
        <f>IFERROR(IF($A261="","",[7]Project_Register!$AM26),"")</f>
        <v/>
      </c>
    </row>
    <row r="262" spans="1:16">
      <c r="A262" s="339"/>
      <c r="B262" s="339"/>
      <c r="C262" s="339"/>
      <c r="D262" s="339"/>
      <c r="E262" s="339"/>
      <c r="F262" s="339"/>
      <c r="G262" s="339"/>
      <c r="H262" s="529"/>
      <c r="I262" s="529"/>
      <c r="J262" s="339"/>
      <c r="K262" s="339"/>
      <c r="L262" s="339"/>
      <c r="M262" s="339"/>
      <c r="N262" s="339"/>
      <c r="O262" s="339"/>
      <c r="P262" s="339"/>
    </row>
    <row r="263" spans="1:16">
      <c r="A263" s="339"/>
      <c r="B263" s="339"/>
      <c r="C263" s="339"/>
      <c r="D263" s="339"/>
      <c r="E263" s="339"/>
      <c r="F263" s="339"/>
      <c r="G263" s="339"/>
      <c r="H263" s="529"/>
      <c r="I263" s="529"/>
      <c r="J263" s="339"/>
      <c r="K263" s="339"/>
      <c r="L263" s="339"/>
      <c r="M263" s="339"/>
      <c r="N263" s="339"/>
      <c r="O263" s="339"/>
      <c r="P263" s="339"/>
    </row>
    <row r="264" spans="1:16">
      <c r="A264" s="339"/>
      <c r="B264" s="339"/>
      <c r="C264" s="339"/>
      <c r="D264" s="339"/>
      <c r="E264" s="339"/>
      <c r="F264" s="339"/>
      <c r="G264" s="339"/>
      <c r="H264" s="529"/>
      <c r="I264" s="529"/>
      <c r="J264" s="339"/>
      <c r="K264" s="339"/>
      <c r="L264" s="339"/>
      <c r="M264" s="339"/>
      <c r="N264" s="339"/>
      <c r="O264" s="339"/>
      <c r="P264" s="339"/>
    </row>
    <row r="265" spans="1:16">
      <c r="A265" s="339"/>
      <c r="B265" s="339"/>
      <c r="C265" s="339"/>
      <c r="D265" s="339"/>
      <c r="E265" s="339"/>
      <c r="F265" s="339"/>
      <c r="G265" s="339"/>
      <c r="H265" s="529"/>
      <c r="I265" s="529"/>
      <c r="J265" s="339"/>
      <c r="K265" s="339"/>
      <c r="L265" s="339"/>
      <c r="M265" s="339"/>
      <c r="N265" s="339"/>
      <c r="O265" s="339"/>
      <c r="P265" s="339"/>
    </row>
    <row r="266" spans="1:16">
      <c r="A266" s="339"/>
      <c r="B266" s="339"/>
      <c r="C266" s="339"/>
      <c r="D266" s="339"/>
      <c r="E266" s="339"/>
      <c r="F266" s="339"/>
      <c r="G266" s="339"/>
      <c r="H266" s="529"/>
      <c r="I266" s="529"/>
      <c r="J266" s="339"/>
      <c r="K266" s="339"/>
      <c r="L266" s="339"/>
      <c r="M266" s="339"/>
      <c r="N266" s="339"/>
      <c r="O266" s="339"/>
      <c r="P266" s="339"/>
    </row>
    <row r="267" spans="1:16">
      <c r="A267" s="339"/>
      <c r="B267" s="339"/>
      <c r="C267" s="339"/>
      <c r="D267" s="339"/>
      <c r="E267" s="339"/>
      <c r="F267" s="339"/>
      <c r="G267" s="339"/>
      <c r="H267" s="529"/>
      <c r="I267" s="529"/>
      <c r="J267" s="339"/>
      <c r="K267" s="339"/>
      <c r="L267" s="339"/>
      <c r="M267" s="339"/>
      <c r="N267" s="339"/>
      <c r="O267" s="339"/>
      <c r="P267" s="339"/>
    </row>
    <row r="268" spans="1:16">
      <c r="A268" s="339"/>
      <c r="B268" s="339"/>
      <c r="C268" s="339"/>
      <c r="D268" s="339"/>
      <c r="E268" s="339"/>
      <c r="F268" s="339"/>
      <c r="G268" s="339"/>
      <c r="H268" s="529"/>
      <c r="I268" s="529"/>
      <c r="J268" s="339"/>
      <c r="K268" s="339"/>
      <c r="L268" s="339"/>
      <c r="M268" s="339"/>
      <c r="N268" s="339"/>
      <c r="O268" s="339"/>
      <c r="P268" s="339"/>
    </row>
    <row r="269" spans="1:16">
      <c r="A269" s="339"/>
      <c r="B269" s="339"/>
      <c r="C269" s="339"/>
      <c r="D269" s="339"/>
      <c r="E269" s="339"/>
      <c r="F269" s="339"/>
      <c r="G269" s="339"/>
      <c r="H269" s="529"/>
      <c r="I269" s="529"/>
      <c r="J269" s="339"/>
      <c r="K269" s="339"/>
      <c r="L269" s="339"/>
      <c r="M269" s="339"/>
      <c r="N269" s="339"/>
      <c r="O269" s="339"/>
      <c r="P269" s="339"/>
    </row>
    <row r="270" spans="1:16">
      <c r="A270" s="339"/>
      <c r="B270" s="339"/>
      <c r="C270" s="339"/>
      <c r="D270" s="339"/>
      <c r="E270" s="339"/>
      <c r="F270" s="339"/>
      <c r="G270" s="339"/>
      <c r="H270" s="529"/>
      <c r="I270" s="529"/>
      <c r="J270" s="339"/>
      <c r="K270" s="339"/>
      <c r="L270" s="339"/>
      <c r="M270" s="339"/>
      <c r="N270" s="339"/>
      <c r="O270" s="339"/>
      <c r="P270" s="339"/>
    </row>
    <row r="271" spans="1:16">
      <c r="A271" s="339"/>
      <c r="B271" s="339"/>
      <c r="C271" s="339"/>
      <c r="D271" s="339"/>
      <c r="E271" s="339"/>
      <c r="F271" s="339"/>
      <c r="G271" s="339"/>
      <c r="H271" s="529"/>
      <c r="I271" s="529"/>
      <c r="J271" s="339"/>
      <c r="K271" s="339"/>
      <c r="L271" s="339"/>
      <c r="M271" s="339"/>
      <c r="N271" s="339"/>
      <c r="O271" s="339"/>
      <c r="P271" s="339"/>
    </row>
    <row r="272" spans="1:16">
      <c r="A272" s="339"/>
      <c r="B272" s="339"/>
      <c r="C272" s="339"/>
      <c r="D272" s="339"/>
      <c r="E272" s="339"/>
      <c r="F272" s="339"/>
      <c r="G272" s="339"/>
      <c r="H272" s="529"/>
      <c r="I272" s="529"/>
      <c r="J272" s="339"/>
      <c r="K272" s="339"/>
      <c r="L272" s="339"/>
      <c r="M272" s="339"/>
      <c r="N272" s="339"/>
      <c r="O272" s="339"/>
      <c r="P272" s="339"/>
    </row>
    <row r="273" spans="1:16">
      <c r="A273" s="339"/>
      <c r="B273" s="339"/>
      <c r="C273" s="339"/>
      <c r="D273" s="339"/>
      <c r="E273" s="339"/>
      <c r="F273" s="339"/>
      <c r="G273" s="339"/>
      <c r="H273" s="529"/>
      <c r="I273" s="529"/>
      <c r="J273" s="339"/>
      <c r="K273" s="339"/>
      <c r="L273" s="339"/>
      <c r="M273" s="339"/>
      <c r="N273" s="339"/>
      <c r="O273" s="339"/>
      <c r="P273" s="339"/>
    </row>
    <row r="274" spans="1:16">
      <c r="A274" s="339"/>
      <c r="B274" s="339"/>
      <c r="C274" s="339"/>
      <c r="D274" s="339"/>
      <c r="E274" s="339"/>
      <c r="F274" s="339"/>
      <c r="G274" s="339"/>
      <c r="H274" s="529"/>
      <c r="I274" s="529"/>
      <c r="J274" s="339"/>
      <c r="K274" s="339"/>
      <c r="L274" s="339"/>
      <c r="M274" s="339"/>
      <c r="N274" s="339"/>
      <c r="O274" s="339"/>
      <c r="P274" s="339"/>
    </row>
    <row r="275" spans="1:16">
      <c r="A275" s="339"/>
      <c r="B275" s="339"/>
      <c r="C275" s="339"/>
      <c r="D275" s="339"/>
      <c r="E275" s="339"/>
      <c r="F275" s="339"/>
      <c r="G275" s="339"/>
      <c r="H275" s="529"/>
      <c r="I275" s="529"/>
      <c r="J275" s="339"/>
      <c r="K275" s="339"/>
      <c r="L275" s="339"/>
      <c r="M275" s="339"/>
      <c r="N275" s="339"/>
      <c r="O275" s="339"/>
      <c r="P275" s="339"/>
    </row>
    <row r="276" spans="1:16">
      <c r="A276" s="339"/>
      <c r="B276" s="339"/>
      <c r="C276" s="339"/>
      <c r="D276" s="339"/>
      <c r="E276" s="339"/>
      <c r="F276" s="339"/>
      <c r="G276" s="339"/>
      <c r="H276" s="529"/>
      <c r="I276" s="529"/>
      <c r="J276" s="339"/>
      <c r="K276" s="339"/>
      <c r="L276" s="339"/>
      <c r="M276" s="339"/>
      <c r="N276" s="339"/>
      <c r="O276" s="339"/>
      <c r="P276" s="339"/>
    </row>
    <row r="277" spans="1:16">
      <c r="A277" s="339"/>
      <c r="B277" s="339"/>
      <c r="C277" s="339"/>
      <c r="D277" s="339"/>
      <c r="E277" s="339"/>
      <c r="F277" s="339"/>
      <c r="G277" s="339"/>
      <c r="H277" s="529"/>
      <c r="I277" s="529"/>
      <c r="J277" s="339"/>
      <c r="K277" s="339"/>
      <c r="L277" s="339"/>
      <c r="M277" s="339"/>
      <c r="N277" s="339"/>
      <c r="O277" s="339"/>
      <c r="P277" s="339"/>
    </row>
    <row r="278" spans="1:16">
      <c r="A278" s="339"/>
      <c r="B278" s="339"/>
      <c r="C278" s="339"/>
      <c r="D278" s="339"/>
      <c r="E278" s="339"/>
      <c r="F278" s="339"/>
      <c r="G278" s="339"/>
      <c r="H278" s="529"/>
      <c r="I278" s="529"/>
      <c r="J278" s="339"/>
      <c r="K278" s="339"/>
      <c r="L278" s="339"/>
      <c r="M278" s="339"/>
      <c r="N278" s="339"/>
      <c r="O278" s="339"/>
      <c r="P278" s="339"/>
    </row>
    <row r="279" spans="1:16">
      <c r="A279" s="339"/>
      <c r="B279" s="339"/>
      <c r="C279" s="339"/>
      <c r="D279" s="339"/>
      <c r="E279" s="339"/>
      <c r="F279" s="339"/>
      <c r="G279" s="339"/>
      <c r="H279" s="529"/>
      <c r="I279" s="529"/>
      <c r="J279" s="339"/>
      <c r="K279" s="339"/>
      <c r="L279" s="339"/>
      <c r="M279" s="339"/>
      <c r="N279" s="339"/>
      <c r="O279" s="339"/>
      <c r="P279" s="339"/>
    </row>
    <row r="280" spans="1:16">
      <c r="A280" s="339"/>
      <c r="B280" s="339"/>
      <c r="C280" s="339"/>
      <c r="D280" s="339"/>
      <c r="E280" s="339"/>
      <c r="F280" s="339"/>
      <c r="G280" s="339"/>
      <c r="H280" s="529"/>
      <c r="I280" s="529"/>
      <c r="J280" s="339"/>
      <c r="K280" s="339"/>
      <c r="L280" s="339"/>
      <c r="M280" s="339"/>
      <c r="N280" s="339"/>
      <c r="O280" s="339"/>
      <c r="P280" s="339"/>
    </row>
    <row r="281" spans="1:16">
      <c r="A281" s="339"/>
      <c r="B281" s="339"/>
      <c r="C281" s="339"/>
      <c r="D281" s="339"/>
      <c r="E281" s="339"/>
      <c r="F281" s="339"/>
      <c r="G281" s="339"/>
      <c r="H281" s="529"/>
      <c r="I281" s="529"/>
      <c r="J281" s="339"/>
      <c r="K281" s="339"/>
      <c r="L281" s="339"/>
      <c r="M281" s="339"/>
      <c r="N281" s="339"/>
      <c r="O281" s="339"/>
      <c r="P281" s="339"/>
    </row>
    <row r="282" spans="1:16">
      <c r="A282" s="339"/>
      <c r="B282" s="339"/>
      <c r="C282" s="339"/>
      <c r="D282" s="339"/>
      <c r="E282" s="339"/>
      <c r="F282" s="339"/>
      <c r="G282" s="339"/>
      <c r="H282" s="529"/>
      <c r="I282" s="529"/>
      <c r="J282" s="339"/>
      <c r="K282" s="339"/>
      <c r="L282" s="339"/>
      <c r="M282" s="339"/>
      <c r="N282" s="339"/>
      <c r="O282" s="339"/>
      <c r="P282" s="339"/>
    </row>
    <row r="283" spans="1:16">
      <c r="A283" s="339"/>
      <c r="B283" s="339"/>
      <c r="C283" s="339"/>
      <c r="D283" s="339"/>
      <c r="E283" s="339"/>
      <c r="F283" s="339"/>
      <c r="G283" s="339"/>
      <c r="H283" s="529"/>
      <c r="I283" s="529"/>
      <c r="J283" s="339"/>
      <c r="K283" s="339"/>
      <c r="L283" s="339"/>
      <c r="M283" s="339"/>
      <c r="N283" s="339"/>
      <c r="O283" s="339"/>
      <c r="P283" s="339"/>
    </row>
    <row r="284" spans="1:16">
      <c r="A284" s="339"/>
      <c r="B284" s="339"/>
      <c r="C284" s="339"/>
      <c r="D284" s="339"/>
      <c r="E284" s="339"/>
      <c r="F284" s="339"/>
      <c r="G284" s="339"/>
      <c r="H284" s="529"/>
      <c r="I284" s="529"/>
      <c r="J284" s="339"/>
      <c r="K284" s="339"/>
      <c r="L284" s="339"/>
      <c r="M284" s="339"/>
      <c r="N284" s="339"/>
      <c r="O284" s="339"/>
      <c r="P284" s="339"/>
    </row>
    <row r="285" spans="1:16">
      <c r="A285" s="339"/>
      <c r="B285" s="339"/>
      <c r="C285" s="339"/>
      <c r="D285" s="339"/>
      <c r="E285" s="339"/>
      <c r="F285" s="339"/>
      <c r="G285" s="339"/>
      <c r="H285" s="529"/>
      <c r="I285" s="529"/>
      <c r="J285" s="339"/>
      <c r="K285" s="339"/>
      <c r="L285" s="339"/>
      <c r="M285" s="339"/>
      <c r="N285" s="339"/>
      <c r="O285" s="339"/>
      <c r="P285" s="339"/>
    </row>
    <row r="286" spans="1:16">
      <c r="A286" s="339"/>
      <c r="B286" s="339"/>
      <c r="C286" s="339"/>
      <c r="D286" s="339"/>
      <c r="E286" s="339"/>
      <c r="F286" s="339"/>
      <c r="G286" s="339"/>
      <c r="H286" s="529"/>
      <c r="I286" s="529"/>
      <c r="J286" s="339"/>
      <c r="K286" s="339"/>
      <c r="L286" s="339"/>
      <c r="M286" s="339"/>
      <c r="N286" s="339"/>
      <c r="O286" s="339"/>
      <c r="P286" s="339"/>
    </row>
    <row r="287" spans="1:16">
      <c r="A287" s="339"/>
      <c r="B287" s="339"/>
      <c r="C287" s="339"/>
      <c r="D287" s="339"/>
      <c r="E287" s="339"/>
      <c r="F287" s="339"/>
      <c r="G287" s="339"/>
      <c r="H287" s="529"/>
      <c r="I287" s="529"/>
      <c r="J287" s="339"/>
      <c r="K287" s="339"/>
      <c r="L287" s="339"/>
      <c r="M287" s="339"/>
      <c r="N287" s="339"/>
      <c r="O287" s="339"/>
      <c r="P287" s="339"/>
    </row>
    <row r="288" spans="1:16">
      <c r="A288" s="339"/>
      <c r="B288" s="339"/>
      <c r="C288" s="339"/>
      <c r="D288" s="339"/>
      <c r="E288" s="339"/>
      <c r="F288" s="339"/>
      <c r="G288" s="339"/>
      <c r="H288" s="529"/>
      <c r="I288" s="529"/>
      <c r="J288" s="339"/>
      <c r="K288" s="339"/>
      <c r="L288" s="339"/>
      <c r="M288" s="339"/>
      <c r="N288" s="339"/>
      <c r="O288" s="339"/>
      <c r="P288" s="339"/>
    </row>
    <row r="289" spans="1:16">
      <c r="A289" s="339"/>
      <c r="B289" s="339"/>
      <c r="C289" s="339"/>
      <c r="D289" s="339"/>
      <c r="E289" s="339"/>
      <c r="F289" s="339"/>
      <c r="G289" s="339"/>
      <c r="H289" s="529"/>
      <c r="I289" s="529"/>
      <c r="J289" s="339"/>
      <c r="K289" s="339"/>
      <c r="L289" s="339"/>
      <c r="M289" s="339"/>
      <c r="N289" s="339"/>
      <c r="O289" s="339"/>
      <c r="P289" s="339"/>
    </row>
    <row r="290" spans="1:16">
      <c r="A290" s="339"/>
      <c r="B290" s="339"/>
      <c r="C290" s="339"/>
      <c r="D290" s="339"/>
      <c r="E290" s="339"/>
      <c r="F290" s="339"/>
      <c r="G290" s="339"/>
      <c r="H290" s="529"/>
      <c r="I290" s="529"/>
      <c r="J290" s="339"/>
      <c r="K290" s="339"/>
      <c r="L290" s="339"/>
      <c r="M290" s="339"/>
      <c r="N290" s="339"/>
      <c r="O290" s="339"/>
      <c r="P290" s="339"/>
    </row>
    <row r="291" spans="1:16">
      <c r="A291" s="339"/>
      <c r="B291" s="339"/>
      <c r="C291" s="339"/>
      <c r="D291" s="339"/>
      <c r="E291" s="339"/>
      <c r="F291" s="339"/>
      <c r="G291" s="339"/>
      <c r="H291" s="529"/>
      <c r="I291" s="529"/>
      <c r="J291" s="339"/>
      <c r="K291" s="339"/>
      <c r="L291" s="339"/>
      <c r="M291" s="339"/>
      <c r="N291" s="339"/>
      <c r="O291" s="339"/>
      <c r="P291" s="339"/>
    </row>
    <row r="292" spans="1:16">
      <c r="A292" s="339"/>
      <c r="B292" s="339"/>
      <c r="C292" s="339"/>
      <c r="D292" s="339"/>
      <c r="E292" s="339"/>
      <c r="F292" s="339"/>
      <c r="G292" s="339"/>
      <c r="H292" s="529"/>
      <c r="I292" s="529"/>
      <c r="J292" s="339"/>
      <c r="K292" s="339"/>
      <c r="L292" s="339"/>
      <c r="M292" s="339"/>
      <c r="N292" s="339"/>
      <c r="O292" s="339"/>
      <c r="P292" s="339"/>
    </row>
    <row r="293" spans="1:16">
      <c r="A293" s="339"/>
      <c r="B293" s="339"/>
      <c r="C293" s="339"/>
      <c r="D293" s="339"/>
      <c r="E293" s="339"/>
      <c r="F293" s="339"/>
      <c r="G293" s="339"/>
      <c r="H293" s="529"/>
      <c r="I293" s="529"/>
      <c r="J293" s="339"/>
      <c r="K293" s="339"/>
      <c r="L293" s="339"/>
      <c r="M293" s="339"/>
      <c r="N293" s="339"/>
      <c r="O293" s="339"/>
      <c r="P293" s="339"/>
    </row>
    <row r="294" spans="1:16">
      <c r="A294" s="339"/>
      <c r="B294" s="339"/>
      <c r="C294" s="339"/>
      <c r="D294" s="339"/>
      <c r="E294" s="339"/>
      <c r="F294" s="339"/>
      <c r="G294" s="339"/>
      <c r="H294" s="529"/>
      <c r="I294" s="529"/>
      <c r="J294" s="339"/>
      <c r="K294" s="339"/>
      <c r="L294" s="339"/>
      <c r="M294" s="339"/>
      <c r="N294" s="339"/>
      <c r="O294" s="339"/>
      <c r="P294" s="339"/>
    </row>
    <row r="295" spans="1:16">
      <c r="A295" s="339"/>
      <c r="B295" s="339"/>
      <c r="C295" s="339"/>
      <c r="D295" s="339"/>
      <c r="E295" s="339"/>
      <c r="F295" s="339"/>
      <c r="G295" s="339"/>
      <c r="H295" s="529"/>
      <c r="I295" s="529"/>
      <c r="J295" s="339"/>
      <c r="K295" s="339"/>
      <c r="L295" s="339"/>
      <c r="M295" s="339"/>
      <c r="N295" s="339"/>
      <c r="O295" s="339"/>
      <c r="P295" s="339"/>
    </row>
    <row r="296" spans="1:16">
      <c r="A296" s="339"/>
      <c r="B296" s="339"/>
      <c r="C296" s="339"/>
      <c r="D296" s="339"/>
      <c r="E296" s="339"/>
      <c r="F296" s="339"/>
      <c r="G296" s="339"/>
      <c r="H296" s="529"/>
      <c r="I296" s="529"/>
      <c r="J296" s="339"/>
      <c r="K296" s="339"/>
      <c r="L296" s="339"/>
      <c r="M296" s="339"/>
      <c r="N296" s="339"/>
      <c r="O296" s="339"/>
      <c r="P296" s="339"/>
    </row>
    <row r="297" spans="1:16">
      <c r="A297" s="339"/>
      <c r="B297" s="339"/>
      <c r="C297" s="339"/>
      <c r="D297" s="339"/>
      <c r="E297" s="339"/>
      <c r="F297" s="339"/>
      <c r="G297" s="339"/>
      <c r="H297" s="529"/>
      <c r="I297" s="529"/>
      <c r="J297" s="339"/>
      <c r="K297" s="339"/>
      <c r="L297" s="339"/>
      <c r="M297" s="339"/>
      <c r="N297" s="339"/>
      <c r="O297" s="339"/>
      <c r="P297" s="339"/>
    </row>
    <row r="298" spans="1:16">
      <c r="A298" s="339"/>
      <c r="B298" s="339"/>
      <c r="C298" s="339"/>
      <c r="D298" s="339"/>
      <c r="E298" s="339"/>
      <c r="F298" s="339"/>
      <c r="G298" s="339"/>
      <c r="H298" s="529"/>
      <c r="I298" s="529"/>
      <c r="J298" s="339"/>
      <c r="K298" s="339"/>
      <c r="L298" s="339"/>
      <c r="M298" s="339"/>
      <c r="N298" s="339"/>
      <c r="O298" s="339"/>
      <c r="P298" s="339"/>
    </row>
    <row r="299" spans="1:16">
      <c r="A299" s="339"/>
      <c r="B299" s="339"/>
      <c r="C299" s="339"/>
      <c r="D299" s="339"/>
      <c r="E299" s="339"/>
      <c r="F299" s="339"/>
      <c r="G299" s="339"/>
      <c r="H299" s="529"/>
      <c r="I299" s="529"/>
      <c r="J299" s="339"/>
      <c r="K299" s="339"/>
      <c r="L299" s="339"/>
      <c r="M299" s="339"/>
      <c r="N299" s="339"/>
      <c r="O299" s="339"/>
      <c r="P299" s="339"/>
    </row>
    <row r="300" spans="1:16">
      <c r="A300" s="339"/>
      <c r="B300" s="339"/>
      <c r="C300" s="339"/>
      <c r="D300" s="339"/>
      <c r="E300" s="339"/>
      <c r="F300" s="339"/>
      <c r="G300" s="339"/>
      <c r="H300" s="529"/>
      <c r="I300" s="529"/>
      <c r="J300" s="339"/>
      <c r="K300" s="339"/>
      <c r="L300" s="339"/>
      <c r="M300" s="339"/>
      <c r="N300" s="339"/>
      <c r="O300" s="339"/>
      <c r="P300" s="339"/>
    </row>
    <row r="301" spans="1:16">
      <c r="A301" s="339"/>
      <c r="B301" s="339"/>
      <c r="C301" s="339"/>
      <c r="D301" s="339"/>
      <c r="E301" s="339"/>
      <c r="F301" s="339"/>
      <c r="G301" s="339"/>
      <c r="H301" s="529"/>
      <c r="I301" s="529"/>
      <c r="J301" s="339"/>
      <c r="K301" s="339"/>
      <c r="L301" s="339"/>
      <c r="M301" s="339"/>
      <c r="N301" s="339"/>
      <c r="O301" s="339"/>
      <c r="P301" s="339"/>
    </row>
    <row r="302" spans="1:16">
      <c r="A302" s="339"/>
      <c r="B302" s="339"/>
      <c r="C302" s="339"/>
      <c r="D302" s="339"/>
      <c r="E302" s="339"/>
      <c r="F302" s="339"/>
      <c r="G302" s="339"/>
      <c r="H302" s="529"/>
      <c r="I302" s="529"/>
      <c r="J302" s="339"/>
      <c r="K302" s="339"/>
      <c r="L302" s="339"/>
      <c r="M302" s="339"/>
      <c r="N302" s="339"/>
      <c r="O302" s="339"/>
      <c r="P302" s="339"/>
    </row>
    <row r="303" spans="1:16">
      <c r="A303" s="339"/>
      <c r="B303" s="339"/>
      <c r="C303" s="339"/>
      <c r="D303" s="339"/>
      <c r="E303" s="339"/>
      <c r="F303" s="339"/>
      <c r="G303" s="339"/>
      <c r="H303" s="529"/>
      <c r="I303" s="529"/>
      <c r="J303" s="339"/>
      <c r="K303" s="339"/>
      <c r="L303" s="339"/>
      <c r="M303" s="339"/>
      <c r="N303" s="339"/>
      <c r="O303" s="339"/>
      <c r="P303" s="339"/>
    </row>
    <row r="304" spans="1:16">
      <c r="A304" s="339"/>
      <c r="B304" s="339"/>
      <c r="C304" s="339"/>
      <c r="D304" s="339"/>
      <c r="E304" s="339"/>
      <c r="F304" s="339"/>
      <c r="G304" s="339"/>
      <c r="H304" s="529"/>
      <c r="I304" s="529"/>
      <c r="J304" s="339"/>
      <c r="K304" s="339"/>
      <c r="L304" s="339"/>
      <c r="M304" s="339"/>
      <c r="N304" s="339"/>
      <c r="O304" s="339"/>
      <c r="P304" s="339"/>
    </row>
    <row r="305" spans="1:16">
      <c r="A305" s="339"/>
      <c r="B305" s="339"/>
      <c r="C305" s="339"/>
      <c r="D305" s="339"/>
      <c r="E305" s="339"/>
      <c r="F305" s="339"/>
      <c r="G305" s="339"/>
      <c r="H305" s="529"/>
      <c r="I305" s="529"/>
      <c r="J305" s="339"/>
      <c r="K305" s="339"/>
      <c r="L305" s="339"/>
      <c r="M305" s="339"/>
      <c r="N305" s="339"/>
      <c r="O305" s="339"/>
      <c r="P305" s="339"/>
    </row>
    <row r="306" spans="1:16">
      <c r="A306" s="339"/>
      <c r="B306" s="339"/>
      <c r="C306" s="339"/>
      <c r="D306" s="339"/>
      <c r="E306" s="339"/>
      <c r="F306" s="339"/>
      <c r="G306" s="339"/>
      <c r="H306" s="529"/>
      <c r="I306" s="529"/>
      <c r="J306" s="339"/>
      <c r="K306" s="339"/>
      <c r="L306" s="339"/>
      <c r="M306" s="339"/>
      <c r="N306" s="339"/>
      <c r="O306" s="339"/>
      <c r="P306" s="339"/>
    </row>
    <row r="307" spans="1:16">
      <c r="A307" s="339"/>
      <c r="B307" s="339"/>
      <c r="C307" s="339"/>
      <c r="D307" s="339"/>
      <c r="E307" s="339"/>
      <c r="F307" s="339"/>
      <c r="G307" s="339"/>
      <c r="H307" s="529"/>
      <c r="I307" s="529"/>
      <c r="J307" s="339"/>
      <c r="K307" s="339"/>
      <c r="L307" s="339"/>
      <c r="M307" s="339"/>
      <c r="N307" s="339"/>
      <c r="O307" s="339"/>
      <c r="P307" s="339"/>
    </row>
    <row r="308" spans="1:16">
      <c r="A308" s="339"/>
      <c r="B308" s="339"/>
      <c r="C308" s="339"/>
      <c r="D308" s="339"/>
      <c r="E308" s="339"/>
      <c r="F308" s="339"/>
      <c r="G308" s="339"/>
      <c r="H308" s="529"/>
      <c r="I308" s="529"/>
      <c r="J308" s="339"/>
      <c r="K308" s="339"/>
      <c r="L308" s="339"/>
      <c r="M308" s="339"/>
      <c r="N308" s="339"/>
      <c r="O308" s="339"/>
      <c r="P308" s="339"/>
    </row>
    <row r="309" spans="1:16">
      <c r="A309" s="339"/>
      <c r="B309" s="339"/>
      <c r="C309" s="339"/>
      <c r="D309" s="339"/>
      <c r="E309" s="339"/>
      <c r="F309" s="339"/>
      <c r="G309" s="339"/>
      <c r="H309" s="529"/>
      <c r="I309" s="529"/>
      <c r="J309" s="339"/>
      <c r="K309" s="339"/>
      <c r="L309" s="339"/>
      <c r="M309" s="339"/>
      <c r="N309" s="339"/>
      <c r="O309" s="339"/>
      <c r="P309" s="339"/>
    </row>
    <row r="310" spans="1:16">
      <c r="A310" s="339"/>
      <c r="B310" s="339"/>
      <c r="C310" s="339"/>
      <c r="D310" s="339"/>
      <c r="E310" s="339"/>
      <c r="F310" s="339"/>
      <c r="G310" s="339"/>
      <c r="H310" s="529"/>
      <c r="I310" s="529"/>
      <c r="J310" s="339"/>
      <c r="K310" s="339"/>
      <c r="L310" s="339"/>
      <c r="M310" s="339"/>
      <c r="N310" s="339"/>
      <c r="O310" s="339"/>
      <c r="P310" s="339"/>
    </row>
    <row r="311" spans="1:16">
      <c r="A311" s="339"/>
      <c r="B311" s="339"/>
      <c r="C311" s="339"/>
      <c r="D311" s="339"/>
      <c r="E311" s="339"/>
      <c r="F311" s="339"/>
      <c r="G311" s="339"/>
      <c r="H311" s="529"/>
      <c r="I311" s="529"/>
      <c r="J311" s="339"/>
      <c r="K311" s="339"/>
      <c r="L311" s="339"/>
      <c r="M311" s="339"/>
      <c r="N311" s="339"/>
      <c r="O311" s="339"/>
      <c r="P311" s="339"/>
    </row>
    <row r="312" spans="1:16">
      <c r="A312" s="339"/>
      <c r="B312" s="339"/>
      <c r="C312" s="339"/>
      <c r="D312" s="339"/>
      <c r="E312" s="339"/>
      <c r="F312" s="339"/>
      <c r="G312" s="339"/>
      <c r="H312" s="529"/>
      <c r="I312" s="529"/>
      <c r="J312" s="339"/>
      <c r="K312" s="339"/>
      <c r="L312" s="339"/>
      <c r="M312" s="339"/>
      <c r="N312" s="339"/>
      <c r="O312" s="339"/>
      <c r="P312" s="339"/>
    </row>
    <row r="313" spans="1:16">
      <c r="A313" s="339"/>
      <c r="B313" s="339"/>
      <c r="C313" s="339"/>
      <c r="D313" s="339"/>
      <c r="E313" s="339"/>
      <c r="F313" s="339"/>
      <c r="G313" s="339"/>
      <c r="H313" s="529"/>
      <c r="I313" s="529"/>
      <c r="J313" s="339"/>
      <c r="K313" s="339"/>
      <c r="L313" s="339"/>
      <c r="M313" s="339"/>
      <c r="N313" s="339"/>
      <c r="O313" s="339"/>
      <c r="P313" s="339"/>
    </row>
    <row r="314" spans="1:16">
      <c r="A314" s="339"/>
      <c r="B314" s="339"/>
      <c r="C314" s="339"/>
      <c r="D314" s="339"/>
      <c r="E314" s="339"/>
      <c r="F314" s="339"/>
      <c r="G314" s="339"/>
      <c r="H314" s="529"/>
      <c r="I314" s="529"/>
      <c r="J314" s="339"/>
      <c r="K314" s="339"/>
      <c r="L314" s="339"/>
      <c r="M314" s="339"/>
      <c r="N314" s="339"/>
      <c r="O314" s="339"/>
      <c r="P314" s="339"/>
    </row>
    <row r="315" spans="1:16">
      <c r="A315" s="339"/>
      <c r="B315" s="339"/>
      <c r="C315" s="339"/>
      <c r="D315" s="339"/>
      <c r="E315" s="339"/>
      <c r="F315" s="339"/>
      <c r="G315" s="339"/>
      <c r="H315" s="529"/>
      <c r="I315" s="529"/>
      <c r="J315" s="339"/>
      <c r="K315" s="339"/>
      <c r="L315" s="339"/>
      <c r="M315" s="339"/>
      <c r="N315" s="339"/>
      <c r="O315" s="339"/>
      <c r="P315" s="339"/>
    </row>
    <row r="316" spans="1:16">
      <c r="A316" s="339"/>
      <c r="B316" s="339"/>
      <c r="C316" s="339"/>
      <c r="D316" s="339"/>
      <c r="E316" s="339"/>
      <c r="F316" s="339"/>
      <c r="G316" s="339"/>
      <c r="H316" s="529"/>
      <c r="I316" s="529"/>
      <c r="J316" s="339"/>
      <c r="K316" s="339"/>
      <c r="L316" s="339"/>
      <c r="M316" s="339"/>
      <c r="N316" s="339"/>
      <c r="O316" s="339"/>
      <c r="P316" s="339"/>
    </row>
    <row r="317" spans="1:16">
      <c r="A317" s="339"/>
      <c r="B317" s="339"/>
      <c r="C317" s="339"/>
      <c r="D317" s="339"/>
      <c r="E317" s="339"/>
      <c r="F317" s="339"/>
      <c r="G317" s="339"/>
      <c r="H317" s="529"/>
      <c r="I317" s="529"/>
      <c r="J317" s="339"/>
      <c r="K317" s="339"/>
      <c r="L317" s="339"/>
      <c r="M317" s="339"/>
      <c r="N317" s="339"/>
      <c r="O317" s="339"/>
      <c r="P317" s="339"/>
    </row>
    <row r="318" spans="1:16">
      <c r="A318" s="339"/>
      <c r="B318" s="339"/>
      <c r="C318" s="339"/>
      <c r="D318" s="339"/>
      <c r="E318" s="339"/>
      <c r="F318" s="339"/>
      <c r="G318" s="339"/>
      <c r="H318" s="529"/>
      <c r="I318" s="529"/>
      <c r="J318" s="339"/>
      <c r="K318" s="339"/>
      <c r="L318" s="339"/>
      <c r="M318" s="339"/>
      <c r="N318" s="339"/>
      <c r="O318" s="339"/>
      <c r="P318" s="339"/>
    </row>
    <row r="319" spans="1:16">
      <c r="A319" s="339"/>
      <c r="B319" s="339"/>
      <c r="C319" s="339"/>
      <c r="D319" s="339"/>
      <c r="E319" s="339"/>
      <c r="F319" s="339"/>
      <c r="G319" s="339"/>
      <c r="H319" s="529"/>
      <c r="I319" s="529"/>
      <c r="J319" s="339"/>
      <c r="K319" s="339"/>
      <c r="L319" s="339"/>
      <c r="M319" s="339"/>
      <c r="N319" s="339"/>
      <c r="O319" s="339"/>
      <c r="P319" s="339"/>
    </row>
    <row r="320" spans="1:16">
      <c r="A320" s="339"/>
      <c r="B320" s="339"/>
      <c r="C320" s="339"/>
      <c r="D320" s="339"/>
      <c r="E320" s="339"/>
      <c r="F320" s="339"/>
      <c r="G320" s="339"/>
      <c r="H320" s="529"/>
      <c r="I320" s="529"/>
      <c r="J320" s="339"/>
      <c r="K320" s="339"/>
      <c r="L320" s="339"/>
      <c r="M320" s="339"/>
      <c r="N320" s="339"/>
      <c r="O320" s="339"/>
      <c r="P320" s="339"/>
    </row>
    <row r="321" spans="1:16">
      <c r="A321" s="339"/>
      <c r="B321" s="339"/>
      <c r="C321" s="339"/>
      <c r="D321" s="339"/>
      <c r="E321" s="339"/>
      <c r="F321" s="339"/>
      <c r="G321" s="339"/>
      <c r="H321" s="339"/>
      <c r="I321" s="339"/>
      <c r="J321" s="339"/>
      <c r="K321" s="339"/>
      <c r="L321" s="339"/>
      <c r="M321" s="339"/>
      <c r="N321" s="339"/>
      <c r="O321" s="339"/>
      <c r="P321" s="339"/>
    </row>
    <row r="322" spans="1:16" ht="13.8">
      <c r="A322" s="541" t="s">
        <v>6077</v>
      </c>
      <c r="B322" s="541"/>
      <c r="C322" s="541"/>
      <c r="D322" s="541"/>
      <c r="E322" s="541"/>
      <c r="F322" s="541"/>
      <c r="G322" s="541"/>
      <c r="H322" s="541"/>
      <c r="I322" s="541"/>
      <c r="J322" s="541"/>
      <c r="K322" s="541"/>
      <c r="L322" s="541"/>
      <c r="M322" s="541"/>
      <c r="N322" s="541"/>
      <c r="O322" s="541"/>
      <c r="P322" s="541"/>
    </row>
    <row r="323" spans="1:16" ht="24">
      <c r="A323" s="536" t="s">
        <v>5969</v>
      </c>
      <c r="B323" s="536" t="s">
        <v>286</v>
      </c>
      <c r="C323" s="536" t="s">
        <v>142</v>
      </c>
      <c r="D323" s="536" t="s">
        <v>6009</v>
      </c>
      <c r="E323" s="536" t="s">
        <v>216</v>
      </c>
      <c r="F323" s="536" t="s">
        <v>77</v>
      </c>
      <c r="G323" s="339"/>
      <c r="H323" s="339"/>
      <c r="I323" s="339"/>
      <c r="J323" s="339"/>
      <c r="K323" s="339"/>
      <c r="L323" s="339"/>
      <c r="M323" s="339"/>
      <c r="N323" s="339"/>
      <c r="O323" s="339"/>
      <c r="P323" s="339"/>
    </row>
    <row r="324" spans="1:16">
      <c r="A324" s="339" t="str">
        <f t="shared" ref="A324:A330" si="0">IF($J241&lt;&gt;"Yes","",$A241)</f>
        <v/>
      </c>
      <c r="B324" s="339" t="str">
        <f t="shared" ref="B324:B331" si="1">IF($A324="","",$C241)</f>
        <v/>
      </c>
      <c r="C324" s="339" t="str">
        <f t="shared" ref="C324:C331" si="2">IF($A324="","",$D241)</f>
        <v/>
      </c>
      <c r="D324" s="339" t="str">
        <f t="shared" ref="D324:D331" si="3">IF($A324="","",$M241)</f>
        <v/>
      </c>
      <c r="E324" s="339" t="str">
        <f t="shared" ref="E324:E331" si="4">IF($A324="","",$E241)</f>
        <v/>
      </c>
      <c r="F324" s="339" t="str">
        <f t="shared" ref="F324:F331" si="5">IF($A324="","",$G241)</f>
        <v/>
      </c>
      <c r="G324" s="339"/>
      <c r="H324" s="339"/>
      <c r="I324" s="339"/>
      <c r="J324" s="339"/>
      <c r="K324" s="339"/>
      <c r="L324" s="339"/>
      <c r="M324" s="339"/>
      <c r="N324" s="339"/>
      <c r="O324" s="339"/>
      <c r="P324" s="339"/>
    </row>
    <row r="325" spans="1:16" ht="39.6">
      <c r="A325" s="339" t="str">
        <f t="shared" si="0"/>
        <v>DEL-002</v>
      </c>
      <c r="B325" s="339" t="str">
        <f t="shared" si="1"/>
        <v>Biweekly PTR Update</v>
      </c>
      <c r="C325" s="339" t="str">
        <f t="shared" si="2"/>
        <v>ALL</v>
      </c>
      <c r="D325" s="339" t="str">
        <f t="shared" si="3"/>
        <v>Confirm PTR ownership and access.</v>
      </c>
      <c r="E325" s="339" t="str">
        <f t="shared" si="4"/>
        <v>Paul</v>
      </c>
      <c r="F325" s="339" t="str">
        <f t="shared" si="5"/>
        <v>Open</v>
      </c>
      <c r="G325" s="339"/>
      <c r="H325" s="339"/>
      <c r="I325" s="339"/>
      <c r="J325" s="339"/>
      <c r="K325" s="339"/>
      <c r="L325" s="339"/>
      <c r="M325" s="339"/>
      <c r="N325" s="339"/>
      <c r="O325" s="339"/>
      <c r="P325" s="339"/>
    </row>
    <row r="326" spans="1:16" ht="39.6">
      <c r="A326" s="339" t="str">
        <f t="shared" si="0"/>
        <v>SCH-001</v>
      </c>
      <c r="B326" s="339" t="str">
        <f t="shared" si="1"/>
        <v>Contractor Baseline Schedule</v>
      </c>
      <c r="C326" s="339" t="str">
        <f t="shared" si="2"/>
        <v>ALL</v>
      </c>
      <c r="D326" s="339" t="str">
        <f t="shared" si="3"/>
        <v>Contractor schedule has not been received.</v>
      </c>
      <c r="E326" s="339" t="str">
        <f t="shared" si="4"/>
        <v>Paul</v>
      </c>
      <c r="F326" s="339" t="str">
        <f t="shared" si="5"/>
        <v>Waiting</v>
      </c>
      <c r="G326" s="339"/>
      <c r="H326" s="339"/>
      <c r="I326" s="339"/>
      <c r="J326" s="339"/>
      <c r="K326" s="339"/>
      <c r="L326" s="339"/>
      <c r="M326" s="339"/>
      <c r="N326" s="339"/>
      <c r="O326" s="339"/>
      <c r="P326" s="339"/>
    </row>
    <row r="327" spans="1:16" ht="79.2">
      <c r="A327" s="339" t="str">
        <f t="shared" si="0"/>
        <v>ACT-001</v>
      </c>
      <c r="B327" s="339" t="str">
        <f t="shared" si="1"/>
        <v>Confirm COR Reporting Expectations</v>
      </c>
      <c r="C327" s="339" t="str">
        <f t="shared" si="2"/>
        <v>ALL</v>
      </c>
      <c r="D327" s="339" t="str">
        <f t="shared" si="3"/>
        <v>Confirm templates, routing, due dates, minutes, PTR, and storage.</v>
      </c>
      <c r="E327" s="339" t="str">
        <f t="shared" si="4"/>
        <v>Paul</v>
      </c>
      <c r="F327" s="339" t="str">
        <f t="shared" si="5"/>
        <v>Open</v>
      </c>
      <c r="G327" s="339"/>
      <c r="H327" s="339"/>
      <c r="I327" s="339"/>
      <c r="J327" s="339"/>
      <c r="K327" s="339"/>
      <c r="L327" s="339"/>
      <c r="M327" s="339"/>
      <c r="N327" s="339"/>
      <c r="O327" s="339"/>
      <c r="P327" s="339"/>
    </row>
    <row r="328" spans="1:16" ht="26.4">
      <c r="A328" s="339" t="str">
        <f t="shared" si="0"/>
        <v>DQ-001</v>
      </c>
      <c r="B328" s="339" t="str">
        <f t="shared" si="1"/>
        <v>Consolidate Building 61 A/E Questions</v>
      </c>
      <c r="C328" s="339" t="str">
        <f t="shared" si="2"/>
        <v>61</v>
      </c>
      <c r="D328" s="339" t="str">
        <f t="shared" si="3"/>
        <v>A/E clarification required.</v>
      </c>
      <c r="E328" s="339" t="str">
        <f t="shared" si="4"/>
        <v>Paul</v>
      </c>
      <c r="F328" s="339" t="str">
        <f t="shared" si="5"/>
        <v>In Progress</v>
      </c>
      <c r="G328" s="339"/>
      <c r="H328" s="339"/>
      <c r="I328" s="339"/>
      <c r="J328" s="339"/>
      <c r="K328" s="339"/>
      <c r="L328" s="339"/>
      <c r="M328" s="339"/>
      <c r="N328" s="339"/>
      <c r="O328" s="339"/>
      <c r="P328" s="339"/>
    </row>
    <row r="329" spans="1:16" ht="52.8">
      <c r="A329" s="339" t="str">
        <f t="shared" si="0"/>
        <v>ACT-002</v>
      </c>
      <c r="B329" s="339" t="str">
        <f t="shared" si="1"/>
        <v>Occupied Room Relocation Planning</v>
      </c>
      <c r="C329" s="339" t="str">
        <f t="shared" si="2"/>
        <v>ALL</v>
      </c>
      <c r="D329" s="339" t="str">
        <f t="shared" si="3"/>
        <v>Hospital direction needed for relocation approach.</v>
      </c>
      <c r="E329" s="339" t="str">
        <f t="shared" si="4"/>
        <v>Aisha</v>
      </c>
      <c r="F329" s="339" t="str">
        <f t="shared" si="5"/>
        <v>Open</v>
      </c>
      <c r="G329" s="339"/>
      <c r="H329" s="339"/>
      <c r="I329" s="339"/>
      <c r="J329" s="339"/>
      <c r="K329" s="339"/>
      <c r="L329" s="339"/>
      <c r="M329" s="339"/>
      <c r="N329" s="339"/>
      <c r="O329" s="339"/>
      <c r="P329" s="339"/>
    </row>
    <row r="330" spans="1:16">
      <c r="A330" s="339" t="str">
        <f t="shared" si="0"/>
        <v/>
      </c>
      <c r="B330" s="339" t="str">
        <f t="shared" si="1"/>
        <v/>
      </c>
      <c r="C330" s="339" t="str">
        <f t="shared" si="2"/>
        <v/>
      </c>
      <c r="D330" s="339" t="str">
        <f t="shared" si="3"/>
        <v/>
      </c>
      <c r="E330" s="339" t="str">
        <f t="shared" si="4"/>
        <v/>
      </c>
      <c r="F330" s="339" t="str">
        <f t="shared" si="5"/>
        <v/>
      </c>
      <c r="G330" s="339"/>
      <c r="H330" s="339"/>
      <c r="I330" s="339"/>
      <c r="J330" s="339"/>
      <c r="K330" s="339"/>
      <c r="L330" s="339"/>
      <c r="M330" s="339"/>
      <c r="N330" s="339"/>
      <c r="O330" s="339"/>
      <c r="P330" s="339"/>
    </row>
    <row r="331" spans="1:16" ht="26.4">
      <c r="A331" s="339" t="str">
        <f>IF($J248&lt;&gt;"Yes","",$A248)</f>
        <v>DEL-004</v>
      </c>
      <c r="B331" s="339" t="str">
        <f t="shared" si="1"/>
        <v>Commissioning Responsibility Matrix</v>
      </c>
      <c r="C331" s="339" t="str">
        <f t="shared" si="2"/>
        <v>ALL</v>
      </c>
      <c r="D331" s="339" t="str">
        <f t="shared" si="3"/>
        <v>Confirm roles after kickoff.</v>
      </c>
      <c r="E331" s="339" t="str">
        <f t="shared" si="4"/>
        <v>Aisha</v>
      </c>
      <c r="F331" s="339" t="str">
        <f t="shared" si="5"/>
        <v>Not Started</v>
      </c>
      <c r="G331" s="339"/>
      <c r="H331" s="339"/>
      <c r="I331" s="339"/>
      <c r="J331" s="339"/>
      <c r="K331" s="339"/>
      <c r="L331" s="339"/>
      <c r="M331" s="339"/>
      <c r="N331" s="339"/>
      <c r="O331" s="339"/>
      <c r="P331" s="339"/>
    </row>
    <row r="332" spans="1:16">
      <c r="A332" s="339"/>
      <c r="B332" s="339"/>
      <c r="C332" s="339"/>
      <c r="D332" s="339"/>
      <c r="E332" s="339"/>
      <c r="F332" s="339"/>
      <c r="G332" s="339"/>
      <c r="H332" s="339"/>
      <c r="I332" s="339"/>
      <c r="J332" s="339"/>
      <c r="K332" s="339"/>
      <c r="L332" s="339"/>
      <c r="M332" s="339"/>
      <c r="N332" s="339"/>
      <c r="O332" s="339"/>
      <c r="P332" s="339"/>
    </row>
    <row r="333" spans="1:16">
      <c r="A333" s="339"/>
      <c r="B333" s="339"/>
      <c r="C333" s="339"/>
      <c r="D333" s="339"/>
      <c r="E333" s="339"/>
      <c r="F333" s="339"/>
      <c r="G333" s="339"/>
      <c r="H333" s="339"/>
      <c r="I333" s="339"/>
      <c r="J333" s="339"/>
      <c r="K333" s="339"/>
      <c r="L333" s="339"/>
      <c r="M333" s="339"/>
      <c r="N333" s="339"/>
      <c r="O333" s="339"/>
      <c r="P333" s="339"/>
    </row>
    <row r="334" spans="1:16">
      <c r="A334" s="543" t="s">
        <v>6078</v>
      </c>
      <c r="B334" s="543"/>
      <c r="C334" s="543"/>
      <c r="D334" s="543"/>
      <c r="E334" s="543"/>
      <c r="F334" s="543"/>
      <c r="G334" s="543"/>
      <c r="H334" s="543"/>
      <c r="I334" s="543"/>
      <c r="J334" s="543"/>
      <c r="K334" s="543"/>
      <c r="L334" s="543"/>
      <c r="M334" s="543"/>
      <c r="N334" s="543"/>
      <c r="O334" s="543"/>
      <c r="P334" s="543"/>
    </row>
    <row r="335" spans="1:16">
      <c r="A335" s="543"/>
      <c r="B335" s="543"/>
      <c r="C335" s="543"/>
      <c r="D335" s="543"/>
      <c r="E335" s="543"/>
      <c r="F335" s="543"/>
      <c r="G335" s="543"/>
      <c r="H335" s="543"/>
      <c r="I335" s="543"/>
      <c r="J335" s="543"/>
      <c r="K335" s="543"/>
      <c r="L335" s="543"/>
      <c r="M335" s="543"/>
      <c r="N335" s="543"/>
      <c r="O335" s="543"/>
      <c r="P335" s="543"/>
    </row>
    <row r="336" spans="1:16">
      <c r="A336" s="543"/>
      <c r="B336" s="543"/>
      <c r="C336" s="543"/>
      <c r="D336" s="543"/>
      <c r="E336" s="543"/>
      <c r="F336" s="543"/>
      <c r="G336" s="543"/>
      <c r="H336" s="543"/>
      <c r="I336" s="543"/>
      <c r="J336" s="543"/>
      <c r="K336" s="543"/>
      <c r="L336" s="543"/>
      <c r="M336" s="543"/>
      <c r="N336" s="543"/>
      <c r="O336" s="543"/>
      <c r="P336" s="543"/>
    </row>
    <row r="337" spans="1:16">
      <c r="A337" s="543"/>
      <c r="B337" s="543"/>
      <c r="C337" s="543"/>
      <c r="D337" s="543"/>
      <c r="E337" s="543"/>
      <c r="F337" s="543"/>
      <c r="G337" s="543"/>
      <c r="H337" s="543"/>
      <c r="I337" s="543"/>
      <c r="J337" s="543"/>
      <c r="K337" s="543"/>
      <c r="L337" s="543"/>
      <c r="M337" s="543"/>
      <c r="N337" s="543"/>
      <c r="O337" s="543"/>
      <c r="P337" s="543"/>
    </row>
    <row r="338" spans="1:16">
      <c r="A338" s="339"/>
      <c r="B338" s="339"/>
      <c r="C338" s="339"/>
      <c r="D338" s="339"/>
      <c r="E338" s="339"/>
      <c r="F338" s="339"/>
      <c r="G338" s="339"/>
      <c r="H338" s="339"/>
      <c r="I338" s="339"/>
      <c r="J338" s="339"/>
      <c r="K338" s="339"/>
      <c r="L338" s="339"/>
      <c r="M338" s="339"/>
      <c r="N338" s="339"/>
      <c r="O338" s="339"/>
      <c r="P338" s="339"/>
    </row>
    <row r="339" spans="1:16">
      <c r="A339" s="339"/>
      <c r="B339" s="339"/>
      <c r="C339" s="339"/>
      <c r="D339" s="339"/>
      <c r="E339" s="339"/>
      <c r="F339" s="339"/>
      <c r="G339" s="339"/>
      <c r="H339" s="339"/>
      <c r="I339" s="339"/>
      <c r="J339" s="339"/>
      <c r="K339" s="339"/>
      <c r="L339" s="339"/>
      <c r="M339" s="339"/>
      <c r="N339" s="339"/>
      <c r="O339" s="339"/>
      <c r="P339" s="339"/>
    </row>
    <row r="340" spans="1:16">
      <c r="A340" s="339"/>
      <c r="B340" s="339"/>
      <c r="C340" s="339"/>
      <c r="D340" s="339"/>
      <c r="E340" s="339"/>
      <c r="F340" s="339"/>
      <c r="G340" s="339"/>
      <c r="H340" s="339"/>
      <c r="I340" s="339"/>
      <c r="J340" s="339"/>
      <c r="K340" s="339"/>
      <c r="L340" s="339"/>
      <c r="M340" s="339"/>
      <c r="N340" s="339"/>
      <c r="O340" s="339"/>
      <c r="P340" s="339"/>
    </row>
  </sheetData>
  <mergeCells count="30">
    <mergeCell ref="A1:P2"/>
    <mergeCell ref="A3:P3"/>
    <mergeCell ref="A5:D5"/>
    <mergeCell ref="A10:B10"/>
    <mergeCell ref="C10:D10"/>
    <mergeCell ref="E10:F10"/>
    <mergeCell ref="G10:H10"/>
    <mergeCell ref="I10:J10"/>
    <mergeCell ref="K10:L10"/>
    <mergeCell ref="M10:N10"/>
    <mergeCell ref="O10:P10"/>
    <mergeCell ref="A334:P337"/>
    <mergeCell ref="O11:P13"/>
    <mergeCell ref="A15:P15"/>
    <mergeCell ref="A49:P49"/>
    <mergeCell ref="A83:P83"/>
    <mergeCell ref="A117:P117"/>
    <mergeCell ref="C11:D13"/>
    <mergeCell ref="E11:F13"/>
    <mergeCell ref="G11:H13"/>
    <mergeCell ref="I11:J13"/>
    <mergeCell ref="K11:L13"/>
    <mergeCell ref="M11:N13"/>
    <mergeCell ref="A131:P131"/>
    <mergeCell ref="A11:B13"/>
    <mergeCell ref="A137:P137"/>
    <mergeCell ref="A171:P171"/>
    <mergeCell ref="A205:P205"/>
    <mergeCell ref="A239:P239"/>
    <mergeCell ref="A322:P322"/>
  </mergeCells>
  <conditionalFormatting sqref="F132:F220">
    <cfRule type="expression" dxfId="1449" priority="5">
      <formula>$F132="Critical"</formula>
    </cfRule>
  </conditionalFormatting>
  <conditionalFormatting sqref="F262:F320">
    <cfRule type="expression" dxfId="1448" priority="7">
      <formula>$F262="Critical"</formula>
    </cfRule>
  </conditionalFormatting>
  <conditionalFormatting sqref="G132:G220">
    <cfRule type="expression" dxfId="1447" priority="6">
      <formula>OR($G132="Complete",$G132="Closed")</formula>
    </cfRule>
  </conditionalFormatting>
  <conditionalFormatting sqref="G262:G320">
    <cfRule type="expression" dxfId="1446" priority="8">
      <formula>OR($G262="Complete",$G262="Closed")</formula>
    </cfRule>
  </conditionalFormatting>
  <conditionalFormatting sqref="F243:F261">
    <cfRule type="expression" dxfId="1445" priority="3">
      <formula>$F243="Critical"</formula>
    </cfRule>
  </conditionalFormatting>
  <conditionalFormatting sqref="G243:G261">
    <cfRule type="expression" dxfId="1444" priority="4">
      <formula>OR($G243="Complete",$G243="Closed")</formula>
    </cfRule>
  </conditionalFormatting>
  <conditionalFormatting sqref="F241:F242">
    <cfRule type="expression" dxfId="1441" priority="1">
      <formula>$F241="Critical"</formula>
    </cfRule>
  </conditionalFormatting>
  <conditionalFormatting sqref="G241:G242">
    <cfRule type="expression" dxfId="1440" priority="2">
      <formula>OR($G241="Complete",$G241="Closed")</formula>
    </cfRule>
  </conditionalFormatting>
  <dataValidations count="7">
    <dataValidation type="list" sqref="D6" xr:uid="{C2EB3579-61A4-478C-A537-52312254ECFD}">
      <formula1>"Weekly,Biweekly,Monthly"</formula1>
    </dataValidation>
    <dataValidation type="list" sqref="B133:B220 B241:B320" xr:uid="{BE876ECD-6296-47C9-9AFF-8475EDC4485D}">
      <formula1>"Deliverable,Action Item,Design Question,RFI,Submittal,Schedule Item,Change,Pay Application,Meeting Record,Commissioning,PTR Update,Project Review,Claim Support,COR Decision"</formula1>
    </dataValidation>
    <dataValidation type="list" sqref="E133:E220 E241:E320" xr:uid="{DEB65BBE-B683-4955-87C3-1E353A3A3331}">
      <formula1>"Paul,Aisha,Shared,COR,A/E,GC,CxA,Other"</formula1>
    </dataValidation>
    <dataValidation type="list" sqref="F133:F220 F241:F320" xr:uid="{08213C82-9DCA-405C-877C-E6219EC07362}">
      <formula1>"Critical,High,Medium,Low"</formula1>
    </dataValidation>
    <dataValidation type="list" sqref="G133:G220 G241:G320" xr:uid="{6FAF4888-BBF8-436F-B9A4-E861D6BBD9A5}">
      <formula1>"Not Started,Open,In Progress,Waiting,At Risk,Complete,Closed,Deferred"</formula1>
    </dataValidation>
    <dataValidation type="list" sqref="J133:J220 J241:J320 L133:L220 L241:L320" xr:uid="{961132BD-C6E4-4082-B2B3-F9694C15CC38}">
      <formula1>"Yes,No"</formula1>
    </dataValidation>
    <dataValidation type="list" sqref="K133:K220 K241:K320" xr:uid="{DCA69C80-C71B-4292-9740-BFAC01459CEA}">
      <formula1>"Daily,Weekly,Biweekly,Monthly,Quarterly,As Required,Continuous"</formula1>
    </dataValidation>
  </dataValidation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C1107-80E6-4B62-BCCE-E2DC226EDD21}">
  <dimension ref="A1:L147"/>
  <sheetViews>
    <sheetView topLeftCell="A109" workbookViewId="0">
      <selection activeCell="B141" sqref="B141"/>
    </sheetView>
  </sheetViews>
  <sheetFormatPr defaultRowHeight="13.2"/>
  <cols>
    <col min="1" max="1" width="15.5546875" style="196" customWidth="1"/>
    <col min="2" max="2" width="20" style="196" customWidth="1"/>
    <col min="3" max="3" width="31.109375" style="196" customWidth="1"/>
    <col min="4" max="4" width="17.77734375" style="196" customWidth="1"/>
    <col min="5" max="6" width="16.6640625" style="196" customWidth="1"/>
    <col min="7" max="7" width="17.77734375" style="196" customWidth="1"/>
    <col min="8" max="9" width="20" style="196" customWidth="1"/>
    <col min="10" max="10" width="26.6640625" style="196" customWidth="1"/>
    <col min="11" max="11" width="20" style="196" customWidth="1"/>
    <col min="12" max="12" width="37.77734375" style="196" customWidth="1"/>
    <col min="13" max="16384" width="8.88671875" style="196"/>
  </cols>
  <sheetData>
    <row r="1" spans="1:12" ht="19.8" customHeight="1">
      <c r="A1" s="549" t="s">
        <v>6012</v>
      </c>
      <c r="B1" s="549"/>
      <c r="C1" s="549"/>
      <c r="D1" s="549"/>
      <c r="E1" s="549"/>
      <c r="F1" s="549"/>
      <c r="G1" s="549"/>
      <c r="H1" s="549"/>
      <c r="I1" s="549"/>
      <c r="J1" s="549"/>
      <c r="K1" s="549"/>
      <c r="L1" s="549"/>
    </row>
    <row r="2" spans="1:12" ht="19.8" customHeight="1">
      <c r="A2" s="549"/>
      <c r="B2" s="549"/>
      <c r="C2" s="549"/>
      <c r="D2" s="549"/>
      <c r="E2" s="549"/>
      <c r="F2" s="549"/>
      <c r="G2" s="549"/>
      <c r="H2" s="549"/>
      <c r="I2" s="549"/>
      <c r="J2" s="549"/>
      <c r="K2" s="549"/>
      <c r="L2" s="549"/>
    </row>
    <row r="3" spans="1:12" ht="19.8" customHeight="1">
      <c r="A3" s="339"/>
      <c r="B3" s="339"/>
      <c r="C3" s="339"/>
      <c r="D3" s="339"/>
      <c r="E3" s="339"/>
      <c r="F3" s="339"/>
      <c r="G3" s="339"/>
      <c r="H3" s="339"/>
      <c r="I3" s="339"/>
      <c r="J3" s="339"/>
      <c r="K3" s="339"/>
      <c r="L3" s="339"/>
    </row>
    <row r="4" spans="1:12" ht="19.8" customHeight="1">
      <c r="A4" s="530" t="s">
        <v>6002</v>
      </c>
      <c r="B4" s="339" t="s">
        <v>5982</v>
      </c>
      <c r="C4" s="530" t="s">
        <v>6003</v>
      </c>
      <c r="D4" s="529">
        <v>46216</v>
      </c>
      <c r="E4" s="339"/>
      <c r="F4" s="339"/>
      <c r="G4" s="339"/>
      <c r="H4" s="339"/>
      <c r="I4" s="339"/>
      <c r="J4" s="339"/>
      <c r="K4" s="339"/>
      <c r="L4" s="339"/>
    </row>
    <row r="5" spans="1:12" ht="19.8" customHeight="1">
      <c r="A5" s="530" t="s">
        <v>6005</v>
      </c>
      <c r="B5" s="339" t="s">
        <v>721</v>
      </c>
      <c r="C5" s="530" t="s">
        <v>6004</v>
      </c>
      <c r="D5" s="529">
        <v>46220</v>
      </c>
      <c r="E5" s="339"/>
      <c r="F5" s="339"/>
      <c r="G5" s="339"/>
      <c r="H5" s="339"/>
      <c r="I5" s="339"/>
      <c r="J5" s="339"/>
      <c r="K5" s="339"/>
      <c r="L5" s="339"/>
    </row>
    <row r="6" spans="1:12" ht="19.8" customHeight="1">
      <c r="A6" s="530" t="s">
        <v>6006</v>
      </c>
      <c r="B6" s="339" t="s">
        <v>5981</v>
      </c>
      <c r="C6" s="530" t="s">
        <v>5922</v>
      </c>
      <c r="D6" s="339" t="s">
        <v>374</v>
      </c>
      <c r="E6" s="339"/>
      <c r="F6" s="339"/>
      <c r="G6" s="339"/>
      <c r="H6" s="339"/>
      <c r="I6" s="339"/>
      <c r="J6" s="339"/>
      <c r="K6" s="339"/>
      <c r="L6" s="339"/>
    </row>
    <row r="7" spans="1:12" ht="19.8" customHeight="1">
      <c r="A7" s="530" t="s">
        <v>6013</v>
      </c>
      <c r="B7" s="339" t="s">
        <v>499</v>
      </c>
      <c r="C7" s="530" t="s">
        <v>6014</v>
      </c>
      <c r="D7" s="339" t="s">
        <v>6015</v>
      </c>
      <c r="E7" s="339"/>
      <c r="F7" s="339"/>
      <c r="G7" s="339"/>
      <c r="H7" s="339"/>
      <c r="I7" s="339"/>
      <c r="J7" s="339"/>
      <c r="K7" s="339"/>
      <c r="L7" s="339"/>
    </row>
    <row r="8" spans="1:12" ht="34.200000000000003" customHeight="1">
      <c r="A8" s="530" t="s">
        <v>6016</v>
      </c>
      <c r="B8" s="339" t="s">
        <v>6017</v>
      </c>
      <c r="C8" s="530"/>
      <c r="D8" s="339"/>
      <c r="E8" s="339"/>
      <c r="F8" s="339"/>
      <c r="G8" s="339"/>
      <c r="H8" s="339"/>
      <c r="I8" s="339"/>
      <c r="J8" s="339"/>
      <c r="K8" s="339"/>
      <c r="L8" s="339"/>
    </row>
    <row r="9" spans="1:12" ht="19.8" customHeight="1">
      <c r="A9" s="339"/>
      <c r="B9" s="339"/>
      <c r="C9" s="339"/>
      <c r="D9" s="339"/>
      <c r="E9" s="339"/>
      <c r="F9" s="339"/>
      <c r="G9" s="339"/>
      <c r="H9" s="339"/>
      <c r="I9" s="339"/>
      <c r="J9" s="339"/>
      <c r="K9" s="339"/>
      <c r="L9" s="339"/>
    </row>
    <row r="10" spans="1:12" ht="34.200000000000003" customHeight="1">
      <c r="A10" s="531" t="s">
        <v>358</v>
      </c>
      <c r="B10" s="531" t="s">
        <v>538</v>
      </c>
      <c r="C10" s="531" t="s">
        <v>145</v>
      </c>
      <c r="D10" s="531" t="s">
        <v>161</v>
      </c>
      <c r="E10" s="531" t="s">
        <v>199</v>
      </c>
      <c r="F10" s="531" t="s">
        <v>179</v>
      </c>
      <c r="G10" s="531" t="s">
        <v>171</v>
      </c>
      <c r="H10" s="531" t="s">
        <v>5967</v>
      </c>
      <c r="I10" s="339"/>
      <c r="J10" s="339"/>
      <c r="K10" s="339"/>
      <c r="L10" s="339"/>
    </row>
    <row r="11" spans="1:12" ht="19.8" customHeight="1">
      <c r="A11" s="532">
        <f>'CM_PM Operations'!A11</f>
        <v>30</v>
      </c>
      <c r="B11" s="533">
        <f>'CM_PM Operations'!C11</f>
        <v>0.5066666666666666</v>
      </c>
      <c r="C11" s="532">
        <f>'CM_PM Operations'!E11</f>
        <v>814</v>
      </c>
      <c r="D11" s="532">
        <f>'CM_PM Operations'!G11</f>
        <v>0</v>
      </c>
      <c r="E11" s="532">
        <f>'CM_PM Operations'!I11</f>
        <v>0</v>
      </c>
      <c r="F11" s="532">
        <f>'CM_PM Operations'!K11</f>
        <v>1</v>
      </c>
      <c r="G11" s="532">
        <f>'CM_PM Operations'!M11</f>
        <v>29</v>
      </c>
      <c r="H11" s="532">
        <f>'CM_PM Operations'!O11</f>
        <v>6</v>
      </c>
      <c r="I11" s="339"/>
      <c r="J11" s="339"/>
      <c r="K11" s="339"/>
      <c r="L11" s="339"/>
    </row>
    <row r="12" spans="1:12" ht="19.8" customHeight="1">
      <c r="A12" s="339"/>
      <c r="B12" s="339"/>
      <c r="C12" s="339"/>
      <c r="D12" s="339"/>
      <c r="E12" s="339"/>
      <c r="F12" s="339"/>
      <c r="G12" s="339"/>
      <c r="H12" s="339"/>
      <c r="I12" s="339"/>
      <c r="J12" s="339"/>
      <c r="K12" s="339"/>
      <c r="L12" s="339"/>
    </row>
    <row r="13" spans="1:12" ht="19.8" customHeight="1">
      <c r="A13" s="339"/>
      <c r="B13" s="339"/>
      <c r="C13" s="339"/>
      <c r="D13" s="339"/>
      <c r="E13" s="339"/>
      <c r="F13" s="339"/>
      <c r="G13" s="339"/>
      <c r="H13" s="339"/>
      <c r="I13" s="339"/>
      <c r="J13" s="339"/>
      <c r="K13" s="339"/>
      <c r="L13" s="339"/>
    </row>
    <row r="14" spans="1:12" ht="19.8" customHeight="1">
      <c r="A14" s="545" t="s">
        <v>6007</v>
      </c>
      <c r="B14" s="545"/>
      <c r="C14" s="545"/>
      <c r="D14" s="545"/>
      <c r="E14" s="545"/>
      <c r="F14" s="545"/>
      <c r="G14" s="545"/>
      <c r="H14" s="545"/>
      <c r="I14" s="545"/>
      <c r="J14" s="545"/>
      <c r="K14" s="545"/>
      <c r="L14" s="545"/>
    </row>
    <row r="15" spans="1:12" ht="19.8" customHeight="1">
      <c r="A15" s="548" t="str">
        <f>"The project is currently in "&amp;B7&amp;". "&amp;A11&amp;" buildings are represented in PMIS with an average readiness of "&amp;TEXT(B11,"0%")&amp;". Assessment sheets remain the source of truth and currently reflect "&amp;C11&amp;" rooms, "&amp;D11&amp;" open risks, "&amp;E11&amp;" open questions, "&amp;F11&amp;" active shutdowns, and "&amp;G11&amp;" buildings not ready. CM/PM Operations identifies "&amp;H11&amp;" open COR decisions. The contractor baseline schedule status is: "&amp;D7&amp;"."</f>
        <v>The project is currently in Preconstruction. 30 buildings are represented in PMIS with an average readiness of 51%. Assessment sheets remain the source of truth and currently reflect 814 rooms, 0 open risks, 0 open questions, 1 active shutdowns, and 29 buildings not ready. CM/PM Operations identifies 6 open COR decisions. The contractor baseline schedule status is: Not Received.</v>
      </c>
      <c r="B15" s="548"/>
      <c r="C15" s="548"/>
      <c r="D15" s="548"/>
      <c r="E15" s="548"/>
      <c r="F15" s="548"/>
      <c r="G15" s="548"/>
      <c r="H15" s="548"/>
      <c r="I15" s="548"/>
      <c r="J15" s="548"/>
      <c r="K15" s="548"/>
      <c r="L15" s="548"/>
    </row>
    <row r="16" spans="1:12" ht="19.8" customHeight="1">
      <c r="A16" s="548"/>
      <c r="B16" s="548"/>
      <c r="C16" s="548"/>
      <c r="D16" s="548"/>
      <c r="E16" s="548"/>
      <c r="F16" s="548"/>
      <c r="G16" s="548"/>
      <c r="H16" s="548"/>
      <c r="I16" s="548"/>
      <c r="J16" s="548"/>
      <c r="K16" s="548"/>
      <c r="L16" s="548"/>
    </row>
    <row r="17" spans="1:12" ht="19.8" customHeight="1">
      <c r="A17" s="548"/>
      <c r="B17" s="548"/>
      <c r="C17" s="548"/>
      <c r="D17" s="548"/>
      <c r="E17" s="548"/>
      <c r="F17" s="548"/>
      <c r="G17" s="548"/>
      <c r="H17" s="548"/>
      <c r="I17" s="548"/>
      <c r="J17" s="548"/>
      <c r="K17" s="548"/>
      <c r="L17" s="548"/>
    </row>
    <row r="18" spans="1:12" ht="19.8" customHeight="1">
      <c r="A18" s="548"/>
      <c r="B18" s="548"/>
      <c r="C18" s="548"/>
      <c r="D18" s="548"/>
      <c r="E18" s="548"/>
      <c r="F18" s="548"/>
      <c r="G18" s="548"/>
      <c r="H18" s="548"/>
      <c r="I18" s="548"/>
      <c r="J18" s="548"/>
      <c r="K18" s="548"/>
      <c r="L18" s="548"/>
    </row>
    <row r="19" spans="1:12" ht="19.8" customHeight="1">
      <c r="A19" s="339"/>
      <c r="B19" s="339"/>
      <c r="C19" s="339"/>
      <c r="D19" s="339"/>
      <c r="E19" s="339"/>
      <c r="F19" s="339"/>
      <c r="G19" s="339"/>
      <c r="H19" s="339"/>
      <c r="I19" s="339"/>
      <c r="J19" s="339"/>
      <c r="K19" s="339"/>
      <c r="L19" s="339"/>
    </row>
    <row r="20" spans="1:12" ht="19.8" customHeight="1">
      <c r="A20" s="545" t="s">
        <v>6018</v>
      </c>
      <c r="B20" s="545"/>
      <c r="C20" s="545"/>
      <c r="D20" s="545"/>
      <c r="E20" s="545"/>
      <c r="F20" s="545"/>
      <c r="G20" s="545"/>
      <c r="H20" s="545"/>
      <c r="I20" s="545"/>
      <c r="J20" s="545"/>
      <c r="K20" s="545"/>
      <c r="L20" s="545"/>
    </row>
    <row r="21" spans="1:12" ht="19.8" customHeight="1">
      <c r="A21" s="534" t="s">
        <v>142</v>
      </c>
      <c r="B21" s="534" t="s">
        <v>77</v>
      </c>
      <c r="C21" s="534" t="s">
        <v>174</v>
      </c>
      <c r="D21" s="534" t="s">
        <v>145</v>
      </c>
      <c r="E21" s="534" t="s">
        <v>176</v>
      </c>
      <c r="F21" s="534" t="s">
        <v>177</v>
      </c>
      <c r="G21" s="534" t="s">
        <v>869</v>
      </c>
      <c r="H21" s="534" t="s">
        <v>870</v>
      </c>
      <c r="I21" s="339"/>
      <c r="J21" s="339"/>
      <c r="K21" s="339"/>
      <c r="L21" s="339"/>
    </row>
    <row r="22" spans="1:12" ht="19.8" customHeight="1">
      <c r="A22" s="339" t="str">
        <f>'CM_PM Operations'!A17</f>
        <v>01</v>
      </c>
      <c r="B22" s="339" t="str">
        <f>'CM_PM Operations'!C17</f>
        <v>Yellow</v>
      </c>
      <c r="C22" s="535">
        <f>'CM_PM Operations'!D17</f>
        <v>0.5</v>
      </c>
      <c r="D22" s="339">
        <f>'CM_PM Operations'!F17</f>
        <v>29</v>
      </c>
      <c r="E22" s="339">
        <f>'CM_PM Operations'!G17</f>
        <v>0</v>
      </c>
      <c r="F22" s="339">
        <f>'CM_PM Operations'!H17</f>
        <v>0</v>
      </c>
      <c r="G22" s="339" t="str">
        <f>'CM_PM Operations'!I17</f>
        <v>Field verify Room 107, existing B02, 138, and 282; confirm active services, existing rack/equipment transfer, B01-TR107A/B panel sources, IU-1-01/CU-1-01 cooling, fire alarm/sprinkler impacts, FEC location, PACS/CCTV scope, 394 ft cable tray routes, and telecom cutover sequence.</v>
      </c>
      <c r="H22" s="339" t="str">
        <f>'CM_PM Operations'!J17</f>
        <v>Building 01 is a full-scope telecom room building with new First-Level Telecom Room 107 and existing telecom transition rooms B02, 138, and 282. Scope includes architectural, hazardous, fire protection, mechanical, electrical, telecom, security, rack elevations, schedules, and photo references. Major open items include active service transfer from existing rooms, IU-1-01/CU-1-01 cooling, B01-TR107A/B normal/emergency power, UPS/PDU rack power, PACS/CCTV, 394 ft cable tray, firestopping, fiber Path A/B, and room/equipment cutover planning.</v>
      </c>
      <c r="I22" s="339"/>
      <c r="J22" s="339"/>
      <c r="K22" s="339"/>
      <c r="L22" s="339"/>
    </row>
    <row r="23" spans="1:12" ht="19.8" customHeight="1">
      <c r="A23" s="339" t="str">
        <f>'CM_PM Operations'!A18</f>
        <v>02</v>
      </c>
      <c r="B23" s="339" t="str">
        <f>'CM_PM Operations'!C18</f>
        <v>Yellow</v>
      </c>
      <c r="C23" s="535">
        <f>'CM_PM Operations'!D18</f>
        <v>0.5</v>
      </c>
      <c r="D23" s="339">
        <f>'CM_PM Operations'!F18</f>
        <v>30</v>
      </c>
      <c r="E23" s="339">
        <f>'CM_PM Operations'!G18</f>
        <v>0</v>
      </c>
      <c r="F23" s="339">
        <f>'CM_PM Operations'!H18</f>
        <v>0</v>
      </c>
      <c r="G23" s="339" t="str">
        <f>'CM_PM Operations'!I18</f>
        <v>Field verify new Rooms 141, 236, 342 and existing B-06/141/236; confirm active services, rack/equipment transfer, B02-TR141A/B, B02-TR236A/B, B02-TR342A/B panel sources, CU-1-01/CU-2-01/CU-3-01 cooling assignments, fire alarm/sprinkler impacts, FEC locations, PACS/CCTV scope, 2,560 ft cable tray routes, and telecom cutover sequence.</v>
      </c>
      <c r="H23" s="339" t="str">
        <f>'CM_PM Operations'!J18</f>
        <v>Building 02 is a large full-scope telecom room building with new Telecom Rooms 141, 236, and 342, plus existing telecom transition rooms B-06, 141, and 236. Scope includes architectural, infection control, fire protection, mechanical, electrical, telecommunications, rack elevations, schedules, PACS/CCTV, and photo references. Major open items include active service transfer, multiple panel sets B02-TR141/236/342 A/B, dedicated cooling CU-1/2/3-01, firestopping, PACS/CCTV integration, 2,560 ft cable tray, and high WAO/cable quantity acceptance.</v>
      </c>
      <c r="I23" s="339"/>
      <c r="J23" s="339"/>
      <c r="K23" s="339"/>
      <c r="L23" s="339"/>
    </row>
    <row r="24" spans="1:12" ht="19.8" customHeight="1">
      <c r="A24" s="339" t="str">
        <f>'CM_PM Operations'!A19</f>
        <v>03</v>
      </c>
      <c r="B24" s="339" t="str">
        <f>'CM_PM Operations'!C19</f>
        <v>Yellow</v>
      </c>
      <c r="C24" s="535">
        <f>'CM_PM Operations'!D19</f>
        <v>0.5</v>
      </c>
      <c r="D24" s="339">
        <f>'CM_PM Operations'!F19</f>
        <v>29</v>
      </c>
      <c r="E24" s="339">
        <f>'CM_PM Operations'!G19</f>
        <v>0</v>
      </c>
      <c r="F24" s="339">
        <f>'CM_PM Operations'!H19</f>
        <v>0</v>
      </c>
      <c r="G24" s="339" t="str">
        <f>'CM_PM Operations'!I19</f>
        <v>Field verify Room 101E, existing Room 107, and existing DMARC Room 101C; confirm active services, existing rack/equipment transfer, B03-TR101CA/B panel sources, CU-01 cooling assignment, fire alarm/sprinkler impacts, FEC location, PACS/CCTV scope, 961 ft cable tray routes, Room 107 inventory, and telecom cutover/fiber transfer sequence.</v>
      </c>
      <c r="H24" s="339" t="str">
        <f>'CM_PM Operations'!J19</f>
        <v>Building 03 is a full-scope telecom room building centered on new/renovated Telecom Room 101E, with existing Basement Telecom Room 107 and existing first-floor DMARC/telecom Room 101C as transition points. Scope includes architectural, infection control, fire protection, mechanical, electrical, telecommunications, rack elevations, Room 107 inventory, PACS/CCTV, 961 ft cable tray, and 206 total ports with allowance. Major open items include transfer from existing 107/101C, active DMARC/fiber protection, B03-TR101CA/B panel sources, CU-01 cooling, firestopping, camera 101C-CAM-01, and OIT acceptance.</v>
      </c>
      <c r="I24" s="339"/>
      <c r="J24" s="339"/>
      <c r="K24" s="339"/>
      <c r="L24" s="339"/>
    </row>
    <row r="25" spans="1:12" ht="19.8" customHeight="1">
      <c r="A25" s="339" t="str">
        <f>'CM_PM Operations'!A20</f>
        <v>04</v>
      </c>
      <c r="B25" s="339" t="str">
        <f>'CM_PM Operations'!C20</f>
        <v>Yellow</v>
      </c>
      <c r="C25" s="535">
        <f>'CM_PM Operations'!D20</f>
        <v>0.5</v>
      </c>
      <c r="D25" s="339">
        <f>'CM_PM Operations'!F20</f>
        <v>27</v>
      </c>
      <c r="E25" s="339">
        <f>'CM_PM Operations'!G20</f>
        <v>0</v>
      </c>
      <c r="F25" s="339">
        <f>'CM_PM Operations'!H20</f>
        <v>0</v>
      </c>
      <c r="G25" s="339" t="str">
        <f>'CM_PM Operations'!I20</f>
        <v>Field verify TR rooms B05, 141, and 244A; confirm cooling, panel/circuiting, fire alarm/sprinkler impacts, FEC locations, and cutover/phasing plan.</v>
      </c>
      <c r="H25" s="339" t="str">
        <f>'CM_PM Operations'!J20</f>
        <v>B04 has multiple TRs across basement/first/second levels; field verification, abatement coordination, cooling power, firestopping, and cutover phasing remain open.</v>
      </c>
      <c r="I25" s="339"/>
      <c r="J25" s="339"/>
      <c r="K25" s="339"/>
      <c r="L25" s="339"/>
    </row>
    <row r="26" spans="1:12" ht="19.8" customHeight="1">
      <c r="A26" s="339" t="str">
        <f>'CM_PM Operations'!A21</f>
        <v>05</v>
      </c>
      <c r="B26" s="339" t="str">
        <f>'CM_PM Operations'!C21</f>
        <v>Yellow</v>
      </c>
      <c r="C26" s="535">
        <f>'CM_PM Operations'!D21</f>
        <v>0.55000000000000004</v>
      </c>
      <c r="D26" s="339">
        <f>'CM_PM Operations'!F21</f>
        <v>26</v>
      </c>
      <c r="E26" s="339">
        <f>'CM_PM Operations'!G21</f>
        <v>0</v>
      </c>
      <c r="F26" s="339">
        <f>'CM_PM Operations'!H21</f>
        <v>0</v>
      </c>
      <c r="G26" s="339" t="str">
        <f>'CM_PM Operations'!I21</f>
        <v>Field verify Room 150 TE location, existing 153-A equipment to remain/transition, electrical source, UPS/PDU receptacles, PACS/CCTV requirements, firestopping, and cutover sequence.</v>
      </c>
      <c r="H26" s="339" t="str">
        <f>'CM_PM Operations'!J21</f>
        <v>Building 05 receives a Telecom Enclosure only; mechanical and fire protection scope is excluded, so TE power, telecom cutover, existing room conditions, and fire/life-safety interfaces must be verified.</v>
      </c>
      <c r="I26" s="339"/>
      <c r="J26" s="339"/>
      <c r="K26" s="339"/>
      <c r="L26" s="339"/>
    </row>
    <row r="27" spans="1:12" ht="19.8" customHeight="1">
      <c r="A27" s="339" t="str">
        <f>'CM_PM Operations'!A22</f>
        <v>06</v>
      </c>
      <c r="B27" s="339" t="str">
        <f>'CM_PM Operations'!C22</f>
        <v>Yellow</v>
      </c>
      <c r="C27" s="535">
        <f>'CM_PM Operations'!D22</f>
        <v>0.5</v>
      </c>
      <c r="D27" s="339">
        <f>'CM_PM Operations'!F22</f>
        <v>27</v>
      </c>
      <c r="E27" s="339">
        <f>'CM_PM Operations'!G22</f>
        <v>0</v>
      </c>
      <c r="F27" s="339">
        <f>'CM_PM Operations'!H22</f>
        <v>0</v>
      </c>
      <c r="G27" s="339" t="str">
        <f>'CM_PM Operations'!I22</f>
        <v>Field verify existing B-01 equipment, Rooms 178 and 233, panel sources, IU/CU cooling, fire alarm/sprinkler impacts, FEC locations, and telecom cutover sequence.</v>
      </c>
      <c r="H27" s="339" t="str">
        <f>'CM_PM Operations'!J22</f>
        <v>Building 06 has active existing telecom equipment plus new TR work in Rooms 178 and 233; field verification, cutover phasing, cooling, firestopping, and emergency power remain open.</v>
      </c>
      <c r="I27" s="339"/>
      <c r="J27" s="339"/>
      <c r="K27" s="339"/>
      <c r="L27" s="339"/>
    </row>
    <row r="28" spans="1:12" ht="19.8" customHeight="1">
      <c r="A28" s="339" t="str">
        <f>'CM_PM Operations'!A23</f>
        <v>07</v>
      </c>
      <c r="B28" s="339" t="str">
        <f>'CM_PM Operations'!C23</f>
        <v>Yellow</v>
      </c>
      <c r="C28" s="535">
        <f>'CM_PM Operations'!D23</f>
        <v>0.5</v>
      </c>
      <c r="D28" s="339">
        <f>'CM_PM Operations'!F23</f>
        <v>26</v>
      </c>
      <c r="E28" s="339">
        <f>'CM_PM Operations'!G23</f>
        <v>0</v>
      </c>
      <c r="F28" s="339">
        <f>'CM_PM Operations'!H23</f>
        <v>0</v>
      </c>
      <c r="G28" s="339" t="str">
        <f>'CM_PM Operations'!I23</f>
        <v>Field verify TR B-18 and 228A; confirm rack/equipment layout, panel sources, IU/CU cooling, fire alarm/sprinkler impacts, FEC locations, PACS/CCTV scope, and telecom cutover sequence.</v>
      </c>
      <c r="H28" s="339" t="str">
        <f>'CM_PM Operations'!J23</f>
        <v>Building 07 includes basement TR B-18 and second-level TR 228A; field verification, active-service cutover, cooling, firestopping, rated construction, and power source confirmation remain open.</v>
      </c>
      <c r="I28" s="339"/>
      <c r="J28" s="339"/>
      <c r="K28" s="339"/>
      <c r="L28" s="339"/>
    </row>
    <row r="29" spans="1:12" ht="19.8" customHeight="1">
      <c r="A29" s="339" t="str">
        <f>'CM_PM Operations'!A24</f>
        <v>08</v>
      </c>
      <c r="B29" s="339" t="str">
        <f>'CM_PM Operations'!C24</f>
        <v>Yellow</v>
      </c>
      <c r="C29" s="535">
        <f>'CM_PM Operations'!D24</f>
        <v>0.5</v>
      </c>
      <c r="D29" s="339">
        <f>'CM_PM Operations'!F24</f>
        <v>27</v>
      </c>
      <c r="E29" s="339">
        <f>'CM_PM Operations'!G24</f>
        <v>0</v>
      </c>
      <c r="F29" s="339">
        <f>'CM_PM Operations'!H24</f>
        <v>0</v>
      </c>
      <c r="G29" s="339" t="str">
        <f>'CM_PM Operations'!I24</f>
        <v>Field verify B-15, B12B, and 2065A; confirm active services, 2065A rack layout, panel/power source, IU/CU cooling, hazardous material/abatement impacts, FEC locations, PACS/CCTV, and telecom cutover sequence.</v>
      </c>
      <c r="H29" s="339" t="str">
        <f>'CM_PM Operations'!J24</f>
        <v>Building 08 includes existing basement telecom equipment at B-15, basement TE/cabling scope at B12B, and new second-level TR 2065A; field verification, abatement, rated construction, cooling/power, firestopping, and cutover phasing remain open.</v>
      </c>
      <c r="I29" s="339"/>
      <c r="J29" s="339"/>
      <c r="K29" s="339"/>
      <c r="L29" s="339"/>
    </row>
    <row r="30" spans="1:12" ht="19.8" customHeight="1">
      <c r="A30" s="339" t="str">
        <f>'CM_PM Operations'!A25</f>
        <v>09</v>
      </c>
      <c r="B30" s="339" t="str">
        <f>'CM_PM Operations'!C25</f>
        <v>Yellow</v>
      </c>
      <c r="C30" s="535">
        <f>'CM_PM Operations'!D25</f>
        <v>0.5</v>
      </c>
      <c r="D30" s="339">
        <f>'CM_PM Operations'!F25</f>
        <v>27</v>
      </c>
      <c r="E30" s="339">
        <f>'CM_PM Operations'!G25</f>
        <v>0</v>
      </c>
      <c r="F30" s="339">
        <f>'CM_PM Operations'!H25</f>
        <v>0</v>
      </c>
      <c r="G30" s="339" t="str">
        <f>'CM_PM Operations'!I25</f>
        <v>Field verify B01, 104B, and 206A; confirm existing equipment and active services, panel sources, IU/CU cooling, fire alarm/sprinkler impacts, FEC locations, PACS/CCTV scope, hazardous/abatement impacts, and telecom cutover sequence.</v>
      </c>
      <c r="H30" s="339" t="str">
        <f>'CM_PM Operations'!J25</f>
        <v>Building 09 includes three telecom spaces across basement, first, and second levels; field verification, hazardous material coordination, active service cutover, cooling, power/panel source, firestopping, and rated wall/door work remain open.</v>
      </c>
      <c r="I30" s="339"/>
      <c r="J30" s="339"/>
      <c r="K30" s="339"/>
      <c r="L30" s="339"/>
    </row>
    <row r="31" spans="1:12" ht="19.8" customHeight="1">
      <c r="A31" s="339" t="str">
        <f>'CM_PM Operations'!A26</f>
        <v>10</v>
      </c>
      <c r="B31" s="339" t="str">
        <f>'CM_PM Operations'!C26</f>
        <v>Yellow</v>
      </c>
      <c r="C31" s="535">
        <f>'CM_PM Operations'!D26</f>
        <v>0.5</v>
      </c>
      <c r="D31" s="339">
        <f>'CM_PM Operations'!F26</f>
        <v>27</v>
      </c>
      <c r="E31" s="339">
        <f>'CM_PM Operations'!G26</f>
        <v>0</v>
      </c>
      <c r="F31" s="339">
        <f>'CM_PM Operations'!H26</f>
        <v>0</v>
      </c>
      <c r="G31" s="339" t="str">
        <f>'CM_PM Operations'!I26</f>
        <v>Field verify attic Telecom Room 200A, basement normal/emergency electrical source rooms B24/B25, existing wall-mounted rack/equipment, panel sources B10-TR200AA/AB, IU/CU-1-01 cooling, FEC/fire alarm/sprinkler impacts, hazardous/abatement scope, and telecom cutover plan.</v>
      </c>
      <c r="H31" s="339" t="str">
        <f>'CM_PM Operations'!J26</f>
        <v>Building 10 scope centers on attic Telecom Room 200A with related basement electrical source rooms B24/B25, attic hazardous material abatement, dedicated cooling, new telecom panels, rack/UPS/PDU equipment, firestopping, and cutover coordination.</v>
      </c>
      <c r="I31" s="339"/>
      <c r="J31" s="339"/>
      <c r="K31" s="339"/>
      <c r="L31" s="339"/>
    </row>
    <row r="32" spans="1:12" ht="19.8" customHeight="1">
      <c r="A32" s="339" t="str">
        <f>'CM_PM Operations'!A27</f>
        <v>12</v>
      </c>
      <c r="B32" s="339" t="str">
        <f>'CM_PM Operations'!C27</f>
        <v>Yellow</v>
      </c>
      <c r="C32" s="535">
        <f>'CM_PM Operations'!D27</f>
        <v>0.6</v>
      </c>
      <c r="D32" s="339">
        <f>'CM_PM Operations'!F27</f>
        <v>26</v>
      </c>
      <c r="E32" s="339">
        <f>'CM_PM Operations'!G27</f>
        <v>0</v>
      </c>
      <c r="F32" s="339">
        <f>'CM_PM Operations'!H27</f>
        <v>0</v>
      </c>
      <c r="G32" s="339" t="str">
        <f>'CM_PM Operations'!I27</f>
        <v>Field verify existing fiber pathway through Building 12, existing rack/demarc/serving closet condition, floor/wall penetrations, routing from basement/first/second level telecom plans, phasing/cutover approach, and test/label/as-built deliverables.</v>
      </c>
      <c r="H32" s="339" t="str">
        <f>'CM_PM Operations'!J27</f>
        <v>Building 12 is explicitly identified as fiber-only with no new TR buildout, no new rack, and no electrical/HVAC/fire protection drawing packages; key owner risk is confirming pull-through fiber path, existing service continuity, pathway/firestopping, and VA/OIT acceptance before cutover.</v>
      </c>
      <c r="I32" s="339"/>
      <c r="J32" s="339"/>
      <c r="K32" s="339"/>
      <c r="L32" s="339"/>
    </row>
    <row r="33" spans="1:12" ht="19.8" customHeight="1">
      <c r="A33" s="339" t="str">
        <f>'CM_PM Operations'!A28</f>
        <v>13</v>
      </c>
      <c r="B33" s="339" t="str">
        <f>'CM_PM Operations'!C28</f>
        <v>Yellow</v>
      </c>
      <c r="C33" s="535">
        <f>'CM_PM Operations'!D28</f>
        <v>0.5</v>
      </c>
      <c r="D33" s="339">
        <f>'CM_PM Operations'!F28</f>
        <v>26</v>
      </c>
      <c r="E33" s="339">
        <f>'CM_PM Operations'!G28</f>
        <v>0</v>
      </c>
      <c r="F33" s="339">
        <f>'CM_PM Operations'!H28</f>
        <v>0</v>
      </c>
      <c r="G33" s="339" t="str">
        <f>'CM_PM Operations'!I28</f>
        <v>Field verify Room 124 and existing Tel Room 222; confirm active services, rack/equipment transfer, B13-TR124AA/AB panel sources, IU/CU-1-01 cooling, fire alarm/sprinkler impacts, FEC location, PACS/CCTV scope, first-level hazardous/abatement impacts, and telecom cutover sequence.</v>
      </c>
      <c r="H33" s="339" t="str">
        <f>'CM_PM Operations'!J28</f>
        <v>Building 13 includes new first-level Telecom Room 124 and existing second-level Tel Room 222; field verification, active service cutover, 240V UPS/PDU power, dedicated cooling, first-level hazardous material coordination, firestopping, and PACS/CCTV integration remain open.</v>
      </c>
      <c r="I33" s="339"/>
      <c r="J33" s="339"/>
      <c r="K33" s="339"/>
      <c r="L33" s="339"/>
    </row>
    <row r="34" spans="1:12" ht="19.8" customHeight="1">
      <c r="A34" s="339"/>
      <c r="B34" s="339"/>
      <c r="C34" s="339"/>
      <c r="D34" s="339"/>
      <c r="E34" s="339"/>
      <c r="F34" s="339"/>
      <c r="G34" s="339"/>
      <c r="H34" s="339"/>
      <c r="I34" s="339"/>
      <c r="J34" s="339"/>
      <c r="K34" s="339"/>
      <c r="L34" s="339"/>
    </row>
    <row r="35" spans="1:12" ht="19.8" customHeight="1">
      <c r="A35" s="339"/>
      <c r="B35" s="339"/>
      <c r="C35" s="339"/>
      <c r="D35" s="339"/>
      <c r="E35" s="339"/>
      <c r="F35" s="339"/>
      <c r="G35" s="339"/>
      <c r="H35" s="339"/>
      <c r="I35" s="339"/>
      <c r="J35" s="339"/>
      <c r="K35" s="339"/>
      <c r="L35" s="339"/>
    </row>
    <row r="36" spans="1:12" ht="19.8" customHeight="1">
      <c r="A36" s="545" t="s">
        <v>6019</v>
      </c>
      <c r="B36" s="545"/>
      <c r="C36" s="545"/>
      <c r="D36" s="545"/>
      <c r="E36" s="545"/>
      <c r="F36" s="545"/>
      <c r="G36" s="545"/>
      <c r="H36" s="545"/>
      <c r="I36" s="545"/>
      <c r="J36" s="545"/>
      <c r="K36" s="545"/>
      <c r="L36" s="545"/>
    </row>
    <row r="37" spans="1:12" ht="19.8" customHeight="1">
      <c r="A37" s="534" t="s">
        <v>142</v>
      </c>
      <c r="B37" s="534" t="s">
        <v>161</v>
      </c>
      <c r="C37" s="534" t="s">
        <v>199</v>
      </c>
      <c r="D37" s="534" t="s">
        <v>871</v>
      </c>
      <c r="E37" s="534" t="s">
        <v>872</v>
      </c>
      <c r="F37" s="534" t="s">
        <v>874</v>
      </c>
      <c r="G37" s="534" t="s">
        <v>875</v>
      </c>
      <c r="H37" s="534" t="s">
        <v>5776</v>
      </c>
      <c r="I37" s="339"/>
      <c r="J37" s="339"/>
      <c r="K37" s="339"/>
      <c r="L37" s="339"/>
    </row>
    <row r="38" spans="1:12" ht="19.8" customHeight="1">
      <c r="A38" s="339" t="str">
        <f>'CM_PM Operations'!A85</f>
        <v>01</v>
      </c>
      <c r="B38" s="535">
        <f>'CM_PM Operations'!B85</f>
        <v>0</v>
      </c>
      <c r="C38" s="339">
        <f>'CM_PM Operations'!C85</f>
        <v>0</v>
      </c>
      <c r="D38" s="339">
        <f>'CM_PM Operations'!D85</f>
        <v>0</v>
      </c>
      <c r="E38" s="339">
        <f>'CM_PM Operations'!E85</f>
        <v>0</v>
      </c>
      <c r="F38" s="339" t="str">
        <f>'CM_PM Operations'!F85</f>
        <v>Monitor</v>
      </c>
      <c r="G38" s="339" t="str">
        <f>'CM_PM Operations'!G85</f>
        <v>Review</v>
      </c>
      <c r="H38" s="339" t="str">
        <f ca="1">'CM_PM Operations'!H85</f>
        <v>🔴 ATTENTION</v>
      </c>
      <c r="I38" s="339"/>
      <c r="J38" s="339"/>
      <c r="K38" s="339"/>
      <c r="L38" s="339"/>
    </row>
    <row r="39" spans="1:12" ht="19.8" customHeight="1">
      <c r="A39" s="339" t="str">
        <f>'CM_PM Operations'!A86</f>
        <v>02</v>
      </c>
      <c r="B39" s="535">
        <f>'CM_PM Operations'!B86</f>
        <v>0</v>
      </c>
      <c r="C39" s="339">
        <f>'CM_PM Operations'!C86</f>
        <v>0</v>
      </c>
      <c r="D39" s="339">
        <f>'CM_PM Operations'!D86</f>
        <v>0</v>
      </c>
      <c r="E39" s="339">
        <f>'CM_PM Operations'!E86</f>
        <v>0</v>
      </c>
      <c r="F39" s="339" t="str">
        <f>'CM_PM Operations'!F86</f>
        <v>Monitor</v>
      </c>
      <c r="G39" s="339" t="str">
        <f>'CM_PM Operations'!G86</f>
        <v>Review</v>
      </c>
      <c r="H39" s="339" t="str">
        <f ca="1">'CM_PM Operations'!H86</f>
        <v>🔴 ATTENTION</v>
      </c>
      <c r="I39" s="339"/>
      <c r="J39" s="339"/>
      <c r="K39" s="339"/>
      <c r="L39" s="339"/>
    </row>
    <row r="40" spans="1:12" ht="19.8" customHeight="1">
      <c r="A40" s="339" t="str">
        <f>'CM_PM Operations'!A87</f>
        <v>03</v>
      </c>
      <c r="B40" s="535">
        <f>'CM_PM Operations'!B87</f>
        <v>0</v>
      </c>
      <c r="C40" s="339">
        <f>'CM_PM Operations'!C87</f>
        <v>0</v>
      </c>
      <c r="D40" s="339">
        <f>'CM_PM Operations'!D87</f>
        <v>0</v>
      </c>
      <c r="E40" s="339">
        <f>'CM_PM Operations'!E87</f>
        <v>0</v>
      </c>
      <c r="F40" s="339" t="str">
        <f>'CM_PM Operations'!F87</f>
        <v>Monitor</v>
      </c>
      <c r="G40" s="339" t="str">
        <f>'CM_PM Operations'!G87</f>
        <v>Review</v>
      </c>
      <c r="H40" s="339" t="str">
        <f ca="1">'CM_PM Operations'!H87</f>
        <v>🔴 ATTENTION</v>
      </c>
      <c r="I40" s="339"/>
      <c r="J40" s="339"/>
      <c r="K40" s="339"/>
      <c r="L40" s="339"/>
    </row>
    <row r="41" spans="1:12" ht="19.8" customHeight="1">
      <c r="A41" s="339" t="str">
        <f>'CM_PM Operations'!A88</f>
        <v>04</v>
      </c>
      <c r="B41" s="535">
        <f>'CM_PM Operations'!B88</f>
        <v>0</v>
      </c>
      <c r="C41" s="339">
        <f>'CM_PM Operations'!C88</f>
        <v>0</v>
      </c>
      <c r="D41" s="339">
        <f>'CM_PM Operations'!D88</f>
        <v>0</v>
      </c>
      <c r="E41" s="339">
        <f>'CM_PM Operations'!E88</f>
        <v>0</v>
      </c>
      <c r="F41" s="339" t="str">
        <f>'CM_PM Operations'!F88</f>
        <v>Monitor</v>
      </c>
      <c r="G41" s="339" t="str">
        <f>'CM_PM Operations'!G88</f>
        <v>Review</v>
      </c>
      <c r="H41" s="339" t="str">
        <f ca="1">'CM_PM Operations'!H88</f>
        <v>🔴 ATTENTION</v>
      </c>
      <c r="I41" s="339"/>
      <c r="J41" s="339"/>
      <c r="K41" s="339"/>
      <c r="L41" s="339"/>
    </row>
    <row r="42" spans="1:12" ht="19.8" customHeight="1">
      <c r="A42" s="339" t="str">
        <f>'CM_PM Operations'!A89</f>
        <v>05</v>
      </c>
      <c r="B42" s="535">
        <f>'CM_PM Operations'!B89</f>
        <v>0</v>
      </c>
      <c r="C42" s="339">
        <f>'CM_PM Operations'!C89</f>
        <v>0</v>
      </c>
      <c r="D42" s="339">
        <f>'CM_PM Operations'!D89</f>
        <v>0</v>
      </c>
      <c r="E42" s="339">
        <f>'CM_PM Operations'!E89</f>
        <v>0</v>
      </c>
      <c r="F42" s="339" t="str">
        <f>'CM_PM Operations'!F89</f>
        <v>Monitor</v>
      </c>
      <c r="G42" s="339" t="str">
        <f>'CM_PM Operations'!G89</f>
        <v>Review</v>
      </c>
      <c r="H42" s="339" t="str">
        <f ca="1">'CM_PM Operations'!H89</f>
        <v>🔴 ATTENTION</v>
      </c>
      <c r="I42" s="339"/>
      <c r="J42" s="339"/>
      <c r="K42" s="339"/>
      <c r="L42" s="339"/>
    </row>
    <row r="43" spans="1:12" ht="19.8" customHeight="1">
      <c r="A43" s="339" t="str">
        <f>'CM_PM Operations'!A90</f>
        <v>06</v>
      </c>
      <c r="B43" s="535">
        <f>'CM_PM Operations'!B90</f>
        <v>0</v>
      </c>
      <c r="C43" s="339">
        <f>'CM_PM Operations'!C90</f>
        <v>0</v>
      </c>
      <c r="D43" s="339">
        <f>'CM_PM Operations'!D90</f>
        <v>0</v>
      </c>
      <c r="E43" s="339">
        <f>'CM_PM Operations'!E90</f>
        <v>0</v>
      </c>
      <c r="F43" s="339" t="str">
        <f>'CM_PM Operations'!F90</f>
        <v>Monitor</v>
      </c>
      <c r="G43" s="339" t="str">
        <f>'CM_PM Operations'!G90</f>
        <v>Review</v>
      </c>
      <c r="H43" s="339" t="str">
        <f ca="1">'CM_PM Operations'!H90</f>
        <v>🔴 ATTENTION</v>
      </c>
      <c r="I43" s="339"/>
      <c r="J43" s="339"/>
      <c r="K43" s="339"/>
      <c r="L43" s="339"/>
    </row>
    <row r="44" spans="1:12" ht="19.8" customHeight="1">
      <c r="A44" s="339" t="str">
        <f>'CM_PM Operations'!A91</f>
        <v>07</v>
      </c>
      <c r="B44" s="535">
        <f>'CM_PM Operations'!B91</f>
        <v>0</v>
      </c>
      <c r="C44" s="339">
        <f>'CM_PM Operations'!C91</f>
        <v>0</v>
      </c>
      <c r="D44" s="339">
        <f>'CM_PM Operations'!D91</f>
        <v>0</v>
      </c>
      <c r="E44" s="339">
        <f>'CM_PM Operations'!E91</f>
        <v>0</v>
      </c>
      <c r="F44" s="339" t="str">
        <f>'CM_PM Operations'!F91</f>
        <v>Monitor</v>
      </c>
      <c r="G44" s="339" t="str">
        <f>'CM_PM Operations'!G91</f>
        <v>Review</v>
      </c>
      <c r="H44" s="339" t="str">
        <f ca="1">'CM_PM Operations'!H91</f>
        <v>🔴 ATTENTION</v>
      </c>
      <c r="I44" s="339"/>
      <c r="J44" s="339"/>
      <c r="K44" s="339"/>
      <c r="L44" s="339"/>
    </row>
    <row r="45" spans="1:12" ht="19.8" customHeight="1">
      <c r="A45" s="339" t="str">
        <f>'CM_PM Operations'!A92</f>
        <v>08</v>
      </c>
      <c r="B45" s="535">
        <f>'CM_PM Operations'!B92</f>
        <v>0</v>
      </c>
      <c r="C45" s="339">
        <f>'CM_PM Operations'!C92</f>
        <v>0</v>
      </c>
      <c r="D45" s="339">
        <f>'CM_PM Operations'!D92</f>
        <v>0</v>
      </c>
      <c r="E45" s="339">
        <f>'CM_PM Operations'!E92</f>
        <v>0</v>
      </c>
      <c r="F45" s="339" t="str">
        <f>'CM_PM Operations'!F92</f>
        <v>Monitor</v>
      </c>
      <c r="G45" s="339" t="str">
        <f>'CM_PM Operations'!G92</f>
        <v>Review</v>
      </c>
      <c r="H45" s="339" t="str">
        <f ca="1">'CM_PM Operations'!H92</f>
        <v>🔴 ATTENTION</v>
      </c>
      <c r="I45" s="339"/>
      <c r="J45" s="339"/>
      <c r="K45" s="339"/>
      <c r="L45" s="339"/>
    </row>
    <row r="46" spans="1:12" ht="19.8" customHeight="1">
      <c r="A46" s="339" t="str">
        <f>'CM_PM Operations'!A93</f>
        <v>09</v>
      </c>
      <c r="B46" s="535">
        <f>'CM_PM Operations'!B93</f>
        <v>0</v>
      </c>
      <c r="C46" s="339">
        <f>'CM_PM Operations'!C93</f>
        <v>0</v>
      </c>
      <c r="D46" s="339">
        <f>'CM_PM Operations'!D93</f>
        <v>0</v>
      </c>
      <c r="E46" s="339">
        <f>'CM_PM Operations'!E93</f>
        <v>0</v>
      </c>
      <c r="F46" s="339" t="str">
        <f>'CM_PM Operations'!F93</f>
        <v>Monitor</v>
      </c>
      <c r="G46" s="339" t="str">
        <f>'CM_PM Operations'!G93</f>
        <v>Review</v>
      </c>
      <c r="H46" s="339" t="str">
        <f ca="1">'CM_PM Operations'!H93</f>
        <v>🔴 ATTENTION</v>
      </c>
      <c r="I46" s="339"/>
      <c r="J46" s="339"/>
      <c r="K46" s="339"/>
      <c r="L46" s="339"/>
    </row>
    <row r="47" spans="1:12" ht="19.8" customHeight="1">
      <c r="A47" s="339" t="str">
        <f>'CM_PM Operations'!A94</f>
        <v>10</v>
      </c>
      <c r="B47" s="535">
        <f>'CM_PM Operations'!B94</f>
        <v>0</v>
      </c>
      <c r="C47" s="339">
        <f>'CM_PM Operations'!C94</f>
        <v>0</v>
      </c>
      <c r="D47" s="339">
        <f>'CM_PM Operations'!D94</f>
        <v>0</v>
      </c>
      <c r="E47" s="339">
        <f>'CM_PM Operations'!E94</f>
        <v>0</v>
      </c>
      <c r="F47" s="339" t="str">
        <f>'CM_PM Operations'!F94</f>
        <v>Monitor</v>
      </c>
      <c r="G47" s="339" t="str">
        <f>'CM_PM Operations'!G94</f>
        <v>Review</v>
      </c>
      <c r="H47" s="339" t="str">
        <f ca="1">'CM_PM Operations'!H94</f>
        <v>🔴 ATTENTION</v>
      </c>
      <c r="I47" s="339"/>
      <c r="J47" s="339"/>
      <c r="K47" s="339"/>
      <c r="L47" s="339"/>
    </row>
    <row r="48" spans="1:12" ht="19.8" customHeight="1">
      <c r="A48" s="339" t="str">
        <f>'CM_PM Operations'!A95</f>
        <v>12</v>
      </c>
      <c r="B48" s="535">
        <f>'CM_PM Operations'!B95</f>
        <v>0</v>
      </c>
      <c r="C48" s="339">
        <f>'CM_PM Operations'!C95</f>
        <v>0</v>
      </c>
      <c r="D48" s="339">
        <f>'CM_PM Operations'!D95</f>
        <v>0</v>
      </c>
      <c r="E48" s="339">
        <f>'CM_PM Operations'!E95</f>
        <v>0</v>
      </c>
      <c r="F48" s="339" t="str">
        <f>'CM_PM Operations'!F95</f>
        <v>Monitor</v>
      </c>
      <c r="G48" s="339" t="str">
        <f>'CM_PM Operations'!G95</f>
        <v>Review</v>
      </c>
      <c r="H48" s="339" t="str">
        <f ca="1">'CM_PM Operations'!H95</f>
        <v>🔴 ATTENTION</v>
      </c>
      <c r="I48" s="339"/>
      <c r="J48" s="339"/>
      <c r="K48" s="339"/>
      <c r="L48" s="339"/>
    </row>
    <row r="49" spans="1:12" ht="19.8" customHeight="1">
      <c r="A49" s="339" t="str">
        <f>'CM_PM Operations'!A96</f>
        <v>13</v>
      </c>
      <c r="B49" s="535">
        <f>'CM_PM Operations'!B96</f>
        <v>0</v>
      </c>
      <c r="C49" s="339">
        <f>'CM_PM Operations'!C96</f>
        <v>0</v>
      </c>
      <c r="D49" s="339">
        <f>'CM_PM Operations'!D96</f>
        <v>0</v>
      </c>
      <c r="E49" s="339">
        <f>'CM_PM Operations'!E96</f>
        <v>0</v>
      </c>
      <c r="F49" s="339" t="str">
        <f>'CM_PM Operations'!F96</f>
        <v>Monitor</v>
      </c>
      <c r="G49" s="339" t="str">
        <f>'CM_PM Operations'!G96</f>
        <v>Review</v>
      </c>
      <c r="H49" s="339" t="str">
        <f ca="1">'CM_PM Operations'!H96</f>
        <v>🔴 ATTENTION</v>
      </c>
      <c r="I49" s="339"/>
      <c r="J49" s="339"/>
      <c r="K49" s="339"/>
      <c r="L49" s="339"/>
    </row>
    <row r="50" spans="1:12" ht="19.8" customHeight="1">
      <c r="A50" s="339"/>
      <c r="B50" s="339"/>
      <c r="C50" s="339"/>
      <c r="D50" s="339"/>
      <c r="E50" s="339"/>
      <c r="F50" s="339"/>
      <c r="G50" s="339"/>
      <c r="H50" s="339"/>
      <c r="I50" s="339"/>
      <c r="J50" s="339"/>
      <c r="K50" s="339"/>
      <c r="L50" s="339"/>
    </row>
    <row r="51" spans="1:12" ht="19.8" customHeight="1">
      <c r="A51" s="339"/>
      <c r="B51" s="339"/>
      <c r="C51" s="339"/>
      <c r="D51" s="339"/>
      <c r="E51" s="339"/>
      <c r="F51" s="339"/>
      <c r="G51" s="339"/>
      <c r="H51" s="339"/>
      <c r="I51" s="339"/>
      <c r="J51" s="339"/>
      <c r="K51" s="339"/>
      <c r="L51" s="339"/>
    </row>
    <row r="52" spans="1:12" ht="19.8" customHeight="1">
      <c r="A52" s="545" t="s">
        <v>6020</v>
      </c>
      <c r="B52" s="545"/>
      <c r="C52" s="545"/>
      <c r="D52" s="545"/>
      <c r="E52" s="545"/>
      <c r="F52" s="545"/>
      <c r="G52" s="545"/>
      <c r="H52" s="545"/>
      <c r="I52" s="545"/>
      <c r="J52" s="545"/>
      <c r="K52" s="545"/>
      <c r="L52" s="545"/>
    </row>
    <row r="53" spans="1:12" ht="19.8" customHeight="1">
      <c r="A53" s="534" t="s">
        <v>295</v>
      </c>
      <c r="B53" s="534" t="s">
        <v>218</v>
      </c>
      <c r="C53" s="534" t="s">
        <v>142</v>
      </c>
      <c r="D53" s="534" t="s">
        <v>6021</v>
      </c>
      <c r="E53" s="534" t="s">
        <v>5827</v>
      </c>
      <c r="F53" s="534" t="s">
        <v>219</v>
      </c>
      <c r="G53" s="534" t="s">
        <v>299</v>
      </c>
      <c r="H53" s="534" t="s">
        <v>255</v>
      </c>
      <c r="I53" s="534" t="s">
        <v>77</v>
      </c>
      <c r="J53" s="534" t="s">
        <v>11</v>
      </c>
      <c r="K53" s="339"/>
      <c r="L53" s="339"/>
    </row>
    <row r="54" spans="1:12" ht="19.8" customHeight="1">
      <c r="A54" s="339">
        <f>'CM_PM Operations'!A119</f>
        <v>0</v>
      </c>
      <c r="B54" s="339">
        <f>'CM_PM Operations'!B119</f>
        <v>0</v>
      </c>
      <c r="C54" s="339">
        <f>'CM_PM Operations'!C119</f>
        <v>0</v>
      </c>
      <c r="D54" s="529">
        <f>'CM_PM Operations'!D119</f>
        <v>0</v>
      </c>
      <c r="E54" s="529">
        <f>'CM_PM Operations'!E119</f>
        <v>0</v>
      </c>
      <c r="F54" s="529">
        <f>'CM_PM Operations'!F119</f>
        <v>0</v>
      </c>
      <c r="G54" s="339">
        <f>'CM_PM Operations'!G119</f>
        <v>0</v>
      </c>
      <c r="H54" s="339">
        <f>'CM_PM Operations'!H119</f>
        <v>0</v>
      </c>
      <c r="I54" s="339">
        <f>'CM_PM Operations'!I119</f>
        <v>0</v>
      </c>
      <c r="J54" s="339">
        <f>'CM_PM Operations'!J119</f>
        <v>0</v>
      </c>
      <c r="K54" s="339"/>
      <c r="L54" s="339"/>
    </row>
    <row r="55" spans="1:12" ht="19.8" customHeight="1">
      <c r="A55" s="339">
        <f>'CM_PM Operations'!A120</f>
        <v>0</v>
      </c>
      <c r="B55" s="339">
        <f>'CM_PM Operations'!B120</f>
        <v>0</v>
      </c>
      <c r="C55" s="339">
        <f>'CM_PM Operations'!C120</f>
        <v>0</v>
      </c>
      <c r="D55" s="529">
        <f>'CM_PM Operations'!D120</f>
        <v>0</v>
      </c>
      <c r="E55" s="529">
        <f>'CM_PM Operations'!E120</f>
        <v>0</v>
      </c>
      <c r="F55" s="529">
        <f>'CM_PM Operations'!F120</f>
        <v>0</v>
      </c>
      <c r="G55" s="339">
        <f>'CM_PM Operations'!G120</f>
        <v>0</v>
      </c>
      <c r="H55" s="339">
        <f>'CM_PM Operations'!H120</f>
        <v>0</v>
      </c>
      <c r="I55" s="339">
        <f>'CM_PM Operations'!I120</f>
        <v>0</v>
      </c>
      <c r="J55" s="339">
        <f>'CM_PM Operations'!J120</f>
        <v>0</v>
      </c>
      <c r="K55" s="339"/>
      <c r="L55" s="339"/>
    </row>
    <row r="56" spans="1:12" ht="19.8" customHeight="1">
      <c r="A56" s="339">
        <f>'CM_PM Operations'!A121</f>
        <v>0</v>
      </c>
      <c r="B56" s="339">
        <f>'CM_PM Operations'!B121</f>
        <v>0</v>
      </c>
      <c r="C56" s="339">
        <f>'CM_PM Operations'!C121</f>
        <v>0</v>
      </c>
      <c r="D56" s="529">
        <f>'CM_PM Operations'!D121</f>
        <v>0</v>
      </c>
      <c r="E56" s="529">
        <f>'CM_PM Operations'!E121</f>
        <v>0</v>
      </c>
      <c r="F56" s="529">
        <f>'CM_PM Operations'!F121</f>
        <v>0</v>
      </c>
      <c r="G56" s="339">
        <f>'CM_PM Operations'!G121</f>
        <v>0</v>
      </c>
      <c r="H56" s="339">
        <f>'CM_PM Operations'!H121</f>
        <v>0</v>
      </c>
      <c r="I56" s="339">
        <f>'CM_PM Operations'!I121</f>
        <v>0</v>
      </c>
      <c r="J56" s="339">
        <f>'CM_PM Operations'!J121</f>
        <v>0</v>
      </c>
      <c r="K56" s="339"/>
      <c r="L56" s="339"/>
    </row>
    <row r="57" spans="1:12" ht="19.8" customHeight="1">
      <c r="A57" s="339">
        <f>'CM_PM Operations'!A122</f>
        <v>0</v>
      </c>
      <c r="B57" s="339">
        <f>'CM_PM Operations'!B122</f>
        <v>0</v>
      </c>
      <c r="C57" s="339">
        <f>'CM_PM Operations'!C122</f>
        <v>0</v>
      </c>
      <c r="D57" s="529">
        <f>'CM_PM Operations'!D122</f>
        <v>0</v>
      </c>
      <c r="E57" s="529">
        <f>'CM_PM Operations'!E122</f>
        <v>0</v>
      </c>
      <c r="F57" s="529">
        <f>'CM_PM Operations'!F122</f>
        <v>0</v>
      </c>
      <c r="G57" s="339">
        <f>'CM_PM Operations'!G122</f>
        <v>0</v>
      </c>
      <c r="H57" s="339">
        <f>'CM_PM Operations'!H122</f>
        <v>0</v>
      </c>
      <c r="I57" s="339">
        <f>'CM_PM Operations'!I122</f>
        <v>0</v>
      </c>
      <c r="J57" s="339">
        <f>'CM_PM Operations'!J122</f>
        <v>0</v>
      </c>
      <c r="K57" s="339"/>
      <c r="L57" s="339"/>
    </row>
    <row r="58" spans="1:12" ht="19.8" customHeight="1">
      <c r="A58" s="339">
        <f>'CM_PM Operations'!A123</f>
        <v>0</v>
      </c>
      <c r="B58" s="339">
        <f>'CM_PM Operations'!B123</f>
        <v>0</v>
      </c>
      <c r="C58" s="339">
        <f>'CM_PM Operations'!C123</f>
        <v>0</v>
      </c>
      <c r="D58" s="529">
        <f>'CM_PM Operations'!D123</f>
        <v>0</v>
      </c>
      <c r="E58" s="529">
        <f>'CM_PM Operations'!E123</f>
        <v>0</v>
      </c>
      <c r="F58" s="529">
        <f>'CM_PM Operations'!F123</f>
        <v>0</v>
      </c>
      <c r="G58" s="339">
        <f>'CM_PM Operations'!G123</f>
        <v>0</v>
      </c>
      <c r="H58" s="339">
        <f>'CM_PM Operations'!H123</f>
        <v>0</v>
      </c>
      <c r="I58" s="339">
        <f>'CM_PM Operations'!I123</f>
        <v>0</v>
      </c>
      <c r="J58" s="339">
        <f>'CM_PM Operations'!J123</f>
        <v>0</v>
      </c>
      <c r="K58" s="339"/>
      <c r="L58" s="339"/>
    </row>
    <row r="59" spans="1:12" ht="19.8" customHeight="1">
      <c r="A59" s="339">
        <f>'CM_PM Operations'!A124</f>
        <v>0</v>
      </c>
      <c r="B59" s="339">
        <f>'CM_PM Operations'!B124</f>
        <v>0</v>
      </c>
      <c r="C59" s="339">
        <f>'CM_PM Operations'!C124</f>
        <v>0</v>
      </c>
      <c r="D59" s="529">
        <f>'CM_PM Operations'!D124</f>
        <v>0</v>
      </c>
      <c r="E59" s="529">
        <f>'CM_PM Operations'!E124</f>
        <v>0</v>
      </c>
      <c r="F59" s="529">
        <f>'CM_PM Operations'!F124</f>
        <v>0</v>
      </c>
      <c r="G59" s="339">
        <f>'CM_PM Operations'!G124</f>
        <v>0</v>
      </c>
      <c r="H59" s="339">
        <f>'CM_PM Operations'!H124</f>
        <v>0</v>
      </c>
      <c r="I59" s="339">
        <f>'CM_PM Operations'!I124</f>
        <v>0</v>
      </c>
      <c r="J59" s="339">
        <f>'CM_PM Operations'!J124</f>
        <v>0</v>
      </c>
      <c r="K59" s="339"/>
      <c r="L59" s="339"/>
    </row>
    <row r="60" spans="1:12" ht="19.8" customHeight="1">
      <c r="A60" s="339">
        <f>'CM_PM Operations'!A125</f>
        <v>0</v>
      </c>
      <c r="B60" s="339">
        <f>'CM_PM Operations'!B125</f>
        <v>0</v>
      </c>
      <c r="C60" s="339">
        <f>'CM_PM Operations'!C125</f>
        <v>0</v>
      </c>
      <c r="D60" s="529">
        <f>'CM_PM Operations'!D125</f>
        <v>0</v>
      </c>
      <c r="E60" s="529">
        <f>'CM_PM Operations'!E125</f>
        <v>0</v>
      </c>
      <c r="F60" s="529">
        <f>'CM_PM Operations'!F125</f>
        <v>0</v>
      </c>
      <c r="G60" s="339">
        <f>'CM_PM Operations'!G125</f>
        <v>0</v>
      </c>
      <c r="H60" s="339">
        <f>'CM_PM Operations'!H125</f>
        <v>0</v>
      </c>
      <c r="I60" s="339">
        <f>'CM_PM Operations'!I125</f>
        <v>0</v>
      </c>
      <c r="J60" s="339">
        <f>'CM_PM Operations'!J125</f>
        <v>0</v>
      </c>
      <c r="K60" s="339"/>
      <c r="L60" s="339"/>
    </row>
    <row r="61" spans="1:12" ht="19.8" customHeight="1">
      <c r="A61" s="339">
        <f>'CM_PM Operations'!A126</f>
        <v>0</v>
      </c>
      <c r="B61" s="339">
        <f>'CM_PM Operations'!B126</f>
        <v>0</v>
      </c>
      <c r="C61" s="339">
        <f>'CM_PM Operations'!C126</f>
        <v>0</v>
      </c>
      <c r="D61" s="529">
        <f>'CM_PM Operations'!D126</f>
        <v>0</v>
      </c>
      <c r="E61" s="529">
        <f>'CM_PM Operations'!E126</f>
        <v>0</v>
      </c>
      <c r="F61" s="529">
        <f>'CM_PM Operations'!F126</f>
        <v>0</v>
      </c>
      <c r="G61" s="339">
        <f>'CM_PM Operations'!G126</f>
        <v>0</v>
      </c>
      <c r="H61" s="339">
        <f>'CM_PM Operations'!H126</f>
        <v>0</v>
      </c>
      <c r="I61" s="339">
        <f>'CM_PM Operations'!I126</f>
        <v>0</v>
      </c>
      <c r="J61" s="339">
        <f>'CM_PM Operations'!J126</f>
        <v>0</v>
      </c>
      <c r="K61" s="339"/>
      <c r="L61" s="339"/>
    </row>
    <row r="62" spans="1:12" ht="19.8" customHeight="1">
      <c r="A62" s="339">
        <f>'CM_PM Operations'!A127</f>
        <v>0</v>
      </c>
      <c r="B62" s="339">
        <f>'CM_PM Operations'!B127</f>
        <v>0</v>
      </c>
      <c r="C62" s="339">
        <f>'CM_PM Operations'!C127</f>
        <v>0</v>
      </c>
      <c r="D62" s="529">
        <f>'CM_PM Operations'!D127</f>
        <v>0</v>
      </c>
      <c r="E62" s="529">
        <f>'CM_PM Operations'!E127</f>
        <v>0</v>
      </c>
      <c r="F62" s="529">
        <f>'CM_PM Operations'!F127</f>
        <v>0</v>
      </c>
      <c r="G62" s="339">
        <f>'CM_PM Operations'!G127</f>
        <v>0</v>
      </c>
      <c r="H62" s="339">
        <f>'CM_PM Operations'!H127</f>
        <v>0</v>
      </c>
      <c r="I62" s="339">
        <f>'CM_PM Operations'!I127</f>
        <v>0</v>
      </c>
      <c r="J62" s="339">
        <f>'CM_PM Operations'!J127</f>
        <v>0</v>
      </c>
      <c r="K62" s="339"/>
      <c r="L62" s="339"/>
    </row>
    <row r="63" spans="1:12" ht="19.8" customHeight="1">
      <c r="A63" s="339"/>
      <c r="B63" s="339"/>
      <c r="C63" s="339"/>
      <c r="D63" s="339"/>
      <c r="E63" s="339"/>
      <c r="F63" s="339"/>
      <c r="G63" s="339"/>
      <c r="H63" s="339"/>
      <c r="I63" s="339"/>
      <c r="J63" s="339"/>
      <c r="K63" s="339"/>
      <c r="L63" s="339"/>
    </row>
    <row r="64" spans="1:12" ht="19.8" customHeight="1">
      <c r="A64" s="543" t="s">
        <v>6022</v>
      </c>
      <c r="B64" s="543"/>
      <c r="C64" s="543"/>
      <c r="D64" s="543"/>
      <c r="E64" s="543"/>
      <c r="F64" s="543"/>
      <c r="G64" s="543"/>
      <c r="H64" s="543"/>
      <c r="I64" s="543"/>
      <c r="J64" s="543"/>
      <c r="K64" s="543"/>
      <c r="L64" s="543"/>
    </row>
    <row r="65" spans="1:12" ht="19.8" customHeight="1">
      <c r="A65" s="543"/>
      <c r="B65" s="543"/>
      <c r="C65" s="543"/>
      <c r="D65" s="543"/>
      <c r="E65" s="543"/>
      <c r="F65" s="543"/>
      <c r="G65" s="543"/>
      <c r="H65" s="543"/>
      <c r="I65" s="543"/>
      <c r="J65" s="543"/>
      <c r="K65" s="543"/>
      <c r="L65" s="543"/>
    </row>
    <row r="66" spans="1:12" ht="19.8" customHeight="1">
      <c r="A66" s="543"/>
      <c r="B66" s="543"/>
      <c r="C66" s="543"/>
      <c r="D66" s="543"/>
      <c r="E66" s="543"/>
      <c r="F66" s="543"/>
      <c r="G66" s="543"/>
      <c r="H66" s="543"/>
      <c r="I66" s="543"/>
      <c r="J66" s="543"/>
      <c r="K66" s="543"/>
      <c r="L66" s="543"/>
    </row>
    <row r="67" spans="1:12" ht="19.8" customHeight="1">
      <c r="A67" s="339"/>
      <c r="B67" s="339"/>
      <c r="C67" s="339"/>
      <c r="D67" s="339"/>
      <c r="E67" s="339"/>
      <c r="F67" s="339"/>
      <c r="G67" s="339"/>
      <c r="H67" s="339"/>
      <c r="I67" s="339"/>
      <c r="J67" s="339"/>
      <c r="K67" s="339"/>
      <c r="L67" s="339"/>
    </row>
    <row r="68" spans="1:12" ht="19.8" customHeight="1">
      <c r="A68" s="545" t="s">
        <v>6023</v>
      </c>
      <c r="B68" s="545"/>
      <c r="C68" s="545"/>
      <c r="D68" s="545"/>
      <c r="E68" s="545"/>
      <c r="F68" s="545"/>
      <c r="G68" s="545"/>
      <c r="H68" s="545"/>
      <c r="I68" s="545"/>
      <c r="J68" s="545"/>
      <c r="K68" s="545"/>
      <c r="L68" s="545"/>
    </row>
    <row r="69" spans="1:12" ht="19.8" customHeight="1">
      <c r="A69" s="534" t="s">
        <v>142</v>
      </c>
      <c r="B69" s="534" t="s">
        <v>199</v>
      </c>
      <c r="C69" s="534" t="s">
        <v>870</v>
      </c>
      <c r="D69" s="534" t="s">
        <v>5455</v>
      </c>
      <c r="E69" s="534" t="s">
        <v>3348</v>
      </c>
      <c r="F69" s="534" t="s">
        <v>3349</v>
      </c>
      <c r="G69" s="534" t="s">
        <v>5456</v>
      </c>
      <c r="H69" s="536"/>
      <c r="I69" s="536"/>
      <c r="J69" s="536"/>
      <c r="K69" s="339"/>
      <c r="L69" s="339"/>
    </row>
    <row r="70" spans="1:12" ht="19.8" customHeight="1">
      <c r="A70" s="339" t="str">
        <f>'CM_PM Operations'!A139</f>
        <v>01</v>
      </c>
      <c r="B70" s="339" t="str">
        <f>'CM_PM Operations'!B139</f>
        <v>• B01-Q1 — Confirm final telecom scope: new Room 107 with existing B02, 138 and 282 transition/transfer points? [Closed] Impact: Room inventory could miss scope
• B01-Q2 — What active services are currently fed from existing Rooms B02, 138 and 282? [Closed] Impact: Potential communications/security outage
• B01-Q3 — What equipment from existing racks transfers to new Room 107 versus remains/decommissions? [Closed] Impact: Cutover and rack elevation risk
• B01-Q4 — Is IU-1-01/CU-1-01 on emergency/backup power and dedicated to Room 107? [Closed] Impact: Cooling continuity unclear
• B01-Q5 — Where is the clean-agent/CO2 extinguisher cabinet located within 75 ft of Room 107? [Closed] Impact: Life-safety acceptance risk
• B01-Q6 — Are B01-TR107A/B sources, rack receptacles, SPDs, labels and 30-day load measurements approved? [Closed] Impact: Electrical readiness unknown</v>
      </c>
      <c r="C70" s="339" t="str">
        <f>'CM_PM Operations'!C139</f>
        <v>Building 01 is a full-scope telecom room building with new First-Level Telecom Room 107 and existing telecom transition rooms B02, 138, and 282. Scope includes architectural, hazardous, fire protection, mechanical, electrical, telecom, security, rack elevations, schedules, and photo references. Major open items include active service transfer from existing rooms, IU-1-01/CU-1-01 cooling, B01-TR107A/B normal/emergency power, UPS/PDU rack power, PACS/CCTV, 394 ft cable tray, firestopping, fiber Path A/B, and room/equipment cutover planning.</v>
      </c>
      <c r="D70" s="529" t="str">
        <f>'CM_PM Operations'!D139</f>
        <v>• Full fire protection scope included. Verify sprinkler head modifications, fire alarm devices, clean-agent/CO2 2A:10B:C FEC within 75 ft, rated wall/floor penetrations, temporary firestopping and final UL firestop systems.
• Existing telecom room; verify FP/FA protection-in-place and seal penetrations after cable removal/reuse.
• Existing telecom room; verify fire alarm/sprinkler impacts, protection-in-place and final firestop at cable changes.
• Existing second-level telecom room; verify riser penetrations, firestopping and protection-in-place.</v>
      </c>
      <c r="E70" s="529" t="str">
        <f>'CM_PM Operations'!E139</f>
        <v>• Mechanical drawings show IU-1-01 split-system indoor unit and CU-1-01 outdoor unit for Room 107. Notes call for condensate pump, pumped condensate line, BACnet adapter adjacent to unit, FMS integration, room temperature/humidity points and alarms. Confirm capacity, emergency source, condensate path, controls and startup.
• Existing basement telecom equipment may remain active during cutover. Verify environmental conditions and whether active equipment remains after migration.
• Existing first-level equipment may remain active during transfer; verify temperature, ventilation and protection of active gear.
• Existing second-level equipment may remain active until cutover; verify existing cooling/ambient conditions and no overheating.</v>
      </c>
      <c r="F70" s="529" t="str">
        <f>'CM_PM Operations'!F139</f>
        <v>• Electrical plans/schedules identify B01-TR107A and B01-TR107B, rack receptacles, normal/emergency receptacles, redundant vertical PDUs, CU-1-01, access controller, lighting/receptacle circuits, SPDs integral to new telecom panels, and 30-day load measurement requirements before panel renovation.
• Existing B02 rack elevations show UPS on floor and Tripp Lite Smart Pro UPS; verify active source circuits and transfer requirements.
• Existing 138 rack elevation shows APC UPS floor and patch panels; verify active source circuits and transition.
• Existing Room 282 equipment includes active rack gear and patch panels; verify source circuits, UPS/PDU condition and final decommission/retain scope.</v>
      </c>
      <c r="G70" s="339" t="str">
        <f>'CM_PM Operations'!G139</f>
        <v>• 01T-701 identifies RM107 with 96 WAO total, 88 active ports per survey, 146 total ports per schedule, and 161 total ports with 10% allowance. Cable tray schedule totals 394 ft: 58 ft basement, 212 ft first level and 124 ft second level. Rack ID TR01-107-1.
• Existing B02 racks/TE support active services and legacy equipment. Contractor must field verify equipment to be demolished or transferred and provide phasing plan.
• Existing Room 138 racks and patch panels act as transition/legacy equipment point. Verify active service labels and transfer sequence.
• Existing Room 282 racks and patch panels act as second-level transition point. Verify all active services, WAP/camera cabling, and riser pathway.</v>
      </c>
      <c r="H70" s="339"/>
      <c r="I70" s="339"/>
      <c r="J70" s="339"/>
      <c r="K70" s="339"/>
      <c r="L70" s="339"/>
    </row>
    <row r="71" spans="1:12" ht="19.8" customHeight="1">
      <c r="A71" s="339" t="str">
        <f>'CM_PM Operations'!A140</f>
        <v>02</v>
      </c>
      <c r="B71" s="339" t="str">
        <f>'CM_PM Operations'!B140</f>
        <v>• B02-Q1 — Confirm final telecom scope: new Rooms 141, 236 and 342 with existing B-06/141/236 transition points? [Open] Impact: Room inventory could miss scope
• B02-Q2 — What active services are currently fed from existing Rooms B-06, 141 and 236? [Open] Impact: Potential communications/security outage
• B02-Q3 — What existing equipment is transferred, relocated, removed or protected in Rooms 141 and 236? [Open] Impact: Cutover and rack elevation risk
• B02-Q4 — Which IU/CU pair serves each TR and are they on emergency/backup power? [Open] Impact: Cooling continuity unclear
• B02-Q5 — Where are clean-agent/CO2 extinguisher cabinets located within 75 ft of Rooms 141, 236 and 342? [Open] Impact: Life-safety acceptance risk
• B02-Q6 — Are B02-TR141/236/342 A/B sources, rack receptacles, SPDs, labels and 30-day load measurements approved? [Open] Impact: Electrical readiness unknown</v>
      </c>
      <c r="C71" s="339" t="str">
        <f>'CM_PM Operations'!C140</f>
        <v>Building 02 is a large full-scope telecom room building with new Telecom Rooms 141, 236, and 342, plus existing telecom transition rooms B-06, 141, and 236. Scope includes architectural, infection control, fire protection, mechanical, electrical, telecommunications, rack elevations, schedules, PACS/CCTV, and photo references. Major open items include active service transfer, multiple panel sets B02-TR141/236/342 A/B, dedicated cooling CU-1/2/3-01, firestopping, PACS/CCTV integration, 2,560 ft cable tray, and high WAO/cable quantity acceptance.</v>
      </c>
      <c r="D71" s="529" t="str">
        <f>'CM_PM Operations'!D140</f>
        <v>• Full fire protection scope included. Verify sprinkler modifications, fire alarm devices, clean-agent/CO2 2A:10B:C FEC within 75 ft, rated wall/floor penetrations, temporary firestopping and final UL systems.
• Verify second-level TR sprinkler/fire alarm modifications, FEC location, cable tray penetrations, and temporary/final firestopping.
• Verify third-level TR sprinkler/fire alarm modifications, FEC location, riser penetrations and firestopping.
• Existing telecom rooms; verify FP/FA protection-in-place and seal penetrations after cable removal/reuse.</v>
      </c>
      <c r="E71" s="529" t="str">
        <f>'CM_PM Operations'!E140</f>
        <v>• Electrical schedule references CU-1-01, CU-2-01 and CU-3-01 on B02-TR141B; mechanical sheets include dedicated TR cooling. Confirm which indoor/outdoor unit serves Room 141, capacity, emergency power, condensate, controls/BACnet and alarms.
• Confirm dedicated cooling equipment serving Room 236, condensate route, 24/7 operation, emergency source and FMS/BACnet high-temperature alarm.
• Confirm dedicated cooling equipment serving Room 342, condensate route, controls, emergency source and alarm integration.
• Existing telecom equipment may remain active during cutover. Verify ambient temperature/cooling protection until migration complete.</v>
      </c>
      <c r="F71" s="529" t="str">
        <f>'CM_PM Operations'!F140</f>
        <v>• Electrical one-line/schedules identify B02-TR141A/B with rack receptacles, lighting/receptacles, SPDs integral to new telecom panelboards and cooling equipment references. Verify source, 30-day load measurement, LOTO and labels.
• Electrical one-line/schedules identify B02-TR236A/B with rack receptacles, lighting/receptacles, SPDs and normal/emergency power requirements. Verify source and rack PDU mapping.
• Electrical one-line/schedules identify B02-TR342A/B with rack receptacles, lighting/receptacles and SPDs. Verify source panels and UPS/PDU circuits.
• Existing racks/panels remain active during transfer; verify power source, UPS status and temporary power needs.</v>
      </c>
      <c r="G71" s="339" t="str">
        <f>'CM_PM Operations'!G140</f>
        <v>• 02T-701 identifies RM141 with 211 WAO total, 215 active ports, 322 scheduled ports, 354 ports with allowance. Rack IDs TR01-141-01/02. Cable tray schedule total includes 1,069 ft first-level cable tray.
• 02T-702 identifies RM236 with 179 WAO total, 178 active ports, 314 scheduled ports and approx. 345 with allowance. Rack IDs TR01-236-01/02. Verify second-level cable tray, riser and cutover from existing 282/236 scope.
• 02T-703 identifies RM342 with 274 WAO total, 96 active ports, 353 scheduled ports, 388 with allowance. Rack IDs TR01-342-01/02. Verify third-level cable tray and high outlet count.
• Existing B-06/141/236 racks support legacy services. Field verify all active circuits, existing patch panels, labels, and transfer plan before cutover.</v>
      </c>
      <c r="H71" s="339"/>
      <c r="I71" s="339"/>
      <c r="J71" s="339"/>
      <c r="K71" s="339"/>
      <c r="L71" s="339"/>
    </row>
    <row r="72" spans="1:12" ht="19.8" customHeight="1">
      <c r="A72" s="339" t="str">
        <f>'CM_PM Operations'!A141</f>
        <v>03</v>
      </c>
      <c r="B72" s="339" t="str">
        <f>'CM_PM Operations'!B141</f>
        <v>• B03-Q1 — Confirm final telecom scope: new Room 101E with existing Basement Room 107 and existing DMARC Room 101C transition points? [Open] Impact: Room inventory could miss scope
• B03-Q2 — What active services are currently fed from existing Room 107 and DMARC Room 101C? [Open] Impact: Potential communications/provider outage
• B03-Q3 — What existing equipment transfers to new Room 101E versus remains/decommissions? [Open] Impact: Cutover and rack elevation risk
• B03-Q4 — Which IU/CU pair serves Room 101E and is it on emergency/backup power? [Open] Impact: Cooling continuity unclear
• B03-Q5 — Where is the clean-agent/CO2 extinguisher cabinet located within 75 ft of Room 101E? [Open] Impact: Life-safety acceptance risk
• B03-Q6 — Are B03-TR101CA/B sources, rack receptacles, SPDs, labels and 30-day load measurements approved? [Open] Impact: Electrical readiness unknown</v>
      </c>
      <c r="C72" s="339" t="str">
        <f>'CM_PM Operations'!C141</f>
        <v>Building 03 is a full-scope telecom room building centered on new/renovated Telecom Room 101E, with existing Basement Telecom Room 107 and existing first-floor DMARC/telecom Room 101C as transition points. Scope includes architectural, infection control, fire protection, mechanical, electrical, telecommunications, rack elevations, Room 107 inventory, PACS/CCTV, 961 ft cable tray, and 206 total ports with allowance. Major open items include transfer from existing 107/101C, active DMARC/fiber protection, B03-TR101CA/B panel sources, CU-01 cooling, firestopping, camera 101C-CAM-01, and OIT acceptance.</v>
      </c>
      <c r="D72" s="529" t="str">
        <f>'CM_PM Operations'!D141</f>
        <v>• Full fire protection scope included. Verify sprinkler modifications, fire alarm devices, clean-agent/CO2 2A:10B:C FEC within 75 ft, rated wall/floor penetrations, temporary firestopping and final UL systems.
• Existing telecom room; verify fire alarm/sprinkler protection-in-place and seal penetrations after fiber/cable transfer or reuse.
• Existing DMARC/telecom room; fire alarm/sprinkler and firestopping must remain in service during transfer.
• Coordinate ceiling removal, temporary barriers/upright sprinklers if ceiling tiles remain open, and firestopping at all rated penetrations.</v>
      </c>
      <c r="E72" s="529" t="str">
        <f>'CM_PM Operations'!E141</f>
        <v>• Electrical schedule references CU-01 on B03-TR101CB and mechanical package includes dedicated TR cooling. Confirm indoor/outdoor unit serving Room 101E, capacity, emergency source, condensate route, controls/BACnet and high-temperature alarm.
• Existing basement telecom equipment may remain active during transfer. Verify ambient temperature/cooling protection until migration is complete.
• Existing DMARC/fiber services may remain active during cutover; verify existing environmental conditions and heat load if equipment remains.
• No dedicated HVAC for WAO areas; maintain infection control/IAQ and ceiling restoration requirements.</v>
      </c>
      <c r="F72" s="529" t="str">
        <f>'CM_PM Operations'!F141</f>
        <v>• Electrical one-line/schedules identify B03-TR101CA/B with rack receptacles, TR receptacles, access controller, CU-01 on B03-TR101CB, SPDs integral to telecom panels, PXR20 trip units, and 30-day load measurement requirements.
• Existing Room 107 rack elevation shows UPS on floor and legacy telecom equipment. Verify active source circuits and transfer requirements.
• Existing DMARC plan shows existing branch panel and patch panel removal/relocation scope. Verify source circuits before demolition or transfer.
• Verify power/data coordination at outlets, cameras, WAPs, Centrak/clock devices and hard-lid ceiling locations.</v>
      </c>
      <c r="G72" s="339" t="str">
        <f>'CM_PM Operations'!G141</f>
        <v>• 03T-701 identifies RM101E with 143 WAO total, 213 active ports, 187 scheduled ports and 206 total ports with 10% allowance. Cable tray schedule totals 961 ft: 615 ft basement level and 346 ft first level. Rack IDs TR01-101E-1 and TR01-101E-2.
• Existing Room 107 rack supports legacy active services; verify B3-LB-B13-TC-FIBER equipment inventory, fiber LIU, patch panels, Cisco switch and UPS before cutover.
• Existing DMARC/telecom room 101C includes patch panels/cabinet/branch panel and 101C-CAM-01; protect active provider/fiber/DMARC services until new fiber/rack work is accepted.
• Existing ports replaced; 3- and 4-port outlets reduced to two Cat6A ports where coordinated. WAPs remain protected in place while cabling/faceplate/jack are replaced.</v>
      </c>
      <c r="H72" s="339"/>
      <c r="I72" s="339"/>
      <c r="J72" s="339"/>
      <c r="K72" s="339"/>
      <c r="L72" s="339"/>
    </row>
    <row r="73" spans="1:12" ht="19.8" customHeight="1">
      <c r="A73" s="339" t="str">
        <f>'CM_PM Operations'!A142</f>
        <v>04</v>
      </c>
      <c r="B73" s="339" t="str">
        <f>'CM_PM Operations'!B142</f>
        <v>• B04-Q1 — Confirm final TR room list: B05, 141, and 244A; are there additional served-from rooms? [Open] Impact: Incomplete room inventory / missed scope
• B04-Q2 — Are B05, 141, and 244A cooling systems on emergency/backup power? [Open] Impact: Cooling continuity not confirmed
• B04-Q3 — Where are clean-agent/CO2 extinguisher cabinets located within 75 ft of each TR? [Open] Impact: Life safety acceptance risk
• B04-Q4 — What is the approved migration and cutover sequence for active Building 04 services? [Open] Impact: Potential communications outage
• B04-Q5 — Are hazardous/abatement impacts cleared for basement and first-level penetrations/floor work? [Open] Impact: Work stoppage or exposure risk
• B04-Q6 — Are all B04 panelboards/feeders/breakers/SPDs/load measurements approved before renovation? [Open] Impact: Electrical delay or overload risk</v>
      </c>
      <c r="C73" s="339" t="str">
        <f>'CM_PM Operations'!C142</f>
        <v>B04 has multiple TRs across basement/first/second levels; field verification, abatement coordination, cooling power, firestopping, and cutover phasing remain open.</v>
      </c>
      <c r="D73" s="529" t="str">
        <f>'CM_PM Operations'!D142</f>
        <v>• Fully sprinklered building; basement TR requires verification of sprinkler coverage and impairment planning.
• FEC with clean-agent 2A:10B:C extinguisher within 75 ft; TR open to deck; maintain rated assemblies.
• Verify sprinkler/fire alarm device locations and firestop for riser/pathway penetrations.</v>
      </c>
      <c r="E73" s="529" t="str">
        <f>'CM_PM Operations'!E142</f>
        <v>• Verify dedicated cooling for two-rack basement TR and whether unit/controls/condensate are backed up.
• Verify dedicated cooling and coordination with open-to-deck room, racks, cable tray, and access control.
• Verify cooling unit, routing, condensate, controls, and emergency/backup power path.</v>
      </c>
      <c r="F73" s="529" t="str">
        <f>'CM_PM Operations'!F142</f>
        <v>• Panel schedule shows B04-NPA-TR in Telecom Room B05, feeding B04-TRB05A/B; TRB05A includes rack receptacle and branch circuits.
• Panel schedule identifies B04-TR141A 60A 3-pole load; verify rack/UPS/PDU circuiting.
• Panel schedule identifies B04-TR244A 60A 3-pole load; confirm panel/circuit locations and source.</v>
      </c>
      <c r="G73" s="339" t="str">
        <f>'CM_PM Operations'!G142</f>
        <v>• New rack elevations show two 4-post floor racks with UPS, Zone PDU, cable managers, network switches, Cat6A patch panels, Cat5E patch panel, and Fiber LIU.
• New rack elevation shows one 4-post rack plus future rack; includes UPS, future Zone PDU, switches, cable managers, Cat6A patch panels, Cat5E patch panel, and Fiber LIU.
• TR/panel identified; verify rack elevation and pathway details against 04T sheets.</v>
      </c>
      <c r="H73" s="339"/>
      <c r="I73" s="339"/>
      <c r="J73" s="339"/>
      <c r="K73" s="339"/>
      <c r="L73" s="339"/>
    </row>
    <row r="74" spans="1:12" ht="19.8" customHeight="1">
      <c r="A74" s="339" t="str">
        <f>'CM_PM Operations'!A143</f>
        <v>05</v>
      </c>
      <c r="B74" s="339" t="str">
        <f>'CM_PM Operations'!B143</f>
        <v>• B05-Q1 — Confirm final TE room/location: Room 150 new TE and Room 153-A existing TE transition point? [Open] Impact: Room inventory could be wrong
• B05-Q2 — What active services are currently fed from the existing 153-A TE/legacy patch panels? [Open] Impact: Potential communications outage
• B05-Q3 — What is the approved cutover sequence from existing 153-A equipment to new Room 150 TE? [Open] Impact: Cutover risk
• B05-Q4 — Which electrical panel/circuit serves the Room 150 UPS/PDU outlets? [Open] Impact: Power source cannot be verified
• B05-Q5 — Is emergency/backup power required or provided for the TE UPS/PDU source? [Open] Impact: Continuity requirement unclear
• B05-Q6 — Are firestopping locations and surface raceway/conduit routes shown and coordinated? [Open] Impact: Rated assembly/firestop risk</v>
      </c>
      <c r="C74" s="339" t="str">
        <f>'CM_PM Operations'!C143</f>
        <v>Building 05 receives a Telecom Enclosure only; mechanical and fire protection scope is excluded, so TE power, telecom cutover, existing room conditions, and fire/life-safety interfaces must be verified.</v>
      </c>
      <c r="D74" s="529" t="str">
        <f>'CM_PM Operations'!D143</f>
        <v>• Cover sheet note states mechanical and fire protection scope excluded; still verify firestopping and existing fire alarm/life safety impacts.
• Existing conditions only; verify protection-in-place and no unsealed penetrations after cabling.</v>
      </c>
      <c r="E74" s="529" t="str">
        <f>'CM_PM Operations'!E143</f>
        <v>• Mechanical scope is excluded for Building 05; verify TE heat load is acceptable in existing space and does not require added cooling.
• Existing wall/wall-mount TE area; verify existing environmental conditions during field survey.</v>
      </c>
      <c r="F74" s="529" t="str">
        <f>'CM_PM Operations'!F143</f>
        <v>• 05T-604 shows APC UPS, two PDU L-530 input / NEMA 5-20 output units, 1200V outlet UPS, and 1200V outlet PDU; verify actual electrical schedule/panel/circuit source.
• Existing elevation shows floor UPS and legacy wall-mounted TE equipment; protect active equipment until cutover.</v>
      </c>
      <c r="G74" s="339" t="str">
        <f>'CM_PM Operations'!G143</f>
        <v>• New Room 150 Telecom Enclosure: 12RU TE with APC UPS, PDUs, cable managers, 48-port angled patch panels, 48-port Cat6A patch panel, and Fiber LIU.
• Existing Room 153-A wall/wall-mount TE contains Cisco switches and legacy 24-port patch panels; confirm cutover, reuse, demo, and records.</v>
      </c>
      <c r="H74" s="339"/>
      <c r="I74" s="339"/>
      <c r="J74" s="339"/>
      <c r="K74" s="339"/>
      <c r="L74" s="339"/>
    </row>
    <row r="75" spans="1:12" ht="19.8" customHeight="1">
      <c r="A75" s="339" t="str">
        <f>'CM_PM Operations'!A144</f>
        <v>06</v>
      </c>
      <c r="B75" s="339" t="str">
        <f>'CM_PM Operations'!B144</f>
        <v>• B06-Q1 — Confirm final TR/TE scope: B-01 existing equipment, Room 178, and Room 233? [Open] Impact: Room inventory could miss scope
• B06-Q2 — What active services are fed from existing B-01 and Room 178 legacy equipment? [Open] Impact: Potential communications outage
• B06-Q3 — What is the approved cutover sequence for B-01, 178 and 233? [Open] Impact: Cutover risk
• B06-Q4 — Are IU-1-01/CU-1-01 and IU-2-01/CU-2-01 on emergency/backup power? [Open] Impact: Cooling continuity unclear
• B06-Q5 — Where are clean-agent/CO2 extinguisher cabinets located within 75 ft of each TR? [Open] Impact: Life safety acceptance risk
• B06-Q6 — Are all panel load measurements, replacement panels, breakers, SPDs and labels approved? [Open] Impact: Electrical readiness unknown</v>
      </c>
      <c r="C75" s="339" t="str">
        <f>'CM_PM Operations'!C144</f>
        <v>Building 06 has active existing telecom equipment plus new TR work in Rooms 178 and 233; field verification, cutover phasing, cooling, firestopping, and emergency power remain open.</v>
      </c>
      <c r="D75" s="529" t="str">
        <f>'CM_PM Operations'!D144</f>
        <v>• Existing equipment area; verify no cabling penetrations are left unsealed.
• Fully sprinklered building; verify sprinkler modifications, fire alarm devices, FEC location, and impairment/fire watch needs.
• Architectural enlarged views call for 1-hour fire/smoke-rated walls, 45-minute door/frame, and FEC within 75 ft.</v>
      </c>
      <c r="E75" s="529" t="str">
        <f>'CM_PM Operations'!E144</f>
        <v>• Verify basement equipment environmental condition and any heat/load issues during cutover.
• Mechanical enlarged plan shows new indoor unit IU-1-01 and outdoor CU-1-01; confirm 208V emergency power, BACnet adapter, thermostat, condensate route.
• Mechanical enlarged plan shows new indoor unit IU-2-01 and outdoor CU-2-01; confirm 208V emergency power, condensate and controls.</v>
      </c>
      <c r="F75" s="529" t="str">
        <f>'CM_PM Operations'!F144</f>
        <v>• Existing UPS on floor shown at B-01; protect active service and confirm any transition/demo requirements.
• Panel schedule shows B06-EP-TR in Telecom Room 178; B06-TR178A/B panels and SPD requirements; load measurement required prior to panel renovation.
• Panel schedule identifies B06-TR233A/B in Telecom Room 233; verify source, circuits, rack receptacles and emergency power.</v>
      </c>
      <c r="G75" s="339" t="str">
        <f>'CM_PM Operations'!G144</f>
        <v>• Existing Cisco switches, legacy 48-port patch panels, wall/wall-mount TE and floor UPS.
• Existing Room 178 rack elevations show multiple existing 2-post racks; new electrical, cable path, grounding and cutover require verification.
• Room 233 future new rack elevation shows UPS, network switches, cable managers, Cat6A patch panels, Cat5E patch panel and Fiber LIU.</v>
      </c>
      <c r="H75" s="339"/>
      <c r="I75" s="339"/>
      <c r="J75" s="339"/>
      <c r="K75" s="339"/>
      <c r="L75" s="339"/>
    </row>
    <row r="76" spans="1:12" ht="19.8" customHeight="1">
      <c r="A76" s="339" t="str">
        <f>'CM_PM Operations'!A145</f>
        <v>07</v>
      </c>
      <c r="B76" s="339" t="str">
        <f>'CM_PM Operations'!B145</f>
        <v>• B07-Q1 — Confirm final TR scope: B-18 basement and 228A second floor only? [Open] Impact: Room inventory could miss scope
• B07-Q2 — Are IU-0-01/CU-0-01 assigned to B-18 and IU-2-01/CU-2-01 assigned to 228A? [Open] Impact: Cooling scope unclear
• B07-Q3 — Are cooling units and controls on emergency/backup power? [Open] Impact: Cooling continuity not confirmed
• B07-Q4 — Where are clean-agent/CO2 extinguisher cabinets located within 75 ft of each TR? [Open] Impact: Life safety acceptance risk
• B07-Q5 — What active services are currently fed from B-18 and/or existing pathways serving 228A? [Open] Impact: Potential communications outage
• B07-Q6 — Are all B07 panelboard sources, circuits, SPDs, labels and load measurements approved? [Open] Impact: Electrical readiness unknown</v>
      </c>
      <c r="C76" s="339" t="str">
        <f>'CM_PM Operations'!C145</f>
        <v>Building 07 includes basement TR B-18 and second-level TR 228A; field verification, active-service cutover, cooling, firestopping, rated construction, and power source confirmation remain open.</v>
      </c>
      <c r="D76" s="529" t="str">
        <f>'CM_PM Operations'!D145</f>
        <v>• Fully sprinklered building; basement TR requires sprinkler coverage verification, firestop at cabling/sleeves and impairment coordination.
• Architectural notes require clean-agent 2A:10B:C extinguisher within 75 ft, 45-minute rated door/frame and rated wall construction; verify FA/FP modifications.</v>
      </c>
      <c r="E76" s="529" t="str">
        <f>'CM_PM Operations'!E145</f>
        <v>• Mechanical schedule lists 18,000 BTUH wall-mounted IU-0-01 and CU-0-01; verify exact room assignment, emergency power, condensate, controls and high-temp alarm.
• Mechanical schedule lists 36,000 BTUH wall-mounted IU-2-01 and CU-2-01; electrical enlarged plan shows IU-2-01 at TR 228A; verify emergency power and condensate route.</v>
      </c>
      <c r="F76" s="529" t="str">
        <f>'CM_PM Operations'!F145</f>
        <v>• Electrical enlarged plans identify B07-TRB18A/B circuits serving basement TR equipment; verify panel source, receptacles, SPD, emergency source and load measurement.
• Electrical enlarged plans identify B07-TR228A/B circuits serving TR 228A equipment and IU-2-01; verify rack receptacles, cooling power, SPD and labels.</v>
      </c>
      <c r="G76" s="339" t="str">
        <f>'CM_PM Operations'!G145</f>
        <v>• 07T-604 rack elevation: 1 rack plus future; includes UPS, future Zone PDU, cable managers, network switches, three 48-port Cat6A angled patch panels, 24-port Cat5E patch panel and Fiber LIU.
• TR 228A is shown on second-level telecom/electrical enlarged plans; verify rack elevation, fiber paths, Cat6A replacement, labeling/testing and VA acceptance before cutover.</v>
      </c>
      <c r="H76" s="339"/>
      <c r="I76" s="339"/>
      <c r="J76" s="339"/>
      <c r="K76" s="339"/>
      <c r="L76" s="339"/>
    </row>
    <row r="77" spans="1:12" ht="19.8" customHeight="1">
      <c r="A77" s="339" t="str">
        <f>'CM_PM Operations'!A146</f>
        <v>08</v>
      </c>
      <c r="B77" s="339" t="str">
        <f>'CM_PM Operations'!B146</f>
        <v>• B08-Q1 — Confirm final scope: existing B-15 equipment, B12B TE/cabling area, and new TR 2065A? [Open] Impact: Room inventory may miss scope
• B08-Q2 — What active services are currently fed from existing B-15 equipment? [Open] Impact: Potential communications outage
• B08-Q3 — Is B12B truly a TE/equipment location or only a cabling pathway/service area? [Open] Impact: Scope ambiguity
• B08-Q4 — Is IU-2-01/CU-2-01 dedicated to TR 2065A and on emergency/backup power? [Open] Impact: Cooling continuity unclear
• B08-Q5 — Where are clean-agent/CO2 extinguisher cabinets located within 75 ft of each TR/TE? [Open] Impact: Life safety acceptance risk
• B08-Q6 — Are all B08 panelboard sources, circuits, SPDs, rack receptacles and load measurements approved? [Open] Impact: Electrical readiness unknown</v>
      </c>
      <c r="C77" s="339" t="str">
        <f>'CM_PM Operations'!C146</f>
        <v>Building 08 includes existing basement telecom equipment at B-15, basement TE/cabling scope at B12B, and new second-level TR 2065A; field verification, abatement, rated construction, cooling/power, firestopping, and cutover phasing remain open.</v>
      </c>
      <c r="D77" s="529" t="str">
        <f>'CM_PM Operations'!D146</f>
        <v>• Existing equipment area; verify no new penetrations are left unsealed and active systems remain protected.
• Door schedule shows 45-minute door; verify fire/smoke requirements, FEC requirement applicability, firestopping and temporary barriers.
• Architectural notes require new 45-minute door, clean-agent 2A:10B:C extinguisher within 75 ft, open-to-deck telecom room and 1-hour fire/smoke-rated existing wall upgrades.</v>
      </c>
      <c r="E77" s="529" t="str">
        <f>'CM_PM Operations'!E146</f>
        <v>• Verify existing environmental conditions and whether active legacy equipment remains during cutover.
• Field verify whether TE equipment load requires cooling or if served by existing building HVAC.
• Mechanical schedule lists IU-2-01/CU-2-01 at 36,000 BTUH; verify room assignment, emergency power, condensate pump/route, BACnet controller and controls.</v>
      </c>
      <c r="F77" s="529" t="str">
        <f>'CM_PM Operations'!F146</f>
        <v>• Existing rack elevation shows floor UPS and legacy equipment; protect active service and verify transition/demo requirements.
• Electrical schedule includes TE receptacle Room B12B; confirm panel/circuit source and if B12B is served from telecom panel.
• Electrical schedule identifies B08-TR2065AB in Telecom Room 2065A with TR receptacles, rack receptacles, lighting, access controller, CU-2-01 and SPD notes; verify B08-TR2065AA source/scope.</v>
      </c>
      <c r="G77" s="339" t="str">
        <f>'CM_PM Operations'!G146</f>
        <v>• Existing Room B-15 rack elevations show wall/wall-mounted TE, legacy 24/48-port patch panels, legacy Fiber LIU and UPS.
• Telecom schedule uses Rack ID TE01-B12B-1; 80 WAO total, 159 active ports per survey, 116 total ports per schedule, and 128 total ports with 10% allowance.
• New Room 2065A rack elevations show two 4-post floor racks; Rack 1 includes Fiber LIU, 24-port Cat5E patch panel, four 48-port Cat6A patch panels, network switches, Zone PDU and UPS; Rack 2 includes future switches and UPS.</v>
      </c>
      <c r="H77" s="339"/>
      <c r="I77" s="339"/>
      <c r="J77" s="339"/>
      <c r="K77" s="339"/>
      <c r="L77" s="339"/>
    </row>
    <row r="78" spans="1:12" ht="19.8" customHeight="1">
      <c r="A78" s="339" t="str">
        <f>'CM_PM Operations'!A147</f>
        <v>09</v>
      </c>
      <c r="B78" s="339" t="str">
        <f>'CM_PM Operations'!B147</f>
        <v>• B09-Q1 — Confirm final TR scope: B01 basement, 104B first level, and 206A second level? [Open] Impact: Room inventory may miss scope
• B09-Q2 — What active services are currently fed from B01 existing equipment/security/network devices? [Open] Impact: Potential communications/security outage
• B09-Q3 — What hazardous/abatement steps apply to B01, 104B and 206A work areas? [Open] Impact: Work delay or exposure risk
• B09-Q4 — Are IU-0-01/CU-0-1, IU-1-01/CU-1-1 and IU-2-01/CU-2-1 on emergency/backup power? [Open] Impact: Cooling continuity unclear
• B09-Q5 — Where are clean-agent/CO2 extinguisher cabinets located within 75 ft of each TR? [Open] Impact: Life safety acceptance risk
• B09-Q6 — Are all B09 panelboard sources, circuits, SPDs, rack receptacles and load measurements approved? [Open] Impact: Electrical readiness unknown</v>
      </c>
      <c r="C78" s="339" t="str">
        <f>'CM_PM Operations'!C147</f>
        <v>Building 09 includes three telecom spaces across basement, first, and second levels; field verification, hazardous material coordination, active service cutover, cooling, power/panel source, firestopping, and rated wall/door work remain open.</v>
      </c>
      <c r="D78" s="529" t="str">
        <f>'CM_PM Operations'!D147</f>
        <v>• Fully sprinklered building; verify sprinkler head coverage, rated penetrations, temporary firestopping, and FEC location for basement TR.
• Fire protection enlarged plan shows Telecom Room 104B and rated wall legend; verify sprinkler/fire alarm modifications and clean-agent extinguisher within 75 ft.
• Fire protection enlarged plan shows Telecom Room 206A; verify sprinkler cage/coverage, fire alarm device relocation/additions, and rated penetrations.</v>
      </c>
      <c r="E78" s="529" t="str">
        <f>'CM_PM Operations'!E147</f>
        <v>• Electrical enlarged/panel data identifies CU-0-1 serving basement work; verify mechanical schedule, emergency source, condensate, controls and alarms.
• Electrical enlarged plan identifies IU-1-01 in Telecom Room 104B and CU-1-1; verify dedicated 24/7 cooling and emergency power.
• Electrical enlarged plan identifies IU-2-01 in Telecom Room 206A and CU-2-1; verify dedicated 24/7 cooling and emergency power.</v>
      </c>
      <c r="F78" s="529" t="str">
        <f>'CM_PM Operations'!F147</f>
        <v>• Panel schedule lists B09-TRB01A/B in Telecom Room B01 with 208Y/120V panels, rack receptacles, access controller, mechanical equipment, lighting and SPD notes.
• Electrical enlarged plan shows panel references B09-TR104BA/B, IU-1-01, security devices, lighting and receptacle/rack circuits.
• Electrical enlarged plan shows panel references B09-TR206AA/B, IU-2-01, security devices, lighting and receptacle/rack circuits.</v>
      </c>
      <c r="G78" s="339" t="str">
        <f>'CM_PM Operations'!G147</f>
        <v>• Fiber riser identifies Building 09 basement B01 with two-rack TR; verify rack elevations, fiber Path A/B, Cat6A replacement, LIU, bonding and cutover.
• Fiber riser identifies first-level Room 104B with two-rack TR; verify rack elevation details, patch panels, UPS/PDU, fiber LIU, grounding and test records.
• Fiber riser identifies second-level Room 206A with two-rack TR; verify rack elevation details, patch panels, UPS/PDU, fiber LIU, grounding and test records.</v>
      </c>
      <c r="H78" s="339"/>
      <c r="I78" s="339"/>
      <c r="J78" s="339"/>
      <c r="K78" s="339"/>
      <c r="L78" s="339"/>
    </row>
    <row r="79" spans="1:12" ht="19.8" customHeight="1">
      <c r="A79" s="339" t="str">
        <f>'CM_PM Operations'!A148</f>
        <v>10</v>
      </c>
      <c r="B79" s="339" t="str">
        <f>'CM_PM Operations'!B148</f>
        <v>• B10-Q1 — Confirm final scope: attic Telecom Room 200A only, with basement electrical source coordination in B24/B25? [Open] Impact: Room inventory could miss scope
• B10-Q2 — What active services are currently fed from the existing wall-mounted rack/equipment in Room 200A? [Open] Impact: Potential communications outage
• B10-Q3 — What attic hazardous material/abatement steps apply before cabling, penetrations, HVAC or electrical work? [Open] Impact: Work delay/exposure risk
• B10-Q4 — Is IU-1-01/CU-1-01 on emergency/backup power and does it serve Room 200A only? [Open] Impact: Cooling continuity unclear
• B10-Q5 — Where is the clean-agent/CO2 extinguisher cabinet located within 75 ft of Room 200A? [Open] Impact: Life-safety acceptance risk
• B10-Q6 — Are B10-TR200AA/AB, B10-MDP, B10-L10-E and ATS-B10-LSD source circuits/load measurements approved? [Open] Impact: Electrical readiness unknown</v>
      </c>
      <c r="C79" s="339" t="str">
        <f>'CM_PM Operations'!C148</f>
        <v>Building 10 scope centers on attic Telecom Room 200A with related basement electrical source rooms B24/B25, attic hazardous material abatement, dedicated cooling, new telecom panels, rack/UPS/PDU equipment, firestopping, and cutover coordination.</v>
      </c>
      <c r="D79" s="339" t="str">
        <f>'CM_PM Operations'!D148</f>
        <v>• Attic-level TR requires verification of sprinkler/fire alarm modifications, clean-agent 2A:10B:C FEC within 75 ft, rated penetrations and temporary firestopping.
• Electrical work may require penetrations or shutdowns; verify firestopping and protection-in-place.
• Emergency electrical room coordination; verify no unsealed penetrations or life-safety impairment.</v>
      </c>
      <c r="E79" s="339" t="str">
        <f>'CM_PM Operations'!E148</f>
        <v>• Mechanical/electrical drawings identify IU-1-01 in Telecom Room 200A and CU-1-01 outdoor unit; verify capacity, emergency power, condensate route, BACnet adapter and high-temp alarm.
• No dedicated TR cooling scope; verify electrical room ventilation is not impacted by new work.
• No dedicated TR cooling scope; verify emergency electrical room ventilation is not impacted.</v>
      </c>
      <c r="F79" s="339" t="str">
        <f>'CM_PM Operations'!F148</f>
        <v>• Electrical schedule identifies B10-TR200AA/AB in Telecom Room 200A with rack receptacles, TR receptacles, lighting, access controller, CU-1-01 and SPD requirements; verify source and labels.
• Basement normal electrical source; verify load measurement, new breakers/feeders, panel access, LOTO and shutdown sequencing.
• Emergency source coordination; verify generator/ATS feed to TR critical loads and cooling where required.</v>
      </c>
      <c r="G79" s="339" t="str">
        <f>'CM_PM Operations'!G148</f>
        <v>• 10T sheets show attic telecom plan/rack elevations; provide 4-post racks, UPS, redundant PDUs, switches, Cat6A patch panels, Fiber LIU, bonding/grounding, labeling, testing and VA acceptance before cutover.
• Coordinate telecom power pathways through/source from basement electrical room if applicable.
• Coordinate emergency source/backup power pathways for telecom equipment and cooling.</v>
      </c>
      <c r="H79" s="339"/>
      <c r="I79" s="339"/>
      <c r="J79" s="339"/>
      <c r="K79" s="339"/>
      <c r="L79" s="339"/>
    </row>
    <row r="80" spans="1:12" ht="19.8" customHeight="1">
      <c r="A80" s="339" t="str">
        <f>'CM_PM Operations'!A149</f>
        <v>12</v>
      </c>
      <c r="B80" s="339" t="str">
        <f>'CM_PM Operations'!B149</f>
        <v>• B12-Q1 — Confirm Building 12 scope is fiber-only with no new TR, no new rack, no new electrical, HVAC, fire protection, PACS or CCTV work? [Open] Impact: Scope misunderstanding
• B12-Q2 — What exact pathway does the Building 12 fiber take through basement, first and second levels? [Open] Impact: Fiber pull and access risk
• B12-Q3 — Where does the Building 12 fiber terminate, and is the existing rack/demarc/closet to be touched? [Open] Impact: Termination and ownership unclear
• B12-Q4 — Are existing conduits/cable trays available and below fill limits for the new fiber? [Open] Impact: Pathway capacity risk
• B12-Q5 — Are there any floor/rated wall penetrations requiring firestop or temporary firestop during cable pull? [Open] Impact: Life safety/firestop risk
• B12-Q6 — What is the approved cutover/testing/acceptance sequence for Building 12 fiber? [Open] Impact: Possible outage or acceptance delay</v>
      </c>
      <c r="C80" s="339" t="str">
        <f>'CM_PM Operations'!C149</f>
        <v>Building 12 is explicitly identified as fiber-only with no new TR buildout, no new rack, and no electrical/HVAC/fire protection drawing packages; key owner risk is confirming pull-through fiber path, existing service continuity, pathway/firestopping, and VA/OIT acceptance before cutover.</v>
      </c>
      <c r="D80" s="339" t="str">
        <f>'CM_PM Operations'!D149</f>
        <v>• No fire protection drawing package beyond general notes; verify penetrations/firestopping for fiber pull-through route.
• No new TR/FEC shown; verify no rated assemblies are compromised by fiber pathway work.</v>
      </c>
      <c r="E80" s="339" t="str">
        <f>'CM_PM Operations'!E149</f>
        <v>• No HVAC drawing package for Building 12; fiber-only scope does not indicate new cooling equipment.
• Field verify existing environmental conditions only if existing service point/equipment is accessed.</v>
      </c>
      <c r="F80" s="339" t="str">
        <f>'CM_PM Operations'!F149</f>
        <v>• No electrical drawing package for Building 12; no new panel/UPS/PDU/rack receptacle scope shown.
• Confirm whether any existing equipment is touched. Scope appears limited to fiber pull-through and testing/labeling.</v>
      </c>
      <c r="G80" s="339" t="str">
        <f>'CM_PM Operations'!G149</f>
        <v>• Building 12 receives fiber only. Verify pull-through path on basement/first/second telecom plans, redundant Path A/B fiber, pathway capacity, grounding/bonding where applicable, labeling and testing.
• 12T-604 shows rack number 00/room 00 and notes fiber-only with no mounting type; verify existing service/termination point and whether fiber passes through only.</v>
      </c>
      <c r="H80" s="339"/>
      <c r="I80" s="339"/>
      <c r="J80" s="339"/>
      <c r="K80" s="339"/>
      <c r="L80" s="339"/>
    </row>
    <row r="81" spans="1:12" ht="19.8" customHeight="1">
      <c r="A81" s="339" t="str">
        <f>'CM_PM Operations'!A150</f>
        <v>13</v>
      </c>
      <c r="B81" s="339" t="str">
        <f>'CM_PM Operations'!B150</f>
        <v>• B13-Q1 — Confirm final telecom scope: new Room 124 and existing Tel Room 222 transition only? [Open] Impact: Room inventory could miss scope
• B13-Q2 — What active services are currently fed from existing Tel Room 222 equipment? [Open] Impact: Potential communications/security outage
• B13-Q3 — What hazardous/abatement steps apply to first-level Room 124 work? [Open] Impact: Work delay or exposure risk
• B13-Q4 — Is IU-1-01/CU-1-01 on emergency/backup power and dedicated to Room 124? [Open] Impact: Cooling continuity unclear
• B13-Q5 — Where is the clean-agent/CO2 extinguisher cabinet located within 75 ft of Room 124? [Open] Impact: Life-safety acceptance risk
• B13-Q6 — Are B13-TR124AA/AB sources, rack receptacles, SPDs, circuit labels and load measurements approved? [Open] Impact: Electrical readiness unknown</v>
      </c>
      <c r="C81" s="339" t="str">
        <f>'CM_PM Operations'!C150</f>
        <v>Building 13 includes new first-level Telecom Room 124 and existing second-level Tel Room 222; field verification, active service cutover, 240V UPS/PDU power, dedicated cooling, first-level hazardous material coordination, firestopping, and PACS/CCTV integration remain open.</v>
      </c>
      <c r="D81" s="339" t="str">
        <f>'CM_PM Operations'!D150</f>
        <v>• Fully sprinklered building; confirm sprinkler/fire alarm modifications, clean-agent 2A:10B:C extinguisher within 75 ft, rated wall/ceiling penetrations, and temporary firestopping during cable pulls.
• Existing tel room; verify fire alarm/sprinkler protection-in-place and seal any removed/reused penetration after cutover.</v>
      </c>
      <c r="E81" s="339" t="str">
        <f>'CM_PM Operations'!E150</f>
        <v>• Mechanical/electrical drawings show IU-1-01 in Telecom Room 124 and CU-1-01 outdoor unit. Confirm capacity, emergency/standby source, BACnet adapter, thermostat/control point, condensate path, disconnects, and high-temperature alarm.
• Existing Tel Room 222 photo/reference notes show existing indoor AC unit; verify whether it remains active, is abandoned, or needs protection during cutover.</v>
      </c>
      <c r="F81" s="339" t="str">
        <f>'CM_PM Operations'!F150</f>
        <v>• Electrical enlarged plans and schedules identify B13-TR124AA/AB, 240V 1-phase UPS circuits, normal/emergency rack power, rack receptacles, TR receptacles, access/security devices, lighting, CU-1-01, and SPD requirements.
• Existing rack/equipment area; verify power source, active equipment, UPS status, and transition requirements before disconnect or removal.</v>
      </c>
      <c r="G81" s="339" t="str">
        <f>'CM_PM Operations'!G150</f>
        <v>• 13T-701 identifies Room 124 schedule: 58 WAO total, 65 active ports per survey, 91 total ports per schedule, and 100 total ports with 10% allowance. New Rack ID TR01-124-1 serves first and second level outlets with Fiber Path A/B.
• Existing Room 222 equipment includes wall-mounted rack, telco patch, plywood backboard, patch panel, security cabinet, and existing AC; verify active services and transfer plan to Room 124.</v>
      </c>
      <c r="H81" s="339"/>
      <c r="I81" s="339"/>
      <c r="J81" s="339"/>
      <c r="K81" s="339"/>
      <c r="L81" s="339"/>
    </row>
    <row r="82" spans="1:12" ht="19.8" customHeight="1">
      <c r="A82" s="541"/>
      <c r="B82" s="541"/>
      <c r="C82" s="541"/>
      <c r="D82" s="541"/>
      <c r="E82" s="541"/>
      <c r="F82" s="541"/>
      <c r="G82" s="541"/>
      <c r="H82" s="541"/>
      <c r="I82" s="541"/>
      <c r="J82" s="541"/>
      <c r="K82" s="541"/>
      <c r="L82" s="541"/>
    </row>
    <row r="83" spans="1:12" ht="19.8" customHeight="1">
      <c r="A83" s="536"/>
      <c r="B83" s="536"/>
      <c r="C83" s="536"/>
      <c r="D83" s="536"/>
      <c r="E83" s="536"/>
      <c r="F83" s="536"/>
      <c r="G83" s="536"/>
      <c r="H83" s="536"/>
      <c r="I83" s="536"/>
      <c r="J83" s="536"/>
      <c r="K83" s="339"/>
      <c r="L83" s="339"/>
    </row>
    <row r="84" spans="1:12" ht="19.8" customHeight="1">
      <c r="A84" s="545" t="s">
        <v>6024</v>
      </c>
      <c r="B84" s="545"/>
      <c r="C84" s="545"/>
      <c r="D84" s="545"/>
      <c r="E84" s="545"/>
      <c r="F84" s="545"/>
      <c r="G84" s="546"/>
      <c r="H84" s="545"/>
      <c r="I84" s="546"/>
      <c r="J84" s="545"/>
      <c r="K84" s="545"/>
      <c r="L84" s="545"/>
    </row>
    <row r="85" spans="1:12" ht="19.8" customHeight="1">
      <c r="A85" s="534" t="s">
        <v>142</v>
      </c>
      <c r="B85" s="534" t="s">
        <v>151</v>
      </c>
      <c r="C85" s="534" t="s">
        <v>154</v>
      </c>
      <c r="D85" s="534" t="s">
        <v>896</v>
      </c>
      <c r="E85" s="534" t="s">
        <v>148</v>
      </c>
      <c r="F85" s="534" t="s">
        <v>153</v>
      </c>
      <c r="G85" s="537" t="s">
        <v>155</v>
      </c>
      <c r="H85" s="534" t="s">
        <v>556</v>
      </c>
      <c r="I85" s="535"/>
      <c r="J85" s="339"/>
      <c r="K85" s="339"/>
      <c r="L85" s="339"/>
    </row>
    <row r="86" spans="1:12" ht="19.8" customHeight="1">
      <c r="A86" s="339" t="str">
        <f>'CM_PM Operations'!A173</f>
        <v>01</v>
      </c>
      <c r="B86" s="339" t="str">
        <f>'CM_PM Operations'!B173</f>
        <v>Yellow</v>
      </c>
      <c r="C86" s="339" t="str">
        <f>'CM_PM Operations'!C173</f>
        <v>No</v>
      </c>
      <c r="D86" s="339" t="str">
        <f>'CM_PM Operations'!D173</f>
        <v>Not Started</v>
      </c>
      <c r="E86" s="339" t="str">
        <f>'CM_PM Operations'!E173</f>
        <v>Not Started</v>
      </c>
      <c r="F86" s="339" t="str">
        <f>'CM_PM Operations'!F173</f>
        <v>Not Started</v>
      </c>
      <c r="G86" s="535" t="str">
        <f>'CM_PM Operations'!G173</f>
        <v>Not Started</v>
      </c>
      <c r="H86" s="339" t="str">
        <f>'CM_PM Operations'!H173</f>
        <v>Not Started</v>
      </c>
      <c r="I86" s="535"/>
      <c r="J86" s="339"/>
      <c r="K86" s="339"/>
      <c r="L86" s="339"/>
    </row>
    <row r="87" spans="1:12" ht="19.8" customHeight="1">
      <c r="A87" s="339" t="str">
        <f>'CM_PM Operations'!A174</f>
        <v>02</v>
      </c>
      <c r="B87" s="339" t="str">
        <f>'CM_PM Operations'!B174</f>
        <v>Yellow</v>
      </c>
      <c r="C87" s="339" t="str">
        <f>'CM_PM Operations'!C174</f>
        <v>No</v>
      </c>
      <c r="D87" s="339" t="str">
        <f>'CM_PM Operations'!D174</f>
        <v>Not Started</v>
      </c>
      <c r="E87" s="339" t="str">
        <f>'CM_PM Operations'!E174</f>
        <v>Not Started</v>
      </c>
      <c r="F87" s="339" t="str">
        <f>'CM_PM Operations'!F174</f>
        <v>Not Started</v>
      </c>
      <c r="G87" s="535" t="str">
        <f>'CM_PM Operations'!G174</f>
        <v>Not Started</v>
      </c>
      <c r="H87" s="339" t="str">
        <f>'CM_PM Operations'!H174</f>
        <v>Not Started</v>
      </c>
      <c r="I87" s="535"/>
      <c r="J87" s="339"/>
      <c r="K87" s="339"/>
      <c r="L87" s="339"/>
    </row>
    <row r="88" spans="1:12" ht="19.8" customHeight="1">
      <c r="A88" s="339" t="str">
        <f>'CM_PM Operations'!A175</f>
        <v>03</v>
      </c>
      <c r="B88" s="339" t="str">
        <f>'CM_PM Operations'!B175</f>
        <v>Yellow</v>
      </c>
      <c r="C88" s="339" t="str">
        <f>'CM_PM Operations'!C175</f>
        <v>No</v>
      </c>
      <c r="D88" s="339" t="str">
        <f>'CM_PM Operations'!D175</f>
        <v>Not Started</v>
      </c>
      <c r="E88" s="339" t="str">
        <f>'CM_PM Operations'!E175</f>
        <v>Not Started</v>
      </c>
      <c r="F88" s="339" t="str">
        <f>'CM_PM Operations'!F175</f>
        <v>Not Started</v>
      </c>
      <c r="G88" s="535" t="str">
        <f>'CM_PM Operations'!G175</f>
        <v>Not Started</v>
      </c>
      <c r="H88" s="339" t="str">
        <f>'CM_PM Operations'!H175</f>
        <v>Not Started</v>
      </c>
      <c r="I88" s="535"/>
      <c r="J88" s="339"/>
      <c r="K88" s="339"/>
      <c r="L88" s="339"/>
    </row>
    <row r="89" spans="1:12" ht="19.8" customHeight="1">
      <c r="A89" s="339" t="str">
        <f>'CM_PM Operations'!A176</f>
        <v>04</v>
      </c>
      <c r="B89" s="339" t="str">
        <f>'CM_PM Operations'!B176</f>
        <v>Yellow</v>
      </c>
      <c r="C89" s="339" t="str">
        <f>'CM_PM Operations'!C176</f>
        <v>No</v>
      </c>
      <c r="D89" s="339" t="str">
        <f>'CM_PM Operations'!D176</f>
        <v>Verify</v>
      </c>
      <c r="E89" s="339" t="str">
        <f>'CM_PM Operations'!E176</f>
        <v>Verify</v>
      </c>
      <c r="F89" s="339" t="str">
        <f>'CM_PM Operations'!F176</f>
        <v>Verify</v>
      </c>
      <c r="G89" s="535" t="str">
        <f>'CM_PM Operations'!G176</f>
        <v>Verify</v>
      </c>
      <c r="H89" s="339" t="str">
        <f>'CM_PM Operations'!H176</f>
        <v>Verify</v>
      </c>
      <c r="I89" s="535"/>
      <c r="J89" s="339"/>
      <c r="K89" s="339"/>
      <c r="L89" s="339"/>
    </row>
    <row r="90" spans="1:12" ht="19.8" customHeight="1">
      <c r="A90" s="339" t="str">
        <f>'CM_PM Operations'!A177</f>
        <v>05</v>
      </c>
      <c r="B90" s="339" t="str">
        <f>'CM_PM Operations'!B177</f>
        <v>Yellow</v>
      </c>
      <c r="C90" s="339" t="str">
        <f>'CM_PM Operations'!C177</f>
        <v>No</v>
      </c>
      <c r="D90" s="339" t="str">
        <f>'CM_PM Operations'!D177</f>
        <v>N/A</v>
      </c>
      <c r="E90" s="339" t="str">
        <f>'CM_PM Operations'!E177</f>
        <v>N/A</v>
      </c>
      <c r="F90" s="339" t="str">
        <f>'CM_PM Operations'!F177</f>
        <v>Verify</v>
      </c>
      <c r="G90" s="535" t="str">
        <f>'CM_PM Operations'!G177</f>
        <v>Verify</v>
      </c>
      <c r="H90" s="339" t="str">
        <f>'CM_PM Operations'!H177</f>
        <v>Verify</v>
      </c>
      <c r="I90" s="535"/>
      <c r="J90" s="339"/>
      <c r="K90" s="339"/>
      <c r="L90" s="339"/>
    </row>
    <row r="91" spans="1:12" ht="19.8" customHeight="1">
      <c r="A91" s="339" t="str">
        <f>'CM_PM Operations'!A178</f>
        <v>06</v>
      </c>
      <c r="B91" s="339" t="str">
        <f>'CM_PM Operations'!B178</f>
        <v>Yellow</v>
      </c>
      <c r="C91" s="339" t="str">
        <f>'CM_PM Operations'!C178</f>
        <v>No</v>
      </c>
      <c r="D91" s="339" t="str">
        <f>'CM_PM Operations'!D178</f>
        <v>Verify</v>
      </c>
      <c r="E91" s="339" t="str">
        <f>'CM_PM Operations'!E178</f>
        <v>Verify</v>
      </c>
      <c r="F91" s="339" t="str">
        <f>'CM_PM Operations'!F178</f>
        <v>Verify</v>
      </c>
      <c r="G91" s="535" t="str">
        <f>'CM_PM Operations'!G178</f>
        <v>Verify</v>
      </c>
      <c r="H91" s="339" t="str">
        <f>'CM_PM Operations'!H178</f>
        <v>Verify</v>
      </c>
      <c r="I91" s="535"/>
      <c r="J91" s="339"/>
      <c r="K91" s="339"/>
      <c r="L91" s="339"/>
    </row>
    <row r="92" spans="1:12" ht="19.8" customHeight="1">
      <c r="A92" s="339" t="str">
        <f>'CM_PM Operations'!A179</f>
        <v>07</v>
      </c>
      <c r="B92" s="339" t="str">
        <f>'CM_PM Operations'!B179</f>
        <v>Yellow</v>
      </c>
      <c r="C92" s="339" t="str">
        <f>'CM_PM Operations'!C179</f>
        <v>No</v>
      </c>
      <c r="D92" s="339" t="str">
        <f>'CM_PM Operations'!D179</f>
        <v>Verify</v>
      </c>
      <c r="E92" s="339" t="str">
        <f>'CM_PM Operations'!E179</f>
        <v>Verify</v>
      </c>
      <c r="F92" s="339" t="str">
        <f>'CM_PM Operations'!F179</f>
        <v>Verify</v>
      </c>
      <c r="G92" s="535" t="str">
        <f>'CM_PM Operations'!G179</f>
        <v>Verify</v>
      </c>
      <c r="H92" s="339" t="str">
        <f>'CM_PM Operations'!H179</f>
        <v>Verify</v>
      </c>
      <c r="I92" s="535"/>
      <c r="J92" s="339"/>
      <c r="K92" s="339"/>
      <c r="L92" s="339"/>
    </row>
    <row r="93" spans="1:12" ht="19.8" customHeight="1">
      <c r="A93" s="339" t="str">
        <f>'CM_PM Operations'!A180</f>
        <v>08</v>
      </c>
      <c r="B93" s="339" t="str">
        <f>'CM_PM Operations'!B180</f>
        <v>Yellow</v>
      </c>
      <c r="C93" s="339" t="str">
        <f>'CM_PM Operations'!C180</f>
        <v>No</v>
      </c>
      <c r="D93" s="339" t="str">
        <f>'CM_PM Operations'!D180</f>
        <v>Verify</v>
      </c>
      <c r="E93" s="339" t="str">
        <f>'CM_PM Operations'!E180</f>
        <v>Verify</v>
      </c>
      <c r="F93" s="339" t="str">
        <f>'CM_PM Operations'!F180</f>
        <v>Verify</v>
      </c>
      <c r="G93" s="535" t="str">
        <f>'CM_PM Operations'!G180</f>
        <v>Verify</v>
      </c>
      <c r="H93" s="339" t="str">
        <f>'CM_PM Operations'!H180</f>
        <v>Verify</v>
      </c>
      <c r="I93" s="535"/>
      <c r="J93" s="339"/>
      <c r="K93" s="339"/>
      <c r="L93" s="339"/>
    </row>
    <row r="94" spans="1:12" ht="19.8" customHeight="1">
      <c r="A94" s="339" t="str">
        <f>'CM_PM Operations'!A181</f>
        <v>09</v>
      </c>
      <c r="B94" s="339" t="str">
        <f>'CM_PM Operations'!B181</f>
        <v>Yellow</v>
      </c>
      <c r="C94" s="339" t="str">
        <f>'CM_PM Operations'!C181</f>
        <v>No</v>
      </c>
      <c r="D94" s="339" t="str">
        <f>'CM_PM Operations'!D181</f>
        <v>Verify</v>
      </c>
      <c r="E94" s="339" t="str">
        <f>'CM_PM Operations'!E181</f>
        <v>Verify</v>
      </c>
      <c r="F94" s="339" t="str">
        <f>'CM_PM Operations'!F181</f>
        <v>Verify</v>
      </c>
      <c r="G94" s="535" t="str">
        <f>'CM_PM Operations'!G181</f>
        <v>Verify</v>
      </c>
      <c r="H94" s="339" t="str">
        <f>'CM_PM Operations'!H181</f>
        <v>Verify</v>
      </c>
      <c r="I94" s="535"/>
      <c r="J94" s="339"/>
      <c r="K94" s="339"/>
      <c r="L94" s="339"/>
    </row>
    <row r="95" spans="1:12" ht="19.8" customHeight="1">
      <c r="A95" s="339" t="str">
        <f>'CM_PM Operations'!A182</f>
        <v>10</v>
      </c>
      <c r="B95" s="339" t="str">
        <f>'CM_PM Operations'!B182</f>
        <v>Yellow</v>
      </c>
      <c r="C95" s="339" t="str">
        <f>'CM_PM Operations'!C182</f>
        <v>No</v>
      </c>
      <c r="D95" s="339" t="str">
        <f>'CM_PM Operations'!D182</f>
        <v>Verify</v>
      </c>
      <c r="E95" s="339" t="str">
        <f>'CM_PM Operations'!E182</f>
        <v>Verify</v>
      </c>
      <c r="F95" s="339" t="str">
        <f>'CM_PM Operations'!F182</f>
        <v>Verify</v>
      </c>
      <c r="G95" s="339" t="str">
        <f>'CM_PM Operations'!G182</f>
        <v>Verify</v>
      </c>
      <c r="H95" s="339" t="str">
        <f>'CM_PM Operations'!H182</f>
        <v>Verify</v>
      </c>
      <c r="I95" s="339"/>
      <c r="J95" s="339"/>
      <c r="K95" s="339"/>
      <c r="L95" s="339"/>
    </row>
    <row r="96" spans="1:12" ht="19.8" customHeight="1">
      <c r="A96" s="339" t="str">
        <f>'CM_PM Operations'!A183</f>
        <v>12</v>
      </c>
      <c r="B96" s="339" t="str">
        <f>'CM_PM Operations'!B183</f>
        <v>Yellow</v>
      </c>
      <c r="C96" s="339" t="str">
        <f>'CM_PM Operations'!C183</f>
        <v>No</v>
      </c>
      <c r="D96" s="339" t="str">
        <f>'CM_PM Operations'!D183</f>
        <v>N/A / Verify</v>
      </c>
      <c r="E96" s="339" t="str">
        <f>'CM_PM Operations'!E183</f>
        <v>N/A</v>
      </c>
      <c r="F96" s="339" t="str">
        <f>'CM_PM Operations'!F183</f>
        <v>N/A / Verify</v>
      </c>
      <c r="G96" s="339" t="str">
        <f>'CM_PM Operations'!G183</f>
        <v>Verify</v>
      </c>
      <c r="H96" s="339" t="str">
        <f>'CM_PM Operations'!H183</f>
        <v>N/A / Verify</v>
      </c>
      <c r="I96" s="339"/>
      <c r="J96" s="339"/>
      <c r="K96" s="339"/>
      <c r="L96" s="339"/>
    </row>
    <row r="97" spans="1:12" ht="19.8" customHeight="1">
      <c r="A97" s="339" t="str">
        <f>'CM_PM Operations'!A184</f>
        <v>13</v>
      </c>
      <c r="B97" s="339" t="str">
        <f>'CM_PM Operations'!B184</f>
        <v>Yellow</v>
      </c>
      <c r="C97" s="339" t="str">
        <f>'CM_PM Operations'!C184</f>
        <v>No</v>
      </c>
      <c r="D97" s="339" t="str">
        <f>'CM_PM Operations'!D184</f>
        <v>Verify</v>
      </c>
      <c r="E97" s="339" t="str">
        <f>'CM_PM Operations'!E184</f>
        <v>Verify</v>
      </c>
      <c r="F97" s="339" t="str">
        <f>'CM_PM Operations'!F184</f>
        <v>Verify</v>
      </c>
      <c r="G97" s="339" t="str">
        <f>'CM_PM Operations'!G184</f>
        <v>Verify</v>
      </c>
      <c r="H97" s="339" t="str">
        <f>'CM_PM Operations'!H184</f>
        <v>Verify</v>
      </c>
      <c r="I97" s="339"/>
      <c r="J97" s="339"/>
      <c r="K97" s="339"/>
      <c r="L97" s="339"/>
    </row>
    <row r="98" spans="1:12" ht="19.8" customHeight="1">
      <c r="A98" s="541"/>
      <c r="B98" s="541"/>
      <c r="C98" s="541"/>
      <c r="D98" s="541"/>
      <c r="E98" s="541"/>
      <c r="F98" s="541"/>
      <c r="G98" s="541"/>
      <c r="H98" s="541"/>
      <c r="I98" s="541"/>
      <c r="J98" s="541"/>
      <c r="K98" s="541"/>
      <c r="L98" s="541"/>
    </row>
    <row r="99" spans="1:12" ht="19.8" customHeight="1">
      <c r="A99" s="536"/>
      <c r="B99" s="536"/>
      <c r="C99" s="536"/>
      <c r="D99" s="536"/>
      <c r="E99" s="536"/>
      <c r="F99" s="536"/>
      <c r="G99" s="536"/>
      <c r="H99" s="536"/>
      <c r="I99" s="536"/>
      <c r="J99" s="536"/>
      <c r="K99" s="536"/>
      <c r="L99" s="536"/>
    </row>
    <row r="100" spans="1:12" ht="19.8" customHeight="1">
      <c r="A100" s="545" t="s">
        <v>6025</v>
      </c>
      <c r="B100" s="545"/>
      <c r="C100" s="545"/>
      <c r="D100" s="545"/>
      <c r="E100" s="545"/>
      <c r="F100" s="545"/>
      <c r="G100" s="545"/>
      <c r="H100" s="547"/>
      <c r="I100" s="547"/>
      <c r="J100" s="545"/>
      <c r="K100" s="545"/>
      <c r="L100" s="545"/>
    </row>
    <row r="101" spans="1:12" ht="19.8" customHeight="1">
      <c r="A101" s="534" t="s">
        <v>142</v>
      </c>
      <c r="B101" s="534" t="s">
        <v>5848</v>
      </c>
      <c r="C101" s="534" t="s">
        <v>5906</v>
      </c>
      <c r="D101" s="534" t="s">
        <v>5925</v>
      </c>
      <c r="E101" s="534" t="s">
        <v>5858</v>
      </c>
      <c r="F101" s="534" t="s">
        <v>5912</v>
      </c>
      <c r="G101" s="534" t="s">
        <v>5927</v>
      </c>
      <c r="H101" s="538" t="s">
        <v>5914</v>
      </c>
      <c r="I101" s="529"/>
      <c r="J101" s="339"/>
      <c r="K101" s="339"/>
      <c r="L101" s="339"/>
    </row>
    <row r="102" spans="1:12" ht="19.8" customHeight="1">
      <c r="A102" s="339" t="str">
        <f>'CM_PM Operations'!A207</f>
        <v>01</v>
      </c>
      <c r="B102" s="535">
        <f ca="1">'CM_PM Operations'!B207</f>
        <v>0</v>
      </c>
      <c r="C102" s="339" t="str">
        <f ca="1">'CM_PM Operations'!C207</f>
        <v>Blocked</v>
      </c>
      <c r="D102" s="339" t="str">
        <f ca="1">'CM_PM Operations'!D207</f>
        <v>No blocker documented</v>
      </c>
      <c r="E102" s="535">
        <f ca="1">'CM_PM Operations'!E207</f>
        <v>0</v>
      </c>
      <c r="F102" s="339" t="str">
        <f ca="1">'CM_PM Operations'!F207</f>
        <v>Not Ready</v>
      </c>
      <c r="G102" s="339">
        <f ca="1">'CM_PM Operations'!G207</f>
        <v>6</v>
      </c>
      <c r="H102" s="529" t="str">
        <f ca="1">'CM_PM Operations'!H207</f>
        <v>Resolve OIT Blocker</v>
      </c>
      <c r="I102" s="529"/>
      <c r="J102" s="339"/>
      <c r="K102" s="339"/>
      <c r="L102" s="339"/>
    </row>
    <row r="103" spans="1:12" ht="19.8" customHeight="1">
      <c r="A103" s="339" t="str">
        <f>'CM_PM Operations'!A208</f>
        <v>02</v>
      </c>
      <c r="B103" s="535">
        <f ca="1">'CM_PM Operations'!B208</f>
        <v>0</v>
      </c>
      <c r="C103" s="339" t="str">
        <f ca="1">'CM_PM Operations'!C208</f>
        <v>Blocked</v>
      </c>
      <c r="D103" s="339" t="str">
        <f ca="1">'CM_PM Operations'!D208</f>
        <v>No blocker documented</v>
      </c>
      <c r="E103" s="535">
        <f ca="1">'CM_PM Operations'!E208</f>
        <v>0</v>
      </c>
      <c r="F103" s="339" t="str">
        <f ca="1">'CM_PM Operations'!F208</f>
        <v>Not Ready</v>
      </c>
      <c r="G103" s="339">
        <f ca="1">'CM_PM Operations'!G208</f>
        <v>6</v>
      </c>
      <c r="H103" s="529" t="str">
        <f ca="1">'CM_PM Operations'!H208</f>
        <v>Resolve OIT Blocker</v>
      </c>
      <c r="I103" s="529"/>
      <c r="J103" s="339"/>
      <c r="K103" s="339"/>
      <c r="L103" s="339"/>
    </row>
    <row r="104" spans="1:12" ht="19.8" customHeight="1">
      <c r="A104" s="339" t="str">
        <f>'CM_PM Operations'!A209</f>
        <v>03</v>
      </c>
      <c r="B104" s="535">
        <f ca="1">'CM_PM Operations'!B209</f>
        <v>0</v>
      </c>
      <c r="C104" s="339" t="str">
        <f ca="1">'CM_PM Operations'!C209</f>
        <v>Blocked</v>
      </c>
      <c r="D104" s="339" t="str">
        <f ca="1">'CM_PM Operations'!D209</f>
        <v>No blocker documented</v>
      </c>
      <c r="E104" s="535">
        <f ca="1">'CM_PM Operations'!E209</f>
        <v>0</v>
      </c>
      <c r="F104" s="339" t="str">
        <f ca="1">'CM_PM Operations'!F209</f>
        <v>Not Ready</v>
      </c>
      <c r="G104" s="339">
        <f ca="1">'CM_PM Operations'!G209</f>
        <v>6</v>
      </c>
      <c r="H104" s="529" t="str">
        <f ca="1">'CM_PM Operations'!H209</f>
        <v>Resolve OIT Blocker</v>
      </c>
      <c r="I104" s="529"/>
      <c r="J104" s="339"/>
      <c r="K104" s="339"/>
      <c r="L104" s="339"/>
    </row>
    <row r="105" spans="1:12" ht="19.8" customHeight="1">
      <c r="A105" s="339" t="str">
        <f>'CM_PM Operations'!A210</f>
        <v>04</v>
      </c>
      <c r="B105" s="535">
        <f ca="1">'CM_PM Operations'!B210</f>
        <v>0</v>
      </c>
      <c r="C105" s="339" t="str">
        <f ca="1">'CM_PM Operations'!C210</f>
        <v>Blocked</v>
      </c>
      <c r="D105" s="339" t="str">
        <f ca="1">'CM_PM Operations'!D210</f>
        <v>No blocker documented</v>
      </c>
      <c r="E105" s="535">
        <f ca="1">'CM_PM Operations'!E210</f>
        <v>0</v>
      </c>
      <c r="F105" s="339" t="str">
        <f ca="1">'CM_PM Operations'!F210</f>
        <v>Not Ready</v>
      </c>
      <c r="G105" s="339">
        <f ca="1">'CM_PM Operations'!G210</f>
        <v>6</v>
      </c>
      <c r="H105" s="529" t="str">
        <f ca="1">'CM_PM Operations'!H210</f>
        <v>Resolve OIT Blocker</v>
      </c>
      <c r="I105" s="529"/>
      <c r="J105" s="339"/>
      <c r="K105" s="339"/>
      <c r="L105" s="339"/>
    </row>
    <row r="106" spans="1:12" ht="19.8" customHeight="1">
      <c r="A106" s="339" t="str">
        <f>'CM_PM Operations'!A211</f>
        <v>05</v>
      </c>
      <c r="B106" s="535">
        <f ca="1">'CM_PM Operations'!B211</f>
        <v>0</v>
      </c>
      <c r="C106" s="339" t="str">
        <f ca="1">'CM_PM Operations'!C211</f>
        <v>Blocked</v>
      </c>
      <c r="D106" s="339" t="str">
        <f ca="1">'CM_PM Operations'!D211</f>
        <v>No blocker documented</v>
      </c>
      <c r="E106" s="535">
        <f ca="1">'CM_PM Operations'!E211</f>
        <v>0</v>
      </c>
      <c r="F106" s="339" t="str">
        <f ca="1">'CM_PM Operations'!F211</f>
        <v>Not Ready</v>
      </c>
      <c r="G106" s="339">
        <f ca="1">'CM_PM Operations'!G211</f>
        <v>6</v>
      </c>
      <c r="H106" s="529" t="str">
        <f ca="1">'CM_PM Operations'!H211</f>
        <v>Resolve OIT Blocker</v>
      </c>
      <c r="I106" s="529"/>
      <c r="J106" s="339"/>
      <c r="K106" s="339"/>
      <c r="L106" s="339"/>
    </row>
    <row r="107" spans="1:12" ht="19.8" customHeight="1">
      <c r="A107" s="339" t="str">
        <f>'CM_PM Operations'!A212</f>
        <v>06</v>
      </c>
      <c r="B107" s="535">
        <f ca="1">'CM_PM Operations'!B212</f>
        <v>0</v>
      </c>
      <c r="C107" s="339" t="str">
        <f ca="1">'CM_PM Operations'!C212</f>
        <v>Blocked</v>
      </c>
      <c r="D107" s="339" t="str">
        <f ca="1">'CM_PM Operations'!D212</f>
        <v>No blocker documented</v>
      </c>
      <c r="E107" s="535">
        <f ca="1">'CM_PM Operations'!E212</f>
        <v>0</v>
      </c>
      <c r="F107" s="339" t="str">
        <f ca="1">'CM_PM Operations'!F212</f>
        <v>Not Ready</v>
      </c>
      <c r="G107" s="339">
        <f ca="1">'CM_PM Operations'!G212</f>
        <v>6</v>
      </c>
      <c r="H107" s="529" t="str">
        <f ca="1">'CM_PM Operations'!H212</f>
        <v>Resolve OIT Blocker</v>
      </c>
      <c r="I107" s="529"/>
      <c r="J107" s="339"/>
      <c r="K107" s="339"/>
      <c r="L107" s="339"/>
    </row>
    <row r="108" spans="1:12" ht="19.8" customHeight="1">
      <c r="A108" s="339" t="str">
        <f>'CM_PM Operations'!A213</f>
        <v>07</v>
      </c>
      <c r="B108" s="535">
        <f ca="1">'CM_PM Operations'!B213</f>
        <v>0</v>
      </c>
      <c r="C108" s="339" t="str">
        <f ca="1">'CM_PM Operations'!C213</f>
        <v>Blocked</v>
      </c>
      <c r="D108" s="339" t="str">
        <f ca="1">'CM_PM Operations'!D213</f>
        <v>No blocker documented</v>
      </c>
      <c r="E108" s="535">
        <f ca="1">'CM_PM Operations'!E213</f>
        <v>0</v>
      </c>
      <c r="F108" s="339" t="str">
        <f ca="1">'CM_PM Operations'!F213</f>
        <v>Not Ready</v>
      </c>
      <c r="G108" s="339">
        <f ca="1">'CM_PM Operations'!G213</f>
        <v>6</v>
      </c>
      <c r="H108" s="529" t="str">
        <f ca="1">'CM_PM Operations'!H213</f>
        <v>Resolve OIT Blocker</v>
      </c>
      <c r="I108" s="529"/>
      <c r="J108" s="339"/>
      <c r="K108" s="339"/>
      <c r="L108" s="339"/>
    </row>
    <row r="109" spans="1:12" ht="19.8" customHeight="1">
      <c r="A109" s="339" t="str">
        <f>'CM_PM Operations'!A214</f>
        <v>08</v>
      </c>
      <c r="B109" s="535">
        <f ca="1">'CM_PM Operations'!B214</f>
        <v>0</v>
      </c>
      <c r="C109" s="339" t="str">
        <f ca="1">'CM_PM Operations'!C214</f>
        <v>Blocked</v>
      </c>
      <c r="D109" s="339" t="str">
        <f ca="1">'CM_PM Operations'!D214</f>
        <v>No blocker documented</v>
      </c>
      <c r="E109" s="535">
        <f ca="1">'CM_PM Operations'!E214</f>
        <v>0</v>
      </c>
      <c r="F109" s="339" t="str">
        <f ca="1">'CM_PM Operations'!F214</f>
        <v>Not Ready</v>
      </c>
      <c r="G109" s="339">
        <f ca="1">'CM_PM Operations'!G214</f>
        <v>6</v>
      </c>
      <c r="H109" s="529" t="str">
        <f ca="1">'CM_PM Operations'!H214</f>
        <v>Resolve OIT Blocker</v>
      </c>
      <c r="I109" s="529"/>
      <c r="J109" s="339"/>
      <c r="K109" s="339"/>
      <c r="L109" s="339"/>
    </row>
    <row r="110" spans="1:12" ht="19.8" customHeight="1">
      <c r="A110" s="339" t="str">
        <f>'CM_PM Operations'!A215</f>
        <v>09</v>
      </c>
      <c r="B110" s="535">
        <f ca="1">'CM_PM Operations'!B215</f>
        <v>0</v>
      </c>
      <c r="C110" s="339" t="str">
        <f ca="1">'CM_PM Operations'!C215</f>
        <v>Blocked</v>
      </c>
      <c r="D110" s="339" t="str">
        <f ca="1">'CM_PM Operations'!D215</f>
        <v>No blocker documented</v>
      </c>
      <c r="E110" s="535">
        <f ca="1">'CM_PM Operations'!E215</f>
        <v>0</v>
      </c>
      <c r="F110" s="339" t="str">
        <f ca="1">'CM_PM Operations'!F215</f>
        <v>Not Ready</v>
      </c>
      <c r="G110" s="339">
        <f ca="1">'CM_PM Operations'!G215</f>
        <v>6</v>
      </c>
      <c r="H110" s="529" t="str">
        <f ca="1">'CM_PM Operations'!H215</f>
        <v>Resolve OIT Blocker</v>
      </c>
      <c r="I110" s="529"/>
      <c r="J110" s="339"/>
      <c r="K110" s="339"/>
      <c r="L110" s="339"/>
    </row>
    <row r="111" spans="1:12" ht="19.8" customHeight="1">
      <c r="A111" s="339" t="str">
        <f>'CM_PM Operations'!A216</f>
        <v>10</v>
      </c>
      <c r="B111" s="535">
        <f ca="1">'CM_PM Operations'!B216</f>
        <v>0</v>
      </c>
      <c r="C111" s="339" t="str">
        <f ca="1">'CM_PM Operations'!C216</f>
        <v>Blocked</v>
      </c>
      <c r="D111" s="339" t="str">
        <f ca="1">'CM_PM Operations'!D216</f>
        <v>No blocker documented</v>
      </c>
      <c r="E111" s="535">
        <f ca="1">'CM_PM Operations'!E216</f>
        <v>0</v>
      </c>
      <c r="F111" s="339" t="str">
        <f ca="1">'CM_PM Operations'!F216</f>
        <v>Not Ready</v>
      </c>
      <c r="G111" s="339">
        <f ca="1">'CM_PM Operations'!G216</f>
        <v>6</v>
      </c>
      <c r="H111" s="529" t="str">
        <f ca="1">'CM_PM Operations'!H216</f>
        <v>Resolve OIT Blocker</v>
      </c>
      <c r="I111" s="529"/>
      <c r="J111" s="339"/>
      <c r="K111" s="339"/>
      <c r="L111" s="339"/>
    </row>
    <row r="112" spans="1:12" ht="19.8" customHeight="1">
      <c r="A112" s="339" t="str">
        <f>'CM_PM Operations'!A217</f>
        <v>12</v>
      </c>
      <c r="B112" s="535">
        <f ca="1">'CM_PM Operations'!B217</f>
        <v>0</v>
      </c>
      <c r="C112" s="339" t="str">
        <f ca="1">'CM_PM Operations'!C217</f>
        <v>Blocked</v>
      </c>
      <c r="D112" s="339" t="str">
        <f ca="1">'CM_PM Operations'!D217</f>
        <v>No blocker documented</v>
      </c>
      <c r="E112" s="535">
        <f ca="1">'CM_PM Operations'!E217</f>
        <v>0</v>
      </c>
      <c r="F112" s="339" t="str">
        <f ca="1">'CM_PM Operations'!F217</f>
        <v>Not Ready</v>
      </c>
      <c r="G112" s="339">
        <f ca="1">'CM_PM Operations'!G217</f>
        <v>6</v>
      </c>
      <c r="H112" s="339" t="str">
        <f ca="1">'CM_PM Operations'!H217</f>
        <v>Resolve OIT Blocker</v>
      </c>
      <c r="I112" s="339"/>
      <c r="J112" s="339"/>
      <c r="K112" s="339"/>
      <c r="L112" s="339"/>
    </row>
    <row r="113" spans="1:12" ht="19.8" customHeight="1">
      <c r="A113" s="339" t="str">
        <f>'CM_PM Operations'!A218</f>
        <v>13</v>
      </c>
      <c r="B113" s="535">
        <f ca="1">'CM_PM Operations'!B218</f>
        <v>0</v>
      </c>
      <c r="C113" s="339" t="str">
        <f ca="1">'CM_PM Operations'!C218</f>
        <v>Blocked</v>
      </c>
      <c r="D113" s="339" t="str">
        <f ca="1">'CM_PM Operations'!D218</f>
        <v>No blocker documented</v>
      </c>
      <c r="E113" s="535">
        <f ca="1">'CM_PM Operations'!E218</f>
        <v>0</v>
      </c>
      <c r="F113" s="339" t="str">
        <f ca="1">'CM_PM Operations'!F218</f>
        <v>Not Ready</v>
      </c>
      <c r="G113" s="339">
        <f ca="1">'CM_PM Operations'!G218</f>
        <v>6</v>
      </c>
      <c r="H113" s="339" t="str">
        <f ca="1">'CM_PM Operations'!H218</f>
        <v>Resolve OIT Blocker</v>
      </c>
      <c r="I113" s="339"/>
      <c r="J113" s="339"/>
      <c r="K113" s="339"/>
      <c r="L113" s="339"/>
    </row>
    <row r="114" spans="1:12" ht="19.8" customHeight="1">
      <c r="A114" s="541"/>
      <c r="B114" s="541"/>
      <c r="C114" s="541"/>
      <c r="D114" s="541"/>
      <c r="E114" s="541"/>
      <c r="F114" s="541"/>
      <c r="G114" s="541"/>
      <c r="H114" s="541"/>
      <c r="I114" s="541"/>
      <c r="J114" s="541"/>
      <c r="K114" s="541"/>
      <c r="L114" s="541"/>
    </row>
    <row r="115" spans="1:12" ht="19.8" customHeight="1">
      <c r="A115" s="536"/>
      <c r="B115" s="536"/>
      <c r="C115" s="536"/>
      <c r="D115" s="536"/>
      <c r="E115" s="536"/>
      <c r="F115" s="536"/>
      <c r="G115" s="339"/>
      <c r="H115" s="339"/>
      <c r="I115" s="339"/>
      <c r="J115" s="339"/>
      <c r="K115" s="339"/>
      <c r="L115" s="339"/>
    </row>
    <row r="116" spans="1:12" ht="13.8">
      <c r="A116" s="545" t="s">
        <v>6026</v>
      </c>
      <c r="B116" s="545"/>
      <c r="C116" s="545"/>
      <c r="D116" s="545"/>
      <c r="E116" s="545"/>
      <c r="F116" s="545"/>
      <c r="G116" s="545"/>
      <c r="H116" s="545"/>
      <c r="I116" s="545"/>
      <c r="J116" s="545"/>
      <c r="K116" s="545"/>
      <c r="L116" s="545"/>
    </row>
    <row r="117" spans="1:12">
      <c r="A117" s="534" t="s">
        <v>5969</v>
      </c>
      <c r="B117" s="534" t="s">
        <v>6011</v>
      </c>
      <c r="C117" s="534" t="s">
        <v>286</v>
      </c>
      <c r="D117" s="534" t="s">
        <v>142</v>
      </c>
      <c r="E117" s="534" t="s">
        <v>216</v>
      </c>
      <c r="F117" s="534" t="s">
        <v>224</v>
      </c>
      <c r="G117" s="534" t="s">
        <v>77</v>
      </c>
      <c r="H117" s="534" t="s">
        <v>6027</v>
      </c>
      <c r="I117" s="534" t="s">
        <v>6028</v>
      </c>
      <c r="J117" s="534" t="s">
        <v>6029</v>
      </c>
      <c r="K117" s="534" t="s">
        <v>6030</v>
      </c>
      <c r="L117" s="534" t="s">
        <v>5737</v>
      </c>
    </row>
    <row r="118" spans="1:12" ht="26.4">
      <c r="A118" s="253" t="str">
        <f>IFERROR(INDEX([6]Project_Register!$A$2:$A$501,MATCH(1,[6]Project_Register!$AO$2:$AO$501,0)),"")</f>
        <v>DEL-001</v>
      </c>
      <c r="B118" s="253" t="str">
        <f>IF($A118="","",IFERROR(INDEX([6]Project_Register!$B$2:$B$501,MATCH(1,[6]Project_Register!$AO$2:$AO$501,0)),""))</f>
        <v>Deliverable</v>
      </c>
      <c r="C118" s="253" t="str">
        <f>IF($A118="","",IFERROR(INDEX([6]Project_Register!$G$2:$G$501,MATCH(1,[6]Project_Register!$AO$2:$AO$501,0)),""))</f>
        <v>Weekly Inspection Report</v>
      </c>
      <c r="D118" s="253" t="str">
        <f>IF($A118="","",IFERROR(INDEX([6]Project_Register!$E$2:$E$501,MATCH(1,[6]Project_Register!$AO$2:$AO$501,0)),""))</f>
        <v>ALL</v>
      </c>
      <c r="E118" s="253" t="str">
        <f>IF($A118="","",IFERROR(INDEX([6]Project_Register!$K$2:$K$501,MATCH(1,[6]Project_Register!$AO$2:$AO$501,0)),""))</f>
        <v>Aisha</v>
      </c>
      <c r="F118" s="253" t="str">
        <f>IF($A118="","",IFERROR(INDEX([6]Project_Register!$M$2:$M$501,MATCH(1,[6]Project_Register!$AO$2:$AO$501,0)),""))</f>
        <v>High</v>
      </c>
      <c r="G118" s="253" t="str">
        <f>IF($A118="","",IFERROR(INDEX([6]Project_Register!$N$2:$N$501,MATCH(1,[6]Project_Register!$AO$2:$AO$501,0)),""))</f>
        <v>Open</v>
      </c>
      <c r="H118" s="903">
        <f>IF($A118="","",IFERROR(INDEX([6]Project_Register!$P$2:$P$501,MATCH(1,[6]Project_Register!$AO$2:$AO$501,0)),""))</f>
        <v>46219</v>
      </c>
      <c r="I118" s="903">
        <f>IF($A118="","",IFERROR(INDEX([6]Project_Register!$Q$2:$Q$501,MATCH(1,[6]Project_Register!$AO$2:$AO$501,0)),""))</f>
        <v>0</v>
      </c>
      <c r="J118" s="253" t="str">
        <f>IF($A118="","",IFERROR(INDEX([6]Project_Register!$X$2:$X$501,MATCH(1,[6]Project_Register!$AO$2:$AO$501,0)),""))</f>
        <v>Weekly</v>
      </c>
      <c r="K118" s="253" t="str">
        <f>IF($A118="","",IFERROR(INDEX([6]Project_Register!$AA$2:$AA$501,MATCH(1,[6]Project_Register!$AO$2:$AO$501,0)),""))</f>
        <v>No</v>
      </c>
      <c r="L118" s="253" t="str">
        <f>IF($A118="","",IFERROR(INDEX([6]Project_Register!$AE$2:$AE$501,MATCH(1,[6]Project_Register!$AO$2:$AO$501,0)),""))</f>
        <v>Compile assessment and PMIS data; Paul performs final review.</v>
      </c>
    </row>
    <row r="119" spans="1:12" ht="26.4">
      <c r="A119" s="253" t="str">
        <f>IFERROR(INDEX([6]Project_Register!$A$2:$A$501,MATCH(2,[6]Project_Register!$AO$2:$AO$501,0)),"")</f>
        <v>DEL-002</v>
      </c>
      <c r="B119" s="253" t="str">
        <f>IF($A119="","",IFERROR(INDEX([6]Project_Register!$B$2:$B$501,MATCH(2,[6]Project_Register!$AO$2:$AO$501,0)),""))</f>
        <v>PTR Update</v>
      </c>
      <c r="C119" s="253" t="str">
        <f>IF($A119="","",IFERROR(INDEX([6]Project_Register!$G$2:$G$501,MATCH(2,[6]Project_Register!$AO$2:$AO$501,0)),""))</f>
        <v>Biweekly PTR Update</v>
      </c>
      <c r="D119" s="253" t="str">
        <f>IF($A119="","",IFERROR(INDEX([6]Project_Register!$E$2:$E$501,MATCH(2,[6]Project_Register!$AO$2:$AO$501,0)),""))</f>
        <v>ALL</v>
      </c>
      <c r="E119" s="253" t="str">
        <f>IF($A119="","",IFERROR(INDEX([6]Project_Register!$K$2:$K$501,MATCH(2,[6]Project_Register!$AO$2:$AO$501,0)),""))</f>
        <v>Paul</v>
      </c>
      <c r="F119" s="253" t="str">
        <f>IF($A119="","",IFERROR(INDEX([6]Project_Register!$M$2:$M$501,MATCH(2,[6]Project_Register!$AO$2:$AO$501,0)),""))</f>
        <v>High</v>
      </c>
      <c r="G119" s="253" t="str">
        <f>IF($A119="","",IFERROR(INDEX([6]Project_Register!$N$2:$N$501,MATCH(2,[6]Project_Register!$AO$2:$AO$501,0)),""))</f>
        <v>Open</v>
      </c>
      <c r="H119" s="903">
        <f>IF($A119="","",IFERROR(INDEX([6]Project_Register!$P$2:$P$501,MATCH(2,[6]Project_Register!$AO$2:$AO$501,0)),""))</f>
        <v>46219</v>
      </c>
      <c r="I119" s="903">
        <f>IF($A119="","",IFERROR(INDEX([6]Project_Register!$Q$2:$Q$501,MATCH(2,[6]Project_Register!$AO$2:$AO$501,0)),""))</f>
        <v>0</v>
      </c>
      <c r="J119" s="253" t="str">
        <f>IF($A119="","",IFERROR(INDEX([6]Project_Register!$X$2:$X$501,MATCH(2,[6]Project_Register!$AO$2:$AO$501,0)),""))</f>
        <v>Biweekly</v>
      </c>
      <c r="K119" s="253" t="str">
        <f>IF($A119="","",IFERROR(INDEX([6]Project_Register!$AA$2:$AA$501,MATCH(2,[6]Project_Register!$AO$2:$AO$501,0)),""))</f>
        <v>Yes</v>
      </c>
      <c r="L119" s="253" t="str">
        <f>IF($A119="","",IFERROR(INDEX([6]Project_Register!$AE$2:$AE$501,MATCH(2,[6]Project_Register!$AO$2:$AO$501,0)),""))</f>
        <v>Maintain a current decision-ready PTR package.</v>
      </c>
    </row>
    <row r="120" spans="1:12" ht="26.4">
      <c r="A120" s="253" t="str">
        <f>IFERROR(INDEX([6]Project_Register!$A$2:$A$501,MATCH(3,[6]Project_Register!$AO$2:$AO$501,0)),"")</f>
        <v>SCH-001</v>
      </c>
      <c r="B120" s="253" t="str">
        <f>IF($A120="","",IFERROR(INDEX([6]Project_Register!$B$2:$B$501,MATCH(3,[6]Project_Register!$AO$2:$AO$501,0)),""))</f>
        <v>Schedule Item</v>
      </c>
      <c r="C120" s="253" t="str">
        <f>IF($A120="","",IFERROR(INDEX([6]Project_Register!$G$2:$G$501,MATCH(3,[6]Project_Register!$AO$2:$AO$501,0)),""))</f>
        <v>Contractor Baseline Schedule</v>
      </c>
      <c r="D120" s="253" t="str">
        <f>IF($A120="","",IFERROR(INDEX([6]Project_Register!$E$2:$E$501,MATCH(3,[6]Project_Register!$AO$2:$AO$501,0)),""))</f>
        <v>ALL</v>
      </c>
      <c r="E120" s="253" t="str">
        <f>IF($A120="","",IFERROR(INDEX([6]Project_Register!$K$2:$K$501,MATCH(3,[6]Project_Register!$AO$2:$AO$501,0)),""))</f>
        <v>Paul</v>
      </c>
      <c r="F120" s="253" t="str">
        <f>IF($A120="","",IFERROR(INDEX([6]Project_Register!$M$2:$M$501,MATCH(3,[6]Project_Register!$AO$2:$AO$501,0)),""))</f>
        <v>Critical</v>
      </c>
      <c r="G120" s="253" t="str">
        <f>IF($A120="","",IFERROR(INDEX([6]Project_Register!$N$2:$N$501,MATCH(3,[6]Project_Register!$AO$2:$AO$501,0)),""))</f>
        <v>Waiting</v>
      </c>
      <c r="H120" s="903">
        <f>IF($A120="","",IFERROR(INDEX([6]Project_Register!$P$2:$P$501,MATCH(3,[6]Project_Register!$AO$2:$AO$501,0)),""))</f>
        <v>46219</v>
      </c>
      <c r="I120" s="903">
        <f>IF($A120="","",IFERROR(INDEX([6]Project_Register!$Q$2:$Q$501,MATCH(3,[6]Project_Register!$AO$2:$AO$501,0)),""))</f>
        <v>0</v>
      </c>
      <c r="J120" s="253" t="str">
        <f>IF($A120="","",IFERROR(INDEX([6]Project_Register!$X$2:$X$501,MATCH(3,[6]Project_Register!$AO$2:$AO$501,0)),""))</f>
        <v>Biweekly</v>
      </c>
      <c r="K120" s="253" t="str">
        <f>IF($A120="","",IFERROR(INDEX([6]Project_Register!$AA$2:$AA$501,MATCH(3,[6]Project_Register!$AO$2:$AO$501,0)),""))</f>
        <v>Yes</v>
      </c>
      <c r="L120" s="253" t="str">
        <f>IF($A120="","",IFERROR(INDEX([6]Project_Register!$AE$2:$AE$501,MATCH(3,[6]Project_Register!$AO$2:$AO$501,0)),""))</f>
        <v>Obtain schedule and establish the Owner-side schedule review baseline.</v>
      </c>
    </row>
    <row r="121" spans="1:12" ht="26.4">
      <c r="A121" s="253" t="str">
        <f>IFERROR(INDEX([6]Project_Register!$A$2:$A$501,MATCH(4,[6]Project_Register!$AO$2:$AO$501,0)),"")</f>
        <v>ACT-001</v>
      </c>
      <c r="B121" s="253" t="str">
        <f>IF($A121="","",IFERROR(INDEX([6]Project_Register!$B$2:$B$501,MATCH(4,[6]Project_Register!$AO$2:$AO$501,0)),""))</f>
        <v>Action Item</v>
      </c>
      <c r="C121" s="253" t="str">
        <f>IF($A121="","",IFERROR(INDEX([6]Project_Register!$G$2:$G$501,MATCH(4,[6]Project_Register!$AO$2:$AO$501,0)),""))</f>
        <v>Confirm COR Reporting Expectations</v>
      </c>
      <c r="D121" s="253" t="str">
        <f>IF($A121="","",IFERROR(INDEX([6]Project_Register!$E$2:$E$501,MATCH(4,[6]Project_Register!$AO$2:$AO$501,0)),""))</f>
        <v>ALL</v>
      </c>
      <c r="E121" s="253" t="str">
        <f>IF($A121="","",IFERROR(INDEX([6]Project_Register!$K$2:$K$501,MATCH(4,[6]Project_Register!$AO$2:$AO$501,0)),""))</f>
        <v>Paul</v>
      </c>
      <c r="F121" s="253" t="str">
        <f>IF($A121="","",IFERROR(INDEX([6]Project_Register!$M$2:$M$501,MATCH(4,[6]Project_Register!$AO$2:$AO$501,0)),""))</f>
        <v>High</v>
      </c>
      <c r="G121" s="253" t="str">
        <f>IF($A121="","",IFERROR(INDEX([6]Project_Register!$N$2:$N$501,MATCH(4,[6]Project_Register!$AO$2:$AO$501,0)),""))</f>
        <v>Open</v>
      </c>
      <c r="H121" s="903">
        <f>IF($A121="","",IFERROR(INDEX([6]Project_Register!$P$2:$P$501,MATCH(4,[6]Project_Register!$AO$2:$AO$501,0)),""))</f>
        <v>46219</v>
      </c>
      <c r="I121" s="903">
        <f>IF($A121="","",IFERROR(INDEX([6]Project_Register!$Q$2:$Q$501,MATCH(4,[6]Project_Register!$AO$2:$AO$501,0)),""))</f>
        <v>0</v>
      </c>
      <c r="J121" s="253" t="str">
        <f>IF($A121="","",IFERROR(INDEX([6]Project_Register!$X$2:$X$501,MATCH(4,[6]Project_Register!$AO$2:$AO$501,0)),""))</f>
        <v>Weekly</v>
      </c>
      <c r="K121" s="253" t="str">
        <f>IF($A121="","",IFERROR(INDEX([6]Project_Register!$AA$2:$AA$501,MATCH(4,[6]Project_Register!$AO$2:$AO$501,0)),""))</f>
        <v>Yes</v>
      </c>
      <c r="L121" s="253" t="str">
        <f>IF($A121="","",IFERROR(INDEX([6]Project_Register!$AE$2:$AE$501,MATCH(4,[6]Project_Register!$AO$2:$AO$501,0)),""))</f>
        <v>Document the agreed process before the first recurring submission.</v>
      </c>
    </row>
    <row r="122" spans="1:12" ht="26.4">
      <c r="A122" s="253" t="str">
        <f>IFERROR(INDEX([6]Project_Register!$A$2:$A$501,MATCH(5,[6]Project_Register!$AO$2:$AO$501,0)),"")</f>
        <v>DQ-001</v>
      </c>
      <c r="B122" s="253" t="str">
        <f>IF($A122="","",IFERROR(INDEX([6]Project_Register!$B$2:$B$501,MATCH(5,[6]Project_Register!$AO$2:$AO$501,0)),""))</f>
        <v>Design Question</v>
      </c>
      <c r="C122" s="253" t="str">
        <f>IF($A122="","",IFERROR(INDEX([6]Project_Register!$G$2:$G$501,MATCH(5,[6]Project_Register!$AO$2:$AO$501,0)),""))</f>
        <v>Consolidate Building 61 A/E Questions</v>
      </c>
      <c r="D122" s="253" t="str">
        <f>IF($A122="","",IFERROR(INDEX([6]Project_Register!$E$2:$E$501,MATCH(5,[6]Project_Register!$AO$2:$AO$501,0)),""))</f>
        <v>61</v>
      </c>
      <c r="E122" s="253" t="str">
        <f>IF($A122="","",IFERROR(INDEX([6]Project_Register!$K$2:$K$501,MATCH(5,[6]Project_Register!$AO$2:$AO$501,0)),""))</f>
        <v>Paul</v>
      </c>
      <c r="F122" s="253" t="str">
        <f>IF($A122="","",IFERROR(INDEX([6]Project_Register!$M$2:$M$501,MATCH(5,[6]Project_Register!$AO$2:$AO$501,0)),""))</f>
        <v>High</v>
      </c>
      <c r="G122" s="253" t="str">
        <f>IF($A122="","",IFERROR(INDEX([6]Project_Register!$N$2:$N$501,MATCH(5,[6]Project_Register!$AO$2:$AO$501,0)),""))</f>
        <v>In Progress</v>
      </c>
      <c r="H122" s="903">
        <f>IF($A122="","",IFERROR(INDEX([6]Project_Register!$P$2:$P$501,MATCH(5,[6]Project_Register!$AO$2:$AO$501,0)),""))</f>
        <v>46217</v>
      </c>
      <c r="I122" s="903">
        <f>IF($A122="","",IFERROR(INDEX([6]Project_Register!$Q$2:$Q$501,MATCH(5,[6]Project_Register!$AO$2:$AO$501,0)),""))</f>
        <v>0</v>
      </c>
      <c r="J122" s="253" t="str">
        <f>IF($A122="","",IFERROR(INDEX([6]Project_Register!$X$2:$X$501,MATCH(5,[6]Project_Register!$AO$2:$AO$501,0)),""))</f>
        <v>Weekly</v>
      </c>
      <c r="K122" s="253" t="str">
        <f>IF($A122="","",IFERROR(INDEX([6]Project_Register!$AA$2:$AA$501,MATCH(5,[6]Project_Register!$AO$2:$AO$501,0)),""))</f>
        <v>Yes</v>
      </c>
      <c r="L122" s="253" t="str">
        <f>IF($A122="","",IFERROR(INDEX([6]Project_Register!$AE$2:$AE$501,MATCH(5,[6]Project_Register!$AO$2:$AO$501,0)),""))</f>
        <v>Issue a coordinated question package through the COR.</v>
      </c>
    </row>
    <row r="123" spans="1:12" ht="26.4">
      <c r="A123" s="253" t="str">
        <f>IFERROR(INDEX([6]Project_Register!$A$2:$A$501,MATCH(6,[6]Project_Register!$AO$2:$AO$501,0)),"")</f>
        <v>ACT-002</v>
      </c>
      <c r="B123" s="253" t="str">
        <f>IF($A123="","",IFERROR(INDEX([6]Project_Register!$B$2:$B$501,MATCH(6,[6]Project_Register!$AO$2:$AO$501,0)),""))</f>
        <v>Action Item</v>
      </c>
      <c r="C123" s="253" t="str">
        <f>IF($A123="","",IFERROR(INDEX([6]Project_Register!$G$2:$G$501,MATCH(6,[6]Project_Register!$AO$2:$AO$501,0)),""))</f>
        <v>Occupied-Room Relocation Planning</v>
      </c>
      <c r="D123" s="253" t="str">
        <f>IF($A123="","",IFERROR(INDEX([6]Project_Register!$E$2:$E$501,MATCH(6,[6]Project_Register!$AO$2:$AO$501,0)),""))</f>
        <v>ALL</v>
      </c>
      <c r="E123" s="253" t="str">
        <f>IF($A123="","",IFERROR(INDEX([6]Project_Register!$K$2:$K$501,MATCH(6,[6]Project_Register!$AO$2:$AO$501,0)),""))</f>
        <v>Aisha</v>
      </c>
      <c r="F123" s="253" t="str">
        <f>IF($A123="","",IFERROR(INDEX([6]Project_Register!$M$2:$M$501,MATCH(6,[6]Project_Register!$AO$2:$AO$501,0)),""))</f>
        <v>High</v>
      </c>
      <c r="G123" s="253" t="str">
        <f>IF($A123="","",IFERROR(INDEX([6]Project_Register!$N$2:$N$501,MATCH(6,[6]Project_Register!$AO$2:$AO$501,0)),""))</f>
        <v>Open</v>
      </c>
      <c r="H123" s="903">
        <f>IF($A123="","",IFERROR(INDEX([6]Project_Register!$P$2:$P$501,MATCH(6,[6]Project_Register!$AO$2:$AO$501,0)),""))</f>
        <v>46213</v>
      </c>
      <c r="I123" s="903">
        <f>IF($A123="","",IFERROR(INDEX([6]Project_Register!$Q$2:$Q$501,MATCH(6,[6]Project_Register!$AO$2:$AO$501,0)),""))</f>
        <v>0</v>
      </c>
      <c r="J123" s="253" t="str">
        <f>IF($A123="","",IFERROR(INDEX([6]Project_Register!$X$2:$X$501,MATCH(6,[6]Project_Register!$AO$2:$AO$501,0)),""))</f>
        <v>Weekly</v>
      </c>
      <c r="K123" s="253" t="str">
        <f>IF($A123="","",IFERROR(INDEX([6]Project_Register!$AA$2:$AA$501,MATCH(6,[6]Project_Register!$AO$2:$AO$501,0)),""))</f>
        <v>Yes</v>
      </c>
      <c r="L123" s="253" t="str">
        <f>IF($A123="","",IFERROR(INDEX([6]Project_Register!$AE$2:$AE$501,MATCH(6,[6]Project_Register!$AO$2:$AO$501,0)),""))</f>
        <v>Coordinate hospital stakeholders before contractor sequencing is accepted.</v>
      </c>
    </row>
    <row r="124" spans="1:12" ht="26.4">
      <c r="A124" s="253" t="str">
        <f>IFERROR(INDEX([6]Project_Register!$A$2:$A$501,MATCH(7,[6]Project_Register!$AO$2:$AO$501,0)),"")</f>
        <v>PAY-001</v>
      </c>
      <c r="B124" s="253" t="str">
        <f>IF($A124="","",IFERROR(INDEX([6]Project_Register!$B$2:$B$501,MATCH(7,[6]Project_Register!$AO$2:$AO$501,0)),""))</f>
        <v>Pay Application</v>
      </c>
      <c r="C124" s="253" t="str">
        <f>IF($A124="","",IFERROR(INDEX([6]Project_Register!$G$2:$G$501,MATCH(7,[6]Project_Register!$AO$2:$AO$501,0)),""))</f>
        <v>General Contractor Pay Application Review</v>
      </c>
      <c r="D124" s="253" t="str">
        <f>IF($A124="","",IFERROR(INDEX([6]Project_Register!$E$2:$E$501,MATCH(7,[6]Project_Register!$AO$2:$AO$501,0)),""))</f>
        <v>ALL</v>
      </c>
      <c r="E124" s="253" t="str">
        <f>IF($A124="","",IFERROR(INDEX([6]Project_Register!$K$2:$K$501,MATCH(7,[6]Project_Register!$AO$2:$AO$501,0)),""))</f>
        <v>Paul</v>
      </c>
      <c r="F124" s="253" t="str">
        <f>IF($A124="","",IFERROR(INDEX([6]Project_Register!$M$2:$M$501,MATCH(7,[6]Project_Register!$AO$2:$AO$501,0)),""))</f>
        <v>High</v>
      </c>
      <c r="G124" s="253" t="str">
        <f>IF($A124="","",IFERROR(INDEX([6]Project_Register!$N$2:$N$501,MATCH(7,[6]Project_Register!$AO$2:$AO$501,0)),""))</f>
        <v>Not Started</v>
      </c>
      <c r="H124" s="903">
        <f>IF($A124="","",IFERROR(INDEX([6]Project_Register!$P$2:$P$501,MATCH(7,[6]Project_Register!$AO$2:$AO$501,0)),""))</f>
        <v>46219</v>
      </c>
      <c r="I124" s="903">
        <f>IF($A124="","",IFERROR(INDEX([6]Project_Register!$Q$2:$Q$501,MATCH(7,[6]Project_Register!$AO$2:$AO$501,0)),""))</f>
        <v>0</v>
      </c>
      <c r="J124" s="253" t="str">
        <f>IF($A124="","",IFERROR(INDEX([6]Project_Register!$X$2:$X$501,MATCH(7,[6]Project_Register!$AO$2:$AO$501,0)),""))</f>
        <v>Monthly</v>
      </c>
      <c r="K124" s="253" t="str">
        <f>IF($A124="","",IFERROR(INDEX([6]Project_Register!$AA$2:$AA$501,MATCH(7,[6]Project_Register!$AO$2:$AO$501,0)),""))</f>
        <v>No</v>
      </c>
      <c r="L124" s="253" t="str">
        <f>IF($A124="","",IFERROR(INDEX([6]Project_Register!$AE$2:$AE$501,MATCH(7,[6]Project_Register!$AO$2:$AO$501,0)),""))</f>
        <v>Provide a supported payment recommendation to the COR.</v>
      </c>
    </row>
    <row r="125" spans="1:12" ht="26.4">
      <c r="A125" s="253" t="str">
        <f>IFERROR(INDEX([6]Project_Register!$A$2:$A$501,MATCH(8,[6]Project_Register!$AO$2:$AO$501,0)),"")</f>
        <v>CX-001</v>
      </c>
      <c r="B125" s="253" t="str">
        <f>IF($A125="","",IFERROR(INDEX([6]Project_Register!$B$2:$B$501,MATCH(8,[6]Project_Register!$AO$2:$AO$501,0)),""))</f>
        <v>Commissioning</v>
      </c>
      <c r="C125" s="253" t="str">
        <f>IF($A125="","",IFERROR(INDEX([6]Project_Register!$G$2:$G$501,MATCH(8,[6]Project_Register!$AO$2:$AO$501,0)),""))</f>
        <v>Commissioning Responsibility Matrix</v>
      </c>
      <c r="D125" s="253" t="str">
        <f>IF($A125="","",IFERROR(INDEX([6]Project_Register!$E$2:$E$501,MATCH(8,[6]Project_Register!$AO$2:$AO$501,0)),""))</f>
        <v>ALL</v>
      </c>
      <c r="E125" s="253" t="str">
        <f>IF($A125="","",IFERROR(INDEX([6]Project_Register!$K$2:$K$501,MATCH(8,[6]Project_Register!$AO$2:$AO$501,0)),""))</f>
        <v>Aisha</v>
      </c>
      <c r="F125" s="253" t="str">
        <f>IF($A125="","",IFERROR(INDEX([6]Project_Register!$M$2:$M$501,MATCH(8,[6]Project_Register!$AO$2:$AO$501,0)),""))</f>
        <v>High</v>
      </c>
      <c r="G125" s="253" t="str">
        <f>IF($A125="","",IFERROR(INDEX([6]Project_Register!$N$2:$N$501,MATCH(8,[6]Project_Register!$AO$2:$AO$501,0)),""))</f>
        <v>Not Started</v>
      </c>
      <c r="H125" s="903">
        <f>IF($A125="","",IFERROR(INDEX([6]Project_Register!$P$2:$P$501,MATCH(8,[6]Project_Register!$AO$2:$AO$501,0)),""))</f>
        <v>46219</v>
      </c>
      <c r="I125" s="903">
        <f>IF($A125="","",IFERROR(INDEX([6]Project_Register!$Q$2:$Q$501,MATCH(8,[6]Project_Register!$AO$2:$AO$501,0)),""))</f>
        <v>0</v>
      </c>
      <c r="J125" s="253" t="str">
        <f>IF($A125="","",IFERROR(INDEX([6]Project_Register!$X$2:$X$501,MATCH(8,[6]Project_Register!$AO$2:$AO$501,0)),""))</f>
        <v>Monthly</v>
      </c>
      <c r="K125" s="253" t="str">
        <f>IF($A125="","",IFERROR(INDEX([6]Project_Register!$AA$2:$AA$501,MATCH(8,[6]Project_Register!$AO$2:$AO$501,0)),""))</f>
        <v>Yes</v>
      </c>
      <c r="L125" s="253" t="str">
        <f>IF($A125="","",IFERROR(INDEX([6]Project_Register!$AE$2:$AE$501,MATCH(8,[6]Project_Register!$AO$2:$AO$501,0)),""))</f>
        <v>Establish system-by-system prerequisites and acceptance responsibilities.</v>
      </c>
    </row>
    <row r="126" spans="1:12" ht="19.8" customHeight="1">
      <c r="A126" s="339" t="str">
        <f>IF('CM_PM Operations'!L249&lt;&gt;"Yes","",'CM_PM Operations'!A249)</f>
        <v/>
      </c>
      <c r="B126" s="339" t="str">
        <f>IF($A126="","",'CM_PM Operations'!B249)</f>
        <v/>
      </c>
      <c r="C126" s="339" t="str">
        <f>IF($A126="","",'CM_PM Operations'!C249)</f>
        <v/>
      </c>
      <c r="D126" s="339" t="str">
        <f>IF($A126="","",'CM_PM Operations'!D249)</f>
        <v/>
      </c>
      <c r="E126" s="339" t="str">
        <f>IF($A126="","",'CM_PM Operations'!E249)</f>
        <v/>
      </c>
      <c r="F126" s="339" t="str">
        <f>IF($A126="","",'CM_PM Operations'!F249)</f>
        <v/>
      </c>
      <c r="G126" s="339" t="str">
        <f>IF($A126="","",'CM_PM Operations'!G249)</f>
        <v/>
      </c>
      <c r="H126" s="529" t="str">
        <f>IF($A126="","",'CM_PM Operations'!H249)</f>
        <v/>
      </c>
      <c r="I126" s="529" t="str">
        <f>IF($A126="","",IFERROR('CM_PM Operations'!I249,""))</f>
        <v/>
      </c>
      <c r="J126" s="339" t="str">
        <f>IF($A126="","",'CM_PM Operations'!K249)</f>
        <v/>
      </c>
      <c r="K126" s="339" t="str">
        <f>IF($A126="","",'CM_PM Operations'!J249)</f>
        <v/>
      </c>
      <c r="L126" s="339" t="str">
        <f>IF($A126="","",'CM_PM Operations'!N249)</f>
        <v/>
      </c>
    </row>
    <row r="127" spans="1:12" ht="19.8" customHeight="1">
      <c r="A127" s="339" t="str">
        <f>IF('CM_PM Operations'!L250&lt;&gt;"Yes","",'CM_PM Operations'!A250)</f>
        <v/>
      </c>
      <c r="B127" s="339" t="str">
        <f>IF($A127="","",'CM_PM Operations'!B250)</f>
        <v/>
      </c>
      <c r="C127" s="339" t="str">
        <f>IF($A127="","",'CM_PM Operations'!C250)</f>
        <v/>
      </c>
      <c r="D127" s="339" t="str">
        <f>IF($A127="","",'CM_PM Operations'!D250)</f>
        <v/>
      </c>
      <c r="E127" s="339" t="str">
        <f>IF($A127="","",'CM_PM Operations'!E250)</f>
        <v/>
      </c>
      <c r="F127" s="339" t="str">
        <f>IF($A127="","",'CM_PM Operations'!F250)</f>
        <v/>
      </c>
      <c r="G127" s="339" t="str">
        <f>IF($A127="","",'CM_PM Operations'!G250)</f>
        <v/>
      </c>
      <c r="H127" s="529" t="str">
        <f>IF($A127="","",'CM_PM Operations'!H250)</f>
        <v/>
      </c>
      <c r="I127" s="529" t="str">
        <f>IF($A127="","",IFERROR('CM_PM Operations'!I250,""))</f>
        <v/>
      </c>
      <c r="J127" s="339" t="str">
        <f>IF($A127="","",'CM_PM Operations'!K250)</f>
        <v/>
      </c>
      <c r="K127" s="339" t="str">
        <f>IF($A127="","",'CM_PM Operations'!J250)</f>
        <v/>
      </c>
      <c r="L127" s="339" t="str">
        <f>IF($A127="","",'CM_PM Operations'!N250)</f>
        <v/>
      </c>
    </row>
    <row r="128" spans="1:12" ht="19.8" customHeight="1">
      <c r="A128" s="541" t="str">
        <f>IF('CM_PM Operations'!L251&lt;&gt;"Yes","",'CM_PM Operations'!A251)</f>
        <v/>
      </c>
      <c r="B128" s="541" t="str">
        <f>IF($A128="","",'CM_PM Operations'!B251)</f>
        <v/>
      </c>
      <c r="C128" s="541" t="str">
        <f>IF($A128="","",'CM_PM Operations'!C251)</f>
        <v/>
      </c>
      <c r="D128" s="541" t="str">
        <f>IF($A128="","",'CM_PM Operations'!D251)</f>
        <v/>
      </c>
      <c r="E128" s="541" t="str">
        <f>IF($A128="","",'CM_PM Operations'!E251)</f>
        <v/>
      </c>
      <c r="F128" s="541" t="str">
        <f>IF($A128="","",'CM_PM Operations'!F251)</f>
        <v/>
      </c>
      <c r="G128" s="541" t="str">
        <f>IF($A128="","",'CM_PM Operations'!G251)</f>
        <v/>
      </c>
      <c r="H128" s="542" t="str">
        <f>IF($A128="","",'CM_PM Operations'!H251)</f>
        <v/>
      </c>
      <c r="I128" s="542" t="str">
        <f>IF($A128="","",IFERROR('CM_PM Operations'!I251,""))</f>
        <v/>
      </c>
      <c r="J128" s="541" t="str">
        <f>IF($A128="","",'CM_PM Operations'!K251)</f>
        <v/>
      </c>
      <c r="K128" s="541" t="str">
        <f>IF($A128="","",'CM_PM Operations'!J251)</f>
        <v/>
      </c>
      <c r="L128" s="541" t="str">
        <f>IF($A128="","",'CM_PM Operations'!N251)</f>
        <v/>
      </c>
    </row>
    <row r="129" spans="1:12" ht="19.8" customHeight="1">
      <c r="A129" s="543" t="str">
        <f>IF('CM_PM Operations'!L252&lt;&gt;"Yes","",'CM_PM Operations'!A252)</f>
        <v/>
      </c>
      <c r="B129" s="543" t="str">
        <f>IF($A129="","",'CM_PM Operations'!B252)</f>
        <v/>
      </c>
      <c r="C129" s="543" t="str">
        <f>IF($A129="","",'CM_PM Operations'!C252)</f>
        <v/>
      </c>
      <c r="D129" s="543" t="str">
        <f>IF($A129="","",'CM_PM Operations'!D252)</f>
        <v/>
      </c>
      <c r="E129" s="543" t="str">
        <f>IF($A129="","",'CM_PM Operations'!E252)</f>
        <v/>
      </c>
      <c r="F129" s="543" t="str">
        <f>IF($A129="","",'CM_PM Operations'!F252)</f>
        <v/>
      </c>
      <c r="G129" s="543" t="str">
        <f>IF($A129="","",'CM_PM Operations'!G252)</f>
        <v/>
      </c>
      <c r="H129" s="544" t="str">
        <f>IF($A129="","",'CM_PM Operations'!H252)</f>
        <v/>
      </c>
      <c r="I129" s="544" t="str">
        <f>IF($A129="","",IFERROR('CM_PM Operations'!I252,""))</f>
        <v/>
      </c>
      <c r="J129" s="543" t="str">
        <f>IF($A129="","",'CM_PM Operations'!K252)</f>
        <v/>
      </c>
      <c r="K129" s="543" t="str">
        <f>IF($A129="","",'CM_PM Operations'!J252)</f>
        <v/>
      </c>
      <c r="L129" s="543" t="str">
        <f>IF($A129="","",'CM_PM Operations'!N252)</f>
        <v/>
      </c>
    </row>
    <row r="130" spans="1:12" ht="19.8" customHeight="1">
      <c r="A130" s="543"/>
      <c r="B130" s="543"/>
      <c r="C130" s="543"/>
      <c r="D130" s="543"/>
      <c r="E130" s="543"/>
      <c r="F130" s="543"/>
      <c r="G130" s="543"/>
      <c r="H130" s="543"/>
      <c r="I130" s="543"/>
      <c r="J130" s="543"/>
      <c r="K130" s="543"/>
      <c r="L130" s="543"/>
    </row>
    <row r="131" spans="1:12" ht="19.8" customHeight="1">
      <c r="A131" s="543"/>
      <c r="B131" s="543"/>
      <c r="C131" s="543"/>
      <c r="D131" s="543"/>
      <c r="E131" s="543"/>
      <c r="F131" s="543"/>
      <c r="G131" s="543"/>
      <c r="H131" s="543"/>
      <c r="I131" s="543"/>
      <c r="J131" s="543"/>
      <c r="K131" s="543"/>
      <c r="L131" s="543"/>
    </row>
    <row r="132" spans="1:12" ht="19.8" customHeight="1">
      <c r="A132" s="545" t="s">
        <v>6031</v>
      </c>
      <c r="B132" s="545"/>
      <c r="C132" s="545"/>
      <c r="D132" s="545"/>
      <c r="E132" s="545"/>
      <c r="F132" s="545"/>
      <c r="G132" s="545"/>
      <c r="H132" s="545"/>
      <c r="I132" s="545"/>
      <c r="J132" s="545"/>
      <c r="K132" s="545"/>
      <c r="L132" s="545"/>
    </row>
    <row r="133" spans="1:12" ht="19.8" customHeight="1">
      <c r="A133" s="534" t="s">
        <v>5969</v>
      </c>
      <c r="B133" s="534" t="s">
        <v>286</v>
      </c>
      <c r="C133" s="534" t="s">
        <v>142</v>
      </c>
      <c r="D133" s="534" t="s">
        <v>6009</v>
      </c>
      <c r="E133" s="534" t="s">
        <v>216</v>
      </c>
      <c r="F133" s="534" t="s">
        <v>77</v>
      </c>
      <c r="G133" s="339"/>
      <c r="H133" s="339"/>
      <c r="I133" s="339"/>
      <c r="J133" s="339"/>
      <c r="K133" s="339"/>
      <c r="L133" s="339"/>
    </row>
    <row r="134" spans="1:12" ht="19.8" customHeight="1">
      <c r="A134" s="339" t="str">
        <f>'CM_PM Operations'!A324</f>
        <v/>
      </c>
      <c r="B134" s="339" t="str">
        <f>'CM_PM Operations'!B324</f>
        <v/>
      </c>
      <c r="C134" s="339" t="str">
        <f>'CM_PM Operations'!C324</f>
        <v/>
      </c>
      <c r="D134" s="339" t="str">
        <f>'CM_PM Operations'!D324</f>
        <v/>
      </c>
      <c r="E134" s="339" t="str">
        <f>'CM_PM Operations'!E324</f>
        <v/>
      </c>
      <c r="F134" s="339" t="str">
        <f>'CM_PM Operations'!F324</f>
        <v/>
      </c>
      <c r="G134" s="339"/>
      <c r="H134" s="339"/>
      <c r="I134" s="339"/>
      <c r="J134" s="339"/>
      <c r="K134" s="339"/>
      <c r="L134" s="339"/>
    </row>
    <row r="135" spans="1:12" ht="19.8" customHeight="1">
      <c r="A135" s="339" t="str">
        <f>'CM_PM Operations'!A325</f>
        <v>DEL-002</v>
      </c>
      <c r="B135" s="339" t="str">
        <f>'CM_PM Operations'!B325</f>
        <v>Biweekly PTR Update</v>
      </c>
      <c r="C135" s="339" t="str">
        <f>'CM_PM Operations'!C325</f>
        <v>ALL</v>
      </c>
      <c r="D135" s="339" t="str">
        <f>'CM_PM Operations'!D325</f>
        <v>Confirm PTR ownership and access.</v>
      </c>
      <c r="E135" s="339" t="str">
        <f>'CM_PM Operations'!E325</f>
        <v>Paul</v>
      </c>
      <c r="F135" s="339" t="str">
        <f>'CM_PM Operations'!F325</f>
        <v>Open</v>
      </c>
      <c r="G135" s="339"/>
      <c r="H135" s="339"/>
      <c r="I135" s="339"/>
      <c r="J135" s="339"/>
      <c r="K135" s="339"/>
      <c r="L135" s="339"/>
    </row>
    <row r="136" spans="1:12" ht="19.8" customHeight="1">
      <c r="A136" s="196" t="str">
        <f>'CM_PM Operations'!A326</f>
        <v>SCH-001</v>
      </c>
      <c r="B136" s="196" t="str">
        <f>'CM_PM Operations'!B326</f>
        <v>Contractor Baseline Schedule</v>
      </c>
      <c r="C136" s="196" t="str">
        <f>'CM_PM Operations'!C326</f>
        <v>ALL</v>
      </c>
      <c r="D136" s="196" t="str">
        <f>'CM_PM Operations'!D326</f>
        <v>Contractor schedule has not been received.</v>
      </c>
      <c r="E136" s="196" t="str">
        <f>'CM_PM Operations'!E326</f>
        <v>Paul</v>
      </c>
      <c r="F136" s="196" t="str">
        <f>'CM_PM Operations'!F326</f>
        <v>Waiting</v>
      </c>
    </row>
    <row r="137" spans="1:12" ht="19.8" customHeight="1">
      <c r="A137" s="196" t="str">
        <f>'CM_PM Operations'!A327</f>
        <v>ACT-001</v>
      </c>
      <c r="B137" s="196" t="str">
        <f>'CM_PM Operations'!B327</f>
        <v>Confirm COR Reporting Expectations</v>
      </c>
      <c r="C137" s="196" t="str">
        <f>'CM_PM Operations'!C327</f>
        <v>ALL</v>
      </c>
      <c r="D137" s="196" t="str">
        <f>'CM_PM Operations'!D327</f>
        <v>Confirm templates, routing, due dates, minutes, PTR, and storage.</v>
      </c>
      <c r="E137" s="196" t="str">
        <f>'CM_PM Operations'!E327</f>
        <v>Paul</v>
      </c>
      <c r="F137" s="196" t="str">
        <f>'CM_PM Operations'!F327</f>
        <v>Open</v>
      </c>
    </row>
    <row r="138" spans="1:12" ht="19.8" customHeight="1">
      <c r="A138" s="196" t="str">
        <f>'CM_PM Operations'!A328</f>
        <v>DQ-001</v>
      </c>
      <c r="B138" s="196" t="str">
        <f>'CM_PM Operations'!B328</f>
        <v>Consolidate Building 61 A/E Questions</v>
      </c>
      <c r="C138" s="196" t="str">
        <f>'CM_PM Operations'!C328</f>
        <v>61</v>
      </c>
      <c r="D138" s="196" t="str">
        <f>'CM_PM Operations'!D328</f>
        <v>A/E clarification required.</v>
      </c>
      <c r="E138" s="196" t="str">
        <f>'CM_PM Operations'!E328</f>
        <v>Paul</v>
      </c>
      <c r="F138" s="196" t="str">
        <f>'CM_PM Operations'!F328</f>
        <v>In Progress</v>
      </c>
    </row>
    <row r="139" spans="1:12" ht="19.8" customHeight="1">
      <c r="A139" s="196" t="str">
        <f>'CM_PM Operations'!A329</f>
        <v>ACT-002</v>
      </c>
      <c r="B139" s="196" t="str">
        <f>'CM_PM Operations'!B329</f>
        <v>Occupied Room Relocation Planning</v>
      </c>
      <c r="C139" s="196" t="str">
        <f>'CM_PM Operations'!C329</f>
        <v>ALL</v>
      </c>
      <c r="D139" s="196" t="str">
        <f>'CM_PM Operations'!D329</f>
        <v>Hospital direction needed for relocation approach.</v>
      </c>
      <c r="E139" s="196" t="str">
        <f>'CM_PM Operations'!E329</f>
        <v>Aisha</v>
      </c>
      <c r="F139" s="196" t="str">
        <f>'CM_PM Operations'!F329</f>
        <v>Open</v>
      </c>
    </row>
    <row r="140" spans="1:12" ht="19.8" customHeight="1">
      <c r="A140" s="196" t="str">
        <f>'CM_PM Operations'!A330</f>
        <v/>
      </c>
      <c r="B140" s="196" t="str">
        <f>'CM_PM Operations'!B330</f>
        <v/>
      </c>
      <c r="C140" s="196" t="str">
        <f>'CM_PM Operations'!C330</f>
        <v/>
      </c>
      <c r="D140" s="196" t="str">
        <f>'CM_PM Operations'!D330</f>
        <v/>
      </c>
      <c r="E140" s="196" t="str">
        <f>'CM_PM Operations'!E330</f>
        <v/>
      </c>
      <c r="F140" s="196" t="str">
        <f>'CM_PM Operations'!F330</f>
        <v/>
      </c>
    </row>
    <row r="141" spans="1:12" ht="19.8" customHeight="1">
      <c r="A141" s="196" t="str">
        <f>'CM_PM Operations'!A331</f>
        <v>DEL-004</v>
      </c>
      <c r="B141" s="196" t="str">
        <f>'CM_PM Operations'!B331</f>
        <v>Commissioning Responsibility Matrix</v>
      </c>
      <c r="C141" s="196" t="str">
        <f>'CM_PM Operations'!C331</f>
        <v>ALL</v>
      </c>
      <c r="D141" s="196" t="str">
        <f>'CM_PM Operations'!D331</f>
        <v>Confirm roles after kickoff.</v>
      </c>
      <c r="E141" s="196" t="str">
        <f>'CM_PM Operations'!E331</f>
        <v>Aisha</v>
      </c>
      <c r="F141" s="196" t="str">
        <f>'CM_PM Operations'!F331</f>
        <v>Not Started</v>
      </c>
    </row>
    <row r="142" spans="1:12" ht="19.8" customHeight="1"/>
    <row r="143" spans="1:12" ht="19.8" customHeight="1"/>
    <row r="144" spans="1:12" ht="19.8" customHeight="1">
      <c r="A144" s="543" t="str">
        <f>'CM_PM Operations'!A334</f>
        <v>Two-week look ahead: continue assessment completion; consolidate A/E questions; obtain and review the contractor baseline schedule; confirm COR reporting procedures; coordinate occupied-room relocation impacts; validate shutdown requirements; and establish commissioning responsibilities after the post-award meeting.</v>
      </c>
      <c r="B144" s="543"/>
      <c r="C144" s="543"/>
      <c r="D144" s="543"/>
      <c r="E144" s="543"/>
      <c r="F144" s="543"/>
      <c r="G144" s="543"/>
      <c r="H144" s="543"/>
      <c r="I144" s="543"/>
      <c r="J144" s="543"/>
      <c r="K144" s="543"/>
      <c r="L144" s="543"/>
    </row>
    <row r="145" spans="1:12" ht="19.8" customHeight="1">
      <c r="A145" s="543"/>
      <c r="B145" s="543"/>
      <c r="C145" s="543"/>
      <c r="D145" s="543"/>
      <c r="E145" s="543"/>
      <c r="F145" s="543"/>
      <c r="G145" s="543"/>
      <c r="H145" s="543"/>
      <c r="I145" s="543"/>
      <c r="J145" s="543"/>
      <c r="K145" s="543"/>
      <c r="L145" s="543"/>
    </row>
    <row r="146" spans="1:12" ht="19.8" customHeight="1">
      <c r="A146" s="543"/>
      <c r="B146" s="543"/>
      <c r="C146" s="543"/>
      <c r="D146" s="543"/>
      <c r="E146" s="543"/>
      <c r="F146" s="543"/>
      <c r="G146" s="543"/>
      <c r="H146" s="543"/>
      <c r="I146" s="543"/>
      <c r="J146" s="543"/>
      <c r="K146" s="543"/>
      <c r="L146" s="543"/>
    </row>
    <row r="147" spans="1:12" ht="19.8" customHeight="1">
      <c r="A147" s="543"/>
      <c r="B147" s="543"/>
      <c r="C147" s="543"/>
      <c r="D147" s="543"/>
      <c r="E147" s="543"/>
      <c r="F147" s="543"/>
      <c r="G147" s="543"/>
      <c r="H147" s="543"/>
      <c r="I147" s="543"/>
      <c r="J147" s="543"/>
      <c r="K147" s="543"/>
      <c r="L147" s="543"/>
    </row>
  </sheetData>
  <mergeCells count="18">
    <mergeCell ref="A64:L66"/>
    <mergeCell ref="A68:L68"/>
    <mergeCell ref="A1:L2"/>
    <mergeCell ref="A14:L14"/>
    <mergeCell ref="A15:L18"/>
    <mergeCell ref="A20:L20"/>
    <mergeCell ref="A36:L36"/>
    <mergeCell ref="A52:L52"/>
    <mergeCell ref="A128:L128"/>
    <mergeCell ref="A129:L131"/>
    <mergeCell ref="A132:L132"/>
    <mergeCell ref="A144:L147"/>
    <mergeCell ref="A82:L82"/>
    <mergeCell ref="A84:L84"/>
    <mergeCell ref="A98:L98"/>
    <mergeCell ref="A100:L100"/>
    <mergeCell ref="A114:L114"/>
    <mergeCell ref="A116:L116"/>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E742C-EDC4-47AB-81B4-8F0112025A3B}">
  <dimension ref="A1:AQ505"/>
  <sheetViews>
    <sheetView workbookViewId="0">
      <selection activeCell="D8" sqref="D8"/>
    </sheetView>
  </sheetViews>
  <sheetFormatPr defaultRowHeight="13.2"/>
  <cols>
    <col min="1" max="1" width="12" style="196" customWidth="1"/>
    <col min="2" max="2" width="18" style="196" customWidth="1"/>
    <col min="3" max="3" width="16" style="196" customWidth="1"/>
    <col min="4" max="4" width="20" style="196" customWidth="1"/>
    <col min="5" max="5" width="11" style="196" customWidth="1"/>
    <col min="6" max="6" width="15" style="196" customWidth="1"/>
    <col min="7" max="7" width="28" style="196" customWidth="1"/>
    <col min="8" max="8" width="38" style="196" customWidth="1"/>
    <col min="9" max="9" width="18" style="196" customWidth="1"/>
    <col min="10" max="10" width="16" style="196" customWidth="1"/>
    <col min="11" max="12" width="14" style="196" customWidth="1"/>
    <col min="13" max="13" width="11" style="196" customWidth="1"/>
    <col min="14" max="14" width="13" style="196" customWidth="1"/>
    <col min="15" max="15" width="14" style="196" customWidth="1"/>
    <col min="16" max="18" width="12" style="196" customWidth="1"/>
    <col min="19" max="20" width="10" style="196" customWidth="1"/>
    <col min="21" max="21" width="14" style="196" customWidth="1"/>
    <col min="22" max="22" width="12" style="196" customWidth="1"/>
    <col min="23" max="23" width="16" style="196" customWidth="1"/>
    <col min="24" max="24" width="13" style="196" customWidth="1"/>
    <col min="25" max="25" width="26" style="196" customWidth="1"/>
    <col min="26" max="26" width="16" style="196" customWidth="1"/>
    <col min="27" max="28" width="17" style="196" customWidth="1"/>
    <col min="29" max="29" width="15" style="196" customWidth="1"/>
    <col min="30" max="30" width="34" style="196" customWidth="1"/>
    <col min="31" max="31" width="38" style="196" customWidth="1"/>
    <col min="32" max="32" width="20" style="196" customWidth="1"/>
    <col min="33" max="33" width="18" style="196" customWidth="1"/>
    <col min="34" max="34" width="20" style="196" customWidth="1"/>
    <col min="35" max="36" width="17" style="196" customWidth="1"/>
    <col min="37" max="37" width="18" style="196" customWidth="1"/>
    <col min="38" max="38" width="25" style="196" customWidth="1"/>
    <col min="39" max="39" width="30" style="196" customWidth="1"/>
    <col min="40" max="40" width="13" style="196" customWidth="1"/>
    <col min="41" max="41" width="11" style="196" customWidth="1"/>
    <col min="42" max="43" width="13" style="196" customWidth="1"/>
    <col min="44" max="16384" width="8.88671875" style="196"/>
  </cols>
  <sheetData>
    <row r="1" spans="1:43">
      <c r="A1" s="906" t="s">
        <v>6157</v>
      </c>
      <c r="B1" s="906"/>
      <c r="C1" s="906"/>
      <c r="D1" s="906"/>
      <c r="E1" s="906"/>
      <c r="F1" s="906"/>
      <c r="G1" s="906"/>
      <c r="H1" s="906"/>
      <c r="I1" s="906"/>
      <c r="J1" s="906"/>
      <c r="K1" s="906"/>
      <c r="L1" s="906"/>
      <c r="M1" s="906"/>
      <c r="N1" s="906"/>
      <c r="O1" s="906"/>
      <c r="P1" s="906"/>
      <c r="Q1" s="906"/>
      <c r="R1" s="906"/>
      <c r="S1" s="906"/>
      <c r="T1" s="906"/>
      <c r="U1" s="906"/>
      <c r="V1" s="906"/>
      <c r="W1" s="906"/>
      <c r="X1" s="906"/>
      <c r="Y1" s="906"/>
      <c r="Z1" s="906"/>
      <c r="AA1" s="906"/>
      <c r="AB1" s="906"/>
      <c r="AC1" s="906"/>
      <c r="AD1" s="906"/>
      <c r="AE1" s="906"/>
      <c r="AF1" s="906"/>
      <c r="AG1" s="906"/>
      <c r="AH1" s="906"/>
      <c r="AI1" s="906"/>
      <c r="AJ1" s="906"/>
      <c r="AK1" s="906"/>
      <c r="AL1" s="906"/>
      <c r="AM1" s="906"/>
      <c r="AN1" s="906"/>
      <c r="AO1" s="906"/>
      <c r="AP1" s="906"/>
      <c r="AQ1" s="906"/>
    </row>
    <row r="2" spans="1:43">
      <c r="A2" s="906"/>
      <c r="B2" s="906"/>
      <c r="C2" s="906"/>
      <c r="D2" s="906"/>
      <c r="E2" s="906"/>
      <c r="F2" s="906"/>
      <c r="G2" s="906"/>
      <c r="H2" s="906"/>
      <c r="I2" s="906"/>
      <c r="J2" s="906"/>
      <c r="K2" s="906"/>
      <c r="L2" s="906"/>
      <c r="M2" s="906"/>
      <c r="N2" s="906"/>
      <c r="O2" s="906"/>
      <c r="P2" s="906"/>
      <c r="Q2" s="906"/>
      <c r="R2" s="906"/>
      <c r="S2" s="906"/>
      <c r="T2" s="906"/>
      <c r="U2" s="906"/>
      <c r="V2" s="906"/>
      <c r="W2" s="906"/>
      <c r="X2" s="906"/>
      <c r="Y2" s="906"/>
      <c r="Z2" s="906"/>
      <c r="AA2" s="906"/>
      <c r="AB2" s="906"/>
      <c r="AC2" s="906"/>
      <c r="AD2" s="906"/>
      <c r="AE2" s="906"/>
      <c r="AF2" s="906"/>
      <c r="AG2" s="906"/>
      <c r="AH2" s="906"/>
      <c r="AI2" s="906"/>
      <c r="AJ2" s="906"/>
      <c r="AK2" s="906"/>
      <c r="AL2" s="906"/>
      <c r="AM2" s="906"/>
      <c r="AN2" s="906"/>
      <c r="AO2" s="906"/>
      <c r="AP2" s="906"/>
      <c r="AQ2" s="906"/>
    </row>
    <row r="3" spans="1:43">
      <c r="A3" s="907" t="s">
        <v>6158</v>
      </c>
      <c r="B3" s="907"/>
      <c r="C3" s="907"/>
      <c r="D3" s="907"/>
      <c r="E3" s="907"/>
      <c r="F3" s="907"/>
      <c r="G3" s="907"/>
      <c r="H3" s="907"/>
      <c r="I3" s="907"/>
      <c r="J3" s="907"/>
      <c r="K3" s="907"/>
      <c r="L3" s="907"/>
      <c r="M3" s="907"/>
      <c r="N3" s="907"/>
      <c r="O3" s="907"/>
      <c r="P3" s="907"/>
      <c r="Q3" s="907"/>
      <c r="R3" s="907"/>
      <c r="S3" s="907"/>
      <c r="T3" s="907"/>
      <c r="U3" s="907"/>
      <c r="V3" s="907"/>
      <c r="W3" s="907"/>
      <c r="X3" s="907"/>
      <c r="Y3" s="907"/>
      <c r="Z3" s="907"/>
      <c r="AA3" s="907"/>
      <c r="AB3" s="907"/>
      <c r="AC3" s="907"/>
      <c r="AD3" s="907"/>
      <c r="AE3" s="907"/>
      <c r="AF3" s="907"/>
      <c r="AG3" s="907"/>
      <c r="AH3" s="907"/>
      <c r="AI3" s="907"/>
      <c r="AJ3" s="907"/>
      <c r="AK3" s="907"/>
      <c r="AL3" s="907"/>
      <c r="AM3" s="907"/>
      <c r="AN3" s="907"/>
      <c r="AO3" s="907"/>
      <c r="AP3" s="907"/>
      <c r="AQ3" s="907"/>
    </row>
    <row r="5" spans="1:43" ht="24">
      <c r="A5" s="905" t="s">
        <v>5969</v>
      </c>
      <c r="B5" s="905" t="s">
        <v>5970</v>
      </c>
      <c r="C5" s="905" t="s">
        <v>493</v>
      </c>
      <c r="D5" s="905" t="s">
        <v>284</v>
      </c>
      <c r="E5" s="905" t="s">
        <v>142</v>
      </c>
      <c r="F5" s="905" t="s">
        <v>6080</v>
      </c>
      <c r="G5" s="905" t="s">
        <v>286</v>
      </c>
      <c r="H5" s="905" t="s">
        <v>6081</v>
      </c>
      <c r="I5" s="905" t="s">
        <v>6082</v>
      </c>
      <c r="J5" s="905" t="s">
        <v>6083</v>
      </c>
      <c r="K5" s="905" t="s">
        <v>265</v>
      </c>
      <c r="L5" s="905" t="s">
        <v>6084</v>
      </c>
      <c r="M5" s="905" t="s">
        <v>224</v>
      </c>
      <c r="N5" s="905" t="s">
        <v>77</v>
      </c>
      <c r="O5" s="905" t="s">
        <v>497</v>
      </c>
      <c r="P5" s="905" t="s">
        <v>5971</v>
      </c>
      <c r="Q5" s="905" t="s">
        <v>266</v>
      </c>
      <c r="R5" s="905" t="s">
        <v>881</v>
      </c>
      <c r="S5" s="905" t="s">
        <v>6085</v>
      </c>
      <c r="T5" s="905" t="s">
        <v>6086</v>
      </c>
      <c r="U5" s="905" t="s">
        <v>6087</v>
      </c>
      <c r="V5" s="905" t="s">
        <v>6088</v>
      </c>
      <c r="W5" s="905" t="s">
        <v>6089</v>
      </c>
      <c r="X5" s="905" t="s">
        <v>5974</v>
      </c>
      <c r="Y5" s="905" t="s">
        <v>6090</v>
      </c>
      <c r="Z5" s="905" t="s">
        <v>5975</v>
      </c>
      <c r="AA5" s="905" t="s">
        <v>5973</v>
      </c>
      <c r="AB5" s="905" t="s">
        <v>6091</v>
      </c>
      <c r="AC5" s="905" t="s">
        <v>6092</v>
      </c>
      <c r="AD5" s="905" t="s">
        <v>6009</v>
      </c>
      <c r="AE5" s="905" t="s">
        <v>5972</v>
      </c>
      <c r="AF5" s="905" t="s">
        <v>6093</v>
      </c>
      <c r="AG5" s="905" t="s">
        <v>6094</v>
      </c>
      <c r="AH5" s="905" t="s">
        <v>6095</v>
      </c>
      <c r="AI5" s="905" t="s">
        <v>5226</v>
      </c>
      <c r="AJ5" s="905" t="s">
        <v>6096</v>
      </c>
      <c r="AK5" s="905" t="s">
        <v>6097</v>
      </c>
      <c r="AL5" s="905" t="s">
        <v>5773</v>
      </c>
      <c r="AM5" s="905" t="s">
        <v>11</v>
      </c>
      <c r="AN5" s="905" t="s">
        <v>6098</v>
      </c>
      <c r="AO5" s="905" t="s">
        <v>6099</v>
      </c>
      <c r="AP5" s="905" t="s">
        <v>6100</v>
      </c>
      <c r="AQ5" s="905" t="s">
        <v>6101</v>
      </c>
    </row>
    <row r="6" spans="1:43" ht="39.6">
      <c r="A6" s="253" t="s">
        <v>5976</v>
      </c>
      <c r="B6" s="253" t="s">
        <v>5225</v>
      </c>
      <c r="C6" s="253" t="s">
        <v>491</v>
      </c>
      <c r="D6" s="253" t="s">
        <v>732</v>
      </c>
      <c r="E6" s="253" t="s">
        <v>5977</v>
      </c>
      <c r="F6" s="253"/>
      <c r="G6" s="253" t="s">
        <v>5980</v>
      </c>
      <c r="H6" s="253" t="s">
        <v>6153</v>
      </c>
      <c r="I6" s="253" t="s">
        <v>6102</v>
      </c>
      <c r="J6" s="253" t="s">
        <v>241</v>
      </c>
      <c r="K6" s="253" t="s">
        <v>5981</v>
      </c>
      <c r="L6" s="253" t="s">
        <v>229</v>
      </c>
      <c r="M6" s="253" t="s">
        <v>391</v>
      </c>
      <c r="N6" s="253" t="s">
        <v>235</v>
      </c>
      <c r="O6" s="253" t="s">
        <v>499</v>
      </c>
      <c r="P6" s="903">
        <v>46219</v>
      </c>
      <c r="Q6" s="903"/>
      <c r="R6" s="903"/>
      <c r="S6" s="904">
        <f ca="1">IF(P6="","",IF(R6&lt;&gt;"",R6-P6,TODAY()-P6))</f>
        <v>1</v>
      </c>
      <c r="T6" s="904" t="str">
        <f ca="1">IF(Q6="","",Q6-TODAY())</f>
        <v/>
      </c>
      <c r="U6" s="253" t="s">
        <v>6103</v>
      </c>
      <c r="V6" s="253" t="s">
        <v>6103</v>
      </c>
      <c r="W6" s="253" t="s">
        <v>6103</v>
      </c>
      <c r="X6" s="253" t="s">
        <v>5982</v>
      </c>
      <c r="Y6" s="253" t="s">
        <v>6104</v>
      </c>
      <c r="Z6" s="253" t="s">
        <v>392</v>
      </c>
      <c r="AA6" s="253" t="s">
        <v>1096</v>
      </c>
      <c r="AB6" s="253" t="s">
        <v>392</v>
      </c>
      <c r="AC6" s="253" t="s">
        <v>392</v>
      </c>
      <c r="AD6" s="253" t="s">
        <v>6060</v>
      </c>
      <c r="AE6" s="253" t="s">
        <v>6061</v>
      </c>
      <c r="AF6" s="253"/>
      <c r="AG6" s="253"/>
      <c r="AH6" s="253"/>
      <c r="AI6" s="253"/>
      <c r="AJ6" s="253"/>
      <c r="AK6" s="253"/>
      <c r="AL6" s="253"/>
      <c r="AM6" s="253"/>
      <c r="AN6" s="903"/>
      <c r="AO6" s="253">
        <f>IF(Z6="Yes",COUNTIF($Z$6:Z6,"Yes"),"")</f>
        <v>1</v>
      </c>
      <c r="AP6" s="253" t="str">
        <f>IF(AA6="Yes",COUNTIF($AA$6:AA6,"Yes"),"")</f>
        <v/>
      </c>
      <c r="AQ6" s="253">
        <f>IF(AC6="Yes",COUNTIF($AC$6:AC6,"Yes"),"")</f>
        <v>1</v>
      </c>
    </row>
    <row r="7" spans="1:43" ht="39.6">
      <c r="A7" s="253" t="s">
        <v>5979</v>
      </c>
      <c r="B7" s="253" t="s">
        <v>5984</v>
      </c>
      <c r="C7" s="253" t="s">
        <v>491</v>
      </c>
      <c r="D7" s="253" t="s">
        <v>732</v>
      </c>
      <c r="E7" s="253" t="s">
        <v>5977</v>
      </c>
      <c r="F7" s="253"/>
      <c r="G7" s="253" t="s">
        <v>5985</v>
      </c>
      <c r="H7" s="253" t="s">
        <v>6062</v>
      </c>
      <c r="I7" s="253" t="s">
        <v>6102</v>
      </c>
      <c r="J7" s="253" t="s">
        <v>241</v>
      </c>
      <c r="K7" s="253" t="s">
        <v>229</v>
      </c>
      <c r="L7" s="253" t="s">
        <v>5981</v>
      </c>
      <c r="M7" s="253" t="s">
        <v>391</v>
      </c>
      <c r="N7" s="253" t="s">
        <v>235</v>
      </c>
      <c r="O7" s="253" t="s">
        <v>499</v>
      </c>
      <c r="P7" s="903">
        <v>46219</v>
      </c>
      <c r="Q7" s="903"/>
      <c r="R7" s="903"/>
      <c r="S7" s="904">
        <f ca="1">IF(P7="","",IF(R7&lt;&gt;"",R7-P7,TODAY()-P7))</f>
        <v>1</v>
      </c>
      <c r="T7" s="904" t="str">
        <f ca="1">IF(Q7="","",Q7-TODAY())</f>
        <v/>
      </c>
      <c r="U7" s="253" t="s">
        <v>6105</v>
      </c>
      <c r="V7" s="253" t="s">
        <v>6105</v>
      </c>
      <c r="W7" s="253" t="s">
        <v>6103</v>
      </c>
      <c r="X7" s="253" t="s">
        <v>5987</v>
      </c>
      <c r="Y7" s="253" t="s">
        <v>6104</v>
      </c>
      <c r="Z7" s="253" t="s">
        <v>392</v>
      </c>
      <c r="AA7" s="253" t="s">
        <v>392</v>
      </c>
      <c r="AB7" s="253" t="s">
        <v>392</v>
      </c>
      <c r="AC7" s="253" t="s">
        <v>392</v>
      </c>
      <c r="AD7" s="253" t="s">
        <v>5986</v>
      </c>
      <c r="AE7" s="253" t="s">
        <v>6062</v>
      </c>
      <c r="AF7" s="253"/>
      <c r="AG7" s="253"/>
      <c r="AH7" s="253"/>
      <c r="AI7" s="253"/>
      <c r="AJ7" s="253"/>
      <c r="AK7" s="253"/>
      <c r="AL7" s="253"/>
      <c r="AM7" s="253"/>
      <c r="AN7" s="903"/>
      <c r="AO7" s="253">
        <f>IF(Z7="Yes",COUNTIF($Z$6:Z7,"Yes"),"")</f>
        <v>2</v>
      </c>
      <c r="AP7" s="253">
        <f>IF(AA7="Yes",COUNTIF($AA$6:AA7,"Yes"),"")</f>
        <v>1</v>
      </c>
      <c r="AQ7" s="253">
        <f>IF(AC7="Yes",COUNTIF($AC$6:AC7,"Yes"),"")</f>
        <v>2</v>
      </c>
    </row>
    <row r="8" spans="1:43" ht="39.6">
      <c r="A8" s="253" t="s">
        <v>6063</v>
      </c>
      <c r="B8" s="253" t="s">
        <v>5989</v>
      </c>
      <c r="C8" s="253" t="s">
        <v>6106</v>
      </c>
      <c r="D8" s="253" t="s">
        <v>732</v>
      </c>
      <c r="E8" s="253" t="s">
        <v>5977</v>
      </c>
      <c r="F8" s="253"/>
      <c r="G8" s="253" t="s">
        <v>5990</v>
      </c>
      <c r="H8" s="253" t="s">
        <v>6065</v>
      </c>
      <c r="I8" s="253" t="s">
        <v>6107</v>
      </c>
      <c r="J8" s="253" t="s">
        <v>6108</v>
      </c>
      <c r="K8" s="253" t="s">
        <v>229</v>
      </c>
      <c r="L8" s="253" t="s">
        <v>5981</v>
      </c>
      <c r="M8" s="253" t="s">
        <v>492</v>
      </c>
      <c r="N8" s="253" t="s">
        <v>5968</v>
      </c>
      <c r="O8" s="253" t="s">
        <v>499</v>
      </c>
      <c r="P8" s="903">
        <v>46219</v>
      </c>
      <c r="Q8" s="903"/>
      <c r="R8" s="903"/>
      <c r="S8" s="904">
        <f ca="1">IF(P8="","",IF(R8&lt;&gt;"",R8-P8,TODAY()-P8))</f>
        <v>1</v>
      </c>
      <c r="T8" s="904" t="str">
        <f ca="1">IF(Q8="","",Q8-TODAY())</f>
        <v/>
      </c>
      <c r="U8" s="253" t="s">
        <v>6109</v>
      </c>
      <c r="V8" s="253" t="s">
        <v>6105</v>
      </c>
      <c r="W8" s="253" t="s">
        <v>6109</v>
      </c>
      <c r="X8" s="253" t="s">
        <v>5987</v>
      </c>
      <c r="Y8" s="253" t="s">
        <v>6110</v>
      </c>
      <c r="Z8" s="253" t="s">
        <v>392</v>
      </c>
      <c r="AA8" s="253" t="s">
        <v>392</v>
      </c>
      <c r="AB8" s="253" t="s">
        <v>392</v>
      </c>
      <c r="AC8" s="253" t="s">
        <v>392</v>
      </c>
      <c r="AD8" s="253" t="s">
        <v>6064</v>
      </c>
      <c r="AE8" s="253" t="s">
        <v>6065</v>
      </c>
      <c r="AF8" s="253"/>
      <c r="AG8" s="253"/>
      <c r="AH8" s="253"/>
      <c r="AI8" s="253"/>
      <c r="AJ8" s="253"/>
      <c r="AK8" s="253"/>
      <c r="AL8" s="253"/>
      <c r="AM8" s="253"/>
      <c r="AN8" s="903"/>
      <c r="AO8" s="253">
        <f>IF(Z8="Yes",COUNTIF($Z$6:Z8,"Yes"),"")</f>
        <v>3</v>
      </c>
      <c r="AP8" s="253">
        <f>IF(AA8="Yes",COUNTIF($AA$6:AA8,"Yes"),"")</f>
        <v>2</v>
      </c>
      <c r="AQ8" s="253">
        <f>IF(AC8="Yes",COUNTIF($AC$6:AC8,"Yes"),"")</f>
        <v>3</v>
      </c>
    </row>
    <row r="9" spans="1:43" ht="26.4">
      <c r="A9" s="253" t="s">
        <v>5991</v>
      </c>
      <c r="B9" s="253" t="s">
        <v>264</v>
      </c>
      <c r="C9" s="253" t="s">
        <v>6111</v>
      </c>
      <c r="D9" s="253" t="s">
        <v>732</v>
      </c>
      <c r="E9" s="253" t="s">
        <v>5977</v>
      </c>
      <c r="F9" s="253"/>
      <c r="G9" s="253" t="s">
        <v>5992</v>
      </c>
      <c r="H9" s="253" t="s">
        <v>6066</v>
      </c>
      <c r="I9" s="253" t="s">
        <v>6112</v>
      </c>
      <c r="J9" s="253" t="s">
        <v>241</v>
      </c>
      <c r="K9" s="253" t="s">
        <v>229</v>
      </c>
      <c r="L9" s="253" t="s">
        <v>5981</v>
      </c>
      <c r="M9" s="253" t="s">
        <v>391</v>
      </c>
      <c r="N9" s="253" t="s">
        <v>235</v>
      </c>
      <c r="O9" s="253" t="s">
        <v>499</v>
      </c>
      <c r="P9" s="903">
        <v>46219</v>
      </c>
      <c r="Q9" s="903"/>
      <c r="R9" s="903"/>
      <c r="S9" s="904">
        <f ca="1">IF(P9="","",IF(R9&lt;&gt;"",R9-P9,TODAY()-P9))</f>
        <v>1</v>
      </c>
      <c r="T9" s="904" t="str">
        <f ca="1">IF(Q9="","",Q9-TODAY())</f>
        <v/>
      </c>
      <c r="U9" s="253" t="s">
        <v>6103</v>
      </c>
      <c r="V9" s="253" t="s">
        <v>6103</v>
      </c>
      <c r="W9" s="253" t="s">
        <v>6103</v>
      </c>
      <c r="X9" s="253" t="s">
        <v>5982</v>
      </c>
      <c r="Y9" s="253" t="s">
        <v>6104</v>
      </c>
      <c r="Z9" s="253" t="s">
        <v>392</v>
      </c>
      <c r="AA9" s="253" t="s">
        <v>392</v>
      </c>
      <c r="AB9" s="253" t="s">
        <v>392</v>
      </c>
      <c r="AC9" s="253" t="s">
        <v>392</v>
      </c>
      <c r="AD9" s="253" t="s">
        <v>6066</v>
      </c>
      <c r="AE9" s="253" t="s">
        <v>6067</v>
      </c>
      <c r="AF9" s="253"/>
      <c r="AG9" s="253"/>
      <c r="AH9" s="253"/>
      <c r="AI9" s="253"/>
      <c r="AJ9" s="253"/>
      <c r="AK9" s="253"/>
      <c r="AL9" s="253"/>
      <c r="AM9" s="253"/>
      <c r="AN9" s="903"/>
      <c r="AO9" s="253">
        <f>IF(Z9="Yes",COUNTIF($Z$6:Z9,"Yes"),"")</f>
        <v>4</v>
      </c>
      <c r="AP9" s="253">
        <f>IF(AA9="Yes",COUNTIF($AA$6:AA9,"Yes"),"")</f>
        <v>3</v>
      </c>
      <c r="AQ9" s="253">
        <f>IF(AC9="Yes",COUNTIF($AC$6:AC9,"Yes"),"")</f>
        <v>4</v>
      </c>
    </row>
    <row r="10" spans="1:43" ht="39.6">
      <c r="A10" s="253" t="s">
        <v>5993</v>
      </c>
      <c r="B10" s="253" t="s">
        <v>5994</v>
      </c>
      <c r="C10" s="253" t="s">
        <v>6113</v>
      </c>
      <c r="D10" s="253" t="s">
        <v>6114</v>
      </c>
      <c r="E10" s="253" t="s">
        <v>374</v>
      </c>
      <c r="F10" s="253"/>
      <c r="G10" s="253" t="s">
        <v>5995</v>
      </c>
      <c r="H10" s="253" t="s">
        <v>6154</v>
      </c>
      <c r="I10" s="253" t="s">
        <v>6115</v>
      </c>
      <c r="J10" s="253" t="s">
        <v>241</v>
      </c>
      <c r="K10" s="253" t="s">
        <v>229</v>
      </c>
      <c r="L10" s="253" t="s">
        <v>5981</v>
      </c>
      <c r="M10" s="253" t="s">
        <v>391</v>
      </c>
      <c r="N10" s="253" t="s">
        <v>230</v>
      </c>
      <c r="O10" s="253" t="s">
        <v>499</v>
      </c>
      <c r="P10" s="903">
        <v>46217</v>
      </c>
      <c r="Q10" s="903"/>
      <c r="R10" s="903"/>
      <c r="S10" s="904">
        <f ca="1">IF(P10="","",IF(R10&lt;&gt;"",R10-P10,TODAY()-P10))</f>
        <v>3</v>
      </c>
      <c r="T10" s="904" t="str">
        <f ca="1">IF(Q10="","",Q10-TODAY())</f>
        <v/>
      </c>
      <c r="U10" s="253" t="s">
        <v>6105</v>
      </c>
      <c r="V10" s="253" t="s">
        <v>6105</v>
      </c>
      <c r="W10" s="253" t="s">
        <v>6105</v>
      </c>
      <c r="X10" s="253" t="s">
        <v>5982</v>
      </c>
      <c r="Y10" s="253" t="s">
        <v>6116</v>
      </c>
      <c r="Z10" s="253" t="s">
        <v>392</v>
      </c>
      <c r="AA10" s="253" t="s">
        <v>392</v>
      </c>
      <c r="AB10" s="253" t="s">
        <v>392</v>
      </c>
      <c r="AC10" s="253" t="s">
        <v>392</v>
      </c>
      <c r="AD10" s="253" t="s">
        <v>6068</v>
      </c>
      <c r="AE10" s="253" t="s">
        <v>5996</v>
      </c>
      <c r="AF10" s="253" t="s">
        <v>55</v>
      </c>
      <c r="AG10" s="253"/>
      <c r="AH10" s="253"/>
      <c r="AI10" s="253"/>
      <c r="AJ10" s="253"/>
      <c r="AK10" s="253"/>
      <c r="AL10" s="253" t="s">
        <v>55</v>
      </c>
      <c r="AM10" s="253"/>
      <c r="AN10" s="903">
        <v>46219</v>
      </c>
      <c r="AO10" s="253">
        <f>IF(Z10="Yes",COUNTIF($Z$6:Z10,"Yes"),"")</f>
        <v>5</v>
      </c>
      <c r="AP10" s="253">
        <f>IF(AA10="Yes",COUNTIF($AA$6:AA10,"Yes"),"")</f>
        <v>4</v>
      </c>
      <c r="AQ10" s="253">
        <f>IF(AC10="Yes",COUNTIF($AC$6:AC10,"Yes"),"")</f>
        <v>5</v>
      </c>
    </row>
    <row r="11" spans="1:43" ht="39.6">
      <c r="A11" s="253" t="s">
        <v>5997</v>
      </c>
      <c r="B11" s="253" t="s">
        <v>264</v>
      </c>
      <c r="C11" s="253" t="s">
        <v>6117</v>
      </c>
      <c r="D11" s="253" t="s">
        <v>6117</v>
      </c>
      <c r="E11" s="253" t="s">
        <v>5977</v>
      </c>
      <c r="F11" s="253"/>
      <c r="G11" s="253" t="s">
        <v>5998</v>
      </c>
      <c r="H11" s="253" t="s">
        <v>6155</v>
      </c>
      <c r="I11" s="253" t="s">
        <v>6118</v>
      </c>
      <c r="J11" s="253" t="s">
        <v>241</v>
      </c>
      <c r="K11" s="253" t="s">
        <v>5981</v>
      </c>
      <c r="L11" s="253" t="s">
        <v>229</v>
      </c>
      <c r="M11" s="253" t="s">
        <v>391</v>
      </c>
      <c r="N11" s="253" t="s">
        <v>235</v>
      </c>
      <c r="O11" s="253" t="s">
        <v>499</v>
      </c>
      <c r="P11" s="903">
        <v>46213</v>
      </c>
      <c r="Q11" s="903"/>
      <c r="R11" s="903"/>
      <c r="S11" s="904">
        <f ca="1">IF(P11="","",IF(R11&lt;&gt;"",R11-P11,TODAY()-P11))</f>
        <v>7</v>
      </c>
      <c r="T11" s="904" t="str">
        <f ca="1">IF(Q11="","",Q11-TODAY())</f>
        <v/>
      </c>
      <c r="U11" s="253" t="s">
        <v>6105</v>
      </c>
      <c r="V11" s="253" t="s">
        <v>6105</v>
      </c>
      <c r="W11" s="253" t="s">
        <v>6109</v>
      </c>
      <c r="X11" s="253" t="s">
        <v>5982</v>
      </c>
      <c r="Y11" s="253" t="s">
        <v>6110</v>
      </c>
      <c r="Z11" s="253" t="s">
        <v>392</v>
      </c>
      <c r="AA11" s="253" t="s">
        <v>392</v>
      </c>
      <c r="AB11" s="253" t="s">
        <v>392</v>
      </c>
      <c r="AC11" s="253" t="s">
        <v>392</v>
      </c>
      <c r="AD11" s="253" t="s">
        <v>5999</v>
      </c>
      <c r="AE11" s="253" t="s">
        <v>6069</v>
      </c>
      <c r="AF11" s="253" t="s">
        <v>510</v>
      </c>
      <c r="AG11" s="253"/>
      <c r="AH11" s="253" t="s">
        <v>510</v>
      </c>
      <c r="AI11" s="253"/>
      <c r="AJ11" s="253"/>
      <c r="AK11" s="253"/>
      <c r="AL11" s="253" t="s">
        <v>510</v>
      </c>
      <c r="AM11" s="253"/>
      <c r="AN11" s="903">
        <v>46219</v>
      </c>
      <c r="AO11" s="253">
        <f>IF(Z11="Yes",COUNTIF($Z$6:Z11,"Yes"),"")</f>
        <v>6</v>
      </c>
      <c r="AP11" s="253">
        <f>IF(AA11="Yes",COUNTIF($AA$6:AA11,"Yes"),"")</f>
        <v>5</v>
      </c>
      <c r="AQ11" s="253">
        <f>IF(AC11="Yes",COUNTIF($AC$6:AC11,"Yes"),"")</f>
        <v>6</v>
      </c>
    </row>
    <row r="12" spans="1:43" ht="39.6">
      <c r="A12" s="253" t="s">
        <v>5983</v>
      </c>
      <c r="B12" s="253" t="s">
        <v>6000</v>
      </c>
      <c r="C12" s="253" t="s">
        <v>6119</v>
      </c>
      <c r="D12" s="253" t="s">
        <v>6120</v>
      </c>
      <c r="E12" s="253" t="s">
        <v>5977</v>
      </c>
      <c r="F12" s="253"/>
      <c r="G12" s="253" t="s">
        <v>6070</v>
      </c>
      <c r="H12" s="253" t="s">
        <v>6156</v>
      </c>
      <c r="I12" s="253" t="s">
        <v>6102</v>
      </c>
      <c r="J12" s="253" t="s">
        <v>6108</v>
      </c>
      <c r="K12" s="253" t="s">
        <v>229</v>
      </c>
      <c r="L12" s="253" t="s">
        <v>5981</v>
      </c>
      <c r="M12" s="253" t="s">
        <v>391</v>
      </c>
      <c r="N12" s="253" t="s">
        <v>484</v>
      </c>
      <c r="O12" s="253" t="s">
        <v>503</v>
      </c>
      <c r="P12" s="903">
        <v>46219</v>
      </c>
      <c r="Q12" s="903"/>
      <c r="R12" s="903"/>
      <c r="S12" s="904">
        <f ca="1">IF(P12="","",IF(R12&lt;&gt;"",R12-P12,TODAY()-P12))</f>
        <v>1</v>
      </c>
      <c r="T12" s="904" t="str">
        <f ca="1">IF(Q12="","",Q12-TODAY())</f>
        <v/>
      </c>
      <c r="U12" s="253" t="s">
        <v>6105</v>
      </c>
      <c r="V12" s="253" t="s">
        <v>6109</v>
      </c>
      <c r="W12" s="253" t="s">
        <v>6103</v>
      </c>
      <c r="X12" s="253" t="s">
        <v>6001</v>
      </c>
      <c r="Y12" s="253" t="s">
        <v>6121</v>
      </c>
      <c r="Z12" s="253" t="s">
        <v>392</v>
      </c>
      <c r="AA12" s="253" t="s">
        <v>1096</v>
      </c>
      <c r="AB12" s="253" t="s">
        <v>1096</v>
      </c>
      <c r="AC12" s="253" t="s">
        <v>1096</v>
      </c>
      <c r="AD12" s="253" t="s">
        <v>6071</v>
      </c>
      <c r="AE12" s="253" t="s">
        <v>6072</v>
      </c>
      <c r="AF12" s="253"/>
      <c r="AG12" s="253"/>
      <c r="AH12" s="253"/>
      <c r="AI12" s="253"/>
      <c r="AJ12" s="253"/>
      <c r="AK12" s="253"/>
      <c r="AL12" s="253"/>
      <c r="AM12" s="253"/>
      <c r="AN12" s="903"/>
      <c r="AO12" s="253">
        <f>IF(Z12="Yes",COUNTIF($Z$6:Z12,"Yes"),"")</f>
        <v>7</v>
      </c>
      <c r="AP12" s="253" t="str">
        <f>IF(AA12="Yes",COUNTIF($AA$6:AA12,"Yes"),"")</f>
        <v/>
      </c>
      <c r="AQ12" s="253" t="str">
        <f>IF(AC12="Yes",COUNTIF($AC$6:AC12,"Yes"),"")</f>
        <v/>
      </c>
    </row>
    <row r="13" spans="1:43" ht="39.6">
      <c r="A13" s="253" t="s">
        <v>5988</v>
      </c>
      <c r="B13" s="253" t="s">
        <v>485</v>
      </c>
      <c r="C13" s="253" t="s">
        <v>485</v>
      </c>
      <c r="D13" s="253" t="s">
        <v>485</v>
      </c>
      <c r="E13" s="253" t="s">
        <v>5977</v>
      </c>
      <c r="F13" s="253"/>
      <c r="G13" s="253" t="s">
        <v>6073</v>
      </c>
      <c r="H13" s="253" t="s">
        <v>6075</v>
      </c>
      <c r="I13" s="253" t="s">
        <v>6076</v>
      </c>
      <c r="J13" s="253" t="s">
        <v>241</v>
      </c>
      <c r="K13" s="253" t="s">
        <v>5981</v>
      </c>
      <c r="L13" s="253" t="s">
        <v>229</v>
      </c>
      <c r="M13" s="253" t="s">
        <v>391</v>
      </c>
      <c r="N13" s="253" t="s">
        <v>484</v>
      </c>
      <c r="O13" s="253" t="s">
        <v>499</v>
      </c>
      <c r="P13" s="903">
        <v>46219</v>
      </c>
      <c r="Q13" s="903"/>
      <c r="R13" s="903"/>
      <c r="S13" s="904">
        <f ca="1">IF(P13="","",IF(R13&lt;&gt;"",R13-P13,TODAY()-P13))</f>
        <v>1</v>
      </c>
      <c r="T13" s="904" t="str">
        <f ca="1">IF(Q13="","",Q13-TODAY())</f>
        <v/>
      </c>
      <c r="U13" s="253" t="s">
        <v>6105</v>
      </c>
      <c r="V13" s="253" t="s">
        <v>6105</v>
      </c>
      <c r="W13" s="253" t="s">
        <v>6105</v>
      </c>
      <c r="X13" s="253" t="s">
        <v>6001</v>
      </c>
      <c r="Y13" s="253" t="s">
        <v>6122</v>
      </c>
      <c r="Z13" s="253" t="s">
        <v>392</v>
      </c>
      <c r="AA13" s="253" t="s">
        <v>392</v>
      </c>
      <c r="AB13" s="253" t="s">
        <v>392</v>
      </c>
      <c r="AC13" s="253" t="s">
        <v>392</v>
      </c>
      <c r="AD13" s="253" t="s">
        <v>6074</v>
      </c>
      <c r="AE13" s="253" t="s">
        <v>6075</v>
      </c>
      <c r="AF13" s="253" t="s">
        <v>6076</v>
      </c>
      <c r="AG13" s="253"/>
      <c r="AH13" s="253" t="s">
        <v>6076</v>
      </c>
      <c r="AI13" s="253" t="s">
        <v>4643</v>
      </c>
      <c r="AJ13" s="253"/>
      <c r="AK13" s="253"/>
      <c r="AL13" s="253" t="s">
        <v>6076</v>
      </c>
      <c r="AM13" s="253"/>
      <c r="AN13" s="903">
        <v>46219</v>
      </c>
      <c r="AO13" s="253">
        <f>IF(Z13="Yes",COUNTIF($Z$6:Z13,"Yes"),"")</f>
        <v>8</v>
      </c>
      <c r="AP13" s="253">
        <f>IF(AA13="Yes",COUNTIF($AA$6:AA13,"Yes"),"")</f>
        <v>6</v>
      </c>
      <c r="AQ13" s="253">
        <f>IF(AC13="Yes",COUNTIF($AC$6:AC13,"Yes"),"")</f>
        <v>7</v>
      </c>
    </row>
    <row r="14" spans="1:43">
      <c r="A14" s="253"/>
      <c r="B14" s="253"/>
      <c r="C14" s="253"/>
      <c r="D14" s="253"/>
      <c r="E14" s="253"/>
      <c r="F14" s="253"/>
      <c r="G14" s="253"/>
      <c r="H14" s="253"/>
      <c r="I14" s="253"/>
      <c r="J14" s="253"/>
      <c r="K14" s="253"/>
      <c r="L14" s="253"/>
      <c r="M14" s="253"/>
      <c r="N14" s="253"/>
      <c r="O14" s="253"/>
      <c r="P14" s="903"/>
      <c r="Q14" s="903"/>
      <c r="R14" s="903"/>
      <c r="S14" s="904" t="str">
        <f ca="1">IF(P14="","",IF(R14&lt;&gt;"",R14-P14,TODAY()-P14))</f>
        <v/>
      </c>
      <c r="T14" s="904" t="str">
        <f ca="1">IF(Q14="","",Q14-TODAY())</f>
        <v/>
      </c>
      <c r="U14" s="253"/>
      <c r="V14" s="253"/>
      <c r="W14" s="253"/>
      <c r="X14" s="253"/>
      <c r="Y14" s="253"/>
      <c r="Z14" s="253"/>
      <c r="AA14" s="253"/>
      <c r="AB14" s="253"/>
      <c r="AC14" s="253"/>
      <c r="AD14" s="253"/>
      <c r="AE14" s="253"/>
      <c r="AF14" s="253"/>
      <c r="AG14" s="253"/>
      <c r="AH14" s="253"/>
      <c r="AI14" s="253"/>
      <c r="AJ14" s="253"/>
      <c r="AK14" s="253"/>
      <c r="AL14" s="253"/>
      <c r="AM14" s="253"/>
      <c r="AN14" s="903"/>
      <c r="AO14" s="253" t="str">
        <f>IF(Z14="Yes",COUNTIF($Z$6:Z14,"Yes"),"")</f>
        <v/>
      </c>
      <c r="AP14" s="253" t="str">
        <f>IF(AA14="Yes",COUNTIF($AA$6:AA14,"Yes"),"")</f>
        <v/>
      </c>
      <c r="AQ14" s="253" t="str">
        <f>IF(AC14="Yes",COUNTIF($AC$6:AC14,"Yes"),"")</f>
        <v/>
      </c>
    </row>
    <row r="15" spans="1:43">
      <c r="A15" s="253"/>
      <c r="B15" s="253"/>
      <c r="C15" s="253"/>
      <c r="D15" s="253"/>
      <c r="E15" s="253"/>
      <c r="F15" s="253"/>
      <c r="G15" s="253"/>
      <c r="H15" s="253"/>
      <c r="I15" s="253"/>
      <c r="J15" s="253"/>
      <c r="K15" s="253"/>
      <c r="L15" s="253"/>
      <c r="M15" s="253"/>
      <c r="N15" s="253"/>
      <c r="O15" s="253"/>
      <c r="P15" s="903"/>
      <c r="Q15" s="903"/>
      <c r="R15" s="903"/>
      <c r="S15" s="904" t="str">
        <f ca="1">IF(P15="","",IF(R15&lt;&gt;"",R15-P15,TODAY()-P15))</f>
        <v/>
      </c>
      <c r="T15" s="904" t="str">
        <f ca="1">IF(Q15="","",Q15-TODAY())</f>
        <v/>
      </c>
      <c r="U15" s="253"/>
      <c r="V15" s="253"/>
      <c r="W15" s="253"/>
      <c r="X15" s="253"/>
      <c r="Y15" s="253"/>
      <c r="Z15" s="253"/>
      <c r="AA15" s="253"/>
      <c r="AB15" s="253"/>
      <c r="AC15" s="253"/>
      <c r="AD15" s="253"/>
      <c r="AE15" s="253"/>
      <c r="AF15" s="253"/>
      <c r="AG15" s="253"/>
      <c r="AH15" s="253"/>
      <c r="AI15" s="253"/>
      <c r="AJ15" s="253"/>
      <c r="AK15" s="253"/>
      <c r="AL15" s="253"/>
      <c r="AM15" s="253"/>
      <c r="AN15" s="903"/>
      <c r="AO15" s="253" t="str">
        <f>IF(Z15="Yes",COUNTIF($Z$6:Z15,"Yes"),"")</f>
        <v/>
      </c>
      <c r="AP15" s="253" t="str">
        <f>IF(AA15="Yes",COUNTIF($AA$6:AA15,"Yes"),"")</f>
        <v/>
      </c>
      <c r="AQ15" s="253" t="str">
        <f>IF(AC15="Yes",COUNTIF($AC$6:AC15,"Yes"),"")</f>
        <v/>
      </c>
    </row>
    <row r="16" spans="1:43">
      <c r="A16" s="253"/>
      <c r="B16" s="253"/>
      <c r="C16" s="253"/>
      <c r="D16" s="253"/>
      <c r="E16" s="253"/>
      <c r="F16" s="253"/>
      <c r="G16" s="253"/>
      <c r="H16" s="253"/>
      <c r="I16" s="253"/>
      <c r="J16" s="253"/>
      <c r="K16" s="253"/>
      <c r="L16" s="253"/>
      <c r="M16" s="253"/>
      <c r="N16" s="253"/>
      <c r="O16" s="253"/>
      <c r="P16" s="903"/>
      <c r="Q16" s="903"/>
      <c r="R16" s="903"/>
      <c r="S16" s="904" t="str">
        <f ca="1">IF(P16="","",IF(R16&lt;&gt;"",R16-P16,TODAY()-P16))</f>
        <v/>
      </c>
      <c r="T16" s="904" t="str">
        <f ca="1">IF(Q16="","",Q16-TODAY())</f>
        <v/>
      </c>
      <c r="U16" s="253"/>
      <c r="V16" s="253"/>
      <c r="W16" s="253"/>
      <c r="X16" s="253"/>
      <c r="Y16" s="253"/>
      <c r="Z16" s="253"/>
      <c r="AA16" s="253"/>
      <c r="AB16" s="253"/>
      <c r="AC16" s="253"/>
      <c r="AD16" s="253"/>
      <c r="AE16" s="253"/>
      <c r="AF16" s="253"/>
      <c r="AG16" s="253"/>
      <c r="AH16" s="253"/>
      <c r="AI16" s="253"/>
      <c r="AJ16" s="253"/>
      <c r="AK16" s="253"/>
      <c r="AL16" s="253"/>
      <c r="AM16" s="253"/>
      <c r="AN16" s="903"/>
      <c r="AO16" s="253" t="str">
        <f>IF(Z16="Yes",COUNTIF($Z$6:Z16,"Yes"),"")</f>
        <v/>
      </c>
      <c r="AP16" s="253" t="str">
        <f>IF(AA16="Yes",COUNTIF($AA$6:AA16,"Yes"),"")</f>
        <v/>
      </c>
      <c r="AQ16" s="253" t="str">
        <f>IF(AC16="Yes",COUNTIF($AC$6:AC16,"Yes"),"")</f>
        <v/>
      </c>
    </row>
    <row r="17" spans="1:43">
      <c r="A17" s="253"/>
      <c r="B17" s="253"/>
      <c r="C17" s="253"/>
      <c r="D17" s="253"/>
      <c r="E17" s="253"/>
      <c r="F17" s="253"/>
      <c r="G17" s="253"/>
      <c r="H17" s="253"/>
      <c r="I17" s="253"/>
      <c r="J17" s="253"/>
      <c r="K17" s="253"/>
      <c r="L17" s="253"/>
      <c r="M17" s="253"/>
      <c r="N17" s="253"/>
      <c r="O17" s="253"/>
      <c r="P17" s="903"/>
      <c r="Q17" s="903"/>
      <c r="R17" s="903"/>
      <c r="S17" s="904" t="str">
        <f ca="1">IF(P17="","",IF(R17&lt;&gt;"",R17-P17,TODAY()-P17))</f>
        <v/>
      </c>
      <c r="T17" s="904" t="str">
        <f ca="1">IF(Q17="","",Q17-TODAY())</f>
        <v/>
      </c>
      <c r="U17" s="253"/>
      <c r="V17" s="253"/>
      <c r="W17" s="253"/>
      <c r="X17" s="253"/>
      <c r="Y17" s="253"/>
      <c r="Z17" s="253"/>
      <c r="AA17" s="253"/>
      <c r="AB17" s="253"/>
      <c r="AC17" s="253"/>
      <c r="AD17" s="253"/>
      <c r="AE17" s="253"/>
      <c r="AF17" s="253"/>
      <c r="AG17" s="253"/>
      <c r="AH17" s="253"/>
      <c r="AI17" s="253"/>
      <c r="AJ17" s="253"/>
      <c r="AK17" s="253"/>
      <c r="AL17" s="253"/>
      <c r="AM17" s="253"/>
      <c r="AN17" s="903"/>
      <c r="AO17" s="253" t="str">
        <f>IF(Z17="Yes",COUNTIF($Z$6:Z17,"Yes"),"")</f>
        <v/>
      </c>
      <c r="AP17" s="253" t="str">
        <f>IF(AA17="Yes",COUNTIF($AA$6:AA17,"Yes"),"")</f>
        <v/>
      </c>
      <c r="AQ17" s="253" t="str">
        <f>IF(AC17="Yes",COUNTIF($AC$6:AC17,"Yes"),"")</f>
        <v/>
      </c>
    </row>
    <row r="18" spans="1:43">
      <c r="A18" s="253"/>
      <c r="B18" s="253"/>
      <c r="C18" s="253"/>
      <c r="D18" s="253"/>
      <c r="E18" s="253"/>
      <c r="F18" s="253"/>
      <c r="G18" s="253"/>
      <c r="H18" s="253"/>
      <c r="I18" s="253"/>
      <c r="J18" s="253"/>
      <c r="K18" s="253"/>
      <c r="L18" s="253"/>
      <c r="M18" s="253"/>
      <c r="N18" s="253"/>
      <c r="O18" s="253"/>
      <c r="P18" s="903"/>
      <c r="Q18" s="903"/>
      <c r="R18" s="903"/>
      <c r="S18" s="904" t="str">
        <f ca="1">IF(P18="","",IF(R18&lt;&gt;"",R18-P18,TODAY()-P18))</f>
        <v/>
      </c>
      <c r="T18" s="904" t="str">
        <f ca="1">IF(Q18="","",Q18-TODAY())</f>
        <v/>
      </c>
      <c r="U18" s="253"/>
      <c r="V18" s="253"/>
      <c r="W18" s="253"/>
      <c r="X18" s="253"/>
      <c r="Y18" s="253"/>
      <c r="Z18" s="253"/>
      <c r="AA18" s="253"/>
      <c r="AB18" s="253"/>
      <c r="AC18" s="253"/>
      <c r="AD18" s="253"/>
      <c r="AE18" s="253"/>
      <c r="AF18" s="253"/>
      <c r="AG18" s="253"/>
      <c r="AH18" s="253"/>
      <c r="AI18" s="253"/>
      <c r="AJ18" s="253"/>
      <c r="AK18" s="253"/>
      <c r="AL18" s="253"/>
      <c r="AM18" s="253"/>
      <c r="AN18" s="903"/>
      <c r="AO18" s="253" t="str">
        <f>IF(Z18="Yes",COUNTIF($Z$6:Z18,"Yes"),"")</f>
        <v/>
      </c>
      <c r="AP18" s="253" t="str">
        <f>IF(AA18="Yes",COUNTIF($AA$6:AA18,"Yes"),"")</f>
        <v/>
      </c>
      <c r="AQ18" s="253" t="str">
        <f>IF(AC18="Yes",COUNTIF($AC$6:AC18,"Yes"),"")</f>
        <v/>
      </c>
    </row>
    <row r="19" spans="1:43">
      <c r="A19" s="253"/>
      <c r="B19" s="253"/>
      <c r="C19" s="253"/>
      <c r="D19" s="253"/>
      <c r="E19" s="253"/>
      <c r="F19" s="253"/>
      <c r="G19" s="253"/>
      <c r="H19" s="253"/>
      <c r="I19" s="253"/>
      <c r="J19" s="253"/>
      <c r="K19" s="253"/>
      <c r="L19" s="253"/>
      <c r="M19" s="253"/>
      <c r="N19" s="253"/>
      <c r="O19" s="253"/>
      <c r="P19" s="903"/>
      <c r="Q19" s="903"/>
      <c r="R19" s="903"/>
      <c r="S19" s="904" t="str">
        <f ca="1">IF(P19="","",IF(R19&lt;&gt;"",R19-P19,TODAY()-P19))</f>
        <v/>
      </c>
      <c r="T19" s="904" t="str">
        <f ca="1">IF(Q19="","",Q19-TODAY())</f>
        <v/>
      </c>
      <c r="U19" s="253"/>
      <c r="V19" s="253"/>
      <c r="W19" s="253"/>
      <c r="X19" s="253"/>
      <c r="Y19" s="253"/>
      <c r="Z19" s="253"/>
      <c r="AA19" s="253"/>
      <c r="AB19" s="253"/>
      <c r="AC19" s="253"/>
      <c r="AD19" s="253"/>
      <c r="AE19" s="253"/>
      <c r="AF19" s="253"/>
      <c r="AG19" s="253"/>
      <c r="AH19" s="253"/>
      <c r="AI19" s="253"/>
      <c r="AJ19" s="253"/>
      <c r="AK19" s="253"/>
      <c r="AL19" s="253"/>
      <c r="AM19" s="253"/>
      <c r="AN19" s="903"/>
      <c r="AO19" s="253" t="str">
        <f>IF(Z19="Yes",COUNTIF($Z$6:Z19,"Yes"),"")</f>
        <v/>
      </c>
      <c r="AP19" s="253" t="str">
        <f>IF(AA19="Yes",COUNTIF($AA$6:AA19,"Yes"),"")</f>
        <v/>
      </c>
      <c r="AQ19" s="253" t="str">
        <f>IF(AC19="Yes",COUNTIF($AC$6:AC19,"Yes"),"")</f>
        <v/>
      </c>
    </row>
    <row r="20" spans="1:43">
      <c r="A20" s="253"/>
      <c r="B20" s="253"/>
      <c r="C20" s="253"/>
      <c r="D20" s="253"/>
      <c r="E20" s="253"/>
      <c r="F20" s="253"/>
      <c r="G20" s="253"/>
      <c r="H20" s="253"/>
      <c r="I20" s="253"/>
      <c r="J20" s="253"/>
      <c r="K20" s="253"/>
      <c r="L20" s="253"/>
      <c r="M20" s="253"/>
      <c r="N20" s="253"/>
      <c r="O20" s="253"/>
      <c r="P20" s="903"/>
      <c r="Q20" s="903"/>
      <c r="R20" s="903"/>
      <c r="S20" s="904" t="str">
        <f ca="1">IF(P20="","",IF(R20&lt;&gt;"",R20-P20,TODAY()-P20))</f>
        <v/>
      </c>
      <c r="T20" s="904" t="str">
        <f ca="1">IF(Q20="","",Q20-TODAY())</f>
        <v/>
      </c>
      <c r="U20" s="253"/>
      <c r="V20" s="253"/>
      <c r="W20" s="253"/>
      <c r="X20" s="253"/>
      <c r="Y20" s="253"/>
      <c r="Z20" s="253"/>
      <c r="AA20" s="253"/>
      <c r="AB20" s="253"/>
      <c r="AC20" s="253"/>
      <c r="AD20" s="253"/>
      <c r="AE20" s="253"/>
      <c r="AF20" s="253"/>
      <c r="AG20" s="253"/>
      <c r="AH20" s="253"/>
      <c r="AI20" s="253"/>
      <c r="AJ20" s="253"/>
      <c r="AK20" s="253"/>
      <c r="AL20" s="253"/>
      <c r="AM20" s="253"/>
      <c r="AN20" s="903"/>
      <c r="AO20" s="253" t="str">
        <f>IF(Z20="Yes",COUNTIF($Z$6:Z20,"Yes"),"")</f>
        <v/>
      </c>
      <c r="AP20" s="253" t="str">
        <f>IF(AA20="Yes",COUNTIF($AA$6:AA20,"Yes"),"")</f>
        <v/>
      </c>
      <c r="AQ20" s="253" t="str">
        <f>IF(AC20="Yes",COUNTIF($AC$6:AC20,"Yes"),"")</f>
        <v/>
      </c>
    </row>
    <row r="21" spans="1:43">
      <c r="A21" s="253"/>
      <c r="B21" s="253"/>
      <c r="C21" s="253"/>
      <c r="D21" s="253"/>
      <c r="E21" s="253"/>
      <c r="F21" s="253"/>
      <c r="G21" s="253"/>
      <c r="H21" s="253"/>
      <c r="I21" s="253"/>
      <c r="J21" s="253"/>
      <c r="K21" s="253"/>
      <c r="L21" s="253"/>
      <c r="M21" s="253"/>
      <c r="N21" s="253"/>
      <c r="O21" s="253"/>
      <c r="P21" s="903"/>
      <c r="Q21" s="903"/>
      <c r="R21" s="903"/>
      <c r="S21" s="904" t="str">
        <f ca="1">IF(P21="","",IF(R21&lt;&gt;"",R21-P21,TODAY()-P21))</f>
        <v/>
      </c>
      <c r="T21" s="904" t="str">
        <f ca="1">IF(Q21="","",Q21-TODAY())</f>
        <v/>
      </c>
      <c r="U21" s="253"/>
      <c r="V21" s="253"/>
      <c r="W21" s="253"/>
      <c r="X21" s="253"/>
      <c r="Y21" s="253"/>
      <c r="Z21" s="253"/>
      <c r="AA21" s="253"/>
      <c r="AB21" s="253"/>
      <c r="AC21" s="253"/>
      <c r="AD21" s="253"/>
      <c r="AE21" s="253"/>
      <c r="AF21" s="253"/>
      <c r="AG21" s="253"/>
      <c r="AH21" s="253"/>
      <c r="AI21" s="253"/>
      <c r="AJ21" s="253"/>
      <c r="AK21" s="253"/>
      <c r="AL21" s="253"/>
      <c r="AM21" s="253"/>
      <c r="AN21" s="903"/>
      <c r="AO21" s="253" t="str">
        <f>IF(Z21="Yes",COUNTIF($Z$6:Z21,"Yes"),"")</f>
        <v/>
      </c>
      <c r="AP21" s="253" t="str">
        <f>IF(AA21="Yes",COUNTIF($AA$6:AA21,"Yes"),"")</f>
        <v/>
      </c>
      <c r="AQ21" s="253" t="str">
        <f>IF(AC21="Yes",COUNTIF($AC$6:AC21,"Yes"),"")</f>
        <v/>
      </c>
    </row>
    <row r="22" spans="1:43">
      <c r="A22" s="253"/>
      <c r="B22" s="253"/>
      <c r="C22" s="253"/>
      <c r="D22" s="253"/>
      <c r="E22" s="253"/>
      <c r="F22" s="253"/>
      <c r="G22" s="253"/>
      <c r="H22" s="253"/>
      <c r="I22" s="253"/>
      <c r="J22" s="253"/>
      <c r="K22" s="253"/>
      <c r="L22" s="253"/>
      <c r="M22" s="253"/>
      <c r="N22" s="253"/>
      <c r="O22" s="253"/>
      <c r="P22" s="903"/>
      <c r="Q22" s="903"/>
      <c r="R22" s="903"/>
      <c r="S22" s="904" t="str">
        <f ca="1">IF(P22="","",IF(R22&lt;&gt;"",R22-P22,TODAY()-P22))</f>
        <v/>
      </c>
      <c r="T22" s="904" t="str">
        <f ca="1">IF(Q22="","",Q22-TODAY())</f>
        <v/>
      </c>
      <c r="U22" s="253"/>
      <c r="V22" s="253"/>
      <c r="W22" s="253"/>
      <c r="X22" s="253"/>
      <c r="Y22" s="253"/>
      <c r="Z22" s="253"/>
      <c r="AA22" s="253"/>
      <c r="AB22" s="253"/>
      <c r="AC22" s="253"/>
      <c r="AD22" s="253"/>
      <c r="AE22" s="253"/>
      <c r="AF22" s="253"/>
      <c r="AG22" s="253"/>
      <c r="AH22" s="253"/>
      <c r="AI22" s="253"/>
      <c r="AJ22" s="253"/>
      <c r="AK22" s="253"/>
      <c r="AL22" s="253"/>
      <c r="AM22" s="253"/>
      <c r="AN22" s="903"/>
      <c r="AO22" s="253" t="str">
        <f>IF(Z22="Yes",COUNTIF($Z$6:Z22,"Yes"),"")</f>
        <v/>
      </c>
      <c r="AP22" s="253" t="str">
        <f>IF(AA22="Yes",COUNTIF($AA$6:AA22,"Yes"),"")</f>
        <v/>
      </c>
      <c r="AQ22" s="253" t="str">
        <f>IF(AC22="Yes",COUNTIF($AC$6:AC22,"Yes"),"")</f>
        <v/>
      </c>
    </row>
    <row r="23" spans="1:43">
      <c r="A23" s="253"/>
      <c r="B23" s="253"/>
      <c r="C23" s="253"/>
      <c r="D23" s="253"/>
      <c r="E23" s="253"/>
      <c r="F23" s="253"/>
      <c r="G23" s="253"/>
      <c r="H23" s="253"/>
      <c r="I23" s="253"/>
      <c r="J23" s="253"/>
      <c r="K23" s="253"/>
      <c r="L23" s="253"/>
      <c r="M23" s="253"/>
      <c r="N23" s="253"/>
      <c r="O23" s="253"/>
      <c r="P23" s="903"/>
      <c r="Q23" s="903"/>
      <c r="R23" s="903"/>
      <c r="S23" s="904" t="str">
        <f ca="1">IF(P23="","",IF(R23&lt;&gt;"",R23-P23,TODAY()-P23))</f>
        <v/>
      </c>
      <c r="T23" s="904" t="str">
        <f ca="1">IF(Q23="","",Q23-TODAY())</f>
        <v/>
      </c>
      <c r="U23" s="253"/>
      <c r="V23" s="253"/>
      <c r="W23" s="253"/>
      <c r="X23" s="253"/>
      <c r="Y23" s="253"/>
      <c r="Z23" s="253"/>
      <c r="AA23" s="253"/>
      <c r="AB23" s="253"/>
      <c r="AC23" s="253"/>
      <c r="AD23" s="253"/>
      <c r="AE23" s="253"/>
      <c r="AF23" s="253"/>
      <c r="AG23" s="253"/>
      <c r="AH23" s="253"/>
      <c r="AI23" s="253"/>
      <c r="AJ23" s="253"/>
      <c r="AK23" s="253"/>
      <c r="AL23" s="253"/>
      <c r="AM23" s="253"/>
      <c r="AN23" s="903"/>
      <c r="AO23" s="253" t="str">
        <f>IF(Z23="Yes",COUNTIF($Z$6:Z23,"Yes"),"")</f>
        <v/>
      </c>
      <c r="AP23" s="253" t="str">
        <f>IF(AA23="Yes",COUNTIF($AA$6:AA23,"Yes"),"")</f>
        <v/>
      </c>
      <c r="AQ23" s="253" t="str">
        <f>IF(AC23="Yes",COUNTIF($AC$6:AC23,"Yes"),"")</f>
        <v/>
      </c>
    </row>
    <row r="24" spans="1:43">
      <c r="A24" s="253"/>
      <c r="B24" s="253"/>
      <c r="C24" s="253"/>
      <c r="D24" s="253"/>
      <c r="E24" s="253"/>
      <c r="F24" s="253"/>
      <c r="G24" s="253"/>
      <c r="H24" s="253"/>
      <c r="I24" s="253"/>
      <c r="J24" s="253"/>
      <c r="K24" s="253"/>
      <c r="L24" s="253"/>
      <c r="M24" s="253"/>
      <c r="N24" s="253"/>
      <c r="O24" s="253"/>
      <c r="P24" s="903"/>
      <c r="Q24" s="903"/>
      <c r="R24" s="903"/>
      <c r="S24" s="904" t="str">
        <f ca="1">IF(P24="","",IF(R24&lt;&gt;"",R24-P24,TODAY()-P24))</f>
        <v/>
      </c>
      <c r="T24" s="904" t="str">
        <f ca="1">IF(Q24="","",Q24-TODAY())</f>
        <v/>
      </c>
      <c r="U24" s="253"/>
      <c r="V24" s="253"/>
      <c r="W24" s="253"/>
      <c r="X24" s="253"/>
      <c r="Y24" s="253"/>
      <c r="Z24" s="253"/>
      <c r="AA24" s="253"/>
      <c r="AB24" s="253"/>
      <c r="AC24" s="253"/>
      <c r="AD24" s="253"/>
      <c r="AE24" s="253"/>
      <c r="AF24" s="253"/>
      <c r="AG24" s="253"/>
      <c r="AH24" s="253"/>
      <c r="AI24" s="253"/>
      <c r="AJ24" s="253"/>
      <c r="AK24" s="253"/>
      <c r="AL24" s="253"/>
      <c r="AM24" s="253"/>
      <c r="AN24" s="903"/>
      <c r="AO24" s="253" t="str">
        <f>IF(Z24="Yes",COUNTIF($Z$6:Z24,"Yes"),"")</f>
        <v/>
      </c>
      <c r="AP24" s="253" t="str">
        <f>IF(AA24="Yes",COUNTIF($AA$6:AA24,"Yes"),"")</f>
        <v/>
      </c>
      <c r="AQ24" s="253" t="str">
        <f>IF(AC24="Yes",COUNTIF($AC$6:AC24,"Yes"),"")</f>
        <v/>
      </c>
    </row>
    <row r="25" spans="1:43">
      <c r="A25" s="253"/>
      <c r="B25" s="253"/>
      <c r="C25" s="253"/>
      <c r="D25" s="253"/>
      <c r="E25" s="253"/>
      <c r="F25" s="253"/>
      <c r="G25" s="253"/>
      <c r="H25" s="253"/>
      <c r="I25" s="253"/>
      <c r="J25" s="253"/>
      <c r="K25" s="253"/>
      <c r="L25" s="253"/>
      <c r="M25" s="253"/>
      <c r="N25" s="253"/>
      <c r="O25" s="253"/>
      <c r="P25" s="903"/>
      <c r="Q25" s="903"/>
      <c r="R25" s="903"/>
      <c r="S25" s="904" t="str">
        <f ca="1">IF(P25="","",IF(R25&lt;&gt;"",R25-P25,TODAY()-P25))</f>
        <v/>
      </c>
      <c r="T25" s="904" t="str">
        <f ca="1">IF(Q25="","",Q25-TODAY())</f>
        <v/>
      </c>
      <c r="U25" s="253"/>
      <c r="V25" s="253"/>
      <c r="W25" s="253"/>
      <c r="X25" s="253"/>
      <c r="Y25" s="253"/>
      <c r="Z25" s="253"/>
      <c r="AA25" s="253"/>
      <c r="AB25" s="253"/>
      <c r="AC25" s="253"/>
      <c r="AD25" s="253"/>
      <c r="AE25" s="253"/>
      <c r="AF25" s="253"/>
      <c r="AG25" s="253"/>
      <c r="AH25" s="253"/>
      <c r="AI25" s="253"/>
      <c r="AJ25" s="253"/>
      <c r="AK25" s="253"/>
      <c r="AL25" s="253"/>
      <c r="AM25" s="253"/>
      <c r="AN25" s="903"/>
      <c r="AO25" s="253" t="str">
        <f>IF(Z25="Yes",COUNTIF($Z$6:Z25,"Yes"),"")</f>
        <v/>
      </c>
      <c r="AP25" s="253" t="str">
        <f>IF(AA25="Yes",COUNTIF($AA$6:AA25,"Yes"),"")</f>
        <v/>
      </c>
      <c r="AQ25" s="253" t="str">
        <f>IF(AC25="Yes",COUNTIF($AC$6:AC25,"Yes"),"")</f>
        <v/>
      </c>
    </row>
    <row r="26" spans="1:43">
      <c r="A26" s="253"/>
      <c r="B26" s="253"/>
      <c r="C26" s="253"/>
      <c r="D26" s="253"/>
      <c r="E26" s="253"/>
      <c r="F26" s="253"/>
      <c r="G26" s="253"/>
      <c r="H26" s="253"/>
      <c r="I26" s="253"/>
      <c r="J26" s="253"/>
      <c r="K26" s="253"/>
      <c r="L26" s="253"/>
      <c r="M26" s="253"/>
      <c r="N26" s="253"/>
      <c r="O26" s="253"/>
      <c r="P26" s="903"/>
      <c r="Q26" s="903"/>
      <c r="R26" s="903"/>
      <c r="S26" s="904" t="str">
        <f ca="1">IF(P26="","",IF(R26&lt;&gt;"",R26-P26,TODAY()-P26))</f>
        <v/>
      </c>
      <c r="T26" s="904" t="str">
        <f ca="1">IF(Q26="","",Q26-TODAY())</f>
        <v/>
      </c>
      <c r="U26" s="253"/>
      <c r="V26" s="253"/>
      <c r="W26" s="253"/>
      <c r="X26" s="253"/>
      <c r="Y26" s="253"/>
      <c r="Z26" s="253"/>
      <c r="AA26" s="253"/>
      <c r="AB26" s="253"/>
      <c r="AC26" s="253"/>
      <c r="AD26" s="253"/>
      <c r="AE26" s="253"/>
      <c r="AF26" s="253"/>
      <c r="AG26" s="253"/>
      <c r="AH26" s="253"/>
      <c r="AI26" s="253"/>
      <c r="AJ26" s="253"/>
      <c r="AK26" s="253"/>
      <c r="AL26" s="253"/>
      <c r="AM26" s="253"/>
      <c r="AN26" s="903"/>
      <c r="AO26" s="253" t="str">
        <f>IF(Z26="Yes",COUNTIF($Z$6:Z26,"Yes"),"")</f>
        <v/>
      </c>
      <c r="AP26" s="253" t="str">
        <f>IF(AA26="Yes",COUNTIF($AA$6:AA26,"Yes"),"")</f>
        <v/>
      </c>
      <c r="AQ26" s="253" t="str">
        <f>IF(AC26="Yes",COUNTIF($AC$6:AC26,"Yes"),"")</f>
        <v/>
      </c>
    </row>
    <row r="27" spans="1:43">
      <c r="A27" s="253"/>
      <c r="B27" s="253"/>
      <c r="C27" s="253"/>
      <c r="D27" s="253"/>
      <c r="E27" s="253"/>
      <c r="F27" s="253"/>
      <c r="G27" s="253"/>
      <c r="H27" s="253"/>
      <c r="I27" s="253"/>
      <c r="J27" s="253"/>
      <c r="K27" s="253"/>
      <c r="L27" s="253"/>
      <c r="M27" s="253"/>
      <c r="N27" s="253"/>
      <c r="O27" s="253"/>
      <c r="P27" s="903"/>
      <c r="Q27" s="903"/>
      <c r="R27" s="903"/>
      <c r="S27" s="904" t="str">
        <f ca="1">IF(P27="","",IF(R27&lt;&gt;"",R27-P27,TODAY()-P27))</f>
        <v/>
      </c>
      <c r="T27" s="904" t="str">
        <f ca="1">IF(Q27="","",Q27-TODAY())</f>
        <v/>
      </c>
      <c r="U27" s="253"/>
      <c r="V27" s="253"/>
      <c r="W27" s="253"/>
      <c r="X27" s="253"/>
      <c r="Y27" s="253"/>
      <c r="Z27" s="253"/>
      <c r="AA27" s="253"/>
      <c r="AB27" s="253"/>
      <c r="AC27" s="253"/>
      <c r="AD27" s="253"/>
      <c r="AE27" s="253"/>
      <c r="AF27" s="253"/>
      <c r="AG27" s="253"/>
      <c r="AH27" s="253"/>
      <c r="AI27" s="253"/>
      <c r="AJ27" s="253"/>
      <c r="AK27" s="253"/>
      <c r="AL27" s="253"/>
      <c r="AM27" s="253"/>
      <c r="AN27" s="903"/>
      <c r="AO27" s="253" t="str">
        <f>IF(Z27="Yes",COUNTIF($Z$6:Z27,"Yes"),"")</f>
        <v/>
      </c>
      <c r="AP27" s="253" t="str">
        <f>IF(AA27="Yes",COUNTIF($AA$6:AA27,"Yes"),"")</f>
        <v/>
      </c>
      <c r="AQ27" s="253" t="str">
        <f>IF(AC27="Yes",COUNTIF($AC$6:AC27,"Yes"),"")</f>
        <v/>
      </c>
    </row>
    <row r="28" spans="1:43">
      <c r="A28" s="253"/>
      <c r="B28" s="253"/>
      <c r="C28" s="253"/>
      <c r="D28" s="253"/>
      <c r="E28" s="253"/>
      <c r="F28" s="253"/>
      <c r="G28" s="253"/>
      <c r="H28" s="253"/>
      <c r="I28" s="253"/>
      <c r="J28" s="253"/>
      <c r="K28" s="253"/>
      <c r="L28" s="253"/>
      <c r="M28" s="253"/>
      <c r="N28" s="253"/>
      <c r="O28" s="253"/>
      <c r="P28" s="903"/>
      <c r="Q28" s="903"/>
      <c r="R28" s="903"/>
      <c r="S28" s="904" t="str">
        <f ca="1">IF(P28="","",IF(R28&lt;&gt;"",R28-P28,TODAY()-P28))</f>
        <v/>
      </c>
      <c r="T28" s="904" t="str">
        <f ca="1">IF(Q28="","",Q28-TODAY())</f>
        <v/>
      </c>
      <c r="U28" s="253"/>
      <c r="V28" s="253"/>
      <c r="W28" s="253"/>
      <c r="X28" s="253"/>
      <c r="Y28" s="253"/>
      <c r="Z28" s="253"/>
      <c r="AA28" s="253"/>
      <c r="AB28" s="253"/>
      <c r="AC28" s="253"/>
      <c r="AD28" s="253"/>
      <c r="AE28" s="253"/>
      <c r="AF28" s="253"/>
      <c r="AG28" s="253"/>
      <c r="AH28" s="253"/>
      <c r="AI28" s="253"/>
      <c r="AJ28" s="253"/>
      <c r="AK28" s="253"/>
      <c r="AL28" s="253"/>
      <c r="AM28" s="253"/>
      <c r="AN28" s="903"/>
      <c r="AO28" s="253" t="str">
        <f>IF(Z28="Yes",COUNTIF($Z$6:Z28,"Yes"),"")</f>
        <v/>
      </c>
      <c r="AP28" s="253" t="str">
        <f>IF(AA28="Yes",COUNTIF($AA$6:AA28,"Yes"),"")</f>
        <v/>
      </c>
      <c r="AQ28" s="253" t="str">
        <f>IF(AC28="Yes",COUNTIF($AC$6:AC28,"Yes"),"")</f>
        <v/>
      </c>
    </row>
    <row r="29" spans="1:43">
      <c r="A29" s="253"/>
      <c r="B29" s="253"/>
      <c r="C29" s="253"/>
      <c r="D29" s="253"/>
      <c r="E29" s="253"/>
      <c r="F29" s="253"/>
      <c r="G29" s="253"/>
      <c r="H29" s="253"/>
      <c r="I29" s="253"/>
      <c r="J29" s="253"/>
      <c r="K29" s="253"/>
      <c r="L29" s="253"/>
      <c r="M29" s="253"/>
      <c r="N29" s="253"/>
      <c r="O29" s="253"/>
      <c r="P29" s="903"/>
      <c r="Q29" s="903"/>
      <c r="R29" s="903"/>
      <c r="S29" s="904" t="str">
        <f ca="1">IF(P29="","",IF(R29&lt;&gt;"",R29-P29,TODAY()-P29))</f>
        <v/>
      </c>
      <c r="T29" s="904" t="str">
        <f ca="1">IF(Q29="","",Q29-TODAY())</f>
        <v/>
      </c>
      <c r="U29" s="253"/>
      <c r="V29" s="253"/>
      <c r="W29" s="253"/>
      <c r="X29" s="253"/>
      <c r="Y29" s="253"/>
      <c r="Z29" s="253"/>
      <c r="AA29" s="253"/>
      <c r="AB29" s="253"/>
      <c r="AC29" s="253"/>
      <c r="AD29" s="253"/>
      <c r="AE29" s="253"/>
      <c r="AF29" s="253"/>
      <c r="AG29" s="253"/>
      <c r="AH29" s="253"/>
      <c r="AI29" s="253"/>
      <c r="AJ29" s="253"/>
      <c r="AK29" s="253"/>
      <c r="AL29" s="253"/>
      <c r="AM29" s="253"/>
      <c r="AN29" s="903"/>
      <c r="AO29" s="253" t="str">
        <f>IF(Z29="Yes",COUNTIF($Z$6:Z29,"Yes"),"")</f>
        <v/>
      </c>
      <c r="AP29" s="253" t="str">
        <f>IF(AA29="Yes",COUNTIF($AA$6:AA29,"Yes"),"")</f>
        <v/>
      </c>
      <c r="AQ29" s="253" t="str">
        <f>IF(AC29="Yes",COUNTIF($AC$6:AC29,"Yes"),"")</f>
        <v/>
      </c>
    </row>
    <row r="30" spans="1:43">
      <c r="A30" s="253"/>
      <c r="B30" s="253"/>
      <c r="C30" s="253"/>
      <c r="D30" s="253"/>
      <c r="E30" s="253"/>
      <c r="F30" s="253"/>
      <c r="G30" s="253"/>
      <c r="H30" s="253"/>
      <c r="I30" s="253"/>
      <c r="J30" s="253"/>
      <c r="K30" s="253"/>
      <c r="L30" s="253"/>
      <c r="M30" s="253"/>
      <c r="N30" s="253"/>
      <c r="O30" s="253"/>
      <c r="P30" s="903"/>
      <c r="Q30" s="903"/>
      <c r="R30" s="903"/>
      <c r="S30" s="904" t="str">
        <f ca="1">IF(P30="","",IF(R30&lt;&gt;"",R30-P30,TODAY()-P30))</f>
        <v/>
      </c>
      <c r="T30" s="904" t="str">
        <f ca="1">IF(Q30="","",Q30-TODAY())</f>
        <v/>
      </c>
      <c r="U30" s="253"/>
      <c r="V30" s="253"/>
      <c r="W30" s="253"/>
      <c r="X30" s="253"/>
      <c r="Y30" s="253"/>
      <c r="Z30" s="253"/>
      <c r="AA30" s="253"/>
      <c r="AB30" s="253"/>
      <c r="AC30" s="253"/>
      <c r="AD30" s="253"/>
      <c r="AE30" s="253"/>
      <c r="AF30" s="253"/>
      <c r="AG30" s="253"/>
      <c r="AH30" s="253"/>
      <c r="AI30" s="253"/>
      <c r="AJ30" s="253"/>
      <c r="AK30" s="253"/>
      <c r="AL30" s="253"/>
      <c r="AM30" s="253"/>
      <c r="AN30" s="903"/>
      <c r="AO30" s="253" t="str">
        <f>IF(Z30="Yes",COUNTIF($Z$6:Z30,"Yes"),"")</f>
        <v/>
      </c>
      <c r="AP30" s="253" t="str">
        <f>IF(AA30="Yes",COUNTIF($AA$6:AA30,"Yes"),"")</f>
        <v/>
      </c>
      <c r="AQ30" s="253" t="str">
        <f>IF(AC30="Yes",COUNTIF($AC$6:AC30,"Yes"),"")</f>
        <v/>
      </c>
    </row>
    <row r="31" spans="1:43">
      <c r="A31" s="253"/>
      <c r="B31" s="253"/>
      <c r="C31" s="253"/>
      <c r="D31" s="253"/>
      <c r="E31" s="253"/>
      <c r="F31" s="253"/>
      <c r="G31" s="253"/>
      <c r="H31" s="253"/>
      <c r="I31" s="253"/>
      <c r="J31" s="253"/>
      <c r="K31" s="253"/>
      <c r="L31" s="253"/>
      <c r="M31" s="253"/>
      <c r="N31" s="253"/>
      <c r="O31" s="253"/>
      <c r="P31" s="903"/>
      <c r="Q31" s="903"/>
      <c r="R31" s="903"/>
      <c r="S31" s="904" t="str">
        <f ca="1">IF(P31="","",IF(R31&lt;&gt;"",R31-P31,TODAY()-P31))</f>
        <v/>
      </c>
      <c r="T31" s="904" t="str">
        <f ca="1">IF(Q31="","",Q31-TODAY())</f>
        <v/>
      </c>
      <c r="U31" s="253"/>
      <c r="V31" s="253"/>
      <c r="W31" s="253"/>
      <c r="X31" s="253"/>
      <c r="Y31" s="253"/>
      <c r="Z31" s="253"/>
      <c r="AA31" s="253"/>
      <c r="AB31" s="253"/>
      <c r="AC31" s="253"/>
      <c r="AD31" s="253"/>
      <c r="AE31" s="253"/>
      <c r="AF31" s="253"/>
      <c r="AG31" s="253"/>
      <c r="AH31" s="253"/>
      <c r="AI31" s="253"/>
      <c r="AJ31" s="253"/>
      <c r="AK31" s="253"/>
      <c r="AL31" s="253"/>
      <c r="AM31" s="253"/>
      <c r="AN31" s="903"/>
      <c r="AO31" s="253" t="str">
        <f>IF(Z31="Yes",COUNTIF($Z$6:Z31,"Yes"),"")</f>
        <v/>
      </c>
      <c r="AP31" s="253" t="str">
        <f>IF(AA31="Yes",COUNTIF($AA$6:AA31,"Yes"),"")</f>
        <v/>
      </c>
      <c r="AQ31" s="253" t="str">
        <f>IF(AC31="Yes",COUNTIF($AC$6:AC31,"Yes"),"")</f>
        <v/>
      </c>
    </row>
    <row r="32" spans="1:43">
      <c r="A32" s="253"/>
      <c r="B32" s="253"/>
      <c r="C32" s="253"/>
      <c r="D32" s="253"/>
      <c r="E32" s="253"/>
      <c r="F32" s="253"/>
      <c r="G32" s="253"/>
      <c r="H32" s="253"/>
      <c r="I32" s="253"/>
      <c r="J32" s="253"/>
      <c r="K32" s="253"/>
      <c r="L32" s="253"/>
      <c r="M32" s="253"/>
      <c r="N32" s="253"/>
      <c r="O32" s="253"/>
      <c r="P32" s="903"/>
      <c r="Q32" s="903"/>
      <c r="R32" s="903"/>
      <c r="S32" s="904" t="str">
        <f ca="1">IF(P32="","",IF(R32&lt;&gt;"",R32-P32,TODAY()-P32))</f>
        <v/>
      </c>
      <c r="T32" s="904" t="str">
        <f ca="1">IF(Q32="","",Q32-TODAY())</f>
        <v/>
      </c>
      <c r="U32" s="253"/>
      <c r="V32" s="253"/>
      <c r="W32" s="253"/>
      <c r="X32" s="253"/>
      <c r="Y32" s="253"/>
      <c r="Z32" s="253"/>
      <c r="AA32" s="253"/>
      <c r="AB32" s="253"/>
      <c r="AC32" s="253"/>
      <c r="AD32" s="253"/>
      <c r="AE32" s="253"/>
      <c r="AF32" s="253"/>
      <c r="AG32" s="253"/>
      <c r="AH32" s="253"/>
      <c r="AI32" s="253"/>
      <c r="AJ32" s="253"/>
      <c r="AK32" s="253"/>
      <c r="AL32" s="253"/>
      <c r="AM32" s="253"/>
      <c r="AN32" s="903"/>
      <c r="AO32" s="253" t="str">
        <f>IF(Z32="Yes",COUNTIF($Z$6:Z32,"Yes"),"")</f>
        <v/>
      </c>
      <c r="AP32" s="253" t="str">
        <f>IF(AA32="Yes",COUNTIF($AA$6:AA32,"Yes"),"")</f>
        <v/>
      </c>
      <c r="AQ32" s="253" t="str">
        <f>IF(AC32="Yes",COUNTIF($AC$6:AC32,"Yes"),"")</f>
        <v/>
      </c>
    </row>
    <row r="33" spans="1:43">
      <c r="A33" s="253"/>
      <c r="B33" s="253"/>
      <c r="C33" s="253"/>
      <c r="D33" s="253"/>
      <c r="E33" s="253"/>
      <c r="F33" s="253"/>
      <c r="G33" s="253"/>
      <c r="H33" s="253"/>
      <c r="I33" s="253"/>
      <c r="J33" s="253"/>
      <c r="K33" s="253"/>
      <c r="L33" s="253"/>
      <c r="M33" s="253"/>
      <c r="N33" s="253"/>
      <c r="O33" s="253"/>
      <c r="P33" s="903"/>
      <c r="Q33" s="903"/>
      <c r="R33" s="903"/>
      <c r="S33" s="904" t="str">
        <f ca="1">IF(P33="","",IF(R33&lt;&gt;"",R33-P33,TODAY()-P33))</f>
        <v/>
      </c>
      <c r="T33" s="904" t="str">
        <f ca="1">IF(Q33="","",Q33-TODAY())</f>
        <v/>
      </c>
      <c r="U33" s="253"/>
      <c r="V33" s="253"/>
      <c r="W33" s="253"/>
      <c r="X33" s="253"/>
      <c r="Y33" s="253"/>
      <c r="Z33" s="253"/>
      <c r="AA33" s="253"/>
      <c r="AB33" s="253"/>
      <c r="AC33" s="253"/>
      <c r="AD33" s="253"/>
      <c r="AE33" s="253"/>
      <c r="AF33" s="253"/>
      <c r="AG33" s="253"/>
      <c r="AH33" s="253"/>
      <c r="AI33" s="253"/>
      <c r="AJ33" s="253"/>
      <c r="AK33" s="253"/>
      <c r="AL33" s="253"/>
      <c r="AM33" s="253"/>
      <c r="AN33" s="903"/>
      <c r="AO33" s="253" t="str">
        <f>IF(Z33="Yes",COUNTIF($Z$6:Z33,"Yes"),"")</f>
        <v/>
      </c>
      <c r="AP33" s="253" t="str">
        <f>IF(AA33="Yes",COUNTIF($AA$6:AA33,"Yes"),"")</f>
        <v/>
      </c>
      <c r="AQ33" s="253" t="str">
        <f>IF(AC33="Yes",COUNTIF($AC$6:AC33,"Yes"),"")</f>
        <v/>
      </c>
    </row>
    <row r="34" spans="1:43">
      <c r="A34" s="253"/>
      <c r="B34" s="253"/>
      <c r="C34" s="253"/>
      <c r="D34" s="253"/>
      <c r="E34" s="253"/>
      <c r="F34" s="253"/>
      <c r="G34" s="253"/>
      <c r="H34" s="253"/>
      <c r="I34" s="253"/>
      <c r="J34" s="253"/>
      <c r="K34" s="253"/>
      <c r="L34" s="253"/>
      <c r="M34" s="253"/>
      <c r="N34" s="253"/>
      <c r="O34" s="253"/>
      <c r="P34" s="903"/>
      <c r="Q34" s="903"/>
      <c r="R34" s="903"/>
      <c r="S34" s="904" t="str">
        <f ca="1">IF(P34="","",IF(R34&lt;&gt;"",R34-P34,TODAY()-P34))</f>
        <v/>
      </c>
      <c r="T34" s="904" t="str">
        <f ca="1">IF(Q34="","",Q34-TODAY())</f>
        <v/>
      </c>
      <c r="U34" s="253"/>
      <c r="V34" s="253"/>
      <c r="W34" s="253"/>
      <c r="X34" s="253"/>
      <c r="Y34" s="253"/>
      <c r="Z34" s="253"/>
      <c r="AA34" s="253"/>
      <c r="AB34" s="253"/>
      <c r="AC34" s="253"/>
      <c r="AD34" s="253"/>
      <c r="AE34" s="253"/>
      <c r="AF34" s="253"/>
      <c r="AG34" s="253"/>
      <c r="AH34" s="253"/>
      <c r="AI34" s="253"/>
      <c r="AJ34" s="253"/>
      <c r="AK34" s="253"/>
      <c r="AL34" s="253"/>
      <c r="AM34" s="253"/>
      <c r="AN34" s="903"/>
      <c r="AO34" s="253" t="str">
        <f>IF(Z34="Yes",COUNTIF($Z$6:Z34,"Yes"),"")</f>
        <v/>
      </c>
      <c r="AP34" s="253" t="str">
        <f>IF(AA34="Yes",COUNTIF($AA$6:AA34,"Yes"),"")</f>
        <v/>
      </c>
      <c r="AQ34" s="253" t="str">
        <f>IF(AC34="Yes",COUNTIF($AC$6:AC34,"Yes"),"")</f>
        <v/>
      </c>
    </row>
    <row r="35" spans="1:43">
      <c r="A35" s="253"/>
      <c r="B35" s="253"/>
      <c r="C35" s="253"/>
      <c r="D35" s="253"/>
      <c r="E35" s="253"/>
      <c r="F35" s="253"/>
      <c r="G35" s="253"/>
      <c r="H35" s="253"/>
      <c r="I35" s="253"/>
      <c r="J35" s="253"/>
      <c r="K35" s="253"/>
      <c r="L35" s="253"/>
      <c r="M35" s="253"/>
      <c r="N35" s="253"/>
      <c r="O35" s="253"/>
      <c r="P35" s="903"/>
      <c r="Q35" s="903"/>
      <c r="R35" s="903"/>
      <c r="S35" s="904" t="str">
        <f ca="1">IF(P35="","",IF(R35&lt;&gt;"",R35-P35,TODAY()-P35))</f>
        <v/>
      </c>
      <c r="T35" s="904" t="str">
        <f ca="1">IF(Q35="","",Q35-TODAY())</f>
        <v/>
      </c>
      <c r="U35" s="253"/>
      <c r="V35" s="253"/>
      <c r="W35" s="253"/>
      <c r="X35" s="253"/>
      <c r="Y35" s="253"/>
      <c r="Z35" s="253"/>
      <c r="AA35" s="253"/>
      <c r="AB35" s="253"/>
      <c r="AC35" s="253"/>
      <c r="AD35" s="253"/>
      <c r="AE35" s="253"/>
      <c r="AF35" s="253"/>
      <c r="AG35" s="253"/>
      <c r="AH35" s="253"/>
      <c r="AI35" s="253"/>
      <c r="AJ35" s="253"/>
      <c r="AK35" s="253"/>
      <c r="AL35" s="253"/>
      <c r="AM35" s="253"/>
      <c r="AN35" s="903"/>
      <c r="AO35" s="253" t="str">
        <f>IF(Z35="Yes",COUNTIF($Z$6:Z35,"Yes"),"")</f>
        <v/>
      </c>
      <c r="AP35" s="253" t="str">
        <f>IF(AA35="Yes",COUNTIF($AA$6:AA35,"Yes"),"")</f>
        <v/>
      </c>
      <c r="AQ35" s="253" t="str">
        <f>IF(AC35="Yes",COUNTIF($AC$6:AC35,"Yes"),"")</f>
        <v/>
      </c>
    </row>
    <row r="36" spans="1:43">
      <c r="A36" s="253"/>
      <c r="B36" s="253"/>
      <c r="C36" s="253"/>
      <c r="D36" s="253"/>
      <c r="E36" s="253"/>
      <c r="F36" s="253"/>
      <c r="G36" s="253"/>
      <c r="H36" s="253"/>
      <c r="I36" s="253"/>
      <c r="J36" s="253"/>
      <c r="K36" s="253"/>
      <c r="L36" s="253"/>
      <c r="M36" s="253"/>
      <c r="N36" s="253"/>
      <c r="O36" s="253"/>
      <c r="P36" s="903"/>
      <c r="Q36" s="903"/>
      <c r="R36" s="903"/>
      <c r="S36" s="904" t="str">
        <f ca="1">IF(P36="","",IF(R36&lt;&gt;"",R36-P36,TODAY()-P36))</f>
        <v/>
      </c>
      <c r="T36" s="904" t="str">
        <f ca="1">IF(Q36="","",Q36-TODAY())</f>
        <v/>
      </c>
      <c r="U36" s="253"/>
      <c r="V36" s="253"/>
      <c r="W36" s="253"/>
      <c r="X36" s="253"/>
      <c r="Y36" s="253"/>
      <c r="Z36" s="253"/>
      <c r="AA36" s="253"/>
      <c r="AB36" s="253"/>
      <c r="AC36" s="253"/>
      <c r="AD36" s="253"/>
      <c r="AE36" s="253"/>
      <c r="AF36" s="253"/>
      <c r="AG36" s="253"/>
      <c r="AH36" s="253"/>
      <c r="AI36" s="253"/>
      <c r="AJ36" s="253"/>
      <c r="AK36" s="253"/>
      <c r="AL36" s="253"/>
      <c r="AM36" s="253"/>
      <c r="AN36" s="903"/>
      <c r="AO36" s="253" t="str">
        <f>IF(Z36="Yes",COUNTIF($Z$6:Z36,"Yes"),"")</f>
        <v/>
      </c>
      <c r="AP36" s="253" t="str">
        <f>IF(AA36="Yes",COUNTIF($AA$6:AA36,"Yes"),"")</f>
        <v/>
      </c>
      <c r="AQ36" s="253" t="str">
        <f>IF(AC36="Yes",COUNTIF($AC$6:AC36,"Yes"),"")</f>
        <v/>
      </c>
    </row>
    <row r="37" spans="1:43">
      <c r="A37" s="253"/>
      <c r="B37" s="253"/>
      <c r="C37" s="253"/>
      <c r="D37" s="253"/>
      <c r="E37" s="253"/>
      <c r="F37" s="253"/>
      <c r="G37" s="253"/>
      <c r="H37" s="253"/>
      <c r="I37" s="253"/>
      <c r="J37" s="253"/>
      <c r="K37" s="253"/>
      <c r="L37" s="253"/>
      <c r="M37" s="253"/>
      <c r="N37" s="253"/>
      <c r="O37" s="253"/>
      <c r="P37" s="903"/>
      <c r="Q37" s="903"/>
      <c r="R37" s="903"/>
      <c r="S37" s="904" t="str">
        <f ca="1">IF(P37="","",IF(R37&lt;&gt;"",R37-P37,TODAY()-P37))</f>
        <v/>
      </c>
      <c r="T37" s="904" t="str">
        <f ca="1">IF(Q37="","",Q37-TODAY())</f>
        <v/>
      </c>
      <c r="U37" s="253"/>
      <c r="V37" s="253"/>
      <c r="W37" s="253"/>
      <c r="X37" s="253"/>
      <c r="Y37" s="253"/>
      <c r="Z37" s="253"/>
      <c r="AA37" s="253"/>
      <c r="AB37" s="253"/>
      <c r="AC37" s="253"/>
      <c r="AD37" s="253"/>
      <c r="AE37" s="253"/>
      <c r="AF37" s="253"/>
      <c r="AG37" s="253"/>
      <c r="AH37" s="253"/>
      <c r="AI37" s="253"/>
      <c r="AJ37" s="253"/>
      <c r="AK37" s="253"/>
      <c r="AL37" s="253"/>
      <c r="AM37" s="253"/>
      <c r="AN37" s="903"/>
      <c r="AO37" s="253" t="str">
        <f>IF(Z37="Yes",COUNTIF($Z$6:Z37,"Yes"),"")</f>
        <v/>
      </c>
      <c r="AP37" s="253" t="str">
        <f>IF(AA37="Yes",COUNTIF($AA$6:AA37,"Yes"),"")</f>
        <v/>
      </c>
      <c r="AQ37" s="253" t="str">
        <f>IF(AC37="Yes",COUNTIF($AC$6:AC37,"Yes"),"")</f>
        <v/>
      </c>
    </row>
    <row r="38" spans="1:43">
      <c r="A38" s="253"/>
      <c r="B38" s="253"/>
      <c r="C38" s="253"/>
      <c r="D38" s="253"/>
      <c r="E38" s="253"/>
      <c r="F38" s="253"/>
      <c r="G38" s="253"/>
      <c r="H38" s="253"/>
      <c r="I38" s="253"/>
      <c r="J38" s="253"/>
      <c r="K38" s="253"/>
      <c r="L38" s="253"/>
      <c r="M38" s="253"/>
      <c r="N38" s="253"/>
      <c r="O38" s="253"/>
      <c r="P38" s="903"/>
      <c r="Q38" s="903"/>
      <c r="R38" s="903"/>
      <c r="S38" s="904" t="str">
        <f ca="1">IF(P38="","",IF(R38&lt;&gt;"",R38-P38,TODAY()-P38))</f>
        <v/>
      </c>
      <c r="T38" s="904" t="str">
        <f ca="1">IF(Q38="","",Q38-TODAY())</f>
        <v/>
      </c>
      <c r="U38" s="253"/>
      <c r="V38" s="253"/>
      <c r="W38" s="253"/>
      <c r="X38" s="253"/>
      <c r="Y38" s="253"/>
      <c r="Z38" s="253"/>
      <c r="AA38" s="253"/>
      <c r="AB38" s="253"/>
      <c r="AC38" s="253"/>
      <c r="AD38" s="253"/>
      <c r="AE38" s="253"/>
      <c r="AF38" s="253"/>
      <c r="AG38" s="253"/>
      <c r="AH38" s="253"/>
      <c r="AI38" s="253"/>
      <c r="AJ38" s="253"/>
      <c r="AK38" s="253"/>
      <c r="AL38" s="253"/>
      <c r="AM38" s="253"/>
      <c r="AN38" s="903"/>
      <c r="AO38" s="253" t="str">
        <f>IF(Z38="Yes",COUNTIF($Z$6:Z38,"Yes"),"")</f>
        <v/>
      </c>
      <c r="AP38" s="253" t="str">
        <f>IF(AA38="Yes",COUNTIF($AA$6:AA38,"Yes"),"")</f>
        <v/>
      </c>
      <c r="AQ38" s="253" t="str">
        <f>IF(AC38="Yes",COUNTIF($AC$6:AC38,"Yes"),"")</f>
        <v/>
      </c>
    </row>
    <row r="39" spans="1:43">
      <c r="A39" s="253"/>
      <c r="B39" s="253"/>
      <c r="C39" s="253"/>
      <c r="D39" s="253"/>
      <c r="E39" s="253"/>
      <c r="F39" s="253"/>
      <c r="G39" s="253"/>
      <c r="H39" s="253"/>
      <c r="I39" s="253"/>
      <c r="J39" s="253"/>
      <c r="K39" s="253"/>
      <c r="L39" s="253"/>
      <c r="M39" s="253"/>
      <c r="N39" s="253"/>
      <c r="O39" s="253"/>
      <c r="P39" s="903"/>
      <c r="Q39" s="903"/>
      <c r="R39" s="903"/>
      <c r="S39" s="904" t="str">
        <f ca="1">IF(P39="","",IF(R39&lt;&gt;"",R39-P39,TODAY()-P39))</f>
        <v/>
      </c>
      <c r="T39" s="904" t="str">
        <f ca="1">IF(Q39="","",Q39-TODAY())</f>
        <v/>
      </c>
      <c r="U39" s="253"/>
      <c r="V39" s="253"/>
      <c r="W39" s="253"/>
      <c r="X39" s="253"/>
      <c r="Y39" s="253"/>
      <c r="Z39" s="253"/>
      <c r="AA39" s="253"/>
      <c r="AB39" s="253"/>
      <c r="AC39" s="253"/>
      <c r="AD39" s="253"/>
      <c r="AE39" s="253"/>
      <c r="AF39" s="253"/>
      <c r="AG39" s="253"/>
      <c r="AH39" s="253"/>
      <c r="AI39" s="253"/>
      <c r="AJ39" s="253"/>
      <c r="AK39" s="253"/>
      <c r="AL39" s="253"/>
      <c r="AM39" s="253"/>
      <c r="AN39" s="903"/>
      <c r="AO39" s="253" t="str">
        <f>IF(Z39="Yes",COUNTIF($Z$6:Z39,"Yes"),"")</f>
        <v/>
      </c>
      <c r="AP39" s="253" t="str">
        <f>IF(AA39="Yes",COUNTIF($AA$6:AA39,"Yes"),"")</f>
        <v/>
      </c>
      <c r="AQ39" s="253" t="str">
        <f>IF(AC39="Yes",COUNTIF($AC$6:AC39,"Yes"),"")</f>
        <v/>
      </c>
    </row>
    <row r="40" spans="1:43">
      <c r="A40" s="253"/>
      <c r="B40" s="253"/>
      <c r="C40" s="253"/>
      <c r="D40" s="253"/>
      <c r="E40" s="253"/>
      <c r="F40" s="253"/>
      <c r="G40" s="253"/>
      <c r="H40" s="253"/>
      <c r="I40" s="253"/>
      <c r="J40" s="253"/>
      <c r="K40" s="253"/>
      <c r="L40" s="253"/>
      <c r="M40" s="253"/>
      <c r="N40" s="253"/>
      <c r="O40" s="253"/>
      <c r="P40" s="903"/>
      <c r="Q40" s="903"/>
      <c r="R40" s="903"/>
      <c r="S40" s="904" t="str">
        <f ca="1">IF(P40="","",IF(R40&lt;&gt;"",R40-P40,TODAY()-P40))</f>
        <v/>
      </c>
      <c r="T40" s="904" t="str">
        <f ca="1">IF(Q40="","",Q40-TODAY())</f>
        <v/>
      </c>
      <c r="U40" s="253"/>
      <c r="V40" s="253"/>
      <c r="W40" s="253"/>
      <c r="X40" s="253"/>
      <c r="Y40" s="253"/>
      <c r="Z40" s="253"/>
      <c r="AA40" s="253"/>
      <c r="AB40" s="253"/>
      <c r="AC40" s="253"/>
      <c r="AD40" s="253"/>
      <c r="AE40" s="253"/>
      <c r="AF40" s="253"/>
      <c r="AG40" s="253"/>
      <c r="AH40" s="253"/>
      <c r="AI40" s="253"/>
      <c r="AJ40" s="253"/>
      <c r="AK40" s="253"/>
      <c r="AL40" s="253"/>
      <c r="AM40" s="253"/>
      <c r="AN40" s="903"/>
      <c r="AO40" s="253" t="str">
        <f>IF(Z40="Yes",COUNTIF($Z$6:Z40,"Yes"),"")</f>
        <v/>
      </c>
      <c r="AP40" s="253" t="str">
        <f>IF(AA40="Yes",COUNTIF($AA$6:AA40,"Yes"),"")</f>
        <v/>
      </c>
      <c r="AQ40" s="253" t="str">
        <f>IF(AC40="Yes",COUNTIF($AC$6:AC40,"Yes"),"")</f>
        <v/>
      </c>
    </row>
    <row r="41" spans="1:43">
      <c r="A41" s="253"/>
      <c r="B41" s="253"/>
      <c r="C41" s="253"/>
      <c r="D41" s="253"/>
      <c r="E41" s="253"/>
      <c r="F41" s="253"/>
      <c r="G41" s="253"/>
      <c r="H41" s="253"/>
      <c r="I41" s="253"/>
      <c r="J41" s="253"/>
      <c r="K41" s="253"/>
      <c r="L41" s="253"/>
      <c r="M41" s="253"/>
      <c r="N41" s="253"/>
      <c r="O41" s="253"/>
      <c r="P41" s="903"/>
      <c r="Q41" s="903"/>
      <c r="R41" s="903"/>
      <c r="S41" s="904" t="str">
        <f ca="1">IF(P41="","",IF(R41&lt;&gt;"",R41-P41,TODAY()-P41))</f>
        <v/>
      </c>
      <c r="T41" s="904" t="str">
        <f ca="1">IF(Q41="","",Q41-TODAY())</f>
        <v/>
      </c>
      <c r="U41" s="253"/>
      <c r="V41" s="253"/>
      <c r="W41" s="253"/>
      <c r="X41" s="253"/>
      <c r="Y41" s="253"/>
      <c r="Z41" s="253"/>
      <c r="AA41" s="253"/>
      <c r="AB41" s="253"/>
      <c r="AC41" s="253"/>
      <c r="AD41" s="253"/>
      <c r="AE41" s="253"/>
      <c r="AF41" s="253"/>
      <c r="AG41" s="253"/>
      <c r="AH41" s="253"/>
      <c r="AI41" s="253"/>
      <c r="AJ41" s="253"/>
      <c r="AK41" s="253"/>
      <c r="AL41" s="253"/>
      <c r="AM41" s="253"/>
      <c r="AN41" s="903"/>
      <c r="AO41" s="253" t="str">
        <f>IF(Z41="Yes",COUNTIF($Z$6:Z41,"Yes"),"")</f>
        <v/>
      </c>
      <c r="AP41" s="253" t="str">
        <f>IF(AA41="Yes",COUNTIF($AA$6:AA41,"Yes"),"")</f>
        <v/>
      </c>
      <c r="AQ41" s="253" t="str">
        <f>IF(AC41="Yes",COUNTIF($AC$6:AC41,"Yes"),"")</f>
        <v/>
      </c>
    </row>
    <row r="42" spans="1:43">
      <c r="A42" s="253"/>
      <c r="B42" s="253"/>
      <c r="C42" s="253"/>
      <c r="D42" s="253"/>
      <c r="E42" s="253"/>
      <c r="F42" s="253"/>
      <c r="G42" s="253"/>
      <c r="H42" s="253"/>
      <c r="I42" s="253"/>
      <c r="J42" s="253"/>
      <c r="K42" s="253"/>
      <c r="L42" s="253"/>
      <c r="M42" s="253"/>
      <c r="N42" s="253"/>
      <c r="O42" s="253"/>
      <c r="P42" s="903"/>
      <c r="Q42" s="903"/>
      <c r="R42" s="903"/>
      <c r="S42" s="904" t="str">
        <f ca="1">IF(P42="","",IF(R42&lt;&gt;"",R42-P42,TODAY()-P42))</f>
        <v/>
      </c>
      <c r="T42" s="904" t="str">
        <f ca="1">IF(Q42="","",Q42-TODAY())</f>
        <v/>
      </c>
      <c r="U42" s="253"/>
      <c r="V42" s="253"/>
      <c r="W42" s="253"/>
      <c r="X42" s="253"/>
      <c r="Y42" s="253"/>
      <c r="Z42" s="253"/>
      <c r="AA42" s="253"/>
      <c r="AB42" s="253"/>
      <c r="AC42" s="253"/>
      <c r="AD42" s="253"/>
      <c r="AE42" s="253"/>
      <c r="AF42" s="253"/>
      <c r="AG42" s="253"/>
      <c r="AH42" s="253"/>
      <c r="AI42" s="253"/>
      <c r="AJ42" s="253"/>
      <c r="AK42" s="253"/>
      <c r="AL42" s="253"/>
      <c r="AM42" s="253"/>
      <c r="AN42" s="903"/>
      <c r="AO42" s="253" t="str">
        <f>IF(Z42="Yes",COUNTIF($Z$6:Z42,"Yes"),"")</f>
        <v/>
      </c>
      <c r="AP42" s="253" t="str">
        <f>IF(AA42="Yes",COUNTIF($AA$6:AA42,"Yes"),"")</f>
        <v/>
      </c>
      <c r="AQ42" s="253" t="str">
        <f>IF(AC42="Yes",COUNTIF($AC$6:AC42,"Yes"),"")</f>
        <v/>
      </c>
    </row>
    <row r="43" spans="1:43">
      <c r="A43" s="253"/>
      <c r="B43" s="253"/>
      <c r="C43" s="253"/>
      <c r="D43" s="253"/>
      <c r="E43" s="253"/>
      <c r="F43" s="253"/>
      <c r="G43" s="253"/>
      <c r="H43" s="253"/>
      <c r="I43" s="253"/>
      <c r="J43" s="253"/>
      <c r="K43" s="253"/>
      <c r="L43" s="253"/>
      <c r="M43" s="253"/>
      <c r="N43" s="253"/>
      <c r="O43" s="253"/>
      <c r="P43" s="903"/>
      <c r="Q43" s="903"/>
      <c r="R43" s="903"/>
      <c r="S43" s="904" t="str">
        <f ca="1">IF(P43="","",IF(R43&lt;&gt;"",R43-P43,TODAY()-P43))</f>
        <v/>
      </c>
      <c r="T43" s="904" t="str">
        <f ca="1">IF(Q43="","",Q43-TODAY())</f>
        <v/>
      </c>
      <c r="U43" s="253"/>
      <c r="V43" s="253"/>
      <c r="W43" s="253"/>
      <c r="X43" s="253"/>
      <c r="Y43" s="253"/>
      <c r="Z43" s="253"/>
      <c r="AA43" s="253"/>
      <c r="AB43" s="253"/>
      <c r="AC43" s="253"/>
      <c r="AD43" s="253"/>
      <c r="AE43" s="253"/>
      <c r="AF43" s="253"/>
      <c r="AG43" s="253"/>
      <c r="AH43" s="253"/>
      <c r="AI43" s="253"/>
      <c r="AJ43" s="253"/>
      <c r="AK43" s="253"/>
      <c r="AL43" s="253"/>
      <c r="AM43" s="253"/>
      <c r="AN43" s="903"/>
      <c r="AO43" s="253" t="str">
        <f>IF(Z43="Yes",COUNTIF($Z$6:Z43,"Yes"),"")</f>
        <v/>
      </c>
      <c r="AP43" s="253" t="str">
        <f>IF(AA43="Yes",COUNTIF($AA$6:AA43,"Yes"),"")</f>
        <v/>
      </c>
      <c r="AQ43" s="253" t="str">
        <f>IF(AC43="Yes",COUNTIF($AC$6:AC43,"Yes"),"")</f>
        <v/>
      </c>
    </row>
    <row r="44" spans="1:43">
      <c r="A44" s="253"/>
      <c r="B44" s="253"/>
      <c r="C44" s="253"/>
      <c r="D44" s="253"/>
      <c r="E44" s="253"/>
      <c r="F44" s="253"/>
      <c r="G44" s="253"/>
      <c r="H44" s="253"/>
      <c r="I44" s="253"/>
      <c r="J44" s="253"/>
      <c r="K44" s="253"/>
      <c r="L44" s="253"/>
      <c r="M44" s="253"/>
      <c r="N44" s="253"/>
      <c r="O44" s="253"/>
      <c r="P44" s="903"/>
      <c r="Q44" s="903"/>
      <c r="R44" s="903"/>
      <c r="S44" s="904" t="str">
        <f ca="1">IF(P44="","",IF(R44&lt;&gt;"",R44-P44,TODAY()-P44))</f>
        <v/>
      </c>
      <c r="T44" s="904" t="str">
        <f ca="1">IF(Q44="","",Q44-TODAY())</f>
        <v/>
      </c>
      <c r="U44" s="253"/>
      <c r="V44" s="253"/>
      <c r="W44" s="253"/>
      <c r="X44" s="253"/>
      <c r="Y44" s="253"/>
      <c r="Z44" s="253"/>
      <c r="AA44" s="253"/>
      <c r="AB44" s="253"/>
      <c r="AC44" s="253"/>
      <c r="AD44" s="253"/>
      <c r="AE44" s="253"/>
      <c r="AF44" s="253"/>
      <c r="AG44" s="253"/>
      <c r="AH44" s="253"/>
      <c r="AI44" s="253"/>
      <c r="AJ44" s="253"/>
      <c r="AK44" s="253"/>
      <c r="AL44" s="253"/>
      <c r="AM44" s="253"/>
      <c r="AN44" s="903"/>
      <c r="AO44" s="253" t="str">
        <f>IF(Z44="Yes",COUNTIF($Z$6:Z44,"Yes"),"")</f>
        <v/>
      </c>
      <c r="AP44" s="253" t="str">
        <f>IF(AA44="Yes",COUNTIF($AA$6:AA44,"Yes"),"")</f>
        <v/>
      </c>
      <c r="AQ44" s="253" t="str">
        <f>IF(AC44="Yes",COUNTIF($AC$6:AC44,"Yes"),"")</f>
        <v/>
      </c>
    </row>
    <row r="45" spans="1:43">
      <c r="A45" s="253"/>
      <c r="B45" s="253"/>
      <c r="C45" s="253"/>
      <c r="D45" s="253"/>
      <c r="E45" s="253"/>
      <c r="F45" s="253"/>
      <c r="G45" s="253"/>
      <c r="H45" s="253"/>
      <c r="I45" s="253"/>
      <c r="J45" s="253"/>
      <c r="K45" s="253"/>
      <c r="L45" s="253"/>
      <c r="M45" s="253"/>
      <c r="N45" s="253"/>
      <c r="O45" s="253"/>
      <c r="P45" s="903"/>
      <c r="Q45" s="903"/>
      <c r="R45" s="903"/>
      <c r="S45" s="904" t="str">
        <f ca="1">IF(P45="","",IF(R45&lt;&gt;"",R45-P45,TODAY()-P45))</f>
        <v/>
      </c>
      <c r="T45" s="904" t="str">
        <f ca="1">IF(Q45="","",Q45-TODAY())</f>
        <v/>
      </c>
      <c r="U45" s="253"/>
      <c r="V45" s="253"/>
      <c r="W45" s="253"/>
      <c r="X45" s="253"/>
      <c r="Y45" s="253"/>
      <c r="Z45" s="253"/>
      <c r="AA45" s="253"/>
      <c r="AB45" s="253"/>
      <c r="AC45" s="253"/>
      <c r="AD45" s="253"/>
      <c r="AE45" s="253"/>
      <c r="AF45" s="253"/>
      <c r="AG45" s="253"/>
      <c r="AH45" s="253"/>
      <c r="AI45" s="253"/>
      <c r="AJ45" s="253"/>
      <c r="AK45" s="253"/>
      <c r="AL45" s="253"/>
      <c r="AM45" s="253"/>
      <c r="AN45" s="903"/>
      <c r="AO45" s="253" t="str">
        <f>IF(Z45="Yes",COUNTIF($Z$6:Z45,"Yes"),"")</f>
        <v/>
      </c>
      <c r="AP45" s="253" t="str">
        <f>IF(AA45="Yes",COUNTIF($AA$6:AA45,"Yes"),"")</f>
        <v/>
      </c>
      <c r="AQ45" s="253" t="str">
        <f>IF(AC45="Yes",COUNTIF($AC$6:AC45,"Yes"),"")</f>
        <v/>
      </c>
    </row>
    <row r="46" spans="1:43">
      <c r="A46" s="253"/>
      <c r="B46" s="253"/>
      <c r="C46" s="253"/>
      <c r="D46" s="253"/>
      <c r="E46" s="253"/>
      <c r="F46" s="253"/>
      <c r="G46" s="253"/>
      <c r="H46" s="253"/>
      <c r="I46" s="253"/>
      <c r="J46" s="253"/>
      <c r="K46" s="253"/>
      <c r="L46" s="253"/>
      <c r="M46" s="253"/>
      <c r="N46" s="253"/>
      <c r="O46" s="253"/>
      <c r="P46" s="903"/>
      <c r="Q46" s="903"/>
      <c r="R46" s="903"/>
      <c r="S46" s="904" t="str">
        <f ca="1">IF(P46="","",IF(R46&lt;&gt;"",R46-P46,TODAY()-P46))</f>
        <v/>
      </c>
      <c r="T46" s="904" t="str">
        <f ca="1">IF(Q46="","",Q46-TODAY())</f>
        <v/>
      </c>
      <c r="U46" s="253"/>
      <c r="V46" s="253"/>
      <c r="W46" s="253"/>
      <c r="X46" s="253"/>
      <c r="Y46" s="253"/>
      <c r="Z46" s="253"/>
      <c r="AA46" s="253"/>
      <c r="AB46" s="253"/>
      <c r="AC46" s="253"/>
      <c r="AD46" s="253"/>
      <c r="AE46" s="253"/>
      <c r="AF46" s="253"/>
      <c r="AG46" s="253"/>
      <c r="AH46" s="253"/>
      <c r="AI46" s="253"/>
      <c r="AJ46" s="253"/>
      <c r="AK46" s="253"/>
      <c r="AL46" s="253"/>
      <c r="AM46" s="253"/>
      <c r="AN46" s="903"/>
      <c r="AO46" s="253" t="str">
        <f>IF(Z46="Yes",COUNTIF($Z$6:Z46,"Yes"),"")</f>
        <v/>
      </c>
      <c r="AP46" s="253" t="str">
        <f>IF(AA46="Yes",COUNTIF($AA$6:AA46,"Yes"),"")</f>
        <v/>
      </c>
      <c r="AQ46" s="253" t="str">
        <f>IF(AC46="Yes",COUNTIF($AC$6:AC46,"Yes"),"")</f>
        <v/>
      </c>
    </row>
    <row r="47" spans="1:43">
      <c r="A47" s="253"/>
      <c r="B47" s="253"/>
      <c r="C47" s="253"/>
      <c r="D47" s="253"/>
      <c r="E47" s="253"/>
      <c r="F47" s="253"/>
      <c r="G47" s="253"/>
      <c r="H47" s="253"/>
      <c r="I47" s="253"/>
      <c r="J47" s="253"/>
      <c r="K47" s="253"/>
      <c r="L47" s="253"/>
      <c r="M47" s="253"/>
      <c r="N47" s="253"/>
      <c r="O47" s="253"/>
      <c r="P47" s="903"/>
      <c r="Q47" s="903"/>
      <c r="R47" s="903"/>
      <c r="S47" s="904" t="str">
        <f ca="1">IF(P47="","",IF(R47&lt;&gt;"",R47-P47,TODAY()-P47))</f>
        <v/>
      </c>
      <c r="T47" s="904" t="str">
        <f ca="1">IF(Q47="","",Q47-TODAY())</f>
        <v/>
      </c>
      <c r="U47" s="253"/>
      <c r="V47" s="253"/>
      <c r="W47" s="253"/>
      <c r="X47" s="253"/>
      <c r="Y47" s="253"/>
      <c r="Z47" s="253"/>
      <c r="AA47" s="253"/>
      <c r="AB47" s="253"/>
      <c r="AC47" s="253"/>
      <c r="AD47" s="253"/>
      <c r="AE47" s="253"/>
      <c r="AF47" s="253"/>
      <c r="AG47" s="253"/>
      <c r="AH47" s="253"/>
      <c r="AI47" s="253"/>
      <c r="AJ47" s="253"/>
      <c r="AK47" s="253"/>
      <c r="AL47" s="253"/>
      <c r="AM47" s="253"/>
      <c r="AN47" s="903"/>
      <c r="AO47" s="253" t="str">
        <f>IF(Z47="Yes",COUNTIF($Z$6:Z47,"Yes"),"")</f>
        <v/>
      </c>
      <c r="AP47" s="253" t="str">
        <f>IF(AA47="Yes",COUNTIF($AA$6:AA47,"Yes"),"")</f>
        <v/>
      </c>
      <c r="AQ47" s="253" t="str">
        <f>IF(AC47="Yes",COUNTIF($AC$6:AC47,"Yes"),"")</f>
        <v/>
      </c>
    </row>
    <row r="48" spans="1:43">
      <c r="A48" s="253"/>
      <c r="B48" s="253"/>
      <c r="C48" s="253"/>
      <c r="D48" s="253"/>
      <c r="E48" s="253"/>
      <c r="F48" s="253"/>
      <c r="G48" s="253"/>
      <c r="H48" s="253"/>
      <c r="I48" s="253"/>
      <c r="J48" s="253"/>
      <c r="K48" s="253"/>
      <c r="L48" s="253"/>
      <c r="M48" s="253"/>
      <c r="N48" s="253"/>
      <c r="O48" s="253"/>
      <c r="P48" s="903"/>
      <c r="Q48" s="903"/>
      <c r="R48" s="903"/>
      <c r="S48" s="904" t="str">
        <f ca="1">IF(P48="","",IF(R48&lt;&gt;"",R48-P48,TODAY()-P48))</f>
        <v/>
      </c>
      <c r="T48" s="904" t="str">
        <f ca="1">IF(Q48="","",Q48-TODAY())</f>
        <v/>
      </c>
      <c r="U48" s="253"/>
      <c r="V48" s="253"/>
      <c r="W48" s="253"/>
      <c r="X48" s="253"/>
      <c r="Y48" s="253"/>
      <c r="Z48" s="253"/>
      <c r="AA48" s="253"/>
      <c r="AB48" s="253"/>
      <c r="AC48" s="253"/>
      <c r="AD48" s="253"/>
      <c r="AE48" s="253"/>
      <c r="AF48" s="253"/>
      <c r="AG48" s="253"/>
      <c r="AH48" s="253"/>
      <c r="AI48" s="253"/>
      <c r="AJ48" s="253"/>
      <c r="AK48" s="253"/>
      <c r="AL48" s="253"/>
      <c r="AM48" s="253"/>
      <c r="AN48" s="903"/>
      <c r="AO48" s="253" t="str">
        <f>IF(Z48="Yes",COUNTIF($Z$6:Z48,"Yes"),"")</f>
        <v/>
      </c>
      <c r="AP48" s="253" t="str">
        <f>IF(AA48="Yes",COUNTIF($AA$6:AA48,"Yes"),"")</f>
        <v/>
      </c>
      <c r="AQ48" s="253" t="str">
        <f>IF(AC48="Yes",COUNTIF($AC$6:AC48,"Yes"),"")</f>
        <v/>
      </c>
    </row>
    <row r="49" spans="1:43">
      <c r="A49" s="253"/>
      <c r="B49" s="253"/>
      <c r="C49" s="253"/>
      <c r="D49" s="253"/>
      <c r="E49" s="253"/>
      <c r="F49" s="253"/>
      <c r="G49" s="253"/>
      <c r="H49" s="253"/>
      <c r="I49" s="253"/>
      <c r="J49" s="253"/>
      <c r="K49" s="253"/>
      <c r="L49" s="253"/>
      <c r="M49" s="253"/>
      <c r="N49" s="253"/>
      <c r="O49" s="253"/>
      <c r="P49" s="903"/>
      <c r="Q49" s="903"/>
      <c r="R49" s="903"/>
      <c r="S49" s="904" t="str">
        <f ca="1">IF(P49="","",IF(R49&lt;&gt;"",R49-P49,TODAY()-P49))</f>
        <v/>
      </c>
      <c r="T49" s="904" t="str">
        <f ca="1">IF(Q49="","",Q49-TODAY())</f>
        <v/>
      </c>
      <c r="U49" s="253"/>
      <c r="V49" s="253"/>
      <c r="W49" s="253"/>
      <c r="X49" s="253"/>
      <c r="Y49" s="253"/>
      <c r="Z49" s="253"/>
      <c r="AA49" s="253"/>
      <c r="AB49" s="253"/>
      <c r="AC49" s="253"/>
      <c r="AD49" s="253"/>
      <c r="AE49" s="253"/>
      <c r="AF49" s="253"/>
      <c r="AG49" s="253"/>
      <c r="AH49" s="253"/>
      <c r="AI49" s="253"/>
      <c r="AJ49" s="253"/>
      <c r="AK49" s="253"/>
      <c r="AL49" s="253"/>
      <c r="AM49" s="253"/>
      <c r="AN49" s="903"/>
      <c r="AO49" s="253" t="str">
        <f>IF(Z49="Yes",COUNTIF($Z$6:Z49,"Yes"),"")</f>
        <v/>
      </c>
      <c r="AP49" s="253" t="str">
        <f>IF(AA49="Yes",COUNTIF($AA$6:AA49,"Yes"),"")</f>
        <v/>
      </c>
      <c r="AQ49" s="253" t="str">
        <f>IF(AC49="Yes",COUNTIF($AC$6:AC49,"Yes"),"")</f>
        <v/>
      </c>
    </row>
    <row r="50" spans="1:43">
      <c r="A50" s="253"/>
      <c r="B50" s="253"/>
      <c r="C50" s="253"/>
      <c r="D50" s="253"/>
      <c r="E50" s="253"/>
      <c r="F50" s="253"/>
      <c r="G50" s="253"/>
      <c r="H50" s="253"/>
      <c r="I50" s="253"/>
      <c r="J50" s="253"/>
      <c r="K50" s="253"/>
      <c r="L50" s="253"/>
      <c r="M50" s="253"/>
      <c r="N50" s="253"/>
      <c r="O50" s="253"/>
      <c r="P50" s="903"/>
      <c r="Q50" s="903"/>
      <c r="R50" s="903"/>
      <c r="S50" s="904" t="str">
        <f ca="1">IF(P50="","",IF(R50&lt;&gt;"",R50-P50,TODAY()-P50))</f>
        <v/>
      </c>
      <c r="T50" s="904" t="str">
        <f ca="1">IF(Q50="","",Q50-TODAY())</f>
        <v/>
      </c>
      <c r="U50" s="253"/>
      <c r="V50" s="253"/>
      <c r="W50" s="253"/>
      <c r="X50" s="253"/>
      <c r="Y50" s="253"/>
      <c r="Z50" s="253"/>
      <c r="AA50" s="253"/>
      <c r="AB50" s="253"/>
      <c r="AC50" s="253"/>
      <c r="AD50" s="253"/>
      <c r="AE50" s="253"/>
      <c r="AF50" s="253"/>
      <c r="AG50" s="253"/>
      <c r="AH50" s="253"/>
      <c r="AI50" s="253"/>
      <c r="AJ50" s="253"/>
      <c r="AK50" s="253"/>
      <c r="AL50" s="253"/>
      <c r="AM50" s="253"/>
      <c r="AN50" s="903"/>
      <c r="AO50" s="253" t="str">
        <f>IF(Z50="Yes",COUNTIF($Z$6:Z50,"Yes"),"")</f>
        <v/>
      </c>
      <c r="AP50" s="253" t="str">
        <f>IF(AA50="Yes",COUNTIF($AA$6:AA50,"Yes"),"")</f>
        <v/>
      </c>
      <c r="AQ50" s="253" t="str">
        <f>IF(AC50="Yes",COUNTIF($AC$6:AC50,"Yes"),"")</f>
        <v/>
      </c>
    </row>
    <row r="51" spans="1:43">
      <c r="A51" s="253"/>
      <c r="B51" s="253"/>
      <c r="C51" s="253"/>
      <c r="D51" s="253"/>
      <c r="E51" s="253"/>
      <c r="F51" s="253"/>
      <c r="G51" s="253"/>
      <c r="H51" s="253"/>
      <c r="I51" s="253"/>
      <c r="J51" s="253"/>
      <c r="K51" s="253"/>
      <c r="L51" s="253"/>
      <c r="M51" s="253"/>
      <c r="N51" s="253"/>
      <c r="O51" s="253"/>
      <c r="P51" s="903"/>
      <c r="Q51" s="903"/>
      <c r="R51" s="903"/>
      <c r="S51" s="904" t="str">
        <f ca="1">IF(P51="","",IF(R51&lt;&gt;"",R51-P51,TODAY()-P51))</f>
        <v/>
      </c>
      <c r="T51" s="904" t="str">
        <f ca="1">IF(Q51="","",Q51-TODAY())</f>
        <v/>
      </c>
      <c r="U51" s="253"/>
      <c r="V51" s="253"/>
      <c r="W51" s="253"/>
      <c r="X51" s="253"/>
      <c r="Y51" s="253"/>
      <c r="Z51" s="253"/>
      <c r="AA51" s="253"/>
      <c r="AB51" s="253"/>
      <c r="AC51" s="253"/>
      <c r="AD51" s="253"/>
      <c r="AE51" s="253"/>
      <c r="AF51" s="253"/>
      <c r="AG51" s="253"/>
      <c r="AH51" s="253"/>
      <c r="AI51" s="253"/>
      <c r="AJ51" s="253"/>
      <c r="AK51" s="253"/>
      <c r="AL51" s="253"/>
      <c r="AM51" s="253"/>
      <c r="AN51" s="903"/>
      <c r="AO51" s="253" t="str">
        <f>IF(Z51="Yes",COUNTIF($Z$6:Z51,"Yes"),"")</f>
        <v/>
      </c>
      <c r="AP51" s="253" t="str">
        <f>IF(AA51="Yes",COUNTIF($AA$6:AA51,"Yes"),"")</f>
        <v/>
      </c>
      <c r="AQ51" s="253" t="str">
        <f>IF(AC51="Yes",COUNTIF($AC$6:AC51,"Yes"),"")</f>
        <v/>
      </c>
    </row>
    <row r="52" spans="1:43">
      <c r="A52" s="253"/>
      <c r="B52" s="253"/>
      <c r="C52" s="253"/>
      <c r="D52" s="253"/>
      <c r="E52" s="253"/>
      <c r="F52" s="253"/>
      <c r="G52" s="253"/>
      <c r="H52" s="253"/>
      <c r="I52" s="253"/>
      <c r="J52" s="253"/>
      <c r="K52" s="253"/>
      <c r="L52" s="253"/>
      <c r="M52" s="253"/>
      <c r="N52" s="253"/>
      <c r="O52" s="253"/>
      <c r="P52" s="903"/>
      <c r="Q52" s="903"/>
      <c r="R52" s="903"/>
      <c r="S52" s="904" t="str">
        <f ca="1">IF(P52="","",IF(R52&lt;&gt;"",R52-P52,TODAY()-P52))</f>
        <v/>
      </c>
      <c r="T52" s="904" t="str">
        <f ca="1">IF(Q52="","",Q52-TODAY())</f>
        <v/>
      </c>
      <c r="U52" s="253"/>
      <c r="V52" s="253"/>
      <c r="W52" s="253"/>
      <c r="X52" s="253"/>
      <c r="Y52" s="253"/>
      <c r="Z52" s="253"/>
      <c r="AA52" s="253"/>
      <c r="AB52" s="253"/>
      <c r="AC52" s="253"/>
      <c r="AD52" s="253"/>
      <c r="AE52" s="253"/>
      <c r="AF52" s="253"/>
      <c r="AG52" s="253"/>
      <c r="AH52" s="253"/>
      <c r="AI52" s="253"/>
      <c r="AJ52" s="253"/>
      <c r="AK52" s="253"/>
      <c r="AL52" s="253"/>
      <c r="AM52" s="253"/>
      <c r="AN52" s="903"/>
      <c r="AO52" s="253" t="str">
        <f>IF(Z52="Yes",COUNTIF($Z$6:Z52,"Yes"),"")</f>
        <v/>
      </c>
      <c r="AP52" s="253" t="str">
        <f>IF(AA52="Yes",COUNTIF($AA$6:AA52,"Yes"),"")</f>
        <v/>
      </c>
      <c r="AQ52" s="253" t="str">
        <f>IF(AC52="Yes",COUNTIF($AC$6:AC52,"Yes"),"")</f>
        <v/>
      </c>
    </row>
    <row r="53" spans="1:43">
      <c r="A53" s="253"/>
      <c r="B53" s="253"/>
      <c r="C53" s="253"/>
      <c r="D53" s="253"/>
      <c r="E53" s="253"/>
      <c r="F53" s="253"/>
      <c r="G53" s="253"/>
      <c r="H53" s="253"/>
      <c r="I53" s="253"/>
      <c r="J53" s="253"/>
      <c r="K53" s="253"/>
      <c r="L53" s="253"/>
      <c r="M53" s="253"/>
      <c r="N53" s="253"/>
      <c r="O53" s="253"/>
      <c r="P53" s="903"/>
      <c r="Q53" s="903"/>
      <c r="R53" s="903"/>
      <c r="S53" s="904" t="str">
        <f ca="1">IF(P53="","",IF(R53&lt;&gt;"",R53-P53,TODAY()-P53))</f>
        <v/>
      </c>
      <c r="T53" s="904" t="str">
        <f ca="1">IF(Q53="","",Q53-TODAY())</f>
        <v/>
      </c>
      <c r="U53" s="253"/>
      <c r="V53" s="253"/>
      <c r="W53" s="253"/>
      <c r="X53" s="253"/>
      <c r="Y53" s="253"/>
      <c r="Z53" s="253"/>
      <c r="AA53" s="253"/>
      <c r="AB53" s="253"/>
      <c r="AC53" s="253"/>
      <c r="AD53" s="253"/>
      <c r="AE53" s="253"/>
      <c r="AF53" s="253"/>
      <c r="AG53" s="253"/>
      <c r="AH53" s="253"/>
      <c r="AI53" s="253"/>
      <c r="AJ53" s="253"/>
      <c r="AK53" s="253"/>
      <c r="AL53" s="253"/>
      <c r="AM53" s="253"/>
      <c r="AN53" s="903"/>
      <c r="AO53" s="253" t="str">
        <f>IF(Z53="Yes",COUNTIF($Z$6:Z53,"Yes"),"")</f>
        <v/>
      </c>
      <c r="AP53" s="253" t="str">
        <f>IF(AA53="Yes",COUNTIF($AA$6:AA53,"Yes"),"")</f>
        <v/>
      </c>
      <c r="AQ53" s="253" t="str">
        <f>IF(AC53="Yes",COUNTIF($AC$6:AC53,"Yes"),"")</f>
        <v/>
      </c>
    </row>
    <row r="54" spans="1:43">
      <c r="A54" s="253"/>
      <c r="B54" s="253"/>
      <c r="C54" s="253"/>
      <c r="D54" s="253"/>
      <c r="E54" s="253"/>
      <c r="F54" s="253"/>
      <c r="G54" s="253"/>
      <c r="H54" s="253"/>
      <c r="I54" s="253"/>
      <c r="J54" s="253"/>
      <c r="K54" s="253"/>
      <c r="L54" s="253"/>
      <c r="M54" s="253"/>
      <c r="N54" s="253"/>
      <c r="O54" s="253"/>
      <c r="P54" s="903"/>
      <c r="Q54" s="903"/>
      <c r="R54" s="903"/>
      <c r="S54" s="904" t="str">
        <f ca="1">IF(P54="","",IF(R54&lt;&gt;"",R54-P54,TODAY()-P54))</f>
        <v/>
      </c>
      <c r="T54" s="904" t="str">
        <f ca="1">IF(Q54="","",Q54-TODAY())</f>
        <v/>
      </c>
      <c r="U54" s="253"/>
      <c r="V54" s="253"/>
      <c r="W54" s="253"/>
      <c r="X54" s="253"/>
      <c r="Y54" s="253"/>
      <c r="Z54" s="253"/>
      <c r="AA54" s="253"/>
      <c r="AB54" s="253"/>
      <c r="AC54" s="253"/>
      <c r="AD54" s="253"/>
      <c r="AE54" s="253"/>
      <c r="AF54" s="253"/>
      <c r="AG54" s="253"/>
      <c r="AH54" s="253"/>
      <c r="AI54" s="253"/>
      <c r="AJ54" s="253"/>
      <c r="AK54" s="253"/>
      <c r="AL54" s="253"/>
      <c r="AM54" s="253"/>
      <c r="AN54" s="903"/>
      <c r="AO54" s="253" t="str">
        <f>IF(Z54="Yes",COUNTIF($Z$6:Z54,"Yes"),"")</f>
        <v/>
      </c>
      <c r="AP54" s="253" t="str">
        <f>IF(AA54="Yes",COUNTIF($AA$6:AA54,"Yes"),"")</f>
        <v/>
      </c>
      <c r="AQ54" s="253" t="str">
        <f>IF(AC54="Yes",COUNTIF($AC$6:AC54,"Yes"),"")</f>
        <v/>
      </c>
    </row>
    <row r="55" spans="1:43">
      <c r="A55" s="253"/>
      <c r="B55" s="253"/>
      <c r="C55" s="253"/>
      <c r="D55" s="253"/>
      <c r="E55" s="253"/>
      <c r="F55" s="253"/>
      <c r="G55" s="253"/>
      <c r="H55" s="253"/>
      <c r="I55" s="253"/>
      <c r="J55" s="253"/>
      <c r="K55" s="253"/>
      <c r="L55" s="253"/>
      <c r="M55" s="253"/>
      <c r="N55" s="253"/>
      <c r="O55" s="253"/>
      <c r="P55" s="903"/>
      <c r="Q55" s="903"/>
      <c r="R55" s="903"/>
      <c r="S55" s="904" t="str">
        <f ca="1">IF(P55="","",IF(R55&lt;&gt;"",R55-P55,TODAY()-P55))</f>
        <v/>
      </c>
      <c r="T55" s="904" t="str">
        <f ca="1">IF(Q55="","",Q55-TODAY())</f>
        <v/>
      </c>
      <c r="U55" s="253"/>
      <c r="V55" s="253"/>
      <c r="W55" s="253"/>
      <c r="X55" s="253"/>
      <c r="Y55" s="253"/>
      <c r="Z55" s="253"/>
      <c r="AA55" s="253"/>
      <c r="AB55" s="253"/>
      <c r="AC55" s="253"/>
      <c r="AD55" s="253"/>
      <c r="AE55" s="253"/>
      <c r="AF55" s="253"/>
      <c r="AG55" s="253"/>
      <c r="AH55" s="253"/>
      <c r="AI55" s="253"/>
      <c r="AJ55" s="253"/>
      <c r="AK55" s="253"/>
      <c r="AL55" s="253"/>
      <c r="AM55" s="253"/>
      <c r="AN55" s="903"/>
      <c r="AO55" s="253" t="str">
        <f>IF(Z55="Yes",COUNTIF($Z$6:Z55,"Yes"),"")</f>
        <v/>
      </c>
      <c r="AP55" s="253" t="str">
        <f>IF(AA55="Yes",COUNTIF($AA$6:AA55,"Yes"),"")</f>
        <v/>
      </c>
      <c r="AQ55" s="253" t="str">
        <f>IF(AC55="Yes",COUNTIF($AC$6:AC55,"Yes"),"")</f>
        <v/>
      </c>
    </row>
    <row r="56" spans="1:43">
      <c r="A56" s="253"/>
      <c r="B56" s="253"/>
      <c r="C56" s="253"/>
      <c r="D56" s="253"/>
      <c r="E56" s="253"/>
      <c r="F56" s="253"/>
      <c r="G56" s="253"/>
      <c r="H56" s="253"/>
      <c r="I56" s="253"/>
      <c r="J56" s="253"/>
      <c r="K56" s="253"/>
      <c r="L56" s="253"/>
      <c r="M56" s="253"/>
      <c r="N56" s="253"/>
      <c r="O56" s="253"/>
      <c r="P56" s="903"/>
      <c r="Q56" s="903"/>
      <c r="R56" s="903"/>
      <c r="S56" s="904" t="str">
        <f ca="1">IF(P56="","",IF(R56&lt;&gt;"",R56-P56,TODAY()-P56))</f>
        <v/>
      </c>
      <c r="T56" s="904" t="str">
        <f ca="1">IF(Q56="","",Q56-TODAY())</f>
        <v/>
      </c>
      <c r="U56" s="253"/>
      <c r="V56" s="253"/>
      <c r="W56" s="253"/>
      <c r="X56" s="253"/>
      <c r="Y56" s="253"/>
      <c r="Z56" s="253"/>
      <c r="AA56" s="253"/>
      <c r="AB56" s="253"/>
      <c r="AC56" s="253"/>
      <c r="AD56" s="253"/>
      <c r="AE56" s="253"/>
      <c r="AF56" s="253"/>
      <c r="AG56" s="253"/>
      <c r="AH56" s="253"/>
      <c r="AI56" s="253"/>
      <c r="AJ56" s="253"/>
      <c r="AK56" s="253"/>
      <c r="AL56" s="253"/>
      <c r="AM56" s="253"/>
      <c r="AN56" s="903"/>
      <c r="AO56" s="253" t="str">
        <f>IF(Z56="Yes",COUNTIF($Z$6:Z56,"Yes"),"")</f>
        <v/>
      </c>
      <c r="AP56" s="253" t="str">
        <f>IF(AA56="Yes",COUNTIF($AA$6:AA56,"Yes"),"")</f>
        <v/>
      </c>
      <c r="AQ56" s="253" t="str">
        <f>IF(AC56="Yes",COUNTIF($AC$6:AC56,"Yes"),"")</f>
        <v/>
      </c>
    </row>
    <row r="57" spans="1:43">
      <c r="A57" s="253"/>
      <c r="B57" s="253"/>
      <c r="C57" s="253"/>
      <c r="D57" s="253"/>
      <c r="E57" s="253"/>
      <c r="F57" s="253"/>
      <c r="G57" s="253"/>
      <c r="H57" s="253"/>
      <c r="I57" s="253"/>
      <c r="J57" s="253"/>
      <c r="K57" s="253"/>
      <c r="L57" s="253"/>
      <c r="M57" s="253"/>
      <c r="N57" s="253"/>
      <c r="O57" s="253"/>
      <c r="P57" s="903"/>
      <c r="Q57" s="903"/>
      <c r="R57" s="903"/>
      <c r="S57" s="904" t="str">
        <f ca="1">IF(P57="","",IF(R57&lt;&gt;"",R57-P57,TODAY()-P57))</f>
        <v/>
      </c>
      <c r="T57" s="904" t="str">
        <f ca="1">IF(Q57="","",Q57-TODAY())</f>
        <v/>
      </c>
      <c r="U57" s="253"/>
      <c r="V57" s="253"/>
      <c r="W57" s="253"/>
      <c r="X57" s="253"/>
      <c r="Y57" s="253"/>
      <c r="Z57" s="253"/>
      <c r="AA57" s="253"/>
      <c r="AB57" s="253"/>
      <c r="AC57" s="253"/>
      <c r="AD57" s="253"/>
      <c r="AE57" s="253"/>
      <c r="AF57" s="253"/>
      <c r="AG57" s="253"/>
      <c r="AH57" s="253"/>
      <c r="AI57" s="253"/>
      <c r="AJ57" s="253"/>
      <c r="AK57" s="253"/>
      <c r="AL57" s="253"/>
      <c r="AM57" s="253"/>
      <c r="AN57" s="903"/>
      <c r="AO57" s="253" t="str">
        <f>IF(Z57="Yes",COUNTIF($Z$6:Z57,"Yes"),"")</f>
        <v/>
      </c>
      <c r="AP57" s="253" t="str">
        <f>IF(AA57="Yes",COUNTIF($AA$6:AA57,"Yes"),"")</f>
        <v/>
      </c>
      <c r="AQ57" s="253" t="str">
        <f>IF(AC57="Yes",COUNTIF($AC$6:AC57,"Yes"),"")</f>
        <v/>
      </c>
    </row>
    <row r="58" spans="1:43">
      <c r="A58" s="253"/>
      <c r="B58" s="253"/>
      <c r="C58" s="253"/>
      <c r="D58" s="253"/>
      <c r="E58" s="253"/>
      <c r="F58" s="253"/>
      <c r="G58" s="253"/>
      <c r="H58" s="253"/>
      <c r="I58" s="253"/>
      <c r="J58" s="253"/>
      <c r="K58" s="253"/>
      <c r="L58" s="253"/>
      <c r="M58" s="253"/>
      <c r="N58" s="253"/>
      <c r="O58" s="253"/>
      <c r="P58" s="903"/>
      <c r="Q58" s="903"/>
      <c r="R58" s="903"/>
      <c r="S58" s="904" t="str">
        <f ca="1">IF(P58="","",IF(R58&lt;&gt;"",R58-P58,TODAY()-P58))</f>
        <v/>
      </c>
      <c r="T58" s="904" t="str">
        <f ca="1">IF(Q58="","",Q58-TODAY())</f>
        <v/>
      </c>
      <c r="U58" s="253"/>
      <c r="V58" s="253"/>
      <c r="W58" s="253"/>
      <c r="X58" s="253"/>
      <c r="Y58" s="253"/>
      <c r="Z58" s="253"/>
      <c r="AA58" s="253"/>
      <c r="AB58" s="253"/>
      <c r="AC58" s="253"/>
      <c r="AD58" s="253"/>
      <c r="AE58" s="253"/>
      <c r="AF58" s="253"/>
      <c r="AG58" s="253"/>
      <c r="AH58" s="253"/>
      <c r="AI58" s="253"/>
      <c r="AJ58" s="253"/>
      <c r="AK58" s="253"/>
      <c r="AL58" s="253"/>
      <c r="AM58" s="253"/>
      <c r="AN58" s="903"/>
      <c r="AO58" s="253" t="str">
        <f>IF(Z58="Yes",COUNTIF($Z$6:Z58,"Yes"),"")</f>
        <v/>
      </c>
      <c r="AP58" s="253" t="str">
        <f>IF(AA58="Yes",COUNTIF($AA$6:AA58,"Yes"),"")</f>
        <v/>
      </c>
      <c r="AQ58" s="253" t="str">
        <f>IF(AC58="Yes",COUNTIF($AC$6:AC58,"Yes"),"")</f>
        <v/>
      </c>
    </row>
    <row r="59" spans="1:43">
      <c r="A59" s="253"/>
      <c r="B59" s="253"/>
      <c r="C59" s="253"/>
      <c r="D59" s="253"/>
      <c r="E59" s="253"/>
      <c r="F59" s="253"/>
      <c r="G59" s="253"/>
      <c r="H59" s="253"/>
      <c r="I59" s="253"/>
      <c r="J59" s="253"/>
      <c r="K59" s="253"/>
      <c r="L59" s="253"/>
      <c r="M59" s="253"/>
      <c r="N59" s="253"/>
      <c r="O59" s="253"/>
      <c r="P59" s="903"/>
      <c r="Q59" s="903"/>
      <c r="R59" s="903"/>
      <c r="S59" s="904" t="str">
        <f ca="1">IF(P59="","",IF(R59&lt;&gt;"",R59-P59,TODAY()-P59))</f>
        <v/>
      </c>
      <c r="T59" s="904" t="str">
        <f ca="1">IF(Q59="","",Q59-TODAY())</f>
        <v/>
      </c>
      <c r="U59" s="253"/>
      <c r="V59" s="253"/>
      <c r="W59" s="253"/>
      <c r="X59" s="253"/>
      <c r="Y59" s="253"/>
      <c r="Z59" s="253"/>
      <c r="AA59" s="253"/>
      <c r="AB59" s="253"/>
      <c r="AC59" s="253"/>
      <c r="AD59" s="253"/>
      <c r="AE59" s="253"/>
      <c r="AF59" s="253"/>
      <c r="AG59" s="253"/>
      <c r="AH59" s="253"/>
      <c r="AI59" s="253"/>
      <c r="AJ59" s="253"/>
      <c r="AK59" s="253"/>
      <c r="AL59" s="253"/>
      <c r="AM59" s="253"/>
      <c r="AN59" s="903"/>
      <c r="AO59" s="253" t="str">
        <f>IF(Z59="Yes",COUNTIF($Z$6:Z59,"Yes"),"")</f>
        <v/>
      </c>
      <c r="AP59" s="253" t="str">
        <f>IF(AA59="Yes",COUNTIF($AA$6:AA59,"Yes"),"")</f>
        <v/>
      </c>
      <c r="AQ59" s="253" t="str">
        <f>IF(AC59="Yes",COUNTIF($AC$6:AC59,"Yes"),"")</f>
        <v/>
      </c>
    </row>
    <row r="60" spans="1:43">
      <c r="A60" s="253"/>
      <c r="B60" s="253"/>
      <c r="C60" s="253"/>
      <c r="D60" s="253"/>
      <c r="E60" s="253"/>
      <c r="F60" s="253"/>
      <c r="G60" s="253"/>
      <c r="H60" s="253"/>
      <c r="I60" s="253"/>
      <c r="J60" s="253"/>
      <c r="K60" s="253"/>
      <c r="L60" s="253"/>
      <c r="M60" s="253"/>
      <c r="N60" s="253"/>
      <c r="O60" s="253"/>
      <c r="P60" s="903"/>
      <c r="Q60" s="903"/>
      <c r="R60" s="903"/>
      <c r="S60" s="904" t="str">
        <f ca="1">IF(P60="","",IF(R60&lt;&gt;"",R60-P60,TODAY()-P60))</f>
        <v/>
      </c>
      <c r="T60" s="904" t="str">
        <f ca="1">IF(Q60="","",Q60-TODAY())</f>
        <v/>
      </c>
      <c r="U60" s="253"/>
      <c r="V60" s="253"/>
      <c r="W60" s="253"/>
      <c r="X60" s="253"/>
      <c r="Y60" s="253"/>
      <c r="Z60" s="253"/>
      <c r="AA60" s="253"/>
      <c r="AB60" s="253"/>
      <c r="AC60" s="253"/>
      <c r="AD60" s="253"/>
      <c r="AE60" s="253"/>
      <c r="AF60" s="253"/>
      <c r="AG60" s="253"/>
      <c r="AH60" s="253"/>
      <c r="AI60" s="253"/>
      <c r="AJ60" s="253"/>
      <c r="AK60" s="253"/>
      <c r="AL60" s="253"/>
      <c r="AM60" s="253"/>
      <c r="AN60" s="903"/>
      <c r="AO60" s="253" t="str">
        <f>IF(Z60="Yes",COUNTIF($Z$6:Z60,"Yes"),"")</f>
        <v/>
      </c>
      <c r="AP60" s="253" t="str">
        <f>IF(AA60="Yes",COUNTIF($AA$6:AA60,"Yes"),"")</f>
        <v/>
      </c>
      <c r="AQ60" s="253" t="str">
        <f>IF(AC60="Yes",COUNTIF($AC$6:AC60,"Yes"),"")</f>
        <v/>
      </c>
    </row>
    <row r="61" spans="1:43">
      <c r="A61" s="253"/>
      <c r="B61" s="253"/>
      <c r="C61" s="253"/>
      <c r="D61" s="253"/>
      <c r="E61" s="253"/>
      <c r="F61" s="253"/>
      <c r="G61" s="253"/>
      <c r="H61" s="253"/>
      <c r="I61" s="253"/>
      <c r="J61" s="253"/>
      <c r="K61" s="253"/>
      <c r="L61" s="253"/>
      <c r="M61" s="253"/>
      <c r="N61" s="253"/>
      <c r="O61" s="253"/>
      <c r="P61" s="903"/>
      <c r="Q61" s="903"/>
      <c r="R61" s="903"/>
      <c r="S61" s="904" t="str">
        <f ca="1">IF(P61="","",IF(R61&lt;&gt;"",R61-P61,TODAY()-P61))</f>
        <v/>
      </c>
      <c r="T61" s="904" t="str">
        <f ca="1">IF(Q61="","",Q61-TODAY())</f>
        <v/>
      </c>
      <c r="U61" s="253"/>
      <c r="V61" s="253"/>
      <c r="W61" s="253"/>
      <c r="X61" s="253"/>
      <c r="Y61" s="253"/>
      <c r="Z61" s="253"/>
      <c r="AA61" s="253"/>
      <c r="AB61" s="253"/>
      <c r="AC61" s="253"/>
      <c r="AD61" s="253"/>
      <c r="AE61" s="253"/>
      <c r="AF61" s="253"/>
      <c r="AG61" s="253"/>
      <c r="AH61" s="253"/>
      <c r="AI61" s="253"/>
      <c r="AJ61" s="253"/>
      <c r="AK61" s="253"/>
      <c r="AL61" s="253"/>
      <c r="AM61" s="253"/>
      <c r="AN61" s="903"/>
      <c r="AO61" s="253" t="str">
        <f>IF(Z61="Yes",COUNTIF($Z$6:Z61,"Yes"),"")</f>
        <v/>
      </c>
      <c r="AP61" s="253" t="str">
        <f>IF(AA61="Yes",COUNTIF($AA$6:AA61,"Yes"),"")</f>
        <v/>
      </c>
      <c r="AQ61" s="253" t="str">
        <f>IF(AC61="Yes",COUNTIF($AC$6:AC61,"Yes"),"")</f>
        <v/>
      </c>
    </row>
    <row r="62" spans="1:43">
      <c r="A62" s="253"/>
      <c r="B62" s="253"/>
      <c r="C62" s="253"/>
      <c r="D62" s="253"/>
      <c r="E62" s="253"/>
      <c r="F62" s="253"/>
      <c r="G62" s="253"/>
      <c r="H62" s="253"/>
      <c r="I62" s="253"/>
      <c r="J62" s="253"/>
      <c r="K62" s="253"/>
      <c r="L62" s="253"/>
      <c r="M62" s="253"/>
      <c r="N62" s="253"/>
      <c r="O62" s="253"/>
      <c r="P62" s="903"/>
      <c r="Q62" s="903"/>
      <c r="R62" s="903"/>
      <c r="S62" s="904" t="str">
        <f ca="1">IF(P62="","",IF(R62&lt;&gt;"",R62-P62,TODAY()-P62))</f>
        <v/>
      </c>
      <c r="T62" s="904" t="str">
        <f ca="1">IF(Q62="","",Q62-TODAY())</f>
        <v/>
      </c>
      <c r="U62" s="253"/>
      <c r="V62" s="253"/>
      <c r="W62" s="253"/>
      <c r="X62" s="253"/>
      <c r="Y62" s="253"/>
      <c r="Z62" s="253"/>
      <c r="AA62" s="253"/>
      <c r="AB62" s="253"/>
      <c r="AC62" s="253"/>
      <c r="AD62" s="253"/>
      <c r="AE62" s="253"/>
      <c r="AF62" s="253"/>
      <c r="AG62" s="253"/>
      <c r="AH62" s="253"/>
      <c r="AI62" s="253"/>
      <c r="AJ62" s="253"/>
      <c r="AK62" s="253"/>
      <c r="AL62" s="253"/>
      <c r="AM62" s="253"/>
      <c r="AN62" s="903"/>
      <c r="AO62" s="253" t="str">
        <f>IF(Z62="Yes",COUNTIF($Z$6:Z62,"Yes"),"")</f>
        <v/>
      </c>
      <c r="AP62" s="253" t="str">
        <f>IF(AA62="Yes",COUNTIF($AA$6:AA62,"Yes"),"")</f>
        <v/>
      </c>
      <c r="AQ62" s="253" t="str">
        <f>IF(AC62="Yes",COUNTIF($AC$6:AC62,"Yes"),"")</f>
        <v/>
      </c>
    </row>
    <row r="63" spans="1:43">
      <c r="A63" s="253"/>
      <c r="B63" s="253"/>
      <c r="C63" s="253"/>
      <c r="D63" s="253"/>
      <c r="E63" s="253"/>
      <c r="F63" s="253"/>
      <c r="G63" s="253"/>
      <c r="H63" s="253"/>
      <c r="I63" s="253"/>
      <c r="J63" s="253"/>
      <c r="K63" s="253"/>
      <c r="L63" s="253"/>
      <c r="M63" s="253"/>
      <c r="N63" s="253"/>
      <c r="O63" s="253"/>
      <c r="P63" s="903"/>
      <c r="Q63" s="903"/>
      <c r="R63" s="903"/>
      <c r="S63" s="904" t="str">
        <f ca="1">IF(P63="","",IF(R63&lt;&gt;"",R63-P63,TODAY()-P63))</f>
        <v/>
      </c>
      <c r="T63" s="904" t="str">
        <f ca="1">IF(Q63="","",Q63-TODAY())</f>
        <v/>
      </c>
      <c r="U63" s="253"/>
      <c r="V63" s="253"/>
      <c r="W63" s="253"/>
      <c r="X63" s="253"/>
      <c r="Y63" s="253"/>
      <c r="Z63" s="253"/>
      <c r="AA63" s="253"/>
      <c r="AB63" s="253"/>
      <c r="AC63" s="253"/>
      <c r="AD63" s="253"/>
      <c r="AE63" s="253"/>
      <c r="AF63" s="253"/>
      <c r="AG63" s="253"/>
      <c r="AH63" s="253"/>
      <c r="AI63" s="253"/>
      <c r="AJ63" s="253"/>
      <c r="AK63" s="253"/>
      <c r="AL63" s="253"/>
      <c r="AM63" s="253"/>
      <c r="AN63" s="903"/>
      <c r="AO63" s="253" t="str">
        <f>IF(Z63="Yes",COUNTIF($Z$6:Z63,"Yes"),"")</f>
        <v/>
      </c>
      <c r="AP63" s="253" t="str">
        <f>IF(AA63="Yes",COUNTIF($AA$6:AA63,"Yes"),"")</f>
        <v/>
      </c>
      <c r="AQ63" s="253" t="str">
        <f>IF(AC63="Yes",COUNTIF($AC$6:AC63,"Yes"),"")</f>
        <v/>
      </c>
    </row>
    <row r="64" spans="1:43">
      <c r="A64" s="253"/>
      <c r="B64" s="253"/>
      <c r="C64" s="253"/>
      <c r="D64" s="253"/>
      <c r="E64" s="253"/>
      <c r="F64" s="253"/>
      <c r="G64" s="253"/>
      <c r="H64" s="253"/>
      <c r="I64" s="253"/>
      <c r="J64" s="253"/>
      <c r="K64" s="253"/>
      <c r="L64" s="253"/>
      <c r="M64" s="253"/>
      <c r="N64" s="253"/>
      <c r="O64" s="253"/>
      <c r="P64" s="903"/>
      <c r="Q64" s="903"/>
      <c r="R64" s="903"/>
      <c r="S64" s="904" t="str">
        <f ca="1">IF(P64="","",IF(R64&lt;&gt;"",R64-P64,TODAY()-P64))</f>
        <v/>
      </c>
      <c r="T64" s="904" t="str">
        <f ca="1">IF(Q64="","",Q64-TODAY())</f>
        <v/>
      </c>
      <c r="U64" s="253"/>
      <c r="V64" s="253"/>
      <c r="W64" s="253"/>
      <c r="X64" s="253"/>
      <c r="Y64" s="253"/>
      <c r="Z64" s="253"/>
      <c r="AA64" s="253"/>
      <c r="AB64" s="253"/>
      <c r="AC64" s="253"/>
      <c r="AD64" s="253"/>
      <c r="AE64" s="253"/>
      <c r="AF64" s="253"/>
      <c r="AG64" s="253"/>
      <c r="AH64" s="253"/>
      <c r="AI64" s="253"/>
      <c r="AJ64" s="253"/>
      <c r="AK64" s="253"/>
      <c r="AL64" s="253"/>
      <c r="AM64" s="253"/>
      <c r="AN64" s="903"/>
      <c r="AO64" s="253" t="str">
        <f>IF(Z64="Yes",COUNTIF($Z$6:Z64,"Yes"),"")</f>
        <v/>
      </c>
      <c r="AP64" s="253" t="str">
        <f>IF(AA64="Yes",COUNTIF($AA$6:AA64,"Yes"),"")</f>
        <v/>
      </c>
      <c r="AQ64" s="253" t="str">
        <f>IF(AC64="Yes",COUNTIF($AC$6:AC64,"Yes"),"")</f>
        <v/>
      </c>
    </row>
    <row r="65" spans="1:43">
      <c r="A65" s="253"/>
      <c r="B65" s="253"/>
      <c r="C65" s="253"/>
      <c r="D65" s="253"/>
      <c r="E65" s="253"/>
      <c r="F65" s="253"/>
      <c r="G65" s="253"/>
      <c r="H65" s="253"/>
      <c r="I65" s="253"/>
      <c r="J65" s="253"/>
      <c r="K65" s="253"/>
      <c r="L65" s="253"/>
      <c r="M65" s="253"/>
      <c r="N65" s="253"/>
      <c r="O65" s="253"/>
      <c r="P65" s="903"/>
      <c r="Q65" s="903"/>
      <c r="R65" s="903"/>
      <c r="S65" s="904" t="str">
        <f ca="1">IF(P65="","",IF(R65&lt;&gt;"",R65-P65,TODAY()-P65))</f>
        <v/>
      </c>
      <c r="T65" s="904" t="str">
        <f ca="1">IF(Q65="","",Q65-TODAY())</f>
        <v/>
      </c>
      <c r="U65" s="253"/>
      <c r="V65" s="253"/>
      <c r="W65" s="253"/>
      <c r="X65" s="253"/>
      <c r="Y65" s="253"/>
      <c r="Z65" s="253"/>
      <c r="AA65" s="253"/>
      <c r="AB65" s="253"/>
      <c r="AC65" s="253"/>
      <c r="AD65" s="253"/>
      <c r="AE65" s="253"/>
      <c r="AF65" s="253"/>
      <c r="AG65" s="253"/>
      <c r="AH65" s="253"/>
      <c r="AI65" s="253"/>
      <c r="AJ65" s="253"/>
      <c r="AK65" s="253"/>
      <c r="AL65" s="253"/>
      <c r="AM65" s="253"/>
      <c r="AN65" s="903"/>
      <c r="AO65" s="253" t="str">
        <f>IF(Z65="Yes",COUNTIF($Z$6:Z65,"Yes"),"")</f>
        <v/>
      </c>
      <c r="AP65" s="253" t="str">
        <f>IF(AA65="Yes",COUNTIF($AA$6:AA65,"Yes"),"")</f>
        <v/>
      </c>
      <c r="AQ65" s="253" t="str">
        <f>IF(AC65="Yes",COUNTIF($AC$6:AC65,"Yes"),"")</f>
        <v/>
      </c>
    </row>
    <row r="66" spans="1:43">
      <c r="A66" s="253"/>
      <c r="B66" s="253"/>
      <c r="C66" s="253"/>
      <c r="D66" s="253"/>
      <c r="E66" s="253"/>
      <c r="F66" s="253"/>
      <c r="G66" s="253"/>
      <c r="H66" s="253"/>
      <c r="I66" s="253"/>
      <c r="J66" s="253"/>
      <c r="K66" s="253"/>
      <c r="L66" s="253"/>
      <c r="M66" s="253"/>
      <c r="N66" s="253"/>
      <c r="O66" s="253"/>
      <c r="P66" s="903"/>
      <c r="Q66" s="903"/>
      <c r="R66" s="903"/>
      <c r="S66" s="904" t="str">
        <f ca="1">IF(P66="","",IF(R66&lt;&gt;"",R66-P66,TODAY()-P66))</f>
        <v/>
      </c>
      <c r="T66" s="904" t="str">
        <f ca="1">IF(Q66="","",Q66-TODAY())</f>
        <v/>
      </c>
      <c r="U66" s="253"/>
      <c r="V66" s="253"/>
      <c r="W66" s="253"/>
      <c r="X66" s="253"/>
      <c r="Y66" s="253"/>
      <c r="Z66" s="253"/>
      <c r="AA66" s="253"/>
      <c r="AB66" s="253"/>
      <c r="AC66" s="253"/>
      <c r="AD66" s="253"/>
      <c r="AE66" s="253"/>
      <c r="AF66" s="253"/>
      <c r="AG66" s="253"/>
      <c r="AH66" s="253"/>
      <c r="AI66" s="253"/>
      <c r="AJ66" s="253"/>
      <c r="AK66" s="253"/>
      <c r="AL66" s="253"/>
      <c r="AM66" s="253"/>
      <c r="AN66" s="903"/>
      <c r="AO66" s="253" t="str">
        <f>IF(Z66="Yes",COUNTIF($Z$6:Z66,"Yes"),"")</f>
        <v/>
      </c>
      <c r="AP66" s="253" t="str">
        <f>IF(AA66="Yes",COUNTIF($AA$6:AA66,"Yes"),"")</f>
        <v/>
      </c>
      <c r="AQ66" s="253" t="str">
        <f>IF(AC66="Yes",COUNTIF($AC$6:AC66,"Yes"),"")</f>
        <v/>
      </c>
    </row>
    <row r="67" spans="1:43">
      <c r="A67" s="253"/>
      <c r="B67" s="253"/>
      <c r="C67" s="253"/>
      <c r="D67" s="253"/>
      <c r="E67" s="253"/>
      <c r="F67" s="253"/>
      <c r="G67" s="253"/>
      <c r="H67" s="253"/>
      <c r="I67" s="253"/>
      <c r="J67" s="253"/>
      <c r="K67" s="253"/>
      <c r="L67" s="253"/>
      <c r="M67" s="253"/>
      <c r="N67" s="253"/>
      <c r="O67" s="253"/>
      <c r="P67" s="903"/>
      <c r="Q67" s="903"/>
      <c r="R67" s="903"/>
      <c r="S67" s="904" t="str">
        <f ca="1">IF(P67="","",IF(R67&lt;&gt;"",R67-P67,TODAY()-P67))</f>
        <v/>
      </c>
      <c r="T67" s="904" t="str">
        <f ca="1">IF(Q67="","",Q67-TODAY())</f>
        <v/>
      </c>
      <c r="U67" s="253"/>
      <c r="V67" s="253"/>
      <c r="W67" s="253"/>
      <c r="X67" s="253"/>
      <c r="Y67" s="253"/>
      <c r="Z67" s="253"/>
      <c r="AA67" s="253"/>
      <c r="AB67" s="253"/>
      <c r="AC67" s="253"/>
      <c r="AD67" s="253"/>
      <c r="AE67" s="253"/>
      <c r="AF67" s="253"/>
      <c r="AG67" s="253"/>
      <c r="AH67" s="253"/>
      <c r="AI67" s="253"/>
      <c r="AJ67" s="253"/>
      <c r="AK67" s="253"/>
      <c r="AL67" s="253"/>
      <c r="AM67" s="253"/>
      <c r="AN67" s="903"/>
      <c r="AO67" s="253" t="str">
        <f>IF(Z67="Yes",COUNTIF($Z$6:Z67,"Yes"),"")</f>
        <v/>
      </c>
      <c r="AP67" s="253" t="str">
        <f>IF(AA67="Yes",COUNTIF($AA$6:AA67,"Yes"),"")</f>
        <v/>
      </c>
      <c r="AQ67" s="253" t="str">
        <f>IF(AC67="Yes",COUNTIF($AC$6:AC67,"Yes"),"")</f>
        <v/>
      </c>
    </row>
    <row r="68" spans="1:43">
      <c r="A68" s="253"/>
      <c r="B68" s="253"/>
      <c r="C68" s="253"/>
      <c r="D68" s="253"/>
      <c r="E68" s="253"/>
      <c r="F68" s="253"/>
      <c r="G68" s="253"/>
      <c r="H68" s="253"/>
      <c r="I68" s="253"/>
      <c r="J68" s="253"/>
      <c r="K68" s="253"/>
      <c r="L68" s="253"/>
      <c r="M68" s="253"/>
      <c r="N68" s="253"/>
      <c r="O68" s="253"/>
      <c r="P68" s="903"/>
      <c r="Q68" s="903"/>
      <c r="R68" s="903"/>
      <c r="S68" s="904" t="str">
        <f ca="1">IF(P68="","",IF(R68&lt;&gt;"",R68-P68,TODAY()-P68))</f>
        <v/>
      </c>
      <c r="T68" s="904" t="str">
        <f ca="1">IF(Q68="","",Q68-TODAY())</f>
        <v/>
      </c>
      <c r="U68" s="253"/>
      <c r="V68" s="253"/>
      <c r="W68" s="253"/>
      <c r="X68" s="253"/>
      <c r="Y68" s="253"/>
      <c r="Z68" s="253"/>
      <c r="AA68" s="253"/>
      <c r="AB68" s="253"/>
      <c r="AC68" s="253"/>
      <c r="AD68" s="253"/>
      <c r="AE68" s="253"/>
      <c r="AF68" s="253"/>
      <c r="AG68" s="253"/>
      <c r="AH68" s="253"/>
      <c r="AI68" s="253"/>
      <c r="AJ68" s="253"/>
      <c r="AK68" s="253"/>
      <c r="AL68" s="253"/>
      <c r="AM68" s="253"/>
      <c r="AN68" s="903"/>
      <c r="AO68" s="253" t="str">
        <f>IF(Z68="Yes",COUNTIF($Z$6:Z68,"Yes"),"")</f>
        <v/>
      </c>
      <c r="AP68" s="253" t="str">
        <f>IF(AA68="Yes",COUNTIF($AA$6:AA68,"Yes"),"")</f>
        <v/>
      </c>
      <c r="AQ68" s="253" t="str">
        <f>IF(AC68="Yes",COUNTIF($AC$6:AC68,"Yes"),"")</f>
        <v/>
      </c>
    </row>
    <row r="69" spans="1:43">
      <c r="A69" s="253"/>
      <c r="B69" s="253"/>
      <c r="C69" s="253"/>
      <c r="D69" s="253"/>
      <c r="E69" s="253"/>
      <c r="F69" s="253"/>
      <c r="G69" s="253"/>
      <c r="H69" s="253"/>
      <c r="I69" s="253"/>
      <c r="J69" s="253"/>
      <c r="K69" s="253"/>
      <c r="L69" s="253"/>
      <c r="M69" s="253"/>
      <c r="N69" s="253"/>
      <c r="O69" s="253"/>
      <c r="P69" s="903"/>
      <c r="Q69" s="903"/>
      <c r="R69" s="903"/>
      <c r="S69" s="904" t="str">
        <f ca="1">IF(P69="","",IF(R69&lt;&gt;"",R69-P69,TODAY()-P69))</f>
        <v/>
      </c>
      <c r="T69" s="904" t="str">
        <f ca="1">IF(Q69="","",Q69-TODAY())</f>
        <v/>
      </c>
      <c r="U69" s="253"/>
      <c r="V69" s="253"/>
      <c r="W69" s="253"/>
      <c r="X69" s="253"/>
      <c r="Y69" s="253"/>
      <c r="Z69" s="253"/>
      <c r="AA69" s="253"/>
      <c r="AB69" s="253"/>
      <c r="AC69" s="253"/>
      <c r="AD69" s="253"/>
      <c r="AE69" s="253"/>
      <c r="AF69" s="253"/>
      <c r="AG69" s="253"/>
      <c r="AH69" s="253"/>
      <c r="AI69" s="253"/>
      <c r="AJ69" s="253"/>
      <c r="AK69" s="253"/>
      <c r="AL69" s="253"/>
      <c r="AM69" s="253"/>
      <c r="AN69" s="903"/>
      <c r="AO69" s="253" t="str">
        <f>IF(Z69="Yes",COUNTIF($Z$6:Z69,"Yes"),"")</f>
        <v/>
      </c>
      <c r="AP69" s="253" t="str">
        <f>IF(AA69="Yes",COUNTIF($AA$6:AA69,"Yes"),"")</f>
        <v/>
      </c>
      <c r="AQ69" s="253" t="str">
        <f>IF(AC69="Yes",COUNTIF($AC$6:AC69,"Yes"),"")</f>
        <v/>
      </c>
    </row>
    <row r="70" spans="1:43">
      <c r="A70" s="253"/>
      <c r="B70" s="253"/>
      <c r="C70" s="253"/>
      <c r="D70" s="253"/>
      <c r="E70" s="253"/>
      <c r="F70" s="253"/>
      <c r="G70" s="253"/>
      <c r="H70" s="253"/>
      <c r="I70" s="253"/>
      <c r="J70" s="253"/>
      <c r="K70" s="253"/>
      <c r="L70" s="253"/>
      <c r="M70" s="253"/>
      <c r="N70" s="253"/>
      <c r="O70" s="253"/>
      <c r="P70" s="903"/>
      <c r="Q70" s="903"/>
      <c r="R70" s="903"/>
      <c r="S70" s="904" t="str">
        <f ca="1">IF(P70="","",IF(R70&lt;&gt;"",R70-P70,TODAY()-P70))</f>
        <v/>
      </c>
      <c r="T70" s="904" t="str">
        <f ca="1">IF(Q70="","",Q70-TODAY())</f>
        <v/>
      </c>
      <c r="U70" s="253"/>
      <c r="V70" s="253"/>
      <c r="W70" s="253"/>
      <c r="X70" s="253"/>
      <c r="Y70" s="253"/>
      <c r="Z70" s="253"/>
      <c r="AA70" s="253"/>
      <c r="AB70" s="253"/>
      <c r="AC70" s="253"/>
      <c r="AD70" s="253"/>
      <c r="AE70" s="253"/>
      <c r="AF70" s="253"/>
      <c r="AG70" s="253"/>
      <c r="AH70" s="253"/>
      <c r="AI70" s="253"/>
      <c r="AJ70" s="253"/>
      <c r="AK70" s="253"/>
      <c r="AL70" s="253"/>
      <c r="AM70" s="253"/>
      <c r="AN70" s="903"/>
      <c r="AO70" s="253" t="str">
        <f>IF(Z70="Yes",COUNTIF($Z$6:Z70,"Yes"),"")</f>
        <v/>
      </c>
      <c r="AP70" s="253" t="str">
        <f>IF(AA70="Yes",COUNTIF($AA$6:AA70,"Yes"),"")</f>
        <v/>
      </c>
      <c r="AQ70" s="253" t="str">
        <f>IF(AC70="Yes",COUNTIF($AC$6:AC70,"Yes"),"")</f>
        <v/>
      </c>
    </row>
    <row r="71" spans="1:43">
      <c r="A71" s="253"/>
      <c r="B71" s="253"/>
      <c r="C71" s="253"/>
      <c r="D71" s="253"/>
      <c r="E71" s="253"/>
      <c r="F71" s="253"/>
      <c r="G71" s="253"/>
      <c r="H71" s="253"/>
      <c r="I71" s="253"/>
      <c r="J71" s="253"/>
      <c r="K71" s="253"/>
      <c r="L71" s="253"/>
      <c r="M71" s="253"/>
      <c r="N71" s="253"/>
      <c r="O71" s="253"/>
      <c r="P71" s="903"/>
      <c r="Q71" s="903"/>
      <c r="R71" s="903"/>
      <c r="S71" s="904" t="str">
        <f ca="1">IF(P71="","",IF(R71&lt;&gt;"",R71-P71,TODAY()-P71))</f>
        <v/>
      </c>
      <c r="T71" s="904" t="str">
        <f ca="1">IF(Q71="","",Q71-TODAY())</f>
        <v/>
      </c>
      <c r="U71" s="253"/>
      <c r="V71" s="253"/>
      <c r="W71" s="253"/>
      <c r="X71" s="253"/>
      <c r="Y71" s="253"/>
      <c r="Z71" s="253"/>
      <c r="AA71" s="253"/>
      <c r="AB71" s="253"/>
      <c r="AC71" s="253"/>
      <c r="AD71" s="253"/>
      <c r="AE71" s="253"/>
      <c r="AF71" s="253"/>
      <c r="AG71" s="253"/>
      <c r="AH71" s="253"/>
      <c r="AI71" s="253"/>
      <c r="AJ71" s="253"/>
      <c r="AK71" s="253"/>
      <c r="AL71" s="253"/>
      <c r="AM71" s="253"/>
      <c r="AN71" s="903"/>
      <c r="AO71" s="253" t="str">
        <f>IF(Z71="Yes",COUNTIF($Z$6:Z71,"Yes"),"")</f>
        <v/>
      </c>
      <c r="AP71" s="253" t="str">
        <f>IF(AA71="Yes",COUNTIF($AA$6:AA71,"Yes"),"")</f>
        <v/>
      </c>
      <c r="AQ71" s="253" t="str">
        <f>IF(AC71="Yes",COUNTIF($AC$6:AC71,"Yes"),"")</f>
        <v/>
      </c>
    </row>
    <row r="72" spans="1:43">
      <c r="A72" s="253"/>
      <c r="B72" s="253"/>
      <c r="C72" s="253"/>
      <c r="D72" s="253"/>
      <c r="E72" s="253"/>
      <c r="F72" s="253"/>
      <c r="G72" s="253"/>
      <c r="H72" s="253"/>
      <c r="I72" s="253"/>
      <c r="J72" s="253"/>
      <c r="K72" s="253"/>
      <c r="L72" s="253"/>
      <c r="M72" s="253"/>
      <c r="N72" s="253"/>
      <c r="O72" s="253"/>
      <c r="P72" s="903"/>
      <c r="Q72" s="903"/>
      <c r="R72" s="903"/>
      <c r="S72" s="904" t="str">
        <f ca="1">IF(P72="","",IF(R72&lt;&gt;"",R72-P72,TODAY()-P72))</f>
        <v/>
      </c>
      <c r="T72" s="904" t="str">
        <f ca="1">IF(Q72="","",Q72-TODAY())</f>
        <v/>
      </c>
      <c r="U72" s="253"/>
      <c r="V72" s="253"/>
      <c r="W72" s="253"/>
      <c r="X72" s="253"/>
      <c r="Y72" s="253"/>
      <c r="Z72" s="253"/>
      <c r="AA72" s="253"/>
      <c r="AB72" s="253"/>
      <c r="AC72" s="253"/>
      <c r="AD72" s="253"/>
      <c r="AE72" s="253"/>
      <c r="AF72" s="253"/>
      <c r="AG72" s="253"/>
      <c r="AH72" s="253"/>
      <c r="AI72" s="253"/>
      <c r="AJ72" s="253"/>
      <c r="AK72" s="253"/>
      <c r="AL72" s="253"/>
      <c r="AM72" s="253"/>
      <c r="AN72" s="903"/>
      <c r="AO72" s="253" t="str">
        <f>IF(Z72="Yes",COUNTIF($Z$6:Z72,"Yes"),"")</f>
        <v/>
      </c>
      <c r="AP72" s="253" t="str">
        <f>IF(AA72="Yes",COUNTIF($AA$6:AA72,"Yes"),"")</f>
        <v/>
      </c>
      <c r="AQ72" s="253" t="str">
        <f>IF(AC72="Yes",COUNTIF($AC$6:AC72,"Yes"),"")</f>
        <v/>
      </c>
    </row>
    <row r="73" spans="1:43">
      <c r="A73" s="253"/>
      <c r="B73" s="253"/>
      <c r="C73" s="253"/>
      <c r="D73" s="253"/>
      <c r="E73" s="253"/>
      <c r="F73" s="253"/>
      <c r="G73" s="253"/>
      <c r="H73" s="253"/>
      <c r="I73" s="253"/>
      <c r="J73" s="253"/>
      <c r="K73" s="253"/>
      <c r="L73" s="253"/>
      <c r="M73" s="253"/>
      <c r="N73" s="253"/>
      <c r="O73" s="253"/>
      <c r="P73" s="903"/>
      <c r="Q73" s="903"/>
      <c r="R73" s="903"/>
      <c r="S73" s="904" t="str">
        <f ca="1">IF(P73="","",IF(R73&lt;&gt;"",R73-P73,TODAY()-P73))</f>
        <v/>
      </c>
      <c r="T73" s="904" t="str">
        <f ca="1">IF(Q73="","",Q73-TODAY())</f>
        <v/>
      </c>
      <c r="U73" s="253"/>
      <c r="V73" s="253"/>
      <c r="W73" s="253"/>
      <c r="X73" s="253"/>
      <c r="Y73" s="253"/>
      <c r="Z73" s="253"/>
      <c r="AA73" s="253"/>
      <c r="AB73" s="253"/>
      <c r="AC73" s="253"/>
      <c r="AD73" s="253"/>
      <c r="AE73" s="253"/>
      <c r="AF73" s="253"/>
      <c r="AG73" s="253"/>
      <c r="AH73" s="253"/>
      <c r="AI73" s="253"/>
      <c r="AJ73" s="253"/>
      <c r="AK73" s="253"/>
      <c r="AL73" s="253"/>
      <c r="AM73" s="253"/>
      <c r="AN73" s="903"/>
      <c r="AO73" s="253" t="str">
        <f>IF(Z73="Yes",COUNTIF($Z$6:Z73,"Yes"),"")</f>
        <v/>
      </c>
      <c r="AP73" s="253" t="str">
        <f>IF(AA73="Yes",COUNTIF($AA$6:AA73,"Yes"),"")</f>
        <v/>
      </c>
      <c r="AQ73" s="253" t="str">
        <f>IF(AC73="Yes",COUNTIF($AC$6:AC73,"Yes"),"")</f>
        <v/>
      </c>
    </row>
    <row r="74" spans="1:43">
      <c r="A74" s="253"/>
      <c r="B74" s="253"/>
      <c r="C74" s="253"/>
      <c r="D74" s="253"/>
      <c r="E74" s="253"/>
      <c r="F74" s="253"/>
      <c r="G74" s="253"/>
      <c r="H74" s="253"/>
      <c r="I74" s="253"/>
      <c r="J74" s="253"/>
      <c r="K74" s="253"/>
      <c r="L74" s="253"/>
      <c r="M74" s="253"/>
      <c r="N74" s="253"/>
      <c r="O74" s="253"/>
      <c r="P74" s="903"/>
      <c r="Q74" s="903"/>
      <c r="R74" s="903"/>
      <c r="S74" s="904" t="str">
        <f ca="1">IF(P74="","",IF(R74&lt;&gt;"",R74-P74,TODAY()-P74))</f>
        <v/>
      </c>
      <c r="T74" s="904" t="str">
        <f ca="1">IF(Q74="","",Q74-TODAY())</f>
        <v/>
      </c>
      <c r="U74" s="253"/>
      <c r="V74" s="253"/>
      <c r="W74" s="253"/>
      <c r="X74" s="253"/>
      <c r="Y74" s="253"/>
      <c r="Z74" s="253"/>
      <c r="AA74" s="253"/>
      <c r="AB74" s="253"/>
      <c r="AC74" s="253"/>
      <c r="AD74" s="253"/>
      <c r="AE74" s="253"/>
      <c r="AF74" s="253"/>
      <c r="AG74" s="253"/>
      <c r="AH74" s="253"/>
      <c r="AI74" s="253"/>
      <c r="AJ74" s="253"/>
      <c r="AK74" s="253"/>
      <c r="AL74" s="253"/>
      <c r="AM74" s="253"/>
      <c r="AN74" s="903"/>
      <c r="AO74" s="253" t="str">
        <f>IF(Z74="Yes",COUNTIF($Z$6:Z74,"Yes"),"")</f>
        <v/>
      </c>
      <c r="AP74" s="253" t="str">
        <f>IF(AA74="Yes",COUNTIF($AA$6:AA74,"Yes"),"")</f>
        <v/>
      </c>
      <c r="AQ74" s="253" t="str">
        <f>IF(AC74="Yes",COUNTIF($AC$6:AC74,"Yes"),"")</f>
        <v/>
      </c>
    </row>
    <row r="75" spans="1:43">
      <c r="A75" s="253"/>
      <c r="B75" s="253"/>
      <c r="C75" s="253"/>
      <c r="D75" s="253"/>
      <c r="E75" s="253"/>
      <c r="F75" s="253"/>
      <c r="G75" s="253"/>
      <c r="H75" s="253"/>
      <c r="I75" s="253"/>
      <c r="J75" s="253"/>
      <c r="K75" s="253"/>
      <c r="L75" s="253"/>
      <c r="M75" s="253"/>
      <c r="N75" s="253"/>
      <c r="O75" s="253"/>
      <c r="P75" s="903"/>
      <c r="Q75" s="903"/>
      <c r="R75" s="903"/>
      <c r="S75" s="904" t="str">
        <f ca="1">IF(P75="","",IF(R75&lt;&gt;"",R75-P75,TODAY()-P75))</f>
        <v/>
      </c>
      <c r="T75" s="904" t="str">
        <f ca="1">IF(Q75="","",Q75-TODAY())</f>
        <v/>
      </c>
      <c r="U75" s="253"/>
      <c r="V75" s="253"/>
      <c r="W75" s="253"/>
      <c r="X75" s="253"/>
      <c r="Y75" s="253"/>
      <c r="Z75" s="253"/>
      <c r="AA75" s="253"/>
      <c r="AB75" s="253"/>
      <c r="AC75" s="253"/>
      <c r="AD75" s="253"/>
      <c r="AE75" s="253"/>
      <c r="AF75" s="253"/>
      <c r="AG75" s="253"/>
      <c r="AH75" s="253"/>
      <c r="AI75" s="253"/>
      <c r="AJ75" s="253"/>
      <c r="AK75" s="253"/>
      <c r="AL75" s="253"/>
      <c r="AM75" s="253"/>
      <c r="AN75" s="903"/>
      <c r="AO75" s="253" t="str">
        <f>IF(Z75="Yes",COUNTIF($Z$6:Z75,"Yes"),"")</f>
        <v/>
      </c>
      <c r="AP75" s="253" t="str">
        <f>IF(AA75="Yes",COUNTIF($AA$6:AA75,"Yes"),"")</f>
        <v/>
      </c>
      <c r="AQ75" s="253" t="str">
        <f>IF(AC75="Yes",COUNTIF($AC$6:AC75,"Yes"),"")</f>
        <v/>
      </c>
    </row>
    <row r="76" spans="1:43">
      <c r="A76" s="253"/>
      <c r="B76" s="253"/>
      <c r="C76" s="253"/>
      <c r="D76" s="253"/>
      <c r="E76" s="253"/>
      <c r="F76" s="253"/>
      <c r="G76" s="253"/>
      <c r="H76" s="253"/>
      <c r="I76" s="253"/>
      <c r="J76" s="253"/>
      <c r="K76" s="253"/>
      <c r="L76" s="253"/>
      <c r="M76" s="253"/>
      <c r="N76" s="253"/>
      <c r="O76" s="253"/>
      <c r="P76" s="903"/>
      <c r="Q76" s="903"/>
      <c r="R76" s="903"/>
      <c r="S76" s="904" t="str">
        <f ca="1">IF(P76="","",IF(R76&lt;&gt;"",R76-P76,TODAY()-P76))</f>
        <v/>
      </c>
      <c r="T76" s="904" t="str">
        <f ca="1">IF(Q76="","",Q76-TODAY())</f>
        <v/>
      </c>
      <c r="U76" s="253"/>
      <c r="V76" s="253"/>
      <c r="W76" s="253"/>
      <c r="X76" s="253"/>
      <c r="Y76" s="253"/>
      <c r="Z76" s="253"/>
      <c r="AA76" s="253"/>
      <c r="AB76" s="253"/>
      <c r="AC76" s="253"/>
      <c r="AD76" s="253"/>
      <c r="AE76" s="253"/>
      <c r="AF76" s="253"/>
      <c r="AG76" s="253"/>
      <c r="AH76" s="253"/>
      <c r="AI76" s="253"/>
      <c r="AJ76" s="253"/>
      <c r="AK76" s="253"/>
      <c r="AL76" s="253"/>
      <c r="AM76" s="253"/>
      <c r="AN76" s="903"/>
      <c r="AO76" s="253" t="str">
        <f>IF(Z76="Yes",COUNTIF($Z$6:Z76,"Yes"),"")</f>
        <v/>
      </c>
      <c r="AP76" s="253" t="str">
        <f>IF(AA76="Yes",COUNTIF($AA$6:AA76,"Yes"),"")</f>
        <v/>
      </c>
      <c r="AQ76" s="253" t="str">
        <f>IF(AC76="Yes",COUNTIF($AC$6:AC76,"Yes"),"")</f>
        <v/>
      </c>
    </row>
    <row r="77" spans="1:43">
      <c r="A77" s="253"/>
      <c r="B77" s="253"/>
      <c r="C77" s="253"/>
      <c r="D77" s="253"/>
      <c r="E77" s="253"/>
      <c r="F77" s="253"/>
      <c r="G77" s="253"/>
      <c r="H77" s="253"/>
      <c r="I77" s="253"/>
      <c r="J77" s="253"/>
      <c r="K77" s="253"/>
      <c r="L77" s="253"/>
      <c r="M77" s="253"/>
      <c r="N77" s="253"/>
      <c r="O77" s="253"/>
      <c r="P77" s="903"/>
      <c r="Q77" s="903"/>
      <c r="R77" s="903"/>
      <c r="S77" s="904" t="str">
        <f ca="1">IF(P77="","",IF(R77&lt;&gt;"",R77-P77,TODAY()-P77))</f>
        <v/>
      </c>
      <c r="T77" s="904" t="str">
        <f ca="1">IF(Q77="","",Q77-TODAY())</f>
        <v/>
      </c>
      <c r="U77" s="253"/>
      <c r="V77" s="253"/>
      <c r="W77" s="253"/>
      <c r="X77" s="253"/>
      <c r="Y77" s="253"/>
      <c r="Z77" s="253"/>
      <c r="AA77" s="253"/>
      <c r="AB77" s="253"/>
      <c r="AC77" s="253"/>
      <c r="AD77" s="253"/>
      <c r="AE77" s="253"/>
      <c r="AF77" s="253"/>
      <c r="AG77" s="253"/>
      <c r="AH77" s="253"/>
      <c r="AI77" s="253"/>
      <c r="AJ77" s="253"/>
      <c r="AK77" s="253"/>
      <c r="AL77" s="253"/>
      <c r="AM77" s="253"/>
      <c r="AN77" s="903"/>
      <c r="AO77" s="253" t="str">
        <f>IF(Z77="Yes",COUNTIF($Z$6:Z77,"Yes"),"")</f>
        <v/>
      </c>
      <c r="AP77" s="253" t="str">
        <f>IF(AA77="Yes",COUNTIF($AA$6:AA77,"Yes"),"")</f>
        <v/>
      </c>
      <c r="AQ77" s="253" t="str">
        <f>IF(AC77="Yes",COUNTIF($AC$6:AC77,"Yes"),"")</f>
        <v/>
      </c>
    </row>
    <row r="78" spans="1:43">
      <c r="A78" s="253"/>
      <c r="B78" s="253"/>
      <c r="C78" s="253"/>
      <c r="D78" s="253"/>
      <c r="E78" s="253"/>
      <c r="F78" s="253"/>
      <c r="G78" s="253"/>
      <c r="H78" s="253"/>
      <c r="I78" s="253"/>
      <c r="J78" s="253"/>
      <c r="K78" s="253"/>
      <c r="L78" s="253"/>
      <c r="M78" s="253"/>
      <c r="N78" s="253"/>
      <c r="O78" s="253"/>
      <c r="P78" s="903"/>
      <c r="Q78" s="903"/>
      <c r="R78" s="903"/>
      <c r="S78" s="904" t="str">
        <f ca="1">IF(P78="","",IF(R78&lt;&gt;"",R78-P78,TODAY()-P78))</f>
        <v/>
      </c>
      <c r="T78" s="904" t="str">
        <f ca="1">IF(Q78="","",Q78-TODAY())</f>
        <v/>
      </c>
      <c r="U78" s="253"/>
      <c r="V78" s="253"/>
      <c r="W78" s="253"/>
      <c r="X78" s="253"/>
      <c r="Y78" s="253"/>
      <c r="Z78" s="253"/>
      <c r="AA78" s="253"/>
      <c r="AB78" s="253"/>
      <c r="AC78" s="253"/>
      <c r="AD78" s="253"/>
      <c r="AE78" s="253"/>
      <c r="AF78" s="253"/>
      <c r="AG78" s="253"/>
      <c r="AH78" s="253"/>
      <c r="AI78" s="253"/>
      <c r="AJ78" s="253"/>
      <c r="AK78" s="253"/>
      <c r="AL78" s="253"/>
      <c r="AM78" s="253"/>
      <c r="AN78" s="903"/>
      <c r="AO78" s="253" t="str">
        <f>IF(Z78="Yes",COUNTIF($Z$6:Z78,"Yes"),"")</f>
        <v/>
      </c>
      <c r="AP78" s="253" t="str">
        <f>IF(AA78="Yes",COUNTIF($AA$6:AA78,"Yes"),"")</f>
        <v/>
      </c>
      <c r="AQ78" s="253" t="str">
        <f>IF(AC78="Yes",COUNTIF($AC$6:AC78,"Yes"),"")</f>
        <v/>
      </c>
    </row>
    <row r="79" spans="1:43">
      <c r="A79" s="253"/>
      <c r="B79" s="253"/>
      <c r="C79" s="253"/>
      <c r="D79" s="253"/>
      <c r="E79" s="253"/>
      <c r="F79" s="253"/>
      <c r="G79" s="253"/>
      <c r="H79" s="253"/>
      <c r="I79" s="253"/>
      <c r="J79" s="253"/>
      <c r="K79" s="253"/>
      <c r="L79" s="253"/>
      <c r="M79" s="253"/>
      <c r="N79" s="253"/>
      <c r="O79" s="253"/>
      <c r="P79" s="903"/>
      <c r="Q79" s="903"/>
      <c r="R79" s="903"/>
      <c r="S79" s="904" t="str">
        <f ca="1">IF(P79="","",IF(R79&lt;&gt;"",R79-P79,TODAY()-P79))</f>
        <v/>
      </c>
      <c r="T79" s="904" t="str">
        <f ca="1">IF(Q79="","",Q79-TODAY())</f>
        <v/>
      </c>
      <c r="U79" s="253"/>
      <c r="V79" s="253"/>
      <c r="W79" s="253"/>
      <c r="X79" s="253"/>
      <c r="Y79" s="253"/>
      <c r="Z79" s="253"/>
      <c r="AA79" s="253"/>
      <c r="AB79" s="253"/>
      <c r="AC79" s="253"/>
      <c r="AD79" s="253"/>
      <c r="AE79" s="253"/>
      <c r="AF79" s="253"/>
      <c r="AG79" s="253"/>
      <c r="AH79" s="253"/>
      <c r="AI79" s="253"/>
      <c r="AJ79" s="253"/>
      <c r="AK79" s="253"/>
      <c r="AL79" s="253"/>
      <c r="AM79" s="253"/>
      <c r="AN79" s="903"/>
      <c r="AO79" s="253" t="str">
        <f>IF(Z79="Yes",COUNTIF($Z$6:Z79,"Yes"),"")</f>
        <v/>
      </c>
      <c r="AP79" s="253" t="str">
        <f>IF(AA79="Yes",COUNTIF($AA$6:AA79,"Yes"),"")</f>
        <v/>
      </c>
      <c r="AQ79" s="253" t="str">
        <f>IF(AC79="Yes",COUNTIF($AC$6:AC79,"Yes"),"")</f>
        <v/>
      </c>
    </row>
    <row r="80" spans="1:43">
      <c r="A80" s="253"/>
      <c r="B80" s="253"/>
      <c r="C80" s="253"/>
      <c r="D80" s="253"/>
      <c r="E80" s="253"/>
      <c r="F80" s="253"/>
      <c r="G80" s="253"/>
      <c r="H80" s="253"/>
      <c r="I80" s="253"/>
      <c r="J80" s="253"/>
      <c r="K80" s="253"/>
      <c r="L80" s="253"/>
      <c r="M80" s="253"/>
      <c r="N80" s="253"/>
      <c r="O80" s="253"/>
      <c r="P80" s="903"/>
      <c r="Q80" s="903"/>
      <c r="R80" s="903"/>
      <c r="S80" s="904" t="str">
        <f ca="1">IF(P80="","",IF(R80&lt;&gt;"",R80-P80,TODAY()-P80))</f>
        <v/>
      </c>
      <c r="T80" s="904" t="str">
        <f ca="1">IF(Q80="","",Q80-TODAY())</f>
        <v/>
      </c>
      <c r="U80" s="253"/>
      <c r="V80" s="253"/>
      <c r="W80" s="253"/>
      <c r="X80" s="253"/>
      <c r="Y80" s="253"/>
      <c r="Z80" s="253"/>
      <c r="AA80" s="253"/>
      <c r="AB80" s="253"/>
      <c r="AC80" s="253"/>
      <c r="AD80" s="253"/>
      <c r="AE80" s="253"/>
      <c r="AF80" s="253"/>
      <c r="AG80" s="253"/>
      <c r="AH80" s="253"/>
      <c r="AI80" s="253"/>
      <c r="AJ80" s="253"/>
      <c r="AK80" s="253"/>
      <c r="AL80" s="253"/>
      <c r="AM80" s="253"/>
      <c r="AN80" s="903"/>
      <c r="AO80" s="253" t="str">
        <f>IF(Z80="Yes",COUNTIF($Z$6:Z80,"Yes"),"")</f>
        <v/>
      </c>
      <c r="AP80" s="253" t="str">
        <f>IF(AA80="Yes",COUNTIF($AA$6:AA80,"Yes"),"")</f>
        <v/>
      </c>
      <c r="AQ80" s="253" t="str">
        <f>IF(AC80="Yes",COUNTIF($AC$6:AC80,"Yes"),"")</f>
        <v/>
      </c>
    </row>
    <row r="81" spans="1:43">
      <c r="A81" s="253"/>
      <c r="B81" s="253"/>
      <c r="C81" s="253"/>
      <c r="D81" s="253"/>
      <c r="E81" s="253"/>
      <c r="F81" s="253"/>
      <c r="G81" s="253"/>
      <c r="H81" s="253"/>
      <c r="I81" s="253"/>
      <c r="J81" s="253"/>
      <c r="K81" s="253"/>
      <c r="L81" s="253"/>
      <c r="M81" s="253"/>
      <c r="N81" s="253"/>
      <c r="O81" s="253"/>
      <c r="P81" s="903"/>
      <c r="Q81" s="903"/>
      <c r="R81" s="903"/>
      <c r="S81" s="904" t="str">
        <f ca="1">IF(P81="","",IF(R81&lt;&gt;"",R81-P81,TODAY()-P81))</f>
        <v/>
      </c>
      <c r="T81" s="904" t="str">
        <f ca="1">IF(Q81="","",Q81-TODAY())</f>
        <v/>
      </c>
      <c r="U81" s="253"/>
      <c r="V81" s="253"/>
      <c r="W81" s="253"/>
      <c r="X81" s="253"/>
      <c r="Y81" s="253"/>
      <c r="Z81" s="253"/>
      <c r="AA81" s="253"/>
      <c r="AB81" s="253"/>
      <c r="AC81" s="253"/>
      <c r="AD81" s="253"/>
      <c r="AE81" s="253"/>
      <c r="AF81" s="253"/>
      <c r="AG81" s="253"/>
      <c r="AH81" s="253"/>
      <c r="AI81" s="253"/>
      <c r="AJ81" s="253"/>
      <c r="AK81" s="253"/>
      <c r="AL81" s="253"/>
      <c r="AM81" s="253"/>
      <c r="AN81" s="903"/>
      <c r="AO81" s="253" t="str">
        <f>IF(Z81="Yes",COUNTIF($Z$6:Z81,"Yes"),"")</f>
        <v/>
      </c>
      <c r="AP81" s="253" t="str">
        <f>IF(AA81="Yes",COUNTIF($AA$6:AA81,"Yes"),"")</f>
        <v/>
      </c>
      <c r="AQ81" s="253" t="str">
        <f>IF(AC81="Yes",COUNTIF($AC$6:AC81,"Yes"),"")</f>
        <v/>
      </c>
    </row>
    <row r="82" spans="1:43">
      <c r="A82" s="253"/>
      <c r="B82" s="253"/>
      <c r="C82" s="253"/>
      <c r="D82" s="253"/>
      <c r="E82" s="253"/>
      <c r="F82" s="253"/>
      <c r="G82" s="253"/>
      <c r="H82" s="253"/>
      <c r="I82" s="253"/>
      <c r="J82" s="253"/>
      <c r="K82" s="253"/>
      <c r="L82" s="253"/>
      <c r="M82" s="253"/>
      <c r="N82" s="253"/>
      <c r="O82" s="253"/>
      <c r="P82" s="903"/>
      <c r="Q82" s="903"/>
      <c r="R82" s="903"/>
      <c r="S82" s="904" t="str">
        <f ca="1">IF(P82="","",IF(R82&lt;&gt;"",R82-P82,TODAY()-P82))</f>
        <v/>
      </c>
      <c r="T82" s="904" t="str">
        <f ca="1">IF(Q82="","",Q82-TODAY())</f>
        <v/>
      </c>
      <c r="U82" s="253"/>
      <c r="V82" s="253"/>
      <c r="W82" s="253"/>
      <c r="X82" s="253"/>
      <c r="Y82" s="253"/>
      <c r="Z82" s="253"/>
      <c r="AA82" s="253"/>
      <c r="AB82" s="253"/>
      <c r="AC82" s="253"/>
      <c r="AD82" s="253"/>
      <c r="AE82" s="253"/>
      <c r="AF82" s="253"/>
      <c r="AG82" s="253"/>
      <c r="AH82" s="253"/>
      <c r="AI82" s="253"/>
      <c r="AJ82" s="253"/>
      <c r="AK82" s="253"/>
      <c r="AL82" s="253"/>
      <c r="AM82" s="253"/>
      <c r="AN82" s="903"/>
      <c r="AO82" s="253" t="str">
        <f>IF(Z82="Yes",COUNTIF($Z$6:Z82,"Yes"),"")</f>
        <v/>
      </c>
      <c r="AP82" s="253" t="str">
        <f>IF(AA82="Yes",COUNTIF($AA$6:AA82,"Yes"),"")</f>
        <v/>
      </c>
      <c r="AQ82" s="253" t="str">
        <f>IF(AC82="Yes",COUNTIF($AC$6:AC82,"Yes"),"")</f>
        <v/>
      </c>
    </row>
    <row r="83" spans="1:43">
      <c r="A83" s="253"/>
      <c r="B83" s="253"/>
      <c r="C83" s="253"/>
      <c r="D83" s="253"/>
      <c r="E83" s="253"/>
      <c r="F83" s="253"/>
      <c r="G83" s="253"/>
      <c r="H83" s="253"/>
      <c r="I83" s="253"/>
      <c r="J83" s="253"/>
      <c r="K83" s="253"/>
      <c r="L83" s="253"/>
      <c r="M83" s="253"/>
      <c r="N83" s="253"/>
      <c r="O83" s="253"/>
      <c r="P83" s="903"/>
      <c r="Q83" s="903"/>
      <c r="R83" s="903"/>
      <c r="S83" s="904" t="str">
        <f ca="1">IF(P83="","",IF(R83&lt;&gt;"",R83-P83,TODAY()-P83))</f>
        <v/>
      </c>
      <c r="T83" s="904" t="str">
        <f ca="1">IF(Q83="","",Q83-TODAY())</f>
        <v/>
      </c>
      <c r="U83" s="253"/>
      <c r="V83" s="253"/>
      <c r="W83" s="253"/>
      <c r="X83" s="253"/>
      <c r="Y83" s="253"/>
      <c r="Z83" s="253"/>
      <c r="AA83" s="253"/>
      <c r="AB83" s="253"/>
      <c r="AC83" s="253"/>
      <c r="AD83" s="253"/>
      <c r="AE83" s="253"/>
      <c r="AF83" s="253"/>
      <c r="AG83" s="253"/>
      <c r="AH83" s="253"/>
      <c r="AI83" s="253"/>
      <c r="AJ83" s="253"/>
      <c r="AK83" s="253"/>
      <c r="AL83" s="253"/>
      <c r="AM83" s="253"/>
      <c r="AN83" s="903"/>
      <c r="AO83" s="253" t="str">
        <f>IF(Z83="Yes",COUNTIF($Z$6:Z83,"Yes"),"")</f>
        <v/>
      </c>
      <c r="AP83" s="253" t="str">
        <f>IF(AA83="Yes",COUNTIF($AA$6:AA83,"Yes"),"")</f>
        <v/>
      </c>
      <c r="AQ83" s="253" t="str">
        <f>IF(AC83="Yes",COUNTIF($AC$6:AC83,"Yes"),"")</f>
        <v/>
      </c>
    </row>
    <row r="84" spans="1:43">
      <c r="A84" s="253"/>
      <c r="B84" s="253"/>
      <c r="C84" s="253"/>
      <c r="D84" s="253"/>
      <c r="E84" s="253"/>
      <c r="F84" s="253"/>
      <c r="G84" s="253"/>
      <c r="H84" s="253"/>
      <c r="I84" s="253"/>
      <c r="J84" s="253"/>
      <c r="K84" s="253"/>
      <c r="L84" s="253"/>
      <c r="M84" s="253"/>
      <c r="N84" s="253"/>
      <c r="O84" s="253"/>
      <c r="P84" s="903"/>
      <c r="Q84" s="903"/>
      <c r="R84" s="903"/>
      <c r="S84" s="904" t="str">
        <f ca="1">IF(P84="","",IF(R84&lt;&gt;"",R84-P84,TODAY()-P84))</f>
        <v/>
      </c>
      <c r="T84" s="904" t="str">
        <f ca="1">IF(Q84="","",Q84-TODAY())</f>
        <v/>
      </c>
      <c r="U84" s="253"/>
      <c r="V84" s="253"/>
      <c r="W84" s="253"/>
      <c r="X84" s="253"/>
      <c r="Y84" s="253"/>
      <c r="Z84" s="253"/>
      <c r="AA84" s="253"/>
      <c r="AB84" s="253"/>
      <c r="AC84" s="253"/>
      <c r="AD84" s="253"/>
      <c r="AE84" s="253"/>
      <c r="AF84" s="253"/>
      <c r="AG84" s="253"/>
      <c r="AH84" s="253"/>
      <c r="AI84" s="253"/>
      <c r="AJ84" s="253"/>
      <c r="AK84" s="253"/>
      <c r="AL84" s="253"/>
      <c r="AM84" s="253"/>
      <c r="AN84" s="903"/>
      <c r="AO84" s="253" t="str">
        <f>IF(Z84="Yes",COUNTIF($Z$6:Z84,"Yes"),"")</f>
        <v/>
      </c>
      <c r="AP84" s="253" t="str">
        <f>IF(AA84="Yes",COUNTIF($AA$6:AA84,"Yes"),"")</f>
        <v/>
      </c>
      <c r="AQ84" s="253" t="str">
        <f>IF(AC84="Yes",COUNTIF($AC$6:AC84,"Yes"),"")</f>
        <v/>
      </c>
    </row>
    <row r="85" spans="1:43">
      <c r="A85" s="253"/>
      <c r="B85" s="253"/>
      <c r="C85" s="253"/>
      <c r="D85" s="253"/>
      <c r="E85" s="253"/>
      <c r="F85" s="253"/>
      <c r="G85" s="253"/>
      <c r="H85" s="253"/>
      <c r="I85" s="253"/>
      <c r="J85" s="253"/>
      <c r="K85" s="253"/>
      <c r="L85" s="253"/>
      <c r="M85" s="253"/>
      <c r="N85" s="253"/>
      <c r="O85" s="253"/>
      <c r="P85" s="903"/>
      <c r="Q85" s="903"/>
      <c r="R85" s="903"/>
      <c r="S85" s="904" t="str">
        <f ca="1">IF(P85="","",IF(R85&lt;&gt;"",R85-P85,TODAY()-P85))</f>
        <v/>
      </c>
      <c r="T85" s="904" t="str">
        <f ca="1">IF(Q85="","",Q85-TODAY())</f>
        <v/>
      </c>
      <c r="U85" s="253"/>
      <c r="V85" s="253"/>
      <c r="W85" s="253"/>
      <c r="X85" s="253"/>
      <c r="Y85" s="253"/>
      <c r="Z85" s="253"/>
      <c r="AA85" s="253"/>
      <c r="AB85" s="253"/>
      <c r="AC85" s="253"/>
      <c r="AD85" s="253"/>
      <c r="AE85" s="253"/>
      <c r="AF85" s="253"/>
      <c r="AG85" s="253"/>
      <c r="AH85" s="253"/>
      <c r="AI85" s="253"/>
      <c r="AJ85" s="253"/>
      <c r="AK85" s="253"/>
      <c r="AL85" s="253"/>
      <c r="AM85" s="253"/>
      <c r="AN85" s="903"/>
      <c r="AO85" s="253" t="str">
        <f>IF(Z85="Yes",COUNTIF($Z$6:Z85,"Yes"),"")</f>
        <v/>
      </c>
      <c r="AP85" s="253" t="str">
        <f>IF(AA85="Yes",COUNTIF($AA$6:AA85,"Yes"),"")</f>
        <v/>
      </c>
      <c r="AQ85" s="253" t="str">
        <f>IF(AC85="Yes",COUNTIF($AC$6:AC85,"Yes"),"")</f>
        <v/>
      </c>
    </row>
    <row r="86" spans="1:43">
      <c r="A86" s="253"/>
      <c r="B86" s="253"/>
      <c r="C86" s="253"/>
      <c r="D86" s="253"/>
      <c r="E86" s="253"/>
      <c r="F86" s="253"/>
      <c r="G86" s="253"/>
      <c r="H86" s="253"/>
      <c r="I86" s="253"/>
      <c r="J86" s="253"/>
      <c r="K86" s="253"/>
      <c r="L86" s="253"/>
      <c r="M86" s="253"/>
      <c r="N86" s="253"/>
      <c r="O86" s="253"/>
      <c r="P86" s="903"/>
      <c r="Q86" s="903"/>
      <c r="R86" s="903"/>
      <c r="S86" s="904" t="str">
        <f ca="1">IF(P86="","",IF(R86&lt;&gt;"",R86-P86,TODAY()-P86))</f>
        <v/>
      </c>
      <c r="T86" s="904" t="str">
        <f ca="1">IF(Q86="","",Q86-TODAY())</f>
        <v/>
      </c>
      <c r="U86" s="253"/>
      <c r="V86" s="253"/>
      <c r="W86" s="253"/>
      <c r="X86" s="253"/>
      <c r="Y86" s="253"/>
      <c r="Z86" s="253"/>
      <c r="AA86" s="253"/>
      <c r="AB86" s="253"/>
      <c r="AC86" s="253"/>
      <c r="AD86" s="253"/>
      <c r="AE86" s="253"/>
      <c r="AF86" s="253"/>
      <c r="AG86" s="253"/>
      <c r="AH86" s="253"/>
      <c r="AI86" s="253"/>
      <c r="AJ86" s="253"/>
      <c r="AK86" s="253"/>
      <c r="AL86" s="253"/>
      <c r="AM86" s="253"/>
      <c r="AN86" s="903"/>
      <c r="AO86" s="253" t="str">
        <f>IF(Z86="Yes",COUNTIF($Z$6:Z86,"Yes"),"")</f>
        <v/>
      </c>
      <c r="AP86" s="253" t="str">
        <f>IF(AA86="Yes",COUNTIF($AA$6:AA86,"Yes"),"")</f>
        <v/>
      </c>
      <c r="AQ86" s="253" t="str">
        <f>IF(AC86="Yes",COUNTIF($AC$6:AC86,"Yes"),"")</f>
        <v/>
      </c>
    </row>
    <row r="87" spans="1:43">
      <c r="A87" s="253"/>
      <c r="B87" s="253"/>
      <c r="C87" s="253"/>
      <c r="D87" s="253"/>
      <c r="E87" s="253"/>
      <c r="F87" s="253"/>
      <c r="G87" s="253"/>
      <c r="H87" s="253"/>
      <c r="I87" s="253"/>
      <c r="J87" s="253"/>
      <c r="K87" s="253"/>
      <c r="L87" s="253"/>
      <c r="M87" s="253"/>
      <c r="N87" s="253"/>
      <c r="O87" s="253"/>
      <c r="P87" s="903"/>
      <c r="Q87" s="903"/>
      <c r="R87" s="903"/>
      <c r="S87" s="904" t="str">
        <f ca="1">IF(P87="","",IF(R87&lt;&gt;"",R87-P87,TODAY()-P87))</f>
        <v/>
      </c>
      <c r="T87" s="904" t="str">
        <f ca="1">IF(Q87="","",Q87-TODAY())</f>
        <v/>
      </c>
      <c r="U87" s="253"/>
      <c r="V87" s="253"/>
      <c r="W87" s="253"/>
      <c r="X87" s="253"/>
      <c r="Y87" s="253"/>
      <c r="Z87" s="253"/>
      <c r="AA87" s="253"/>
      <c r="AB87" s="253"/>
      <c r="AC87" s="253"/>
      <c r="AD87" s="253"/>
      <c r="AE87" s="253"/>
      <c r="AF87" s="253"/>
      <c r="AG87" s="253"/>
      <c r="AH87" s="253"/>
      <c r="AI87" s="253"/>
      <c r="AJ87" s="253"/>
      <c r="AK87" s="253"/>
      <c r="AL87" s="253"/>
      <c r="AM87" s="253"/>
      <c r="AN87" s="903"/>
      <c r="AO87" s="253" t="str">
        <f>IF(Z87="Yes",COUNTIF($Z$6:Z87,"Yes"),"")</f>
        <v/>
      </c>
      <c r="AP87" s="253" t="str">
        <f>IF(AA87="Yes",COUNTIF($AA$6:AA87,"Yes"),"")</f>
        <v/>
      </c>
      <c r="AQ87" s="253" t="str">
        <f>IF(AC87="Yes",COUNTIF($AC$6:AC87,"Yes"),"")</f>
        <v/>
      </c>
    </row>
    <row r="88" spans="1:43">
      <c r="A88" s="253"/>
      <c r="B88" s="253"/>
      <c r="C88" s="253"/>
      <c r="D88" s="253"/>
      <c r="E88" s="253"/>
      <c r="F88" s="253"/>
      <c r="G88" s="253"/>
      <c r="H88" s="253"/>
      <c r="I88" s="253"/>
      <c r="J88" s="253"/>
      <c r="K88" s="253"/>
      <c r="L88" s="253"/>
      <c r="M88" s="253"/>
      <c r="N88" s="253"/>
      <c r="O88" s="253"/>
      <c r="P88" s="903"/>
      <c r="Q88" s="903"/>
      <c r="R88" s="903"/>
      <c r="S88" s="904" t="str">
        <f ca="1">IF(P88="","",IF(R88&lt;&gt;"",R88-P88,TODAY()-P88))</f>
        <v/>
      </c>
      <c r="T88" s="904" t="str">
        <f ca="1">IF(Q88="","",Q88-TODAY())</f>
        <v/>
      </c>
      <c r="U88" s="253"/>
      <c r="V88" s="253"/>
      <c r="W88" s="253"/>
      <c r="X88" s="253"/>
      <c r="Y88" s="253"/>
      <c r="Z88" s="253"/>
      <c r="AA88" s="253"/>
      <c r="AB88" s="253"/>
      <c r="AC88" s="253"/>
      <c r="AD88" s="253"/>
      <c r="AE88" s="253"/>
      <c r="AF88" s="253"/>
      <c r="AG88" s="253"/>
      <c r="AH88" s="253"/>
      <c r="AI88" s="253"/>
      <c r="AJ88" s="253"/>
      <c r="AK88" s="253"/>
      <c r="AL88" s="253"/>
      <c r="AM88" s="253"/>
      <c r="AN88" s="903"/>
      <c r="AO88" s="253" t="str">
        <f>IF(Z88="Yes",COUNTIF($Z$6:Z88,"Yes"),"")</f>
        <v/>
      </c>
      <c r="AP88" s="253" t="str">
        <f>IF(AA88="Yes",COUNTIF($AA$6:AA88,"Yes"),"")</f>
        <v/>
      </c>
      <c r="AQ88" s="253" t="str">
        <f>IF(AC88="Yes",COUNTIF($AC$6:AC88,"Yes"),"")</f>
        <v/>
      </c>
    </row>
    <row r="89" spans="1:43">
      <c r="A89" s="253"/>
      <c r="B89" s="253"/>
      <c r="C89" s="253"/>
      <c r="D89" s="253"/>
      <c r="E89" s="253"/>
      <c r="F89" s="253"/>
      <c r="G89" s="253"/>
      <c r="H89" s="253"/>
      <c r="I89" s="253"/>
      <c r="J89" s="253"/>
      <c r="K89" s="253"/>
      <c r="L89" s="253"/>
      <c r="M89" s="253"/>
      <c r="N89" s="253"/>
      <c r="O89" s="253"/>
      <c r="P89" s="903"/>
      <c r="Q89" s="903"/>
      <c r="R89" s="903"/>
      <c r="S89" s="904" t="str">
        <f ca="1">IF(P89="","",IF(R89&lt;&gt;"",R89-P89,TODAY()-P89))</f>
        <v/>
      </c>
      <c r="T89" s="904" t="str">
        <f ca="1">IF(Q89="","",Q89-TODAY())</f>
        <v/>
      </c>
      <c r="U89" s="253"/>
      <c r="V89" s="253"/>
      <c r="W89" s="253"/>
      <c r="X89" s="253"/>
      <c r="Y89" s="253"/>
      <c r="Z89" s="253"/>
      <c r="AA89" s="253"/>
      <c r="AB89" s="253"/>
      <c r="AC89" s="253"/>
      <c r="AD89" s="253"/>
      <c r="AE89" s="253"/>
      <c r="AF89" s="253"/>
      <c r="AG89" s="253"/>
      <c r="AH89" s="253"/>
      <c r="AI89" s="253"/>
      <c r="AJ89" s="253"/>
      <c r="AK89" s="253"/>
      <c r="AL89" s="253"/>
      <c r="AM89" s="253"/>
      <c r="AN89" s="903"/>
      <c r="AO89" s="253" t="str">
        <f>IF(Z89="Yes",COUNTIF($Z$6:Z89,"Yes"),"")</f>
        <v/>
      </c>
      <c r="AP89" s="253" t="str">
        <f>IF(AA89="Yes",COUNTIF($AA$6:AA89,"Yes"),"")</f>
        <v/>
      </c>
      <c r="AQ89" s="253" t="str">
        <f>IF(AC89="Yes",COUNTIF($AC$6:AC89,"Yes"),"")</f>
        <v/>
      </c>
    </row>
    <row r="90" spans="1:43">
      <c r="A90" s="253"/>
      <c r="B90" s="253"/>
      <c r="C90" s="253"/>
      <c r="D90" s="253"/>
      <c r="E90" s="253"/>
      <c r="F90" s="253"/>
      <c r="G90" s="253"/>
      <c r="H90" s="253"/>
      <c r="I90" s="253"/>
      <c r="J90" s="253"/>
      <c r="K90" s="253"/>
      <c r="L90" s="253"/>
      <c r="M90" s="253"/>
      <c r="N90" s="253"/>
      <c r="O90" s="253"/>
      <c r="P90" s="903"/>
      <c r="Q90" s="903"/>
      <c r="R90" s="903"/>
      <c r="S90" s="904" t="str">
        <f ca="1">IF(P90="","",IF(R90&lt;&gt;"",R90-P90,TODAY()-P90))</f>
        <v/>
      </c>
      <c r="T90" s="904" t="str">
        <f ca="1">IF(Q90="","",Q90-TODAY())</f>
        <v/>
      </c>
      <c r="U90" s="253"/>
      <c r="V90" s="253"/>
      <c r="W90" s="253"/>
      <c r="X90" s="253"/>
      <c r="Y90" s="253"/>
      <c r="Z90" s="253"/>
      <c r="AA90" s="253"/>
      <c r="AB90" s="253"/>
      <c r="AC90" s="253"/>
      <c r="AD90" s="253"/>
      <c r="AE90" s="253"/>
      <c r="AF90" s="253"/>
      <c r="AG90" s="253"/>
      <c r="AH90" s="253"/>
      <c r="AI90" s="253"/>
      <c r="AJ90" s="253"/>
      <c r="AK90" s="253"/>
      <c r="AL90" s="253"/>
      <c r="AM90" s="253"/>
      <c r="AN90" s="903"/>
      <c r="AO90" s="253" t="str">
        <f>IF(Z90="Yes",COUNTIF($Z$6:Z90,"Yes"),"")</f>
        <v/>
      </c>
      <c r="AP90" s="253" t="str">
        <f>IF(AA90="Yes",COUNTIF($AA$6:AA90,"Yes"),"")</f>
        <v/>
      </c>
      <c r="AQ90" s="253" t="str">
        <f>IF(AC90="Yes",COUNTIF($AC$6:AC90,"Yes"),"")</f>
        <v/>
      </c>
    </row>
    <row r="91" spans="1:43">
      <c r="A91" s="253"/>
      <c r="B91" s="253"/>
      <c r="C91" s="253"/>
      <c r="D91" s="253"/>
      <c r="E91" s="253"/>
      <c r="F91" s="253"/>
      <c r="G91" s="253"/>
      <c r="H91" s="253"/>
      <c r="I91" s="253"/>
      <c r="J91" s="253"/>
      <c r="K91" s="253"/>
      <c r="L91" s="253"/>
      <c r="M91" s="253"/>
      <c r="N91" s="253"/>
      <c r="O91" s="253"/>
      <c r="P91" s="903"/>
      <c r="Q91" s="903"/>
      <c r="R91" s="903"/>
      <c r="S91" s="904" t="str">
        <f ca="1">IF(P91="","",IF(R91&lt;&gt;"",R91-P91,TODAY()-P91))</f>
        <v/>
      </c>
      <c r="T91" s="904" t="str">
        <f ca="1">IF(Q91="","",Q91-TODAY())</f>
        <v/>
      </c>
      <c r="U91" s="253"/>
      <c r="V91" s="253"/>
      <c r="W91" s="253"/>
      <c r="X91" s="253"/>
      <c r="Y91" s="253"/>
      <c r="Z91" s="253"/>
      <c r="AA91" s="253"/>
      <c r="AB91" s="253"/>
      <c r="AC91" s="253"/>
      <c r="AD91" s="253"/>
      <c r="AE91" s="253"/>
      <c r="AF91" s="253"/>
      <c r="AG91" s="253"/>
      <c r="AH91" s="253"/>
      <c r="AI91" s="253"/>
      <c r="AJ91" s="253"/>
      <c r="AK91" s="253"/>
      <c r="AL91" s="253"/>
      <c r="AM91" s="253"/>
      <c r="AN91" s="903"/>
      <c r="AO91" s="253" t="str">
        <f>IF(Z91="Yes",COUNTIF($Z$6:Z91,"Yes"),"")</f>
        <v/>
      </c>
      <c r="AP91" s="253" t="str">
        <f>IF(AA91="Yes",COUNTIF($AA$6:AA91,"Yes"),"")</f>
        <v/>
      </c>
      <c r="AQ91" s="253" t="str">
        <f>IF(AC91="Yes",COUNTIF($AC$6:AC91,"Yes"),"")</f>
        <v/>
      </c>
    </row>
    <row r="92" spans="1:43">
      <c r="A92" s="253"/>
      <c r="B92" s="253"/>
      <c r="C92" s="253"/>
      <c r="D92" s="253"/>
      <c r="E92" s="253"/>
      <c r="F92" s="253"/>
      <c r="G92" s="253"/>
      <c r="H92" s="253"/>
      <c r="I92" s="253"/>
      <c r="J92" s="253"/>
      <c r="K92" s="253"/>
      <c r="L92" s="253"/>
      <c r="M92" s="253"/>
      <c r="N92" s="253"/>
      <c r="O92" s="253"/>
      <c r="P92" s="903"/>
      <c r="Q92" s="903"/>
      <c r="R92" s="903"/>
      <c r="S92" s="904" t="str">
        <f ca="1">IF(P92="","",IF(R92&lt;&gt;"",R92-P92,TODAY()-P92))</f>
        <v/>
      </c>
      <c r="T92" s="904" t="str">
        <f ca="1">IF(Q92="","",Q92-TODAY())</f>
        <v/>
      </c>
      <c r="U92" s="253"/>
      <c r="V92" s="253"/>
      <c r="W92" s="253"/>
      <c r="X92" s="253"/>
      <c r="Y92" s="253"/>
      <c r="Z92" s="253"/>
      <c r="AA92" s="253"/>
      <c r="AB92" s="253"/>
      <c r="AC92" s="253"/>
      <c r="AD92" s="253"/>
      <c r="AE92" s="253"/>
      <c r="AF92" s="253"/>
      <c r="AG92" s="253"/>
      <c r="AH92" s="253"/>
      <c r="AI92" s="253"/>
      <c r="AJ92" s="253"/>
      <c r="AK92" s="253"/>
      <c r="AL92" s="253"/>
      <c r="AM92" s="253"/>
      <c r="AN92" s="903"/>
      <c r="AO92" s="253" t="str">
        <f>IF(Z92="Yes",COUNTIF($Z$6:Z92,"Yes"),"")</f>
        <v/>
      </c>
      <c r="AP92" s="253" t="str">
        <f>IF(AA92="Yes",COUNTIF($AA$6:AA92,"Yes"),"")</f>
        <v/>
      </c>
      <c r="AQ92" s="253" t="str">
        <f>IF(AC92="Yes",COUNTIF($AC$6:AC92,"Yes"),"")</f>
        <v/>
      </c>
    </row>
    <row r="93" spans="1:43">
      <c r="A93" s="253"/>
      <c r="B93" s="253"/>
      <c r="C93" s="253"/>
      <c r="D93" s="253"/>
      <c r="E93" s="253"/>
      <c r="F93" s="253"/>
      <c r="G93" s="253"/>
      <c r="H93" s="253"/>
      <c r="I93" s="253"/>
      <c r="J93" s="253"/>
      <c r="K93" s="253"/>
      <c r="L93" s="253"/>
      <c r="M93" s="253"/>
      <c r="N93" s="253"/>
      <c r="O93" s="253"/>
      <c r="P93" s="903"/>
      <c r="Q93" s="903"/>
      <c r="R93" s="903"/>
      <c r="S93" s="904" t="str">
        <f ca="1">IF(P93="","",IF(R93&lt;&gt;"",R93-P93,TODAY()-P93))</f>
        <v/>
      </c>
      <c r="T93" s="904" t="str">
        <f ca="1">IF(Q93="","",Q93-TODAY())</f>
        <v/>
      </c>
      <c r="U93" s="253"/>
      <c r="V93" s="253"/>
      <c r="W93" s="253"/>
      <c r="X93" s="253"/>
      <c r="Y93" s="253"/>
      <c r="Z93" s="253"/>
      <c r="AA93" s="253"/>
      <c r="AB93" s="253"/>
      <c r="AC93" s="253"/>
      <c r="AD93" s="253"/>
      <c r="AE93" s="253"/>
      <c r="AF93" s="253"/>
      <c r="AG93" s="253"/>
      <c r="AH93" s="253"/>
      <c r="AI93" s="253"/>
      <c r="AJ93" s="253"/>
      <c r="AK93" s="253"/>
      <c r="AL93" s="253"/>
      <c r="AM93" s="253"/>
      <c r="AN93" s="903"/>
      <c r="AO93" s="253" t="str">
        <f>IF(Z93="Yes",COUNTIF($Z$6:Z93,"Yes"),"")</f>
        <v/>
      </c>
      <c r="AP93" s="253" t="str">
        <f>IF(AA93="Yes",COUNTIF($AA$6:AA93,"Yes"),"")</f>
        <v/>
      </c>
      <c r="AQ93" s="253" t="str">
        <f>IF(AC93="Yes",COUNTIF($AC$6:AC93,"Yes"),"")</f>
        <v/>
      </c>
    </row>
    <row r="94" spans="1:43">
      <c r="A94" s="253"/>
      <c r="B94" s="253"/>
      <c r="C94" s="253"/>
      <c r="D94" s="253"/>
      <c r="E94" s="253"/>
      <c r="F94" s="253"/>
      <c r="G94" s="253"/>
      <c r="H94" s="253"/>
      <c r="I94" s="253"/>
      <c r="J94" s="253"/>
      <c r="K94" s="253"/>
      <c r="L94" s="253"/>
      <c r="M94" s="253"/>
      <c r="N94" s="253"/>
      <c r="O94" s="253"/>
      <c r="P94" s="903"/>
      <c r="Q94" s="903"/>
      <c r="R94" s="903"/>
      <c r="S94" s="904" t="str">
        <f ca="1">IF(P94="","",IF(R94&lt;&gt;"",R94-P94,TODAY()-P94))</f>
        <v/>
      </c>
      <c r="T94" s="904" t="str">
        <f ca="1">IF(Q94="","",Q94-TODAY())</f>
        <v/>
      </c>
      <c r="U94" s="253"/>
      <c r="V94" s="253"/>
      <c r="W94" s="253"/>
      <c r="X94" s="253"/>
      <c r="Y94" s="253"/>
      <c r="Z94" s="253"/>
      <c r="AA94" s="253"/>
      <c r="AB94" s="253"/>
      <c r="AC94" s="253"/>
      <c r="AD94" s="253"/>
      <c r="AE94" s="253"/>
      <c r="AF94" s="253"/>
      <c r="AG94" s="253"/>
      <c r="AH94" s="253"/>
      <c r="AI94" s="253"/>
      <c r="AJ94" s="253"/>
      <c r="AK94" s="253"/>
      <c r="AL94" s="253"/>
      <c r="AM94" s="253"/>
      <c r="AN94" s="903"/>
      <c r="AO94" s="253" t="str">
        <f>IF(Z94="Yes",COUNTIF($Z$6:Z94,"Yes"),"")</f>
        <v/>
      </c>
      <c r="AP94" s="253" t="str">
        <f>IF(AA94="Yes",COUNTIF($AA$6:AA94,"Yes"),"")</f>
        <v/>
      </c>
      <c r="AQ94" s="253" t="str">
        <f>IF(AC94="Yes",COUNTIF($AC$6:AC94,"Yes"),"")</f>
        <v/>
      </c>
    </row>
    <row r="95" spans="1:43">
      <c r="A95" s="253"/>
      <c r="B95" s="253"/>
      <c r="C95" s="253"/>
      <c r="D95" s="253"/>
      <c r="E95" s="253"/>
      <c r="F95" s="253"/>
      <c r="G95" s="253"/>
      <c r="H95" s="253"/>
      <c r="I95" s="253"/>
      <c r="J95" s="253"/>
      <c r="K95" s="253"/>
      <c r="L95" s="253"/>
      <c r="M95" s="253"/>
      <c r="N95" s="253"/>
      <c r="O95" s="253"/>
      <c r="P95" s="903"/>
      <c r="Q95" s="903"/>
      <c r="R95" s="903"/>
      <c r="S95" s="904" t="str">
        <f ca="1">IF(P95="","",IF(R95&lt;&gt;"",R95-P95,TODAY()-P95))</f>
        <v/>
      </c>
      <c r="T95" s="904" t="str">
        <f ca="1">IF(Q95="","",Q95-TODAY())</f>
        <v/>
      </c>
      <c r="U95" s="253"/>
      <c r="V95" s="253"/>
      <c r="W95" s="253"/>
      <c r="X95" s="253"/>
      <c r="Y95" s="253"/>
      <c r="Z95" s="253"/>
      <c r="AA95" s="253"/>
      <c r="AB95" s="253"/>
      <c r="AC95" s="253"/>
      <c r="AD95" s="253"/>
      <c r="AE95" s="253"/>
      <c r="AF95" s="253"/>
      <c r="AG95" s="253"/>
      <c r="AH95" s="253"/>
      <c r="AI95" s="253"/>
      <c r="AJ95" s="253"/>
      <c r="AK95" s="253"/>
      <c r="AL95" s="253"/>
      <c r="AM95" s="253"/>
      <c r="AN95" s="903"/>
      <c r="AO95" s="253" t="str">
        <f>IF(Z95="Yes",COUNTIF($Z$6:Z95,"Yes"),"")</f>
        <v/>
      </c>
      <c r="AP95" s="253" t="str">
        <f>IF(AA95="Yes",COUNTIF($AA$6:AA95,"Yes"),"")</f>
        <v/>
      </c>
      <c r="AQ95" s="253" t="str">
        <f>IF(AC95="Yes",COUNTIF($AC$6:AC95,"Yes"),"")</f>
        <v/>
      </c>
    </row>
    <row r="96" spans="1:43">
      <c r="A96" s="253"/>
      <c r="B96" s="253"/>
      <c r="C96" s="253"/>
      <c r="D96" s="253"/>
      <c r="E96" s="253"/>
      <c r="F96" s="253"/>
      <c r="G96" s="253"/>
      <c r="H96" s="253"/>
      <c r="I96" s="253"/>
      <c r="J96" s="253"/>
      <c r="K96" s="253"/>
      <c r="L96" s="253"/>
      <c r="M96" s="253"/>
      <c r="N96" s="253"/>
      <c r="O96" s="253"/>
      <c r="P96" s="903"/>
      <c r="Q96" s="903"/>
      <c r="R96" s="903"/>
      <c r="S96" s="904" t="str">
        <f ca="1">IF(P96="","",IF(R96&lt;&gt;"",R96-P96,TODAY()-P96))</f>
        <v/>
      </c>
      <c r="T96" s="904" t="str">
        <f ca="1">IF(Q96="","",Q96-TODAY())</f>
        <v/>
      </c>
      <c r="U96" s="253"/>
      <c r="V96" s="253"/>
      <c r="W96" s="253"/>
      <c r="X96" s="253"/>
      <c r="Y96" s="253"/>
      <c r="Z96" s="253"/>
      <c r="AA96" s="253"/>
      <c r="AB96" s="253"/>
      <c r="AC96" s="253"/>
      <c r="AD96" s="253"/>
      <c r="AE96" s="253"/>
      <c r="AF96" s="253"/>
      <c r="AG96" s="253"/>
      <c r="AH96" s="253"/>
      <c r="AI96" s="253"/>
      <c r="AJ96" s="253"/>
      <c r="AK96" s="253"/>
      <c r="AL96" s="253"/>
      <c r="AM96" s="253"/>
      <c r="AN96" s="903"/>
      <c r="AO96" s="253" t="str">
        <f>IF(Z96="Yes",COUNTIF($Z$6:Z96,"Yes"),"")</f>
        <v/>
      </c>
      <c r="AP96" s="253" t="str">
        <f>IF(AA96="Yes",COUNTIF($AA$6:AA96,"Yes"),"")</f>
        <v/>
      </c>
      <c r="AQ96" s="253" t="str">
        <f>IF(AC96="Yes",COUNTIF($AC$6:AC96,"Yes"),"")</f>
        <v/>
      </c>
    </row>
    <row r="97" spans="1:43">
      <c r="A97" s="253"/>
      <c r="B97" s="253"/>
      <c r="C97" s="253"/>
      <c r="D97" s="253"/>
      <c r="E97" s="253"/>
      <c r="F97" s="253"/>
      <c r="G97" s="253"/>
      <c r="H97" s="253"/>
      <c r="I97" s="253"/>
      <c r="J97" s="253"/>
      <c r="K97" s="253"/>
      <c r="L97" s="253"/>
      <c r="M97" s="253"/>
      <c r="N97" s="253"/>
      <c r="O97" s="253"/>
      <c r="P97" s="903"/>
      <c r="Q97" s="903"/>
      <c r="R97" s="903"/>
      <c r="S97" s="904" t="str">
        <f ca="1">IF(P97="","",IF(R97&lt;&gt;"",R97-P97,TODAY()-P97))</f>
        <v/>
      </c>
      <c r="T97" s="904" t="str">
        <f ca="1">IF(Q97="","",Q97-TODAY())</f>
        <v/>
      </c>
      <c r="U97" s="253"/>
      <c r="V97" s="253"/>
      <c r="W97" s="253"/>
      <c r="X97" s="253"/>
      <c r="Y97" s="253"/>
      <c r="Z97" s="253"/>
      <c r="AA97" s="253"/>
      <c r="AB97" s="253"/>
      <c r="AC97" s="253"/>
      <c r="AD97" s="253"/>
      <c r="AE97" s="253"/>
      <c r="AF97" s="253"/>
      <c r="AG97" s="253"/>
      <c r="AH97" s="253"/>
      <c r="AI97" s="253"/>
      <c r="AJ97" s="253"/>
      <c r="AK97" s="253"/>
      <c r="AL97" s="253"/>
      <c r="AM97" s="253"/>
      <c r="AN97" s="903"/>
      <c r="AO97" s="253" t="str">
        <f>IF(Z97="Yes",COUNTIF($Z$6:Z97,"Yes"),"")</f>
        <v/>
      </c>
      <c r="AP97" s="253" t="str">
        <f>IF(AA97="Yes",COUNTIF($AA$6:AA97,"Yes"),"")</f>
        <v/>
      </c>
      <c r="AQ97" s="253" t="str">
        <f>IF(AC97="Yes",COUNTIF($AC$6:AC97,"Yes"),"")</f>
        <v/>
      </c>
    </row>
    <row r="98" spans="1:43">
      <c r="A98" s="253"/>
      <c r="B98" s="253"/>
      <c r="C98" s="253"/>
      <c r="D98" s="253"/>
      <c r="E98" s="253"/>
      <c r="F98" s="253"/>
      <c r="G98" s="253"/>
      <c r="H98" s="253"/>
      <c r="I98" s="253"/>
      <c r="J98" s="253"/>
      <c r="K98" s="253"/>
      <c r="L98" s="253"/>
      <c r="M98" s="253"/>
      <c r="N98" s="253"/>
      <c r="O98" s="253"/>
      <c r="P98" s="903"/>
      <c r="Q98" s="903"/>
      <c r="R98" s="903"/>
      <c r="S98" s="904" t="str">
        <f ca="1">IF(P98="","",IF(R98&lt;&gt;"",R98-P98,TODAY()-P98))</f>
        <v/>
      </c>
      <c r="T98" s="904" t="str">
        <f ca="1">IF(Q98="","",Q98-TODAY())</f>
        <v/>
      </c>
      <c r="U98" s="253"/>
      <c r="V98" s="253"/>
      <c r="W98" s="253"/>
      <c r="X98" s="253"/>
      <c r="Y98" s="253"/>
      <c r="Z98" s="253"/>
      <c r="AA98" s="253"/>
      <c r="AB98" s="253"/>
      <c r="AC98" s="253"/>
      <c r="AD98" s="253"/>
      <c r="AE98" s="253"/>
      <c r="AF98" s="253"/>
      <c r="AG98" s="253"/>
      <c r="AH98" s="253"/>
      <c r="AI98" s="253"/>
      <c r="AJ98" s="253"/>
      <c r="AK98" s="253"/>
      <c r="AL98" s="253"/>
      <c r="AM98" s="253"/>
      <c r="AN98" s="903"/>
      <c r="AO98" s="253" t="str">
        <f>IF(Z98="Yes",COUNTIF($Z$6:Z98,"Yes"),"")</f>
        <v/>
      </c>
      <c r="AP98" s="253" t="str">
        <f>IF(AA98="Yes",COUNTIF($AA$6:AA98,"Yes"),"")</f>
        <v/>
      </c>
      <c r="AQ98" s="253" t="str">
        <f>IF(AC98="Yes",COUNTIF($AC$6:AC98,"Yes"),"")</f>
        <v/>
      </c>
    </row>
    <row r="99" spans="1:43">
      <c r="A99" s="253"/>
      <c r="B99" s="253"/>
      <c r="C99" s="253"/>
      <c r="D99" s="253"/>
      <c r="E99" s="253"/>
      <c r="F99" s="253"/>
      <c r="G99" s="253"/>
      <c r="H99" s="253"/>
      <c r="I99" s="253"/>
      <c r="J99" s="253"/>
      <c r="K99" s="253"/>
      <c r="L99" s="253"/>
      <c r="M99" s="253"/>
      <c r="N99" s="253"/>
      <c r="O99" s="253"/>
      <c r="P99" s="903"/>
      <c r="Q99" s="903"/>
      <c r="R99" s="903"/>
      <c r="S99" s="904" t="str">
        <f ca="1">IF(P99="","",IF(R99&lt;&gt;"",R99-P99,TODAY()-P99))</f>
        <v/>
      </c>
      <c r="T99" s="904" t="str">
        <f ca="1">IF(Q99="","",Q99-TODAY())</f>
        <v/>
      </c>
      <c r="U99" s="253"/>
      <c r="V99" s="253"/>
      <c r="W99" s="253"/>
      <c r="X99" s="253"/>
      <c r="Y99" s="253"/>
      <c r="Z99" s="253"/>
      <c r="AA99" s="253"/>
      <c r="AB99" s="253"/>
      <c r="AC99" s="253"/>
      <c r="AD99" s="253"/>
      <c r="AE99" s="253"/>
      <c r="AF99" s="253"/>
      <c r="AG99" s="253"/>
      <c r="AH99" s="253"/>
      <c r="AI99" s="253"/>
      <c r="AJ99" s="253"/>
      <c r="AK99" s="253"/>
      <c r="AL99" s="253"/>
      <c r="AM99" s="253"/>
      <c r="AN99" s="903"/>
      <c r="AO99" s="253" t="str">
        <f>IF(Z99="Yes",COUNTIF($Z$6:Z99,"Yes"),"")</f>
        <v/>
      </c>
      <c r="AP99" s="253" t="str">
        <f>IF(AA99="Yes",COUNTIF($AA$6:AA99,"Yes"),"")</f>
        <v/>
      </c>
      <c r="AQ99" s="253" t="str">
        <f>IF(AC99="Yes",COUNTIF($AC$6:AC99,"Yes"),"")</f>
        <v/>
      </c>
    </row>
    <row r="100" spans="1:43">
      <c r="A100" s="253"/>
      <c r="B100" s="253"/>
      <c r="C100" s="253"/>
      <c r="D100" s="253"/>
      <c r="E100" s="253"/>
      <c r="F100" s="253"/>
      <c r="G100" s="253"/>
      <c r="H100" s="253"/>
      <c r="I100" s="253"/>
      <c r="J100" s="253"/>
      <c r="K100" s="253"/>
      <c r="L100" s="253"/>
      <c r="M100" s="253"/>
      <c r="N100" s="253"/>
      <c r="O100" s="253"/>
      <c r="P100" s="903"/>
      <c r="Q100" s="903"/>
      <c r="R100" s="903"/>
      <c r="S100" s="904" t="str">
        <f ca="1">IF(P100="","",IF(R100&lt;&gt;"",R100-P100,TODAY()-P100))</f>
        <v/>
      </c>
      <c r="T100" s="904" t="str">
        <f ca="1">IF(Q100="","",Q100-TODAY())</f>
        <v/>
      </c>
      <c r="U100" s="253"/>
      <c r="V100" s="253"/>
      <c r="W100" s="253"/>
      <c r="X100" s="253"/>
      <c r="Y100" s="253"/>
      <c r="Z100" s="253"/>
      <c r="AA100" s="253"/>
      <c r="AB100" s="253"/>
      <c r="AC100" s="253"/>
      <c r="AD100" s="253"/>
      <c r="AE100" s="253"/>
      <c r="AF100" s="253"/>
      <c r="AG100" s="253"/>
      <c r="AH100" s="253"/>
      <c r="AI100" s="253"/>
      <c r="AJ100" s="253"/>
      <c r="AK100" s="253"/>
      <c r="AL100" s="253"/>
      <c r="AM100" s="253"/>
      <c r="AN100" s="903"/>
      <c r="AO100" s="253" t="str">
        <f>IF(Z100="Yes",COUNTIF($Z$6:Z100,"Yes"),"")</f>
        <v/>
      </c>
      <c r="AP100" s="253" t="str">
        <f>IF(AA100="Yes",COUNTIF($AA$6:AA100,"Yes"),"")</f>
        <v/>
      </c>
      <c r="AQ100" s="253" t="str">
        <f>IF(AC100="Yes",COUNTIF($AC$6:AC100,"Yes"),"")</f>
        <v/>
      </c>
    </row>
    <row r="101" spans="1:43">
      <c r="A101" s="253"/>
      <c r="B101" s="253"/>
      <c r="C101" s="253"/>
      <c r="D101" s="253"/>
      <c r="E101" s="253"/>
      <c r="F101" s="253"/>
      <c r="G101" s="253"/>
      <c r="H101" s="253"/>
      <c r="I101" s="253"/>
      <c r="J101" s="253"/>
      <c r="K101" s="253"/>
      <c r="L101" s="253"/>
      <c r="M101" s="253"/>
      <c r="N101" s="253"/>
      <c r="O101" s="253"/>
      <c r="P101" s="903"/>
      <c r="Q101" s="903"/>
      <c r="R101" s="903"/>
      <c r="S101" s="904" t="str">
        <f ca="1">IF(P101="","",IF(R101&lt;&gt;"",R101-P101,TODAY()-P101))</f>
        <v/>
      </c>
      <c r="T101" s="904" t="str">
        <f ca="1">IF(Q101="","",Q101-TODAY())</f>
        <v/>
      </c>
      <c r="U101" s="253"/>
      <c r="V101" s="253"/>
      <c r="W101" s="253"/>
      <c r="X101" s="253"/>
      <c r="Y101" s="253"/>
      <c r="Z101" s="253"/>
      <c r="AA101" s="253"/>
      <c r="AB101" s="253"/>
      <c r="AC101" s="253"/>
      <c r="AD101" s="253"/>
      <c r="AE101" s="253"/>
      <c r="AF101" s="253"/>
      <c r="AG101" s="253"/>
      <c r="AH101" s="253"/>
      <c r="AI101" s="253"/>
      <c r="AJ101" s="253"/>
      <c r="AK101" s="253"/>
      <c r="AL101" s="253"/>
      <c r="AM101" s="253"/>
      <c r="AN101" s="903"/>
      <c r="AO101" s="253" t="str">
        <f>IF(Z101="Yes",COUNTIF($Z$6:Z101,"Yes"),"")</f>
        <v/>
      </c>
      <c r="AP101" s="253" t="str">
        <f>IF(AA101="Yes",COUNTIF($AA$6:AA101,"Yes"),"")</f>
        <v/>
      </c>
      <c r="AQ101" s="253" t="str">
        <f>IF(AC101="Yes",COUNTIF($AC$6:AC101,"Yes"),"")</f>
        <v/>
      </c>
    </row>
    <row r="102" spans="1:43">
      <c r="A102" s="253"/>
      <c r="B102" s="253"/>
      <c r="C102" s="253"/>
      <c r="D102" s="253"/>
      <c r="E102" s="253"/>
      <c r="F102" s="253"/>
      <c r="G102" s="253"/>
      <c r="H102" s="253"/>
      <c r="I102" s="253"/>
      <c r="J102" s="253"/>
      <c r="K102" s="253"/>
      <c r="L102" s="253"/>
      <c r="M102" s="253"/>
      <c r="N102" s="253"/>
      <c r="O102" s="253"/>
      <c r="P102" s="903"/>
      <c r="Q102" s="903"/>
      <c r="R102" s="903"/>
      <c r="S102" s="904" t="str">
        <f ca="1">IF(P102="","",IF(R102&lt;&gt;"",R102-P102,TODAY()-P102))</f>
        <v/>
      </c>
      <c r="T102" s="904" t="str">
        <f ca="1">IF(Q102="","",Q102-TODAY())</f>
        <v/>
      </c>
      <c r="U102" s="253"/>
      <c r="V102" s="253"/>
      <c r="W102" s="253"/>
      <c r="X102" s="253"/>
      <c r="Y102" s="253"/>
      <c r="Z102" s="253"/>
      <c r="AA102" s="253"/>
      <c r="AB102" s="253"/>
      <c r="AC102" s="253"/>
      <c r="AD102" s="253"/>
      <c r="AE102" s="253"/>
      <c r="AF102" s="253"/>
      <c r="AG102" s="253"/>
      <c r="AH102" s="253"/>
      <c r="AI102" s="253"/>
      <c r="AJ102" s="253"/>
      <c r="AK102" s="253"/>
      <c r="AL102" s="253"/>
      <c r="AM102" s="253"/>
      <c r="AN102" s="903"/>
      <c r="AO102" s="253" t="str">
        <f>IF(Z102="Yes",COUNTIF($Z$6:Z102,"Yes"),"")</f>
        <v/>
      </c>
      <c r="AP102" s="253" t="str">
        <f>IF(AA102="Yes",COUNTIF($AA$6:AA102,"Yes"),"")</f>
        <v/>
      </c>
      <c r="AQ102" s="253" t="str">
        <f>IF(AC102="Yes",COUNTIF($AC$6:AC102,"Yes"),"")</f>
        <v/>
      </c>
    </row>
    <row r="103" spans="1:43">
      <c r="A103" s="253"/>
      <c r="B103" s="253"/>
      <c r="C103" s="253"/>
      <c r="D103" s="253"/>
      <c r="E103" s="253"/>
      <c r="F103" s="253"/>
      <c r="G103" s="253"/>
      <c r="H103" s="253"/>
      <c r="I103" s="253"/>
      <c r="J103" s="253"/>
      <c r="K103" s="253"/>
      <c r="L103" s="253"/>
      <c r="M103" s="253"/>
      <c r="N103" s="253"/>
      <c r="O103" s="253"/>
      <c r="P103" s="903"/>
      <c r="Q103" s="903"/>
      <c r="R103" s="903"/>
      <c r="S103" s="904" t="str">
        <f ca="1">IF(P103="","",IF(R103&lt;&gt;"",R103-P103,TODAY()-P103))</f>
        <v/>
      </c>
      <c r="T103" s="904" t="str">
        <f ca="1">IF(Q103="","",Q103-TODAY())</f>
        <v/>
      </c>
      <c r="U103" s="253"/>
      <c r="V103" s="253"/>
      <c r="W103" s="253"/>
      <c r="X103" s="253"/>
      <c r="Y103" s="253"/>
      <c r="Z103" s="253"/>
      <c r="AA103" s="253"/>
      <c r="AB103" s="253"/>
      <c r="AC103" s="253"/>
      <c r="AD103" s="253"/>
      <c r="AE103" s="253"/>
      <c r="AF103" s="253"/>
      <c r="AG103" s="253"/>
      <c r="AH103" s="253"/>
      <c r="AI103" s="253"/>
      <c r="AJ103" s="253"/>
      <c r="AK103" s="253"/>
      <c r="AL103" s="253"/>
      <c r="AM103" s="253"/>
      <c r="AN103" s="903"/>
      <c r="AO103" s="253" t="str">
        <f>IF(Z103="Yes",COUNTIF($Z$6:Z103,"Yes"),"")</f>
        <v/>
      </c>
      <c r="AP103" s="253" t="str">
        <f>IF(AA103="Yes",COUNTIF($AA$6:AA103,"Yes"),"")</f>
        <v/>
      </c>
      <c r="AQ103" s="253" t="str">
        <f>IF(AC103="Yes",COUNTIF($AC$6:AC103,"Yes"),"")</f>
        <v/>
      </c>
    </row>
    <row r="104" spans="1:43">
      <c r="A104" s="253"/>
      <c r="B104" s="253"/>
      <c r="C104" s="253"/>
      <c r="D104" s="253"/>
      <c r="E104" s="253"/>
      <c r="F104" s="253"/>
      <c r="G104" s="253"/>
      <c r="H104" s="253"/>
      <c r="I104" s="253"/>
      <c r="J104" s="253"/>
      <c r="K104" s="253"/>
      <c r="L104" s="253"/>
      <c r="M104" s="253"/>
      <c r="N104" s="253"/>
      <c r="O104" s="253"/>
      <c r="P104" s="903"/>
      <c r="Q104" s="903"/>
      <c r="R104" s="903"/>
      <c r="S104" s="904" t="str">
        <f ca="1">IF(P104="","",IF(R104&lt;&gt;"",R104-P104,TODAY()-P104))</f>
        <v/>
      </c>
      <c r="T104" s="904" t="str">
        <f ca="1">IF(Q104="","",Q104-TODAY())</f>
        <v/>
      </c>
      <c r="U104" s="253"/>
      <c r="V104" s="253"/>
      <c r="W104" s="253"/>
      <c r="X104" s="253"/>
      <c r="Y104" s="253"/>
      <c r="Z104" s="253"/>
      <c r="AA104" s="253"/>
      <c r="AB104" s="253"/>
      <c r="AC104" s="253"/>
      <c r="AD104" s="253"/>
      <c r="AE104" s="253"/>
      <c r="AF104" s="253"/>
      <c r="AG104" s="253"/>
      <c r="AH104" s="253"/>
      <c r="AI104" s="253"/>
      <c r="AJ104" s="253"/>
      <c r="AK104" s="253"/>
      <c r="AL104" s="253"/>
      <c r="AM104" s="253"/>
      <c r="AN104" s="903"/>
      <c r="AO104" s="253" t="str">
        <f>IF(Z104="Yes",COUNTIF($Z$6:Z104,"Yes"),"")</f>
        <v/>
      </c>
      <c r="AP104" s="253" t="str">
        <f>IF(AA104="Yes",COUNTIF($AA$6:AA104,"Yes"),"")</f>
        <v/>
      </c>
      <c r="AQ104" s="253" t="str">
        <f>IF(AC104="Yes",COUNTIF($AC$6:AC104,"Yes"),"")</f>
        <v/>
      </c>
    </row>
    <row r="105" spans="1:43">
      <c r="A105" s="253"/>
      <c r="B105" s="253"/>
      <c r="C105" s="253"/>
      <c r="D105" s="253"/>
      <c r="E105" s="253"/>
      <c r="F105" s="253"/>
      <c r="G105" s="253"/>
      <c r="H105" s="253"/>
      <c r="I105" s="253"/>
      <c r="J105" s="253"/>
      <c r="K105" s="253"/>
      <c r="L105" s="253"/>
      <c r="M105" s="253"/>
      <c r="N105" s="253"/>
      <c r="O105" s="253"/>
      <c r="P105" s="903"/>
      <c r="Q105" s="903"/>
      <c r="R105" s="903"/>
      <c r="S105" s="904" t="str">
        <f ca="1">IF(P105="","",IF(R105&lt;&gt;"",R105-P105,TODAY()-P105))</f>
        <v/>
      </c>
      <c r="T105" s="904" t="str">
        <f ca="1">IF(Q105="","",Q105-TODAY())</f>
        <v/>
      </c>
      <c r="U105" s="253"/>
      <c r="V105" s="253"/>
      <c r="W105" s="253"/>
      <c r="X105" s="253"/>
      <c r="Y105" s="253"/>
      <c r="Z105" s="253"/>
      <c r="AA105" s="253"/>
      <c r="AB105" s="253"/>
      <c r="AC105" s="253"/>
      <c r="AD105" s="253"/>
      <c r="AE105" s="253"/>
      <c r="AF105" s="253"/>
      <c r="AG105" s="253"/>
      <c r="AH105" s="253"/>
      <c r="AI105" s="253"/>
      <c r="AJ105" s="253"/>
      <c r="AK105" s="253"/>
      <c r="AL105" s="253"/>
      <c r="AM105" s="253"/>
      <c r="AN105" s="903"/>
      <c r="AO105" s="253" t="str">
        <f>IF(Z105="Yes",COUNTIF($Z$6:Z105,"Yes"),"")</f>
        <v/>
      </c>
      <c r="AP105" s="253" t="str">
        <f>IF(AA105="Yes",COUNTIF($AA$6:AA105,"Yes"),"")</f>
        <v/>
      </c>
      <c r="AQ105" s="253" t="str">
        <f>IF(AC105="Yes",COUNTIF($AC$6:AC105,"Yes"),"")</f>
        <v/>
      </c>
    </row>
    <row r="106" spans="1:43">
      <c r="A106" s="253"/>
      <c r="B106" s="253"/>
      <c r="C106" s="253"/>
      <c r="D106" s="253"/>
      <c r="E106" s="253"/>
      <c r="F106" s="253"/>
      <c r="G106" s="253"/>
      <c r="H106" s="253"/>
      <c r="I106" s="253"/>
      <c r="J106" s="253"/>
      <c r="K106" s="253"/>
      <c r="L106" s="253"/>
      <c r="M106" s="253"/>
      <c r="N106" s="253"/>
      <c r="O106" s="253"/>
      <c r="P106" s="903"/>
      <c r="Q106" s="903"/>
      <c r="R106" s="903"/>
      <c r="S106" s="904" t="str">
        <f ca="1">IF(P106="","",IF(R106&lt;&gt;"",R106-P106,TODAY()-P106))</f>
        <v/>
      </c>
      <c r="T106" s="904" t="str">
        <f ca="1">IF(Q106="","",Q106-TODAY())</f>
        <v/>
      </c>
      <c r="U106" s="253"/>
      <c r="V106" s="253"/>
      <c r="W106" s="253"/>
      <c r="X106" s="253"/>
      <c r="Y106" s="253"/>
      <c r="Z106" s="253"/>
      <c r="AA106" s="253"/>
      <c r="AB106" s="253"/>
      <c r="AC106" s="253"/>
      <c r="AD106" s="253"/>
      <c r="AE106" s="253"/>
      <c r="AF106" s="253"/>
      <c r="AG106" s="253"/>
      <c r="AH106" s="253"/>
      <c r="AI106" s="253"/>
      <c r="AJ106" s="253"/>
      <c r="AK106" s="253"/>
      <c r="AL106" s="253"/>
      <c r="AM106" s="253"/>
      <c r="AN106" s="903"/>
      <c r="AO106" s="253" t="str">
        <f>IF(Z106="Yes",COUNTIF($Z$6:Z106,"Yes"),"")</f>
        <v/>
      </c>
      <c r="AP106" s="253" t="str">
        <f>IF(AA106="Yes",COUNTIF($AA$6:AA106,"Yes"),"")</f>
        <v/>
      </c>
      <c r="AQ106" s="253" t="str">
        <f>IF(AC106="Yes",COUNTIF($AC$6:AC106,"Yes"),"")</f>
        <v/>
      </c>
    </row>
    <row r="107" spans="1:43">
      <c r="A107" s="253"/>
      <c r="B107" s="253"/>
      <c r="C107" s="253"/>
      <c r="D107" s="253"/>
      <c r="E107" s="253"/>
      <c r="F107" s="253"/>
      <c r="G107" s="253"/>
      <c r="H107" s="253"/>
      <c r="I107" s="253"/>
      <c r="J107" s="253"/>
      <c r="K107" s="253"/>
      <c r="L107" s="253"/>
      <c r="M107" s="253"/>
      <c r="N107" s="253"/>
      <c r="O107" s="253"/>
      <c r="P107" s="903"/>
      <c r="Q107" s="903"/>
      <c r="R107" s="903"/>
      <c r="S107" s="904" t="str">
        <f ca="1">IF(P107="","",IF(R107&lt;&gt;"",R107-P107,TODAY()-P107))</f>
        <v/>
      </c>
      <c r="T107" s="904" t="str">
        <f ca="1">IF(Q107="","",Q107-TODAY())</f>
        <v/>
      </c>
      <c r="U107" s="253"/>
      <c r="V107" s="253"/>
      <c r="W107" s="253"/>
      <c r="X107" s="253"/>
      <c r="Y107" s="253"/>
      <c r="Z107" s="253"/>
      <c r="AA107" s="253"/>
      <c r="AB107" s="253"/>
      <c r="AC107" s="253"/>
      <c r="AD107" s="253"/>
      <c r="AE107" s="253"/>
      <c r="AF107" s="253"/>
      <c r="AG107" s="253"/>
      <c r="AH107" s="253"/>
      <c r="AI107" s="253"/>
      <c r="AJ107" s="253"/>
      <c r="AK107" s="253"/>
      <c r="AL107" s="253"/>
      <c r="AM107" s="253"/>
      <c r="AN107" s="903"/>
      <c r="AO107" s="253" t="str">
        <f>IF(Z107="Yes",COUNTIF($Z$6:Z107,"Yes"),"")</f>
        <v/>
      </c>
      <c r="AP107" s="253" t="str">
        <f>IF(AA107="Yes",COUNTIF($AA$6:AA107,"Yes"),"")</f>
        <v/>
      </c>
      <c r="AQ107" s="253" t="str">
        <f>IF(AC107="Yes",COUNTIF($AC$6:AC107,"Yes"),"")</f>
        <v/>
      </c>
    </row>
    <row r="108" spans="1:43">
      <c r="A108" s="253"/>
      <c r="B108" s="253"/>
      <c r="C108" s="253"/>
      <c r="D108" s="253"/>
      <c r="E108" s="253"/>
      <c r="F108" s="253"/>
      <c r="G108" s="253"/>
      <c r="H108" s="253"/>
      <c r="I108" s="253"/>
      <c r="J108" s="253"/>
      <c r="K108" s="253"/>
      <c r="L108" s="253"/>
      <c r="M108" s="253"/>
      <c r="N108" s="253"/>
      <c r="O108" s="253"/>
      <c r="P108" s="903"/>
      <c r="Q108" s="903"/>
      <c r="R108" s="903"/>
      <c r="S108" s="904" t="str">
        <f ca="1">IF(P108="","",IF(R108&lt;&gt;"",R108-P108,TODAY()-P108))</f>
        <v/>
      </c>
      <c r="T108" s="904" t="str">
        <f ca="1">IF(Q108="","",Q108-TODAY())</f>
        <v/>
      </c>
      <c r="U108" s="253"/>
      <c r="V108" s="253"/>
      <c r="W108" s="253"/>
      <c r="X108" s="253"/>
      <c r="Y108" s="253"/>
      <c r="Z108" s="253"/>
      <c r="AA108" s="253"/>
      <c r="AB108" s="253"/>
      <c r="AC108" s="253"/>
      <c r="AD108" s="253"/>
      <c r="AE108" s="253"/>
      <c r="AF108" s="253"/>
      <c r="AG108" s="253"/>
      <c r="AH108" s="253"/>
      <c r="AI108" s="253"/>
      <c r="AJ108" s="253"/>
      <c r="AK108" s="253"/>
      <c r="AL108" s="253"/>
      <c r="AM108" s="253"/>
      <c r="AN108" s="903"/>
      <c r="AO108" s="253" t="str">
        <f>IF(Z108="Yes",COUNTIF($Z$6:Z108,"Yes"),"")</f>
        <v/>
      </c>
      <c r="AP108" s="253" t="str">
        <f>IF(AA108="Yes",COUNTIF($AA$6:AA108,"Yes"),"")</f>
        <v/>
      </c>
      <c r="AQ108" s="253" t="str">
        <f>IF(AC108="Yes",COUNTIF($AC$6:AC108,"Yes"),"")</f>
        <v/>
      </c>
    </row>
    <row r="109" spans="1:43">
      <c r="A109" s="253"/>
      <c r="B109" s="253"/>
      <c r="C109" s="253"/>
      <c r="D109" s="253"/>
      <c r="E109" s="253"/>
      <c r="F109" s="253"/>
      <c r="G109" s="253"/>
      <c r="H109" s="253"/>
      <c r="I109" s="253"/>
      <c r="J109" s="253"/>
      <c r="K109" s="253"/>
      <c r="L109" s="253"/>
      <c r="M109" s="253"/>
      <c r="N109" s="253"/>
      <c r="O109" s="253"/>
      <c r="P109" s="903"/>
      <c r="Q109" s="903"/>
      <c r="R109" s="903"/>
      <c r="S109" s="904" t="str">
        <f ca="1">IF(P109="","",IF(R109&lt;&gt;"",R109-P109,TODAY()-P109))</f>
        <v/>
      </c>
      <c r="T109" s="904" t="str">
        <f ca="1">IF(Q109="","",Q109-TODAY())</f>
        <v/>
      </c>
      <c r="U109" s="253"/>
      <c r="V109" s="253"/>
      <c r="W109" s="253"/>
      <c r="X109" s="253"/>
      <c r="Y109" s="253"/>
      <c r="Z109" s="253"/>
      <c r="AA109" s="253"/>
      <c r="AB109" s="253"/>
      <c r="AC109" s="253"/>
      <c r="AD109" s="253"/>
      <c r="AE109" s="253"/>
      <c r="AF109" s="253"/>
      <c r="AG109" s="253"/>
      <c r="AH109" s="253"/>
      <c r="AI109" s="253"/>
      <c r="AJ109" s="253"/>
      <c r="AK109" s="253"/>
      <c r="AL109" s="253"/>
      <c r="AM109" s="253"/>
      <c r="AN109" s="903"/>
      <c r="AO109" s="253" t="str">
        <f>IF(Z109="Yes",COUNTIF($Z$6:Z109,"Yes"),"")</f>
        <v/>
      </c>
      <c r="AP109" s="253" t="str">
        <f>IF(AA109="Yes",COUNTIF($AA$6:AA109,"Yes"),"")</f>
        <v/>
      </c>
      <c r="AQ109" s="253" t="str">
        <f>IF(AC109="Yes",COUNTIF($AC$6:AC109,"Yes"),"")</f>
        <v/>
      </c>
    </row>
    <row r="110" spans="1:43">
      <c r="A110" s="253"/>
      <c r="B110" s="253"/>
      <c r="C110" s="253"/>
      <c r="D110" s="253"/>
      <c r="E110" s="253"/>
      <c r="F110" s="253"/>
      <c r="G110" s="253"/>
      <c r="H110" s="253"/>
      <c r="I110" s="253"/>
      <c r="J110" s="253"/>
      <c r="K110" s="253"/>
      <c r="L110" s="253"/>
      <c r="M110" s="253"/>
      <c r="N110" s="253"/>
      <c r="O110" s="253"/>
      <c r="P110" s="903"/>
      <c r="Q110" s="903"/>
      <c r="R110" s="903"/>
      <c r="S110" s="904" t="str">
        <f ca="1">IF(P110="","",IF(R110&lt;&gt;"",R110-P110,TODAY()-P110))</f>
        <v/>
      </c>
      <c r="T110" s="904" t="str">
        <f ca="1">IF(Q110="","",Q110-TODAY())</f>
        <v/>
      </c>
      <c r="U110" s="253"/>
      <c r="V110" s="253"/>
      <c r="W110" s="253"/>
      <c r="X110" s="253"/>
      <c r="Y110" s="253"/>
      <c r="Z110" s="253"/>
      <c r="AA110" s="253"/>
      <c r="AB110" s="253"/>
      <c r="AC110" s="253"/>
      <c r="AD110" s="253"/>
      <c r="AE110" s="253"/>
      <c r="AF110" s="253"/>
      <c r="AG110" s="253"/>
      <c r="AH110" s="253"/>
      <c r="AI110" s="253"/>
      <c r="AJ110" s="253"/>
      <c r="AK110" s="253"/>
      <c r="AL110" s="253"/>
      <c r="AM110" s="253"/>
      <c r="AN110" s="903"/>
      <c r="AO110" s="253" t="str">
        <f>IF(Z110="Yes",COUNTIF($Z$6:Z110,"Yes"),"")</f>
        <v/>
      </c>
      <c r="AP110" s="253" t="str">
        <f>IF(AA110="Yes",COUNTIF($AA$6:AA110,"Yes"),"")</f>
        <v/>
      </c>
      <c r="AQ110" s="253" t="str">
        <f>IF(AC110="Yes",COUNTIF($AC$6:AC110,"Yes"),"")</f>
        <v/>
      </c>
    </row>
    <row r="111" spans="1:43">
      <c r="A111" s="253"/>
      <c r="B111" s="253"/>
      <c r="C111" s="253"/>
      <c r="D111" s="253"/>
      <c r="E111" s="253"/>
      <c r="F111" s="253"/>
      <c r="G111" s="253"/>
      <c r="H111" s="253"/>
      <c r="I111" s="253"/>
      <c r="J111" s="253"/>
      <c r="K111" s="253"/>
      <c r="L111" s="253"/>
      <c r="M111" s="253"/>
      <c r="N111" s="253"/>
      <c r="O111" s="253"/>
      <c r="P111" s="903"/>
      <c r="Q111" s="903"/>
      <c r="R111" s="903"/>
      <c r="S111" s="904" t="str">
        <f ca="1">IF(P111="","",IF(R111&lt;&gt;"",R111-P111,TODAY()-P111))</f>
        <v/>
      </c>
      <c r="T111" s="904" t="str">
        <f ca="1">IF(Q111="","",Q111-TODAY())</f>
        <v/>
      </c>
      <c r="U111" s="253"/>
      <c r="V111" s="253"/>
      <c r="W111" s="253"/>
      <c r="X111" s="253"/>
      <c r="Y111" s="253"/>
      <c r="Z111" s="253"/>
      <c r="AA111" s="253"/>
      <c r="AB111" s="253"/>
      <c r="AC111" s="253"/>
      <c r="AD111" s="253"/>
      <c r="AE111" s="253"/>
      <c r="AF111" s="253"/>
      <c r="AG111" s="253"/>
      <c r="AH111" s="253"/>
      <c r="AI111" s="253"/>
      <c r="AJ111" s="253"/>
      <c r="AK111" s="253"/>
      <c r="AL111" s="253"/>
      <c r="AM111" s="253"/>
      <c r="AN111" s="903"/>
      <c r="AO111" s="253" t="str">
        <f>IF(Z111="Yes",COUNTIF($Z$6:Z111,"Yes"),"")</f>
        <v/>
      </c>
      <c r="AP111" s="253" t="str">
        <f>IF(AA111="Yes",COUNTIF($AA$6:AA111,"Yes"),"")</f>
        <v/>
      </c>
      <c r="AQ111" s="253" t="str">
        <f>IF(AC111="Yes",COUNTIF($AC$6:AC111,"Yes"),"")</f>
        <v/>
      </c>
    </row>
    <row r="112" spans="1:43">
      <c r="A112" s="253"/>
      <c r="B112" s="253"/>
      <c r="C112" s="253"/>
      <c r="D112" s="253"/>
      <c r="E112" s="253"/>
      <c r="F112" s="253"/>
      <c r="G112" s="253"/>
      <c r="H112" s="253"/>
      <c r="I112" s="253"/>
      <c r="J112" s="253"/>
      <c r="K112" s="253"/>
      <c r="L112" s="253"/>
      <c r="M112" s="253"/>
      <c r="N112" s="253"/>
      <c r="O112" s="253"/>
      <c r="P112" s="903"/>
      <c r="Q112" s="903"/>
      <c r="R112" s="903"/>
      <c r="S112" s="904" t="str">
        <f ca="1">IF(P112="","",IF(R112&lt;&gt;"",R112-P112,TODAY()-P112))</f>
        <v/>
      </c>
      <c r="T112" s="904" t="str">
        <f ca="1">IF(Q112="","",Q112-TODAY())</f>
        <v/>
      </c>
      <c r="U112" s="253"/>
      <c r="V112" s="253"/>
      <c r="W112" s="253"/>
      <c r="X112" s="253"/>
      <c r="Y112" s="253"/>
      <c r="Z112" s="253"/>
      <c r="AA112" s="253"/>
      <c r="AB112" s="253"/>
      <c r="AC112" s="253"/>
      <c r="AD112" s="253"/>
      <c r="AE112" s="253"/>
      <c r="AF112" s="253"/>
      <c r="AG112" s="253"/>
      <c r="AH112" s="253"/>
      <c r="AI112" s="253"/>
      <c r="AJ112" s="253"/>
      <c r="AK112" s="253"/>
      <c r="AL112" s="253"/>
      <c r="AM112" s="253"/>
      <c r="AN112" s="903"/>
      <c r="AO112" s="253" t="str">
        <f>IF(Z112="Yes",COUNTIF($Z$6:Z112,"Yes"),"")</f>
        <v/>
      </c>
      <c r="AP112" s="253" t="str">
        <f>IF(AA112="Yes",COUNTIF($AA$6:AA112,"Yes"),"")</f>
        <v/>
      </c>
      <c r="AQ112" s="253" t="str">
        <f>IF(AC112="Yes",COUNTIF($AC$6:AC112,"Yes"),"")</f>
        <v/>
      </c>
    </row>
    <row r="113" spans="1:43">
      <c r="A113" s="253"/>
      <c r="B113" s="253"/>
      <c r="C113" s="253"/>
      <c r="D113" s="253"/>
      <c r="E113" s="253"/>
      <c r="F113" s="253"/>
      <c r="G113" s="253"/>
      <c r="H113" s="253"/>
      <c r="I113" s="253"/>
      <c r="J113" s="253"/>
      <c r="K113" s="253"/>
      <c r="L113" s="253"/>
      <c r="M113" s="253"/>
      <c r="N113" s="253"/>
      <c r="O113" s="253"/>
      <c r="P113" s="903"/>
      <c r="Q113" s="903"/>
      <c r="R113" s="903"/>
      <c r="S113" s="904" t="str">
        <f ca="1">IF(P113="","",IF(R113&lt;&gt;"",R113-P113,TODAY()-P113))</f>
        <v/>
      </c>
      <c r="T113" s="904" t="str">
        <f ca="1">IF(Q113="","",Q113-TODAY())</f>
        <v/>
      </c>
      <c r="U113" s="253"/>
      <c r="V113" s="253"/>
      <c r="W113" s="253"/>
      <c r="X113" s="253"/>
      <c r="Y113" s="253"/>
      <c r="Z113" s="253"/>
      <c r="AA113" s="253"/>
      <c r="AB113" s="253"/>
      <c r="AC113" s="253"/>
      <c r="AD113" s="253"/>
      <c r="AE113" s="253"/>
      <c r="AF113" s="253"/>
      <c r="AG113" s="253"/>
      <c r="AH113" s="253"/>
      <c r="AI113" s="253"/>
      <c r="AJ113" s="253"/>
      <c r="AK113" s="253"/>
      <c r="AL113" s="253"/>
      <c r="AM113" s="253"/>
      <c r="AN113" s="903"/>
      <c r="AO113" s="253" t="str">
        <f>IF(Z113="Yes",COUNTIF($Z$6:Z113,"Yes"),"")</f>
        <v/>
      </c>
      <c r="AP113" s="253" t="str">
        <f>IF(AA113="Yes",COUNTIF($AA$6:AA113,"Yes"),"")</f>
        <v/>
      </c>
      <c r="AQ113" s="253" t="str">
        <f>IF(AC113="Yes",COUNTIF($AC$6:AC113,"Yes"),"")</f>
        <v/>
      </c>
    </row>
    <row r="114" spans="1:43">
      <c r="A114" s="253"/>
      <c r="B114" s="253"/>
      <c r="C114" s="253"/>
      <c r="D114" s="253"/>
      <c r="E114" s="253"/>
      <c r="F114" s="253"/>
      <c r="G114" s="253"/>
      <c r="H114" s="253"/>
      <c r="I114" s="253"/>
      <c r="J114" s="253"/>
      <c r="K114" s="253"/>
      <c r="L114" s="253"/>
      <c r="M114" s="253"/>
      <c r="N114" s="253"/>
      <c r="O114" s="253"/>
      <c r="P114" s="903"/>
      <c r="Q114" s="903"/>
      <c r="R114" s="903"/>
      <c r="S114" s="904" t="str">
        <f ca="1">IF(P114="","",IF(R114&lt;&gt;"",R114-P114,TODAY()-P114))</f>
        <v/>
      </c>
      <c r="T114" s="904" t="str">
        <f ca="1">IF(Q114="","",Q114-TODAY())</f>
        <v/>
      </c>
      <c r="U114" s="253"/>
      <c r="V114" s="253"/>
      <c r="W114" s="253"/>
      <c r="X114" s="253"/>
      <c r="Y114" s="253"/>
      <c r="Z114" s="253"/>
      <c r="AA114" s="253"/>
      <c r="AB114" s="253"/>
      <c r="AC114" s="253"/>
      <c r="AD114" s="253"/>
      <c r="AE114" s="253"/>
      <c r="AF114" s="253"/>
      <c r="AG114" s="253"/>
      <c r="AH114" s="253"/>
      <c r="AI114" s="253"/>
      <c r="AJ114" s="253"/>
      <c r="AK114" s="253"/>
      <c r="AL114" s="253"/>
      <c r="AM114" s="253"/>
      <c r="AN114" s="903"/>
      <c r="AO114" s="253" t="str">
        <f>IF(Z114="Yes",COUNTIF($Z$6:Z114,"Yes"),"")</f>
        <v/>
      </c>
      <c r="AP114" s="253" t="str">
        <f>IF(AA114="Yes",COUNTIF($AA$6:AA114,"Yes"),"")</f>
        <v/>
      </c>
      <c r="AQ114" s="253" t="str">
        <f>IF(AC114="Yes",COUNTIF($AC$6:AC114,"Yes"),"")</f>
        <v/>
      </c>
    </row>
    <row r="115" spans="1:43">
      <c r="A115" s="253"/>
      <c r="B115" s="253"/>
      <c r="C115" s="253"/>
      <c r="D115" s="253"/>
      <c r="E115" s="253"/>
      <c r="F115" s="253"/>
      <c r="G115" s="253"/>
      <c r="H115" s="253"/>
      <c r="I115" s="253"/>
      <c r="J115" s="253"/>
      <c r="K115" s="253"/>
      <c r="L115" s="253"/>
      <c r="M115" s="253"/>
      <c r="N115" s="253"/>
      <c r="O115" s="253"/>
      <c r="P115" s="903"/>
      <c r="Q115" s="903"/>
      <c r="R115" s="903"/>
      <c r="S115" s="904" t="str">
        <f ca="1">IF(P115="","",IF(R115&lt;&gt;"",R115-P115,TODAY()-P115))</f>
        <v/>
      </c>
      <c r="T115" s="904" t="str">
        <f ca="1">IF(Q115="","",Q115-TODAY())</f>
        <v/>
      </c>
      <c r="U115" s="253"/>
      <c r="V115" s="253"/>
      <c r="W115" s="253"/>
      <c r="X115" s="253"/>
      <c r="Y115" s="253"/>
      <c r="Z115" s="253"/>
      <c r="AA115" s="253"/>
      <c r="AB115" s="253"/>
      <c r="AC115" s="253"/>
      <c r="AD115" s="253"/>
      <c r="AE115" s="253"/>
      <c r="AF115" s="253"/>
      <c r="AG115" s="253"/>
      <c r="AH115" s="253"/>
      <c r="AI115" s="253"/>
      <c r="AJ115" s="253"/>
      <c r="AK115" s="253"/>
      <c r="AL115" s="253"/>
      <c r="AM115" s="253"/>
      <c r="AN115" s="903"/>
      <c r="AO115" s="253" t="str">
        <f>IF(Z115="Yes",COUNTIF($Z$6:Z115,"Yes"),"")</f>
        <v/>
      </c>
      <c r="AP115" s="253" t="str">
        <f>IF(AA115="Yes",COUNTIF($AA$6:AA115,"Yes"),"")</f>
        <v/>
      </c>
      <c r="AQ115" s="253" t="str">
        <f>IF(AC115="Yes",COUNTIF($AC$6:AC115,"Yes"),"")</f>
        <v/>
      </c>
    </row>
    <row r="116" spans="1:43">
      <c r="A116" s="253"/>
      <c r="B116" s="253"/>
      <c r="C116" s="253"/>
      <c r="D116" s="253"/>
      <c r="E116" s="253"/>
      <c r="F116" s="253"/>
      <c r="G116" s="253"/>
      <c r="H116" s="253"/>
      <c r="I116" s="253"/>
      <c r="J116" s="253"/>
      <c r="K116" s="253"/>
      <c r="L116" s="253"/>
      <c r="M116" s="253"/>
      <c r="N116" s="253"/>
      <c r="O116" s="253"/>
      <c r="P116" s="903"/>
      <c r="Q116" s="903"/>
      <c r="R116" s="903"/>
      <c r="S116" s="904" t="str">
        <f ca="1">IF(P116="","",IF(R116&lt;&gt;"",R116-P116,TODAY()-P116))</f>
        <v/>
      </c>
      <c r="T116" s="904" t="str">
        <f ca="1">IF(Q116="","",Q116-TODAY())</f>
        <v/>
      </c>
      <c r="U116" s="253"/>
      <c r="V116" s="253"/>
      <c r="W116" s="253"/>
      <c r="X116" s="253"/>
      <c r="Y116" s="253"/>
      <c r="Z116" s="253"/>
      <c r="AA116" s="253"/>
      <c r="AB116" s="253"/>
      <c r="AC116" s="253"/>
      <c r="AD116" s="253"/>
      <c r="AE116" s="253"/>
      <c r="AF116" s="253"/>
      <c r="AG116" s="253"/>
      <c r="AH116" s="253"/>
      <c r="AI116" s="253"/>
      <c r="AJ116" s="253"/>
      <c r="AK116" s="253"/>
      <c r="AL116" s="253"/>
      <c r="AM116" s="253"/>
      <c r="AN116" s="903"/>
      <c r="AO116" s="253" t="str">
        <f>IF(Z116="Yes",COUNTIF($Z$6:Z116,"Yes"),"")</f>
        <v/>
      </c>
      <c r="AP116" s="253" t="str">
        <f>IF(AA116="Yes",COUNTIF($AA$6:AA116,"Yes"),"")</f>
        <v/>
      </c>
      <c r="AQ116" s="253" t="str">
        <f>IF(AC116="Yes",COUNTIF($AC$6:AC116,"Yes"),"")</f>
        <v/>
      </c>
    </row>
    <row r="117" spans="1:43">
      <c r="A117" s="253"/>
      <c r="B117" s="253"/>
      <c r="C117" s="253"/>
      <c r="D117" s="253"/>
      <c r="E117" s="253"/>
      <c r="F117" s="253"/>
      <c r="G117" s="253"/>
      <c r="H117" s="253"/>
      <c r="I117" s="253"/>
      <c r="J117" s="253"/>
      <c r="K117" s="253"/>
      <c r="L117" s="253"/>
      <c r="M117" s="253"/>
      <c r="N117" s="253"/>
      <c r="O117" s="253"/>
      <c r="P117" s="903"/>
      <c r="Q117" s="903"/>
      <c r="R117" s="903"/>
      <c r="S117" s="904" t="str">
        <f ca="1">IF(P117="","",IF(R117&lt;&gt;"",R117-P117,TODAY()-P117))</f>
        <v/>
      </c>
      <c r="T117" s="904" t="str">
        <f ca="1">IF(Q117="","",Q117-TODAY())</f>
        <v/>
      </c>
      <c r="U117" s="253"/>
      <c r="V117" s="253"/>
      <c r="W117" s="253"/>
      <c r="X117" s="253"/>
      <c r="Y117" s="253"/>
      <c r="Z117" s="253"/>
      <c r="AA117" s="253"/>
      <c r="AB117" s="253"/>
      <c r="AC117" s="253"/>
      <c r="AD117" s="253"/>
      <c r="AE117" s="253"/>
      <c r="AF117" s="253"/>
      <c r="AG117" s="253"/>
      <c r="AH117" s="253"/>
      <c r="AI117" s="253"/>
      <c r="AJ117" s="253"/>
      <c r="AK117" s="253"/>
      <c r="AL117" s="253"/>
      <c r="AM117" s="253"/>
      <c r="AN117" s="903"/>
      <c r="AO117" s="253" t="str">
        <f>IF(Z117="Yes",COUNTIF($Z$6:Z117,"Yes"),"")</f>
        <v/>
      </c>
      <c r="AP117" s="253" t="str">
        <f>IF(AA117="Yes",COUNTIF($AA$6:AA117,"Yes"),"")</f>
        <v/>
      </c>
      <c r="AQ117" s="253" t="str">
        <f>IF(AC117="Yes",COUNTIF($AC$6:AC117,"Yes"),"")</f>
        <v/>
      </c>
    </row>
    <row r="118" spans="1:43">
      <c r="A118" s="253"/>
      <c r="B118" s="253"/>
      <c r="C118" s="253"/>
      <c r="D118" s="253"/>
      <c r="E118" s="253"/>
      <c r="F118" s="253"/>
      <c r="G118" s="253"/>
      <c r="H118" s="253"/>
      <c r="I118" s="253"/>
      <c r="J118" s="253"/>
      <c r="K118" s="253"/>
      <c r="L118" s="253"/>
      <c r="M118" s="253"/>
      <c r="N118" s="253"/>
      <c r="O118" s="253"/>
      <c r="P118" s="903"/>
      <c r="Q118" s="903"/>
      <c r="R118" s="903"/>
      <c r="S118" s="904" t="str">
        <f ca="1">IF(P118="","",IF(R118&lt;&gt;"",R118-P118,TODAY()-P118))</f>
        <v/>
      </c>
      <c r="T118" s="904" t="str">
        <f ca="1">IF(Q118="","",Q118-TODAY())</f>
        <v/>
      </c>
      <c r="U118" s="253"/>
      <c r="V118" s="253"/>
      <c r="W118" s="253"/>
      <c r="X118" s="253"/>
      <c r="Y118" s="253"/>
      <c r="Z118" s="253"/>
      <c r="AA118" s="253"/>
      <c r="AB118" s="253"/>
      <c r="AC118" s="253"/>
      <c r="AD118" s="253"/>
      <c r="AE118" s="253"/>
      <c r="AF118" s="253"/>
      <c r="AG118" s="253"/>
      <c r="AH118" s="253"/>
      <c r="AI118" s="253"/>
      <c r="AJ118" s="253"/>
      <c r="AK118" s="253"/>
      <c r="AL118" s="253"/>
      <c r="AM118" s="253"/>
      <c r="AN118" s="903"/>
      <c r="AO118" s="253" t="str">
        <f>IF(Z118="Yes",COUNTIF($Z$6:Z118,"Yes"),"")</f>
        <v/>
      </c>
      <c r="AP118" s="253" t="str">
        <f>IF(AA118="Yes",COUNTIF($AA$6:AA118,"Yes"),"")</f>
        <v/>
      </c>
      <c r="AQ118" s="253" t="str">
        <f>IF(AC118="Yes",COUNTIF($AC$6:AC118,"Yes"),"")</f>
        <v/>
      </c>
    </row>
    <row r="119" spans="1:43">
      <c r="A119" s="253"/>
      <c r="B119" s="253"/>
      <c r="C119" s="253"/>
      <c r="D119" s="253"/>
      <c r="E119" s="253"/>
      <c r="F119" s="253"/>
      <c r="G119" s="253"/>
      <c r="H119" s="253"/>
      <c r="I119" s="253"/>
      <c r="J119" s="253"/>
      <c r="K119" s="253"/>
      <c r="L119" s="253"/>
      <c r="M119" s="253"/>
      <c r="N119" s="253"/>
      <c r="O119" s="253"/>
      <c r="P119" s="903"/>
      <c r="Q119" s="903"/>
      <c r="R119" s="903"/>
      <c r="S119" s="904" t="str">
        <f ca="1">IF(P119="","",IF(R119&lt;&gt;"",R119-P119,TODAY()-P119))</f>
        <v/>
      </c>
      <c r="T119" s="904" t="str">
        <f ca="1">IF(Q119="","",Q119-TODAY())</f>
        <v/>
      </c>
      <c r="U119" s="253"/>
      <c r="V119" s="253"/>
      <c r="W119" s="253"/>
      <c r="X119" s="253"/>
      <c r="Y119" s="253"/>
      <c r="Z119" s="253"/>
      <c r="AA119" s="253"/>
      <c r="AB119" s="253"/>
      <c r="AC119" s="253"/>
      <c r="AD119" s="253"/>
      <c r="AE119" s="253"/>
      <c r="AF119" s="253"/>
      <c r="AG119" s="253"/>
      <c r="AH119" s="253"/>
      <c r="AI119" s="253"/>
      <c r="AJ119" s="253"/>
      <c r="AK119" s="253"/>
      <c r="AL119" s="253"/>
      <c r="AM119" s="253"/>
      <c r="AN119" s="903"/>
      <c r="AO119" s="253" t="str">
        <f>IF(Z119="Yes",COUNTIF($Z$6:Z119,"Yes"),"")</f>
        <v/>
      </c>
      <c r="AP119" s="253" t="str">
        <f>IF(AA119="Yes",COUNTIF($AA$6:AA119,"Yes"),"")</f>
        <v/>
      </c>
      <c r="AQ119" s="253" t="str">
        <f>IF(AC119="Yes",COUNTIF($AC$6:AC119,"Yes"),"")</f>
        <v/>
      </c>
    </row>
    <row r="120" spans="1:43">
      <c r="A120" s="253"/>
      <c r="B120" s="253"/>
      <c r="C120" s="253"/>
      <c r="D120" s="253"/>
      <c r="E120" s="253"/>
      <c r="F120" s="253"/>
      <c r="G120" s="253"/>
      <c r="H120" s="253"/>
      <c r="I120" s="253"/>
      <c r="J120" s="253"/>
      <c r="K120" s="253"/>
      <c r="L120" s="253"/>
      <c r="M120" s="253"/>
      <c r="N120" s="253"/>
      <c r="O120" s="253"/>
      <c r="P120" s="903"/>
      <c r="Q120" s="903"/>
      <c r="R120" s="903"/>
      <c r="S120" s="904" t="str">
        <f ca="1">IF(P120="","",IF(R120&lt;&gt;"",R120-P120,TODAY()-P120))</f>
        <v/>
      </c>
      <c r="T120" s="904" t="str">
        <f ca="1">IF(Q120="","",Q120-TODAY())</f>
        <v/>
      </c>
      <c r="U120" s="253"/>
      <c r="V120" s="253"/>
      <c r="W120" s="253"/>
      <c r="X120" s="253"/>
      <c r="Y120" s="253"/>
      <c r="Z120" s="253"/>
      <c r="AA120" s="253"/>
      <c r="AB120" s="253"/>
      <c r="AC120" s="253"/>
      <c r="AD120" s="253"/>
      <c r="AE120" s="253"/>
      <c r="AF120" s="253"/>
      <c r="AG120" s="253"/>
      <c r="AH120" s="253"/>
      <c r="AI120" s="253"/>
      <c r="AJ120" s="253"/>
      <c r="AK120" s="253"/>
      <c r="AL120" s="253"/>
      <c r="AM120" s="253"/>
      <c r="AN120" s="903"/>
      <c r="AO120" s="253" t="str">
        <f>IF(Z120="Yes",COUNTIF($Z$6:Z120,"Yes"),"")</f>
        <v/>
      </c>
      <c r="AP120" s="253" t="str">
        <f>IF(AA120="Yes",COUNTIF($AA$6:AA120,"Yes"),"")</f>
        <v/>
      </c>
      <c r="AQ120" s="253" t="str">
        <f>IF(AC120="Yes",COUNTIF($AC$6:AC120,"Yes"),"")</f>
        <v/>
      </c>
    </row>
    <row r="121" spans="1:43">
      <c r="A121" s="253"/>
      <c r="B121" s="253"/>
      <c r="C121" s="253"/>
      <c r="D121" s="253"/>
      <c r="E121" s="253"/>
      <c r="F121" s="253"/>
      <c r="G121" s="253"/>
      <c r="H121" s="253"/>
      <c r="I121" s="253"/>
      <c r="J121" s="253"/>
      <c r="K121" s="253"/>
      <c r="L121" s="253"/>
      <c r="M121" s="253"/>
      <c r="N121" s="253"/>
      <c r="O121" s="253"/>
      <c r="P121" s="903"/>
      <c r="Q121" s="903"/>
      <c r="R121" s="903"/>
      <c r="S121" s="904" t="str">
        <f ca="1">IF(P121="","",IF(R121&lt;&gt;"",R121-P121,TODAY()-P121))</f>
        <v/>
      </c>
      <c r="T121" s="904" t="str">
        <f ca="1">IF(Q121="","",Q121-TODAY())</f>
        <v/>
      </c>
      <c r="U121" s="253"/>
      <c r="V121" s="253"/>
      <c r="W121" s="253"/>
      <c r="X121" s="253"/>
      <c r="Y121" s="253"/>
      <c r="Z121" s="253"/>
      <c r="AA121" s="253"/>
      <c r="AB121" s="253"/>
      <c r="AC121" s="253"/>
      <c r="AD121" s="253"/>
      <c r="AE121" s="253"/>
      <c r="AF121" s="253"/>
      <c r="AG121" s="253"/>
      <c r="AH121" s="253"/>
      <c r="AI121" s="253"/>
      <c r="AJ121" s="253"/>
      <c r="AK121" s="253"/>
      <c r="AL121" s="253"/>
      <c r="AM121" s="253"/>
      <c r="AN121" s="903"/>
      <c r="AO121" s="253" t="str">
        <f>IF(Z121="Yes",COUNTIF($Z$6:Z121,"Yes"),"")</f>
        <v/>
      </c>
      <c r="AP121" s="253" t="str">
        <f>IF(AA121="Yes",COUNTIF($AA$6:AA121,"Yes"),"")</f>
        <v/>
      </c>
      <c r="AQ121" s="253" t="str">
        <f>IF(AC121="Yes",COUNTIF($AC$6:AC121,"Yes"),"")</f>
        <v/>
      </c>
    </row>
    <row r="122" spans="1:43">
      <c r="A122" s="253"/>
      <c r="B122" s="253"/>
      <c r="C122" s="253"/>
      <c r="D122" s="253"/>
      <c r="E122" s="253"/>
      <c r="F122" s="253"/>
      <c r="G122" s="253"/>
      <c r="H122" s="253"/>
      <c r="I122" s="253"/>
      <c r="J122" s="253"/>
      <c r="K122" s="253"/>
      <c r="L122" s="253"/>
      <c r="M122" s="253"/>
      <c r="N122" s="253"/>
      <c r="O122" s="253"/>
      <c r="P122" s="903"/>
      <c r="Q122" s="903"/>
      <c r="R122" s="903"/>
      <c r="S122" s="904" t="str">
        <f ca="1">IF(P122="","",IF(R122&lt;&gt;"",R122-P122,TODAY()-P122))</f>
        <v/>
      </c>
      <c r="T122" s="904" t="str">
        <f ca="1">IF(Q122="","",Q122-TODAY())</f>
        <v/>
      </c>
      <c r="U122" s="253"/>
      <c r="V122" s="253"/>
      <c r="W122" s="253"/>
      <c r="X122" s="253"/>
      <c r="Y122" s="253"/>
      <c r="Z122" s="253"/>
      <c r="AA122" s="253"/>
      <c r="AB122" s="253"/>
      <c r="AC122" s="253"/>
      <c r="AD122" s="253"/>
      <c r="AE122" s="253"/>
      <c r="AF122" s="253"/>
      <c r="AG122" s="253"/>
      <c r="AH122" s="253"/>
      <c r="AI122" s="253"/>
      <c r="AJ122" s="253"/>
      <c r="AK122" s="253"/>
      <c r="AL122" s="253"/>
      <c r="AM122" s="253"/>
      <c r="AN122" s="903"/>
      <c r="AO122" s="253" t="str">
        <f>IF(Z122="Yes",COUNTIF($Z$6:Z122,"Yes"),"")</f>
        <v/>
      </c>
      <c r="AP122" s="253" t="str">
        <f>IF(AA122="Yes",COUNTIF($AA$6:AA122,"Yes"),"")</f>
        <v/>
      </c>
      <c r="AQ122" s="253" t="str">
        <f>IF(AC122="Yes",COUNTIF($AC$6:AC122,"Yes"),"")</f>
        <v/>
      </c>
    </row>
    <row r="123" spans="1:43">
      <c r="A123" s="253"/>
      <c r="B123" s="253"/>
      <c r="C123" s="253"/>
      <c r="D123" s="253"/>
      <c r="E123" s="253"/>
      <c r="F123" s="253"/>
      <c r="G123" s="253"/>
      <c r="H123" s="253"/>
      <c r="I123" s="253"/>
      <c r="J123" s="253"/>
      <c r="K123" s="253"/>
      <c r="L123" s="253"/>
      <c r="M123" s="253"/>
      <c r="N123" s="253"/>
      <c r="O123" s="253"/>
      <c r="P123" s="903"/>
      <c r="Q123" s="903"/>
      <c r="R123" s="903"/>
      <c r="S123" s="904" t="str">
        <f ca="1">IF(P123="","",IF(R123&lt;&gt;"",R123-P123,TODAY()-P123))</f>
        <v/>
      </c>
      <c r="T123" s="904" t="str">
        <f ca="1">IF(Q123="","",Q123-TODAY())</f>
        <v/>
      </c>
      <c r="U123" s="253"/>
      <c r="V123" s="253"/>
      <c r="W123" s="253"/>
      <c r="X123" s="253"/>
      <c r="Y123" s="253"/>
      <c r="Z123" s="253"/>
      <c r="AA123" s="253"/>
      <c r="AB123" s="253"/>
      <c r="AC123" s="253"/>
      <c r="AD123" s="253"/>
      <c r="AE123" s="253"/>
      <c r="AF123" s="253"/>
      <c r="AG123" s="253"/>
      <c r="AH123" s="253"/>
      <c r="AI123" s="253"/>
      <c r="AJ123" s="253"/>
      <c r="AK123" s="253"/>
      <c r="AL123" s="253"/>
      <c r="AM123" s="253"/>
      <c r="AN123" s="903"/>
      <c r="AO123" s="253" t="str">
        <f>IF(Z123="Yes",COUNTIF($Z$6:Z123,"Yes"),"")</f>
        <v/>
      </c>
      <c r="AP123" s="253" t="str">
        <f>IF(AA123="Yes",COUNTIF($AA$6:AA123,"Yes"),"")</f>
        <v/>
      </c>
      <c r="AQ123" s="253" t="str">
        <f>IF(AC123="Yes",COUNTIF($AC$6:AC123,"Yes"),"")</f>
        <v/>
      </c>
    </row>
    <row r="124" spans="1:43">
      <c r="A124" s="253"/>
      <c r="B124" s="253"/>
      <c r="C124" s="253"/>
      <c r="D124" s="253"/>
      <c r="E124" s="253"/>
      <c r="F124" s="253"/>
      <c r="G124" s="253"/>
      <c r="H124" s="253"/>
      <c r="I124" s="253"/>
      <c r="J124" s="253"/>
      <c r="K124" s="253"/>
      <c r="L124" s="253"/>
      <c r="M124" s="253"/>
      <c r="N124" s="253"/>
      <c r="O124" s="253"/>
      <c r="P124" s="903"/>
      <c r="Q124" s="903"/>
      <c r="R124" s="903"/>
      <c r="S124" s="904" t="str">
        <f ca="1">IF(P124="","",IF(R124&lt;&gt;"",R124-P124,TODAY()-P124))</f>
        <v/>
      </c>
      <c r="T124" s="904" t="str">
        <f ca="1">IF(Q124="","",Q124-TODAY())</f>
        <v/>
      </c>
      <c r="U124" s="253"/>
      <c r="V124" s="253"/>
      <c r="W124" s="253"/>
      <c r="X124" s="253"/>
      <c r="Y124" s="253"/>
      <c r="Z124" s="253"/>
      <c r="AA124" s="253"/>
      <c r="AB124" s="253"/>
      <c r="AC124" s="253"/>
      <c r="AD124" s="253"/>
      <c r="AE124" s="253"/>
      <c r="AF124" s="253"/>
      <c r="AG124" s="253"/>
      <c r="AH124" s="253"/>
      <c r="AI124" s="253"/>
      <c r="AJ124" s="253"/>
      <c r="AK124" s="253"/>
      <c r="AL124" s="253"/>
      <c r="AM124" s="253"/>
      <c r="AN124" s="903"/>
      <c r="AO124" s="253" t="str">
        <f>IF(Z124="Yes",COUNTIF($Z$6:Z124,"Yes"),"")</f>
        <v/>
      </c>
      <c r="AP124" s="253" t="str">
        <f>IF(AA124="Yes",COUNTIF($AA$6:AA124,"Yes"),"")</f>
        <v/>
      </c>
      <c r="AQ124" s="253" t="str">
        <f>IF(AC124="Yes",COUNTIF($AC$6:AC124,"Yes"),"")</f>
        <v/>
      </c>
    </row>
    <row r="125" spans="1:43">
      <c r="A125" s="253"/>
      <c r="B125" s="253"/>
      <c r="C125" s="253"/>
      <c r="D125" s="253"/>
      <c r="E125" s="253"/>
      <c r="F125" s="253"/>
      <c r="G125" s="253"/>
      <c r="H125" s="253"/>
      <c r="I125" s="253"/>
      <c r="J125" s="253"/>
      <c r="K125" s="253"/>
      <c r="L125" s="253"/>
      <c r="M125" s="253"/>
      <c r="N125" s="253"/>
      <c r="O125" s="253"/>
      <c r="P125" s="903"/>
      <c r="Q125" s="903"/>
      <c r="R125" s="903"/>
      <c r="S125" s="904" t="str">
        <f ca="1">IF(P125="","",IF(R125&lt;&gt;"",R125-P125,TODAY()-P125))</f>
        <v/>
      </c>
      <c r="T125" s="904" t="str">
        <f ca="1">IF(Q125="","",Q125-TODAY())</f>
        <v/>
      </c>
      <c r="U125" s="253"/>
      <c r="V125" s="253"/>
      <c r="W125" s="253"/>
      <c r="X125" s="253"/>
      <c r="Y125" s="253"/>
      <c r="Z125" s="253"/>
      <c r="AA125" s="253"/>
      <c r="AB125" s="253"/>
      <c r="AC125" s="253"/>
      <c r="AD125" s="253"/>
      <c r="AE125" s="253"/>
      <c r="AF125" s="253"/>
      <c r="AG125" s="253"/>
      <c r="AH125" s="253"/>
      <c r="AI125" s="253"/>
      <c r="AJ125" s="253"/>
      <c r="AK125" s="253"/>
      <c r="AL125" s="253"/>
      <c r="AM125" s="253"/>
      <c r="AN125" s="903"/>
      <c r="AO125" s="253" t="str">
        <f>IF(Z125="Yes",COUNTIF($Z$6:Z125,"Yes"),"")</f>
        <v/>
      </c>
      <c r="AP125" s="253" t="str">
        <f>IF(AA125="Yes",COUNTIF($AA$6:AA125,"Yes"),"")</f>
        <v/>
      </c>
      <c r="AQ125" s="253" t="str">
        <f>IF(AC125="Yes",COUNTIF($AC$6:AC125,"Yes"),"")</f>
        <v/>
      </c>
    </row>
    <row r="126" spans="1:43">
      <c r="A126" s="253"/>
      <c r="B126" s="253"/>
      <c r="C126" s="253"/>
      <c r="D126" s="253"/>
      <c r="E126" s="253"/>
      <c r="F126" s="253"/>
      <c r="G126" s="253"/>
      <c r="H126" s="253"/>
      <c r="I126" s="253"/>
      <c r="J126" s="253"/>
      <c r="K126" s="253"/>
      <c r="L126" s="253"/>
      <c r="M126" s="253"/>
      <c r="N126" s="253"/>
      <c r="O126" s="253"/>
      <c r="P126" s="903"/>
      <c r="Q126" s="903"/>
      <c r="R126" s="903"/>
      <c r="S126" s="904" t="str">
        <f ca="1">IF(P126="","",IF(R126&lt;&gt;"",R126-P126,TODAY()-P126))</f>
        <v/>
      </c>
      <c r="T126" s="904" t="str">
        <f ca="1">IF(Q126="","",Q126-TODAY())</f>
        <v/>
      </c>
      <c r="U126" s="253"/>
      <c r="V126" s="253"/>
      <c r="W126" s="253"/>
      <c r="X126" s="253"/>
      <c r="Y126" s="253"/>
      <c r="Z126" s="253"/>
      <c r="AA126" s="253"/>
      <c r="AB126" s="253"/>
      <c r="AC126" s="253"/>
      <c r="AD126" s="253"/>
      <c r="AE126" s="253"/>
      <c r="AF126" s="253"/>
      <c r="AG126" s="253"/>
      <c r="AH126" s="253"/>
      <c r="AI126" s="253"/>
      <c r="AJ126" s="253"/>
      <c r="AK126" s="253"/>
      <c r="AL126" s="253"/>
      <c r="AM126" s="253"/>
      <c r="AN126" s="903"/>
      <c r="AO126" s="253" t="str">
        <f>IF(Z126="Yes",COUNTIF($Z$6:Z126,"Yes"),"")</f>
        <v/>
      </c>
      <c r="AP126" s="253" t="str">
        <f>IF(AA126="Yes",COUNTIF($AA$6:AA126,"Yes"),"")</f>
        <v/>
      </c>
      <c r="AQ126" s="253" t="str">
        <f>IF(AC126="Yes",COUNTIF($AC$6:AC126,"Yes"),"")</f>
        <v/>
      </c>
    </row>
    <row r="127" spans="1:43">
      <c r="A127" s="253"/>
      <c r="B127" s="253"/>
      <c r="C127" s="253"/>
      <c r="D127" s="253"/>
      <c r="E127" s="253"/>
      <c r="F127" s="253"/>
      <c r="G127" s="253"/>
      <c r="H127" s="253"/>
      <c r="I127" s="253"/>
      <c r="J127" s="253"/>
      <c r="K127" s="253"/>
      <c r="L127" s="253"/>
      <c r="M127" s="253"/>
      <c r="N127" s="253"/>
      <c r="O127" s="253"/>
      <c r="P127" s="903"/>
      <c r="Q127" s="903"/>
      <c r="R127" s="903"/>
      <c r="S127" s="904" t="str">
        <f ca="1">IF(P127="","",IF(R127&lt;&gt;"",R127-P127,TODAY()-P127))</f>
        <v/>
      </c>
      <c r="T127" s="904" t="str">
        <f ca="1">IF(Q127="","",Q127-TODAY())</f>
        <v/>
      </c>
      <c r="U127" s="253"/>
      <c r="V127" s="253"/>
      <c r="W127" s="253"/>
      <c r="X127" s="253"/>
      <c r="Y127" s="253"/>
      <c r="Z127" s="253"/>
      <c r="AA127" s="253"/>
      <c r="AB127" s="253"/>
      <c r="AC127" s="253"/>
      <c r="AD127" s="253"/>
      <c r="AE127" s="253"/>
      <c r="AF127" s="253"/>
      <c r="AG127" s="253"/>
      <c r="AH127" s="253"/>
      <c r="AI127" s="253"/>
      <c r="AJ127" s="253"/>
      <c r="AK127" s="253"/>
      <c r="AL127" s="253"/>
      <c r="AM127" s="253"/>
      <c r="AN127" s="903"/>
      <c r="AO127" s="253" t="str">
        <f>IF(Z127="Yes",COUNTIF($Z$6:Z127,"Yes"),"")</f>
        <v/>
      </c>
      <c r="AP127" s="253" t="str">
        <f>IF(AA127="Yes",COUNTIF($AA$6:AA127,"Yes"),"")</f>
        <v/>
      </c>
      <c r="AQ127" s="253" t="str">
        <f>IF(AC127="Yes",COUNTIF($AC$6:AC127,"Yes"),"")</f>
        <v/>
      </c>
    </row>
    <row r="128" spans="1:43">
      <c r="A128" s="253"/>
      <c r="B128" s="253"/>
      <c r="C128" s="253"/>
      <c r="D128" s="253"/>
      <c r="E128" s="253"/>
      <c r="F128" s="253"/>
      <c r="G128" s="253"/>
      <c r="H128" s="253"/>
      <c r="I128" s="253"/>
      <c r="J128" s="253"/>
      <c r="K128" s="253"/>
      <c r="L128" s="253"/>
      <c r="M128" s="253"/>
      <c r="N128" s="253"/>
      <c r="O128" s="253"/>
      <c r="P128" s="903"/>
      <c r="Q128" s="903"/>
      <c r="R128" s="903"/>
      <c r="S128" s="904" t="str">
        <f ca="1">IF(P128="","",IF(R128&lt;&gt;"",R128-P128,TODAY()-P128))</f>
        <v/>
      </c>
      <c r="T128" s="904" t="str">
        <f ca="1">IF(Q128="","",Q128-TODAY())</f>
        <v/>
      </c>
      <c r="U128" s="253"/>
      <c r="V128" s="253"/>
      <c r="W128" s="253"/>
      <c r="X128" s="253"/>
      <c r="Y128" s="253"/>
      <c r="Z128" s="253"/>
      <c r="AA128" s="253"/>
      <c r="AB128" s="253"/>
      <c r="AC128" s="253"/>
      <c r="AD128" s="253"/>
      <c r="AE128" s="253"/>
      <c r="AF128" s="253"/>
      <c r="AG128" s="253"/>
      <c r="AH128" s="253"/>
      <c r="AI128" s="253"/>
      <c r="AJ128" s="253"/>
      <c r="AK128" s="253"/>
      <c r="AL128" s="253"/>
      <c r="AM128" s="253"/>
      <c r="AN128" s="903"/>
      <c r="AO128" s="253" t="str">
        <f>IF(Z128="Yes",COUNTIF($Z$6:Z128,"Yes"),"")</f>
        <v/>
      </c>
      <c r="AP128" s="253" t="str">
        <f>IF(AA128="Yes",COUNTIF($AA$6:AA128,"Yes"),"")</f>
        <v/>
      </c>
      <c r="AQ128" s="253" t="str">
        <f>IF(AC128="Yes",COUNTIF($AC$6:AC128,"Yes"),"")</f>
        <v/>
      </c>
    </row>
    <row r="129" spans="1:43">
      <c r="A129" s="253"/>
      <c r="B129" s="253"/>
      <c r="C129" s="253"/>
      <c r="D129" s="253"/>
      <c r="E129" s="253"/>
      <c r="F129" s="253"/>
      <c r="G129" s="253"/>
      <c r="H129" s="253"/>
      <c r="I129" s="253"/>
      <c r="J129" s="253"/>
      <c r="K129" s="253"/>
      <c r="L129" s="253"/>
      <c r="M129" s="253"/>
      <c r="N129" s="253"/>
      <c r="O129" s="253"/>
      <c r="P129" s="903"/>
      <c r="Q129" s="903"/>
      <c r="R129" s="903"/>
      <c r="S129" s="904" t="str">
        <f ca="1">IF(P129="","",IF(R129&lt;&gt;"",R129-P129,TODAY()-P129))</f>
        <v/>
      </c>
      <c r="T129" s="904" t="str">
        <f ca="1">IF(Q129="","",Q129-TODAY())</f>
        <v/>
      </c>
      <c r="U129" s="253"/>
      <c r="V129" s="253"/>
      <c r="W129" s="253"/>
      <c r="X129" s="253"/>
      <c r="Y129" s="253"/>
      <c r="Z129" s="253"/>
      <c r="AA129" s="253"/>
      <c r="AB129" s="253"/>
      <c r="AC129" s="253"/>
      <c r="AD129" s="253"/>
      <c r="AE129" s="253"/>
      <c r="AF129" s="253"/>
      <c r="AG129" s="253"/>
      <c r="AH129" s="253"/>
      <c r="AI129" s="253"/>
      <c r="AJ129" s="253"/>
      <c r="AK129" s="253"/>
      <c r="AL129" s="253"/>
      <c r="AM129" s="253"/>
      <c r="AN129" s="903"/>
      <c r="AO129" s="253" t="str">
        <f>IF(Z129="Yes",COUNTIF($Z$6:Z129,"Yes"),"")</f>
        <v/>
      </c>
      <c r="AP129" s="253" t="str">
        <f>IF(AA129="Yes",COUNTIF($AA$6:AA129,"Yes"),"")</f>
        <v/>
      </c>
      <c r="AQ129" s="253" t="str">
        <f>IF(AC129="Yes",COUNTIF($AC$6:AC129,"Yes"),"")</f>
        <v/>
      </c>
    </row>
    <row r="130" spans="1:43">
      <c r="A130" s="253"/>
      <c r="B130" s="253"/>
      <c r="C130" s="253"/>
      <c r="D130" s="253"/>
      <c r="E130" s="253"/>
      <c r="F130" s="253"/>
      <c r="G130" s="253"/>
      <c r="H130" s="253"/>
      <c r="I130" s="253"/>
      <c r="J130" s="253"/>
      <c r="K130" s="253"/>
      <c r="L130" s="253"/>
      <c r="M130" s="253"/>
      <c r="N130" s="253"/>
      <c r="O130" s="253"/>
      <c r="P130" s="903"/>
      <c r="Q130" s="903"/>
      <c r="R130" s="903"/>
      <c r="S130" s="904" t="str">
        <f ca="1">IF(P130="","",IF(R130&lt;&gt;"",R130-P130,TODAY()-P130))</f>
        <v/>
      </c>
      <c r="T130" s="904" t="str">
        <f ca="1">IF(Q130="","",Q130-TODAY())</f>
        <v/>
      </c>
      <c r="U130" s="253"/>
      <c r="V130" s="253"/>
      <c r="W130" s="253"/>
      <c r="X130" s="253"/>
      <c r="Y130" s="253"/>
      <c r="Z130" s="253"/>
      <c r="AA130" s="253"/>
      <c r="AB130" s="253"/>
      <c r="AC130" s="253"/>
      <c r="AD130" s="253"/>
      <c r="AE130" s="253"/>
      <c r="AF130" s="253"/>
      <c r="AG130" s="253"/>
      <c r="AH130" s="253"/>
      <c r="AI130" s="253"/>
      <c r="AJ130" s="253"/>
      <c r="AK130" s="253"/>
      <c r="AL130" s="253"/>
      <c r="AM130" s="253"/>
      <c r="AN130" s="903"/>
      <c r="AO130" s="253" t="str">
        <f>IF(Z130="Yes",COUNTIF($Z$6:Z130,"Yes"),"")</f>
        <v/>
      </c>
      <c r="AP130" s="253" t="str">
        <f>IF(AA130="Yes",COUNTIF($AA$6:AA130,"Yes"),"")</f>
        <v/>
      </c>
      <c r="AQ130" s="253" t="str">
        <f>IF(AC130="Yes",COUNTIF($AC$6:AC130,"Yes"),"")</f>
        <v/>
      </c>
    </row>
    <row r="131" spans="1:43">
      <c r="A131" s="253"/>
      <c r="B131" s="253"/>
      <c r="C131" s="253"/>
      <c r="D131" s="253"/>
      <c r="E131" s="253"/>
      <c r="F131" s="253"/>
      <c r="G131" s="253"/>
      <c r="H131" s="253"/>
      <c r="I131" s="253"/>
      <c r="J131" s="253"/>
      <c r="K131" s="253"/>
      <c r="L131" s="253"/>
      <c r="M131" s="253"/>
      <c r="N131" s="253"/>
      <c r="O131" s="253"/>
      <c r="P131" s="903"/>
      <c r="Q131" s="903"/>
      <c r="R131" s="903"/>
      <c r="S131" s="904" t="str">
        <f ca="1">IF(P131="","",IF(R131&lt;&gt;"",R131-P131,TODAY()-P131))</f>
        <v/>
      </c>
      <c r="T131" s="904" t="str">
        <f ca="1">IF(Q131="","",Q131-TODAY())</f>
        <v/>
      </c>
      <c r="U131" s="253"/>
      <c r="V131" s="253"/>
      <c r="W131" s="253"/>
      <c r="X131" s="253"/>
      <c r="Y131" s="253"/>
      <c r="Z131" s="253"/>
      <c r="AA131" s="253"/>
      <c r="AB131" s="253"/>
      <c r="AC131" s="253"/>
      <c r="AD131" s="253"/>
      <c r="AE131" s="253"/>
      <c r="AF131" s="253"/>
      <c r="AG131" s="253"/>
      <c r="AH131" s="253"/>
      <c r="AI131" s="253"/>
      <c r="AJ131" s="253"/>
      <c r="AK131" s="253"/>
      <c r="AL131" s="253"/>
      <c r="AM131" s="253"/>
      <c r="AN131" s="903"/>
      <c r="AO131" s="253" t="str">
        <f>IF(Z131="Yes",COUNTIF($Z$6:Z131,"Yes"),"")</f>
        <v/>
      </c>
      <c r="AP131" s="253" t="str">
        <f>IF(AA131="Yes",COUNTIF($AA$6:AA131,"Yes"),"")</f>
        <v/>
      </c>
      <c r="AQ131" s="253" t="str">
        <f>IF(AC131="Yes",COUNTIF($AC$6:AC131,"Yes"),"")</f>
        <v/>
      </c>
    </row>
    <row r="132" spans="1:43">
      <c r="A132" s="253"/>
      <c r="B132" s="253"/>
      <c r="C132" s="253"/>
      <c r="D132" s="253"/>
      <c r="E132" s="253"/>
      <c r="F132" s="253"/>
      <c r="G132" s="253"/>
      <c r="H132" s="253"/>
      <c r="I132" s="253"/>
      <c r="J132" s="253"/>
      <c r="K132" s="253"/>
      <c r="L132" s="253"/>
      <c r="M132" s="253"/>
      <c r="N132" s="253"/>
      <c r="O132" s="253"/>
      <c r="P132" s="903"/>
      <c r="Q132" s="903"/>
      <c r="R132" s="903"/>
      <c r="S132" s="904" t="str">
        <f ca="1">IF(P132="","",IF(R132&lt;&gt;"",R132-P132,TODAY()-P132))</f>
        <v/>
      </c>
      <c r="T132" s="904" t="str">
        <f ca="1">IF(Q132="","",Q132-TODAY())</f>
        <v/>
      </c>
      <c r="U132" s="253"/>
      <c r="V132" s="253"/>
      <c r="W132" s="253"/>
      <c r="X132" s="253"/>
      <c r="Y132" s="253"/>
      <c r="Z132" s="253"/>
      <c r="AA132" s="253"/>
      <c r="AB132" s="253"/>
      <c r="AC132" s="253"/>
      <c r="AD132" s="253"/>
      <c r="AE132" s="253"/>
      <c r="AF132" s="253"/>
      <c r="AG132" s="253"/>
      <c r="AH132" s="253"/>
      <c r="AI132" s="253"/>
      <c r="AJ132" s="253"/>
      <c r="AK132" s="253"/>
      <c r="AL132" s="253"/>
      <c r="AM132" s="253"/>
      <c r="AN132" s="903"/>
      <c r="AO132" s="253" t="str">
        <f>IF(Z132="Yes",COUNTIF($Z$6:Z132,"Yes"),"")</f>
        <v/>
      </c>
      <c r="AP132" s="253" t="str">
        <f>IF(AA132="Yes",COUNTIF($AA$6:AA132,"Yes"),"")</f>
        <v/>
      </c>
      <c r="AQ132" s="253" t="str">
        <f>IF(AC132="Yes",COUNTIF($AC$6:AC132,"Yes"),"")</f>
        <v/>
      </c>
    </row>
    <row r="133" spans="1:43">
      <c r="A133" s="253"/>
      <c r="B133" s="253"/>
      <c r="C133" s="253"/>
      <c r="D133" s="253"/>
      <c r="E133" s="253"/>
      <c r="F133" s="253"/>
      <c r="G133" s="253"/>
      <c r="H133" s="253"/>
      <c r="I133" s="253"/>
      <c r="J133" s="253"/>
      <c r="K133" s="253"/>
      <c r="L133" s="253"/>
      <c r="M133" s="253"/>
      <c r="N133" s="253"/>
      <c r="O133" s="253"/>
      <c r="P133" s="903"/>
      <c r="Q133" s="903"/>
      <c r="R133" s="903"/>
      <c r="S133" s="904" t="str">
        <f ca="1">IF(P133="","",IF(R133&lt;&gt;"",R133-P133,TODAY()-P133))</f>
        <v/>
      </c>
      <c r="T133" s="904" t="str">
        <f ca="1">IF(Q133="","",Q133-TODAY())</f>
        <v/>
      </c>
      <c r="U133" s="253"/>
      <c r="V133" s="253"/>
      <c r="W133" s="253"/>
      <c r="X133" s="253"/>
      <c r="Y133" s="253"/>
      <c r="Z133" s="253"/>
      <c r="AA133" s="253"/>
      <c r="AB133" s="253"/>
      <c r="AC133" s="253"/>
      <c r="AD133" s="253"/>
      <c r="AE133" s="253"/>
      <c r="AF133" s="253"/>
      <c r="AG133" s="253"/>
      <c r="AH133" s="253"/>
      <c r="AI133" s="253"/>
      <c r="AJ133" s="253"/>
      <c r="AK133" s="253"/>
      <c r="AL133" s="253"/>
      <c r="AM133" s="253"/>
      <c r="AN133" s="903"/>
      <c r="AO133" s="253" t="str">
        <f>IF(Z133="Yes",COUNTIF($Z$6:Z133,"Yes"),"")</f>
        <v/>
      </c>
      <c r="AP133" s="253" t="str">
        <f>IF(AA133="Yes",COUNTIF($AA$6:AA133,"Yes"),"")</f>
        <v/>
      </c>
      <c r="AQ133" s="253" t="str">
        <f>IF(AC133="Yes",COUNTIF($AC$6:AC133,"Yes"),"")</f>
        <v/>
      </c>
    </row>
    <row r="134" spans="1:43">
      <c r="A134" s="253"/>
      <c r="B134" s="253"/>
      <c r="C134" s="253"/>
      <c r="D134" s="253"/>
      <c r="E134" s="253"/>
      <c r="F134" s="253"/>
      <c r="G134" s="253"/>
      <c r="H134" s="253"/>
      <c r="I134" s="253"/>
      <c r="J134" s="253"/>
      <c r="K134" s="253"/>
      <c r="L134" s="253"/>
      <c r="M134" s="253"/>
      <c r="N134" s="253"/>
      <c r="O134" s="253"/>
      <c r="P134" s="903"/>
      <c r="Q134" s="903"/>
      <c r="R134" s="903"/>
      <c r="S134" s="904" t="str">
        <f ca="1">IF(P134="","",IF(R134&lt;&gt;"",R134-P134,TODAY()-P134))</f>
        <v/>
      </c>
      <c r="T134" s="904" t="str">
        <f ca="1">IF(Q134="","",Q134-TODAY())</f>
        <v/>
      </c>
      <c r="U134" s="253"/>
      <c r="V134" s="253"/>
      <c r="W134" s="253"/>
      <c r="X134" s="253"/>
      <c r="Y134" s="253"/>
      <c r="Z134" s="253"/>
      <c r="AA134" s="253"/>
      <c r="AB134" s="253"/>
      <c r="AC134" s="253"/>
      <c r="AD134" s="253"/>
      <c r="AE134" s="253"/>
      <c r="AF134" s="253"/>
      <c r="AG134" s="253"/>
      <c r="AH134" s="253"/>
      <c r="AI134" s="253"/>
      <c r="AJ134" s="253"/>
      <c r="AK134" s="253"/>
      <c r="AL134" s="253"/>
      <c r="AM134" s="253"/>
      <c r="AN134" s="903"/>
      <c r="AO134" s="253" t="str">
        <f>IF(Z134="Yes",COUNTIF($Z$6:Z134,"Yes"),"")</f>
        <v/>
      </c>
      <c r="AP134" s="253" t="str">
        <f>IF(AA134="Yes",COUNTIF($AA$6:AA134,"Yes"),"")</f>
        <v/>
      </c>
      <c r="AQ134" s="253" t="str">
        <f>IF(AC134="Yes",COUNTIF($AC$6:AC134,"Yes"),"")</f>
        <v/>
      </c>
    </row>
    <row r="135" spans="1:43">
      <c r="A135" s="253"/>
      <c r="B135" s="253"/>
      <c r="C135" s="253"/>
      <c r="D135" s="253"/>
      <c r="E135" s="253"/>
      <c r="F135" s="253"/>
      <c r="G135" s="253"/>
      <c r="H135" s="253"/>
      <c r="I135" s="253"/>
      <c r="J135" s="253"/>
      <c r="K135" s="253"/>
      <c r="L135" s="253"/>
      <c r="M135" s="253"/>
      <c r="N135" s="253"/>
      <c r="O135" s="253"/>
      <c r="P135" s="903"/>
      <c r="Q135" s="903"/>
      <c r="R135" s="903"/>
      <c r="S135" s="904" t="str">
        <f ca="1">IF(P135="","",IF(R135&lt;&gt;"",R135-P135,TODAY()-P135))</f>
        <v/>
      </c>
      <c r="T135" s="904" t="str">
        <f ca="1">IF(Q135="","",Q135-TODAY())</f>
        <v/>
      </c>
      <c r="U135" s="253"/>
      <c r="V135" s="253"/>
      <c r="W135" s="253"/>
      <c r="X135" s="253"/>
      <c r="Y135" s="253"/>
      <c r="Z135" s="253"/>
      <c r="AA135" s="253"/>
      <c r="AB135" s="253"/>
      <c r="AC135" s="253"/>
      <c r="AD135" s="253"/>
      <c r="AE135" s="253"/>
      <c r="AF135" s="253"/>
      <c r="AG135" s="253"/>
      <c r="AH135" s="253"/>
      <c r="AI135" s="253"/>
      <c r="AJ135" s="253"/>
      <c r="AK135" s="253"/>
      <c r="AL135" s="253"/>
      <c r="AM135" s="253"/>
      <c r="AN135" s="903"/>
      <c r="AO135" s="253" t="str">
        <f>IF(Z135="Yes",COUNTIF($Z$6:Z135,"Yes"),"")</f>
        <v/>
      </c>
      <c r="AP135" s="253" t="str">
        <f>IF(AA135="Yes",COUNTIF($AA$6:AA135,"Yes"),"")</f>
        <v/>
      </c>
      <c r="AQ135" s="253" t="str">
        <f>IF(AC135="Yes",COUNTIF($AC$6:AC135,"Yes"),"")</f>
        <v/>
      </c>
    </row>
    <row r="136" spans="1:43">
      <c r="A136" s="253"/>
      <c r="B136" s="253"/>
      <c r="C136" s="253"/>
      <c r="D136" s="253"/>
      <c r="E136" s="253"/>
      <c r="F136" s="253"/>
      <c r="G136" s="253"/>
      <c r="H136" s="253"/>
      <c r="I136" s="253"/>
      <c r="J136" s="253"/>
      <c r="K136" s="253"/>
      <c r="L136" s="253"/>
      <c r="M136" s="253"/>
      <c r="N136" s="253"/>
      <c r="O136" s="253"/>
      <c r="P136" s="903"/>
      <c r="Q136" s="903"/>
      <c r="R136" s="903"/>
      <c r="S136" s="904" t="str">
        <f ca="1">IF(P136="","",IF(R136&lt;&gt;"",R136-P136,TODAY()-P136))</f>
        <v/>
      </c>
      <c r="T136" s="904" t="str">
        <f ca="1">IF(Q136="","",Q136-TODAY())</f>
        <v/>
      </c>
      <c r="U136" s="253"/>
      <c r="V136" s="253"/>
      <c r="W136" s="253"/>
      <c r="X136" s="253"/>
      <c r="Y136" s="253"/>
      <c r="Z136" s="253"/>
      <c r="AA136" s="253"/>
      <c r="AB136" s="253"/>
      <c r="AC136" s="253"/>
      <c r="AD136" s="253"/>
      <c r="AE136" s="253"/>
      <c r="AF136" s="253"/>
      <c r="AG136" s="253"/>
      <c r="AH136" s="253"/>
      <c r="AI136" s="253"/>
      <c r="AJ136" s="253"/>
      <c r="AK136" s="253"/>
      <c r="AL136" s="253"/>
      <c r="AM136" s="253"/>
      <c r="AN136" s="903"/>
      <c r="AO136" s="253" t="str">
        <f>IF(Z136="Yes",COUNTIF($Z$6:Z136,"Yes"),"")</f>
        <v/>
      </c>
      <c r="AP136" s="253" t="str">
        <f>IF(AA136="Yes",COUNTIF($AA$6:AA136,"Yes"),"")</f>
        <v/>
      </c>
      <c r="AQ136" s="253" t="str">
        <f>IF(AC136="Yes",COUNTIF($AC$6:AC136,"Yes"),"")</f>
        <v/>
      </c>
    </row>
    <row r="137" spans="1:43">
      <c r="A137" s="253"/>
      <c r="B137" s="253"/>
      <c r="C137" s="253"/>
      <c r="D137" s="253"/>
      <c r="E137" s="253"/>
      <c r="F137" s="253"/>
      <c r="G137" s="253"/>
      <c r="H137" s="253"/>
      <c r="I137" s="253"/>
      <c r="J137" s="253"/>
      <c r="K137" s="253"/>
      <c r="L137" s="253"/>
      <c r="M137" s="253"/>
      <c r="N137" s="253"/>
      <c r="O137" s="253"/>
      <c r="P137" s="903"/>
      <c r="Q137" s="903"/>
      <c r="R137" s="903"/>
      <c r="S137" s="904" t="str">
        <f ca="1">IF(P137="","",IF(R137&lt;&gt;"",R137-P137,TODAY()-P137))</f>
        <v/>
      </c>
      <c r="T137" s="904" t="str">
        <f ca="1">IF(Q137="","",Q137-TODAY())</f>
        <v/>
      </c>
      <c r="U137" s="253"/>
      <c r="V137" s="253"/>
      <c r="W137" s="253"/>
      <c r="X137" s="253"/>
      <c r="Y137" s="253"/>
      <c r="Z137" s="253"/>
      <c r="AA137" s="253"/>
      <c r="AB137" s="253"/>
      <c r="AC137" s="253"/>
      <c r="AD137" s="253"/>
      <c r="AE137" s="253"/>
      <c r="AF137" s="253"/>
      <c r="AG137" s="253"/>
      <c r="AH137" s="253"/>
      <c r="AI137" s="253"/>
      <c r="AJ137" s="253"/>
      <c r="AK137" s="253"/>
      <c r="AL137" s="253"/>
      <c r="AM137" s="253"/>
      <c r="AN137" s="903"/>
      <c r="AO137" s="253" t="str">
        <f>IF(Z137="Yes",COUNTIF($Z$6:Z137,"Yes"),"")</f>
        <v/>
      </c>
      <c r="AP137" s="253" t="str">
        <f>IF(AA137="Yes",COUNTIF($AA$6:AA137,"Yes"),"")</f>
        <v/>
      </c>
      <c r="AQ137" s="253" t="str">
        <f>IF(AC137="Yes",COUNTIF($AC$6:AC137,"Yes"),"")</f>
        <v/>
      </c>
    </row>
    <row r="138" spans="1:43">
      <c r="A138" s="253"/>
      <c r="B138" s="253"/>
      <c r="C138" s="253"/>
      <c r="D138" s="253"/>
      <c r="E138" s="253"/>
      <c r="F138" s="253"/>
      <c r="G138" s="253"/>
      <c r="H138" s="253"/>
      <c r="I138" s="253"/>
      <c r="J138" s="253"/>
      <c r="K138" s="253"/>
      <c r="L138" s="253"/>
      <c r="M138" s="253"/>
      <c r="N138" s="253"/>
      <c r="O138" s="253"/>
      <c r="P138" s="903"/>
      <c r="Q138" s="903"/>
      <c r="R138" s="903"/>
      <c r="S138" s="904" t="str">
        <f ca="1">IF(P138="","",IF(R138&lt;&gt;"",R138-P138,TODAY()-P138))</f>
        <v/>
      </c>
      <c r="T138" s="904" t="str">
        <f ca="1">IF(Q138="","",Q138-TODAY())</f>
        <v/>
      </c>
      <c r="U138" s="253"/>
      <c r="V138" s="253"/>
      <c r="W138" s="253"/>
      <c r="X138" s="253"/>
      <c r="Y138" s="253"/>
      <c r="Z138" s="253"/>
      <c r="AA138" s="253"/>
      <c r="AB138" s="253"/>
      <c r="AC138" s="253"/>
      <c r="AD138" s="253"/>
      <c r="AE138" s="253"/>
      <c r="AF138" s="253"/>
      <c r="AG138" s="253"/>
      <c r="AH138" s="253"/>
      <c r="AI138" s="253"/>
      <c r="AJ138" s="253"/>
      <c r="AK138" s="253"/>
      <c r="AL138" s="253"/>
      <c r="AM138" s="253"/>
      <c r="AN138" s="903"/>
      <c r="AO138" s="253" t="str">
        <f>IF(Z138="Yes",COUNTIF($Z$6:Z138,"Yes"),"")</f>
        <v/>
      </c>
      <c r="AP138" s="253" t="str">
        <f>IF(AA138="Yes",COUNTIF($AA$6:AA138,"Yes"),"")</f>
        <v/>
      </c>
      <c r="AQ138" s="253" t="str">
        <f>IF(AC138="Yes",COUNTIF($AC$6:AC138,"Yes"),"")</f>
        <v/>
      </c>
    </row>
    <row r="139" spans="1:43">
      <c r="A139" s="253"/>
      <c r="B139" s="253"/>
      <c r="C139" s="253"/>
      <c r="D139" s="253"/>
      <c r="E139" s="253"/>
      <c r="F139" s="253"/>
      <c r="G139" s="253"/>
      <c r="H139" s="253"/>
      <c r="I139" s="253"/>
      <c r="J139" s="253"/>
      <c r="K139" s="253"/>
      <c r="L139" s="253"/>
      <c r="M139" s="253"/>
      <c r="N139" s="253"/>
      <c r="O139" s="253"/>
      <c r="P139" s="903"/>
      <c r="Q139" s="903"/>
      <c r="R139" s="903"/>
      <c r="S139" s="904" t="str">
        <f ca="1">IF(P139="","",IF(R139&lt;&gt;"",R139-P139,TODAY()-P139))</f>
        <v/>
      </c>
      <c r="T139" s="904" t="str">
        <f ca="1">IF(Q139="","",Q139-TODAY())</f>
        <v/>
      </c>
      <c r="U139" s="253"/>
      <c r="V139" s="253"/>
      <c r="W139" s="253"/>
      <c r="X139" s="253"/>
      <c r="Y139" s="253"/>
      <c r="Z139" s="253"/>
      <c r="AA139" s="253"/>
      <c r="AB139" s="253"/>
      <c r="AC139" s="253"/>
      <c r="AD139" s="253"/>
      <c r="AE139" s="253"/>
      <c r="AF139" s="253"/>
      <c r="AG139" s="253"/>
      <c r="AH139" s="253"/>
      <c r="AI139" s="253"/>
      <c r="AJ139" s="253"/>
      <c r="AK139" s="253"/>
      <c r="AL139" s="253"/>
      <c r="AM139" s="253"/>
      <c r="AN139" s="903"/>
      <c r="AO139" s="253" t="str">
        <f>IF(Z139="Yes",COUNTIF($Z$6:Z139,"Yes"),"")</f>
        <v/>
      </c>
      <c r="AP139" s="253" t="str">
        <f>IF(AA139="Yes",COUNTIF($AA$6:AA139,"Yes"),"")</f>
        <v/>
      </c>
      <c r="AQ139" s="253" t="str">
        <f>IF(AC139="Yes",COUNTIF($AC$6:AC139,"Yes"),"")</f>
        <v/>
      </c>
    </row>
    <row r="140" spans="1:43">
      <c r="A140" s="253"/>
      <c r="B140" s="253"/>
      <c r="C140" s="253"/>
      <c r="D140" s="253"/>
      <c r="E140" s="253"/>
      <c r="F140" s="253"/>
      <c r="G140" s="253"/>
      <c r="H140" s="253"/>
      <c r="I140" s="253"/>
      <c r="J140" s="253"/>
      <c r="K140" s="253"/>
      <c r="L140" s="253"/>
      <c r="M140" s="253"/>
      <c r="N140" s="253"/>
      <c r="O140" s="253"/>
      <c r="P140" s="903"/>
      <c r="Q140" s="903"/>
      <c r="R140" s="903"/>
      <c r="S140" s="904" t="str">
        <f ca="1">IF(P140="","",IF(R140&lt;&gt;"",R140-P140,TODAY()-P140))</f>
        <v/>
      </c>
      <c r="T140" s="904" t="str">
        <f ca="1">IF(Q140="","",Q140-TODAY())</f>
        <v/>
      </c>
      <c r="U140" s="253"/>
      <c r="V140" s="253"/>
      <c r="W140" s="253"/>
      <c r="X140" s="253"/>
      <c r="Y140" s="253"/>
      <c r="Z140" s="253"/>
      <c r="AA140" s="253"/>
      <c r="AB140" s="253"/>
      <c r="AC140" s="253"/>
      <c r="AD140" s="253"/>
      <c r="AE140" s="253"/>
      <c r="AF140" s="253"/>
      <c r="AG140" s="253"/>
      <c r="AH140" s="253"/>
      <c r="AI140" s="253"/>
      <c r="AJ140" s="253"/>
      <c r="AK140" s="253"/>
      <c r="AL140" s="253"/>
      <c r="AM140" s="253"/>
      <c r="AN140" s="903"/>
      <c r="AO140" s="253" t="str">
        <f>IF(Z140="Yes",COUNTIF($Z$6:Z140,"Yes"),"")</f>
        <v/>
      </c>
      <c r="AP140" s="253" t="str">
        <f>IF(AA140="Yes",COUNTIF($AA$6:AA140,"Yes"),"")</f>
        <v/>
      </c>
      <c r="AQ140" s="253" t="str">
        <f>IF(AC140="Yes",COUNTIF($AC$6:AC140,"Yes"),"")</f>
        <v/>
      </c>
    </row>
    <row r="141" spans="1:43">
      <c r="A141" s="253"/>
      <c r="B141" s="253"/>
      <c r="C141" s="253"/>
      <c r="D141" s="253"/>
      <c r="E141" s="253"/>
      <c r="F141" s="253"/>
      <c r="G141" s="253"/>
      <c r="H141" s="253"/>
      <c r="I141" s="253"/>
      <c r="J141" s="253"/>
      <c r="K141" s="253"/>
      <c r="L141" s="253"/>
      <c r="M141" s="253"/>
      <c r="N141" s="253"/>
      <c r="O141" s="253"/>
      <c r="P141" s="903"/>
      <c r="Q141" s="903"/>
      <c r="R141" s="903"/>
      <c r="S141" s="904" t="str">
        <f ca="1">IF(P141="","",IF(R141&lt;&gt;"",R141-P141,TODAY()-P141))</f>
        <v/>
      </c>
      <c r="T141" s="904" t="str">
        <f ca="1">IF(Q141="","",Q141-TODAY())</f>
        <v/>
      </c>
      <c r="U141" s="253"/>
      <c r="V141" s="253"/>
      <c r="W141" s="253"/>
      <c r="X141" s="253"/>
      <c r="Y141" s="253"/>
      <c r="Z141" s="253"/>
      <c r="AA141" s="253"/>
      <c r="AB141" s="253"/>
      <c r="AC141" s="253"/>
      <c r="AD141" s="253"/>
      <c r="AE141" s="253"/>
      <c r="AF141" s="253"/>
      <c r="AG141" s="253"/>
      <c r="AH141" s="253"/>
      <c r="AI141" s="253"/>
      <c r="AJ141" s="253"/>
      <c r="AK141" s="253"/>
      <c r="AL141" s="253"/>
      <c r="AM141" s="253"/>
      <c r="AN141" s="903"/>
      <c r="AO141" s="253" t="str">
        <f>IF(Z141="Yes",COUNTIF($Z$6:Z141,"Yes"),"")</f>
        <v/>
      </c>
      <c r="AP141" s="253" t="str">
        <f>IF(AA141="Yes",COUNTIF($AA$6:AA141,"Yes"),"")</f>
        <v/>
      </c>
      <c r="AQ141" s="253" t="str">
        <f>IF(AC141="Yes",COUNTIF($AC$6:AC141,"Yes"),"")</f>
        <v/>
      </c>
    </row>
    <row r="142" spans="1:43">
      <c r="A142" s="253"/>
      <c r="B142" s="253"/>
      <c r="C142" s="253"/>
      <c r="D142" s="253"/>
      <c r="E142" s="253"/>
      <c r="F142" s="253"/>
      <c r="G142" s="253"/>
      <c r="H142" s="253"/>
      <c r="I142" s="253"/>
      <c r="J142" s="253"/>
      <c r="K142" s="253"/>
      <c r="L142" s="253"/>
      <c r="M142" s="253"/>
      <c r="N142" s="253"/>
      <c r="O142" s="253"/>
      <c r="P142" s="903"/>
      <c r="Q142" s="903"/>
      <c r="R142" s="903"/>
      <c r="S142" s="904" t="str">
        <f ca="1">IF(P142="","",IF(R142&lt;&gt;"",R142-P142,TODAY()-P142))</f>
        <v/>
      </c>
      <c r="T142" s="904" t="str">
        <f ca="1">IF(Q142="","",Q142-TODAY())</f>
        <v/>
      </c>
      <c r="U142" s="253"/>
      <c r="V142" s="253"/>
      <c r="W142" s="253"/>
      <c r="X142" s="253"/>
      <c r="Y142" s="253"/>
      <c r="Z142" s="253"/>
      <c r="AA142" s="253"/>
      <c r="AB142" s="253"/>
      <c r="AC142" s="253"/>
      <c r="AD142" s="253"/>
      <c r="AE142" s="253"/>
      <c r="AF142" s="253"/>
      <c r="AG142" s="253"/>
      <c r="AH142" s="253"/>
      <c r="AI142" s="253"/>
      <c r="AJ142" s="253"/>
      <c r="AK142" s="253"/>
      <c r="AL142" s="253"/>
      <c r="AM142" s="253"/>
      <c r="AN142" s="903"/>
      <c r="AO142" s="253" t="str">
        <f>IF(Z142="Yes",COUNTIF($Z$6:Z142,"Yes"),"")</f>
        <v/>
      </c>
      <c r="AP142" s="253" t="str">
        <f>IF(AA142="Yes",COUNTIF($AA$6:AA142,"Yes"),"")</f>
        <v/>
      </c>
      <c r="AQ142" s="253" t="str">
        <f>IF(AC142="Yes",COUNTIF($AC$6:AC142,"Yes"),"")</f>
        <v/>
      </c>
    </row>
    <row r="143" spans="1:43">
      <c r="A143" s="253"/>
      <c r="B143" s="253"/>
      <c r="C143" s="253"/>
      <c r="D143" s="253"/>
      <c r="E143" s="253"/>
      <c r="F143" s="253"/>
      <c r="G143" s="253"/>
      <c r="H143" s="253"/>
      <c r="I143" s="253"/>
      <c r="J143" s="253"/>
      <c r="K143" s="253"/>
      <c r="L143" s="253"/>
      <c r="M143" s="253"/>
      <c r="N143" s="253"/>
      <c r="O143" s="253"/>
      <c r="P143" s="903"/>
      <c r="Q143" s="903"/>
      <c r="R143" s="903"/>
      <c r="S143" s="904" t="str">
        <f ca="1">IF(P143="","",IF(R143&lt;&gt;"",R143-P143,TODAY()-P143))</f>
        <v/>
      </c>
      <c r="T143" s="904" t="str">
        <f ca="1">IF(Q143="","",Q143-TODAY())</f>
        <v/>
      </c>
      <c r="U143" s="253"/>
      <c r="V143" s="253"/>
      <c r="W143" s="253"/>
      <c r="X143" s="253"/>
      <c r="Y143" s="253"/>
      <c r="Z143" s="253"/>
      <c r="AA143" s="253"/>
      <c r="AB143" s="253"/>
      <c r="AC143" s="253"/>
      <c r="AD143" s="253"/>
      <c r="AE143" s="253"/>
      <c r="AF143" s="253"/>
      <c r="AG143" s="253"/>
      <c r="AH143" s="253"/>
      <c r="AI143" s="253"/>
      <c r="AJ143" s="253"/>
      <c r="AK143" s="253"/>
      <c r="AL143" s="253"/>
      <c r="AM143" s="253"/>
      <c r="AN143" s="903"/>
      <c r="AO143" s="253" t="str">
        <f>IF(Z143="Yes",COUNTIF($Z$6:Z143,"Yes"),"")</f>
        <v/>
      </c>
      <c r="AP143" s="253" t="str">
        <f>IF(AA143="Yes",COUNTIF($AA$6:AA143,"Yes"),"")</f>
        <v/>
      </c>
      <c r="AQ143" s="253" t="str">
        <f>IF(AC143="Yes",COUNTIF($AC$6:AC143,"Yes"),"")</f>
        <v/>
      </c>
    </row>
    <row r="144" spans="1:43">
      <c r="A144" s="253"/>
      <c r="B144" s="253"/>
      <c r="C144" s="253"/>
      <c r="D144" s="253"/>
      <c r="E144" s="253"/>
      <c r="F144" s="253"/>
      <c r="G144" s="253"/>
      <c r="H144" s="253"/>
      <c r="I144" s="253"/>
      <c r="J144" s="253"/>
      <c r="K144" s="253"/>
      <c r="L144" s="253"/>
      <c r="M144" s="253"/>
      <c r="N144" s="253"/>
      <c r="O144" s="253"/>
      <c r="P144" s="903"/>
      <c r="Q144" s="903"/>
      <c r="R144" s="903"/>
      <c r="S144" s="904" t="str">
        <f ca="1">IF(P144="","",IF(R144&lt;&gt;"",R144-P144,TODAY()-P144))</f>
        <v/>
      </c>
      <c r="T144" s="904" t="str">
        <f ca="1">IF(Q144="","",Q144-TODAY())</f>
        <v/>
      </c>
      <c r="U144" s="253"/>
      <c r="V144" s="253"/>
      <c r="W144" s="253"/>
      <c r="X144" s="253"/>
      <c r="Y144" s="253"/>
      <c r="Z144" s="253"/>
      <c r="AA144" s="253"/>
      <c r="AB144" s="253"/>
      <c r="AC144" s="253"/>
      <c r="AD144" s="253"/>
      <c r="AE144" s="253"/>
      <c r="AF144" s="253"/>
      <c r="AG144" s="253"/>
      <c r="AH144" s="253"/>
      <c r="AI144" s="253"/>
      <c r="AJ144" s="253"/>
      <c r="AK144" s="253"/>
      <c r="AL144" s="253"/>
      <c r="AM144" s="253"/>
      <c r="AN144" s="903"/>
      <c r="AO144" s="253" t="str">
        <f>IF(Z144="Yes",COUNTIF($Z$6:Z144,"Yes"),"")</f>
        <v/>
      </c>
      <c r="AP144" s="253" t="str">
        <f>IF(AA144="Yes",COUNTIF($AA$6:AA144,"Yes"),"")</f>
        <v/>
      </c>
      <c r="AQ144" s="253" t="str">
        <f>IF(AC144="Yes",COUNTIF($AC$6:AC144,"Yes"),"")</f>
        <v/>
      </c>
    </row>
    <row r="145" spans="1:43">
      <c r="A145" s="253"/>
      <c r="B145" s="253"/>
      <c r="C145" s="253"/>
      <c r="D145" s="253"/>
      <c r="E145" s="253"/>
      <c r="F145" s="253"/>
      <c r="G145" s="253"/>
      <c r="H145" s="253"/>
      <c r="I145" s="253"/>
      <c r="J145" s="253"/>
      <c r="K145" s="253"/>
      <c r="L145" s="253"/>
      <c r="M145" s="253"/>
      <c r="N145" s="253"/>
      <c r="O145" s="253"/>
      <c r="P145" s="903"/>
      <c r="Q145" s="903"/>
      <c r="R145" s="903"/>
      <c r="S145" s="904" t="str">
        <f ca="1">IF(P145="","",IF(R145&lt;&gt;"",R145-P145,TODAY()-P145))</f>
        <v/>
      </c>
      <c r="T145" s="904" t="str">
        <f ca="1">IF(Q145="","",Q145-TODAY())</f>
        <v/>
      </c>
      <c r="U145" s="253"/>
      <c r="V145" s="253"/>
      <c r="W145" s="253"/>
      <c r="X145" s="253"/>
      <c r="Y145" s="253"/>
      <c r="Z145" s="253"/>
      <c r="AA145" s="253"/>
      <c r="AB145" s="253"/>
      <c r="AC145" s="253"/>
      <c r="AD145" s="253"/>
      <c r="AE145" s="253"/>
      <c r="AF145" s="253"/>
      <c r="AG145" s="253"/>
      <c r="AH145" s="253"/>
      <c r="AI145" s="253"/>
      <c r="AJ145" s="253"/>
      <c r="AK145" s="253"/>
      <c r="AL145" s="253"/>
      <c r="AM145" s="253"/>
      <c r="AN145" s="903"/>
      <c r="AO145" s="253" t="str">
        <f>IF(Z145="Yes",COUNTIF($Z$6:Z145,"Yes"),"")</f>
        <v/>
      </c>
      <c r="AP145" s="253" t="str">
        <f>IF(AA145="Yes",COUNTIF($AA$6:AA145,"Yes"),"")</f>
        <v/>
      </c>
      <c r="AQ145" s="253" t="str">
        <f>IF(AC145="Yes",COUNTIF($AC$6:AC145,"Yes"),"")</f>
        <v/>
      </c>
    </row>
    <row r="146" spans="1:43">
      <c r="A146" s="253"/>
      <c r="B146" s="253"/>
      <c r="C146" s="253"/>
      <c r="D146" s="253"/>
      <c r="E146" s="253"/>
      <c r="F146" s="253"/>
      <c r="G146" s="253"/>
      <c r="H146" s="253"/>
      <c r="I146" s="253"/>
      <c r="J146" s="253"/>
      <c r="K146" s="253"/>
      <c r="L146" s="253"/>
      <c r="M146" s="253"/>
      <c r="N146" s="253"/>
      <c r="O146" s="253"/>
      <c r="P146" s="903"/>
      <c r="Q146" s="903"/>
      <c r="R146" s="903"/>
      <c r="S146" s="904" t="str">
        <f ca="1">IF(P146="","",IF(R146&lt;&gt;"",R146-P146,TODAY()-P146))</f>
        <v/>
      </c>
      <c r="T146" s="904" t="str">
        <f ca="1">IF(Q146="","",Q146-TODAY())</f>
        <v/>
      </c>
      <c r="U146" s="253"/>
      <c r="V146" s="253"/>
      <c r="W146" s="253"/>
      <c r="X146" s="253"/>
      <c r="Y146" s="253"/>
      <c r="Z146" s="253"/>
      <c r="AA146" s="253"/>
      <c r="AB146" s="253"/>
      <c r="AC146" s="253"/>
      <c r="AD146" s="253"/>
      <c r="AE146" s="253"/>
      <c r="AF146" s="253"/>
      <c r="AG146" s="253"/>
      <c r="AH146" s="253"/>
      <c r="AI146" s="253"/>
      <c r="AJ146" s="253"/>
      <c r="AK146" s="253"/>
      <c r="AL146" s="253"/>
      <c r="AM146" s="253"/>
      <c r="AN146" s="903"/>
      <c r="AO146" s="253" t="str">
        <f>IF(Z146="Yes",COUNTIF($Z$6:Z146,"Yes"),"")</f>
        <v/>
      </c>
      <c r="AP146" s="253" t="str">
        <f>IF(AA146="Yes",COUNTIF($AA$6:AA146,"Yes"),"")</f>
        <v/>
      </c>
      <c r="AQ146" s="253" t="str">
        <f>IF(AC146="Yes",COUNTIF($AC$6:AC146,"Yes"),"")</f>
        <v/>
      </c>
    </row>
    <row r="147" spans="1:43">
      <c r="A147" s="253"/>
      <c r="B147" s="253"/>
      <c r="C147" s="253"/>
      <c r="D147" s="253"/>
      <c r="E147" s="253"/>
      <c r="F147" s="253"/>
      <c r="G147" s="253"/>
      <c r="H147" s="253"/>
      <c r="I147" s="253"/>
      <c r="J147" s="253"/>
      <c r="K147" s="253"/>
      <c r="L147" s="253"/>
      <c r="M147" s="253"/>
      <c r="N147" s="253"/>
      <c r="O147" s="253"/>
      <c r="P147" s="903"/>
      <c r="Q147" s="903"/>
      <c r="R147" s="903"/>
      <c r="S147" s="904" t="str">
        <f ca="1">IF(P147="","",IF(R147&lt;&gt;"",R147-P147,TODAY()-P147))</f>
        <v/>
      </c>
      <c r="T147" s="904" t="str">
        <f ca="1">IF(Q147="","",Q147-TODAY())</f>
        <v/>
      </c>
      <c r="U147" s="253"/>
      <c r="V147" s="253"/>
      <c r="W147" s="253"/>
      <c r="X147" s="253"/>
      <c r="Y147" s="253"/>
      <c r="Z147" s="253"/>
      <c r="AA147" s="253"/>
      <c r="AB147" s="253"/>
      <c r="AC147" s="253"/>
      <c r="AD147" s="253"/>
      <c r="AE147" s="253"/>
      <c r="AF147" s="253"/>
      <c r="AG147" s="253"/>
      <c r="AH147" s="253"/>
      <c r="AI147" s="253"/>
      <c r="AJ147" s="253"/>
      <c r="AK147" s="253"/>
      <c r="AL147" s="253"/>
      <c r="AM147" s="253"/>
      <c r="AN147" s="903"/>
      <c r="AO147" s="253" t="str">
        <f>IF(Z147="Yes",COUNTIF($Z$6:Z147,"Yes"),"")</f>
        <v/>
      </c>
      <c r="AP147" s="253" t="str">
        <f>IF(AA147="Yes",COUNTIF($AA$6:AA147,"Yes"),"")</f>
        <v/>
      </c>
      <c r="AQ147" s="253" t="str">
        <f>IF(AC147="Yes",COUNTIF($AC$6:AC147,"Yes"),"")</f>
        <v/>
      </c>
    </row>
    <row r="148" spans="1:43">
      <c r="A148" s="253"/>
      <c r="B148" s="253"/>
      <c r="C148" s="253"/>
      <c r="D148" s="253"/>
      <c r="E148" s="253"/>
      <c r="F148" s="253"/>
      <c r="G148" s="253"/>
      <c r="H148" s="253"/>
      <c r="I148" s="253"/>
      <c r="J148" s="253"/>
      <c r="K148" s="253"/>
      <c r="L148" s="253"/>
      <c r="M148" s="253"/>
      <c r="N148" s="253"/>
      <c r="O148" s="253"/>
      <c r="P148" s="903"/>
      <c r="Q148" s="903"/>
      <c r="R148" s="903"/>
      <c r="S148" s="904" t="str">
        <f ca="1">IF(P148="","",IF(R148&lt;&gt;"",R148-P148,TODAY()-P148))</f>
        <v/>
      </c>
      <c r="T148" s="904" t="str">
        <f ca="1">IF(Q148="","",Q148-TODAY())</f>
        <v/>
      </c>
      <c r="U148" s="253"/>
      <c r="V148" s="253"/>
      <c r="W148" s="253"/>
      <c r="X148" s="253"/>
      <c r="Y148" s="253"/>
      <c r="Z148" s="253"/>
      <c r="AA148" s="253"/>
      <c r="AB148" s="253"/>
      <c r="AC148" s="253"/>
      <c r="AD148" s="253"/>
      <c r="AE148" s="253"/>
      <c r="AF148" s="253"/>
      <c r="AG148" s="253"/>
      <c r="AH148" s="253"/>
      <c r="AI148" s="253"/>
      <c r="AJ148" s="253"/>
      <c r="AK148" s="253"/>
      <c r="AL148" s="253"/>
      <c r="AM148" s="253"/>
      <c r="AN148" s="903"/>
      <c r="AO148" s="253" t="str">
        <f>IF(Z148="Yes",COUNTIF($Z$6:Z148,"Yes"),"")</f>
        <v/>
      </c>
      <c r="AP148" s="253" t="str">
        <f>IF(AA148="Yes",COUNTIF($AA$6:AA148,"Yes"),"")</f>
        <v/>
      </c>
      <c r="AQ148" s="253" t="str">
        <f>IF(AC148="Yes",COUNTIF($AC$6:AC148,"Yes"),"")</f>
        <v/>
      </c>
    </row>
    <row r="149" spans="1:43">
      <c r="A149" s="253"/>
      <c r="B149" s="253"/>
      <c r="C149" s="253"/>
      <c r="D149" s="253"/>
      <c r="E149" s="253"/>
      <c r="F149" s="253"/>
      <c r="G149" s="253"/>
      <c r="H149" s="253"/>
      <c r="I149" s="253"/>
      <c r="J149" s="253"/>
      <c r="K149" s="253"/>
      <c r="L149" s="253"/>
      <c r="M149" s="253"/>
      <c r="N149" s="253"/>
      <c r="O149" s="253"/>
      <c r="P149" s="903"/>
      <c r="Q149" s="903"/>
      <c r="R149" s="903"/>
      <c r="S149" s="904" t="str">
        <f ca="1">IF(P149="","",IF(R149&lt;&gt;"",R149-P149,TODAY()-P149))</f>
        <v/>
      </c>
      <c r="T149" s="904" t="str">
        <f ca="1">IF(Q149="","",Q149-TODAY())</f>
        <v/>
      </c>
      <c r="U149" s="253"/>
      <c r="V149" s="253"/>
      <c r="W149" s="253"/>
      <c r="X149" s="253"/>
      <c r="Y149" s="253"/>
      <c r="Z149" s="253"/>
      <c r="AA149" s="253"/>
      <c r="AB149" s="253"/>
      <c r="AC149" s="253"/>
      <c r="AD149" s="253"/>
      <c r="AE149" s="253"/>
      <c r="AF149" s="253"/>
      <c r="AG149" s="253"/>
      <c r="AH149" s="253"/>
      <c r="AI149" s="253"/>
      <c r="AJ149" s="253"/>
      <c r="AK149" s="253"/>
      <c r="AL149" s="253"/>
      <c r="AM149" s="253"/>
      <c r="AN149" s="903"/>
      <c r="AO149" s="253" t="str">
        <f>IF(Z149="Yes",COUNTIF($Z$6:Z149,"Yes"),"")</f>
        <v/>
      </c>
      <c r="AP149" s="253" t="str">
        <f>IF(AA149="Yes",COUNTIF($AA$6:AA149,"Yes"),"")</f>
        <v/>
      </c>
      <c r="AQ149" s="253" t="str">
        <f>IF(AC149="Yes",COUNTIF($AC$6:AC149,"Yes"),"")</f>
        <v/>
      </c>
    </row>
    <row r="150" spans="1:43">
      <c r="A150" s="253"/>
      <c r="B150" s="253"/>
      <c r="C150" s="253"/>
      <c r="D150" s="253"/>
      <c r="E150" s="253"/>
      <c r="F150" s="253"/>
      <c r="G150" s="253"/>
      <c r="H150" s="253"/>
      <c r="I150" s="253"/>
      <c r="J150" s="253"/>
      <c r="K150" s="253"/>
      <c r="L150" s="253"/>
      <c r="M150" s="253"/>
      <c r="N150" s="253"/>
      <c r="O150" s="253"/>
      <c r="P150" s="903"/>
      <c r="Q150" s="903"/>
      <c r="R150" s="903"/>
      <c r="S150" s="904" t="str">
        <f ca="1">IF(P150="","",IF(R150&lt;&gt;"",R150-P150,TODAY()-P150))</f>
        <v/>
      </c>
      <c r="T150" s="904" t="str">
        <f ca="1">IF(Q150="","",Q150-TODAY())</f>
        <v/>
      </c>
      <c r="U150" s="253"/>
      <c r="V150" s="253"/>
      <c r="W150" s="253"/>
      <c r="X150" s="253"/>
      <c r="Y150" s="253"/>
      <c r="Z150" s="253"/>
      <c r="AA150" s="253"/>
      <c r="AB150" s="253"/>
      <c r="AC150" s="253"/>
      <c r="AD150" s="253"/>
      <c r="AE150" s="253"/>
      <c r="AF150" s="253"/>
      <c r="AG150" s="253"/>
      <c r="AH150" s="253"/>
      <c r="AI150" s="253"/>
      <c r="AJ150" s="253"/>
      <c r="AK150" s="253"/>
      <c r="AL150" s="253"/>
      <c r="AM150" s="253"/>
      <c r="AN150" s="903"/>
      <c r="AO150" s="253" t="str">
        <f>IF(Z150="Yes",COUNTIF($Z$6:Z150,"Yes"),"")</f>
        <v/>
      </c>
      <c r="AP150" s="253" t="str">
        <f>IF(AA150="Yes",COUNTIF($AA$6:AA150,"Yes"),"")</f>
        <v/>
      </c>
      <c r="AQ150" s="253" t="str">
        <f>IF(AC150="Yes",COUNTIF($AC$6:AC150,"Yes"),"")</f>
        <v/>
      </c>
    </row>
    <row r="151" spans="1:43">
      <c r="A151" s="253"/>
      <c r="B151" s="253"/>
      <c r="C151" s="253"/>
      <c r="D151" s="253"/>
      <c r="E151" s="253"/>
      <c r="F151" s="253"/>
      <c r="G151" s="253"/>
      <c r="H151" s="253"/>
      <c r="I151" s="253"/>
      <c r="J151" s="253"/>
      <c r="K151" s="253"/>
      <c r="L151" s="253"/>
      <c r="M151" s="253"/>
      <c r="N151" s="253"/>
      <c r="O151" s="253"/>
      <c r="P151" s="903"/>
      <c r="Q151" s="903"/>
      <c r="R151" s="903"/>
      <c r="S151" s="904" t="str">
        <f ca="1">IF(P151="","",IF(R151&lt;&gt;"",R151-P151,TODAY()-P151))</f>
        <v/>
      </c>
      <c r="T151" s="904" t="str">
        <f ca="1">IF(Q151="","",Q151-TODAY())</f>
        <v/>
      </c>
      <c r="U151" s="253"/>
      <c r="V151" s="253"/>
      <c r="W151" s="253"/>
      <c r="X151" s="253"/>
      <c r="Y151" s="253"/>
      <c r="Z151" s="253"/>
      <c r="AA151" s="253"/>
      <c r="AB151" s="253"/>
      <c r="AC151" s="253"/>
      <c r="AD151" s="253"/>
      <c r="AE151" s="253"/>
      <c r="AF151" s="253"/>
      <c r="AG151" s="253"/>
      <c r="AH151" s="253"/>
      <c r="AI151" s="253"/>
      <c r="AJ151" s="253"/>
      <c r="AK151" s="253"/>
      <c r="AL151" s="253"/>
      <c r="AM151" s="253"/>
      <c r="AN151" s="903"/>
      <c r="AO151" s="253" t="str">
        <f>IF(Z151="Yes",COUNTIF($Z$6:Z151,"Yes"),"")</f>
        <v/>
      </c>
      <c r="AP151" s="253" t="str">
        <f>IF(AA151="Yes",COUNTIF($AA$6:AA151,"Yes"),"")</f>
        <v/>
      </c>
      <c r="AQ151" s="253" t="str">
        <f>IF(AC151="Yes",COUNTIF($AC$6:AC151,"Yes"),"")</f>
        <v/>
      </c>
    </row>
    <row r="152" spans="1:43">
      <c r="A152" s="253"/>
      <c r="B152" s="253"/>
      <c r="C152" s="253"/>
      <c r="D152" s="253"/>
      <c r="E152" s="253"/>
      <c r="F152" s="253"/>
      <c r="G152" s="253"/>
      <c r="H152" s="253"/>
      <c r="I152" s="253"/>
      <c r="J152" s="253"/>
      <c r="K152" s="253"/>
      <c r="L152" s="253"/>
      <c r="M152" s="253"/>
      <c r="N152" s="253"/>
      <c r="O152" s="253"/>
      <c r="P152" s="903"/>
      <c r="Q152" s="903"/>
      <c r="R152" s="903"/>
      <c r="S152" s="904" t="str">
        <f ca="1">IF(P152="","",IF(R152&lt;&gt;"",R152-P152,TODAY()-P152))</f>
        <v/>
      </c>
      <c r="T152" s="904" t="str">
        <f ca="1">IF(Q152="","",Q152-TODAY())</f>
        <v/>
      </c>
      <c r="U152" s="253"/>
      <c r="V152" s="253"/>
      <c r="W152" s="253"/>
      <c r="X152" s="253"/>
      <c r="Y152" s="253"/>
      <c r="Z152" s="253"/>
      <c r="AA152" s="253"/>
      <c r="AB152" s="253"/>
      <c r="AC152" s="253"/>
      <c r="AD152" s="253"/>
      <c r="AE152" s="253"/>
      <c r="AF152" s="253"/>
      <c r="AG152" s="253"/>
      <c r="AH152" s="253"/>
      <c r="AI152" s="253"/>
      <c r="AJ152" s="253"/>
      <c r="AK152" s="253"/>
      <c r="AL152" s="253"/>
      <c r="AM152" s="253"/>
      <c r="AN152" s="903"/>
      <c r="AO152" s="253" t="str">
        <f>IF(Z152="Yes",COUNTIF($Z$6:Z152,"Yes"),"")</f>
        <v/>
      </c>
      <c r="AP152" s="253" t="str">
        <f>IF(AA152="Yes",COUNTIF($AA$6:AA152,"Yes"),"")</f>
        <v/>
      </c>
      <c r="AQ152" s="253" t="str">
        <f>IF(AC152="Yes",COUNTIF($AC$6:AC152,"Yes"),"")</f>
        <v/>
      </c>
    </row>
    <row r="153" spans="1:43">
      <c r="A153" s="253"/>
      <c r="B153" s="253"/>
      <c r="C153" s="253"/>
      <c r="D153" s="253"/>
      <c r="E153" s="253"/>
      <c r="F153" s="253"/>
      <c r="G153" s="253"/>
      <c r="H153" s="253"/>
      <c r="I153" s="253"/>
      <c r="J153" s="253"/>
      <c r="K153" s="253"/>
      <c r="L153" s="253"/>
      <c r="M153" s="253"/>
      <c r="N153" s="253"/>
      <c r="O153" s="253"/>
      <c r="P153" s="903"/>
      <c r="Q153" s="903"/>
      <c r="R153" s="903"/>
      <c r="S153" s="904" t="str">
        <f ca="1">IF(P153="","",IF(R153&lt;&gt;"",R153-P153,TODAY()-P153))</f>
        <v/>
      </c>
      <c r="T153" s="904" t="str">
        <f ca="1">IF(Q153="","",Q153-TODAY())</f>
        <v/>
      </c>
      <c r="U153" s="253"/>
      <c r="V153" s="253"/>
      <c r="W153" s="253"/>
      <c r="X153" s="253"/>
      <c r="Y153" s="253"/>
      <c r="Z153" s="253"/>
      <c r="AA153" s="253"/>
      <c r="AB153" s="253"/>
      <c r="AC153" s="253"/>
      <c r="AD153" s="253"/>
      <c r="AE153" s="253"/>
      <c r="AF153" s="253"/>
      <c r="AG153" s="253"/>
      <c r="AH153" s="253"/>
      <c r="AI153" s="253"/>
      <c r="AJ153" s="253"/>
      <c r="AK153" s="253"/>
      <c r="AL153" s="253"/>
      <c r="AM153" s="253"/>
      <c r="AN153" s="903"/>
      <c r="AO153" s="253" t="str">
        <f>IF(Z153="Yes",COUNTIF($Z$6:Z153,"Yes"),"")</f>
        <v/>
      </c>
      <c r="AP153" s="253" t="str">
        <f>IF(AA153="Yes",COUNTIF($AA$6:AA153,"Yes"),"")</f>
        <v/>
      </c>
      <c r="AQ153" s="253" t="str">
        <f>IF(AC153="Yes",COUNTIF($AC$6:AC153,"Yes"),"")</f>
        <v/>
      </c>
    </row>
    <row r="154" spans="1:43">
      <c r="A154" s="253"/>
      <c r="B154" s="253"/>
      <c r="C154" s="253"/>
      <c r="D154" s="253"/>
      <c r="E154" s="253"/>
      <c r="F154" s="253"/>
      <c r="G154" s="253"/>
      <c r="H154" s="253"/>
      <c r="I154" s="253"/>
      <c r="J154" s="253"/>
      <c r="K154" s="253"/>
      <c r="L154" s="253"/>
      <c r="M154" s="253"/>
      <c r="N154" s="253"/>
      <c r="O154" s="253"/>
      <c r="P154" s="903"/>
      <c r="Q154" s="903"/>
      <c r="R154" s="903"/>
      <c r="S154" s="904" t="str">
        <f ca="1">IF(P154="","",IF(R154&lt;&gt;"",R154-P154,TODAY()-P154))</f>
        <v/>
      </c>
      <c r="T154" s="904" t="str">
        <f ca="1">IF(Q154="","",Q154-TODAY())</f>
        <v/>
      </c>
      <c r="U154" s="253"/>
      <c r="V154" s="253"/>
      <c r="W154" s="253"/>
      <c r="X154" s="253"/>
      <c r="Y154" s="253"/>
      <c r="Z154" s="253"/>
      <c r="AA154" s="253"/>
      <c r="AB154" s="253"/>
      <c r="AC154" s="253"/>
      <c r="AD154" s="253"/>
      <c r="AE154" s="253"/>
      <c r="AF154" s="253"/>
      <c r="AG154" s="253"/>
      <c r="AH154" s="253"/>
      <c r="AI154" s="253"/>
      <c r="AJ154" s="253"/>
      <c r="AK154" s="253"/>
      <c r="AL154" s="253"/>
      <c r="AM154" s="253"/>
      <c r="AN154" s="903"/>
      <c r="AO154" s="253" t="str">
        <f>IF(Z154="Yes",COUNTIF($Z$6:Z154,"Yes"),"")</f>
        <v/>
      </c>
      <c r="AP154" s="253" t="str">
        <f>IF(AA154="Yes",COUNTIF($AA$6:AA154,"Yes"),"")</f>
        <v/>
      </c>
      <c r="AQ154" s="253" t="str">
        <f>IF(AC154="Yes",COUNTIF($AC$6:AC154,"Yes"),"")</f>
        <v/>
      </c>
    </row>
    <row r="155" spans="1:43">
      <c r="A155" s="253"/>
      <c r="B155" s="253"/>
      <c r="C155" s="253"/>
      <c r="D155" s="253"/>
      <c r="E155" s="253"/>
      <c r="F155" s="253"/>
      <c r="G155" s="253"/>
      <c r="H155" s="253"/>
      <c r="I155" s="253"/>
      <c r="J155" s="253"/>
      <c r="K155" s="253"/>
      <c r="L155" s="253"/>
      <c r="M155" s="253"/>
      <c r="N155" s="253"/>
      <c r="O155" s="253"/>
      <c r="P155" s="903"/>
      <c r="Q155" s="903"/>
      <c r="R155" s="903"/>
      <c r="S155" s="904" t="str">
        <f ca="1">IF(P155="","",IF(R155&lt;&gt;"",R155-P155,TODAY()-P155))</f>
        <v/>
      </c>
      <c r="T155" s="904" t="str">
        <f ca="1">IF(Q155="","",Q155-TODAY())</f>
        <v/>
      </c>
      <c r="U155" s="253"/>
      <c r="V155" s="253"/>
      <c r="W155" s="253"/>
      <c r="X155" s="253"/>
      <c r="Y155" s="253"/>
      <c r="Z155" s="253"/>
      <c r="AA155" s="253"/>
      <c r="AB155" s="253"/>
      <c r="AC155" s="253"/>
      <c r="AD155" s="253"/>
      <c r="AE155" s="253"/>
      <c r="AF155" s="253"/>
      <c r="AG155" s="253"/>
      <c r="AH155" s="253"/>
      <c r="AI155" s="253"/>
      <c r="AJ155" s="253"/>
      <c r="AK155" s="253"/>
      <c r="AL155" s="253"/>
      <c r="AM155" s="253"/>
      <c r="AN155" s="903"/>
      <c r="AO155" s="253" t="str">
        <f>IF(Z155="Yes",COUNTIF($Z$6:Z155,"Yes"),"")</f>
        <v/>
      </c>
      <c r="AP155" s="253" t="str">
        <f>IF(AA155="Yes",COUNTIF($AA$6:AA155,"Yes"),"")</f>
        <v/>
      </c>
      <c r="AQ155" s="253" t="str">
        <f>IF(AC155="Yes",COUNTIF($AC$6:AC155,"Yes"),"")</f>
        <v/>
      </c>
    </row>
    <row r="156" spans="1:43">
      <c r="A156" s="253"/>
      <c r="B156" s="253"/>
      <c r="C156" s="253"/>
      <c r="D156" s="253"/>
      <c r="E156" s="253"/>
      <c r="F156" s="253"/>
      <c r="G156" s="253"/>
      <c r="H156" s="253"/>
      <c r="I156" s="253"/>
      <c r="J156" s="253"/>
      <c r="K156" s="253"/>
      <c r="L156" s="253"/>
      <c r="M156" s="253"/>
      <c r="N156" s="253"/>
      <c r="O156" s="253"/>
      <c r="P156" s="903"/>
      <c r="Q156" s="903"/>
      <c r="R156" s="903"/>
      <c r="S156" s="904" t="str">
        <f ca="1">IF(P156="","",IF(R156&lt;&gt;"",R156-P156,TODAY()-P156))</f>
        <v/>
      </c>
      <c r="T156" s="904" t="str">
        <f ca="1">IF(Q156="","",Q156-TODAY())</f>
        <v/>
      </c>
      <c r="U156" s="253"/>
      <c r="V156" s="253"/>
      <c r="W156" s="253"/>
      <c r="X156" s="253"/>
      <c r="Y156" s="253"/>
      <c r="Z156" s="253"/>
      <c r="AA156" s="253"/>
      <c r="AB156" s="253"/>
      <c r="AC156" s="253"/>
      <c r="AD156" s="253"/>
      <c r="AE156" s="253"/>
      <c r="AF156" s="253"/>
      <c r="AG156" s="253"/>
      <c r="AH156" s="253"/>
      <c r="AI156" s="253"/>
      <c r="AJ156" s="253"/>
      <c r="AK156" s="253"/>
      <c r="AL156" s="253"/>
      <c r="AM156" s="253"/>
      <c r="AN156" s="903"/>
      <c r="AO156" s="253" t="str">
        <f>IF(Z156="Yes",COUNTIF($Z$6:Z156,"Yes"),"")</f>
        <v/>
      </c>
      <c r="AP156" s="253" t="str">
        <f>IF(AA156="Yes",COUNTIF($AA$6:AA156,"Yes"),"")</f>
        <v/>
      </c>
      <c r="AQ156" s="253" t="str">
        <f>IF(AC156="Yes",COUNTIF($AC$6:AC156,"Yes"),"")</f>
        <v/>
      </c>
    </row>
    <row r="157" spans="1:43">
      <c r="A157" s="253"/>
      <c r="B157" s="253"/>
      <c r="C157" s="253"/>
      <c r="D157" s="253"/>
      <c r="E157" s="253"/>
      <c r="F157" s="253"/>
      <c r="G157" s="253"/>
      <c r="H157" s="253"/>
      <c r="I157" s="253"/>
      <c r="J157" s="253"/>
      <c r="K157" s="253"/>
      <c r="L157" s="253"/>
      <c r="M157" s="253"/>
      <c r="N157" s="253"/>
      <c r="O157" s="253"/>
      <c r="P157" s="903"/>
      <c r="Q157" s="903"/>
      <c r="R157" s="903"/>
      <c r="S157" s="904" t="str">
        <f ca="1">IF(P157="","",IF(R157&lt;&gt;"",R157-P157,TODAY()-P157))</f>
        <v/>
      </c>
      <c r="T157" s="904" t="str">
        <f ca="1">IF(Q157="","",Q157-TODAY())</f>
        <v/>
      </c>
      <c r="U157" s="253"/>
      <c r="V157" s="253"/>
      <c r="W157" s="253"/>
      <c r="X157" s="253"/>
      <c r="Y157" s="253"/>
      <c r="Z157" s="253"/>
      <c r="AA157" s="253"/>
      <c r="AB157" s="253"/>
      <c r="AC157" s="253"/>
      <c r="AD157" s="253"/>
      <c r="AE157" s="253"/>
      <c r="AF157" s="253"/>
      <c r="AG157" s="253"/>
      <c r="AH157" s="253"/>
      <c r="AI157" s="253"/>
      <c r="AJ157" s="253"/>
      <c r="AK157" s="253"/>
      <c r="AL157" s="253"/>
      <c r="AM157" s="253"/>
      <c r="AN157" s="903"/>
      <c r="AO157" s="253" t="str">
        <f>IF(Z157="Yes",COUNTIF($Z$6:Z157,"Yes"),"")</f>
        <v/>
      </c>
      <c r="AP157" s="253" t="str">
        <f>IF(AA157="Yes",COUNTIF($AA$6:AA157,"Yes"),"")</f>
        <v/>
      </c>
      <c r="AQ157" s="253" t="str">
        <f>IF(AC157="Yes",COUNTIF($AC$6:AC157,"Yes"),"")</f>
        <v/>
      </c>
    </row>
    <row r="158" spans="1:43">
      <c r="A158" s="253"/>
      <c r="B158" s="253"/>
      <c r="C158" s="253"/>
      <c r="D158" s="253"/>
      <c r="E158" s="253"/>
      <c r="F158" s="253"/>
      <c r="G158" s="253"/>
      <c r="H158" s="253"/>
      <c r="I158" s="253"/>
      <c r="J158" s="253"/>
      <c r="K158" s="253"/>
      <c r="L158" s="253"/>
      <c r="M158" s="253"/>
      <c r="N158" s="253"/>
      <c r="O158" s="253"/>
      <c r="P158" s="903"/>
      <c r="Q158" s="903"/>
      <c r="R158" s="903"/>
      <c r="S158" s="904" t="str">
        <f ca="1">IF(P158="","",IF(R158&lt;&gt;"",R158-P158,TODAY()-P158))</f>
        <v/>
      </c>
      <c r="T158" s="904" t="str">
        <f ca="1">IF(Q158="","",Q158-TODAY())</f>
        <v/>
      </c>
      <c r="U158" s="253"/>
      <c r="V158" s="253"/>
      <c r="W158" s="253"/>
      <c r="X158" s="253"/>
      <c r="Y158" s="253"/>
      <c r="Z158" s="253"/>
      <c r="AA158" s="253"/>
      <c r="AB158" s="253"/>
      <c r="AC158" s="253"/>
      <c r="AD158" s="253"/>
      <c r="AE158" s="253"/>
      <c r="AF158" s="253"/>
      <c r="AG158" s="253"/>
      <c r="AH158" s="253"/>
      <c r="AI158" s="253"/>
      <c r="AJ158" s="253"/>
      <c r="AK158" s="253"/>
      <c r="AL158" s="253"/>
      <c r="AM158" s="253"/>
      <c r="AN158" s="903"/>
      <c r="AO158" s="253" t="str">
        <f>IF(Z158="Yes",COUNTIF($Z$6:Z158,"Yes"),"")</f>
        <v/>
      </c>
      <c r="AP158" s="253" t="str">
        <f>IF(AA158="Yes",COUNTIF($AA$6:AA158,"Yes"),"")</f>
        <v/>
      </c>
      <c r="AQ158" s="253" t="str">
        <f>IF(AC158="Yes",COUNTIF($AC$6:AC158,"Yes"),"")</f>
        <v/>
      </c>
    </row>
    <row r="159" spans="1:43">
      <c r="A159" s="253"/>
      <c r="B159" s="253"/>
      <c r="C159" s="253"/>
      <c r="D159" s="253"/>
      <c r="E159" s="253"/>
      <c r="F159" s="253"/>
      <c r="G159" s="253"/>
      <c r="H159" s="253"/>
      <c r="I159" s="253"/>
      <c r="J159" s="253"/>
      <c r="K159" s="253"/>
      <c r="L159" s="253"/>
      <c r="M159" s="253"/>
      <c r="N159" s="253"/>
      <c r="O159" s="253"/>
      <c r="P159" s="903"/>
      <c r="Q159" s="903"/>
      <c r="R159" s="903"/>
      <c r="S159" s="904" t="str">
        <f ca="1">IF(P159="","",IF(R159&lt;&gt;"",R159-P159,TODAY()-P159))</f>
        <v/>
      </c>
      <c r="T159" s="904" t="str">
        <f ca="1">IF(Q159="","",Q159-TODAY())</f>
        <v/>
      </c>
      <c r="U159" s="253"/>
      <c r="V159" s="253"/>
      <c r="W159" s="253"/>
      <c r="X159" s="253"/>
      <c r="Y159" s="253"/>
      <c r="Z159" s="253"/>
      <c r="AA159" s="253"/>
      <c r="AB159" s="253"/>
      <c r="AC159" s="253"/>
      <c r="AD159" s="253"/>
      <c r="AE159" s="253"/>
      <c r="AF159" s="253"/>
      <c r="AG159" s="253"/>
      <c r="AH159" s="253"/>
      <c r="AI159" s="253"/>
      <c r="AJ159" s="253"/>
      <c r="AK159" s="253"/>
      <c r="AL159" s="253"/>
      <c r="AM159" s="253"/>
      <c r="AN159" s="903"/>
      <c r="AO159" s="253" t="str">
        <f>IF(Z159="Yes",COUNTIF($Z$6:Z159,"Yes"),"")</f>
        <v/>
      </c>
      <c r="AP159" s="253" t="str">
        <f>IF(AA159="Yes",COUNTIF($AA$6:AA159,"Yes"),"")</f>
        <v/>
      </c>
      <c r="AQ159" s="253" t="str">
        <f>IF(AC159="Yes",COUNTIF($AC$6:AC159,"Yes"),"")</f>
        <v/>
      </c>
    </row>
    <row r="160" spans="1:43">
      <c r="A160" s="253"/>
      <c r="B160" s="253"/>
      <c r="C160" s="253"/>
      <c r="D160" s="253"/>
      <c r="E160" s="253"/>
      <c r="F160" s="253"/>
      <c r="G160" s="253"/>
      <c r="H160" s="253"/>
      <c r="I160" s="253"/>
      <c r="J160" s="253"/>
      <c r="K160" s="253"/>
      <c r="L160" s="253"/>
      <c r="M160" s="253"/>
      <c r="N160" s="253"/>
      <c r="O160" s="253"/>
      <c r="P160" s="903"/>
      <c r="Q160" s="903"/>
      <c r="R160" s="903"/>
      <c r="S160" s="904" t="str">
        <f ca="1">IF(P160="","",IF(R160&lt;&gt;"",R160-P160,TODAY()-P160))</f>
        <v/>
      </c>
      <c r="T160" s="904" t="str">
        <f ca="1">IF(Q160="","",Q160-TODAY())</f>
        <v/>
      </c>
      <c r="U160" s="253"/>
      <c r="V160" s="253"/>
      <c r="W160" s="253"/>
      <c r="X160" s="253"/>
      <c r="Y160" s="253"/>
      <c r="Z160" s="253"/>
      <c r="AA160" s="253"/>
      <c r="AB160" s="253"/>
      <c r="AC160" s="253"/>
      <c r="AD160" s="253"/>
      <c r="AE160" s="253"/>
      <c r="AF160" s="253"/>
      <c r="AG160" s="253"/>
      <c r="AH160" s="253"/>
      <c r="AI160" s="253"/>
      <c r="AJ160" s="253"/>
      <c r="AK160" s="253"/>
      <c r="AL160" s="253"/>
      <c r="AM160" s="253"/>
      <c r="AN160" s="903"/>
      <c r="AO160" s="253" t="str">
        <f>IF(Z160="Yes",COUNTIF($Z$6:Z160,"Yes"),"")</f>
        <v/>
      </c>
      <c r="AP160" s="253" t="str">
        <f>IF(AA160="Yes",COUNTIF($AA$6:AA160,"Yes"),"")</f>
        <v/>
      </c>
      <c r="AQ160" s="253" t="str">
        <f>IF(AC160="Yes",COUNTIF($AC$6:AC160,"Yes"),"")</f>
        <v/>
      </c>
    </row>
    <row r="161" spans="1:43">
      <c r="A161" s="253"/>
      <c r="B161" s="253"/>
      <c r="C161" s="253"/>
      <c r="D161" s="253"/>
      <c r="E161" s="253"/>
      <c r="F161" s="253"/>
      <c r="G161" s="253"/>
      <c r="H161" s="253"/>
      <c r="I161" s="253"/>
      <c r="J161" s="253"/>
      <c r="K161" s="253"/>
      <c r="L161" s="253"/>
      <c r="M161" s="253"/>
      <c r="N161" s="253"/>
      <c r="O161" s="253"/>
      <c r="P161" s="903"/>
      <c r="Q161" s="903"/>
      <c r="R161" s="903"/>
      <c r="S161" s="904" t="str">
        <f ca="1">IF(P161="","",IF(R161&lt;&gt;"",R161-P161,TODAY()-P161))</f>
        <v/>
      </c>
      <c r="T161" s="904" t="str">
        <f ca="1">IF(Q161="","",Q161-TODAY())</f>
        <v/>
      </c>
      <c r="U161" s="253"/>
      <c r="V161" s="253"/>
      <c r="W161" s="253"/>
      <c r="X161" s="253"/>
      <c r="Y161" s="253"/>
      <c r="Z161" s="253"/>
      <c r="AA161" s="253"/>
      <c r="AB161" s="253"/>
      <c r="AC161" s="253"/>
      <c r="AD161" s="253"/>
      <c r="AE161" s="253"/>
      <c r="AF161" s="253"/>
      <c r="AG161" s="253"/>
      <c r="AH161" s="253"/>
      <c r="AI161" s="253"/>
      <c r="AJ161" s="253"/>
      <c r="AK161" s="253"/>
      <c r="AL161" s="253"/>
      <c r="AM161" s="253"/>
      <c r="AN161" s="903"/>
      <c r="AO161" s="253" t="str">
        <f>IF(Z161="Yes",COUNTIF($Z$6:Z161,"Yes"),"")</f>
        <v/>
      </c>
      <c r="AP161" s="253" t="str">
        <f>IF(AA161="Yes",COUNTIF($AA$6:AA161,"Yes"),"")</f>
        <v/>
      </c>
      <c r="AQ161" s="253" t="str">
        <f>IF(AC161="Yes",COUNTIF($AC$6:AC161,"Yes"),"")</f>
        <v/>
      </c>
    </row>
    <row r="162" spans="1:43">
      <c r="A162" s="253"/>
      <c r="B162" s="253"/>
      <c r="C162" s="253"/>
      <c r="D162" s="253"/>
      <c r="E162" s="253"/>
      <c r="F162" s="253"/>
      <c r="G162" s="253"/>
      <c r="H162" s="253"/>
      <c r="I162" s="253"/>
      <c r="J162" s="253"/>
      <c r="K162" s="253"/>
      <c r="L162" s="253"/>
      <c r="M162" s="253"/>
      <c r="N162" s="253"/>
      <c r="O162" s="253"/>
      <c r="P162" s="903"/>
      <c r="Q162" s="903"/>
      <c r="R162" s="903"/>
      <c r="S162" s="904" t="str">
        <f ca="1">IF(P162="","",IF(R162&lt;&gt;"",R162-P162,TODAY()-P162))</f>
        <v/>
      </c>
      <c r="T162" s="904" t="str">
        <f ca="1">IF(Q162="","",Q162-TODAY())</f>
        <v/>
      </c>
      <c r="U162" s="253"/>
      <c r="V162" s="253"/>
      <c r="W162" s="253"/>
      <c r="X162" s="253"/>
      <c r="Y162" s="253"/>
      <c r="Z162" s="253"/>
      <c r="AA162" s="253"/>
      <c r="AB162" s="253"/>
      <c r="AC162" s="253"/>
      <c r="AD162" s="253"/>
      <c r="AE162" s="253"/>
      <c r="AF162" s="253"/>
      <c r="AG162" s="253"/>
      <c r="AH162" s="253"/>
      <c r="AI162" s="253"/>
      <c r="AJ162" s="253"/>
      <c r="AK162" s="253"/>
      <c r="AL162" s="253"/>
      <c r="AM162" s="253"/>
      <c r="AN162" s="903"/>
      <c r="AO162" s="253" t="str">
        <f>IF(Z162="Yes",COUNTIF($Z$6:Z162,"Yes"),"")</f>
        <v/>
      </c>
      <c r="AP162" s="253" t="str">
        <f>IF(AA162="Yes",COUNTIF($AA$6:AA162,"Yes"),"")</f>
        <v/>
      </c>
      <c r="AQ162" s="253" t="str">
        <f>IF(AC162="Yes",COUNTIF($AC$6:AC162,"Yes"),"")</f>
        <v/>
      </c>
    </row>
    <row r="163" spans="1:43">
      <c r="A163" s="253"/>
      <c r="B163" s="253"/>
      <c r="C163" s="253"/>
      <c r="D163" s="253"/>
      <c r="E163" s="253"/>
      <c r="F163" s="253"/>
      <c r="G163" s="253"/>
      <c r="H163" s="253"/>
      <c r="I163" s="253"/>
      <c r="J163" s="253"/>
      <c r="K163" s="253"/>
      <c r="L163" s="253"/>
      <c r="M163" s="253"/>
      <c r="N163" s="253"/>
      <c r="O163" s="253"/>
      <c r="P163" s="903"/>
      <c r="Q163" s="903"/>
      <c r="R163" s="903"/>
      <c r="S163" s="904" t="str">
        <f ca="1">IF(P163="","",IF(R163&lt;&gt;"",R163-P163,TODAY()-P163))</f>
        <v/>
      </c>
      <c r="T163" s="904" t="str">
        <f ca="1">IF(Q163="","",Q163-TODAY())</f>
        <v/>
      </c>
      <c r="U163" s="253"/>
      <c r="V163" s="253"/>
      <c r="W163" s="253"/>
      <c r="X163" s="253"/>
      <c r="Y163" s="253"/>
      <c r="Z163" s="253"/>
      <c r="AA163" s="253"/>
      <c r="AB163" s="253"/>
      <c r="AC163" s="253"/>
      <c r="AD163" s="253"/>
      <c r="AE163" s="253"/>
      <c r="AF163" s="253"/>
      <c r="AG163" s="253"/>
      <c r="AH163" s="253"/>
      <c r="AI163" s="253"/>
      <c r="AJ163" s="253"/>
      <c r="AK163" s="253"/>
      <c r="AL163" s="253"/>
      <c r="AM163" s="253"/>
      <c r="AN163" s="903"/>
      <c r="AO163" s="253" t="str">
        <f>IF(Z163="Yes",COUNTIF($Z$6:Z163,"Yes"),"")</f>
        <v/>
      </c>
      <c r="AP163" s="253" t="str">
        <f>IF(AA163="Yes",COUNTIF($AA$6:AA163,"Yes"),"")</f>
        <v/>
      </c>
      <c r="AQ163" s="253" t="str">
        <f>IF(AC163="Yes",COUNTIF($AC$6:AC163,"Yes"),"")</f>
        <v/>
      </c>
    </row>
    <row r="164" spans="1:43">
      <c r="A164" s="253"/>
      <c r="B164" s="253"/>
      <c r="C164" s="253"/>
      <c r="D164" s="253"/>
      <c r="E164" s="253"/>
      <c r="F164" s="253"/>
      <c r="G164" s="253"/>
      <c r="H164" s="253"/>
      <c r="I164" s="253"/>
      <c r="J164" s="253"/>
      <c r="K164" s="253"/>
      <c r="L164" s="253"/>
      <c r="M164" s="253"/>
      <c r="N164" s="253"/>
      <c r="O164" s="253"/>
      <c r="P164" s="903"/>
      <c r="Q164" s="903"/>
      <c r="R164" s="903"/>
      <c r="S164" s="904" t="str">
        <f ca="1">IF(P164="","",IF(R164&lt;&gt;"",R164-P164,TODAY()-P164))</f>
        <v/>
      </c>
      <c r="T164" s="904" t="str">
        <f ca="1">IF(Q164="","",Q164-TODAY())</f>
        <v/>
      </c>
      <c r="U164" s="253"/>
      <c r="V164" s="253"/>
      <c r="W164" s="253"/>
      <c r="X164" s="253"/>
      <c r="Y164" s="253"/>
      <c r="Z164" s="253"/>
      <c r="AA164" s="253"/>
      <c r="AB164" s="253"/>
      <c r="AC164" s="253"/>
      <c r="AD164" s="253"/>
      <c r="AE164" s="253"/>
      <c r="AF164" s="253"/>
      <c r="AG164" s="253"/>
      <c r="AH164" s="253"/>
      <c r="AI164" s="253"/>
      <c r="AJ164" s="253"/>
      <c r="AK164" s="253"/>
      <c r="AL164" s="253"/>
      <c r="AM164" s="253"/>
      <c r="AN164" s="903"/>
      <c r="AO164" s="253" t="str">
        <f>IF(Z164="Yes",COUNTIF($Z$6:Z164,"Yes"),"")</f>
        <v/>
      </c>
      <c r="AP164" s="253" t="str">
        <f>IF(AA164="Yes",COUNTIF($AA$6:AA164,"Yes"),"")</f>
        <v/>
      </c>
      <c r="AQ164" s="253" t="str">
        <f>IF(AC164="Yes",COUNTIF($AC$6:AC164,"Yes"),"")</f>
        <v/>
      </c>
    </row>
    <row r="165" spans="1:43">
      <c r="A165" s="253"/>
      <c r="B165" s="253"/>
      <c r="C165" s="253"/>
      <c r="D165" s="253"/>
      <c r="E165" s="253"/>
      <c r="F165" s="253"/>
      <c r="G165" s="253"/>
      <c r="H165" s="253"/>
      <c r="I165" s="253"/>
      <c r="J165" s="253"/>
      <c r="K165" s="253"/>
      <c r="L165" s="253"/>
      <c r="M165" s="253"/>
      <c r="N165" s="253"/>
      <c r="O165" s="253"/>
      <c r="P165" s="903"/>
      <c r="Q165" s="903"/>
      <c r="R165" s="903"/>
      <c r="S165" s="904" t="str">
        <f ca="1">IF(P165="","",IF(R165&lt;&gt;"",R165-P165,TODAY()-P165))</f>
        <v/>
      </c>
      <c r="T165" s="904" t="str">
        <f ca="1">IF(Q165="","",Q165-TODAY())</f>
        <v/>
      </c>
      <c r="U165" s="253"/>
      <c r="V165" s="253"/>
      <c r="W165" s="253"/>
      <c r="X165" s="253"/>
      <c r="Y165" s="253"/>
      <c r="Z165" s="253"/>
      <c r="AA165" s="253"/>
      <c r="AB165" s="253"/>
      <c r="AC165" s="253"/>
      <c r="AD165" s="253"/>
      <c r="AE165" s="253"/>
      <c r="AF165" s="253"/>
      <c r="AG165" s="253"/>
      <c r="AH165" s="253"/>
      <c r="AI165" s="253"/>
      <c r="AJ165" s="253"/>
      <c r="AK165" s="253"/>
      <c r="AL165" s="253"/>
      <c r="AM165" s="253"/>
      <c r="AN165" s="903"/>
      <c r="AO165" s="253" t="str">
        <f>IF(Z165="Yes",COUNTIF($Z$6:Z165,"Yes"),"")</f>
        <v/>
      </c>
      <c r="AP165" s="253" t="str">
        <f>IF(AA165="Yes",COUNTIF($AA$6:AA165,"Yes"),"")</f>
        <v/>
      </c>
      <c r="AQ165" s="253" t="str">
        <f>IF(AC165="Yes",COUNTIF($AC$6:AC165,"Yes"),"")</f>
        <v/>
      </c>
    </row>
    <row r="166" spans="1:43">
      <c r="A166" s="253"/>
      <c r="B166" s="253"/>
      <c r="C166" s="253"/>
      <c r="D166" s="253"/>
      <c r="E166" s="253"/>
      <c r="F166" s="253"/>
      <c r="G166" s="253"/>
      <c r="H166" s="253"/>
      <c r="I166" s="253"/>
      <c r="J166" s="253"/>
      <c r="K166" s="253"/>
      <c r="L166" s="253"/>
      <c r="M166" s="253"/>
      <c r="N166" s="253"/>
      <c r="O166" s="253"/>
      <c r="P166" s="903"/>
      <c r="Q166" s="903"/>
      <c r="R166" s="903"/>
      <c r="S166" s="904" t="str">
        <f ca="1">IF(P166="","",IF(R166&lt;&gt;"",R166-P166,TODAY()-P166))</f>
        <v/>
      </c>
      <c r="T166" s="904" t="str">
        <f ca="1">IF(Q166="","",Q166-TODAY())</f>
        <v/>
      </c>
      <c r="U166" s="253"/>
      <c r="V166" s="253"/>
      <c r="W166" s="253"/>
      <c r="X166" s="253"/>
      <c r="Y166" s="253"/>
      <c r="Z166" s="253"/>
      <c r="AA166" s="253"/>
      <c r="AB166" s="253"/>
      <c r="AC166" s="253"/>
      <c r="AD166" s="253"/>
      <c r="AE166" s="253"/>
      <c r="AF166" s="253"/>
      <c r="AG166" s="253"/>
      <c r="AH166" s="253"/>
      <c r="AI166" s="253"/>
      <c r="AJ166" s="253"/>
      <c r="AK166" s="253"/>
      <c r="AL166" s="253"/>
      <c r="AM166" s="253"/>
      <c r="AN166" s="903"/>
      <c r="AO166" s="253" t="str">
        <f>IF(Z166="Yes",COUNTIF($Z$6:Z166,"Yes"),"")</f>
        <v/>
      </c>
      <c r="AP166" s="253" t="str">
        <f>IF(AA166="Yes",COUNTIF($AA$6:AA166,"Yes"),"")</f>
        <v/>
      </c>
      <c r="AQ166" s="253" t="str">
        <f>IF(AC166="Yes",COUNTIF($AC$6:AC166,"Yes"),"")</f>
        <v/>
      </c>
    </row>
    <row r="167" spans="1:43">
      <c r="A167" s="253"/>
      <c r="B167" s="253"/>
      <c r="C167" s="253"/>
      <c r="D167" s="253"/>
      <c r="E167" s="253"/>
      <c r="F167" s="253"/>
      <c r="G167" s="253"/>
      <c r="H167" s="253"/>
      <c r="I167" s="253"/>
      <c r="J167" s="253"/>
      <c r="K167" s="253"/>
      <c r="L167" s="253"/>
      <c r="M167" s="253"/>
      <c r="N167" s="253"/>
      <c r="O167" s="253"/>
      <c r="P167" s="903"/>
      <c r="Q167" s="903"/>
      <c r="R167" s="903"/>
      <c r="S167" s="904" t="str">
        <f ca="1">IF(P167="","",IF(R167&lt;&gt;"",R167-P167,TODAY()-P167))</f>
        <v/>
      </c>
      <c r="T167" s="904" t="str">
        <f ca="1">IF(Q167="","",Q167-TODAY())</f>
        <v/>
      </c>
      <c r="U167" s="253"/>
      <c r="V167" s="253"/>
      <c r="W167" s="253"/>
      <c r="X167" s="253"/>
      <c r="Y167" s="253"/>
      <c r="Z167" s="253"/>
      <c r="AA167" s="253"/>
      <c r="AB167" s="253"/>
      <c r="AC167" s="253"/>
      <c r="AD167" s="253"/>
      <c r="AE167" s="253"/>
      <c r="AF167" s="253"/>
      <c r="AG167" s="253"/>
      <c r="AH167" s="253"/>
      <c r="AI167" s="253"/>
      <c r="AJ167" s="253"/>
      <c r="AK167" s="253"/>
      <c r="AL167" s="253"/>
      <c r="AM167" s="253"/>
      <c r="AN167" s="903"/>
      <c r="AO167" s="253" t="str">
        <f>IF(Z167="Yes",COUNTIF($Z$6:Z167,"Yes"),"")</f>
        <v/>
      </c>
      <c r="AP167" s="253" t="str">
        <f>IF(AA167="Yes",COUNTIF($AA$6:AA167,"Yes"),"")</f>
        <v/>
      </c>
      <c r="AQ167" s="253" t="str">
        <f>IF(AC167="Yes",COUNTIF($AC$6:AC167,"Yes"),"")</f>
        <v/>
      </c>
    </row>
    <row r="168" spans="1:43">
      <c r="A168" s="253"/>
      <c r="B168" s="253"/>
      <c r="C168" s="253"/>
      <c r="D168" s="253"/>
      <c r="E168" s="253"/>
      <c r="F168" s="253"/>
      <c r="G168" s="253"/>
      <c r="H168" s="253"/>
      <c r="I168" s="253"/>
      <c r="J168" s="253"/>
      <c r="K168" s="253"/>
      <c r="L168" s="253"/>
      <c r="M168" s="253"/>
      <c r="N168" s="253"/>
      <c r="O168" s="253"/>
      <c r="P168" s="903"/>
      <c r="Q168" s="903"/>
      <c r="R168" s="903"/>
      <c r="S168" s="904" t="str">
        <f ca="1">IF(P168="","",IF(R168&lt;&gt;"",R168-P168,TODAY()-P168))</f>
        <v/>
      </c>
      <c r="T168" s="904" t="str">
        <f ca="1">IF(Q168="","",Q168-TODAY())</f>
        <v/>
      </c>
      <c r="U168" s="253"/>
      <c r="V168" s="253"/>
      <c r="W168" s="253"/>
      <c r="X168" s="253"/>
      <c r="Y168" s="253"/>
      <c r="Z168" s="253"/>
      <c r="AA168" s="253"/>
      <c r="AB168" s="253"/>
      <c r="AC168" s="253"/>
      <c r="AD168" s="253"/>
      <c r="AE168" s="253"/>
      <c r="AF168" s="253"/>
      <c r="AG168" s="253"/>
      <c r="AH168" s="253"/>
      <c r="AI168" s="253"/>
      <c r="AJ168" s="253"/>
      <c r="AK168" s="253"/>
      <c r="AL168" s="253"/>
      <c r="AM168" s="253"/>
      <c r="AN168" s="903"/>
      <c r="AO168" s="253" t="str">
        <f>IF(Z168="Yes",COUNTIF($Z$6:Z168,"Yes"),"")</f>
        <v/>
      </c>
      <c r="AP168" s="253" t="str">
        <f>IF(AA168="Yes",COUNTIF($AA$6:AA168,"Yes"),"")</f>
        <v/>
      </c>
      <c r="AQ168" s="253" t="str">
        <f>IF(AC168="Yes",COUNTIF($AC$6:AC168,"Yes"),"")</f>
        <v/>
      </c>
    </row>
    <row r="169" spans="1:43">
      <c r="A169" s="253"/>
      <c r="B169" s="253"/>
      <c r="C169" s="253"/>
      <c r="D169" s="253"/>
      <c r="E169" s="253"/>
      <c r="F169" s="253"/>
      <c r="G169" s="253"/>
      <c r="H169" s="253"/>
      <c r="I169" s="253"/>
      <c r="J169" s="253"/>
      <c r="K169" s="253"/>
      <c r="L169" s="253"/>
      <c r="M169" s="253"/>
      <c r="N169" s="253"/>
      <c r="O169" s="253"/>
      <c r="P169" s="903"/>
      <c r="Q169" s="903"/>
      <c r="R169" s="903"/>
      <c r="S169" s="904" t="str">
        <f ca="1">IF(P169="","",IF(R169&lt;&gt;"",R169-P169,TODAY()-P169))</f>
        <v/>
      </c>
      <c r="T169" s="904" t="str">
        <f ca="1">IF(Q169="","",Q169-TODAY())</f>
        <v/>
      </c>
      <c r="U169" s="253"/>
      <c r="V169" s="253"/>
      <c r="W169" s="253"/>
      <c r="X169" s="253"/>
      <c r="Y169" s="253"/>
      <c r="Z169" s="253"/>
      <c r="AA169" s="253"/>
      <c r="AB169" s="253"/>
      <c r="AC169" s="253"/>
      <c r="AD169" s="253"/>
      <c r="AE169" s="253"/>
      <c r="AF169" s="253"/>
      <c r="AG169" s="253"/>
      <c r="AH169" s="253"/>
      <c r="AI169" s="253"/>
      <c r="AJ169" s="253"/>
      <c r="AK169" s="253"/>
      <c r="AL169" s="253"/>
      <c r="AM169" s="253"/>
      <c r="AN169" s="903"/>
      <c r="AO169" s="253" t="str">
        <f>IF(Z169="Yes",COUNTIF($Z$6:Z169,"Yes"),"")</f>
        <v/>
      </c>
      <c r="AP169" s="253" t="str">
        <f>IF(AA169="Yes",COUNTIF($AA$6:AA169,"Yes"),"")</f>
        <v/>
      </c>
      <c r="AQ169" s="253" t="str">
        <f>IF(AC169="Yes",COUNTIF($AC$6:AC169,"Yes"),"")</f>
        <v/>
      </c>
    </row>
    <row r="170" spans="1:43">
      <c r="A170" s="253"/>
      <c r="B170" s="253"/>
      <c r="C170" s="253"/>
      <c r="D170" s="253"/>
      <c r="E170" s="253"/>
      <c r="F170" s="253"/>
      <c r="G170" s="253"/>
      <c r="H170" s="253"/>
      <c r="I170" s="253"/>
      <c r="J170" s="253"/>
      <c r="K170" s="253"/>
      <c r="L170" s="253"/>
      <c r="M170" s="253"/>
      <c r="N170" s="253"/>
      <c r="O170" s="253"/>
      <c r="P170" s="903"/>
      <c r="Q170" s="903"/>
      <c r="R170" s="903"/>
      <c r="S170" s="904" t="str">
        <f ca="1">IF(P170="","",IF(R170&lt;&gt;"",R170-P170,TODAY()-P170))</f>
        <v/>
      </c>
      <c r="T170" s="904" t="str">
        <f ca="1">IF(Q170="","",Q170-TODAY())</f>
        <v/>
      </c>
      <c r="U170" s="253"/>
      <c r="V170" s="253"/>
      <c r="W170" s="253"/>
      <c r="X170" s="253"/>
      <c r="Y170" s="253"/>
      <c r="Z170" s="253"/>
      <c r="AA170" s="253"/>
      <c r="AB170" s="253"/>
      <c r="AC170" s="253"/>
      <c r="AD170" s="253"/>
      <c r="AE170" s="253"/>
      <c r="AF170" s="253"/>
      <c r="AG170" s="253"/>
      <c r="AH170" s="253"/>
      <c r="AI170" s="253"/>
      <c r="AJ170" s="253"/>
      <c r="AK170" s="253"/>
      <c r="AL170" s="253"/>
      <c r="AM170" s="253"/>
      <c r="AN170" s="903"/>
      <c r="AO170" s="253" t="str">
        <f>IF(Z170="Yes",COUNTIF($Z$6:Z170,"Yes"),"")</f>
        <v/>
      </c>
      <c r="AP170" s="253" t="str">
        <f>IF(AA170="Yes",COUNTIF($AA$6:AA170,"Yes"),"")</f>
        <v/>
      </c>
      <c r="AQ170" s="253" t="str">
        <f>IF(AC170="Yes",COUNTIF($AC$6:AC170,"Yes"),"")</f>
        <v/>
      </c>
    </row>
    <row r="171" spans="1:43">
      <c r="A171" s="253"/>
      <c r="B171" s="253"/>
      <c r="C171" s="253"/>
      <c r="D171" s="253"/>
      <c r="E171" s="253"/>
      <c r="F171" s="253"/>
      <c r="G171" s="253"/>
      <c r="H171" s="253"/>
      <c r="I171" s="253"/>
      <c r="J171" s="253"/>
      <c r="K171" s="253"/>
      <c r="L171" s="253"/>
      <c r="M171" s="253"/>
      <c r="N171" s="253"/>
      <c r="O171" s="253"/>
      <c r="P171" s="903"/>
      <c r="Q171" s="903"/>
      <c r="R171" s="903"/>
      <c r="S171" s="904" t="str">
        <f ca="1">IF(P171="","",IF(R171&lt;&gt;"",R171-P171,TODAY()-P171))</f>
        <v/>
      </c>
      <c r="T171" s="904" t="str">
        <f ca="1">IF(Q171="","",Q171-TODAY())</f>
        <v/>
      </c>
      <c r="U171" s="253"/>
      <c r="V171" s="253"/>
      <c r="W171" s="253"/>
      <c r="X171" s="253"/>
      <c r="Y171" s="253"/>
      <c r="Z171" s="253"/>
      <c r="AA171" s="253"/>
      <c r="AB171" s="253"/>
      <c r="AC171" s="253"/>
      <c r="AD171" s="253"/>
      <c r="AE171" s="253"/>
      <c r="AF171" s="253"/>
      <c r="AG171" s="253"/>
      <c r="AH171" s="253"/>
      <c r="AI171" s="253"/>
      <c r="AJ171" s="253"/>
      <c r="AK171" s="253"/>
      <c r="AL171" s="253"/>
      <c r="AM171" s="253"/>
      <c r="AN171" s="903"/>
      <c r="AO171" s="253" t="str">
        <f>IF(Z171="Yes",COUNTIF($Z$6:Z171,"Yes"),"")</f>
        <v/>
      </c>
      <c r="AP171" s="253" t="str">
        <f>IF(AA171="Yes",COUNTIF($AA$6:AA171,"Yes"),"")</f>
        <v/>
      </c>
      <c r="AQ171" s="253" t="str">
        <f>IF(AC171="Yes",COUNTIF($AC$6:AC171,"Yes"),"")</f>
        <v/>
      </c>
    </row>
    <row r="172" spans="1:43">
      <c r="A172" s="253"/>
      <c r="B172" s="253"/>
      <c r="C172" s="253"/>
      <c r="D172" s="253"/>
      <c r="E172" s="253"/>
      <c r="F172" s="253"/>
      <c r="G172" s="253"/>
      <c r="H172" s="253"/>
      <c r="I172" s="253"/>
      <c r="J172" s="253"/>
      <c r="K172" s="253"/>
      <c r="L172" s="253"/>
      <c r="M172" s="253"/>
      <c r="N172" s="253"/>
      <c r="O172" s="253"/>
      <c r="P172" s="903"/>
      <c r="Q172" s="903"/>
      <c r="R172" s="903"/>
      <c r="S172" s="904" t="str">
        <f ca="1">IF(P172="","",IF(R172&lt;&gt;"",R172-P172,TODAY()-P172))</f>
        <v/>
      </c>
      <c r="T172" s="904" t="str">
        <f ca="1">IF(Q172="","",Q172-TODAY())</f>
        <v/>
      </c>
      <c r="U172" s="253"/>
      <c r="V172" s="253"/>
      <c r="W172" s="253"/>
      <c r="X172" s="253"/>
      <c r="Y172" s="253"/>
      <c r="Z172" s="253"/>
      <c r="AA172" s="253"/>
      <c r="AB172" s="253"/>
      <c r="AC172" s="253"/>
      <c r="AD172" s="253"/>
      <c r="AE172" s="253"/>
      <c r="AF172" s="253"/>
      <c r="AG172" s="253"/>
      <c r="AH172" s="253"/>
      <c r="AI172" s="253"/>
      <c r="AJ172" s="253"/>
      <c r="AK172" s="253"/>
      <c r="AL172" s="253"/>
      <c r="AM172" s="253"/>
      <c r="AN172" s="903"/>
      <c r="AO172" s="253" t="str">
        <f>IF(Z172="Yes",COUNTIF($Z$6:Z172,"Yes"),"")</f>
        <v/>
      </c>
      <c r="AP172" s="253" t="str">
        <f>IF(AA172="Yes",COUNTIF($AA$6:AA172,"Yes"),"")</f>
        <v/>
      </c>
      <c r="AQ172" s="253" t="str">
        <f>IF(AC172="Yes",COUNTIF($AC$6:AC172,"Yes"),"")</f>
        <v/>
      </c>
    </row>
    <row r="173" spans="1:43">
      <c r="A173" s="253"/>
      <c r="B173" s="253"/>
      <c r="C173" s="253"/>
      <c r="D173" s="253"/>
      <c r="E173" s="253"/>
      <c r="F173" s="253"/>
      <c r="G173" s="253"/>
      <c r="H173" s="253"/>
      <c r="I173" s="253"/>
      <c r="J173" s="253"/>
      <c r="K173" s="253"/>
      <c r="L173" s="253"/>
      <c r="M173" s="253"/>
      <c r="N173" s="253"/>
      <c r="O173" s="253"/>
      <c r="P173" s="903"/>
      <c r="Q173" s="903"/>
      <c r="R173" s="903"/>
      <c r="S173" s="904" t="str">
        <f ca="1">IF(P173="","",IF(R173&lt;&gt;"",R173-P173,TODAY()-P173))</f>
        <v/>
      </c>
      <c r="T173" s="904" t="str">
        <f ca="1">IF(Q173="","",Q173-TODAY())</f>
        <v/>
      </c>
      <c r="U173" s="253"/>
      <c r="V173" s="253"/>
      <c r="W173" s="253"/>
      <c r="X173" s="253"/>
      <c r="Y173" s="253"/>
      <c r="Z173" s="253"/>
      <c r="AA173" s="253"/>
      <c r="AB173" s="253"/>
      <c r="AC173" s="253"/>
      <c r="AD173" s="253"/>
      <c r="AE173" s="253"/>
      <c r="AF173" s="253"/>
      <c r="AG173" s="253"/>
      <c r="AH173" s="253"/>
      <c r="AI173" s="253"/>
      <c r="AJ173" s="253"/>
      <c r="AK173" s="253"/>
      <c r="AL173" s="253"/>
      <c r="AM173" s="253"/>
      <c r="AN173" s="903"/>
      <c r="AO173" s="253" t="str">
        <f>IF(Z173="Yes",COUNTIF($Z$6:Z173,"Yes"),"")</f>
        <v/>
      </c>
      <c r="AP173" s="253" t="str">
        <f>IF(AA173="Yes",COUNTIF($AA$6:AA173,"Yes"),"")</f>
        <v/>
      </c>
      <c r="AQ173" s="253" t="str">
        <f>IF(AC173="Yes",COUNTIF($AC$6:AC173,"Yes"),"")</f>
        <v/>
      </c>
    </row>
    <row r="174" spans="1:43">
      <c r="A174" s="253"/>
      <c r="B174" s="253"/>
      <c r="C174" s="253"/>
      <c r="D174" s="253"/>
      <c r="E174" s="253"/>
      <c r="F174" s="253"/>
      <c r="G174" s="253"/>
      <c r="H174" s="253"/>
      <c r="I174" s="253"/>
      <c r="J174" s="253"/>
      <c r="K174" s="253"/>
      <c r="L174" s="253"/>
      <c r="M174" s="253"/>
      <c r="N174" s="253"/>
      <c r="O174" s="253"/>
      <c r="P174" s="903"/>
      <c r="Q174" s="903"/>
      <c r="R174" s="903"/>
      <c r="S174" s="904" t="str">
        <f ca="1">IF(P174="","",IF(R174&lt;&gt;"",R174-P174,TODAY()-P174))</f>
        <v/>
      </c>
      <c r="T174" s="904" t="str">
        <f ca="1">IF(Q174="","",Q174-TODAY())</f>
        <v/>
      </c>
      <c r="U174" s="253"/>
      <c r="V174" s="253"/>
      <c r="W174" s="253"/>
      <c r="X174" s="253"/>
      <c r="Y174" s="253"/>
      <c r="Z174" s="253"/>
      <c r="AA174" s="253"/>
      <c r="AB174" s="253"/>
      <c r="AC174" s="253"/>
      <c r="AD174" s="253"/>
      <c r="AE174" s="253"/>
      <c r="AF174" s="253"/>
      <c r="AG174" s="253"/>
      <c r="AH174" s="253"/>
      <c r="AI174" s="253"/>
      <c r="AJ174" s="253"/>
      <c r="AK174" s="253"/>
      <c r="AL174" s="253"/>
      <c r="AM174" s="253"/>
      <c r="AN174" s="903"/>
      <c r="AO174" s="253" t="str">
        <f>IF(Z174="Yes",COUNTIF($Z$6:Z174,"Yes"),"")</f>
        <v/>
      </c>
      <c r="AP174" s="253" t="str">
        <f>IF(AA174="Yes",COUNTIF($AA$6:AA174,"Yes"),"")</f>
        <v/>
      </c>
      <c r="AQ174" s="253" t="str">
        <f>IF(AC174="Yes",COUNTIF($AC$6:AC174,"Yes"),"")</f>
        <v/>
      </c>
    </row>
    <row r="175" spans="1:43">
      <c r="A175" s="253"/>
      <c r="B175" s="253"/>
      <c r="C175" s="253"/>
      <c r="D175" s="253"/>
      <c r="E175" s="253"/>
      <c r="F175" s="253"/>
      <c r="G175" s="253"/>
      <c r="H175" s="253"/>
      <c r="I175" s="253"/>
      <c r="J175" s="253"/>
      <c r="K175" s="253"/>
      <c r="L175" s="253"/>
      <c r="M175" s="253"/>
      <c r="N175" s="253"/>
      <c r="O175" s="253"/>
      <c r="P175" s="903"/>
      <c r="Q175" s="903"/>
      <c r="R175" s="903"/>
      <c r="S175" s="904" t="str">
        <f ca="1">IF(P175="","",IF(R175&lt;&gt;"",R175-P175,TODAY()-P175))</f>
        <v/>
      </c>
      <c r="T175" s="904" t="str">
        <f ca="1">IF(Q175="","",Q175-TODAY())</f>
        <v/>
      </c>
      <c r="U175" s="253"/>
      <c r="V175" s="253"/>
      <c r="W175" s="253"/>
      <c r="X175" s="253"/>
      <c r="Y175" s="253"/>
      <c r="Z175" s="253"/>
      <c r="AA175" s="253"/>
      <c r="AB175" s="253"/>
      <c r="AC175" s="253"/>
      <c r="AD175" s="253"/>
      <c r="AE175" s="253"/>
      <c r="AF175" s="253"/>
      <c r="AG175" s="253"/>
      <c r="AH175" s="253"/>
      <c r="AI175" s="253"/>
      <c r="AJ175" s="253"/>
      <c r="AK175" s="253"/>
      <c r="AL175" s="253"/>
      <c r="AM175" s="253"/>
      <c r="AN175" s="903"/>
      <c r="AO175" s="253" t="str">
        <f>IF(Z175="Yes",COUNTIF($Z$6:Z175,"Yes"),"")</f>
        <v/>
      </c>
      <c r="AP175" s="253" t="str">
        <f>IF(AA175="Yes",COUNTIF($AA$6:AA175,"Yes"),"")</f>
        <v/>
      </c>
      <c r="AQ175" s="253" t="str">
        <f>IF(AC175="Yes",COUNTIF($AC$6:AC175,"Yes"),"")</f>
        <v/>
      </c>
    </row>
    <row r="176" spans="1:43">
      <c r="A176" s="253"/>
      <c r="B176" s="253"/>
      <c r="C176" s="253"/>
      <c r="D176" s="253"/>
      <c r="E176" s="253"/>
      <c r="F176" s="253"/>
      <c r="G176" s="253"/>
      <c r="H176" s="253"/>
      <c r="I176" s="253"/>
      <c r="J176" s="253"/>
      <c r="K176" s="253"/>
      <c r="L176" s="253"/>
      <c r="M176" s="253"/>
      <c r="N176" s="253"/>
      <c r="O176" s="253"/>
      <c r="P176" s="903"/>
      <c r="Q176" s="903"/>
      <c r="R176" s="903"/>
      <c r="S176" s="904" t="str">
        <f ca="1">IF(P176="","",IF(R176&lt;&gt;"",R176-P176,TODAY()-P176))</f>
        <v/>
      </c>
      <c r="T176" s="904" t="str">
        <f ca="1">IF(Q176="","",Q176-TODAY())</f>
        <v/>
      </c>
      <c r="U176" s="253"/>
      <c r="V176" s="253"/>
      <c r="W176" s="253"/>
      <c r="X176" s="253"/>
      <c r="Y176" s="253"/>
      <c r="Z176" s="253"/>
      <c r="AA176" s="253"/>
      <c r="AB176" s="253"/>
      <c r="AC176" s="253"/>
      <c r="AD176" s="253"/>
      <c r="AE176" s="253"/>
      <c r="AF176" s="253"/>
      <c r="AG176" s="253"/>
      <c r="AH176" s="253"/>
      <c r="AI176" s="253"/>
      <c r="AJ176" s="253"/>
      <c r="AK176" s="253"/>
      <c r="AL176" s="253"/>
      <c r="AM176" s="253"/>
      <c r="AN176" s="903"/>
      <c r="AO176" s="253" t="str">
        <f>IF(Z176="Yes",COUNTIF($Z$6:Z176,"Yes"),"")</f>
        <v/>
      </c>
      <c r="AP176" s="253" t="str">
        <f>IF(AA176="Yes",COUNTIF($AA$6:AA176,"Yes"),"")</f>
        <v/>
      </c>
      <c r="AQ176" s="253" t="str">
        <f>IF(AC176="Yes",COUNTIF($AC$6:AC176,"Yes"),"")</f>
        <v/>
      </c>
    </row>
    <row r="177" spans="1:43">
      <c r="A177" s="253"/>
      <c r="B177" s="253"/>
      <c r="C177" s="253"/>
      <c r="D177" s="253"/>
      <c r="E177" s="253"/>
      <c r="F177" s="253"/>
      <c r="G177" s="253"/>
      <c r="H177" s="253"/>
      <c r="I177" s="253"/>
      <c r="J177" s="253"/>
      <c r="K177" s="253"/>
      <c r="L177" s="253"/>
      <c r="M177" s="253"/>
      <c r="N177" s="253"/>
      <c r="O177" s="253"/>
      <c r="P177" s="903"/>
      <c r="Q177" s="903"/>
      <c r="R177" s="903"/>
      <c r="S177" s="904" t="str">
        <f ca="1">IF(P177="","",IF(R177&lt;&gt;"",R177-P177,TODAY()-P177))</f>
        <v/>
      </c>
      <c r="T177" s="904" t="str">
        <f ca="1">IF(Q177="","",Q177-TODAY())</f>
        <v/>
      </c>
      <c r="U177" s="253"/>
      <c r="V177" s="253"/>
      <c r="W177" s="253"/>
      <c r="X177" s="253"/>
      <c r="Y177" s="253"/>
      <c r="Z177" s="253"/>
      <c r="AA177" s="253"/>
      <c r="AB177" s="253"/>
      <c r="AC177" s="253"/>
      <c r="AD177" s="253"/>
      <c r="AE177" s="253"/>
      <c r="AF177" s="253"/>
      <c r="AG177" s="253"/>
      <c r="AH177" s="253"/>
      <c r="AI177" s="253"/>
      <c r="AJ177" s="253"/>
      <c r="AK177" s="253"/>
      <c r="AL177" s="253"/>
      <c r="AM177" s="253"/>
      <c r="AN177" s="903"/>
      <c r="AO177" s="253" t="str">
        <f>IF(Z177="Yes",COUNTIF($Z$6:Z177,"Yes"),"")</f>
        <v/>
      </c>
      <c r="AP177" s="253" t="str">
        <f>IF(AA177="Yes",COUNTIF($AA$6:AA177,"Yes"),"")</f>
        <v/>
      </c>
      <c r="AQ177" s="253" t="str">
        <f>IF(AC177="Yes",COUNTIF($AC$6:AC177,"Yes"),"")</f>
        <v/>
      </c>
    </row>
    <row r="178" spans="1:43">
      <c r="A178" s="253"/>
      <c r="B178" s="253"/>
      <c r="C178" s="253"/>
      <c r="D178" s="253"/>
      <c r="E178" s="253"/>
      <c r="F178" s="253"/>
      <c r="G178" s="253"/>
      <c r="H178" s="253"/>
      <c r="I178" s="253"/>
      <c r="J178" s="253"/>
      <c r="K178" s="253"/>
      <c r="L178" s="253"/>
      <c r="M178" s="253"/>
      <c r="N178" s="253"/>
      <c r="O178" s="253"/>
      <c r="P178" s="903"/>
      <c r="Q178" s="903"/>
      <c r="R178" s="903"/>
      <c r="S178" s="904" t="str">
        <f ca="1">IF(P178="","",IF(R178&lt;&gt;"",R178-P178,TODAY()-P178))</f>
        <v/>
      </c>
      <c r="T178" s="904" t="str">
        <f ca="1">IF(Q178="","",Q178-TODAY())</f>
        <v/>
      </c>
      <c r="U178" s="253"/>
      <c r="V178" s="253"/>
      <c r="W178" s="253"/>
      <c r="X178" s="253"/>
      <c r="Y178" s="253"/>
      <c r="Z178" s="253"/>
      <c r="AA178" s="253"/>
      <c r="AB178" s="253"/>
      <c r="AC178" s="253"/>
      <c r="AD178" s="253"/>
      <c r="AE178" s="253"/>
      <c r="AF178" s="253"/>
      <c r="AG178" s="253"/>
      <c r="AH178" s="253"/>
      <c r="AI178" s="253"/>
      <c r="AJ178" s="253"/>
      <c r="AK178" s="253"/>
      <c r="AL178" s="253"/>
      <c r="AM178" s="253"/>
      <c r="AN178" s="903"/>
      <c r="AO178" s="253" t="str">
        <f>IF(Z178="Yes",COUNTIF($Z$6:Z178,"Yes"),"")</f>
        <v/>
      </c>
      <c r="AP178" s="253" t="str">
        <f>IF(AA178="Yes",COUNTIF($AA$6:AA178,"Yes"),"")</f>
        <v/>
      </c>
      <c r="AQ178" s="253" t="str">
        <f>IF(AC178="Yes",COUNTIF($AC$6:AC178,"Yes"),"")</f>
        <v/>
      </c>
    </row>
    <row r="179" spans="1:43">
      <c r="A179" s="253"/>
      <c r="B179" s="253"/>
      <c r="C179" s="253"/>
      <c r="D179" s="253"/>
      <c r="E179" s="253"/>
      <c r="F179" s="253"/>
      <c r="G179" s="253"/>
      <c r="H179" s="253"/>
      <c r="I179" s="253"/>
      <c r="J179" s="253"/>
      <c r="K179" s="253"/>
      <c r="L179" s="253"/>
      <c r="M179" s="253"/>
      <c r="N179" s="253"/>
      <c r="O179" s="253"/>
      <c r="P179" s="903"/>
      <c r="Q179" s="903"/>
      <c r="R179" s="903"/>
      <c r="S179" s="904" t="str">
        <f ca="1">IF(P179="","",IF(R179&lt;&gt;"",R179-P179,TODAY()-P179))</f>
        <v/>
      </c>
      <c r="T179" s="904" t="str">
        <f ca="1">IF(Q179="","",Q179-TODAY())</f>
        <v/>
      </c>
      <c r="U179" s="253"/>
      <c r="V179" s="253"/>
      <c r="W179" s="253"/>
      <c r="X179" s="253"/>
      <c r="Y179" s="253"/>
      <c r="Z179" s="253"/>
      <c r="AA179" s="253"/>
      <c r="AB179" s="253"/>
      <c r="AC179" s="253"/>
      <c r="AD179" s="253"/>
      <c r="AE179" s="253"/>
      <c r="AF179" s="253"/>
      <c r="AG179" s="253"/>
      <c r="AH179" s="253"/>
      <c r="AI179" s="253"/>
      <c r="AJ179" s="253"/>
      <c r="AK179" s="253"/>
      <c r="AL179" s="253"/>
      <c r="AM179" s="253"/>
      <c r="AN179" s="903"/>
      <c r="AO179" s="253" t="str">
        <f>IF(Z179="Yes",COUNTIF($Z$6:Z179,"Yes"),"")</f>
        <v/>
      </c>
      <c r="AP179" s="253" t="str">
        <f>IF(AA179="Yes",COUNTIF($AA$6:AA179,"Yes"),"")</f>
        <v/>
      </c>
      <c r="AQ179" s="253" t="str">
        <f>IF(AC179="Yes",COUNTIF($AC$6:AC179,"Yes"),"")</f>
        <v/>
      </c>
    </row>
    <row r="180" spans="1:43">
      <c r="A180" s="253"/>
      <c r="B180" s="253"/>
      <c r="C180" s="253"/>
      <c r="D180" s="253"/>
      <c r="E180" s="253"/>
      <c r="F180" s="253"/>
      <c r="G180" s="253"/>
      <c r="H180" s="253"/>
      <c r="I180" s="253"/>
      <c r="J180" s="253"/>
      <c r="K180" s="253"/>
      <c r="L180" s="253"/>
      <c r="M180" s="253"/>
      <c r="N180" s="253"/>
      <c r="O180" s="253"/>
      <c r="P180" s="903"/>
      <c r="Q180" s="903"/>
      <c r="R180" s="903"/>
      <c r="S180" s="904" t="str">
        <f ca="1">IF(P180="","",IF(R180&lt;&gt;"",R180-P180,TODAY()-P180))</f>
        <v/>
      </c>
      <c r="T180" s="904" t="str">
        <f ca="1">IF(Q180="","",Q180-TODAY())</f>
        <v/>
      </c>
      <c r="U180" s="253"/>
      <c r="V180" s="253"/>
      <c r="W180" s="253"/>
      <c r="X180" s="253"/>
      <c r="Y180" s="253"/>
      <c r="Z180" s="253"/>
      <c r="AA180" s="253"/>
      <c r="AB180" s="253"/>
      <c r="AC180" s="253"/>
      <c r="AD180" s="253"/>
      <c r="AE180" s="253"/>
      <c r="AF180" s="253"/>
      <c r="AG180" s="253"/>
      <c r="AH180" s="253"/>
      <c r="AI180" s="253"/>
      <c r="AJ180" s="253"/>
      <c r="AK180" s="253"/>
      <c r="AL180" s="253"/>
      <c r="AM180" s="253"/>
      <c r="AN180" s="903"/>
      <c r="AO180" s="253" t="str">
        <f>IF(Z180="Yes",COUNTIF($Z$6:Z180,"Yes"),"")</f>
        <v/>
      </c>
      <c r="AP180" s="253" t="str">
        <f>IF(AA180="Yes",COUNTIF($AA$6:AA180,"Yes"),"")</f>
        <v/>
      </c>
      <c r="AQ180" s="253" t="str">
        <f>IF(AC180="Yes",COUNTIF($AC$6:AC180,"Yes"),"")</f>
        <v/>
      </c>
    </row>
    <row r="181" spans="1:43">
      <c r="A181" s="253"/>
      <c r="B181" s="253"/>
      <c r="C181" s="253"/>
      <c r="D181" s="253"/>
      <c r="E181" s="253"/>
      <c r="F181" s="253"/>
      <c r="G181" s="253"/>
      <c r="H181" s="253"/>
      <c r="I181" s="253"/>
      <c r="J181" s="253"/>
      <c r="K181" s="253"/>
      <c r="L181" s="253"/>
      <c r="M181" s="253"/>
      <c r="N181" s="253"/>
      <c r="O181" s="253"/>
      <c r="P181" s="903"/>
      <c r="Q181" s="903"/>
      <c r="R181" s="903"/>
      <c r="S181" s="904" t="str">
        <f ca="1">IF(P181="","",IF(R181&lt;&gt;"",R181-P181,TODAY()-P181))</f>
        <v/>
      </c>
      <c r="T181" s="904" t="str">
        <f ca="1">IF(Q181="","",Q181-TODAY())</f>
        <v/>
      </c>
      <c r="U181" s="253"/>
      <c r="V181" s="253"/>
      <c r="W181" s="253"/>
      <c r="X181" s="253"/>
      <c r="Y181" s="253"/>
      <c r="Z181" s="253"/>
      <c r="AA181" s="253"/>
      <c r="AB181" s="253"/>
      <c r="AC181" s="253"/>
      <c r="AD181" s="253"/>
      <c r="AE181" s="253"/>
      <c r="AF181" s="253"/>
      <c r="AG181" s="253"/>
      <c r="AH181" s="253"/>
      <c r="AI181" s="253"/>
      <c r="AJ181" s="253"/>
      <c r="AK181" s="253"/>
      <c r="AL181" s="253"/>
      <c r="AM181" s="253"/>
      <c r="AN181" s="903"/>
      <c r="AO181" s="253" t="str">
        <f>IF(Z181="Yes",COUNTIF($Z$6:Z181,"Yes"),"")</f>
        <v/>
      </c>
      <c r="AP181" s="253" t="str">
        <f>IF(AA181="Yes",COUNTIF($AA$6:AA181,"Yes"),"")</f>
        <v/>
      </c>
      <c r="AQ181" s="253" t="str">
        <f>IF(AC181="Yes",COUNTIF($AC$6:AC181,"Yes"),"")</f>
        <v/>
      </c>
    </row>
    <row r="182" spans="1:43">
      <c r="A182" s="253"/>
      <c r="B182" s="253"/>
      <c r="C182" s="253"/>
      <c r="D182" s="253"/>
      <c r="E182" s="253"/>
      <c r="F182" s="253"/>
      <c r="G182" s="253"/>
      <c r="H182" s="253"/>
      <c r="I182" s="253"/>
      <c r="J182" s="253"/>
      <c r="K182" s="253"/>
      <c r="L182" s="253"/>
      <c r="M182" s="253"/>
      <c r="N182" s="253"/>
      <c r="O182" s="253"/>
      <c r="P182" s="903"/>
      <c r="Q182" s="903"/>
      <c r="R182" s="903"/>
      <c r="S182" s="904" t="str">
        <f ca="1">IF(P182="","",IF(R182&lt;&gt;"",R182-P182,TODAY()-P182))</f>
        <v/>
      </c>
      <c r="T182" s="904" t="str">
        <f ca="1">IF(Q182="","",Q182-TODAY())</f>
        <v/>
      </c>
      <c r="U182" s="253"/>
      <c r="V182" s="253"/>
      <c r="W182" s="253"/>
      <c r="X182" s="253"/>
      <c r="Y182" s="253"/>
      <c r="Z182" s="253"/>
      <c r="AA182" s="253"/>
      <c r="AB182" s="253"/>
      <c r="AC182" s="253"/>
      <c r="AD182" s="253"/>
      <c r="AE182" s="253"/>
      <c r="AF182" s="253"/>
      <c r="AG182" s="253"/>
      <c r="AH182" s="253"/>
      <c r="AI182" s="253"/>
      <c r="AJ182" s="253"/>
      <c r="AK182" s="253"/>
      <c r="AL182" s="253"/>
      <c r="AM182" s="253"/>
      <c r="AN182" s="903"/>
      <c r="AO182" s="253" t="str">
        <f>IF(Z182="Yes",COUNTIF($Z$6:Z182,"Yes"),"")</f>
        <v/>
      </c>
      <c r="AP182" s="253" t="str">
        <f>IF(AA182="Yes",COUNTIF($AA$6:AA182,"Yes"),"")</f>
        <v/>
      </c>
      <c r="AQ182" s="253" t="str">
        <f>IF(AC182="Yes",COUNTIF($AC$6:AC182,"Yes"),"")</f>
        <v/>
      </c>
    </row>
    <row r="183" spans="1:43">
      <c r="A183" s="253"/>
      <c r="B183" s="253"/>
      <c r="C183" s="253"/>
      <c r="D183" s="253"/>
      <c r="E183" s="253"/>
      <c r="F183" s="253"/>
      <c r="G183" s="253"/>
      <c r="H183" s="253"/>
      <c r="I183" s="253"/>
      <c r="J183" s="253"/>
      <c r="K183" s="253"/>
      <c r="L183" s="253"/>
      <c r="M183" s="253"/>
      <c r="N183" s="253"/>
      <c r="O183" s="253"/>
      <c r="P183" s="903"/>
      <c r="Q183" s="903"/>
      <c r="R183" s="903"/>
      <c r="S183" s="904" t="str">
        <f ca="1">IF(P183="","",IF(R183&lt;&gt;"",R183-P183,TODAY()-P183))</f>
        <v/>
      </c>
      <c r="T183" s="904" t="str">
        <f ca="1">IF(Q183="","",Q183-TODAY())</f>
        <v/>
      </c>
      <c r="U183" s="253"/>
      <c r="V183" s="253"/>
      <c r="W183" s="253"/>
      <c r="X183" s="253"/>
      <c r="Y183" s="253"/>
      <c r="Z183" s="253"/>
      <c r="AA183" s="253"/>
      <c r="AB183" s="253"/>
      <c r="AC183" s="253"/>
      <c r="AD183" s="253"/>
      <c r="AE183" s="253"/>
      <c r="AF183" s="253"/>
      <c r="AG183" s="253"/>
      <c r="AH183" s="253"/>
      <c r="AI183" s="253"/>
      <c r="AJ183" s="253"/>
      <c r="AK183" s="253"/>
      <c r="AL183" s="253"/>
      <c r="AM183" s="253"/>
      <c r="AN183" s="903"/>
      <c r="AO183" s="253" t="str">
        <f>IF(Z183="Yes",COUNTIF($Z$6:Z183,"Yes"),"")</f>
        <v/>
      </c>
      <c r="AP183" s="253" t="str">
        <f>IF(AA183="Yes",COUNTIF($AA$6:AA183,"Yes"),"")</f>
        <v/>
      </c>
      <c r="AQ183" s="253" t="str">
        <f>IF(AC183="Yes",COUNTIF($AC$6:AC183,"Yes"),"")</f>
        <v/>
      </c>
    </row>
    <row r="184" spans="1:43">
      <c r="A184" s="253"/>
      <c r="B184" s="253"/>
      <c r="C184" s="253"/>
      <c r="D184" s="253"/>
      <c r="E184" s="253"/>
      <c r="F184" s="253"/>
      <c r="G184" s="253"/>
      <c r="H184" s="253"/>
      <c r="I184" s="253"/>
      <c r="J184" s="253"/>
      <c r="K184" s="253"/>
      <c r="L184" s="253"/>
      <c r="M184" s="253"/>
      <c r="N184" s="253"/>
      <c r="O184" s="253"/>
      <c r="P184" s="903"/>
      <c r="Q184" s="903"/>
      <c r="R184" s="903"/>
      <c r="S184" s="904" t="str">
        <f ca="1">IF(P184="","",IF(R184&lt;&gt;"",R184-P184,TODAY()-P184))</f>
        <v/>
      </c>
      <c r="T184" s="904" t="str">
        <f ca="1">IF(Q184="","",Q184-TODAY())</f>
        <v/>
      </c>
      <c r="U184" s="253"/>
      <c r="V184" s="253"/>
      <c r="W184" s="253"/>
      <c r="X184" s="253"/>
      <c r="Y184" s="253"/>
      <c r="Z184" s="253"/>
      <c r="AA184" s="253"/>
      <c r="AB184" s="253"/>
      <c r="AC184" s="253"/>
      <c r="AD184" s="253"/>
      <c r="AE184" s="253"/>
      <c r="AF184" s="253"/>
      <c r="AG184" s="253"/>
      <c r="AH184" s="253"/>
      <c r="AI184" s="253"/>
      <c r="AJ184" s="253"/>
      <c r="AK184" s="253"/>
      <c r="AL184" s="253"/>
      <c r="AM184" s="253"/>
      <c r="AN184" s="903"/>
      <c r="AO184" s="253" t="str">
        <f>IF(Z184="Yes",COUNTIF($Z$6:Z184,"Yes"),"")</f>
        <v/>
      </c>
      <c r="AP184" s="253" t="str">
        <f>IF(AA184="Yes",COUNTIF($AA$6:AA184,"Yes"),"")</f>
        <v/>
      </c>
      <c r="AQ184" s="253" t="str">
        <f>IF(AC184="Yes",COUNTIF($AC$6:AC184,"Yes"),"")</f>
        <v/>
      </c>
    </row>
    <row r="185" spans="1:43">
      <c r="A185" s="253"/>
      <c r="B185" s="253"/>
      <c r="C185" s="253"/>
      <c r="D185" s="253"/>
      <c r="E185" s="253"/>
      <c r="F185" s="253"/>
      <c r="G185" s="253"/>
      <c r="H185" s="253"/>
      <c r="I185" s="253"/>
      <c r="J185" s="253"/>
      <c r="K185" s="253"/>
      <c r="L185" s="253"/>
      <c r="M185" s="253"/>
      <c r="N185" s="253"/>
      <c r="O185" s="253"/>
      <c r="P185" s="903"/>
      <c r="Q185" s="903"/>
      <c r="R185" s="903"/>
      <c r="S185" s="904" t="str">
        <f ca="1">IF(P185="","",IF(R185&lt;&gt;"",R185-P185,TODAY()-P185))</f>
        <v/>
      </c>
      <c r="T185" s="904" t="str">
        <f ca="1">IF(Q185="","",Q185-TODAY())</f>
        <v/>
      </c>
      <c r="U185" s="253"/>
      <c r="V185" s="253"/>
      <c r="W185" s="253"/>
      <c r="X185" s="253"/>
      <c r="Y185" s="253"/>
      <c r="Z185" s="253"/>
      <c r="AA185" s="253"/>
      <c r="AB185" s="253"/>
      <c r="AC185" s="253"/>
      <c r="AD185" s="253"/>
      <c r="AE185" s="253"/>
      <c r="AF185" s="253"/>
      <c r="AG185" s="253"/>
      <c r="AH185" s="253"/>
      <c r="AI185" s="253"/>
      <c r="AJ185" s="253"/>
      <c r="AK185" s="253"/>
      <c r="AL185" s="253"/>
      <c r="AM185" s="253"/>
      <c r="AN185" s="903"/>
      <c r="AO185" s="253" t="str">
        <f>IF(Z185="Yes",COUNTIF($Z$6:Z185,"Yes"),"")</f>
        <v/>
      </c>
      <c r="AP185" s="253" t="str">
        <f>IF(AA185="Yes",COUNTIF($AA$6:AA185,"Yes"),"")</f>
        <v/>
      </c>
      <c r="AQ185" s="253" t="str">
        <f>IF(AC185="Yes",COUNTIF($AC$6:AC185,"Yes"),"")</f>
        <v/>
      </c>
    </row>
    <row r="186" spans="1:43">
      <c r="A186" s="253"/>
      <c r="B186" s="253"/>
      <c r="C186" s="253"/>
      <c r="D186" s="253"/>
      <c r="E186" s="253"/>
      <c r="F186" s="253"/>
      <c r="G186" s="253"/>
      <c r="H186" s="253"/>
      <c r="I186" s="253"/>
      <c r="J186" s="253"/>
      <c r="K186" s="253"/>
      <c r="L186" s="253"/>
      <c r="M186" s="253"/>
      <c r="N186" s="253"/>
      <c r="O186" s="253"/>
      <c r="P186" s="903"/>
      <c r="Q186" s="903"/>
      <c r="R186" s="903"/>
      <c r="S186" s="904" t="str">
        <f ca="1">IF(P186="","",IF(R186&lt;&gt;"",R186-P186,TODAY()-P186))</f>
        <v/>
      </c>
      <c r="T186" s="904" t="str">
        <f ca="1">IF(Q186="","",Q186-TODAY())</f>
        <v/>
      </c>
      <c r="U186" s="253"/>
      <c r="V186" s="253"/>
      <c r="W186" s="253"/>
      <c r="X186" s="253"/>
      <c r="Y186" s="253"/>
      <c r="Z186" s="253"/>
      <c r="AA186" s="253"/>
      <c r="AB186" s="253"/>
      <c r="AC186" s="253"/>
      <c r="AD186" s="253"/>
      <c r="AE186" s="253"/>
      <c r="AF186" s="253"/>
      <c r="AG186" s="253"/>
      <c r="AH186" s="253"/>
      <c r="AI186" s="253"/>
      <c r="AJ186" s="253"/>
      <c r="AK186" s="253"/>
      <c r="AL186" s="253"/>
      <c r="AM186" s="253"/>
      <c r="AN186" s="903"/>
      <c r="AO186" s="253" t="str">
        <f>IF(Z186="Yes",COUNTIF($Z$6:Z186,"Yes"),"")</f>
        <v/>
      </c>
      <c r="AP186" s="253" t="str">
        <f>IF(AA186="Yes",COUNTIF($AA$6:AA186,"Yes"),"")</f>
        <v/>
      </c>
      <c r="AQ186" s="253" t="str">
        <f>IF(AC186="Yes",COUNTIF($AC$6:AC186,"Yes"),"")</f>
        <v/>
      </c>
    </row>
    <row r="187" spans="1:43">
      <c r="A187" s="253"/>
      <c r="B187" s="253"/>
      <c r="C187" s="253"/>
      <c r="D187" s="253"/>
      <c r="E187" s="253"/>
      <c r="F187" s="253"/>
      <c r="G187" s="253"/>
      <c r="H187" s="253"/>
      <c r="I187" s="253"/>
      <c r="J187" s="253"/>
      <c r="K187" s="253"/>
      <c r="L187" s="253"/>
      <c r="M187" s="253"/>
      <c r="N187" s="253"/>
      <c r="O187" s="253"/>
      <c r="P187" s="903"/>
      <c r="Q187" s="903"/>
      <c r="R187" s="903"/>
      <c r="S187" s="904" t="str">
        <f ca="1">IF(P187="","",IF(R187&lt;&gt;"",R187-P187,TODAY()-P187))</f>
        <v/>
      </c>
      <c r="T187" s="904" t="str">
        <f ca="1">IF(Q187="","",Q187-TODAY())</f>
        <v/>
      </c>
      <c r="U187" s="253"/>
      <c r="V187" s="253"/>
      <c r="W187" s="253"/>
      <c r="X187" s="253"/>
      <c r="Y187" s="253"/>
      <c r="Z187" s="253"/>
      <c r="AA187" s="253"/>
      <c r="AB187" s="253"/>
      <c r="AC187" s="253"/>
      <c r="AD187" s="253"/>
      <c r="AE187" s="253"/>
      <c r="AF187" s="253"/>
      <c r="AG187" s="253"/>
      <c r="AH187" s="253"/>
      <c r="AI187" s="253"/>
      <c r="AJ187" s="253"/>
      <c r="AK187" s="253"/>
      <c r="AL187" s="253"/>
      <c r="AM187" s="253"/>
      <c r="AN187" s="903"/>
      <c r="AO187" s="253" t="str">
        <f>IF(Z187="Yes",COUNTIF($Z$6:Z187,"Yes"),"")</f>
        <v/>
      </c>
      <c r="AP187" s="253" t="str">
        <f>IF(AA187="Yes",COUNTIF($AA$6:AA187,"Yes"),"")</f>
        <v/>
      </c>
      <c r="AQ187" s="253" t="str">
        <f>IF(AC187="Yes",COUNTIF($AC$6:AC187,"Yes"),"")</f>
        <v/>
      </c>
    </row>
    <row r="188" spans="1:43">
      <c r="A188" s="253"/>
      <c r="B188" s="253"/>
      <c r="C188" s="253"/>
      <c r="D188" s="253"/>
      <c r="E188" s="253"/>
      <c r="F188" s="253"/>
      <c r="G188" s="253"/>
      <c r="H188" s="253"/>
      <c r="I188" s="253"/>
      <c r="J188" s="253"/>
      <c r="K188" s="253"/>
      <c r="L188" s="253"/>
      <c r="M188" s="253"/>
      <c r="N188" s="253"/>
      <c r="O188" s="253"/>
      <c r="P188" s="903"/>
      <c r="Q188" s="903"/>
      <c r="R188" s="903"/>
      <c r="S188" s="904" t="str">
        <f ca="1">IF(P188="","",IF(R188&lt;&gt;"",R188-P188,TODAY()-P188))</f>
        <v/>
      </c>
      <c r="T188" s="904" t="str">
        <f ca="1">IF(Q188="","",Q188-TODAY())</f>
        <v/>
      </c>
      <c r="U188" s="253"/>
      <c r="V188" s="253"/>
      <c r="W188" s="253"/>
      <c r="X188" s="253"/>
      <c r="Y188" s="253"/>
      <c r="Z188" s="253"/>
      <c r="AA188" s="253"/>
      <c r="AB188" s="253"/>
      <c r="AC188" s="253"/>
      <c r="AD188" s="253"/>
      <c r="AE188" s="253"/>
      <c r="AF188" s="253"/>
      <c r="AG188" s="253"/>
      <c r="AH188" s="253"/>
      <c r="AI188" s="253"/>
      <c r="AJ188" s="253"/>
      <c r="AK188" s="253"/>
      <c r="AL188" s="253"/>
      <c r="AM188" s="253"/>
      <c r="AN188" s="903"/>
      <c r="AO188" s="253" t="str">
        <f>IF(Z188="Yes",COUNTIF($Z$6:Z188,"Yes"),"")</f>
        <v/>
      </c>
      <c r="AP188" s="253" t="str">
        <f>IF(AA188="Yes",COUNTIF($AA$6:AA188,"Yes"),"")</f>
        <v/>
      </c>
      <c r="AQ188" s="253" t="str">
        <f>IF(AC188="Yes",COUNTIF($AC$6:AC188,"Yes"),"")</f>
        <v/>
      </c>
    </row>
    <row r="189" spans="1:43">
      <c r="A189" s="253"/>
      <c r="B189" s="253"/>
      <c r="C189" s="253"/>
      <c r="D189" s="253"/>
      <c r="E189" s="253"/>
      <c r="F189" s="253"/>
      <c r="G189" s="253"/>
      <c r="H189" s="253"/>
      <c r="I189" s="253"/>
      <c r="J189" s="253"/>
      <c r="K189" s="253"/>
      <c r="L189" s="253"/>
      <c r="M189" s="253"/>
      <c r="N189" s="253"/>
      <c r="O189" s="253"/>
      <c r="P189" s="903"/>
      <c r="Q189" s="903"/>
      <c r="R189" s="903"/>
      <c r="S189" s="904" t="str">
        <f ca="1">IF(P189="","",IF(R189&lt;&gt;"",R189-P189,TODAY()-P189))</f>
        <v/>
      </c>
      <c r="T189" s="904" t="str">
        <f ca="1">IF(Q189="","",Q189-TODAY())</f>
        <v/>
      </c>
      <c r="U189" s="253"/>
      <c r="V189" s="253"/>
      <c r="W189" s="253"/>
      <c r="X189" s="253"/>
      <c r="Y189" s="253"/>
      <c r="Z189" s="253"/>
      <c r="AA189" s="253"/>
      <c r="AB189" s="253"/>
      <c r="AC189" s="253"/>
      <c r="AD189" s="253"/>
      <c r="AE189" s="253"/>
      <c r="AF189" s="253"/>
      <c r="AG189" s="253"/>
      <c r="AH189" s="253"/>
      <c r="AI189" s="253"/>
      <c r="AJ189" s="253"/>
      <c r="AK189" s="253"/>
      <c r="AL189" s="253"/>
      <c r="AM189" s="253"/>
      <c r="AN189" s="903"/>
      <c r="AO189" s="253" t="str">
        <f>IF(Z189="Yes",COUNTIF($Z$6:Z189,"Yes"),"")</f>
        <v/>
      </c>
      <c r="AP189" s="253" t="str">
        <f>IF(AA189="Yes",COUNTIF($AA$6:AA189,"Yes"),"")</f>
        <v/>
      </c>
      <c r="AQ189" s="253" t="str">
        <f>IF(AC189="Yes",COUNTIF($AC$6:AC189,"Yes"),"")</f>
        <v/>
      </c>
    </row>
    <row r="190" spans="1:43">
      <c r="A190" s="253"/>
      <c r="B190" s="253"/>
      <c r="C190" s="253"/>
      <c r="D190" s="253"/>
      <c r="E190" s="253"/>
      <c r="F190" s="253"/>
      <c r="G190" s="253"/>
      <c r="H190" s="253"/>
      <c r="I190" s="253"/>
      <c r="J190" s="253"/>
      <c r="K190" s="253"/>
      <c r="L190" s="253"/>
      <c r="M190" s="253"/>
      <c r="N190" s="253"/>
      <c r="O190" s="253"/>
      <c r="P190" s="903"/>
      <c r="Q190" s="903"/>
      <c r="R190" s="903"/>
      <c r="S190" s="904" t="str">
        <f ca="1">IF(P190="","",IF(R190&lt;&gt;"",R190-P190,TODAY()-P190))</f>
        <v/>
      </c>
      <c r="T190" s="904" t="str">
        <f ca="1">IF(Q190="","",Q190-TODAY())</f>
        <v/>
      </c>
      <c r="U190" s="253"/>
      <c r="V190" s="253"/>
      <c r="W190" s="253"/>
      <c r="X190" s="253"/>
      <c r="Y190" s="253"/>
      <c r="Z190" s="253"/>
      <c r="AA190" s="253"/>
      <c r="AB190" s="253"/>
      <c r="AC190" s="253"/>
      <c r="AD190" s="253"/>
      <c r="AE190" s="253"/>
      <c r="AF190" s="253"/>
      <c r="AG190" s="253"/>
      <c r="AH190" s="253"/>
      <c r="AI190" s="253"/>
      <c r="AJ190" s="253"/>
      <c r="AK190" s="253"/>
      <c r="AL190" s="253"/>
      <c r="AM190" s="253"/>
      <c r="AN190" s="903"/>
      <c r="AO190" s="253" t="str">
        <f>IF(Z190="Yes",COUNTIF($Z$6:Z190,"Yes"),"")</f>
        <v/>
      </c>
      <c r="AP190" s="253" t="str">
        <f>IF(AA190="Yes",COUNTIF($AA$6:AA190,"Yes"),"")</f>
        <v/>
      </c>
      <c r="AQ190" s="253" t="str">
        <f>IF(AC190="Yes",COUNTIF($AC$6:AC190,"Yes"),"")</f>
        <v/>
      </c>
    </row>
    <row r="191" spans="1:43">
      <c r="A191" s="253"/>
      <c r="B191" s="253"/>
      <c r="C191" s="253"/>
      <c r="D191" s="253"/>
      <c r="E191" s="253"/>
      <c r="F191" s="253"/>
      <c r="G191" s="253"/>
      <c r="H191" s="253"/>
      <c r="I191" s="253"/>
      <c r="J191" s="253"/>
      <c r="K191" s="253"/>
      <c r="L191" s="253"/>
      <c r="M191" s="253"/>
      <c r="N191" s="253"/>
      <c r="O191" s="253"/>
      <c r="P191" s="903"/>
      <c r="Q191" s="903"/>
      <c r="R191" s="903"/>
      <c r="S191" s="904" t="str">
        <f ca="1">IF(P191="","",IF(R191&lt;&gt;"",R191-P191,TODAY()-P191))</f>
        <v/>
      </c>
      <c r="T191" s="904" t="str">
        <f ca="1">IF(Q191="","",Q191-TODAY())</f>
        <v/>
      </c>
      <c r="U191" s="253"/>
      <c r="V191" s="253"/>
      <c r="W191" s="253"/>
      <c r="X191" s="253"/>
      <c r="Y191" s="253"/>
      <c r="Z191" s="253"/>
      <c r="AA191" s="253"/>
      <c r="AB191" s="253"/>
      <c r="AC191" s="253"/>
      <c r="AD191" s="253"/>
      <c r="AE191" s="253"/>
      <c r="AF191" s="253"/>
      <c r="AG191" s="253"/>
      <c r="AH191" s="253"/>
      <c r="AI191" s="253"/>
      <c r="AJ191" s="253"/>
      <c r="AK191" s="253"/>
      <c r="AL191" s="253"/>
      <c r="AM191" s="253"/>
      <c r="AN191" s="903"/>
      <c r="AO191" s="253" t="str">
        <f>IF(Z191="Yes",COUNTIF($Z$6:Z191,"Yes"),"")</f>
        <v/>
      </c>
      <c r="AP191" s="253" t="str">
        <f>IF(AA191="Yes",COUNTIF($AA$6:AA191,"Yes"),"")</f>
        <v/>
      </c>
      <c r="AQ191" s="253" t="str">
        <f>IF(AC191="Yes",COUNTIF($AC$6:AC191,"Yes"),"")</f>
        <v/>
      </c>
    </row>
    <row r="192" spans="1:43">
      <c r="A192" s="253"/>
      <c r="B192" s="253"/>
      <c r="C192" s="253"/>
      <c r="D192" s="253"/>
      <c r="E192" s="253"/>
      <c r="F192" s="253"/>
      <c r="G192" s="253"/>
      <c r="H192" s="253"/>
      <c r="I192" s="253"/>
      <c r="J192" s="253"/>
      <c r="K192" s="253"/>
      <c r="L192" s="253"/>
      <c r="M192" s="253"/>
      <c r="N192" s="253"/>
      <c r="O192" s="253"/>
      <c r="P192" s="903"/>
      <c r="Q192" s="903"/>
      <c r="R192" s="903"/>
      <c r="S192" s="904" t="str">
        <f ca="1">IF(P192="","",IF(R192&lt;&gt;"",R192-P192,TODAY()-P192))</f>
        <v/>
      </c>
      <c r="T192" s="904" t="str">
        <f ca="1">IF(Q192="","",Q192-TODAY())</f>
        <v/>
      </c>
      <c r="U192" s="253"/>
      <c r="V192" s="253"/>
      <c r="W192" s="253"/>
      <c r="X192" s="253"/>
      <c r="Y192" s="253"/>
      <c r="Z192" s="253"/>
      <c r="AA192" s="253"/>
      <c r="AB192" s="253"/>
      <c r="AC192" s="253"/>
      <c r="AD192" s="253"/>
      <c r="AE192" s="253"/>
      <c r="AF192" s="253"/>
      <c r="AG192" s="253"/>
      <c r="AH192" s="253"/>
      <c r="AI192" s="253"/>
      <c r="AJ192" s="253"/>
      <c r="AK192" s="253"/>
      <c r="AL192" s="253"/>
      <c r="AM192" s="253"/>
      <c r="AN192" s="903"/>
      <c r="AO192" s="253" t="str">
        <f>IF(Z192="Yes",COUNTIF($Z$6:Z192,"Yes"),"")</f>
        <v/>
      </c>
      <c r="AP192" s="253" t="str">
        <f>IF(AA192="Yes",COUNTIF($AA$6:AA192,"Yes"),"")</f>
        <v/>
      </c>
      <c r="AQ192" s="253" t="str">
        <f>IF(AC192="Yes",COUNTIF($AC$6:AC192,"Yes"),"")</f>
        <v/>
      </c>
    </row>
    <row r="193" spans="1:43">
      <c r="A193" s="253"/>
      <c r="B193" s="253"/>
      <c r="C193" s="253"/>
      <c r="D193" s="253"/>
      <c r="E193" s="253"/>
      <c r="F193" s="253"/>
      <c r="G193" s="253"/>
      <c r="H193" s="253"/>
      <c r="I193" s="253"/>
      <c r="J193" s="253"/>
      <c r="K193" s="253"/>
      <c r="L193" s="253"/>
      <c r="M193" s="253"/>
      <c r="N193" s="253"/>
      <c r="O193" s="253"/>
      <c r="P193" s="903"/>
      <c r="Q193" s="903"/>
      <c r="R193" s="903"/>
      <c r="S193" s="904" t="str">
        <f ca="1">IF(P193="","",IF(R193&lt;&gt;"",R193-P193,TODAY()-P193))</f>
        <v/>
      </c>
      <c r="T193" s="904" t="str">
        <f ca="1">IF(Q193="","",Q193-TODAY())</f>
        <v/>
      </c>
      <c r="U193" s="253"/>
      <c r="V193" s="253"/>
      <c r="W193" s="253"/>
      <c r="X193" s="253"/>
      <c r="Y193" s="253"/>
      <c r="Z193" s="253"/>
      <c r="AA193" s="253"/>
      <c r="AB193" s="253"/>
      <c r="AC193" s="253"/>
      <c r="AD193" s="253"/>
      <c r="AE193" s="253"/>
      <c r="AF193" s="253"/>
      <c r="AG193" s="253"/>
      <c r="AH193" s="253"/>
      <c r="AI193" s="253"/>
      <c r="AJ193" s="253"/>
      <c r="AK193" s="253"/>
      <c r="AL193" s="253"/>
      <c r="AM193" s="253"/>
      <c r="AN193" s="903"/>
      <c r="AO193" s="253" t="str">
        <f>IF(Z193="Yes",COUNTIF($Z$6:Z193,"Yes"),"")</f>
        <v/>
      </c>
      <c r="AP193" s="253" t="str">
        <f>IF(AA193="Yes",COUNTIF($AA$6:AA193,"Yes"),"")</f>
        <v/>
      </c>
      <c r="AQ193" s="253" t="str">
        <f>IF(AC193="Yes",COUNTIF($AC$6:AC193,"Yes"),"")</f>
        <v/>
      </c>
    </row>
    <row r="194" spans="1:43">
      <c r="A194" s="253"/>
      <c r="B194" s="253"/>
      <c r="C194" s="253"/>
      <c r="D194" s="253"/>
      <c r="E194" s="253"/>
      <c r="F194" s="253"/>
      <c r="G194" s="253"/>
      <c r="H194" s="253"/>
      <c r="I194" s="253"/>
      <c r="J194" s="253"/>
      <c r="K194" s="253"/>
      <c r="L194" s="253"/>
      <c r="M194" s="253"/>
      <c r="N194" s="253"/>
      <c r="O194" s="253"/>
      <c r="P194" s="903"/>
      <c r="Q194" s="903"/>
      <c r="R194" s="903"/>
      <c r="S194" s="904" t="str">
        <f ca="1">IF(P194="","",IF(R194&lt;&gt;"",R194-P194,TODAY()-P194))</f>
        <v/>
      </c>
      <c r="T194" s="904" t="str">
        <f ca="1">IF(Q194="","",Q194-TODAY())</f>
        <v/>
      </c>
      <c r="U194" s="253"/>
      <c r="V194" s="253"/>
      <c r="W194" s="253"/>
      <c r="X194" s="253"/>
      <c r="Y194" s="253"/>
      <c r="Z194" s="253"/>
      <c r="AA194" s="253"/>
      <c r="AB194" s="253"/>
      <c r="AC194" s="253"/>
      <c r="AD194" s="253"/>
      <c r="AE194" s="253"/>
      <c r="AF194" s="253"/>
      <c r="AG194" s="253"/>
      <c r="AH194" s="253"/>
      <c r="AI194" s="253"/>
      <c r="AJ194" s="253"/>
      <c r="AK194" s="253"/>
      <c r="AL194" s="253"/>
      <c r="AM194" s="253"/>
      <c r="AN194" s="903"/>
      <c r="AO194" s="253" t="str">
        <f>IF(Z194="Yes",COUNTIF($Z$6:Z194,"Yes"),"")</f>
        <v/>
      </c>
      <c r="AP194" s="253" t="str">
        <f>IF(AA194="Yes",COUNTIF($AA$6:AA194,"Yes"),"")</f>
        <v/>
      </c>
      <c r="AQ194" s="253" t="str">
        <f>IF(AC194="Yes",COUNTIF($AC$6:AC194,"Yes"),"")</f>
        <v/>
      </c>
    </row>
    <row r="195" spans="1:43">
      <c r="A195" s="253"/>
      <c r="B195" s="253"/>
      <c r="C195" s="253"/>
      <c r="D195" s="253"/>
      <c r="E195" s="253"/>
      <c r="F195" s="253"/>
      <c r="G195" s="253"/>
      <c r="H195" s="253"/>
      <c r="I195" s="253"/>
      <c r="J195" s="253"/>
      <c r="K195" s="253"/>
      <c r="L195" s="253"/>
      <c r="M195" s="253"/>
      <c r="N195" s="253"/>
      <c r="O195" s="253"/>
      <c r="P195" s="903"/>
      <c r="Q195" s="903"/>
      <c r="R195" s="903"/>
      <c r="S195" s="904" t="str">
        <f ca="1">IF(P195="","",IF(R195&lt;&gt;"",R195-P195,TODAY()-P195))</f>
        <v/>
      </c>
      <c r="T195" s="904" t="str">
        <f ca="1">IF(Q195="","",Q195-TODAY())</f>
        <v/>
      </c>
      <c r="U195" s="253"/>
      <c r="V195" s="253"/>
      <c r="W195" s="253"/>
      <c r="X195" s="253"/>
      <c r="Y195" s="253"/>
      <c r="Z195" s="253"/>
      <c r="AA195" s="253"/>
      <c r="AB195" s="253"/>
      <c r="AC195" s="253"/>
      <c r="AD195" s="253"/>
      <c r="AE195" s="253"/>
      <c r="AF195" s="253"/>
      <c r="AG195" s="253"/>
      <c r="AH195" s="253"/>
      <c r="AI195" s="253"/>
      <c r="AJ195" s="253"/>
      <c r="AK195" s="253"/>
      <c r="AL195" s="253"/>
      <c r="AM195" s="253"/>
      <c r="AN195" s="903"/>
      <c r="AO195" s="253" t="str">
        <f>IF(Z195="Yes",COUNTIF($Z$6:Z195,"Yes"),"")</f>
        <v/>
      </c>
      <c r="AP195" s="253" t="str">
        <f>IF(AA195="Yes",COUNTIF($AA$6:AA195,"Yes"),"")</f>
        <v/>
      </c>
      <c r="AQ195" s="253" t="str">
        <f>IF(AC195="Yes",COUNTIF($AC$6:AC195,"Yes"),"")</f>
        <v/>
      </c>
    </row>
    <row r="196" spans="1:43">
      <c r="A196" s="253"/>
      <c r="B196" s="253"/>
      <c r="C196" s="253"/>
      <c r="D196" s="253"/>
      <c r="E196" s="253"/>
      <c r="F196" s="253"/>
      <c r="G196" s="253"/>
      <c r="H196" s="253"/>
      <c r="I196" s="253"/>
      <c r="J196" s="253"/>
      <c r="K196" s="253"/>
      <c r="L196" s="253"/>
      <c r="M196" s="253"/>
      <c r="N196" s="253"/>
      <c r="O196" s="253"/>
      <c r="P196" s="903"/>
      <c r="Q196" s="903"/>
      <c r="R196" s="903"/>
      <c r="S196" s="904" t="str">
        <f ca="1">IF(P196="","",IF(R196&lt;&gt;"",R196-P196,TODAY()-P196))</f>
        <v/>
      </c>
      <c r="T196" s="904" t="str">
        <f ca="1">IF(Q196="","",Q196-TODAY())</f>
        <v/>
      </c>
      <c r="U196" s="253"/>
      <c r="V196" s="253"/>
      <c r="W196" s="253"/>
      <c r="X196" s="253"/>
      <c r="Y196" s="253"/>
      <c r="Z196" s="253"/>
      <c r="AA196" s="253"/>
      <c r="AB196" s="253"/>
      <c r="AC196" s="253"/>
      <c r="AD196" s="253"/>
      <c r="AE196" s="253"/>
      <c r="AF196" s="253"/>
      <c r="AG196" s="253"/>
      <c r="AH196" s="253"/>
      <c r="AI196" s="253"/>
      <c r="AJ196" s="253"/>
      <c r="AK196" s="253"/>
      <c r="AL196" s="253"/>
      <c r="AM196" s="253"/>
      <c r="AN196" s="903"/>
      <c r="AO196" s="253" t="str">
        <f>IF(Z196="Yes",COUNTIF($Z$6:Z196,"Yes"),"")</f>
        <v/>
      </c>
      <c r="AP196" s="253" t="str">
        <f>IF(AA196="Yes",COUNTIF($AA$6:AA196,"Yes"),"")</f>
        <v/>
      </c>
      <c r="AQ196" s="253" t="str">
        <f>IF(AC196="Yes",COUNTIF($AC$6:AC196,"Yes"),"")</f>
        <v/>
      </c>
    </row>
    <row r="197" spans="1:43">
      <c r="A197" s="253"/>
      <c r="B197" s="253"/>
      <c r="C197" s="253"/>
      <c r="D197" s="253"/>
      <c r="E197" s="253"/>
      <c r="F197" s="253"/>
      <c r="G197" s="253"/>
      <c r="H197" s="253"/>
      <c r="I197" s="253"/>
      <c r="J197" s="253"/>
      <c r="K197" s="253"/>
      <c r="L197" s="253"/>
      <c r="M197" s="253"/>
      <c r="N197" s="253"/>
      <c r="O197" s="253"/>
      <c r="P197" s="903"/>
      <c r="Q197" s="903"/>
      <c r="R197" s="903"/>
      <c r="S197" s="904" t="str">
        <f ca="1">IF(P197="","",IF(R197&lt;&gt;"",R197-P197,TODAY()-P197))</f>
        <v/>
      </c>
      <c r="T197" s="904" t="str">
        <f ca="1">IF(Q197="","",Q197-TODAY())</f>
        <v/>
      </c>
      <c r="U197" s="253"/>
      <c r="V197" s="253"/>
      <c r="W197" s="253"/>
      <c r="X197" s="253"/>
      <c r="Y197" s="253"/>
      <c r="Z197" s="253"/>
      <c r="AA197" s="253"/>
      <c r="AB197" s="253"/>
      <c r="AC197" s="253"/>
      <c r="AD197" s="253"/>
      <c r="AE197" s="253"/>
      <c r="AF197" s="253"/>
      <c r="AG197" s="253"/>
      <c r="AH197" s="253"/>
      <c r="AI197" s="253"/>
      <c r="AJ197" s="253"/>
      <c r="AK197" s="253"/>
      <c r="AL197" s="253"/>
      <c r="AM197" s="253"/>
      <c r="AN197" s="903"/>
      <c r="AO197" s="253" t="str">
        <f>IF(Z197="Yes",COUNTIF($Z$6:Z197,"Yes"),"")</f>
        <v/>
      </c>
      <c r="AP197" s="253" t="str">
        <f>IF(AA197="Yes",COUNTIF($AA$6:AA197,"Yes"),"")</f>
        <v/>
      </c>
      <c r="AQ197" s="253" t="str">
        <f>IF(AC197="Yes",COUNTIF($AC$6:AC197,"Yes"),"")</f>
        <v/>
      </c>
    </row>
    <row r="198" spans="1:43">
      <c r="A198" s="253"/>
      <c r="B198" s="253"/>
      <c r="C198" s="253"/>
      <c r="D198" s="253"/>
      <c r="E198" s="253"/>
      <c r="F198" s="253"/>
      <c r="G198" s="253"/>
      <c r="H198" s="253"/>
      <c r="I198" s="253"/>
      <c r="J198" s="253"/>
      <c r="K198" s="253"/>
      <c r="L198" s="253"/>
      <c r="M198" s="253"/>
      <c r="N198" s="253"/>
      <c r="O198" s="253"/>
      <c r="P198" s="903"/>
      <c r="Q198" s="903"/>
      <c r="R198" s="903"/>
      <c r="S198" s="904" t="str">
        <f ca="1">IF(P198="","",IF(R198&lt;&gt;"",R198-P198,TODAY()-P198))</f>
        <v/>
      </c>
      <c r="T198" s="904" t="str">
        <f ca="1">IF(Q198="","",Q198-TODAY())</f>
        <v/>
      </c>
      <c r="U198" s="253"/>
      <c r="V198" s="253"/>
      <c r="W198" s="253"/>
      <c r="X198" s="253"/>
      <c r="Y198" s="253"/>
      <c r="Z198" s="253"/>
      <c r="AA198" s="253"/>
      <c r="AB198" s="253"/>
      <c r="AC198" s="253"/>
      <c r="AD198" s="253"/>
      <c r="AE198" s="253"/>
      <c r="AF198" s="253"/>
      <c r="AG198" s="253"/>
      <c r="AH198" s="253"/>
      <c r="AI198" s="253"/>
      <c r="AJ198" s="253"/>
      <c r="AK198" s="253"/>
      <c r="AL198" s="253"/>
      <c r="AM198" s="253"/>
      <c r="AN198" s="903"/>
      <c r="AO198" s="253" t="str">
        <f>IF(Z198="Yes",COUNTIF($Z$6:Z198,"Yes"),"")</f>
        <v/>
      </c>
      <c r="AP198" s="253" t="str">
        <f>IF(AA198="Yes",COUNTIF($AA$6:AA198,"Yes"),"")</f>
        <v/>
      </c>
      <c r="AQ198" s="253" t="str">
        <f>IF(AC198="Yes",COUNTIF($AC$6:AC198,"Yes"),"")</f>
        <v/>
      </c>
    </row>
    <row r="199" spans="1:43">
      <c r="A199" s="253"/>
      <c r="B199" s="253"/>
      <c r="C199" s="253"/>
      <c r="D199" s="253"/>
      <c r="E199" s="253"/>
      <c r="F199" s="253"/>
      <c r="G199" s="253"/>
      <c r="H199" s="253"/>
      <c r="I199" s="253"/>
      <c r="J199" s="253"/>
      <c r="K199" s="253"/>
      <c r="L199" s="253"/>
      <c r="M199" s="253"/>
      <c r="N199" s="253"/>
      <c r="O199" s="253"/>
      <c r="P199" s="903"/>
      <c r="Q199" s="903"/>
      <c r="R199" s="903"/>
      <c r="S199" s="904" t="str">
        <f ca="1">IF(P199="","",IF(R199&lt;&gt;"",R199-P199,TODAY()-P199))</f>
        <v/>
      </c>
      <c r="T199" s="904" t="str">
        <f ca="1">IF(Q199="","",Q199-TODAY())</f>
        <v/>
      </c>
      <c r="U199" s="253"/>
      <c r="V199" s="253"/>
      <c r="W199" s="253"/>
      <c r="X199" s="253"/>
      <c r="Y199" s="253"/>
      <c r="Z199" s="253"/>
      <c r="AA199" s="253"/>
      <c r="AB199" s="253"/>
      <c r="AC199" s="253"/>
      <c r="AD199" s="253"/>
      <c r="AE199" s="253"/>
      <c r="AF199" s="253"/>
      <c r="AG199" s="253"/>
      <c r="AH199" s="253"/>
      <c r="AI199" s="253"/>
      <c r="AJ199" s="253"/>
      <c r="AK199" s="253"/>
      <c r="AL199" s="253"/>
      <c r="AM199" s="253"/>
      <c r="AN199" s="903"/>
      <c r="AO199" s="253" t="str">
        <f>IF(Z199="Yes",COUNTIF($Z$6:Z199,"Yes"),"")</f>
        <v/>
      </c>
      <c r="AP199" s="253" t="str">
        <f>IF(AA199="Yes",COUNTIF($AA$6:AA199,"Yes"),"")</f>
        <v/>
      </c>
      <c r="AQ199" s="253" t="str">
        <f>IF(AC199="Yes",COUNTIF($AC$6:AC199,"Yes"),"")</f>
        <v/>
      </c>
    </row>
    <row r="200" spans="1:43">
      <c r="A200" s="253"/>
      <c r="B200" s="253"/>
      <c r="C200" s="253"/>
      <c r="D200" s="253"/>
      <c r="E200" s="253"/>
      <c r="F200" s="253"/>
      <c r="G200" s="253"/>
      <c r="H200" s="253"/>
      <c r="I200" s="253"/>
      <c r="J200" s="253"/>
      <c r="K200" s="253"/>
      <c r="L200" s="253"/>
      <c r="M200" s="253"/>
      <c r="N200" s="253"/>
      <c r="O200" s="253"/>
      <c r="P200" s="903"/>
      <c r="Q200" s="903"/>
      <c r="R200" s="903"/>
      <c r="S200" s="904" t="str">
        <f ca="1">IF(P200="","",IF(R200&lt;&gt;"",R200-P200,TODAY()-P200))</f>
        <v/>
      </c>
      <c r="T200" s="904" t="str">
        <f ca="1">IF(Q200="","",Q200-TODAY())</f>
        <v/>
      </c>
      <c r="U200" s="253"/>
      <c r="V200" s="253"/>
      <c r="W200" s="253"/>
      <c r="X200" s="253"/>
      <c r="Y200" s="253"/>
      <c r="Z200" s="253"/>
      <c r="AA200" s="253"/>
      <c r="AB200" s="253"/>
      <c r="AC200" s="253"/>
      <c r="AD200" s="253"/>
      <c r="AE200" s="253"/>
      <c r="AF200" s="253"/>
      <c r="AG200" s="253"/>
      <c r="AH200" s="253"/>
      <c r="AI200" s="253"/>
      <c r="AJ200" s="253"/>
      <c r="AK200" s="253"/>
      <c r="AL200" s="253"/>
      <c r="AM200" s="253"/>
      <c r="AN200" s="903"/>
      <c r="AO200" s="253" t="str">
        <f>IF(Z200="Yes",COUNTIF($Z$6:Z200,"Yes"),"")</f>
        <v/>
      </c>
      <c r="AP200" s="253" t="str">
        <f>IF(AA200="Yes",COUNTIF($AA$6:AA200,"Yes"),"")</f>
        <v/>
      </c>
      <c r="AQ200" s="253" t="str">
        <f>IF(AC200="Yes",COUNTIF($AC$6:AC200,"Yes"),"")</f>
        <v/>
      </c>
    </row>
    <row r="201" spans="1:43">
      <c r="A201" s="253"/>
      <c r="B201" s="253"/>
      <c r="C201" s="253"/>
      <c r="D201" s="253"/>
      <c r="E201" s="253"/>
      <c r="F201" s="253"/>
      <c r="G201" s="253"/>
      <c r="H201" s="253"/>
      <c r="I201" s="253"/>
      <c r="J201" s="253"/>
      <c r="K201" s="253"/>
      <c r="L201" s="253"/>
      <c r="M201" s="253"/>
      <c r="N201" s="253"/>
      <c r="O201" s="253"/>
      <c r="P201" s="903"/>
      <c r="Q201" s="903"/>
      <c r="R201" s="903"/>
      <c r="S201" s="904" t="str">
        <f ca="1">IF(P201="","",IF(R201&lt;&gt;"",R201-P201,TODAY()-P201))</f>
        <v/>
      </c>
      <c r="T201" s="904" t="str">
        <f ca="1">IF(Q201="","",Q201-TODAY())</f>
        <v/>
      </c>
      <c r="U201" s="253"/>
      <c r="V201" s="253"/>
      <c r="W201" s="253"/>
      <c r="X201" s="253"/>
      <c r="Y201" s="253"/>
      <c r="Z201" s="253"/>
      <c r="AA201" s="253"/>
      <c r="AB201" s="253"/>
      <c r="AC201" s="253"/>
      <c r="AD201" s="253"/>
      <c r="AE201" s="253"/>
      <c r="AF201" s="253"/>
      <c r="AG201" s="253"/>
      <c r="AH201" s="253"/>
      <c r="AI201" s="253"/>
      <c r="AJ201" s="253"/>
      <c r="AK201" s="253"/>
      <c r="AL201" s="253"/>
      <c r="AM201" s="253"/>
      <c r="AN201" s="903"/>
      <c r="AO201" s="253" t="str">
        <f>IF(Z201="Yes",COUNTIF($Z$6:Z201,"Yes"),"")</f>
        <v/>
      </c>
      <c r="AP201" s="253" t="str">
        <f>IF(AA201="Yes",COUNTIF($AA$6:AA201,"Yes"),"")</f>
        <v/>
      </c>
      <c r="AQ201" s="253" t="str">
        <f>IF(AC201="Yes",COUNTIF($AC$6:AC201,"Yes"),"")</f>
        <v/>
      </c>
    </row>
    <row r="202" spans="1:43">
      <c r="A202" s="253"/>
      <c r="B202" s="253"/>
      <c r="C202" s="253"/>
      <c r="D202" s="253"/>
      <c r="E202" s="253"/>
      <c r="F202" s="253"/>
      <c r="G202" s="253"/>
      <c r="H202" s="253"/>
      <c r="I202" s="253"/>
      <c r="J202" s="253"/>
      <c r="K202" s="253"/>
      <c r="L202" s="253"/>
      <c r="M202" s="253"/>
      <c r="N202" s="253"/>
      <c r="O202" s="253"/>
      <c r="P202" s="903"/>
      <c r="Q202" s="903"/>
      <c r="R202" s="903"/>
      <c r="S202" s="904" t="str">
        <f ca="1">IF(P202="","",IF(R202&lt;&gt;"",R202-P202,TODAY()-P202))</f>
        <v/>
      </c>
      <c r="T202" s="904" t="str">
        <f ca="1">IF(Q202="","",Q202-TODAY())</f>
        <v/>
      </c>
      <c r="U202" s="253"/>
      <c r="V202" s="253"/>
      <c r="W202" s="253"/>
      <c r="X202" s="253"/>
      <c r="Y202" s="253"/>
      <c r="Z202" s="253"/>
      <c r="AA202" s="253"/>
      <c r="AB202" s="253"/>
      <c r="AC202" s="253"/>
      <c r="AD202" s="253"/>
      <c r="AE202" s="253"/>
      <c r="AF202" s="253"/>
      <c r="AG202" s="253"/>
      <c r="AH202" s="253"/>
      <c r="AI202" s="253"/>
      <c r="AJ202" s="253"/>
      <c r="AK202" s="253"/>
      <c r="AL202" s="253"/>
      <c r="AM202" s="253"/>
      <c r="AN202" s="903"/>
      <c r="AO202" s="253" t="str">
        <f>IF(Z202="Yes",COUNTIF($Z$6:Z202,"Yes"),"")</f>
        <v/>
      </c>
      <c r="AP202" s="253" t="str">
        <f>IF(AA202="Yes",COUNTIF($AA$6:AA202,"Yes"),"")</f>
        <v/>
      </c>
      <c r="AQ202" s="253" t="str">
        <f>IF(AC202="Yes",COUNTIF($AC$6:AC202,"Yes"),"")</f>
        <v/>
      </c>
    </row>
    <row r="203" spans="1:43">
      <c r="A203" s="253"/>
      <c r="B203" s="253"/>
      <c r="C203" s="253"/>
      <c r="D203" s="253"/>
      <c r="E203" s="253"/>
      <c r="F203" s="253"/>
      <c r="G203" s="253"/>
      <c r="H203" s="253"/>
      <c r="I203" s="253"/>
      <c r="J203" s="253"/>
      <c r="K203" s="253"/>
      <c r="L203" s="253"/>
      <c r="M203" s="253"/>
      <c r="N203" s="253"/>
      <c r="O203" s="253"/>
      <c r="P203" s="903"/>
      <c r="Q203" s="903"/>
      <c r="R203" s="903"/>
      <c r="S203" s="904" t="str">
        <f ca="1">IF(P203="","",IF(R203&lt;&gt;"",R203-P203,TODAY()-P203))</f>
        <v/>
      </c>
      <c r="T203" s="904" t="str">
        <f ca="1">IF(Q203="","",Q203-TODAY())</f>
        <v/>
      </c>
      <c r="U203" s="253"/>
      <c r="V203" s="253"/>
      <c r="W203" s="253"/>
      <c r="X203" s="253"/>
      <c r="Y203" s="253"/>
      <c r="Z203" s="253"/>
      <c r="AA203" s="253"/>
      <c r="AB203" s="253"/>
      <c r="AC203" s="253"/>
      <c r="AD203" s="253"/>
      <c r="AE203" s="253"/>
      <c r="AF203" s="253"/>
      <c r="AG203" s="253"/>
      <c r="AH203" s="253"/>
      <c r="AI203" s="253"/>
      <c r="AJ203" s="253"/>
      <c r="AK203" s="253"/>
      <c r="AL203" s="253"/>
      <c r="AM203" s="253"/>
      <c r="AN203" s="903"/>
      <c r="AO203" s="253" t="str">
        <f>IF(Z203="Yes",COUNTIF($Z$6:Z203,"Yes"),"")</f>
        <v/>
      </c>
      <c r="AP203" s="253" t="str">
        <f>IF(AA203="Yes",COUNTIF($AA$6:AA203,"Yes"),"")</f>
        <v/>
      </c>
      <c r="AQ203" s="253" t="str">
        <f>IF(AC203="Yes",COUNTIF($AC$6:AC203,"Yes"),"")</f>
        <v/>
      </c>
    </row>
    <row r="204" spans="1:43">
      <c r="A204" s="253"/>
      <c r="B204" s="253"/>
      <c r="C204" s="253"/>
      <c r="D204" s="253"/>
      <c r="E204" s="253"/>
      <c r="F204" s="253"/>
      <c r="G204" s="253"/>
      <c r="H204" s="253"/>
      <c r="I204" s="253"/>
      <c r="J204" s="253"/>
      <c r="K204" s="253"/>
      <c r="L204" s="253"/>
      <c r="M204" s="253"/>
      <c r="N204" s="253"/>
      <c r="O204" s="253"/>
      <c r="P204" s="903"/>
      <c r="Q204" s="903"/>
      <c r="R204" s="903"/>
      <c r="S204" s="904" t="str">
        <f ca="1">IF(P204="","",IF(R204&lt;&gt;"",R204-P204,TODAY()-P204))</f>
        <v/>
      </c>
      <c r="T204" s="904" t="str">
        <f ca="1">IF(Q204="","",Q204-TODAY())</f>
        <v/>
      </c>
      <c r="U204" s="253"/>
      <c r="V204" s="253"/>
      <c r="W204" s="253"/>
      <c r="X204" s="253"/>
      <c r="Y204" s="253"/>
      <c r="Z204" s="253"/>
      <c r="AA204" s="253"/>
      <c r="AB204" s="253"/>
      <c r="AC204" s="253"/>
      <c r="AD204" s="253"/>
      <c r="AE204" s="253"/>
      <c r="AF204" s="253"/>
      <c r="AG204" s="253"/>
      <c r="AH204" s="253"/>
      <c r="AI204" s="253"/>
      <c r="AJ204" s="253"/>
      <c r="AK204" s="253"/>
      <c r="AL204" s="253"/>
      <c r="AM204" s="253"/>
      <c r="AN204" s="903"/>
      <c r="AO204" s="253" t="str">
        <f>IF(Z204="Yes",COUNTIF($Z$6:Z204,"Yes"),"")</f>
        <v/>
      </c>
      <c r="AP204" s="253" t="str">
        <f>IF(AA204="Yes",COUNTIF($AA$6:AA204,"Yes"),"")</f>
        <v/>
      </c>
      <c r="AQ204" s="253" t="str">
        <f>IF(AC204="Yes",COUNTIF($AC$6:AC204,"Yes"),"")</f>
        <v/>
      </c>
    </row>
    <row r="205" spans="1:43">
      <c r="A205" s="253"/>
      <c r="B205" s="253"/>
      <c r="C205" s="253"/>
      <c r="D205" s="253"/>
      <c r="E205" s="253"/>
      <c r="F205" s="253"/>
      <c r="G205" s="253"/>
      <c r="H205" s="253"/>
      <c r="I205" s="253"/>
      <c r="J205" s="253"/>
      <c r="K205" s="253"/>
      <c r="L205" s="253"/>
      <c r="M205" s="253"/>
      <c r="N205" s="253"/>
      <c r="O205" s="253"/>
      <c r="P205" s="903"/>
      <c r="Q205" s="903"/>
      <c r="R205" s="903"/>
      <c r="S205" s="904" t="str">
        <f ca="1">IF(P205="","",IF(R205&lt;&gt;"",R205-P205,TODAY()-P205))</f>
        <v/>
      </c>
      <c r="T205" s="904" t="str">
        <f ca="1">IF(Q205="","",Q205-TODAY())</f>
        <v/>
      </c>
      <c r="U205" s="253"/>
      <c r="V205" s="253"/>
      <c r="W205" s="253"/>
      <c r="X205" s="253"/>
      <c r="Y205" s="253"/>
      <c r="Z205" s="253"/>
      <c r="AA205" s="253"/>
      <c r="AB205" s="253"/>
      <c r="AC205" s="253"/>
      <c r="AD205" s="253"/>
      <c r="AE205" s="253"/>
      <c r="AF205" s="253"/>
      <c r="AG205" s="253"/>
      <c r="AH205" s="253"/>
      <c r="AI205" s="253"/>
      <c r="AJ205" s="253"/>
      <c r="AK205" s="253"/>
      <c r="AL205" s="253"/>
      <c r="AM205" s="253"/>
      <c r="AN205" s="903"/>
      <c r="AO205" s="253" t="str">
        <f>IF(Z205="Yes",COUNTIF($Z$6:Z205,"Yes"),"")</f>
        <v/>
      </c>
      <c r="AP205" s="253" t="str">
        <f>IF(AA205="Yes",COUNTIF($AA$6:AA205,"Yes"),"")</f>
        <v/>
      </c>
      <c r="AQ205" s="253" t="str">
        <f>IF(AC205="Yes",COUNTIF($AC$6:AC205,"Yes"),"")</f>
        <v/>
      </c>
    </row>
    <row r="206" spans="1:43">
      <c r="A206" s="253"/>
      <c r="B206" s="253"/>
      <c r="C206" s="253"/>
      <c r="D206" s="253"/>
      <c r="E206" s="253"/>
      <c r="F206" s="253"/>
      <c r="G206" s="253"/>
      <c r="H206" s="253"/>
      <c r="I206" s="253"/>
      <c r="J206" s="253"/>
      <c r="K206" s="253"/>
      <c r="L206" s="253"/>
      <c r="M206" s="253"/>
      <c r="N206" s="253"/>
      <c r="O206" s="253"/>
      <c r="P206" s="903"/>
      <c r="Q206" s="903"/>
      <c r="R206" s="903"/>
      <c r="S206" s="904" t="str">
        <f ca="1">IF(P206="","",IF(R206&lt;&gt;"",R206-P206,TODAY()-P206))</f>
        <v/>
      </c>
      <c r="T206" s="904" t="str">
        <f ca="1">IF(Q206="","",Q206-TODAY())</f>
        <v/>
      </c>
      <c r="U206" s="253"/>
      <c r="V206" s="253"/>
      <c r="W206" s="253"/>
      <c r="X206" s="253"/>
      <c r="Y206" s="253"/>
      <c r="Z206" s="253"/>
      <c r="AA206" s="253"/>
      <c r="AB206" s="253"/>
      <c r="AC206" s="253"/>
      <c r="AD206" s="253"/>
      <c r="AE206" s="253"/>
      <c r="AF206" s="253"/>
      <c r="AG206" s="253"/>
      <c r="AH206" s="253"/>
      <c r="AI206" s="253"/>
      <c r="AJ206" s="253"/>
      <c r="AK206" s="253"/>
      <c r="AL206" s="253"/>
      <c r="AM206" s="253"/>
      <c r="AN206" s="903"/>
      <c r="AO206" s="253" t="str">
        <f>IF(Z206="Yes",COUNTIF($Z$6:Z206,"Yes"),"")</f>
        <v/>
      </c>
      <c r="AP206" s="253" t="str">
        <f>IF(AA206="Yes",COUNTIF($AA$6:AA206,"Yes"),"")</f>
        <v/>
      </c>
      <c r="AQ206" s="253" t="str">
        <f>IF(AC206="Yes",COUNTIF($AC$6:AC206,"Yes"),"")</f>
        <v/>
      </c>
    </row>
    <row r="207" spans="1:43">
      <c r="A207" s="253"/>
      <c r="B207" s="253"/>
      <c r="C207" s="253"/>
      <c r="D207" s="253"/>
      <c r="E207" s="253"/>
      <c r="F207" s="253"/>
      <c r="G207" s="253"/>
      <c r="H207" s="253"/>
      <c r="I207" s="253"/>
      <c r="J207" s="253"/>
      <c r="K207" s="253"/>
      <c r="L207" s="253"/>
      <c r="M207" s="253"/>
      <c r="N207" s="253"/>
      <c r="O207" s="253"/>
      <c r="P207" s="903"/>
      <c r="Q207" s="903"/>
      <c r="R207" s="903"/>
      <c r="S207" s="904" t="str">
        <f ca="1">IF(P207="","",IF(R207&lt;&gt;"",R207-P207,TODAY()-P207))</f>
        <v/>
      </c>
      <c r="T207" s="904" t="str">
        <f ca="1">IF(Q207="","",Q207-TODAY())</f>
        <v/>
      </c>
      <c r="U207" s="253"/>
      <c r="V207" s="253"/>
      <c r="W207" s="253"/>
      <c r="X207" s="253"/>
      <c r="Y207" s="253"/>
      <c r="Z207" s="253"/>
      <c r="AA207" s="253"/>
      <c r="AB207" s="253"/>
      <c r="AC207" s="253"/>
      <c r="AD207" s="253"/>
      <c r="AE207" s="253"/>
      <c r="AF207" s="253"/>
      <c r="AG207" s="253"/>
      <c r="AH207" s="253"/>
      <c r="AI207" s="253"/>
      <c r="AJ207" s="253"/>
      <c r="AK207" s="253"/>
      <c r="AL207" s="253"/>
      <c r="AM207" s="253"/>
      <c r="AN207" s="903"/>
      <c r="AO207" s="253" t="str">
        <f>IF(Z207="Yes",COUNTIF($Z$6:Z207,"Yes"),"")</f>
        <v/>
      </c>
      <c r="AP207" s="253" t="str">
        <f>IF(AA207="Yes",COUNTIF($AA$6:AA207,"Yes"),"")</f>
        <v/>
      </c>
      <c r="AQ207" s="253" t="str">
        <f>IF(AC207="Yes",COUNTIF($AC$6:AC207,"Yes"),"")</f>
        <v/>
      </c>
    </row>
    <row r="208" spans="1:43">
      <c r="A208" s="253"/>
      <c r="B208" s="253"/>
      <c r="C208" s="253"/>
      <c r="D208" s="253"/>
      <c r="E208" s="253"/>
      <c r="F208" s="253"/>
      <c r="G208" s="253"/>
      <c r="H208" s="253"/>
      <c r="I208" s="253"/>
      <c r="J208" s="253"/>
      <c r="K208" s="253"/>
      <c r="L208" s="253"/>
      <c r="M208" s="253"/>
      <c r="N208" s="253"/>
      <c r="O208" s="253"/>
      <c r="P208" s="903"/>
      <c r="Q208" s="903"/>
      <c r="R208" s="903"/>
      <c r="S208" s="904" t="str">
        <f ca="1">IF(P208="","",IF(R208&lt;&gt;"",R208-P208,TODAY()-P208))</f>
        <v/>
      </c>
      <c r="T208" s="904" t="str">
        <f ca="1">IF(Q208="","",Q208-TODAY())</f>
        <v/>
      </c>
      <c r="U208" s="253"/>
      <c r="V208" s="253"/>
      <c r="W208" s="253"/>
      <c r="X208" s="253"/>
      <c r="Y208" s="253"/>
      <c r="Z208" s="253"/>
      <c r="AA208" s="253"/>
      <c r="AB208" s="253"/>
      <c r="AC208" s="253"/>
      <c r="AD208" s="253"/>
      <c r="AE208" s="253"/>
      <c r="AF208" s="253"/>
      <c r="AG208" s="253"/>
      <c r="AH208" s="253"/>
      <c r="AI208" s="253"/>
      <c r="AJ208" s="253"/>
      <c r="AK208" s="253"/>
      <c r="AL208" s="253"/>
      <c r="AM208" s="253"/>
      <c r="AN208" s="903"/>
      <c r="AO208" s="253" t="str">
        <f>IF(Z208="Yes",COUNTIF($Z$6:Z208,"Yes"),"")</f>
        <v/>
      </c>
      <c r="AP208" s="253" t="str">
        <f>IF(AA208="Yes",COUNTIF($AA$6:AA208,"Yes"),"")</f>
        <v/>
      </c>
      <c r="AQ208" s="253" t="str">
        <f>IF(AC208="Yes",COUNTIF($AC$6:AC208,"Yes"),"")</f>
        <v/>
      </c>
    </row>
    <row r="209" spans="1:43">
      <c r="A209" s="253"/>
      <c r="B209" s="253"/>
      <c r="C209" s="253"/>
      <c r="D209" s="253"/>
      <c r="E209" s="253"/>
      <c r="F209" s="253"/>
      <c r="G209" s="253"/>
      <c r="H209" s="253"/>
      <c r="I209" s="253"/>
      <c r="J209" s="253"/>
      <c r="K209" s="253"/>
      <c r="L209" s="253"/>
      <c r="M209" s="253"/>
      <c r="N209" s="253"/>
      <c r="O209" s="253"/>
      <c r="P209" s="903"/>
      <c r="Q209" s="903"/>
      <c r="R209" s="903"/>
      <c r="S209" s="904" t="str">
        <f ca="1">IF(P209="","",IF(R209&lt;&gt;"",R209-P209,TODAY()-P209))</f>
        <v/>
      </c>
      <c r="T209" s="904" t="str">
        <f ca="1">IF(Q209="","",Q209-TODAY())</f>
        <v/>
      </c>
      <c r="U209" s="253"/>
      <c r="V209" s="253"/>
      <c r="W209" s="253"/>
      <c r="X209" s="253"/>
      <c r="Y209" s="253"/>
      <c r="Z209" s="253"/>
      <c r="AA209" s="253"/>
      <c r="AB209" s="253"/>
      <c r="AC209" s="253"/>
      <c r="AD209" s="253"/>
      <c r="AE209" s="253"/>
      <c r="AF209" s="253"/>
      <c r="AG209" s="253"/>
      <c r="AH209" s="253"/>
      <c r="AI209" s="253"/>
      <c r="AJ209" s="253"/>
      <c r="AK209" s="253"/>
      <c r="AL209" s="253"/>
      <c r="AM209" s="253"/>
      <c r="AN209" s="903"/>
      <c r="AO209" s="253" t="str">
        <f>IF(Z209="Yes",COUNTIF($Z$6:Z209,"Yes"),"")</f>
        <v/>
      </c>
      <c r="AP209" s="253" t="str">
        <f>IF(AA209="Yes",COUNTIF($AA$6:AA209,"Yes"),"")</f>
        <v/>
      </c>
      <c r="AQ209" s="253" t="str">
        <f>IF(AC209="Yes",COUNTIF($AC$6:AC209,"Yes"),"")</f>
        <v/>
      </c>
    </row>
    <row r="210" spans="1:43">
      <c r="A210" s="253"/>
      <c r="B210" s="253"/>
      <c r="C210" s="253"/>
      <c r="D210" s="253"/>
      <c r="E210" s="253"/>
      <c r="F210" s="253"/>
      <c r="G210" s="253"/>
      <c r="H210" s="253"/>
      <c r="I210" s="253"/>
      <c r="J210" s="253"/>
      <c r="K210" s="253"/>
      <c r="L210" s="253"/>
      <c r="M210" s="253"/>
      <c r="N210" s="253"/>
      <c r="O210" s="253"/>
      <c r="P210" s="903"/>
      <c r="Q210" s="903"/>
      <c r="R210" s="903"/>
      <c r="S210" s="904" t="str">
        <f ca="1">IF(P210="","",IF(R210&lt;&gt;"",R210-P210,TODAY()-P210))</f>
        <v/>
      </c>
      <c r="T210" s="904" t="str">
        <f ca="1">IF(Q210="","",Q210-TODAY())</f>
        <v/>
      </c>
      <c r="U210" s="253"/>
      <c r="V210" s="253"/>
      <c r="W210" s="253"/>
      <c r="X210" s="253"/>
      <c r="Y210" s="253"/>
      <c r="Z210" s="253"/>
      <c r="AA210" s="253"/>
      <c r="AB210" s="253"/>
      <c r="AC210" s="253"/>
      <c r="AD210" s="253"/>
      <c r="AE210" s="253"/>
      <c r="AF210" s="253"/>
      <c r="AG210" s="253"/>
      <c r="AH210" s="253"/>
      <c r="AI210" s="253"/>
      <c r="AJ210" s="253"/>
      <c r="AK210" s="253"/>
      <c r="AL210" s="253"/>
      <c r="AM210" s="253"/>
      <c r="AN210" s="903"/>
      <c r="AO210" s="253" t="str">
        <f>IF(Z210="Yes",COUNTIF($Z$6:Z210,"Yes"),"")</f>
        <v/>
      </c>
      <c r="AP210" s="253" t="str">
        <f>IF(AA210="Yes",COUNTIF($AA$6:AA210,"Yes"),"")</f>
        <v/>
      </c>
      <c r="AQ210" s="253" t="str">
        <f>IF(AC210="Yes",COUNTIF($AC$6:AC210,"Yes"),"")</f>
        <v/>
      </c>
    </row>
    <row r="211" spans="1:43">
      <c r="A211" s="253"/>
      <c r="B211" s="253"/>
      <c r="C211" s="253"/>
      <c r="D211" s="253"/>
      <c r="E211" s="253"/>
      <c r="F211" s="253"/>
      <c r="G211" s="253"/>
      <c r="H211" s="253"/>
      <c r="I211" s="253"/>
      <c r="J211" s="253"/>
      <c r="K211" s="253"/>
      <c r="L211" s="253"/>
      <c r="M211" s="253"/>
      <c r="N211" s="253"/>
      <c r="O211" s="253"/>
      <c r="P211" s="903"/>
      <c r="Q211" s="903"/>
      <c r="R211" s="903"/>
      <c r="S211" s="904" t="str">
        <f ca="1">IF(P211="","",IF(R211&lt;&gt;"",R211-P211,TODAY()-P211))</f>
        <v/>
      </c>
      <c r="T211" s="904" t="str">
        <f ca="1">IF(Q211="","",Q211-TODAY())</f>
        <v/>
      </c>
      <c r="U211" s="253"/>
      <c r="V211" s="253"/>
      <c r="W211" s="253"/>
      <c r="X211" s="253"/>
      <c r="Y211" s="253"/>
      <c r="Z211" s="253"/>
      <c r="AA211" s="253"/>
      <c r="AB211" s="253"/>
      <c r="AC211" s="253"/>
      <c r="AD211" s="253"/>
      <c r="AE211" s="253"/>
      <c r="AF211" s="253"/>
      <c r="AG211" s="253"/>
      <c r="AH211" s="253"/>
      <c r="AI211" s="253"/>
      <c r="AJ211" s="253"/>
      <c r="AK211" s="253"/>
      <c r="AL211" s="253"/>
      <c r="AM211" s="253"/>
      <c r="AN211" s="903"/>
      <c r="AO211" s="253" t="str">
        <f>IF(Z211="Yes",COUNTIF($Z$6:Z211,"Yes"),"")</f>
        <v/>
      </c>
      <c r="AP211" s="253" t="str">
        <f>IF(AA211="Yes",COUNTIF($AA$6:AA211,"Yes"),"")</f>
        <v/>
      </c>
      <c r="AQ211" s="253" t="str">
        <f>IF(AC211="Yes",COUNTIF($AC$6:AC211,"Yes"),"")</f>
        <v/>
      </c>
    </row>
    <row r="212" spans="1:43">
      <c r="A212" s="253"/>
      <c r="B212" s="253"/>
      <c r="C212" s="253"/>
      <c r="D212" s="253"/>
      <c r="E212" s="253"/>
      <c r="F212" s="253"/>
      <c r="G212" s="253"/>
      <c r="H212" s="253"/>
      <c r="I212" s="253"/>
      <c r="J212" s="253"/>
      <c r="K212" s="253"/>
      <c r="L212" s="253"/>
      <c r="M212" s="253"/>
      <c r="N212" s="253"/>
      <c r="O212" s="253"/>
      <c r="P212" s="903"/>
      <c r="Q212" s="903"/>
      <c r="R212" s="903"/>
      <c r="S212" s="904" t="str">
        <f ca="1">IF(P212="","",IF(R212&lt;&gt;"",R212-P212,TODAY()-P212))</f>
        <v/>
      </c>
      <c r="T212" s="904" t="str">
        <f ca="1">IF(Q212="","",Q212-TODAY())</f>
        <v/>
      </c>
      <c r="U212" s="253"/>
      <c r="V212" s="253"/>
      <c r="W212" s="253"/>
      <c r="X212" s="253"/>
      <c r="Y212" s="253"/>
      <c r="Z212" s="253"/>
      <c r="AA212" s="253"/>
      <c r="AB212" s="253"/>
      <c r="AC212" s="253"/>
      <c r="AD212" s="253"/>
      <c r="AE212" s="253"/>
      <c r="AF212" s="253"/>
      <c r="AG212" s="253"/>
      <c r="AH212" s="253"/>
      <c r="AI212" s="253"/>
      <c r="AJ212" s="253"/>
      <c r="AK212" s="253"/>
      <c r="AL212" s="253"/>
      <c r="AM212" s="253"/>
      <c r="AN212" s="903"/>
      <c r="AO212" s="253" t="str">
        <f>IF(Z212="Yes",COUNTIF($Z$6:Z212,"Yes"),"")</f>
        <v/>
      </c>
      <c r="AP212" s="253" t="str">
        <f>IF(AA212="Yes",COUNTIF($AA$6:AA212,"Yes"),"")</f>
        <v/>
      </c>
      <c r="AQ212" s="253" t="str">
        <f>IF(AC212="Yes",COUNTIF($AC$6:AC212,"Yes"),"")</f>
        <v/>
      </c>
    </row>
    <row r="213" spans="1:43">
      <c r="A213" s="253"/>
      <c r="B213" s="253"/>
      <c r="C213" s="253"/>
      <c r="D213" s="253"/>
      <c r="E213" s="253"/>
      <c r="F213" s="253"/>
      <c r="G213" s="253"/>
      <c r="H213" s="253"/>
      <c r="I213" s="253"/>
      <c r="J213" s="253"/>
      <c r="K213" s="253"/>
      <c r="L213" s="253"/>
      <c r="M213" s="253"/>
      <c r="N213" s="253"/>
      <c r="O213" s="253"/>
      <c r="P213" s="903"/>
      <c r="Q213" s="903"/>
      <c r="R213" s="903"/>
      <c r="S213" s="904" t="str">
        <f ca="1">IF(P213="","",IF(R213&lt;&gt;"",R213-P213,TODAY()-P213))</f>
        <v/>
      </c>
      <c r="T213" s="904" t="str">
        <f ca="1">IF(Q213="","",Q213-TODAY())</f>
        <v/>
      </c>
      <c r="U213" s="253"/>
      <c r="V213" s="253"/>
      <c r="W213" s="253"/>
      <c r="X213" s="253"/>
      <c r="Y213" s="253"/>
      <c r="Z213" s="253"/>
      <c r="AA213" s="253"/>
      <c r="AB213" s="253"/>
      <c r="AC213" s="253"/>
      <c r="AD213" s="253"/>
      <c r="AE213" s="253"/>
      <c r="AF213" s="253"/>
      <c r="AG213" s="253"/>
      <c r="AH213" s="253"/>
      <c r="AI213" s="253"/>
      <c r="AJ213" s="253"/>
      <c r="AK213" s="253"/>
      <c r="AL213" s="253"/>
      <c r="AM213" s="253"/>
      <c r="AN213" s="903"/>
      <c r="AO213" s="253" t="str">
        <f>IF(Z213="Yes",COUNTIF($Z$6:Z213,"Yes"),"")</f>
        <v/>
      </c>
      <c r="AP213" s="253" t="str">
        <f>IF(AA213="Yes",COUNTIF($AA$6:AA213,"Yes"),"")</f>
        <v/>
      </c>
      <c r="AQ213" s="253" t="str">
        <f>IF(AC213="Yes",COUNTIF($AC$6:AC213,"Yes"),"")</f>
        <v/>
      </c>
    </row>
    <row r="214" spans="1:43">
      <c r="A214" s="253"/>
      <c r="B214" s="253"/>
      <c r="C214" s="253"/>
      <c r="D214" s="253"/>
      <c r="E214" s="253"/>
      <c r="F214" s="253"/>
      <c r="G214" s="253"/>
      <c r="H214" s="253"/>
      <c r="I214" s="253"/>
      <c r="J214" s="253"/>
      <c r="K214" s="253"/>
      <c r="L214" s="253"/>
      <c r="M214" s="253"/>
      <c r="N214" s="253"/>
      <c r="O214" s="253"/>
      <c r="P214" s="903"/>
      <c r="Q214" s="903"/>
      <c r="R214" s="903"/>
      <c r="S214" s="904" t="str">
        <f ca="1">IF(P214="","",IF(R214&lt;&gt;"",R214-P214,TODAY()-P214))</f>
        <v/>
      </c>
      <c r="T214" s="904" t="str">
        <f ca="1">IF(Q214="","",Q214-TODAY())</f>
        <v/>
      </c>
      <c r="U214" s="253"/>
      <c r="V214" s="253"/>
      <c r="W214" s="253"/>
      <c r="X214" s="253"/>
      <c r="Y214" s="253"/>
      <c r="Z214" s="253"/>
      <c r="AA214" s="253"/>
      <c r="AB214" s="253"/>
      <c r="AC214" s="253"/>
      <c r="AD214" s="253"/>
      <c r="AE214" s="253"/>
      <c r="AF214" s="253"/>
      <c r="AG214" s="253"/>
      <c r="AH214" s="253"/>
      <c r="AI214" s="253"/>
      <c r="AJ214" s="253"/>
      <c r="AK214" s="253"/>
      <c r="AL214" s="253"/>
      <c r="AM214" s="253"/>
      <c r="AN214" s="903"/>
      <c r="AO214" s="253" t="str">
        <f>IF(Z214="Yes",COUNTIF($Z$6:Z214,"Yes"),"")</f>
        <v/>
      </c>
      <c r="AP214" s="253" t="str">
        <f>IF(AA214="Yes",COUNTIF($AA$6:AA214,"Yes"),"")</f>
        <v/>
      </c>
      <c r="AQ214" s="253" t="str">
        <f>IF(AC214="Yes",COUNTIF($AC$6:AC214,"Yes"),"")</f>
        <v/>
      </c>
    </row>
    <row r="215" spans="1:43">
      <c r="A215" s="253"/>
      <c r="B215" s="253"/>
      <c r="C215" s="253"/>
      <c r="D215" s="253"/>
      <c r="E215" s="253"/>
      <c r="F215" s="253"/>
      <c r="G215" s="253"/>
      <c r="H215" s="253"/>
      <c r="I215" s="253"/>
      <c r="J215" s="253"/>
      <c r="K215" s="253"/>
      <c r="L215" s="253"/>
      <c r="M215" s="253"/>
      <c r="N215" s="253"/>
      <c r="O215" s="253"/>
      <c r="P215" s="903"/>
      <c r="Q215" s="903"/>
      <c r="R215" s="903"/>
      <c r="S215" s="904" t="str">
        <f ca="1">IF(P215="","",IF(R215&lt;&gt;"",R215-P215,TODAY()-P215))</f>
        <v/>
      </c>
      <c r="T215" s="904" t="str">
        <f ca="1">IF(Q215="","",Q215-TODAY())</f>
        <v/>
      </c>
      <c r="U215" s="253"/>
      <c r="V215" s="253"/>
      <c r="W215" s="253"/>
      <c r="X215" s="253"/>
      <c r="Y215" s="253"/>
      <c r="Z215" s="253"/>
      <c r="AA215" s="253"/>
      <c r="AB215" s="253"/>
      <c r="AC215" s="253"/>
      <c r="AD215" s="253"/>
      <c r="AE215" s="253"/>
      <c r="AF215" s="253"/>
      <c r="AG215" s="253"/>
      <c r="AH215" s="253"/>
      <c r="AI215" s="253"/>
      <c r="AJ215" s="253"/>
      <c r="AK215" s="253"/>
      <c r="AL215" s="253"/>
      <c r="AM215" s="253"/>
      <c r="AN215" s="903"/>
      <c r="AO215" s="253" t="str">
        <f>IF(Z215="Yes",COUNTIF($Z$6:Z215,"Yes"),"")</f>
        <v/>
      </c>
      <c r="AP215" s="253" t="str">
        <f>IF(AA215="Yes",COUNTIF($AA$6:AA215,"Yes"),"")</f>
        <v/>
      </c>
      <c r="AQ215" s="253" t="str">
        <f>IF(AC215="Yes",COUNTIF($AC$6:AC215,"Yes"),"")</f>
        <v/>
      </c>
    </row>
    <row r="216" spans="1:43">
      <c r="A216" s="253"/>
      <c r="B216" s="253"/>
      <c r="C216" s="253"/>
      <c r="D216" s="253"/>
      <c r="E216" s="253"/>
      <c r="F216" s="253"/>
      <c r="G216" s="253"/>
      <c r="H216" s="253"/>
      <c r="I216" s="253"/>
      <c r="J216" s="253"/>
      <c r="K216" s="253"/>
      <c r="L216" s="253"/>
      <c r="M216" s="253"/>
      <c r="N216" s="253"/>
      <c r="O216" s="253"/>
      <c r="P216" s="903"/>
      <c r="Q216" s="903"/>
      <c r="R216" s="903"/>
      <c r="S216" s="904" t="str">
        <f ca="1">IF(P216="","",IF(R216&lt;&gt;"",R216-P216,TODAY()-P216))</f>
        <v/>
      </c>
      <c r="T216" s="904" t="str">
        <f ca="1">IF(Q216="","",Q216-TODAY())</f>
        <v/>
      </c>
      <c r="U216" s="253"/>
      <c r="V216" s="253"/>
      <c r="W216" s="253"/>
      <c r="X216" s="253"/>
      <c r="Y216" s="253"/>
      <c r="Z216" s="253"/>
      <c r="AA216" s="253"/>
      <c r="AB216" s="253"/>
      <c r="AC216" s="253"/>
      <c r="AD216" s="253"/>
      <c r="AE216" s="253"/>
      <c r="AF216" s="253"/>
      <c r="AG216" s="253"/>
      <c r="AH216" s="253"/>
      <c r="AI216" s="253"/>
      <c r="AJ216" s="253"/>
      <c r="AK216" s="253"/>
      <c r="AL216" s="253"/>
      <c r="AM216" s="253"/>
      <c r="AN216" s="903"/>
      <c r="AO216" s="253" t="str">
        <f>IF(Z216="Yes",COUNTIF($Z$6:Z216,"Yes"),"")</f>
        <v/>
      </c>
      <c r="AP216" s="253" t="str">
        <f>IF(AA216="Yes",COUNTIF($AA$6:AA216,"Yes"),"")</f>
        <v/>
      </c>
      <c r="AQ216" s="253" t="str">
        <f>IF(AC216="Yes",COUNTIF($AC$6:AC216,"Yes"),"")</f>
        <v/>
      </c>
    </row>
    <row r="217" spans="1:43">
      <c r="A217" s="253"/>
      <c r="B217" s="253"/>
      <c r="C217" s="253"/>
      <c r="D217" s="253"/>
      <c r="E217" s="253"/>
      <c r="F217" s="253"/>
      <c r="G217" s="253"/>
      <c r="H217" s="253"/>
      <c r="I217" s="253"/>
      <c r="J217" s="253"/>
      <c r="K217" s="253"/>
      <c r="L217" s="253"/>
      <c r="M217" s="253"/>
      <c r="N217" s="253"/>
      <c r="O217" s="253"/>
      <c r="P217" s="903"/>
      <c r="Q217" s="903"/>
      <c r="R217" s="903"/>
      <c r="S217" s="904" t="str">
        <f ca="1">IF(P217="","",IF(R217&lt;&gt;"",R217-P217,TODAY()-P217))</f>
        <v/>
      </c>
      <c r="T217" s="904" t="str">
        <f ca="1">IF(Q217="","",Q217-TODAY())</f>
        <v/>
      </c>
      <c r="U217" s="253"/>
      <c r="V217" s="253"/>
      <c r="W217" s="253"/>
      <c r="X217" s="253"/>
      <c r="Y217" s="253"/>
      <c r="Z217" s="253"/>
      <c r="AA217" s="253"/>
      <c r="AB217" s="253"/>
      <c r="AC217" s="253"/>
      <c r="AD217" s="253"/>
      <c r="AE217" s="253"/>
      <c r="AF217" s="253"/>
      <c r="AG217" s="253"/>
      <c r="AH217" s="253"/>
      <c r="AI217" s="253"/>
      <c r="AJ217" s="253"/>
      <c r="AK217" s="253"/>
      <c r="AL217" s="253"/>
      <c r="AM217" s="253"/>
      <c r="AN217" s="903"/>
      <c r="AO217" s="253" t="str">
        <f>IF(Z217="Yes",COUNTIF($Z$6:Z217,"Yes"),"")</f>
        <v/>
      </c>
      <c r="AP217" s="253" t="str">
        <f>IF(AA217="Yes",COUNTIF($AA$6:AA217,"Yes"),"")</f>
        <v/>
      </c>
      <c r="AQ217" s="253" t="str">
        <f>IF(AC217="Yes",COUNTIF($AC$6:AC217,"Yes"),"")</f>
        <v/>
      </c>
    </row>
    <row r="218" spans="1:43">
      <c r="A218" s="253"/>
      <c r="B218" s="253"/>
      <c r="C218" s="253"/>
      <c r="D218" s="253"/>
      <c r="E218" s="253"/>
      <c r="F218" s="253"/>
      <c r="G218" s="253"/>
      <c r="H218" s="253"/>
      <c r="I218" s="253"/>
      <c r="J218" s="253"/>
      <c r="K218" s="253"/>
      <c r="L218" s="253"/>
      <c r="M218" s="253"/>
      <c r="N218" s="253"/>
      <c r="O218" s="253"/>
      <c r="P218" s="903"/>
      <c r="Q218" s="903"/>
      <c r="R218" s="903"/>
      <c r="S218" s="904" t="str">
        <f ca="1">IF(P218="","",IF(R218&lt;&gt;"",R218-P218,TODAY()-P218))</f>
        <v/>
      </c>
      <c r="T218" s="904" t="str">
        <f ca="1">IF(Q218="","",Q218-TODAY())</f>
        <v/>
      </c>
      <c r="U218" s="253"/>
      <c r="V218" s="253"/>
      <c r="W218" s="253"/>
      <c r="X218" s="253"/>
      <c r="Y218" s="253"/>
      <c r="Z218" s="253"/>
      <c r="AA218" s="253"/>
      <c r="AB218" s="253"/>
      <c r="AC218" s="253"/>
      <c r="AD218" s="253"/>
      <c r="AE218" s="253"/>
      <c r="AF218" s="253"/>
      <c r="AG218" s="253"/>
      <c r="AH218" s="253"/>
      <c r="AI218" s="253"/>
      <c r="AJ218" s="253"/>
      <c r="AK218" s="253"/>
      <c r="AL218" s="253"/>
      <c r="AM218" s="253"/>
      <c r="AN218" s="903"/>
      <c r="AO218" s="253" t="str">
        <f>IF(Z218="Yes",COUNTIF($Z$6:Z218,"Yes"),"")</f>
        <v/>
      </c>
      <c r="AP218" s="253" t="str">
        <f>IF(AA218="Yes",COUNTIF($AA$6:AA218,"Yes"),"")</f>
        <v/>
      </c>
      <c r="AQ218" s="253" t="str">
        <f>IF(AC218="Yes",COUNTIF($AC$6:AC218,"Yes"),"")</f>
        <v/>
      </c>
    </row>
    <row r="219" spans="1:43">
      <c r="A219" s="253"/>
      <c r="B219" s="253"/>
      <c r="C219" s="253"/>
      <c r="D219" s="253"/>
      <c r="E219" s="253"/>
      <c r="F219" s="253"/>
      <c r="G219" s="253"/>
      <c r="H219" s="253"/>
      <c r="I219" s="253"/>
      <c r="J219" s="253"/>
      <c r="K219" s="253"/>
      <c r="L219" s="253"/>
      <c r="M219" s="253"/>
      <c r="N219" s="253"/>
      <c r="O219" s="253"/>
      <c r="P219" s="903"/>
      <c r="Q219" s="903"/>
      <c r="R219" s="903"/>
      <c r="S219" s="904" t="str">
        <f ca="1">IF(P219="","",IF(R219&lt;&gt;"",R219-P219,TODAY()-P219))</f>
        <v/>
      </c>
      <c r="T219" s="904" t="str">
        <f ca="1">IF(Q219="","",Q219-TODAY())</f>
        <v/>
      </c>
      <c r="U219" s="253"/>
      <c r="V219" s="253"/>
      <c r="W219" s="253"/>
      <c r="X219" s="253"/>
      <c r="Y219" s="253"/>
      <c r="Z219" s="253"/>
      <c r="AA219" s="253"/>
      <c r="AB219" s="253"/>
      <c r="AC219" s="253"/>
      <c r="AD219" s="253"/>
      <c r="AE219" s="253"/>
      <c r="AF219" s="253"/>
      <c r="AG219" s="253"/>
      <c r="AH219" s="253"/>
      <c r="AI219" s="253"/>
      <c r="AJ219" s="253"/>
      <c r="AK219" s="253"/>
      <c r="AL219" s="253"/>
      <c r="AM219" s="253"/>
      <c r="AN219" s="903"/>
      <c r="AO219" s="253" t="str">
        <f>IF(Z219="Yes",COUNTIF($Z$6:Z219,"Yes"),"")</f>
        <v/>
      </c>
      <c r="AP219" s="253" t="str">
        <f>IF(AA219="Yes",COUNTIF($AA$6:AA219,"Yes"),"")</f>
        <v/>
      </c>
      <c r="AQ219" s="253" t="str">
        <f>IF(AC219="Yes",COUNTIF($AC$6:AC219,"Yes"),"")</f>
        <v/>
      </c>
    </row>
    <row r="220" spans="1:43">
      <c r="A220" s="253"/>
      <c r="B220" s="253"/>
      <c r="C220" s="253"/>
      <c r="D220" s="253"/>
      <c r="E220" s="253"/>
      <c r="F220" s="253"/>
      <c r="G220" s="253"/>
      <c r="H220" s="253"/>
      <c r="I220" s="253"/>
      <c r="J220" s="253"/>
      <c r="K220" s="253"/>
      <c r="L220" s="253"/>
      <c r="M220" s="253"/>
      <c r="N220" s="253"/>
      <c r="O220" s="253"/>
      <c r="P220" s="903"/>
      <c r="Q220" s="903"/>
      <c r="R220" s="903"/>
      <c r="S220" s="904" t="str">
        <f ca="1">IF(P220="","",IF(R220&lt;&gt;"",R220-P220,TODAY()-P220))</f>
        <v/>
      </c>
      <c r="T220" s="904" t="str">
        <f ca="1">IF(Q220="","",Q220-TODAY())</f>
        <v/>
      </c>
      <c r="U220" s="253"/>
      <c r="V220" s="253"/>
      <c r="W220" s="253"/>
      <c r="X220" s="253"/>
      <c r="Y220" s="253"/>
      <c r="Z220" s="253"/>
      <c r="AA220" s="253"/>
      <c r="AB220" s="253"/>
      <c r="AC220" s="253"/>
      <c r="AD220" s="253"/>
      <c r="AE220" s="253"/>
      <c r="AF220" s="253"/>
      <c r="AG220" s="253"/>
      <c r="AH220" s="253"/>
      <c r="AI220" s="253"/>
      <c r="AJ220" s="253"/>
      <c r="AK220" s="253"/>
      <c r="AL220" s="253"/>
      <c r="AM220" s="253"/>
      <c r="AN220" s="903"/>
      <c r="AO220" s="253" t="str">
        <f>IF(Z220="Yes",COUNTIF($Z$6:Z220,"Yes"),"")</f>
        <v/>
      </c>
      <c r="AP220" s="253" t="str">
        <f>IF(AA220="Yes",COUNTIF($AA$6:AA220,"Yes"),"")</f>
        <v/>
      </c>
      <c r="AQ220" s="253" t="str">
        <f>IF(AC220="Yes",COUNTIF($AC$6:AC220,"Yes"),"")</f>
        <v/>
      </c>
    </row>
    <row r="221" spans="1:43">
      <c r="A221" s="253"/>
      <c r="B221" s="253"/>
      <c r="C221" s="253"/>
      <c r="D221" s="253"/>
      <c r="E221" s="253"/>
      <c r="F221" s="253"/>
      <c r="G221" s="253"/>
      <c r="H221" s="253"/>
      <c r="I221" s="253"/>
      <c r="J221" s="253"/>
      <c r="K221" s="253"/>
      <c r="L221" s="253"/>
      <c r="M221" s="253"/>
      <c r="N221" s="253"/>
      <c r="O221" s="253"/>
      <c r="P221" s="903"/>
      <c r="Q221" s="903"/>
      <c r="R221" s="903"/>
      <c r="S221" s="904" t="str">
        <f ca="1">IF(P221="","",IF(R221&lt;&gt;"",R221-P221,TODAY()-P221))</f>
        <v/>
      </c>
      <c r="T221" s="904" t="str">
        <f ca="1">IF(Q221="","",Q221-TODAY())</f>
        <v/>
      </c>
      <c r="U221" s="253"/>
      <c r="V221" s="253"/>
      <c r="W221" s="253"/>
      <c r="X221" s="253"/>
      <c r="Y221" s="253"/>
      <c r="Z221" s="253"/>
      <c r="AA221" s="253"/>
      <c r="AB221" s="253"/>
      <c r="AC221" s="253"/>
      <c r="AD221" s="253"/>
      <c r="AE221" s="253"/>
      <c r="AF221" s="253"/>
      <c r="AG221" s="253"/>
      <c r="AH221" s="253"/>
      <c r="AI221" s="253"/>
      <c r="AJ221" s="253"/>
      <c r="AK221" s="253"/>
      <c r="AL221" s="253"/>
      <c r="AM221" s="253"/>
      <c r="AN221" s="903"/>
      <c r="AO221" s="253" t="str">
        <f>IF(Z221="Yes",COUNTIF($Z$6:Z221,"Yes"),"")</f>
        <v/>
      </c>
      <c r="AP221" s="253" t="str">
        <f>IF(AA221="Yes",COUNTIF($AA$6:AA221,"Yes"),"")</f>
        <v/>
      </c>
      <c r="AQ221" s="253" t="str">
        <f>IF(AC221="Yes",COUNTIF($AC$6:AC221,"Yes"),"")</f>
        <v/>
      </c>
    </row>
    <row r="222" spans="1:43">
      <c r="A222" s="253"/>
      <c r="B222" s="253"/>
      <c r="C222" s="253"/>
      <c r="D222" s="253"/>
      <c r="E222" s="253"/>
      <c r="F222" s="253"/>
      <c r="G222" s="253"/>
      <c r="H222" s="253"/>
      <c r="I222" s="253"/>
      <c r="J222" s="253"/>
      <c r="K222" s="253"/>
      <c r="L222" s="253"/>
      <c r="M222" s="253"/>
      <c r="N222" s="253"/>
      <c r="O222" s="253"/>
      <c r="P222" s="903"/>
      <c r="Q222" s="903"/>
      <c r="R222" s="903"/>
      <c r="S222" s="904" t="str">
        <f ca="1">IF(P222="","",IF(R222&lt;&gt;"",R222-P222,TODAY()-P222))</f>
        <v/>
      </c>
      <c r="T222" s="904" t="str">
        <f ca="1">IF(Q222="","",Q222-TODAY())</f>
        <v/>
      </c>
      <c r="U222" s="253"/>
      <c r="V222" s="253"/>
      <c r="W222" s="253"/>
      <c r="X222" s="253"/>
      <c r="Y222" s="253"/>
      <c r="Z222" s="253"/>
      <c r="AA222" s="253"/>
      <c r="AB222" s="253"/>
      <c r="AC222" s="253"/>
      <c r="AD222" s="253"/>
      <c r="AE222" s="253"/>
      <c r="AF222" s="253"/>
      <c r="AG222" s="253"/>
      <c r="AH222" s="253"/>
      <c r="AI222" s="253"/>
      <c r="AJ222" s="253"/>
      <c r="AK222" s="253"/>
      <c r="AL222" s="253"/>
      <c r="AM222" s="253"/>
      <c r="AN222" s="903"/>
      <c r="AO222" s="253" t="str">
        <f>IF(Z222="Yes",COUNTIF($Z$6:Z222,"Yes"),"")</f>
        <v/>
      </c>
      <c r="AP222" s="253" t="str">
        <f>IF(AA222="Yes",COUNTIF($AA$6:AA222,"Yes"),"")</f>
        <v/>
      </c>
      <c r="AQ222" s="253" t="str">
        <f>IF(AC222="Yes",COUNTIF($AC$6:AC222,"Yes"),"")</f>
        <v/>
      </c>
    </row>
    <row r="223" spans="1:43">
      <c r="A223" s="253"/>
      <c r="B223" s="253"/>
      <c r="C223" s="253"/>
      <c r="D223" s="253"/>
      <c r="E223" s="253"/>
      <c r="F223" s="253"/>
      <c r="G223" s="253"/>
      <c r="H223" s="253"/>
      <c r="I223" s="253"/>
      <c r="J223" s="253"/>
      <c r="K223" s="253"/>
      <c r="L223" s="253"/>
      <c r="M223" s="253"/>
      <c r="N223" s="253"/>
      <c r="O223" s="253"/>
      <c r="P223" s="903"/>
      <c r="Q223" s="903"/>
      <c r="R223" s="903"/>
      <c r="S223" s="904" t="str">
        <f ca="1">IF(P223="","",IF(R223&lt;&gt;"",R223-P223,TODAY()-P223))</f>
        <v/>
      </c>
      <c r="T223" s="904" t="str">
        <f ca="1">IF(Q223="","",Q223-TODAY())</f>
        <v/>
      </c>
      <c r="U223" s="253"/>
      <c r="V223" s="253"/>
      <c r="W223" s="253"/>
      <c r="X223" s="253"/>
      <c r="Y223" s="253"/>
      <c r="Z223" s="253"/>
      <c r="AA223" s="253"/>
      <c r="AB223" s="253"/>
      <c r="AC223" s="253"/>
      <c r="AD223" s="253"/>
      <c r="AE223" s="253"/>
      <c r="AF223" s="253"/>
      <c r="AG223" s="253"/>
      <c r="AH223" s="253"/>
      <c r="AI223" s="253"/>
      <c r="AJ223" s="253"/>
      <c r="AK223" s="253"/>
      <c r="AL223" s="253"/>
      <c r="AM223" s="253"/>
      <c r="AN223" s="903"/>
      <c r="AO223" s="253" t="str">
        <f>IF(Z223="Yes",COUNTIF($Z$6:Z223,"Yes"),"")</f>
        <v/>
      </c>
      <c r="AP223" s="253" t="str">
        <f>IF(AA223="Yes",COUNTIF($AA$6:AA223,"Yes"),"")</f>
        <v/>
      </c>
      <c r="AQ223" s="253" t="str">
        <f>IF(AC223="Yes",COUNTIF($AC$6:AC223,"Yes"),"")</f>
        <v/>
      </c>
    </row>
    <row r="224" spans="1:43">
      <c r="A224" s="253"/>
      <c r="B224" s="253"/>
      <c r="C224" s="253"/>
      <c r="D224" s="253"/>
      <c r="E224" s="253"/>
      <c r="F224" s="253"/>
      <c r="G224" s="253"/>
      <c r="H224" s="253"/>
      <c r="I224" s="253"/>
      <c r="J224" s="253"/>
      <c r="K224" s="253"/>
      <c r="L224" s="253"/>
      <c r="M224" s="253"/>
      <c r="N224" s="253"/>
      <c r="O224" s="253"/>
      <c r="P224" s="903"/>
      <c r="Q224" s="903"/>
      <c r="R224" s="903"/>
      <c r="S224" s="904" t="str">
        <f ca="1">IF(P224="","",IF(R224&lt;&gt;"",R224-P224,TODAY()-P224))</f>
        <v/>
      </c>
      <c r="T224" s="904" t="str">
        <f ca="1">IF(Q224="","",Q224-TODAY())</f>
        <v/>
      </c>
      <c r="U224" s="253"/>
      <c r="V224" s="253"/>
      <c r="W224" s="253"/>
      <c r="X224" s="253"/>
      <c r="Y224" s="253"/>
      <c r="Z224" s="253"/>
      <c r="AA224" s="253"/>
      <c r="AB224" s="253"/>
      <c r="AC224" s="253"/>
      <c r="AD224" s="253"/>
      <c r="AE224" s="253"/>
      <c r="AF224" s="253"/>
      <c r="AG224" s="253"/>
      <c r="AH224" s="253"/>
      <c r="AI224" s="253"/>
      <c r="AJ224" s="253"/>
      <c r="AK224" s="253"/>
      <c r="AL224" s="253"/>
      <c r="AM224" s="253"/>
      <c r="AN224" s="903"/>
      <c r="AO224" s="253" t="str">
        <f>IF(Z224="Yes",COUNTIF($Z$6:Z224,"Yes"),"")</f>
        <v/>
      </c>
      <c r="AP224" s="253" t="str">
        <f>IF(AA224="Yes",COUNTIF($AA$6:AA224,"Yes"),"")</f>
        <v/>
      </c>
      <c r="AQ224" s="253" t="str">
        <f>IF(AC224="Yes",COUNTIF($AC$6:AC224,"Yes"),"")</f>
        <v/>
      </c>
    </row>
    <row r="225" spans="1:43">
      <c r="A225" s="253"/>
      <c r="B225" s="253"/>
      <c r="C225" s="253"/>
      <c r="D225" s="253"/>
      <c r="E225" s="253"/>
      <c r="F225" s="253"/>
      <c r="G225" s="253"/>
      <c r="H225" s="253"/>
      <c r="I225" s="253"/>
      <c r="J225" s="253"/>
      <c r="K225" s="253"/>
      <c r="L225" s="253"/>
      <c r="M225" s="253"/>
      <c r="N225" s="253"/>
      <c r="O225" s="253"/>
      <c r="P225" s="903"/>
      <c r="Q225" s="903"/>
      <c r="R225" s="903"/>
      <c r="S225" s="904" t="str">
        <f ca="1">IF(P225="","",IF(R225&lt;&gt;"",R225-P225,TODAY()-P225))</f>
        <v/>
      </c>
      <c r="T225" s="904" t="str">
        <f ca="1">IF(Q225="","",Q225-TODAY())</f>
        <v/>
      </c>
      <c r="U225" s="253"/>
      <c r="V225" s="253"/>
      <c r="W225" s="253"/>
      <c r="X225" s="253"/>
      <c r="Y225" s="253"/>
      <c r="Z225" s="253"/>
      <c r="AA225" s="253"/>
      <c r="AB225" s="253"/>
      <c r="AC225" s="253"/>
      <c r="AD225" s="253"/>
      <c r="AE225" s="253"/>
      <c r="AF225" s="253"/>
      <c r="AG225" s="253"/>
      <c r="AH225" s="253"/>
      <c r="AI225" s="253"/>
      <c r="AJ225" s="253"/>
      <c r="AK225" s="253"/>
      <c r="AL225" s="253"/>
      <c r="AM225" s="253"/>
      <c r="AN225" s="903"/>
      <c r="AO225" s="253" t="str">
        <f>IF(Z225="Yes",COUNTIF($Z$6:Z225,"Yes"),"")</f>
        <v/>
      </c>
      <c r="AP225" s="253" t="str">
        <f>IF(AA225="Yes",COUNTIF($AA$6:AA225,"Yes"),"")</f>
        <v/>
      </c>
      <c r="AQ225" s="253" t="str">
        <f>IF(AC225="Yes",COUNTIF($AC$6:AC225,"Yes"),"")</f>
        <v/>
      </c>
    </row>
    <row r="226" spans="1:43">
      <c r="A226" s="253"/>
      <c r="B226" s="253"/>
      <c r="C226" s="253"/>
      <c r="D226" s="253"/>
      <c r="E226" s="253"/>
      <c r="F226" s="253"/>
      <c r="G226" s="253"/>
      <c r="H226" s="253"/>
      <c r="I226" s="253"/>
      <c r="J226" s="253"/>
      <c r="K226" s="253"/>
      <c r="L226" s="253"/>
      <c r="M226" s="253"/>
      <c r="N226" s="253"/>
      <c r="O226" s="253"/>
      <c r="P226" s="903"/>
      <c r="Q226" s="903"/>
      <c r="R226" s="903"/>
      <c r="S226" s="904" t="str">
        <f ca="1">IF(P226="","",IF(R226&lt;&gt;"",R226-P226,TODAY()-P226))</f>
        <v/>
      </c>
      <c r="T226" s="904" t="str">
        <f ca="1">IF(Q226="","",Q226-TODAY())</f>
        <v/>
      </c>
      <c r="U226" s="253"/>
      <c r="V226" s="253"/>
      <c r="W226" s="253"/>
      <c r="X226" s="253"/>
      <c r="Y226" s="253"/>
      <c r="Z226" s="253"/>
      <c r="AA226" s="253"/>
      <c r="AB226" s="253"/>
      <c r="AC226" s="253"/>
      <c r="AD226" s="253"/>
      <c r="AE226" s="253"/>
      <c r="AF226" s="253"/>
      <c r="AG226" s="253"/>
      <c r="AH226" s="253"/>
      <c r="AI226" s="253"/>
      <c r="AJ226" s="253"/>
      <c r="AK226" s="253"/>
      <c r="AL226" s="253"/>
      <c r="AM226" s="253"/>
      <c r="AN226" s="903"/>
      <c r="AO226" s="253" t="str">
        <f>IF(Z226="Yes",COUNTIF($Z$6:Z226,"Yes"),"")</f>
        <v/>
      </c>
      <c r="AP226" s="253" t="str">
        <f>IF(AA226="Yes",COUNTIF($AA$6:AA226,"Yes"),"")</f>
        <v/>
      </c>
      <c r="AQ226" s="253" t="str">
        <f>IF(AC226="Yes",COUNTIF($AC$6:AC226,"Yes"),"")</f>
        <v/>
      </c>
    </row>
    <row r="227" spans="1:43">
      <c r="A227" s="253"/>
      <c r="B227" s="253"/>
      <c r="C227" s="253"/>
      <c r="D227" s="253"/>
      <c r="E227" s="253"/>
      <c r="F227" s="253"/>
      <c r="G227" s="253"/>
      <c r="H227" s="253"/>
      <c r="I227" s="253"/>
      <c r="J227" s="253"/>
      <c r="K227" s="253"/>
      <c r="L227" s="253"/>
      <c r="M227" s="253"/>
      <c r="N227" s="253"/>
      <c r="O227" s="253"/>
      <c r="P227" s="903"/>
      <c r="Q227" s="903"/>
      <c r="R227" s="903"/>
      <c r="S227" s="904" t="str">
        <f ca="1">IF(P227="","",IF(R227&lt;&gt;"",R227-P227,TODAY()-P227))</f>
        <v/>
      </c>
      <c r="T227" s="904" t="str">
        <f ca="1">IF(Q227="","",Q227-TODAY())</f>
        <v/>
      </c>
      <c r="U227" s="253"/>
      <c r="V227" s="253"/>
      <c r="W227" s="253"/>
      <c r="X227" s="253"/>
      <c r="Y227" s="253"/>
      <c r="Z227" s="253"/>
      <c r="AA227" s="253"/>
      <c r="AB227" s="253"/>
      <c r="AC227" s="253"/>
      <c r="AD227" s="253"/>
      <c r="AE227" s="253"/>
      <c r="AF227" s="253"/>
      <c r="AG227" s="253"/>
      <c r="AH227" s="253"/>
      <c r="AI227" s="253"/>
      <c r="AJ227" s="253"/>
      <c r="AK227" s="253"/>
      <c r="AL227" s="253"/>
      <c r="AM227" s="253"/>
      <c r="AN227" s="903"/>
      <c r="AO227" s="253" t="str">
        <f>IF(Z227="Yes",COUNTIF($Z$6:Z227,"Yes"),"")</f>
        <v/>
      </c>
      <c r="AP227" s="253" t="str">
        <f>IF(AA227="Yes",COUNTIF($AA$6:AA227,"Yes"),"")</f>
        <v/>
      </c>
      <c r="AQ227" s="253" t="str">
        <f>IF(AC227="Yes",COUNTIF($AC$6:AC227,"Yes"),"")</f>
        <v/>
      </c>
    </row>
    <row r="228" spans="1:43">
      <c r="A228" s="253"/>
      <c r="B228" s="253"/>
      <c r="C228" s="253"/>
      <c r="D228" s="253"/>
      <c r="E228" s="253"/>
      <c r="F228" s="253"/>
      <c r="G228" s="253"/>
      <c r="H228" s="253"/>
      <c r="I228" s="253"/>
      <c r="J228" s="253"/>
      <c r="K228" s="253"/>
      <c r="L228" s="253"/>
      <c r="M228" s="253"/>
      <c r="N228" s="253"/>
      <c r="O228" s="253"/>
      <c r="P228" s="903"/>
      <c r="Q228" s="903"/>
      <c r="R228" s="903"/>
      <c r="S228" s="904" t="str">
        <f ca="1">IF(P228="","",IF(R228&lt;&gt;"",R228-P228,TODAY()-P228))</f>
        <v/>
      </c>
      <c r="T228" s="904" t="str">
        <f ca="1">IF(Q228="","",Q228-TODAY())</f>
        <v/>
      </c>
      <c r="U228" s="253"/>
      <c r="V228" s="253"/>
      <c r="W228" s="253"/>
      <c r="X228" s="253"/>
      <c r="Y228" s="253"/>
      <c r="Z228" s="253"/>
      <c r="AA228" s="253"/>
      <c r="AB228" s="253"/>
      <c r="AC228" s="253"/>
      <c r="AD228" s="253"/>
      <c r="AE228" s="253"/>
      <c r="AF228" s="253"/>
      <c r="AG228" s="253"/>
      <c r="AH228" s="253"/>
      <c r="AI228" s="253"/>
      <c r="AJ228" s="253"/>
      <c r="AK228" s="253"/>
      <c r="AL228" s="253"/>
      <c r="AM228" s="253"/>
      <c r="AN228" s="903"/>
      <c r="AO228" s="253" t="str">
        <f>IF(Z228="Yes",COUNTIF($Z$6:Z228,"Yes"),"")</f>
        <v/>
      </c>
      <c r="AP228" s="253" t="str">
        <f>IF(AA228="Yes",COUNTIF($AA$6:AA228,"Yes"),"")</f>
        <v/>
      </c>
      <c r="AQ228" s="253" t="str">
        <f>IF(AC228="Yes",COUNTIF($AC$6:AC228,"Yes"),"")</f>
        <v/>
      </c>
    </row>
    <row r="229" spans="1:43">
      <c r="A229" s="253"/>
      <c r="B229" s="253"/>
      <c r="C229" s="253"/>
      <c r="D229" s="253"/>
      <c r="E229" s="253"/>
      <c r="F229" s="253"/>
      <c r="G229" s="253"/>
      <c r="H229" s="253"/>
      <c r="I229" s="253"/>
      <c r="J229" s="253"/>
      <c r="K229" s="253"/>
      <c r="L229" s="253"/>
      <c r="M229" s="253"/>
      <c r="N229" s="253"/>
      <c r="O229" s="253"/>
      <c r="P229" s="903"/>
      <c r="Q229" s="903"/>
      <c r="R229" s="903"/>
      <c r="S229" s="904" t="str">
        <f ca="1">IF(P229="","",IF(R229&lt;&gt;"",R229-P229,TODAY()-P229))</f>
        <v/>
      </c>
      <c r="T229" s="904" t="str">
        <f ca="1">IF(Q229="","",Q229-TODAY())</f>
        <v/>
      </c>
      <c r="U229" s="253"/>
      <c r="V229" s="253"/>
      <c r="W229" s="253"/>
      <c r="X229" s="253"/>
      <c r="Y229" s="253"/>
      <c r="Z229" s="253"/>
      <c r="AA229" s="253"/>
      <c r="AB229" s="253"/>
      <c r="AC229" s="253"/>
      <c r="AD229" s="253"/>
      <c r="AE229" s="253"/>
      <c r="AF229" s="253"/>
      <c r="AG229" s="253"/>
      <c r="AH229" s="253"/>
      <c r="AI229" s="253"/>
      <c r="AJ229" s="253"/>
      <c r="AK229" s="253"/>
      <c r="AL229" s="253"/>
      <c r="AM229" s="253"/>
      <c r="AN229" s="903"/>
      <c r="AO229" s="253" t="str">
        <f>IF(Z229="Yes",COUNTIF($Z$6:Z229,"Yes"),"")</f>
        <v/>
      </c>
      <c r="AP229" s="253" t="str">
        <f>IF(AA229="Yes",COUNTIF($AA$6:AA229,"Yes"),"")</f>
        <v/>
      </c>
      <c r="AQ229" s="253" t="str">
        <f>IF(AC229="Yes",COUNTIF($AC$6:AC229,"Yes"),"")</f>
        <v/>
      </c>
    </row>
    <row r="230" spans="1:43">
      <c r="A230" s="253"/>
      <c r="B230" s="253"/>
      <c r="C230" s="253"/>
      <c r="D230" s="253"/>
      <c r="E230" s="253"/>
      <c r="F230" s="253"/>
      <c r="G230" s="253"/>
      <c r="H230" s="253"/>
      <c r="I230" s="253"/>
      <c r="J230" s="253"/>
      <c r="K230" s="253"/>
      <c r="L230" s="253"/>
      <c r="M230" s="253"/>
      <c r="N230" s="253"/>
      <c r="O230" s="253"/>
      <c r="P230" s="903"/>
      <c r="Q230" s="903"/>
      <c r="R230" s="903"/>
      <c r="S230" s="904" t="str">
        <f ca="1">IF(P230="","",IF(R230&lt;&gt;"",R230-P230,TODAY()-P230))</f>
        <v/>
      </c>
      <c r="T230" s="904" t="str">
        <f ca="1">IF(Q230="","",Q230-TODAY())</f>
        <v/>
      </c>
      <c r="U230" s="253"/>
      <c r="V230" s="253"/>
      <c r="W230" s="253"/>
      <c r="X230" s="253"/>
      <c r="Y230" s="253"/>
      <c r="Z230" s="253"/>
      <c r="AA230" s="253"/>
      <c r="AB230" s="253"/>
      <c r="AC230" s="253"/>
      <c r="AD230" s="253"/>
      <c r="AE230" s="253"/>
      <c r="AF230" s="253"/>
      <c r="AG230" s="253"/>
      <c r="AH230" s="253"/>
      <c r="AI230" s="253"/>
      <c r="AJ230" s="253"/>
      <c r="AK230" s="253"/>
      <c r="AL230" s="253"/>
      <c r="AM230" s="253"/>
      <c r="AN230" s="903"/>
      <c r="AO230" s="253" t="str">
        <f>IF(Z230="Yes",COUNTIF($Z$6:Z230,"Yes"),"")</f>
        <v/>
      </c>
      <c r="AP230" s="253" t="str">
        <f>IF(AA230="Yes",COUNTIF($AA$6:AA230,"Yes"),"")</f>
        <v/>
      </c>
      <c r="AQ230" s="253" t="str">
        <f>IF(AC230="Yes",COUNTIF($AC$6:AC230,"Yes"),"")</f>
        <v/>
      </c>
    </row>
    <row r="231" spans="1:43">
      <c r="A231" s="253"/>
      <c r="B231" s="253"/>
      <c r="C231" s="253"/>
      <c r="D231" s="253"/>
      <c r="E231" s="253"/>
      <c r="F231" s="253"/>
      <c r="G231" s="253"/>
      <c r="H231" s="253"/>
      <c r="I231" s="253"/>
      <c r="J231" s="253"/>
      <c r="K231" s="253"/>
      <c r="L231" s="253"/>
      <c r="M231" s="253"/>
      <c r="N231" s="253"/>
      <c r="O231" s="253"/>
      <c r="P231" s="903"/>
      <c r="Q231" s="903"/>
      <c r="R231" s="903"/>
      <c r="S231" s="904" t="str">
        <f ca="1">IF(P231="","",IF(R231&lt;&gt;"",R231-P231,TODAY()-P231))</f>
        <v/>
      </c>
      <c r="T231" s="904" t="str">
        <f ca="1">IF(Q231="","",Q231-TODAY())</f>
        <v/>
      </c>
      <c r="U231" s="253"/>
      <c r="V231" s="253"/>
      <c r="W231" s="253"/>
      <c r="X231" s="253"/>
      <c r="Y231" s="253"/>
      <c r="Z231" s="253"/>
      <c r="AA231" s="253"/>
      <c r="AB231" s="253"/>
      <c r="AC231" s="253"/>
      <c r="AD231" s="253"/>
      <c r="AE231" s="253"/>
      <c r="AF231" s="253"/>
      <c r="AG231" s="253"/>
      <c r="AH231" s="253"/>
      <c r="AI231" s="253"/>
      <c r="AJ231" s="253"/>
      <c r="AK231" s="253"/>
      <c r="AL231" s="253"/>
      <c r="AM231" s="253"/>
      <c r="AN231" s="903"/>
      <c r="AO231" s="253" t="str">
        <f>IF(Z231="Yes",COUNTIF($Z$6:Z231,"Yes"),"")</f>
        <v/>
      </c>
      <c r="AP231" s="253" t="str">
        <f>IF(AA231="Yes",COUNTIF($AA$6:AA231,"Yes"),"")</f>
        <v/>
      </c>
      <c r="AQ231" s="253" t="str">
        <f>IF(AC231="Yes",COUNTIF($AC$6:AC231,"Yes"),"")</f>
        <v/>
      </c>
    </row>
    <row r="232" spans="1:43">
      <c r="A232" s="253"/>
      <c r="B232" s="253"/>
      <c r="C232" s="253"/>
      <c r="D232" s="253"/>
      <c r="E232" s="253"/>
      <c r="F232" s="253"/>
      <c r="G232" s="253"/>
      <c r="H232" s="253"/>
      <c r="I232" s="253"/>
      <c r="J232" s="253"/>
      <c r="K232" s="253"/>
      <c r="L232" s="253"/>
      <c r="M232" s="253"/>
      <c r="N232" s="253"/>
      <c r="O232" s="253"/>
      <c r="P232" s="903"/>
      <c r="Q232" s="903"/>
      <c r="R232" s="903"/>
      <c r="S232" s="904" t="str">
        <f ca="1">IF(P232="","",IF(R232&lt;&gt;"",R232-P232,TODAY()-P232))</f>
        <v/>
      </c>
      <c r="T232" s="904" t="str">
        <f ca="1">IF(Q232="","",Q232-TODAY())</f>
        <v/>
      </c>
      <c r="U232" s="253"/>
      <c r="V232" s="253"/>
      <c r="W232" s="253"/>
      <c r="X232" s="253"/>
      <c r="Y232" s="253"/>
      <c r="Z232" s="253"/>
      <c r="AA232" s="253"/>
      <c r="AB232" s="253"/>
      <c r="AC232" s="253"/>
      <c r="AD232" s="253"/>
      <c r="AE232" s="253"/>
      <c r="AF232" s="253"/>
      <c r="AG232" s="253"/>
      <c r="AH232" s="253"/>
      <c r="AI232" s="253"/>
      <c r="AJ232" s="253"/>
      <c r="AK232" s="253"/>
      <c r="AL232" s="253"/>
      <c r="AM232" s="253"/>
      <c r="AN232" s="903"/>
      <c r="AO232" s="253" t="str">
        <f>IF(Z232="Yes",COUNTIF($Z$6:Z232,"Yes"),"")</f>
        <v/>
      </c>
      <c r="AP232" s="253" t="str">
        <f>IF(AA232="Yes",COUNTIF($AA$6:AA232,"Yes"),"")</f>
        <v/>
      </c>
      <c r="AQ232" s="253" t="str">
        <f>IF(AC232="Yes",COUNTIF($AC$6:AC232,"Yes"),"")</f>
        <v/>
      </c>
    </row>
    <row r="233" spans="1:43">
      <c r="A233" s="253"/>
      <c r="B233" s="253"/>
      <c r="C233" s="253"/>
      <c r="D233" s="253"/>
      <c r="E233" s="253"/>
      <c r="F233" s="253"/>
      <c r="G233" s="253"/>
      <c r="H233" s="253"/>
      <c r="I233" s="253"/>
      <c r="J233" s="253"/>
      <c r="K233" s="253"/>
      <c r="L233" s="253"/>
      <c r="M233" s="253"/>
      <c r="N233" s="253"/>
      <c r="O233" s="253"/>
      <c r="P233" s="903"/>
      <c r="Q233" s="903"/>
      <c r="R233" s="903"/>
      <c r="S233" s="904" t="str">
        <f ca="1">IF(P233="","",IF(R233&lt;&gt;"",R233-P233,TODAY()-P233))</f>
        <v/>
      </c>
      <c r="T233" s="904" t="str">
        <f ca="1">IF(Q233="","",Q233-TODAY())</f>
        <v/>
      </c>
      <c r="U233" s="253"/>
      <c r="V233" s="253"/>
      <c r="W233" s="253"/>
      <c r="X233" s="253"/>
      <c r="Y233" s="253"/>
      <c r="Z233" s="253"/>
      <c r="AA233" s="253"/>
      <c r="AB233" s="253"/>
      <c r="AC233" s="253"/>
      <c r="AD233" s="253"/>
      <c r="AE233" s="253"/>
      <c r="AF233" s="253"/>
      <c r="AG233" s="253"/>
      <c r="AH233" s="253"/>
      <c r="AI233" s="253"/>
      <c r="AJ233" s="253"/>
      <c r="AK233" s="253"/>
      <c r="AL233" s="253"/>
      <c r="AM233" s="253"/>
      <c r="AN233" s="903"/>
      <c r="AO233" s="253" t="str">
        <f>IF(Z233="Yes",COUNTIF($Z$6:Z233,"Yes"),"")</f>
        <v/>
      </c>
      <c r="AP233" s="253" t="str">
        <f>IF(AA233="Yes",COUNTIF($AA$6:AA233,"Yes"),"")</f>
        <v/>
      </c>
      <c r="AQ233" s="253" t="str">
        <f>IF(AC233="Yes",COUNTIF($AC$6:AC233,"Yes"),"")</f>
        <v/>
      </c>
    </row>
    <row r="234" spans="1:43">
      <c r="A234" s="253"/>
      <c r="B234" s="253"/>
      <c r="C234" s="253"/>
      <c r="D234" s="253"/>
      <c r="E234" s="253"/>
      <c r="F234" s="253"/>
      <c r="G234" s="253"/>
      <c r="H234" s="253"/>
      <c r="I234" s="253"/>
      <c r="J234" s="253"/>
      <c r="K234" s="253"/>
      <c r="L234" s="253"/>
      <c r="M234" s="253"/>
      <c r="N234" s="253"/>
      <c r="O234" s="253"/>
      <c r="P234" s="903"/>
      <c r="Q234" s="903"/>
      <c r="R234" s="903"/>
      <c r="S234" s="904" t="str">
        <f ca="1">IF(P234="","",IF(R234&lt;&gt;"",R234-P234,TODAY()-P234))</f>
        <v/>
      </c>
      <c r="T234" s="904" t="str">
        <f ca="1">IF(Q234="","",Q234-TODAY())</f>
        <v/>
      </c>
      <c r="U234" s="253"/>
      <c r="V234" s="253"/>
      <c r="W234" s="253"/>
      <c r="X234" s="253"/>
      <c r="Y234" s="253"/>
      <c r="Z234" s="253"/>
      <c r="AA234" s="253"/>
      <c r="AB234" s="253"/>
      <c r="AC234" s="253"/>
      <c r="AD234" s="253"/>
      <c r="AE234" s="253"/>
      <c r="AF234" s="253"/>
      <c r="AG234" s="253"/>
      <c r="AH234" s="253"/>
      <c r="AI234" s="253"/>
      <c r="AJ234" s="253"/>
      <c r="AK234" s="253"/>
      <c r="AL234" s="253"/>
      <c r="AM234" s="253"/>
      <c r="AN234" s="903"/>
      <c r="AO234" s="253" t="str">
        <f>IF(Z234="Yes",COUNTIF($Z$6:Z234,"Yes"),"")</f>
        <v/>
      </c>
      <c r="AP234" s="253" t="str">
        <f>IF(AA234="Yes",COUNTIF($AA$6:AA234,"Yes"),"")</f>
        <v/>
      </c>
      <c r="AQ234" s="253" t="str">
        <f>IF(AC234="Yes",COUNTIF($AC$6:AC234,"Yes"),"")</f>
        <v/>
      </c>
    </row>
    <row r="235" spans="1:43">
      <c r="A235" s="253"/>
      <c r="B235" s="253"/>
      <c r="C235" s="253"/>
      <c r="D235" s="253"/>
      <c r="E235" s="253"/>
      <c r="F235" s="253"/>
      <c r="G235" s="253"/>
      <c r="H235" s="253"/>
      <c r="I235" s="253"/>
      <c r="J235" s="253"/>
      <c r="K235" s="253"/>
      <c r="L235" s="253"/>
      <c r="M235" s="253"/>
      <c r="N235" s="253"/>
      <c r="O235" s="253"/>
      <c r="P235" s="903"/>
      <c r="Q235" s="903"/>
      <c r="R235" s="903"/>
      <c r="S235" s="904" t="str">
        <f ca="1">IF(P235="","",IF(R235&lt;&gt;"",R235-P235,TODAY()-P235))</f>
        <v/>
      </c>
      <c r="T235" s="904" t="str">
        <f ca="1">IF(Q235="","",Q235-TODAY())</f>
        <v/>
      </c>
      <c r="U235" s="253"/>
      <c r="V235" s="253"/>
      <c r="W235" s="253"/>
      <c r="X235" s="253"/>
      <c r="Y235" s="253"/>
      <c r="Z235" s="253"/>
      <c r="AA235" s="253"/>
      <c r="AB235" s="253"/>
      <c r="AC235" s="253"/>
      <c r="AD235" s="253"/>
      <c r="AE235" s="253"/>
      <c r="AF235" s="253"/>
      <c r="AG235" s="253"/>
      <c r="AH235" s="253"/>
      <c r="AI235" s="253"/>
      <c r="AJ235" s="253"/>
      <c r="AK235" s="253"/>
      <c r="AL235" s="253"/>
      <c r="AM235" s="253"/>
      <c r="AN235" s="903"/>
      <c r="AO235" s="253" t="str">
        <f>IF(Z235="Yes",COUNTIF($Z$6:Z235,"Yes"),"")</f>
        <v/>
      </c>
      <c r="AP235" s="253" t="str">
        <f>IF(AA235="Yes",COUNTIF($AA$6:AA235,"Yes"),"")</f>
        <v/>
      </c>
      <c r="AQ235" s="253" t="str">
        <f>IF(AC235="Yes",COUNTIF($AC$6:AC235,"Yes"),"")</f>
        <v/>
      </c>
    </row>
    <row r="236" spans="1:43">
      <c r="A236" s="253"/>
      <c r="B236" s="253"/>
      <c r="C236" s="253"/>
      <c r="D236" s="253"/>
      <c r="E236" s="253"/>
      <c r="F236" s="253"/>
      <c r="G236" s="253"/>
      <c r="H236" s="253"/>
      <c r="I236" s="253"/>
      <c r="J236" s="253"/>
      <c r="K236" s="253"/>
      <c r="L236" s="253"/>
      <c r="M236" s="253"/>
      <c r="N236" s="253"/>
      <c r="O236" s="253"/>
      <c r="P236" s="903"/>
      <c r="Q236" s="903"/>
      <c r="R236" s="903"/>
      <c r="S236" s="904" t="str">
        <f ca="1">IF(P236="","",IF(R236&lt;&gt;"",R236-P236,TODAY()-P236))</f>
        <v/>
      </c>
      <c r="T236" s="904" t="str">
        <f ca="1">IF(Q236="","",Q236-TODAY())</f>
        <v/>
      </c>
      <c r="U236" s="253"/>
      <c r="V236" s="253"/>
      <c r="W236" s="253"/>
      <c r="X236" s="253"/>
      <c r="Y236" s="253"/>
      <c r="Z236" s="253"/>
      <c r="AA236" s="253"/>
      <c r="AB236" s="253"/>
      <c r="AC236" s="253"/>
      <c r="AD236" s="253"/>
      <c r="AE236" s="253"/>
      <c r="AF236" s="253"/>
      <c r="AG236" s="253"/>
      <c r="AH236" s="253"/>
      <c r="AI236" s="253"/>
      <c r="AJ236" s="253"/>
      <c r="AK236" s="253"/>
      <c r="AL236" s="253"/>
      <c r="AM236" s="253"/>
      <c r="AN236" s="903"/>
      <c r="AO236" s="253" t="str">
        <f>IF(Z236="Yes",COUNTIF($Z$6:Z236,"Yes"),"")</f>
        <v/>
      </c>
      <c r="AP236" s="253" t="str">
        <f>IF(AA236="Yes",COUNTIF($AA$6:AA236,"Yes"),"")</f>
        <v/>
      </c>
      <c r="AQ236" s="253" t="str">
        <f>IF(AC236="Yes",COUNTIF($AC$6:AC236,"Yes"),"")</f>
        <v/>
      </c>
    </row>
    <row r="237" spans="1:43">
      <c r="A237" s="253"/>
      <c r="B237" s="253"/>
      <c r="C237" s="253"/>
      <c r="D237" s="253"/>
      <c r="E237" s="253"/>
      <c r="F237" s="253"/>
      <c r="G237" s="253"/>
      <c r="H237" s="253"/>
      <c r="I237" s="253"/>
      <c r="J237" s="253"/>
      <c r="K237" s="253"/>
      <c r="L237" s="253"/>
      <c r="M237" s="253"/>
      <c r="N237" s="253"/>
      <c r="O237" s="253"/>
      <c r="P237" s="903"/>
      <c r="Q237" s="903"/>
      <c r="R237" s="903"/>
      <c r="S237" s="904" t="str">
        <f ca="1">IF(P237="","",IF(R237&lt;&gt;"",R237-P237,TODAY()-P237))</f>
        <v/>
      </c>
      <c r="T237" s="904" t="str">
        <f ca="1">IF(Q237="","",Q237-TODAY())</f>
        <v/>
      </c>
      <c r="U237" s="253"/>
      <c r="V237" s="253"/>
      <c r="W237" s="253"/>
      <c r="X237" s="253"/>
      <c r="Y237" s="253"/>
      <c r="Z237" s="253"/>
      <c r="AA237" s="253"/>
      <c r="AB237" s="253"/>
      <c r="AC237" s="253"/>
      <c r="AD237" s="253"/>
      <c r="AE237" s="253"/>
      <c r="AF237" s="253"/>
      <c r="AG237" s="253"/>
      <c r="AH237" s="253"/>
      <c r="AI237" s="253"/>
      <c r="AJ237" s="253"/>
      <c r="AK237" s="253"/>
      <c r="AL237" s="253"/>
      <c r="AM237" s="253"/>
      <c r="AN237" s="903"/>
      <c r="AO237" s="253" t="str">
        <f>IF(Z237="Yes",COUNTIF($Z$6:Z237,"Yes"),"")</f>
        <v/>
      </c>
      <c r="AP237" s="253" t="str">
        <f>IF(AA237="Yes",COUNTIF($AA$6:AA237,"Yes"),"")</f>
        <v/>
      </c>
      <c r="AQ237" s="253" t="str">
        <f>IF(AC237="Yes",COUNTIF($AC$6:AC237,"Yes"),"")</f>
        <v/>
      </c>
    </row>
    <row r="238" spans="1:43">
      <c r="A238" s="253"/>
      <c r="B238" s="253"/>
      <c r="C238" s="253"/>
      <c r="D238" s="253"/>
      <c r="E238" s="253"/>
      <c r="F238" s="253"/>
      <c r="G238" s="253"/>
      <c r="H238" s="253"/>
      <c r="I238" s="253"/>
      <c r="J238" s="253"/>
      <c r="K238" s="253"/>
      <c r="L238" s="253"/>
      <c r="M238" s="253"/>
      <c r="N238" s="253"/>
      <c r="O238" s="253"/>
      <c r="P238" s="903"/>
      <c r="Q238" s="903"/>
      <c r="R238" s="903"/>
      <c r="S238" s="904" t="str">
        <f ca="1">IF(P238="","",IF(R238&lt;&gt;"",R238-P238,TODAY()-P238))</f>
        <v/>
      </c>
      <c r="T238" s="904" t="str">
        <f ca="1">IF(Q238="","",Q238-TODAY())</f>
        <v/>
      </c>
      <c r="U238" s="253"/>
      <c r="V238" s="253"/>
      <c r="W238" s="253"/>
      <c r="X238" s="253"/>
      <c r="Y238" s="253"/>
      <c r="Z238" s="253"/>
      <c r="AA238" s="253"/>
      <c r="AB238" s="253"/>
      <c r="AC238" s="253"/>
      <c r="AD238" s="253"/>
      <c r="AE238" s="253"/>
      <c r="AF238" s="253"/>
      <c r="AG238" s="253"/>
      <c r="AH238" s="253"/>
      <c r="AI238" s="253"/>
      <c r="AJ238" s="253"/>
      <c r="AK238" s="253"/>
      <c r="AL238" s="253"/>
      <c r="AM238" s="253"/>
      <c r="AN238" s="903"/>
      <c r="AO238" s="253" t="str">
        <f>IF(Z238="Yes",COUNTIF($Z$6:Z238,"Yes"),"")</f>
        <v/>
      </c>
      <c r="AP238" s="253" t="str">
        <f>IF(AA238="Yes",COUNTIF($AA$6:AA238,"Yes"),"")</f>
        <v/>
      </c>
      <c r="AQ238" s="253" t="str">
        <f>IF(AC238="Yes",COUNTIF($AC$6:AC238,"Yes"),"")</f>
        <v/>
      </c>
    </row>
    <row r="239" spans="1:43">
      <c r="A239" s="253"/>
      <c r="B239" s="253"/>
      <c r="C239" s="253"/>
      <c r="D239" s="253"/>
      <c r="E239" s="253"/>
      <c r="F239" s="253"/>
      <c r="G239" s="253"/>
      <c r="H239" s="253"/>
      <c r="I239" s="253"/>
      <c r="J239" s="253"/>
      <c r="K239" s="253"/>
      <c r="L239" s="253"/>
      <c r="M239" s="253"/>
      <c r="N239" s="253"/>
      <c r="O239" s="253"/>
      <c r="P239" s="903"/>
      <c r="Q239" s="903"/>
      <c r="R239" s="903"/>
      <c r="S239" s="904" t="str">
        <f ca="1">IF(P239="","",IF(R239&lt;&gt;"",R239-P239,TODAY()-P239))</f>
        <v/>
      </c>
      <c r="T239" s="904" t="str">
        <f ca="1">IF(Q239="","",Q239-TODAY())</f>
        <v/>
      </c>
      <c r="U239" s="253"/>
      <c r="V239" s="253"/>
      <c r="W239" s="253"/>
      <c r="X239" s="253"/>
      <c r="Y239" s="253"/>
      <c r="Z239" s="253"/>
      <c r="AA239" s="253"/>
      <c r="AB239" s="253"/>
      <c r="AC239" s="253"/>
      <c r="AD239" s="253"/>
      <c r="AE239" s="253"/>
      <c r="AF239" s="253"/>
      <c r="AG239" s="253"/>
      <c r="AH239" s="253"/>
      <c r="AI239" s="253"/>
      <c r="AJ239" s="253"/>
      <c r="AK239" s="253"/>
      <c r="AL239" s="253"/>
      <c r="AM239" s="253"/>
      <c r="AN239" s="903"/>
      <c r="AO239" s="253" t="str">
        <f>IF(Z239="Yes",COUNTIF($Z$6:Z239,"Yes"),"")</f>
        <v/>
      </c>
      <c r="AP239" s="253" t="str">
        <f>IF(AA239="Yes",COUNTIF($AA$6:AA239,"Yes"),"")</f>
        <v/>
      </c>
      <c r="AQ239" s="253" t="str">
        <f>IF(AC239="Yes",COUNTIF($AC$6:AC239,"Yes"),"")</f>
        <v/>
      </c>
    </row>
    <row r="240" spans="1:43">
      <c r="A240" s="253"/>
      <c r="B240" s="253"/>
      <c r="C240" s="253"/>
      <c r="D240" s="253"/>
      <c r="E240" s="253"/>
      <c r="F240" s="253"/>
      <c r="G240" s="253"/>
      <c r="H240" s="253"/>
      <c r="I240" s="253"/>
      <c r="J240" s="253"/>
      <c r="K240" s="253"/>
      <c r="L240" s="253"/>
      <c r="M240" s="253"/>
      <c r="N240" s="253"/>
      <c r="O240" s="253"/>
      <c r="P240" s="903"/>
      <c r="Q240" s="903"/>
      <c r="R240" s="903"/>
      <c r="S240" s="904" t="str">
        <f ca="1">IF(P240="","",IF(R240&lt;&gt;"",R240-P240,TODAY()-P240))</f>
        <v/>
      </c>
      <c r="T240" s="904" t="str">
        <f ca="1">IF(Q240="","",Q240-TODAY())</f>
        <v/>
      </c>
      <c r="U240" s="253"/>
      <c r="V240" s="253"/>
      <c r="W240" s="253"/>
      <c r="X240" s="253"/>
      <c r="Y240" s="253"/>
      <c r="Z240" s="253"/>
      <c r="AA240" s="253"/>
      <c r="AB240" s="253"/>
      <c r="AC240" s="253"/>
      <c r="AD240" s="253"/>
      <c r="AE240" s="253"/>
      <c r="AF240" s="253"/>
      <c r="AG240" s="253"/>
      <c r="AH240" s="253"/>
      <c r="AI240" s="253"/>
      <c r="AJ240" s="253"/>
      <c r="AK240" s="253"/>
      <c r="AL240" s="253"/>
      <c r="AM240" s="253"/>
      <c r="AN240" s="903"/>
      <c r="AO240" s="253" t="str">
        <f>IF(Z240="Yes",COUNTIF($Z$6:Z240,"Yes"),"")</f>
        <v/>
      </c>
      <c r="AP240" s="253" t="str">
        <f>IF(AA240="Yes",COUNTIF($AA$6:AA240,"Yes"),"")</f>
        <v/>
      </c>
      <c r="AQ240" s="253" t="str">
        <f>IF(AC240="Yes",COUNTIF($AC$6:AC240,"Yes"),"")</f>
        <v/>
      </c>
    </row>
    <row r="241" spans="1:43">
      <c r="A241" s="253"/>
      <c r="B241" s="253"/>
      <c r="C241" s="253"/>
      <c r="D241" s="253"/>
      <c r="E241" s="253"/>
      <c r="F241" s="253"/>
      <c r="G241" s="253"/>
      <c r="H241" s="253"/>
      <c r="I241" s="253"/>
      <c r="J241" s="253"/>
      <c r="K241" s="253"/>
      <c r="L241" s="253"/>
      <c r="M241" s="253"/>
      <c r="N241" s="253"/>
      <c r="O241" s="253"/>
      <c r="P241" s="903"/>
      <c r="Q241" s="903"/>
      <c r="R241" s="903"/>
      <c r="S241" s="904" t="str">
        <f ca="1">IF(P241="","",IF(R241&lt;&gt;"",R241-P241,TODAY()-P241))</f>
        <v/>
      </c>
      <c r="T241" s="904" t="str">
        <f ca="1">IF(Q241="","",Q241-TODAY())</f>
        <v/>
      </c>
      <c r="U241" s="253"/>
      <c r="V241" s="253"/>
      <c r="W241" s="253"/>
      <c r="X241" s="253"/>
      <c r="Y241" s="253"/>
      <c r="Z241" s="253"/>
      <c r="AA241" s="253"/>
      <c r="AB241" s="253"/>
      <c r="AC241" s="253"/>
      <c r="AD241" s="253"/>
      <c r="AE241" s="253"/>
      <c r="AF241" s="253"/>
      <c r="AG241" s="253"/>
      <c r="AH241" s="253"/>
      <c r="AI241" s="253"/>
      <c r="AJ241" s="253"/>
      <c r="AK241" s="253"/>
      <c r="AL241" s="253"/>
      <c r="AM241" s="253"/>
      <c r="AN241" s="903"/>
      <c r="AO241" s="253" t="str">
        <f>IF(Z241="Yes",COUNTIF($Z$6:Z241,"Yes"),"")</f>
        <v/>
      </c>
      <c r="AP241" s="253" t="str">
        <f>IF(AA241="Yes",COUNTIF($AA$6:AA241,"Yes"),"")</f>
        <v/>
      </c>
      <c r="AQ241" s="253" t="str">
        <f>IF(AC241="Yes",COUNTIF($AC$6:AC241,"Yes"),"")</f>
        <v/>
      </c>
    </row>
    <row r="242" spans="1:43">
      <c r="A242" s="253"/>
      <c r="B242" s="253"/>
      <c r="C242" s="253"/>
      <c r="D242" s="253"/>
      <c r="E242" s="253"/>
      <c r="F242" s="253"/>
      <c r="G242" s="253"/>
      <c r="H242" s="253"/>
      <c r="I242" s="253"/>
      <c r="J242" s="253"/>
      <c r="K242" s="253"/>
      <c r="L242" s="253"/>
      <c r="M242" s="253"/>
      <c r="N242" s="253"/>
      <c r="O242" s="253"/>
      <c r="P242" s="903"/>
      <c r="Q242" s="903"/>
      <c r="R242" s="903"/>
      <c r="S242" s="904" t="str">
        <f ca="1">IF(P242="","",IF(R242&lt;&gt;"",R242-P242,TODAY()-P242))</f>
        <v/>
      </c>
      <c r="T242" s="904" t="str">
        <f ca="1">IF(Q242="","",Q242-TODAY())</f>
        <v/>
      </c>
      <c r="U242" s="253"/>
      <c r="V242" s="253"/>
      <c r="W242" s="253"/>
      <c r="X242" s="253"/>
      <c r="Y242" s="253"/>
      <c r="Z242" s="253"/>
      <c r="AA242" s="253"/>
      <c r="AB242" s="253"/>
      <c r="AC242" s="253"/>
      <c r="AD242" s="253"/>
      <c r="AE242" s="253"/>
      <c r="AF242" s="253"/>
      <c r="AG242" s="253"/>
      <c r="AH242" s="253"/>
      <c r="AI242" s="253"/>
      <c r="AJ242" s="253"/>
      <c r="AK242" s="253"/>
      <c r="AL242" s="253"/>
      <c r="AM242" s="253"/>
      <c r="AN242" s="903"/>
      <c r="AO242" s="253" t="str">
        <f>IF(Z242="Yes",COUNTIF($Z$6:Z242,"Yes"),"")</f>
        <v/>
      </c>
      <c r="AP242" s="253" t="str">
        <f>IF(AA242="Yes",COUNTIF($AA$6:AA242,"Yes"),"")</f>
        <v/>
      </c>
      <c r="AQ242" s="253" t="str">
        <f>IF(AC242="Yes",COUNTIF($AC$6:AC242,"Yes"),"")</f>
        <v/>
      </c>
    </row>
    <row r="243" spans="1:43">
      <c r="A243" s="253"/>
      <c r="B243" s="253"/>
      <c r="C243" s="253"/>
      <c r="D243" s="253"/>
      <c r="E243" s="253"/>
      <c r="F243" s="253"/>
      <c r="G243" s="253"/>
      <c r="H243" s="253"/>
      <c r="I243" s="253"/>
      <c r="J243" s="253"/>
      <c r="K243" s="253"/>
      <c r="L243" s="253"/>
      <c r="M243" s="253"/>
      <c r="N243" s="253"/>
      <c r="O243" s="253"/>
      <c r="P243" s="903"/>
      <c r="Q243" s="903"/>
      <c r="R243" s="903"/>
      <c r="S243" s="904" t="str">
        <f ca="1">IF(P243="","",IF(R243&lt;&gt;"",R243-P243,TODAY()-P243))</f>
        <v/>
      </c>
      <c r="T243" s="904" t="str">
        <f ca="1">IF(Q243="","",Q243-TODAY())</f>
        <v/>
      </c>
      <c r="U243" s="253"/>
      <c r="V243" s="253"/>
      <c r="W243" s="253"/>
      <c r="X243" s="253"/>
      <c r="Y243" s="253"/>
      <c r="Z243" s="253"/>
      <c r="AA243" s="253"/>
      <c r="AB243" s="253"/>
      <c r="AC243" s="253"/>
      <c r="AD243" s="253"/>
      <c r="AE243" s="253"/>
      <c r="AF243" s="253"/>
      <c r="AG243" s="253"/>
      <c r="AH243" s="253"/>
      <c r="AI243" s="253"/>
      <c r="AJ243" s="253"/>
      <c r="AK243" s="253"/>
      <c r="AL243" s="253"/>
      <c r="AM243" s="253"/>
      <c r="AN243" s="903"/>
      <c r="AO243" s="253" t="str">
        <f>IF(Z243="Yes",COUNTIF($Z$6:Z243,"Yes"),"")</f>
        <v/>
      </c>
      <c r="AP243" s="253" t="str">
        <f>IF(AA243="Yes",COUNTIF($AA$6:AA243,"Yes"),"")</f>
        <v/>
      </c>
      <c r="AQ243" s="253" t="str">
        <f>IF(AC243="Yes",COUNTIF($AC$6:AC243,"Yes"),"")</f>
        <v/>
      </c>
    </row>
    <row r="244" spans="1:43">
      <c r="A244" s="253"/>
      <c r="B244" s="253"/>
      <c r="C244" s="253"/>
      <c r="D244" s="253"/>
      <c r="E244" s="253"/>
      <c r="F244" s="253"/>
      <c r="G244" s="253"/>
      <c r="H244" s="253"/>
      <c r="I244" s="253"/>
      <c r="J244" s="253"/>
      <c r="K244" s="253"/>
      <c r="L244" s="253"/>
      <c r="M244" s="253"/>
      <c r="N244" s="253"/>
      <c r="O244" s="253"/>
      <c r="P244" s="903"/>
      <c r="Q244" s="903"/>
      <c r="R244" s="903"/>
      <c r="S244" s="904" t="str">
        <f ca="1">IF(P244="","",IF(R244&lt;&gt;"",R244-P244,TODAY()-P244))</f>
        <v/>
      </c>
      <c r="T244" s="904" t="str">
        <f ca="1">IF(Q244="","",Q244-TODAY())</f>
        <v/>
      </c>
      <c r="U244" s="253"/>
      <c r="V244" s="253"/>
      <c r="W244" s="253"/>
      <c r="X244" s="253"/>
      <c r="Y244" s="253"/>
      <c r="Z244" s="253"/>
      <c r="AA244" s="253"/>
      <c r="AB244" s="253"/>
      <c r="AC244" s="253"/>
      <c r="AD244" s="253"/>
      <c r="AE244" s="253"/>
      <c r="AF244" s="253"/>
      <c r="AG244" s="253"/>
      <c r="AH244" s="253"/>
      <c r="AI244" s="253"/>
      <c r="AJ244" s="253"/>
      <c r="AK244" s="253"/>
      <c r="AL244" s="253"/>
      <c r="AM244" s="253"/>
      <c r="AN244" s="903"/>
      <c r="AO244" s="253" t="str">
        <f>IF(Z244="Yes",COUNTIF($Z$6:Z244,"Yes"),"")</f>
        <v/>
      </c>
      <c r="AP244" s="253" t="str">
        <f>IF(AA244="Yes",COUNTIF($AA$6:AA244,"Yes"),"")</f>
        <v/>
      </c>
      <c r="AQ244" s="253" t="str">
        <f>IF(AC244="Yes",COUNTIF($AC$6:AC244,"Yes"),"")</f>
        <v/>
      </c>
    </row>
    <row r="245" spans="1:43">
      <c r="A245" s="253"/>
      <c r="B245" s="253"/>
      <c r="C245" s="253"/>
      <c r="D245" s="253"/>
      <c r="E245" s="253"/>
      <c r="F245" s="253"/>
      <c r="G245" s="253"/>
      <c r="H245" s="253"/>
      <c r="I245" s="253"/>
      <c r="J245" s="253"/>
      <c r="K245" s="253"/>
      <c r="L245" s="253"/>
      <c r="M245" s="253"/>
      <c r="N245" s="253"/>
      <c r="O245" s="253"/>
      <c r="P245" s="903"/>
      <c r="Q245" s="903"/>
      <c r="R245" s="903"/>
      <c r="S245" s="904" t="str">
        <f ca="1">IF(P245="","",IF(R245&lt;&gt;"",R245-P245,TODAY()-P245))</f>
        <v/>
      </c>
      <c r="T245" s="904" t="str">
        <f ca="1">IF(Q245="","",Q245-TODAY())</f>
        <v/>
      </c>
      <c r="U245" s="253"/>
      <c r="V245" s="253"/>
      <c r="W245" s="253"/>
      <c r="X245" s="253"/>
      <c r="Y245" s="253"/>
      <c r="Z245" s="253"/>
      <c r="AA245" s="253"/>
      <c r="AB245" s="253"/>
      <c r="AC245" s="253"/>
      <c r="AD245" s="253"/>
      <c r="AE245" s="253"/>
      <c r="AF245" s="253"/>
      <c r="AG245" s="253"/>
      <c r="AH245" s="253"/>
      <c r="AI245" s="253"/>
      <c r="AJ245" s="253"/>
      <c r="AK245" s="253"/>
      <c r="AL245" s="253"/>
      <c r="AM245" s="253"/>
      <c r="AN245" s="903"/>
      <c r="AO245" s="253" t="str">
        <f>IF(Z245="Yes",COUNTIF($Z$6:Z245,"Yes"),"")</f>
        <v/>
      </c>
      <c r="AP245" s="253" t="str">
        <f>IF(AA245="Yes",COUNTIF($AA$6:AA245,"Yes"),"")</f>
        <v/>
      </c>
      <c r="AQ245" s="253" t="str">
        <f>IF(AC245="Yes",COUNTIF($AC$6:AC245,"Yes"),"")</f>
        <v/>
      </c>
    </row>
    <row r="246" spans="1:43">
      <c r="A246" s="253"/>
      <c r="B246" s="253"/>
      <c r="C246" s="253"/>
      <c r="D246" s="253"/>
      <c r="E246" s="253"/>
      <c r="F246" s="253"/>
      <c r="G246" s="253"/>
      <c r="H246" s="253"/>
      <c r="I246" s="253"/>
      <c r="J246" s="253"/>
      <c r="K246" s="253"/>
      <c r="L246" s="253"/>
      <c r="M246" s="253"/>
      <c r="N246" s="253"/>
      <c r="O246" s="253"/>
      <c r="P246" s="903"/>
      <c r="Q246" s="903"/>
      <c r="R246" s="903"/>
      <c r="S246" s="904" t="str">
        <f ca="1">IF(P246="","",IF(R246&lt;&gt;"",R246-P246,TODAY()-P246))</f>
        <v/>
      </c>
      <c r="T246" s="904" t="str">
        <f ca="1">IF(Q246="","",Q246-TODAY())</f>
        <v/>
      </c>
      <c r="U246" s="253"/>
      <c r="V246" s="253"/>
      <c r="W246" s="253"/>
      <c r="X246" s="253"/>
      <c r="Y246" s="253"/>
      <c r="Z246" s="253"/>
      <c r="AA246" s="253"/>
      <c r="AB246" s="253"/>
      <c r="AC246" s="253"/>
      <c r="AD246" s="253"/>
      <c r="AE246" s="253"/>
      <c r="AF246" s="253"/>
      <c r="AG246" s="253"/>
      <c r="AH246" s="253"/>
      <c r="AI246" s="253"/>
      <c r="AJ246" s="253"/>
      <c r="AK246" s="253"/>
      <c r="AL246" s="253"/>
      <c r="AM246" s="253"/>
      <c r="AN246" s="903"/>
      <c r="AO246" s="253" t="str">
        <f>IF(Z246="Yes",COUNTIF($Z$6:Z246,"Yes"),"")</f>
        <v/>
      </c>
      <c r="AP246" s="253" t="str">
        <f>IF(AA246="Yes",COUNTIF($AA$6:AA246,"Yes"),"")</f>
        <v/>
      </c>
      <c r="AQ246" s="253" t="str">
        <f>IF(AC246="Yes",COUNTIF($AC$6:AC246,"Yes"),"")</f>
        <v/>
      </c>
    </row>
    <row r="247" spans="1:43">
      <c r="A247" s="253"/>
      <c r="B247" s="253"/>
      <c r="C247" s="253"/>
      <c r="D247" s="253"/>
      <c r="E247" s="253"/>
      <c r="F247" s="253"/>
      <c r="G247" s="253"/>
      <c r="H247" s="253"/>
      <c r="I247" s="253"/>
      <c r="J247" s="253"/>
      <c r="K247" s="253"/>
      <c r="L247" s="253"/>
      <c r="M247" s="253"/>
      <c r="N247" s="253"/>
      <c r="O247" s="253"/>
      <c r="P247" s="903"/>
      <c r="Q247" s="903"/>
      <c r="R247" s="903"/>
      <c r="S247" s="904" t="str">
        <f ca="1">IF(P247="","",IF(R247&lt;&gt;"",R247-P247,TODAY()-P247))</f>
        <v/>
      </c>
      <c r="T247" s="904" t="str">
        <f ca="1">IF(Q247="","",Q247-TODAY())</f>
        <v/>
      </c>
      <c r="U247" s="253"/>
      <c r="V247" s="253"/>
      <c r="W247" s="253"/>
      <c r="X247" s="253"/>
      <c r="Y247" s="253"/>
      <c r="Z247" s="253"/>
      <c r="AA247" s="253"/>
      <c r="AB247" s="253"/>
      <c r="AC247" s="253"/>
      <c r="AD247" s="253"/>
      <c r="AE247" s="253"/>
      <c r="AF247" s="253"/>
      <c r="AG247" s="253"/>
      <c r="AH247" s="253"/>
      <c r="AI247" s="253"/>
      <c r="AJ247" s="253"/>
      <c r="AK247" s="253"/>
      <c r="AL247" s="253"/>
      <c r="AM247" s="253"/>
      <c r="AN247" s="903"/>
      <c r="AO247" s="253" t="str">
        <f>IF(Z247="Yes",COUNTIF($Z$6:Z247,"Yes"),"")</f>
        <v/>
      </c>
      <c r="AP247" s="253" t="str">
        <f>IF(AA247="Yes",COUNTIF($AA$6:AA247,"Yes"),"")</f>
        <v/>
      </c>
      <c r="AQ247" s="253" t="str">
        <f>IF(AC247="Yes",COUNTIF($AC$6:AC247,"Yes"),"")</f>
        <v/>
      </c>
    </row>
    <row r="248" spans="1:43">
      <c r="A248" s="253"/>
      <c r="B248" s="253"/>
      <c r="C248" s="253"/>
      <c r="D248" s="253"/>
      <c r="E248" s="253"/>
      <c r="F248" s="253"/>
      <c r="G248" s="253"/>
      <c r="H248" s="253"/>
      <c r="I248" s="253"/>
      <c r="J248" s="253"/>
      <c r="K248" s="253"/>
      <c r="L248" s="253"/>
      <c r="M248" s="253"/>
      <c r="N248" s="253"/>
      <c r="O248" s="253"/>
      <c r="P248" s="903"/>
      <c r="Q248" s="903"/>
      <c r="R248" s="903"/>
      <c r="S248" s="904" t="str">
        <f ca="1">IF(P248="","",IF(R248&lt;&gt;"",R248-P248,TODAY()-P248))</f>
        <v/>
      </c>
      <c r="T248" s="904" t="str">
        <f ca="1">IF(Q248="","",Q248-TODAY())</f>
        <v/>
      </c>
      <c r="U248" s="253"/>
      <c r="V248" s="253"/>
      <c r="W248" s="253"/>
      <c r="X248" s="253"/>
      <c r="Y248" s="253"/>
      <c r="Z248" s="253"/>
      <c r="AA248" s="253"/>
      <c r="AB248" s="253"/>
      <c r="AC248" s="253"/>
      <c r="AD248" s="253"/>
      <c r="AE248" s="253"/>
      <c r="AF248" s="253"/>
      <c r="AG248" s="253"/>
      <c r="AH248" s="253"/>
      <c r="AI248" s="253"/>
      <c r="AJ248" s="253"/>
      <c r="AK248" s="253"/>
      <c r="AL248" s="253"/>
      <c r="AM248" s="253"/>
      <c r="AN248" s="903"/>
      <c r="AO248" s="253" t="str">
        <f>IF(Z248="Yes",COUNTIF($Z$6:Z248,"Yes"),"")</f>
        <v/>
      </c>
      <c r="AP248" s="253" t="str">
        <f>IF(AA248="Yes",COUNTIF($AA$6:AA248,"Yes"),"")</f>
        <v/>
      </c>
      <c r="AQ248" s="253" t="str">
        <f>IF(AC248="Yes",COUNTIF($AC$6:AC248,"Yes"),"")</f>
        <v/>
      </c>
    </row>
    <row r="249" spans="1:43">
      <c r="A249" s="253"/>
      <c r="B249" s="253"/>
      <c r="C249" s="253"/>
      <c r="D249" s="253"/>
      <c r="E249" s="253"/>
      <c r="F249" s="253"/>
      <c r="G249" s="253"/>
      <c r="H249" s="253"/>
      <c r="I249" s="253"/>
      <c r="J249" s="253"/>
      <c r="K249" s="253"/>
      <c r="L249" s="253"/>
      <c r="M249" s="253"/>
      <c r="N249" s="253"/>
      <c r="O249" s="253"/>
      <c r="P249" s="903"/>
      <c r="Q249" s="903"/>
      <c r="R249" s="903"/>
      <c r="S249" s="904" t="str">
        <f ca="1">IF(P249="","",IF(R249&lt;&gt;"",R249-P249,TODAY()-P249))</f>
        <v/>
      </c>
      <c r="T249" s="904" t="str">
        <f ca="1">IF(Q249="","",Q249-TODAY())</f>
        <v/>
      </c>
      <c r="U249" s="253"/>
      <c r="V249" s="253"/>
      <c r="W249" s="253"/>
      <c r="X249" s="253"/>
      <c r="Y249" s="253"/>
      <c r="Z249" s="253"/>
      <c r="AA249" s="253"/>
      <c r="AB249" s="253"/>
      <c r="AC249" s="253"/>
      <c r="AD249" s="253"/>
      <c r="AE249" s="253"/>
      <c r="AF249" s="253"/>
      <c r="AG249" s="253"/>
      <c r="AH249" s="253"/>
      <c r="AI249" s="253"/>
      <c r="AJ249" s="253"/>
      <c r="AK249" s="253"/>
      <c r="AL249" s="253"/>
      <c r="AM249" s="253"/>
      <c r="AN249" s="903"/>
      <c r="AO249" s="253" t="str">
        <f>IF(Z249="Yes",COUNTIF($Z$6:Z249,"Yes"),"")</f>
        <v/>
      </c>
      <c r="AP249" s="253" t="str">
        <f>IF(AA249="Yes",COUNTIF($AA$6:AA249,"Yes"),"")</f>
        <v/>
      </c>
      <c r="AQ249" s="253" t="str">
        <f>IF(AC249="Yes",COUNTIF($AC$6:AC249,"Yes"),"")</f>
        <v/>
      </c>
    </row>
    <row r="250" spans="1:43">
      <c r="A250" s="253"/>
      <c r="B250" s="253"/>
      <c r="C250" s="253"/>
      <c r="D250" s="253"/>
      <c r="E250" s="253"/>
      <c r="F250" s="253"/>
      <c r="G250" s="253"/>
      <c r="H250" s="253"/>
      <c r="I250" s="253"/>
      <c r="J250" s="253"/>
      <c r="K250" s="253"/>
      <c r="L250" s="253"/>
      <c r="M250" s="253"/>
      <c r="N250" s="253"/>
      <c r="O250" s="253"/>
      <c r="P250" s="903"/>
      <c r="Q250" s="903"/>
      <c r="R250" s="903"/>
      <c r="S250" s="904" t="str">
        <f ca="1">IF(P250="","",IF(R250&lt;&gt;"",R250-P250,TODAY()-P250))</f>
        <v/>
      </c>
      <c r="T250" s="904" t="str">
        <f ca="1">IF(Q250="","",Q250-TODAY())</f>
        <v/>
      </c>
      <c r="U250" s="253"/>
      <c r="V250" s="253"/>
      <c r="W250" s="253"/>
      <c r="X250" s="253"/>
      <c r="Y250" s="253"/>
      <c r="Z250" s="253"/>
      <c r="AA250" s="253"/>
      <c r="AB250" s="253"/>
      <c r="AC250" s="253"/>
      <c r="AD250" s="253"/>
      <c r="AE250" s="253"/>
      <c r="AF250" s="253"/>
      <c r="AG250" s="253"/>
      <c r="AH250" s="253"/>
      <c r="AI250" s="253"/>
      <c r="AJ250" s="253"/>
      <c r="AK250" s="253"/>
      <c r="AL250" s="253"/>
      <c r="AM250" s="253"/>
      <c r="AN250" s="903"/>
      <c r="AO250" s="253" t="str">
        <f>IF(Z250="Yes",COUNTIF($Z$6:Z250,"Yes"),"")</f>
        <v/>
      </c>
      <c r="AP250" s="253" t="str">
        <f>IF(AA250="Yes",COUNTIF($AA$6:AA250,"Yes"),"")</f>
        <v/>
      </c>
      <c r="AQ250" s="253" t="str">
        <f>IF(AC250="Yes",COUNTIF($AC$6:AC250,"Yes"),"")</f>
        <v/>
      </c>
    </row>
    <row r="251" spans="1:43">
      <c r="A251" s="253"/>
      <c r="B251" s="253"/>
      <c r="C251" s="253"/>
      <c r="D251" s="253"/>
      <c r="E251" s="253"/>
      <c r="F251" s="253"/>
      <c r="G251" s="253"/>
      <c r="H251" s="253"/>
      <c r="I251" s="253"/>
      <c r="J251" s="253"/>
      <c r="K251" s="253"/>
      <c r="L251" s="253"/>
      <c r="M251" s="253"/>
      <c r="N251" s="253"/>
      <c r="O251" s="253"/>
      <c r="P251" s="903"/>
      <c r="Q251" s="903"/>
      <c r="R251" s="903"/>
      <c r="S251" s="904" t="str">
        <f ca="1">IF(P251="","",IF(R251&lt;&gt;"",R251-P251,TODAY()-P251))</f>
        <v/>
      </c>
      <c r="T251" s="904" t="str">
        <f ca="1">IF(Q251="","",Q251-TODAY())</f>
        <v/>
      </c>
      <c r="U251" s="253"/>
      <c r="V251" s="253"/>
      <c r="W251" s="253"/>
      <c r="X251" s="253"/>
      <c r="Y251" s="253"/>
      <c r="Z251" s="253"/>
      <c r="AA251" s="253"/>
      <c r="AB251" s="253"/>
      <c r="AC251" s="253"/>
      <c r="AD251" s="253"/>
      <c r="AE251" s="253"/>
      <c r="AF251" s="253"/>
      <c r="AG251" s="253"/>
      <c r="AH251" s="253"/>
      <c r="AI251" s="253"/>
      <c r="AJ251" s="253"/>
      <c r="AK251" s="253"/>
      <c r="AL251" s="253"/>
      <c r="AM251" s="253"/>
      <c r="AN251" s="903"/>
      <c r="AO251" s="253" t="str">
        <f>IF(Z251="Yes",COUNTIF($Z$6:Z251,"Yes"),"")</f>
        <v/>
      </c>
      <c r="AP251" s="253" t="str">
        <f>IF(AA251="Yes",COUNTIF($AA$6:AA251,"Yes"),"")</f>
        <v/>
      </c>
      <c r="AQ251" s="253" t="str">
        <f>IF(AC251="Yes",COUNTIF($AC$6:AC251,"Yes"),"")</f>
        <v/>
      </c>
    </row>
    <row r="252" spans="1:43">
      <c r="A252" s="253"/>
      <c r="B252" s="253"/>
      <c r="C252" s="253"/>
      <c r="D252" s="253"/>
      <c r="E252" s="253"/>
      <c r="F252" s="253"/>
      <c r="G252" s="253"/>
      <c r="H252" s="253"/>
      <c r="I252" s="253"/>
      <c r="J252" s="253"/>
      <c r="K252" s="253"/>
      <c r="L252" s="253"/>
      <c r="M252" s="253"/>
      <c r="N252" s="253"/>
      <c r="O252" s="253"/>
      <c r="P252" s="903"/>
      <c r="Q252" s="903"/>
      <c r="R252" s="903"/>
      <c r="S252" s="904" t="str">
        <f ca="1">IF(P252="","",IF(R252&lt;&gt;"",R252-P252,TODAY()-P252))</f>
        <v/>
      </c>
      <c r="T252" s="904" t="str">
        <f ca="1">IF(Q252="","",Q252-TODAY())</f>
        <v/>
      </c>
      <c r="U252" s="253"/>
      <c r="V252" s="253"/>
      <c r="W252" s="253"/>
      <c r="X252" s="253"/>
      <c r="Y252" s="253"/>
      <c r="Z252" s="253"/>
      <c r="AA252" s="253"/>
      <c r="AB252" s="253"/>
      <c r="AC252" s="253"/>
      <c r="AD252" s="253"/>
      <c r="AE252" s="253"/>
      <c r="AF252" s="253"/>
      <c r="AG252" s="253"/>
      <c r="AH252" s="253"/>
      <c r="AI252" s="253"/>
      <c r="AJ252" s="253"/>
      <c r="AK252" s="253"/>
      <c r="AL252" s="253"/>
      <c r="AM252" s="253"/>
      <c r="AN252" s="903"/>
      <c r="AO252" s="253" t="str">
        <f>IF(Z252="Yes",COUNTIF($Z$6:Z252,"Yes"),"")</f>
        <v/>
      </c>
      <c r="AP252" s="253" t="str">
        <f>IF(AA252="Yes",COUNTIF($AA$6:AA252,"Yes"),"")</f>
        <v/>
      </c>
      <c r="AQ252" s="253" t="str">
        <f>IF(AC252="Yes",COUNTIF($AC$6:AC252,"Yes"),"")</f>
        <v/>
      </c>
    </row>
    <row r="253" spans="1:43">
      <c r="A253" s="253"/>
      <c r="B253" s="253"/>
      <c r="C253" s="253"/>
      <c r="D253" s="253"/>
      <c r="E253" s="253"/>
      <c r="F253" s="253"/>
      <c r="G253" s="253"/>
      <c r="H253" s="253"/>
      <c r="I253" s="253"/>
      <c r="J253" s="253"/>
      <c r="K253" s="253"/>
      <c r="L253" s="253"/>
      <c r="M253" s="253"/>
      <c r="N253" s="253"/>
      <c r="O253" s="253"/>
      <c r="P253" s="903"/>
      <c r="Q253" s="903"/>
      <c r="R253" s="903"/>
      <c r="S253" s="904" t="str">
        <f ca="1">IF(P253="","",IF(R253&lt;&gt;"",R253-P253,TODAY()-P253))</f>
        <v/>
      </c>
      <c r="T253" s="904" t="str">
        <f ca="1">IF(Q253="","",Q253-TODAY())</f>
        <v/>
      </c>
      <c r="U253" s="253"/>
      <c r="V253" s="253"/>
      <c r="W253" s="253"/>
      <c r="X253" s="253"/>
      <c r="Y253" s="253"/>
      <c r="Z253" s="253"/>
      <c r="AA253" s="253"/>
      <c r="AB253" s="253"/>
      <c r="AC253" s="253"/>
      <c r="AD253" s="253"/>
      <c r="AE253" s="253"/>
      <c r="AF253" s="253"/>
      <c r="AG253" s="253"/>
      <c r="AH253" s="253"/>
      <c r="AI253" s="253"/>
      <c r="AJ253" s="253"/>
      <c r="AK253" s="253"/>
      <c r="AL253" s="253"/>
      <c r="AM253" s="253"/>
      <c r="AN253" s="903"/>
      <c r="AO253" s="253" t="str">
        <f>IF(Z253="Yes",COUNTIF($Z$6:Z253,"Yes"),"")</f>
        <v/>
      </c>
      <c r="AP253" s="253" t="str">
        <f>IF(AA253="Yes",COUNTIF($AA$6:AA253,"Yes"),"")</f>
        <v/>
      </c>
      <c r="AQ253" s="253" t="str">
        <f>IF(AC253="Yes",COUNTIF($AC$6:AC253,"Yes"),"")</f>
        <v/>
      </c>
    </row>
    <row r="254" spans="1:43">
      <c r="A254" s="253"/>
      <c r="B254" s="253"/>
      <c r="C254" s="253"/>
      <c r="D254" s="253"/>
      <c r="E254" s="253"/>
      <c r="F254" s="253"/>
      <c r="G254" s="253"/>
      <c r="H254" s="253"/>
      <c r="I254" s="253"/>
      <c r="J254" s="253"/>
      <c r="K254" s="253"/>
      <c r="L254" s="253"/>
      <c r="M254" s="253"/>
      <c r="N254" s="253"/>
      <c r="O254" s="253"/>
      <c r="P254" s="903"/>
      <c r="Q254" s="903"/>
      <c r="R254" s="903"/>
      <c r="S254" s="904" t="str">
        <f ca="1">IF(P254="","",IF(R254&lt;&gt;"",R254-P254,TODAY()-P254))</f>
        <v/>
      </c>
      <c r="T254" s="904" t="str">
        <f ca="1">IF(Q254="","",Q254-TODAY())</f>
        <v/>
      </c>
      <c r="U254" s="253"/>
      <c r="V254" s="253"/>
      <c r="W254" s="253"/>
      <c r="X254" s="253"/>
      <c r="Y254" s="253"/>
      <c r="Z254" s="253"/>
      <c r="AA254" s="253"/>
      <c r="AB254" s="253"/>
      <c r="AC254" s="253"/>
      <c r="AD254" s="253"/>
      <c r="AE254" s="253"/>
      <c r="AF254" s="253"/>
      <c r="AG254" s="253"/>
      <c r="AH254" s="253"/>
      <c r="AI254" s="253"/>
      <c r="AJ254" s="253"/>
      <c r="AK254" s="253"/>
      <c r="AL254" s="253"/>
      <c r="AM254" s="253"/>
      <c r="AN254" s="903"/>
      <c r="AO254" s="253" t="str">
        <f>IF(Z254="Yes",COUNTIF($Z$6:Z254,"Yes"),"")</f>
        <v/>
      </c>
      <c r="AP254" s="253" t="str">
        <f>IF(AA254="Yes",COUNTIF($AA$6:AA254,"Yes"),"")</f>
        <v/>
      </c>
      <c r="AQ254" s="253" t="str">
        <f>IF(AC254="Yes",COUNTIF($AC$6:AC254,"Yes"),"")</f>
        <v/>
      </c>
    </row>
    <row r="255" spans="1:43">
      <c r="A255" s="253"/>
      <c r="B255" s="253"/>
      <c r="C255" s="253"/>
      <c r="D255" s="253"/>
      <c r="E255" s="253"/>
      <c r="F255" s="253"/>
      <c r="G255" s="253"/>
      <c r="H255" s="253"/>
      <c r="I255" s="253"/>
      <c r="J255" s="253"/>
      <c r="K255" s="253"/>
      <c r="L255" s="253"/>
      <c r="M255" s="253"/>
      <c r="N255" s="253"/>
      <c r="O255" s="253"/>
      <c r="P255" s="903"/>
      <c r="Q255" s="903"/>
      <c r="R255" s="903"/>
      <c r="S255" s="904" t="str">
        <f ca="1">IF(P255="","",IF(R255&lt;&gt;"",R255-P255,TODAY()-P255))</f>
        <v/>
      </c>
      <c r="T255" s="904" t="str">
        <f ca="1">IF(Q255="","",Q255-TODAY())</f>
        <v/>
      </c>
      <c r="U255" s="253"/>
      <c r="V255" s="253"/>
      <c r="W255" s="253"/>
      <c r="X255" s="253"/>
      <c r="Y255" s="253"/>
      <c r="Z255" s="253"/>
      <c r="AA255" s="253"/>
      <c r="AB255" s="253"/>
      <c r="AC255" s="253"/>
      <c r="AD255" s="253"/>
      <c r="AE255" s="253"/>
      <c r="AF255" s="253"/>
      <c r="AG255" s="253"/>
      <c r="AH255" s="253"/>
      <c r="AI255" s="253"/>
      <c r="AJ255" s="253"/>
      <c r="AK255" s="253"/>
      <c r="AL255" s="253"/>
      <c r="AM255" s="253"/>
      <c r="AN255" s="903"/>
      <c r="AO255" s="253" t="str">
        <f>IF(Z255="Yes",COUNTIF($Z$6:Z255,"Yes"),"")</f>
        <v/>
      </c>
      <c r="AP255" s="253" t="str">
        <f>IF(AA255="Yes",COUNTIF($AA$6:AA255,"Yes"),"")</f>
        <v/>
      </c>
      <c r="AQ255" s="253" t="str">
        <f>IF(AC255="Yes",COUNTIF($AC$6:AC255,"Yes"),"")</f>
        <v/>
      </c>
    </row>
    <row r="256" spans="1:43">
      <c r="A256" s="253"/>
      <c r="B256" s="253"/>
      <c r="C256" s="253"/>
      <c r="D256" s="253"/>
      <c r="E256" s="253"/>
      <c r="F256" s="253"/>
      <c r="G256" s="253"/>
      <c r="H256" s="253"/>
      <c r="I256" s="253"/>
      <c r="J256" s="253"/>
      <c r="K256" s="253"/>
      <c r="L256" s="253"/>
      <c r="M256" s="253"/>
      <c r="N256" s="253"/>
      <c r="O256" s="253"/>
      <c r="P256" s="903"/>
      <c r="Q256" s="903"/>
      <c r="R256" s="903"/>
      <c r="S256" s="904" t="str">
        <f ca="1">IF(P256="","",IF(R256&lt;&gt;"",R256-P256,TODAY()-P256))</f>
        <v/>
      </c>
      <c r="T256" s="904" t="str">
        <f ca="1">IF(Q256="","",Q256-TODAY())</f>
        <v/>
      </c>
      <c r="U256" s="253"/>
      <c r="V256" s="253"/>
      <c r="W256" s="253"/>
      <c r="X256" s="253"/>
      <c r="Y256" s="253"/>
      <c r="Z256" s="253"/>
      <c r="AA256" s="253"/>
      <c r="AB256" s="253"/>
      <c r="AC256" s="253"/>
      <c r="AD256" s="253"/>
      <c r="AE256" s="253"/>
      <c r="AF256" s="253"/>
      <c r="AG256" s="253"/>
      <c r="AH256" s="253"/>
      <c r="AI256" s="253"/>
      <c r="AJ256" s="253"/>
      <c r="AK256" s="253"/>
      <c r="AL256" s="253"/>
      <c r="AM256" s="253"/>
      <c r="AN256" s="903"/>
      <c r="AO256" s="253" t="str">
        <f>IF(Z256="Yes",COUNTIF($Z$6:Z256,"Yes"),"")</f>
        <v/>
      </c>
      <c r="AP256" s="253" t="str">
        <f>IF(AA256="Yes",COUNTIF($AA$6:AA256,"Yes"),"")</f>
        <v/>
      </c>
      <c r="AQ256" s="253" t="str">
        <f>IF(AC256="Yes",COUNTIF($AC$6:AC256,"Yes"),"")</f>
        <v/>
      </c>
    </row>
    <row r="257" spans="1:43">
      <c r="A257" s="253"/>
      <c r="B257" s="253"/>
      <c r="C257" s="253"/>
      <c r="D257" s="253"/>
      <c r="E257" s="253"/>
      <c r="F257" s="253"/>
      <c r="G257" s="253"/>
      <c r="H257" s="253"/>
      <c r="I257" s="253"/>
      <c r="J257" s="253"/>
      <c r="K257" s="253"/>
      <c r="L257" s="253"/>
      <c r="M257" s="253"/>
      <c r="N257" s="253"/>
      <c r="O257" s="253"/>
      <c r="P257" s="903"/>
      <c r="Q257" s="903"/>
      <c r="R257" s="903"/>
      <c r="S257" s="904" t="str">
        <f ca="1">IF(P257="","",IF(R257&lt;&gt;"",R257-P257,TODAY()-P257))</f>
        <v/>
      </c>
      <c r="T257" s="904" t="str">
        <f ca="1">IF(Q257="","",Q257-TODAY())</f>
        <v/>
      </c>
      <c r="U257" s="253"/>
      <c r="V257" s="253"/>
      <c r="W257" s="253"/>
      <c r="X257" s="253"/>
      <c r="Y257" s="253"/>
      <c r="Z257" s="253"/>
      <c r="AA257" s="253"/>
      <c r="AB257" s="253"/>
      <c r="AC257" s="253"/>
      <c r="AD257" s="253"/>
      <c r="AE257" s="253"/>
      <c r="AF257" s="253"/>
      <c r="AG257" s="253"/>
      <c r="AH257" s="253"/>
      <c r="AI257" s="253"/>
      <c r="AJ257" s="253"/>
      <c r="AK257" s="253"/>
      <c r="AL257" s="253"/>
      <c r="AM257" s="253"/>
      <c r="AN257" s="903"/>
      <c r="AO257" s="253" t="str">
        <f>IF(Z257="Yes",COUNTIF($Z$6:Z257,"Yes"),"")</f>
        <v/>
      </c>
      <c r="AP257" s="253" t="str">
        <f>IF(AA257="Yes",COUNTIF($AA$6:AA257,"Yes"),"")</f>
        <v/>
      </c>
      <c r="AQ257" s="253" t="str">
        <f>IF(AC257="Yes",COUNTIF($AC$6:AC257,"Yes"),"")</f>
        <v/>
      </c>
    </row>
    <row r="258" spans="1:43">
      <c r="A258" s="253"/>
      <c r="B258" s="253"/>
      <c r="C258" s="253"/>
      <c r="D258" s="253"/>
      <c r="E258" s="253"/>
      <c r="F258" s="253"/>
      <c r="G258" s="253"/>
      <c r="H258" s="253"/>
      <c r="I258" s="253"/>
      <c r="J258" s="253"/>
      <c r="K258" s="253"/>
      <c r="L258" s="253"/>
      <c r="M258" s="253"/>
      <c r="N258" s="253"/>
      <c r="O258" s="253"/>
      <c r="P258" s="903"/>
      <c r="Q258" s="903"/>
      <c r="R258" s="903"/>
      <c r="S258" s="904" t="str">
        <f ca="1">IF(P258="","",IF(R258&lt;&gt;"",R258-P258,TODAY()-P258))</f>
        <v/>
      </c>
      <c r="T258" s="904" t="str">
        <f ca="1">IF(Q258="","",Q258-TODAY())</f>
        <v/>
      </c>
      <c r="U258" s="253"/>
      <c r="V258" s="253"/>
      <c r="W258" s="253"/>
      <c r="X258" s="253"/>
      <c r="Y258" s="253"/>
      <c r="Z258" s="253"/>
      <c r="AA258" s="253"/>
      <c r="AB258" s="253"/>
      <c r="AC258" s="253"/>
      <c r="AD258" s="253"/>
      <c r="AE258" s="253"/>
      <c r="AF258" s="253"/>
      <c r="AG258" s="253"/>
      <c r="AH258" s="253"/>
      <c r="AI258" s="253"/>
      <c r="AJ258" s="253"/>
      <c r="AK258" s="253"/>
      <c r="AL258" s="253"/>
      <c r="AM258" s="253"/>
      <c r="AN258" s="903"/>
      <c r="AO258" s="253" t="str">
        <f>IF(Z258="Yes",COUNTIF($Z$6:Z258,"Yes"),"")</f>
        <v/>
      </c>
      <c r="AP258" s="253" t="str">
        <f>IF(AA258="Yes",COUNTIF($AA$6:AA258,"Yes"),"")</f>
        <v/>
      </c>
      <c r="AQ258" s="253" t="str">
        <f>IF(AC258="Yes",COUNTIF($AC$6:AC258,"Yes"),"")</f>
        <v/>
      </c>
    </row>
    <row r="259" spans="1:43">
      <c r="A259" s="253"/>
      <c r="B259" s="253"/>
      <c r="C259" s="253"/>
      <c r="D259" s="253"/>
      <c r="E259" s="253"/>
      <c r="F259" s="253"/>
      <c r="G259" s="253"/>
      <c r="H259" s="253"/>
      <c r="I259" s="253"/>
      <c r="J259" s="253"/>
      <c r="K259" s="253"/>
      <c r="L259" s="253"/>
      <c r="M259" s="253"/>
      <c r="N259" s="253"/>
      <c r="O259" s="253"/>
      <c r="P259" s="903"/>
      <c r="Q259" s="903"/>
      <c r="R259" s="903"/>
      <c r="S259" s="904" t="str">
        <f ca="1">IF(P259="","",IF(R259&lt;&gt;"",R259-P259,TODAY()-P259))</f>
        <v/>
      </c>
      <c r="T259" s="904" t="str">
        <f ca="1">IF(Q259="","",Q259-TODAY())</f>
        <v/>
      </c>
      <c r="U259" s="253"/>
      <c r="V259" s="253"/>
      <c r="W259" s="253"/>
      <c r="X259" s="253"/>
      <c r="Y259" s="253"/>
      <c r="Z259" s="253"/>
      <c r="AA259" s="253"/>
      <c r="AB259" s="253"/>
      <c r="AC259" s="253"/>
      <c r="AD259" s="253"/>
      <c r="AE259" s="253"/>
      <c r="AF259" s="253"/>
      <c r="AG259" s="253"/>
      <c r="AH259" s="253"/>
      <c r="AI259" s="253"/>
      <c r="AJ259" s="253"/>
      <c r="AK259" s="253"/>
      <c r="AL259" s="253"/>
      <c r="AM259" s="253"/>
      <c r="AN259" s="903"/>
      <c r="AO259" s="253" t="str">
        <f>IF(Z259="Yes",COUNTIF($Z$6:Z259,"Yes"),"")</f>
        <v/>
      </c>
      <c r="AP259" s="253" t="str">
        <f>IF(AA259="Yes",COUNTIF($AA$6:AA259,"Yes"),"")</f>
        <v/>
      </c>
      <c r="AQ259" s="253" t="str">
        <f>IF(AC259="Yes",COUNTIF($AC$6:AC259,"Yes"),"")</f>
        <v/>
      </c>
    </row>
    <row r="260" spans="1:43">
      <c r="A260" s="253"/>
      <c r="B260" s="253"/>
      <c r="C260" s="253"/>
      <c r="D260" s="253"/>
      <c r="E260" s="253"/>
      <c r="F260" s="253"/>
      <c r="G260" s="253"/>
      <c r="H260" s="253"/>
      <c r="I260" s="253"/>
      <c r="J260" s="253"/>
      <c r="K260" s="253"/>
      <c r="L260" s="253"/>
      <c r="M260" s="253"/>
      <c r="N260" s="253"/>
      <c r="O260" s="253"/>
      <c r="P260" s="903"/>
      <c r="Q260" s="903"/>
      <c r="R260" s="903"/>
      <c r="S260" s="904" t="str">
        <f ca="1">IF(P260="","",IF(R260&lt;&gt;"",R260-P260,TODAY()-P260))</f>
        <v/>
      </c>
      <c r="T260" s="904" t="str">
        <f ca="1">IF(Q260="","",Q260-TODAY())</f>
        <v/>
      </c>
      <c r="U260" s="253"/>
      <c r="V260" s="253"/>
      <c r="W260" s="253"/>
      <c r="X260" s="253"/>
      <c r="Y260" s="253"/>
      <c r="Z260" s="253"/>
      <c r="AA260" s="253"/>
      <c r="AB260" s="253"/>
      <c r="AC260" s="253"/>
      <c r="AD260" s="253"/>
      <c r="AE260" s="253"/>
      <c r="AF260" s="253"/>
      <c r="AG260" s="253"/>
      <c r="AH260" s="253"/>
      <c r="AI260" s="253"/>
      <c r="AJ260" s="253"/>
      <c r="AK260" s="253"/>
      <c r="AL260" s="253"/>
      <c r="AM260" s="253"/>
      <c r="AN260" s="903"/>
      <c r="AO260" s="253" t="str">
        <f>IF(Z260="Yes",COUNTIF($Z$6:Z260,"Yes"),"")</f>
        <v/>
      </c>
      <c r="AP260" s="253" t="str">
        <f>IF(AA260="Yes",COUNTIF($AA$6:AA260,"Yes"),"")</f>
        <v/>
      </c>
      <c r="AQ260" s="253" t="str">
        <f>IF(AC260="Yes",COUNTIF($AC$6:AC260,"Yes"),"")</f>
        <v/>
      </c>
    </row>
    <row r="261" spans="1:43">
      <c r="A261" s="253"/>
      <c r="B261" s="253"/>
      <c r="C261" s="253"/>
      <c r="D261" s="253"/>
      <c r="E261" s="253"/>
      <c r="F261" s="253"/>
      <c r="G261" s="253"/>
      <c r="H261" s="253"/>
      <c r="I261" s="253"/>
      <c r="J261" s="253"/>
      <c r="K261" s="253"/>
      <c r="L261" s="253"/>
      <c r="M261" s="253"/>
      <c r="N261" s="253"/>
      <c r="O261" s="253"/>
      <c r="P261" s="903"/>
      <c r="Q261" s="903"/>
      <c r="R261" s="903"/>
      <c r="S261" s="904" t="str">
        <f ca="1">IF(P261="","",IF(R261&lt;&gt;"",R261-P261,TODAY()-P261))</f>
        <v/>
      </c>
      <c r="T261" s="904" t="str">
        <f ca="1">IF(Q261="","",Q261-TODAY())</f>
        <v/>
      </c>
      <c r="U261" s="253"/>
      <c r="V261" s="253"/>
      <c r="W261" s="253"/>
      <c r="X261" s="253"/>
      <c r="Y261" s="253"/>
      <c r="Z261" s="253"/>
      <c r="AA261" s="253"/>
      <c r="AB261" s="253"/>
      <c r="AC261" s="253"/>
      <c r="AD261" s="253"/>
      <c r="AE261" s="253"/>
      <c r="AF261" s="253"/>
      <c r="AG261" s="253"/>
      <c r="AH261" s="253"/>
      <c r="AI261" s="253"/>
      <c r="AJ261" s="253"/>
      <c r="AK261" s="253"/>
      <c r="AL261" s="253"/>
      <c r="AM261" s="253"/>
      <c r="AN261" s="903"/>
      <c r="AO261" s="253" t="str">
        <f>IF(Z261="Yes",COUNTIF($Z$6:Z261,"Yes"),"")</f>
        <v/>
      </c>
      <c r="AP261" s="253" t="str">
        <f>IF(AA261="Yes",COUNTIF($AA$6:AA261,"Yes"),"")</f>
        <v/>
      </c>
      <c r="AQ261" s="253" t="str">
        <f>IF(AC261="Yes",COUNTIF($AC$6:AC261,"Yes"),"")</f>
        <v/>
      </c>
    </row>
    <row r="262" spans="1:43">
      <c r="A262" s="253"/>
      <c r="B262" s="253"/>
      <c r="C262" s="253"/>
      <c r="D262" s="253"/>
      <c r="E262" s="253"/>
      <c r="F262" s="253"/>
      <c r="G262" s="253"/>
      <c r="H262" s="253"/>
      <c r="I262" s="253"/>
      <c r="J262" s="253"/>
      <c r="K262" s="253"/>
      <c r="L262" s="253"/>
      <c r="M262" s="253"/>
      <c r="N262" s="253"/>
      <c r="O262" s="253"/>
      <c r="P262" s="903"/>
      <c r="Q262" s="903"/>
      <c r="R262" s="903"/>
      <c r="S262" s="904" t="str">
        <f ca="1">IF(P262="","",IF(R262&lt;&gt;"",R262-P262,TODAY()-P262))</f>
        <v/>
      </c>
      <c r="T262" s="904" t="str">
        <f ca="1">IF(Q262="","",Q262-TODAY())</f>
        <v/>
      </c>
      <c r="U262" s="253"/>
      <c r="V262" s="253"/>
      <c r="W262" s="253"/>
      <c r="X262" s="253"/>
      <c r="Y262" s="253"/>
      <c r="Z262" s="253"/>
      <c r="AA262" s="253"/>
      <c r="AB262" s="253"/>
      <c r="AC262" s="253"/>
      <c r="AD262" s="253"/>
      <c r="AE262" s="253"/>
      <c r="AF262" s="253"/>
      <c r="AG262" s="253"/>
      <c r="AH262" s="253"/>
      <c r="AI262" s="253"/>
      <c r="AJ262" s="253"/>
      <c r="AK262" s="253"/>
      <c r="AL262" s="253"/>
      <c r="AM262" s="253"/>
      <c r="AN262" s="903"/>
      <c r="AO262" s="253" t="str">
        <f>IF(Z262="Yes",COUNTIF($Z$6:Z262,"Yes"),"")</f>
        <v/>
      </c>
      <c r="AP262" s="253" t="str">
        <f>IF(AA262="Yes",COUNTIF($AA$6:AA262,"Yes"),"")</f>
        <v/>
      </c>
      <c r="AQ262" s="253" t="str">
        <f>IF(AC262="Yes",COUNTIF($AC$6:AC262,"Yes"),"")</f>
        <v/>
      </c>
    </row>
    <row r="263" spans="1:43">
      <c r="A263" s="253"/>
      <c r="B263" s="253"/>
      <c r="C263" s="253"/>
      <c r="D263" s="253"/>
      <c r="E263" s="253"/>
      <c r="F263" s="253"/>
      <c r="G263" s="253"/>
      <c r="H263" s="253"/>
      <c r="I263" s="253"/>
      <c r="J263" s="253"/>
      <c r="K263" s="253"/>
      <c r="L263" s="253"/>
      <c r="M263" s="253"/>
      <c r="N263" s="253"/>
      <c r="O263" s="253"/>
      <c r="P263" s="903"/>
      <c r="Q263" s="903"/>
      <c r="R263" s="903"/>
      <c r="S263" s="904" t="str">
        <f ca="1">IF(P263="","",IF(R263&lt;&gt;"",R263-P263,TODAY()-P263))</f>
        <v/>
      </c>
      <c r="T263" s="904" t="str">
        <f ca="1">IF(Q263="","",Q263-TODAY())</f>
        <v/>
      </c>
      <c r="U263" s="253"/>
      <c r="V263" s="253"/>
      <c r="W263" s="253"/>
      <c r="X263" s="253"/>
      <c r="Y263" s="253"/>
      <c r="Z263" s="253"/>
      <c r="AA263" s="253"/>
      <c r="AB263" s="253"/>
      <c r="AC263" s="253"/>
      <c r="AD263" s="253"/>
      <c r="AE263" s="253"/>
      <c r="AF263" s="253"/>
      <c r="AG263" s="253"/>
      <c r="AH263" s="253"/>
      <c r="AI263" s="253"/>
      <c r="AJ263" s="253"/>
      <c r="AK263" s="253"/>
      <c r="AL263" s="253"/>
      <c r="AM263" s="253"/>
      <c r="AN263" s="903"/>
      <c r="AO263" s="253" t="str">
        <f>IF(Z263="Yes",COUNTIF($Z$6:Z263,"Yes"),"")</f>
        <v/>
      </c>
      <c r="AP263" s="253" t="str">
        <f>IF(AA263="Yes",COUNTIF($AA$6:AA263,"Yes"),"")</f>
        <v/>
      </c>
      <c r="AQ263" s="253" t="str">
        <f>IF(AC263="Yes",COUNTIF($AC$6:AC263,"Yes"),"")</f>
        <v/>
      </c>
    </row>
    <row r="264" spans="1:43">
      <c r="A264" s="253"/>
      <c r="B264" s="253"/>
      <c r="C264" s="253"/>
      <c r="D264" s="253"/>
      <c r="E264" s="253"/>
      <c r="F264" s="253"/>
      <c r="G264" s="253"/>
      <c r="H264" s="253"/>
      <c r="I264" s="253"/>
      <c r="J264" s="253"/>
      <c r="K264" s="253"/>
      <c r="L264" s="253"/>
      <c r="M264" s="253"/>
      <c r="N264" s="253"/>
      <c r="O264" s="253"/>
      <c r="P264" s="903"/>
      <c r="Q264" s="903"/>
      <c r="R264" s="903"/>
      <c r="S264" s="904" t="str">
        <f ca="1">IF(P264="","",IF(R264&lt;&gt;"",R264-P264,TODAY()-P264))</f>
        <v/>
      </c>
      <c r="T264" s="904" t="str">
        <f ca="1">IF(Q264="","",Q264-TODAY())</f>
        <v/>
      </c>
      <c r="U264" s="253"/>
      <c r="V264" s="253"/>
      <c r="W264" s="253"/>
      <c r="X264" s="253"/>
      <c r="Y264" s="253"/>
      <c r="Z264" s="253"/>
      <c r="AA264" s="253"/>
      <c r="AB264" s="253"/>
      <c r="AC264" s="253"/>
      <c r="AD264" s="253"/>
      <c r="AE264" s="253"/>
      <c r="AF264" s="253"/>
      <c r="AG264" s="253"/>
      <c r="AH264" s="253"/>
      <c r="AI264" s="253"/>
      <c r="AJ264" s="253"/>
      <c r="AK264" s="253"/>
      <c r="AL264" s="253"/>
      <c r="AM264" s="253"/>
      <c r="AN264" s="903"/>
      <c r="AO264" s="253" t="str">
        <f>IF(Z264="Yes",COUNTIF($Z$6:Z264,"Yes"),"")</f>
        <v/>
      </c>
      <c r="AP264" s="253" t="str">
        <f>IF(AA264="Yes",COUNTIF($AA$6:AA264,"Yes"),"")</f>
        <v/>
      </c>
      <c r="AQ264" s="253" t="str">
        <f>IF(AC264="Yes",COUNTIF($AC$6:AC264,"Yes"),"")</f>
        <v/>
      </c>
    </row>
    <row r="265" spans="1:43">
      <c r="A265" s="253"/>
      <c r="B265" s="253"/>
      <c r="C265" s="253"/>
      <c r="D265" s="253"/>
      <c r="E265" s="253"/>
      <c r="F265" s="253"/>
      <c r="G265" s="253"/>
      <c r="H265" s="253"/>
      <c r="I265" s="253"/>
      <c r="J265" s="253"/>
      <c r="K265" s="253"/>
      <c r="L265" s="253"/>
      <c r="M265" s="253"/>
      <c r="N265" s="253"/>
      <c r="O265" s="253"/>
      <c r="P265" s="903"/>
      <c r="Q265" s="903"/>
      <c r="R265" s="903"/>
      <c r="S265" s="904" t="str">
        <f ca="1">IF(P265="","",IF(R265&lt;&gt;"",R265-P265,TODAY()-P265))</f>
        <v/>
      </c>
      <c r="T265" s="904" t="str">
        <f ca="1">IF(Q265="","",Q265-TODAY())</f>
        <v/>
      </c>
      <c r="U265" s="253"/>
      <c r="V265" s="253"/>
      <c r="W265" s="253"/>
      <c r="X265" s="253"/>
      <c r="Y265" s="253"/>
      <c r="Z265" s="253"/>
      <c r="AA265" s="253"/>
      <c r="AB265" s="253"/>
      <c r="AC265" s="253"/>
      <c r="AD265" s="253"/>
      <c r="AE265" s="253"/>
      <c r="AF265" s="253"/>
      <c r="AG265" s="253"/>
      <c r="AH265" s="253"/>
      <c r="AI265" s="253"/>
      <c r="AJ265" s="253"/>
      <c r="AK265" s="253"/>
      <c r="AL265" s="253"/>
      <c r="AM265" s="253"/>
      <c r="AN265" s="903"/>
      <c r="AO265" s="253" t="str">
        <f>IF(Z265="Yes",COUNTIF($Z$6:Z265,"Yes"),"")</f>
        <v/>
      </c>
      <c r="AP265" s="253" t="str">
        <f>IF(AA265="Yes",COUNTIF($AA$6:AA265,"Yes"),"")</f>
        <v/>
      </c>
      <c r="AQ265" s="253" t="str">
        <f>IF(AC265="Yes",COUNTIF($AC$6:AC265,"Yes"),"")</f>
        <v/>
      </c>
    </row>
    <row r="266" spans="1:43">
      <c r="A266" s="253"/>
      <c r="B266" s="253"/>
      <c r="C266" s="253"/>
      <c r="D266" s="253"/>
      <c r="E266" s="253"/>
      <c r="F266" s="253"/>
      <c r="G266" s="253"/>
      <c r="H266" s="253"/>
      <c r="I266" s="253"/>
      <c r="J266" s="253"/>
      <c r="K266" s="253"/>
      <c r="L266" s="253"/>
      <c r="M266" s="253"/>
      <c r="N266" s="253"/>
      <c r="O266" s="253"/>
      <c r="P266" s="903"/>
      <c r="Q266" s="903"/>
      <c r="R266" s="903"/>
      <c r="S266" s="904" t="str">
        <f ca="1">IF(P266="","",IF(R266&lt;&gt;"",R266-P266,TODAY()-P266))</f>
        <v/>
      </c>
      <c r="T266" s="904" t="str">
        <f ca="1">IF(Q266="","",Q266-TODAY())</f>
        <v/>
      </c>
      <c r="U266" s="253"/>
      <c r="V266" s="253"/>
      <c r="W266" s="253"/>
      <c r="X266" s="253"/>
      <c r="Y266" s="253"/>
      <c r="Z266" s="253"/>
      <c r="AA266" s="253"/>
      <c r="AB266" s="253"/>
      <c r="AC266" s="253"/>
      <c r="AD266" s="253"/>
      <c r="AE266" s="253"/>
      <c r="AF266" s="253"/>
      <c r="AG266" s="253"/>
      <c r="AH266" s="253"/>
      <c r="AI266" s="253"/>
      <c r="AJ266" s="253"/>
      <c r="AK266" s="253"/>
      <c r="AL266" s="253"/>
      <c r="AM266" s="253"/>
      <c r="AN266" s="903"/>
      <c r="AO266" s="253" t="str">
        <f>IF(Z266="Yes",COUNTIF($Z$6:Z266,"Yes"),"")</f>
        <v/>
      </c>
      <c r="AP266" s="253" t="str">
        <f>IF(AA266="Yes",COUNTIF($AA$6:AA266,"Yes"),"")</f>
        <v/>
      </c>
      <c r="AQ266" s="253" t="str">
        <f>IF(AC266="Yes",COUNTIF($AC$6:AC266,"Yes"),"")</f>
        <v/>
      </c>
    </row>
    <row r="267" spans="1:43">
      <c r="A267" s="253"/>
      <c r="B267" s="253"/>
      <c r="C267" s="253"/>
      <c r="D267" s="253"/>
      <c r="E267" s="253"/>
      <c r="F267" s="253"/>
      <c r="G267" s="253"/>
      <c r="H267" s="253"/>
      <c r="I267" s="253"/>
      <c r="J267" s="253"/>
      <c r="K267" s="253"/>
      <c r="L267" s="253"/>
      <c r="M267" s="253"/>
      <c r="N267" s="253"/>
      <c r="O267" s="253"/>
      <c r="P267" s="903"/>
      <c r="Q267" s="903"/>
      <c r="R267" s="903"/>
      <c r="S267" s="904" t="str">
        <f ca="1">IF(P267="","",IF(R267&lt;&gt;"",R267-P267,TODAY()-P267))</f>
        <v/>
      </c>
      <c r="T267" s="904" t="str">
        <f ca="1">IF(Q267="","",Q267-TODAY())</f>
        <v/>
      </c>
      <c r="U267" s="253"/>
      <c r="V267" s="253"/>
      <c r="W267" s="253"/>
      <c r="X267" s="253"/>
      <c r="Y267" s="253"/>
      <c r="Z267" s="253"/>
      <c r="AA267" s="253"/>
      <c r="AB267" s="253"/>
      <c r="AC267" s="253"/>
      <c r="AD267" s="253"/>
      <c r="AE267" s="253"/>
      <c r="AF267" s="253"/>
      <c r="AG267" s="253"/>
      <c r="AH267" s="253"/>
      <c r="AI267" s="253"/>
      <c r="AJ267" s="253"/>
      <c r="AK267" s="253"/>
      <c r="AL267" s="253"/>
      <c r="AM267" s="253"/>
      <c r="AN267" s="903"/>
      <c r="AO267" s="253" t="str">
        <f>IF(Z267="Yes",COUNTIF($Z$6:Z267,"Yes"),"")</f>
        <v/>
      </c>
      <c r="AP267" s="253" t="str">
        <f>IF(AA267="Yes",COUNTIF($AA$6:AA267,"Yes"),"")</f>
        <v/>
      </c>
      <c r="AQ267" s="253" t="str">
        <f>IF(AC267="Yes",COUNTIF($AC$6:AC267,"Yes"),"")</f>
        <v/>
      </c>
    </row>
    <row r="268" spans="1:43">
      <c r="A268" s="253"/>
      <c r="B268" s="253"/>
      <c r="C268" s="253"/>
      <c r="D268" s="253"/>
      <c r="E268" s="253"/>
      <c r="F268" s="253"/>
      <c r="G268" s="253"/>
      <c r="H268" s="253"/>
      <c r="I268" s="253"/>
      <c r="J268" s="253"/>
      <c r="K268" s="253"/>
      <c r="L268" s="253"/>
      <c r="M268" s="253"/>
      <c r="N268" s="253"/>
      <c r="O268" s="253"/>
      <c r="P268" s="903"/>
      <c r="Q268" s="903"/>
      <c r="R268" s="903"/>
      <c r="S268" s="904" t="str">
        <f ca="1">IF(P268="","",IF(R268&lt;&gt;"",R268-P268,TODAY()-P268))</f>
        <v/>
      </c>
      <c r="T268" s="904" t="str">
        <f ca="1">IF(Q268="","",Q268-TODAY())</f>
        <v/>
      </c>
      <c r="U268" s="253"/>
      <c r="V268" s="253"/>
      <c r="W268" s="253"/>
      <c r="X268" s="253"/>
      <c r="Y268" s="253"/>
      <c r="Z268" s="253"/>
      <c r="AA268" s="253"/>
      <c r="AB268" s="253"/>
      <c r="AC268" s="253"/>
      <c r="AD268" s="253"/>
      <c r="AE268" s="253"/>
      <c r="AF268" s="253"/>
      <c r="AG268" s="253"/>
      <c r="AH268" s="253"/>
      <c r="AI268" s="253"/>
      <c r="AJ268" s="253"/>
      <c r="AK268" s="253"/>
      <c r="AL268" s="253"/>
      <c r="AM268" s="253"/>
      <c r="AN268" s="903"/>
      <c r="AO268" s="253" t="str">
        <f>IF(Z268="Yes",COUNTIF($Z$6:Z268,"Yes"),"")</f>
        <v/>
      </c>
      <c r="AP268" s="253" t="str">
        <f>IF(AA268="Yes",COUNTIF($AA$6:AA268,"Yes"),"")</f>
        <v/>
      </c>
      <c r="AQ268" s="253" t="str">
        <f>IF(AC268="Yes",COUNTIF($AC$6:AC268,"Yes"),"")</f>
        <v/>
      </c>
    </row>
    <row r="269" spans="1:43">
      <c r="A269" s="253"/>
      <c r="B269" s="253"/>
      <c r="C269" s="253"/>
      <c r="D269" s="253"/>
      <c r="E269" s="253"/>
      <c r="F269" s="253"/>
      <c r="G269" s="253"/>
      <c r="H269" s="253"/>
      <c r="I269" s="253"/>
      <c r="J269" s="253"/>
      <c r="K269" s="253"/>
      <c r="L269" s="253"/>
      <c r="M269" s="253"/>
      <c r="N269" s="253"/>
      <c r="O269" s="253"/>
      <c r="P269" s="903"/>
      <c r="Q269" s="903"/>
      <c r="R269" s="903"/>
      <c r="S269" s="904" t="str">
        <f ca="1">IF(P269="","",IF(R269&lt;&gt;"",R269-P269,TODAY()-P269))</f>
        <v/>
      </c>
      <c r="T269" s="904" t="str">
        <f ca="1">IF(Q269="","",Q269-TODAY())</f>
        <v/>
      </c>
      <c r="U269" s="253"/>
      <c r="V269" s="253"/>
      <c r="W269" s="253"/>
      <c r="X269" s="253"/>
      <c r="Y269" s="253"/>
      <c r="Z269" s="253"/>
      <c r="AA269" s="253"/>
      <c r="AB269" s="253"/>
      <c r="AC269" s="253"/>
      <c r="AD269" s="253"/>
      <c r="AE269" s="253"/>
      <c r="AF269" s="253"/>
      <c r="AG269" s="253"/>
      <c r="AH269" s="253"/>
      <c r="AI269" s="253"/>
      <c r="AJ269" s="253"/>
      <c r="AK269" s="253"/>
      <c r="AL269" s="253"/>
      <c r="AM269" s="253"/>
      <c r="AN269" s="903"/>
      <c r="AO269" s="253" t="str">
        <f>IF(Z269="Yes",COUNTIF($Z$6:Z269,"Yes"),"")</f>
        <v/>
      </c>
      <c r="AP269" s="253" t="str">
        <f>IF(AA269="Yes",COUNTIF($AA$6:AA269,"Yes"),"")</f>
        <v/>
      </c>
      <c r="AQ269" s="253" t="str">
        <f>IF(AC269="Yes",COUNTIF($AC$6:AC269,"Yes"),"")</f>
        <v/>
      </c>
    </row>
    <row r="270" spans="1:43">
      <c r="A270" s="253"/>
      <c r="B270" s="253"/>
      <c r="C270" s="253"/>
      <c r="D270" s="253"/>
      <c r="E270" s="253"/>
      <c r="F270" s="253"/>
      <c r="G270" s="253"/>
      <c r="H270" s="253"/>
      <c r="I270" s="253"/>
      <c r="J270" s="253"/>
      <c r="K270" s="253"/>
      <c r="L270" s="253"/>
      <c r="M270" s="253"/>
      <c r="N270" s="253"/>
      <c r="O270" s="253"/>
      <c r="P270" s="903"/>
      <c r="Q270" s="903"/>
      <c r="R270" s="903"/>
      <c r="S270" s="904" t="str">
        <f ca="1">IF(P270="","",IF(R270&lt;&gt;"",R270-P270,TODAY()-P270))</f>
        <v/>
      </c>
      <c r="T270" s="904" t="str">
        <f ca="1">IF(Q270="","",Q270-TODAY())</f>
        <v/>
      </c>
      <c r="U270" s="253"/>
      <c r="V270" s="253"/>
      <c r="W270" s="253"/>
      <c r="X270" s="253"/>
      <c r="Y270" s="253"/>
      <c r="Z270" s="253"/>
      <c r="AA270" s="253"/>
      <c r="AB270" s="253"/>
      <c r="AC270" s="253"/>
      <c r="AD270" s="253"/>
      <c r="AE270" s="253"/>
      <c r="AF270" s="253"/>
      <c r="AG270" s="253"/>
      <c r="AH270" s="253"/>
      <c r="AI270" s="253"/>
      <c r="AJ270" s="253"/>
      <c r="AK270" s="253"/>
      <c r="AL270" s="253"/>
      <c r="AM270" s="253"/>
      <c r="AN270" s="903"/>
      <c r="AO270" s="253" t="str">
        <f>IF(Z270="Yes",COUNTIF($Z$6:Z270,"Yes"),"")</f>
        <v/>
      </c>
      <c r="AP270" s="253" t="str">
        <f>IF(AA270="Yes",COUNTIF($AA$6:AA270,"Yes"),"")</f>
        <v/>
      </c>
      <c r="AQ270" s="253" t="str">
        <f>IF(AC270="Yes",COUNTIF($AC$6:AC270,"Yes"),"")</f>
        <v/>
      </c>
    </row>
    <row r="271" spans="1:43">
      <c r="A271" s="253"/>
      <c r="B271" s="253"/>
      <c r="C271" s="253"/>
      <c r="D271" s="253"/>
      <c r="E271" s="253"/>
      <c r="F271" s="253"/>
      <c r="G271" s="253"/>
      <c r="H271" s="253"/>
      <c r="I271" s="253"/>
      <c r="J271" s="253"/>
      <c r="K271" s="253"/>
      <c r="L271" s="253"/>
      <c r="M271" s="253"/>
      <c r="N271" s="253"/>
      <c r="O271" s="253"/>
      <c r="P271" s="903"/>
      <c r="Q271" s="903"/>
      <c r="R271" s="903"/>
      <c r="S271" s="904" t="str">
        <f ca="1">IF(P271="","",IF(R271&lt;&gt;"",R271-P271,TODAY()-P271))</f>
        <v/>
      </c>
      <c r="T271" s="904" t="str">
        <f ca="1">IF(Q271="","",Q271-TODAY())</f>
        <v/>
      </c>
      <c r="U271" s="253"/>
      <c r="V271" s="253"/>
      <c r="W271" s="253"/>
      <c r="X271" s="253"/>
      <c r="Y271" s="253"/>
      <c r="Z271" s="253"/>
      <c r="AA271" s="253"/>
      <c r="AB271" s="253"/>
      <c r="AC271" s="253"/>
      <c r="AD271" s="253"/>
      <c r="AE271" s="253"/>
      <c r="AF271" s="253"/>
      <c r="AG271" s="253"/>
      <c r="AH271" s="253"/>
      <c r="AI271" s="253"/>
      <c r="AJ271" s="253"/>
      <c r="AK271" s="253"/>
      <c r="AL271" s="253"/>
      <c r="AM271" s="253"/>
      <c r="AN271" s="903"/>
      <c r="AO271" s="253" t="str">
        <f>IF(Z271="Yes",COUNTIF($Z$6:Z271,"Yes"),"")</f>
        <v/>
      </c>
      <c r="AP271" s="253" t="str">
        <f>IF(AA271="Yes",COUNTIF($AA$6:AA271,"Yes"),"")</f>
        <v/>
      </c>
      <c r="AQ271" s="253" t="str">
        <f>IF(AC271="Yes",COUNTIF($AC$6:AC271,"Yes"),"")</f>
        <v/>
      </c>
    </row>
    <row r="272" spans="1:43">
      <c r="A272" s="253"/>
      <c r="B272" s="253"/>
      <c r="C272" s="253"/>
      <c r="D272" s="253"/>
      <c r="E272" s="253"/>
      <c r="F272" s="253"/>
      <c r="G272" s="253"/>
      <c r="H272" s="253"/>
      <c r="I272" s="253"/>
      <c r="J272" s="253"/>
      <c r="K272" s="253"/>
      <c r="L272" s="253"/>
      <c r="M272" s="253"/>
      <c r="N272" s="253"/>
      <c r="O272" s="253"/>
      <c r="P272" s="903"/>
      <c r="Q272" s="903"/>
      <c r="R272" s="903"/>
      <c r="S272" s="904" t="str">
        <f ca="1">IF(P272="","",IF(R272&lt;&gt;"",R272-P272,TODAY()-P272))</f>
        <v/>
      </c>
      <c r="T272" s="904" t="str">
        <f ca="1">IF(Q272="","",Q272-TODAY())</f>
        <v/>
      </c>
      <c r="U272" s="253"/>
      <c r="V272" s="253"/>
      <c r="W272" s="253"/>
      <c r="X272" s="253"/>
      <c r="Y272" s="253"/>
      <c r="Z272" s="253"/>
      <c r="AA272" s="253"/>
      <c r="AB272" s="253"/>
      <c r="AC272" s="253"/>
      <c r="AD272" s="253"/>
      <c r="AE272" s="253"/>
      <c r="AF272" s="253"/>
      <c r="AG272" s="253"/>
      <c r="AH272" s="253"/>
      <c r="AI272" s="253"/>
      <c r="AJ272" s="253"/>
      <c r="AK272" s="253"/>
      <c r="AL272" s="253"/>
      <c r="AM272" s="253"/>
      <c r="AN272" s="903"/>
      <c r="AO272" s="253" t="str">
        <f>IF(Z272="Yes",COUNTIF($Z$6:Z272,"Yes"),"")</f>
        <v/>
      </c>
      <c r="AP272" s="253" t="str">
        <f>IF(AA272="Yes",COUNTIF($AA$6:AA272,"Yes"),"")</f>
        <v/>
      </c>
      <c r="AQ272" s="253" t="str">
        <f>IF(AC272="Yes",COUNTIF($AC$6:AC272,"Yes"),"")</f>
        <v/>
      </c>
    </row>
    <row r="273" spans="1:43">
      <c r="A273" s="253"/>
      <c r="B273" s="253"/>
      <c r="C273" s="253"/>
      <c r="D273" s="253"/>
      <c r="E273" s="253"/>
      <c r="F273" s="253"/>
      <c r="G273" s="253"/>
      <c r="H273" s="253"/>
      <c r="I273" s="253"/>
      <c r="J273" s="253"/>
      <c r="K273" s="253"/>
      <c r="L273" s="253"/>
      <c r="M273" s="253"/>
      <c r="N273" s="253"/>
      <c r="O273" s="253"/>
      <c r="P273" s="903"/>
      <c r="Q273" s="903"/>
      <c r="R273" s="903"/>
      <c r="S273" s="904" t="str">
        <f ca="1">IF(P273="","",IF(R273&lt;&gt;"",R273-P273,TODAY()-P273))</f>
        <v/>
      </c>
      <c r="T273" s="904" t="str">
        <f ca="1">IF(Q273="","",Q273-TODAY())</f>
        <v/>
      </c>
      <c r="U273" s="253"/>
      <c r="V273" s="253"/>
      <c r="W273" s="253"/>
      <c r="X273" s="253"/>
      <c r="Y273" s="253"/>
      <c r="Z273" s="253"/>
      <c r="AA273" s="253"/>
      <c r="AB273" s="253"/>
      <c r="AC273" s="253"/>
      <c r="AD273" s="253"/>
      <c r="AE273" s="253"/>
      <c r="AF273" s="253"/>
      <c r="AG273" s="253"/>
      <c r="AH273" s="253"/>
      <c r="AI273" s="253"/>
      <c r="AJ273" s="253"/>
      <c r="AK273" s="253"/>
      <c r="AL273" s="253"/>
      <c r="AM273" s="253"/>
      <c r="AN273" s="903"/>
      <c r="AO273" s="253" t="str">
        <f>IF(Z273="Yes",COUNTIF($Z$6:Z273,"Yes"),"")</f>
        <v/>
      </c>
      <c r="AP273" s="253" t="str">
        <f>IF(AA273="Yes",COUNTIF($AA$6:AA273,"Yes"),"")</f>
        <v/>
      </c>
      <c r="AQ273" s="253" t="str">
        <f>IF(AC273="Yes",COUNTIF($AC$6:AC273,"Yes"),"")</f>
        <v/>
      </c>
    </row>
    <row r="274" spans="1:43">
      <c r="A274" s="253"/>
      <c r="B274" s="253"/>
      <c r="C274" s="253"/>
      <c r="D274" s="253"/>
      <c r="E274" s="253"/>
      <c r="F274" s="253"/>
      <c r="G274" s="253"/>
      <c r="H274" s="253"/>
      <c r="I274" s="253"/>
      <c r="J274" s="253"/>
      <c r="K274" s="253"/>
      <c r="L274" s="253"/>
      <c r="M274" s="253"/>
      <c r="N274" s="253"/>
      <c r="O274" s="253"/>
      <c r="P274" s="903"/>
      <c r="Q274" s="903"/>
      <c r="R274" s="903"/>
      <c r="S274" s="904" t="str">
        <f ca="1">IF(P274="","",IF(R274&lt;&gt;"",R274-P274,TODAY()-P274))</f>
        <v/>
      </c>
      <c r="T274" s="904" t="str">
        <f ca="1">IF(Q274="","",Q274-TODAY())</f>
        <v/>
      </c>
      <c r="U274" s="253"/>
      <c r="V274" s="253"/>
      <c r="W274" s="253"/>
      <c r="X274" s="253"/>
      <c r="Y274" s="253"/>
      <c r="Z274" s="253"/>
      <c r="AA274" s="253"/>
      <c r="AB274" s="253"/>
      <c r="AC274" s="253"/>
      <c r="AD274" s="253"/>
      <c r="AE274" s="253"/>
      <c r="AF274" s="253"/>
      <c r="AG274" s="253"/>
      <c r="AH274" s="253"/>
      <c r="AI274" s="253"/>
      <c r="AJ274" s="253"/>
      <c r="AK274" s="253"/>
      <c r="AL274" s="253"/>
      <c r="AM274" s="253"/>
      <c r="AN274" s="903"/>
      <c r="AO274" s="253" t="str">
        <f>IF(Z274="Yes",COUNTIF($Z$6:Z274,"Yes"),"")</f>
        <v/>
      </c>
      <c r="AP274" s="253" t="str">
        <f>IF(AA274="Yes",COUNTIF($AA$6:AA274,"Yes"),"")</f>
        <v/>
      </c>
      <c r="AQ274" s="253" t="str">
        <f>IF(AC274="Yes",COUNTIF($AC$6:AC274,"Yes"),"")</f>
        <v/>
      </c>
    </row>
    <row r="275" spans="1:43">
      <c r="A275" s="253"/>
      <c r="B275" s="253"/>
      <c r="C275" s="253"/>
      <c r="D275" s="253"/>
      <c r="E275" s="253"/>
      <c r="F275" s="253"/>
      <c r="G275" s="253"/>
      <c r="H275" s="253"/>
      <c r="I275" s="253"/>
      <c r="J275" s="253"/>
      <c r="K275" s="253"/>
      <c r="L275" s="253"/>
      <c r="M275" s="253"/>
      <c r="N275" s="253"/>
      <c r="O275" s="253"/>
      <c r="P275" s="903"/>
      <c r="Q275" s="903"/>
      <c r="R275" s="903"/>
      <c r="S275" s="904" t="str">
        <f ca="1">IF(P275="","",IF(R275&lt;&gt;"",R275-P275,TODAY()-P275))</f>
        <v/>
      </c>
      <c r="T275" s="904" t="str">
        <f ca="1">IF(Q275="","",Q275-TODAY())</f>
        <v/>
      </c>
      <c r="U275" s="253"/>
      <c r="V275" s="253"/>
      <c r="W275" s="253"/>
      <c r="X275" s="253"/>
      <c r="Y275" s="253"/>
      <c r="Z275" s="253"/>
      <c r="AA275" s="253"/>
      <c r="AB275" s="253"/>
      <c r="AC275" s="253"/>
      <c r="AD275" s="253"/>
      <c r="AE275" s="253"/>
      <c r="AF275" s="253"/>
      <c r="AG275" s="253"/>
      <c r="AH275" s="253"/>
      <c r="AI275" s="253"/>
      <c r="AJ275" s="253"/>
      <c r="AK275" s="253"/>
      <c r="AL275" s="253"/>
      <c r="AM275" s="253"/>
      <c r="AN275" s="903"/>
      <c r="AO275" s="253" t="str">
        <f>IF(Z275="Yes",COUNTIF($Z$6:Z275,"Yes"),"")</f>
        <v/>
      </c>
      <c r="AP275" s="253" t="str">
        <f>IF(AA275="Yes",COUNTIF($AA$6:AA275,"Yes"),"")</f>
        <v/>
      </c>
      <c r="AQ275" s="253" t="str">
        <f>IF(AC275="Yes",COUNTIF($AC$6:AC275,"Yes"),"")</f>
        <v/>
      </c>
    </row>
    <row r="276" spans="1:43">
      <c r="A276" s="253"/>
      <c r="B276" s="253"/>
      <c r="C276" s="253"/>
      <c r="D276" s="253"/>
      <c r="E276" s="253"/>
      <c r="F276" s="253"/>
      <c r="G276" s="253"/>
      <c r="H276" s="253"/>
      <c r="I276" s="253"/>
      <c r="J276" s="253"/>
      <c r="K276" s="253"/>
      <c r="L276" s="253"/>
      <c r="M276" s="253"/>
      <c r="N276" s="253"/>
      <c r="O276" s="253"/>
      <c r="P276" s="903"/>
      <c r="Q276" s="903"/>
      <c r="R276" s="903"/>
      <c r="S276" s="904" t="str">
        <f ca="1">IF(P276="","",IF(R276&lt;&gt;"",R276-P276,TODAY()-P276))</f>
        <v/>
      </c>
      <c r="T276" s="904" t="str">
        <f ca="1">IF(Q276="","",Q276-TODAY())</f>
        <v/>
      </c>
      <c r="U276" s="253"/>
      <c r="V276" s="253"/>
      <c r="W276" s="253"/>
      <c r="X276" s="253"/>
      <c r="Y276" s="253"/>
      <c r="Z276" s="253"/>
      <c r="AA276" s="253"/>
      <c r="AB276" s="253"/>
      <c r="AC276" s="253"/>
      <c r="AD276" s="253"/>
      <c r="AE276" s="253"/>
      <c r="AF276" s="253"/>
      <c r="AG276" s="253"/>
      <c r="AH276" s="253"/>
      <c r="AI276" s="253"/>
      <c r="AJ276" s="253"/>
      <c r="AK276" s="253"/>
      <c r="AL276" s="253"/>
      <c r="AM276" s="253"/>
      <c r="AN276" s="903"/>
      <c r="AO276" s="253" t="str">
        <f>IF(Z276="Yes",COUNTIF($Z$6:Z276,"Yes"),"")</f>
        <v/>
      </c>
      <c r="AP276" s="253" t="str">
        <f>IF(AA276="Yes",COUNTIF($AA$6:AA276,"Yes"),"")</f>
        <v/>
      </c>
      <c r="AQ276" s="253" t="str">
        <f>IF(AC276="Yes",COUNTIF($AC$6:AC276,"Yes"),"")</f>
        <v/>
      </c>
    </row>
    <row r="277" spans="1:43">
      <c r="A277" s="253"/>
      <c r="B277" s="253"/>
      <c r="C277" s="253"/>
      <c r="D277" s="253"/>
      <c r="E277" s="253"/>
      <c r="F277" s="253"/>
      <c r="G277" s="253"/>
      <c r="H277" s="253"/>
      <c r="I277" s="253"/>
      <c r="J277" s="253"/>
      <c r="K277" s="253"/>
      <c r="L277" s="253"/>
      <c r="M277" s="253"/>
      <c r="N277" s="253"/>
      <c r="O277" s="253"/>
      <c r="P277" s="903"/>
      <c r="Q277" s="903"/>
      <c r="R277" s="903"/>
      <c r="S277" s="904" t="str">
        <f ca="1">IF(P277="","",IF(R277&lt;&gt;"",R277-P277,TODAY()-P277))</f>
        <v/>
      </c>
      <c r="T277" s="904" t="str">
        <f ca="1">IF(Q277="","",Q277-TODAY())</f>
        <v/>
      </c>
      <c r="U277" s="253"/>
      <c r="V277" s="253"/>
      <c r="W277" s="253"/>
      <c r="X277" s="253"/>
      <c r="Y277" s="253"/>
      <c r="Z277" s="253"/>
      <c r="AA277" s="253"/>
      <c r="AB277" s="253"/>
      <c r="AC277" s="253"/>
      <c r="AD277" s="253"/>
      <c r="AE277" s="253"/>
      <c r="AF277" s="253"/>
      <c r="AG277" s="253"/>
      <c r="AH277" s="253"/>
      <c r="AI277" s="253"/>
      <c r="AJ277" s="253"/>
      <c r="AK277" s="253"/>
      <c r="AL277" s="253"/>
      <c r="AM277" s="253"/>
      <c r="AN277" s="903"/>
      <c r="AO277" s="253" t="str">
        <f>IF(Z277="Yes",COUNTIF($Z$6:Z277,"Yes"),"")</f>
        <v/>
      </c>
      <c r="AP277" s="253" t="str">
        <f>IF(AA277="Yes",COUNTIF($AA$6:AA277,"Yes"),"")</f>
        <v/>
      </c>
      <c r="AQ277" s="253" t="str">
        <f>IF(AC277="Yes",COUNTIF($AC$6:AC277,"Yes"),"")</f>
        <v/>
      </c>
    </row>
    <row r="278" spans="1:43">
      <c r="A278" s="253"/>
      <c r="B278" s="253"/>
      <c r="C278" s="253"/>
      <c r="D278" s="253"/>
      <c r="E278" s="253"/>
      <c r="F278" s="253"/>
      <c r="G278" s="253"/>
      <c r="H278" s="253"/>
      <c r="I278" s="253"/>
      <c r="J278" s="253"/>
      <c r="K278" s="253"/>
      <c r="L278" s="253"/>
      <c r="M278" s="253"/>
      <c r="N278" s="253"/>
      <c r="O278" s="253"/>
      <c r="P278" s="903"/>
      <c r="Q278" s="903"/>
      <c r="R278" s="903"/>
      <c r="S278" s="904" t="str">
        <f ca="1">IF(P278="","",IF(R278&lt;&gt;"",R278-P278,TODAY()-P278))</f>
        <v/>
      </c>
      <c r="T278" s="904" t="str">
        <f ca="1">IF(Q278="","",Q278-TODAY())</f>
        <v/>
      </c>
      <c r="U278" s="253"/>
      <c r="V278" s="253"/>
      <c r="W278" s="253"/>
      <c r="X278" s="253"/>
      <c r="Y278" s="253"/>
      <c r="Z278" s="253"/>
      <c r="AA278" s="253"/>
      <c r="AB278" s="253"/>
      <c r="AC278" s="253"/>
      <c r="AD278" s="253"/>
      <c r="AE278" s="253"/>
      <c r="AF278" s="253"/>
      <c r="AG278" s="253"/>
      <c r="AH278" s="253"/>
      <c r="AI278" s="253"/>
      <c r="AJ278" s="253"/>
      <c r="AK278" s="253"/>
      <c r="AL278" s="253"/>
      <c r="AM278" s="253"/>
      <c r="AN278" s="903"/>
      <c r="AO278" s="253" t="str">
        <f>IF(Z278="Yes",COUNTIF($Z$6:Z278,"Yes"),"")</f>
        <v/>
      </c>
      <c r="AP278" s="253" t="str">
        <f>IF(AA278="Yes",COUNTIF($AA$6:AA278,"Yes"),"")</f>
        <v/>
      </c>
      <c r="AQ278" s="253" t="str">
        <f>IF(AC278="Yes",COUNTIF($AC$6:AC278,"Yes"),"")</f>
        <v/>
      </c>
    </row>
    <row r="279" spans="1:43">
      <c r="A279" s="253"/>
      <c r="B279" s="253"/>
      <c r="C279" s="253"/>
      <c r="D279" s="253"/>
      <c r="E279" s="253"/>
      <c r="F279" s="253"/>
      <c r="G279" s="253"/>
      <c r="H279" s="253"/>
      <c r="I279" s="253"/>
      <c r="J279" s="253"/>
      <c r="K279" s="253"/>
      <c r="L279" s="253"/>
      <c r="M279" s="253"/>
      <c r="N279" s="253"/>
      <c r="O279" s="253"/>
      <c r="P279" s="903"/>
      <c r="Q279" s="903"/>
      <c r="R279" s="903"/>
      <c r="S279" s="904" t="str">
        <f ca="1">IF(P279="","",IF(R279&lt;&gt;"",R279-P279,TODAY()-P279))</f>
        <v/>
      </c>
      <c r="T279" s="904" t="str">
        <f ca="1">IF(Q279="","",Q279-TODAY())</f>
        <v/>
      </c>
      <c r="U279" s="253"/>
      <c r="V279" s="253"/>
      <c r="W279" s="253"/>
      <c r="X279" s="253"/>
      <c r="Y279" s="253"/>
      <c r="Z279" s="253"/>
      <c r="AA279" s="253"/>
      <c r="AB279" s="253"/>
      <c r="AC279" s="253"/>
      <c r="AD279" s="253"/>
      <c r="AE279" s="253"/>
      <c r="AF279" s="253"/>
      <c r="AG279" s="253"/>
      <c r="AH279" s="253"/>
      <c r="AI279" s="253"/>
      <c r="AJ279" s="253"/>
      <c r="AK279" s="253"/>
      <c r="AL279" s="253"/>
      <c r="AM279" s="253"/>
      <c r="AN279" s="903"/>
      <c r="AO279" s="253" t="str">
        <f>IF(Z279="Yes",COUNTIF($Z$6:Z279,"Yes"),"")</f>
        <v/>
      </c>
      <c r="AP279" s="253" t="str">
        <f>IF(AA279="Yes",COUNTIF($AA$6:AA279,"Yes"),"")</f>
        <v/>
      </c>
      <c r="AQ279" s="253" t="str">
        <f>IF(AC279="Yes",COUNTIF($AC$6:AC279,"Yes"),"")</f>
        <v/>
      </c>
    </row>
    <row r="280" spans="1:43">
      <c r="A280" s="253"/>
      <c r="B280" s="253"/>
      <c r="C280" s="253"/>
      <c r="D280" s="253"/>
      <c r="E280" s="253"/>
      <c r="F280" s="253"/>
      <c r="G280" s="253"/>
      <c r="H280" s="253"/>
      <c r="I280" s="253"/>
      <c r="J280" s="253"/>
      <c r="K280" s="253"/>
      <c r="L280" s="253"/>
      <c r="M280" s="253"/>
      <c r="N280" s="253"/>
      <c r="O280" s="253"/>
      <c r="P280" s="903"/>
      <c r="Q280" s="903"/>
      <c r="R280" s="903"/>
      <c r="S280" s="904" t="str">
        <f ca="1">IF(P280="","",IF(R280&lt;&gt;"",R280-P280,TODAY()-P280))</f>
        <v/>
      </c>
      <c r="T280" s="904" t="str">
        <f ca="1">IF(Q280="","",Q280-TODAY())</f>
        <v/>
      </c>
      <c r="U280" s="253"/>
      <c r="V280" s="253"/>
      <c r="W280" s="253"/>
      <c r="X280" s="253"/>
      <c r="Y280" s="253"/>
      <c r="Z280" s="253"/>
      <c r="AA280" s="253"/>
      <c r="AB280" s="253"/>
      <c r="AC280" s="253"/>
      <c r="AD280" s="253"/>
      <c r="AE280" s="253"/>
      <c r="AF280" s="253"/>
      <c r="AG280" s="253"/>
      <c r="AH280" s="253"/>
      <c r="AI280" s="253"/>
      <c r="AJ280" s="253"/>
      <c r="AK280" s="253"/>
      <c r="AL280" s="253"/>
      <c r="AM280" s="253"/>
      <c r="AN280" s="903"/>
      <c r="AO280" s="253" t="str">
        <f>IF(Z280="Yes",COUNTIF($Z$6:Z280,"Yes"),"")</f>
        <v/>
      </c>
      <c r="AP280" s="253" t="str">
        <f>IF(AA280="Yes",COUNTIF($AA$6:AA280,"Yes"),"")</f>
        <v/>
      </c>
      <c r="AQ280" s="253" t="str">
        <f>IF(AC280="Yes",COUNTIF($AC$6:AC280,"Yes"),"")</f>
        <v/>
      </c>
    </row>
    <row r="281" spans="1:43">
      <c r="A281" s="253"/>
      <c r="B281" s="253"/>
      <c r="C281" s="253"/>
      <c r="D281" s="253"/>
      <c r="E281" s="253"/>
      <c r="F281" s="253"/>
      <c r="G281" s="253"/>
      <c r="H281" s="253"/>
      <c r="I281" s="253"/>
      <c r="J281" s="253"/>
      <c r="K281" s="253"/>
      <c r="L281" s="253"/>
      <c r="M281" s="253"/>
      <c r="N281" s="253"/>
      <c r="O281" s="253"/>
      <c r="P281" s="903"/>
      <c r="Q281" s="903"/>
      <c r="R281" s="903"/>
      <c r="S281" s="904" t="str">
        <f ca="1">IF(P281="","",IF(R281&lt;&gt;"",R281-P281,TODAY()-P281))</f>
        <v/>
      </c>
      <c r="T281" s="904" t="str">
        <f ca="1">IF(Q281="","",Q281-TODAY())</f>
        <v/>
      </c>
      <c r="U281" s="253"/>
      <c r="V281" s="253"/>
      <c r="W281" s="253"/>
      <c r="X281" s="253"/>
      <c r="Y281" s="253"/>
      <c r="Z281" s="253"/>
      <c r="AA281" s="253"/>
      <c r="AB281" s="253"/>
      <c r="AC281" s="253"/>
      <c r="AD281" s="253"/>
      <c r="AE281" s="253"/>
      <c r="AF281" s="253"/>
      <c r="AG281" s="253"/>
      <c r="AH281" s="253"/>
      <c r="AI281" s="253"/>
      <c r="AJ281" s="253"/>
      <c r="AK281" s="253"/>
      <c r="AL281" s="253"/>
      <c r="AM281" s="253"/>
      <c r="AN281" s="903"/>
      <c r="AO281" s="253" t="str">
        <f>IF(Z281="Yes",COUNTIF($Z$6:Z281,"Yes"),"")</f>
        <v/>
      </c>
      <c r="AP281" s="253" t="str">
        <f>IF(AA281="Yes",COUNTIF($AA$6:AA281,"Yes"),"")</f>
        <v/>
      </c>
      <c r="AQ281" s="253" t="str">
        <f>IF(AC281="Yes",COUNTIF($AC$6:AC281,"Yes"),"")</f>
        <v/>
      </c>
    </row>
    <row r="282" spans="1:43">
      <c r="A282" s="253"/>
      <c r="B282" s="253"/>
      <c r="C282" s="253"/>
      <c r="D282" s="253"/>
      <c r="E282" s="253"/>
      <c r="F282" s="253"/>
      <c r="G282" s="253"/>
      <c r="H282" s="253"/>
      <c r="I282" s="253"/>
      <c r="J282" s="253"/>
      <c r="K282" s="253"/>
      <c r="L282" s="253"/>
      <c r="M282" s="253"/>
      <c r="N282" s="253"/>
      <c r="O282" s="253"/>
      <c r="P282" s="903"/>
      <c r="Q282" s="903"/>
      <c r="R282" s="903"/>
      <c r="S282" s="904" t="str">
        <f ca="1">IF(P282="","",IF(R282&lt;&gt;"",R282-P282,TODAY()-P282))</f>
        <v/>
      </c>
      <c r="T282" s="904" t="str">
        <f ca="1">IF(Q282="","",Q282-TODAY())</f>
        <v/>
      </c>
      <c r="U282" s="253"/>
      <c r="V282" s="253"/>
      <c r="W282" s="253"/>
      <c r="X282" s="253"/>
      <c r="Y282" s="253"/>
      <c r="Z282" s="253"/>
      <c r="AA282" s="253"/>
      <c r="AB282" s="253"/>
      <c r="AC282" s="253"/>
      <c r="AD282" s="253"/>
      <c r="AE282" s="253"/>
      <c r="AF282" s="253"/>
      <c r="AG282" s="253"/>
      <c r="AH282" s="253"/>
      <c r="AI282" s="253"/>
      <c r="AJ282" s="253"/>
      <c r="AK282" s="253"/>
      <c r="AL282" s="253"/>
      <c r="AM282" s="253"/>
      <c r="AN282" s="903"/>
      <c r="AO282" s="253" t="str">
        <f>IF(Z282="Yes",COUNTIF($Z$6:Z282,"Yes"),"")</f>
        <v/>
      </c>
      <c r="AP282" s="253" t="str">
        <f>IF(AA282="Yes",COUNTIF($AA$6:AA282,"Yes"),"")</f>
        <v/>
      </c>
      <c r="AQ282" s="253" t="str">
        <f>IF(AC282="Yes",COUNTIF($AC$6:AC282,"Yes"),"")</f>
        <v/>
      </c>
    </row>
    <row r="283" spans="1:43">
      <c r="A283" s="253"/>
      <c r="B283" s="253"/>
      <c r="C283" s="253"/>
      <c r="D283" s="253"/>
      <c r="E283" s="253"/>
      <c r="F283" s="253"/>
      <c r="G283" s="253"/>
      <c r="H283" s="253"/>
      <c r="I283" s="253"/>
      <c r="J283" s="253"/>
      <c r="K283" s="253"/>
      <c r="L283" s="253"/>
      <c r="M283" s="253"/>
      <c r="N283" s="253"/>
      <c r="O283" s="253"/>
      <c r="P283" s="903"/>
      <c r="Q283" s="903"/>
      <c r="R283" s="903"/>
      <c r="S283" s="904" t="str">
        <f ca="1">IF(P283="","",IF(R283&lt;&gt;"",R283-P283,TODAY()-P283))</f>
        <v/>
      </c>
      <c r="T283" s="904" t="str">
        <f ca="1">IF(Q283="","",Q283-TODAY())</f>
        <v/>
      </c>
      <c r="U283" s="253"/>
      <c r="V283" s="253"/>
      <c r="W283" s="253"/>
      <c r="X283" s="253"/>
      <c r="Y283" s="253"/>
      <c r="Z283" s="253"/>
      <c r="AA283" s="253"/>
      <c r="AB283" s="253"/>
      <c r="AC283" s="253"/>
      <c r="AD283" s="253"/>
      <c r="AE283" s="253"/>
      <c r="AF283" s="253"/>
      <c r="AG283" s="253"/>
      <c r="AH283" s="253"/>
      <c r="AI283" s="253"/>
      <c r="AJ283" s="253"/>
      <c r="AK283" s="253"/>
      <c r="AL283" s="253"/>
      <c r="AM283" s="253"/>
      <c r="AN283" s="903"/>
      <c r="AO283" s="253" t="str">
        <f>IF(Z283="Yes",COUNTIF($Z$6:Z283,"Yes"),"")</f>
        <v/>
      </c>
      <c r="AP283" s="253" t="str">
        <f>IF(AA283="Yes",COUNTIF($AA$6:AA283,"Yes"),"")</f>
        <v/>
      </c>
      <c r="AQ283" s="253" t="str">
        <f>IF(AC283="Yes",COUNTIF($AC$6:AC283,"Yes"),"")</f>
        <v/>
      </c>
    </row>
    <row r="284" spans="1:43">
      <c r="A284" s="253"/>
      <c r="B284" s="253"/>
      <c r="C284" s="253"/>
      <c r="D284" s="253"/>
      <c r="E284" s="253"/>
      <c r="F284" s="253"/>
      <c r="G284" s="253"/>
      <c r="H284" s="253"/>
      <c r="I284" s="253"/>
      <c r="J284" s="253"/>
      <c r="K284" s="253"/>
      <c r="L284" s="253"/>
      <c r="M284" s="253"/>
      <c r="N284" s="253"/>
      <c r="O284" s="253"/>
      <c r="P284" s="903"/>
      <c r="Q284" s="903"/>
      <c r="R284" s="903"/>
      <c r="S284" s="904" t="str">
        <f ca="1">IF(P284="","",IF(R284&lt;&gt;"",R284-P284,TODAY()-P284))</f>
        <v/>
      </c>
      <c r="T284" s="904" t="str">
        <f ca="1">IF(Q284="","",Q284-TODAY())</f>
        <v/>
      </c>
      <c r="U284" s="253"/>
      <c r="V284" s="253"/>
      <c r="W284" s="253"/>
      <c r="X284" s="253"/>
      <c r="Y284" s="253"/>
      <c r="Z284" s="253"/>
      <c r="AA284" s="253"/>
      <c r="AB284" s="253"/>
      <c r="AC284" s="253"/>
      <c r="AD284" s="253"/>
      <c r="AE284" s="253"/>
      <c r="AF284" s="253"/>
      <c r="AG284" s="253"/>
      <c r="AH284" s="253"/>
      <c r="AI284" s="253"/>
      <c r="AJ284" s="253"/>
      <c r="AK284" s="253"/>
      <c r="AL284" s="253"/>
      <c r="AM284" s="253"/>
      <c r="AN284" s="903"/>
      <c r="AO284" s="253" t="str">
        <f>IF(Z284="Yes",COUNTIF($Z$6:Z284,"Yes"),"")</f>
        <v/>
      </c>
      <c r="AP284" s="253" t="str">
        <f>IF(AA284="Yes",COUNTIF($AA$6:AA284,"Yes"),"")</f>
        <v/>
      </c>
      <c r="AQ284" s="253" t="str">
        <f>IF(AC284="Yes",COUNTIF($AC$6:AC284,"Yes"),"")</f>
        <v/>
      </c>
    </row>
    <row r="285" spans="1:43">
      <c r="A285" s="253"/>
      <c r="B285" s="253"/>
      <c r="C285" s="253"/>
      <c r="D285" s="253"/>
      <c r="E285" s="253"/>
      <c r="F285" s="253"/>
      <c r="G285" s="253"/>
      <c r="H285" s="253"/>
      <c r="I285" s="253"/>
      <c r="J285" s="253"/>
      <c r="K285" s="253"/>
      <c r="L285" s="253"/>
      <c r="M285" s="253"/>
      <c r="N285" s="253"/>
      <c r="O285" s="253"/>
      <c r="P285" s="903"/>
      <c r="Q285" s="903"/>
      <c r="R285" s="903"/>
      <c r="S285" s="904" t="str">
        <f ca="1">IF(P285="","",IF(R285&lt;&gt;"",R285-P285,TODAY()-P285))</f>
        <v/>
      </c>
      <c r="T285" s="904" t="str">
        <f ca="1">IF(Q285="","",Q285-TODAY())</f>
        <v/>
      </c>
      <c r="U285" s="253"/>
      <c r="V285" s="253"/>
      <c r="W285" s="253"/>
      <c r="X285" s="253"/>
      <c r="Y285" s="253"/>
      <c r="Z285" s="253"/>
      <c r="AA285" s="253"/>
      <c r="AB285" s="253"/>
      <c r="AC285" s="253"/>
      <c r="AD285" s="253"/>
      <c r="AE285" s="253"/>
      <c r="AF285" s="253"/>
      <c r="AG285" s="253"/>
      <c r="AH285" s="253"/>
      <c r="AI285" s="253"/>
      <c r="AJ285" s="253"/>
      <c r="AK285" s="253"/>
      <c r="AL285" s="253"/>
      <c r="AM285" s="253"/>
      <c r="AN285" s="903"/>
      <c r="AO285" s="253" t="str">
        <f>IF(Z285="Yes",COUNTIF($Z$6:Z285,"Yes"),"")</f>
        <v/>
      </c>
      <c r="AP285" s="253" t="str">
        <f>IF(AA285="Yes",COUNTIF($AA$6:AA285,"Yes"),"")</f>
        <v/>
      </c>
      <c r="AQ285" s="253" t="str">
        <f>IF(AC285="Yes",COUNTIF($AC$6:AC285,"Yes"),"")</f>
        <v/>
      </c>
    </row>
    <row r="286" spans="1:43">
      <c r="A286" s="253"/>
      <c r="B286" s="253"/>
      <c r="C286" s="253"/>
      <c r="D286" s="253"/>
      <c r="E286" s="253"/>
      <c r="F286" s="253"/>
      <c r="G286" s="253"/>
      <c r="H286" s="253"/>
      <c r="I286" s="253"/>
      <c r="J286" s="253"/>
      <c r="K286" s="253"/>
      <c r="L286" s="253"/>
      <c r="M286" s="253"/>
      <c r="N286" s="253"/>
      <c r="O286" s="253"/>
      <c r="P286" s="903"/>
      <c r="Q286" s="903"/>
      <c r="R286" s="903"/>
      <c r="S286" s="904" t="str">
        <f ca="1">IF(P286="","",IF(R286&lt;&gt;"",R286-P286,TODAY()-P286))</f>
        <v/>
      </c>
      <c r="T286" s="904" t="str">
        <f ca="1">IF(Q286="","",Q286-TODAY())</f>
        <v/>
      </c>
      <c r="U286" s="253"/>
      <c r="V286" s="253"/>
      <c r="W286" s="253"/>
      <c r="X286" s="253"/>
      <c r="Y286" s="253"/>
      <c r="Z286" s="253"/>
      <c r="AA286" s="253"/>
      <c r="AB286" s="253"/>
      <c r="AC286" s="253"/>
      <c r="AD286" s="253"/>
      <c r="AE286" s="253"/>
      <c r="AF286" s="253"/>
      <c r="AG286" s="253"/>
      <c r="AH286" s="253"/>
      <c r="AI286" s="253"/>
      <c r="AJ286" s="253"/>
      <c r="AK286" s="253"/>
      <c r="AL286" s="253"/>
      <c r="AM286" s="253"/>
      <c r="AN286" s="903"/>
      <c r="AO286" s="253" t="str">
        <f>IF(Z286="Yes",COUNTIF($Z$6:Z286,"Yes"),"")</f>
        <v/>
      </c>
      <c r="AP286" s="253" t="str">
        <f>IF(AA286="Yes",COUNTIF($AA$6:AA286,"Yes"),"")</f>
        <v/>
      </c>
      <c r="AQ286" s="253" t="str">
        <f>IF(AC286="Yes",COUNTIF($AC$6:AC286,"Yes"),"")</f>
        <v/>
      </c>
    </row>
    <row r="287" spans="1:43">
      <c r="A287" s="253"/>
      <c r="B287" s="253"/>
      <c r="C287" s="253"/>
      <c r="D287" s="253"/>
      <c r="E287" s="253"/>
      <c r="F287" s="253"/>
      <c r="G287" s="253"/>
      <c r="H287" s="253"/>
      <c r="I287" s="253"/>
      <c r="J287" s="253"/>
      <c r="K287" s="253"/>
      <c r="L287" s="253"/>
      <c r="M287" s="253"/>
      <c r="N287" s="253"/>
      <c r="O287" s="253"/>
      <c r="P287" s="903"/>
      <c r="Q287" s="903"/>
      <c r="R287" s="903"/>
      <c r="S287" s="904" t="str">
        <f ca="1">IF(P287="","",IF(R287&lt;&gt;"",R287-P287,TODAY()-P287))</f>
        <v/>
      </c>
      <c r="T287" s="904" t="str">
        <f ca="1">IF(Q287="","",Q287-TODAY())</f>
        <v/>
      </c>
      <c r="U287" s="253"/>
      <c r="V287" s="253"/>
      <c r="W287" s="253"/>
      <c r="X287" s="253"/>
      <c r="Y287" s="253"/>
      <c r="Z287" s="253"/>
      <c r="AA287" s="253"/>
      <c r="AB287" s="253"/>
      <c r="AC287" s="253"/>
      <c r="AD287" s="253"/>
      <c r="AE287" s="253"/>
      <c r="AF287" s="253"/>
      <c r="AG287" s="253"/>
      <c r="AH287" s="253"/>
      <c r="AI287" s="253"/>
      <c r="AJ287" s="253"/>
      <c r="AK287" s="253"/>
      <c r="AL287" s="253"/>
      <c r="AM287" s="253"/>
      <c r="AN287" s="903"/>
      <c r="AO287" s="253" t="str">
        <f>IF(Z287="Yes",COUNTIF($Z$6:Z287,"Yes"),"")</f>
        <v/>
      </c>
      <c r="AP287" s="253" t="str">
        <f>IF(AA287="Yes",COUNTIF($AA$6:AA287,"Yes"),"")</f>
        <v/>
      </c>
      <c r="AQ287" s="253" t="str">
        <f>IF(AC287="Yes",COUNTIF($AC$6:AC287,"Yes"),"")</f>
        <v/>
      </c>
    </row>
    <row r="288" spans="1:43">
      <c r="A288" s="253"/>
      <c r="B288" s="253"/>
      <c r="C288" s="253"/>
      <c r="D288" s="253"/>
      <c r="E288" s="253"/>
      <c r="F288" s="253"/>
      <c r="G288" s="253"/>
      <c r="H288" s="253"/>
      <c r="I288" s="253"/>
      <c r="J288" s="253"/>
      <c r="K288" s="253"/>
      <c r="L288" s="253"/>
      <c r="M288" s="253"/>
      <c r="N288" s="253"/>
      <c r="O288" s="253"/>
      <c r="P288" s="903"/>
      <c r="Q288" s="903"/>
      <c r="R288" s="903"/>
      <c r="S288" s="904" t="str">
        <f ca="1">IF(P288="","",IF(R288&lt;&gt;"",R288-P288,TODAY()-P288))</f>
        <v/>
      </c>
      <c r="T288" s="904" t="str">
        <f ca="1">IF(Q288="","",Q288-TODAY())</f>
        <v/>
      </c>
      <c r="U288" s="253"/>
      <c r="V288" s="253"/>
      <c r="W288" s="253"/>
      <c r="X288" s="253"/>
      <c r="Y288" s="253"/>
      <c r="Z288" s="253"/>
      <c r="AA288" s="253"/>
      <c r="AB288" s="253"/>
      <c r="AC288" s="253"/>
      <c r="AD288" s="253"/>
      <c r="AE288" s="253"/>
      <c r="AF288" s="253"/>
      <c r="AG288" s="253"/>
      <c r="AH288" s="253"/>
      <c r="AI288" s="253"/>
      <c r="AJ288" s="253"/>
      <c r="AK288" s="253"/>
      <c r="AL288" s="253"/>
      <c r="AM288" s="253"/>
      <c r="AN288" s="903"/>
      <c r="AO288" s="253" t="str">
        <f>IF(Z288="Yes",COUNTIF($Z$6:Z288,"Yes"),"")</f>
        <v/>
      </c>
      <c r="AP288" s="253" t="str">
        <f>IF(AA288="Yes",COUNTIF($AA$6:AA288,"Yes"),"")</f>
        <v/>
      </c>
      <c r="AQ288" s="253" t="str">
        <f>IF(AC288="Yes",COUNTIF($AC$6:AC288,"Yes"),"")</f>
        <v/>
      </c>
    </row>
    <row r="289" spans="1:43">
      <c r="A289" s="253"/>
      <c r="B289" s="253"/>
      <c r="C289" s="253"/>
      <c r="D289" s="253"/>
      <c r="E289" s="253"/>
      <c r="F289" s="253"/>
      <c r="G289" s="253"/>
      <c r="H289" s="253"/>
      <c r="I289" s="253"/>
      <c r="J289" s="253"/>
      <c r="K289" s="253"/>
      <c r="L289" s="253"/>
      <c r="M289" s="253"/>
      <c r="N289" s="253"/>
      <c r="O289" s="253"/>
      <c r="P289" s="903"/>
      <c r="Q289" s="903"/>
      <c r="R289" s="903"/>
      <c r="S289" s="904" t="str">
        <f ca="1">IF(P289="","",IF(R289&lt;&gt;"",R289-P289,TODAY()-P289))</f>
        <v/>
      </c>
      <c r="T289" s="904" t="str">
        <f ca="1">IF(Q289="","",Q289-TODAY())</f>
        <v/>
      </c>
      <c r="U289" s="253"/>
      <c r="V289" s="253"/>
      <c r="W289" s="253"/>
      <c r="X289" s="253"/>
      <c r="Y289" s="253"/>
      <c r="Z289" s="253"/>
      <c r="AA289" s="253"/>
      <c r="AB289" s="253"/>
      <c r="AC289" s="253"/>
      <c r="AD289" s="253"/>
      <c r="AE289" s="253"/>
      <c r="AF289" s="253"/>
      <c r="AG289" s="253"/>
      <c r="AH289" s="253"/>
      <c r="AI289" s="253"/>
      <c r="AJ289" s="253"/>
      <c r="AK289" s="253"/>
      <c r="AL289" s="253"/>
      <c r="AM289" s="253"/>
      <c r="AN289" s="903"/>
      <c r="AO289" s="253" t="str">
        <f>IF(Z289="Yes",COUNTIF($Z$6:Z289,"Yes"),"")</f>
        <v/>
      </c>
      <c r="AP289" s="253" t="str">
        <f>IF(AA289="Yes",COUNTIF($AA$6:AA289,"Yes"),"")</f>
        <v/>
      </c>
      <c r="AQ289" s="253" t="str">
        <f>IF(AC289="Yes",COUNTIF($AC$6:AC289,"Yes"),"")</f>
        <v/>
      </c>
    </row>
    <row r="290" spans="1:43">
      <c r="A290" s="253"/>
      <c r="B290" s="253"/>
      <c r="C290" s="253"/>
      <c r="D290" s="253"/>
      <c r="E290" s="253"/>
      <c r="F290" s="253"/>
      <c r="G290" s="253"/>
      <c r="H290" s="253"/>
      <c r="I290" s="253"/>
      <c r="J290" s="253"/>
      <c r="K290" s="253"/>
      <c r="L290" s="253"/>
      <c r="M290" s="253"/>
      <c r="N290" s="253"/>
      <c r="O290" s="253"/>
      <c r="P290" s="903"/>
      <c r="Q290" s="903"/>
      <c r="R290" s="903"/>
      <c r="S290" s="904" t="str">
        <f ca="1">IF(P290="","",IF(R290&lt;&gt;"",R290-P290,TODAY()-P290))</f>
        <v/>
      </c>
      <c r="T290" s="904" t="str">
        <f ca="1">IF(Q290="","",Q290-TODAY())</f>
        <v/>
      </c>
      <c r="U290" s="253"/>
      <c r="V290" s="253"/>
      <c r="W290" s="253"/>
      <c r="X290" s="253"/>
      <c r="Y290" s="253"/>
      <c r="Z290" s="253"/>
      <c r="AA290" s="253"/>
      <c r="AB290" s="253"/>
      <c r="AC290" s="253"/>
      <c r="AD290" s="253"/>
      <c r="AE290" s="253"/>
      <c r="AF290" s="253"/>
      <c r="AG290" s="253"/>
      <c r="AH290" s="253"/>
      <c r="AI290" s="253"/>
      <c r="AJ290" s="253"/>
      <c r="AK290" s="253"/>
      <c r="AL290" s="253"/>
      <c r="AM290" s="253"/>
      <c r="AN290" s="903"/>
      <c r="AO290" s="253" t="str">
        <f>IF(Z290="Yes",COUNTIF($Z$6:Z290,"Yes"),"")</f>
        <v/>
      </c>
      <c r="AP290" s="253" t="str">
        <f>IF(AA290="Yes",COUNTIF($AA$6:AA290,"Yes"),"")</f>
        <v/>
      </c>
      <c r="AQ290" s="253" t="str">
        <f>IF(AC290="Yes",COUNTIF($AC$6:AC290,"Yes"),"")</f>
        <v/>
      </c>
    </row>
    <row r="291" spans="1:43">
      <c r="A291" s="253"/>
      <c r="B291" s="253"/>
      <c r="C291" s="253"/>
      <c r="D291" s="253"/>
      <c r="E291" s="253"/>
      <c r="F291" s="253"/>
      <c r="G291" s="253"/>
      <c r="H291" s="253"/>
      <c r="I291" s="253"/>
      <c r="J291" s="253"/>
      <c r="K291" s="253"/>
      <c r="L291" s="253"/>
      <c r="M291" s="253"/>
      <c r="N291" s="253"/>
      <c r="O291" s="253"/>
      <c r="P291" s="903"/>
      <c r="Q291" s="903"/>
      <c r="R291" s="903"/>
      <c r="S291" s="904" t="str">
        <f ca="1">IF(P291="","",IF(R291&lt;&gt;"",R291-P291,TODAY()-P291))</f>
        <v/>
      </c>
      <c r="T291" s="904" t="str">
        <f ca="1">IF(Q291="","",Q291-TODAY())</f>
        <v/>
      </c>
      <c r="U291" s="253"/>
      <c r="V291" s="253"/>
      <c r="W291" s="253"/>
      <c r="X291" s="253"/>
      <c r="Y291" s="253"/>
      <c r="Z291" s="253"/>
      <c r="AA291" s="253"/>
      <c r="AB291" s="253"/>
      <c r="AC291" s="253"/>
      <c r="AD291" s="253"/>
      <c r="AE291" s="253"/>
      <c r="AF291" s="253"/>
      <c r="AG291" s="253"/>
      <c r="AH291" s="253"/>
      <c r="AI291" s="253"/>
      <c r="AJ291" s="253"/>
      <c r="AK291" s="253"/>
      <c r="AL291" s="253"/>
      <c r="AM291" s="253"/>
      <c r="AN291" s="903"/>
      <c r="AO291" s="253" t="str">
        <f>IF(Z291="Yes",COUNTIF($Z$6:Z291,"Yes"),"")</f>
        <v/>
      </c>
      <c r="AP291" s="253" t="str">
        <f>IF(AA291="Yes",COUNTIF($AA$6:AA291,"Yes"),"")</f>
        <v/>
      </c>
      <c r="AQ291" s="253" t="str">
        <f>IF(AC291="Yes",COUNTIF($AC$6:AC291,"Yes"),"")</f>
        <v/>
      </c>
    </row>
    <row r="292" spans="1:43">
      <c r="A292" s="253"/>
      <c r="B292" s="253"/>
      <c r="C292" s="253"/>
      <c r="D292" s="253"/>
      <c r="E292" s="253"/>
      <c r="F292" s="253"/>
      <c r="G292" s="253"/>
      <c r="H292" s="253"/>
      <c r="I292" s="253"/>
      <c r="J292" s="253"/>
      <c r="K292" s="253"/>
      <c r="L292" s="253"/>
      <c r="M292" s="253"/>
      <c r="N292" s="253"/>
      <c r="O292" s="253"/>
      <c r="P292" s="903"/>
      <c r="Q292" s="903"/>
      <c r="R292" s="903"/>
      <c r="S292" s="904" t="str">
        <f ca="1">IF(P292="","",IF(R292&lt;&gt;"",R292-P292,TODAY()-P292))</f>
        <v/>
      </c>
      <c r="T292" s="904" t="str">
        <f ca="1">IF(Q292="","",Q292-TODAY())</f>
        <v/>
      </c>
      <c r="U292" s="253"/>
      <c r="V292" s="253"/>
      <c r="W292" s="253"/>
      <c r="X292" s="253"/>
      <c r="Y292" s="253"/>
      <c r="Z292" s="253"/>
      <c r="AA292" s="253"/>
      <c r="AB292" s="253"/>
      <c r="AC292" s="253"/>
      <c r="AD292" s="253"/>
      <c r="AE292" s="253"/>
      <c r="AF292" s="253"/>
      <c r="AG292" s="253"/>
      <c r="AH292" s="253"/>
      <c r="AI292" s="253"/>
      <c r="AJ292" s="253"/>
      <c r="AK292" s="253"/>
      <c r="AL292" s="253"/>
      <c r="AM292" s="253"/>
      <c r="AN292" s="903"/>
      <c r="AO292" s="253" t="str">
        <f>IF(Z292="Yes",COUNTIF($Z$6:Z292,"Yes"),"")</f>
        <v/>
      </c>
      <c r="AP292" s="253" t="str">
        <f>IF(AA292="Yes",COUNTIF($AA$6:AA292,"Yes"),"")</f>
        <v/>
      </c>
      <c r="AQ292" s="253" t="str">
        <f>IF(AC292="Yes",COUNTIF($AC$6:AC292,"Yes"),"")</f>
        <v/>
      </c>
    </row>
    <row r="293" spans="1:43">
      <c r="A293" s="253"/>
      <c r="B293" s="253"/>
      <c r="C293" s="253"/>
      <c r="D293" s="253"/>
      <c r="E293" s="253"/>
      <c r="F293" s="253"/>
      <c r="G293" s="253"/>
      <c r="H293" s="253"/>
      <c r="I293" s="253"/>
      <c r="J293" s="253"/>
      <c r="K293" s="253"/>
      <c r="L293" s="253"/>
      <c r="M293" s="253"/>
      <c r="N293" s="253"/>
      <c r="O293" s="253"/>
      <c r="P293" s="903"/>
      <c r="Q293" s="903"/>
      <c r="R293" s="903"/>
      <c r="S293" s="904" t="str">
        <f ca="1">IF(P293="","",IF(R293&lt;&gt;"",R293-P293,TODAY()-P293))</f>
        <v/>
      </c>
      <c r="T293" s="904" t="str">
        <f ca="1">IF(Q293="","",Q293-TODAY())</f>
        <v/>
      </c>
      <c r="U293" s="253"/>
      <c r="V293" s="253"/>
      <c r="W293" s="253"/>
      <c r="X293" s="253"/>
      <c r="Y293" s="253"/>
      <c r="Z293" s="253"/>
      <c r="AA293" s="253"/>
      <c r="AB293" s="253"/>
      <c r="AC293" s="253"/>
      <c r="AD293" s="253"/>
      <c r="AE293" s="253"/>
      <c r="AF293" s="253"/>
      <c r="AG293" s="253"/>
      <c r="AH293" s="253"/>
      <c r="AI293" s="253"/>
      <c r="AJ293" s="253"/>
      <c r="AK293" s="253"/>
      <c r="AL293" s="253"/>
      <c r="AM293" s="253"/>
      <c r="AN293" s="903"/>
      <c r="AO293" s="253" t="str">
        <f>IF(Z293="Yes",COUNTIF($Z$6:Z293,"Yes"),"")</f>
        <v/>
      </c>
      <c r="AP293" s="253" t="str">
        <f>IF(AA293="Yes",COUNTIF($AA$6:AA293,"Yes"),"")</f>
        <v/>
      </c>
      <c r="AQ293" s="253" t="str">
        <f>IF(AC293="Yes",COUNTIF($AC$6:AC293,"Yes"),"")</f>
        <v/>
      </c>
    </row>
    <row r="294" spans="1:43">
      <c r="A294" s="253"/>
      <c r="B294" s="253"/>
      <c r="C294" s="253"/>
      <c r="D294" s="253"/>
      <c r="E294" s="253"/>
      <c r="F294" s="253"/>
      <c r="G294" s="253"/>
      <c r="H294" s="253"/>
      <c r="I294" s="253"/>
      <c r="J294" s="253"/>
      <c r="K294" s="253"/>
      <c r="L294" s="253"/>
      <c r="M294" s="253"/>
      <c r="N294" s="253"/>
      <c r="O294" s="253"/>
      <c r="P294" s="903"/>
      <c r="Q294" s="903"/>
      <c r="R294" s="903"/>
      <c r="S294" s="904" t="str">
        <f ca="1">IF(P294="","",IF(R294&lt;&gt;"",R294-P294,TODAY()-P294))</f>
        <v/>
      </c>
      <c r="T294" s="904" t="str">
        <f ca="1">IF(Q294="","",Q294-TODAY())</f>
        <v/>
      </c>
      <c r="U294" s="253"/>
      <c r="V294" s="253"/>
      <c r="W294" s="253"/>
      <c r="X294" s="253"/>
      <c r="Y294" s="253"/>
      <c r="Z294" s="253"/>
      <c r="AA294" s="253"/>
      <c r="AB294" s="253"/>
      <c r="AC294" s="253"/>
      <c r="AD294" s="253"/>
      <c r="AE294" s="253"/>
      <c r="AF294" s="253"/>
      <c r="AG294" s="253"/>
      <c r="AH294" s="253"/>
      <c r="AI294" s="253"/>
      <c r="AJ294" s="253"/>
      <c r="AK294" s="253"/>
      <c r="AL294" s="253"/>
      <c r="AM294" s="253"/>
      <c r="AN294" s="903"/>
      <c r="AO294" s="253" t="str">
        <f>IF(Z294="Yes",COUNTIF($Z$6:Z294,"Yes"),"")</f>
        <v/>
      </c>
      <c r="AP294" s="253" t="str">
        <f>IF(AA294="Yes",COUNTIF($AA$6:AA294,"Yes"),"")</f>
        <v/>
      </c>
      <c r="AQ294" s="253" t="str">
        <f>IF(AC294="Yes",COUNTIF($AC$6:AC294,"Yes"),"")</f>
        <v/>
      </c>
    </row>
    <row r="295" spans="1:43">
      <c r="A295" s="253"/>
      <c r="B295" s="253"/>
      <c r="C295" s="253"/>
      <c r="D295" s="253"/>
      <c r="E295" s="253"/>
      <c r="F295" s="253"/>
      <c r="G295" s="253"/>
      <c r="H295" s="253"/>
      <c r="I295" s="253"/>
      <c r="J295" s="253"/>
      <c r="K295" s="253"/>
      <c r="L295" s="253"/>
      <c r="M295" s="253"/>
      <c r="N295" s="253"/>
      <c r="O295" s="253"/>
      <c r="P295" s="903"/>
      <c r="Q295" s="903"/>
      <c r="R295" s="903"/>
      <c r="S295" s="904" t="str">
        <f ca="1">IF(P295="","",IF(R295&lt;&gt;"",R295-P295,TODAY()-P295))</f>
        <v/>
      </c>
      <c r="T295" s="904" t="str">
        <f ca="1">IF(Q295="","",Q295-TODAY())</f>
        <v/>
      </c>
      <c r="U295" s="253"/>
      <c r="V295" s="253"/>
      <c r="W295" s="253"/>
      <c r="X295" s="253"/>
      <c r="Y295" s="253"/>
      <c r="Z295" s="253"/>
      <c r="AA295" s="253"/>
      <c r="AB295" s="253"/>
      <c r="AC295" s="253"/>
      <c r="AD295" s="253"/>
      <c r="AE295" s="253"/>
      <c r="AF295" s="253"/>
      <c r="AG295" s="253"/>
      <c r="AH295" s="253"/>
      <c r="AI295" s="253"/>
      <c r="AJ295" s="253"/>
      <c r="AK295" s="253"/>
      <c r="AL295" s="253"/>
      <c r="AM295" s="253"/>
      <c r="AN295" s="903"/>
      <c r="AO295" s="253" t="str">
        <f>IF(Z295="Yes",COUNTIF($Z$6:Z295,"Yes"),"")</f>
        <v/>
      </c>
      <c r="AP295" s="253" t="str">
        <f>IF(AA295="Yes",COUNTIF($AA$6:AA295,"Yes"),"")</f>
        <v/>
      </c>
      <c r="AQ295" s="253" t="str">
        <f>IF(AC295="Yes",COUNTIF($AC$6:AC295,"Yes"),"")</f>
        <v/>
      </c>
    </row>
    <row r="296" spans="1:43">
      <c r="A296" s="253"/>
      <c r="B296" s="253"/>
      <c r="C296" s="253"/>
      <c r="D296" s="253"/>
      <c r="E296" s="253"/>
      <c r="F296" s="253"/>
      <c r="G296" s="253"/>
      <c r="H296" s="253"/>
      <c r="I296" s="253"/>
      <c r="J296" s="253"/>
      <c r="K296" s="253"/>
      <c r="L296" s="253"/>
      <c r="M296" s="253"/>
      <c r="N296" s="253"/>
      <c r="O296" s="253"/>
      <c r="P296" s="903"/>
      <c r="Q296" s="903"/>
      <c r="R296" s="903"/>
      <c r="S296" s="904" t="str">
        <f ca="1">IF(P296="","",IF(R296&lt;&gt;"",R296-P296,TODAY()-P296))</f>
        <v/>
      </c>
      <c r="T296" s="904" t="str">
        <f ca="1">IF(Q296="","",Q296-TODAY())</f>
        <v/>
      </c>
      <c r="U296" s="253"/>
      <c r="V296" s="253"/>
      <c r="W296" s="253"/>
      <c r="X296" s="253"/>
      <c r="Y296" s="253"/>
      <c r="Z296" s="253"/>
      <c r="AA296" s="253"/>
      <c r="AB296" s="253"/>
      <c r="AC296" s="253"/>
      <c r="AD296" s="253"/>
      <c r="AE296" s="253"/>
      <c r="AF296" s="253"/>
      <c r="AG296" s="253"/>
      <c r="AH296" s="253"/>
      <c r="AI296" s="253"/>
      <c r="AJ296" s="253"/>
      <c r="AK296" s="253"/>
      <c r="AL296" s="253"/>
      <c r="AM296" s="253"/>
      <c r="AN296" s="903"/>
      <c r="AO296" s="253" t="str">
        <f>IF(Z296="Yes",COUNTIF($Z$6:Z296,"Yes"),"")</f>
        <v/>
      </c>
      <c r="AP296" s="253" t="str">
        <f>IF(AA296="Yes",COUNTIF($AA$6:AA296,"Yes"),"")</f>
        <v/>
      </c>
      <c r="AQ296" s="253" t="str">
        <f>IF(AC296="Yes",COUNTIF($AC$6:AC296,"Yes"),"")</f>
        <v/>
      </c>
    </row>
    <row r="297" spans="1:43">
      <c r="A297" s="253"/>
      <c r="B297" s="253"/>
      <c r="C297" s="253"/>
      <c r="D297" s="253"/>
      <c r="E297" s="253"/>
      <c r="F297" s="253"/>
      <c r="G297" s="253"/>
      <c r="H297" s="253"/>
      <c r="I297" s="253"/>
      <c r="J297" s="253"/>
      <c r="K297" s="253"/>
      <c r="L297" s="253"/>
      <c r="M297" s="253"/>
      <c r="N297" s="253"/>
      <c r="O297" s="253"/>
      <c r="P297" s="903"/>
      <c r="Q297" s="903"/>
      <c r="R297" s="903"/>
      <c r="S297" s="904" t="str">
        <f ca="1">IF(P297="","",IF(R297&lt;&gt;"",R297-P297,TODAY()-P297))</f>
        <v/>
      </c>
      <c r="T297" s="904" t="str">
        <f ca="1">IF(Q297="","",Q297-TODAY())</f>
        <v/>
      </c>
      <c r="U297" s="253"/>
      <c r="V297" s="253"/>
      <c r="W297" s="253"/>
      <c r="X297" s="253"/>
      <c r="Y297" s="253"/>
      <c r="Z297" s="253"/>
      <c r="AA297" s="253"/>
      <c r="AB297" s="253"/>
      <c r="AC297" s="253"/>
      <c r="AD297" s="253"/>
      <c r="AE297" s="253"/>
      <c r="AF297" s="253"/>
      <c r="AG297" s="253"/>
      <c r="AH297" s="253"/>
      <c r="AI297" s="253"/>
      <c r="AJ297" s="253"/>
      <c r="AK297" s="253"/>
      <c r="AL297" s="253"/>
      <c r="AM297" s="253"/>
      <c r="AN297" s="903"/>
      <c r="AO297" s="253" t="str">
        <f>IF(Z297="Yes",COUNTIF($Z$6:Z297,"Yes"),"")</f>
        <v/>
      </c>
      <c r="AP297" s="253" t="str">
        <f>IF(AA297="Yes",COUNTIF($AA$6:AA297,"Yes"),"")</f>
        <v/>
      </c>
      <c r="AQ297" s="253" t="str">
        <f>IF(AC297="Yes",COUNTIF($AC$6:AC297,"Yes"),"")</f>
        <v/>
      </c>
    </row>
    <row r="298" spans="1:43">
      <c r="A298" s="253"/>
      <c r="B298" s="253"/>
      <c r="C298" s="253"/>
      <c r="D298" s="253"/>
      <c r="E298" s="253"/>
      <c r="F298" s="253"/>
      <c r="G298" s="253"/>
      <c r="H298" s="253"/>
      <c r="I298" s="253"/>
      <c r="J298" s="253"/>
      <c r="K298" s="253"/>
      <c r="L298" s="253"/>
      <c r="M298" s="253"/>
      <c r="N298" s="253"/>
      <c r="O298" s="253"/>
      <c r="P298" s="903"/>
      <c r="Q298" s="903"/>
      <c r="R298" s="903"/>
      <c r="S298" s="904" t="str">
        <f ca="1">IF(P298="","",IF(R298&lt;&gt;"",R298-P298,TODAY()-P298))</f>
        <v/>
      </c>
      <c r="T298" s="904" t="str">
        <f ca="1">IF(Q298="","",Q298-TODAY())</f>
        <v/>
      </c>
      <c r="U298" s="253"/>
      <c r="V298" s="253"/>
      <c r="W298" s="253"/>
      <c r="X298" s="253"/>
      <c r="Y298" s="253"/>
      <c r="Z298" s="253"/>
      <c r="AA298" s="253"/>
      <c r="AB298" s="253"/>
      <c r="AC298" s="253"/>
      <c r="AD298" s="253"/>
      <c r="AE298" s="253"/>
      <c r="AF298" s="253"/>
      <c r="AG298" s="253"/>
      <c r="AH298" s="253"/>
      <c r="AI298" s="253"/>
      <c r="AJ298" s="253"/>
      <c r="AK298" s="253"/>
      <c r="AL298" s="253"/>
      <c r="AM298" s="253"/>
      <c r="AN298" s="903"/>
      <c r="AO298" s="253" t="str">
        <f>IF(Z298="Yes",COUNTIF($Z$6:Z298,"Yes"),"")</f>
        <v/>
      </c>
      <c r="AP298" s="253" t="str">
        <f>IF(AA298="Yes",COUNTIF($AA$6:AA298,"Yes"),"")</f>
        <v/>
      </c>
      <c r="AQ298" s="253" t="str">
        <f>IF(AC298="Yes",COUNTIF($AC$6:AC298,"Yes"),"")</f>
        <v/>
      </c>
    </row>
    <row r="299" spans="1:43">
      <c r="A299" s="253"/>
      <c r="B299" s="253"/>
      <c r="C299" s="253"/>
      <c r="D299" s="253"/>
      <c r="E299" s="253"/>
      <c r="F299" s="253"/>
      <c r="G299" s="253"/>
      <c r="H299" s="253"/>
      <c r="I299" s="253"/>
      <c r="J299" s="253"/>
      <c r="K299" s="253"/>
      <c r="L299" s="253"/>
      <c r="M299" s="253"/>
      <c r="N299" s="253"/>
      <c r="O299" s="253"/>
      <c r="P299" s="903"/>
      <c r="Q299" s="903"/>
      <c r="R299" s="903"/>
      <c r="S299" s="904" t="str">
        <f ca="1">IF(P299="","",IF(R299&lt;&gt;"",R299-P299,TODAY()-P299))</f>
        <v/>
      </c>
      <c r="T299" s="904" t="str">
        <f ca="1">IF(Q299="","",Q299-TODAY())</f>
        <v/>
      </c>
      <c r="U299" s="253"/>
      <c r="V299" s="253"/>
      <c r="W299" s="253"/>
      <c r="X299" s="253"/>
      <c r="Y299" s="253"/>
      <c r="Z299" s="253"/>
      <c r="AA299" s="253"/>
      <c r="AB299" s="253"/>
      <c r="AC299" s="253"/>
      <c r="AD299" s="253"/>
      <c r="AE299" s="253"/>
      <c r="AF299" s="253"/>
      <c r="AG299" s="253"/>
      <c r="AH299" s="253"/>
      <c r="AI299" s="253"/>
      <c r="AJ299" s="253"/>
      <c r="AK299" s="253"/>
      <c r="AL299" s="253"/>
      <c r="AM299" s="253"/>
      <c r="AN299" s="903"/>
      <c r="AO299" s="253" t="str">
        <f>IF(Z299="Yes",COUNTIF($Z$6:Z299,"Yes"),"")</f>
        <v/>
      </c>
      <c r="AP299" s="253" t="str">
        <f>IF(AA299="Yes",COUNTIF($AA$6:AA299,"Yes"),"")</f>
        <v/>
      </c>
      <c r="AQ299" s="253" t="str">
        <f>IF(AC299="Yes",COUNTIF($AC$6:AC299,"Yes"),"")</f>
        <v/>
      </c>
    </row>
    <row r="300" spans="1:43">
      <c r="A300" s="253"/>
      <c r="B300" s="253"/>
      <c r="C300" s="253"/>
      <c r="D300" s="253"/>
      <c r="E300" s="253"/>
      <c r="F300" s="253"/>
      <c r="G300" s="253"/>
      <c r="H300" s="253"/>
      <c r="I300" s="253"/>
      <c r="J300" s="253"/>
      <c r="K300" s="253"/>
      <c r="L300" s="253"/>
      <c r="M300" s="253"/>
      <c r="N300" s="253"/>
      <c r="O300" s="253"/>
      <c r="P300" s="903"/>
      <c r="Q300" s="903"/>
      <c r="R300" s="903"/>
      <c r="S300" s="904" t="str">
        <f ca="1">IF(P300="","",IF(R300&lt;&gt;"",R300-P300,TODAY()-P300))</f>
        <v/>
      </c>
      <c r="T300" s="904" t="str">
        <f ca="1">IF(Q300="","",Q300-TODAY())</f>
        <v/>
      </c>
      <c r="U300" s="253"/>
      <c r="V300" s="253"/>
      <c r="W300" s="253"/>
      <c r="X300" s="253"/>
      <c r="Y300" s="253"/>
      <c r="Z300" s="253"/>
      <c r="AA300" s="253"/>
      <c r="AB300" s="253"/>
      <c r="AC300" s="253"/>
      <c r="AD300" s="253"/>
      <c r="AE300" s="253"/>
      <c r="AF300" s="253"/>
      <c r="AG300" s="253"/>
      <c r="AH300" s="253"/>
      <c r="AI300" s="253"/>
      <c r="AJ300" s="253"/>
      <c r="AK300" s="253"/>
      <c r="AL300" s="253"/>
      <c r="AM300" s="253"/>
      <c r="AN300" s="903"/>
      <c r="AO300" s="253" t="str">
        <f>IF(Z300="Yes",COUNTIF($Z$6:Z300,"Yes"),"")</f>
        <v/>
      </c>
      <c r="AP300" s="253" t="str">
        <f>IF(AA300="Yes",COUNTIF($AA$6:AA300,"Yes"),"")</f>
        <v/>
      </c>
      <c r="AQ300" s="253" t="str">
        <f>IF(AC300="Yes",COUNTIF($AC$6:AC300,"Yes"),"")</f>
        <v/>
      </c>
    </row>
    <row r="301" spans="1:43">
      <c r="A301" s="253"/>
      <c r="B301" s="253"/>
      <c r="C301" s="253"/>
      <c r="D301" s="253"/>
      <c r="E301" s="253"/>
      <c r="F301" s="253"/>
      <c r="G301" s="253"/>
      <c r="H301" s="253"/>
      <c r="I301" s="253"/>
      <c r="J301" s="253"/>
      <c r="K301" s="253"/>
      <c r="L301" s="253"/>
      <c r="M301" s="253"/>
      <c r="N301" s="253"/>
      <c r="O301" s="253"/>
      <c r="P301" s="903"/>
      <c r="Q301" s="903"/>
      <c r="R301" s="903"/>
      <c r="S301" s="904" t="str">
        <f ca="1">IF(P301="","",IF(R301&lt;&gt;"",R301-P301,TODAY()-P301))</f>
        <v/>
      </c>
      <c r="T301" s="904" t="str">
        <f ca="1">IF(Q301="","",Q301-TODAY())</f>
        <v/>
      </c>
      <c r="U301" s="253"/>
      <c r="V301" s="253"/>
      <c r="W301" s="253"/>
      <c r="X301" s="253"/>
      <c r="Y301" s="253"/>
      <c r="Z301" s="253"/>
      <c r="AA301" s="253"/>
      <c r="AB301" s="253"/>
      <c r="AC301" s="253"/>
      <c r="AD301" s="253"/>
      <c r="AE301" s="253"/>
      <c r="AF301" s="253"/>
      <c r="AG301" s="253"/>
      <c r="AH301" s="253"/>
      <c r="AI301" s="253"/>
      <c r="AJ301" s="253"/>
      <c r="AK301" s="253"/>
      <c r="AL301" s="253"/>
      <c r="AM301" s="253"/>
      <c r="AN301" s="903"/>
      <c r="AO301" s="253" t="str">
        <f>IF(Z301="Yes",COUNTIF($Z$6:Z301,"Yes"),"")</f>
        <v/>
      </c>
      <c r="AP301" s="253" t="str">
        <f>IF(AA301="Yes",COUNTIF($AA$6:AA301,"Yes"),"")</f>
        <v/>
      </c>
      <c r="AQ301" s="253" t="str">
        <f>IF(AC301="Yes",COUNTIF($AC$6:AC301,"Yes"),"")</f>
        <v/>
      </c>
    </row>
    <row r="302" spans="1:43">
      <c r="A302" s="253"/>
      <c r="B302" s="253"/>
      <c r="C302" s="253"/>
      <c r="D302" s="253"/>
      <c r="E302" s="253"/>
      <c r="F302" s="253"/>
      <c r="G302" s="253"/>
      <c r="H302" s="253"/>
      <c r="I302" s="253"/>
      <c r="J302" s="253"/>
      <c r="K302" s="253"/>
      <c r="L302" s="253"/>
      <c r="M302" s="253"/>
      <c r="N302" s="253"/>
      <c r="O302" s="253"/>
      <c r="P302" s="903"/>
      <c r="Q302" s="903"/>
      <c r="R302" s="903"/>
      <c r="S302" s="904" t="str">
        <f ca="1">IF(P302="","",IF(R302&lt;&gt;"",R302-P302,TODAY()-P302))</f>
        <v/>
      </c>
      <c r="T302" s="904" t="str">
        <f ca="1">IF(Q302="","",Q302-TODAY())</f>
        <v/>
      </c>
      <c r="U302" s="253"/>
      <c r="V302" s="253"/>
      <c r="W302" s="253"/>
      <c r="X302" s="253"/>
      <c r="Y302" s="253"/>
      <c r="Z302" s="253"/>
      <c r="AA302" s="253"/>
      <c r="AB302" s="253"/>
      <c r="AC302" s="253"/>
      <c r="AD302" s="253"/>
      <c r="AE302" s="253"/>
      <c r="AF302" s="253"/>
      <c r="AG302" s="253"/>
      <c r="AH302" s="253"/>
      <c r="AI302" s="253"/>
      <c r="AJ302" s="253"/>
      <c r="AK302" s="253"/>
      <c r="AL302" s="253"/>
      <c r="AM302" s="253"/>
      <c r="AN302" s="903"/>
      <c r="AO302" s="253" t="str">
        <f>IF(Z302="Yes",COUNTIF($Z$6:Z302,"Yes"),"")</f>
        <v/>
      </c>
      <c r="AP302" s="253" t="str">
        <f>IF(AA302="Yes",COUNTIF($AA$6:AA302,"Yes"),"")</f>
        <v/>
      </c>
      <c r="AQ302" s="253" t="str">
        <f>IF(AC302="Yes",COUNTIF($AC$6:AC302,"Yes"),"")</f>
        <v/>
      </c>
    </row>
    <row r="303" spans="1:43">
      <c r="A303" s="253"/>
      <c r="B303" s="253"/>
      <c r="C303" s="253"/>
      <c r="D303" s="253"/>
      <c r="E303" s="253"/>
      <c r="F303" s="253"/>
      <c r="G303" s="253"/>
      <c r="H303" s="253"/>
      <c r="I303" s="253"/>
      <c r="J303" s="253"/>
      <c r="K303" s="253"/>
      <c r="L303" s="253"/>
      <c r="M303" s="253"/>
      <c r="N303" s="253"/>
      <c r="O303" s="253"/>
      <c r="P303" s="903"/>
      <c r="Q303" s="903"/>
      <c r="R303" s="903"/>
      <c r="S303" s="904" t="str">
        <f ca="1">IF(P303="","",IF(R303&lt;&gt;"",R303-P303,TODAY()-P303))</f>
        <v/>
      </c>
      <c r="T303" s="904" t="str">
        <f ca="1">IF(Q303="","",Q303-TODAY())</f>
        <v/>
      </c>
      <c r="U303" s="253"/>
      <c r="V303" s="253"/>
      <c r="W303" s="253"/>
      <c r="X303" s="253"/>
      <c r="Y303" s="253"/>
      <c r="Z303" s="253"/>
      <c r="AA303" s="253"/>
      <c r="AB303" s="253"/>
      <c r="AC303" s="253"/>
      <c r="AD303" s="253"/>
      <c r="AE303" s="253"/>
      <c r="AF303" s="253"/>
      <c r="AG303" s="253"/>
      <c r="AH303" s="253"/>
      <c r="AI303" s="253"/>
      <c r="AJ303" s="253"/>
      <c r="AK303" s="253"/>
      <c r="AL303" s="253"/>
      <c r="AM303" s="253"/>
      <c r="AN303" s="903"/>
      <c r="AO303" s="253" t="str">
        <f>IF(Z303="Yes",COUNTIF($Z$6:Z303,"Yes"),"")</f>
        <v/>
      </c>
      <c r="AP303" s="253" t="str">
        <f>IF(AA303="Yes",COUNTIF($AA$6:AA303,"Yes"),"")</f>
        <v/>
      </c>
      <c r="AQ303" s="253" t="str">
        <f>IF(AC303="Yes",COUNTIF($AC$6:AC303,"Yes"),"")</f>
        <v/>
      </c>
    </row>
    <row r="304" spans="1:43">
      <c r="A304" s="253"/>
      <c r="B304" s="253"/>
      <c r="C304" s="253"/>
      <c r="D304" s="253"/>
      <c r="E304" s="253"/>
      <c r="F304" s="253"/>
      <c r="G304" s="253"/>
      <c r="H304" s="253"/>
      <c r="I304" s="253"/>
      <c r="J304" s="253"/>
      <c r="K304" s="253"/>
      <c r="L304" s="253"/>
      <c r="M304" s="253"/>
      <c r="N304" s="253"/>
      <c r="O304" s="253"/>
      <c r="P304" s="903"/>
      <c r="Q304" s="903"/>
      <c r="R304" s="903"/>
      <c r="S304" s="904" t="str">
        <f ca="1">IF(P304="","",IF(R304&lt;&gt;"",R304-P304,TODAY()-P304))</f>
        <v/>
      </c>
      <c r="T304" s="904" t="str">
        <f ca="1">IF(Q304="","",Q304-TODAY())</f>
        <v/>
      </c>
      <c r="U304" s="253"/>
      <c r="V304" s="253"/>
      <c r="W304" s="253"/>
      <c r="X304" s="253"/>
      <c r="Y304" s="253"/>
      <c r="Z304" s="253"/>
      <c r="AA304" s="253"/>
      <c r="AB304" s="253"/>
      <c r="AC304" s="253"/>
      <c r="AD304" s="253"/>
      <c r="AE304" s="253"/>
      <c r="AF304" s="253"/>
      <c r="AG304" s="253"/>
      <c r="AH304" s="253"/>
      <c r="AI304" s="253"/>
      <c r="AJ304" s="253"/>
      <c r="AK304" s="253"/>
      <c r="AL304" s="253"/>
      <c r="AM304" s="253"/>
      <c r="AN304" s="903"/>
      <c r="AO304" s="253" t="str">
        <f>IF(Z304="Yes",COUNTIF($Z$6:Z304,"Yes"),"")</f>
        <v/>
      </c>
      <c r="AP304" s="253" t="str">
        <f>IF(AA304="Yes",COUNTIF($AA$6:AA304,"Yes"),"")</f>
        <v/>
      </c>
      <c r="AQ304" s="253" t="str">
        <f>IF(AC304="Yes",COUNTIF($AC$6:AC304,"Yes"),"")</f>
        <v/>
      </c>
    </row>
    <row r="305" spans="1:43">
      <c r="A305" s="253"/>
      <c r="B305" s="253"/>
      <c r="C305" s="253"/>
      <c r="D305" s="253"/>
      <c r="E305" s="253"/>
      <c r="F305" s="253"/>
      <c r="G305" s="253"/>
      <c r="H305" s="253"/>
      <c r="I305" s="253"/>
      <c r="J305" s="253"/>
      <c r="K305" s="253"/>
      <c r="L305" s="253"/>
      <c r="M305" s="253"/>
      <c r="N305" s="253"/>
      <c r="O305" s="253"/>
      <c r="P305" s="903"/>
      <c r="Q305" s="903"/>
      <c r="R305" s="903"/>
      <c r="S305" s="904" t="str">
        <f ca="1">IF(P305="","",IF(R305&lt;&gt;"",R305-P305,TODAY()-P305))</f>
        <v/>
      </c>
      <c r="T305" s="904" t="str">
        <f ca="1">IF(Q305="","",Q305-TODAY())</f>
        <v/>
      </c>
      <c r="U305" s="253"/>
      <c r="V305" s="253"/>
      <c r="W305" s="253"/>
      <c r="X305" s="253"/>
      <c r="Y305" s="253"/>
      <c r="Z305" s="253"/>
      <c r="AA305" s="253"/>
      <c r="AB305" s="253"/>
      <c r="AC305" s="253"/>
      <c r="AD305" s="253"/>
      <c r="AE305" s="253"/>
      <c r="AF305" s="253"/>
      <c r="AG305" s="253"/>
      <c r="AH305" s="253"/>
      <c r="AI305" s="253"/>
      <c r="AJ305" s="253"/>
      <c r="AK305" s="253"/>
      <c r="AL305" s="253"/>
      <c r="AM305" s="253"/>
      <c r="AN305" s="903"/>
      <c r="AO305" s="253" t="str">
        <f>IF(Z305="Yes",COUNTIF($Z$6:Z305,"Yes"),"")</f>
        <v/>
      </c>
      <c r="AP305" s="253" t="str">
        <f>IF(AA305="Yes",COUNTIF($AA$6:AA305,"Yes"),"")</f>
        <v/>
      </c>
      <c r="AQ305" s="253" t="str">
        <f>IF(AC305="Yes",COUNTIF($AC$6:AC305,"Yes"),"")</f>
        <v/>
      </c>
    </row>
    <row r="306" spans="1:43">
      <c r="A306" s="253"/>
      <c r="B306" s="253"/>
      <c r="C306" s="253"/>
      <c r="D306" s="253"/>
      <c r="E306" s="253"/>
      <c r="F306" s="253"/>
      <c r="G306" s="253"/>
      <c r="H306" s="253"/>
      <c r="I306" s="253"/>
      <c r="J306" s="253"/>
      <c r="K306" s="253"/>
      <c r="L306" s="253"/>
      <c r="M306" s="253"/>
      <c r="N306" s="253"/>
      <c r="O306" s="253"/>
      <c r="P306" s="903"/>
      <c r="Q306" s="903"/>
      <c r="R306" s="903"/>
      <c r="S306" s="904" t="str">
        <f ca="1">IF(P306="","",IF(R306&lt;&gt;"",R306-P306,TODAY()-P306))</f>
        <v/>
      </c>
      <c r="T306" s="904" t="str">
        <f ca="1">IF(Q306="","",Q306-TODAY())</f>
        <v/>
      </c>
      <c r="U306" s="253"/>
      <c r="V306" s="253"/>
      <c r="W306" s="253"/>
      <c r="X306" s="253"/>
      <c r="Y306" s="253"/>
      <c r="Z306" s="253"/>
      <c r="AA306" s="253"/>
      <c r="AB306" s="253"/>
      <c r="AC306" s="253"/>
      <c r="AD306" s="253"/>
      <c r="AE306" s="253"/>
      <c r="AF306" s="253"/>
      <c r="AG306" s="253"/>
      <c r="AH306" s="253"/>
      <c r="AI306" s="253"/>
      <c r="AJ306" s="253"/>
      <c r="AK306" s="253"/>
      <c r="AL306" s="253"/>
      <c r="AM306" s="253"/>
      <c r="AN306" s="903"/>
      <c r="AO306" s="253" t="str">
        <f>IF(Z306="Yes",COUNTIF($Z$6:Z306,"Yes"),"")</f>
        <v/>
      </c>
      <c r="AP306" s="253" t="str">
        <f>IF(AA306="Yes",COUNTIF($AA$6:AA306,"Yes"),"")</f>
        <v/>
      </c>
      <c r="AQ306" s="253" t="str">
        <f>IF(AC306="Yes",COUNTIF($AC$6:AC306,"Yes"),"")</f>
        <v/>
      </c>
    </row>
    <row r="307" spans="1:43">
      <c r="A307" s="253"/>
      <c r="B307" s="253"/>
      <c r="C307" s="253"/>
      <c r="D307" s="253"/>
      <c r="E307" s="253"/>
      <c r="F307" s="253"/>
      <c r="G307" s="253"/>
      <c r="H307" s="253"/>
      <c r="I307" s="253"/>
      <c r="J307" s="253"/>
      <c r="K307" s="253"/>
      <c r="L307" s="253"/>
      <c r="M307" s="253"/>
      <c r="N307" s="253"/>
      <c r="O307" s="253"/>
      <c r="P307" s="903"/>
      <c r="Q307" s="903"/>
      <c r="R307" s="903"/>
      <c r="S307" s="904" t="str">
        <f ca="1">IF(P307="","",IF(R307&lt;&gt;"",R307-P307,TODAY()-P307))</f>
        <v/>
      </c>
      <c r="T307" s="904" t="str">
        <f ca="1">IF(Q307="","",Q307-TODAY())</f>
        <v/>
      </c>
      <c r="U307" s="253"/>
      <c r="V307" s="253"/>
      <c r="W307" s="253"/>
      <c r="X307" s="253"/>
      <c r="Y307" s="253"/>
      <c r="Z307" s="253"/>
      <c r="AA307" s="253"/>
      <c r="AB307" s="253"/>
      <c r="AC307" s="253"/>
      <c r="AD307" s="253"/>
      <c r="AE307" s="253"/>
      <c r="AF307" s="253"/>
      <c r="AG307" s="253"/>
      <c r="AH307" s="253"/>
      <c r="AI307" s="253"/>
      <c r="AJ307" s="253"/>
      <c r="AK307" s="253"/>
      <c r="AL307" s="253"/>
      <c r="AM307" s="253"/>
      <c r="AN307" s="903"/>
      <c r="AO307" s="253" t="str">
        <f>IF(Z307="Yes",COUNTIF($Z$6:Z307,"Yes"),"")</f>
        <v/>
      </c>
      <c r="AP307" s="253" t="str">
        <f>IF(AA307="Yes",COUNTIF($AA$6:AA307,"Yes"),"")</f>
        <v/>
      </c>
      <c r="AQ307" s="253" t="str">
        <f>IF(AC307="Yes",COUNTIF($AC$6:AC307,"Yes"),"")</f>
        <v/>
      </c>
    </row>
    <row r="308" spans="1:43">
      <c r="A308" s="253"/>
      <c r="B308" s="253"/>
      <c r="C308" s="253"/>
      <c r="D308" s="253"/>
      <c r="E308" s="253"/>
      <c r="F308" s="253"/>
      <c r="G308" s="253"/>
      <c r="H308" s="253"/>
      <c r="I308" s="253"/>
      <c r="J308" s="253"/>
      <c r="K308" s="253"/>
      <c r="L308" s="253"/>
      <c r="M308" s="253"/>
      <c r="N308" s="253"/>
      <c r="O308" s="253"/>
      <c r="P308" s="903"/>
      <c r="Q308" s="903"/>
      <c r="R308" s="903"/>
      <c r="S308" s="904" t="str">
        <f ca="1">IF(P308="","",IF(R308&lt;&gt;"",R308-P308,TODAY()-P308))</f>
        <v/>
      </c>
      <c r="T308" s="904" t="str">
        <f ca="1">IF(Q308="","",Q308-TODAY())</f>
        <v/>
      </c>
      <c r="U308" s="253"/>
      <c r="V308" s="253"/>
      <c r="W308" s="253"/>
      <c r="X308" s="253"/>
      <c r="Y308" s="253"/>
      <c r="Z308" s="253"/>
      <c r="AA308" s="253"/>
      <c r="AB308" s="253"/>
      <c r="AC308" s="253"/>
      <c r="AD308" s="253"/>
      <c r="AE308" s="253"/>
      <c r="AF308" s="253"/>
      <c r="AG308" s="253"/>
      <c r="AH308" s="253"/>
      <c r="AI308" s="253"/>
      <c r="AJ308" s="253"/>
      <c r="AK308" s="253"/>
      <c r="AL308" s="253"/>
      <c r="AM308" s="253"/>
      <c r="AN308" s="903"/>
      <c r="AO308" s="253" t="str">
        <f>IF(Z308="Yes",COUNTIF($Z$6:Z308,"Yes"),"")</f>
        <v/>
      </c>
      <c r="AP308" s="253" t="str">
        <f>IF(AA308="Yes",COUNTIF($AA$6:AA308,"Yes"),"")</f>
        <v/>
      </c>
      <c r="AQ308" s="253" t="str">
        <f>IF(AC308="Yes",COUNTIF($AC$6:AC308,"Yes"),"")</f>
        <v/>
      </c>
    </row>
    <row r="309" spans="1:43">
      <c r="A309" s="253"/>
      <c r="B309" s="253"/>
      <c r="C309" s="253"/>
      <c r="D309" s="253"/>
      <c r="E309" s="253"/>
      <c r="F309" s="253"/>
      <c r="G309" s="253"/>
      <c r="H309" s="253"/>
      <c r="I309" s="253"/>
      <c r="J309" s="253"/>
      <c r="K309" s="253"/>
      <c r="L309" s="253"/>
      <c r="M309" s="253"/>
      <c r="N309" s="253"/>
      <c r="O309" s="253"/>
      <c r="P309" s="903"/>
      <c r="Q309" s="903"/>
      <c r="R309" s="903"/>
      <c r="S309" s="904" t="str">
        <f ca="1">IF(P309="","",IF(R309&lt;&gt;"",R309-P309,TODAY()-P309))</f>
        <v/>
      </c>
      <c r="T309" s="904" t="str">
        <f ca="1">IF(Q309="","",Q309-TODAY())</f>
        <v/>
      </c>
      <c r="U309" s="253"/>
      <c r="V309" s="253"/>
      <c r="W309" s="253"/>
      <c r="X309" s="253"/>
      <c r="Y309" s="253"/>
      <c r="Z309" s="253"/>
      <c r="AA309" s="253"/>
      <c r="AB309" s="253"/>
      <c r="AC309" s="253"/>
      <c r="AD309" s="253"/>
      <c r="AE309" s="253"/>
      <c r="AF309" s="253"/>
      <c r="AG309" s="253"/>
      <c r="AH309" s="253"/>
      <c r="AI309" s="253"/>
      <c r="AJ309" s="253"/>
      <c r="AK309" s="253"/>
      <c r="AL309" s="253"/>
      <c r="AM309" s="253"/>
      <c r="AN309" s="903"/>
      <c r="AO309" s="253" t="str">
        <f>IF(Z309="Yes",COUNTIF($Z$6:Z309,"Yes"),"")</f>
        <v/>
      </c>
      <c r="AP309" s="253" t="str">
        <f>IF(AA309="Yes",COUNTIF($AA$6:AA309,"Yes"),"")</f>
        <v/>
      </c>
      <c r="AQ309" s="253" t="str">
        <f>IF(AC309="Yes",COUNTIF($AC$6:AC309,"Yes"),"")</f>
        <v/>
      </c>
    </row>
    <row r="310" spans="1:43">
      <c r="A310" s="253"/>
      <c r="B310" s="253"/>
      <c r="C310" s="253"/>
      <c r="D310" s="253"/>
      <c r="E310" s="253"/>
      <c r="F310" s="253"/>
      <c r="G310" s="253"/>
      <c r="H310" s="253"/>
      <c r="I310" s="253"/>
      <c r="J310" s="253"/>
      <c r="K310" s="253"/>
      <c r="L310" s="253"/>
      <c r="M310" s="253"/>
      <c r="N310" s="253"/>
      <c r="O310" s="253"/>
      <c r="P310" s="903"/>
      <c r="Q310" s="903"/>
      <c r="R310" s="903"/>
      <c r="S310" s="904" t="str">
        <f ca="1">IF(P310="","",IF(R310&lt;&gt;"",R310-P310,TODAY()-P310))</f>
        <v/>
      </c>
      <c r="T310" s="904" t="str">
        <f ca="1">IF(Q310="","",Q310-TODAY())</f>
        <v/>
      </c>
      <c r="U310" s="253"/>
      <c r="V310" s="253"/>
      <c r="W310" s="253"/>
      <c r="X310" s="253"/>
      <c r="Y310" s="253"/>
      <c r="Z310" s="253"/>
      <c r="AA310" s="253"/>
      <c r="AB310" s="253"/>
      <c r="AC310" s="253"/>
      <c r="AD310" s="253"/>
      <c r="AE310" s="253"/>
      <c r="AF310" s="253"/>
      <c r="AG310" s="253"/>
      <c r="AH310" s="253"/>
      <c r="AI310" s="253"/>
      <c r="AJ310" s="253"/>
      <c r="AK310" s="253"/>
      <c r="AL310" s="253"/>
      <c r="AM310" s="253"/>
      <c r="AN310" s="903"/>
      <c r="AO310" s="253" t="str">
        <f>IF(Z310="Yes",COUNTIF($Z$6:Z310,"Yes"),"")</f>
        <v/>
      </c>
      <c r="AP310" s="253" t="str">
        <f>IF(AA310="Yes",COUNTIF($AA$6:AA310,"Yes"),"")</f>
        <v/>
      </c>
      <c r="AQ310" s="253" t="str">
        <f>IF(AC310="Yes",COUNTIF($AC$6:AC310,"Yes"),"")</f>
        <v/>
      </c>
    </row>
    <row r="311" spans="1:43">
      <c r="A311" s="253"/>
      <c r="B311" s="253"/>
      <c r="C311" s="253"/>
      <c r="D311" s="253"/>
      <c r="E311" s="253"/>
      <c r="F311" s="253"/>
      <c r="G311" s="253"/>
      <c r="H311" s="253"/>
      <c r="I311" s="253"/>
      <c r="J311" s="253"/>
      <c r="K311" s="253"/>
      <c r="L311" s="253"/>
      <c r="M311" s="253"/>
      <c r="N311" s="253"/>
      <c r="O311" s="253"/>
      <c r="P311" s="903"/>
      <c r="Q311" s="903"/>
      <c r="R311" s="903"/>
      <c r="S311" s="904" t="str">
        <f ca="1">IF(P311="","",IF(R311&lt;&gt;"",R311-P311,TODAY()-P311))</f>
        <v/>
      </c>
      <c r="T311" s="904" t="str">
        <f ca="1">IF(Q311="","",Q311-TODAY())</f>
        <v/>
      </c>
      <c r="U311" s="253"/>
      <c r="V311" s="253"/>
      <c r="W311" s="253"/>
      <c r="X311" s="253"/>
      <c r="Y311" s="253"/>
      <c r="Z311" s="253"/>
      <c r="AA311" s="253"/>
      <c r="AB311" s="253"/>
      <c r="AC311" s="253"/>
      <c r="AD311" s="253"/>
      <c r="AE311" s="253"/>
      <c r="AF311" s="253"/>
      <c r="AG311" s="253"/>
      <c r="AH311" s="253"/>
      <c r="AI311" s="253"/>
      <c r="AJ311" s="253"/>
      <c r="AK311" s="253"/>
      <c r="AL311" s="253"/>
      <c r="AM311" s="253"/>
      <c r="AN311" s="903"/>
      <c r="AO311" s="253" t="str">
        <f>IF(Z311="Yes",COUNTIF($Z$6:Z311,"Yes"),"")</f>
        <v/>
      </c>
      <c r="AP311" s="253" t="str">
        <f>IF(AA311="Yes",COUNTIF($AA$6:AA311,"Yes"),"")</f>
        <v/>
      </c>
      <c r="AQ311" s="253" t="str">
        <f>IF(AC311="Yes",COUNTIF($AC$6:AC311,"Yes"),"")</f>
        <v/>
      </c>
    </row>
    <row r="312" spans="1:43">
      <c r="A312" s="253"/>
      <c r="B312" s="253"/>
      <c r="C312" s="253"/>
      <c r="D312" s="253"/>
      <c r="E312" s="253"/>
      <c r="F312" s="253"/>
      <c r="G312" s="253"/>
      <c r="H312" s="253"/>
      <c r="I312" s="253"/>
      <c r="J312" s="253"/>
      <c r="K312" s="253"/>
      <c r="L312" s="253"/>
      <c r="M312" s="253"/>
      <c r="N312" s="253"/>
      <c r="O312" s="253"/>
      <c r="P312" s="903"/>
      <c r="Q312" s="903"/>
      <c r="R312" s="903"/>
      <c r="S312" s="904" t="str">
        <f ca="1">IF(P312="","",IF(R312&lt;&gt;"",R312-P312,TODAY()-P312))</f>
        <v/>
      </c>
      <c r="T312" s="904" t="str">
        <f ca="1">IF(Q312="","",Q312-TODAY())</f>
        <v/>
      </c>
      <c r="U312" s="253"/>
      <c r="V312" s="253"/>
      <c r="W312" s="253"/>
      <c r="X312" s="253"/>
      <c r="Y312" s="253"/>
      <c r="Z312" s="253"/>
      <c r="AA312" s="253"/>
      <c r="AB312" s="253"/>
      <c r="AC312" s="253"/>
      <c r="AD312" s="253"/>
      <c r="AE312" s="253"/>
      <c r="AF312" s="253"/>
      <c r="AG312" s="253"/>
      <c r="AH312" s="253"/>
      <c r="AI312" s="253"/>
      <c r="AJ312" s="253"/>
      <c r="AK312" s="253"/>
      <c r="AL312" s="253"/>
      <c r="AM312" s="253"/>
      <c r="AN312" s="903"/>
      <c r="AO312" s="253" t="str">
        <f>IF(Z312="Yes",COUNTIF($Z$6:Z312,"Yes"),"")</f>
        <v/>
      </c>
      <c r="AP312" s="253" t="str">
        <f>IF(AA312="Yes",COUNTIF($AA$6:AA312,"Yes"),"")</f>
        <v/>
      </c>
      <c r="AQ312" s="253" t="str">
        <f>IF(AC312="Yes",COUNTIF($AC$6:AC312,"Yes"),"")</f>
        <v/>
      </c>
    </row>
    <row r="313" spans="1:43">
      <c r="A313" s="253"/>
      <c r="B313" s="253"/>
      <c r="C313" s="253"/>
      <c r="D313" s="253"/>
      <c r="E313" s="253"/>
      <c r="F313" s="253"/>
      <c r="G313" s="253"/>
      <c r="H313" s="253"/>
      <c r="I313" s="253"/>
      <c r="J313" s="253"/>
      <c r="K313" s="253"/>
      <c r="L313" s="253"/>
      <c r="M313" s="253"/>
      <c r="N313" s="253"/>
      <c r="O313" s="253"/>
      <c r="P313" s="903"/>
      <c r="Q313" s="903"/>
      <c r="R313" s="903"/>
      <c r="S313" s="904" t="str">
        <f ca="1">IF(P313="","",IF(R313&lt;&gt;"",R313-P313,TODAY()-P313))</f>
        <v/>
      </c>
      <c r="T313" s="904" t="str">
        <f ca="1">IF(Q313="","",Q313-TODAY())</f>
        <v/>
      </c>
      <c r="U313" s="253"/>
      <c r="V313" s="253"/>
      <c r="W313" s="253"/>
      <c r="X313" s="253"/>
      <c r="Y313" s="253"/>
      <c r="Z313" s="253"/>
      <c r="AA313" s="253"/>
      <c r="AB313" s="253"/>
      <c r="AC313" s="253"/>
      <c r="AD313" s="253"/>
      <c r="AE313" s="253"/>
      <c r="AF313" s="253"/>
      <c r="AG313" s="253"/>
      <c r="AH313" s="253"/>
      <c r="AI313" s="253"/>
      <c r="AJ313" s="253"/>
      <c r="AK313" s="253"/>
      <c r="AL313" s="253"/>
      <c r="AM313" s="253"/>
      <c r="AN313" s="903"/>
      <c r="AO313" s="253" t="str">
        <f>IF(Z313="Yes",COUNTIF($Z$6:Z313,"Yes"),"")</f>
        <v/>
      </c>
      <c r="AP313" s="253" t="str">
        <f>IF(AA313="Yes",COUNTIF($AA$6:AA313,"Yes"),"")</f>
        <v/>
      </c>
      <c r="AQ313" s="253" t="str">
        <f>IF(AC313="Yes",COUNTIF($AC$6:AC313,"Yes"),"")</f>
        <v/>
      </c>
    </row>
    <row r="314" spans="1:43">
      <c r="A314" s="253"/>
      <c r="B314" s="253"/>
      <c r="C314" s="253"/>
      <c r="D314" s="253"/>
      <c r="E314" s="253"/>
      <c r="F314" s="253"/>
      <c r="G314" s="253"/>
      <c r="H314" s="253"/>
      <c r="I314" s="253"/>
      <c r="J314" s="253"/>
      <c r="K314" s="253"/>
      <c r="L314" s="253"/>
      <c r="M314" s="253"/>
      <c r="N314" s="253"/>
      <c r="O314" s="253"/>
      <c r="P314" s="903"/>
      <c r="Q314" s="903"/>
      <c r="R314" s="903"/>
      <c r="S314" s="904" t="str">
        <f ca="1">IF(P314="","",IF(R314&lt;&gt;"",R314-P314,TODAY()-P314))</f>
        <v/>
      </c>
      <c r="T314" s="904" t="str">
        <f ca="1">IF(Q314="","",Q314-TODAY())</f>
        <v/>
      </c>
      <c r="U314" s="253"/>
      <c r="V314" s="253"/>
      <c r="W314" s="253"/>
      <c r="X314" s="253"/>
      <c r="Y314" s="253"/>
      <c r="Z314" s="253"/>
      <c r="AA314" s="253"/>
      <c r="AB314" s="253"/>
      <c r="AC314" s="253"/>
      <c r="AD314" s="253"/>
      <c r="AE314" s="253"/>
      <c r="AF314" s="253"/>
      <c r="AG314" s="253"/>
      <c r="AH314" s="253"/>
      <c r="AI314" s="253"/>
      <c r="AJ314" s="253"/>
      <c r="AK314" s="253"/>
      <c r="AL314" s="253"/>
      <c r="AM314" s="253"/>
      <c r="AN314" s="903"/>
      <c r="AO314" s="253" t="str">
        <f>IF(Z314="Yes",COUNTIF($Z$6:Z314,"Yes"),"")</f>
        <v/>
      </c>
      <c r="AP314" s="253" t="str">
        <f>IF(AA314="Yes",COUNTIF($AA$6:AA314,"Yes"),"")</f>
        <v/>
      </c>
      <c r="AQ314" s="253" t="str">
        <f>IF(AC314="Yes",COUNTIF($AC$6:AC314,"Yes"),"")</f>
        <v/>
      </c>
    </row>
    <row r="315" spans="1:43">
      <c r="A315" s="253"/>
      <c r="B315" s="253"/>
      <c r="C315" s="253"/>
      <c r="D315" s="253"/>
      <c r="E315" s="253"/>
      <c r="F315" s="253"/>
      <c r="G315" s="253"/>
      <c r="H315" s="253"/>
      <c r="I315" s="253"/>
      <c r="J315" s="253"/>
      <c r="K315" s="253"/>
      <c r="L315" s="253"/>
      <c r="M315" s="253"/>
      <c r="N315" s="253"/>
      <c r="O315" s="253"/>
      <c r="P315" s="903"/>
      <c r="Q315" s="903"/>
      <c r="R315" s="903"/>
      <c r="S315" s="904" t="str">
        <f ca="1">IF(P315="","",IF(R315&lt;&gt;"",R315-P315,TODAY()-P315))</f>
        <v/>
      </c>
      <c r="T315" s="904" t="str">
        <f ca="1">IF(Q315="","",Q315-TODAY())</f>
        <v/>
      </c>
      <c r="U315" s="253"/>
      <c r="V315" s="253"/>
      <c r="W315" s="253"/>
      <c r="X315" s="253"/>
      <c r="Y315" s="253"/>
      <c r="Z315" s="253"/>
      <c r="AA315" s="253"/>
      <c r="AB315" s="253"/>
      <c r="AC315" s="253"/>
      <c r="AD315" s="253"/>
      <c r="AE315" s="253"/>
      <c r="AF315" s="253"/>
      <c r="AG315" s="253"/>
      <c r="AH315" s="253"/>
      <c r="AI315" s="253"/>
      <c r="AJ315" s="253"/>
      <c r="AK315" s="253"/>
      <c r="AL315" s="253"/>
      <c r="AM315" s="253"/>
      <c r="AN315" s="903"/>
      <c r="AO315" s="253" t="str">
        <f>IF(Z315="Yes",COUNTIF($Z$6:Z315,"Yes"),"")</f>
        <v/>
      </c>
      <c r="AP315" s="253" t="str">
        <f>IF(AA315="Yes",COUNTIF($AA$6:AA315,"Yes"),"")</f>
        <v/>
      </c>
      <c r="AQ315" s="253" t="str">
        <f>IF(AC315="Yes",COUNTIF($AC$6:AC315,"Yes"),"")</f>
        <v/>
      </c>
    </row>
    <row r="316" spans="1:43">
      <c r="A316" s="253"/>
      <c r="B316" s="253"/>
      <c r="C316" s="253"/>
      <c r="D316" s="253"/>
      <c r="E316" s="253"/>
      <c r="F316" s="253"/>
      <c r="G316" s="253"/>
      <c r="H316" s="253"/>
      <c r="I316" s="253"/>
      <c r="J316" s="253"/>
      <c r="K316" s="253"/>
      <c r="L316" s="253"/>
      <c r="M316" s="253"/>
      <c r="N316" s="253"/>
      <c r="O316" s="253"/>
      <c r="P316" s="903"/>
      <c r="Q316" s="903"/>
      <c r="R316" s="903"/>
      <c r="S316" s="904" t="str">
        <f ca="1">IF(P316="","",IF(R316&lt;&gt;"",R316-P316,TODAY()-P316))</f>
        <v/>
      </c>
      <c r="T316" s="904" t="str">
        <f ca="1">IF(Q316="","",Q316-TODAY())</f>
        <v/>
      </c>
      <c r="U316" s="253"/>
      <c r="V316" s="253"/>
      <c r="W316" s="253"/>
      <c r="X316" s="253"/>
      <c r="Y316" s="253"/>
      <c r="Z316" s="253"/>
      <c r="AA316" s="253"/>
      <c r="AB316" s="253"/>
      <c r="AC316" s="253"/>
      <c r="AD316" s="253"/>
      <c r="AE316" s="253"/>
      <c r="AF316" s="253"/>
      <c r="AG316" s="253"/>
      <c r="AH316" s="253"/>
      <c r="AI316" s="253"/>
      <c r="AJ316" s="253"/>
      <c r="AK316" s="253"/>
      <c r="AL316" s="253"/>
      <c r="AM316" s="253"/>
      <c r="AN316" s="903"/>
      <c r="AO316" s="253" t="str">
        <f>IF(Z316="Yes",COUNTIF($Z$6:Z316,"Yes"),"")</f>
        <v/>
      </c>
      <c r="AP316" s="253" t="str">
        <f>IF(AA316="Yes",COUNTIF($AA$6:AA316,"Yes"),"")</f>
        <v/>
      </c>
      <c r="AQ316" s="253" t="str">
        <f>IF(AC316="Yes",COUNTIF($AC$6:AC316,"Yes"),"")</f>
        <v/>
      </c>
    </row>
    <row r="317" spans="1:43">
      <c r="A317" s="253"/>
      <c r="B317" s="253"/>
      <c r="C317" s="253"/>
      <c r="D317" s="253"/>
      <c r="E317" s="253"/>
      <c r="F317" s="253"/>
      <c r="G317" s="253"/>
      <c r="H317" s="253"/>
      <c r="I317" s="253"/>
      <c r="J317" s="253"/>
      <c r="K317" s="253"/>
      <c r="L317" s="253"/>
      <c r="M317" s="253"/>
      <c r="N317" s="253"/>
      <c r="O317" s="253"/>
      <c r="P317" s="903"/>
      <c r="Q317" s="903"/>
      <c r="R317" s="903"/>
      <c r="S317" s="904" t="str">
        <f ca="1">IF(P317="","",IF(R317&lt;&gt;"",R317-P317,TODAY()-P317))</f>
        <v/>
      </c>
      <c r="T317" s="904" t="str">
        <f ca="1">IF(Q317="","",Q317-TODAY())</f>
        <v/>
      </c>
      <c r="U317" s="253"/>
      <c r="V317" s="253"/>
      <c r="W317" s="253"/>
      <c r="X317" s="253"/>
      <c r="Y317" s="253"/>
      <c r="Z317" s="253"/>
      <c r="AA317" s="253"/>
      <c r="AB317" s="253"/>
      <c r="AC317" s="253"/>
      <c r="AD317" s="253"/>
      <c r="AE317" s="253"/>
      <c r="AF317" s="253"/>
      <c r="AG317" s="253"/>
      <c r="AH317" s="253"/>
      <c r="AI317" s="253"/>
      <c r="AJ317" s="253"/>
      <c r="AK317" s="253"/>
      <c r="AL317" s="253"/>
      <c r="AM317" s="253"/>
      <c r="AN317" s="903"/>
      <c r="AO317" s="253" t="str">
        <f>IF(Z317="Yes",COUNTIF($Z$6:Z317,"Yes"),"")</f>
        <v/>
      </c>
      <c r="AP317" s="253" t="str">
        <f>IF(AA317="Yes",COUNTIF($AA$6:AA317,"Yes"),"")</f>
        <v/>
      </c>
      <c r="AQ317" s="253" t="str">
        <f>IF(AC317="Yes",COUNTIF($AC$6:AC317,"Yes"),"")</f>
        <v/>
      </c>
    </row>
    <row r="318" spans="1:43">
      <c r="A318" s="253"/>
      <c r="B318" s="253"/>
      <c r="C318" s="253"/>
      <c r="D318" s="253"/>
      <c r="E318" s="253"/>
      <c r="F318" s="253"/>
      <c r="G318" s="253"/>
      <c r="H318" s="253"/>
      <c r="I318" s="253"/>
      <c r="J318" s="253"/>
      <c r="K318" s="253"/>
      <c r="L318" s="253"/>
      <c r="M318" s="253"/>
      <c r="N318" s="253"/>
      <c r="O318" s="253"/>
      <c r="P318" s="903"/>
      <c r="Q318" s="903"/>
      <c r="R318" s="903"/>
      <c r="S318" s="904" t="str">
        <f ca="1">IF(P318="","",IF(R318&lt;&gt;"",R318-P318,TODAY()-P318))</f>
        <v/>
      </c>
      <c r="T318" s="904" t="str">
        <f ca="1">IF(Q318="","",Q318-TODAY())</f>
        <v/>
      </c>
      <c r="U318" s="253"/>
      <c r="V318" s="253"/>
      <c r="W318" s="253"/>
      <c r="X318" s="253"/>
      <c r="Y318" s="253"/>
      <c r="Z318" s="253"/>
      <c r="AA318" s="253"/>
      <c r="AB318" s="253"/>
      <c r="AC318" s="253"/>
      <c r="AD318" s="253"/>
      <c r="AE318" s="253"/>
      <c r="AF318" s="253"/>
      <c r="AG318" s="253"/>
      <c r="AH318" s="253"/>
      <c r="AI318" s="253"/>
      <c r="AJ318" s="253"/>
      <c r="AK318" s="253"/>
      <c r="AL318" s="253"/>
      <c r="AM318" s="253"/>
      <c r="AN318" s="903"/>
      <c r="AO318" s="253" t="str">
        <f>IF(Z318="Yes",COUNTIF($Z$6:Z318,"Yes"),"")</f>
        <v/>
      </c>
      <c r="AP318" s="253" t="str">
        <f>IF(AA318="Yes",COUNTIF($AA$6:AA318,"Yes"),"")</f>
        <v/>
      </c>
      <c r="AQ318" s="253" t="str">
        <f>IF(AC318="Yes",COUNTIF($AC$6:AC318,"Yes"),"")</f>
        <v/>
      </c>
    </row>
    <row r="319" spans="1:43">
      <c r="A319" s="253"/>
      <c r="B319" s="253"/>
      <c r="C319" s="253"/>
      <c r="D319" s="253"/>
      <c r="E319" s="253"/>
      <c r="F319" s="253"/>
      <c r="G319" s="253"/>
      <c r="H319" s="253"/>
      <c r="I319" s="253"/>
      <c r="J319" s="253"/>
      <c r="K319" s="253"/>
      <c r="L319" s="253"/>
      <c r="M319" s="253"/>
      <c r="N319" s="253"/>
      <c r="O319" s="253"/>
      <c r="P319" s="903"/>
      <c r="Q319" s="903"/>
      <c r="R319" s="903"/>
      <c r="S319" s="904" t="str">
        <f ca="1">IF(P319="","",IF(R319&lt;&gt;"",R319-P319,TODAY()-P319))</f>
        <v/>
      </c>
      <c r="T319" s="904" t="str">
        <f ca="1">IF(Q319="","",Q319-TODAY())</f>
        <v/>
      </c>
      <c r="U319" s="253"/>
      <c r="V319" s="253"/>
      <c r="W319" s="253"/>
      <c r="X319" s="253"/>
      <c r="Y319" s="253"/>
      <c r="Z319" s="253"/>
      <c r="AA319" s="253"/>
      <c r="AB319" s="253"/>
      <c r="AC319" s="253"/>
      <c r="AD319" s="253"/>
      <c r="AE319" s="253"/>
      <c r="AF319" s="253"/>
      <c r="AG319" s="253"/>
      <c r="AH319" s="253"/>
      <c r="AI319" s="253"/>
      <c r="AJ319" s="253"/>
      <c r="AK319" s="253"/>
      <c r="AL319" s="253"/>
      <c r="AM319" s="253"/>
      <c r="AN319" s="903"/>
      <c r="AO319" s="253" t="str">
        <f>IF(Z319="Yes",COUNTIF($Z$6:Z319,"Yes"),"")</f>
        <v/>
      </c>
      <c r="AP319" s="253" t="str">
        <f>IF(AA319="Yes",COUNTIF($AA$6:AA319,"Yes"),"")</f>
        <v/>
      </c>
      <c r="AQ319" s="253" t="str">
        <f>IF(AC319="Yes",COUNTIF($AC$6:AC319,"Yes"),"")</f>
        <v/>
      </c>
    </row>
    <row r="320" spans="1:43">
      <c r="A320" s="253"/>
      <c r="B320" s="253"/>
      <c r="C320" s="253"/>
      <c r="D320" s="253"/>
      <c r="E320" s="253"/>
      <c r="F320" s="253"/>
      <c r="G320" s="253"/>
      <c r="H320" s="253"/>
      <c r="I320" s="253"/>
      <c r="J320" s="253"/>
      <c r="K320" s="253"/>
      <c r="L320" s="253"/>
      <c r="M320" s="253"/>
      <c r="N320" s="253"/>
      <c r="O320" s="253"/>
      <c r="P320" s="903"/>
      <c r="Q320" s="903"/>
      <c r="R320" s="903"/>
      <c r="S320" s="904" t="str">
        <f ca="1">IF(P320="","",IF(R320&lt;&gt;"",R320-P320,TODAY()-P320))</f>
        <v/>
      </c>
      <c r="T320" s="904" t="str">
        <f ca="1">IF(Q320="","",Q320-TODAY())</f>
        <v/>
      </c>
      <c r="U320" s="253"/>
      <c r="V320" s="253"/>
      <c r="W320" s="253"/>
      <c r="X320" s="253"/>
      <c r="Y320" s="253"/>
      <c r="Z320" s="253"/>
      <c r="AA320" s="253"/>
      <c r="AB320" s="253"/>
      <c r="AC320" s="253"/>
      <c r="AD320" s="253"/>
      <c r="AE320" s="253"/>
      <c r="AF320" s="253"/>
      <c r="AG320" s="253"/>
      <c r="AH320" s="253"/>
      <c r="AI320" s="253"/>
      <c r="AJ320" s="253"/>
      <c r="AK320" s="253"/>
      <c r="AL320" s="253"/>
      <c r="AM320" s="253"/>
      <c r="AN320" s="903"/>
      <c r="AO320" s="253" t="str">
        <f>IF(Z320="Yes",COUNTIF($Z$6:Z320,"Yes"),"")</f>
        <v/>
      </c>
      <c r="AP320" s="253" t="str">
        <f>IF(AA320="Yes",COUNTIF($AA$6:AA320,"Yes"),"")</f>
        <v/>
      </c>
      <c r="AQ320" s="253" t="str">
        <f>IF(AC320="Yes",COUNTIF($AC$6:AC320,"Yes"),"")</f>
        <v/>
      </c>
    </row>
    <row r="321" spans="1:43">
      <c r="A321" s="253"/>
      <c r="B321" s="253"/>
      <c r="C321" s="253"/>
      <c r="D321" s="253"/>
      <c r="E321" s="253"/>
      <c r="F321" s="253"/>
      <c r="G321" s="253"/>
      <c r="H321" s="253"/>
      <c r="I321" s="253"/>
      <c r="J321" s="253"/>
      <c r="K321" s="253"/>
      <c r="L321" s="253"/>
      <c r="M321" s="253"/>
      <c r="N321" s="253"/>
      <c r="O321" s="253"/>
      <c r="P321" s="903"/>
      <c r="Q321" s="903"/>
      <c r="R321" s="903"/>
      <c r="S321" s="904" t="str">
        <f ca="1">IF(P321="","",IF(R321&lt;&gt;"",R321-P321,TODAY()-P321))</f>
        <v/>
      </c>
      <c r="T321" s="904" t="str">
        <f ca="1">IF(Q321="","",Q321-TODAY())</f>
        <v/>
      </c>
      <c r="U321" s="253"/>
      <c r="V321" s="253"/>
      <c r="W321" s="253"/>
      <c r="X321" s="253"/>
      <c r="Y321" s="253"/>
      <c r="Z321" s="253"/>
      <c r="AA321" s="253"/>
      <c r="AB321" s="253"/>
      <c r="AC321" s="253"/>
      <c r="AD321" s="253"/>
      <c r="AE321" s="253"/>
      <c r="AF321" s="253"/>
      <c r="AG321" s="253"/>
      <c r="AH321" s="253"/>
      <c r="AI321" s="253"/>
      <c r="AJ321" s="253"/>
      <c r="AK321" s="253"/>
      <c r="AL321" s="253"/>
      <c r="AM321" s="253"/>
      <c r="AN321" s="903"/>
      <c r="AO321" s="253" t="str">
        <f>IF(Z321="Yes",COUNTIF($Z$6:Z321,"Yes"),"")</f>
        <v/>
      </c>
      <c r="AP321" s="253" t="str">
        <f>IF(AA321="Yes",COUNTIF($AA$6:AA321,"Yes"),"")</f>
        <v/>
      </c>
      <c r="AQ321" s="253" t="str">
        <f>IF(AC321="Yes",COUNTIF($AC$6:AC321,"Yes"),"")</f>
        <v/>
      </c>
    </row>
    <row r="322" spans="1:43">
      <c r="A322" s="253"/>
      <c r="B322" s="253"/>
      <c r="C322" s="253"/>
      <c r="D322" s="253"/>
      <c r="E322" s="253"/>
      <c r="F322" s="253"/>
      <c r="G322" s="253"/>
      <c r="H322" s="253"/>
      <c r="I322" s="253"/>
      <c r="J322" s="253"/>
      <c r="K322" s="253"/>
      <c r="L322" s="253"/>
      <c r="M322" s="253"/>
      <c r="N322" s="253"/>
      <c r="O322" s="253"/>
      <c r="P322" s="903"/>
      <c r="Q322" s="903"/>
      <c r="R322" s="903"/>
      <c r="S322" s="904" t="str">
        <f ca="1">IF(P322="","",IF(R322&lt;&gt;"",R322-P322,TODAY()-P322))</f>
        <v/>
      </c>
      <c r="T322" s="904" t="str">
        <f ca="1">IF(Q322="","",Q322-TODAY())</f>
        <v/>
      </c>
      <c r="U322" s="253"/>
      <c r="V322" s="253"/>
      <c r="W322" s="253"/>
      <c r="X322" s="253"/>
      <c r="Y322" s="253"/>
      <c r="Z322" s="253"/>
      <c r="AA322" s="253"/>
      <c r="AB322" s="253"/>
      <c r="AC322" s="253"/>
      <c r="AD322" s="253"/>
      <c r="AE322" s="253"/>
      <c r="AF322" s="253"/>
      <c r="AG322" s="253"/>
      <c r="AH322" s="253"/>
      <c r="AI322" s="253"/>
      <c r="AJ322" s="253"/>
      <c r="AK322" s="253"/>
      <c r="AL322" s="253"/>
      <c r="AM322" s="253"/>
      <c r="AN322" s="903"/>
      <c r="AO322" s="253" t="str">
        <f>IF(Z322="Yes",COUNTIF($Z$6:Z322,"Yes"),"")</f>
        <v/>
      </c>
      <c r="AP322" s="253" t="str">
        <f>IF(AA322="Yes",COUNTIF($AA$6:AA322,"Yes"),"")</f>
        <v/>
      </c>
      <c r="AQ322" s="253" t="str">
        <f>IF(AC322="Yes",COUNTIF($AC$6:AC322,"Yes"),"")</f>
        <v/>
      </c>
    </row>
    <row r="323" spans="1:43">
      <c r="A323" s="253"/>
      <c r="B323" s="253"/>
      <c r="C323" s="253"/>
      <c r="D323" s="253"/>
      <c r="E323" s="253"/>
      <c r="F323" s="253"/>
      <c r="G323" s="253"/>
      <c r="H323" s="253"/>
      <c r="I323" s="253"/>
      <c r="J323" s="253"/>
      <c r="K323" s="253"/>
      <c r="L323" s="253"/>
      <c r="M323" s="253"/>
      <c r="N323" s="253"/>
      <c r="O323" s="253"/>
      <c r="P323" s="903"/>
      <c r="Q323" s="903"/>
      <c r="R323" s="903"/>
      <c r="S323" s="904" t="str">
        <f ca="1">IF(P323="","",IF(R323&lt;&gt;"",R323-P323,TODAY()-P323))</f>
        <v/>
      </c>
      <c r="T323" s="904" t="str">
        <f ca="1">IF(Q323="","",Q323-TODAY())</f>
        <v/>
      </c>
      <c r="U323" s="253"/>
      <c r="V323" s="253"/>
      <c r="W323" s="253"/>
      <c r="X323" s="253"/>
      <c r="Y323" s="253"/>
      <c r="Z323" s="253"/>
      <c r="AA323" s="253"/>
      <c r="AB323" s="253"/>
      <c r="AC323" s="253"/>
      <c r="AD323" s="253"/>
      <c r="AE323" s="253"/>
      <c r="AF323" s="253"/>
      <c r="AG323" s="253"/>
      <c r="AH323" s="253"/>
      <c r="AI323" s="253"/>
      <c r="AJ323" s="253"/>
      <c r="AK323" s="253"/>
      <c r="AL323" s="253"/>
      <c r="AM323" s="253"/>
      <c r="AN323" s="903"/>
      <c r="AO323" s="253" t="str">
        <f>IF(Z323="Yes",COUNTIF($Z$6:Z323,"Yes"),"")</f>
        <v/>
      </c>
      <c r="AP323" s="253" t="str">
        <f>IF(AA323="Yes",COUNTIF($AA$6:AA323,"Yes"),"")</f>
        <v/>
      </c>
      <c r="AQ323" s="253" t="str">
        <f>IF(AC323="Yes",COUNTIF($AC$6:AC323,"Yes"),"")</f>
        <v/>
      </c>
    </row>
    <row r="324" spans="1:43">
      <c r="A324" s="253"/>
      <c r="B324" s="253"/>
      <c r="C324" s="253"/>
      <c r="D324" s="253"/>
      <c r="E324" s="253"/>
      <c r="F324" s="253"/>
      <c r="G324" s="253"/>
      <c r="H324" s="253"/>
      <c r="I324" s="253"/>
      <c r="J324" s="253"/>
      <c r="K324" s="253"/>
      <c r="L324" s="253"/>
      <c r="M324" s="253"/>
      <c r="N324" s="253"/>
      <c r="O324" s="253"/>
      <c r="P324" s="903"/>
      <c r="Q324" s="903"/>
      <c r="R324" s="903"/>
      <c r="S324" s="904" t="str">
        <f ca="1">IF(P324="","",IF(R324&lt;&gt;"",R324-P324,TODAY()-P324))</f>
        <v/>
      </c>
      <c r="T324" s="904" t="str">
        <f ca="1">IF(Q324="","",Q324-TODAY())</f>
        <v/>
      </c>
      <c r="U324" s="253"/>
      <c r="V324" s="253"/>
      <c r="W324" s="253"/>
      <c r="X324" s="253"/>
      <c r="Y324" s="253"/>
      <c r="Z324" s="253"/>
      <c r="AA324" s="253"/>
      <c r="AB324" s="253"/>
      <c r="AC324" s="253"/>
      <c r="AD324" s="253"/>
      <c r="AE324" s="253"/>
      <c r="AF324" s="253"/>
      <c r="AG324" s="253"/>
      <c r="AH324" s="253"/>
      <c r="AI324" s="253"/>
      <c r="AJ324" s="253"/>
      <c r="AK324" s="253"/>
      <c r="AL324" s="253"/>
      <c r="AM324" s="253"/>
      <c r="AN324" s="903"/>
      <c r="AO324" s="253" t="str">
        <f>IF(Z324="Yes",COUNTIF($Z$6:Z324,"Yes"),"")</f>
        <v/>
      </c>
      <c r="AP324" s="253" t="str">
        <f>IF(AA324="Yes",COUNTIF($AA$6:AA324,"Yes"),"")</f>
        <v/>
      </c>
      <c r="AQ324" s="253" t="str">
        <f>IF(AC324="Yes",COUNTIF($AC$6:AC324,"Yes"),"")</f>
        <v/>
      </c>
    </row>
    <row r="325" spans="1:43">
      <c r="A325" s="253"/>
      <c r="B325" s="253"/>
      <c r="C325" s="253"/>
      <c r="D325" s="253"/>
      <c r="E325" s="253"/>
      <c r="F325" s="253"/>
      <c r="G325" s="253"/>
      <c r="H325" s="253"/>
      <c r="I325" s="253"/>
      <c r="J325" s="253"/>
      <c r="K325" s="253"/>
      <c r="L325" s="253"/>
      <c r="M325" s="253"/>
      <c r="N325" s="253"/>
      <c r="O325" s="253"/>
      <c r="P325" s="903"/>
      <c r="Q325" s="903"/>
      <c r="R325" s="903"/>
      <c r="S325" s="904" t="str">
        <f ca="1">IF(P325="","",IF(R325&lt;&gt;"",R325-P325,TODAY()-P325))</f>
        <v/>
      </c>
      <c r="T325" s="904" t="str">
        <f ca="1">IF(Q325="","",Q325-TODAY())</f>
        <v/>
      </c>
      <c r="U325" s="253"/>
      <c r="V325" s="253"/>
      <c r="W325" s="253"/>
      <c r="X325" s="253"/>
      <c r="Y325" s="253"/>
      <c r="Z325" s="253"/>
      <c r="AA325" s="253"/>
      <c r="AB325" s="253"/>
      <c r="AC325" s="253"/>
      <c r="AD325" s="253"/>
      <c r="AE325" s="253"/>
      <c r="AF325" s="253"/>
      <c r="AG325" s="253"/>
      <c r="AH325" s="253"/>
      <c r="AI325" s="253"/>
      <c r="AJ325" s="253"/>
      <c r="AK325" s="253"/>
      <c r="AL325" s="253"/>
      <c r="AM325" s="253"/>
      <c r="AN325" s="903"/>
      <c r="AO325" s="253" t="str">
        <f>IF(Z325="Yes",COUNTIF($Z$6:Z325,"Yes"),"")</f>
        <v/>
      </c>
      <c r="AP325" s="253" t="str">
        <f>IF(AA325="Yes",COUNTIF($AA$6:AA325,"Yes"),"")</f>
        <v/>
      </c>
      <c r="AQ325" s="253" t="str">
        <f>IF(AC325="Yes",COUNTIF($AC$6:AC325,"Yes"),"")</f>
        <v/>
      </c>
    </row>
    <row r="326" spans="1:43">
      <c r="A326" s="253"/>
      <c r="B326" s="253"/>
      <c r="C326" s="253"/>
      <c r="D326" s="253"/>
      <c r="E326" s="253"/>
      <c r="F326" s="253"/>
      <c r="G326" s="253"/>
      <c r="H326" s="253"/>
      <c r="I326" s="253"/>
      <c r="J326" s="253"/>
      <c r="K326" s="253"/>
      <c r="L326" s="253"/>
      <c r="M326" s="253"/>
      <c r="N326" s="253"/>
      <c r="O326" s="253"/>
      <c r="P326" s="903"/>
      <c r="Q326" s="903"/>
      <c r="R326" s="903"/>
      <c r="S326" s="904" t="str">
        <f ca="1">IF(P326="","",IF(R326&lt;&gt;"",R326-P326,TODAY()-P326))</f>
        <v/>
      </c>
      <c r="T326" s="904" t="str">
        <f ca="1">IF(Q326="","",Q326-TODAY())</f>
        <v/>
      </c>
      <c r="U326" s="253"/>
      <c r="V326" s="253"/>
      <c r="W326" s="253"/>
      <c r="X326" s="253"/>
      <c r="Y326" s="253"/>
      <c r="Z326" s="253"/>
      <c r="AA326" s="253"/>
      <c r="AB326" s="253"/>
      <c r="AC326" s="253"/>
      <c r="AD326" s="253"/>
      <c r="AE326" s="253"/>
      <c r="AF326" s="253"/>
      <c r="AG326" s="253"/>
      <c r="AH326" s="253"/>
      <c r="AI326" s="253"/>
      <c r="AJ326" s="253"/>
      <c r="AK326" s="253"/>
      <c r="AL326" s="253"/>
      <c r="AM326" s="253"/>
      <c r="AN326" s="903"/>
      <c r="AO326" s="253" t="str">
        <f>IF(Z326="Yes",COUNTIF($Z$6:Z326,"Yes"),"")</f>
        <v/>
      </c>
      <c r="AP326" s="253" t="str">
        <f>IF(AA326="Yes",COUNTIF($AA$6:AA326,"Yes"),"")</f>
        <v/>
      </c>
      <c r="AQ326" s="253" t="str">
        <f>IF(AC326="Yes",COUNTIF($AC$6:AC326,"Yes"),"")</f>
        <v/>
      </c>
    </row>
    <row r="327" spans="1:43">
      <c r="A327" s="253"/>
      <c r="B327" s="253"/>
      <c r="C327" s="253"/>
      <c r="D327" s="253"/>
      <c r="E327" s="253"/>
      <c r="F327" s="253"/>
      <c r="G327" s="253"/>
      <c r="H327" s="253"/>
      <c r="I327" s="253"/>
      <c r="J327" s="253"/>
      <c r="K327" s="253"/>
      <c r="L327" s="253"/>
      <c r="M327" s="253"/>
      <c r="N327" s="253"/>
      <c r="O327" s="253"/>
      <c r="P327" s="903"/>
      <c r="Q327" s="903"/>
      <c r="R327" s="903"/>
      <c r="S327" s="904" t="str">
        <f ca="1">IF(P327="","",IF(R327&lt;&gt;"",R327-P327,TODAY()-P327))</f>
        <v/>
      </c>
      <c r="T327" s="904" t="str">
        <f ca="1">IF(Q327="","",Q327-TODAY())</f>
        <v/>
      </c>
      <c r="U327" s="253"/>
      <c r="V327" s="253"/>
      <c r="W327" s="253"/>
      <c r="X327" s="253"/>
      <c r="Y327" s="253"/>
      <c r="Z327" s="253"/>
      <c r="AA327" s="253"/>
      <c r="AB327" s="253"/>
      <c r="AC327" s="253"/>
      <c r="AD327" s="253"/>
      <c r="AE327" s="253"/>
      <c r="AF327" s="253"/>
      <c r="AG327" s="253"/>
      <c r="AH327" s="253"/>
      <c r="AI327" s="253"/>
      <c r="AJ327" s="253"/>
      <c r="AK327" s="253"/>
      <c r="AL327" s="253"/>
      <c r="AM327" s="253"/>
      <c r="AN327" s="903"/>
      <c r="AO327" s="253" t="str">
        <f>IF(Z327="Yes",COUNTIF($Z$6:Z327,"Yes"),"")</f>
        <v/>
      </c>
      <c r="AP327" s="253" t="str">
        <f>IF(AA327="Yes",COUNTIF($AA$6:AA327,"Yes"),"")</f>
        <v/>
      </c>
      <c r="AQ327" s="253" t="str">
        <f>IF(AC327="Yes",COUNTIF($AC$6:AC327,"Yes"),"")</f>
        <v/>
      </c>
    </row>
    <row r="328" spans="1:43">
      <c r="A328" s="253"/>
      <c r="B328" s="253"/>
      <c r="C328" s="253"/>
      <c r="D328" s="253"/>
      <c r="E328" s="253"/>
      <c r="F328" s="253"/>
      <c r="G328" s="253"/>
      <c r="H328" s="253"/>
      <c r="I328" s="253"/>
      <c r="J328" s="253"/>
      <c r="K328" s="253"/>
      <c r="L328" s="253"/>
      <c r="M328" s="253"/>
      <c r="N328" s="253"/>
      <c r="O328" s="253"/>
      <c r="P328" s="903"/>
      <c r="Q328" s="903"/>
      <c r="R328" s="903"/>
      <c r="S328" s="904" t="str">
        <f ca="1">IF(P328="","",IF(R328&lt;&gt;"",R328-P328,TODAY()-P328))</f>
        <v/>
      </c>
      <c r="T328" s="904" t="str">
        <f ca="1">IF(Q328="","",Q328-TODAY())</f>
        <v/>
      </c>
      <c r="U328" s="253"/>
      <c r="V328" s="253"/>
      <c r="W328" s="253"/>
      <c r="X328" s="253"/>
      <c r="Y328" s="253"/>
      <c r="Z328" s="253"/>
      <c r="AA328" s="253"/>
      <c r="AB328" s="253"/>
      <c r="AC328" s="253"/>
      <c r="AD328" s="253"/>
      <c r="AE328" s="253"/>
      <c r="AF328" s="253"/>
      <c r="AG328" s="253"/>
      <c r="AH328" s="253"/>
      <c r="AI328" s="253"/>
      <c r="AJ328" s="253"/>
      <c r="AK328" s="253"/>
      <c r="AL328" s="253"/>
      <c r="AM328" s="253"/>
      <c r="AN328" s="903"/>
      <c r="AO328" s="253" t="str">
        <f>IF(Z328="Yes",COUNTIF($Z$6:Z328,"Yes"),"")</f>
        <v/>
      </c>
      <c r="AP328" s="253" t="str">
        <f>IF(AA328="Yes",COUNTIF($AA$6:AA328,"Yes"),"")</f>
        <v/>
      </c>
      <c r="AQ328" s="253" t="str">
        <f>IF(AC328="Yes",COUNTIF($AC$6:AC328,"Yes"),"")</f>
        <v/>
      </c>
    </row>
    <row r="329" spans="1:43">
      <c r="A329" s="253"/>
      <c r="B329" s="253"/>
      <c r="C329" s="253"/>
      <c r="D329" s="253"/>
      <c r="E329" s="253"/>
      <c r="F329" s="253"/>
      <c r="G329" s="253"/>
      <c r="H329" s="253"/>
      <c r="I329" s="253"/>
      <c r="J329" s="253"/>
      <c r="K329" s="253"/>
      <c r="L329" s="253"/>
      <c r="M329" s="253"/>
      <c r="N329" s="253"/>
      <c r="O329" s="253"/>
      <c r="P329" s="903"/>
      <c r="Q329" s="903"/>
      <c r="R329" s="903"/>
      <c r="S329" s="904" t="str">
        <f ca="1">IF(P329="","",IF(R329&lt;&gt;"",R329-P329,TODAY()-P329))</f>
        <v/>
      </c>
      <c r="T329" s="904" t="str">
        <f ca="1">IF(Q329="","",Q329-TODAY())</f>
        <v/>
      </c>
      <c r="U329" s="253"/>
      <c r="V329" s="253"/>
      <c r="W329" s="253"/>
      <c r="X329" s="253"/>
      <c r="Y329" s="253"/>
      <c r="Z329" s="253"/>
      <c r="AA329" s="253"/>
      <c r="AB329" s="253"/>
      <c r="AC329" s="253"/>
      <c r="AD329" s="253"/>
      <c r="AE329" s="253"/>
      <c r="AF329" s="253"/>
      <c r="AG329" s="253"/>
      <c r="AH329" s="253"/>
      <c r="AI329" s="253"/>
      <c r="AJ329" s="253"/>
      <c r="AK329" s="253"/>
      <c r="AL329" s="253"/>
      <c r="AM329" s="253"/>
      <c r="AN329" s="903"/>
      <c r="AO329" s="253" t="str">
        <f>IF(Z329="Yes",COUNTIF($Z$6:Z329,"Yes"),"")</f>
        <v/>
      </c>
      <c r="AP329" s="253" t="str">
        <f>IF(AA329="Yes",COUNTIF($AA$6:AA329,"Yes"),"")</f>
        <v/>
      </c>
      <c r="AQ329" s="253" t="str">
        <f>IF(AC329="Yes",COUNTIF($AC$6:AC329,"Yes"),"")</f>
        <v/>
      </c>
    </row>
    <row r="330" spans="1:43">
      <c r="A330" s="253"/>
      <c r="B330" s="253"/>
      <c r="C330" s="253"/>
      <c r="D330" s="253"/>
      <c r="E330" s="253"/>
      <c r="F330" s="253"/>
      <c r="G330" s="253"/>
      <c r="H330" s="253"/>
      <c r="I330" s="253"/>
      <c r="J330" s="253"/>
      <c r="K330" s="253"/>
      <c r="L330" s="253"/>
      <c r="M330" s="253"/>
      <c r="N330" s="253"/>
      <c r="O330" s="253"/>
      <c r="P330" s="903"/>
      <c r="Q330" s="903"/>
      <c r="R330" s="903"/>
      <c r="S330" s="904" t="str">
        <f ca="1">IF(P330="","",IF(R330&lt;&gt;"",R330-P330,TODAY()-P330))</f>
        <v/>
      </c>
      <c r="T330" s="904" t="str">
        <f ca="1">IF(Q330="","",Q330-TODAY())</f>
        <v/>
      </c>
      <c r="U330" s="253"/>
      <c r="V330" s="253"/>
      <c r="W330" s="253"/>
      <c r="X330" s="253"/>
      <c r="Y330" s="253"/>
      <c r="Z330" s="253"/>
      <c r="AA330" s="253"/>
      <c r="AB330" s="253"/>
      <c r="AC330" s="253"/>
      <c r="AD330" s="253"/>
      <c r="AE330" s="253"/>
      <c r="AF330" s="253"/>
      <c r="AG330" s="253"/>
      <c r="AH330" s="253"/>
      <c r="AI330" s="253"/>
      <c r="AJ330" s="253"/>
      <c r="AK330" s="253"/>
      <c r="AL330" s="253"/>
      <c r="AM330" s="253"/>
      <c r="AN330" s="903"/>
      <c r="AO330" s="253" t="str">
        <f>IF(Z330="Yes",COUNTIF($Z$6:Z330,"Yes"),"")</f>
        <v/>
      </c>
      <c r="AP330" s="253" t="str">
        <f>IF(AA330="Yes",COUNTIF($AA$6:AA330,"Yes"),"")</f>
        <v/>
      </c>
      <c r="AQ330" s="253" t="str">
        <f>IF(AC330="Yes",COUNTIF($AC$6:AC330,"Yes"),"")</f>
        <v/>
      </c>
    </row>
    <row r="331" spans="1:43">
      <c r="A331" s="253"/>
      <c r="B331" s="253"/>
      <c r="C331" s="253"/>
      <c r="D331" s="253"/>
      <c r="E331" s="253"/>
      <c r="F331" s="253"/>
      <c r="G331" s="253"/>
      <c r="H331" s="253"/>
      <c r="I331" s="253"/>
      <c r="J331" s="253"/>
      <c r="K331" s="253"/>
      <c r="L331" s="253"/>
      <c r="M331" s="253"/>
      <c r="N331" s="253"/>
      <c r="O331" s="253"/>
      <c r="P331" s="903"/>
      <c r="Q331" s="903"/>
      <c r="R331" s="903"/>
      <c r="S331" s="904" t="str">
        <f ca="1">IF(P331="","",IF(R331&lt;&gt;"",R331-P331,TODAY()-P331))</f>
        <v/>
      </c>
      <c r="T331" s="904" t="str">
        <f ca="1">IF(Q331="","",Q331-TODAY())</f>
        <v/>
      </c>
      <c r="U331" s="253"/>
      <c r="V331" s="253"/>
      <c r="W331" s="253"/>
      <c r="X331" s="253"/>
      <c r="Y331" s="253"/>
      <c r="Z331" s="253"/>
      <c r="AA331" s="253"/>
      <c r="AB331" s="253"/>
      <c r="AC331" s="253"/>
      <c r="AD331" s="253"/>
      <c r="AE331" s="253"/>
      <c r="AF331" s="253"/>
      <c r="AG331" s="253"/>
      <c r="AH331" s="253"/>
      <c r="AI331" s="253"/>
      <c r="AJ331" s="253"/>
      <c r="AK331" s="253"/>
      <c r="AL331" s="253"/>
      <c r="AM331" s="253"/>
      <c r="AN331" s="903"/>
      <c r="AO331" s="253" t="str">
        <f>IF(Z331="Yes",COUNTIF($Z$6:Z331,"Yes"),"")</f>
        <v/>
      </c>
      <c r="AP331" s="253" t="str">
        <f>IF(AA331="Yes",COUNTIF($AA$6:AA331,"Yes"),"")</f>
        <v/>
      </c>
      <c r="AQ331" s="253" t="str">
        <f>IF(AC331="Yes",COUNTIF($AC$6:AC331,"Yes"),"")</f>
        <v/>
      </c>
    </row>
    <row r="332" spans="1:43">
      <c r="A332" s="253"/>
      <c r="B332" s="253"/>
      <c r="C332" s="253"/>
      <c r="D332" s="253"/>
      <c r="E332" s="253"/>
      <c r="F332" s="253"/>
      <c r="G332" s="253"/>
      <c r="H332" s="253"/>
      <c r="I332" s="253"/>
      <c r="J332" s="253"/>
      <c r="K332" s="253"/>
      <c r="L332" s="253"/>
      <c r="M332" s="253"/>
      <c r="N332" s="253"/>
      <c r="O332" s="253"/>
      <c r="P332" s="903"/>
      <c r="Q332" s="903"/>
      <c r="R332" s="903"/>
      <c r="S332" s="904" t="str">
        <f ca="1">IF(P332="","",IF(R332&lt;&gt;"",R332-P332,TODAY()-P332))</f>
        <v/>
      </c>
      <c r="T332" s="904" t="str">
        <f ca="1">IF(Q332="","",Q332-TODAY())</f>
        <v/>
      </c>
      <c r="U332" s="253"/>
      <c r="V332" s="253"/>
      <c r="W332" s="253"/>
      <c r="X332" s="253"/>
      <c r="Y332" s="253"/>
      <c r="Z332" s="253"/>
      <c r="AA332" s="253"/>
      <c r="AB332" s="253"/>
      <c r="AC332" s="253"/>
      <c r="AD332" s="253"/>
      <c r="AE332" s="253"/>
      <c r="AF332" s="253"/>
      <c r="AG332" s="253"/>
      <c r="AH332" s="253"/>
      <c r="AI332" s="253"/>
      <c r="AJ332" s="253"/>
      <c r="AK332" s="253"/>
      <c r="AL332" s="253"/>
      <c r="AM332" s="253"/>
      <c r="AN332" s="903"/>
      <c r="AO332" s="253" t="str">
        <f>IF(Z332="Yes",COUNTIF($Z$6:Z332,"Yes"),"")</f>
        <v/>
      </c>
      <c r="AP332" s="253" t="str">
        <f>IF(AA332="Yes",COUNTIF($AA$6:AA332,"Yes"),"")</f>
        <v/>
      </c>
      <c r="AQ332" s="253" t="str">
        <f>IF(AC332="Yes",COUNTIF($AC$6:AC332,"Yes"),"")</f>
        <v/>
      </c>
    </row>
    <row r="333" spans="1:43">
      <c r="A333" s="253"/>
      <c r="B333" s="253"/>
      <c r="C333" s="253"/>
      <c r="D333" s="253"/>
      <c r="E333" s="253"/>
      <c r="F333" s="253"/>
      <c r="G333" s="253"/>
      <c r="H333" s="253"/>
      <c r="I333" s="253"/>
      <c r="J333" s="253"/>
      <c r="K333" s="253"/>
      <c r="L333" s="253"/>
      <c r="M333" s="253"/>
      <c r="N333" s="253"/>
      <c r="O333" s="253"/>
      <c r="P333" s="903"/>
      <c r="Q333" s="903"/>
      <c r="R333" s="903"/>
      <c r="S333" s="904" t="str">
        <f ca="1">IF(P333="","",IF(R333&lt;&gt;"",R333-P333,TODAY()-P333))</f>
        <v/>
      </c>
      <c r="T333" s="904" t="str">
        <f ca="1">IF(Q333="","",Q333-TODAY())</f>
        <v/>
      </c>
      <c r="U333" s="253"/>
      <c r="V333" s="253"/>
      <c r="W333" s="253"/>
      <c r="X333" s="253"/>
      <c r="Y333" s="253"/>
      <c r="Z333" s="253"/>
      <c r="AA333" s="253"/>
      <c r="AB333" s="253"/>
      <c r="AC333" s="253"/>
      <c r="AD333" s="253"/>
      <c r="AE333" s="253"/>
      <c r="AF333" s="253"/>
      <c r="AG333" s="253"/>
      <c r="AH333" s="253"/>
      <c r="AI333" s="253"/>
      <c r="AJ333" s="253"/>
      <c r="AK333" s="253"/>
      <c r="AL333" s="253"/>
      <c r="AM333" s="253"/>
      <c r="AN333" s="903"/>
      <c r="AO333" s="253" t="str">
        <f>IF(Z333="Yes",COUNTIF($Z$6:Z333,"Yes"),"")</f>
        <v/>
      </c>
      <c r="AP333" s="253" t="str">
        <f>IF(AA333="Yes",COUNTIF($AA$6:AA333,"Yes"),"")</f>
        <v/>
      </c>
      <c r="AQ333" s="253" t="str">
        <f>IF(AC333="Yes",COUNTIF($AC$6:AC333,"Yes"),"")</f>
        <v/>
      </c>
    </row>
    <row r="334" spans="1:43">
      <c r="A334" s="253"/>
      <c r="B334" s="253"/>
      <c r="C334" s="253"/>
      <c r="D334" s="253"/>
      <c r="E334" s="253"/>
      <c r="F334" s="253"/>
      <c r="G334" s="253"/>
      <c r="H334" s="253"/>
      <c r="I334" s="253"/>
      <c r="J334" s="253"/>
      <c r="K334" s="253"/>
      <c r="L334" s="253"/>
      <c r="M334" s="253"/>
      <c r="N334" s="253"/>
      <c r="O334" s="253"/>
      <c r="P334" s="903"/>
      <c r="Q334" s="903"/>
      <c r="R334" s="903"/>
      <c r="S334" s="904" t="str">
        <f ca="1">IF(P334="","",IF(R334&lt;&gt;"",R334-P334,TODAY()-P334))</f>
        <v/>
      </c>
      <c r="T334" s="904" t="str">
        <f ca="1">IF(Q334="","",Q334-TODAY())</f>
        <v/>
      </c>
      <c r="U334" s="253"/>
      <c r="V334" s="253"/>
      <c r="W334" s="253"/>
      <c r="X334" s="253"/>
      <c r="Y334" s="253"/>
      <c r="Z334" s="253"/>
      <c r="AA334" s="253"/>
      <c r="AB334" s="253"/>
      <c r="AC334" s="253"/>
      <c r="AD334" s="253"/>
      <c r="AE334" s="253"/>
      <c r="AF334" s="253"/>
      <c r="AG334" s="253"/>
      <c r="AH334" s="253"/>
      <c r="AI334" s="253"/>
      <c r="AJ334" s="253"/>
      <c r="AK334" s="253"/>
      <c r="AL334" s="253"/>
      <c r="AM334" s="253"/>
      <c r="AN334" s="903"/>
      <c r="AO334" s="253" t="str">
        <f>IF(Z334="Yes",COUNTIF($Z$6:Z334,"Yes"),"")</f>
        <v/>
      </c>
      <c r="AP334" s="253" t="str">
        <f>IF(AA334="Yes",COUNTIF($AA$6:AA334,"Yes"),"")</f>
        <v/>
      </c>
      <c r="AQ334" s="253" t="str">
        <f>IF(AC334="Yes",COUNTIF($AC$6:AC334,"Yes"),"")</f>
        <v/>
      </c>
    </row>
    <row r="335" spans="1:43">
      <c r="A335" s="253"/>
      <c r="B335" s="253"/>
      <c r="C335" s="253"/>
      <c r="D335" s="253"/>
      <c r="E335" s="253"/>
      <c r="F335" s="253"/>
      <c r="G335" s="253"/>
      <c r="H335" s="253"/>
      <c r="I335" s="253"/>
      <c r="J335" s="253"/>
      <c r="K335" s="253"/>
      <c r="L335" s="253"/>
      <c r="M335" s="253"/>
      <c r="N335" s="253"/>
      <c r="O335" s="253"/>
      <c r="P335" s="903"/>
      <c r="Q335" s="903"/>
      <c r="R335" s="903"/>
      <c r="S335" s="904" t="str">
        <f ca="1">IF(P335="","",IF(R335&lt;&gt;"",R335-P335,TODAY()-P335))</f>
        <v/>
      </c>
      <c r="T335" s="904" t="str">
        <f ca="1">IF(Q335="","",Q335-TODAY())</f>
        <v/>
      </c>
      <c r="U335" s="253"/>
      <c r="V335" s="253"/>
      <c r="W335" s="253"/>
      <c r="X335" s="253"/>
      <c r="Y335" s="253"/>
      <c r="Z335" s="253"/>
      <c r="AA335" s="253"/>
      <c r="AB335" s="253"/>
      <c r="AC335" s="253"/>
      <c r="AD335" s="253"/>
      <c r="AE335" s="253"/>
      <c r="AF335" s="253"/>
      <c r="AG335" s="253"/>
      <c r="AH335" s="253"/>
      <c r="AI335" s="253"/>
      <c r="AJ335" s="253"/>
      <c r="AK335" s="253"/>
      <c r="AL335" s="253"/>
      <c r="AM335" s="253"/>
      <c r="AN335" s="903"/>
      <c r="AO335" s="253" t="str">
        <f>IF(Z335="Yes",COUNTIF($Z$6:Z335,"Yes"),"")</f>
        <v/>
      </c>
      <c r="AP335" s="253" t="str">
        <f>IF(AA335="Yes",COUNTIF($AA$6:AA335,"Yes"),"")</f>
        <v/>
      </c>
      <c r="AQ335" s="253" t="str">
        <f>IF(AC335="Yes",COUNTIF($AC$6:AC335,"Yes"),"")</f>
        <v/>
      </c>
    </row>
    <row r="336" spans="1:43">
      <c r="A336" s="253"/>
      <c r="B336" s="253"/>
      <c r="C336" s="253"/>
      <c r="D336" s="253"/>
      <c r="E336" s="253"/>
      <c r="F336" s="253"/>
      <c r="G336" s="253"/>
      <c r="H336" s="253"/>
      <c r="I336" s="253"/>
      <c r="J336" s="253"/>
      <c r="K336" s="253"/>
      <c r="L336" s="253"/>
      <c r="M336" s="253"/>
      <c r="N336" s="253"/>
      <c r="O336" s="253"/>
      <c r="P336" s="903"/>
      <c r="Q336" s="903"/>
      <c r="R336" s="903"/>
      <c r="S336" s="904" t="str">
        <f ca="1">IF(P336="","",IF(R336&lt;&gt;"",R336-P336,TODAY()-P336))</f>
        <v/>
      </c>
      <c r="T336" s="904" t="str">
        <f ca="1">IF(Q336="","",Q336-TODAY())</f>
        <v/>
      </c>
      <c r="U336" s="253"/>
      <c r="V336" s="253"/>
      <c r="W336" s="253"/>
      <c r="X336" s="253"/>
      <c r="Y336" s="253"/>
      <c r="Z336" s="253"/>
      <c r="AA336" s="253"/>
      <c r="AB336" s="253"/>
      <c r="AC336" s="253"/>
      <c r="AD336" s="253"/>
      <c r="AE336" s="253"/>
      <c r="AF336" s="253"/>
      <c r="AG336" s="253"/>
      <c r="AH336" s="253"/>
      <c r="AI336" s="253"/>
      <c r="AJ336" s="253"/>
      <c r="AK336" s="253"/>
      <c r="AL336" s="253"/>
      <c r="AM336" s="253"/>
      <c r="AN336" s="903"/>
      <c r="AO336" s="253" t="str">
        <f>IF(Z336="Yes",COUNTIF($Z$6:Z336,"Yes"),"")</f>
        <v/>
      </c>
      <c r="AP336" s="253" t="str">
        <f>IF(AA336="Yes",COUNTIF($AA$6:AA336,"Yes"),"")</f>
        <v/>
      </c>
      <c r="AQ336" s="253" t="str">
        <f>IF(AC336="Yes",COUNTIF($AC$6:AC336,"Yes"),"")</f>
        <v/>
      </c>
    </row>
    <row r="337" spans="1:43">
      <c r="A337" s="253"/>
      <c r="B337" s="253"/>
      <c r="C337" s="253"/>
      <c r="D337" s="253"/>
      <c r="E337" s="253"/>
      <c r="F337" s="253"/>
      <c r="G337" s="253"/>
      <c r="H337" s="253"/>
      <c r="I337" s="253"/>
      <c r="J337" s="253"/>
      <c r="K337" s="253"/>
      <c r="L337" s="253"/>
      <c r="M337" s="253"/>
      <c r="N337" s="253"/>
      <c r="O337" s="253"/>
      <c r="P337" s="903"/>
      <c r="Q337" s="903"/>
      <c r="R337" s="903"/>
      <c r="S337" s="904" t="str">
        <f ca="1">IF(P337="","",IF(R337&lt;&gt;"",R337-P337,TODAY()-P337))</f>
        <v/>
      </c>
      <c r="T337" s="904" t="str">
        <f ca="1">IF(Q337="","",Q337-TODAY())</f>
        <v/>
      </c>
      <c r="U337" s="253"/>
      <c r="V337" s="253"/>
      <c r="W337" s="253"/>
      <c r="X337" s="253"/>
      <c r="Y337" s="253"/>
      <c r="Z337" s="253"/>
      <c r="AA337" s="253"/>
      <c r="AB337" s="253"/>
      <c r="AC337" s="253"/>
      <c r="AD337" s="253"/>
      <c r="AE337" s="253"/>
      <c r="AF337" s="253"/>
      <c r="AG337" s="253"/>
      <c r="AH337" s="253"/>
      <c r="AI337" s="253"/>
      <c r="AJ337" s="253"/>
      <c r="AK337" s="253"/>
      <c r="AL337" s="253"/>
      <c r="AM337" s="253"/>
      <c r="AN337" s="903"/>
      <c r="AO337" s="253" t="str">
        <f>IF(Z337="Yes",COUNTIF($Z$6:Z337,"Yes"),"")</f>
        <v/>
      </c>
      <c r="AP337" s="253" t="str">
        <f>IF(AA337="Yes",COUNTIF($AA$6:AA337,"Yes"),"")</f>
        <v/>
      </c>
      <c r="AQ337" s="253" t="str">
        <f>IF(AC337="Yes",COUNTIF($AC$6:AC337,"Yes"),"")</f>
        <v/>
      </c>
    </row>
    <row r="338" spans="1:43">
      <c r="A338" s="253"/>
      <c r="B338" s="253"/>
      <c r="C338" s="253"/>
      <c r="D338" s="253"/>
      <c r="E338" s="253"/>
      <c r="F338" s="253"/>
      <c r="G338" s="253"/>
      <c r="H338" s="253"/>
      <c r="I338" s="253"/>
      <c r="J338" s="253"/>
      <c r="K338" s="253"/>
      <c r="L338" s="253"/>
      <c r="M338" s="253"/>
      <c r="N338" s="253"/>
      <c r="O338" s="253"/>
      <c r="P338" s="903"/>
      <c r="Q338" s="903"/>
      <c r="R338" s="903"/>
      <c r="S338" s="904" t="str">
        <f ca="1">IF(P338="","",IF(R338&lt;&gt;"",R338-P338,TODAY()-P338))</f>
        <v/>
      </c>
      <c r="T338" s="904" t="str">
        <f ca="1">IF(Q338="","",Q338-TODAY())</f>
        <v/>
      </c>
      <c r="U338" s="253"/>
      <c r="V338" s="253"/>
      <c r="W338" s="253"/>
      <c r="X338" s="253"/>
      <c r="Y338" s="253"/>
      <c r="Z338" s="253"/>
      <c r="AA338" s="253"/>
      <c r="AB338" s="253"/>
      <c r="AC338" s="253"/>
      <c r="AD338" s="253"/>
      <c r="AE338" s="253"/>
      <c r="AF338" s="253"/>
      <c r="AG338" s="253"/>
      <c r="AH338" s="253"/>
      <c r="AI338" s="253"/>
      <c r="AJ338" s="253"/>
      <c r="AK338" s="253"/>
      <c r="AL338" s="253"/>
      <c r="AM338" s="253"/>
      <c r="AN338" s="903"/>
      <c r="AO338" s="253" t="str">
        <f>IF(Z338="Yes",COUNTIF($Z$6:Z338,"Yes"),"")</f>
        <v/>
      </c>
      <c r="AP338" s="253" t="str">
        <f>IF(AA338="Yes",COUNTIF($AA$6:AA338,"Yes"),"")</f>
        <v/>
      </c>
      <c r="AQ338" s="253" t="str">
        <f>IF(AC338="Yes",COUNTIF($AC$6:AC338,"Yes"),"")</f>
        <v/>
      </c>
    </row>
    <row r="339" spans="1:43">
      <c r="A339" s="253"/>
      <c r="B339" s="253"/>
      <c r="C339" s="253"/>
      <c r="D339" s="253"/>
      <c r="E339" s="253"/>
      <c r="F339" s="253"/>
      <c r="G339" s="253"/>
      <c r="H339" s="253"/>
      <c r="I339" s="253"/>
      <c r="J339" s="253"/>
      <c r="K339" s="253"/>
      <c r="L339" s="253"/>
      <c r="M339" s="253"/>
      <c r="N339" s="253"/>
      <c r="O339" s="253"/>
      <c r="P339" s="903"/>
      <c r="Q339" s="903"/>
      <c r="R339" s="903"/>
      <c r="S339" s="904" t="str">
        <f ca="1">IF(P339="","",IF(R339&lt;&gt;"",R339-P339,TODAY()-P339))</f>
        <v/>
      </c>
      <c r="T339" s="904" t="str">
        <f ca="1">IF(Q339="","",Q339-TODAY())</f>
        <v/>
      </c>
      <c r="U339" s="253"/>
      <c r="V339" s="253"/>
      <c r="W339" s="253"/>
      <c r="X339" s="253"/>
      <c r="Y339" s="253"/>
      <c r="Z339" s="253"/>
      <c r="AA339" s="253"/>
      <c r="AB339" s="253"/>
      <c r="AC339" s="253"/>
      <c r="AD339" s="253"/>
      <c r="AE339" s="253"/>
      <c r="AF339" s="253"/>
      <c r="AG339" s="253"/>
      <c r="AH339" s="253"/>
      <c r="AI339" s="253"/>
      <c r="AJ339" s="253"/>
      <c r="AK339" s="253"/>
      <c r="AL339" s="253"/>
      <c r="AM339" s="253"/>
      <c r="AN339" s="903"/>
      <c r="AO339" s="253" t="str">
        <f>IF(Z339="Yes",COUNTIF($Z$6:Z339,"Yes"),"")</f>
        <v/>
      </c>
      <c r="AP339" s="253" t="str">
        <f>IF(AA339="Yes",COUNTIF($AA$6:AA339,"Yes"),"")</f>
        <v/>
      </c>
      <c r="AQ339" s="253" t="str">
        <f>IF(AC339="Yes",COUNTIF($AC$6:AC339,"Yes"),"")</f>
        <v/>
      </c>
    </row>
    <row r="340" spans="1:43">
      <c r="A340" s="253"/>
      <c r="B340" s="253"/>
      <c r="C340" s="253"/>
      <c r="D340" s="253"/>
      <c r="E340" s="253"/>
      <c r="F340" s="253"/>
      <c r="G340" s="253"/>
      <c r="H340" s="253"/>
      <c r="I340" s="253"/>
      <c r="J340" s="253"/>
      <c r="K340" s="253"/>
      <c r="L340" s="253"/>
      <c r="M340" s="253"/>
      <c r="N340" s="253"/>
      <c r="O340" s="253"/>
      <c r="P340" s="903"/>
      <c r="Q340" s="903"/>
      <c r="R340" s="903"/>
      <c r="S340" s="904" t="str">
        <f ca="1">IF(P340="","",IF(R340&lt;&gt;"",R340-P340,TODAY()-P340))</f>
        <v/>
      </c>
      <c r="T340" s="904" t="str">
        <f ca="1">IF(Q340="","",Q340-TODAY())</f>
        <v/>
      </c>
      <c r="U340" s="253"/>
      <c r="V340" s="253"/>
      <c r="W340" s="253"/>
      <c r="X340" s="253"/>
      <c r="Y340" s="253"/>
      <c r="Z340" s="253"/>
      <c r="AA340" s="253"/>
      <c r="AB340" s="253"/>
      <c r="AC340" s="253"/>
      <c r="AD340" s="253"/>
      <c r="AE340" s="253"/>
      <c r="AF340" s="253"/>
      <c r="AG340" s="253"/>
      <c r="AH340" s="253"/>
      <c r="AI340" s="253"/>
      <c r="AJ340" s="253"/>
      <c r="AK340" s="253"/>
      <c r="AL340" s="253"/>
      <c r="AM340" s="253"/>
      <c r="AN340" s="903"/>
      <c r="AO340" s="253" t="str">
        <f>IF(Z340="Yes",COUNTIF($Z$6:Z340,"Yes"),"")</f>
        <v/>
      </c>
      <c r="AP340" s="253" t="str">
        <f>IF(AA340="Yes",COUNTIF($AA$6:AA340,"Yes"),"")</f>
        <v/>
      </c>
      <c r="AQ340" s="253" t="str">
        <f>IF(AC340="Yes",COUNTIF($AC$6:AC340,"Yes"),"")</f>
        <v/>
      </c>
    </row>
    <row r="341" spans="1:43">
      <c r="A341" s="253"/>
      <c r="B341" s="253"/>
      <c r="C341" s="253"/>
      <c r="D341" s="253"/>
      <c r="E341" s="253"/>
      <c r="F341" s="253"/>
      <c r="G341" s="253"/>
      <c r="H341" s="253"/>
      <c r="I341" s="253"/>
      <c r="J341" s="253"/>
      <c r="K341" s="253"/>
      <c r="L341" s="253"/>
      <c r="M341" s="253"/>
      <c r="N341" s="253"/>
      <c r="O341" s="253"/>
      <c r="P341" s="903"/>
      <c r="Q341" s="903"/>
      <c r="R341" s="903"/>
      <c r="S341" s="904" t="str">
        <f ca="1">IF(P341="","",IF(R341&lt;&gt;"",R341-P341,TODAY()-P341))</f>
        <v/>
      </c>
      <c r="T341" s="904" t="str">
        <f ca="1">IF(Q341="","",Q341-TODAY())</f>
        <v/>
      </c>
      <c r="U341" s="253"/>
      <c r="V341" s="253"/>
      <c r="W341" s="253"/>
      <c r="X341" s="253"/>
      <c r="Y341" s="253"/>
      <c r="Z341" s="253"/>
      <c r="AA341" s="253"/>
      <c r="AB341" s="253"/>
      <c r="AC341" s="253"/>
      <c r="AD341" s="253"/>
      <c r="AE341" s="253"/>
      <c r="AF341" s="253"/>
      <c r="AG341" s="253"/>
      <c r="AH341" s="253"/>
      <c r="AI341" s="253"/>
      <c r="AJ341" s="253"/>
      <c r="AK341" s="253"/>
      <c r="AL341" s="253"/>
      <c r="AM341" s="253"/>
      <c r="AN341" s="903"/>
      <c r="AO341" s="253" t="str">
        <f>IF(Z341="Yes",COUNTIF($Z$6:Z341,"Yes"),"")</f>
        <v/>
      </c>
      <c r="AP341" s="253" t="str">
        <f>IF(AA341="Yes",COUNTIF($AA$6:AA341,"Yes"),"")</f>
        <v/>
      </c>
      <c r="AQ341" s="253" t="str">
        <f>IF(AC341="Yes",COUNTIF($AC$6:AC341,"Yes"),"")</f>
        <v/>
      </c>
    </row>
    <row r="342" spans="1:43">
      <c r="A342" s="253"/>
      <c r="B342" s="253"/>
      <c r="C342" s="253"/>
      <c r="D342" s="253"/>
      <c r="E342" s="253"/>
      <c r="F342" s="253"/>
      <c r="G342" s="253"/>
      <c r="H342" s="253"/>
      <c r="I342" s="253"/>
      <c r="J342" s="253"/>
      <c r="K342" s="253"/>
      <c r="L342" s="253"/>
      <c r="M342" s="253"/>
      <c r="N342" s="253"/>
      <c r="O342" s="253"/>
      <c r="P342" s="903"/>
      <c r="Q342" s="903"/>
      <c r="R342" s="903"/>
      <c r="S342" s="904" t="str">
        <f ca="1">IF(P342="","",IF(R342&lt;&gt;"",R342-P342,TODAY()-P342))</f>
        <v/>
      </c>
      <c r="T342" s="904" t="str">
        <f ca="1">IF(Q342="","",Q342-TODAY())</f>
        <v/>
      </c>
      <c r="U342" s="253"/>
      <c r="V342" s="253"/>
      <c r="W342" s="253"/>
      <c r="X342" s="253"/>
      <c r="Y342" s="253"/>
      <c r="Z342" s="253"/>
      <c r="AA342" s="253"/>
      <c r="AB342" s="253"/>
      <c r="AC342" s="253"/>
      <c r="AD342" s="253"/>
      <c r="AE342" s="253"/>
      <c r="AF342" s="253"/>
      <c r="AG342" s="253"/>
      <c r="AH342" s="253"/>
      <c r="AI342" s="253"/>
      <c r="AJ342" s="253"/>
      <c r="AK342" s="253"/>
      <c r="AL342" s="253"/>
      <c r="AM342" s="253"/>
      <c r="AN342" s="903"/>
      <c r="AO342" s="253" t="str">
        <f>IF(Z342="Yes",COUNTIF($Z$6:Z342,"Yes"),"")</f>
        <v/>
      </c>
      <c r="AP342" s="253" t="str">
        <f>IF(AA342="Yes",COUNTIF($AA$6:AA342,"Yes"),"")</f>
        <v/>
      </c>
      <c r="AQ342" s="253" t="str">
        <f>IF(AC342="Yes",COUNTIF($AC$6:AC342,"Yes"),"")</f>
        <v/>
      </c>
    </row>
    <row r="343" spans="1:43">
      <c r="A343" s="253"/>
      <c r="B343" s="253"/>
      <c r="C343" s="253"/>
      <c r="D343" s="253"/>
      <c r="E343" s="253"/>
      <c r="F343" s="253"/>
      <c r="G343" s="253"/>
      <c r="H343" s="253"/>
      <c r="I343" s="253"/>
      <c r="J343" s="253"/>
      <c r="K343" s="253"/>
      <c r="L343" s="253"/>
      <c r="M343" s="253"/>
      <c r="N343" s="253"/>
      <c r="O343" s="253"/>
      <c r="P343" s="903"/>
      <c r="Q343" s="903"/>
      <c r="R343" s="903"/>
      <c r="S343" s="904" t="str">
        <f ca="1">IF(P343="","",IF(R343&lt;&gt;"",R343-P343,TODAY()-P343))</f>
        <v/>
      </c>
      <c r="T343" s="904" t="str">
        <f ca="1">IF(Q343="","",Q343-TODAY())</f>
        <v/>
      </c>
      <c r="U343" s="253"/>
      <c r="V343" s="253"/>
      <c r="W343" s="253"/>
      <c r="X343" s="253"/>
      <c r="Y343" s="253"/>
      <c r="Z343" s="253"/>
      <c r="AA343" s="253"/>
      <c r="AB343" s="253"/>
      <c r="AC343" s="253"/>
      <c r="AD343" s="253"/>
      <c r="AE343" s="253"/>
      <c r="AF343" s="253"/>
      <c r="AG343" s="253"/>
      <c r="AH343" s="253"/>
      <c r="AI343" s="253"/>
      <c r="AJ343" s="253"/>
      <c r="AK343" s="253"/>
      <c r="AL343" s="253"/>
      <c r="AM343" s="253"/>
      <c r="AN343" s="903"/>
      <c r="AO343" s="253" t="str">
        <f>IF(Z343="Yes",COUNTIF($Z$6:Z343,"Yes"),"")</f>
        <v/>
      </c>
      <c r="AP343" s="253" t="str">
        <f>IF(AA343="Yes",COUNTIF($AA$6:AA343,"Yes"),"")</f>
        <v/>
      </c>
      <c r="AQ343" s="253" t="str">
        <f>IF(AC343="Yes",COUNTIF($AC$6:AC343,"Yes"),"")</f>
        <v/>
      </c>
    </row>
    <row r="344" spans="1:43">
      <c r="A344" s="253"/>
      <c r="B344" s="253"/>
      <c r="C344" s="253"/>
      <c r="D344" s="253"/>
      <c r="E344" s="253"/>
      <c r="F344" s="253"/>
      <c r="G344" s="253"/>
      <c r="H344" s="253"/>
      <c r="I344" s="253"/>
      <c r="J344" s="253"/>
      <c r="K344" s="253"/>
      <c r="L344" s="253"/>
      <c r="M344" s="253"/>
      <c r="N344" s="253"/>
      <c r="O344" s="253"/>
      <c r="P344" s="903"/>
      <c r="Q344" s="903"/>
      <c r="R344" s="903"/>
      <c r="S344" s="904" t="str">
        <f ca="1">IF(P344="","",IF(R344&lt;&gt;"",R344-P344,TODAY()-P344))</f>
        <v/>
      </c>
      <c r="T344" s="904" t="str">
        <f ca="1">IF(Q344="","",Q344-TODAY())</f>
        <v/>
      </c>
      <c r="U344" s="253"/>
      <c r="V344" s="253"/>
      <c r="W344" s="253"/>
      <c r="X344" s="253"/>
      <c r="Y344" s="253"/>
      <c r="Z344" s="253"/>
      <c r="AA344" s="253"/>
      <c r="AB344" s="253"/>
      <c r="AC344" s="253"/>
      <c r="AD344" s="253"/>
      <c r="AE344" s="253"/>
      <c r="AF344" s="253"/>
      <c r="AG344" s="253"/>
      <c r="AH344" s="253"/>
      <c r="AI344" s="253"/>
      <c r="AJ344" s="253"/>
      <c r="AK344" s="253"/>
      <c r="AL344" s="253"/>
      <c r="AM344" s="253"/>
      <c r="AN344" s="903"/>
      <c r="AO344" s="253" t="str">
        <f>IF(Z344="Yes",COUNTIF($Z$6:Z344,"Yes"),"")</f>
        <v/>
      </c>
      <c r="AP344" s="253" t="str">
        <f>IF(AA344="Yes",COUNTIF($AA$6:AA344,"Yes"),"")</f>
        <v/>
      </c>
      <c r="AQ344" s="253" t="str">
        <f>IF(AC344="Yes",COUNTIF($AC$6:AC344,"Yes"),"")</f>
        <v/>
      </c>
    </row>
    <row r="345" spans="1:43">
      <c r="A345" s="253"/>
      <c r="B345" s="253"/>
      <c r="C345" s="253"/>
      <c r="D345" s="253"/>
      <c r="E345" s="253"/>
      <c r="F345" s="253"/>
      <c r="G345" s="253"/>
      <c r="H345" s="253"/>
      <c r="I345" s="253"/>
      <c r="J345" s="253"/>
      <c r="K345" s="253"/>
      <c r="L345" s="253"/>
      <c r="M345" s="253"/>
      <c r="N345" s="253"/>
      <c r="O345" s="253"/>
      <c r="P345" s="903"/>
      <c r="Q345" s="903"/>
      <c r="R345" s="903"/>
      <c r="S345" s="904" t="str">
        <f ca="1">IF(P345="","",IF(R345&lt;&gt;"",R345-P345,TODAY()-P345))</f>
        <v/>
      </c>
      <c r="T345" s="904" t="str">
        <f ca="1">IF(Q345="","",Q345-TODAY())</f>
        <v/>
      </c>
      <c r="U345" s="253"/>
      <c r="V345" s="253"/>
      <c r="W345" s="253"/>
      <c r="X345" s="253"/>
      <c r="Y345" s="253"/>
      <c r="Z345" s="253"/>
      <c r="AA345" s="253"/>
      <c r="AB345" s="253"/>
      <c r="AC345" s="253"/>
      <c r="AD345" s="253"/>
      <c r="AE345" s="253"/>
      <c r="AF345" s="253"/>
      <c r="AG345" s="253"/>
      <c r="AH345" s="253"/>
      <c r="AI345" s="253"/>
      <c r="AJ345" s="253"/>
      <c r="AK345" s="253"/>
      <c r="AL345" s="253"/>
      <c r="AM345" s="253"/>
      <c r="AN345" s="903"/>
      <c r="AO345" s="253" t="str">
        <f>IF(Z345="Yes",COUNTIF($Z$6:Z345,"Yes"),"")</f>
        <v/>
      </c>
      <c r="AP345" s="253" t="str">
        <f>IF(AA345="Yes",COUNTIF($AA$6:AA345,"Yes"),"")</f>
        <v/>
      </c>
      <c r="AQ345" s="253" t="str">
        <f>IF(AC345="Yes",COUNTIF($AC$6:AC345,"Yes"),"")</f>
        <v/>
      </c>
    </row>
    <row r="346" spans="1:43">
      <c r="A346" s="253"/>
      <c r="B346" s="253"/>
      <c r="C346" s="253"/>
      <c r="D346" s="253"/>
      <c r="E346" s="253"/>
      <c r="F346" s="253"/>
      <c r="G346" s="253"/>
      <c r="H346" s="253"/>
      <c r="I346" s="253"/>
      <c r="J346" s="253"/>
      <c r="K346" s="253"/>
      <c r="L346" s="253"/>
      <c r="M346" s="253"/>
      <c r="N346" s="253"/>
      <c r="O346" s="253"/>
      <c r="P346" s="903"/>
      <c r="Q346" s="903"/>
      <c r="R346" s="903"/>
      <c r="S346" s="904" t="str">
        <f ca="1">IF(P346="","",IF(R346&lt;&gt;"",R346-P346,TODAY()-P346))</f>
        <v/>
      </c>
      <c r="T346" s="904" t="str">
        <f ca="1">IF(Q346="","",Q346-TODAY())</f>
        <v/>
      </c>
      <c r="U346" s="253"/>
      <c r="V346" s="253"/>
      <c r="W346" s="253"/>
      <c r="X346" s="253"/>
      <c r="Y346" s="253"/>
      <c r="Z346" s="253"/>
      <c r="AA346" s="253"/>
      <c r="AB346" s="253"/>
      <c r="AC346" s="253"/>
      <c r="AD346" s="253"/>
      <c r="AE346" s="253"/>
      <c r="AF346" s="253"/>
      <c r="AG346" s="253"/>
      <c r="AH346" s="253"/>
      <c r="AI346" s="253"/>
      <c r="AJ346" s="253"/>
      <c r="AK346" s="253"/>
      <c r="AL346" s="253"/>
      <c r="AM346" s="253"/>
      <c r="AN346" s="903"/>
      <c r="AO346" s="253" t="str">
        <f>IF(Z346="Yes",COUNTIF($Z$6:Z346,"Yes"),"")</f>
        <v/>
      </c>
      <c r="AP346" s="253" t="str">
        <f>IF(AA346="Yes",COUNTIF($AA$6:AA346,"Yes"),"")</f>
        <v/>
      </c>
      <c r="AQ346" s="253" t="str">
        <f>IF(AC346="Yes",COUNTIF($AC$6:AC346,"Yes"),"")</f>
        <v/>
      </c>
    </row>
    <row r="347" spans="1:43">
      <c r="A347" s="253"/>
      <c r="B347" s="253"/>
      <c r="C347" s="253"/>
      <c r="D347" s="253"/>
      <c r="E347" s="253"/>
      <c r="F347" s="253"/>
      <c r="G347" s="253"/>
      <c r="H347" s="253"/>
      <c r="I347" s="253"/>
      <c r="J347" s="253"/>
      <c r="K347" s="253"/>
      <c r="L347" s="253"/>
      <c r="M347" s="253"/>
      <c r="N347" s="253"/>
      <c r="O347" s="253"/>
      <c r="P347" s="903"/>
      <c r="Q347" s="903"/>
      <c r="R347" s="903"/>
      <c r="S347" s="904" t="str">
        <f ca="1">IF(P347="","",IF(R347&lt;&gt;"",R347-P347,TODAY()-P347))</f>
        <v/>
      </c>
      <c r="T347" s="904" t="str">
        <f ca="1">IF(Q347="","",Q347-TODAY())</f>
        <v/>
      </c>
      <c r="U347" s="253"/>
      <c r="V347" s="253"/>
      <c r="W347" s="253"/>
      <c r="X347" s="253"/>
      <c r="Y347" s="253"/>
      <c r="Z347" s="253"/>
      <c r="AA347" s="253"/>
      <c r="AB347" s="253"/>
      <c r="AC347" s="253"/>
      <c r="AD347" s="253"/>
      <c r="AE347" s="253"/>
      <c r="AF347" s="253"/>
      <c r="AG347" s="253"/>
      <c r="AH347" s="253"/>
      <c r="AI347" s="253"/>
      <c r="AJ347" s="253"/>
      <c r="AK347" s="253"/>
      <c r="AL347" s="253"/>
      <c r="AM347" s="253"/>
      <c r="AN347" s="903"/>
      <c r="AO347" s="253" t="str">
        <f>IF(Z347="Yes",COUNTIF($Z$6:Z347,"Yes"),"")</f>
        <v/>
      </c>
      <c r="AP347" s="253" t="str">
        <f>IF(AA347="Yes",COUNTIF($AA$6:AA347,"Yes"),"")</f>
        <v/>
      </c>
      <c r="AQ347" s="253" t="str">
        <f>IF(AC347="Yes",COUNTIF($AC$6:AC347,"Yes"),"")</f>
        <v/>
      </c>
    </row>
    <row r="348" spans="1:43">
      <c r="A348" s="253"/>
      <c r="B348" s="253"/>
      <c r="C348" s="253"/>
      <c r="D348" s="253"/>
      <c r="E348" s="253"/>
      <c r="F348" s="253"/>
      <c r="G348" s="253"/>
      <c r="H348" s="253"/>
      <c r="I348" s="253"/>
      <c r="J348" s="253"/>
      <c r="K348" s="253"/>
      <c r="L348" s="253"/>
      <c r="M348" s="253"/>
      <c r="N348" s="253"/>
      <c r="O348" s="253"/>
      <c r="P348" s="903"/>
      <c r="Q348" s="903"/>
      <c r="R348" s="903"/>
      <c r="S348" s="904" t="str">
        <f ca="1">IF(P348="","",IF(R348&lt;&gt;"",R348-P348,TODAY()-P348))</f>
        <v/>
      </c>
      <c r="T348" s="904" t="str">
        <f ca="1">IF(Q348="","",Q348-TODAY())</f>
        <v/>
      </c>
      <c r="U348" s="253"/>
      <c r="V348" s="253"/>
      <c r="W348" s="253"/>
      <c r="X348" s="253"/>
      <c r="Y348" s="253"/>
      <c r="Z348" s="253"/>
      <c r="AA348" s="253"/>
      <c r="AB348" s="253"/>
      <c r="AC348" s="253"/>
      <c r="AD348" s="253"/>
      <c r="AE348" s="253"/>
      <c r="AF348" s="253"/>
      <c r="AG348" s="253"/>
      <c r="AH348" s="253"/>
      <c r="AI348" s="253"/>
      <c r="AJ348" s="253"/>
      <c r="AK348" s="253"/>
      <c r="AL348" s="253"/>
      <c r="AM348" s="253"/>
      <c r="AN348" s="903"/>
      <c r="AO348" s="253" t="str">
        <f>IF(Z348="Yes",COUNTIF($Z$6:Z348,"Yes"),"")</f>
        <v/>
      </c>
      <c r="AP348" s="253" t="str">
        <f>IF(AA348="Yes",COUNTIF($AA$6:AA348,"Yes"),"")</f>
        <v/>
      </c>
      <c r="AQ348" s="253" t="str">
        <f>IF(AC348="Yes",COUNTIF($AC$6:AC348,"Yes"),"")</f>
        <v/>
      </c>
    </row>
    <row r="349" spans="1:43">
      <c r="A349" s="253"/>
      <c r="B349" s="253"/>
      <c r="C349" s="253"/>
      <c r="D349" s="253"/>
      <c r="E349" s="253"/>
      <c r="F349" s="253"/>
      <c r="G349" s="253"/>
      <c r="H349" s="253"/>
      <c r="I349" s="253"/>
      <c r="J349" s="253"/>
      <c r="K349" s="253"/>
      <c r="L349" s="253"/>
      <c r="M349" s="253"/>
      <c r="N349" s="253"/>
      <c r="O349" s="253"/>
      <c r="P349" s="903"/>
      <c r="Q349" s="903"/>
      <c r="R349" s="903"/>
      <c r="S349" s="904" t="str">
        <f ca="1">IF(P349="","",IF(R349&lt;&gt;"",R349-P349,TODAY()-P349))</f>
        <v/>
      </c>
      <c r="T349" s="904" t="str">
        <f ca="1">IF(Q349="","",Q349-TODAY())</f>
        <v/>
      </c>
      <c r="U349" s="253"/>
      <c r="V349" s="253"/>
      <c r="W349" s="253"/>
      <c r="X349" s="253"/>
      <c r="Y349" s="253"/>
      <c r="Z349" s="253"/>
      <c r="AA349" s="253"/>
      <c r="AB349" s="253"/>
      <c r="AC349" s="253"/>
      <c r="AD349" s="253"/>
      <c r="AE349" s="253"/>
      <c r="AF349" s="253"/>
      <c r="AG349" s="253"/>
      <c r="AH349" s="253"/>
      <c r="AI349" s="253"/>
      <c r="AJ349" s="253"/>
      <c r="AK349" s="253"/>
      <c r="AL349" s="253"/>
      <c r="AM349" s="253"/>
      <c r="AN349" s="903"/>
      <c r="AO349" s="253" t="str">
        <f>IF(Z349="Yes",COUNTIF($Z$6:Z349,"Yes"),"")</f>
        <v/>
      </c>
      <c r="AP349" s="253" t="str">
        <f>IF(AA349="Yes",COUNTIF($AA$6:AA349,"Yes"),"")</f>
        <v/>
      </c>
      <c r="AQ349" s="253" t="str">
        <f>IF(AC349="Yes",COUNTIF($AC$6:AC349,"Yes"),"")</f>
        <v/>
      </c>
    </row>
    <row r="350" spans="1:43">
      <c r="A350" s="253"/>
      <c r="B350" s="253"/>
      <c r="C350" s="253"/>
      <c r="D350" s="253"/>
      <c r="E350" s="253"/>
      <c r="F350" s="253"/>
      <c r="G350" s="253"/>
      <c r="H350" s="253"/>
      <c r="I350" s="253"/>
      <c r="J350" s="253"/>
      <c r="K350" s="253"/>
      <c r="L350" s="253"/>
      <c r="M350" s="253"/>
      <c r="N350" s="253"/>
      <c r="O350" s="253"/>
      <c r="P350" s="903"/>
      <c r="Q350" s="903"/>
      <c r="R350" s="903"/>
      <c r="S350" s="904" t="str">
        <f ca="1">IF(P350="","",IF(R350&lt;&gt;"",R350-P350,TODAY()-P350))</f>
        <v/>
      </c>
      <c r="T350" s="904" t="str">
        <f ca="1">IF(Q350="","",Q350-TODAY())</f>
        <v/>
      </c>
      <c r="U350" s="253"/>
      <c r="V350" s="253"/>
      <c r="W350" s="253"/>
      <c r="X350" s="253"/>
      <c r="Y350" s="253"/>
      <c r="Z350" s="253"/>
      <c r="AA350" s="253"/>
      <c r="AB350" s="253"/>
      <c r="AC350" s="253"/>
      <c r="AD350" s="253"/>
      <c r="AE350" s="253"/>
      <c r="AF350" s="253"/>
      <c r="AG350" s="253"/>
      <c r="AH350" s="253"/>
      <c r="AI350" s="253"/>
      <c r="AJ350" s="253"/>
      <c r="AK350" s="253"/>
      <c r="AL350" s="253"/>
      <c r="AM350" s="253"/>
      <c r="AN350" s="903"/>
      <c r="AO350" s="253" t="str">
        <f>IF(Z350="Yes",COUNTIF($Z$6:Z350,"Yes"),"")</f>
        <v/>
      </c>
      <c r="AP350" s="253" t="str">
        <f>IF(AA350="Yes",COUNTIF($AA$6:AA350,"Yes"),"")</f>
        <v/>
      </c>
      <c r="AQ350" s="253" t="str">
        <f>IF(AC350="Yes",COUNTIF($AC$6:AC350,"Yes"),"")</f>
        <v/>
      </c>
    </row>
    <row r="351" spans="1:43">
      <c r="A351" s="253"/>
      <c r="B351" s="253"/>
      <c r="C351" s="253"/>
      <c r="D351" s="253"/>
      <c r="E351" s="253"/>
      <c r="F351" s="253"/>
      <c r="G351" s="253"/>
      <c r="H351" s="253"/>
      <c r="I351" s="253"/>
      <c r="J351" s="253"/>
      <c r="K351" s="253"/>
      <c r="L351" s="253"/>
      <c r="M351" s="253"/>
      <c r="N351" s="253"/>
      <c r="O351" s="253"/>
      <c r="P351" s="903"/>
      <c r="Q351" s="903"/>
      <c r="R351" s="903"/>
      <c r="S351" s="904" t="str">
        <f ca="1">IF(P351="","",IF(R351&lt;&gt;"",R351-P351,TODAY()-P351))</f>
        <v/>
      </c>
      <c r="T351" s="904" t="str">
        <f ca="1">IF(Q351="","",Q351-TODAY())</f>
        <v/>
      </c>
      <c r="U351" s="253"/>
      <c r="V351" s="253"/>
      <c r="W351" s="253"/>
      <c r="X351" s="253"/>
      <c r="Y351" s="253"/>
      <c r="Z351" s="253"/>
      <c r="AA351" s="253"/>
      <c r="AB351" s="253"/>
      <c r="AC351" s="253"/>
      <c r="AD351" s="253"/>
      <c r="AE351" s="253"/>
      <c r="AF351" s="253"/>
      <c r="AG351" s="253"/>
      <c r="AH351" s="253"/>
      <c r="AI351" s="253"/>
      <c r="AJ351" s="253"/>
      <c r="AK351" s="253"/>
      <c r="AL351" s="253"/>
      <c r="AM351" s="253"/>
      <c r="AN351" s="903"/>
      <c r="AO351" s="253" t="str">
        <f>IF(Z351="Yes",COUNTIF($Z$6:Z351,"Yes"),"")</f>
        <v/>
      </c>
      <c r="AP351" s="253" t="str">
        <f>IF(AA351="Yes",COUNTIF($AA$6:AA351,"Yes"),"")</f>
        <v/>
      </c>
      <c r="AQ351" s="253" t="str">
        <f>IF(AC351="Yes",COUNTIF($AC$6:AC351,"Yes"),"")</f>
        <v/>
      </c>
    </row>
    <row r="352" spans="1:43">
      <c r="A352" s="253"/>
      <c r="B352" s="253"/>
      <c r="C352" s="253"/>
      <c r="D352" s="253"/>
      <c r="E352" s="253"/>
      <c r="F352" s="253"/>
      <c r="G352" s="253"/>
      <c r="H352" s="253"/>
      <c r="I352" s="253"/>
      <c r="J352" s="253"/>
      <c r="K352" s="253"/>
      <c r="L352" s="253"/>
      <c r="M352" s="253"/>
      <c r="N352" s="253"/>
      <c r="O352" s="253"/>
      <c r="P352" s="903"/>
      <c r="Q352" s="903"/>
      <c r="R352" s="903"/>
      <c r="S352" s="904" t="str">
        <f ca="1">IF(P352="","",IF(R352&lt;&gt;"",R352-P352,TODAY()-P352))</f>
        <v/>
      </c>
      <c r="T352" s="904" t="str">
        <f ca="1">IF(Q352="","",Q352-TODAY())</f>
        <v/>
      </c>
      <c r="U352" s="253"/>
      <c r="V352" s="253"/>
      <c r="W352" s="253"/>
      <c r="X352" s="253"/>
      <c r="Y352" s="253"/>
      <c r="Z352" s="253"/>
      <c r="AA352" s="253"/>
      <c r="AB352" s="253"/>
      <c r="AC352" s="253"/>
      <c r="AD352" s="253"/>
      <c r="AE352" s="253"/>
      <c r="AF352" s="253"/>
      <c r="AG352" s="253"/>
      <c r="AH352" s="253"/>
      <c r="AI352" s="253"/>
      <c r="AJ352" s="253"/>
      <c r="AK352" s="253"/>
      <c r="AL352" s="253"/>
      <c r="AM352" s="253"/>
      <c r="AN352" s="903"/>
      <c r="AO352" s="253" t="str">
        <f>IF(Z352="Yes",COUNTIF($Z$6:Z352,"Yes"),"")</f>
        <v/>
      </c>
      <c r="AP352" s="253" t="str">
        <f>IF(AA352="Yes",COUNTIF($AA$6:AA352,"Yes"),"")</f>
        <v/>
      </c>
      <c r="AQ352" s="253" t="str">
        <f>IF(AC352="Yes",COUNTIF($AC$6:AC352,"Yes"),"")</f>
        <v/>
      </c>
    </row>
    <row r="353" spans="1:43">
      <c r="A353" s="253"/>
      <c r="B353" s="253"/>
      <c r="C353" s="253"/>
      <c r="D353" s="253"/>
      <c r="E353" s="253"/>
      <c r="F353" s="253"/>
      <c r="G353" s="253"/>
      <c r="H353" s="253"/>
      <c r="I353" s="253"/>
      <c r="J353" s="253"/>
      <c r="K353" s="253"/>
      <c r="L353" s="253"/>
      <c r="M353" s="253"/>
      <c r="N353" s="253"/>
      <c r="O353" s="253"/>
      <c r="P353" s="903"/>
      <c r="Q353" s="903"/>
      <c r="R353" s="903"/>
      <c r="S353" s="904" t="str">
        <f ca="1">IF(P353="","",IF(R353&lt;&gt;"",R353-P353,TODAY()-P353))</f>
        <v/>
      </c>
      <c r="T353" s="904" t="str">
        <f ca="1">IF(Q353="","",Q353-TODAY())</f>
        <v/>
      </c>
      <c r="U353" s="253"/>
      <c r="V353" s="253"/>
      <c r="W353" s="253"/>
      <c r="X353" s="253"/>
      <c r="Y353" s="253"/>
      <c r="Z353" s="253"/>
      <c r="AA353" s="253"/>
      <c r="AB353" s="253"/>
      <c r="AC353" s="253"/>
      <c r="AD353" s="253"/>
      <c r="AE353" s="253"/>
      <c r="AF353" s="253"/>
      <c r="AG353" s="253"/>
      <c r="AH353" s="253"/>
      <c r="AI353" s="253"/>
      <c r="AJ353" s="253"/>
      <c r="AK353" s="253"/>
      <c r="AL353" s="253"/>
      <c r="AM353" s="253"/>
      <c r="AN353" s="903"/>
      <c r="AO353" s="253" t="str">
        <f>IF(Z353="Yes",COUNTIF($Z$6:Z353,"Yes"),"")</f>
        <v/>
      </c>
      <c r="AP353" s="253" t="str">
        <f>IF(AA353="Yes",COUNTIF($AA$6:AA353,"Yes"),"")</f>
        <v/>
      </c>
      <c r="AQ353" s="253" t="str">
        <f>IF(AC353="Yes",COUNTIF($AC$6:AC353,"Yes"),"")</f>
        <v/>
      </c>
    </row>
    <row r="354" spans="1:43">
      <c r="A354" s="253"/>
      <c r="B354" s="253"/>
      <c r="C354" s="253"/>
      <c r="D354" s="253"/>
      <c r="E354" s="253"/>
      <c r="F354" s="253"/>
      <c r="G354" s="253"/>
      <c r="H354" s="253"/>
      <c r="I354" s="253"/>
      <c r="J354" s="253"/>
      <c r="K354" s="253"/>
      <c r="L354" s="253"/>
      <c r="M354" s="253"/>
      <c r="N354" s="253"/>
      <c r="O354" s="253"/>
      <c r="P354" s="903"/>
      <c r="Q354" s="903"/>
      <c r="R354" s="903"/>
      <c r="S354" s="904" t="str">
        <f ca="1">IF(P354="","",IF(R354&lt;&gt;"",R354-P354,TODAY()-P354))</f>
        <v/>
      </c>
      <c r="T354" s="904" t="str">
        <f ca="1">IF(Q354="","",Q354-TODAY())</f>
        <v/>
      </c>
      <c r="U354" s="253"/>
      <c r="V354" s="253"/>
      <c r="W354" s="253"/>
      <c r="X354" s="253"/>
      <c r="Y354" s="253"/>
      <c r="Z354" s="253"/>
      <c r="AA354" s="253"/>
      <c r="AB354" s="253"/>
      <c r="AC354" s="253"/>
      <c r="AD354" s="253"/>
      <c r="AE354" s="253"/>
      <c r="AF354" s="253"/>
      <c r="AG354" s="253"/>
      <c r="AH354" s="253"/>
      <c r="AI354" s="253"/>
      <c r="AJ354" s="253"/>
      <c r="AK354" s="253"/>
      <c r="AL354" s="253"/>
      <c r="AM354" s="253"/>
      <c r="AN354" s="903"/>
      <c r="AO354" s="253" t="str">
        <f>IF(Z354="Yes",COUNTIF($Z$6:Z354,"Yes"),"")</f>
        <v/>
      </c>
      <c r="AP354" s="253" t="str">
        <f>IF(AA354="Yes",COUNTIF($AA$6:AA354,"Yes"),"")</f>
        <v/>
      </c>
      <c r="AQ354" s="253" t="str">
        <f>IF(AC354="Yes",COUNTIF($AC$6:AC354,"Yes"),"")</f>
        <v/>
      </c>
    </row>
    <row r="355" spans="1:43">
      <c r="A355" s="253"/>
      <c r="B355" s="253"/>
      <c r="C355" s="253"/>
      <c r="D355" s="253"/>
      <c r="E355" s="253"/>
      <c r="F355" s="253"/>
      <c r="G355" s="253"/>
      <c r="H355" s="253"/>
      <c r="I355" s="253"/>
      <c r="J355" s="253"/>
      <c r="K355" s="253"/>
      <c r="L355" s="253"/>
      <c r="M355" s="253"/>
      <c r="N355" s="253"/>
      <c r="O355" s="253"/>
      <c r="P355" s="903"/>
      <c r="Q355" s="903"/>
      <c r="R355" s="903"/>
      <c r="S355" s="904" t="str">
        <f ca="1">IF(P355="","",IF(R355&lt;&gt;"",R355-P355,TODAY()-P355))</f>
        <v/>
      </c>
      <c r="T355" s="904" t="str">
        <f ca="1">IF(Q355="","",Q355-TODAY())</f>
        <v/>
      </c>
      <c r="U355" s="253"/>
      <c r="V355" s="253"/>
      <c r="W355" s="253"/>
      <c r="X355" s="253"/>
      <c r="Y355" s="253"/>
      <c r="Z355" s="253"/>
      <c r="AA355" s="253"/>
      <c r="AB355" s="253"/>
      <c r="AC355" s="253"/>
      <c r="AD355" s="253"/>
      <c r="AE355" s="253"/>
      <c r="AF355" s="253"/>
      <c r="AG355" s="253"/>
      <c r="AH355" s="253"/>
      <c r="AI355" s="253"/>
      <c r="AJ355" s="253"/>
      <c r="AK355" s="253"/>
      <c r="AL355" s="253"/>
      <c r="AM355" s="253"/>
      <c r="AN355" s="903"/>
      <c r="AO355" s="253" t="str">
        <f>IF(Z355="Yes",COUNTIF($Z$6:Z355,"Yes"),"")</f>
        <v/>
      </c>
      <c r="AP355" s="253" t="str">
        <f>IF(AA355="Yes",COUNTIF($AA$6:AA355,"Yes"),"")</f>
        <v/>
      </c>
      <c r="AQ355" s="253" t="str">
        <f>IF(AC355="Yes",COUNTIF($AC$6:AC355,"Yes"),"")</f>
        <v/>
      </c>
    </row>
    <row r="356" spans="1:43">
      <c r="A356" s="253"/>
      <c r="B356" s="253"/>
      <c r="C356" s="253"/>
      <c r="D356" s="253"/>
      <c r="E356" s="253"/>
      <c r="F356" s="253"/>
      <c r="G356" s="253"/>
      <c r="H356" s="253"/>
      <c r="I356" s="253"/>
      <c r="J356" s="253"/>
      <c r="K356" s="253"/>
      <c r="L356" s="253"/>
      <c r="M356" s="253"/>
      <c r="N356" s="253"/>
      <c r="O356" s="253"/>
      <c r="P356" s="903"/>
      <c r="Q356" s="903"/>
      <c r="R356" s="903"/>
      <c r="S356" s="904" t="str">
        <f ca="1">IF(P356="","",IF(R356&lt;&gt;"",R356-P356,TODAY()-P356))</f>
        <v/>
      </c>
      <c r="T356" s="904" t="str">
        <f ca="1">IF(Q356="","",Q356-TODAY())</f>
        <v/>
      </c>
      <c r="U356" s="253"/>
      <c r="V356" s="253"/>
      <c r="W356" s="253"/>
      <c r="X356" s="253"/>
      <c r="Y356" s="253"/>
      <c r="Z356" s="253"/>
      <c r="AA356" s="253"/>
      <c r="AB356" s="253"/>
      <c r="AC356" s="253"/>
      <c r="AD356" s="253"/>
      <c r="AE356" s="253"/>
      <c r="AF356" s="253"/>
      <c r="AG356" s="253"/>
      <c r="AH356" s="253"/>
      <c r="AI356" s="253"/>
      <c r="AJ356" s="253"/>
      <c r="AK356" s="253"/>
      <c r="AL356" s="253"/>
      <c r="AM356" s="253"/>
      <c r="AN356" s="903"/>
      <c r="AO356" s="253" t="str">
        <f>IF(Z356="Yes",COUNTIF($Z$6:Z356,"Yes"),"")</f>
        <v/>
      </c>
      <c r="AP356" s="253" t="str">
        <f>IF(AA356="Yes",COUNTIF($AA$6:AA356,"Yes"),"")</f>
        <v/>
      </c>
      <c r="AQ356" s="253" t="str">
        <f>IF(AC356="Yes",COUNTIF($AC$6:AC356,"Yes"),"")</f>
        <v/>
      </c>
    </row>
    <row r="357" spans="1:43">
      <c r="A357" s="253"/>
      <c r="B357" s="253"/>
      <c r="C357" s="253"/>
      <c r="D357" s="253"/>
      <c r="E357" s="253"/>
      <c r="F357" s="253"/>
      <c r="G357" s="253"/>
      <c r="H357" s="253"/>
      <c r="I357" s="253"/>
      <c r="J357" s="253"/>
      <c r="K357" s="253"/>
      <c r="L357" s="253"/>
      <c r="M357" s="253"/>
      <c r="N357" s="253"/>
      <c r="O357" s="253"/>
      <c r="P357" s="903"/>
      <c r="Q357" s="903"/>
      <c r="R357" s="903"/>
      <c r="S357" s="904" t="str">
        <f ca="1">IF(P357="","",IF(R357&lt;&gt;"",R357-P357,TODAY()-P357))</f>
        <v/>
      </c>
      <c r="T357" s="904" t="str">
        <f ca="1">IF(Q357="","",Q357-TODAY())</f>
        <v/>
      </c>
      <c r="U357" s="253"/>
      <c r="V357" s="253"/>
      <c r="W357" s="253"/>
      <c r="X357" s="253"/>
      <c r="Y357" s="253"/>
      <c r="Z357" s="253"/>
      <c r="AA357" s="253"/>
      <c r="AB357" s="253"/>
      <c r="AC357" s="253"/>
      <c r="AD357" s="253"/>
      <c r="AE357" s="253"/>
      <c r="AF357" s="253"/>
      <c r="AG357" s="253"/>
      <c r="AH357" s="253"/>
      <c r="AI357" s="253"/>
      <c r="AJ357" s="253"/>
      <c r="AK357" s="253"/>
      <c r="AL357" s="253"/>
      <c r="AM357" s="253"/>
      <c r="AN357" s="903"/>
      <c r="AO357" s="253" t="str">
        <f>IF(Z357="Yes",COUNTIF($Z$6:Z357,"Yes"),"")</f>
        <v/>
      </c>
      <c r="AP357" s="253" t="str">
        <f>IF(AA357="Yes",COUNTIF($AA$6:AA357,"Yes"),"")</f>
        <v/>
      </c>
      <c r="AQ357" s="253" t="str">
        <f>IF(AC357="Yes",COUNTIF($AC$6:AC357,"Yes"),"")</f>
        <v/>
      </c>
    </row>
    <row r="358" spans="1:43">
      <c r="A358" s="253"/>
      <c r="B358" s="253"/>
      <c r="C358" s="253"/>
      <c r="D358" s="253"/>
      <c r="E358" s="253"/>
      <c r="F358" s="253"/>
      <c r="G358" s="253"/>
      <c r="H358" s="253"/>
      <c r="I358" s="253"/>
      <c r="J358" s="253"/>
      <c r="K358" s="253"/>
      <c r="L358" s="253"/>
      <c r="M358" s="253"/>
      <c r="N358" s="253"/>
      <c r="O358" s="253"/>
      <c r="P358" s="903"/>
      <c r="Q358" s="903"/>
      <c r="R358" s="903"/>
      <c r="S358" s="904" t="str">
        <f ca="1">IF(P358="","",IF(R358&lt;&gt;"",R358-P358,TODAY()-P358))</f>
        <v/>
      </c>
      <c r="T358" s="904" t="str">
        <f ca="1">IF(Q358="","",Q358-TODAY())</f>
        <v/>
      </c>
      <c r="U358" s="253"/>
      <c r="V358" s="253"/>
      <c r="W358" s="253"/>
      <c r="X358" s="253"/>
      <c r="Y358" s="253"/>
      <c r="Z358" s="253"/>
      <c r="AA358" s="253"/>
      <c r="AB358" s="253"/>
      <c r="AC358" s="253"/>
      <c r="AD358" s="253"/>
      <c r="AE358" s="253"/>
      <c r="AF358" s="253"/>
      <c r="AG358" s="253"/>
      <c r="AH358" s="253"/>
      <c r="AI358" s="253"/>
      <c r="AJ358" s="253"/>
      <c r="AK358" s="253"/>
      <c r="AL358" s="253"/>
      <c r="AM358" s="253"/>
      <c r="AN358" s="903"/>
      <c r="AO358" s="253" t="str">
        <f>IF(Z358="Yes",COUNTIF($Z$6:Z358,"Yes"),"")</f>
        <v/>
      </c>
      <c r="AP358" s="253" t="str">
        <f>IF(AA358="Yes",COUNTIF($AA$6:AA358,"Yes"),"")</f>
        <v/>
      </c>
      <c r="AQ358" s="253" t="str">
        <f>IF(AC358="Yes",COUNTIF($AC$6:AC358,"Yes"),"")</f>
        <v/>
      </c>
    </row>
    <row r="359" spans="1:43">
      <c r="A359" s="253"/>
      <c r="B359" s="253"/>
      <c r="C359" s="253"/>
      <c r="D359" s="253"/>
      <c r="E359" s="253"/>
      <c r="F359" s="253"/>
      <c r="G359" s="253"/>
      <c r="H359" s="253"/>
      <c r="I359" s="253"/>
      <c r="J359" s="253"/>
      <c r="K359" s="253"/>
      <c r="L359" s="253"/>
      <c r="M359" s="253"/>
      <c r="N359" s="253"/>
      <c r="O359" s="253"/>
      <c r="P359" s="903"/>
      <c r="Q359" s="903"/>
      <c r="R359" s="903"/>
      <c r="S359" s="904" t="str">
        <f ca="1">IF(P359="","",IF(R359&lt;&gt;"",R359-P359,TODAY()-P359))</f>
        <v/>
      </c>
      <c r="T359" s="904" t="str">
        <f ca="1">IF(Q359="","",Q359-TODAY())</f>
        <v/>
      </c>
      <c r="U359" s="253"/>
      <c r="V359" s="253"/>
      <c r="W359" s="253"/>
      <c r="X359" s="253"/>
      <c r="Y359" s="253"/>
      <c r="Z359" s="253"/>
      <c r="AA359" s="253"/>
      <c r="AB359" s="253"/>
      <c r="AC359" s="253"/>
      <c r="AD359" s="253"/>
      <c r="AE359" s="253"/>
      <c r="AF359" s="253"/>
      <c r="AG359" s="253"/>
      <c r="AH359" s="253"/>
      <c r="AI359" s="253"/>
      <c r="AJ359" s="253"/>
      <c r="AK359" s="253"/>
      <c r="AL359" s="253"/>
      <c r="AM359" s="253"/>
      <c r="AN359" s="903"/>
      <c r="AO359" s="253" t="str">
        <f>IF(Z359="Yes",COUNTIF($Z$6:Z359,"Yes"),"")</f>
        <v/>
      </c>
      <c r="AP359" s="253" t="str">
        <f>IF(AA359="Yes",COUNTIF($AA$6:AA359,"Yes"),"")</f>
        <v/>
      </c>
      <c r="AQ359" s="253" t="str">
        <f>IF(AC359="Yes",COUNTIF($AC$6:AC359,"Yes"),"")</f>
        <v/>
      </c>
    </row>
    <row r="360" spans="1:43">
      <c r="A360" s="253"/>
      <c r="B360" s="253"/>
      <c r="C360" s="253"/>
      <c r="D360" s="253"/>
      <c r="E360" s="253"/>
      <c r="F360" s="253"/>
      <c r="G360" s="253"/>
      <c r="H360" s="253"/>
      <c r="I360" s="253"/>
      <c r="J360" s="253"/>
      <c r="K360" s="253"/>
      <c r="L360" s="253"/>
      <c r="M360" s="253"/>
      <c r="N360" s="253"/>
      <c r="O360" s="253"/>
      <c r="P360" s="903"/>
      <c r="Q360" s="903"/>
      <c r="R360" s="903"/>
      <c r="S360" s="904" t="str">
        <f ca="1">IF(P360="","",IF(R360&lt;&gt;"",R360-P360,TODAY()-P360))</f>
        <v/>
      </c>
      <c r="T360" s="904" t="str">
        <f ca="1">IF(Q360="","",Q360-TODAY())</f>
        <v/>
      </c>
      <c r="U360" s="253"/>
      <c r="V360" s="253"/>
      <c r="W360" s="253"/>
      <c r="X360" s="253"/>
      <c r="Y360" s="253"/>
      <c r="Z360" s="253"/>
      <c r="AA360" s="253"/>
      <c r="AB360" s="253"/>
      <c r="AC360" s="253"/>
      <c r="AD360" s="253"/>
      <c r="AE360" s="253"/>
      <c r="AF360" s="253"/>
      <c r="AG360" s="253"/>
      <c r="AH360" s="253"/>
      <c r="AI360" s="253"/>
      <c r="AJ360" s="253"/>
      <c r="AK360" s="253"/>
      <c r="AL360" s="253"/>
      <c r="AM360" s="253"/>
      <c r="AN360" s="903"/>
      <c r="AO360" s="253" t="str">
        <f>IF(Z360="Yes",COUNTIF($Z$6:Z360,"Yes"),"")</f>
        <v/>
      </c>
      <c r="AP360" s="253" t="str">
        <f>IF(AA360="Yes",COUNTIF($AA$6:AA360,"Yes"),"")</f>
        <v/>
      </c>
      <c r="AQ360" s="253" t="str">
        <f>IF(AC360="Yes",COUNTIF($AC$6:AC360,"Yes"),"")</f>
        <v/>
      </c>
    </row>
    <row r="361" spans="1:43">
      <c r="A361" s="253"/>
      <c r="B361" s="253"/>
      <c r="C361" s="253"/>
      <c r="D361" s="253"/>
      <c r="E361" s="253"/>
      <c r="F361" s="253"/>
      <c r="G361" s="253"/>
      <c r="H361" s="253"/>
      <c r="I361" s="253"/>
      <c r="J361" s="253"/>
      <c r="K361" s="253"/>
      <c r="L361" s="253"/>
      <c r="M361" s="253"/>
      <c r="N361" s="253"/>
      <c r="O361" s="253"/>
      <c r="P361" s="903"/>
      <c r="Q361" s="903"/>
      <c r="R361" s="903"/>
      <c r="S361" s="904" t="str">
        <f ca="1">IF(P361="","",IF(R361&lt;&gt;"",R361-P361,TODAY()-P361))</f>
        <v/>
      </c>
      <c r="T361" s="904" t="str">
        <f ca="1">IF(Q361="","",Q361-TODAY())</f>
        <v/>
      </c>
      <c r="U361" s="253"/>
      <c r="V361" s="253"/>
      <c r="W361" s="253"/>
      <c r="X361" s="253"/>
      <c r="Y361" s="253"/>
      <c r="Z361" s="253"/>
      <c r="AA361" s="253"/>
      <c r="AB361" s="253"/>
      <c r="AC361" s="253"/>
      <c r="AD361" s="253"/>
      <c r="AE361" s="253"/>
      <c r="AF361" s="253"/>
      <c r="AG361" s="253"/>
      <c r="AH361" s="253"/>
      <c r="AI361" s="253"/>
      <c r="AJ361" s="253"/>
      <c r="AK361" s="253"/>
      <c r="AL361" s="253"/>
      <c r="AM361" s="253"/>
      <c r="AN361" s="903"/>
      <c r="AO361" s="253" t="str">
        <f>IF(Z361="Yes",COUNTIF($Z$6:Z361,"Yes"),"")</f>
        <v/>
      </c>
      <c r="AP361" s="253" t="str">
        <f>IF(AA361="Yes",COUNTIF($AA$6:AA361,"Yes"),"")</f>
        <v/>
      </c>
      <c r="AQ361" s="253" t="str">
        <f>IF(AC361="Yes",COUNTIF($AC$6:AC361,"Yes"),"")</f>
        <v/>
      </c>
    </row>
    <row r="362" spans="1:43">
      <c r="A362" s="253"/>
      <c r="B362" s="253"/>
      <c r="C362" s="253"/>
      <c r="D362" s="253"/>
      <c r="E362" s="253"/>
      <c r="F362" s="253"/>
      <c r="G362" s="253"/>
      <c r="H362" s="253"/>
      <c r="I362" s="253"/>
      <c r="J362" s="253"/>
      <c r="K362" s="253"/>
      <c r="L362" s="253"/>
      <c r="M362" s="253"/>
      <c r="N362" s="253"/>
      <c r="O362" s="253"/>
      <c r="P362" s="903"/>
      <c r="Q362" s="903"/>
      <c r="R362" s="903"/>
      <c r="S362" s="904" t="str">
        <f ca="1">IF(P362="","",IF(R362&lt;&gt;"",R362-P362,TODAY()-P362))</f>
        <v/>
      </c>
      <c r="T362" s="904" t="str">
        <f ca="1">IF(Q362="","",Q362-TODAY())</f>
        <v/>
      </c>
      <c r="U362" s="253"/>
      <c r="V362" s="253"/>
      <c r="W362" s="253"/>
      <c r="X362" s="253"/>
      <c r="Y362" s="253"/>
      <c r="Z362" s="253"/>
      <c r="AA362" s="253"/>
      <c r="AB362" s="253"/>
      <c r="AC362" s="253"/>
      <c r="AD362" s="253"/>
      <c r="AE362" s="253"/>
      <c r="AF362" s="253"/>
      <c r="AG362" s="253"/>
      <c r="AH362" s="253"/>
      <c r="AI362" s="253"/>
      <c r="AJ362" s="253"/>
      <c r="AK362" s="253"/>
      <c r="AL362" s="253"/>
      <c r="AM362" s="253"/>
      <c r="AN362" s="903"/>
      <c r="AO362" s="253" t="str">
        <f>IF(Z362="Yes",COUNTIF($Z$6:Z362,"Yes"),"")</f>
        <v/>
      </c>
      <c r="AP362" s="253" t="str">
        <f>IF(AA362="Yes",COUNTIF($AA$6:AA362,"Yes"),"")</f>
        <v/>
      </c>
      <c r="AQ362" s="253" t="str">
        <f>IF(AC362="Yes",COUNTIF($AC$6:AC362,"Yes"),"")</f>
        <v/>
      </c>
    </row>
    <row r="363" spans="1:43">
      <c r="A363" s="253"/>
      <c r="B363" s="253"/>
      <c r="C363" s="253"/>
      <c r="D363" s="253"/>
      <c r="E363" s="253"/>
      <c r="F363" s="253"/>
      <c r="G363" s="253"/>
      <c r="H363" s="253"/>
      <c r="I363" s="253"/>
      <c r="J363" s="253"/>
      <c r="K363" s="253"/>
      <c r="L363" s="253"/>
      <c r="M363" s="253"/>
      <c r="N363" s="253"/>
      <c r="O363" s="253"/>
      <c r="P363" s="903"/>
      <c r="Q363" s="903"/>
      <c r="R363" s="903"/>
      <c r="S363" s="904" t="str">
        <f ca="1">IF(P363="","",IF(R363&lt;&gt;"",R363-P363,TODAY()-P363))</f>
        <v/>
      </c>
      <c r="T363" s="904" t="str">
        <f ca="1">IF(Q363="","",Q363-TODAY())</f>
        <v/>
      </c>
      <c r="U363" s="253"/>
      <c r="V363" s="253"/>
      <c r="W363" s="253"/>
      <c r="X363" s="253"/>
      <c r="Y363" s="253"/>
      <c r="Z363" s="253"/>
      <c r="AA363" s="253"/>
      <c r="AB363" s="253"/>
      <c r="AC363" s="253"/>
      <c r="AD363" s="253"/>
      <c r="AE363" s="253"/>
      <c r="AF363" s="253"/>
      <c r="AG363" s="253"/>
      <c r="AH363" s="253"/>
      <c r="AI363" s="253"/>
      <c r="AJ363" s="253"/>
      <c r="AK363" s="253"/>
      <c r="AL363" s="253"/>
      <c r="AM363" s="253"/>
      <c r="AN363" s="903"/>
      <c r="AO363" s="253" t="str">
        <f>IF(Z363="Yes",COUNTIF($Z$6:Z363,"Yes"),"")</f>
        <v/>
      </c>
      <c r="AP363" s="253" t="str">
        <f>IF(AA363="Yes",COUNTIF($AA$6:AA363,"Yes"),"")</f>
        <v/>
      </c>
      <c r="AQ363" s="253" t="str">
        <f>IF(AC363="Yes",COUNTIF($AC$6:AC363,"Yes"),"")</f>
        <v/>
      </c>
    </row>
    <row r="364" spans="1:43">
      <c r="A364" s="253"/>
      <c r="B364" s="253"/>
      <c r="C364" s="253"/>
      <c r="D364" s="253"/>
      <c r="E364" s="253"/>
      <c r="F364" s="253"/>
      <c r="G364" s="253"/>
      <c r="H364" s="253"/>
      <c r="I364" s="253"/>
      <c r="J364" s="253"/>
      <c r="K364" s="253"/>
      <c r="L364" s="253"/>
      <c r="M364" s="253"/>
      <c r="N364" s="253"/>
      <c r="O364" s="253"/>
      <c r="P364" s="903"/>
      <c r="Q364" s="903"/>
      <c r="R364" s="903"/>
      <c r="S364" s="904" t="str">
        <f ca="1">IF(P364="","",IF(R364&lt;&gt;"",R364-P364,TODAY()-P364))</f>
        <v/>
      </c>
      <c r="T364" s="904" t="str">
        <f ca="1">IF(Q364="","",Q364-TODAY())</f>
        <v/>
      </c>
      <c r="U364" s="253"/>
      <c r="V364" s="253"/>
      <c r="W364" s="253"/>
      <c r="X364" s="253"/>
      <c r="Y364" s="253"/>
      <c r="Z364" s="253"/>
      <c r="AA364" s="253"/>
      <c r="AB364" s="253"/>
      <c r="AC364" s="253"/>
      <c r="AD364" s="253"/>
      <c r="AE364" s="253"/>
      <c r="AF364" s="253"/>
      <c r="AG364" s="253"/>
      <c r="AH364" s="253"/>
      <c r="AI364" s="253"/>
      <c r="AJ364" s="253"/>
      <c r="AK364" s="253"/>
      <c r="AL364" s="253"/>
      <c r="AM364" s="253"/>
      <c r="AN364" s="903"/>
      <c r="AO364" s="253" t="str">
        <f>IF(Z364="Yes",COUNTIF($Z$6:Z364,"Yes"),"")</f>
        <v/>
      </c>
      <c r="AP364" s="253" t="str">
        <f>IF(AA364="Yes",COUNTIF($AA$6:AA364,"Yes"),"")</f>
        <v/>
      </c>
      <c r="AQ364" s="253" t="str">
        <f>IF(AC364="Yes",COUNTIF($AC$6:AC364,"Yes"),"")</f>
        <v/>
      </c>
    </row>
    <row r="365" spans="1:43">
      <c r="A365" s="253"/>
      <c r="B365" s="253"/>
      <c r="C365" s="253"/>
      <c r="D365" s="253"/>
      <c r="E365" s="253"/>
      <c r="F365" s="253"/>
      <c r="G365" s="253"/>
      <c r="H365" s="253"/>
      <c r="I365" s="253"/>
      <c r="J365" s="253"/>
      <c r="K365" s="253"/>
      <c r="L365" s="253"/>
      <c r="M365" s="253"/>
      <c r="N365" s="253"/>
      <c r="O365" s="253"/>
      <c r="P365" s="903"/>
      <c r="Q365" s="903"/>
      <c r="R365" s="903"/>
      <c r="S365" s="904" t="str">
        <f ca="1">IF(P365="","",IF(R365&lt;&gt;"",R365-P365,TODAY()-P365))</f>
        <v/>
      </c>
      <c r="T365" s="904" t="str">
        <f ca="1">IF(Q365="","",Q365-TODAY())</f>
        <v/>
      </c>
      <c r="U365" s="253"/>
      <c r="V365" s="253"/>
      <c r="W365" s="253"/>
      <c r="X365" s="253"/>
      <c r="Y365" s="253"/>
      <c r="Z365" s="253"/>
      <c r="AA365" s="253"/>
      <c r="AB365" s="253"/>
      <c r="AC365" s="253"/>
      <c r="AD365" s="253"/>
      <c r="AE365" s="253"/>
      <c r="AF365" s="253"/>
      <c r="AG365" s="253"/>
      <c r="AH365" s="253"/>
      <c r="AI365" s="253"/>
      <c r="AJ365" s="253"/>
      <c r="AK365" s="253"/>
      <c r="AL365" s="253"/>
      <c r="AM365" s="253"/>
      <c r="AN365" s="903"/>
      <c r="AO365" s="253" t="str">
        <f>IF(Z365="Yes",COUNTIF($Z$6:Z365,"Yes"),"")</f>
        <v/>
      </c>
      <c r="AP365" s="253" t="str">
        <f>IF(AA365="Yes",COUNTIF($AA$6:AA365,"Yes"),"")</f>
        <v/>
      </c>
      <c r="AQ365" s="253" t="str">
        <f>IF(AC365="Yes",COUNTIF($AC$6:AC365,"Yes"),"")</f>
        <v/>
      </c>
    </row>
    <row r="366" spans="1:43">
      <c r="A366" s="253"/>
      <c r="B366" s="253"/>
      <c r="C366" s="253"/>
      <c r="D366" s="253"/>
      <c r="E366" s="253"/>
      <c r="F366" s="253"/>
      <c r="G366" s="253"/>
      <c r="H366" s="253"/>
      <c r="I366" s="253"/>
      <c r="J366" s="253"/>
      <c r="K366" s="253"/>
      <c r="L366" s="253"/>
      <c r="M366" s="253"/>
      <c r="N366" s="253"/>
      <c r="O366" s="253"/>
      <c r="P366" s="903"/>
      <c r="Q366" s="903"/>
      <c r="R366" s="903"/>
      <c r="S366" s="904" t="str">
        <f ca="1">IF(P366="","",IF(R366&lt;&gt;"",R366-P366,TODAY()-P366))</f>
        <v/>
      </c>
      <c r="T366" s="904" t="str">
        <f ca="1">IF(Q366="","",Q366-TODAY())</f>
        <v/>
      </c>
      <c r="U366" s="253"/>
      <c r="V366" s="253"/>
      <c r="W366" s="253"/>
      <c r="X366" s="253"/>
      <c r="Y366" s="253"/>
      <c r="Z366" s="253"/>
      <c r="AA366" s="253"/>
      <c r="AB366" s="253"/>
      <c r="AC366" s="253"/>
      <c r="AD366" s="253"/>
      <c r="AE366" s="253"/>
      <c r="AF366" s="253"/>
      <c r="AG366" s="253"/>
      <c r="AH366" s="253"/>
      <c r="AI366" s="253"/>
      <c r="AJ366" s="253"/>
      <c r="AK366" s="253"/>
      <c r="AL366" s="253"/>
      <c r="AM366" s="253"/>
      <c r="AN366" s="903"/>
      <c r="AO366" s="253" t="str">
        <f>IF(Z366="Yes",COUNTIF($Z$6:Z366,"Yes"),"")</f>
        <v/>
      </c>
      <c r="AP366" s="253" t="str">
        <f>IF(AA366="Yes",COUNTIF($AA$6:AA366,"Yes"),"")</f>
        <v/>
      </c>
      <c r="AQ366" s="253" t="str">
        <f>IF(AC366="Yes",COUNTIF($AC$6:AC366,"Yes"),"")</f>
        <v/>
      </c>
    </row>
    <row r="367" spans="1:43">
      <c r="A367" s="253"/>
      <c r="B367" s="253"/>
      <c r="C367" s="253"/>
      <c r="D367" s="253"/>
      <c r="E367" s="253"/>
      <c r="F367" s="253"/>
      <c r="G367" s="253"/>
      <c r="H367" s="253"/>
      <c r="I367" s="253"/>
      <c r="J367" s="253"/>
      <c r="K367" s="253"/>
      <c r="L367" s="253"/>
      <c r="M367" s="253"/>
      <c r="N367" s="253"/>
      <c r="O367" s="253"/>
      <c r="P367" s="903"/>
      <c r="Q367" s="903"/>
      <c r="R367" s="903"/>
      <c r="S367" s="904" t="str">
        <f ca="1">IF(P367="","",IF(R367&lt;&gt;"",R367-P367,TODAY()-P367))</f>
        <v/>
      </c>
      <c r="T367" s="904" t="str">
        <f ca="1">IF(Q367="","",Q367-TODAY())</f>
        <v/>
      </c>
      <c r="U367" s="253"/>
      <c r="V367" s="253"/>
      <c r="W367" s="253"/>
      <c r="X367" s="253"/>
      <c r="Y367" s="253"/>
      <c r="Z367" s="253"/>
      <c r="AA367" s="253"/>
      <c r="AB367" s="253"/>
      <c r="AC367" s="253"/>
      <c r="AD367" s="253"/>
      <c r="AE367" s="253"/>
      <c r="AF367" s="253"/>
      <c r="AG367" s="253"/>
      <c r="AH367" s="253"/>
      <c r="AI367" s="253"/>
      <c r="AJ367" s="253"/>
      <c r="AK367" s="253"/>
      <c r="AL367" s="253"/>
      <c r="AM367" s="253"/>
      <c r="AN367" s="903"/>
      <c r="AO367" s="253" t="str">
        <f>IF(Z367="Yes",COUNTIF($Z$6:Z367,"Yes"),"")</f>
        <v/>
      </c>
      <c r="AP367" s="253" t="str">
        <f>IF(AA367="Yes",COUNTIF($AA$6:AA367,"Yes"),"")</f>
        <v/>
      </c>
      <c r="AQ367" s="253" t="str">
        <f>IF(AC367="Yes",COUNTIF($AC$6:AC367,"Yes"),"")</f>
        <v/>
      </c>
    </row>
    <row r="368" spans="1:43">
      <c r="A368" s="253"/>
      <c r="B368" s="253"/>
      <c r="C368" s="253"/>
      <c r="D368" s="253"/>
      <c r="E368" s="253"/>
      <c r="F368" s="253"/>
      <c r="G368" s="253"/>
      <c r="H368" s="253"/>
      <c r="I368" s="253"/>
      <c r="J368" s="253"/>
      <c r="K368" s="253"/>
      <c r="L368" s="253"/>
      <c r="M368" s="253"/>
      <c r="N368" s="253"/>
      <c r="O368" s="253"/>
      <c r="P368" s="903"/>
      <c r="Q368" s="903"/>
      <c r="R368" s="903"/>
      <c r="S368" s="904" t="str">
        <f ca="1">IF(P368="","",IF(R368&lt;&gt;"",R368-P368,TODAY()-P368))</f>
        <v/>
      </c>
      <c r="T368" s="904" t="str">
        <f ca="1">IF(Q368="","",Q368-TODAY())</f>
        <v/>
      </c>
      <c r="U368" s="253"/>
      <c r="V368" s="253"/>
      <c r="W368" s="253"/>
      <c r="X368" s="253"/>
      <c r="Y368" s="253"/>
      <c r="Z368" s="253"/>
      <c r="AA368" s="253"/>
      <c r="AB368" s="253"/>
      <c r="AC368" s="253"/>
      <c r="AD368" s="253"/>
      <c r="AE368" s="253"/>
      <c r="AF368" s="253"/>
      <c r="AG368" s="253"/>
      <c r="AH368" s="253"/>
      <c r="AI368" s="253"/>
      <c r="AJ368" s="253"/>
      <c r="AK368" s="253"/>
      <c r="AL368" s="253"/>
      <c r="AM368" s="253"/>
      <c r="AN368" s="903"/>
      <c r="AO368" s="253" t="str">
        <f>IF(Z368="Yes",COUNTIF($Z$6:Z368,"Yes"),"")</f>
        <v/>
      </c>
      <c r="AP368" s="253" t="str">
        <f>IF(AA368="Yes",COUNTIF($AA$6:AA368,"Yes"),"")</f>
        <v/>
      </c>
      <c r="AQ368" s="253" t="str">
        <f>IF(AC368="Yes",COUNTIF($AC$6:AC368,"Yes"),"")</f>
        <v/>
      </c>
    </row>
    <row r="369" spans="1:43">
      <c r="A369" s="253"/>
      <c r="B369" s="253"/>
      <c r="C369" s="253"/>
      <c r="D369" s="253"/>
      <c r="E369" s="253"/>
      <c r="F369" s="253"/>
      <c r="G369" s="253"/>
      <c r="H369" s="253"/>
      <c r="I369" s="253"/>
      <c r="J369" s="253"/>
      <c r="K369" s="253"/>
      <c r="L369" s="253"/>
      <c r="M369" s="253"/>
      <c r="N369" s="253"/>
      <c r="O369" s="253"/>
      <c r="P369" s="903"/>
      <c r="Q369" s="903"/>
      <c r="R369" s="903"/>
      <c r="S369" s="904" t="str">
        <f ca="1">IF(P369="","",IF(R369&lt;&gt;"",R369-P369,TODAY()-P369))</f>
        <v/>
      </c>
      <c r="T369" s="904" t="str">
        <f ca="1">IF(Q369="","",Q369-TODAY())</f>
        <v/>
      </c>
      <c r="U369" s="253"/>
      <c r="V369" s="253"/>
      <c r="W369" s="253"/>
      <c r="X369" s="253"/>
      <c r="Y369" s="253"/>
      <c r="Z369" s="253"/>
      <c r="AA369" s="253"/>
      <c r="AB369" s="253"/>
      <c r="AC369" s="253"/>
      <c r="AD369" s="253"/>
      <c r="AE369" s="253"/>
      <c r="AF369" s="253"/>
      <c r="AG369" s="253"/>
      <c r="AH369" s="253"/>
      <c r="AI369" s="253"/>
      <c r="AJ369" s="253"/>
      <c r="AK369" s="253"/>
      <c r="AL369" s="253"/>
      <c r="AM369" s="253"/>
      <c r="AN369" s="903"/>
      <c r="AO369" s="253" t="str">
        <f>IF(Z369="Yes",COUNTIF($Z$6:Z369,"Yes"),"")</f>
        <v/>
      </c>
      <c r="AP369" s="253" t="str">
        <f>IF(AA369="Yes",COUNTIF($AA$6:AA369,"Yes"),"")</f>
        <v/>
      </c>
      <c r="AQ369" s="253" t="str">
        <f>IF(AC369="Yes",COUNTIF($AC$6:AC369,"Yes"),"")</f>
        <v/>
      </c>
    </row>
    <row r="370" spans="1:43">
      <c r="A370" s="253"/>
      <c r="B370" s="253"/>
      <c r="C370" s="253"/>
      <c r="D370" s="253"/>
      <c r="E370" s="253"/>
      <c r="F370" s="253"/>
      <c r="G370" s="253"/>
      <c r="H370" s="253"/>
      <c r="I370" s="253"/>
      <c r="J370" s="253"/>
      <c r="K370" s="253"/>
      <c r="L370" s="253"/>
      <c r="M370" s="253"/>
      <c r="N370" s="253"/>
      <c r="O370" s="253"/>
      <c r="P370" s="903"/>
      <c r="Q370" s="903"/>
      <c r="R370" s="903"/>
      <c r="S370" s="904" t="str">
        <f ca="1">IF(P370="","",IF(R370&lt;&gt;"",R370-P370,TODAY()-P370))</f>
        <v/>
      </c>
      <c r="T370" s="904" t="str">
        <f ca="1">IF(Q370="","",Q370-TODAY())</f>
        <v/>
      </c>
      <c r="U370" s="253"/>
      <c r="V370" s="253"/>
      <c r="W370" s="253"/>
      <c r="X370" s="253"/>
      <c r="Y370" s="253"/>
      <c r="Z370" s="253"/>
      <c r="AA370" s="253"/>
      <c r="AB370" s="253"/>
      <c r="AC370" s="253"/>
      <c r="AD370" s="253"/>
      <c r="AE370" s="253"/>
      <c r="AF370" s="253"/>
      <c r="AG370" s="253"/>
      <c r="AH370" s="253"/>
      <c r="AI370" s="253"/>
      <c r="AJ370" s="253"/>
      <c r="AK370" s="253"/>
      <c r="AL370" s="253"/>
      <c r="AM370" s="253"/>
      <c r="AN370" s="903"/>
      <c r="AO370" s="253" t="str">
        <f>IF(Z370="Yes",COUNTIF($Z$6:Z370,"Yes"),"")</f>
        <v/>
      </c>
      <c r="AP370" s="253" t="str">
        <f>IF(AA370="Yes",COUNTIF($AA$6:AA370,"Yes"),"")</f>
        <v/>
      </c>
      <c r="AQ370" s="253" t="str">
        <f>IF(AC370="Yes",COUNTIF($AC$6:AC370,"Yes"),"")</f>
        <v/>
      </c>
    </row>
    <row r="371" spans="1:43">
      <c r="A371" s="253"/>
      <c r="B371" s="253"/>
      <c r="C371" s="253"/>
      <c r="D371" s="253"/>
      <c r="E371" s="253"/>
      <c r="F371" s="253"/>
      <c r="G371" s="253"/>
      <c r="H371" s="253"/>
      <c r="I371" s="253"/>
      <c r="J371" s="253"/>
      <c r="K371" s="253"/>
      <c r="L371" s="253"/>
      <c r="M371" s="253"/>
      <c r="N371" s="253"/>
      <c r="O371" s="253"/>
      <c r="P371" s="903"/>
      <c r="Q371" s="903"/>
      <c r="R371" s="903"/>
      <c r="S371" s="904" t="str">
        <f ca="1">IF(P371="","",IF(R371&lt;&gt;"",R371-P371,TODAY()-P371))</f>
        <v/>
      </c>
      <c r="T371" s="904" t="str">
        <f ca="1">IF(Q371="","",Q371-TODAY())</f>
        <v/>
      </c>
      <c r="U371" s="253"/>
      <c r="V371" s="253"/>
      <c r="W371" s="253"/>
      <c r="X371" s="253"/>
      <c r="Y371" s="253"/>
      <c r="Z371" s="253"/>
      <c r="AA371" s="253"/>
      <c r="AB371" s="253"/>
      <c r="AC371" s="253"/>
      <c r="AD371" s="253"/>
      <c r="AE371" s="253"/>
      <c r="AF371" s="253"/>
      <c r="AG371" s="253"/>
      <c r="AH371" s="253"/>
      <c r="AI371" s="253"/>
      <c r="AJ371" s="253"/>
      <c r="AK371" s="253"/>
      <c r="AL371" s="253"/>
      <c r="AM371" s="253"/>
      <c r="AN371" s="903"/>
      <c r="AO371" s="253" t="str">
        <f>IF(Z371="Yes",COUNTIF($Z$6:Z371,"Yes"),"")</f>
        <v/>
      </c>
      <c r="AP371" s="253" t="str">
        <f>IF(AA371="Yes",COUNTIF($AA$6:AA371,"Yes"),"")</f>
        <v/>
      </c>
      <c r="AQ371" s="253" t="str">
        <f>IF(AC371="Yes",COUNTIF($AC$6:AC371,"Yes"),"")</f>
        <v/>
      </c>
    </row>
    <row r="372" spans="1:43">
      <c r="A372" s="253"/>
      <c r="B372" s="253"/>
      <c r="C372" s="253"/>
      <c r="D372" s="253"/>
      <c r="E372" s="253"/>
      <c r="F372" s="253"/>
      <c r="G372" s="253"/>
      <c r="H372" s="253"/>
      <c r="I372" s="253"/>
      <c r="J372" s="253"/>
      <c r="K372" s="253"/>
      <c r="L372" s="253"/>
      <c r="M372" s="253"/>
      <c r="N372" s="253"/>
      <c r="O372" s="253"/>
      <c r="P372" s="903"/>
      <c r="Q372" s="903"/>
      <c r="R372" s="903"/>
      <c r="S372" s="904" t="str">
        <f ca="1">IF(P372="","",IF(R372&lt;&gt;"",R372-P372,TODAY()-P372))</f>
        <v/>
      </c>
      <c r="T372" s="904" t="str">
        <f ca="1">IF(Q372="","",Q372-TODAY())</f>
        <v/>
      </c>
      <c r="U372" s="253"/>
      <c r="V372" s="253"/>
      <c r="W372" s="253"/>
      <c r="X372" s="253"/>
      <c r="Y372" s="253"/>
      <c r="Z372" s="253"/>
      <c r="AA372" s="253"/>
      <c r="AB372" s="253"/>
      <c r="AC372" s="253"/>
      <c r="AD372" s="253"/>
      <c r="AE372" s="253"/>
      <c r="AF372" s="253"/>
      <c r="AG372" s="253"/>
      <c r="AH372" s="253"/>
      <c r="AI372" s="253"/>
      <c r="AJ372" s="253"/>
      <c r="AK372" s="253"/>
      <c r="AL372" s="253"/>
      <c r="AM372" s="253"/>
      <c r="AN372" s="903"/>
      <c r="AO372" s="253" t="str">
        <f>IF(Z372="Yes",COUNTIF($Z$6:Z372,"Yes"),"")</f>
        <v/>
      </c>
      <c r="AP372" s="253" t="str">
        <f>IF(AA372="Yes",COUNTIF($AA$6:AA372,"Yes"),"")</f>
        <v/>
      </c>
      <c r="AQ372" s="253" t="str">
        <f>IF(AC372="Yes",COUNTIF($AC$6:AC372,"Yes"),"")</f>
        <v/>
      </c>
    </row>
    <row r="373" spans="1:43">
      <c r="A373" s="253"/>
      <c r="B373" s="253"/>
      <c r="C373" s="253"/>
      <c r="D373" s="253"/>
      <c r="E373" s="253"/>
      <c r="F373" s="253"/>
      <c r="G373" s="253"/>
      <c r="H373" s="253"/>
      <c r="I373" s="253"/>
      <c r="J373" s="253"/>
      <c r="K373" s="253"/>
      <c r="L373" s="253"/>
      <c r="M373" s="253"/>
      <c r="N373" s="253"/>
      <c r="O373" s="253"/>
      <c r="P373" s="903"/>
      <c r="Q373" s="903"/>
      <c r="R373" s="903"/>
      <c r="S373" s="904" t="str">
        <f ca="1">IF(P373="","",IF(R373&lt;&gt;"",R373-P373,TODAY()-P373))</f>
        <v/>
      </c>
      <c r="T373" s="904" t="str">
        <f ca="1">IF(Q373="","",Q373-TODAY())</f>
        <v/>
      </c>
      <c r="U373" s="253"/>
      <c r="V373" s="253"/>
      <c r="W373" s="253"/>
      <c r="X373" s="253"/>
      <c r="Y373" s="253"/>
      <c r="Z373" s="253"/>
      <c r="AA373" s="253"/>
      <c r="AB373" s="253"/>
      <c r="AC373" s="253"/>
      <c r="AD373" s="253"/>
      <c r="AE373" s="253"/>
      <c r="AF373" s="253"/>
      <c r="AG373" s="253"/>
      <c r="AH373" s="253"/>
      <c r="AI373" s="253"/>
      <c r="AJ373" s="253"/>
      <c r="AK373" s="253"/>
      <c r="AL373" s="253"/>
      <c r="AM373" s="253"/>
      <c r="AN373" s="903"/>
      <c r="AO373" s="253" t="str">
        <f>IF(Z373="Yes",COUNTIF($Z$6:Z373,"Yes"),"")</f>
        <v/>
      </c>
      <c r="AP373" s="253" t="str">
        <f>IF(AA373="Yes",COUNTIF($AA$6:AA373,"Yes"),"")</f>
        <v/>
      </c>
      <c r="AQ373" s="253" t="str">
        <f>IF(AC373="Yes",COUNTIF($AC$6:AC373,"Yes"),"")</f>
        <v/>
      </c>
    </row>
    <row r="374" spans="1:43">
      <c r="A374" s="253"/>
      <c r="B374" s="253"/>
      <c r="C374" s="253"/>
      <c r="D374" s="253"/>
      <c r="E374" s="253"/>
      <c r="F374" s="253"/>
      <c r="G374" s="253"/>
      <c r="H374" s="253"/>
      <c r="I374" s="253"/>
      <c r="J374" s="253"/>
      <c r="K374" s="253"/>
      <c r="L374" s="253"/>
      <c r="M374" s="253"/>
      <c r="N374" s="253"/>
      <c r="O374" s="253"/>
      <c r="P374" s="903"/>
      <c r="Q374" s="903"/>
      <c r="R374" s="903"/>
      <c r="S374" s="904" t="str">
        <f ca="1">IF(P374="","",IF(R374&lt;&gt;"",R374-P374,TODAY()-P374))</f>
        <v/>
      </c>
      <c r="T374" s="904" t="str">
        <f ca="1">IF(Q374="","",Q374-TODAY())</f>
        <v/>
      </c>
      <c r="U374" s="253"/>
      <c r="V374" s="253"/>
      <c r="W374" s="253"/>
      <c r="X374" s="253"/>
      <c r="Y374" s="253"/>
      <c r="Z374" s="253"/>
      <c r="AA374" s="253"/>
      <c r="AB374" s="253"/>
      <c r="AC374" s="253"/>
      <c r="AD374" s="253"/>
      <c r="AE374" s="253"/>
      <c r="AF374" s="253"/>
      <c r="AG374" s="253"/>
      <c r="AH374" s="253"/>
      <c r="AI374" s="253"/>
      <c r="AJ374" s="253"/>
      <c r="AK374" s="253"/>
      <c r="AL374" s="253"/>
      <c r="AM374" s="253"/>
      <c r="AN374" s="903"/>
      <c r="AO374" s="253" t="str">
        <f>IF(Z374="Yes",COUNTIF($Z$6:Z374,"Yes"),"")</f>
        <v/>
      </c>
      <c r="AP374" s="253" t="str">
        <f>IF(AA374="Yes",COUNTIF($AA$6:AA374,"Yes"),"")</f>
        <v/>
      </c>
      <c r="AQ374" s="253" t="str">
        <f>IF(AC374="Yes",COUNTIF($AC$6:AC374,"Yes"),"")</f>
        <v/>
      </c>
    </row>
    <row r="375" spans="1:43">
      <c r="A375" s="253"/>
      <c r="B375" s="253"/>
      <c r="C375" s="253"/>
      <c r="D375" s="253"/>
      <c r="E375" s="253"/>
      <c r="F375" s="253"/>
      <c r="G375" s="253"/>
      <c r="H375" s="253"/>
      <c r="I375" s="253"/>
      <c r="J375" s="253"/>
      <c r="K375" s="253"/>
      <c r="L375" s="253"/>
      <c r="M375" s="253"/>
      <c r="N375" s="253"/>
      <c r="O375" s="253"/>
      <c r="P375" s="903"/>
      <c r="Q375" s="903"/>
      <c r="R375" s="903"/>
      <c r="S375" s="904" t="str">
        <f ca="1">IF(P375="","",IF(R375&lt;&gt;"",R375-P375,TODAY()-P375))</f>
        <v/>
      </c>
      <c r="T375" s="904" t="str">
        <f ca="1">IF(Q375="","",Q375-TODAY())</f>
        <v/>
      </c>
      <c r="U375" s="253"/>
      <c r="V375" s="253"/>
      <c r="W375" s="253"/>
      <c r="X375" s="253"/>
      <c r="Y375" s="253"/>
      <c r="Z375" s="253"/>
      <c r="AA375" s="253"/>
      <c r="AB375" s="253"/>
      <c r="AC375" s="253"/>
      <c r="AD375" s="253"/>
      <c r="AE375" s="253"/>
      <c r="AF375" s="253"/>
      <c r="AG375" s="253"/>
      <c r="AH375" s="253"/>
      <c r="AI375" s="253"/>
      <c r="AJ375" s="253"/>
      <c r="AK375" s="253"/>
      <c r="AL375" s="253"/>
      <c r="AM375" s="253"/>
      <c r="AN375" s="903"/>
      <c r="AO375" s="253" t="str">
        <f>IF(Z375="Yes",COUNTIF($Z$6:Z375,"Yes"),"")</f>
        <v/>
      </c>
      <c r="AP375" s="253" t="str">
        <f>IF(AA375="Yes",COUNTIF($AA$6:AA375,"Yes"),"")</f>
        <v/>
      </c>
      <c r="AQ375" s="253" t="str">
        <f>IF(AC375="Yes",COUNTIF($AC$6:AC375,"Yes"),"")</f>
        <v/>
      </c>
    </row>
    <row r="376" spans="1:43">
      <c r="A376" s="253"/>
      <c r="B376" s="253"/>
      <c r="C376" s="253"/>
      <c r="D376" s="253"/>
      <c r="E376" s="253"/>
      <c r="F376" s="253"/>
      <c r="G376" s="253"/>
      <c r="H376" s="253"/>
      <c r="I376" s="253"/>
      <c r="J376" s="253"/>
      <c r="K376" s="253"/>
      <c r="L376" s="253"/>
      <c r="M376" s="253"/>
      <c r="N376" s="253"/>
      <c r="O376" s="253"/>
      <c r="P376" s="903"/>
      <c r="Q376" s="903"/>
      <c r="R376" s="903"/>
      <c r="S376" s="904" t="str">
        <f ca="1">IF(P376="","",IF(R376&lt;&gt;"",R376-P376,TODAY()-P376))</f>
        <v/>
      </c>
      <c r="T376" s="904" t="str">
        <f ca="1">IF(Q376="","",Q376-TODAY())</f>
        <v/>
      </c>
      <c r="U376" s="253"/>
      <c r="V376" s="253"/>
      <c r="W376" s="253"/>
      <c r="X376" s="253"/>
      <c r="Y376" s="253"/>
      <c r="Z376" s="253"/>
      <c r="AA376" s="253"/>
      <c r="AB376" s="253"/>
      <c r="AC376" s="253"/>
      <c r="AD376" s="253"/>
      <c r="AE376" s="253"/>
      <c r="AF376" s="253"/>
      <c r="AG376" s="253"/>
      <c r="AH376" s="253"/>
      <c r="AI376" s="253"/>
      <c r="AJ376" s="253"/>
      <c r="AK376" s="253"/>
      <c r="AL376" s="253"/>
      <c r="AM376" s="253"/>
      <c r="AN376" s="903"/>
      <c r="AO376" s="253" t="str">
        <f>IF(Z376="Yes",COUNTIF($Z$6:Z376,"Yes"),"")</f>
        <v/>
      </c>
      <c r="AP376" s="253" t="str">
        <f>IF(AA376="Yes",COUNTIF($AA$6:AA376,"Yes"),"")</f>
        <v/>
      </c>
      <c r="AQ376" s="253" t="str">
        <f>IF(AC376="Yes",COUNTIF($AC$6:AC376,"Yes"),"")</f>
        <v/>
      </c>
    </row>
    <row r="377" spans="1:43">
      <c r="A377" s="253"/>
      <c r="B377" s="253"/>
      <c r="C377" s="253"/>
      <c r="D377" s="253"/>
      <c r="E377" s="253"/>
      <c r="F377" s="253"/>
      <c r="G377" s="253"/>
      <c r="H377" s="253"/>
      <c r="I377" s="253"/>
      <c r="J377" s="253"/>
      <c r="K377" s="253"/>
      <c r="L377" s="253"/>
      <c r="M377" s="253"/>
      <c r="N377" s="253"/>
      <c r="O377" s="253"/>
      <c r="P377" s="903"/>
      <c r="Q377" s="903"/>
      <c r="R377" s="903"/>
      <c r="S377" s="904" t="str">
        <f ca="1">IF(P377="","",IF(R377&lt;&gt;"",R377-P377,TODAY()-P377))</f>
        <v/>
      </c>
      <c r="T377" s="904" t="str">
        <f ca="1">IF(Q377="","",Q377-TODAY())</f>
        <v/>
      </c>
      <c r="U377" s="253"/>
      <c r="V377" s="253"/>
      <c r="W377" s="253"/>
      <c r="X377" s="253"/>
      <c r="Y377" s="253"/>
      <c r="Z377" s="253"/>
      <c r="AA377" s="253"/>
      <c r="AB377" s="253"/>
      <c r="AC377" s="253"/>
      <c r="AD377" s="253"/>
      <c r="AE377" s="253"/>
      <c r="AF377" s="253"/>
      <c r="AG377" s="253"/>
      <c r="AH377" s="253"/>
      <c r="AI377" s="253"/>
      <c r="AJ377" s="253"/>
      <c r="AK377" s="253"/>
      <c r="AL377" s="253"/>
      <c r="AM377" s="253"/>
      <c r="AN377" s="903"/>
      <c r="AO377" s="253" t="str">
        <f>IF(Z377="Yes",COUNTIF($Z$6:Z377,"Yes"),"")</f>
        <v/>
      </c>
      <c r="AP377" s="253" t="str">
        <f>IF(AA377="Yes",COUNTIF($AA$6:AA377,"Yes"),"")</f>
        <v/>
      </c>
      <c r="AQ377" s="253" t="str">
        <f>IF(AC377="Yes",COUNTIF($AC$6:AC377,"Yes"),"")</f>
        <v/>
      </c>
    </row>
    <row r="378" spans="1:43">
      <c r="A378" s="253"/>
      <c r="B378" s="253"/>
      <c r="C378" s="253"/>
      <c r="D378" s="253"/>
      <c r="E378" s="253"/>
      <c r="F378" s="253"/>
      <c r="G378" s="253"/>
      <c r="H378" s="253"/>
      <c r="I378" s="253"/>
      <c r="J378" s="253"/>
      <c r="K378" s="253"/>
      <c r="L378" s="253"/>
      <c r="M378" s="253"/>
      <c r="N378" s="253"/>
      <c r="O378" s="253"/>
      <c r="P378" s="903"/>
      <c r="Q378" s="903"/>
      <c r="R378" s="903"/>
      <c r="S378" s="904" t="str">
        <f ca="1">IF(P378="","",IF(R378&lt;&gt;"",R378-P378,TODAY()-P378))</f>
        <v/>
      </c>
      <c r="T378" s="904" t="str">
        <f ca="1">IF(Q378="","",Q378-TODAY())</f>
        <v/>
      </c>
      <c r="U378" s="253"/>
      <c r="V378" s="253"/>
      <c r="W378" s="253"/>
      <c r="X378" s="253"/>
      <c r="Y378" s="253"/>
      <c r="Z378" s="253"/>
      <c r="AA378" s="253"/>
      <c r="AB378" s="253"/>
      <c r="AC378" s="253"/>
      <c r="AD378" s="253"/>
      <c r="AE378" s="253"/>
      <c r="AF378" s="253"/>
      <c r="AG378" s="253"/>
      <c r="AH378" s="253"/>
      <c r="AI378" s="253"/>
      <c r="AJ378" s="253"/>
      <c r="AK378" s="253"/>
      <c r="AL378" s="253"/>
      <c r="AM378" s="253"/>
      <c r="AN378" s="903"/>
      <c r="AO378" s="253" t="str">
        <f>IF(Z378="Yes",COUNTIF($Z$6:Z378,"Yes"),"")</f>
        <v/>
      </c>
      <c r="AP378" s="253" t="str">
        <f>IF(AA378="Yes",COUNTIF($AA$6:AA378,"Yes"),"")</f>
        <v/>
      </c>
      <c r="AQ378" s="253" t="str">
        <f>IF(AC378="Yes",COUNTIF($AC$6:AC378,"Yes"),"")</f>
        <v/>
      </c>
    </row>
    <row r="379" spans="1:43">
      <c r="A379" s="253"/>
      <c r="B379" s="253"/>
      <c r="C379" s="253"/>
      <c r="D379" s="253"/>
      <c r="E379" s="253"/>
      <c r="F379" s="253"/>
      <c r="G379" s="253"/>
      <c r="H379" s="253"/>
      <c r="I379" s="253"/>
      <c r="J379" s="253"/>
      <c r="K379" s="253"/>
      <c r="L379" s="253"/>
      <c r="M379" s="253"/>
      <c r="N379" s="253"/>
      <c r="O379" s="253"/>
      <c r="P379" s="903"/>
      <c r="Q379" s="903"/>
      <c r="R379" s="903"/>
      <c r="S379" s="904" t="str">
        <f ca="1">IF(P379="","",IF(R379&lt;&gt;"",R379-P379,TODAY()-P379))</f>
        <v/>
      </c>
      <c r="T379" s="904" t="str">
        <f ca="1">IF(Q379="","",Q379-TODAY())</f>
        <v/>
      </c>
      <c r="U379" s="253"/>
      <c r="V379" s="253"/>
      <c r="W379" s="253"/>
      <c r="X379" s="253"/>
      <c r="Y379" s="253"/>
      <c r="Z379" s="253"/>
      <c r="AA379" s="253"/>
      <c r="AB379" s="253"/>
      <c r="AC379" s="253"/>
      <c r="AD379" s="253"/>
      <c r="AE379" s="253"/>
      <c r="AF379" s="253"/>
      <c r="AG379" s="253"/>
      <c r="AH379" s="253"/>
      <c r="AI379" s="253"/>
      <c r="AJ379" s="253"/>
      <c r="AK379" s="253"/>
      <c r="AL379" s="253"/>
      <c r="AM379" s="253"/>
      <c r="AN379" s="903"/>
      <c r="AO379" s="253" t="str">
        <f>IF(Z379="Yes",COUNTIF($Z$6:Z379,"Yes"),"")</f>
        <v/>
      </c>
      <c r="AP379" s="253" t="str">
        <f>IF(AA379="Yes",COUNTIF($AA$6:AA379,"Yes"),"")</f>
        <v/>
      </c>
      <c r="AQ379" s="253" t="str">
        <f>IF(AC379="Yes",COUNTIF($AC$6:AC379,"Yes"),"")</f>
        <v/>
      </c>
    </row>
    <row r="380" spans="1:43">
      <c r="A380" s="253"/>
      <c r="B380" s="253"/>
      <c r="C380" s="253"/>
      <c r="D380" s="253"/>
      <c r="E380" s="253"/>
      <c r="F380" s="253"/>
      <c r="G380" s="253"/>
      <c r="H380" s="253"/>
      <c r="I380" s="253"/>
      <c r="J380" s="253"/>
      <c r="K380" s="253"/>
      <c r="L380" s="253"/>
      <c r="M380" s="253"/>
      <c r="N380" s="253"/>
      <c r="O380" s="253"/>
      <c r="P380" s="903"/>
      <c r="Q380" s="903"/>
      <c r="R380" s="903"/>
      <c r="S380" s="904" t="str">
        <f ca="1">IF(P380="","",IF(R380&lt;&gt;"",R380-P380,TODAY()-P380))</f>
        <v/>
      </c>
      <c r="T380" s="904" t="str">
        <f ca="1">IF(Q380="","",Q380-TODAY())</f>
        <v/>
      </c>
      <c r="U380" s="253"/>
      <c r="V380" s="253"/>
      <c r="W380" s="253"/>
      <c r="X380" s="253"/>
      <c r="Y380" s="253"/>
      <c r="Z380" s="253"/>
      <c r="AA380" s="253"/>
      <c r="AB380" s="253"/>
      <c r="AC380" s="253"/>
      <c r="AD380" s="253"/>
      <c r="AE380" s="253"/>
      <c r="AF380" s="253"/>
      <c r="AG380" s="253"/>
      <c r="AH380" s="253"/>
      <c r="AI380" s="253"/>
      <c r="AJ380" s="253"/>
      <c r="AK380" s="253"/>
      <c r="AL380" s="253"/>
      <c r="AM380" s="253"/>
      <c r="AN380" s="903"/>
      <c r="AO380" s="253" t="str">
        <f>IF(Z380="Yes",COUNTIF($Z$6:Z380,"Yes"),"")</f>
        <v/>
      </c>
      <c r="AP380" s="253" t="str">
        <f>IF(AA380="Yes",COUNTIF($AA$6:AA380,"Yes"),"")</f>
        <v/>
      </c>
      <c r="AQ380" s="253" t="str">
        <f>IF(AC380="Yes",COUNTIF($AC$6:AC380,"Yes"),"")</f>
        <v/>
      </c>
    </row>
    <row r="381" spans="1:43">
      <c r="A381" s="253"/>
      <c r="B381" s="253"/>
      <c r="C381" s="253"/>
      <c r="D381" s="253"/>
      <c r="E381" s="253"/>
      <c r="F381" s="253"/>
      <c r="G381" s="253"/>
      <c r="H381" s="253"/>
      <c r="I381" s="253"/>
      <c r="J381" s="253"/>
      <c r="K381" s="253"/>
      <c r="L381" s="253"/>
      <c r="M381" s="253"/>
      <c r="N381" s="253"/>
      <c r="O381" s="253"/>
      <c r="P381" s="903"/>
      <c r="Q381" s="903"/>
      <c r="R381" s="903"/>
      <c r="S381" s="904" t="str">
        <f ca="1">IF(P381="","",IF(R381&lt;&gt;"",R381-P381,TODAY()-P381))</f>
        <v/>
      </c>
      <c r="T381" s="904" t="str">
        <f ca="1">IF(Q381="","",Q381-TODAY())</f>
        <v/>
      </c>
      <c r="U381" s="253"/>
      <c r="V381" s="253"/>
      <c r="W381" s="253"/>
      <c r="X381" s="253"/>
      <c r="Y381" s="253"/>
      <c r="Z381" s="253"/>
      <c r="AA381" s="253"/>
      <c r="AB381" s="253"/>
      <c r="AC381" s="253"/>
      <c r="AD381" s="253"/>
      <c r="AE381" s="253"/>
      <c r="AF381" s="253"/>
      <c r="AG381" s="253"/>
      <c r="AH381" s="253"/>
      <c r="AI381" s="253"/>
      <c r="AJ381" s="253"/>
      <c r="AK381" s="253"/>
      <c r="AL381" s="253"/>
      <c r="AM381" s="253"/>
      <c r="AN381" s="903"/>
      <c r="AO381" s="253" t="str">
        <f>IF(Z381="Yes",COUNTIF($Z$6:Z381,"Yes"),"")</f>
        <v/>
      </c>
      <c r="AP381" s="253" t="str">
        <f>IF(AA381="Yes",COUNTIF($AA$6:AA381,"Yes"),"")</f>
        <v/>
      </c>
      <c r="AQ381" s="253" t="str">
        <f>IF(AC381="Yes",COUNTIF($AC$6:AC381,"Yes"),"")</f>
        <v/>
      </c>
    </row>
    <row r="382" spans="1:43">
      <c r="A382" s="253"/>
      <c r="B382" s="253"/>
      <c r="C382" s="253"/>
      <c r="D382" s="253"/>
      <c r="E382" s="253"/>
      <c r="F382" s="253"/>
      <c r="G382" s="253"/>
      <c r="H382" s="253"/>
      <c r="I382" s="253"/>
      <c r="J382" s="253"/>
      <c r="K382" s="253"/>
      <c r="L382" s="253"/>
      <c r="M382" s="253"/>
      <c r="N382" s="253"/>
      <c r="O382" s="253"/>
      <c r="P382" s="903"/>
      <c r="Q382" s="903"/>
      <c r="R382" s="903"/>
      <c r="S382" s="904" t="str">
        <f ca="1">IF(P382="","",IF(R382&lt;&gt;"",R382-P382,TODAY()-P382))</f>
        <v/>
      </c>
      <c r="T382" s="904" t="str">
        <f ca="1">IF(Q382="","",Q382-TODAY())</f>
        <v/>
      </c>
      <c r="U382" s="253"/>
      <c r="V382" s="253"/>
      <c r="W382" s="253"/>
      <c r="X382" s="253"/>
      <c r="Y382" s="253"/>
      <c r="Z382" s="253"/>
      <c r="AA382" s="253"/>
      <c r="AB382" s="253"/>
      <c r="AC382" s="253"/>
      <c r="AD382" s="253"/>
      <c r="AE382" s="253"/>
      <c r="AF382" s="253"/>
      <c r="AG382" s="253"/>
      <c r="AH382" s="253"/>
      <c r="AI382" s="253"/>
      <c r="AJ382" s="253"/>
      <c r="AK382" s="253"/>
      <c r="AL382" s="253"/>
      <c r="AM382" s="253"/>
      <c r="AN382" s="903"/>
      <c r="AO382" s="253" t="str">
        <f>IF(Z382="Yes",COUNTIF($Z$6:Z382,"Yes"),"")</f>
        <v/>
      </c>
      <c r="AP382" s="253" t="str">
        <f>IF(AA382="Yes",COUNTIF($AA$6:AA382,"Yes"),"")</f>
        <v/>
      </c>
      <c r="AQ382" s="253" t="str">
        <f>IF(AC382="Yes",COUNTIF($AC$6:AC382,"Yes"),"")</f>
        <v/>
      </c>
    </row>
    <row r="383" spans="1:43">
      <c r="A383" s="253"/>
      <c r="B383" s="253"/>
      <c r="C383" s="253"/>
      <c r="D383" s="253"/>
      <c r="E383" s="253"/>
      <c r="F383" s="253"/>
      <c r="G383" s="253"/>
      <c r="H383" s="253"/>
      <c r="I383" s="253"/>
      <c r="J383" s="253"/>
      <c r="K383" s="253"/>
      <c r="L383" s="253"/>
      <c r="M383" s="253"/>
      <c r="N383" s="253"/>
      <c r="O383" s="253"/>
      <c r="P383" s="903"/>
      <c r="Q383" s="903"/>
      <c r="R383" s="903"/>
      <c r="S383" s="904" t="str">
        <f ca="1">IF(P383="","",IF(R383&lt;&gt;"",R383-P383,TODAY()-P383))</f>
        <v/>
      </c>
      <c r="T383" s="904" t="str">
        <f ca="1">IF(Q383="","",Q383-TODAY())</f>
        <v/>
      </c>
      <c r="U383" s="253"/>
      <c r="V383" s="253"/>
      <c r="W383" s="253"/>
      <c r="X383" s="253"/>
      <c r="Y383" s="253"/>
      <c r="Z383" s="253"/>
      <c r="AA383" s="253"/>
      <c r="AB383" s="253"/>
      <c r="AC383" s="253"/>
      <c r="AD383" s="253"/>
      <c r="AE383" s="253"/>
      <c r="AF383" s="253"/>
      <c r="AG383" s="253"/>
      <c r="AH383" s="253"/>
      <c r="AI383" s="253"/>
      <c r="AJ383" s="253"/>
      <c r="AK383" s="253"/>
      <c r="AL383" s="253"/>
      <c r="AM383" s="253"/>
      <c r="AN383" s="903"/>
      <c r="AO383" s="253" t="str">
        <f>IF(Z383="Yes",COUNTIF($Z$6:Z383,"Yes"),"")</f>
        <v/>
      </c>
      <c r="AP383" s="253" t="str">
        <f>IF(AA383="Yes",COUNTIF($AA$6:AA383,"Yes"),"")</f>
        <v/>
      </c>
      <c r="AQ383" s="253" t="str">
        <f>IF(AC383="Yes",COUNTIF($AC$6:AC383,"Yes"),"")</f>
        <v/>
      </c>
    </row>
    <row r="384" spans="1:43">
      <c r="A384" s="253"/>
      <c r="B384" s="253"/>
      <c r="C384" s="253"/>
      <c r="D384" s="253"/>
      <c r="E384" s="253"/>
      <c r="F384" s="253"/>
      <c r="G384" s="253"/>
      <c r="H384" s="253"/>
      <c r="I384" s="253"/>
      <c r="J384" s="253"/>
      <c r="K384" s="253"/>
      <c r="L384" s="253"/>
      <c r="M384" s="253"/>
      <c r="N384" s="253"/>
      <c r="O384" s="253"/>
      <c r="P384" s="903"/>
      <c r="Q384" s="903"/>
      <c r="R384" s="903"/>
      <c r="S384" s="904" t="str">
        <f ca="1">IF(P384="","",IF(R384&lt;&gt;"",R384-P384,TODAY()-P384))</f>
        <v/>
      </c>
      <c r="T384" s="904" t="str">
        <f ca="1">IF(Q384="","",Q384-TODAY())</f>
        <v/>
      </c>
      <c r="U384" s="253"/>
      <c r="V384" s="253"/>
      <c r="W384" s="253"/>
      <c r="X384" s="253"/>
      <c r="Y384" s="253"/>
      <c r="Z384" s="253"/>
      <c r="AA384" s="253"/>
      <c r="AB384" s="253"/>
      <c r="AC384" s="253"/>
      <c r="AD384" s="253"/>
      <c r="AE384" s="253"/>
      <c r="AF384" s="253"/>
      <c r="AG384" s="253"/>
      <c r="AH384" s="253"/>
      <c r="AI384" s="253"/>
      <c r="AJ384" s="253"/>
      <c r="AK384" s="253"/>
      <c r="AL384" s="253"/>
      <c r="AM384" s="253"/>
      <c r="AN384" s="903"/>
      <c r="AO384" s="253" t="str">
        <f>IF(Z384="Yes",COUNTIF($Z$6:Z384,"Yes"),"")</f>
        <v/>
      </c>
      <c r="AP384" s="253" t="str">
        <f>IF(AA384="Yes",COUNTIF($AA$6:AA384,"Yes"),"")</f>
        <v/>
      </c>
      <c r="AQ384" s="253" t="str">
        <f>IF(AC384="Yes",COUNTIF($AC$6:AC384,"Yes"),"")</f>
        <v/>
      </c>
    </row>
    <row r="385" spans="1:43">
      <c r="A385" s="253"/>
      <c r="B385" s="253"/>
      <c r="C385" s="253"/>
      <c r="D385" s="253"/>
      <c r="E385" s="253"/>
      <c r="F385" s="253"/>
      <c r="G385" s="253"/>
      <c r="H385" s="253"/>
      <c r="I385" s="253"/>
      <c r="J385" s="253"/>
      <c r="K385" s="253"/>
      <c r="L385" s="253"/>
      <c r="M385" s="253"/>
      <c r="N385" s="253"/>
      <c r="O385" s="253"/>
      <c r="P385" s="903"/>
      <c r="Q385" s="903"/>
      <c r="R385" s="903"/>
      <c r="S385" s="904" t="str">
        <f ca="1">IF(P385="","",IF(R385&lt;&gt;"",R385-P385,TODAY()-P385))</f>
        <v/>
      </c>
      <c r="T385" s="904" t="str">
        <f ca="1">IF(Q385="","",Q385-TODAY())</f>
        <v/>
      </c>
      <c r="U385" s="253"/>
      <c r="V385" s="253"/>
      <c r="W385" s="253"/>
      <c r="X385" s="253"/>
      <c r="Y385" s="253"/>
      <c r="Z385" s="253"/>
      <c r="AA385" s="253"/>
      <c r="AB385" s="253"/>
      <c r="AC385" s="253"/>
      <c r="AD385" s="253"/>
      <c r="AE385" s="253"/>
      <c r="AF385" s="253"/>
      <c r="AG385" s="253"/>
      <c r="AH385" s="253"/>
      <c r="AI385" s="253"/>
      <c r="AJ385" s="253"/>
      <c r="AK385" s="253"/>
      <c r="AL385" s="253"/>
      <c r="AM385" s="253"/>
      <c r="AN385" s="903"/>
      <c r="AO385" s="253" t="str">
        <f>IF(Z385="Yes",COUNTIF($Z$6:Z385,"Yes"),"")</f>
        <v/>
      </c>
      <c r="AP385" s="253" t="str">
        <f>IF(AA385="Yes",COUNTIF($AA$6:AA385,"Yes"),"")</f>
        <v/>
      </c>
      <c r="AQ385" s="253" t="str">
        <f>IF(AC385="Yes",COUNTIF($AC$6:AC385,"Yes"),"")</f>
        <v/>
      </c>
    </row>
    <row r="386" spans="1:43">
      <c r="A386" s="253"/>
      <c r="B386" s="253"/>
      <c r="C386" s="253"/>
      <c r="D386" s="253"/>
      <c r="E386" s="253"/>
      <c r="F386" s="253"/>
      <c r="G386" s="253"/>
      <c r="H386" s="253"/>
      <c r="I386" s="253"/>
      <c r="J386" s="253"/>
      <c r="K386" s="253"/>
      <c r="L386" s="253"/>
      <c r="M386" s="253"/>
      <c r="N386" s="253"/>
      <c r="O386" s="253"/>
      <c r="P386" s="903"/>
      <c r="Q386" s="903"/>
      <c r="R386" s="903"/>
      <c r="S386" s="904" t="str">
        <f ca="1">IF(P386="","",IF(R386&lt;&gt;"",R386-P386,TODAY()-P386))</f>
        <v/>
      </c>
      <c r="T386" s="904" t="str">
        <f ca="1">IF(Q386="","",Q386-TODAY())</f>
        <v/>
      </c>
      <c r="U386" s="253"/>
      <c r="V386" s="253"/>
      <c r="W386" s="253"/>
      <c r="X386" s="253"/>
      <c r="Y386" s="253"/>
      <c r="Z386" s="253"/>
      <c r="AA386" s="253"/>
      <c r="AB386" s="253"/>
      <c r="AC386" s="253"/>
      <c r="AD386" s="253"/>
      <c r="AE386" s="253"/>
      <c r="AF386" s="253"/>
      <c r="AG386" s="253"/>
      <c r="AH386" s="253"/>
      <c r="AI386" s="253"/>
      <c r="AJ386" s="253"/>
      <c r="AK386" s="253"/>
      <c r="AL386" s="253"/>
      <c r="AM386" s="253"/>
      <c r="AN386" s="903"/>
      <c r="AO386" s="253" t="str">
        <f>IF(Z386="Yes",COUNTIF($Z$6:Z386,"Yes"),"")</f>
        <v/>
      </c>
      <c r="AP386" s="253" t="str">
        <f>IF(AA386="Yes",COUNTIF($AA$6:AA386,"Yes"),"")</f>
        <v/>
      </c>
      <c r="AQ386" s="253" t="str">
        <f>IF(AC386="Yes",COUNTIF($AC$6:AC386,"Yes"),"")</f>
        <v/>
      </c>
    </row>
    <row r="387" spans="1:43">
      <c r="A387" s="253"/>
      <c r="B387" s="253"/>
      <c r="C387" s="253"/>
      <c r="D387" s="253"/>
      <c r="E387" s="253"/>
      <c r="F387" s="253"/>
      <c r="G387" s="253"/>
      <c r="H387" s="253"/>
      <c r="I387" s="253"/>
      <c r="J387" s="253"/>
      <c r="K387" s="253"/>
      <c r="L387" s="253"/>
      <c r="M387" s="253"/>
      <c r="N387" s="253"/>
      <c r="O387" s="253"/>
      <c r="P387" s="903"/>
      <c r="Q387" s="903"/>
      <c r="R387" s="903"/>
      <c r="S387" s="904" t="str">
        <f ca="1">IF(P387="","",IF(R387&lt;&gt;"",R387-P387,TODAY()-P387))</f>
        <v/>
      </c>
      <c r="T387" s="904" t="str">
        <f ca="1">IF(Q387="","",Q387-TODAY())</f>
        <v/>
      </c>
      <c r="U387" s="253"/>
      <c r="V387" s="253"/>
      <c r="W387" s="253"/>
      <c r="X387" s="253"/>
      <c r="Y387" s="253"/>
      <c r="Z387" s="253"/>
      <c r="AA387" s="253"/>
      <c r="AB387" s="253"/>
      <c r="AC387" s="253"/>
      <c r="AD387" s="253"/>
      <c r="AE387" s="253"/>
      <c r="AF387" s="253"/>
      <c r="AG387" s="253"/>
      <c r="AH387" s="253"/>
      <c r="AI387" s="253"/>
      <c r="AJ387" s="253"/>
      <c r="AK387" s="253"/>
      <c r="AL387" s="253"/>
      <c r="AM387" s="253"/>
      <c r="AN387" s="903"/>
      <c r="AO387" s="253" t="str">
        <f>IF(Z387="Yes",COUNTIF($Z$6:Z387,"Yes"),"")</f>
        <v/>
      </c>
      <c r="AP387" s="253" t="str">
        <f>IF(AA387="Yes",COUNTIF($AA$6:AA387,"Yes"),"")</f>
        <v/>
      </c>
      <c r="AQ387" s="253" t="str">
        <f>IF(AC387="Yes",COUNTIF($AC$6:AC387,"Yes"),"")</f>
        <v/>
      </c>
    </row>
    <row r="388" spans="1:43">
      <c r="A388" s="253"/>
      <c r="B388" s="253"/>
      <c r="C388" s="253"/>
      <c r="D388" s="253"/>
      <c r="E388" s="253"/>
      <c r="F388" s="253"/>
      <c r="G388" s="253"/>
      <c r="H388" s="253"/>
      <c r="I388" s="253"/>
      <c r="J388" s="253"/>
      <c r="K388" s="253"/>
      <c r="L388" s="253"/>
      <c r="M388" s="253"/>
      <c r="N388" s="253"/>
      <c r="O388" s="253"/>
      <c r="P388" s="903"/>
      <c r="Q388" s="903"/>
      <c r="R388" s="903"/>
      <c r="S388" s="904" t="str">
        <f ca="1">IF(P388="","",IF(R388&lt;&gt;"",R388-P388,TODAY()-P388))</f>
        <v/>
      </c>
      <c r="T388" s="904" t="str">
        <f ca="1">IF(Q388="","",Q388-TODAY())</f>
        <v/>
      </c>
      <c r="U388" s="253"/>
      <c r="V388" s="253"/>
      <c r="W388" s="253"/>
      <c r="X388" s="253"/>
      <c r="Y388" s="253"/>
      <c r="Z388" s="253"/>
      <c r="AA388" s="253"/>
      <c r="AB388" s="253"/>
      <c r="AC388" s="253"/>
      <c r="AD388" s="253"/>
      <c r="AE388" s="253"/>
      <c r="AF388" s="253"/>
      <c r="AG388" s="253"/>
      <c r="AH388" s="253"/>
      <c r="AI388" s="253"/>
      <c r="AJ388" s="253"/>
      <c r="AK388" s="253"/>
      <c r="AL388" s="253"/>
      <c r="AM388" s="253"/>
      <c r="AN388" s="903"/>
      <c r="AO388" s="253" t="str">
        <f>IF(Z388="Yes",COUNTIF($Z$6:Z388,"Yes"),"")</f>
        <v/>
      </c>
      <c r="AP388" s="253" t="str">
        <f>IF(AA388="Yes",COUNTIF($AA$6:AA388,"Yes"),"")</f>
        <v/>
      </c>
      <c r="AQ388" s="253" t="str">
        <f>IF(AC388="Yes",COUNTIF($AC$6:AC388,"Yes"),"")</f>
        <v/>
      </c>
    </row>
    <row r="389" spans="1:43">
      <c r="A389" s="253"/>
      <c r="B389" s="253"/>
      <c r="C389" s="253"/>
      <c r="D389" s="253"/>
      <c r="E389" s="253"/>
      <c r="F389" s="253"/>
      <c r="G389" s="253"/>
      <c r="H389" s="253"/>
      <c r="I389" s="253"/>
      <c r="J389" s="253"/>
      <c r="K389" s="253"/>
      <c r="L389" s="253"/>
      <c r="M389" s="253"/>
      <c r="N389" s="253"/>
      <c r="O389" s="253"/>
      <c r="P389" s="903"/>
      <c r="Q389" s="903"/>
      <c r="R389" s="903"/>
      <c r="S389" s="904" t="str">
        <f ca="1">IF(P389="","",IF(R389&lt;&gt;"",R389-P389,TODAY()-P389))</f>
        <v/>
      </c>
      <c r="T389" s="904" t="str">
        <f ca="1">IF(Q389="","",Q389-TODAY())</f>
        <v/>
      </c>
      <c r="U389" s="253"/>
      <c r="V389" s="253"/>
      <c r="W389" s="253"/>
      <c r="X389" s="253"/>
      <c r="Y389" s="253"/>
      <c r="Z389" s="253"/>
      <c r="AA389" s="253"/>
      <c r="AB389" s="253"/>
      <c r="AC389" s="253"/>
      <c r="AD389" s="253"/>
      <c r="AE389" s="253"/>
      <c r="AF389" s="253"/>
      <c r="AG389" s="253"/>
      <c r="AH389" s="253"/>
      <c r="AI389" s="253"/>
      <c r="AJ389" s="253"/>
      <c r="AK389" s="253"/>
      <c r="AL389" s="253"/>
      <c r="AM389" s="253"/>
      <c r="AN389" s="903"/>
      <c r="AO389" s="253" t="str">
        <f>IF(Z389="Yes",COUNTIF($Z$6:Z389,"Yes"),"")</f>
        <v/>
      </c>
      <c r="AP389" s="253" t="str">
        <f>IF(AA389="Yes",COUNTIF($AA$6:AA389,"Yes"),"")</f>
        <v/>
      </c>
      <c r="AQ389" s="253" t="str">
        <f>IF(AC389="Yes",COUNTIF($AC$6:AC389,"Yes"),"")</f>
        <v/>
      </c>
    </row>
    <row r="390" spans="1:43">
      <c r="A390" s="253"/>
      <c r="B390" s="253"/>
      <c r="C390" s="253"/>
      <c r="D390" s="253"/>
      <c r="E390" s="253"/>
      <c r="F390" s="253"/>
      <c r="G390" s="253"/>
      <c r="H390" s="253"/>
      <c r="I390" s="253"/>
      <c r="J390" s="253"/>
      <c r="K390" s="253"/>
      <c r="L390" s="253"/>
      <c r="M390" s="253"/>
      <c r="N390" s="253"/>
      <c r="O390" s="253"/>
      <c r="P390" s="903"/>
      <c r="Q390" s="903"/>
      <c r="R390" s="903"/>
      <c r="S390" s="904" t="str">
        <f ca="1">IF(P390="","",IF(R390&lt;&gt;"",R390-P390,TODAY()-P390))</f>
        <v/>
      </c>
      <c r="T390" s="904" t="str">
        <f ca="1">IF(Q390="","",Q390-TODAY())</f>
        <v/>
      </c>
      <c r="U390" s="253"/>
      <c r="V390" s="253"/>
      <c r="W390" s="253"/>
      <c r="X390" s="253"/>
      <c r="Y390" s="253"/>
      <c r="Z390" s="253"/>
      <c r="AA390" s="253"/>
      <c r="AB390" s="253"/>
      <c r="AC390" s="253"/>
      <c r="AD390" s="253"/>
      <c r="AE390" s="253"/>
      <c r="AF390" s="253"/>
      <c r="AG390" s="253"/>
      <c r="AH390" s="253"/>
      <c r="AI390" s="253"/>
      <c r="AJ390" s="253"/>
      <c r="AK390" s="253"/>
      <c r="AL390" s="253"/>
      <c r="AM390" s="253"/>
      <c r="AN390" s="903"/>
      <c r="AO390" s="253" t="str">
        <f>IF(Z390="Yes",COUNTIF($Z$6:Z390,"Yes"),"")</f>
        <v/>
      </c>
      <c r="AP390" s="253" t="str">
        <f>IF(AA390="Yes",COUNTIF($AA$6:AA390,"Yes"),"")</f>
        <v/>
      </c>
      <c r="AQ390" s="253" t="str">
        <f>IF(AC390="Yes",COUNTIF($AC$6:AC390,"Yes"),"")</f>
        <v/>
      </c>
    </row>
    <row r="391" spans="1:43">
      <c r="A391" s="253"/>
      <c r="B391" s="253"/>
      <c r="C391" s="253"/>
      <c r="D391" s="253"/>
      <c r="E391" s="253"/>
      <c r="F391" s="253"/>
      <c r="G391" s="253"/>
      <c r="H391" s="253"/>
      <c r="I391" s="253"/>
      <c r="J391" s="253"/>
      <c r="K391" s="253"/>
      <c r="L391" s="253"/>
      <c r="M391" s="253"/>
      <c r="N391" s="253"/>
      <c r="O391" s="253"/>
      <c r="P391" s="903"/>
      <c r="Q391" s="903"/>
      <c r="R391" s="903"/>
      <c r="S391" s="904" t="str">
        <f ca="1">IF(P391="","",IF(R391&lt;&gt;"",R391-P391,TODAY()-P391))</f>
        <v/>
      </c>
      <c r="T391" s="904" t="str">
        <f ca="1">IF(Q391="","",Q391-TODAY())</f>
        <v/>
      </c>
      <c r="U391" s="253"/>
      <c r="V391" s="253"/>
      <c r="W391" s="253"/>
      <c r="X391" s="253"/>
      <c r="Y391" s="253"/>
      <c r="Z391" s="253"/>
      <c r="AA391" s="253"/>
      <c r="AB391" s="253"/>
      <c r="AC391" s="253"/>
      <c r="AD391" s="253"/>
      <c r="AE391" s="253"/>
      <c r="AF391" s="253"/>
      <c r="AG391" s="253"/>
      <c r="AH391" s="253"/>
      <c r="AI391" s="253"/>
      <c r="AJ391" s="253"/>
      <c r="AK391" s="253"/>
      <c r="AL391" s="253"/>
      <c r="AM391" s="253"/>
      <c r="AN391" s="903"/>
      <c r="AO391" s="253" t="str">
        <f>IF(Z391="Yes",COUNTIF($Z$6:Z391,"Yes"),"")</f>
        <v/>
      </c>
      <c r="AP391" s="253" t="str">
        <f>IF(AA391="Yes",COUNTIF($AA$6:AA391,"Yes"),"")</f>
        <v/>
      </c>
      <c r="AQ391" s="253" t="str">
        <f>IF(AC391="Yes",COUNTIF($AC$6:AC391,"Yes"),"")</f>
        <v/>
      </c>
    </row>
    <row r="392" spans="1:43">
      <c r="A392" s="253"/>
      <c r="B392" s="253"/>
      <c r="C392" s="253"/>
      <c r="D392" s="253"/>
      <c r="E392" s="253"/>
      <c r="F392" s="253"/>
      <c r="G392" s="253"/>
      <c r="H392" s="253"/>
      <c r="I392" s="253"/>
      <c r="J392" s="253"/>
      <c r="K392" s="253"/>
      <c r="L392" s="253"/>
      <c r="M392" s="253"/>
      <c r="N392" s="253"/>
      <c r="O392" s="253"/>
      <c r="P392" s="903"/>
      <c r="Q392" s="903"/>
      <c r="R392" s="903"/>
      <c r="S392" s="904" t="str">
        <f ca="1">IF(P392="","",IF(R392&lt;&gt;"",R392-P392,TODAY()-P392))</f>
        <v/>
      </c>
      <c r="T392" s="904" t="str">
        <f ca="1">IF(Q392="","",Q392-TODAY())</f>
        <v/>
      </c>
      <c r="U392" s="253"/>
      <c r="V392" s="253"/>
      <c r="W392" s="253"/>
      <c r="X392" s="253"/>
      <c r="Y392" s="253"/>
      <c r="Z392" s="253"/>
      <c r="AA392" s="253"/>
      <c r="AB392" s="253"/>
      <c r="AC392" s="253"/>
      <c r="AD392" s="253"/>
      <c r="AE392" s="253"/>
      <c r="AF392" s="253"/>
      <c r="AG392" s="253"/>
      <c r="AH392" s="253"/>
      <c r="AI392" s="253"/>
      <c r="AJ392" s="253"/>
      <c r="AK392" s="253"/>
      <c r="AL392" s="253"/>
      <c r="AM392" s="253"/>
      <c r="AN392" s="903"/>
      <c r="AO392" s="253" t="str">
        <f>IF(Z392="Yes",COUNTIF($Z$6:Z392,"Yes"),"")</f>
        <v/>
      </c>
      <c r="AP392" s="253" t="str">
        <f>IF(AA392="Yes",COUNTIF($AA$6:AA392,"Yes"),"")</f>
        <v/>
      </c>
      <c r="AQ392" s="253" t="str">
        <f>IF(AC392="Yes",COUNTIF($AC$6:AC392,"Yes"),"")</f>
        <v/>
      </c>
    </row>
    <row r="393" spans="1:43">
      <c r="A393" s="253"/>
      <c r="B393" s="253"/>
      <c r="C393" s="253"/>
      <c r="D393" s="253"/>
      <c r="E393" s="253"/>
      <c r="F393" s="253"/>
      <c r="G393" s="253"/>
      <c r="H393" s="253"/>
      <c r="I393" s="253"/>
      <c r="J393" s="253"/>
      <c r="K393" s="253"/>
      <c r="L393" s="253"/>
      <c r="M393" s="253"/>
      <c r="N393" s="253"/>
      <c r="O393" s="253"/>
      <c r="P393" s="903"/>
      <c r="Q393" s="903"/>
      <c r="R393" s="903"/>
      <c r="S393" s="904" t="str">
        <f ca="1">IF(P393="","",IF(R393&lt;&gt;"",R393-P393,TODAY()-P393))</f>
        <v/>
      </c>
      <c r="T393" s="904" t="str">
        <f ca="1">IF(Q393="","",Q393-TODAY())</f>
        <v/>
      </c>
      <c r="U393" s="253"/>
      <c r="V393" s="253"/>
      <c r="W393" s="253"/>
      <c r="X393" s="253"/>
      <c r="Y393" s="253"/>
      <c r="Z393" s="253"/>
      <c r="AA393" s="253"/>
      <c r="AB393" s="253"/>
      <c r="AC393" s="253"/>
      <c r="AD393" s="253"/>
      <c r="AE393" s="253"/>
      <c r="AF393" s="253"/>
      <c r="AG393" s="253"/>
      <c r="AH393" s="253"/>
      <c r="AI393" s="253"/>
      <c r="AJ393" s="253"/>
      <c r="AK393" s="253"/>
      <c r="AL393" s="253"/>
      <c r="AM393" s="253"/>
      <c r="AN393" s="903"/>
      <c r="AO393" s="253" t="str">
        <f>IF(Z393="Yes",COUNTIF($Z$6:Z393,"Yes"),"")</f>
        <v/>
      </c>
      <c r="AP393" s="253" t="str">
        <f>IF(AA393="Yes",COUNTIF($AA$6:AA393,"Yes"),"")</f>
        <v/>
      </c>
      <c r="AQ393" s="253" t="str">
        <f>IF(AC393="Yes",COUNTIF($AC$6:AC393,"Yes"),"")</f>
        <v/>
      </c>
    </row>
    <row r="394" spans="1:43">
      <c r="A394" s="253"/>
      <c r="B394" s="253"/>
      <c r="C394" s="253"/>
      <c r="D394" s="253"/>
      <c r="E394" s="253"/>
      <c r="F394" s="253"/>
      <c r="G394" s="253"/>
      <c r="H394" s="253"/>
      <c r="I394" s="253"/>
      <c r="J394" s="253"/>
      <c r="K394" s="253"/>
      <c r="L394" s="253"/>
      <c r="M394" s="253"/>
      <c r="N394" s="253"/>
      <c r="O394" s="253"/>
      <c r="P394" s="903"/>
      <c r="Q394" s="903"/>
      <c r="R394" s="903"/>
      <c r="S394" s="904" t="str">
        <f ca="1">IF(P394="","",IF(R394&lt;&gt;"",R394-P394,TODAY()-P394))</f>
        <v/>
      </c>
      <c r="T394" s="904" t="str">
        <f ca="1">IF(Q394="","",Q394-TODAY())</f>
        <v/>
      </c>
      <c r="U394" s="253"/>
      <c r="V394" s="253"/>
      <c r="W394" s="253"/>
      <c r="X394" s="253"/>
      <c r="Y394" s="253"/>
      <c r="Z394" s="253"/>
      <c r="AA394" s="253"/>
      <c r="AB394" s="253"/>
      <c r="AC394" s="253"/>
      <c r="AD394" s="253"/>
      <c r="AE394" s="253"/>
      <c r="AF394" s="253"/>
      <c r="AG394" s="253"/>
      <c r="AH394" s="253"/>
      <c r="AI394" s="253"/>
      <c r="AJ394" s="253"/>
      <c r="AK394" s="253"/>
      <c r="AL394" s="253"/>
      <c r="AM394" s="253"/>
      <c r="AN394" s="903"/>
      <c r="AO394" s="253" t="str">
        <f>IF(Z394="Yes",COUNTIF($Z$6:Z394,"Yes"),"")</f>
        <v/>
      </c>
      <c r="AP394" s="253" t="str">
        <f>IF(AA394="Yes",COUNTIF($AA$6:AA394,"Yes"),"")</f>
        <v/>
      </c>
      <c r="AQ394" s="253" t="str">
        <f>IF(AC394="Yes",COUNTIF($AC$6:AC394,"Yes"),"")</f>
        <v/>
      </c>
    </row>
    <row r="395" spans="1:43">
      <c r="A395" s="253"/>
      <c r="B395" s="253"/>
      <c r="C395" s="253"/>
      <c r="D395" s="253"/>
      <c r="E395" s="253"/>
      <c r="F395" s="253"/>
      <c r="G395" s="253"/>
      <c r="H395" s="253"/>
      <c r="I395" s="253"/>
      <c r="J395" s="253"/>
      <c r="K395" s="253"/>
      <c r="L395" s="253"/>
      <c r="M395" s="253"/>
      <c r="N395" s="253"/>
      <c r="O395" s="253"/>
      <c r="P395" s="903"/>
      <c r="Q395" s="903"/>
      <c r="R395" s="903"/>
      <c r="S395" s="904" t="str">
        <f ca="1">IF(P395="","",IF(R395&lt;&gt;"",R395-P395,TODAY()-P395))</f>
        <v/>
      </c>
      <c r="T395" s="904" t="str">
        <f ca="1">IF(Q395="","",Q395-TODAY())</f>
        <v/>
      </c>
      <c r="U395" s="253"/>
      <c r="V395" s="253"/>
      <c r="W395" s="253"/>
      <c r="X395" s="253"/>
      <c r="Y395" s="253"/>
      <c r="Z395" s="253"/>
      <c r="AA395" s="253"/>
      <c r="AB395" s="253"/>
      <c r="AC395" s="253"/>
      <c r="AD395" s="253"/>
      <c r="AE395" s="253"/>
      <c r="AF395" s="253"/>
      <c r="AG395" s="253"/>
      <c r="AH395" s="253"/>
      <c r="AI395" s="253"/>
      <c r="AJ395" s="253"/>
      <c r="AK395" s="253"/>
      <c r="AL395" s="253"/>
      <c r="AM395" s="253"/>
      <c r="AN395" s="903"/>
      <c r="AO395" s="253" t="str">
        <f>IF(Z395="Yes",COUNTIF($Z$6:Z395,"Yes"),"")</f>
        <v/>
      </c>
      <c r="AP395" s="253" t="str">
        <f>IF(AA395="Yes",COUNTIF($AA$6:AA395,"Yes"),"")</f>
        <v/>
      </c>
      <c r="AQ395" s="253" t="str">
        <f>IF(AC395="Yes",COUNTIF($AC$6:AC395,"Yes"),"")</f>
        <v/>
      </c>
    </row>
    <row r="396" spans="1:43">
      <c r="A396" s="253"/>
      <c r="B396" s="253"/>
      <c r="C396" s="253"/>
      <c r="D396" s="253"/>
      <c r="E396" s="253"/>
      <c r="F396" s="253"/>
      <c r="G396" s="253"/>
      <c r="H396" s="253"/>
      <c r="I396" s="253"/>
      <c r="J396" s="253"/>
      <c r="K396" s="253"/>
      <c r="L396" s="253"/>
      <c r="M396" s="253"/>
      <c r="N396" s="253"/>
      <c r="O396" s="253"/>
      <c r="P396" s="903"/>
      <c r="Q396" s="903"/>
      <c r="R396" s="903"/>
      <c r="S396" s="904" t="str">
        <f ca="1">IF(P396="","",IF(R396&lt;&gt;"",R396-P396,TODAY()-P396))</f>
        <v/>
      </c>
      <c r="T396" s="904" t="str">
        <f ca="1">IF(Q396="","",Q396-TODAY())</f>
        <v/>
      </c>
      <c r="U396" s="253"/>
      <c r="V396" s="253"/>
      <c r="W396" s="253"/>
      <c r="X396" s="253"/>
      <c r="Y396" s="253"/>
      <c r="Z396" s="253"/>
      <c r="AA396" s="253"/>
      <c r="AB396" s="253"/>
      <c r="AC396" s="253"/>
      <c r="AD396" s="253"/>
      <c r="AE396" s="253"/>
      <c r="AF396" s="253"/>
      <c r="AG396" s="253"/>
      <c r="AH396" s="253"/>
      <c r="AI396" s="253"/>
      <c r="AJ396" s="253"/>
      <c r="AK396" s="253"/>
      <c r="AL396" s="253"/>
      <c r="AM396" s="253"/>
      <c r="AN396" s="903"/>
      <c r="AO396" s="253" t="str">
        <f>IF(Z396="Yes",COUNTIF($Z$6:Z396,"Yes"),"")</f>
        <v/>
      </c>
      <c r="AP396" s="253" t="str">
        <f>IF(AA396="Yes",COUNTIF($AA$6:AA396,"Yes"),"")</f>
        <v/>
      </c>
      <c r="AQ396" s="253" t="str">
        <f>IF(AC396="Yes",COUNTIF($AC$6:AC396,"Yes"),"")</f>
        <v/>
      </c>
    </row>
    <row r="397" spans="1:43">
      <c r="A397" s="253"/>
      <c r="B397" s="253"/>
      <c r="C397" s="253"/>
      <c r="D397" s="253"/>
      <c r="E397" s="253"/>
      <c r="F397" s="253"/>
      <c r="G397" s="253"/>
      <c r="H397" s="253"/>
      <c r="I397" s="253"/>
      <c r="J397" s="253"/>
      <c r="K397" s="253"/>
      <c r="L397" s="253"/>
      <c r="M397" s="253"/>
      <c r="N397" s="253"/>
      <c r="O397" s="253"/>
      <c r="P397" s="903"/>
      <c r="Q397" s="903"/>
      <c r="R397" s="903"/>
      <c r="S397" s="904" t="str">
        <f ca="1">IF(P397="","",IF(R397&lt;&gt;"",R397-P397,TODAY()-P397))</f>
        <v/>
      </c>
      <c r="T397" s="904" t="str">
        <f ca="1">IF(Q397="","",Q397-TODAY())</f>
        <v/>
      </c>
      <c r="U397" s="253"/>
      <c r="V397" s="253"/>
      <c r="W397" s="253"/>
      <c r="X397" s="253"/>
      <c r="Y397" s="253"/>
      <c r="Z397" s="253"/>
      <c r="AA397" s="253"/>
      <c r="AB397" s="253"/>
      <c r="AC397" s="253"/>
      <c r="AD397" s="253"/>
      <c r="AE397" s="253"/>
      <c r="AF397" s="253"/>
      <c r="AG397" s="253"/>
      <c r="AH397" s="253"/>
      <c r="AI397" s="253"/>
      <c r="AJ397" s="253"/>
      <c r="AK397" s="253"/>
      <c r="AL397" s="253"/>
      <c r="AM397" s="253"/>
      <c r="AN397" s="903"/>
      <c r="AO397" s="253" t="str">
        <f>IF(Z397="Yes",COUNTIF($Z$6:Z397,"Yes"),"")</f>
        <v/>
      </c>
      <c r="AP397" s="253" t="str">
        <f>IF(AA397="Yes",COUNTIF($AA$6:AA397,"Yes"),"")</f>
        <v/>
      </c>
      <c r="AQ397" s="253" t="str">
        <f>IF(AC397="Yes",COUNTIF($AC$6:AC397,"Yes"),"")</f>
        <v/>
      </c>
    </row>
    <row r="398" spans="1:43">
      <c r="A398" s="253"/>
      <c r="B398" s="253"/>
      <c r="C398" s="253"/>
      <c r="D398" s="253"/>
      <c r="E398" s="253"/>
      <c r="F398" s="253"/>
      <c r="G398" s="253"/>
      <c r="H398" s="253"/>
      <c r="I398" s="253"/>
      <c r="J398" s="253"/>
      <c r="K398" s="253"/>
      <c r="L398" s="253"/>
      <c r="M398" s="253"/>
      <c r="N398" s="253"/>
      <c r="O398" s="253"/>
      <c r="P398" s="903"/>
      <c r="Q398" s="903"/>
      <c r="R398" s="903"/>
      <c r="S398" s="904" t="str">
        <f ca="1">IF(P398="","",IF(R398&lt;&gt;"",R398-P398,TODAY()-P398))</f>
        <v/>
      </c>
      <c r="T398" s="904" t="str">
        <f ca="1">IF(Q398="","",Q398-TODAY())</f>
        <v/>
      </c>
      <c r="U398" s="253"/>
      <c r="V398" s="253"/>
      <c r="W398" s="253"/>
      <c r="X398" s="253"/>
      <c r="Y398" s="253"/>
      <c r="Z398" s="253"/>
      <c r="AA398" s="253"/>
      <c r="AB398" s="253"/>
      <c r="AC398" s="253"/>
      <c r="AD398" s="253"/>
      <c r="AE398" s="253"/>
      <c r="AF398" s="253"/>
      <c r="AG398" s="253"/>
      <c r="AH398" s="253"/>
      <c r="AI398" s="253"/>
      <c r="AJ398" s="253"/>
      <c r="AK398" s="253"/>
      <c r="AL398" s="253"/>
      <c r="AM398" s="253"/>
      <c r="AN398" s="903"/>
      <c r="AO398" s="253" t="str">
        <f>IF(Z398="Yes",COUNTIF($Z$6:Z398,"Yes"),"")</f>
        <v/>
      </c>
      <c r="AP398" s="253" t="str">
        <f>IF(AA398="Yes",COUNTIF($AA$6:AA398,"Yes"),"")</f>
        <v/>
      </c>
      <c r="AQ398" s="253" t="str">
        <f>IF(AC398="Yes",COUNTIF($AC$6:AC398,"Yes"),"")</f>
        <v/>
      </c>
    </row>
    <row r="399" spans="1:43">
      <c r="A399" s="253"/>
      <c r="B399" s="253"/>
      <c r="C399" s="253"/>
      <c r="D399" s="253"/>
      <c r="E399" s="253"/>
      <c r="F399" s="253"/>
      <c r="G399" s="253"/>
      <c r="H399" s="253"/>
      <c r="I399" s="253"/>
      <c r="J399" s="253"/>
      <c r="K399" s="253"/>
      <c r="L399" s="253"/>
      <c r="M399" s="253"/>
      <c r="N399" s="253"/>
      <c r="O399" s="253"/>
      <c r="P399" s="903"/>
      <c r="Q399" s="903"/>
      <c r="R399" s="903"/>
      <c r="S399" s="904" t="str">
        <f ca="1">IF(P399="","",IF(R399&lt;&gt;"",R399-P399,TODAY()-P399))</f>
        <v/>
      </c>
      <c r="T399" s="904" t="str">
        <f ca="1">IF(Q399="","",Q399-TODAY())</f>
        <v/>
      </c>
      <c r="U399" s="253"/>
      <c r="V399" s="253"/>
      <c r="W399" s="253"/>
      <c r="X399" s="253"/>
      <c r="Y399" s="253"/>
      <c r="Z399" s="253"/>
      <c r="AA399" s="253"/>
      <c r="AB399" s="253"/>
      <c r="AC399" s="253"/>
      <c r="AD399" s="253"/>
      <c r="AE399" s="253"/>
      <c r="AF399" s="253"/>
      <c r="AG399" s="253"/>
      <c r="AH399" s="253"/>
      <c r="AI399" s="253"/>
      <c r="AJ399" s="253"/>
      <c r="AK399" s="253"/>
      <c r="AL399" s="253"/>
      <c r="AM399" s="253"/>
      <c r="AN399" s="903"/>
      <c r="AO399" s="253" t="str">
        <f>IF(Z399="Yes",COUNTIF($Z$6:Z399,"Yes"),"")</f>
        <v/>
      </c>
      <c r="AP399" s="253" t="str">
        <f>IF(AA399="Yes",COUNTIF($AA$6:AA399,"Yes"),"")</f>
        <v/>
      </c>
      <c r="AQ399" s="253" t="str">
        <f>IF(AC399="Yes",COUNTIF($AC$6:AC399,"Yes"),"")</f>
        <v/>
      </c>
    </row>
    <row r="400" spans="1:43">
      <c r="A400" s="253"/>
      <c r="B400" s="253"/>
      <c r="C400" s="253"/>
      <c r="D400" s="253"/>
      <c r="E400" s="253"/>
      <c r="F400" s="253"/>
      <c r="G400" s="253"/>
      <c r="H400" s="253"/>
      <c r="I400" s="253"/>
      <c r="J400" s="253"/>
      <c r="K400" s="253"/>
      <c r="L400" s="253"/>
      <c r="M400" s="253"/>
      <c r="N400" s="253"/>
      <c r="O400" s="253"/>
      <c r="P400" s="903"/>
      <c r="Q400" s="903"/>
      <c r="R400" s="903"/>
      <c r="S400" s="904" t="str">
        <f ca="1">IF(P400="","",IF(R400&lt;&gt;"",R400-P400,TODAY()-P400))</f>
        <v/>
      </c>
      <c r="T400" s="904" t="str">
        <f ca="1">IF(Q400="","",Q400-TODAY())</f>
        <v/>
      </c>
      <c r="U400" s="253"/>
      <c r="V400" s="253"/>
      <c r="W400" s="253"/>
      <c r="X400" s="253"/>
      <c r="Y400" s="253"/>
      <c r="Z400" s="253"/>
      <c r="AA400" s="253"/>
      <c r="AB400" s="253"/>
      <c r="AC400" s="253"/>
      <c r="AD400" s="253"/>
      <c r="AE400" s="253"/>
      <c r="AF400" s="253"/>
      <c r="AG400" s="253"/>
      <c r="AH400" s="253"/>
      <c r="AI400" s="253"/>
      <c r="AJ400" s="253"/>
      <c r="AK400" s="253"/>
      <c r="AL400" s="253"/>
      <c r="AM400" s="253"/>
      <c r="AN400" s="903"/>
      <c r="AO400" s="253" t="str">
        <f>IF(Z400="Yes",COUNTIF($Z$6:Z400,"Yes"),"")</f>
        <v/>
      </c>
      <c r="AP400" s="253" t="str">
        <f>IF(AA400="Yes",COUNTIF($AA$6:AA400,"Yes"),"")</f>
        <v/>
      </c>
      <c r="AQ400" s="253" t="str">
        <f>IF(AC400="Yes",COUNTIF($AC$6:AC400,"Yes"),"")</f>
        <v/>
      </c>
    </row>
    <row r="401" spans="1:43">
      <c r="A401" s="253"/>
      <c r="B401" s="253"/>
      <c r="C401" s="253"/>
      <c r="D401" s="253"/>
      <c r="E401" s="253"/>
      <c r="F401" s="253"/>
      <c r="G401" s="253"/>
      <c r="H401" s="253"/>
      <c r="I401" s="253"/>
      <c r="J401" s="253"/>
      <c r="K401" s="253"/>
      <c r="L401" s="253"/>
      <c r="M401" s="253"/>
      <c r="N401" s="253"/>
      <c r="O401" s="253"/>
      <c r="P401" s="903"/>
      <c r="Q401" s="903"/>
      <c r="R401" s="903"/>
      <c r="S401" s="904" t="str">
        <f ca="1">IF(P401="","",IF(R401&lt;&gt;"",R401-P401,TODAY()-P401))</f>
        <v/>
      </c>
      <c r="T401" s="904" t="str">
        <f ca="1">IF(Q401="","",Q401-TODAY())</f>
        <v/>
      </c>
      <c r="U401" s="253"/>
      <c r="V401" s="253"/>
      <c r="W401" s="253"/>
      <c r="X401" s="253"/>
      <c r="Y401" s="253"/>
      <c r="Z401" s="253"/>
      <c r="AA401" s="253"/>
      <c r="AB401" s="253"/>
      <c r="AC401" s="253"/>
      <c r="AD401" s="253"/>
      <c r="AE401" s="253"/>
      <c r="AF401" s="253"/>
      <c r="AG401" s="253"/>
      <c r="AH401" s="253"/>
      <c r="AI401" s="253"/>
      <c r="AJ401" s="253"/>
      <c r="AK401" s="253"/>
      <c r="AL401" s="253"/>
      <c r="AM401" s="253"/>
      <c r="AN401" s="903"/>
      <c r="AO401" s="253" t="str">
        <f>IF(Z401="Yes",COUNTIF($Z$6:Z401,"Yes"),"")</f>
        <v/>
      </c>
      <c r="AP401" s="253" t="str">
        <f>IF(AA401="Yes",COUNTIF($AA$6:AA401,"Yes"),"")</f>
        <v/>
      </c>
      <c r="AQ401" s="253" t="str">
        <f>IF(AC401="Yes",COUNTIF($AC$6:AC401,"Yes"),"")</f>
        <v/>
      </c>
    </row>
    <row r="402" spans="1:43">
      <c r="A402" s="253"/>
      <c r="B402" s="253"/>
      <c r="C402" s="253"/>
      <c r="D402" s="253"/>
      <c r="E402" s="253"/>
      <c r="F402" s="253"/>
      <c r="G402" s="253"/>
      <c r="H402" s="253"/>
      <c r="I402" s="253"/>
      <c r="J402" s="253"/>
      <c r="K402" s="253"/>
      <c r="L402" s="253"/>
      <c r="M402" s="253"/>
      <c r="N402" s="253"/>
      <c r="O402" s="253"/>
      <c r="P402" s="903"/>
      <c r="Q402" s="903"/>
      <c r="R402" s="903"/>
      <c r="S402" s="904" t="str">
        <f ca="1">IF(P402="","",IF(R402&lt;&gt;"",R402-P402,TODAY()-P402))</f>
        <v/>
      </c>
      <c r="T402" s="904" t="str">
        <f ca="1">IF(Q402="","",Q402-TODAY())</f>
        <v/>
      </c>
      <c r="U402" s="253"/>
      <c r="V402" s="253"/>
      <c r="W402" s="253"/>
      <c r="X402" s="253"/>
      <c r="Y402" s="253"/>
      <c r="Z402" s="253"/>
      <c r="AA402" s="253"/>
      <c r="AB402" s="253"/>
      <c r="AC402" s="253"/>
      <c r="AD402" s="253"/>
      <c r="AE402" s="253"/>
      <c r="AF402" s="253"/>
      <c r="AG402" s="253"/>
      <c r="AH402" s="253"/>
      <c r="AI402" s="253"/>
      <c r="AJ402" s="253"/>
      <c r="AK402" s="253"/>
      <c r="AL402" s="253"/>
      <c r="AM402" s="253"/>
      <c r="AN402" s="903"/>
      <c r="AO402" s="253" t="str">
        <f>IF(Z402="Yes",COUNTIF($Z$6:Z402,"Yes"),"")</f>
        <v/>
      </c>
      <c r="AP402" s="253" t="str">
        <f>IF(AA402="Yes",COUNTIF($AA$6:AA402,"Yes"),"")</f>
        <v/>
      </c>
      <c r="AQ402" s="253" t="str">
        <f>IF(AC402="Yes",COUNTIF($AC$6:AC402,"Yes"),"")</f>
        <v/>
      </c>
    </row>
    <row r="403" spans="1:43">
      <c r="A403" s="253"/>
      <c r="B403" s="253"/>
      <c r="C403" s="253"/>
      <c r="D403" s="253"/>
      <c r="E403" s="253"/>
      <c r="F403" s="253"/>
      <c r="G403" s="253"/>
      <c r="H403" s="253"/>
      <c r="I403" s="253"/>
      <c r="J403" s="253"/>
      <c r="K403" s="253"/>
      <c r="L403" s="253"/>
      <c r="M403" s="253"/>
      <c r="N403" s="253"/>
      <c r="O403" s="253"/>
      <c r="P403" s="903"/>
      <c r="Q403" s="903"/>
      <c r="R403" s="903"/>
      <c r="S403" s="904" t="str">
        <f ca="1">IF(P403="","",IF(R403&lt;&gt;"",R403-P403,TODAY()-P403))</f>
        <v/>
      </c>
      <c r="T403" s="904" t="str">
        <f ca="1">IF(Q403="","",Q403-TODAY())</f>
        <v/>
      </c>
      <c r="U403" s="253"/>
      <c r="V403" s="253"/>
      <c r="W403" s="253"/>
      <c r="X403" s="253"/>
      <c r="Y403" s="253"/>
      <c r="Z403" s="253"/>
      <c r="AA403" s="253"/>
      <c r="AB403" s="253"/>
      <c r="AC403" s="253"/>
      <c r="AD403" s="253"/>
      <c r="AE403" s="253"/>
      <c r="AF403" s="253"/>
      <c r="AG403" s="253"/>
      <c r="AH403" s="253"/>
      <c r="AI403" s="253"/>
      <c r="AJ403" s="253"/>
      <c r="AK403" s="253"/>
      <c r="AL403" s="253"/>
      <c r="AM403" s="253"/>
      <c r="AN403" s="903"/>
      <c r="AO403" s="253" t="str">
        <f>IF(Z403="Yes",COUNTIF($Z$6:Z403,"Yes"),"")</f>
        <v/>
      </c>
      <c r="AP403" s="253" t="str">
        <f>IF(AA403="Yes",COUNTIF($AA$6:AA403,"Yes"),"")</f>
        <v/>
      </c>
      <c r="AQ403" s="253" t="str">
        <f>IF(AC403="Yes",COUNTIF($AC$6:AC403,"Yes"),"")</f>
        <v/>
      </c>
    </row>
    <row r="404" spans="1:43">
      <c r="A404" s="253"/>
      <c r="B404" s="253"/>
      <c r="C404" s="253"/>
      <c r="D404" s="253"/>
      <c r="E404" s="253"/>
      <c r="F404" s="253"/>
      <c r="G404" s="253"/>
      <c r="H404" s="253"/>
      <c r="I404" s="253"/>
      <c r="J404" s="253"/>
      <c r="K404" s="253"/>
      <c r="L404" s="253"/>
      <c r="M404" s="253"/>
      <c r="N404" s="253"/>
      <c r="O404" s="253"/>
      <c r="P404" s="903"/>
      <c r="Q404" s="903"/>
      <c r="R404" s="903"/>
      <c r="S404" s="904" t="str">
        <f ca="1">IF(P404="","",IF(R404&lt;&gt;"",R404-P404,TODAY()-P404))</f>
        <v/>
      </c>
      <c r="T404" s="904" t="str">
        <f ca="1">IF(Q404="","",Q404-TODAY())</f>
        <v/>
      </c>
      <c r="U404" s="253"/>
      <c r="V404" s="253"/>
      <c r="W404" s="253"/>
      <c r="X404" s="253"/>
      <c r="Y404" s="253"/>
      <c r="Z404" s="253"/>
      <c r="AA404" s="253"/>
      <c r="AB404" s="253"/>
      <c r="AC404" s="253"/>
      <c r="AD404" s="253"/>
      <c r="AE404" s="253"/>
      <c r="AF404" s="253"/>
      <c r="AG404" s="253"/>
      <c r="AH404" s="253"/>
      <c r="AI404" s="253"/>
      <c r="AJ404" s="253"/>
      <c r="AK404" s="253"/>
      <c r="AL404" s="253"/>
      <c r="AM404" s="253"/>
      <c r="AN404" s="903"/>
      <c r="AO404" s="253" t="str">
        <f>IF(Z404="Yes",COUNTIF($Z$6:Z404,"Yes"),"")</f>
        <v/>
      </c>
      <c r="AP404" s="253" t="str">
        <f>IF(AA404="Yes",COUNTIF($AA$6:AA404,"Yes"),"")</f>
        <v/>
      </c>
      <c r="AQ404" s="253" t="str">
        <f>IF(AC404="Yes",COUNTIF($AC$6:AC404,"Yes"),"")</f>
        <v/>
      </c>
    </row>
    <row r="405" spans="1:43">
      <c r="A405" s="253"/>
      <c r="B405" s="253"/>
      <c r="C405" s="253"/>
      <c r="D405" s="253"/>
      <c r="E405" s="253"/>
      <c r="F405" s="253"/>
      <c r="G405" s="253"/>
      <c r="H405" s="253"/>
      <c r="I405" s="253"/>
      <c r="J405" s="253"/>
      <c r="K405" s="253"/>
      <c r="L405" s="253"/>
      <c r="M405" s="253"/>
      <c r="N405" s="253"/>
      <c r="O405" s="253"/>
      <c r="P405" s="903"/>
      <c r="Q405" s="903"/>
      <c r="R405" s="903"/>
      <c r="S405" s="904" t="str">
        <f ca="1">IF(P405="","",IF(R405&lt;&gt;"",R405-P405,TODAY()-P405))</f>
        <v/>
      </c>
      <c r="T405" s="904" t="str">
        <f ca="1">IF(Q405="","",Q405-TODAY())</f>
        <v/>
      </c>
      <c r="U405" s="253"/>
      <c r="V405" s="253"/>
      <c r="W405" s="253"/>
      <c r="X405" s="253"/>
      <c r="Y405" s="253"/>
      <c r="Z405" s="253"/>
      <c r="AA405" s="253"/>
      <c r="AB405" s="253"/>
      <c r="AC405" s="253"/>
      <c r="AD405" s="253"/>
      <c r="AE405" s="253"/>
      <c r="AF405" s="253"/>
      <c r="AG405" s="253"/>
      <c r="AH405" s="253"/>
      <c r="AI405" s="253"/>
      <c r="AJ405" s="253"/>
      <c r="AK405" s="253"/>
      <c r="AL405" s="253"/>
      <c r="AM405" s="253"/>
      <c r="AN405" s="903"/>
      <c r="AO405" s="253" t="str">
        <f>IF(Z405="Yes",COUNTIF($Z$6:Z405,"Yes"),"")</f>
        <v/>
      </c>
      <c r="AP405" s="253" t="str">
        <f>IF(AA405="Yes",COUNTIF($AA$6:AA405,"Yes"),"")</f>
        <v/>
      </c>
      <c r="AQ405" s="253" t="str">
        <f>IF(AC405="Yes",COUNTIF($AC$6:AC405,"Yes"),"")</f>
        <v/>
      </c>
    </row>
    <row r="406" spans="1:43">
      <c r="A406" s="253"/>
      <c r="B406" s="253"/>
      <c r="C406" s="253"/>
      <c r="D406" s="253"/>
      <c r="E406" s="253"/>
      <c r="F406" s="253"/>
      <c r="G406" s="253"/>
      <c r="H406" s="253"/>
      <c r="I406" s="253"/>
      <c r="J406" s="253"/>
      <c r="K406" s="253"/>
      <c r="L406" s="253"/>
      <c r="M406" s="253"/>
      <c r="N406" s="253"/>
      <c r="O406" s="253"/>
      <c r="P406" s="903"/>
      <c r="Q406" s="903"/>
      <c r="R406" s="903"/>
      <c r="S406" s="904" t="str">
        <f ca="1">IF(P406="","",IF(R406&lt;&gt;"",R406-P406,TODAY()-P406))</f>
        <v/>
      </c>
      <c r="T406" s="904" t="str">
        <f ca="1">IF(Q406="","",Q406-TODAY())</f>
        <v/>
      </c>
      <c r="U406" s="253"/>
      <c r="V406" s="253"/>
      <c r="W406" s="253"/>
      <c r="X406" s="253"/>
      <c r="Y406" s="253"/>
      <c r="Z406" s="253"/>
      <c r="AA406" s="253"/>
      <c r="AB406" s="253"/>
      <c r="AC406" s="253"/>
      <c r="AD406" s="253"/>
      <c r="AE406" s="253"/>
      <c r="AF406" s="253"/>
      <c r="AG406" s="253"/>
      <c r="AH406" s="253"/>
      <c r="AI406" s="253"/>
      <c r="AJ406" s="253"/>
      <c r="AK406" s="253"/>
      <c r="AL406" s="253"/>
      <c r="AM406" s="253"/>
      <c r="AN406" s="903"/>
      <c r="AO406" s="253" t="str">
        <f>IF(Z406="Yes",COUNTIF($Z$6:Z406,"Yes"),"")</f>
        <v/>
      </c>
      <c r="AP406" s="253" t="str">
        <f>IF(AA406="Yes",COUNTIF($AA$6:AA406,"Yes"),"")</f>
        <v/>
      </c>
      <c r="AQ406" s="253" t="str">
        <f>IF(AC406="Yes",COUNTIF($AC$6:AC406,"Yes"),"")</f>
        <v/>
      </c>
    </row>
    <row r="407" spans="1:43">
      <c r="A407" s="253"/>
      <c r="B407" s="253"/>
      <c r="C407" s="253"/>
      <c r="D407" s="253"/>
      <c r="E407" s="253"/>
      <c r="F407" s="253"/>
      <c r="G407" s="253"/>
      <c r="H407" s="253"/>
      <c r="I407" s="253"/>
      <c r="J407" s="253"/>
      <c r="K407" s="253"/>
      <c r="L407" s="253"/>
      <c r="M407" s="253"/>
      <c r="N407" s="253"/>
      <c r="O407" s="253"/>
      <c r="P407" s="903"/>
      <c r="Q407" s="903"/>
      <c r="R407" s="903"/>
      <c r="S407" s="904" t="str">
        <f ca="1">IF(P407="","",IF(R407&lt;&gt;"",R407-P407,TODAY()-P407))</f>
        <v/>
      </c>
      <c r="T407" s="904" t="str">
        <f ca="1">IF(Q407="","",Q407-TODAY())</f>
        <v/>
      </c>
      <c r="U407" s="253"/>
      <c r="V407" s="253"/>
      <c r="W407" s="253"/>
      <c r="X407" s="253"/>
      <c r="Y407" s="253"/>
      <c r="Z407" s="253"/>
      <c r="AA407" s="253"/>
      <c r="AB407" s="253"/>
      <c r="AC407" s="253"/>
      <c r="AD407" s="253"/>
      <c r="AE407" s="253"/>
      <c r="AF407" s="253"/>
      <c r="AG407" s="253"/>
      <c r="AH407" s="253"/>
      <c r="AI407" s="253"/>
      <c r="AJ407" s="253"/>
      <c r="AK407" s="253"/>
      <c r="AL407" s="253"/>
      <c r="AM407" s="253"/>
      <c r="AN407" s="903"/>
      <c r="AO407" s="253" t="str">
        <f>IF(Z407="Yes",COUNTIF($Z$6:Z407,"Yes"),"")</f>
        <v/>
      </c>
      <c r="AP407" s="253" t="str">
        <f>IF(AA407="Yes",COUNTIF($AA$6:AA407,"Yes"),"")</f>
        <v/>
      </c>
      <c r="AQ407" s="253" t="str">
        <f>IF(AC407="Yes",COUNTIF($AC$6:AC407,"Yes"),"")</f>
        <v/>
      </c>
    </row>
    <row r="408" spans="1:43">
      <c r="A408" s="253"/>
      <c r="B408" s="253"/>
      <c r="C408" s="253"/>
      <c r="D408" s="253"/>
      <c r="E408" s="253"/>
      <c r="F408" s="253"/>
      <c r="G408" s="253"/>
      <c r="H408" s="253"/>
      <c r="I408" s="253"/>
      <c r="J408" s="253"/>
      <c r="K408" s="253"/>
      <c r="L408" s="253"/>
      <c r="M408" s="253"/>
      <c r="N408" s="253"/>
      <c r="O408" s="253"/>
      <c r="P408" s="903"/>
      <c r="Q408" s="903"/>
      <c r="R408" s="903"/>
      <c r="S408" s="904" t="str">
        <f ca="1">IF(P408="","",IF(R408&lt;&gt;"",R408-P408,TODAY()-P408))</f>
        <v/>
      </c>
      <c r="T408" s="904" t="str">
        <f ca="1">IF(Q408="","",Q408-TODAY())</f>
        <v/>
      </c>
      <c r="U408" s="253"/>
      <c r="V408" s="253"/>
      <c r="W408" s="253"/>
      <c r="X408" s="253"/>
      <c r="Y408" s="253"/>
      <c r="Z408" s="253"/>
      <c r="AA408" s="253"/>
      <c r="AB408" s="253"/>
      <c r="AC408" s="253"/>
      <c r="AD408" s="253"/>
      <c r="AE408" s="253"/>
      <c r="AF408" s="253"/>
      <c r="AG408" s="253"/>
      <c r="AH408" s="253"/>
      <c r="AI408" s="253"/>
      <c r="AJ408" s="253"/>
      <c r="AK408" s="253"/>
      <c r="AL408" s="253"/>
      <c r="AM408" s="253"/>
      <c r="AN408" s="903"/>
      <c r="AO408" s="253" t="str">
        <f>IF(Z408="Yes",COUNTIF($Z$6:Z408,"Yes"),"")</f>
        <v/>
      </c>
      <c r="AP408" s="253" t="str">
        <f>IF(AA408="Yes",COUNTIF($AA$6:AA408,"Yes"),"")</f>
        <v/>
      </c>
      <c r="AQ408" s="253" t="str">
        <f>IF(AC408="Yes",COUNTIF($AC$6:AC408,"Yes"),"")</f>
        <v/>
      </c>
    </row>
    <row r="409" spans="1:43">
      <c r="A409" s="253"/>
      <c r="B409" s="253"/>
      <c r="C409" s="253"/>
      <c r="D409" s="253"/>
      <c r="E409" s="253"/>
      <c r="F409" s="253"/>
      <c r="G409" s="253"/>
      <c r="H409" s="253"/>
      <c r="I409" s="253"/>
      <c r="J409" s="253"/>
      <c r="K409" s="253"/>
      <c r="L409" s="253"/>
      <c r="M409" s="253"/>
      <c r="N409" s="253"/>
      <c r="O409" s="253"/>
      <c r="P409" s="903"/>
      <c r="Q409" s="903"/>
      <c r="R409" s="903"/>
      <c r="S409" s="904" t="str">
        <f ca="1">IF(P409="","",IF(R409&lt;&gt;"",R409-P409,TODAY()-P409))</f>
        <v/>
      </c>
      <c r="T409" s="904" t="str">
        <f ca="1">IF(Q409="","",Q409-TODAY())</f>
        <v/>
      </c>
      <c r="U409" s="253"/>
      <c r="V409" s="253"/>
      <c r="W409" s="253"/>
      <c r="X409" s="253"/>
      <c r="Y409" s="253"/>
      <c r="Z409" s="253"/>
      <c r="AA409" s="253"/>
      <c r="AB409" s="253"/>
      <c r="AC409" s="253"/>
      <c r="AD409" s="253"/>
      <c r="AE409" s="253"/>
      <c r="AF409" s="253"/>
      <c r="AG409" s="253"/>
      <c r="AH409" s="253"/>
      <c r="AI409" s="253"/>
      <c r="AJ409" s="253"/>
      <c r="AK409" s="253"/>
      <c r="AL409" s="253"/>
      <c r="AM409" s="253"/>
      <c r="AN409" s="903"/>
      <c r="AO409" s="253" t="str">
        <f>IF(Z409="Yes",COUNTIF($Z$6:Z409,"Yes"),"")</f>
        <v/>
      </c>
      <c r="AP409" s="253" t="str">
        <f>IF(AA409="Yes",COUNTIF($AA$6:AA409,"Yes"),"")</f>
        <v/>
      </c>
      <c r="AQ409" s="253" t="str">
        <f>IF(AC409="Yes",COUNTIF($AC$6:AC409,"Yes"),"")</f>
        <v/>
      </c>
    </row>
    <row r="410" spans="1:43">
      <c r="A410" s="253"/>
      <c r="B410" s="253"/>
      <c r="C410" s="253"/>
      <c r="D410" s="253"/>
      <c r="E410" s="253"/>
      <c r="F410" s="253"/>
      <c r="G410" s="253"/>
      <c r="H410" s="253"/>
      <c r="I410" s="253"/>
      <c r="J410" s="253"/>
      <c r="K410" s="253"/>
      <c r="L410" s="253"/>
      <c r="M410" s="253"/>
      <c r="N410" s="253"/>
      <c r="O410" s="253"/>
      <c r="P410" s="903"/>
      <c r="Q410" s="903"/>
      <c r="R410" s="903"/>
      <c r="S410" s="904" t="str">
        <f ca="1">IF(P410="","",IF(R410&lt;&gt;"",R410-P410,TODAY()-P410))</f>
        <v/>
      </c>
      <c r="T410" s="904" t="str">
        <f ca="1">IF(Q410="","",Q410-TODAY())</f>
        <v/>
      </c>
      <c r="U410" s="253"/>
      <c r="V410" s="253"/>
      <c r="W410" s="253"/>
      <c r="X410" s="253"/>
      <c r="Y410" s="253"/>
      <c r="Z410" s="253"/>
      <c r="AA410" s="253"/>
      <c r="AB410" s="253"/>
      <c r="AC410" s="253"/>
      <c r="AD410" s="253"/>
      <c r="AE410" s="253"/>
      <c r="AF410" s="253"/>
      <c r="AG410" s="253"/>
      <c r="AH410" s="253"/>
      <c r="AI410" s="253"/>
      <c r="AJ410" s="253"/>
      <c r="AK410" s="253"/>
      <c r="AL410" s="253"/>
      <c r="AM410" s="253"/>
      <c r="AN410" s="903"/>
      <c r="AO410" s="253" t="str">
        <f>IF(Z410="Yes",COUNTIF($Z$6:Z410,"Yes"),"")</f>
        <v/>
      </c>
      <c r="AP410" s="253" t="str">
        <f>IF(AA410="Yes",COUNTIF($AA$6:AA410,"Yes"),"")</f>
        <v/>
      </c>
      <c r="AQ410" s="253" t="str">
        <f>IF(AC410="Yes",COUNTIF($AC$6:AC410,"Yes"),"")</f>
        <v/>
      </c>
    </row>
    <row r="411" spans="1:43">
      <c r="A411" s="253"/>
      <c r="B411" s="253"/>
      <c r="C411" s="253"/>
      <c r="D411" s="253"/>
      <c r="E411" s="253"/>
      <c r="F411" s="253"/>
      <c r="G411" s="253"/>
      <c r="H411" s="253"/>
      <c r="I411" s="253"/>
      <c r="J411" s="253"/>
      <c r="K411" s="253"/>
      <c r="L411" s="253"/>
      <c r="M411" s="253"/>
      <c r="N411" s="253"/>
      <c r="O411" s="253"/>
      <c r="P411" s="903"/>
      <c r="Q411" s="903"/>
      <c r="R411" s="903"/>
      <c r="S411" s="904" t="str">
        <f ca="1">IF(P411="","",IF(R411&lt;&gt;"",R411-P411,TODAY()-P411))</f>
        <v/>
      </c>
      <c r="T411" s="904" t="str">
        <f ca="1">IF(Q411="","",Q411-TODAY())</f>
        <v/>
      </c>
      <c r="U411" s="253"/>
      <c r="V411" s="253"/>
      <c r="W411" s="253"/>
      <c r="X411" s="253"/>
      <c r="Y411" s="253"/>
      <c r="Z411" s="253"/>
      <c r="AA411" s="253"/>
      <c r="AB411" s="253"/>
      <c r="AC411" s="253"/>
      <c r="AD411" s="253"/>
      <c r="AE411" s="253"/>
      <c r="AF411" s="253"/>
      <c r="AG411" s="253"/>
      <c r="AH411" s="253"/>
      <c r="AI411" s="253"/>
      <c r="AJ411" s="253"/>
      <c r="AK411" s="253"/>
      <c r="AL411" s="253"/>
      <c r="AM411" s="253"/>
      <c r="AN411" s="903"/>
      <c r="AO411" s="253" t="str">
        <f>IF(Z411="Yes",COUNTIF($Z$6:Z411,"Yes"),"")</f>
        <v/>
      </c>
      <c r="AP411" s="253" t="str">
        <f>IF(AA411="Yes",COUNTIF($AA$6:AA411,"Yes"),"")</f>
        <v/>
      </c>
      <c r="AQ411" s="253" t="str">
        <f>IF(AC411="Yes",COUNTIF($AC$6:AC411,"Yes"),"")</f>
        <v/>
      </c>
    </row>
    <row r="412" spans="1:43">
      <c r="A412" s="253"/>
      <c r="B412" s="253"/>
      <c r="C412" s="253"/>
      <c r="D412" s="253"/>
      <c r="E412" s="253"/>
      <c r="F412" s="253"/>
      <c r="G412" s="253"/>
      <c r="H412" s="253"/>
      <c r="I412" s="253"/>
      <c r="J412" s="253"/>
      <c r="K412" s="253"/>
      <c r="L412" s="253"/>
      <c r="M412" s="253"/>
      <c r="N412" s="253"/>
      <c r="O412" s="253"/>
      <c r="P412" s="903"/>
      <c r="Q412" s="903"/>
      <c r="R412" s="903"/>
      <c r="S412" s="904" t="str">
        <f ca="1">IF(P412="","",IF(R412&lt;&gt;"",R412-P412,TODAY()-P412))</f>
        <v/>
      </c>
      <c r="T412" s="904" t="str">
        <f ca="1">IF(Q412="","",Q412-TODAY())</f>
        <v/>
      </c>
      <c r="U412" s="253"/>
      <c r="V412" s="253"/>
      <c r="W412" s="253"/>
      <c r="X412" s="253"/>
      <c r="Y412" s="253"/>
      <c r="Z412" s="253"/>
      <c r="AA412" s="253"/>
      <c r="AB412" s="253"/>
      <c r="AC412" s="253"/>
      <c r="AD412" s="253"/>
      <c r="AE412" s="253"/>
      <c r="AF412" s="253"/>
      <c r="AG412" s="253"/>
      <c r="AH412" s="253"/>
      <c r="AI412" s="253"/>
      <c r="AJ412" s="253"/>
      <c r="AK412" s="253"/>
      <c r="AL412" s="253"/>
      <c r="AM412" s="253"/>
      <c r="AN412" s="903"/>
      <c r="AO412" s="253" t="str">
        <f>IF(Z412="Yes",COUNTIF($Z$6:Z412,"Yes"),"")</f>
        <v/>
      </c>
      <c r="AP412" s="253" t="str">
        <f>IF(AA412="Yes",COUNTIF($AA$6:AA412,"Yes"),"")</f>
        <v/>
      </c>
      <c r="AQ412" s="253" t="str">
        <f>IF(AC412="Yes",COUNTIF($AC$6:AC412,"Yes"),"")</f>
        <v/>
      </c>
    </row>
    <row r="413" spans="1:43">
      <c r="A413" s="253"/>
      <c r="B413" s="253"/>
      <c r="C413" s="253"/>
      <c r="D413" s="253"/>
      <c r="E413" s="253"/>
      <c r="F413" s="253"/>
      <c r="G413" s="253"/>
      <c r="H413" s="253"/>
      <c r="I413" s="253"/>
      <c r="J413" s="253"/>
      <c r="K413" s="253"/>
      <c r="L413" s="253"/>
      <c r="M413" s="253"/>
      <c r="N413" s="253"/>
      <c r="O413" s="253"/>
      <c r="P413" s="903"/>
      <c r="Q413" s="903"/>
      <c r="R413" s="903"/>
      <c r="S413" s="904" t="str">
        <f ca="1">IF(P413="","",IF(R413&lt;&gt;"",R413-P413,TODAY()-P413))</f>
        <v/>
      </c>
      <c r="T413" s="904" t="str">
        <f ca="1">IF(Q413="","",Q413-TODAY())</f>
        <v/>
      </c>
      <c r="U413" s="253"/>
      <c r="V413" s="253"/>
      <c r="W413" s="253"/>
      <c r="X413" s="253"/>
      <c r="Y413" s="253"/>
      <c r="Z413" s="253"/>
      <c r="AA413" s="253"/>
      <c r="AB413" s="253"/>
      <c r="AC413" s="253"/>
      <c r="AD413" s="253"/>
      <c r="AE413" s="253"/>
      <c r="AF413" s="253"/>
      <c r="AG413" s="253"/>
      <c r="AH413" s="253"/>
      <c r="AI413" s="253"/>
      <c r="AJ413" s="253"/>
      <c r="AK413" s="253"/>
      <c r="AL413" s="253"/>
      <c r="AM413" s="253"/>
      <c r="AN413" s="903"/>
      <c r="AO413" s="253" t="str">
        <f>IF(Z413="Yes",COUNTIF($Z$6:Z413,"Yes"),"")</f>
        <v/>
      </c>
      <c r="AP413" s="253" t="str">
        <f>IF(AA413="Yes",COUNTIF($AA$6:AA413,"Yes"),"")</f>
        <v/>
      </c>
      <c r="AQ413" s="253" t="str">
        <f>IF(AC413="Yes",COUNTIF($AC$6:AC413,"Yes"),"")</f>
        <v/>
      </c>
    </row>
    <row r="414" spans="1:43">
      <c r="A414" s="253"/>
      <c r="B414" s="253"/>
      <c r="C414" s="253"/>
      <c r="D414" s="253"/>
      <c r="E414" s="253"/>
      <c r="F414" s="253"/>
      <c r="G414" s="253"/>
      <c r="H414" s="253"/>
      <c r="I414" s="253"/>
      <c r="J414" s="253"/>
      <c r="K414" s="253"/>
      <c r="L414" s="253"/>
      <c r="M414" s="253"/>
      <c r="N414" s="253"/>
      <c r="O414" s="253"/>
      <c r="P414" s="903"/>
      <c r="Q414" s="903"/>
      <c r="R414" s="903"/>
      <c r="S414" s="904" t="str">
        <f ca="1">IF(P414="","",IF(R414&lt;&gt;"",R414-P414,TODAY()-P414))</f>
        <v/>
      </c>
      <c r="T414" s="904" t="str">
        <f ca="1">IF(Q414="","",Q414-TODAY())</f>
        <v/>
      </c>
      <c r="U414" s="253"/>
      <c r="V414" s="253"/>
      <c r="W414" s="253"/>
      <c r="X414" s="253"/>
      <c r="Y414" s="253"/>
      <c r="Z414" s="253"/>
      <c r="AA414" s="253"/>
      <c r="AB414" s="253"/>
      <c r="AC414" s="253"/>
      <c r="AD414" s="253"/>
      <c r="AE414" s="253"/>
      <c r="AF414" s="253"/>
      <c r="AG414" s="253"/>
      <c r="AH414" s="253"/>
      <c r="AI414" s="253"/>
      <c r="AJ414" s="253"/>
      <c r="AK414" s="253"/>
      <c r="AL414" s="253"/>
      <c r="AM414" s="253"/>
      <c r="AN414" s="903"/>
      <c r="AO414" s="253" t="str">
        <f>IF(Z414="Yes",COUNTIF($Z$6:Z414,"Yes"),"")</f>
        <v/>
      </c>
      <c r="AP414" s="253" t="str">
        <f>IF(AA414="Yes",COUNTIF($AA$6:AA414,"Yes"),"")</f>
        <v/>
      </c>
      <c r="AQ414" s="253" t="str">
        <f>IF(AC414="Yes",COUNTIF($AC$6:AC414,"Yes"),"")</f>
        <v/>
      </c>
    </row>
    <row r="415" spans="1:43">
      <c r="A415" s="253"/>
      <c r="B415" s="253"/>
      <c r="C415" s="253"/>
      <c r="D415" s="253"/>
      <c r="E415" s="253"/>
      <c r="F415" s="253"/>
      <c r="G415" s="253"/>
      <c r="H415" s="253"/>
      <c r="I415" s="253"/>
      <c r="J415" s="253"/>
      <c r="K415" s="253"/>
      <c r="L415" s="253"/>
      <c r="M415" s="253"/>
      <c r="N415" s="253"/>
      <c r="O415" s="253"/>
      <c r="P415" s="903"/>
      <c r="Q415" s="903"/>
      <c r="R415" s="903"/>
      <c r="S415" s="904" t="str">
        <f ca="1">IF(P415="","",IF(R415&lt;&gt;"",R415-P415,TODAY()-P415))</f>
        <v/>
      </c>
      <c r="T415" s="904" t="str">
        <f ca="1">IF(Q415="","",Q415-TODAY())</f>
        <v/>
      </c>
      <c r="U415" s="253"/>
      <c r="V415" s="253"/>
      <c r="W415" s="253"/>
      <c r="X415" s="253"/>
      <c r="Y415" s="253"/>
      <c r="Z415" s="253"/>
      <c r="AA415" s="253"/>
      <c r="AB415" s="253"/>
      <c r="AC415" s="253"/>
      <c r="AD415" s="253"/>
      <c r="AE415" s="253"/>
      <c r="AF415" s="253"/>
      <c r="AG415" s="253"/>
      <c r="AH415" s="253"/>
      <c r="AI415" s="253"/>
      <c r="AJ415" s="253"/>
      <c r="AK415" s="253"/>
      <c r="AL415" s="253"/>
      <c r="AM415" s="253"/>
      <c r="AN415" s="903"/>
      <c r="AO415" s="253" t="str">
        <f>IF(Z415="Yes",COUNTIF($Z$6:Z415,"Yes"),"")</f>
        <v/>
      </c>
      <c r="AP415" s="253" t="str">
        <f>IF(AA415="Yes",COUNTIF($AA$6:AA415,"Yes"),"")</f>
        <v/>
      </c>
      <c r="AQ415" s="253" t="str">
        <f>IF(AC415="Yes",COUNTIF($AC$6:AC415,"Yes"),"")</f>
        <v/>
      </c>
    </row>
    <row r="416" spans="1:43">
      <c r="A416" s="253"/>
      <c r="B416" s="253"/>
      <c r="C416" s="253"/>
      <c r="D416" s="253"/>
      <c r="E416" s="253"/>
      <c r="F416" s="253"/>
      <c r="G416" s="253"/>
      <c r="H416" s="253"/>
      <c r="I416" s="253"/>
      <c r="J416" s="253"/>
      <c r="K416" s="253"/>
      <c r="L416" s="253"/>
      <c r="M416" s="253"/>
      <c r="N416" s="253"/>
      <c r="O416" s="253"/>
      <c r="P416" s="903"/>
      <c r="Q416" s="903"/>
      <c r="R416" s="903"/>
      <c r="S416" s="904" t="str">
        <f ca="1">IF(P416="","",IF(R416&lt;&gt;"",R416-P416,TODAY()-P416))</f>
        <v/>
      </c>
      <c r="T416" s="904" t="str">
        <f ca="1">IF(Q416="","",Q416-TODAY())</f>
        <v/>
      </c>
      <c r="U416" s="253"/>
      <c r="V416" s="253"/>
      <c r="W416" s="253"/>
      <c r="X416" s="253"/>
      <c r="Y416" s="253"/>
      <c r="Z416" s="253"/>
      <c r="AA416" s="253"/>
      <c r="AB416" s="253"/>
      <c r="AC416" s="253"/>
      <c r="AD416" s="253"/>
      <c r="AE416" s="253"/>
      <c r="AF416" s="253"/>
      <c r="AG416" s="253"/>
      <c r="AH416" s="253"/>
      <c r="AI416" s="253"/>
      <c r="AJ416" s="253"/>
      <c r="AK416" s="253"/>
      <c r="AL416" s="253"/>
      <c r="AM416" s="253"/>
      <c r="AN416" s="903"/>
      <c r="AO416" s="253" t="str">
        <f>IF(Z416="Yes",COUNTIF($Z$6:Z416,"Yes"),"")</f>
        <v/>
      </c>
      <c r="AP416" s="253" t="str">
        <f>IF(AA416="Yes",COUNTIF($AA$6:AA416,"Yes"),"")</f>
        <v/>
      </c>
      <c r="AQ416" s="253" t="str">
        <f>IF(AC416="Yes",COUNTIF($AC$6:AC416,"Yes"),"")</f>
        <v/>
      </c>
    </row>
    <row r="417" spans="1:43">
      <c r="A417" s="253"/>
      <c r="B417" s="253"/>
      <c r="C417" s="253"/>
      <c r="D417" s="253"/>
      <c r="E417" s="253"/>
      <c r="F417" s="253"/>
      <c r="G417" s="253"/>
      <c r="H417" s="253"/>
      <c r="I417" s="253"/>
      <c r="J417" s="253"/>
      <c r="K417" s="253"/>
      <c r="L417" s="253"/>
      <c r="M417" s="253"/>
      <c r="N417" s="253"/>
      <c r="O417" s="253"/>
      <c r="P417" s="903"/>
      <c r="Q417" s="903"/>
      <c r="R417" s="903"/>
      <c r="S417" s="904" t="str">
        <f ca="1">IF(P417="","",IF(R417&lt;&gt;"",R417-P417,TODAY()-P417))</f>
        <v/>
      </c>
      <c r="T417" s="904" t="str">
        <f ca="1">IF(Q417="","",Q417-TODAY())</f>
        <v/>
      </c>
      <c r="U417" s="253"/>
      <c r="V417" s="253"/>
      <c r="W417" s="253"/>
      <c r="X417" s="253"/>
      <c r="Y417" s="253"/>
      <c r="Z417" s="253"/>
      <c r="AA417" s="253"/>
      <c r="AB417" s="253"/>
      <c r="AC417" s="253"/>
      <c r="AD417" s="253"/>
      <c r="AE417" s="253"/>
      <c r="AF417" s="253"/>
      <c r="AG417" s="253"/>
      <c r="AH417" s="253"/>
      <c r="AI417" s="253"/>
      <c r="AJ417" s="253"/>
      <c r="AK417" s="253"/>
      <c r="AL417" s="253"/>
      <c r="AM417" s="253"/>
      <c r="AN417" s="903"/>
      <c r="AO417" s="253" t="str">
        <f>IF(Z417="Yes",COUNTIF($Z$6:Z417,"Yes"),"")</f>
        <v/>
      </c>
      <c r="AP417" s="253" t="str">
        <f>IF(AA417="Yes",COUNTIF($AA$6:AA417,"Yes"),"")</f>
        <v/>
      </c>
      <c r="AQ417" s="253" t="str">
        <f>IF(AC417="Yes",COUNTIF($AC$6:AC417,"Yes"),"")</f>
        <v/>
      </c>
    </row>
    <row r="418" spans="1:43">
      <c r="A418" s="253"/>
      <c r="B418" s="253"/>
      <c r="C418" s="253"/>
      <c r="D418" s="253"/>
      <c r="E418" s="253"/>
      <c r="F418" s="253"/>
      <c r="G418" s="253"/>
      <c r="H418" s="253"/>
      <c r="I418" s="253"/>
      <c r="J418" s="253"/>
      <c r="K418" s="253"/>
      <c r="L418" s="253"/>
      <c r="M418" s="253"/>
      <c r="N418" s="253"/>
      <c r="O418" s="253"/>
      <c r="P418" s="903"/>
      <c r="Q418" s="903"/>
      <c r="R418" s="903"/>
      <c r="S418" s="904" t="str">
        <f ca="1">IF(P418="","",IF(R418&lt;&gt;"",R418-P418,TODAY()-P418))</f>
        <v/>
      </c>
      <c r="T418" s="904" t="str">
        <f ca="1">IF(Q418="","",Q418-TODAY())</f>
        <v/>
      </c>
      <c r="U418" s="253"/>
      <c r="V418" s="253"/>
      <c r="W418" s="253"/>
      <c r="X418" s="253"/>
      <c r="Y418" s="253"/>
      <c r="Z418" s="253"/>
      <c r="AA418" s="253"/>
      <c r="AB418" s="253"/>
      <c r="AC418" s="253"/>
      <c r="AD418" s="253"/>
      <c r="AE418" s="253"/>
      <c r="AF418" s="253"/>
      <c r="AG418" s="253"/>
      <c r="AH418" s="253"/>
      <c r="AI418" s="253"/>
      <c r="AJ418" s="253"/>
      <c r="AK418" s="253"/>
      <c r="AL418" s="253"/>
      <c r="AM418" s="253"/>
      <c r="AN418" s="903"/>
      <c r="AO418" s="253" t="str">
        <f>IF(Z418="Yes",COUNTIF($Z$6:Z418,"Yes"),"")</f>
        <v/>
      </c>
      <c r="AP418" s="253" t="str">
        <f>IF(AA418="Yes",COUNTIF($AA$6:AA418,"Yes"),"")</f>
        <v/>
      </c>
      <c r="AQ418" s="253" t="str">
        <f>IF(AC418="Yes",COUNTIF($AC$6:AC418,"Yes"),"")</f>
        <v/>
      </c>
    </row>
    <row r="419" spans="1:43">
      <c r="A419" s="253"/>
      <c r="B419" s="253"/>
      <c r="C419" s="253"/>
      <c r="D419" s="253"/>
      <c r="E419" s="253"/>
      <c r="F419" s="253"/>
      <c r="G419" s="253"/>
      <c r="H419" s="253"/>
      <c r="I419" s="253"/>
      <c r="J419" s="253"/>
      <c r="K419" s="253"/>
      <c r="L419" s="253"/>
      <c r="M419" s="253"/>
      <c r="N419" s="253"/>
      <c r="O419" s="253"/>
      <c r="P419" s="903"/>
      <c r="Q419" s="903"/>
      <c r="R419" s="903"/>
      <c r="S419" s="904" t="str">
        <f ca="1">IF(P419="","",IF(R419&lt;&gt;"",R419-P419,TODAY()-P419))</f>
        <v/>
      </c>
      <c r="T419" s="904" t="str">
        <f ca="1">IF(Q419="","",Q419-TODAY())</f>
        <v/>
      </c>
      <c r="U419" s="253"/>
      <c r="V419" s="253"/>
      <c r="W419" s="253"/>
      <c r="X419" s="253"/>
      <c r="Y419" s="253"/>
      <c r="Z419" s="253"/>
      <c r="AA419" s="253"/>
      <c r="AB419" s="253"/>
      <c r="AC419" s="253"/>
      <c r="AD419" s="253"/>
      <c r="AE419" s="253"/>
      <c r="AF419" s="253"/>
      <c r="AG419" s="253"/>
      <c r="AH419" s="253"/>
      <c r="AI419" s="253"/>
      <c r="AJ419" s="253"/>
      <c r="AK419" s="253"/>
      <c r="AL419" s="253"/>
      <c r="AM419" s="253"/>
      <c r="AN419" s="903"/>
      <c r="AO419" s="253" t="str">
        <f>IF(Z419="Yes",COUNTIF($Z$6:Z419,"Yes"),"")</f>
        <v/>
      </c>
      <c r="AP419" s="253" t="str">
        <f>IF(AA419="Yes",COUNTIF($AA$6:AA419,"Yes"),"")</f>
        <v/>
      </c>
      <c r="AQ419" s="253" t="str">
        <f>IF(AC419="Yes",COUNTIF($AC$6:AC419,"Yes"),"")</f>
        <v/>
      </c>
    </row>
    <row r="420" spans="1:43">
      <c r="A420" s="253"/>
      <c r="B420" s="253"/>
      <c r="C420" s="253"/>
      <c r="D420" s="253"/>
      <c r="E420" s="253"/>
      <c r="F420" s="253"/>
      <c r="G420" s="253"/>
      <c r="H420" s="253"/>
      <c r="I420" s="253"/>
      <c r="J420" s="253"/>
      <c r="K420" s="253"/>
      <c r="L420" s="253"/>
      <c r="M420" s="253"/>
      <c r="N420" s="253"/>
      <c r="O420" s="253"/>
      <c r="P420" s="903"/>
      <c r="Q420" s="903"/>
      <c r="R420" s="903"/>
      <c r="S420" s="904" t="str">
        <f ca="1">IF(P420="","",IF(R420&lt;&gt;"",R420-P420,TODAY()-P420))</f>
        <v/>
      </c>
      <c r="T420" s="904" t="str">
        <f ca="1">IF(Q420="","",Q420-TODAY())</f>
        <v/>
      </c>
      <c r="U420" s="253"/>
      <c r="V420" s="253"/>
      <c r="W420" s="253"/>
      <c r="X420" s="253"/>
      <c r="Y420" s="253"/>
      <c r="Z420" s="253"/>
      <c r="AA420" s="253"/>
      <c r="AB420" s="253"/>
      <c r="AC420" s="253"/>
      <c r="AD420" s="253"/>
      <c r="AE420" s="253"/>
      <c r="AF420" s="253"/>
      <c r="AG420" s="253"/>
      <c r="AH420" s="253"/>
      <c r="AI420" s="253"/>
      <c r="AJ420" s="253"/>
      <c r="AK420" s="253"/>
      <c r="AL420" s="253"/>
      <c r="AM420" s="253"/>
      <c r="AN420" s="903"/>
      <c r="AO420" s="253" t="str">
        <f>IF(Z420="Yes",COUNTIF($Z$6:Z420,"Yes"),"")</f>
        <v/>
      </c>
      <c r="AP420" s="253" t="str">
        <f>IF(AA420="Yes",COUNTIF($AA$6:AA420,"Yes"),"")</f>
        <v/>
      </c>
      <c r="AQ420" s="253" t="str">
        <f>IF(AC420="Yes",COUNTIF($AC$6:AC420,"Yes"),"")</f>
        <v/>
      </c>
    </row>
    <row r="421" spans="1:43">
      <c r="A421" s="253"/>
      <c r="B421" s="253"/>
      <c r="C421" s="253"/>
      <c r="D421" s="253"/>
      <c r="E421" s="253"/>
      <c r="F421" s="253"/>
      <c r="G421" s="253"/>
      <c r="H421" s="253"/>
      <c r="I421" s="253"/>
      <c r="J421" s="253"/>
      <c r="K421" s="253"/>
      <c r="L421" s="253"/>
      <c r="M421" s="253"/>
      <c r="N421" s="253"/>
      <c r="O421" s="253"/>
      <c r="P421" s="903"/>
      <c r="Q421" s="903"/>
      <c r="R421" s="903"/>
      <c r="S421" s="904" t="str">
        <f ca="1">IF(P421="","",IF(R421&lt;&gt;"",R421-P421,TODAY()-P421))</f>
        <v/>
      </c>
      <c r="T421" s="904" t="str">
        <f ca="1">IF(Q421="","",Q421-TODAY())</f>
        <v/>
      </c>
      <c r="U421" s="253"/>
      <c r="V421" s="253"/>
      <c r="W421" s="253"/>
      <c r="X421" s="253"/>
      <c r="Y421" s="253"/>
      <c r="Z421" s="253"/>
      <c r="AA421" s="253"/>
      <c r="AB421" s="253"/>
      <c r="AC421" s="253"/>
      <c r="AD421" s="253"/>
      <c r="AE421" s="253"/>
      <c r="AF421" s="253"/>
      <c r="AG421" s="253"/>
      <c r="AH421" s="253"/>
      <c r="AI421" s="253"/>
      <c r="AJ421" s="253"/>
      <c r="AK421" s="253"/>
      <c r="AL421" s="253"/>
      <c r="AM421" s="253"/>
      <c r="AN421" s="903"/>
      <c r="AO421" s="253" t="str">
        <f>IF(Z421="Yes",COUNTIF($Z$6:Z421,"Yes"),"")</f>
        <v/>
      </c>
      <c r="AP421" s="253" t="str">
        <f>IF(AA421="Yes",COUNTIF($AA$6:AA421,"Yes"),"")</f>
        <v/>
      </c>
      <c r="AQ421" s="253" t="str">
        <f>IF(AC421="Yes",COUNTIF($AC$6:AC421,"Yes"),"")</f>
        <v/>
      </c>
    </row>
    <row r="422" spans="1:43">
      <c r="A422" s="253"/>
      <c r="B422" s="253"/>
      <c r="C422" s="253"/>
      <c r="D422" s="253"/>
      <c r="E422" s="253"/>
      <c r="F422" s="253"/>
      <c r="G422" s="253"/>
      <c r="H422" s="253"/>
      <c r="I422" s="253"/>
      <c r="J422" s="253"/>
      <c r="K422" s="253"/>
      <c r="L422" s="253"/>
      <c r="M422" s="253"/>
      <c r="N422" s="253"/>
      <c r="O422" s="253"/>
      <c r="P422" s="903"/>
      <c r="Q422" s="903"/>
      <c r="R422" s="903"/>
      <c r="S422" s="904" t="str">
        <f ca="1">IF(P422="","",IF(R422&lt;&gt;"",R422-P422,TODAY()-P422))</f>
        <v/>
      </c>
      <c r="T422" s="904" t="str">
        <f ca="1">IF(Q422="","",Q422-TODAY())</f>
        <v/>
      </c>
      <c r="U422" s="253"/>
      <c r="V422" s="253"/>
      <c r="W422" s="253"/>
      <c r="X422" s="253"/>
      <c r="Y422" s="253"/>
      <c r="Z422" s="253"/>
      <c r="AA422" s="253"/>
      <c r="AB422" s="253"/>
      <c r="AC422" s="253"/>
      <c r="AD422" s="253"/>
      <c r="AE422" s="253"/>
      <c r="AF422" s="253"/>
      <c r="AG422" s="253"/>
      <c r="AH422" s="253"/>
      <c r="AI422" s="253"/>
      <c r="AJ422" s="253"/>
      <c r="AK422" s="253"/>
      <c r="AL422" s="253"/>
      <c r="AM422" s="253"/>
      <c r="AN422" s="903"/>
      <c r="AO422" s="253" t="str">
        <f>IF(Z422="Yes",COUNTIF($Z$6:Z422,"Yes"),"")</f>
        <v/>
      </c>
      <c r="AP422" s="253" t="str">
        <f>IF(AA422="Yes",COUNTIF($AA$6:AA422,"Yes"),"")</f>
        <v/>
      </c>
      <c r="AQ422" s="253" t="str">
        <f>IF(AC422="Yes",COUNTIF($AC$6:AC422,"Yes"),"")</f>
        <v/>
      </c>
    </row>
    <row r="423" spans="1:43">
      <c r="A423" s="253"/>
      <c r="B423" s="253"/>
      <c r="C423" s="253"/>
      <c r="D423" s="253"/>
      <c r="E423" s="253"/>
      <c r="F423" s="253"/>
      <c r="G423" s="253"/>
      <c r="H423" s="253"/>
      <c r="I423" s="253"/>
      <c r="J423" s="253"/>
      <c r="K423" s="253"/>
      <c r="L423" s="253"/>
      <c r="M423" s="253"/>
      <c r="N423" s="253"/>
      <c r="O423" s="253"/>
      <c r="P423" s="903"/>
      <c r="Q423" s="903"/>
      <c r="R423" s="903"/>
      <c r="S423" s="904" t="str">
        <f ca="1">IF(P423="","",IF(R423&lt;&gt;"",R423-P423,TODAY()-P423))</f>
        <v/>
      </c>
      <c r="T423" s="904" t="str">
        <f ca="1">IF(Q423="","",Q423-TODAY())</f>
        <v/>
      </c>
      <c r="U423" s="253"/>
      <c r="V423" s="253"/>
      <c r="W423" s="253"/>
      <c r="X423" s="253"/>
      <c r="Y423" s="253"/>
      <c r="Z423" s="253"/>
      <c r="AA423" s="253"/>
      <c r="AB423" s="253"/>
      <c r="AC423" s="253"/>
      <c r="AD423" s="253"/>
      <c r="AE423" s="253"/>
      <c r="AF423" s="253"/>
      <c r="AG423" s="253"/>
      <c r="AH423" s="253"/>
      <c r="AI423" s="253"/>
      <c r="AJ423" s="253"/>
      <c r="AK423" s="253"/>
      <c r="AL423" s="253"/>
      <c r="AM423" s="253"/>
      <c r="AN423" s="903"/>
      <c r="AO423" s="253" t="str">
        <f>IF(Z423="Yes",COUNTIF($Z$6:Z423,"Yes"),"")</f>
        <v/>
      </c>
      <c r="AP423" s="253" t="str">
        <f>IF(AA423="Yes",COUNTIF($AA$6:AA423,"Yes"),"")</f>
        <v/>
      </c>
      <c r="AQ423" s="253" t="str">
        <f>IF(AC423="Yes",COUNTIF($AC$6:AC423,"Yes"),"")</f>
        <v/>
      </c>
    </row>
    <row r="424" spans="1:43">
      <c r="A424" s="253"/>
      <c r="B424" s="253"/>
      <c r="C424" s="253"/>
      <c r="D424" s="253"/>
      <c r="E424" s="253"/>
      <c r="F424" s="253"/>
      <c r="G424" s="253"/>
      <c r="H424" s="253"/>
      <c r="I424" s="253"/>
      <c r="J424" s="253"/>
      <c r="K424" s="253"/>
      <c r="L424" s="253"/>
      <c r="M424" s="253"/>
      <c r="N424" s="253"/>
      <c r="O424" s="253"/>
      <c r="P424" s="903"/>
      <c r="Q424" s="903"/>
      <c r="R424" s="903"/>
      <c r="S424" s="904" t="str">
        <f ca="1">IF(P424="","",IF(R424&lt;&gt;"",R424-P424,TODAY()-P424))</f>
        <v/>
      </c>
      <c r="T424" s="904" t="str">
        <f ca="1">IF(Q424="","",Q424-TODAY())</f>
        <v/>
      </c>
      <c r="U424" s="253"/>
      <c r="V424" s="253"/>
      <c r="W424" s="253"/>
      <c r="X424" s="253"/>
      <c r="Y424" s="253"/>
      <c r="Z424" s="253"/>
      <c r="AA424" s="253"/>
      <c r="AB424" s="253"/>
      <c r="AC424" s="253"/>
      <c r="AD424" s="253"/>
      <c r="AE424" s="253"/>
      <c r="AF424" s="253"/>
      <c r="AG424" s="253"/>
      <c r="AH424" s="253"/>
      <c r="AI424" s="253"/>
      <c r="AJ424" s="253"/>
      <c r="AK424" s="253"/>
      <c r="AL424" s="253"/>
      <c r="AM424" s="253"/>
      <c r="AN424" s="903"/>
      <c r="AO424" s="253" t="str">
        <f>IF(Z424="Yes",COUNTIF($Z$6:Z424,"Yes"),"")</f>
        <v/>
      </c>
      <c r="AP424" s="253" t="str">
        <f>IF(AA424="Yes",COUNTIF($AA$6:AA424,"Yes"),"")</f>
        <v/>
      </c>
      <c r="AQ424" s="253" t="str">
        <f>IF(AC424="Yes",COUNTIF($AC$6:AC424,"Yes"),"")</f>
        <v/>
      </c>
    </row>
    <row r="425" spans="1:43">
      <c r="A425" s="253"/>
      <c r="B425" s="253"/>
      <c r="C425" s="253"/>
      <c r="D425" s="253"/>
      <c r="E425" s="253"/>
      <c r="F425" s="253"/>
      <c r="G425" s="253"/>
      <c r="H425" s="253"/>
      <c r="I425" s="253"/>
      <c r="J425" s="253"/>
      <c r="K425" s="253"/>
      <c r="L425" s="253"/>
      <c r="M425" s="253"/>
      <c r="N425" s="253"/>
      <c r="O425" s="253"/>
      <c r="P425" s="903"/>
      <c r="Q425" s="903"/>
      <c r="R425" s="903"/>
      <c r="S425" s="904" t="str">
        <f ca="1">IF(P425="","",IF(R425&lt;&gt;"",R425-P425,TODAY()-P425))</f>
        <v/>
      </c>
      <c r="T425" s="904" t="str">
        <f ca="1">IF(Q425="","",Q425-TODAY())</f>
        <v/>
      </c>
      <c r="U425" s="253"/>
      <c r="V425" s="253"/>
      <c r="W425" s="253"/>
      <c r="X425" s="253"/>
      <c r="Y425" s="253"/>
      <c r="Z425" s="253"/>
      <c r="AA425" s="253"/>
      <c r="AB425" s="253"/>
      <c r="AC425" s="253"/>
      <c r="AD425" s="253"/>
      <c r="AE425" s="253"/>
      <c r="AF425" s="253"/>
      <c r="AG425" s="253"/>
      <c r="AH425" s="253"/>
      <c r="AI425" s="253"/>
      <c r="AJ425" s="253"/>
      <c r="AK425" s="253"/>
      <c r="AL425" s="253"/>
      <c r="AM425" s="253"/>
      <c r="AN425" s="903"/>
      <c r="AO425" s="253" t="str">
        <f>IF(Z425="Yes",COUNTIF($Z$6:Z425,"Yes"),"")</f>
        <v/>
      </c>
      <c r="AP425" s="253" t="str">
        <f>IF(AA425="Yes",COUNTIF($AA$6:AA425,"Yes"),"")</f>
        <v/>
      </c>
      <c r="AQ425" s="253" t="str">
        <f>IF(AC425="Yes",COUNTIF($AC$6:AC425,"Yes"),"")</f>
        <v/>
      </c>
    </row>
    <row r="426" spans="1:43">
      <c r="A426" s="253"/>
      <c r="B426" s="253"/>
      <c r="C426" s="253"/>
      <c r="D426" s="253"/>
      <c r="E426" s="253"/>
      <c r="F426" s="253"/>
      <c r="G426" s="253"/>
      <c r="H426" s="253"/>
      <c r="I426" s="253"/>
      <c r="J426" s="253"/>
      <c r="K426" s="253"/>
      <c r="L426" s="253"/>
      <c r="M426" s="253"/>
      <c r="N426" s="253"/>
      <c r="O426" s="253"/>
      <c r="P426" s="903"/>
      <c r="Q426" s="903"/>
      <c r="R426" s="903"/>
      <c r="S426" s="904" t="str">
        <f ca="1">IF(P426="","",IF(R426&lt;&gt;"",R426-P426,TODAY()-P426))</f>
        <v/>
      </c>
      <c r="T426" s="904" t="str">
        <f ca="1">IF(Q426="","",Q426-TODAY())</f>
        <v/>
      </c>
      <c r="U426" s="253"/>
      <c r="V426" s="253"/>
      <c r="W426" s="253"/>
      <c r="X426" s="253"/>
      <c r="Y426" s="253"/>
      <c r="Z426" s="253"/>
      <c r="AA426" s="253"/>
      <c r="AB426" s="253"/>
      <c r="AC426" s="253"/>
      <c r="AD426" s="253"/>
      <c r="AE426" s="253"/>
      <c r="AF426" s="253"/>
      <c r="AG426" s="253"/>
      <c r="AH426" s="253"/>
      <c r="AI426" s="253"/>
      <c r="AJ426" s="253"/>
      <c r="AK426" s="253"/>
      <c r="AL426" s="253"/>
      <c r="AM426" s="253"/>
      <c r="AN426" s="903"/>
      <c r="AO426" s="253" t="str">
        <f>IF(Z426="Yes",COUNTIF($Z$6:Z426,"Yes"),"")</f>
        <v/>
      </c>
      <c r="AP426" s="253" t="str">
        <f>IF(AA426="Yes",COUNTIF($AA$6:AA426,"Yes"),"")</f>
        <v/>
      </c>
      <c r="AQ426" s="253" t="str">
        <f>IF(AC426="Yes",COUNTIF($AC$6:AC426,"Yes"),"")</f>
        <v/>
      </c>
    </row>
    <row r="427" spans="1:43">
      <c r="A427" s="253"/>
      <c r="B427" s="253"/>
      <c r="C427" s="253"/>
      <c r="D427" s="253"/>
      <c r="E427" s="253"/>
      <c r="F427" s="253"/>
      <c r="G427" s="253"/>
      <c r="H427" s="253"/>
      <c r="I427" s="253"/>
      <c r="J427" s="253"/>
      <c r="K427" s="253"/>
      <c r="L427" s="253"/>
      <c r="M427" s="253"/>
      <c r="N427" s="253"/>
      <c r="O427" s="253"/>
      <c r="P427" s="903"/>
      <c r="Q427" s="903"/>
      <c r="R427" s="903"/>
      <c r="S427" s="904" t="str">
        <f ca="1">IF(P427="","",IF(R427&lt;&gt;"",R427-P427,TODAY()-P427))</f>
        <v/>
      </c>
      <c r="T427" s="904" t="str">
        <f ca="1">IF(Q427="","",Q427-TODAY())</f>
        <v/>
      </c>
      <c r="U427" s="253"/>
      <c r="V427" s="253"/>
      <c r="W427" s="253"/>
      <c r="X427" s="253"/>
      <c r="Y427" s="253"/>
      <c r="Z427" s="253"/>
      <c r="AA427" s="253"/>
      <c r="AB427" s="253"/>
      <c r="AC427" s="253"/>
      <c r="AD427" s="253"/>
      <c r="AE427" s="253"/>
      <c r="AF427" s="253"/>
      <c r="AG427" s="253"/>
      <c r="AH427" s="253"/>
      <c r="AI427" s="253"/>
      <c r="AJ427" s="253"/>
      <c r="AK427" s="253"/>
      <c r="AL427" s="253"/>
      <c r="AM427" s="253"/>
      <c r="AN427" s="903"/>
      <c r="AO427" s="253" t="str">
        <f>IF(Z427="Yes",COUNTIF($Z$6:Z427,"Yes"),"")</f>
        <v/>
      </c>
      <c r="AP427" s="253" t="str">
        <f>IF(AA427="Yes",COUNTIF($AA$6:AA427,"Yes"),"")</f>
        <v/>
      </c>
      <c r="AQ427" s="253" t="str">
        <f>IF(AC427="Yes",COUNTIF($AC$6:AC427,"Yes"),"")</f>
        <v/>
      </c>
    </row>
    <row r="428" spans="1:43">
      <c r="A428" s="253"/>
      <c r="B428" s="253"/>
      <c r="C428" s="253"/>
      <c r="D428" s="253"/>
      <c r="E428" s="253"/>
      <c r="F428" s="253"/>
      <c r="G428" s="253"/>
      <c r="H428" s="253"/>
      <c r="I428" s="253"/>
      <c r="J428" s="253"/>
      <c r="K428" s="253"/>
      <c r="L428" s="253"/>
      <c r="M428" s="253"/>
      <c r="N428" s="253"/>
      <c r="O428" s="253"/>
      <c r="P428" s="903"/>
      <c r="Q428" s="903"/>
      <c r="R428" s="903"/>
      <c r="S428" s="904" t="str">
        <f ca="1">IF(P428="","",IF(R428&lt;&gt;"",R428-P428,TODAY()-P428))</f>
        <v/>
      </c>
      <c r="T428" s="904" t="str">
        <f ca="1">IF(Q428="","",Q428-TODAY())</f>
        <v/>
      </c>
      <c r="U428" s="253"/>
      <c r="V428" s="253"/>
      <c r="W428" s="253"/>
      <c r="X428" s="253"/>
      <c r="Y428" s="253"/>
      <c r="Z428" s="253"/>
      <c r="AA428" s="253"/>
      <c r="AB428" s="253"/>
      <c r="AC428" s="253"/>
      <c r="AD428" s="253"/>
      <c r="AE428" s="253"/>
      <c r="AF428" s="253"/>
      <c r="AG428" s="253"/>
      <c r="AH428" s="253"/>
      <c r="AI428" s="253"/>
      <c r="AJ428" s="253"/>
      <c r="AK428" s="253"/>
      <c r="AL428" s="253"/>
      <c r="AM428" s="253"/>
      <c r="AN428" s="903"/>
      <c r="AO428" s="253" t="str">
        <f>IF(Z428="Yes",COUNTIF($Z$6:Z428,"Yes"),"")</f>
        <v/>
      </c>
      <c r="AP428" s="253" t="str">
        <f>IF(AA428="Yes",COUNTIF($AA$6:AA428,"Yes"),"")</f>
        <v/>
      </c>
      <c r="AQ428" s="253" t="str">
        <f>IF(AC428="Yes",COUNTIF($AC$6:AC428,"Yes"),"")</f>
        <v/>
      </c>
    </row>
    <row r="429" spans="1:43">
      <c r="A429" s="253"/>
      <c r="B429" s="253"/>
      <c r="C429" s="253"/>
      <c r="D429" s="253"/>
      <c r="E429" s="253"/>
      <c r="F429" s="253"/>
      <c r="G429" s="253"/>
      <c r="H429" s="253"/>
      <c r="I429" s="253"/>
      <c r="J429" s="253"/>
      <c r="K429" s="253"/>
      <c r="L429" s="253"/>
      <c r="M429" s="253"/>
      <c r="N429" s="253"/>
      <c r="O429" s="253"/>
      <c r="P429" s="903"/>
      <c r="Q429" s="903"/>
      <c r="R429" s="903"/>
      <c r="S429" s="904" t="str">
        <f ca="1">IF(P429="","",IF(R429&lt;&gt;"",R429-P429,TODAY()-P429))</f>
        <v/>
      </c>
      <c r="T429" s="904" t="str">
        <f ca="1">IF(Q429="","",Q429-TODAY())</f>
        <v/>
      </c>
      <c r="U429" s="253"/>
      <c r="V429" s="253"/>
      <c r="W429" s="253"/>
      <c r="X429" s="253"/>
      <c r="Y429" s="253"/>
      <c r="Z429" s="253"/>
      <c r="AA429" s="253"/>
      <c r="AB429" s="253"/>
      <c r="AC429" s="253"/>
      <c r="AD429" s="253"/>
      <c r="AE429" s="253"/>
      <c r="AF429" s="253"/>
      <c r="AG429" s="253"/>
      <c r="AH429" s="253"/>
      <c r="AI429" s="253"/>
      <c r="AJ429" s="253"/>
      <c r="AK429" s="253"/>
      <c r="AL429" s="253"/>
      <c r="AM429" s="253"/>
      <c r="AN429" s="903"/>
      <c r="AO429" s="253" t="str">
        <f>IF(Z429="Yes",COUNTIF($Z$6:Z429,"Yes"),"")</f>
        <v/>
      </c>
      <c r="AP429" s="253" t="str">
        <f>IF(AA429="Yes",COUNTIF($AA$6:AA429,"Yes"),"")</f>
        <v/>
      </c>
      <c r="AQ429" s="253" t="str">
        <f>IF(AC429="Yes",COUNTIF($AC$6:AC429,"Yes"),"")</f>
        <v/>
      </c>
    </row>
    <row r="430" spans="1:43">
      <c r="A430" s="253"/>
      <c r="B430" s="253"/>
      <c r="C430" s="253"/>
      <c r="D430" s="253"/>
      <c r="E430" s="253"/>
      <c r="F430" s="253"/>
      <c r="G430" s="253"/>
      <c r="H430" s="253"/>
      <c r="I430" s="253"/>
      <c r="J430" s="253"/>
      <c r="K430" s="253"/>
      <c r="L430" s="253"/>
      <c r="M430" s="253"/>
      <c r="N430" s="253"/>
      <c r="O430" s="253"/>
      <c r="P430" s="903"/>
      <c r="Q430" s="903"/>
      <c r="R430" s="903"/>
      <c r="S430" s="904" t="str">
        <f ca="1">IF(P430="","",IF(R430&lt;&gt;"",R430-P430,TODAY()-P430))</f>
        <v/>
      </c>
      <c r="T430" s="904" t="str">
        <f ca="1">IF(Q430="","",Q430-TODAY())</f>
        <v/>
      </c>
      <c r="U430" s="253"/>
      <c r="V430" s="253"/>
      <c r="W430" s="253"/>
      <c r="X430" s="253"/>
      <c r="Y430" s="253"/>
      <c r="Z430" s="253"/>
      <c r="AA430" s="253"/>
      <c r="AB430" s="253"/>
      <c r="AC430" s="253"/>
      <c r="AD430" s="253"/>
      <c r="AE430" s="253"/>
      <c r="AF430" s="253"/>
      <c r="AG430" s="253"/>
      <c r="AH430" s="253"/>
      <c r="AI430" s="253"/>
      <c r="AJ430" s="253"/>
      <c r="AK430" s="253"/>
      <c r="AL430" s="253"/>
      <c r="AM430" s="253"/>
      <c r="AN430" s="903"/>
      <c r="AO430" s="253" t="str">
        <f>IF(Z430="Yes",COUNTIF($Z$6:Z430,"Yes"),"")</f>
        <v/>
      </c>
      <c r="AP430" s="253" t="str">
        <f>IF(AA430="Yes",COUNTIF($AA$6:AA430,"Yes"),"")</f>
        <v/>
      </c>
      <c r="AQ430" s="253" t="str">
        <f>IF(AC430="Yes",COUNTIF($AC$6:AC430,"Yes"),"")</f>
        <v/>
      </c>
    </row>
    <row r="431" spans="1:43">
      <c r="A431" s="253"/>
      <c r="B431" s="253"/>
      <c r="C431" s="253"/>
      <c r="D431" s="253"/>
      <c r="E431" s="253"/>
      <c r="F431" s="253"/>
      <c r="G431" s="253"/>
      <c r="H431" s="253"/>
      <c r="I431" s="253"/>
      <c r="J431" s="253"/>
      <c r="K431" s="253"/>
      <c r="L431" s="253"/>
      <c r="M431" s="253"/>
      <c r="N431" s="253"/>
      <c r="O431" s="253"/>
      <c r="P431" s="903"/>
      <c r="Q431" s="903"/>
      <c r="R431" s="903"/>
      <c r="S431" s="904" t="str">
        <f ca="1">IF(P431="","",IF(R431&lt;&gt;"",R431-P431,TODAY()-P431))</f>
        <v/>
      </c>
      <c r="T431" s="904" t="str">
        <f ca="1">IF(Q431="","",Q431-TODAY())</f>
        <v/>
      </c>
      <c r="U431" s="253"/>
      <c r="V431" s="253"/>
      <c r="W431" s="253"/>
      <c r="X431" s="253"/>
      <c r="Y431" s="253"/>
      <c r="Z431" s="253"/>
      <c r="AA431" s="253"/>
      <c r="AB431" s="253"/>
      <c r="AC431" s="253"/>
      <c r="AD431" s="253"/>
      <c r="AE431" s="253"/>
      <c r="AF431" s="253"/>
      <c r="AG431" s="253"/>
      <c r="AH431" s="253"/>
      <c r="AI431" s="253"/>
      <c r="AJ431" s="253"/>
      <c r="AK431" s="253"/>
      <c r="AL431" s="253"/>
      <c r="AM431" s="253"/>
      <c r="AN431" s="903"/>
      <c r="AO431" s="253" t="str">
        <f>IF(Z431="Yes",COUNTIF($Z$6:Z431,"Yes"),"")</f>
        <v/>
      </c>
      <c r="AP431" s="253" t="str">
        <f>IF(AA431="Yes",COUNTIF($AA$6:AA431,"Yes"),"")</f>
        <v/>
      </c>
      <c r="AQ431" s="253" t="str">
        <f>IF(AC431="Yes",COUNTIF($AC$6:AC431,"Yes"),"")</f>
        <v/>
      </c>
    </row>
    <row r="432" spans="1:43">
      <c r="A432" s="253"/>
      <c r="B432" s="253"/>
      <c r="C432" s="253"/>
      <c r="D432" s="253"/>
      <c r="E432" s="253"/>
      <c r="F432" s="253"/>
      <c r="G432" s="253"/>
      <c r="H432" s="253"/>
      <c r="I432" s="253"/>
      <c r="J432" s="253"/>
      <c r="K432" s="253"/>
      <c r="L432" s="253"/>
      <c r="M432" s="253"/>
      <c r="N432" s="253"/>
      <c r="O432" s="253"/>
      <c r="P432" s="903"/>
      <c r="Q432" s="903"/>
      <c r="R432" s="903"/>
      <c r="S432" s="904" t="str">
        <f ca="1">IF(P432="","",IF(R432&lt;&gt;"",R432-P432,TODAY()-P432))</f>
        <v/>
      </c>
      <c r="T432" s="904" t="str">
        <f ca="1">IF(Q432="","",Q432-TODAY())</f>
        <v/>
      </c>
      <c r="U432" s="253"/>
      <c r="V432" s="253"/>
      <c r="W432" s="253"/>
      <c r="X432" s="253"/>
      <c r="Y432" s="253"/>
      <c r="Z432" s="253"/>
      <c r="AA432" s="253"/>
      <c r="AB432" s="253"/>
      <c r="AC432" s="253"/>
      <c r="AD432" s="253"/>
      <c r="AE432" s="253"/>
      <c r="AF432" s="253"/>
      <c r="AG432" s="253"/>
      <c r="AH432" s="253"/>
      <c r="AI432" s="253"/>
      <c r="AJ432" s="253"/>
      <c r="AK432" s="253"/>
      <c r="AL432" s="253"/>
      <c r="AM432" s="253"/>
      <c r="AN432" s="903"/>
      <c r="AO432" s="253" t="str">
        <f>IF(Z432="Yes",COUNTIF($Z$6:Z432,"Yes"),"")</f>
        <v/>
      </c>
      <c r="AP432" s="253" t="str">
        <f>IF(AA432="Yes",COUNTIF($AA$6:AA432,"Yes"),"")</f>
        <v/>
      </c>
      <c r="AQ432" s="253" t="str">
        <f>IF(AC432="Yes",COUNTIF($AC$6:AC432,"Yes"),"")</f>
        <v/>
      </c>
    </row>
    <row r="433" spans="1:43">
      <c r="A433" s="253"/>
      <c r="B433" s="253"/>
      <c r="C433" s="253"/>
      <c r="D433" s="253"/>
      <c r="E433" s="253"/>
      <c r="F433" s="253"/>
      <c r="G433" s="253"/>
      <c r="H433" s="253"/>
      <c r="I433" s="253"/>
      <c r="J433" s="253"/>
      <c r="K433" s="253"/>
      <c r="L433" s="253"/>
      <c r="M433" s="253"/>
      <c r="N433" s="253"/>
      <c r="O433" s="253"/>
      <c r="P433" s="903"/>
      <c r="Q433" s="903"/>
      <c r="R433" s="903"/>
      <c r="S433" s="904" t="str">
        <f ca="1">IF(P433="","",IF(R433&lt;&gt;"",R433-P433,TODAY()-P433))</f>
        <v/>
      </c>
      <c r="T433" s="904" t="str">
        <f ca="1">IF(Q433="","",Q433-TODAY())</f>
        <v/>
      </c>
      <c r="U433" s="253"/>
      <c r="V433" s="253"/>
      <c r="W433" s="253"/>
      <c r="X433" s="253"/>
      <c r="Y433" s="253"/>
      <c r="Z433" s="253"/>
      <c r="AA433" s="253"/>
      <c r="AB433" s="253"/>
      <c r="AC433" s="253"/>
      <c r="AD433" s="253"/>
      <c r="AE433" s="253"/>
      <c r="AF433" s="253"/>
      <c r="AG433" s="253"/>
      <c r="AH433" s="253"/>
      <c r="AI433" s="253"/>
      <c r="AJ433" s="253"/>
      <c r="AK433" s="253"/>
      <c r="AL433" s="253"/>
      <c r="AM433" s="253"/>
      <c r="AN433" s="903"/>
      <c r="AO433" s="253" t="str">
        <f>IF(Z433="Yes",COUNTIF($Z$6:Z433,"Yes"),"")</f>
        <v/>
      </c>
      <c r="AP433" s="253" t="str">
        <f>IF(AA433="Yes",COUNTIF($AA$6:AA433,"Yes"),"")</f>
        <v/>
      </c>
      <c r="AQ433" s="253" t="str">
        <f>IF(AC433="Yes",COUNTIF($AC$6:AC433,"Yes"),"")</f>
        <v/>
      </c>
    </row>
    <row r="434" spans="1:43">
      <c r="A434" s="253"/>
      <c r="B434" s="253"/>
      <c r="C434" s="253"/>
      <c r="D434" s="253"/>
      <c r="E434" s="253"/>
      <c r="F434" s="253"/>
      <c r="G434" s="253"/>
      <c r="H434" s="253"/>
      <c r="I434" s="253"/>
      <c r="J434" s="253"/>
      <c r="K434" s="253"/>
      <c r="L434" s="253"/>
      <c r="M434" s="253"/>
      <c r="N434" s="253"/>
      <c r="O434" s="253"/>
      <c r="P434" s="903"/>
      <c r="Q434" s="903"/>
      <c r="R434" s="903"/>
      <c r="S434" s="904" t="str">
        <f ca="1">IF(P434="","",IF(R434&lt;&gt;"",R434-P434,TODAY()-P434))</f>
        <v/>
      </c>
      <c r="T434" s="904" t="str">
        <f ca="1">IF(Q434="","",Q434-TODAY())</f>
        <v/>
      </c>
      <c r="U434" s="253"/>
      <c r="V434" s="253"/>
      <c r="W434" s="253"/>
      <c r="X434" s="253"/>
      <c r="Y434" s="253"/>
      <c r="Z434" s="253"/>
      <c r="AA434" s="253"/>
      <c r="AB434" s="253"/>
      <c r="AC434" s="253"/>
      <c r="AD434" s="253"/>
      <c r="AE434" s="253"/>
      <c r="AF434" s="253"/>
      <c r="AG434" s="253"/>
      <c r="AH434" s="253"/>
      <c r="AI434" s="253"/>
      <c r="AJ434" s="253"/>
      <c r="AK434" s="253"/>
      <c r="AL434" s="253"/>
      <c r="AM434" s="253"/>
      <c r="AN434" s="903"/>
      <c r="AO434" s="253" t="str">
        <f>IF(Z434="Yes",COUNTIF($Z$6:Z434,"Yes"),"")</f>
        <v/>
      </c>
      <c r="AP434" s="253" t="str">
        <f>IF(AA434="Yes",COUNTIF($AA$6:AA434,"Yes"),"")</f>
        <v/>
      </c>
      <c r="AQ434" s="253" t="str">
        <f>IF(AC434="Yes",COUNTIF($AC$6:AC434,"Yes"),"")</f>
        <v/>
      </c>
    </row>
    <row r="435" spans="1:43">
      <c r="A435" s="253"/>
      <c r="B435" s="253"/>
      <c r="C435" s="253"/>
      <c r="D435" s="253"/>
      <c r="E435" s="253"/>
      <c r="F435" s="253"/>
      <c r="G435" s="253"/>
      <c r="H435" s="253"/>
      <c r="I435" s="253"/>
      <c r="J435" s="253"/>
      <c r="K435" s="253"/>
      <c r="L435" s="253"/>
      <c r="M435" s="253"/>
      <c r="N435" s="253"/>
      <c r="O435" s="253"/>
      <c r="P435" s="903"/>
      <c r="Q435" s="903"/>
      <c r="R435" s="903"/>
      <c r="S435" s="904" t="str">
        <f ca="1">IF(P435="","",IF(R435&lt;&gt;"",R435-P435,TODAY()-P435))</f>
        <v/>
      </c>
      <c r="T435" s="904" t="str">
        <f ca="1">IF(Q435="","",Q435-TODAY())</f>
        <v/>
      </c>
      <c r="U435" s="253"/>
      <c r="V435" s="253"/>
      <c r="W435" s="253"/>
      <c r="X435" s="253"/>
      <c r="Y435" s="253"/>
      <c r="Z435" s="253"/>
      <c r="AA435" s="253"/>
      <c r="AB435" s="253"/>
      <c r="AC435" s="253"/>
      <c r="AD435" s="253"/>
      <c r="AE435" s="253"/>
      <c r="AF435" s="253"/>
      <c r="AG435" s="253"/>
      <c r="AH435" s="253"/>
      <c r="AI435" s="253"/>
      <c r="AJ435" s="253"/>
      <c r="AK435" s="253"/>
      <c r="AL435" s="253"/>
      <c r="AM435" s="253"/>
      <c r="AN435" s="903"/>
      <c r="AO435" s="253" t="str">
        <f>IF(Z435="Yes",COUNTIF($Z$6:Z435,"Yes"),"")</f>
        <v/>
      </c>
      <c r="AP435" s="253" t="str">
        <f>IF(AA435="Yes",COUNTIF($AA$6:AA435,"Yes"),"")</f>
        <v/>
      </c>
      <c r="AQ435" s="253" t="str">
        <f>IF(AC435="Yes",COUNTIF($AC$6:AC435,"Yes"),"")</f>
        <v/>
      </c>
    </row>
    <row r="436" spans="1:43">
      <c r="A436" s="253"/>
      <c r="B436" s="253"/>
      <c r="C436" s="253"/>
      <c r="D436" s="253"/>
      <c r="E436" s="253"/>
      <c r="F436" s="253"/>
      <c r="G436" s="253"/>
      <c r="H436" s="253"/>
      <c r="I436" s="253"/>
      <c r="J436" s="253"/>
      <c r="K436" s="253"/>
      <c r="L436" s="253"/>
      <c r="M436" s="253"/>
      <c r="N436" s="253"/>
      <c r="O436" s="253"/>
      <c r="P436" s="903"/>
      <c r="Q436" s="903"/>
      <c r="R436" s="903"/>
      <c r="S436" s="904" t="str">
        <f ca="1">IF(P436="","",IF(R436&lt;&gt;"",R436-P436,TODAY()-P436))</f>
        <v/>
      </c>
      <c r="T436" s="904" t="str">
        <f ca="1">IF(Q436="","",Q436-TODAY())</f>
        <v/>
      </c>
      <c r="U436" s="253"/>
      <c r="V436" s="253"/>
      <c r="W436" s="253"/>
      <c r="X436" s="253"/>
      <c r="Y436" s="253"/>
      <c r="Z436" s="253"/>
      <c r="AA436" s="253"/>
      <c r="AB436" s="253"/>
      <c r="AC436" s="253"/>
      <c r="AD436" s="253"/>
      <c r="AE436" s="253"/>
      <c r="AF436" s="253"/>
      <c r="AG436" s="253"/>
      <c r="AH436" s="253"/>
      <c r="AI436" s="253"/>
      <c r="AJ436" s="253"/>
      <c r="AK436" s="253"/>
      <c r="AL436" s="253"/>
      <c r="AM436" s="253"/>
      <c r="AN436" s="903"/>
      <c r="AO436" s="253" t="str">
        <f>IF(Z436="Yes",COUNTIF($Z$6:Z436,"Yes"),"")</f>
        <v/>
      </c>
      <c r="AP436" s="253" t="str">
        <f>IF(AA436="Yes",COUNTIF($AA$6:AA436,"Yes"),"")</f>
        <v/>
      </c>
      <c r="AQ436" s="253" t="str">
        <f>IF(AC436="Yes",COUNTIF($AC$6:AC436,"Yes"),"")</f>
        <v/>
      </c>
    </row>
    <row r="437" spans="1:43">
      <c r="A437" s="253"/>
      <c r="B437" s="253"/>
      <c r="C437" s="253"/>
      <c r="D437" s="253"/>
      <c r="E437" s="253"/>
      <c r="F437" s="253"/>
      <c r="G437" s="253"/>
      <c r="H437" s="253"/>
      <c r="I437" s="253"/>
      <c r="J437" s="253"/>
      <c r="K437" s="253"/>
      <c r="L437" s="253"/>
      <c r="M437" s="253"/>
      <c r="N437" s="253"/>
      <c r="O437" s="253"/>
      <c r="P437" s="903"/>
      <c r="Q437" s="903"/>
      <c r="R437" s="903"/>
      <c r="S437" s="904" t="str">
        <f ca="1">IF(P437="","",IF(R437&lt;&gt;"",R437-P437,TODAY()-P437))</f>
        <v/>
      </c>
      <c r="T437" s="904" t="str">
        <f ca="1">IF(Q437="","",Q437-TODAY())</f>
        <v/>
      </c>
      <c r="U437" s="253"/>
      <c r="V437" s="253"/>
      <c r="W437" s="253"/>
      <c r="X437" s="253"/>
      <c r="Y437" s="253"/>
      <c r="Z437" s="253"/>
      <c r="AA437" s="253"/>
      <c r="AB437" s="253"/>
      <c r="AC437" s="253"/>
      <c r="AD437" s="253"/>
      <c r="AE437" s="253"/>
      <c r="AF437" s="253"/>
      <c r="AG437" s="253"/>
      <c r="AH437" s="253"/>
      <c r="AI437" s="253"/>
      <c r="AJ437" s="253"/>
      <c r="AK437" s="253"/>
      <c r="AL437" s="253"/>
      <c r="AM437" s="253"/>
      <c r="AN437" s="903"/>
      <c r="AO437" s="253" t="str">
        <f>IF(Z437="Yes",COUNTIF($Z$6:Z437,"Yes"),"")</f>
        <v/>
      </c>
      <c r="AP437" s="253" t="str">
        <f>IF(AA437="Yes",COUNTIF($AA$6:AA437,"Yes"),"")</f>
        <v/>
      </c>
      <c r="AQ437" s="253" t="str">
        <f>IF(AC437="Yes",COUNTIF($AC$6:AC437,"Yes"),"")</f>
        <v/>
      </c>
    </row>
    <row r="438" spans="1:43">
      <c r="A438" s="253"/>
      <c r="B438" s="253"/>
      <c r="C438" s="253"/>
      <c r="D438" s="253"/>
      <c r="E438" s="253"/>
      <c r="F438" s="253"/>
      <c r="G438" s="253"/>
      <c r="H438" s="253"/>
      <c r="I438" s="253"/>
      <c r="J438" s="253"/>
      <c r="K438" s="253"/>
      <c r="L438" s="253"/>
      <c r="M438" s="253"/>
      <c r="N438" s="253"/>
      <c r="O438" s="253"/>
      <c r="P438" s="903"/>
      <c r="Q438" s="903"/>
      <c r="R438" s="903"/>
      <c r="S438" s="904" t="str">
        <f ca="1">IF(P438="","",IF(R438&lt;&gt;"",R438-P438,TODAY()-P438))</f>
        <v/>
      </c>
      <c r="T438" s="904" t="str">
        <f ca="1">IF(Q438="","",Q438-TODAY())</f>
        <v/>
      </c>
      <c r="U438" s="253"/>
      <c r="V438" s="253"/>
      <c r="W438" s="253"/>
      <c r="X438" s="253"/>
      <c r="Y438" s="253"/>
      <c r="Z438" s="253"/>
      <c r="AA438" s="253"/>
      <c r="AB438" s="253"/>
      <c r="AC438" s="253"/>
      <c r="AD438" s="253"/>
      <c r="AE438" s="253"/>
      <c r="AF438" s="253"/>
      <c r="AG438" s="253"/>
      <c r="AH438" s="253"/>
      <c r="AI438" s="253"/>
      <c r="AJ438" s="253"/>
      <c r="AK438" s="253"/>
      <c r="AL438" s="253"/>
      <c r="AM438" s="253"/>
      <c r="AN438" s="903"/>
      <c r="AO438" s="253" t="str">
        <f>IF(Z438="Yes",COUNTIF($Z$6:Z438,"Yes"),"")</f>
        <v/>
      </c>
      <c r="AP438" s="253" t="str">
        <f>IF(AA438="Yes",COUNTIF($AA$6:AA438,"Yes"),"")</f>
        <v/>
      </c>
      <c r="AQ438" s="253" t="str">
        <f>IF(AC438="Yes",COUNTIF($AC$6:AC438,"Yes"),"")</f>
        <v/>
      </c>
    </row>
    <row r="439" spans="1:43">
      <c r="A439" s="253"/>
      <c r="B439" s="253"/>
      <c r="C439" s="253"/>
      <c r="D439" s="253"/>
      <c r="E439" s="253"/>
      <c r="F439" s="253"/>
      <c r="G439" s="253"/>
      <c r="H439" s="253"/>
      <c r="I439" s="253"/>
      <c r="J439" s="253"/>
      <c r="K439" s="253"/>
      <c r="L439" s="253"/>
      <c r="M439" s="253"/>
      <c r="N439" s="253"/>
      <c r="O439" s="253"/>
      <c r="P439" s="903"/>
      <c r="Q439" s="903"/>
      <c r="R439" s="903"/>
      <c r="S439" s="904" t="str">
        <f ca="1">IF(P439="","",IF(R439&lt;&gt;"",R439-P439,TODAY()-P439))</f>
        <v/>
      </c>
      <c r="T439" s="904" t="str">
        <f ca="1">IF(Q439="","",Q439-TODAY())</f>
        <v/>
      </c>
      <c r="U439" s="253"/>
      <c r="V439" s="253"/>
      <c r="W439" s="253"/>
      <c r="X439" s="253"/>
      <c r="Y439" s="253"/>
      <c r="Z439" s="253"/>
      <c r="AA439" s="253"/>
      <c r="AB439" s="253"/>
      <c r="AC439" s="253"/>
      <c r="AD439" s="253"/>
      <c r="AE439" s="253"/>
      <c r="AF439" s="253"/>
      <c r="AG439" s="253"/>
      <c r="AH439" s="253"/>
      <c r="AI439" s="253"/>
      <c r="AJ439" s="253"/>
      <c r="AK439" s="253"/>
      <c r="AL439" s="253"/>
      <c r="AM439" s="253"/>
      <c r="AN439" s="903"/>
      <c r="AO439" s="253" t="str">
        <f>IF(Z439="Yes",COUNTIF($Z$6:Z439,"Yes"),"")</f>
        <v/>
      </c>
      <c r="AP439" s="253" t="str">
        <f>IF(AA439="Yes",COUNTIF($AA$6:AA439,"Yes"),"")</f>
        <v/>
      </c>
      <c r="AQ439" s="253" t="str">
        <f>IF(AC439="Yes",COUNTIF($AC$6:AC439,"Yes"),"")</f>
        <v/>
      </c>
    </row>
    <row r="440" spans="1:43">
      <c r="A440" s="253"/>
      <c r="B440" s="253"/>
      <c r="C440" s="253"/>
      <c r="D440" s="253"/>
      <c r="E440" s="253"/>
      <c r="F440" s="253"/>
      <c r="G440" s="253"/>
      <c r="H440" s="253"/>
      <c r="I440" s="253"/>
      <c r="J440" s="253"/>
      <c r="K440" s="253"/>
      <c r="L440" s="253"/>
      <c r="M440" s="253"/>
      <c r="N440" s="253"/>
      <c r="O440" s="253"/>
      <c r="P440" s="903"/>
      <c r="Q440" s="903"/>
      <c r="R440" s="903"/>
      <c r="S440" s="904" t="str">
        <f ca="1">IF(P440="","",IF(R440&lt;&gt;"",R440-P440,TODAY()-P440))</f>
        <v/>
      </c>
      <c r="T440" s="904" t="str">
        <f ca="1">IF(Q440="","",Q440-TODAY())</f>
        <v/>
      </c>
      <c r="U440" s="253"/>
      <c r="V440" s="253"/>
      <c r="W440" s="253"/>
      <c r="X440" s="253"/>
      <c r="Y440" s="253"/>
      <c r="Z440" s="253"/>
      <c r="AA440" s="253"/>
      <c r="AB440" s="253"/>
      <c r="AC440" s="253"/>
      <c r="AD440" s="253"/>
      <c r="AE440" s="253"/>
      <c r="AF440" s="253"/>
      <c r="AG440" s="253"/>
      <c r="AH440" s="253"/>
      <c r="AI440" s="253"/>
      <c r="AJ440" s="253"/>
      <c r="AK440" s="253"/>
      <c r="AL440" s="253"/>
      <c r="AM440" s="253"/>
      <c r="AN440" s="903"/>
      <c r="AO440" s="253" t="str">
        <f>IF(Z440="Yes",COUNTIF($Z$6:Z440,"Yes"),"")</f>
        <v/>
      </c>
      <c r="AP440" s="253" t="str">
        <f>IF(AA440="Yes",COUNTIF($AA$6:AA440,"Yes"),"")</f>
        <v/>
      </c>
      <c r="AQ440" s="253" t="str">
        <f>IF(AC440="Yes",COUNTIF($AC$6:AC440,"Yes"),"")</f>
        <v/>
      </c>
    </row>
    <row r="441" spans="1:43">
      <c r="A441" s="253"/>
      <c r="B441" s="253"/>
      <c r="C441" s="253"/>
      <c r="D441" s="253"/>
      <c r="E441" s="253"/>
      <c r="F441" s="253"/>
      <c r="G441" s="253"/>
      <c r="H441" s="253"/>
      <c r="I441" s="253"/>
      <c r="J441" s="253"/>
      <c r="K441" s="253"/>
      <c r="L441" s="253"/>
      <c r="M441" s="253"/>
      <c r="N441" s="253"/>
      <c r="O441" s="253"/>
      <c r="P441" s="903"/>
      <c r="Q441" s="903"/>
      <c r="R441" s="903"/>
      <c r="S441" s="904" t="str">
        <f ca="1">IF(P441="","",IF(R441&lt;&gt;"",R441-P441,TODAY()-P441))</f>
        <v/>
      </c>
      <c r="T441" s="904" t="str">
        <f ca="1">IF(Q441="","",Q441-TODAY())</f>
        <v/>
      </c>
      <c r="U441" s="253"/>
      <c r="V441" s="253"/>
      <c r="W441" s="253"/>
      <c r="X441" s="253"/>
      <c r="Y441" s="253"/>
      <c r="Z441" s="253"/>
      <c r="AA441" s="253"/>
      <c r="AB441" s="253"/>
      <c r="AC441" s="253"/>
      <c r="AD441" s="253"/>
      <c r="AE441" s="253"/>
      <c r="AF441" s="253"/>
      <c r="AG441" s="253"/>
      <c r="AH441" s="253"/>
      <c r="AI441" s="253"/>
      <c r="AJ441" s="253"/>
      <c r="AK441" s="253"/>
      <c r="AL441" s="253"/>
      <c r="AM441" s="253"/>
      <c r="AN441" s="903"/>
      <c r="AO441" s="253" t="str">
        <f>IF(Z441="Yes",COUNTIF($Z$6:Z441,"Yes"),"")</f>
        <v/>
      </c>
      <c r="AP441" s="253" t="str">
        <f>IF(AA441="Yes",COUNTIF($AA$6:AA441,"Yes"),"")</f>
        <v/>
      </c>
      <c r="AQ441" s="253" t="str">
        <f>IF(AC441="Yes",COUNTIF($AC$6:AC441,"Yes"),"")</f>
        <v/>
      </c>
    </row>
    <row r="442" spans="1:43">
      <c r="A442" s="253"/>
      <c r="B442" s="253"/>
      <c r="C442" s="253"/>
      <c r="D442" s="253"/>
      <c r="E442" s="253"/>
      <c r="F442" s="253"/>
      <c r="G442" s="253"/>
      <c r="H442" s="253"/>
      <c r="I442" s="253"/>
      <c r="J442" s="253"/>
      <c r="K442" s="253"/>
      <c r="L442" s="253"/>
      <c r="M442" s="253"/>
      <c r="N442" s="253"/>
      <c r="O442" s="253"/>
      <c r="P442" s="903"/>
      <c r="Q442" s="903"/>
      <c r="R442" s="903"/>
      <c r="S442" s="904" t="str">
        <f ca="1">IF(P442="","",IF(R442&lt;&gt;"",R442-P442,TODAY()-P442))</f>
        <v/>
      </c>
      <c r="T442" s="904" t="str">
        <f ca="1">IF(Q442="","",Q442-TODAY())</f>
        <v/>
      </c>
      <c r="U442" s="253"/>
      <c r="V442" s="253"/>
      <c r="W442" s="253"/>
      <c r="X442" s="253"/>
      <c r="Y442" s="253"/>
      <c r="Z442" s="253"/>
      <c r="AA442" s="253"/>
      <c r="AB442" s="253"/>
      <c r="AC442" s="253"/>
      <c r="AD442" s="253"/>
      <c r="AE442" s="253"/>
      <c r="AF442" s="253"/>
      <c r="AG442" s="253"/>
      <c r="AH442" s="253"/>
      <c r="AI442" s="253"/>
      <c r="AJ442" s="253"/>
      <c r="AK442" s="253"/>
      <c r="AL442" s="253"/>
      <c r="AM442" s="253"/>
      <c r="AN442" s="903"/>
      <c r="AO442" s="253" t="str">
        <f>IF(Z442="Yes",COUNTIF($Z$6:Z442,"Yes"),"")</f>
        <v/>
      </c>
      <c r="AP442" s="253" t="str">
        <f>IF(AA442="Yes",COUNTIF($AA$6:AA442,"Yes"),"")</f>
        <v/>
      </c>
      <c r="AQ442" s="253" t="str">
        <f>IF(AC442="Yes",COUNTIF($AC$6:AC442,"Yes"),"")</f>
        <v/>
      </c>
    </row>
    <row r="443" spans="1:43">
      <c r="A443" s="253"/>
      <c r="B443" s="253"/>
      <c r="C443" s="253"/>
      <c r="D443" s="253"/>
      <c r="E443" s="253"/>
      <c r="F443" s="253"/>
      <c r="G443" s="253"/>
      <c r="H443" s="253"/>
      <c r="I443" s="253"/>
      <c r="J443" s="253"/>
      <c r="K443" s="253"/>
      <c r="L443" s="253"/>
      <c r="M443" s="253"/>
      <c r="N443" s="253"/>
      <c r="O443" s="253"/>
      <c r="P443" s="903"/>
      <c r="Q443" s="903"/>
      <c r="R443" s="903"/>
      <c r="S443" s="904" t="str">
        <f ca="1">IF(P443="","",IF(R443&lt;&gt;"",R443-P443,TODAY()-P443))</f>
        <v/>
      </c>
      <c r="T443" s="904" t="str">
        <f ca="1">IF(Q443="","",Q443-TODAY())</f>
        <v/>
      </c>
      <c r="U443" s="253"/>
      <c r="V443" s="253"/>
      <c r="W443" s="253"/>
      <c r="X443" s="253"/>
      <c r="Y443" s="253"/>
      <c r="Z443" s="253"/>
      <c r="AA443" s="253"/>
      <c r="AB443" s="253"/>
      <c r="AC443" s="253"/>
      <c r="AD443" s="253"/>
      <c r="AE443" s="253"/>
      <c r="AF443" s="253"/>
      <c r="AG443" s="253"/>
      <c r="AH443" s="253"/>
      <c r="AI443" s="253"/>
      <c r="AJ443" s="253"/>
      <c r="AK443" s="253"/>
      <c r="AL443" s="253"/>
      <c r="AM443" s="253"/>
      <c r="AN443" s="903"/>
      <c r="AO443" s="253" t="str">
        <f>IF(Z443="Yes",COUNTIF($Z$6:Z443,"Yes"),"")</f>
        <v/>
      </c>
      <c r="AP443" s="253" t="str">
        <f>IF(AA443="Yes",COUNTIF($AA$6:AA443,"Yes"),"")</f>
        <v/>
      </c>
      <c r="AQ443" s="253" t="str">
        <f>IF(AC443="Yes",COUNTIF($AC$6:AC443,"Yes"),"")</f>
        <v/>
      </c>
    </row>
    <row r="444" spans="1:43">
      <c r="A444" s="253"/>
      <c r="B444" s="253"/>
      <c r="C444" s="253"/>
      <c r="D444" s="253"/>
      <c r="E444" s="253"/>
      <c r="F444" s="253"/>
      <c r="G444" s="253"/>
      <c r="H444" s="253"/>
      <c r="I444" s="253"/>
      <c r="J444" s="253"/>
      <c r="K444" s="253"/>
      <c r="L444" s="253"/>
      <c r="M444" s="253"/>
      <c r="N444" s="253"/>
      <c r="O444" s="253"/>
      <c r="P444" s="903"/>
      <c r="Q444" s="903"/>
      <c r="R444" s="903"/>
      <c r="S444" s="904" t="str">
        <f ca="1">IF(P444="","",IF(R444&lt;&gt;"",R444-P444,TODAY()-P444))</f>
        <v/>
      </c>
      <c r="T444" s="904" t="str">
        <f ca="1">IF(Q444="","",Q444-TODAY())</f>
        <v/>
      </c>
      <c r="U444" s="253"/>
      <c r="V444" s="253"/>
      <c r="W444" s="253"/>
      <c r="X444" s="253"/>
      <c r="Y444" s="253"/>
      <c r="Z444" s="253"/>
      <c r="AA444" s="253"/>
      <c r="AB444" s="253"/>
      <c r="AC444" s="253"/>
      <c r="AD444" s="253"/>
      <c r="AE444" s="253"/>
      <c r="AF444" s="253"/>
      <c r="AG444" s="253"/>
      <c r="AH444" s="253"/>
      <c r="AI444" s="253"/>
      <c r="AJ444" s="253"/>
      <c r="AK444" s="253"/>
      <c r="AL444" s="253"/>
      <c r="AM444" s="253"/>
      <c r="AN444" s="903"/>
      <c r="AO444" s="253" t="str">
        <f>IF(Z444="Yes",COUNTIF($Z$6:Z444,"Yes"),"")</f>
        <v/>
      </c>
      <c r="AP444" s="253" t="str">
        <f>IF(AA444="Yes",COUNTIF($AA$6:AA444,"Yes"),"")</f>
        <v/>
      </c>
      <c r="AQ444" s="253" t="str">
        <f>IF(AC444="Yes",COUNTIF($AC$6:AC444,"Yes"),"")</f>
        <v/>
      </c>
    </row>
    <row r="445" spans="1:43">
      <c r="A445" s="253"/>
      <c r="B445" s="253"/>
      <c r="C445" s="253"/>
      <c r="D445" s="253"/>
      <c r="E445" s="253"/>
      <c r="F445" s="253"/>
      <c r="G445" s="253"/>
      <c r="H445" s="253"/>
      <c r="I445" s="253"/>
      <c r="J445" s="253"/>
      <c r="K445" s="253"/>
      <c r="L445" s="253"/>
      <c r="M445" s="253"/>
      <c r="N445" s="253"/>
      <c r="O445" s="253"/>
      <c r="P445" s="903"/>
      <c r="Q445" s="903"/>
      <c r="R445" s="903"/>
      <c r="S445" s="904" t="str">
        <f ca="1">IF(P445="","",IF(R445&lt;&gt;"",R445-P445,TODAY()-P445))</f>
        <v/>
      </c>
      <c r="T445" s="904" t="str">
        <f ca="1">IF(Q445="","",Q445-TODAY())</f>
        <v/>
      </c>
      <c r="U445" s="253"/>
      <c r="V445" s="253"/>
      <c r="W445" s="253"/>
      <c r="X445" s="253"/>
      <c r="Y445" s="253"/>
      <c r="Z445" s="253"/>
      <c r="AA445" s="253"/>
      <c r="AB445" s="253"/>
      <c r="AC445" s="253"/>
      <c r="AD445" s="253"/>
      <c r="AE445" s="253"/>
      <c r="AF445" s="253"/>
      <c r="AG445" s="253"/>
      <c r="AH445" s="253"/>
      <c r="AI445" s="253"/>
      <c r="AJ445" s="253"/>
      <c r="AK445" s="253"/>
      <c r="AL445" s="253"/>
      <c r="AM445" s="253"/>
      <c r="AN445" s="903"/>
      <c r="AO445" s="253" t="str">
        <f>IF(Z445="Yes",COUNTIF($Z$6:Z445,"Yes"),"")</f>
        <v/>
      </c>
      <c r="AP445" s="253" t="str">
        <f>IF(AA445="Yes",COUNTIF($AA$6:AA445,"Yes"),"")</f>
        <v/>
      </c>
      <c r="AQ445" s="253" t="str">
        <f>IF(AC445="Yes",COUNTIF($AC$6:AC445,"Yes"),"")</f>
        <v/>
      </c>
    </row>
    <row r="446" spans="1:43">
      <c r="A446" s="253"/>
      <c r="B446" s="253"/>
      <c r="C446" s="253"/>
      <c r="D446" s="253"/>
      <c r="E446" s="253"/>
      <c r="F446" s="253"/>
      <c r="G446" s="253"/>
      <c r="H446" s="253"/>
      <c r="I446" s="253"/>
      <c r="J446" s="253"/>
      <c r="K446" s="253"/>
      <c r="L446" s="253"/>
      <c r="M446" s="253"/>
      <c r="N446" s="253"/>
      <c r="O446" s="253"/>
      <c r="P446" s="903"/>
      <c r="Q446" s="903"/>
      <c r="R446" s="903"/>
      <c r="S446" s="904" t="str">
        <f ca="1">IF(P446="","",IF(R446&lt;&gt;"",R446-P446,TODAY()-P446))</f>
        <v/>
      </c>
      <c r="T446" s="904" t="str">
        <f ca="1">IF(Q446="","",Q446-TODAY())</f>
        <v/>
      </c>
      <c r="U446" s="253"/>
      <c r="V446" s="253"/>
      <c r="W446" s="253"/>
      <c r="X446" s="253"/>
      <c r="Y446" s="253"/>
      <c r="Z446" s="253"/>
      <c r="AA446" s="253"/>
      <c r="AB446" s="253"/>
      <c r="AC446" s="253"/>
      <c r="AD446" s="253"/>
      <c r="AE446" s="253"/>
      <c r="AF446" s="253"/>
      <c r="AG446" s="253"/>
      <c r="AH446" s="253"/>
      <c r="AI446" s="253"/>
      <c r="AJ446" s="253"/>
      <c r="AK446" s="253"/>
      <c r="AL446" s="253"/>
      <c r="AM446" s="253"/>
      <c r="AN446" s="903"/>
      <c r="AO446" s="253" t="str">
        <f>IF(Z446="Yes",COUNTIF($Z$6:Z446,"Yes"),"")</f>
        <v/>
      </c>
      <c r="AP446" s="253" t="str">
        <f>IF(AA446="Yes",COUNTIF($AA$6:AA446,"Yes"),"")</f>
        <v/>
      </c>
      <c r="AQ446" s="253" t="str">
        <f>IF(AC446="Yes",COUNTIF($AC$6:AC446,"Yes"),"")</f>
        <v/>
      </c>
    </row>
    <row r="447" spans="1:43">
      <c r="A447" s="253"/>
      <c r="B447" s="253"/>
      <c r="C447" s="253"/>
      <c r="D447" s="253"/>
      <c r="E447" s="253"/>
      <c r="F447" s="253"/>
      <c r="G447" s="253"/>
      <c r="H447" s="253"/>
      <c r="I447" s="253"/>
      <c r="J447" s="253"/>
      <c r="K447" s="253"/>
      <c r="L447" s="253"/>
      <c r="M447" s="253"/>
      <c r="N447" s="253"/>
      <c r="O447" s="253"/>
      <c r="P447" s="903"/>
      <c r="Q447" s="903"/>
      <c r="R447" s="903"/>
      <c r="S447" s="904" t="str">
        <f ca="1">IF(P447="","",IF(R447&lt;&gt;"",R447-P447,TODAY()-P447))</f>
        <v/>
      </c>
      <c r="T447" s="904" t="str">
        <f ca="1">IF(Q447="","",Q447-TODAY())</f>
        <v/>
      </c>
      <c r="U447" s="253"/>
      <c r="V447" s="253"/>
      <c r="W447" s="253"/>
      <c r="X447" s="253"/>
      <c r="Y447" s="253"/>
      <c r="Z447" s="253"/>
      <c r="AA447" s="253"/>
      <c r="AB447" s="253"/>
      <c r="AC447" s="253"/>
      <c r="AD447" s="253"/>
      <c r="AE447" s="253"/>
      <c r="AF447" s="253"/>
      <c r="AG447" s="253"/>
      <c r="AH447" s="253"/>
      <c r="AI447" s="253"/>
      <c r="AJ447" s="253"/>
      <c r="AK447" s="253"/>
      <c r="AL447" s="253"/>
      <c r="AM447" s="253"/>
      <c r="AN447" s="903"/>
      <c r="AO447" s="253" t="str">
        <f>IF(Z447="Yes",COUNTIF($Z$6:Z447,"Yes"),"")</f>
        <v/>
      </c>
      <c r="AP447" s="253" t="str">
        <f>IF(AA447="Yes",COUNTIF($AA$6:AA447,"Yes"),"")</f>
        <v/>
      </c>
      <c r="AQ447" s="253" t="str">
        <f>IF(AC447="Yes",COUNTIF($AC$6:AC447,"Yes"),"")</f>
        <v/>
      </c>
    </row>
    <row r="448" spans="1:43">
      <c r="A448" s="253"/>
      <c r="B448" s="253"/>
      <c r="C448" s="253"/>
      <c r="D448" s="253"/>
      <c r="E448" s="253"/>
      <c r="F448" s="253"/>
      <c r="G448" s="253"/>
      <c r="H448" s="253"/>
      <c r="I448" s="253"/>
      <c r="J448" s="253"/>
      <c r="K448" s="253"/>
      <c r="L448" s="253"/>
      <c r="M448" s="253"/>
      <c r="N448" s="253"/>
      <c r="O448" s="253"/>
      <c r="P448" s="903"/>
      <c r="Q448" s="903"/>
      <c r="R448" s="903"/>
      <c r="S448" s="904" t="str">
        <f ca="1">IF(P448="","",IF(R448&lt;&gt;"",R448-P448,TODAY()-P448))</f>
        <v/>
      </c>
      <c r="T448" s="904" t="str">
        <f ca="1">IF(Q448="","",Q448-TODAY())</f>
        <v/>
      </c>
      <c r="U448" s="253"/>
      <c r="V448" s="253"/>
      <c r="W448" s="253"/>
      <c r="X448" s="253"/>
      <c r="Y448" s="253"/>
      <c r="Z448" s="253"/>
      <c r="AA448" s="253"/>
      <c r="AB448" s="253"/>
      <c r="AC448" s="253"/>
      <c r="AD448" s="253"/>
      <c r="AE448" s="253"/>
      <c r="AF448" s="253"/>
      <c r="AG448" s="253"/>
      <c r="AH448" s="253"/>
      <c r="AI448" s="253"/>
      <c r="AJ448" s="253"/>
      <c r="AK448" s="253"/>
      <c r="AL448" s="253"/>
      <c r="AM448" s="253"/>
      <c r="AN448" s="903"/>
      <c r="AO448" s="253" t="str">
        <f>IF(Z448="Yes",COUNTIF($Z$6:Z448,"Yes"),"")</f>
        <v/>
      </c>
      <c r="AP448" s="253" t="str">
        <f>IF(AA448="Yes",COUNTIF($AA$6:AA448,"Yes"),"")</f>
        <v/>
      </c>
      <c r="AQ448" s="253" t="str">
        <f>IF(AC448="Yes",COUNTIF($AC$6:AC448,"Yes"),"")</f>
        <v/>
      </c>
    </row>
    <row r="449" spans="1:43">
      <c r="A449" s="253"/>
      <c r="B449" s="253"/>
      <c r="C449" s="253"/>
      <c r="D449" s="253"/>
      <c r="E449" s="253"/>
      <c r="F449" s="253"/>
      <c r="G449" s="253"/>
      <c r="H449" s="253"/>
      <c r="I449" s="253"/>
      <c r="J449" s="253"/>
      <c r="K449" s="253"/>
      <c r="L449" s="253"/>
      <c r="M449" s="253"/>
      <c r="N449" s="253"/>
      <c r="O449" s="253"/>
      <c r="P449" s="903"/>
      <c r="Q449" s="903"/>
      <c r="R449" s="903"/>
      <c r="S449" s="904" t="str">
        <f ca="1">IF(P449="","",IF(R449&lt;&gt;"",R449-P449,TODAY()-P449))</f>
        <v/>
      </c>
      <c r="T449" s="904" t="str">
        <f ca="1">IF(Q449="","",Q449-TODAY())</f>
        <v/>
      </c>
      <c r="U449" s="253"/>
      <c r="V449" s="253"/>
      <c r="W449" s="253"/>
      <c r="X449" s="253"/>
      <c r="Y449" s="253"/>
      <c r="Z449" s="253"/>
      <c r="AA449" s="253"/>
      <c r="AB449" s="253"/>
      <c r="AC449" s="253"/>
      <c r="AD449" s="253"/>
      <c r="AE449" s="253"/>
      <c r="AF449" s="253"/>
      <c r="AG449" s="253"/>
      <c r="AH449" s="253"/>
      <c r="AI449" s="253"/>
      <c r="AJ449" s="253"/>
      <c r="AK449" s="253"/>
      <c r="AL449" s="253"/>
      <c r="AM449" s="253"/>
      <c r="AN449" s="903"/>
      <c r="AO449" s="253" t="str">
        <f>IF(Z449="Yes",COUNTIF($Z$6:Z449,"Yes"),"")</f>
        <v/>
      </c>
      <c r="AP449" s="253" t="str">
        <f>IF(AA449="Yes",COUNTIF($AA$6:AA449,"Yes"),"")</f>
        <v/>
      </c>
      <c r="AQ449" s="253" t="str">
        <f>IF(AC449="Yes",COUNTIF($AC$6:AC449,"Yes"),"")</f>
        <v/>
      </c>
    </row>
    <row r="450" spans="1:43">
      <c r="A450" s="253"/>
      <c r="B450" s="253"/>
      <c r="C450" s="253"/>
      <c r="D450" s="253"/>
      <c r="E450" s="253"/>
      <c r="F450" s="253"/>
      <c r="G450" s="253"/>
      <c r="H450" s="253"/>
      <c r="I450" s="253"/>
      <c r="J450" s="253"/>
      <c r="K450" s="253"/>
      <c r="L450" s="253"/>
      <c r="M450" s="253"/>
      <c r="N450" s="253"/>
      <c r="O450" s="253"/>
      <c r="P450" s="903"/>
      <c r="Q450" s="903"/>
      <c r="R450" s="903"/>
      <c r="S450" s="904" t="str">
        <f ca="1">IF(P450="","",IF(R450&lt;&gt;"",R450-P450,TODAY()-P450))</f>
        <v/>
      </c>
      <c r="T450" s="904" t="str">
        <f ca="1">IF(Q450="","",Q450-TODAY())</f>
        <v/>
      </c>
      <c r="U450" s="253"/>
      <c r="V450" s="253"/>
      <c r="W450" s="253"/>
      <c r="X450" s="253"/>
      <c r="Y450" s="253"/>
      <c r="Z450" s="253"/>
      <c r="AA450" s="253"/>
      <c r="AB450" s="253"/>
      <c r="AC450" s="253"/>
      <c r="AD450" s="253"/>
      <c r="AE450" s="253"/>
      <c r="AF450" s="253"/>
      <c r="AG450" s="253"/>
      <c r="AH450" s="253"/>
      <c r="AI450" s="253"/>
      <c r="AJ450" s="253"/>
      <c r="AK450" s="253"/>
      <c r="AL450" s="253"/>
      <c r="AM450" s="253"/>
      <c r="AN450" s="903"/>
      <c r="AO450" s="253" t="str">
        <f>IF(Z450="Yes",COUNTIF($Z$6:Z450,"Yes"),"")</f>
        <v/>
      </c>
      <c r="AP450" s="253" t="str">
        <f>IF(AA450="Yes",COUNTIF($AA$6:AA450,"Yes"),"")</f>
        <v/>
      </c>
      <c r="AQ450" s="253" t="str">
        <f>IF(AC450="Yes",COUNTIF($AC$6:AC450,"Yes"),"")</f>
        <v/>
      </c>
    </row>
    <row r="451" spans="1:43">
      <c r="A451" s="253"/>
      <c r="B451" s="253"/>
      <c r="C451" s="253"/>
      <c r="D451" s="253"/>
      <c r="E451" s="253"/>
      <c r="F451" s="253"/>
      <c r="G451" s="253"/>
      <c r="H451" s="253"/>
      <c r="I451" s="253"/>
      <c r="J451" s="253"/>
      <c r="K451" s="253"/>
      <c r="L451" s="253"/>
      <c r="M451" s="253"/>
      <c r="N451" s="253"/>
      <c r="O451" s="253"/>
      <c r="P451" s="903"/>
      <c r="Q451" s="903"/>
      <c r="R451" s="903"/>
      <c r="S451" s="904" t="str">
        <f ca="1">IF(P451="","",IF(R451&lt;&gt;"",R451-P451,TODAY()-P451))</f>
        <v/>
      </c>
      <c r="T451" s="904" t="str">
        <f ca="1">IF(Q451="","",Q451-TODAY())</f>
        <v/>
      </c>
      <c r="U451" s="253"/>
      <c r="V451" s="253"/>
      <c r="W451" s="253"/>
      <c r="X451" s="253"/>
      <c r="Y451" s="253"/>
      <c r="Z451" s="253"/>
      <c r="AA451" s="253"/>
      <c r="AB451" s="253"/>
      <c r="AC451" s="253"/>
      <c r="AD451" s="253"/>
      <c r="AE451" s="253"/>
      <c r="AF451" s="253"/>
      <c r="AG451" s="253"/>
      <c r="AH451" s="253"/>
      <c r="AI451" s="253"/>
      <c r="AJ451" s="253"/>
      <c r="AK451" s="253"/>
      <c r="AL451" s="253"/>
      <c r="AM451" s="253"/>
      <c r="AN451" s="903"/>
      <c r="AO451" s="253" t="str">
        <f>IF(Z451="Yes",COUNTIF($Z$6:Z451,"Yes"),"")</f>
        <v/>
      </c>
      <c r="AP451" s="253" t="str">
        <f>IF(AA451="Yes",COUNTIF($AA$6:AA451,"Yes"),"")</f>
        <v/>
      </c>
      <c r="AQ451" s="253" t="str">
        <f>IF(AC451="Yes",COUNTIF($AC$6:AC451,"Yes"),"")</f>
        <v/>
      </c>
    </row>
    <row r="452" spans="1:43">
      <c r="A452" s="253"/>
      <c r="B452" s="253"/>
      <c r="C452" s="253"/>
      <c r="D452" s="253"/>
      <c r="E452" s="253"/>
      <c r="F452" s="253"/>
      <c r="G452" s="253"/>
      <c r="H452" s="253"/>
      <c r="I452" s="253"/>
      <c r="J452" s="253"/>
      <c r="K452" s="253"/>
      <c r="L452" s="253"/>
      <c r="M452" s="253"/>
      <c r="N452" s="253"/>
      <c r="O452" s="253"/>
      <c r="P452" s="903"/>
      <c r="Q452" s="903"/>
      <c r="R452" s="903"/>
      <c r="S452" s="904" t="str">
        <f ca="1">IF(P452="","",IF(R452&lt;&gt;"",R452-P452,TODAY()-P452))</f>
        <v/>
      </c>
      <c r="T452" s="904" t="str">
        <f ca="1">IF(Q452="","",Q452-TODAY())</f>
        <v/>
      </c>
      <c r="U452" s="253"/>
      <c r="V452" s="253"/>
      <c r="W452" s="253"/>
      <c r="X452" s="253"/>
      <c r="Y452" s="253"/>
      <c r="Z452" s="253"/>
      <c r="AA452" s="253"/>
      <c r="AB452" s="253"/>
      <c r="AC452" s="253"/>
      <c r="AD452" s="253"/>
      <c r="AE452" s="253"/>
      <c r="AF452" s="253"/>
      <c r="AG452" s="253"/>
      <c r="AH452" s="253"/>
      <c r="AI452" s="253"/>
      <c r="AJ452" s="253"/>
      <c r="AK452" s="253"/>
      <c r="AL452" s="253"/>
      <c r="AM452" s="253"/>
      <c r="AN452" s="903"/>
      <c r="AO452" s="253" t="str">
        <f>IF(Z452="Yes",COUNTIF($Z$6:Z452,"Yes"),"")</f>
        <v/>
      </c>
      <c r="AP452" s="253" t="str">
        <f>IF(AA452="Yes",COUNTIF($AA$6:AA452,"Yes"),"")</f>
        <v/>
      </c>
      <c r="AQ452" s="253" t="str">
        <f>IF(AC452="Yes",COUNTIF($AC$6:AC452,"Yes"),"")</f>
        <v/>
      </c>
    </row>
    <row r="453" spans="1:43">
      <c r="A453" s="253"/>
      <c r="B453" s="253"/>
      <c r="C453" s="253"/>
      <c r="D453" s="253"/>
      <c r="E453" s="253"/>
      <c r="F453" s="253"/>
      <c r="G453" s="253"/>
      <c r="H453" s="253"/>
      <c r="I453" s="253"/>
      <c r="J453" s="253"/>
      <c r="K453" s="253"/>
      <c r="L453" s="253"/>
      <c r="M453" s="253"/>
      <c r="N453" s="253"/>
      <c r="O453" s="253"/>
      <c r="P453" s="903"/>
      <c r="Q453" s="903"/>
      <c r="R453" s="903"/>
      <c r="S453" s="904" t="str">
        <f ca="1">IF(P453="","",IF(R453&lt;&gt;"",R453-P453,TODAY()-P453))</f>
        <v/>
      </c>
      <c r="T453" s="904" t="str">
        <f ca="1">IF(Q453="","",Q453-TODAY())</f>
        <v/>
      </c>
      <c r="U453" s="253"/>
      <c r="V453" s="253"/>
      <c r="W453" s="253"/>
      <c r="X453" s="253"/>
      <c r="Y453" s="253"/>
      <c r="Z453" s="253"/>
      <c r="AA453" s="253"/>
      <c r="AB453" s="253"/>
      <c r="AC453" s="253"/>
      <c r="AD453" s="253"/>
      <c r="AE453" s="253"/>
      <c r="AF453" s="253"/>
      <c r="AG453" s="253"/>
      <c r="AH453" s="253"/>
      <c r="AI453" s="253"/>
      <c r="AJ453" s="253"/>
      <c r="AK453" s="253"/>
      <c r="AL453" s="253"/>
      <c r="AM453" s="253"/>
      <c r="AN453" s="903"/>
      <c r="AO453" s="253" t="str">
        <f>IF(Z453="Yes",COUNTIF($Z$6:Z453,"Yes"),"")</f>
        <v/>
      </c>
      <c r="AP453" s="253" t="str">
        <f>IF(AA453="Yes",COUNTIF($AA$6:AA453,"Yes"),"")</f>
        <v/>
      </c>
      <c r="AQ453" s="253" t="str">
        <f>IF(AC453="Yes",COUNTIF($AC$6:AC453,"Yes"),"")</f>
        <v/>
      </c>
    </row>
    <row r="454" spans="1:43">
      <c r="A454" s="253"/>
      <c r="B454" s="253"/>
      <c r="C454" s="253"/>
      <c r="D454" s="253"/>
      <c r="E454" s="253"/>
      <c r="F454" s="253"/>
      <c r="G454" s="253"/>
      <c r="H454" s="253"/>
      <c r="I454" s="253"/>
      <c r="J454" s="253"/>
      <c r="K454" s="253"/>
      <c r="L454" s="253"/>
      <c r="M454" s="253"/>
      <c r="N454" s="253"/>
      <c r="O454" s="253"/>
      <c r="P454" s="903"/>
      <c r="Q454" s="903"/>
      <c r="R454" s="903"/>
      <c r="S454" s="904" t="str">
        <f ca="1">IF(P454="","",IF(R454&lt;&gt;"",R454-P454,TODAY()-P454))</f>
        <v/>
      </c>
      <c r="T454" s="904" t="str">
        <f ca="1">IF(Q454="","",Q454-TODAY())</f>
        <v/>
      </c>
      <c r="U454" s="253"/>
      <c r="V454" s="253"/>
      <c r="W454" s="253"/>
      <c r="X454" s="253"/>
      <c r="Y454" s="253"/>
      <c r="Z454" s="253"/>
      <c r="AA454" s="253"/>
      <c r="AB454" s="253"/>
      <c r="AC454" s="253"/>
      <c r="AD454" s="253"/>
      <c r="AE454" s="253"/>
      <c r="AF454" s="253"/>
      <c r="AG454" s="253"/>
      <c r="AH454" s="253"/>
      <c r="AI454" s="253"/>
      <c r="AJ454" s="253"/>
      <c r="AK454" s="253"/>
      <c r="AL454" s="253"/>
      <c r="AM454" s="253"/>
      <c r="AN454" s="903"/>
      <c r="AO454" s="253" t="str">
        <f>IF(Z454="Yes",COUNTIF($Z$6:Z454,"Yes"),"")</f>
        <v/>
      </c>
      <c r="AP454" s="253" t="str">
        <f>IF(AA454="Yes",COUNTIF($AA$6:AA454,"Yes"),"")</f>
        <v/>
      </c>
      <c r="AQ454" s="253" t="str">
        <f>IF(AC454="Yes",COUNTIF($AC$6:AC454,"Yes"),"")</f>
        <v/>
      </c>
    </row>
    <row r="455" spans="1:43">
      <c r="A455" s="253"/>
      <c r="B455" s="253"/>
      <c r="C455" s="253"/>
      <c r="D455" s="253"/>
      <c r="E455" s="253"/>
      <c r="F455" s="253"/>
      <c r="G455" s="253"/>
      <c r="H455" s="253"/>
      <c r="I455" s="253"/>
      <c r="J455" s="253"/>
      <c r="K455" s="253"/>
      <c r="L455" s="253"/>
      <c r="M455" s="253"/>
      <c r="N455" s="253"/>
      <c r="O455" s="253"/>
      <c r="P455" s="903"/>
      <c r="Q455" s="903"/>
      <c r="R455" s="903"/>
      <c r="S455" s="904" t="str">
        <f ca="1">IF(P455="","",IF(R455&lt;&gt;"",R455-P455,TODAY()-P455))</f>
        <v/>
      </c>
      <c r="T455" s="904" t="str">
        <f ca="1">IF(Q455="","",Q455-TODAY())</f>
        <v/>
      </c>
      <c r="U455" s="253"/>
      <c r="V455" s="253"/>
      <c r="W455" s="253"/>
      <c r="X455" s="253"/>
      <c r="Y455" s="253"/>
      <c r="Z455" s="253"/>
      <c r="AA455" s="253"/>
      <c r="AB455" s="253"/>
      <c r="AC455" s="253"/>
      <c r="AD455" s="253"/>
      <c r="AE455" s="253"/>
      <c r="AF455" s="253"/>
      <c r="AG455" s="253"/>
      <c r="AH455" s="253"/>
      <c r="AI455" s="253"/>
      <c r="AJ455" s="253"/>
      <c r="AK455" s="253"/>
      <c r="AL455" s="253"/>
      <c r="AM455" s="253"/>
      <c r="AN455" s="903"/>
      <c r="AO455" s="253" t="str">
        <f>IF(Z455="Yes",COUNTIF($Z$6:Z455,"Yes"),"")</f>
        <v/>
      </c>
      <c r="AP455" s="253" t="str">
        <f>IF(AA455="Yes",COUNTIF($AA$6:AA455,"Yes"),"")</f>
        <v/>
      </c>
      <c r="AQ455" s="253" t="str">
        <f>IF(AC455="Yes",COUNTIF($AC$6:AC455,"Yes"),"")</f>
        <v/>
      </c>
    </row>
    <row r="456" spans="1:43">
      <c r="A456" s="253"/>
      <c r="B456" s="253"/>
      <c r="C456" s="253"/>
      <c r="D456" s="253"/>
      <c r="E456" s="253"/>
      <c r="F456" s="253"/>
      <c r="G456" s="253"/>
      <c r="H456" s="253"/>
      <c r="I456" s="253"/>
      <c r="J456" s="253"/>
      <c r="K456" s="253"/>
      <c r="L456" s="253"/>
      <c r="M456" s="253"/>
      <c r="N456" s="253"/>
      <c r="O456" s="253"/>
      <c r="P456" s="903"/>
      <c r="Q456" s="903"/>
      <c r="R456" s="903"/>
      <c r="S456" s="904" t="str">
        <f ca="1">IF(P456="","",IF(R456&lt;&gt;"",R456-P456,TODAY()-P456))</f>
        <v/>
      </c>
      <c r="T456" s="904" t="str">
        <f ca="1">IF(Q456="","",Q456-TODAY())</f>
        <v/>
      </c>
      <c r="U456" s="253"/>
      <c r="V456" s="253"/>
      <c r="W456" s="253"/>
      <c r="X456" s="253"/>
      <c r="Y456" s="253"/>
      <c r="Z456" s="253"/>
      <c r="AA456" s="253"/>
      <c r="AB456" s="253"/>
      <c r="AC456" s="253"/>
      <c r="AD456" s="253"/>
      <c r="AE456" s="253"/>
      <c r="AF456" s="253"/>
      <c r="AG456" s="253"/>
      <c r="AH456" s="253"/>
      <c r="AI456" s="253"/>
      <c r="AJ456" s="253"/>
      <c r="AK456" s="253"/>
      <c r="AL456" s="253"/>
      <c r="AM456" s="253"/>
      <c r="AN456" s="903"/>
      <c r="AO456" s="253" t="str">
        <f>IF(Z456="Yes",COUNTIF($Z$6:Z456,"Yes"),"")</f>
        <v/>
      </c>
      <c r="AP456" s="253" t="str">
        <f>IF(AA456="Yes",COUNTIF($AA$6:AA456,"Yes"),"")</f>
        <v/>
      </c>
      <c r="AQ456" s="253" t="str">
        <f>IF(AC456="Yes",COUNTIF($AC$6:AC456,"Yes"),"")</f>
        <v/>
      </c>
    </row>
    <row r="457" spans="1:43">
      <c r="A457" s="253"/>
      <c r="B457" s="253"/>
      <c r="C457" s="253"/>
      <c r="D457" s="253"/>
      <c r="E457" s="253"/>
      <c r="F457" s="253"/>
      <c r="G457" s="253"/>
      <c r="H457" s="253"/>
      <c r="I457" s="253"/>
      <c r="J457" s="253"/>
      <c r="K457" s="253"/>
      <c r="L457" s="253"/>
      <c r="M457" s="253"/>
      <c r="N457" s="253"/>
      <c r="O457" s="253"/>
      <c r="P457" s="903"/>
      <c r="Q457" s="903"/>
      <c r="R457" s="903"/>
      <c r="S457" s="904" t="str">
        <f ca="1">IF(P457="","",IF(R457&lt;&gt;"",R457-P457,TODAY()-P457))</f>
        <v/>
      </c>
      <c r="T457" s="904" t="str">
        <f ca="1">IF(Q457="","",Q457-TODAY())</f>
        <v/>
      </c>
      <c r="U457" s="253"/>
      <c r="V457" s="253"/>
      <c r="W457" s="253"/>
      <c r="X457" s="253"/>
      <c r="Y457" s="253"/>
      <c r="Z457" s="253"/>
      <c r="AA457" s="253"/>
      <c r="AB457" s="253"/>
      <c r="AC457" s="253"/>
      <c r="AD457" s="253"/>
      <c r="AE457" s="253"/>
      <c r="AF457" s="253"/>
      <c r="AG457" s="253"/>
      <c r="AH457" s="253"/>
      <c r="AI457" s="253"/>
      <c r="AJ457" s="253"/>
      <c r="AK457" s="253"/>
      <c r="AL457" s="253"/>
      <c r="AM457" s="253"/>
      <c r="AN457" s="903"/>
      <c r="AO457" s="253" t="str">
        <f>IF(Z457="Yes",COUNTIF($Z$6:Z457,"Yes"),"")</f>
        <v/>
      </c>
      <c r="AP457" s="253" t="str">
        <f>IF(AA457="Yes",COUNTIF($AA$6:AA457,"Yes"),"")</f>
        <v/>
      </c>
      <c r="AQ457" s="253" t="str">
        <f>IF(AC457="Yes",COUNTIF($AC$6:AC457,"Yes"),"")</f>
        <v/>
      </c>
    </row>
    <row r="458" spans="1:43">
      <c r="A458" s="253"/>
      <c r="B458" s="253"/>
      <c r="C458" s="253"/>
      <c r="D458" s="253"/>
      <c r="E458" s="253"/>
      <c r="F458" s="253"/>
      <c r="G458" s="253"/>
      <c r="H458" s="253"/>
      <c r="I458" s="253"/>
      <c r="J458" s="253"/>
      <c r="K458" s="253"/>
      <c r="L458" s="253"/>
      <c r="M458" s="253"/>
      <c r="N458" s="253"/>
      <c r="O458" s="253"/>
      <c r="P458" s="903"/>
      <c r="Q458" s="903"/>
      <c r="R458" s="903"/>
      <c r="S458" s="904" t="str">
        <f ca="1">IF(P458="","",IF(R458&lt;&gt;"",R458-P458,TODAY()-P458))</f>
        <v/>
      </c>
      <c r="T458" s="904" t="str">
        <f ca="1">IF(Q458="","",Q458-TODAY())</f>
        <v/>
      </c>
      <c r="U458" s="253"/>
      <c r="V458" s="253"/>
      <c r="W458" s="253"/>
      <c r="X458" s="253"/>
      <c r="Y458" s="253"/>
      <c r="Z458" s="253"/>
      <c r="AA458" s="253"/>
      <c r="AB458" s="253"/>
      <c r="AC458" s="253"/>
      <c r="AD458" s="253"/>
      <c r="AE458" s="253"/>
      <c r="AF458" s="253"/>
      <c r="AG458" s="253"/>
      <c r="AH458" s="253"/>
      <c r="AI458" s="253"/>
      <c r="AJ458" s="253"/>
      <c r="AK458" s="253"/>
      <c r="AL458" s="253"/>
      <c r="AM458" s="253"/>
      <c r="AN458" s="903"/>
      <c r="AO458" s="253" t="str">
        <f>IF(Z458="Yes",COUNTIF($Z$6:Z458,"Yes"),"")</f>
        <v/>
      </c>
      <c r="AP458" s="253" t="str">
        <f>IF(AA458="Yes",COUNTIF($AA$6:AA458,"Yes"),"")</f>
        <v/>
      </c>
      <c r="AQ458" s="253" t="str">
        <f>IF(AC458="Yes",COUNTIF($AC$6:AC458,"Yes"),"")</f>
        <v/>
      </c>
    </row>
    <row r="459" spans="1:43">
      <c r="A459" s="253"/>
      <c r="B459" s="253"/>
      <c r="C459" s="253"/>
      <c r="D459" s="253"/>
      <c r="E459" s="253"/>
      <c r="F459" s="253"/>
      <c r="G459" s="253"/>
      <c r="H459" s="253"/>
      <c r="I459" s="253"/>
      <c r="J459" s="253"/>
      <c r="K459" s="253"/>
      <c r="L459" s="253"/>
      <c r="M459" s="253"/>
      <c r="N459" s="253"/>
      <c r="O459" s="253"/>
      <c r="P459" s="903"/>
      <c r="Q459" s="903"/>
      <c r="R459" s="903"/>
      <c r="S459" s="904" t="str">
        <f ca="1">IF(P459="","",IF(R459&lt;&gt;"",R459-P459,TODAY()-P459))</f>
        <v/>
      </c>
      <c r="T459" s="904" t="str">
        <f ca="1">IF(Q459="","",Q459-TODAY())</f>
        <v/>
      </c>
      <c r="U459" s="253"/>
      <c r="V459" s="253"/>
      <c r="W459" s="253"/>
      <c r="X459" s="253"/>
      <c r="Y459" s="253"/>
      <c r="Z459" s="253"/>
      <c r="AA459" s="253"/>
      <c r="AB459" s="253"/>
      <c r="AC459" s="253"/>
      <c r="AD459" s="253"/>
      <c r="AE459" s="253"/>
      <c r="AF459" s="253"/>
      <c r="AG459" s="253"/>
      <c r="AH459" s="253"/>
      <c r="AI459" s="253"/>
      <c r="AJ459" s="253"/>
      <c r="AK459" s="253"/>
      <c r="AL459" s="253"/>
      <c r="AM459" s="253"/>
      <c r="AN459" s="903"/>
      <c r="AO459" s="253" t="str">
        <f>IF(Z459="Yes",COUNTIF($Z$6:Z459,"Yes"),"")</f>
        <v/>
      </c>
      <c r="AP459" s="253" t="str">
        <f>IF(AA459="Yes",COUNTIF($AA$6:AA459,"Yes"),"")</f>
        <v/>
      </c>
      <c r="AQ459" s="253" t="str">
        <f>IF(AC459="Yes",COUNTIF($AC$6:AC459,"Yes"),"")</f>
        <v/>
      </c>
    </row>
    <row r="460" spans="1:43">
      <c r="A460" s="253"/>
      <c r="B460" s="253"/>
      <c r="C460" s="253"/>
      <c r="D460" s="253"/>
      <c r="E460" s="253"/>
      <c r="F460" s="253"/>
      <c r="G460" s="253"/>
      <c r="H460" s="253"/>
      <c r="I460" s="253"/>
      <c r="J460" s="253"/>
      <c r="K460" s="253"/>
      <c r="L460" s="253"/>
      <c r="M460" s="253"/>
      <c r="N460" s="253"/>
      <c r="O460" s="253"/>
      <c r="P460" s="903"/>
      <c r="Q460" s="903"/>
      <c r="R460" s="903"/>
      <c r="S460" s="904" t="str">
        <f ca="1">IF(P460="","",IF(R460&lt;&gt;"",R460-P460,TODAY()-P460))</f>
        <v/>
      </c>
      <c r="T460" s="904" t="str">
        <f ca="1">IF(Q460="","",Q460-TODAY())</f>
        <v/>
      </c>
      <c r="U460" s="253"/>
      <c r="V460" s="253"/>
      <c r="W460" s="253"/>
      <c r="X460" s="253"/>
      <c r="Y460" s="253"/>
      <c r="Z460" s="253"/>
      <c r="AA460" s="253"/>
      <c r="AB460" s="253"/>
      <c r="AC460" s="253"/>
      <c r="AD460" s="253"/>
      <c r="AE460" s="253"/>
      <c r="AF460" s="253"/>
      <c r="AG460" s="253"/>
      <c r="AH460" s="253"/>
      <c r="AI460" s="253"/>
      <c r="AJ460" s="253"/>
      <c r="AK460" s="253"/>
      <c r="AL460" s="253"/>
      <c r="AM460" s="253"/>
      <c r="AN460" s="903"/>
      <c r="AO460" s="253" t="str">
        <f>IF(Z460="Yes",COUNTIF($Z$6:Z460,"Yes"),"")</f>
        <v/>
      </c>
      <c r="AP460" s="253" t="str">
        <f>IF(AA460="Yes",COUNTIF($AA$6:AA460,"Yes"),"")</f>
        <v/>
      </c>
      <c r="AQ460" s="253" t="str">
        <f>IF(AC460="Yes",COUNTIF($AC$6:AC460,"Yes"),"")</f>
        <v/>
      </c>
    </row>
    <row r="461" spans="1:43">
      <c r="A461" s="253"/>
      <c r="B461" s="253"/>
      <c r="C461" s="253"/>
      <c r="D461" s="253"/>
      <c r="E461" s="253"/>
      <c r="F461" s="253"/>
      <c r="G461" s="253"/>
      <c r="H461" s="253"/>
      <c r="I461" s="253"/>
      <c r="J461" s="253"/>
      <c r="K461" s="253"/>
      <c r="L461" s="253"/>
      <c r="M461" s="253"/>
      <c r="N461" s="253"/>
      <c r="O461" s="253"/>
      <c r="P461" s="903"/>
      <c r="Q461" s="903"/>
      <c r="R461" s="903"/>
      <c r="S461" s="904" t="str">
        <f ca="1">IF(P461="","",IF(R461&lt;&gt;"",R461-P461,TODAY()-P461))</f>
        <v/>
      </c>
      <c r="T461" s="904" t="str">
        <f ca="1">IF(Q461="","",Q461-TODAY())</f>
        <v/>
      </c>
      <c r="U461" s="253"/>
      <c r="V461" s="253"/>
      <c r="W461" s="253"/>
      <c r="X461" s="253"/>
      <c r="Y461" s="253"/>
      <c r="Z461" s="253"/>
      <c r="AA461" s="253"/>
      <c r="AB461" s="253"/>
      <c r="AC461" s="253"/>
      <c r="AD461" s="253"/>
      <c r="AE461" s="253"/>
      <c r="AF461" s="253"/>
      <c r="AG461" s="253"/>
      <c r="AH461" s="253"/>
      <c r="AI461" s="253"/>
      <c r="AJ461" s="253"/>
      <c r="AK461" s="253"/>
      <c r="AL461" s="253"/>
      <c r="AM461" s="253"/>
      <c r="AN461" s="903"/>
      <c r="AO461" s="253" t="str">
        <f>IF(Z461="Yes",COUNTIF($Z$6:Z461,"Yes"),"")</f>
        <v/>
      </c>
      <c r="AP461" s="253" t="str">
        <f>IF(AA461="Yes",COUNTIF($AA$6:AA461,"Yes"),"")</f>
        <v/>
      </c>
      <c r="AQ461" s="253" t="str">
        <f>IF(AC461="Yes",COUNTIF($AC$6:AC461,"Yes"),"")</f>
        <v/>
      </c>
    </row>
    <row r="462" spans="1:43">
      <c r="A462" s="253"/>
      <c r="B462" s="253"/>
      <c r="C462" s="253"/>
      <c r="D462" s="253"/>
      <c r="E462" s="253"/>
      <c r="F462" s="253"/>
      <c r="G462" s="253"/>
      <c r="H462" s="253"/>
      <c r="I462" s="253"/>
      <c r="J462" s="253"/>
      <c r="K462" s="253"/>
      <c r="L462" s="253"/>
      <c r="M462" s="253"/>
      <c r="N462" s="253"/>
      <c r="O462" s="253"/>
      <c r="P462" s="903"/>
      <c r="Q462" s="903"/>
      <c r="R462" s="903"/>
      <c r="S462" s="904" t="str">
        <f ca="1">IF(P462="","",IF(R462&lt;&gt;"",R462-P462,TODAY()-P462))</f>
        <v/>
      </c>
      <c r="T462" s="904" t="str">
        <f ca="1">IF(Q462="","",Q462-TODAY())</f>
        <v/>
      </c>
      <c r="U462" s="253"/>
      <c r="V462" s="253"/>
      <c r="W462" s="253"/>
      <c r="X462" s="253"/>
      <c r="Y462" s="253"/>
      <c r="Z462" s="253"/>
      <c r="AA462" s="253"/>
      <c r="AB462" s="253"/>
      <c r="AC462" s="253"/>
      <c r="AD462" s="253"/>
      <c r="AE462" s="253"/>
      <c r="AF462" s="253"/>
      <c r="AG462" s="253"/>
      <c r="AH462" s="253"/>
      <c r="AI462" s="253"/>
      <c r="AJ462" s="253"/>
      <c r="AK462" s="253"/>
      <c r="AL462" s="253"/>
      <c r="AM462" s="253"/>
      <c r="AN462" s="903"/>
      <c r="AO462" s="253" t="str">
        <f>IF(Z462="Yes",COUNTIF($Z$6:Z462,"Yes"),"")</f>
        <v/>
      </c>
      <c r="AP462" s="253" t="str">
        <f>IF(AA462="Yes",COUNTIF($AA$6:AA462,"Yes"),"")</f>
        <v/>
      </c>
      <c r="AQ462" s="253" t="str">
        <f>IF(AC462="Yes",COUNTIF($AC$6:AC462,"Yes"),"")</f>
        <v/>
      </c>
    </row>
    <row r="463" spans="1:43">
      <c r="A463" s="253"/>
      <c r="B463" s="253"/>
      <c r="C463" s="253"/>
      <c r="D463" s="253"/>
      <c r="E463" s="253"/>
      <c r="F463" s="253"/>
      <c r="G463" s="253"/>
      <c r="H463" s="253"/>
      <c r="I463" s="253"/>
      <c r="J463" s="253"/>
      <c r="K463" s="253"/>
      <c r="L463" s="253"/>
      <c r="M463" s="253"/>
      <c r="N463" s="253"/>
      <c r="O463" s="253"/>
      <c r="P463" s="903"/>
      <c r="Q463" s="903"/>
      <c r="R463" s="903"/>
      <c r="S463" s="904" t="str">
        <f ca="1">IF(P463="","",IF(R463&lt;&gt;"",R463-P463,TODAY()-P463))</f>
        <v/>
      </c>
      <c r="T463" s="904" t="str">
        <f ca="1">IF(Q463="","",Q463-TODAY())</f>
        <v/>
      </c>
      <c r="U463" s="253"/>
      <c r="V463" s="253"/>
      <c r="W463" s="253"/>
      <c r="X463" s="253"/>
      <c r="Y463" s="253"/>
      <c r="Z463" s="253"/>
      <c r="AA463" s="253"/>
      <c r="AB463" s="253"/>
      <c r="AC463" s="253"/>
      <c r="AD463" s="253"/>
      <c r="AE463" s="253"/>
      <c r="AF463" s="253"/>
      <c r="AG463" s="253"/>
      <c r="AH463" s="253"/>
      <c r="AI463" s="253"/>
      <c r="AJ463" s="253"/>
      <c r="AK463" s="253"/>
      <c r="AL463" s="253"/>
      <c r="AM463" s="253"/>
      <c r="AN463" s="903"/>
      <c r="AO463" s="253" t="str">
        <f>IF(Z463="Yes",COUNTIF($Z$6:Z463,"Yes"),"")</f>
        <v/>
      </c>
      <c r="AP463" s="253" t="str">
        <f>IF(AA463="Yes",COUNTIF($AA$6:AA463,"Yes"),"")</f>
        <v/>
      </c>
      <c r="AQ463" s="253" t="str">
        <f>IF(AC463="Yes",COUNTIF($AC$6:AC463,"Yes"),"")</f>
        <v/>
      </c>
    </row>
    <row r="464" spans="1:43">
      <c r="A464" s="253"/>
      <c r="B464" s="253"/>
      <c r="C464" s="253"/>
      <c r="D464" s="253"/>
      <c r="E464" s="253"/>
      <c r="F464" s="253"/>
      <c r="G464" s="253"/>
      <c r="H464" s="253"/>
      <c r="I464" s="253"/>
      <c r="J464" s="253"/>
      <c r="K464" s="253"/>
      <c r="L464" s="253"/>
      <c r="M464" s="253"/>
      <c r="N464" s="253"/>
      <c r="O464" s="253"/>
      <c r="P464" s="903"/>
      <c r="Q464" s="903"/>
      <c r="R464" s="903"/>
      <c r="S464" s="904" t="str">
        <f ca="1">IF(P464="","",IF(R464&lt;&gt;"",R464-P464,TODAY()-P464))</f>
        <v/>
      </c>
      <c r="T464" s="904" t="str">
        <f ca="1">IF(Q464="","",Q464-TODAY())</f>
        <v/>
      </c>
      <c r="U464" s="253"/>
      <c r="V464" s="253"/>
      <c r="W464" s="253"/>
      <c r="X464" s="253"/>
      <c r="Y464" s="253"/>
      <c r="Z464" s="253"/>
      <c r="AA464" s="253"/>
      <c r="AB464" s="253"/>
      <c r="AC464" s="253"/>
      <c r="AD464" s="253"/>
      <c r="AE464" s="253"/>
      <c r="AF464" s="253"/>
      <c r="AG464" s="253"/>
      <c r="AH464" s="253"/>
      <c r="AI464" s="253"/>
      <c r="AJ464" s="253"/>
      <c r="AK464" s="253"/>
      <c r="AL464" s="253"/>
      <c r="AM464" s="253"/>
      <c r="AN464" s="903"/>
      <c r="AO464" s="253" t="str">
        <f>IF(Z464="Yes",COUNTIF($Z$6:Z464,"Yes"),"")</f>
        <v/>
      </c>
      <c r="AP464" s="253" t="str">
        <f>IF(AA464="Yes",COUNTIF($AA$6:AA464,"Yes"),"")</f>
        <v/>
      </c>
      <c r="AQ464" s="253" t="str">
        <f>IF(AC464="Yes",COUNTIF($AC$6:AC464,"Yes"),"")</f>
        <v/>
      </c>
    </row>
    <row r="465" spans="1:43">
      <c r="A465" s="253"/>
      <c r="B465" s="253"/>
      <c r="C465" s="253"/>
      <c r="D465" s="253"/>
      <c r="E465" s="253"/>
      <c r="F465" s="253"/>
      <c r="G465" s="253"/>
      <c r="H465" s="253"/>
      <c r="I465" s="253"/>
      <c r="J465" s="253"/>
      <c r="K465" s="253"/>
      <c r="L465" s="253"/>
      <c r="M465" s="253"/>
      <c r="N465" s="253"/>
      <c r="O465" s="253"/>
      <c r="P465" s="903"/>
      <c r="Q465" s="903"/>
      <c r="R465" s="903"/>
      <c r="S465" s="904" t="str">
        <f ca="1">IF(P465="","",IF(R465&lt;&gt;"",R465-P465,TODAY()-P465))</f>
        <v/>
      </c>
      <c r="T465" s="904" t="str">
        <f ca="1">IF(Q465="","",Q465-TODAY())</f>
        <v/>
      </c>
      <c r="U465" s="253"/>
      <c r="V465" s="253"/>
      <c r="W465" s="253"/>
      <c r="X465" s="253"/>
      <c r="Y465" s="253"/>
      <c r="Z465" s="253"/>
      <c r="AA465" s="253"/>
      <c r="AB465" s="253"/>
      <c r="AC465" s="253"/>
      <c r="AD465" s="253"/>
      <c r="AE465" s="253"/>
      <c r="AF465" s="253"/>
      <c r="AG465" s="253"/>
      <c r="AH465" s="253"/>
      <c r="AI465" s="253"/>
      <c r="AJ465" s="253"/>
      <c r="AK465" s="253"/>
      <c r="AL465" s="253"/>
      <c r="AM465" s="253"/>
      <c r="AN465" s="903"/>
      <c r="AO465" s="253" t="str">
        <f>IF(Z465="Yes",COUNTIF($Z$6:Z465,"Yes"),"")</f>
        <v/>
      </c>
      <c r="AP465" s="253" t="str">
        <f>IF(AA465="Yes",COUNTIF($AA$6:AA465,"Yes"),"")</f>
        <v/>
      </c>
      <c r="AQ465" s="253" t="str">
        <f>IF(AC465="Yes",COUNTIF($AC$6:AC465,"Yes"),"")</f>
        <v/>
      </c>
    </row>
    <row r="466" spans="1:43">
      <c r="A466" s="253"/>
      <c r="B466" s="253"/>
      <c r="C466" s="253"/>
      <c r="D466" s="253"/>
      <c r="E466" s="253"/>
      <c r="F466" s="253"/>
      <c r="G466" s="253"/>
      <c r="H466" s="253"/>
      <c r="I466" s="253"/>
      <c r="J466" s="253"/>
      <c r="K466" s="253"/>
      <c r="L466" s="253"/>
      <c r="M466" s="253"/>
      <c r="N466" s="253"/>
      <c r="O466" s="253"/>
      <c r="P466" s="903"/>
      <c r="Q466" s="903"/>
      <c r="R466" s="903"/>
      <c r="S466" s="904" t="str">
        <f ca="1">IF(P466="","",IF(R466&lt;&gt;"",R466-P466,TODAY()-P466))</f>
        <v/>
      </c>
      <c r="T466" s="904" t="str">
        <f ca="1">IF(Q466="","",Q466-TODAY())</f>
        <v/>
      </c>
      <c r="U466" s="253"/>
      <c r="V466" s="253"/>
      <c r="W466" s="253"/>
      <c r="X466" s="253"/>
      <c r="Y466" s="253"/>
      <c r="Z466" s="253"/>
      <c r="AA466" s="253"/>
      <c r="AB466" s="253"/>
      <c r="AC466" s="253"/>
      <c r="AD466" s="253"/>
      <c r="AE466" s="253"/>
      <c r="AF466" s="253"/>
      <c r="AG466" s="253"/>
      <c r="AH466" s="253"/>
      <c r="AI466" s="253"/>
      <c r="AJ466" s="253"/>
      <c r="AK466" s="253"/>
      <c r="AL466" s="253"/>
      <c r="AM466" s="253"/>
      <c r="AN466" s="903"/>
      <c r="AO466" s="253" t="str">
        <f>IF(Z466="Yes",COUNTIF($Z$6:Z466,"Yes"),"")</f>
        <v/>
      </c>
      <c r="AP466" s="253" t="str">
        <f>IF(AA466="Yes",COUNTIF($AA$6:AA466,"Yes"),"")</f>
        <v/>
      </c>
      <c r="AQ466" s="253" t="str">
        <f>IF(AC466="Yes",COUNTIF($AC$6:AC466,"Yes"),"")</f>
        <v/>
      </c>
    </row>
    <row r="467" spans="1:43">
      <c r="A467" s="253"/>
      <c r="B467" s="253"/>
      <c r="C467" s="253"/>
      <c r="D467" s="253"/>
      <c r="E467" s="253"/>
      <c r="F467" s="253"/>
      <c r="G467" s="253"/>
      <c r="H467" s="253"/>
      <c r="I467" s="253"/>
      <c r="J467" s="253"/>
      <c r="K467" s="253"/>
      <c r="L467" s="253"/>
      <c r="M467" s="253"/>
      <c r="N467" s="253"/>
      <c r="O467" s="253"/>
      <c r="P467" s="903"/>
      <c r="Q467" s="903"/>
      <c r="R467" s="903"/>
      <c r="S467" s="904" t="str">
        <f ca="1">IF(P467="","",IF(R467&lt;&gt;"",R467-P467,TODAY()-P467))</f>
        <v/>
      </c>
      <c r="T467" s="904" t="str">
        <f ca="1">IF(Q467="","",Q467-TODAY())</f>
        <v/>
      </c>
      <c r="U467" s="253"/>
      <c r="V467" s="253"/>
      <c r="W467" s="253"/>
      <c r="X467" s="253"/>
      <c r="Y467" s="253"/>
      <c r="Z467" s="253"/>
      <c r="AA467" s="253"/>
      <c r="AB467" s="253"/>
      <c r="AC467" s="253"/>
      <c r="AD467" s="253"/>
      <c r="AE467" s="253"/>
      <c r="AF467" s="253"/>
      <c r="AG467" s="253"/>
      <c r="AH467" s="253"/>
      <c r="AI467" s="253"/>
      <c r="AJ467" s="253"/>
      <c r="AK467" s="253"/>
      <c r="AL467" s="253"/>
      <c r="AM467" s="253"/>
      <c r="AN467" s="903"/>
      <c r="AO467" s="253" t="str">
        <f>IF(Z467="Yes",COUNTIF($Z$6:Z467,"Yes"),"")</f>
        <v/>
      </c>
      <c r="AP467" s="253" t="str">
        <f>IF(AA467="Yes",COUNTIF($AA$6:AA467,"Yes"),"")</f>
        <v/>
      </c>
      <c r="AQ467" s="253" t="str">
        <f>IF(AC467="Yes",COUNTIF($AC$6:AC467,"Yes"),"")</f>
        <v/>
      </c>
    </row>
    <row r="468" spans="1:43">
      <c r="A468" s="253"/>
      <c r="B468" s="253"/>
      <c r="C468" s="253"/>
      <c r="D468" s="253"/>
      <c r="E468" s="253"/>
      <c r="F468" s="253"/>
      <c r="G468" s="253"/>
      <c r="H468" s="253"/>
      <c r="I468" s="253"/>
      <c r="J468" s="253"/>
      <c r="K468" s="253"/>
      <c r="L468" s="253"/>
      <c r="M468" s="253"/>
      <c r="N468" s="253"/>
      <c r="O468" s="253"/>
      <c r="P468" s="903"/>
      <c r="Q468" s="903"/>
      <c r="R468" s="903"/>
      <c r="S468" s="904" t="str">
        <f ca="1">IF(P468="","",IF(R468&lt;&gt;"",R468-P468,TODAY()-P468))</f>
        <v/>
      </c>
      <c r="T468" s="904" t="str">
        <f ca="1">IF(Q468="","",Q468-TODAY())</f>
        <v/>
      </c>
      <c r="U468" s="253"/>
      <c r="V468" s="253"/>
      <c r="W468" s="253"/>
      <c r="X468" s="253"/>
      <c r="Y468" s="253"/>
      <c r="Z468" s="253"/>
      <c r="AA468" s="253"/>
      <c r="AB468" s="253"/>
      <c r="AC468" s="253"/>
      <c r="AD468" s="253"/>
      <c r="AE468" s="253"/>
      <c r="AF468" s="253"/>
      <c r="AG468" s="253"/>
      <c r="AH468" s="253"/>
      <c r="AI468" s="253"/>
      <c r="AJ468" s="253"/>
      <c r="AK468" s="253"/>
      <c r="AL468" s="253"/>
      <c r="AM468" s="253"/>
      <c r="AN468" s="903"/>
      <c r="AO468" s="253" t="str">
        <f>IF(Z468="Yes",COUNTIF($Z$6:Z468,"Yes"),"")</f>
        <v/>
      </c>
      <c r="AP468" s="253" t="str">
        <f>IF(AA468="Yes",COUNTIF($AA$6:AA468,"Yes"),"")</f>
        <v/>
      </c>
      <c r="AQ468" s="253" t="str">
        <f>IF(AC468="Yes",COUNTIF($AC$6:AC468,"Yes"),"")</f>
        <v/>
      </c>
    </row>
    <row r="469" spans="1:43">
      <c r="A469" s="253"/>
      <c r="B469" s="253"/>
      <c r="C469" s="253"/>
      <c r="D469" s="253"/>
      <c r="E469" s="253"/>
      <c r="F469" s="253"/>
      <c r="G469" s="253"/>
      <c r="H469" s="253"/>
      <c r="I469" s="253"/>
      <c r="J469" s="253"/>
      <c r="K469" s="253"/>
      <c r="L469" s="253"/>
      <c r="M469" s="253"/>
      <c r="N469" s="253"/>
      <c r="O469" s="253"/>
      <c r="P469" s="903"/>
      <c r="Q469" s="903"/>
      <c r="R469" s="903"/>
      <c r="S469" s="904" t="str">
        <f ca="1">IF(P469="","",IF(R469&lt;&gt;"",R469-P469,TODAY()-P469))</f>
        <v/>
      </c>
      <c r="T469" s="904" t="str">
        <f ca="1">IF(Q469="","",Q469-TODAY())</f>
        <v/>
      </c>
      <c r="U469" s="253"/>
      <c r="V469" s="253"/>
      <c r="W469" s="253"/>
      <c r="X469" s="253"/>
      <c r="Y469" s="253"/>
      <c r="Z469" s="253"/>
      <c r="AA469" s="253"/>
      <c r="AB469" s="253"/>
      <c r="AC469" s="253"/>
      <c r="AD469" s="253"/>
      <c r="AE469" s="253"/>
      <c r="AF469" s="253"/>
      <c r="AG469" s="253"/>
      <c r="AH469" s="253"/>
      <c r="AI469" s="253"/>
      <c r="AJ469" s="253"/>
      <c r="AK469" s="253"/>
      <c r="AL469" s="253"/>
      <c r="AM469" s="253"/>
      <c r="AN469" s="903"/>
      <c r="AO469" s="253" t="str">
        <f>IF(Z469="Yes",COUNTIF($Z$6:Z469,"Yes"),"")</f>
        <v/>
      </c>
      <c r="AP469" s="253" t="str">
        <f>IF(AA469="Yes",COUNTIF($AA$6:AA469,"Yes"),"")</f>
        <v/>
      </c>
      <c r="AQ469" s="253" t="str">
        <f>IF(AC469="Yes",COUNTIF($AC$6:AC469,"Yes"),"")</f>
        <v/>
      </c>
    </row>
    <row r="470" spans="1:43">
      <c r="A470" s="253"/>
      <c r="B470" s="253"/>
      <c r="C470" s="253"/>
      <c r="D470" s="253"/>
      <c r="E470" s="253"/>
      <c r="F470" s="253"/>
      <c r="G470" s="253"/>
      <c r="H470" s="253"/>
      <c r="I470" s="253"/>
      <c r="J470" s="253"/>
      <c r="K470" s="253"/>
      <c r="L470" s="253"/>
      <c r="M470" s="253"/>
      <c r="N470" s="253"/>
      <c r="O470" s="253"/>
      <c r="P470" s="903"/>
      <c r="Q470" s="903"/>
      <c r="R470" s="903"/>
      <c r="S470" s="904" t="str">
        <f ca="1">IF(P470="","",IF(R470&lt;&gt;"",R470-P470,TODAY()-P470))</f>
        <v/>
      </c>
      <c r="T470" s="904" t="str">
        <f ca="1">IF(Q470="","",Q470-TODAY())</f>
        <v/>
      </c>
      <c r="U470" s="253"/>
      <c r="V470" s="253"/>
      <c r="W470" s="253"/>
      <c r="X470" s="253"/>
      <c r="Y470" s="253"/>
      <c r="Z470" s="253"/>
      <c r="AA470" s="253"/>
      <c r="AB470" s="253"/>
      <c r="AC470" s="253"/>
      <c r="AD470" s="253"/>
      <c r="AE470" s="253"/>
      <c r="AF470" s="253"/>
      <c r="AG470" s="253"/>
      <c r="AH470" s="253"/>
      <c r="AI470" s="253"/>
      <c r="AJ470" s="253"/>
      <c r="AK470" s="253"/>
      <c r="AL470" s="253"/>
      <c r="AM470" s="253"/>
      <c r="AN470" s="903"/>
      <c r="AO470" s="253" t="str">
        <f>IF(Z470="Yes",COUNTIF($Z$6:Z470,"Yes"),"")</f>
        <v/>
      </c>
      <c r="AP470" s="253" t="str">
        <f>IF(AA470="Yes",COUNTIF($AA$6:AA470,"Yes"),"")</f>
        <v/>
      </c>
      <c r="AQ470" s="253" t="str">
        <f>IF(AC470="Yes",COUNTIF($AC$6:AC470,"Yes"),"")</f>
        <v/>
      </c>
    </row>
    <row r="471" spans="1:43">
      <c r="A471" s="253"/>
      <c r="B471" s="253"/>
      <c r="C471" s="253"/>
      <c r="D471" s="253"/>
      <c r="E471" s="253"/>
      <c r="F471" s="253"/>
      <c r="G471" s="253"/>
      <c r="H471" s="253"/>
      <c r="I471" s="253"/>
      <c r="J471" s="253"/>
      <c r="K471" s="253"/>
      <c r="L471" s="253"/>
      <c r="M471" s="253"/>
      <c r="N471" s="253"/>
      <c r="O471" s="253"/>
      <c r="P471" s="903"/>
      <c r="Q471" s="903"/>
      <c r="R471" s="903"/>
      <c r="S471" s="904" t="str">
        <f ca="1">IF(P471="","",IF(R471&lt;&gt;"",R471-P471,TODAY()-P471))</f>
        <v/>
      </c>
      <c r="T471" s="904" t="str">
        <f ca="1">IF(Q471="","",Q471-TODAY())</f>
        <v/>
      </c>
      <c r="U471" s="253"/>
      <c r="V471" s="253"/>
      <c r="W471" s="253"/>
      <c r="X471" s="253"/>
      <c r="Y471" s="253"/>
      <c r="Z471" s="253"/>
      <c r="AA471" s="253"/>
      <c r="AB471" s="253"/>
      <c r="AC471" s="253"/>
      <c r="AD471" s="253"/>
      <c r="AE471" s="253"/>
      <c r="AF471" s="253"/>
      <c r="AG471" s="253"/>
      <c r="AH471" s="253"/>
      <c r="AI471" s="253"/>
      <c r="AJ471" s="253"/>
      <c r="AK471" s="253"/>
      <c r="AL471" s="253"/>
      <c r="AM471" s="253"/>
      <c r="AN471" s="903"/>
      <c r="AO471" s="253" t="str">
        <f>IF(Z471="Yes",COUNTIF($Z$6:Z471,"Yes"),"")</f>
        <v/>
      </c>
      <c r="AP471" s="253" t="str">
        <f>IF(AA471="Yes",COUNTIF($AA$6:AA471,"Yes"),"")</f>
        <v/>
      </c>
      <c r="AQ471" s="253" t="str">
        <f>IF(AC471="Yes",COUNTIF($AC$6:AC471,"Yes"),"")</f>
        <v/>
      </c>
    </row>
    <row r="472" spans="1:43">
      <c r="A472" s="253"/>
      <c r="B472" s="253"/>
      <c r="C472" s="253"/>
      <c r="D472" s="253"/>
      <c r="E472" s="253"/>
      <c r="F472" s="253"/>
      <c r="G472" s="253"/>
      <c r="H472" s="253"/>
      <c r="I472" s="253"/>
      <c r="J472" s="253"/>
      <c r="K472" s="253"/>
      <c r="L472" s="253"/>
      <c r="M472" s="253"/>
      <c r="N472" s="253"/>
      <c r="O472" s="253"/>
      <c r="P472" s="903"/>
      <c r="Q472" s="903"/>
      <c r="R472" s="903"/>
      <c r="S472" s="904" t="str">
        <f ca="1">IF(P472="","",IF(R472&lt;&gt;"",R472-P472,TODAY()-P472))</f>
        <v/>
      </c>
      <c r="T472" s="904" t="str">
        <f ca="1">IF(Q472="","",Q472-TODAY())</f>
        <v/>
      </c>
      <c r="U472" s="253"/>
      <c r="V472" s="253"/>
      <c r="W472" s="253"/>
      <c r="X472" s="253"/>
      <c r="Y472" s="253"/>
      <c r="Z472" s="253"/>
      <c r="AA472" s="253"/>
      <c r="AB472" s="253"/>
      <c r="AC472" s="253"/>
      <c r="AD472" s="253"/>
      <c r="AE472" s="253"/>
      <c r="AF472" s="253"/>
      <c r="AG472" s="253"/>
      <c r="AH472" s="253"/>
      <c r="AI472" s="253"/>
      <c r="AJ472" s="253"/>
      <c r="AK472" s="253"/>
      <c r="AL472" s="253"/>
      <c r="AM472" s="253"/>
      <c r="AN472" s="903"/>
      <c r="AO472" s="253" t="str">
        <f>IF(Z472="Yes",COUNTIF($Z$6:Z472,"Yes"),"")</f>
        <v/>
      </c>
      <c r="AP472" s="253" t="str">
        <f>IF(AA472="Yes",COUNTIF($AA$6:AA472,"Yes"),"")</f>
        <v/>
      </c>
      <c r="AQ472" s="253" t="str">
        <f>IF(AC472="Yes",COUNTIF($AC$6:AC472,"Yes"),"")</f>
        <v/>
      </c>
    </row>
    <row r="473" spans="1:43">
      <c r="A473" s="253"/>
      <c r="B473" s="253"/>
      <c r="C473" s="253"/>
      <c r="D473" s="253"/>
      <c r="E473" s="253"/>
      <c r="F473" s="253"/>
      <c r="G473" s="253"/>
      <c r="H473" s="253"/>
      <c r="I473" s="253"/>
      <c r="J473" s="253"/>
      <c r="K473" s="253"/>
      <c r="L473" s="253"/>
      <c r="M473" s="253"/>
      <c r="N473" s="253"/>
      <c r="O473" s="253"/>
      <c r="P473" s="903"/>
      <c r="Q473" s="903"/>
      <c r="R473" s="903"/>
      <c r="S473" s="904" t="str">
        <f ca="1">IF(P473="","",IF(R473&lt;&gt;"",R473-P473,TODAY()-P473))</f>
        <v/>
      </c>
      <c r="T473" s="904" t="str">
        <f ca="1">IF(Q473="","",Q473-TODAY())</f>
        <v/>
      </c>
      <c r="U473" s="253"/>
      <c r="V473" s="253"/>
      <c r="W473" s="253"/>
      <c r="X473" s="253"/>
      <c r="Y473" s="253"/>
      <c r="Z473" s="253"/>
      <c r="AA473" s="253"/>
      <c r="AB473" s="253"/>
      <c r="AC473" s="253"/>
      <c r="AD473" s="253"/>
      <c r="AE473" s="253"/>
      <c r="AF473" s="253"/>
      <c r="AG473" s="253"/>
      <c r="AH473" s="253"/>
      <c r="AI473" s="253"/>
      <c r="AJ473" s="253"/>
      <c r="AK473" s="253"/>
      <c r="AL473" s="253"/>
      <c r="AM473" s="253"/>
      <c r="AN473" s="903"/>
      <c r="AO473" s="253" t="str">
        <f>IF(Z473="Yes",COUNTIF($Z$6:Z473,"Yes"),"")</f>
        <v/>
      </c>
      <c r="AP473" s="253" t="str">
        <f>IF(AA473="Yes",COUNTIF($AA$6:AA473,"Yes"),"")</f>
        <v/>
      </c>
      <c r="AQ473" s="253" t="str">
        <f>IF(AC473="Yes",COUNTIF($AC$6:AC473,"Yes"),"")</f>
        <v/>
      </c>
    </row>
    <row r="474" spans="1:43">
      <c r="A474" s="253"/>
      <c r="B474" s="253"/>
      <c r="C474" s="253"/>
      <c r="D474" s="253"/>
      <c r="E474" s="253"/>
      <c r="F474" s="253"/>
      <c r="G474" s="253"/>
      <c r="H474" s="253"/>
      <c r="I474" s="253"/>
      <c r="J474" s="253"/>
      <c r="K474" s="253"/>
      <c r="L474" s="253"/>
      <c r="M474" s="253"/>
      <c r="N474" s="253"/>
      <c r="O474" s="253"/>
      <c r="P474" s="903"/>
      <c r="Q474" s="903"/>
      <c r="R474" s="903"/>
      <c r="S474" s="904" t="str">
        <f ca="1">IF(P474="","",IF(R474&lt;&gt;"",R474-P474,TODAY()-P474))</f>
        <v/>
      </c>
      <c r="T474" s="904" t="str">
        <f ca="1">IF(Q474="","",Q474-TODAY())</f>
        <v/>
      </c>
      <c r="U474" s="253"/>
      <c r="V474" s="253"/>
      <c r="W474" s="253"/>
      <c r="X474" s="253"/>
      <c r="Y474" s="253"/>
      <c r="Z474" s="253"/>
      <c r="AA474" s="253"/>
      <c r="AB474" s="253"/>
      <c r="AC474" s="253"/>
      <c r="AD474" s="253"/>
      <c r="AE474" s="253"/>
      <c r="AF474" s="253"/>
      <c r="AG474" s="253"/>
      <c r="AH474" s="253"/>
      <c r="AI474" s="253"/>
      <c r="AJ474" s="253"/>
      <c r="AK474" s="253"/>
      <c r="AL474" s="253"/>
      <c r="AM474" s="253"/>
      <c r="AN474" s="903"/>
      <c r="AO474" s="253" t="str">
        <f>IF(Z474="Yes",COUNTIF($Z$6:Z474,"Yes"),"")</f>
        <v/>
      </c>
      <c r="AP474" s="253" t="str">
        <f>IF(AA474="Yes",COUNTIF($AA$6:AA474,"Yes"),"")</f>
        <v/>
      </c>
      <c r="AQ474" s="253" t="str">
        <f>IF(AC474="Yes",COUNTIF($AC$6:AC474,"Yes"),"")</f>
        <v/>
      </c>
    </row>
    <row r="475" spans="1:43">
      <c r="A475" s="253"/>
      <c r="B475" s="253"/>
      <c r="C475" s="253"/>
      <c r="D475" s="253"/>
      <c r="E475" s="253"/>
      <c r="F475" s="253"/>
      <c r="G475" s="253"/>
      <c r="H475" s="253"/>
      <c r="I475" s="253"/>
      <c r="J475" s="253"/>
      <c r="K475" s="253"/>
      <c r="L475" s="253"/>
      <c r="M475" s="253"/>
      <c r="N475" s="253"/>
      <c r="O475" s="253"/>
      <c r="P475" s="903"/>
      <c r="Q475" s="903"/>
      <c r="R475" s="903"/>
      <c r="S475" s="904" t="str">
        <f ca="1">IF(P475="","",IF(R475&lt;&gt;"",R475-P475,TODAY()-P475))</f>
        <v/>
      </c>
      <c r="T475" s="904" t="str">
        <f ca="1">IF(Q475="","",Q475-TODAY())</f>
        <v/>
      </c>
      <c r="U475" s="253"/>
      <c r="V475" s="253"/>
      <c r="W475" s="253"/>
      <c r="X475" s="253"/>
      <c r="Y475" s="253"/>
      <c r="Z475" s="253"/>
      <c r="AA475" s="253"/>
      <c r="AB475" s="253"/>
      <c r="AC475" s="253"/>
      <c r="AD475" s="253"/>
      <c r="AE475" s="253"/>
      <c r="AF475" s="253"/>
      <c r="AG475" s="253"/>
      <c r="AH475" s="253"/>
      <c r="AI475" s="253"/>
      <c r="AJ475" s="253"/>
      <c r="AK475" s="253"/>
      <c r="AL475" s="253"/>
      <c r="AM475" s="253"/>
      <c r="AN475" s="903"/>
      <c r="AO475" s="253" t="str">
        <f>IF(Z475="Yes",COUNTIF($Z$6:Z475,"Yes"),"")</f>
        <v/>
      </c>
      <c r="AP475" s="253" t="str">
        <f>IF(AA475="Yes",COUNTIF($AA$6:AA475,"Yes"),"")</f>
        <v/>
      </c>
      <c r="AQ475" s="253" t="str">
        <f>IF(AC475="Yes",COUNTIF($AC$6:AC475,"Yes"),"")</f>
        <v/>
      </c>
    </row>
    <row r="476" spans="1:43">
      <c r="A476" s="253"/>
      <c r="B476" s="253"/>
      <c r="C476" s="253"/>
      <c r="D476" s="253"/>
      <c r="E476" s="253"/>
      <c r="F476" s="253"/>
      <c r="G476" s="253"/>
      <c r="H476" s="253"/>
      <c r="I476" s="253"/>
      <c r="J476" s="253"/>
      <c r="K476" s="253"/>
      <c r="L476" s="253"/>
      <c r="M476" s="253"/>
      <c r="N476" s="253"/>
      <c r="O476" s="253"/>
      <c r="P476" s="903"/>
      <c r="Q476" s="903"/>
      <c r="R476" s="903"/>
      <c r="S476" s="904" t="str">
        <f ca="1">IF(P476="","",IF(R476&lt;&gt;"",R476-P476,TODAY()-P476))</f>
        <v/>
      </c>
      <c r="T476" s="904" t="str">
        <f ca="1">IF(Q476="","",Q476-TODAY())</f>
        <v/>
      </c>
      <c r="U476" s="253"/>
      <c r="V476" s="253"/>
      <c r="W476" s="253"/>
      <c r="X476" s="253"/>
      <c r="Y476" s="253"/>
      <c r="Z476" s="253"/>
      <c r="AA476" s="253"/>
      <c r="AB476" s="253"/>
      <c r="AC476" s="253"/>
      <c r="AD476" s="253"/>
      <c r="AE476" s="253"/>
      <c r="AF476" s="253"/>
      <c r="AG476" s="253"/>
      <c r="AH476" s="253"/>
      <c r="AI476" s="253"/>
      <c r="AJ476" s="253"/>
      <c r="AK476" s="253"/>
      <c r="AL476" s="253"/>
      <c r="AM476" s="253"/>
      <c r="AN476" s="903"/>
      <c r="AO476" s="253" t="str">
        <f>IF(Z476="Yes",COUNTIF($Z$6:Z476,"Yes"),"")</f>
        <v/>
      </c>
      <c r="AP476" s="253" t="str">
        <f>IF(AA476="Yes",COUNTIF($AA$6:AA476,"Yes"),"")</f>
        <v/>
      </c>
      <c r="AQ476" s="253" t="str">
        <f>IF(AC476="Yes",COUNTIF($AC$6:AC476,"Yes"),"")</f>
        <v/>
      </c>
    </row>
    <row r="477" spans="1:43">
      <c r="A477" s="253"/>
      <c r="B477" s="253"/>
      <c r="C477" s="253"/>
      <c r="D477" s="253"/>
      <c r="E477" s="253"/>
      <c r="F477" s="253"/>
      <c r="G477" s="253"/>
      <c r="H477" s="253"/>
      <c r="I477" s="253"/>
      <c r="J477" s="253"/>
      <c r="K477" s="253"/>
      <c r="L477" s="253"/>
      <c r="M477" s="253"/>
      <c r="N477" s="253"/>
      <c r="O477" s="253"/>
      <c r="P477" s="903"/>
      <c r="Q477" s="903"/>
      <c r="R477" s="903"/>
      <c r="S477" s="904" t="str">
        <f ca="1">IF(P477="","",IF(R477&lt;&gt;"",R477-P477,TODAY()-P477))</f>
        <v/>
      </c>
      <c r="T477" s="904" t="str">
        <f ca="1">IF(Q477="","",Q477-TODAY())</f>
        <v/>
      </c>
      <c r="U477" s="253"/>
      <c r="V477" s="253"/>
      <c r="W477" s="253"/>
      <c r="X477" s="253"/>
      <c r="Y477" s="253"/>
      <c r="Z477" s="253"/>
      <c r="AA477" s="253"/>
      <c r="AB477" s="253"/>
      <c r="AC477" s="253"/>
      <c r="AD477" s="253"/>
      <c r="AE477" s="253"/>
      <c r="AF477" s="253"/>
      <c r="AG477" s="253"/>
      <c r="AH477" s="253"/>
      <c r="AI477" s="253"/>
      <c r="AJ477" s="253"/>
      <c r="AK477" s="253"/>
      <c r="AL477" s="253"/>
      <c r="AM477" s="253"/>
      <c r="AN477" s="903"/>
      <c r="AO477" s="253" t="str">
        <f>IF(Z477="Yes",COUNTIF($Z$6:Z477,"Yes"),"")</f>
        <v/>
      </c>
      <c r="AP477" s="253" t="str">
        <f>IF(AA477="Yes",COUNTIF($AA$6:AA477,"Yes"),"")</f>
        <v/>
      </c>
      <c r="AQ477" s="253" t="str">
        <f>IF(AC477="Yes",COUNTIF($AC$6:AC477,"Yes"),"")</f>
        <v/>
      </c>
    </row>
    <row r="478" spans="1:43">
      <c r="A478" s="253"/>
      <c r="B478" s="253"/>
      <c r="C478" s="253"/>
      <c r="D478" s="253"/>
      <c r="E478" s="253"/>
      <c r="F478" s="253"/>
      <c r="G478" s="253"/>
      <c r="H478" s="253"/>
      <c r="I478" s="253"/>
      <c r="J478" s="253"/>
      <c r="K478" s="253"/>
      <c r="L478" s="253"/>
      <c r="M478" s="253"/>
      <c r="N478" s="253"/>
      <c r="O478" s="253"/>
      <c r="P478" s="903"/>
      <c r="Q478" s="903"/>
      <c r="R478" s="903"/>
      <c r="S478" s="904" t="str">
        <f ca="1">IF(P478="","",IF(R478&lt;&gt;"",R478-P478,TODAY()-P478))</f>
        <v/>
      </c>
      <c r="T478" s="904" t="str">
        <f ca="1">IF(Q478="","",Q478-TODAY())</f>
        <v/>
      </c>
      <c r="U478" s="253"/>
      <c r="V478" s="253"/>
      <c r="W478" s="253"/>
      <c r="X478" s="253"/>
      <c r="Y478" s="253"/>
      <c r="Z478" s="253"/>
      <c r="AA478" s="253"/>
      <c r="AB478" s="253"/>
      <c r="AC478" s="253"/>
      <c r="AD478" s="253"/>
      <c r="AE478" s="253"/>
      <c r="AF478" s="253"/>
      <c r="AG478" s="253"/>
      <c r="AH478" s="253"/>
      <c r="AI478" s="253"/>
      <c r="AJ478" s="253"/>
      <c r="AK478" s="253"/>
      <c r="AL478" s="253"/>
      <c r="AM478" s="253"/>
      <c r="AN478" s="903"/>
      <c r="AO478" s="253" t="str">
        <f>IF(Z478="Yes",COUNTIF($Z$6:Z478,"Yes"),"")</f>
        <v/>
      </c>
      <c r="AP478" s="253" t="str">
        <f>IF(AA478="Yes",COUNTIF($AA$6:AA478,"Yes"),"")</f>
        <v/>
      </c>
      <c r="AQ478" s="253" t="str">
        <f>IF(AC478="Yes",COUNTIF($AC$6:AC478,"Yes"),"")</f>
        <v/>
      </c>
    </row>
    <row r="479" spans="1:43">
      <c r="A479" s="253"/>
      <c r="B479" s="253"/>
      <c r="C479" s="253"/>
      <c r="D479" s="253"/>
      <c r="E479" s="253"/>
      <c r="F479" s="253"/>
      <c r="G479" s="253"/>
      <c r="H479" s="253"/>
      <c r="I479" s="253"/>
      <c r="J479" s="253"/>
      <c r="K479" s="253"/>
      <c r="L479" s="253"/>
      <c r="M479" s="253"/>
      <c r="N479" s="253"/>
      <c r="O479" s="253"/>
      <c r="P479" s="903"/>
      <c r="Q479" s="903"/>
      <c r="R479" s="903"/>
      <c r="S479" s="904" t="str">
        <f ca="1">IF(P479="","",IF(R479&lt;&gt;"",R479-P479,TODAY()-P479))</f>
        <v/>
      </c>
      <c r="T479" s="904" t="str">
        <f ca="1">IF(Q479="","",Q479-TODAY())</f>
        <v/>
      </c>
      <c r="U479" s="253"/>
      <c r="V479" s="253"/>
      <c r="W479" s="253"/>
      <c r="X479" s="253"/>
      <c r="Y479" s="253"/>
      <c r="Z479" s="253"/>
      <c r="AA479" s="253"/>
      <c r="AB479" s="253"/>
      <c r="AC479" s="253"/>
      <c r="AD479" s="253"/>
      <c r="AE479" s="253"/>
      <c r="AF479" s="253"/>
      <c r="AG479" s="253"/>
      <c r="AH479" s="253"/>
      <c r="AI479" s="253"/>
      <c r="AJ479" s="253"/>
      <c r="AK479" s="253"/>
      <c r="AL479" s="253"/>
      <c r="AM479" s="253"/>
      <c r="AN479" s="903"/>
      <c r="AO479" s="253" t="str">
        <f>IF(Z479="Yes",COUNTIF($Z$6:Z479,"Yes"),"")</f>
        <v/>
      </c>
      <c r="AP479" s="253" t="str">
        <f>IF(AA479="Yes",COUNTIF($AA$6:AA479,"Yes"),"")</f>
        <v/>
      </c>
      <c r="AQ479" s="253" t="str">
        <f>IF(AC479="Yes",COUNTIF($AC$6:AC479,"Yes"),"")</f>
        <v/>
      </c>
    </row>
    <row r="480" spans="1:43">
      <c r="A480" s="253"/>
      <c r="B480" s="253"/>
      <c r="C480" s="253"/>
      <c r="D480" s="253"/>
      <c r="E480" s="253"/>
      <c r="F480" s="253"/>
      <c r="G480" s="253"/>
      <c r="H480" s="253"/>
      <c r="I480" s="253"/>
      <c r="J480" s="253"/>
      <c r="K480" s="253"/>
      <c r="L480" s="253"/>
      <c r="M480" s="253"/>
      <c r="N480" s="253"/>
      <c r="O480" s="253"/>
      <c r="P480" s="903"/>
      <c r="Q480" s="903"/>
      <c r="R480" s="903"/>
      <c r="S480" s="904" t="str">
        <f ca="1">IF(P480="","",IF(R480&lt;&gt;"",R480-P480,TODAY()-P480))</f>
        <v/>
      </c>
      <c r="T480" s="904" t="str">
        <f ca="1">IF(Q480="","",Q480-TODAY())</f>
        <v/>
      </c>
      <c r="U480" s="253"/>
      <c r="V480" s="253"/>
      <c r="W480" s="253"/>
      <c r="X480" s="253"/>
      <c r="Y480" s="253"/>
      <c r="Z480" s="253"/>
      <c r="AA480" s="253"/>
      <c r="AB480" s="253"/>
      <c r="AC480" s="253"/>
      <c r="AD480" s="253"/>
      <c r="AE480" s="253"/>
      <c r="AF480" s="253"/>
      <c r="AG480" s="253"/>
      <c r="AH480" s="253"/>
      <c r="AI480" s="253"/>
      <c r="AJ480" s="253"/>
      <c r="AK480" s="253"/>
      <c r="AL480" s="253"/>
      <c r="AM480" s="253"/>
      <c r="AN480" s="903"/>
      <c r="AO480" s="253" t="str">
        <f>IF(Z480="Yes",COUNTIF($Z$6:Z480,"Yes"),"")</f>
        <v/>
      </c>
      <c r="AP480" s="253" t="str">
        <f>IF(AA480="Yes",COUNTIF($AA$6:AA480,"Yes"),"")</f>
        <v/>
      </c>
      <c r="AQ480" s="253" t="str">
        <f>IF(AC480="Yes",COUNTIF($AC$6:AC480,"Yes"),"")</f>
        <v/>
      </c>
    </row>
    <row r="481" spans="1:43">
      <c r="A481" s="253"/>
      <c r="B481" s="253"/>
      <c r="C481" s="253"/>
      <c r="D481" s="253"/>
      <c r="E481" s="253"/>
      <c r="F481" s="253"/>
      <c r="G481" s="253"/>
      <c r="H481" s="253"/>
      <c r="I481" s="253"/>
      <c r="J481" s="253"/>
      <c r="K481" s="253"/>
      <c r="L481" s="253"/>
      <c r="M481" s="253"/>
      <c r="N481" s="253"/>
      <c r="O481" s="253"/>
      <c r="P481" s="903"/>
      <c r="Q481" s="903"/>
      <c r="R481" s="903"/>
      <c r="S481" s="904" t="str">
        <f ca="1">IF(P481="","",IF(R481&lt;&gt;"",R481-P481,TODAY()-P481))</f>
        <v/>
      </c>
      <c r="T481" s="904" t="str">
        <f ca="1">IF(Q481="","",Q481-TODAY())</f>
        <v/>
      </c>
      <c r="U481" s="253"/>
      <c r="V481" s="253"/>
      <c r="W481" s="253"/>
      <c r="X481" s="253"/>
      <c r="Y481" s="253"/>
      <c r="Z481" s="253"/>
      <c r="AA481" s="253"/>
      <c r="AB481" s="253"/>
      <c r="AC481" s="253"/>
      <c r="AD481" s="253"/>
      <c r="AE481" s="253"/>
      <c r="AF481" s="253"/>
      <c r="AG481" s="253"/>
      <c r="AH481" s="253"/>
      <c r="AI481" s="253"/>
      <c r="AJ481" s="253"/>
      <c r="AK481" s="253"/>
      <c r="AL481" s="253"/>
      <c r="AM481" s="253"/>
      <c r="AN481" s="903"/>
      <c r="AO481" s="253" t="str">
        <f>IF(Z481="Yes",COUNTIF($Z$6:Z481,"Yes"),"")</f>
        <v/>
      </c>
      <c r="AP481" s="253" t="str">
        <f>IF(AA481="Yes",COUNTIF($AA$6:AA481,"Yes"),"")</f>
        <v/>
      </c>
      <c r="AQ481" s="253" t="str">
        <f>IF(AC481="Yes",COUNTIF($AC$6:AC481,"Yes"),"")</f>
        <v/>
      </c>
    </row>
    <row r="482" spans="1:43">
      <c r="A482" s="253"/>
      <c r="B482" s="253"/>
      <c r="C482" s="253"/>
      <c r="D482" s="253"/>
      <c r="E482" s="253"/>
      <c r="F482" s="253"/>
      <c r="G482" s="253"/>
      <c r="H482" s="253"/>
      <c r="I482" s="253"/>
      <c r="J482" s="253"/>
      <c r="K482" s="253"/>
      <c r="L482" s="253"/>
      <c r="M482" s="253"/>
      <c r="N482" s="253"/>
      <c r="O482" s="253"/>
      <c r="P482" s="903"/>
      <c r="Q482" s="903"/>
      <c r="R482" s="903"/>
      <c r="S482" s="904" t="str">
        <f ca="1">IF(P482="","",IF(R482&lt;&gt;"",R482-P482,TODAY()-P482))</f>
        <v/>
      </c>
      <c r="T482" s="904" t="str">
        <f ca="1">IF(Q482="","",Q482-TODAY())</f>
        <v/>
      </c>
      <c r="U482" s="253"/>
      <c r="V482" s="253"/>
      <c r="W482" s="253"/>
      <c r="X482" s="253"/>
      <c r="Y482" s="253"/>
      <c r="Z482" s="253"/>
      <c r="AA482" s="253"/>
      <c r="AB482" s="253"/>
      <c r="AC482" s="253"/>
      <c r="AD482" s="253"/>
      <c r="AE482" s="253"/>
      <c r="AF482" s="253"/>
      <c r="AG482" s="253"/>
      <c r="AH482" s="253"/>
      <c r="AI482" s="253"/>
      <c r="AJ482" s="253"/>
      <c r="AK482" s="253"/>
      <c r="AL482" s="253"/>
      <c r="AM482" s="253"/>
      <c r="AN482" s="903"/>
      <c r="AO482" s="253" t="str">
        <f>IF(Z482="Yes",COUNTIF($Z$6:Z482,"Yes"),"")</f>
        <v/>
      </c>
      <c r="AP482" s="253" t="str">
        <f>IF(AA482="Yes",COUNTIF($AA$6:AA482,"Yes"),"")</f>
        <v/>
      </c>
      <c r="AQ482" s="253" t="str">
        <f>IF(AC482="Yes",COUNTIF($AC$6:AC482,"Yes"),"")</f>
        <v/>
      </c>
    </row>
    <row r="483" spans="1:43">
      <c r="A483" s="253"/>
      <c r="B483" s="253"/>
      <c r="C483" s="253"/>
      <c r="D483" s="253"/>
      <c r="E483" s="253"/>
      <c r="F483" s="253"/>
      <c r="G483" s="253"/>
      <c r="H483" s="253"/>
      <c r="I483" s="253"/>
      <c r="J483" s="253"/>
      <c r="K483" s="253"/>
      <c r="L483" s="253"/>
      <c r="M483" s="253"/>
      <c r="N483" s="253"/>
      <c r="O483" s="253"/>
      <c r="P483" s="903"/>
      <c r="Q483" s="903"/>
      <c r="R483" s="903"/>
      <c r="S483" s="904" t="str">
        <f ca="1">IF(P483="","",IF(R483&lt;&gt;"",R483-P483,TODAY()-P483))</f>
        <v/>
      </c>
      <c r="T483" s="904" t="str">
        <f ca="1">IF(Q483="","",Q483-TODAY())</f>
        <v/>
      </c>
      <c r="U483" s="253"/>
      <c r="V483" s="253"/>
      <c r="W483" s="253"/>
      <c r="X483" s="253"/>
      <c r="Y483" s="253"/>
      <c r="Z483" s="253"/>
      <c r="AA483" s="253"/>
      <c r="AB483" s="253"/>
      <c r="AC483" s="253"/>
      <c r="AD483" s="253"/>
      <c r="AE483" s="253"/>
      <c r="AF483" s="253"/>
      <c r="AG483" s="253"/>
      <c r="AH483" s="253"/>
      <c r="AI483" s="253"/>
      <c r="AJ483" s="253"/>
      <c r="AK483" s="253"/>
      <c r="AL483" s="253"/>
      <c r="AM483" s="253"/>
      <c r="AN483" s="903"/>
      <c r="AO483" s="253" t="str">
        <f>IF(Z483="Yes",COUNTIF($Z$6:Z483,"Yes"),"")</f>
        <v/>
      </c>
      <c r="AP483" s="253" t="str">
        <f>IF(AA483="Yes",COUNTIF($AA$6:AA483,"Yes"),"")</f>
        <v/>
      </c>
      <c r="AQ483" s="253" t="str">
        <f>IF(AC483="Yes",COUNTIF($AC$6:AC483,"Yes"),"")</f>
        <v/>
      </c>
    </row>
    <row r="484" spans="1:43">
      <c r="A484" s="253"/>
      <c r="B484" s="253"/>
      <c r="C484" s="253"/>
      <c r="D484" s="253"/>
      <c r="E484" s="253"/>
      <c r="F484" s="253"/>
      <c r="G484" s="253"/>
      <c r="H484" s="253"/>
      <c r="I484" s="253"/>
      <c r="J484" s="253"/>
      <c r="K484" s="253"/>
      <c r="L484" s="253"/>
      <c r="M484" s="253"/>
      <c r="N484" s="253"/>
      <c r="O484" s="253"/>
      <c r="P484" s="903"/>
      <c r="Q484" s="903"/>
      <c r="R484" s="903"/>
      <c r="S484" s="904" t="str">
        <f ca="1">IF(P484="","",IF(R484&lt;&gt;"",R484-P484,TODAY()-P484))</f>
        <v/>
      </c>
      <c r="T484" s="904" t="str">
        <f ca="1">IF(Q484="","",Q484-TODAY())</f>
        <v/>
      </c>
      <c r="U484" s="253"/>
      <c r="V484" s="253"/>
      <c r="W484" s="253"/>
      <c r="X484" s="253"/>
      <c r="Y484" s="253"/>
      <c r="Z484" s="253"/>
      <c r="AA484" s="253"/>
      <c r="AB484" s="253"/>
      <c r="AC484" s="253"/>
      <c r="AD484" s="253"/>
      <c r="AE484" s="253"/>
      <c r="AF484" s="253"/>
      <c r="AG484" s="253"/>
      <c r="AH484" s="253"/>
      <c r="AI484" s="253"/>
      <c r="AJ484" s="253"/>
      <c r="AK484" s="253"/>
      <c r="AL484" s="253"/>
      <c r="AM484" s="253"/>
      <c r="AN484" s="903"/>
      <c r="AO484" s="253" t="str">
        <f>IF(Z484="Yes",COUNTIF($Z$6:Z484,"Yes"),"")</f>
        <v/>
      </c>
      <c r="AP484" s="253" t="str">
        <f>IF(AA484="Yes",COUNTIF($AA$6:AA484,"Yes"),"")</f>
        <v/>
      </c>
      <c r="AQ484" s="253" t="str">
        <f>IF(AC484="Yes",COUNTIF($AC$6:AC484,"Yes"),"")</f>
        <v/>
      </c>
    </row>
    <row r="485" spans="1:43">
      <c r="A485" s="253"/>
      <c r="B485" s="253"/>
      <c r="C485" s="253"/>
      <c r="D485" s="253"/>
      <c r="E485" s="253"/>
      <c r="F485" s="253"/>
      <c r="G485" s="253"/>
      <c r="H485" s="253"/>
      <c r="I485" s="253"/>
      <c r="J485" s="253"/>
      <c r="K485" s="253"/>
      <c r="L485" s="253"/>
      <c r="M485" s="253"/>
      <c r="N485" s="253"/>
      <c r="O485" s="253"/>
      <c r="P485" s="903"/>
      <c r="Q485" s="903"/>
      <c r="R485" s="903"/>
      <c r="S485" s="904" t="str">
        <f ca="1">IF(P485="","",IF(R485&lt;&gt;"",R485-P485,TODAY()-P485))</f>
        <v/>
      </c>
      <c r="T485" s="904" t="str">
        <f ca="1">IF(Q485="","",Q485-TODAY())</f>
        <v/>
      </c>
      <c r="U485" s="253"/>
      <c r="V485" s="253"/>
      <c r="W485" s="253"/>
      <c r="X485" s="253"/>
      <c r="Y485" s="253"/>
      <c r="Z485" s="253"/>
      <c r="AA485" s="253"/>
      <c r="AB485" s="253"/>
      <c r="AC485" s="253"/>
      <c r="AD485" s="253"/>
      <c r="AE485" s="253"/>
      <c r="AF485" s="253"/>
      <c r="AG485" s="253"/>
      <c r="AH485" s="253"/>
      <c r="AI485" s="253"/>
      <c r="AJ485" s="253"/>
      <c r="AK485" s="253"/>
      <c r="AL485" s="253"/>
      <c r="AM485" s="253"/>
      <c r="AN485" s="903"/>
      <c r="AO485" s="253" t="str">
        <f>IF(Z485="Yes",COUNTIF($Z$6:Z485,"Yes"),"")</f>
        <v/>
      </c>
      <c r="AP485" s="253" t="str">
        <f>IF(AA485="Yes",COUNTIF($AA$6:AA485,"Yes"),"")</f>
        <v/>
      </c>
      <c r="AQ485" s="253" t="str">
        <f>IF(AC485="Yes",COUNTIF($AC$6:AC485,"Yes"),"")</f>
        <v/>
      </c>
    </row>
    <row r="486" spans="1:43">
      <c r="A486" s="253"/>
      <c r="B486" s="253"/>
      <c r="C486" s="253"/>
      <c r="D486" s="253"/>
      <c r="E486" s="253"/>
      <c r="F486" s="253"/>
      <c r="G486" s="253"/>
      <c r="H486" s="253"/>
      <c r="I486" s="253"/>
      <c r="J486" s="253"/>
      <c r="K486" s="253"/>
      <c r="L486" s="253"/>
      <c r="M486" s="253"/>
      <c r="N486" s="253"/>
      <c r="O486" s="253"/>
      <c r="P486" s="903"/>
      <c r="Q486" s="903"/>
      <c r="R486" s="903"/>
      <c r="S486" s="904" t="str">
        <f ca="1">IF(P486="","",IF(R486&lt;&gt;"",R486-P486,TODAY()-P486))</f>
        <v/>
      </c>
      <c r="T486" s="904" t="str">
        <f ca="1">IF(Q486="","",Q486-TODAY())</f>
        <v/>
      </c>
      <c r="U486" s="253"/>
      <c r="V486" s="253"/>
      <c r="W486" s="253"/>
      <c r="X486" s="253"/>
      <c r="Y486" s="253"/>
      <c r="Z486" s="253"/>
      <c r="AA486" s="253"/>
      <c r="AB486" s="253"/>
      <c r="AC486" s="253"/>
      <c r="AD486" s="253"/>
      <c r="AE486" s="253"/>
      <c r="AF486" s="253"/>
      <c r="AG486" s="253"/>
      <c r="AH486" s="253"/>
      <c r="AI486" s="253"/>
      <c r="AJ486" s="253"/>
      <c r="AK486" s="253"/>
      <c r="AL486" s="253"/>
      <c r="AM486" s="253"/>
      <c r="AN486" s="903"/>
      <c r="AO486" s="253" t="str">
        <f>IF(Z486="Yes",COUNTIF($Z$6:Z486,"Yes"),"")</f>
        <v/>
      </c>
      <c r="AP486" s="253" t="str">
        <f>IF(AA486="Yes",COUNTIF($AA$6:AA486,"Yes"),"")</f>
        <v/>
      </c>
      <c r="AQ486" s="253" t="str">
        <f>IF(AC486="Yes",COUNTIF($AC$6:AC486,"Yes"),"")</f>
        <v/>
      </c>
    </row>
    <row r="487" spans="1:43">
      <c r="A487" s="253"/>
      <c r="B487" s="253"/>
      <c r="C487" s="253"/>
      <c r="D487" s="253"/>
      <c r="E487" s="253"/>
      <c r="F487" s="253"/>
      <c r="G487" s="253"/>
      <c r="H487" s="253"/>
      <c r="I487" s="253"/>
      <c r="J487" s="253"/>
      <c r="K487" s="253"/>
      <c r="L487" s="253"/>
      <c r="M487" s="253"/>
      <c r="N487" s="253"/>
      <c r="O487" s="253"/>
      <c r="P487" s="903"/>
      <c r="Q487" s="903"/>
      <c r="R487" s="903"/>
      <c r="S487" s="904" t="str">
        <f ca="1">IF(P487="","",IF(R487&lt;&gt;"",R487-P487,TODAY()-P487))</f>
        <v/>
      </c>
      <c r="T487" s="904" t="str">
        <f ca="1">IF(Q487="","",Q487-TODAY())</f>
        <v/>
      </c>
      <c r="U487" s="253"/>
      <c r="V487" s="253"/>
      <c r="W487" s="253"/>
      <c r="X487" s="253"/>
      <c r="Y487" s="253"/>
      <c r="Z487" s="253"/>
      <c r="AA487" s="253"/>
      <c r="AB487" s="253"/>
      <c r="AC487" s="253"/>
      <c r="AD487" s="253"/>
      <c r="AE487" s="253"/>
      <c r="AF487" s="253"/>
      <c r="AG487" s="253"/>
      <c r="AH487" s="253"/>
      <c r="AI487" s="253"/>
      <c r="AJ487" s="253"/>
      <c r="AK487" s="253"/>
      <c r="AL487" s="253"/>
      <c r="AM487" s="253"/>
      <c r="AN487" s="903"/>
      <c r="AO487" s="253" t="str">
        <f>IF(Z487="Yes",COUNTIF($Z$6:Z487,"Yes"),"")</f>
        <v/>
      </c>
      <c r="AP487" s="253" t="str">
        <f>IF(AA487="Yes",COUNTIF($AA$6:AA487,"Yes"),"")</f>
        <v/>
      </c>
      <c r="AQ487" s="253" t="str">
        <f>IF(AC487="Yes",COUNTIF($AC$6:AC487,"Yes"),"")</f>
        <v/>
      </c>
    </row>
    <row r="488" spans="1:43">
      <c r="A488" s="253"/>
      <c r="B488" s="253"/>
      <c r="C488" s="253"/>
      <c r="D488" s="253"/>
      <c r="E488" s="253"/>
      <c r="F488" s="253"/>
      <c r="G488" s="253"/>
      <c r="H488" s="253"/>
      <c r="I488" s="253"/>
      <c r="J488" s="253"/>
      <c r="K488" s="253"/>
      <c r="L488" s="253"/>
      <c r="M488" s="253"/>
      <c r="N488" s="253"/>
      <c r="O488" s="253"/>
      <c r="P488" s="903"/>
      <c r="Q488" s="903"/>
      <c r="R488" s="903"/>
      <c r="S488" s="904" t="str">
        <f ca="1">IF(P488="","",IF(R488&lt;&gt;"",R488-P488,TODAY()-P488))</f>
        <v/>
      </c>
      <c r="T488" s="904" t="str">
        <f ca="1">IF(Q488="","",Q488-TODAY())</f>
        <v/>
      </c>
      <c r="U488" s="253"/>
      <c r="V488" s="253"/>
      <c r="W488" s="253"/>
      <c r="X488" s="253"/>
      <c r="Y488" s="253"/>
      <c r="Z488" s="253"/>
      <c r="AA488" s="253"/>
      <c r="AB488" s="253"/>
      <c r="AC488" s="253"/>
      <c r="AD488" s="253"/>
      <c r="AE488" s="253"/>
      <c r="AF488" s="253"/>
      <c r="AG488" s="253"/>
      <c r="AH488" s="253"/>
      <c r="AI488" s="253"/>
      <c r="AJ488" s="253"/>
      <c r="AK488" s="253"/>
      <c r="AL488" s="253"/>
      <c r="AM488" s="253"/>
      <c r="AN488" s="903"/>
      <c r="AO488" s="253" t="str">
        <f>IF(Z488="Yes",COUNTIF($Z$6:Z488,"Yes"),"")</f>
        <v/>
      </c>
      <c r="AP488" s="253" t="str">
        <f>IF(AA488="Yes",COUNTIF($AA$6:AA488,"Yes"),"")</f>
        <v/>
      </c>
      <c r="AQ488" s="253" t="str">
        <f>IF(AC488="Yes",COUNTIF($AC$6:AC488,"Yes"),"")</f>
        <v/>
      </c>
    </row>
    <row r="489" spans="1:43">
      <c r="A489" s="253"/>
      <c r="B489" s="253"/>
      <c r="C489" s="253"/>
      <c r="D489" s="253"/>
      <c r="E489" s="253"/>
      <c r="F489" s="253"/>
      <c r="G489" s="253"/>
      <c r="H489" s="253"/>
      <c r="I489" s="253"/>
      <c r="J489" s="253"/>
      <c r="K489" s="253"/>
      <c r="L489" s="253"/>
      <c r="M489" s="253"/>
      <c r="N489" s="253"/>
      <c r="O489" s="253"/>
      <c r="P489" s="903"/>
      <c r="Q489" s="903"/>
      <c r="R489" s="903"/>
      <c r="S489" s="904" t="str">
        <f ca="1">IF(P489="","",IF(R489&lt;&gt;"",R489-P489,TODAY()-P489))</f>
        <v/>
      </c>
      <c r="T489" s="904" t="str">
        <f ca="1">IF(Q489="","",Q489-TODAY())</f>
        <v/>
      </c>
      <c r="U489" s="253"/>
      <c r="V489" s="253"/>
      <c r="W489" s="253"/>
      <c r="X489" s="253"/>
      <c r="Y489" s="253"/>
      <c r="Z489" s="253"/>
      <c r="AA489" s="253"/>
      <c r="AB489" s="253"/>
      <c r="AC489" s="253"/>
      <c r="AD489" s="253"/>
      <c r="AE489" s="253"/>
      <c r="AF489" s="253"/>
      <c r="AG489" s="253"/>
      <c r="AH489" s="253"/>
      <c r="AI489" s="253"/>
      <c r="AJ489" s="253"/>
      <c r="AK489" s="253"/>
      <c r="AL489" s="253"/>
      <c r="AM489" s="253"/>
      <c r="AN489" s="903"/>
      <c r="AO489" s="253" t="str">
        <f>IF(Z489="Yes",COUNTIF($Z$6:Z489,"Yes"),"")</f>
        <v/>
      </c>
      <c r="AP489" s="253" t="str">
        <f>IF(AA489="Yes",COUNTIF($AA$6:AA489,"Yes"),"")</f>
        <v/>
      </c>
      <c r="AQ489" s="253" t="str">
        <f>IF(AC489="Yes",COUNTIF($AC$6:AC489,"Yes"),"")</f>
        <v/>
      </c>
    </row>
    <row r="490" spans="1:43">
      <c r="A490" s="253"/>
      <c r="B490" s="253"/>
      <c r="C490" s="253"/>
      <c r="D490" s="253"/>
      <c r="E490" s="253"/>
      <c r="F490" s="253"/>
      <c r="G490" s="253"/>
      <c r="H490" s="253"/>
      <c r="I490" s="253"/>
      <c r="J490" s="253"/>
      <c r="K490" s="253"/>
      <c r="L490" s="253"/>
      <c r="M490" s="253"/>
      <c r="N490" s="253"/>
      <c r="O490" s="253"/>
      <c r="P490" s="903"/>
      <c r="Q490" s="903"/>
      <c r="R490" s="903"/>
      <c r="S490" s="904" t="str">
        <f ca="1">IF(P490="","",IF(R490&lt;&gt;"",R490-P490,TODAY()-P490))</f>
        <v/>
      </c>
      <c r="T490" s="904" t="str">
        <f ca="1">IF(Q490="","",Q490-TODAY())</f>
        <v/>
      </c>
      <c r="U490" s="253"/>
      <c r="V490" s="253"/>
      <c r="W490" s="253"/>
      <c r="X490" s="253"/>
      <c r="Y490" s="253"/>
      <c r="Z490" s="253"/>
      <c r="AA490" s="253"/>
      <c r="AB490" s="253"/>
      <c r="AC490" s="253"/>
      <c r="AD490" s="253"/>
      <c r="AE490" s="253"/>
      <c r="AF490" s="253"/>
      <c r="AG490" s="253"/>
      <c r="AH490" s="253"/>
      <c r="AI490" s="253"/>
      <c r="AJ490" s="253"/>
      <c r="AK490" s="253"/>
      <c r="AL490" s="253"/>
      <c r="AM490" s="253"/>
      <c r="AN490" s="903"/>
      <c r="AO490" s="253" t="str">
        <f>IF(Z490="Yes",COUNTIF($Z$6:Z490,"Yes"),"")</f>
        <v/>
      </c>
      <c r="AP490" s="253" t="str">
        <f>IF(AA490="Yes",COUNTIF($AA$6:AA490,"Yes"),"")</f>
        <v/>
      </c>
      <c r="AQ490" s="253" t="str">
        <f>IF(AC490="Yes",COUNTIF($AC$6:AC490,"Yes"),"")</f>
        <v/>
      </c>
    </row>
    <row r="491" spans="1:43">
      <c r="A491" s="253"/>
      <c r="B491" s="253"/>
      <c r="C491" s="253"/>
      <c r="D491" s="253"/>
      <c r="E491" s="253"/>
      <c r="F491" s="253"/>
      <c r="G491" s="253"/>
      <c r="H491" s="253"/>
      <c r="I491" s="253"/>
      <c r="J491" s="253"/>
      <c r="K491" s="253"/>
      <c r="L491" s="253"/>
      <c r="M491" s="253"/>
      <c r="N491" s="253"/>
      <c r="O491" s="253"/>
      <c r="P491" s="903"/>
      <c r="Q491" s="903"/>
      <c r="R491" s="903"/>
      <c r="S491" s="904" t="str">
        <f ca="1">IF(P491="","",IF(R491&lt;&gt;"",R491-P491,TODAY()-P491))</f>
        <v/>
      </c>
      <c r="T491" s="904" t="str">
        <f ca="1">IF(Q491="","",Q491-TODAY())</f>
        <v/>
      </c>
      <c r="U491" s="253"/>
      <c r="V491" s="253"/>
      <c r="W491" s="253"/>
      <c r="X491" s="253"/>
      <c r="Y491" s="253"/>
      <c r="Z491" s="253"/>
      <c r="AA491" s="253"/>
      <c r="AB491" s="253"/>
      <c r="AC491" s="253"/>
      <c r="AD491" s="253"/>
      <c r="AE491" s="253"/>
      <c r="AF491" s="253"/>
      <c r="AG491" s="253"/>
      <c r="AH491" s="253"/>
      <c r="AI491" s="253"/>
      <c r="AJ491" s="253"/>
      <c r="AK491" s="253"/>
      <c r="AL491" s="253"/>
      <c r="AM491" s="253"/>
      <c r="AN491" s="903"/>
      <c r="AO491" s="253" t="str">
        <f>IF(Z491="Yes",COUNTIF($Z$6:Z491,"Yes"),"")</f>
        <v/>
      </c>
      <c r="AP491" s="253" t="str">
        <f>IF(AA491="Yes",COUNTIF($AA$6:AA491,"Yes"),"")</f>
        <v/>
      </c>
      <c r="AQ491" s="253" t="str">
        <f>IF(AC491="Yes",COUNTIF($AC$6:AC491,"Yes"),"")</f>
        <v/>
      </c>
    </row>
    <row r="492" spans="1:43">
      <c r="A492" s="253"/>
      <c r="B492" s="253"/>
      <c r="C492" s="253"/>
      <c r="D492" s="253"/>
      <c r="E492" s="253"/>
      <c r="F492" s="253"/>
      <c r="G492" s="253"/>
      <c r="H492" s="253"/>
      <c r="I492" s="253"/>
      <c r="J492" s="253"/>
      <c r="K492" s="253"/>
      <c r="L492" s="253"/>
      <c r="M492" s="253"/>
      <c r="N492" s="253"/>
      <c r="O492" s="253"/>
      <c r="P492" s="903"/>
      <c r="Q492" s="903"/>
      <c r="R492" s="903"/>
      <c r="S492" s="904" t="str">
        <f ca="1">IF(P492="","",IF(R492&lt;&gt;"",R492-P492,TODAY()-P492))</f>
        <v/>
      </c>
      <c r="T492" s="904" t="str">
        <f ca="1">IF(Q492="","",Q492-TODAY())</f>
        <v/>
      </c>
      <c r="U492" s="253"/>
      <c r="V492" s="253"/>
      <c r="W492" s="253"/>
      <c r="X492" s="253"/>
      <c r="Y492" s="253"/>
      <c r="Z492" s="253"/>
      <c r="AA492" s="253"/>
      <c r="AB492" s="253"/>
      <c r="AC492" s="253"/>
      <c r="AD492" s="253"/>
      <c r="AE492" s="253"/>
      <c r="AF492" s="253"/>
      <c r="AG492" s="253"/>
      <c r="AH492" s="253"/>
      <c r="AI492" s="253"/>
      <c r="AJ492" s="253"/>
      <c r="AK492" s="253"/>
      <c r="AL492" s="253"/>
      <c r="AM492" s="253"/>
      <c r="AN492" s="903"/>
      <c r="AO492" s="253" t="str">
        <f>IF(Z492="Yes",COUNTIF($Z$6:Z492,"Yes"),"")</f>
        <v/>
      </c>
      <c r="AP492" s="253" t="str">
        <f>IF(AA492="Yes",COUNTIF($AA$6:AA492,"Yes"),"")</f>
        <v/>
      </c>
      <c r="AQ492" s="253" t="str">
        <f>IF(AC492="Yes",COUNTIF($AC$6:AC492,"Yes"),"")</f>
        <v/>
      </c>
    </row>
    <row r="493" spans="1:43">
      <c r="A493" s="253"/>
      <c r="B493" s="253"/>
      <c r="C493" s="253"/>
      <c r="D493" s="253"/>
      <c r="E493" s="253"/>
      <c r="F493" s="253"/>
      <c r="G493" s="253"/>
      <c r="H493" s="253"/>
      <c r="I493" s="253"/>
      <c r="J493" s="253"/>
      <c r="K493" s="253"/>
      <c r="L493" s="253"/>
      <c r="M493" s="253"/>
      <c r="N493" s="253"/>
      <c r="O493" s="253"/>
      <c r="P493" s="903"/>
      <c r="Q493" s="903"/>
      <c r="R493" s="903"/>
      <c r="S493" s="904" t="str">
        <f ca="1">IF(P493="","",IF(R493&lt;&gt;"",R493-P493,TODAY()-P493))</f>
        <v/>
      </c>
      <c r="T493" s="904" t="str">
        <f ca="1">IF(Q493="","",Q493-TODAY())</f>
        <v/>
      </c>
      <c r="U493" s="253"/>
      <c r="V493" s="253"/>
      <c r="W493" s="253"/>
      <c r="X493" s="253"/>
      <c r="Y493" s="253"/>
      <c r="Z493" s="253"/>
      <c r="AA493" s="253"/>
      <c r="AB493" s="253"/>
      <c r="AC493" s="253"/>
      <c r="AD493" s="253"/>
      <c r="AE493" s="253"/>
      <c r="AF493" s="253"/>
      <c r="AG493" s="253"/>
      <c r="AH493" s="253"/>
      <c r="AI493" s="253"/>
      <c r="AJ493" s="253"/>
      <c r="AK493" s="253"/>
      <c r="AL493" s="253"/>
      <c r="AM493" s="253"/>
      <c r="AN493" s="903"/>
      <c r="AO493" s="253" t="str">
        <f>IF(Z493="Yes",COUNTIF($Z$6:Z493,"Yes"),"")</f>
        <v/>
      </c>
      <c r="AP493" s="253" t="str">
        <f>IF(AA493="Yes",COUNTIF($AA$6:AA493,"Yes"),"")</f>
        <v/>
      </c>
      <c r="AQ493" s="253" t="str">
        <f>IF(AC493="Yes",COUNTIF($AC$6:AC493,"Yes"),"")</f>
        <v/>
      </c>
    </row>
    <row r="494" spans="1:43">
      <c r="A494" s="253"/>
      <c r="B494" s="253"/>
      <c r="C494" s="253"/>
      <c r="D494" s="253"/>
      <c r="E494" s="253"/>
      <c r="F494" s="253"/>
      <c r="G494" s="253"/>
      <c r="H494" s="253"/>
      <c r="I494" s="253"/>
      <c r="J494" s="253"/>
      <c r="K494" s="253"/>
      <c r="L494" s="253"/>
      <c r="M494" s="253"/>
      <c r="N494" s="253"/>
      <c r="O494" s="253"/>
      <c r="P494" s="903"/>
      <c r="Q494" s="903"/>
      <c r="R494" s="903"/>
      <c r="S494" s="904" t="str">
        <f ca="1">IF(P494="","",IF(R494&lt;&gt;"",R494-P494,TODAY()-P494))</f>
        <v/>
      </c>
      <c r="T494" s="904" t="str">
        <f ca="1">IF(Q494="","",Q494-TODAY())</f>
        <v/>
      </c>
      <c r="U494" s="253"/>
      <c r="V494" s="253"/>
      <c r="W494" s="253"/>
      <c r="X494" s="253"/>
      <c r="Y494" s="253"/>
      <c r="Z494" s="253"/>
      <c r="AA494" s="253"/>
      <c r="AB494" s="253"/>
      <c r="AC494" s="253"/>
      <c r="AD494" s="253"/>
      <c r="AE494" s="253"/>
      <c r="AF494" s="253"/>
      <c r="AG494" s="253"/>
      <c r="AH494" s="253"/>
      <c r="AI494" s="253"/>
      <c r="AJ494" s="253"/>
      <c r="AK494" s="253"/>
      <c r="AL494" s="253"/>
      <c r="AM494" s="253"/>
      <c r="AN494" s="903"/>
      <c r="AO494" s="253" t="str">
        <f>IF(Z494="Yes",COUNTIF($Z$6:Z494,"Yes"),"")</f>
        <v/>
      </c>
      <c r="AP494" s="253" t="str">
        <f>IF(AA494="Yes",COUNTIF($AA$6:AA494,"Yes"),"")</f>
        <v/>
      </c>
      <c r="AQ494" s="253" t="str">
        <f>IF(AC494="Yes",COUNTIF($AC$6:AC494,"Yes"),"")</f>
        <v/>
      </c>
    </row>
    <row r="495" spans="1:43">
      <c r="A495" s="253"/>
      <c r="B495" s="253"/>
      <c r="C495" s="253"/>
      <c r="D495" s="253"/>
      <c r="E495" s="253"/>
      <c r="F495" s="253"/>
      <c r="G495" s="253"/>
      <c r="H495" s="253"/>
      <c r="I495" s="253"/>
      <c r="J495" s="253"/>
      <c r="K495" s="253"/>
      <c r="L495" s="253"/>
      <c r="M495" s="253"/>
      <c r="N495" s="253"/>
      <c r="O495" s="253"/>
      <c r="P495" s="903"/>
      <c r="Q495" s="903"/>
      <c r="R495" s="903"/>
      <c r="S495" s="904" t="str">
        <f ca="1">IF(P495="","",IF(R495&lt;&gt;"",R495-P495,TODAY()-P495))</f>
        <v/>
      </c>
      <c r="T495" s="904" t="str">
        <f ca="1">IF(Q495="","",Q495-TODAY())</f>
        <v/>
      </c>
      <c r="U495" s="253"/>
      <c r="V495" s="253"/>
      <c r="W495" s="253"/>
      <c r="X495" s="253"/>
      <c r="Y495" s="253"/>
      <c r="Z495" s="253"/>
      <c r="AA495" s="253"/>
      <c r="AB495" s="253"/>
      <c r="AC495" s="253"/>
      <c r="AD495" s="253"/>
      <c r="AE495" s="253"/>
      <c r="AF495" s="253"/>
      <c r="AG495" s="253"/>
      <c r="AH495" s="253"/>
      <c r="AI495" s="253"/>
      <c r="AJ495" s="253"/>
      <c r="AK495" s="253"/>
      <c r="AL495" s="253"/>
      <c r="AM495" s="253"/>
      <c r="AN495" s="903"/>
      <c r="AO495" s="253" t="str">
        <f>IF(Z495="Yes",COUNTIF($Z$6:Z495,"Yes"),"")</f>
        <v/>
      </c>
      <c r="AP495" s="253" t="str">
        <f>IF(AA495="Yes",COUNTIF($AA$6:AA495,"Yes"),"")</f>
        <v/>
      </c>
      <c r="AQ495" s="253" t="str">
        <f>IF(AC495="Yes",COUNTIF($AC$6:AC495,"Yes"),"")</f>
        <v/>
      </c>
    </row>
    <row r="496" spans="1:43">
      <c r="A496" s="253"/>
      <c r="B496" s="253"/>
      <c r="C496" s="253"/>
      <c r="D496" s="253"/>
      <c r="E496" s="253"/>
      <c r="F496" s="253"/>
      <c r="G496" s="253"/>
      <c r="H496" s="253"/>
      <c r="I496" s="253"/>
      <c r="J496" s="253"/>
      <c r="K496" s="253"/>
      <c r="L496" s="253"/>
      <c r="M496" s="253"/>
      <c r="N496" s="253"/>
      <c r="O496" s="253"/>
      <c r="P496" s="903"/>
      <c r="Q496" s="903"/>
      <c r="R496" s="903"/>
      <c r="S496" s="904" t="str">
        <f ca="1">IF(P496="","",IF(R496&lt;&gt;"",R496-P496,TODAY()-P496))</f>
        <v/>
      </c>
      <c r="T496" s="904" t="str">
        <f ca="1">IF(Q496="","",Q496-TODAY())</f>
        <v/>
      </c>
      <c r="U496" s="253"/>
      <c r="V496" s="253"/>
      <c r="W496" s="253"/>
      <c r="X496" s="253"/>
      <c r="Y496" s="253"/>
      <c r="Z496" s="253"/>
      <c r="AA496" s="253"/>
      <c r="AB496" s="253"/>
      <c r="AC496" s="253"/>
      <c r="AD496" s="253"/>
      <c r="AE496" s="253"/>
      <c r="AF496" s="253"/>
      <c r="AG496" s="253"/>
      <c r="AH496" s="253"/>
      <c r="AI496" s="253"/>
      <c r="AJ496" s="253"/>
      <c r="AK496" s="253"/>
      <c r="AL496" s="253"/>
      <c r="AM496" s="253"/>
      <c r="AN496" s="903"/>
      <c r="AO496" s="253" t="str">
        <f>IF(Z496="Yes",COUNTIF($Z$6:Z496,"Yes"),"")</f>
        <v/>
      </c>
      <c r="AP496" s="253" t="str">
        <f>IF(AA496="Yes",COUNTIF($AA$6:AA496,"Yes"),"")</f>
        <v/>
      </c>
      <c r="AQ496" s="253" t="str">
        <f>IF(AC496="Yes",COUNTIF($AC$6:AC496,"Yes"),"")</f>
        <v/>
      </c>
    </row>
    <row r="497" spans="1:43">
      <c r="A497" s="253"/>
      <c r="B497" s="253"/>
      <c r="C497" s="253"/>
      <c r="D497" s="253"/>
      <c r="E497" s="253"/>
      <c r="F497" s="253"/>
      <c r="G497" s="253"/>
      <c r="H497" s="253"/>
      <c r="I497" s="253"/>
      <c r="J497" s="253"/>
      <c r="K497" s="253"/>
      <c r="L497" s="253"/>
      <c r="M497" s="253"/>
      <c r="N497" s="253"/>
      <c r="O497" s="253"/>
      <c r="P497" s="903"/>
      <c r="Q497" s="903"/>
      <c r="R497" s="903"/>
      <c r="S497" s="904" t="str">
        <f ca="1">IF(P497="","",IF(R497&lt;&gt;"",R497-P497,TODAY()-P497))</f>
        <v/>
      </c>
      <c r="T497" s="904" t="str">
        <f ca="1">IF(Q497="","",Q497-TODAY())</f>
        <v/>
      </c>
      <c r="U497" s="253"/>
      <c r="V497" s="253"/>
      <c r="W497" s="253"/>
      <c r="X497" s="253"/>
      <c r="Y497" s="253"/>
      <c r="Z497" s="253"/>
      <c r="AA497" s="253"/>
      <c r="AB497" s="253"/>
      <c r="AC497" s="253"/>
      <c r="AD497" s="253"/>
      <c r="AE497" s="253"/>
      <c r="AF497" s="253"/>
      <c r="AG497" s="253"/>
      <c r="AH497" s="253"/>
      <c r="AI497" s="253"/>
      <c r="AJ497" s="253"/>
      <c r="AK497" s="253"/>
      <c r="AL497" s="253"/>
      <c r="AM497" s="253"/>
      <c r="AN497" s="903"/>
      <c r="AO497" s="253" t="str">
        <f>IF(Z497="Yes",COUNTIF($Z$6:Z497,"Yes"),"")</f>
        <v/>
      </c>
      <c r="AP497" s="253" t="str">
        <f>IF(AA497="Yes",COUNTIF($AA$6:AA497,"Yes"),"")</f>
        <v/>
      </c>
      <c r="AQ497" s="253" t="str">
        <f>IF(AC497="Yes",COUNTIF($AC$6:AC497,"Yes"),"")</f>
        <v/>
      </c>
    </row>
    <row r="498" spans="1:43">
      <c r="A498" s="253"/>
      <c r="B498" s="253"/>
      <c r="C498" s="253"/>
      <c r="D498" s="253"/>
      <c r="E498" s="253"/>
      <c r="F498" s="253"/>
      <c r="G498" s="253"/>
      <c r="H498" s="253"/>
      <c r="I498" s="253"/>
      <c r="J498" s="253"/>
      <c r="K498" s="253"/>
      <c r="L498" s="253"/>
      <c r="M498" s="253"/>
      <c r="N498" s="253"/>
      <c r="O498" s="253"/>
      <c r="P498" s="903"/>
      <c r="Q498" s="903"/>
      <c r="R498" s="903"/>
      <c r="S498" s="904" t="str">
        <f ca="1">IF(P498="","",IF(R498&lt;&gt;"",R498-P498,TODAY()-P498))</f>
        <v/>
      </c>
      <c r="T498" s="904" t="str">
        <f ca="1">IF(Q498="","",Q498-TODAY())</f>
        <v/>
      </c>
      <c r="U498" s="253"/>
      <c r="V498" s="253"/>
      <c r="W498" s="253"/>
      <c r="X498" s="253"/>
      <c r="Y498" s="253"/>
      <c r="Z498" s="253"/>
      <c r="AA498" s="253"/>
      <c r="AB498" s="253"/>
      <c r="AC498" s="253"/>
      <c r="AD498" s="253"/>
      <c r="AE498" s="253"/>
      <c r="AF498" s="253"/>
      <c r="AG498" s="253"/>
      <c r="AH498" s="253"/>
      <c r="AI498" s="253"/>
      <c r="AJ498" s="253"/>
      <c r="AK498" s="253"/>
      <c r="AL498" s="253"/>
      <c r="AM498" s="253"/>
      <c r="AN498" s="903"/>
      <c r="AO498" s="253" t="str">
        <f>IF(Z498="Yes",COUNTIF($Z$6:Z498,"Yes"),"")</f>
        <v/>
      </c>
      <c r="AP498" s="253" t="str">
        <f>IF(AA498="Yes",COUNTIF($AA$6:AA498,"Yes"),"")</f>
        <v/>
      </c>
      <c r="AQ498" s="253" t="str">
        <f>IF(AC498="Yes",COUNTIF($AC$6:AC498,"Yes"),"")</f>
        <v/>
      </c>
    </row>
    <row r="499" spans="1:43">
      <c r="A499" s="253"/>
      <c r="B499" s="253"/>
      <c r="C499" s="253"/>
      <c r="D499" s="253"/>
      <c r="E499" s="253"/>
      <c r="F499" s="253"/>
      <c r="G499" s="253"/>
      <c r="H499" s="253"/>
      <c r="I499" s="253"/>
      <c r="J499" s="253"/>
      <c r="K499" s="253"/>
      <c r="L499" s="253"/>
      <c r="M499" s="253"/>
      <c r="N499" s="253"/>
      <c r="O499" s="253"/>
      <c r="P499" s="903"/>
      <c r="Q499" s="903"/>
      <c r="R499" s="903"/>
      <c r="S499" s="904" t="str">
        <f ca="1">IF(P499="","",IF(R499&lt;&gt;"",R499-P499,TODAY()-P499))</f>
        <v/>
      </c>
      <c r="T499" s="904" t="str">
        <f ca="1">IF(Q499="","",Q499-TODAY())</f>
        <v/>
      </c>
      <c r="U499" s="253"/>
      <c r="V499" s="253"/>
      <c r="W499" s="253"/>
      <c r="X499" s="253"/>
      <c r="Y499" s="253"/>
      <c r="Z499" s="253"/>
      <c r="AA499" s="253"/>
      <c r="AB499" s="253"/>
      <c r="AC499" s="253"/>
      <c r="AD499" s="253"/>
      <c r="AE499" s="253"/>
      <c r="AF499" s="253"/>
      <c r="AG499" s="253"/>
      <c r="AH499" s="253"/>
      <c r="AI499" s="253"/>
      <c r="AJ499" s="253"/>
      <c r="AK499" s="253"/>
      <c r="AL499" s="253"/>
      <c r="AM499" s="253"/>
      <c r="AN499" s="903"/>
      <c r="AO499" s="253" t="str">
        <f>IF(Z499="Yes",COUNTIF($Z$6:Z499,"Yes"),"")</f>
        <v/>
      </c>
      <c r="AP499" s="253" t="str">
        <f>IF(AA499="Yes",COUNTIF($AA$6:AA499,"Yes"),"")</f>
        <v/>
      </c>
      <c r="AQ499" s="253" t="str">
        <f>IF(AC499="Yes",COUNTIF($AC$6:AC499,"Yes"),"")</f>
        <v/>
      </c>
    </row>
    <row r="500" spans="1:43">
      <c r="A500" s="253"/>
      <c r="B500" s="253"/>
      <c r="C500" s="253"/>
      <c r="D500" s="253"/>
      <c r="E500" s="253"/>
      <c r="F500" s="253"/>
      <c r="G500" s="253"/>
      <c r="H500" s="253"/>
      <c r="I500" s="253"/>
      <c r="J500" s="253"/>
      <c r="K500" s="253"/>
      <c r="L500" s="253"/>
      <c r="M500" s="253"/>
      <c r="N500" s="253"/>
      <c r="O500" s="253"/>
      <c r="P500" s="903"/>
      <c r="Q500" s="903"/>
      <c r="R500" s="903"/>
      <c r="S500" s="904" t="str">
        <f ca="1">IF(P500="","",IF(R500&lt;&gt;"",R500-P500,TODAY()-P500))</f>
        <v/>
      </c>
      <c r="T500" s="904" t="str">
        <f ca="1">IF(Q500="","",Q500-TODAY())</f>
        <v/>
      </c>
      <c r="U500" s="253"/>
      <c r="V500" s="253"/>
      <c r="W500" s="253"/>
      <c r="X500" s="253"/>
      <c r="Y500" s="253"/>
      <c r="Z500" s="253"/>
      <c r="AA500" s="253"/>
      <c r="AB500" s="253"/>
      <c r="AC500" s="253"/>
      <c r="AD500" s="253"/>
      <c r="AE500" s="253"/>
      <c r="AF500" s="253"/>
      <c r="AG500" s="253"/>
      <c r="AH500" s="253"/>
      <c r="AI500" s="253"/>
      <c r="AJ500" s="253"/>
      <c r="AK500" s="253"/>
      <c r="AL500" s="253"/>
      <c r="AM500" s="253"/>
      <c r="AN500" s="903"/>
      <c r="AO500" s="253" t="str">
        <f>IF(Z500="Yes",COUNTIF($Z$6:Z500,"Yes"),"")</f>
        <v/>
      </c>
      <c r="AP500" s="253" t="str">
        <f>IF(AA500="Yes",COUNTIF($AA$6:AA500,"Yes"),"")</f>
        <v/>
      </c>
      <c r="AQ500" s="253" t="str">
        <f>IF(AC500="Yes",COUNTIF($AC$6:AC500,"Yes"),"")</f>
        <v/>
      </c>
    </row>
    <row r="501" spans="1:43">
      <c r="A501" s="253"/>
      <c r="B501" s="253"/>
      <c r="C501" s="253"/>
      <c r="D501" s="253"/>
      <c r="E501" s="253"/>
      <c r="F501" s="253"/>
      <c r="G501" s="253"/>
      <c r="H501" s="253"/>
      <c r="I501" s="253"/>
      <c r="J501" s="253"/>
      <c r="K501" s="253"/>
      <c r="L501" s="253"/>
      <c r="M501" s="253"/>
      <c r="N501" s="253"/>
      <c r="O501" s="253"/>
      <c r="P501" s="903"/>
      <c r="Q501" s="903"/>
      <c r="R501" s="903"/>
      <c r="S501" s="904" t="str">
        <f ca="1">IF(P501="","",IF(R501&lt;&gt;"",R501-P501,TODAY()-P501))</f>
        <v/>
      </c>
      <c r="T501" s="904" t="str">
        <f ca="1">IF(Q501="","",Q501-TODAY())</f>
        <v/>
      </c>
      <c r="U501" s="253"/>
      <c r="V501" s="253"/>
      <c r="W501" s="253"/>
      <c r="X501" s="253"/>
      <c r="Y501" s="253"/>
      <c r="Z501" s="253"/>
      <c r="AA501" s="253"/>
      <c r="AB501" s="253"/>
      <c r="AC501" s="253"/>
      <c r="AD501" s="253"/>
      <c r="AE501" s="253"/>
      <c r="AF501" s="253"/>
      <c r="AG501" s="253"/>
      <c r="AH501" s="253"/>
      <c r="AI501" s="253"/>
      <c r="AJ501" s="253"/>
      <c r="AK501" s="253"/>
      <c r="AL501" s="253"/>
      <c r="AM501" s="253"/>
      <c r="AN501" s="903"/>
      <c r="AO501" s="253" t="str">
        <f>IF(Z501="Yes",COUNTIF($Z$6:Z501,"Yes"),"")</f>
        <v/>
      </c>
      <c r="AP501" s="253" t="str">
        <f>IF(AA501="Yes",COUNTIF($AA$6:AA501,"Yes"),"")</f>
        <v/>
      </c>
      <c r="AQ501" s="253" t="str">
        <f>IF(AC501="Yes",COUNTIF($AC$6:AC501,"Yes"),"")</f>
        <v/>
      </c>
    </row>
    <row r="502" spans="1:43">
      <c r="A502" s="253"/>
      <c r="B502" s="253"/>
      <c r="C502" s="253"/>
      <c r="D502" s="253"/>
      <c r="E502" s="253"/>
      <c r="F502" s="253"/>
      <c r="G502" s="253"/>
      <c r="H502" s="253"/>
      <c r="I502" s="253"/>
      <c r="J502" s="253"/>
      <c r="K502" s="253"/>
      <c r="L502" s="253"/>
      <c r="M502" s="253"/>
      <c r="N502" s="253"/>
      <c r="O502" s="253"/>
      <c r="P502" s="903"/>
      <c r="Q502" s="903"/>
      <c r="R502" s="903"/>
      <c r="S502" s="904" t="str">
        <f ca="1">IF(P502="","",IF(R502&lt;&gt;"",R502-P502,TODAY()-P502))</f>
        <v/>
      </c>
      <c r="T502" s="904" t="str">
        <f ca="1">IF(Q502="","",Q502-TODAY())</f>
        <v/>
      </c>
      <c r="U502" s="253"/>
      <c r="V502" s="253"/>
      <c r="W502" s="253"/>
      <c r="X502" s="253"/>
      <c r="Y502" s="253"/>
      <c r="Z502" s="253"/>
      <c r="AA502" s="253"/>
      <c r="AB502" s="253"/>
      <c r="AC502" s="253"/>
      <c r="AD502" s="253"/>
      <c r="AE502" s="253"/>
      <c r="AF502" s="253"/>
      <c r="AG502" s="253"/>
      <c r="AH502" s="253"/>
      <c r="AI502" s="253"/>
      <c r="AJ502" s="253"/>
      <c r="AK502" s="253"/>
      <c r="AL502" s="253"/>
      <c r="AM502" s="253"/>
      <c r="AN502" s="903"/>
      <c r="AO502" s="253" t="str">
        <f>IF(Z502="Yes",COUNTIF($Z$6:Z502,"Yes"),"")</f>
        <v/>
      </c>
      <c r="AP502" s="253" t="str">
        <f>IF(AA502="Yes",COUNTIF($AA$6:AA502,"Yes"),"")</f>
        <v/>
      </c>
      <c r="AQ502" s="253" t="str">
        <f>IF(AC502="Yes",COUNTIF($AC$6:AC502,"Yes"),"")</f>
        <v/>
      </c>
    </row>
    <row r="503" spans="1:43">
      <c r="A503" s="253"/>
      <c r="B503" s="253"/>
      <c r="C503" s="253"/>
      <c r="D503" s="253"/>
      <c r="E503" s="253"/>
      <c r="F503" s="253"/>
      <c r="G503" s="253"/>
      <c r="H503" s="253"/>
      <c r="I503" s="253"/>
      <c r="J503" s="253"/>
      <c r="K503" s="253"/>
      <c r="L503" s="253"/>
      <c r="M503" s="253"/>
      <c r="N503" s="253"/>
      <c r="O503" s="253"/>
      <c r="P503" s="903"/>
      <c r="Q503" s="903"/>
      <c r="R503" s="903"/>
      <c r="S503" s="904" t="str">
        <f ca="1">IF(P503="","",IF(R503&lt;&gt;"",R503-P503,TODAY()-P503))</f>
        <v/>
      </c>
      <c r="T503" s="904" t="str">
        <f ca="1">IF(Q503="","",Q503-TODAY())</f>
        <v/>
      </c>
      <c r="U503" s="253"/>
      <c r="V503" s="253"/>
      <c r="W503" s="253"/>
      <c r="X503" s="253"/>
      <c r="Y503" s="253"/>
      <c r="Z503" s="253"/>
      <c r="AA503" s="253"/>
      <c r="AB503" s="253"/>
      <c r="AC503" s="253"/>
      <c r="AD503" s="253"/>
      <c r="AE503" s="253"/>
      <c r="AF503" s="253"/>
      <c r="AG503" s="253"/>
      <c r="AH503" s="253"/>
      <c r="AI503" s="253"/>
      <c r="AJ503" s="253"/>
      <c r="AK503" s="253"/>
      <c r="AL503" s="253"/>
      <c r="AM503" s="253"/>
      <c r="AN503" s="903"/>
      <c r="AO503" s="253" t="str">
        <f>IF(Z503="Yes",COUNTIF($Z$6:Z503,"Yes"),"")</f>
        <v/>
      </c>
      <c r="AP503" s="253" t="str">
        <f>IF(AA503="Yes",COUNTIF($AA$6:AA503,"Yes"),"")</f>
        <v/>
      </c>
      <c r="AQ503" s="253" t="str">
        <f>IF(AC503="Yes",COUNTIF($AC$6:AC503,"Yes"),"")</f>
        <v/>
      </c>
    </row>
    <row r="504" spans="1:43">
      <c r="A504" s="253"/>
      <c r="B504" s="253"/>
      <c r="C504" s="253"/>
      <c r="D504" s="253"/>
      <c r="E504" s="253"/>
      <c r="F504" s="253"/>
      <c r="G504" s="253"/>
      <c r="H504" s="253"/>
      <c r="I504" s="253"/>
      <c r="J504" s="253"/>
      <c r="K504" s="253"/>
      <c r="L504" s="253"/>
      <c r="M504" s="253"/>
      <c r="N504" s="253"/>
      <c r="O504" s="253"/>
      <c r="P504" s="903"/>
      <c r="Q504" s="903"/>
      <c r="R504" s="903"/>
      <c r="S504" s="904" t="str">
        <f ca="1">IF(P504="","",IF(R504&lt;&gt;"",R504-P504,TODAY()-P504))</f>
        <v/>
      </c>
      <c r="T504" s="904" t="str">
        <f ca="1">IF(Q504="","",Q504-TODAY())</f>
        <v/>
      </c>
      <c r="U504" s="253"/>
      <c r="V504" s="253"/>
      <c r="W504" s="253"/>
      <c r="X504" s="253"/>
      <c r="Y504" s="253"/>
      <c r="Z504" s="253"/>
      <c r="AA504" s="253"/>
      <c r="AB504" s="253"/>
      <c r="AC504" s="253"/>
      <c r="AD504" s="253"/>
      <c r="AE504" s="253"/>
      <c r="AF504" s="253"/>
      <c r="AG504" s="253"/>
      <c r="AH504" s="253"/>
      <c r="AI504" s="253"/>
      <c r="AJ504" s="253"/>
      <c r="AK504" s="253"/>
      <c r="AL504" s="253"/>
      <c r="AM504" s="253"/>
      <c r="AN504" s="903"/>
      <c r="AO504" s="253" t="str">
        <f>IF(Z504="Yes",COUNTIF($Z$6:Z504,"Yes"),"")</f>
        <v/>
      </c>
      <c r="AP504" s="253" t="str">
        <f>IF(AA504="Yes",COUNTIF($AA$6:AA504,"Yes"),"")</f>
        <v/>
      </c>
      <c r="AQ504" s="253" t="str">
        <f>IF(AC504="Yes",COUNTIF($AC$6:AC504,"Yes"),"")</f>
        <v/>
      </c>
    </row>
    <row r="505" spans="1:43">
      <c r="A505" s="253"/>
      <c r="B505" s="253"/>
      <c r="C505" s="253"/>
      <c r="D505" s="253"/>
      <c r="E505" s="253"/>
      <c r="F505" s="253"/>
      <c r="G505" s="253"/>
      <c r="H505" s="253"/>
      <c r="I505" s="253"/>
      <c r="J505" s="253"/>
      <c r="K505" s="253"/>
      <c r="L505" s="253"/>
      <c r="M505" s="253"/>
      <c r="N505" s="253"/>
      <c r="O505" s="253"/>
      <c r="P505" s="903"/>
      <c r="Q505" s="903"/>
      <c r="R505" s="903"/>
      <c r="S505" s="904" t="str">
        <f ca="1">IF(P505="","",IF(R505&lt;&gt;"",R505-P505,TODAY()-P505))</f>
        <v/>
      </c>
      <c r="T505" s="904" t="str">
        <f ca="1">IF(Q505="","",Q505-TODAY())</f>
        <v/>
      </c>
      <c r="U505" s="253"/>
      <c r="V505" s="253"/>
      <c r="W505" s="253"/>
      <c r="X505" s="253"/>
      <c r="Y505" s="253"/>
      <c r="Z505" s="253"/>
      <c r="AA505" s="253"/>
      <c r="AB505" s="253"/>
      <c r="AC505" s="253"/>
      <c r="AD505" s="253"/>
      <c r="AE505" s="253"/>
      <c r="AF505" s="253"/>
      <c r="AG505" s="253"/>
      <c r="AH505" s="253"/>
      <c r="AI505" s="253"/>
      <c r="AJ505" s="253"/>
      <c r="AK505" s="253"/>
      <c r="AL505" s="253"/>
      <c r="AM505" s="253"/>
      <c r="AN505" s="903"/>
      <c r="AO505" s="253" t="str">
        <f>IF(Z505="Yes",COUNTIF($Z$6:Z505,"Yes"),"")</f>
        <v/>
      </c>
      <c r="AP505" s="253" t="str">
        <f>IF(AA505="Yes",COUNTIF($AA$6:AA505,"Yes"),"")</f>
        <v/>
      </c>
      <c r="AQ505" s="253" t="str">
        <f>IF(AC505="Yes",COUNTIF($AC$6:AC505,"Yes"),"")</f>
        <v/>
      </c>
    </row>
  </sheetData>
  <mergeCells count="2">
    <mergeCell ref="A1:AQ2"/>
    <mergeCell ref="A3:AQ3"/>
  </mergeCells>
  <conditionalFormatting sqref="M6:M505">
    <cfRule type="expression" dxfId="1439" priority="1">
      <formula>$M6="Critical"</formula>
    </cfRule>
  </conditionalFormatting>
  <conditionalFormatting sqref="N6:N505">
    <cfRule type="expression" dxfId="1438" priority="2">
      <formula>OR($N6="Complete",$N6="Closed")</formula>
    </cfRule>
    <cfRule type="expression" dxfId="1437" priority="3">
      <formula>OR($N6="At Risk",$N6="Delayed",$N6="Blocked")</formula>
    </cfRule>
  </conditionalFormatting>
  <conditionalFormatting sqref="T6:T505">
    <cfRule type="expression" dxfId="1436" priority="4">
      <formula>AND($T6&lt;0,$N6&lt;&gt;"Complete",$N6&lt;&gt;"Closed",$A6&lt;&gt;"")</formula>
    </cfRule>
  </conditionalFormatting>
  <dataValidations count="13">
    <dataValidation type="list" sqref="Z6:AC505" xr:uid="{00000000-0002-0000-1B00-00000C000000}">
      <formula1>"Yes,No"</formula1>
    </dataValidation>
    <dataValidation type="list" sqref="Y6:Y505" xr:uid="{00000000-0002-0000-1B00-00000B000000}">
      <formula1>_xlfn._LONGTEXT("Executive Summary,Assessment and Field Activity,Risks / Deficiencies / Questions,Schedule and Operational Impacts,Design and Technical Coordination,Quality and Construction Readiness,OIT, Commissioning and Acceptance,CM/PM Deliverables and Actions,Cost an","d Contract Administration,COR Decisions and Look-Ahead")</formula1>
    </dataValidation>
    <dataValidation type="list" sqref="X6:X505" xr:uid="{00000000-0002-0000-1B00-00000A000000}">
      <formula1>"Daily,Weekly,Biweekly,Monthly,Quarterly,As Required,Continuous,One-Time"</formula1>
    </dataValidation>
    <dataValidation type="list" sqref="U6:W505" xr:uid="{00000000-0002-0000-1B00-000009000000}">
      <formula1>"None,Potential,Confirmed"</formula1>
    </dataValidation>
    <dataValidation type="list" sqref="N6:N505" xr:uid="{00000000-0002-0000-1B00-000008000000}">
      <formula1>"Not Started,Open,In Progress,Waiting,Pending,At Risk,Delayed,Blocked,Complete,Closed,Deferred"</formula1>
    </dataValidation>
    <dataValidation type="list" sqref="K6:L505" xr:uid="{00000000-0002-0000-1B00-000007000000}">
      <formula1>"Paul,Aisha,Shared,COR,CO / CS,A/E,GC,CxA,VA OIT,Hospital Stakeholder,Other"</formula1>
    </dataValidation>
    <dataValidation type="list" sqref="J6:J505" xr:uid="{00000000-0002-0000-1B00-000006000000}">
      <formula1>"Paul,Aisha,Shared,COR,CO / CS,A/E,GC,CxA,VA OIT,Hospital Stakeholder,Other,GCC,Contractor,VA"</formula1>
    </dataValidation>
    <dataValidation type="list" sqref="E6:E505" xr:uid="{00000000-0002-0000-1B00-000005000000}">
      <formula1>"ALL,01,02,03,04,05,06,07,08,09,10,12,13,14,15,16,17,18,20,21,22,33,61,62,70,78,80,82,BCH,MCR,SITE,SPEC"</formula1>
    </dataValidation>
    <dataValidation type="list" sqref="D6:D505" xr:uid="{00000000-0002-0000-1B00-000004000000}">
      <formula1>"Project Controls,Architectural,Fire Protection,Fire Alarm,Mechanical / HVAC,Electrical / UPS,Telecom / Fiber,Security / PACS / CCTV,OIT,Commissioning,Cost Control,Multi-Discipline,Operations"</formula1>
    </dataValidation>
    <dataValidation type="list" sqref="C6:C505" xr:uid="{00000000-0002-0000-1B00-000003000000}">
      <formula1>"Schedule,Cost,Quality,Safety,Design,Operations,Commissioning,Closeout,Contract Admin,Documentation,Stakeholder Coordination"</formula1>
    </dataValidation>
    <dataValidation type="list" sqref="B6:B505" xr:uid="{00000000-0002-0000-1B00-000002000000}">
      <formula1>"Deliverable,Action Item,Decision,Meeting,RFI,Submittal,Schedule Item,Shutdown Coordination,Commissioning,Pay Application,Risk,Issue,Change,Design Question,PTR Update,Project Review,Claim Support,Observation"</formula1>
    </dataValidation>
    <dataValidation type="list" sqref="M6:M505" xr:uid="{00000000-0002-0000-1B00-000001000000}">
      <formula1>"Low,Medium,High,Critical"</formula1>
    </dataValidation>
    <dataValidation type="list" sqref="O6:O505" xr:uid="{00000000-0002-0000-1B00-000000000000}">
      <formula1>"Procurement,Preconstruction,Award,Mobilization,Construction,Commissioning,Closeout"</formula1>
    </dataValidation>
  </dataValidation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8FA3F-B374-490F-905F-B3FD3231CBC1}">
  <dimension ref="A1:Q300"/>
  <sheetViews>
    <sheetView tabSelected="1" workbookViewId="0">
      <selection activeCell="D5" sqref="D5"/>
    </sheetView>
  </sheetViews>
  <sheetFormatPr defaultColWidth="8.88671875" defaultRowHeight="135" customHeight="1"/>
  <cols>
    <col min="1" max="1" width="16.6640625" style="8" customWidth="1"/>
    <col min="2" max="2" width="22" style="56" customWidth="1"/>
    <col min="3" max="3" width="14" style="8" customWidth="1"/>
    <col min="4" max="6" width="16" style="8" customWidth="1"/>
    <col min="7" max="7" width="14" style="8" customWidth="1"/>
    <col min="8" max="8" width="34" style="8" customWidth="1"/>
    <col min="9" max="9" width="16" style="8" customWidth="1"/>
    <col min="10" max="10" width="42" style="8" customWidth="1"/>
    <col min="11" max="11" width="10" style="8" customWidth="1"/>
    <col min="13" max="17" width="12" customWidth="1"/>
  </cols>
  <sheetData>
    <row r="1" spans="1:17" ht="54" customHeight="1">
      <c r="A1" s="57" t="s">
        <v>342</v>
      </c>
      <c r="B1" s="58"/>
      <c r="C1" s="58"/>
      <c r="D1" s="58"/>
      <c r="E1" s="58"/>
      <c r="F1" s="58"/>
      <c r="G1" s="58"/>
      <c r="H1" s="58"/>
      <c r="I1" s="58"/>
      <c r="J1" s="58"/>
      <c r="K1" s="58"/>
      <c r="L1" s="58"/>
      <c r="M1" s="59" t="str">
        <f>HYPERLINK("#'Mission_Control_v3.4'!A1","Mission")</f>
        <v>Mission</v>
      </c>
      <c r="N1" s="59" t="str">
        <f>HYPERLINK("#'Command_Center'!A1","Command")</f>
        <v>Command</v>
      </c>
      <c r="O1" s="59" t="str">
        <f>HYPERLINK("#'Building_View'!A1","Building")</f>
        <v>Building</v>
      </c>
      <c r="P1" s="59" t="str">
        <f>HYPERLINK("#'Risk_Register'!A1","Risks")</f>
        <v>Risks</v>
      </c>
      <c r="Q1" s="59" t="str">
        <f>HYPERLINK("#'PMIS_Data'!A1","Data")</f>
        <v>Data</v>
      </c>
    </row>
    <row r="2" spans="1:17" ht="54" customHeight="1">
      <c r="A2" s="16" t="s">
        <v>343</v>
      </c>
      <c r="B2" s="60"/>
      <c r="C2" s="16"/>
      <c r="D2" s="16"/>
      <c r="E2" s="16"/>
      <c r="F2" s="16"/>
      <c r="G2" s="16"/>
      <c r="H2" s="16"/>
      <c r="I2" s="16"/>
      <c r="J2" s="16"/>
      <c r="K2" s="16"/>
      <c r="L2" s="16"/>
    </row>
    <row r="3" spans="1:17" ht="18" customHeight="1"/>
    <row r="4" spans="1:17" ht="54" customHeight="1">
      <c r="A4" s="50" t="s">
        <v>295</v>
      </c>
      <c r="B4" s="50" t="s">
        <v>218</v>
      </c>
      <c r="C4" s="50" t="s">
        <v>142</v>
      </c>
      <c r="D4" s="50" t="s">
        <v>296</v>
      </c>
      <c r="E4" s="50" t="s">
        <v>297</v>
      </c>
      <c r="F4" s="50" t="s">
        <v>298</v>
      </c>
      <c r="G4" s="50" t="s">
        <v>299</v>
      </c>
      <c r="H4" s="50" t="s">
        <v>300</v>
      </c>
      <c r="I4" s="50" t="s">
        <v>77</v>
      </c>
      <c r="J4" s="50" t="s">
        <v>11</v>
      </c>
      <c r="K4" s="61" t="s">
        <v>344</v>
      </c>
    </row>
    <row r="5" spans="1:17" ht="135" customHeight="1">
      <c r="A5" s="13">
        <v>62</v>
      </c>
      <c r="B5" s="62" t="s">
        <v>345</v>
      </c>
      <c r="C5" s="13">
        <v>62</v>
      </c>
      <c r="D5" s="63">
        <v>46197</v>
      </c>
      <c r="E5" s="63">
        <v>46198</v>
      </c>
      <c r="F5" s="63">
        <v>46199</v>
      </c>
      <c r="G5" s="13" t="s">
        <v>346</v>
      </c>
      <c r="H5" s="13" t="s">
        <v>347</v>
      </c>
      <c r="I5" s="13" t="s">
        <v>348</v>
      </c>
      <c r="J5" s="13" t="s">
        <v>349</v>
      </c>
      <c r="K5" s="64" t="str">
        <f>IF(AND($C5&lt;&gt;"",$I5&lt;&gt;"Closed",$I5&lt;&gt;"Complete",$I5&lt;&gt;"",$C5&amp;""=PMIS_Home!$B$4&amp;""),MAX($K$4:K4)+1,"")</f>
        <v/>
      </c>
    </row>
    <row r="6" spans="1:17" ht="135" customHeight="1">
      <c r="A6" s="13"/>
      <c r="B6" s="62"/>
      <c r="C6" s="13"/>
      <c r="D6" s="63"/>
      <c r="E6" s="63"/>
      <c r="F6" s="63"/>
      <c r="G6" s="13"/>
      <c r="H6" s="13"/>
      <c r="I6" s="13"/>
      <c r="J6" s="13"/>
      <c r="K6" s="64" t="str">
        <f>IF(AND($C6&lt;&gt;"",$I6&lt;&gt;"Closed",$I6&lt;&gt;"Complete",$I6&lt;&gt;"",$C6&amp;""=PMIS_Home!$B$4&amp;""),MAX($K$4:K5)+1,"")</f>
        <v/>
      </c>
    </row>
    <row r="7" spans="1:17" ht="135" customHeight="1">
      <c r="A7" s="13"/>
      <c r="B7" s="62"/>
      <c r="C7" s="13"/>
      <c r="D7" s="13"/>
      <c r="E7" s="13"/>
      <c r="F7" s="13"/>
      <c r="G7" s="13"/>
      <c r="H7" s="13"/>
      <c r="I7" s="13"/>
      <c r="J7" s="13"/>
      <c r="K7" s="64" t="str">
        <f>IF(AND($C7&lt;&gt;"",$I7&lt;&gt;"Closed",$I7&lt;&gt;"Complete",$I7&lt;&gt;"",$C7&amp;""=PMIS_Home!$B$4&amp;""),MAX($K$4:K6)+1,"")</f>
        <v/>
      </c>
    </row>
    <row r="8" spans="1:17" ht="135" customHeight="1">
      <c r="A8" s="13"/>
      <c r="B8" s="62"/>
      <c r="C8" s="13"/>
      <c r="D8" s="13"/>
      <c r="E8" s="13"/>
      <c r="F8" s="13"/>
      <c r="G8" s="13"/>
      <c r="H8" s="13"/>
      <c r="I8" s="13"/>
      <c r="J8" s="13"/>
      <c r="K8" s="64" t="str">
        <f>IF(AND($C8&lt;&gt;"",$I8&lt;&gt;"Closed",$I8&lt;&gt;"Complete",$I8&lt;&gt;"",$C8&amp;""=PMIS_Home!$B$4&amp;""),MAX($K$4:K7)+1,"")</f>
        <v/>
      </c>
    </row>
    <row r="9" spans="1:17" ht="135" customHeight="1">
      <c r="A9" s="13"/>
      <c r="B9" s="62"/>
      <c r="C9" s="13"/>
      <c r="D9" s="13"/>
      <c r="E9" s="13"/>
      <c r="F9" s="13"/>
      <c r="G9" s="13"/>
      <c r="H9" s="13"/>
      <c r="I9" s="13"/>
      <c r="J9" s="13"/>
      <c r="K9" s="64" t="str">
        <f>IF(AND($C9&lt;&gt;"",$I9&lt;&gt;"Closed",$I9&lt;&gt;"Complete",$I9&lt;&gt;"",$C9&amp;""=PMIS_Home!$B$4&amp;""),MAX($K$4:K8)+1,"")</f>
        <v/>
      </c>
    </row>
    <row r="10" spans="1:17" ht="135" customHeight="1">
      <c r="A10" s="13"/>
      <c r="B10" s="62"/>
      <c r="C10" s="13"/>
      <c r="D10" s="13"/>
      <c r="E10" s="13"/>
      <c r="F10" s="13"/>
      <c r="G10" s="13"/>
      <c r="H10" s="13"/>
      <c r="I10" s="13"/>
      <c r="J10" s="13"/>
      <c r="K10" s="64" t="str">
        <f>IF(AND($C10&lt;&gt;"",$I10&lt;&gt;"Closed",$I10&lt;&gt;"Complete",$I10&lt;&gt;"",$C10&amp;""=PMIS_Home!$B$4&amp;""),MAX($K$4:K9)+1,"")</f>
        <v/>
      </c>
    </row>
    <row r="11" spans="1:17" ht="135" customHeight="1">
      <c r="A11" s="13"/>
      <c r="B11" s="62"/>
      <c r="C11" s="13"/>
      <c r="D11" s="13"/>
      <c r="E11" s="13"/>
      <c r="F11" s="13"/>
      <c r="G11" s="13"/>
      <c r="H11" s="13"/>
      <c r="I11" s="13"/>
      <c r="J11" s="13"/>
      <c r="K11" s="64" t="str">
        <f>IF(AND($C11&lt;&gt;"",$I11&lt;&gt;"Closed",$I11&lt;&gt;"Complete",$I11&lt;&gt;"",$C11&amp;""=PMIS_Home!$B$4&amp;""),MAX($K$4:K10)+1,"")</f>
        <v/>
      </c>
    </row>
    <row r="12" spans="1:17" ht="135" customHeight="1">
      <c r="A12" s="13"/>
      <c r="B12" s="62"/>
      <c r="C12" s="13"/>
      <c r="D12" s="13"/>
      <c r="E12" s="13"/>
      <c r="F12" s="13"/>
      <c r="G12" s="13"/>
      <c r="H12" s="13"/>
      <c r="I12" s="13"/>
      <c r="J12" s="13"/>
      <c r="K12" s="64" t="str">
        <f>IF(AND($C12&lt;&gt;"",$I12&lt;&gt;"Closed",$I12&lt;&gt;"Complete",$I12&lt;&gt;"",$C12&amp;""=PMIS_Home!$B$4&amp;""),MAX($K$4:K11)+1,"")</f>
        <v/>
      </c>
    </row>
    <row r="13" spans="1:17" ht="135" customHeight="1">
      <c r="A13" s="13"/>
      <c r="B13" s="62"/>
      <c r="C13" s="13"/>
      <c r="D13" s="13"/>
      <c r="E13" s="13"/>
      <c r="F13" s="13"/>
      <c r="G13" s="13"/>
      <c r="H13" s="13"/>
      <c r="I13" s="13"/>
      <c r="J13" s="13"/>
      <c r="K13" s="64" t="str">
        <f>IF(AND($C13&lt;&gt;"",$I13&lt;&gt;"Closed",$I13&lt;&gt;"Complete",$I13&lt;&gt;"",$C13&amp;""=PMIS_Home!$B$4&amp;""),MAX($K$4:K12)+1,"")</f>
        <v/>
      </c>
    </row>
    <row r="14" spans="1:17" ht="135" customHeight="1">
      <c r="A14" s="13"/>
      <c r="B14" s="62"/>
      <c r="C14" s="13"/>
      <c r="D14" s="13"/>
      <c r="E14" s="13"/>
      <c r="F14" s="13"/>
      <c r="G14" s="13"/>
      <c r="H14" s="13"/>
      <c r="I14" s="13"/>
      <c r="J14" s="13"/>
      <c r="K14" s="64" t="str">
        <f>IF(AND($C14&lt;&gt;"",$I14&lt;&gt;"Closed",$I14&lt;&gt;"Complete",$I14&lt;&gt;"",$C14&amp;""=PMIS_Home!$B$4&amp;""),MAX($K$4:K13)+1,"")</f>
        <v/>
      </c>
    </row>
    <row r="15" spans="1:17" ht="135" customHeight="1">
      <c r="A15" s="13"/>
      <c r="B15" s="62"/>
      <c r="C15" s="13"/>
      <c r="D15" s="13"/>
      <c r="E15" s="13"/>
      <c r="F15" s="13"/>
      <c r="G15" s="13"/>
      <c r="H15" s="13"/>
      <c r="I15" s="13"/>
      <c r="J15" s="13"/>
      <c r="K15" s="64" t="str">
        <f>IF(AND($C15&lt;&gt;"",$I15&lt;&gt;"Closed",$I15&lt;&gt;"Complete",$I15&lt;&gt;"",$C15&amp;""=PMIS_Home!$B$4&amp;""),MAX($K$4:K14)+1,"")</f>
        <v/>
      </c>
    </row>
    <row r="16" spans="1:17" ht="135" customHeight="1">
      <c r="A16" s="13"/>
      <c r="B16" s="62"/>
      <c r="C16" s="13"/>
      <c r="D16" s="13"/>
      <c r="E16" s="13"/>
      <c r="F16" s="13"/>
      <c r="G16" s="13"/>
      <c r="H16" s="13"/>
      <c r="I16" s="13"/>
      <c r="J16" s="13"/>
      <c r="K16" s="64" t="str">
        <f>IF(AND($C16&lt;&gt;"",$I16&lt;&gt;"Closed",$I16&lt;&gt;"Complete",$I16&lt;&gt;"",$C16&amp;""=PMIS_Home!$B$4&amp;""),MAX($K$4:K15)+1,"")</f>
        <v/>
      </c>
    </row>
    <row r="17" spans="1:11" ht="135" customHeight="1">
      <c r="A17" s="13"/>
      <c r="B17" s="62"/>
      <c r="C17" s="13"/>
      <c r="D17" s="13"/>
      <c r="E17" s="13"/>
      <c r="F17" s="13"/>
      <c r="G17" s="13"/>
      <c r="H17" s="13"/>
      <c r="I17" s="13"/>
      <c r="J17" s="13"/>
      <c r="K17" s="64" t="str">
        <f>IF(AND($C17&lt;&gt;"",$I17&lt;&gt;"Closed",$I17&lt;&gt;"Complete",$I17&lt;&gt;"",$C17&amp;""=PMIS_Home!$B$4&amp;""),MAX($K$4:K16)+1,"")</f>
        <v/>
      </c>
    </row>
    <row r="18" spans="1:11" ht="135" customHeight="1">
      <c r="A18" s="13"/>
      <c r="B18" s="62"/>
      <c r="C18" s="13"/>
      <c r="D18" s="13"/>
      <c r="E18" s="13"/>
      <c r="F18" s="13"/>
      <c r="G18" s="13"/>
      <c r="H18" s="13"/>
      <c r="I18" s="13"/>
      <c r="J18" s="13"/>
      <c r="K18" s="64" t="str">
        <f>IF(AND($C18&lt;&gt;"",$I18&lt;&gt;"Closed",$I18&lt;&gt;"Complete",$I18&lt;&gt;"",$C18&amp;""=PMIS_Home!$B$4&amp;""),MAX($K$4:K17)+1,"")</f>
        <v/>
      </c>
    </row>
    <row r="19" spans="1:11" ht="135" customHeight="1">
      <c r="A19" s="13"/>
      <c r="B19" s="62"/>
      <c r="C19" s="13"/>
      <c r="D19" s="13"/>
      <c r="E19" s="13"/>
      <c r="F19" s="13"/>
      <c r="G19" s="13"/>
      <c r="H19" s="13"/>
      <c r="I19" s="13"/>
      <c r="J19" s="13"/>
      <c r="K19" s="64" t="str">
        <f>IF(AND($C19&lt;&gt;"",$I19&lt;&gt;"Closed",$I19&lt;&gt;"Complete",$I19&lt;&gt;"",$C19&amp;""=PMIS_Home!$B$4&amp;""),MAX($K$4:K18)+1,"")</f>
        <v/>
      </c>
    </row>
    <row r="20" spans="1:11" ht="135" customHeight="1">
      <c r="A20" s="13"/>
      <c r="B20" s="62"/>
      <c r="C20" s="13"/>
      <c r="D20" s="13"/>
      <c r="E20" s="13"/>
      <c r="F20" s="13"/>
      <c r="G20" s="13"/>
      <c r="H20" s="13"/>
      <c r="I20" s="13"/>
      <c r="J20" s="13"/>
      <c r="K20" s="64" t="str">
        <f>IF(AND($C20&lt;&gt;"",$I20&lt;&gt;"Closed",$I20&lt;&gt;"Complete",$I20&lt;&gt;"",$C20&amp;""=PMIS_Home!$B$4&amp;""),MAX($K$4:K19)+1,"")</f>
        <v/>
      </c>
    </row>
    <row r="21" spans="1:11" ht="135" customHeight="1">
      <c r="A21" s="13"/>
      <c r="B21" s="62"/>
      <c r="C21" s="13"/>
      <c r="D21" s="13"/>
      <c r="E21" s="13"/>
      <c r="F21" s="13"/>
      <c r="G21" s="13"/>
      <c r="H21" s="13"/>
      <c r="I21" s="13"/>
      <c r="J21" s="13"/>
      <c r="K21" s="64" t="str">
        <f>IF(AND($C21&lt;&gt;"",$I21&lt;&gt;"Closed",$I21&lt;&gt;"Complete",$I21&lt;&gt;"",$C21&amp;""=PMIS_Home!$B$4&amp;""),MAX($K$4:K20)+1,"")</f>
        <v/>
      </c>
    </row>
    <row r="22" spans="1:11" ht="135" customHeight="1">
      <c r="A22" s="13"/>
      <c r="B22" s="62"/>
      <c r="C22" s="13"/>
      <c r="D22" s="13"/>
      <c r="E22" s="13"/>
      <c r="F22" s="13"/>
      <c r="G22" s="13"/>
      <c r="H22" s="13"/>
      <c r="I22" s="13"/>
      <c r="J22" s="13"/>
      <c r="K22" s="64" t="str">
        <f>IF(AND($C22&lt;&gt;"",$I22&lt;&gt;"Closed",$I22&lt;&gt;"Complete",$I22&lt;&gt;"",$C22&amp;""=PMIS_Home!$B$4&amp;""),MAX($K$4:K21)+1,"")</f>
        <v/>
      </c>
    </row>
    <row r="23" spans="1:11" ht="135" customHeight="1">
      <c r="A23" s="13"/>
      <c r="B23" s="62"/>
      <c r="C23" s="13"/>
      <c r="D23" s="13"/>
      <c r="E23" s="13"/>
      <c r="F23" s="13"/>
      <c r="G23" s="13"/>
      <c r="H23" s="13"/>
      <c r="I23" s="13"/>
      <c r="J23" s="13"/>
      <c r="K23" s="64" t="str">
        <f>IF(AND($C23&lt;&gt;"",$I23&lt;&gt;"Closed",$I23&lt;&gt;"Complete",$I23&lt;&gt;"",$C23&amp;""=PMIS_Home!$B$4&amp;""),MAX($K$4:K22)+1,"")</f>
        <v/>
      </c>
    </row>
    <row r="24" spans="1:11" ht="135" customHeight="1">
      <c r="A24" s="13"/>
      <c r="B24" s="62"/>
      <c r="C24" s="13"/>
      <c r="D24" s="13"/>
      <c r="E24" s="13"/>
      <c r="F24" s="13"/>
      <c r="G24" s="13"/>
      <c r="H24" s="13"/>
      <c r="I24" s="13"/>
      <c r="J24" s="13"/>
      <c r="K24" s="64" t="str">
        <f>IF(AND($C24&lt;&gt;"",$I24&lt;&gt;"Closed",$I24&lt;&gt;"Complete",$I24&lt;&gt;"",$C24&amp;""=PMIS_Home!$B$4&amp;""),MAX($K$4:K23)+1,"")</f>
        <v/>
      </c>
    </row>
    <row r="25" spans="1:11" ht="135" customHeight="1">
      <c r="A25" s="13"/>
      <c r="B25" s="62"/>
      <c r="C25" s="13"/>
      <c r="D25" s="13"/>
      <c r="E25" s="13"/>
      <c r="F25" s="13"/>
      <c r="G25" s="13"/>
      <c r="H25" s="13"/>
      <c r="I25" s="13"/>
      <c r="J25" s="13"/>
      <c r="K25" s="64" t="str">
        <f>IF(AND($C25&lt;&gt;"",$I25&lt;&gt;"Closed",$I25&lt;&gt;"Complete",$I25&lt;&gt;"",$C25&amp;""=PMIS_Home!$B$4&amp;""),MAX($K$4:K24)+1,"")</f>
        <v/>
      </c>
    </row>
    <row r="26" spans="1:11" ht="135" customHeight="1">
      <c r="A26" s="13"/>
      <c r="B26" s="62"/>
      <c r="C26" s="13"/>
      <c r="D26" s="13"/>
      <c r="E26" s="13"/>
      <c r="F26" s="13"/>
      <c r="G26" s="13"/>
      <c r="H26" s="13"/>
      <c r="I26" s="13"/>
      <c r="J26" s="13"/>
      <c r="K26" s="64" t="str">
        <f>IF(AND($C26&lt;&gt;"",$I26&lt;&gt;"Closed",$I26&lt;&gt;"Complete",$I26&lt;&gt;"",$C26&amp;""=PMIS_Home!$B$4&amp;""),MAX($K$4:K25)+1,"")</f>
        <v/>
      </c>
    </row>
    <row r="27" spans="1:11" ht="135" customHeight="1">
      <c r="A27" s="13"/>
      <c r="B27" s="62"/>
      <c r="C27" s="13"/>
      <c r="D27" s="13"/>
      <c r="E27" s="13"/>
      <c r="F27" s="13"/>
      <c r="G27" s="13"/>
      <c r="H27" s="13"/>
      <c r="I27" s="13"/>
      <c r="J27" s="13"/>
      <c r="K27" s="64" t="str">
        <f>IF(AND($C27&lt;&gt;"",$I27&lt;&gt;"Closed",$I27&lt;&gt;"Complete",$I27&lt;&gt;"",$C27&amp;""=PMIS_Home!$B$4&amp;""),MAX($K$4:K26)+1,"")</f>
        <v/>
      </c>
    </row>
    <row r="28" spans="1:11" ht="135" customHeight="1">
      <c r="A28" s="13"/>
      <c r="B28" s="62"/>
      <c r="C28" s="13"/>
      <c r="D28" s="13"/>
      <c r="E28" s="13"/>
      <c r="F28" s="13"/>
      <c r="G28" s="13"/>
      <c r="H28" s="13"/>
      <c r="I28" s="13"/>
      <c r="J28" s="13"/>
      <c r="K28" s="64" t="str">
        <f>IF(AND($C28&lt;&gt;"",$I28&lt;&gt;"Closed",$I28&lt;&gt;"Complete",$I28&lt;&gt;"",$C28&amp;""=PMIS_Home!$B$4&amp;""),MAX($K$4:K27)+1,"")</f>
        <v/>
      </c>
    </row>
    <row r="29" spans="1:11" ht="135" customHeight="1">
      <c r="A29" s="13"/>
      <c r="B29" s="62"/>
      <c r="C29" s="13"/>
      <c r="D29" s="13"/>
      <c r="E29" s="13"/>
      <c r="F29" s="13"/>
      <c r="G29" s="13"/>
      <c r="H29" s="13"/>
      <c r="I29" s="13"/>
      <c r="J29" s="13"/>
      <c r="K29" s="64" t="str">
        <f>IF(AND($C29&lt;&gt;"",$I29&lt;&gt;"Closed",$I29&lt;&gt;"Complete",$I29&lt;&gt;"",$C29&amp;""=PMIS_Home!$B$4&amp;""),MAX($K$4:K28)+1,"")</f>
        <v/>
      </c>
    </row>
    <row r="30" spans="1:11" ht="135" customHeight="1">
      <c r="A30" s="13"/>
      <c r="B30" s="62"/>
      <c r="C30" s="13"/>
      <c r="D30" s="13"/>
      <c r="E30" s="13"/>
      <c r="F30" s="13"/>
      <c r="G30" s="13"/>
      <c r="H30" s="13"/>
      <c r="I30" s="13"/>
      <c r="J30" s="13"/>
      <c r="K30" s="64" t="str">
        <f>IF(AND($C30&lt;&gt;"",$I30&lt;&gt;"Closed",$I30&lt;&gt;"Complete",$I30&lt;&gt;"",$C30&amp;""=PMIS_Home!$B$4&amp;""),MAX($K$4:K29)+1,"")</f>
        <v/>
      </c>
    </row>
    <row r="31" spans="1:11" ht="135" customHeight="1">
      <c r="A31" s="13"/>
      <c r="B31" s="62"/>
      <c r="C31" s="13"/>
      <c r="D31" s="13"/>
      <c r="E31" s="13"/>
      <c r="F31" s="13"/>
      <c r="G31" s="13"/>
      <c r="H31" s="13"/>
      <c r="I31" s="13"/>
      <c r="J31" s="13"/>
      <c r="K31" s="64" t="str">
        <f>IF(AND($C31&lt;&gt;"",$I31&lt;&gt;"Closed",$I31&lt;&gt;"Complete",$I31&lt;&gt;"",$C31&amp;""=PMIS_Home!$B$4&amp;""),MAX($K$4:K30)+1,"")</f>
        <v/>
      </c>
    </row>
    <row r="32" spans="1:11" ht="135" customHeight="1">
      <c r="A32" s="13"/>
      <c r="B32" s="62"/>
      <c r="C32" s="13"/>
      <c r="D32" s="13"/>
      <c r="E32" s="13"/>
      <c r="F32" s="13"/>
      <c r="G32" s="13"/>
      <c r="H32" s="13"/>
      <c r="I32" s="13"/>
      <c r="J32" s="13"/>
      <c r="K32" s="64" t="str">
        <f>IF(AND($C32&lt;&gt;"",$I32&lt;&gt;"Closed",$I32&lt;&gt;"Complete",$I32&lt;&gt;"",$C32&amp;""=PMIS_Home!$B$4&amp;""),MAX($K$4:K31)+1,"")</f>
        <v/>
      </c>
    </row>
    <row r="33" spans="1:11" ht="135" customHeight="1">
      <c r="A33" s="13"/>
      <c r="B33" s="62"/>
      <c r="C33" s="13"/>
      <c r="D33" s="13"/>
      <c r="E33" s="13"/>
      <c r="F33" s="13"/>
      <c r="G33" s="13"/>
      <c r="H33" s="13"/>
      <c r="I33" s="13"/>
      <c r="J33" s="13"/>
      <c r="K33" s="64" t="str">
        <f>IF(AND($C33&lt;&gt;"",$I33&lt;&gt;"Closed",$I33&lt;&gt;"Complete",$I33&lt;&gt;"",$C33&amp;""=PMIS_Home!$B$4&amp;""),MAX($K$4:K32)+1,"")</f>
        <v/>
      </c>
    </row>
    <row r="34" spans="1:11" ht="135" customHeight="1">
      <c r="A34" s="13"/>
      <c r="B34" s="62"/>
      <c r="C34" s="13"/>
      <c r="D34" s="13"/>
      <c r="E34" s="13"/>
      <c r="F34" s="13"/>
      <c r="G34" s="13"/>
      <c r="H34" s="13"/>
      <c r="I34" s="13"/>
      <c r="J34" s="13"/>
      <c r="K34" s="64" t="str">
        <f>IF(AND($C34&lt;&gt;"",$I34&lt;&gt;"Closed",$I34&lt;&gt;"Complete",$I34&lt;&gt;"",$C34&amp;""=PMIS_Home!$B$4&amp;""),MAX($K$4:K33)+1,"")</f>
        <v/>
      </c>
    </row>
    <row r="35" spans="1:11" ht="135" customHeight="1">
      <c r="A35" s="13"/>
      <c r="B35" s="62"/>
      <c r="C35" s="13"/>
      <c r="D35" s="13"/>
      <c r="E35" s="13"/>
      <c r="F35" s="13"/>
      <c r="G35" s="13"/>
      <c r="H35" s="13"/>
      <c r="I35" s="13"/>
      <c r="J35" s="13"/>
      <c r="K35" s="64" t="str">
        <f>IF(AND($C35&lt;&gt;"",$I35&lt;&gt;"Closed",$I35&lt;&gt;"Complete",$I35&lt;&gt;"",$C35&amp;""=PMIS_Home!$B$4&amp;""),MAX($K$4:K34)+1,"")</f>
        <v/>
      </c>
    </row>
    <row r="36" spans="1:11" ht="135" customHeight="1">
      <c r="A36" s="13"/>
      <c r="B36" s="62"/>
      <c r="C36" s="13"/>
      <c r="D36" s="13"/>
      <c r="E36" s="13"/>
      <c r="F36" s="13"/>
      <c r="G36" s="13"/>
      <c r="H36" s="13"/>
      <c r="I36" s="13"/>
      <c r="J36" s="13"/>
      <c r="K36" s="64" t="str">
        <f>IF(AND($C36&lt;&gt;"",$I36&lt;&gt;"Closed",$I36&lt;&gt;"Complete",$I36&lt;&gt;"",$C36&amp;""=PMIS_Home!$B$4&amp;""),MAX($K$4:K35)+1,"")</f>
        <v/>
      </c>
    </row>
    <row r="37" spans="1:11" ht="135" customHeight="1">
      <c r="A37" s="13"/>
      <c r="B37" s="62"/>
      <c r="C37" s="13"/>
      <c r="D37" s="13"/>
      <c r="E37" s="13"/>
      <c r="F37" s="13"/>
      <c r="G37" s="13"/>
      <c r="H37" s="13"/>
      <c r="I37" s="13"/>
      <c r="J37" s="13"/>
      <c r="K37" s="64" t="str">
        <f>IF(AND($C37&lt;&gt;"",$I37&lt;&gt;"Closed",$I37&lt;&gt;"Complete",$I37&lt;&gt;"",$C37&amp;""=PMIS_Home!$B$4&amp;""),MAX($K$4:K36)+1,"")</f>
        <v/>
      </c>
    </row>
    <row r="38" spans="1:11" ht="135" customHeight="1">
      <c r="A38" s="13"/>
      <c r="B38" s="62"/>
      <c r="C38" s="13"/>
      <c r="D38" s="13"/>
      <c r="E38" s="13"/>
      <c r="F38" s="13"/>
      <c r="G38" s="13"/>
      <c r="H38" s="13"/>
      <c r="I38" s="13"/>
      <c r="J38" s="13"/>
      <c r="K38" s="64" t="str">
        <f>IF(AND($C38&lt;&gt;"",$I38&lt;&gt;"Closed",$I38&lt;&gt;"Complete",$I38&lt;&gt;"",$C38&amp;""=PMIS_Home!$B$4&amp;""),MAX($K$4:K37)+1,"")</f>
        <v/>
      </c>
    </row>
    <row r="39" spans="1:11" ht="135" customHeight="1">
      <c r="A39" s="13"/>
      <c r="B39" s="62"/>
      <c r="C39" s="13"/>
      <c r="D39" s="13"/>
      <c r="E39" s="13"/>
      <c r="F39" s="13"/>
      <c r="G39" s="13"/>
      <c r="H39" s="13"/>
      <c r="I39" s="13"/>
      <c r="J39" s="13"/>
      <c r="K39" s="64" t="str">
        <f>IF(AND($C39&lt;&gt;"",$I39&lt;&gt;"Closed",$I39&lt;&gt;"Complete",$I39&lt;&gt;"",$C39&amp;""=PMIS_Home!$B$4&amp;""),MAX($K$4:K38)+1,"")</f>
        <v/>
      </c>
    </row>
    <row r="40" spans="1:11" ht="135" customHeight="1">
      <c r="A40" s="13"/>
      <c r="B40" s="62"/>
      <c r="C40" s="13"/>
      <c r="D40" s="13"/>
      <c r="E40" s="13"/>
      <c r="F40" s="13"/>
      <c r="G40" s="13"/>
      <c r="H40" s="13"/>
      <c r="I40" s="13"/>
      <c r="J40" s="13"/>
      <c r="K40" s="64" t="str">
        <f>IF(AND($C40&lt;&gt;"",$I40&lt;&gt;"Closed",$I40&lt;&gt;"Complete",$I40&lt;&gt;"",$C40&amp;""=PMIS_Home!$B$4&amp;""),MAX($K$4:K39)+1,"")</f>
        <v/>
      </c>
    </row>
    <row r="41" spans="1:11" ht="135" customHeight="1">
      <c r="A41" s="13"/>
      <c r="B41" s="62"/>
      <c r="C41" s="13"/>
      <c r="D41" s="13"/>
      <c r="E41" s="13"/>
      <c r="F41" s="13"/>
      <c r="G41" s="13"/>
      <c r="H41" s="13"/>
      <c r="I41" s="13"/>
      <c r="J41" s="13"/>
      <c r="K41" s="64" t="str">
        <f>IF(AND($C41&lt;&gt;"",$I41&lt;&gt;"Closed",$I41&lt;&gt;"Complete",$I41&lt;&gt;"",$C41&amp;""=PMIS_Home!$B$4&amp;""),MAX($K$4:K40)+1,"")</f>
        <v/>
      </c>
    </row>
    <row r="42" spans="1:11" ht="135" customHeight="1">
      <c r="A42" s="13"/>
      <c r="B42" s="62"/>
      <c r="C42" s="13"/>
      <c r="D42" s="13"/>
      <c r="E42" s="13"/>
      <c r="F42" s="13"/>
      <c r="G42" s="13"/>
      <c r="H42" s="13"/>
      <c r="I42" s="13"/>
      <c r="J42" s="13"/>
      <c r="K42" s="64" t="str">
        <f>IF(AND($C42&lt;&gt;"",$I42&lt;&gt;"Closed",$I42&lt;&gt;"Complete",$I42&lt;&gt;"",$C42&amp;""=PMIS_Home!$B$4&amp;""),MAX($K$4:K41)+1,"")</f>
        <v/>
      </c>
    </row>
    <row r="43" spans="1:11" ht="135" customHeight="1">
      <c r="A43" s="13"/>
      <c r="B43" s="62"/>
      <c r="C43" s="13"/>
      <c r="D43" s="13"/>
      <c r="E43" s="13"/>
      <c r="F43" s="13"/>
      <c r="G43" s="13"/>
      <c r="H43" s="13"/>
      <c r="I43" s="13"/>
      <c r="J43" s="13"/>
      <c r="K43" s="64" t="str">
        <f>IF(AND($C43&lt;&gt;"",$I43&lt;&gt;"Closed",$I43&lt;&gt;"Complete",$I43&lt;&gt;"",$C43&amp;""=PMIS_Home!$B$4&amp;""),MAX($K$4:K42)+1,"")</f>
        <v/>
      </c>
    </row>
    <row r="44" spans="1:11" ht="135" customHeight="1">
      <c r="A44" s="13"/>
      <c r="B44" s="62"/>
      <c r="C44" s="13"/>
      <c r="D44" s="13"/>
      <c r="E44" s="13"/>
      <c r="F44" s="13"/>
      <c r="G44" s="13"/>
      <c r="H44" s="13"/>
      <c r="I44" s="13"/>
      <c r="J44" s="13"/>
      <c r="K44" s="64" t="str">
        <f>IF(AND($C44&lt;&gt;"",$I44&lt;&gt;"Closed",$I44&lt;&gt;"Complete",$I44&lt;&gt;"",$C44&amp;""=PMIS_Home!$B$4&amp;""),MAX($K$4:K43)+1,"")</f>
        <v/>
      </c>
    </row>
    <row r="45" spans="1:11" ht="135" customHeight="1">
      <c r="A45" s="13"/>
      <c r="B45" s="62"/>
      <c r="C45" s="13"/>
      <c r="D45" s="13"/>
      <c r="E45" s="13"/>
      <c r="F45" s="13"/>
      <c r="G45" s="13"/>
      <c r="H45" s="13"/>
      <c r="I45" s="13"/>
      <c r="J45" s="13"/>
      <c r="K45" s="64" t="str">
        <f>IF(AND($C45&lt;&gt;"",$I45&lt;&gt;"Closed",$I45&lt;&gt;"Complete",$I45&lt;&gt;"",$C45&amp;""=PMIS_Home!$B$4&amp;""),MAX($K$4:K44)+1,"")</f>
        <v/>
      </c>
    </row>
    <row r="46" spans="1:11" ht="135" customHeight="1">
      <c r="A46" s="13"/>
      <c r="B46" s="62"/>
      <c r="C46" s="13"/>
      <c r="D46" s="13"/>
      <c r="E46" s="13"/>
      <c r="F46" s="13"/>
      <c r="G46" s="13"/>
      <c r="H46" s="13"/>
      <c r="I46" s="13"/>
      <c r="J46" s="13"/>
      <c r="K46" s="64" t="str">
        <f>IF(AND($C46&lt;&gt;"",$I46&lt;&gt;"Closed",$I46&lt;&gt;"Complete",$I46&lt;&gt;"",$C46&amp;""=PMIS_Home!$B$4&amp;""),MAX($K$4:K45)+1,"")</f>
        <v/>
      </c>
    </row>
    <row r="47" spans="1:11" ht="135" customHeight="1">
      <c r="A47" s="13"/>
      <c r="B47" s="62"/>
      <c r="C47" s="13"/>
      <c r="D47" s="13"/>
      <c r="E47" s="13"/>
      <c r="F47" s="13"/>
      <c r="G47" s="13"/>
      <c r="H47" s="13"/>
      <c r="I47" s="13"/>
      <c r="J47" s="13"/>
      <c r="K47" s="64" t="str">
        <f>IF(AND($C47&lt;&gt;"",$I47&lt;&gt;"Closed",$I47&lt;&gt;"Complete",$I47&lt;&gt;"",$C47&amp;""=PMIS_Home!$B$4&amp;""),MAX($K$4:K46)+1,"")</f>
        <v/>
      </c>
    </row>
    <row r="48" spans="1:11" ht="135" customHeight="1">
      <c r="A48" s="13"/>
      <c r="B48" s="62"/>
      <c r="C48" s="13"/>
      <c r="D48" s="13"/>
      <c r="E48" s="13"/>
      <c r="F48" s="13"/>
      <c r="G48" s="13"/>
      <c r="H48" s="13"/>
      <c r="I48" s="13"/>
      <c r="J48" s="13"/>
      <c r="K48" s="64" t="str">
        <f>IF(AND($C48&lt;&gt;"",$I48&lt;&gt;"Closed",$I48&lt;&gt;"Complete",$I48&lt;&gt;"",$C48&amp;""=PMIS_Home!$B$4&amp;""),MAX($K$4:K47)+1,"")</f>
        <v/>
      </c>
    </row>
    <row r="49" spans="1:11" ht="135" customHeight="1">
      <c r="A49" s="13"/>
      <c r="B49" s="62"/>
      <c r="C49" s="13"/>
      <c r="D49" s="13"/>
      <c r="E49" s="13"/>
      <c r="F49" s="13"/>
      <c r="G49" s="13"/>
      <c r="H49" s="13"/>
      <c r="I49" s="13"/>
      <c r="J49" s="13"/>
      <c r="K49" s="64" t="str">
        <f>IF(AND($C49&lt;&gt;"",$I49&lt;&gt;"Closed",$I49&lt;&gt;"Complete",$I49&lt;&gt;"",$C49&amp;""=PMIS_Home!$B$4&amp;""),MAX($K$4:K48)+1,"")</f>
        <v/>
      </c>
    </row>
    <row r="50" spans="1:11" ht="135" customHeight="1">
      <c r="A50" s="13"/>
      <c r="B50" s="62"/>
      <c r="C50" s="13"/>
      <c r="D50" s="13"/>
      <c r="E50" s="13"/>
      <c r="F50" s="13"/>
      <c r="G50" s="13"/>
      <c r="H50" s="13"/>
      <c r="I50" s="13"/>
      <c r="J50" s="13"/>
      <c r="K50" s="64" t="str">
        <f>IF(AND($C50&lt;&gt;"",$I50&lt;&gt;"Closed",$I50&lt;&gt;"Complete",$I50&lt;&gt;"",$C50&amp;""=PMIS_Home!$B$4&amp;""),MAX($K$4:K49)+1,"")</f>
        <v/>
      </c>
    </row>
    <row r="51" spans="1:11" ht="135" customHeight="1">
      <c r="A51" s="13"/>
      <c r="B51" s="62"/>
      <c r="C51" s="13"/>
      <c r="D51" s="13"/>
      <c r="E51" s="13"/>
      <c r="F51" s="13"/>
      <c r="G51" s="13"/>
      <c r="H51" s="13"/>
      <c r="I51" s="13"/>
      <c r="J51" s="13"/>
      <c r="K51" s="64" t="str">
        <f>IF(AND($C51&lt;&gt;"",$I51&lt;&gt;"Closed",$I51&lt;&gt;"Complete",$I51&lt;&gt;"",$C51&amp;""=PMIS_Home!$B$4&amp;""),MAX($K$4:K50)+1,"")</f>
        <v/>
      </c>
    </row>
    <row r="52" spans="1:11" ht="135" customHeight="1">
      <c r="A52" s="13"/>
      <c r="B52" s="62"/>
      <c r="C52" s="13"/>
      <c r="D52" s="13"/>
      <c r="E52" s="13"/>
      <c r="F52" s="13"/>
      <c r="G52" s="13"/>
      <c r="H52" s="13"/>
      <c r="I52" s="13"/>
      <c r="J52" s="13"/>
      <c r="K52" s="64" t="str">
        <f>IF(AND($C52&lt;&gt;"",$I52&lt;&gt;"Closed",$I52&lt;&gt;"Complete",$I52&lt;&gt;"",$C52&amp;""=PMIS_Home!$B$4&amp;""),MAX($K$4:K51)+1,"")</f>
        <v/>
      </c>
    </row>
    <row r="53" spans="1:11" ht="135" customHeight="1">
      <c r="A53" s="13"/>
      <c r="B53" s="62"/>
      <c r="C53" s="13"/>
      <c r="D53" s="13"/>
      <c r="E53" s="13"/>
      <c r="F53" s="13"/>
      <c r="G53" s="13"/>
      <c r="H53" s="13"/>
      <c r="I53" s="13"/>
      <c r="J53" s="13"/>
      <c r="K53" s="64" t="str">
        <f>IF(AND($C53&lt;&gt;"",$I53&lt;&gt;"Closed",$I53&lt;&gt;"Complete",$I53&lt;&gt;"",$C53&amp;""=PMIS_Home!$B$4&amp;""),MAX($K$4:K52)+1,"")</f>
        <v/>
      </c>
    </row>
    <row r="54" spans="1:11" ht="135" customHeight="1">
      <c r="A54" s="13"/>
      <c r="B54" s="62"/>
      <c r="C54" s="13"/>
      <c r="D54" s="13"/>
      <c r="E54" s="13"/>
      <c r="F54" s="13"/>
      <c r="G54" s="13"/>
      <c r="H54" s="13"/>
      <c r="I54" s="13"/>
      <c r="J54" s="13"/>
      <c r="K54" s="64" t="str">
        <f>IF(AND($C54&lt;&gt;"",$I54&lt;&gt;"Closed",$I54&lt;&gt;"Complete",$I54&lt;&gt;"",$C54&amp;""=PMIS_Home!$B$4&amp;""),MAX($K$4:K53)+1,"")</f>
        <v/>
      </c>
    </row>
    <row r="55" spans="1:11" ht="135" customHeight="1">
      <c r="A55" s="13"/>
      <c r="B55" s="62"/>
      <c r="C55" s="13"/>
      <c r="D55" s="13"/>
      <c r="E55" s="13"/>
      <c r="F55" s="13"/>
      <c r="G55" s="13"/>
      <c r="H55" s="13"/>
      <c r="I55" s="13"/>
      <c r="J55" s="13"/>
      <c r="K55" s="64" t="str">
        <f>IF(AND($C55&lt;&gt;"",$I55&lt;&gt;"Closed",$I55&lt;&gt;"Complete",$I55&lt;&gt;"",$C55&amp;""=PMIS_Home!$B$4&amp;""),MAX($K$4:K54)+1,"")</f>
        <v/>
      </c>
    </row>
    <row r="56" spans="1:11" ht="135" customHeight="1">
      <c r="A56" s="13"/>
      <c r="B56" s="62"/>
      <c r="C56" s="13"/>
      <c r="D56" s="13"/>
      <c r="E56" s="13"/>
      <c r="F56" s="13"/>
      <c r="G56" s="13"/>
      <c r="H56" s="13"/>
      <c r="I56" s="13"/>
      <c r="J56" s="13"/>
      <c r="K56" s="64" t="str">
        <f>IF(AND($C56&lt;&gt;"",$I56&lt;&gt;"Closed",$I56&lt;&gt;"Complete",$I56&lt;&gt;"",$C56&amp;""=PMIS_Home!$B$4&amp;""),MAX($K$4:K55)+1,"")</f>
        <v/>
      </c>
    </row>
    <row r="57" spans="1:11" ht="135" customHeight="1">
      <c r="A57" s="13"/>
      <c r="B57" s="62"/>
      <c r="C57" s="13"/>
      <c r="D57" s="13"/>
      <c r="E57" s="13"/>
      <c r="F57" s="13"/>
      <c r="G57" s="13"/>
      <c r="H57" s="13"/>
      <c r="I57" s="13"/>
      <c r="J57" s="13"/>
      <c r="K57" s="64" t="str">
        <f>IF(AND($C57&lt;&gt;"",$I57&lt;&gt;"Closed",$I57&lt;&gt;"Complete",$I57&lt;&gt;"",$C57&amp;""=PMIS_Home!$B$4&amp;""),MAX($K$4:K56)+1,"")</f>
        <v/>
      </c>
    </row>
    <row r="58" spans="1:11" ht="135" customHeight="1">
      <c r="A58" s="13"/>
      <c r="B58" s="62"/>
      <c r="C58" s="13"/>
      <c r="D58" s="13"/>
      <c r="E58" s="13"/>
      <c r="F58" s="13"/>
      <c r="G58" s="13"/>
      <c r="H58" s="13"/>
      <c r="I58" s="13"/>
      <c r="J58" s="13"/>
      <c r="K58" s="64" t="str">
        <f>IF(AND($C58&lt;&gt;"",$I58&lt;&gt;"Closed",$I58&lt;&gt;"Complete",$I58&lt;&gt;"",$C58&amp;""=PMIS_Home!$B$4&amp;""),MAX($K$4:K57)+1,"")</f>
        <v/>
      </c>
    </row>
    <row r="59" spans="1:11" ht="135" customHeight="1">
      <c r="A59" s="13"/>
      <c r="B59" s="62"/>
      <c r="C59" s="13"/>
      <c r="D59" s="13"/>
      <c r="E59" s="13"/>
      <c r="F59" s="13"/>
      <c r="G59" s="13"/>
      <c r="H59" s="13"/>
      <c r="I59" s="13"/>
      <c r="J59" s="13"/>
      <c r="K59" s="64" t="str">
        <f>IF(AND($C59&lt;&gt;"",$I59&lt;&gt;"Closed",$I59&lt;&gt;"Complete",$I59&lt;&gt;"",$C59&amp;""=PMIS_Home!$B$4&amp;""),MAX($K$4:K58)+1,"")</f>
        <v/>
      </c>
    </row>
    <row r="60" spans="1:11" ht="135" customHeight="1">
      <c r="A60" s="13"/>
      <c r="B60" s="62"/>
      <c r="C60" s="13"/>
      <c r="D60" s="13"/>
      <c r="E60" s="13"/>
      <c r="F60" s="13"/>
      <c r="G60" s="13"/>
      <c r="H60" s="13"/>
      <c r="I60" s="13"/>
      <c r="J60" s="13"/>
      <c r="K60" s="64" t="str">
        <f>IF(AND($C60&lt;&gt;"",$I60&lt;&gt;"Closed",$I60&lt;&gt;"Complete",$I60&lt;&gt;"",$C60&amp;""=PMIS_Home!$B$4&amp;""),MAX($K$4:K59)+1,"")</f>
        <v/>
      </c>
    </row>
    <row r="61" spans="1:11" ht="135" customHeight="1">
      <c r="A61" s="13"/>
      <c r="B61" s="62"/>
      <c r="C61" s="13"/>
      <c r="D61" s="13"/>
      <c r="E61" s="13"/>
      <c r="F61" s="13"/>
      <c r="G61" s="13"/>
      <c r="H61" s="13"/>
      <c r="I61" s="13"/>
      <c r="J61" s="13"/>
      <c r="K61" s="64" t="str">
        <f>IF(AND($C61&lt;&gt;"",$I61&lt;&gt;"Closed",$I61&lt;&gt;"Complete",$I61&lt;&gt;"",$C61&amp;""=PMIS_Home!$B$4&amp;""),MAX($K$4:K60)+1,"")</f>
        <v/>
      </c>
    </row>
    <row r="62" spans="1:11" ht="135" customHeight="1">
      <c r="A62" s="13"/>
      <c r="B62" s="62"/>
      <c r="C62" s="13"/>
      <c r="D62" s="13"/>
      <c r="E62" s="13"/>
      <c r="F62" s="13"/>
      <c r="G62" s="13"/>
      <c r="H62" s="13"/>
      <c r="I62" s="13"/>
      <c r="J62" s="13"/>
      <c r="K62" s="64" t="str">
        <f>IF(AND($C62&lt;&gt;"",$I62&lt;&gt;"Closed",$I62&lt;&gt;"Complete",$I62&lt;&gt;"",$C62&amp;""=PMIS_Home!$B$4&amp;""),MAX($K$4:K61)+1,"")</f>
        <v/>
      </c>
    </row>
    <row r="63" spans="1:11" ht="135" customHeight="1">
      <c r="A63" s="13"/>
      <c r="B63" s="62"/>
      <c r="C63" s="13"/>
      <c r="D63" s="13"/>
      <c r="E63" s="13"/>
      <c r="F63" s="13"/>
      <c r="G63" s="13"/>
      <c r="H63" s="13"/>
      <c r="I63" s="13"/>
      <c r="J63" s="13"/>
      <c r="K63" s="64" t="str">
        <f>IF(AND($C63&lt;&gt;"",$I63&lt;&gt;"Closed",$I63&lt;&gt;"Complete",$I63&lt;&gt;"",$C63&amp;""=PMIS_Home!$B$4&amp;""),MAX($K$4:K62)+1,"")</f>
        <v/>
      </c>
    </row>
    <row r="64" spans="1:11" ht="135" customHeight="1">
      <c r="A64" s="13"/>
      <c r="B64" s="62"/>
      <c r="C64" s="13"/>
      <c r="D64" s="13"/>
      <c r="E64" s="13"/>
      <c r="F64" s="13"/>
      <c r="G64" s="13"/>
      <c r="H64" s="13"/>
      <c r="I64" s="13"/>
      <c r="J64" s="13"/>
      <c r="K64" s="64" t="str">
        <f>IF(AND($C64&lt;&gt;"",$I64&lt;&gt;"Closed",$I64&lt;&gt;"Complete",$I64&lt;&gt;"",$C64&amp;""=PMIS_Home!$B$4&amp;""),MAX($K$4:K63)+1,"")</f>
        <v/>
      </c>
    </row>
    <row r="65" spans="1:11" ht="135" customHeight="1">
      <c r="A65" s="13"/>
      <c r="B65" s="62"/>
      <c r="C65" s="13"/>
      <c r="D65" s="13"/>
      <c r="E65" s="13"/>
      <c r="F65" s="13"/>
      <c r="G65" s="13"/>
      <c r="H65" s="13"/>
      <c r="I65" s="13"/>
      <c r="J65" s="13"/>
      <c r="K65" s="64" t="str">
        <f>IF(AND($C65&lt;&gt;"",$I65&lt;&gt;"Closed",$I65&lt;&gt;"Complete",$I65&lt;&gt;"",$C65&amp;""=PMIS_Home!$B$4&amp;""),MAX($K$4:K64)+1,"")</f>
        <v/>
      </c>
    </row>
    <row r="66" spans="1:11" ht="135" customHeight="1">
      <c r="A66" s="13"/>
      <c r="B66" s="62"/>
      <c r="C66" s="13"/>
      <c r="D66" s="13"/>
      <c r="E66" s="13"/>
      <c r="F66" s="13"/>
      <c r="G66" s="13"/>
      <c r="H66" s="13"/>
      <c r="I66" s="13"/>
      <c r="J66" s="13"/>
      <c r="K66" s="64" t="str">
        <f>IF(AND($C66&lt;&gt;"",$I66&lt;&gt;"Closed",$I66&lt;&gt;"Complete",$I66&lt;&gt;"",$C66&amp;""=PMIS_Home!$B$4&amp;""),MAX($K$4:K65)+1,"")</f>
        <v/>
      </c>
    </row>
    <row r="67" spans="1:11" ht="135" customHeight="1">
      <c r="A67" s="13"/>
      <c r="B67" s="62"/>
      <c r="C67" s="13"/>
      <c r="D67" s="13"/>
      <c r="E67" s="13"/>
      <c r="F67" s="13"/>
      <c r="G67" s="13"/>
      <c r="H67" s="13"/>
      <c r="I67" s="13"/>
      <c r="J67" s="13"/>
      <c r="K67" s="64" t="str">
        <f>IF(AND($C67&lt;&gt;"",$I67&lt;&gt;"Closed",$I67&lt;&gt;"Complete",$I67&lt;&gt;"",$C67&amp;""=PMIS_Home!$B$4&amp;""),MAX($K$4:K66)+1,"")</f>
        <v/>
      </c>
    </row>
    <row r="68" spans="1:11" ht="135" customHeight="1">
      <c r="A68" s="13"/>
      <c r="B68" s="62"/>
      <c r="C68" s="13"/>
      <c r="D68" s="13"/>
      <c r="E68" s="13"/>
      <c r="F68" s="13"/>
      <c r="G68" s="13"/>
      <c r="H68" s="13"/>
      <c r="I68" s="13"/>
      <c r="J68" s="13"/>
      <c r="K68" s="64" t="str">
        <f>IF(AND($C68&lt;&gt;"",$I68&lt;&gt;"Closed",$I68&lt;&gt;"Complete",$I68&lt;&gt;"",$C68&amp;""=PMIS_Home!$B$4&amp;""),MAX($K$4:K67)+1,"")</f>
        <v/>
      </c>
    </row>
    <row r="69" spans="1:11" ht="135" customHeight="1">
      <c r="A69" s="13"/>
      <c r="B69" s="62"/>
      <c r="C69" s="13"/>
      <c r="D69" s="13"/>
      <c r="E69" s="13"/>
      <c r="F69" s="13"/>
      <c r="G69" s="13"/>
      <c r="H69" s="13"/>
      <c r="I69" s="13"/>
      <c r="J69" s="13"/>
      <c r="K69" s="64" t="str">
        <f>IF(AND($C69&lt;&gt;"",$I69&lt;&gt;"Closed",$I69&lt;&gt;"Complete",$I69&lt;&gt;"",$C69&amp;""=PMIS_Home!$B$4&amp;""),MAX($K$4:K68)+1,"")</f>
        <v/>
      </c>
    </row>
    <row r="70" spans="1:11" ht="135" customHeight="1">
      <c r="A70" s="13"/>
      <c r="B70" s="62"/>
      <c r="C70" s="13"/>
      <c r="D70" s="13"/>
      <c r="E70" s="13"/>
      <c r="F70" s="13"/>
      <c r="G70" s="13"/>
      <c r="H70" s="13"/>
      <c r="I70" s="13"/>
      <c r="J70" s="13"/>
      <c r="K70" s="64" t="str">
        <f>IF(AND($C70&lt;&gt;"",$I70&lt;&gt;"Closed",$I70&lt;&gt;"Complete",$I70&lt;&gt;"",$C70&amp;""=PMIS_Home!$B$4&amp;""),MAX($K$4:K69)+1,"")</f>
        <v/>
      </c>
    </row>
    <row r="71" spans="1:11" ht="135" customHeight="1">
      <c r="A71" s="13"/>
      <c r="B71" s="62"/>
      <c r="C71" s="13"/>
      <c r="D71" s="13"/>
      <c r="E71" s="13"/>
      <c r="F71" s="13"/>
      <c r="G71" s="13"/>
      <c r="H71" s="13"/>
      <c r="I71" s="13"/>
      <c r="J71" s="13"/>
      <c r="K71" s="64" t="str">
        <f>IF(AND($C71&lt;&gt;"",$I71&lt;&gt;"Closed",$I71&lt;&gt;"Complete",$I71&lt;&gt;"",$C71&amp;""=PMIS_Home!$B$4&amp;""),MAX($K$4:K70)+1,"")</f>
        <v/>
      </c>
    </row>
    <row r="72" spans="1:11" ht="135" customHeight="1">
      <c r="A72" s="13"/>
      <c r="B72" s="62"/>
      <c r="C72" s="13"/>
      <c r="D72" s="13"/>
      <c r="E72" s="13"/>
      <c r="F72" s="13"/>
      <c r="G72" s="13"/>
      <c r="H72" s="13"/>
      <c r="I72" s="13"/>
      <c r="J72" s="13"/>
      <c r="K72" s="64" t="str">
        <f>IF(AND($C72&lt;&gt;"",$I72&lt;&gt;"Closed",$I72&lt;&gt;"Complete",$I72&lt;&gt;"",$C72&amp;""=PMIS_Home!$B$4&amp;""),MAX($K$4:K71)+1,"")</f>
        <v/>
      </c>
    </row>
    <row r="73" spans="1:11" ht="135" customHeight="1">
      <c r="A73" s="13"/>
      <c r="B73" s="62"/>
      <c r="C73" s="13"/>
      <c r="D73" s="13"/>
      <c r="E73" s="13"/>
      <c r="F73" s="13"/>
      <c r="G73" s="13"/>
      <c r="H73" s="13"/>
      <c r="I73" s="13"/>
      <c r="J73" s="13"/>
      <c r="K73" s="64" t="str">
        <f>IF(AND($C73&lt;&gt;"",$I73&lt;&gt;"Closed",$I73&lt;&gt;"Complete",$I73&lt;&gt;"",$C73&amp;""=PMIS_Home!$B$4&amp;""),MAX($K$4:K72)+1,"")</f>
        <v/>
      </c>
    </row>
    <row r="74" spans="1:11" ht="135" customHeight="1">
      <c r="A74" s="13"/>
      <c r="B74" s="62"/>
      <c r="C74" s="13"/>
      <c r="D74" s="13"/>
      <c r="E74" s="13"/>
      <c r="F74" s="13"/>
      <c r="G74" s="13"/>
      <c r="H74" s="13"/>
      <c r="I74" s="13"/>
      <c r="J74" s="13"/>
      <c r="K74" s="64" t="str">
        <f>IF(AND($C74&lt;&gt;"",$I74&lt;&gt;"Closed",$I74&lt;&gt;"Complete",$I74&lt;&gt;"",$C74&amp;""=PMIS_Home!$B$4&amp;""),MAX($K$4:K73)+1,"")</f>
        <v/>
      </c>
    </row>
    <row r="75" spans="1:11" ht="135" customHeight="1">
      <c r="A75" s="13"/>
      <c r="B75" s="62"/>
      <c r="C75" s="13"/>
      <c r="D75" s="13"/>
      <c r="E75" s="13"/>
      <c r="F75" s="13"/>
      <c r="G75" s="13"/>
      <c r="H75" s="13"/>
      <c r="I75" s="13"/>
      <c r="J75" s="13"/>
      <c r="K75" s="64" t="str">
        <f>IF(AND($C75&lt;&gt;"",$I75&lt;&gt;"Closed",$I75&lt;&gt;"Complete",$I75&lt;&gt;"",$C75&amp;""=PMIS_Home!$B$4&amp;""),MAX($K$4:K74)+1,"")</f>
        <v/>
      </c>
    </row>
    <row r="76" spans="1:11" ht="135" customHeight="1">
      <c r="A76" s="13"/>
      <c r="B76" s="62"/>
      <c r="C76" s="13"/>
      <c r="D76" s="13"/>
      <c r="E76" s="13"/>
      <c r="F76" s="13"/>
      <c r="G76" s="13"/>
      <c r="H76" s="13"/>
      <c r="I76" s="13"/>
      <c r="J76" s="13"/>
      <c r="K76" s="64" t="str">
        <f>IF(AND($C76&lt;&gt;"",$I76&lt;&gt;"Closed",$I76&lt;&gt;"Complete",$I76&lt;&gt;"",$C76&amp;""=PMIS_Home!$B$4&amp;""),MAX($K$4:K75)+1,"")</f>
        <v/>
      </c>
    </row>
    <row r="77" spans="1:11" ht="135" customHeight="1">
      <c r="A77" s="13"/>
      <c r="B77" s="62"/>
      <c r="C77" s="13"/>
      <c r="D77" s="13"/>
      <c r="E77" s="13"/>
      <c r="F77" s="13"/>
      <c r="G77" s="13"/>
      <c r="H77" s="13"/>
      <c r="I77" s="13"/>
      <c r="J77" s="13"/>
      <c r="K77" s="64" t="str">
        <f>IF(AND($C77&lt;&gt;"",$I77&lt;&gt;"Closed",$I77&lt;&gt;"Complete",$I77&lt;&gt;"",$C77&amp;""=PMIS_Home!$B$4&amp;""),MAX($K$4:K76)+1,"")</f>
        <v/>
      </c>
    </row>
    <row r="78" spans="1:11" ht="135" customHeight="1">
      <c r="A78" s="13"/>
      <c r="B78" s="62"/>
      <c r="C78" s="13"/>
      <c r="D78" s="13"/>
      <c r="E78" s="13"/>
      <c r="F78" s="13"/>
      <c r="G78" s="13"/>
      <c r="H78" s="13"/>
      <c r="I78" s="13"/>
      <c r="J78" s="13"/>
      <c r="K78" s="64" t="str">
        <f>IF(AND($C78&lt;&gt;"",$I78&lt;&gt;"Closed",$I78&lt;&gt;"Complete",$I78&lt;&gt;"",$C78&amp;""=PMIS_Home!$B$4&amp;""),MAX($K$4:K77)+1,"")</f>
        <v/>
      </c>
    </row>
    <row r="79" spans="1:11" ht="135" customHeight="1">
      <c r="A79" s="13"/>
      <c r="B79" s="62"/>
      <c r="C79" s="13"/>
      <c r="D79" s="13"/>
      <c r="E79" s="13"/>
      <c r="F79" s="13"/>
      <c r="G79" s="13"/>
      <c r="H79" s="13"/>
      <c r="I79" s="13"/>
      <c r="J79" s="13"/>
      <c r="K79" s="64" t="str">
        <f>IF(AND($C79&lt;&gt;"",$I79&lt;&gt;"Closed",$I79&lt;&gt;"Complete",$I79&lt;&gt;"",$C79&amp;""=PMIS_Home!$B$4&amp;""),MAX($K$4:K78)+1,"")</f>
        <v/>
      </c>
    </row>
    <row r="80" spans="1:11" ht="135" customHeight="1">
      <c r="A80" s="13"/>
      <c r="B80" s="62"/>
      <c r="C80" s="13"/>
      <c r="D80" s="13"/>
      <c r="E80" s="13"/>
      <c r="F80" s="13"/>
      <c r="G80" s="13"/>
      <c r="H80" s="13"/>
      <c r="I80" s="13"/>
      <c r="J80" s="13"/>
      <c r="K80" s="64" t="str">
        <f>IF(AND($C80&lt;&gt;"",$I80&lt;&gt;"Closed",$I80&lt;&gt;"Complete",$I80&lt;&gt;"",$C80&amp;""=PMIS_Home!$B$4&amp;""),MAX($K$4:K79)+1,"")</f>
        <v/>
      </c>
    </row>
    <row r="81" spans="1:11" ht="135" customHeight="1">
      <c r="A81" s="13"/>
      <c r="B81" s="62"/>
      <c r="C81" s="13"/>
      <c r="D81" s="13"/>
      <c r="E81" s="13"/>
      <c r="F81" s="13"/>
      <c r="G81" s="13"/>
      <c r="H81" s="13"/>
      <c r="I81" s="13"/>
      <c r="J81" s="13"/>
      <c r="K81" s="64" t="str">
        <f>IF(AND($C81&lt;&gt;"",$I81&lt;&gt;"Closed",$I81&lt;&gt;"Complete",$I81&lt;&gt;"",$C81&amp;""=PMIS_Home!$B$4&amp;""),MAX($K$4:K80)+1,"")</f>
        <v/>
      </c>
    </row>
    <row r="82" spans="1:11" ht="135" customHeight="1">
      <c r="A82" s="13"/>
      <c r="B82" s="62"/>
      <c r="C82" s="13"/>
      <c r="D82" s="13"/>
      <c r="E82" s="13"/>
      <c r="F82" s="13"/>
      <c r="G82" s="13"/>
      <c r="H82" s="13"/>
      <c r="I82" s="13"/>
      <c r="J82" s="13"/>
      <c r="K82" s="64" t="str">
        <f>IF(AND($C82&lt;&gt;"",$I82&lt;&gt;"Closed",$I82&lt;&gt;"Complete",$I82&lt;&gt;"",$C82&amp;""=PMIS_Home!$B$4&amp;""),MAX($K$4:K81)+1,"")</f>
        <v/>
      </c>
    </row>
    <row r="83" spans="1:11" ht="135" customHeight="1">
      <c r="A83" s="13"/>
      <c r="B83" s="62"/>
      <c r="C83" s="13"/>
      <c r="D83" s="13"/>
      <c r="E83" s="13"/>
      <c r="F83" s="13"/>
      <c r="G83" s="13"/>
      <c r="H83" s="13"/>
      <c r="I83" s="13"/>
      <c r="J83" s="13"/>
      <c r="K83" s="64" t="str">
        <f>IF(AND($C83&lt;&gt;"",$I83&lt;&gt;"Closed",$I83&lt;&gt;"Complete",$I83&lt;&gt;"",$C83&amp;""=PMIS_Home!$B$4&amp;""),MAX($K$4:K82)+1,"")</f>
        <v/>
      </c>
    </row>
    <row r="84" spans="1:11" ht="135" customHeight="1">
      <c r="A84" s="13"/>
      <c r="B84" s="62"/>
      <c r="C84" s="13"/>
      <c r="D84" s="13"/>
      <c r="E84" s="13"/>
      <c r="F84" s="13"/>
      <c r="G84" s="13"/>
      <c r="H84" s="13"/>
      <c r="I84" s="13"/>
      <c r="J84" s="13"/>
      <c r="K84" s="64" t="str">
        <f>IF(AND($C84&lt;&gt;"",$I84&lt;&gt;"Closed",$I84&lt;&gt;"Complete",$I84&lt;&gt;"",$C84&amp;""=PMIS_Home!$B$4&amp;""),MAX($K$4:K83)+1,"")</f>
        <v/>
      </c>
    </row>
    <row r="85" spans="1:11" ht="135" customHeight="1">
      <c r="A85" s="13"/>
      <c r="B85" s="62"/>
      <c r="C85" s="13"/>
      <c r="D85" s="13"/>
      <c r="E85" s="13"/>
      <c r="F85" s="13"/>
      <c r="G85" s="13"/>
      <c r="H85" s="13"/>
      <c r="I85" s="13"/>
      <c r="J85" s="13"/>
      <c r="K85" s="64" t="str">
        <f>IF(AND($C85&lt;&gt;"",$I85&lt;&gt;"Closed",$I85&lt;&gt;"Complete",$I85&lt;&gt;"",$C85&amp;""=PMIS_Home!$B$4&amp;""),MAX($K$4:K84)+1,"")</f>
        <v/>
      </c>
    </row>
    <row r="86" spans="1:11" ht="135" customHeight="1">
      <c r="A86" s="13"/>
      <c r="B86" s="62"/>
      <c r="C86" s="13"/>
      <c r="D86" s="13"/>
      <c r="E86" s="13"/>
      <c r="F86" s="13"/>
      <c r="G86" s="13"/>
      <c r="H86" s="13"/>
      <c r="I86" s="13"/>
      <c r="J86" s="13"/>
      <c r="K86" s="64" t="str">
        <f>IF(AND($C86&lt;&gt;"",$I86&lt;&gt;"Closed",$I86&lt;&gt;"Complete",$I86&lt;&gt;"",$C86&amp;""=PMIS_Home!$B$4&amp;""),MAX($K$4:K85)+1,"")</f>
        <v/>
      </c>
    </row>
    <row r="87" spans="1:11" ht="135" customHeight="1">
      <c r="A87" s="13"/>
      <c r="B87" s="62"/>
      <c r="C87" s="13"/>
      <c r="D87" s="13"/>
      <c r="E87" s="13"/>
      <c r="F87" s="13"/>
      <c r="G87" s="13"/>
      <c r="H87" s="13"/>
      <c r="I87" s="13"/>
      <c r="J87" s="13"/>
      <c r="K87" s="64" t="str">
        <f>IF(AND($C87&lt;&gt;"",$I87&lt;&gt;"Closed",$I87&lt;&gt;"Complete",$I87&lt;&gt;"",$C87&amp;""=PMIS_Home!$B$4&amp;""),MAX($K$4:K86)+1,"")</f>
        <v/>
      </c>
    </row>
    <row r="88" spans="1:11" ht="135" customHeight="1">
      <c r="A88" s="13"/>
      <c r="B88" s="62"/>
      <c r="C88" s="13"/>
      <c r="D88" s="13"/>
      <c r="E88" s="13"/>
      <c r="F88" s="13"/>
      <c r="G88" s="13"/>
      <c r="H88" s="13"/>
      <c r="I88" s="13"/>
      <c r="J88" s="13"/>
      <c r="K88" s="64" t="str">
        <f>IF(AND($C88&lt;&gt;"",$I88&lt;&gt;"Closed",$I88&lt;&gt;"Complete",$I88&lt;&gt;"",$C88&amp;""=PMIS_Home!$B$4&amp;""),MAX($K$4:K87)+1,"")</f>
        <v/>
      </c>
    </row>
    <row r="89" spans="1:11" ht="135" customHeight="1">
      <c r="A89" s="13"/>
      <c r="B89" s="62"/>
      <c r="C89" s="13"/>
      <c r="D89" s="13"/>
      <c r="E89" s="13"/>
      <c r="F89" s="13"/>
      <c r="G89" s="13"/>
      <c r="H89" s="13"/>
      <c r="I89" s="13"/>
      <c r="J89" s="13"/>
      <c r="K89" s="64" t="str">
        <f>IF(AND($C89&lt;&gt;"",$I89&lt;&gt;"Closed",$I89&lt;&gt;"Complete",$I89&lt;&gt;"",$C89&amp;""=PMIS_Home!$B$4&amp;""),MAX($K$4:K88)+1,"")</f>
        <v/>
      </c>
    </row>
    <row r="90" spans="1:11" ht="135" customHeight="1">
      <c r="A90" s="13"/>
      <c r="B90" s="62"/>
      <c r="C90" s="13"/>
      <c r="D90" s="13"/>
      <c r="E90" s="13"/>
      <c r="F90" s="13"/>
      <c r="G90" s="13"/>
      <c r="H90" s="13"/>
      <c r="I90" s="13"/>
      <c r="J90" s="13"/>
      <c r="K90" s="64" t="str">
        <f>IF(AND($C90&lt;&gt;"",$I90&lt;&gt;"Closed",$I90&lt;&gt;"Complete",$I90&lt;&gt;"",$C90&amp;""=PMIS_Home!$B$4&amp;""),MAX($K$4:K89)+1,"")</f>
        <v/>
      </c>
    </row>
    <row r="91" spans="1:11" ht="135" customHeight="1">
      <c r="A91" s="13"/>
      <c r="B91" s="62"/>
      <c r="C91" s="13"/>
      <c r="D91" s="13"/>
      <c r="E91" s="13"/>
      <c r="F91" s="13"/>
      <c r="G91" s="13"/>
      <c r="H91" s="13"/>
      <c r="I91" s="13"/>
      <c r="J91" s="13"/>
      <c r="K91" s="64" t="str">
        <f>IF(AND($C91&lt;&gt;"",$I91&lt;&gt;"Closed",$I91&lt;&gt;"Complete",$I91&lt;&gt;"",$C91&amp;""=PMIS_Home!$B$4&amp;""),MAX($K$4:K90)+1,"")</f>
        <v/>
      </c>
    </row>
    <row r="92" spans="1:11" ht="135" customHeight="1">
      <c r="A92" s="13"/>
      <c r="B92" s="62"/>
      <c r="C92" s="13"/>
      <c r="D92" s="13"/>
      <c r="E92" s="13"/>
      <c r="F92" s="13"/>
      <c r="G92" s="13"/>
      <c r="H92" s="13"/>
      <c r="I92" s="13"/>
      <c r="J92" s="13"/>
      <c r="K92" s="64" t="str">
        <f>IF(AND($C92&lt;&gt;"",$I92&lt;&gt;"Closed",$I92&lt;&gt;"Complete",$I92&lt;&gt;"",$C92&amp;""=PMIS_Home!$B$4&amp;""),MAX($K$4:K91)+1,"")</f>
        <v/>
      </c>
    </row>
    <row r="93" spans="1:11" ht="135" customHeight="1">
      <c r="A93" s="13"/>
      <c r="B93" s="62"/>
      <c r="C93" s="13"/>
      <c r="D93" s="13"/>
      <c r="E93" s="13"/>
      <c r="F93" s="13"/>
      <c r="G93" s="13"/>
      <c r="H93" s="13"/>
      <c r="I93" s="13"/>
      <c r="J93" s="13"/>
      <c r="K93" s="64" t="str">
        <f>IF(AND($C93&lt;&gt;"",$I93&lt;&gt;"Closed",$I93&lt;&gt;"Complete",$I93&lt;&gt;"",$C93&amp;""=PMIS_Home!$B$4&amp;""),MAX($K$4:K92)+1,"")</f>
        <v/>
      </c>
    </row>
    <row r="94" spans="1:11" ht="135" customHeight="1">
      <c r="A94" s="13"/>
      <c r="B94" s="62"/>
      <c r="C94" s="13"/>
      <c r="D94" s="13"/>
      <c r="E94" s="13"/>
      <c r="F94" s="13"/>
      <c r="G94" s="13"/>
      <c r="H94" s="13"/>
      <c r="I94" s="13"/>
      <c r="J94" s="13"/>
      <c r="K94" s="64" t="str">
        <f>IF(AND($C94&lt;&gt;"",$I94&lt;&gt;"Closed",$I94&lt;&gt;"Complete",$I94&lt;&gt;"",$C94&amp;""=PMIS_Home!$B$4&amp;""),MAX($K$4:K93)+1,"")</f>
        <v/>
      </c>
    </row>
    <row r="95" spans="1:11" ht="135" customHeight="1">
      <c r="A95" s="13"/>
      <c r="B95" s="62"/>
      <c r="C95" s="13"/>
      <c r="D95" s="13"/>
      <c r="E95" s="13"/>
      <c r="F95" s="13"/>
      <c r="G95" s="13"/>
      <c r="H95" s="13"/>
      <c r="I95" s="13"/>
      <c r="J95" s="13"/>
      <c r="K95" s="64" t="str">
        <f>IF(AND($C95&lt;&gt;"",$I95&lt;&gt;"Closed",$I95&lt;&gt;"Complete",$I95&lt;&gt;"",$C95&amp;""=PMIS_Home!$B$4&amp;""),MAX($K$4:K94)+1,"")</f>
        <v/>
      </c>
    </row>
    <row r="96" spans="1:11" ht="135" customHeight="1">
      <c r="A96" s="13"/>
      <c r="B96" s="62"/>
      <c r="C96" s="13"/>
      <c r="D96" s="13"/>
      <c r="E96" s="13"/>
      <c r="F96" s="13"/>
      <c r="G96" s="13"/>
      <c r="H96" s="13"/>
      <c r="I96" s="13"/>
      <c r="J96" s="13"/>
      <c r="K96" s="64" t="str">
        <f>IF(AND($C96&lt;&gt;"",$I96&lt;&gt;"Closed",$I96&lt;&gt;"Complete",$I96&lt;&gt;"",$C96&amp;""=PMIS_Home!$B$4&amp;""),MAX($K$4:K95)+1,"")</f>
        <v/>
      </c>
    </row>
    <row r="97" spans="1:11" ht="135" customHeight="1">
      <c r="A97" s="13"/>
      <c r="B97" s="62"/>
      <c r="C97" s="13"/>
      <c r="D97" s="13"/>
      <c r="E97" s="13"/>
      <c r="F97" s="13"/>
      <c r="G97" s="13"/>
      <c r="H97" s="13"/>
      <c r="I97" s="13"/>
      <c r="J97" s="13"/>
      <c r="K97" s="64" t="str">
        <f>IF(AND($C97&lt;&gt;"",$I97&lt;&gt;"Closed",$I97&lt;&gt;"Complete",$I97&lt;&gt;"",$C97&amp;""=PMIS_Home!$B$4&amp;""),MAX($K$4:K96)+1,"")</f>
        <v/>
      </c>
    </row>
    <row r="98" spans="1:11" ht="135" customHeight="1">
      <c r="A98" s="13"/>
      <c r="B98" s="62"/>
      <c r="C98" s="13"/>
      <c r="D98" s="13"/>
      <c r="E98" s="13"/>
      <c r="F98" s="13"/>
      <c r="G98" s="13"/>
      <c r="H98" s="13"/>
      <c r="I98" s="13"/>
      <c r="J98" s="13"/>
      <c r="K98" s="64" t="str">
        <f>IF(AND($C98&lt;&gt;"",$I98&lt;&gt;"Closed",$I98&lt;&gt;"Complete",$I98&lt;&gt;"",$C98&amp;""=PMIS_Home!$B$4&amp;""),MAX($K$4:K97)+1,"")</f>
        <v/>
      </c>
    </row>
    <row r="99" spans="1:11" ht="135" customHeight="1">
      <c r="A99" s="13"/>
      <c r="B99" s="62"/>
      <c r="C99" s="13"/>
      <c r="D99" s="13"/>
      <c r="E99" s="13"/>
      <c r="F99" s="13"/>
      <c r="G99" s="13"/>
      <c r="H99" s="13"/>
      <c r="I99" s="13"/>
      <c r="J99" s="13"/>
      <c r="K99" s="64" t="str">
        <f>IF(AND($C99&lt;&gt;"",$I99&lt;&gt;"Closed",$I99&lt;&gt;"Complete",$I99&lt;&gt;"",$C99&amp;""=PMIS_Home!$B$4&amp;""),MAX($K$4:K98)+1,"")</f>
        <v/>
      </c>
    </row>
    <row r="100" spans="1:11" ht="135" customHeight="1">
      <c r="A100" s="13"/>
      <c r="B100" s="62"/>
      <c r="C100" s="13"/>
      <c r="D100" s="13"/>
      <c r="E100" s="13"/>
      <c r="F100" s="13"/>
      <c r="G100" s="13"/>
      <c r="H100" s="13"/>
      <c r="I100" s="13"/>
      <c r="J100" s="13"/>
      <c r="K100" s="64" t="str">
        <f>IF(AND($C100&lt;&gt;"",$I100&lt;&gt;"Closed",$I100&lt;&gt;"Complete",$I100&lt;&gt;"",$C100&amp;""=PMIS_Home!$B$4&amp;""),MAX($K$4:K99)+1,"")</f>
        <v/>
      </c>
    </row>
    <row r="101" spans="1:11" ht="135" customHeight="1">
      <c r="A101" s="13"/>
      <c r="B101" s="62"/>
      <c r="C101" s="13"/>
      <c r="D101" s="13"/>
      <c r="E101" s="13"/>
      <c r="F101" s="13"/>
      <c r="G101" s="13"/>
      <c r="H101" s="13"/>
      <c r="I101" s="13"/>
      <c r="J101" s="13"/>
      <c r="K101" s="64" t="str">
        <f>IF(AND($C101&lt;&gt;"",$I101&lt;&gt;"Closed",$I101&lt;&gt;"Complete",$I101&lt;&gt;"",$C101&amp;""=PMIS_Home!$B$4&amp;""),MAX($K$4:K100)+1,"")</f>
        <v/>
      </c>
    </row>
    <row r="102" spans="1:11" ht="135" customHeight="1">
      <c r="A102" s="13"/>
      <c r="B102" s="62"/>
      <c r="C102" s="13"/>
      <c r="D102" s="13"/>
      <c r="E102" s="13"/>
      <c r="F102" s="13"/>
      <c r="G102" s="13"/>
      <c r="H102" s="13"/>
      <c r="I102" s="13"/>
      <c r="J102" s="13"/>
      <c r="K102" s="64" t="str">
        <f>IF(AND($C102&lt;&gt;"",$I102&lt;&gt;"Closed",$I102&lt;&gt;"Complete",$I102&lt;&gt;"",$C102&amp;""=PMIS_Home!$B$4&amp;""),MAX($K$4:K101)+1,"")</f>
        <v/>
      </c>
    </row>
    <row r="103" spans="1:11" ht="135" customHeight="1">
      <c r="A103" s="13"/>
      <c r="B103" s="62"/>
      <c r="C103" s="13"/>
      <c r="D103" s="13"/>
      <c r="E103" s="13"/>
      <c r="F103" s="13"/>
      <c r="G103" s="13"/>
      <c r="H103" s="13"/>
      <c r="I103" s="13"/>
      <c r="J103" s="13"/>
      <c r="K103" s="64" t="str">
        <f>IF(AND($C103&lt;&gt;"",$I103&lt;&gt;"Closed",$I103&lt;&gt;"Complete",$I103&lt;&gt;"",$C103&amp;""=PMIS_Home!$B$4&amp;""),MAX($K$4:K102)+1,"")</f>
        <v/>
      </c>
    </row>
    <row r="104" spans="1:11" ht="135" customHeight="1">
      <c r="A104" s="13"/>
      <c r="B104" s="62"/>
      <c r="C104" s="13"/>
      <c r="D104" s="13"/>
      <c r="E104" s="13"/>
      <c r="F104" s="13"/>
      <c r="G104" s="13"/>
      <c r="H104" s="13"/>
      <c r="I104" s="13"/>
      <c r="J104" s="13"/>
      <c r="K104" s="64" t="str">
        <f>IF(AND($C104&lt;&gt;"",$I104&lt;&gt;"Closed",$I104&lt;&gt;"Complete",$I104&lt;&gt;"",$C104&amp;""=PMIS_Home!$B$4&amp;""),MAX($K$4:K103)+1,"")</f>
        <v/>
      </c>
    </row>
    <row r="105" spans="1:11" ht="135" customHeight="1">
      <c r="A105" s="13"/>
      <c r="B105" s="62"/>
      <c r="C105" s="13"/>
      <c r="D105" s="13"/>
      <c r="E105" s="13"/>
      <c r="F105" s="13"/>
      <c r="G105" s="13"/>
      <c r="H105" s="13"/>
      <c r="I105" s="13"/>
      <c r="J105" s="13"/>
      <c r="K105" s="64" t="str">
        <f>IF(AND($C105&lt;&gt;"",$I105&lt;&gt;"Closed",$I105&lt;&gt;"Complete",$I105&lt;&gt;"",$C105&amp;""=PMIS_Home!$B$4&amp;""),MAX($K$4:K104)+1,"")</f>
        <v/>
      </c>
    </row>
    <row r="106" spans="1:11" ht="135" customHeight="1">
      <c r="A106" s="13"/>
      <c r="B106" s="62"/>
      <c r="C106" s="13"/>
      <c r="D106" s="13"/>
      <c r="E106" s="13"/>
      <c r="F106" s="13"/>
      <c r="G106" s="13"/>
      <c r="H106" s="13"/>
      <c r="I106" s="13"/>
      <c r="J106" s="13"/>
      <c r="K106" s="64" t="str">
        <f>IF(AND($C106&lt;&gt;"",$I106&lt;&gt;"Closed",$I106&lt;&gt;"Complete",$I106&lt;&gt;"",$C106&amp;""=PMIS_Home!$B$4&amp;""),MAX($K$4:K105)+1,"")</f>
        <v/>
      </c>
    </row>
    <row r="107" spans="1:11" ht="135" customHeight="1">
      <c r="A107" s="13"/>
      <c r="B107" s="62"/>
      <c r="C107" s="13"/>
      <c r="D107" s="13"/>
      <c r="E107" s="13"/>
      <c r="F107" s="13"/>
      <c r="G107" s="13"/>
      <c r="H107" s="13"/>
      <c r="I107" s="13"/>
      <c r="J107" s="13"/>
      <c r="K107" s="64" t="str">
        <f>IF(AND($C107&lt;&gt;"",$I107&lt;&gt;"Closed",$I107&lt;&gt;"Complete",$I107&lt;&gt;"",$C107&amp;""=PMIS_Home!$B$4&amp;""),MAX($K$4:K106)+1,"")</f>
        <v/>
      </c>
    </row>
    <row r="108" spans="1:11" ht="135" customHeight="1">
      <c r="A108" s="13"/>
      <c r="B108" s="62"/>
      <c r="C108" s="13"/>
      <c r="D108" s="13"/>
      <c r="E108" s="13"/>
      <c r="F108" s="13"/>
      <c r="G108" s="13"/>
      <c r="H108" s="13"/>
      <c r="I108" s="13"/>
      <c r="J108" s="13"/>
      <c r="K108" s="64" t="str">
        <f>IF(AND($C108&lt;&gt;"",$I108&lt;&gt;"Closed",$I108&lt;&gt;"Complete",$I108&lt;&gt;"",$C108&amp;""=PMIS_Home!$B$4&amp;""),MAX($K$4:K107)+1,"")</f>
        <v/>
      </c>
    </row>
    <row r="109" spans="1:11" ht="135" customHeight="1">
      <c r="A109" s="13"/>
      <c r="B109" s="62"/>
      <c r="C109" s="13"/>
      <c r="D109" s="13"/>
      <c r="E109" s="13"/>
      <c r="F109" s="13"/>
      <c r="G109" s="13"/>
      <c r="H109" s="13"/>
      <c r="I109" s="13"/>
      <c r="J109" s="13"/>
      <c r="K109" s="64" t="str">
        <f>IF(AND($C109&lt;&gt;"",$I109&lt;&gt;"Closed",$I109&lt;&gt;"Complete",$I109&lt;&gt;"",$C109&amp;""=PMIS_Home!$B$4&amp;""),MAX($K$4:K108)+1,"")</f>
        <v/>
      </c>
    </row>
    <row r="110" spans="1:11" ht="135" customHeight="1">
      <c r="A110" s="13"/>
      <c r="B110" s="62"/>
      <c r="C110" s="13"/>
      <c r="D110" s="13"/>
      <c r="E110" s="13"/>
      <c r="F110" s="13"/>
      <c r="G110" s="13"/>
      <c r="H110" s="13"/>
      <c r="I110" s="13"/>
      <c r="J110" s="13"/>
      <c r="K110" s="64" t="str">
        <f>IF(AND($C110&lt;&gt;"",$I110&lt;&gt;"Closed",$I110&lt;&gt;"Complete",$I110&lt;&gt;"",$C110&amp;""=PMIS_Home!$B$4&amp;""),MAX($K$4:K109)+1,"")</f>
        <v/>
      </c>
    </row>
    <row r="111" spans="1:11" ht="135" customHeight="1">
      <c r="A111" s="13"/>
      <c r="B111" s="62"/>
      <c r="C111" s="13"/>
      <c r="D111" s="13"/>
      <c r="E111" s="13"/>
      <c r="F111" s="13"/>
      <c r="G111" s="13"/>
      <c r="H111" s="13"/>
      <c r="I111" s="13"/>
      <c r="J111" s="13"/>
      <c r="K111" s="64" t="str">
        <f>IF(AND($C111&lt;&gt;"",$I111&lt;&gt;"Closed",$I111&lt;&gt;"Complete",$I111&lt;&gt;"",$C111&amp;""=PMIS_Home!$B$4&amp;""),MAX($K$4:K110)+1,"")</f>
        <v/>
      </c>
    </row>
    <row r="112" spans="1:11" ht="135" customHeight="1">
      <c r="A112" s="13"/>
      <c r="B112" s="62"/>
      <c r="C112" s="13"/>
      <c r="D112" s="13"/>
      <c r="E112" s="13"/>
      <c r="F112" s="13"/>
      <c r="G112" s="13"/>
      <c r="H112" s="13"/>
      <c r="I112" s="13"/>
      <c r="J112" s="13"/>
      <c r="K112" s="64" t="str">
        <f>IF(AND($C112&lt;&gt;"",$I112&lt;&gt;"Closed",$I112&lt;&gt;"Complete",$I112&lt;&gt;"",$C112&amp;""=PMIS_Home!$B$4&amp;""),MAX($K$4:K111)+1,"")</f>
        <v/>
      </c>
    </row>
    <row r="113" spans="1:11" ht="135" customHeight="1">
      <c r="A113" s="13"/>
      <c r="B113" s="62"/>
      <c r="C113" s="13"/>
      <c r="D113" s="13"/>
      <c r="E113" s="13"/>
      <c r="F113" s="13"/>
      <c r="G113" s="13"/>
      <c r="H113" s="13"/>
      <c r="I113" s="13"/>
      <c r="J113" s="13"/>
      <c r="K113" s="64" t="str">
        <f>IF(AND($C113&lt;&gt;"",$I113&lt;&gt;"Closed",$I113&lt;&gt;"Complete",$I113&lt;&gt;"",$C113&amp;""=PMIS_Home!$B$4&amp;""),MAX($K$4:K112)+1,"")</f>
        <v/>
      </c>
    </row>
    <row r="114" spans="1:11" ht="135" customHeight="1">
      <c r="A114" s="13"/>
      <c r="B114" s="62"/>
      <c r="C114" s="13"/>
      <c r="D114" s="13"/>
      <c r="E114" s="13"/>
      <c r="F114" s="13"/>
      <c r="G114" s="13"/>
      <c r="H114" s="13"/>
      <c r="I114" s="13"/>
      <c r="J114" s="13"/>
      <c r="K114" s="64" t="str">
        <f>IF(AND($C114&lt;&gt;"",$I114&lt;&gt;"Closed",$I114&lt;&gt;"Complete",$I114&lt;&gt;"",$C114&amp;""=PMIS_Home!$B$4&amp;""),MAX($K$4:K113)+1,"")</f>
        <v/>
      </c>
    </row>
    <row r="115" spans="1:11" ht="135" customHeight="1">
      <c r="A115" s="13"/>
      <c r="B115" s="62"/>
      <c r="C115" s="13"/>
      <c r="D115" s="13"/>
      <c r="E115" s="13"/>
      <c r="F115" s="13"/>
      <c r="G115" s="13"/>
      <c r="H115" s="13"/>
      <c r="I115" s="13"/>
      <c r="J115" s="13"/>
      <c r="K115" s="64" t="str">
        <f>IF(AND($C115&lt;&gt;"",$I115&lt;&gt;"Closed",$I115&lt;&gt;"Complete",$I115&lt;&gt;"",$C115&amp;""=PMIS_Home!$B$4&amp;""),MAX($K$4:K114)+1,"")</f>
        <v/>
      </c>
    </row>
    <row r="116" spans="1:11" ht="135" customHeight="1">
      <c r="A116" s="13"/>
      <c r="B116" s="62"/>
      <c r="C116" s="13"/>
      <c r="D116" s="13"/>
      <c r="E116" s="13"/>
      <c r="F116" s="13"/>
      <c r="G116" s="13"/>
      <c r="H116" s="13"/>
      <c r="I116" s="13"/>
      <c r="J116" s="13"/>
      <c r="K116" s="64" t="str">
        <f>IF(AND($C116&lt;&gt;"",$I116&lt;&gt;"Closed",$I116&lt;&gt;"Complete",$I116&lt;&gt;"",$C116&amp;""=PMIS_Home!$B$4&amp;""),MAX($K$4:K115)+1,"")</f>
        <v/>
      </c>
    </row>
    <row r="117" spans="1:11" ht="135" customHeight="1">
      <c r="A117" s="13"/>
      <c r="B117" s="62"/>
      <c r="C117" s="13"/>
      <c r="D117" s="13"/>
      <c r="E117" s="13"/>
      <c r="F117" s="13"/>
      <c r="G117" s="13"/>
      <c r="H117" s="13"/>
      <c r="I117" s="13"/>
      <c r="J117" s="13"/>
      <c r="K117" s="64" t="str">
        <f>IF(AND($C117&lt;&gt;"",$I117&lt;&gt;"Closed",$I117&lt;&gt;"Complete",$I117&lt;&gt;"",$C117&amp;""=PMIS_Home!$B$4&amp;""),MAX($K$4:K116)+1,"")</f>
        <v/>
      </c>
    </row>
    <row r="118" spans="1:11" ht="135" customHeight="1">
      <c r="A118" s="13"/>
      <c r="B118" s="62"/>
      <c r="C118" s="13"/>
      <c r="D118" s="13"/>
      <c r="E118" s="13"/>
      <c r="F118" s="13"/>
      <c r="G118" s="13"/>
      <c r="H118" s="13"/>
      <c r="I118" s="13"/>
      <c r="J118" s="13"/>
      <c r="K118" s="64" t="str">
        <f>IF(AND($C118&lt;&gt;"",$I118&lt;&gt;"Closed",$I118&lt;&gt;"Complete",$I118&lt;&gt;"",$C118&amp;""=PMIS_Home!$B$4&amp;""),MAX($K$4:K117)+1,"")</f>
        <v/>
      </c>
    </row>
    <row r="119" spans="1:11" ht="135" customHeight="1">
      <c r="A119" s="13"/>
      <c r="B119" s="62"/>
      <c r="C119" s="13"/>
      <c r="D119" s="13"/>
      <c r="E119" s="13"/>
      <c r="F119" s="13"/>
      <c r="G119" s="13"/>
      <c r="H119" s="13"/>
      <c r="I119" s="13"/>
      <c r="J119" s="13"/>
      <c r="K119" s="64" t="str">
        <f>IF(AND($C119&lt;&gt;"",$I119&lt;&gt;"Closed",$I119&lt;&gt;"Complete",$I119&lt;&gt;"",$C119&amp;""=PMIS_Home!$B$4&amp;""),MAX($K$4:K118)+1,"")</f>
        <v/>
      </c>
    </row>
    <row r="120" spans="1:11" ht="135" customHeight="1">
      <c r="A120" s="13"/>
      <c r="B120" s="62"/>
      <c r="C120" s="13"/>
      <c r="D120" s="13"/>
      <c r="E120" s="13"/>
      <c r="F120" s="13"/>
      <c r="G120" s="13"/>
      <c r="H120" s="13"/>
      <c r="I120" s="13"/>
      <c r="J120" s="13"/>
      <c r="K120" s="64" t="str">
        <f>IF(AND($C120&lt;&gt;"",$I120&lt;&gt;"Closed",$I120&lt;&gt;"Complete",$I120&lt;&gt;"",$C120&amp;""=PMIS_Home!$B$4&amp;""),MAX($K$4:K119)+1,"")</f>
        <v/>
      </c>
    </row>
    <row r="121" spans="1:11" ht="135" customHeight="1">
      <c r="A121" s="13"/>
      <c r="B121" s="62"/>
      <c r="C121" s="13"/>
      <c r="D121" s="13"/>
      <c r="E121" s="13"/>
      <c r="F121" s="13"/>
      <c r="G121" s="13"/>
      <c r="H121" s="13"/>
      <c r="I121" s="13"/>
      <c r="J121" s="13"/>
      <c r="K121" s="64" t="str">
        <f>IF(AND($C121&lt;&gt;"",$I121&lt;&gt;"Closed",$I121&lt;&gt;"Complete",$I121&lt;&gt;"",$C121&amp;""=PMIS_Home!$B$4&amp;""),MAX($K$4:K120)+1,"")</f>
        <v/>
      </c>
    </row>
    <row r="122" spans="1:11" ht="135" customHeight="1">
      <c r="A122" s="13"/>
      <c r="B122" s="62"/>
      <c r="C122" s="13"/>
      <c r="D122" s="13"/>
      <c r="E122" s="13"/>
      <c r="F122" s="13"/>
      <c r="G122" s="13"/>
      <c r="H122" s="13"/>
      <c r="I122" s="13"/>
      <c r="J122" s="13"/>
      <c r="K122" s="64" t="str">
        <f>IF(AND($C122&lt;&gt;"",$I122&lt;&gt;"Closed",$I122&lt;&gt;"Complete",$I122&lt;&gt;"",$C122&amp;""=PMIS_Home!$B$4&amp;""),MAX($K$4:K121)+1,"")</f>
        <v/>
      </c>
    </row>
    <row r="123" spans="1:11" ht="135" customHeight="1">
      <c r="A123" s="13"/>
      <c r="B123" s="62"/>
      <c r="C123" s="13"/>
      <c r="D123" s="13"/>
      <c r="E123" s="13"/>
      <c r="F123" s="13"/>
      <c r="G123" s="13"/>
      <c r="H123" s="13"/>
      <c r="I123" s="13"/>
      <c r="J123" s="13"/>
      <c r="K123" s="64" t="str">
        <f>IF(AND($C123&lt;&gt;"",$I123&lt;&gt;"Closed",$I123&lt;&gt;"Complete",$I123&lt;&gt;"",$C123&amp;""=PMIS_Home!$B$4&amp;""),MAX($K$4:K122)+1,"")</f>
        <v/>
      </c>
    </row>
    <row r="124" spans="1:11" ht="135" customHeight="1">
      <c r="A124" s="13"/>
      <c r="B124" s="62"/>
      <c r="C124" s="13"/>
      <c r="D124" s="13"/>
      <c r="E124" s="13"/>
      <c r="F124" s="13"/>
      <c r="G124" s="13"/>
      <c r="H124" s="13"/>
      <c r="I124" s="13"/>
      <c r="J124" s="13"/>
      <c r="K124" s="64" t="str">
        <f>IF(AND($C124&lt;&gt;"",$I124&lt;&gt;"Closed",$I124&lt;&gt;"Complete",$I124&lt;&gt;"",$C124&amp;""=PMIS_Home!$B$4&amp;""),MAX($K$4:K123)+1,"")</f>
        <v/>
      </c>
    </row>
    <row r="125" spans="1:11" ht="135" customHeight="1">
      <c r="A125" s="13"/>
      <c r="B125" s="62"/>
      <c r="C125" s="13"/>
      <c r="D125" s="13"/>
      <c r="E125" s="13"/>
      <c r="F125" s="13"/>
      <c r="G125" s="13"/>
      <c r="H125" s="13"/>
      <c r="I125" s="13"/>
      <c r="J125" s="13"/>
      <c r="K125" s="64" t="str">
        <f>IF(AND($C125&lt;&gt;"",$I125&lt;&gt;"Closed",$I125&lt;&gt;"Complete",$I125&lt;&gt;"",$C125&amp;""=PMIS_Home!$B$4&amp;""),MAX($K$4:K124)+1,"")</f>
        <v/>
      </c>
    </row>
    <row r="126" spans="1:11" ht="135" customHeight="1">
      <c r="A126" s="13"/>
      <c r="B126" s="62"/>
      <c r="C126" s="13"/>
      <c r="D126" s="13"/>
      <c r="E126" s="13"/>
      <c r="F126" s="13"/>
      <c r="G126" s="13"/>
      <c r="H126" s="13"/>
      <c r="I126" s="13"/>
      <c r="J126" s="13"/>
      <c r="K126" s="64" t="str">
        <f>IF(AND($C126&lt;&gt;"",$I126&lt;&gt;"Closed",$I126&lt;&gt;"Complete",$I126&lt;&gt;"",$C126&amp;""=PMIS_Home!$B$4&amp;""),MAX($K$4:K125)+1,"")</f>
        <v/>
      </c>
    </row>
    <row r="127" spans="1:11" ht="135" customHeight="1">
      <c r="A127" s="13"/>
      <c r="B127" s="62"/>
      <c r="C127" s="13"/>
      <c r="D127" s="13"/>
      <c r="E127" s="13"/>
      <c r="F127" s="13"/>
      <c r="G127" s="13"/>
      <c r="H127" s="13"/>
      <c r="I127" s="13"/>
      <c r="J127" s="13"/>
      <c r="K127" s="64" t="str">
        <f>IF(AND($C127&lt;&gt;"",$I127&lt;&gt;"Closed",$I127&lt;&gt;"Complete",$I127&lt;&gt;"",$C127&amp;""=PMIS_Home!$B$4&amp;""),MAX($K$4:K126)+1,"")</f>
        <v/>
      </c>
    </row>
    <row r="128" spans="1:11" ht="135" customHeight="1">
      <c r="A128" s="13"/>
      <c r="B128" s="62"/>
      <c r="C128" s="13"/>
      <c r="D128" s="13"/>
      <c r="E128" s="13"/>
      <c r="F128" s="13"/>
      <c r="G128" s="13"/>
      <c r="H128" s="13"/>
      <c r="I128" s="13"/>
      <c r="J128" s="13"/>
      <c r="K128" s="64" t="str">
        <f>IF(AND($C128&lt;&gt;"",$I128&lt;&gt;"Closed",$I128&lt;&gt;"Complete",$I128&lt;&gt;"",$C128&amp;""=PMIS_Home!$B$4&amp;""),MAX($K$4:K127)+1,"")</f>
        <v/>
      </c>
    </row>
    <row r="129" spans="1:11" ht="135" customHeight="1">
      <c r="A129" s="13"/>
      <c r="B129" s="62"/>
      <c r="C129" s="13"/>
      <c r="D129" s="13"/>
      <c r="E129" s="13"/>
      <c r="F129" s="13"/>
      <c r="G129" s="13"/>
      <c r="H129" s="13"/>
      <c r="I129" s="13"/>
      <c r="J129" s="13"/>
      <c r="K129" s="64" t="str">
        <f>IF(AND($C129&lt;&gt;"",$I129&lt;&gt;"Closed",$I129&lt;&gt;"Complete",$I129&lt;&gt;"",$C129&amp;""=PMIS_Home!$B$4&amp;""),MAX($K$4:K128)+1,"")</f>
        <v/>
      </c>
    </row>
    <row r="130" spans="1:11" ht="135" customHeight="1">
      <c r="A130" s="13"/>
      <c r="B130" s="62"/>
      <c r="C130" s="13"/>
      <c r="D130" s="13"/>
      <c r="E130" s="13"/>
      <c r="F130" s="13"/>
      <c r="G130" s="13"/>
      <c r="H130" s="13"/>
      <c r="I130" s="13"/>
      <c r="J130" s="13"/>
      <c r="K130" s="64" t="str">
        <f>IF(AND($C130&lt;&gt;"",$I130&lt;&gt;"Closed",$I130&lt;&gt;"Complete",$I130&lt;&gt;"",$C130&amp;""=PMIS_Home!$B$4&amp;""),MAX($K$4:K129)+1,"")</f>
        <v/>
      </c>
    </row>
    <row r="131" spans="1:11" ht="135" customHeight="1">
      <c r="A131" s="13"/>
      <c r="B131" s="62"/>
      <c r="C131" s="13"/>
      <c r="D131" s="13"/>
      <c r="E131" s="13"/>
      <c r="F131" s="13"/>
      <c r="G131" s="13"/>
      <c r="H131" s="13"/>
      <c r="I131" s="13"/>
      <c r="J131" s="13"/>
      <c r="K131" s="64" t="str">
        <f>IF(AND($C131&lt;&gt;"",$I131&lt;&gt;"Closed",$I131&lt;&gt;"Complete",$I131&lt;&gt;"",$C131&amp;""=PMIS_Home!$B$4&amp;""),MAX($K$4:K130)+1,"")</f>
        <v/>
      </c>
    </row>
    <row r="132" spans="1:11" ht="135" customHeight="1">
      <c r="A132" s="13"/>
      <c r="B132" s="62"/>
      <c r="C132" s="13"/>
      <c r="D132" s="13"/>
      <c r="E132" s="13"/>
      <c r="F132" s="13"/>
      <c r="G132" s="13"/>
      <c r="H132" s="13"/>
      <c r="I132" s="13"/>
      <c r="J132" s="13"/>
      <c r="K132" s="64" t="str">
        <f>IF(AND($C132&lt;&gt;"",$I132&lt;&gt;"Closed",$I132&lt;&gt;"Complete",$I132&lt;&gt;"",$C132&amp;""=PMIS_Home!$B$4&amp;""),MAX($K$4:K131)+1,"")</f>
        <v/>
      </c>
    </row>
    <row r="133" spans="1:11" ht="135" customHeight="1">
      <c r="A133" s="13"/>
      <c r="B133" s="62"/>
      <c r="C133" s="13"/>
      <c r="D133" s="13"/>
      <c r="E133" s="13"/>
      <c r="F133" s="13"/>
      <c r="G133" s="13"/>
      <c r="H133" s="13"/>
      <c r="I133" s="13"/>
      <c r="J133" s="13"/>
      <c r="K133" s="64" t="str">
        <f>IF(AND($C133&lt;&gt;"",$I133&lt;&gt;"Closed",$I133&lt;&gt;"Complete",$I133&lt;&gt;"",$C133&amp;""=PMIS_Home!$B$4&amp;""),MAX($K$4:K132)+1,"")</f>
        <v/>
      </c>
    </row>
    <row r="134" spans="1:11" ht="135" customHeight="1">
      <c r="A134" s="13"/>
      <c r="B134" s="62"/>
      <c r="C134" s="13"/>
      <c r="D134" s="13"/>
      <c r="E134" s="13"/>
      <c r="F134" s="13"/>
      <c r="G134" s="13"/>
      <c r="H134" s="13"/>
      <c r="I134" s="13"/>
      <c r="J134" s="13"/>
      <c r="K134" s="64" t="str">
        <f>IF(AND($C134&lt;&gt;"",$I134&lt;&gt;"Closed",$I134&lt;&gt;"Complete",$I134&lt;&gt;"",$C134&amp;""=PMIS_Home!$B$4&amp;""),MAX($K$4:K133)+1,"")</f>
        <v/>
      </c>
    </row>
    <row r="135" spans="1:11" ht="135" customHeight="1">
      <c r="A135" s="13"/>
      <c r="B135" s="62"/>
      <c r="C135" s="13"/>
      <c r="D135" s="13"/>
      <c r="E135" s="13"/>
      <c r="F135" s="13"/>
      <c r="G135" s="13"/>
      <c r="H135" s="13"/>
      <c r="I135" s="13"/>
      <c r="J135" s="13"/>
      <c r="K135" s="64" t="str">
        <f>IF(AND($C135&lt;&gt;"",$I135&lt;&gt;"Closed",$I135&lt;&gt;"Complete",$I135&lt;&gt;"",$C135&amp;""=PMIS_Home!$B$4&amp;""),MAX($K$4:K134)+1,"")</f>
        <v/>
      </c>
    </row>
    <row r="136" spans="1:11" ht="135" customHeight="1">
      <c r="A136" s="13"/>
      <c r="B136" s="62"/>
      <c r="C136" s="13"/>
      <c r="D136" s="13"/>
      <c r="E136" s="13"/>
      <c r="F136" s="13"/>
      <c r="G136" s="13"/>
      <c r="H136" s="13"/>
      <c r="I136" s="13"/>
      <c r="J136" s="13"/>
      <c r="K136" s="64" t="str">
        <f>IF(AND($C136&lt;&gt;"",$I136&lt;&gt;"Closed",$I136&lt;&gt;"Complete",$I136&lt;&gt;"",$C136&amp;""=PMIS_Home!$B$4&amp;""),MAX($K$4:K135)+1,"")</f>
        <v/>
      </c>
    </row>
    <row r="137" spans="1:11" ht="135" customHeight="1">
      <c r="A137" s="13"/>
      <c r="B137" s="62"/>
      <c r="C137" s="13"/>
      <c r="D137" s="13"/>
      <c r="E137" s="13"/>
      <c r="F137" s="13"/>
      <c r="G137" s="13"/>
      <c r="H137" s="13"/>
      <c r="I137" s="13"/>
      <c r="J137" s="13"/>
      <c r="K137" s="64" t="str">
        <f>IF(AND($C137&lt;&gt;"",$I137&lt;&gt;"Closed",$I137&lt;&gt;"Complete",$I137&lt;&gt;"",$C137&amp;""=PMIS_Home!$B$4&amp;""),MAX($K$4:K136)+1,"")</f>
        <v/>
      </c>
    </row>
    <row r="138" spans="1:11" ht="135" customHeight="1">
      <c r="A138" s="13"/>
      <c r="B138" s="62"/>
      <c r="C138" s="13"/>
      <c r="D138" s="13"/>
      <c r="E138" s="13"/>
      <c r="F138" s="13"/>
      <c r="G138" s="13"/>
      <c r="H138" s="13"/>
      <c r="I138" s="13"/>
      <c r="J138" s="13"/>
      <c r="K138" s="64" t="str">
        <f>IF(AND($C138&lt;&gt;"",$I138&lt;&gt;"Closed",$I138&lt;&gt;"Complete",$I138&lt;&gt;"",$C138&amp;""=PMIS_Home!$B$4&amp;""),MAX($K$4:K137)+1,"")</f>
        <v/>
      </c>
    </row>
    <row r="139" spans="1:11" ht="135" customHeight="1">
      <c r="A139" s="13"/>
      <c r="B139" s="62"/>
      <c r="C139" s="13"/>
      <c r="D139" s="13"/>
      <c r="E139" s="13"/>
      <c r="F139" s="13"/>
      <c r="G139" s="13"/>
      <c r="H139" s="13"/>
      <c r="I139" s="13"/>
      <c r="J139" s="13"/>
      <c r="K139" s="64" t="str">
        <f>IF(AND($C139&lt;&gt;"",$I139&lt;&gt;"Closed",$I139&lt;&gt;"Complete",$I139&lt;&gt;"",$C139&amp;""=PMIS_Home!$B$4&amp;""),MAX($K$4:K138)+1,"")</f>
        <v/>
      </c>
    </row>
    <row r="140" spans="1:11" ht="135" customHeight="1">
      <c r="A140" s="13"/>
      <c r="B140" s="62"/>
      <c r="C140" s="13"/>
      <c r="D140" s="13"/>
      <c r="E140" s="13"/>
      <c r="F140" s="13"/>
      <c r="G140" s="13"/>
      <c r="H140" s="13"/>
      <c r="I140" s="13"/>
      <c r="J140" s="13"/>
      <c r="K140" s="64" t="str">
        <f>IF(AND($C140&lt;&gt;"",$I140&lt;&gt;"Closed",$I140&lt;&gt;"Complete",$I140&lt;&gt;"",$C140&amp;""=PMIS_Home!$B$4&amp;""),MAX($K$4:K139)+1,"")</f>
        <v/>
      </c>
    </row>
    <row r="141" spans="1:11" ht="135" customHeight="1">
      <c r="A141" s="13"/>
      <c r="B141" s="62"/>
      <c r="C141" s="13"/>
      <c r="D141" s="13"/>
      <c r="E141" s="13"/>
      <c r="F141" s="13"/>
      <c r="G141" s="13"/>
      <c r="H141" s="13"/>
      <c r="I141" s="13"/>
      <c r="J141" s="13"/>
      <c r="K141" s="64" t="str">
        <f>IF(AND($C141&lt;&gt;"",$I141&lt;&gt;"Closed",$I141&lt;&gt;"Complete",$I141&lt;&gt;"",$C141&amp;""=PMIS_Home!$B$4&amp;""),MAX($K$4:K140)+1,"")</f>
        <v/>
      </c>
    </row>
    <row r="142" spans="1:11" ht="135" customHeight="1">
      <c r="A142" s="13"/>
      <c r="B142" s="62"/>
      <c r="C142" s="13"/>
      <c r="D142" s="13"/>
      <c r="E142" s="13"/>
      <c r="F142" s="13"/>
      <c r="G142" s="13"/>
      <c r="H142" s="13"/>
      <c r="I142" s="13"/>
      <c r="J142" s="13"/>
      <c r="K142" s="64" t="str">
        <f>IF(AND($C142&lt;&gt;"",$I142&lt;&gt;"Closed",$I142&lt;&gt;"Complete",$I142&lt;&gt;"",$C142&amp;""=PMIS_Home!$B$4&amp;""),MAX($K$4:K141)+1,"")</f>
        <v/>
      </c>
    </row>
    <row r="143" spans="1:11" ht="135" customHeight="1">
      <c r="A143" s="13"/>
      <c r="B143" s="62"/>
      <c r="C143" s="13"/>
      <c r="D143" s="13"/>
      <c r="E143" s="13"/>
      <c r="F143" s="13"/>
      <c r="G143" s="13"/>
      <c r="H143" s="13"/>
      <c r="I143" s="13"/>
      <c r="J143" s="13"/>
      <c r="K143" s="64" t="str">
        <f>IF(AND($C143&lt;&gt;"",$I143&lt;&gt;"Closed",$I143&lt;&gt;"Complete",$I143&lt;&gt;"",$C143&amp;""=PMIS_Home!$B$4&amp;""),MAX($K$4:K142)+1,"")</f>
        <v/>
      </c>
    </row>
    <row r="144" spans="1:11" ht="135" customHeight="1">
      <c r="A144" s="13"/>
      <c r="B144" s="62"/>
      <c r="C144" s="13"/>
      <c r="D144" s="13"/>
      <c r="E144" s="13"/>
      <c r="F144" s="13"/>
      <c r="G144" s="13"/>
      <c r="H144" s="13"/>
      <c r="I144" s="13"/>
      <c r="J144" s="13"/>
      <c r="K144" s="64" t="str">
        <f>IF(AND($C144&lt;&gt;"",$I144&lt;&gt;"Closed",$I144&lt;&gt;"Complete",$I144&lt;&gt;"",$C144&amp;""=PMIS_Home!$B$4&amp;""),MAX($K$4:K143)+1,"")</f>
        <v/>
      </c>
    </row>
    <row r="145" spans="1:11" ht="135" customHeight="1">
      <c r="A145" s="13"/>
      <c r="B145" s="62"/>
      <c r="C145" s="13"/>
      <c r="D145" s="13"/>
      <c r="E145" s="13"/>
      <c r="F145" s="13"/>
      <c r="G145" s="13"/>
      <c r="H145" s="13"/>
      <c r="I145" s="13"/>
      <c r="J145" s="13"/>
      <c r="K145" s="64" t="str">
        <f>IF(AND($C145&lt;&gt;"",$I145&lt;&gt;"Closed",$I145&lt;&gt;"Complete",$I145&lt;&gt;"",$C145&amp;""=PMIS_Home!$B$4&amp;""),MAX($K$4:K144)+1,"")</f>
        <v/>
      </c>
    </row>
    <row r="146" spans="1:11" ht="135" customHeight="1">
      <c r="A146" s="13"/>
      <c r="B146" s="62"/>
      <c r="C146" s="13"/>
      <c r="D146" s="13"/>
      <c r="E146" s="13"/>
      <c r="F146" s="13"/>
      <c r="G146" s="13"/>
      <c r="H146" s="13"/>
      <c r="I146" s="13"/>
      <c r="J146" s="13"/>
      <c r="K146" s="64" t="str">
        <f>IF(AND($C146&lt;&gt;"",$I146&lt;&gt;"Closed",$I146&lt;&gt;"Complete",$I146&lt;&gt;"",$C146&amp;""=PMIS_Home!$B$4&amp;""),MAX($K$4:K145)+1,"")</f>
        <v/>
      </c>
    </row>
    <row r="147" spans="1:11" ht="135" customHeight="1">
      <c r="A147" s="13"/>
      <c r="B147" s="62"/>
      <c r="C147" s="13"/>
      <c r="D147" s="13"/>
      <c r="E147" s="13"/>
      <c r="F147" s="13"/>
      <c r="G147" s="13"/>
      <c r="H147" s="13"/>
      <c r="I147" s="13"/>
      <c r="J147" s="13"/>
      <c r="K147" s="64" t="str">
        <f>IF(AND($C147&lt;&gt;"",$I147&lt;&gt;"Closed",$I147&lt;&gt;"Complete",$I147&lt;&gt;"",$C147&amp;""=PMIS_Home!$B$4&amp;""),MAX($K$4:K146)+1,"")</f>
        <v/>
      </c>
    </row>
    <row r="148" spans="1:11" ht="135" customHeight="1">
      <c r="A148" s="13"/>
      <c r="B148" s="62"/>
      <c r="C148" s="13"/>
      <c r="D148" s="13"/>
      <c r="E148" s="13"/>
      <c r="F148" s="13"/>
      <c r="G148" s="13"/>
      <c r="H148" s="13"/>
      <c r="I148" s="13"/>
      <c r="J148" s="13"/>
      <c r="K148" s="64" t="str">
        <f>IF(AND($C148&lt;&gt;"",$I148&lt;&gt;"Closed",$I148&lt;&gt;"Complete",$I148&lt;&gt;"",$C148&amp;""=PMIS_Home!$B$4&amp;""),MAX($K$4:K147)+1,"")</f>
        <v/>
      </c>
    </row>
    <row r="149" spans="1:11" ht="135" customHeight="1">
      <c r="A149" s="13"/>
      <c r="B149" s="62"/>
      <c r="C149" s="13"/>
      <c r="D149" s="13"/>
      <c r="E149" s="13"/>
      <c r="F149" s="13"/>
      <c r="G149" s="13"/>
      <c r="H149" s="13"/>
      <c r="I149" s="13"/>
      <c r="J149" s="13"/>
      <c r="K149" s="64" t="str">
        <f>IF(AND($C149&lt;&gt;"",$I149&lt;&gt;"Closed",$I149&lt;&gt;"Complete",$I149&lt;&gt;"",$C149&amp;""=PMIS_Home!$B$4&amp;""),MAX($K$4:K148)+1,"")</f>
        <v/>
      </c>
    </row>
    <row r="150" spans="1:11" ht="135" customHeight="1">
      <c r="A150" s="13"/>
      <c r="B150" s="62"/>
      <c r="C150" s="13"/>
      <c r="D150" s="13"/>
      <c r="E150" s="13"/>
      <c r="F150" s="13"/>
      <c r="G150" s="13"/>
      <c r="H150" s="13"/>
      <c r="I150" s="13"/>
      <c r="J150" s="13"/>
      <c r="K150" s="64" t="str">
        <f>IF(AND($C150&lt;&gt;"",$I150&lt;&gt;"Closed",$I150&lt;&gt;"Complete",$I150&lt;&gt;"",$C150&amp;""=PMIS_Home!$B$4&amp;""),MAX($K$4:K149)+1,"")</f>
        <v/>
      </c>
    </row>
    <row r="151" spans="1:11" ht="135" customHeight="1">
      <c r="A151" s="13"/>
      <c r="B151" s="62"/>
      <c r="C151" s="13"/>
      <c r="D151" s="13"/>
      <c r="E151" s="13"/>
      <c r="F151" s="13"/>
      <c r="G151" s="13"/>
      <c r="H151" s="13"/>
      <c r="I151" s="13"/>
      <c r="J151" s="13"/>
      <c r="K151" s="64" t="str">
        <f>IF(AND($C151&lt;&gt;"",$I151&lt;&gt;"Closed",$I151&lt;&gt;"Complete",$I151&lt;&gt;"",$C151&amp;""=PMIS_Home!$B$4&amp;""),MAX($K$4:K150)+1,"")</f>
        <v/>
      </c>
    </row>
    <row r="152" spans="1:11" ht="135" customHeight="1">
      <c r="A152" s="13"/>
      <c r="B152" s="62"/>
      <c r="C152" s="13"/>
      <c r="D152" s="13"/>
      <c r="E152" s="13"/>
      <c r="F152" s="13"/>
      <c r="G152" s="13"/>
      <c r="H152" s="13"/>
      <c r="I152" s="13"/>
      <c r="J152" s="13"/>
      <c r="K152" s="64" t="str">
        <f>IF(AND($C152&lt;&gt;"",$I152&lt;&gt;"Closed",$I152&lt;&gt;"Complete",$I152&lt;&gt;"",$C152&amp;""=PMIS_Home!$B$4&amp;""),MAX($K$4:K151)+1,"")</f>
        <v/>
      </c>
    </row>
    <row r="153" spans="1:11" ht="135" customHeight="1">
      <c r="A153" s="13"/>
      <c r="B153" s="62"/>
      <c r="C153" s="13"/>
      <c r="D153" s="13"/>
      <c r="E153" s="13"/>
      <c r="F153" s="13"/>
      <c r="G153" s="13"/>
      <c r="H153" s="13"/>
      <c r="I153" s="13"/>
      <c r="J153" s="13"/>
      <c r="K153" s="64" t="str">
        <f>IF(AND($C153&lt;&gt;"",$I153&lt;&gt;"Closed",$I153&lt;&gt;"Complete",$I153&lt;&gt;"",$C153&amp;""=PMIS_Home!$B$4&amp;""),MAX($K$4:K152)+1,"")</f>
        <v/>
      </c>
    </row>
    <row r="154" spans="1:11" ht="135" customHeight="1">
      <c r="A154" s="13"/>
      <c r="B154" s="62"/>
      <c r="C154" s="13"/>
      <c r="D154" s="13"/>
      <c r="E154" s="13"/>
      <c r="F154" s="13"/>
      <c r="G154" s="13"/>
      <c r="H154" s="13"/>
      <c r="I154" s="13"/>
      <c r="J154" s="13"/>
      <c r="K154" s="64" t="str">
        <f>IF(AND($C154&lt;&gt;"",$I154&lt;&gt;"Closed",$I154&lt;&gt;"Complete",$I154&lt;&gt;"",$C154&amp;""=PMIS_Home!$B$4&amp;""),MAX($K$4:K153)+1,"")</f>
        <v/>
      </c>
    </row>
    <row r="155" spans="1:11" ht="135" customHeight="1">
      <c r="A155" s="13"/>
      <c r="B155" s="62"/>
      <c r="C155" s="13"/>
      <c r="D155" s="13"/>
      <c r="E155" s="13"/>
      <c r="F155" s="13"/>
      <c r="G155" s="13"/>
      <c r="H155" s="13"/>
      <c r="I155" s="13"/>
      <c r="J155" s="13"/>
      <c r="K155" s="64" t="str">
        <f>IF(AND($C155&lt;&gt;"",$I155&lt;&gt;"Closed",$I155&lt;&gt;"Complete",$I155&lt;&gt;"",$C155&amp;""=PMIS_Home!$B$4&amp;""),MAX($K$4:K154)+1,"")</f>
        <v/>
      </c>
    </row>
    <row r="156" spans="1:11" ht="135" customHeight="1">
      <c r="A156" s="13"/>
      <c r="B156" s="62"/>
      <c r="C156" s="13"/>
      <c r="D156" s="13"/>
      <c r="E156" s="13"/>
      <c r="F156" s="13"/>
      <c r="G156" s="13"/>
      <c r="H156" s="13"/>
      <c r="I156" s="13"/>
      <c r="J156" s="13"/>
      <c r="K156" s="64" t="str">
        <f>IF(AND($C156&lt;&gt;"",$I156&lt;&gt;"Closed",$I156&lt;&gt;"Complete",$I156&lt;&gt;"",$C156&amp;""=PMIS_Home!$B$4&amp;""),MAX($K$4:K155)+1,"")</f>
        <v/>
      </c>
    </row>
    <row r="157" spans="1:11" ht="135" customHeight="1">
      <c r="A157" s="13"/>
      <c r="B157" s="62"/>
      <c r="C157" s="13"/>
      <c r="D157" s="13"/>
      <c r="E157" s="13"/>
      <c r="F157" s="13"/>
      <c r="G157" s="13"/>
      <c r="H157" s="13"/>
      <c r="I157" s="13"/>
      <c r="J157" s="13"/>
      <c r="K157" s="64" t="str">
        <f>IF(AND($C157&lt;&gt;"",$I157&lt;&gt;"Closed",$I157&lt;&gt;"Complete",$I157&lt;&gt;"",$C157&amp;""=PMIS_Home!$B$4&amp;""),MAX($K$4:K156)+1,"")</f>
        <v/>
      </c>
    </row>
    <row r="158" spans="1:11" ht="135" customHeight="1">
      <c r="A158" s="13"/>
      <c r="B158" s="62"/>
      <c r="C158" s="13"/>
      <c r="D158" s="13"/>
      <c r="E158" s="13"/>
      <c r="F158" s="13"/>
      <c r="G158" s="13"/>
      <c r="H158" s="13"/>
      <c r="I158" s="13"/>
      <c r="J158" s="13"/>
      <c r="K158" s="64" t="str">
        <f>IF(AND($C158&lt;&gt;"",$I158&lt;&gt;"Closed",$I158&lt;&gt;"Complete",$I158&lt;&gt;"",$C158&amp;""=PMIS_Home!$B$4&amp;""),MAX($K$4:K157)+1,"")</f>
        <v/>
      </c>
    </row>
    <row r="159" spans="1:11" ht="135" customHeight="1">
      <c r="A159" s="13"/>
      <c r="B159" s="62"/>
      <c r="C159" s="13"/>
      <c r="D159" s="13"/>
      <c r="E159" s="13"/>
      <c r="F159" s="13"/>
      <c r="G159" s="13"/>
      <c r="H159" s="13"/>
      <c r="I159" s="13"/>
      <c r="J159" s="13"/>
      <c r="K159" s="64" t="str">
        <f>IF(AND($C159&lt;&gt;"",$I159&lt;&gt;"Closed",$I159&lt;&gt;"Complete",$I159&lt;&gt;"",$C159&amp;""=PMIS_Home!$B$4&amp;""),MAX($K$4:K158)+1,"")</f>
        <v/>
      </c>
    </row>
    <row r="160" spans="1:11" ht="135" customHeight="1">
      <c r="A160" s="13"/>
      <c r="B160" s="62"/>
      <c r="C160" s="13"/>
      <c r="D160" s="13"/>
      <c r="E160" s="13"/>
      <c r="F160" s="13"/>
      <c r="G160" s="13"/>
      <c r="H160" s="13"/>
      <c r="I160" s="13"/>
      <c r="J160" s="13"/>
      <c r="K160" s="64" t="str">
        <f>IF(AND($C160&lt;&gt;"",$I160&lt;&gt;"Closed",$I160&lt;&gt;"Complete",$I160&lt;&gt;"",$C160&amp;""=PMIS_Home!$B$4&amp;""),MAX($K$4:K159)+1,"")</f>
        <v/>
      </c>
    </row>
    <row r="161" spans="1:11" ht="135" customHeight="1">
      <c r="A161" s="13"/>
      <c r="B161" s="62"/>
      <c r="C161" s="13"/>
      <c r="D161" s="13"/>
      <c r="E161" s="13"/>
      <c r="F161" s="13"/>
      <c r="G161" s="13"/>
      <c r="H161" s="13"/>
      <c r="I161" s="13"/>
      <c r="J161" s="13"/>
      <c r="K161" s="64" t="str">
        <f>IF(AND($C161&lt;&gt;"",$I161&lt;&gt;"Closed",$I161&lt;&gt;"Complete",$I161&lt;&gt;"",$C161&amp;""=PMIS_Home!$B$4&amp;""),MAX($K$4:K160)+1,"")</f>
        <v/>
      </c>
    </row>
    <row r="162" spans="1:11" ht="135" customHeight="1">
      <c r="A162" s="13"/>
      <c r="B162" s="62"/>
      <c r="C162" s="13"/>
      <c r="D162" s="13"/>
      <c r="E162" s="13"/>
      <c r="F162" s="13"/>
      <c r="G162" s="13"/>
      <c r="H162" s="13"/>
      <c r="I162" s="13"/>
      <c r="J162" s="13"/>
      <c r="K162" s="64" t="str">
        <f>IF(AND($C162&lt;&gt;"",$I162&lt;&gt;"Closed",$I162&lt;&gt;"Complete",$I162&lt;&gt;"",$C162&amp;""=PMIS_Home!$B$4&amp;""),MAX($K$4:K161)+1,"")</f>
        <v/>
      </c>
    </row>
    <row r="163" spans="1:11" ht="135" customHeight="1">
      <c r="A163" s="13"/>
      <c r="B163" s="62"/>
      <c r="C163" s="13"/>
      <c r="D163" s="13"/>
      <c r="E163" s="13"/>
      <c r="F163" s="13"/>
      <c r="G163" s="13"/>
      <c r="H163" s="13"/>
      <c r="I163" s="13"/>
      <c r="J163" s="13"/>
      <c r="K163" s="64" t="str">
        <f>IF(AND($C163&lt;&gt;"",$I163&lt;&gt;"Closed",$I163&lt;&gt;"Complete",$I163&lt;&gt;"",$C163&amp;""=PMIS_Home!$B$4&amp;""),MAX($K$4:K162)+1,"")</f>
        <v/>
      </c>
    </row>
    <row r="164" spans="1:11" ht="135" customHeight="1">
      <c r="A164" s="13"/>
      <c r="B164" s="62"/>
      <c r="C164" s="13"/>
      <c r="D164" s="13"/>
      <c r="E164" s="13"/>
      <c r="F164" s="13"/>
      <c r="G164" s="13"/>
      <c r="H164" s="13"/>
      <c r="I164" s="13"/>
      <c r="J164" s="13"/>
      <c r="K164" s="64" t="str">
        <f>IF(AND($C164&lt;&gt;"",$I164&lt;&gt;"Closed",$I164&lt;&gt;"Complete",$I164&lt;&gt;"",$C164&amp;""=PMIS_Home!$B$4&amp;""),MAX($K$4:K163)+1,"")</f>
        <v/>
      </c>
    </row>
    <row r="165" spans="1:11" ht="135" customHeight="1">
      <c r="A165" s="13"/>
      <c r="B165" s="62"/>
      <c r="C165" s="13"/>
      <c r="D165" s="13"/>
      <c r="E165" s="13"/>
      <c r="F165" s="13"/>
      <c r="G165" s="13"/>
      <c r="H165" s="13"/>
      <c r="I165" s="13"/>
      <c r="J165" s="13"/>
      <c r="K165" s="64" t="str">
        <f>IF(AND($C165&lt;&gt;"",$I165&lt;&gt;"Closed",$I165&lt;&gt;"Complete",$I165&lt;&gt;"",$C165&amp;""=PMIS_Home!$B$4&amp;""),MAX($K$4:K164)+1,"")</f>
        <v/>
      </c>
    </row>
    <row r="166" spans="1:11" ht="135" customHeight="1">
      <c r="A166" s="13"/>
      <c r="B166" s="62"/>
      <c r="C166" s="13"/>
      <c r="D166" s="13"/>
      <c r="E166" s="13"/>
      <c r="F166" s="13"/>
      <c r="G166" s="13"/>
      <c r="H166" s="13"/>
      <c r="I166" s="13"/>
      <c r="J166" s="13"/>
      <c r="K166" s="64" t="str">
        <f>IF(AND($C166&lt;&gt;"",$I166&lt;&gt;"Closed",$I166&lt;&gt;"Complete",$I166&lt;&gt;"",$C166&amp;""=PMIS_Home!$B$4&amp;""),MAX($K$4:K165)+1,"")</f>
        <v/>
      </c>
    </row>
    <row r="167" spans="1:11" ht="135" customHeight="1">
      <c r="A167" s="13"/>
      <c r="B167" s="62"/>
      <c r="C167" s="13"/>
      <c r="D167" s="13"/>
      <c r="E167" s="13"/>
      <c r="F167" s="13"/>
      <c r="G167" s="13"/>
      <c r="H167" s="13"/>
      <c r="I167" s="13"/>
      <c r="J167" s="13"/>
      <c r="K167" s="64" t="str">
        <f>IF(AND($C167&lt;&gt;"",$I167&lt;&gt;"Closed",$I167&lt;&gt;"Complete",$I167&lt;&gt;"",$C167&amp;""=PMIS_Home!$B$4&amp;""),MAX($K$4:K166)+1,"")</f>
        <v/>
      </c>
    </row>
    <row r="168" spans="1:11" ht="135" customHeight="1">
      <c r="A168" s="13"/>
      <c r="B168" s="62"/>
      <c r="C168" s="13"/>
      <c r="D168" s="13"/>
      <c r="E168" s="13"/>
      <c r="F168" s="13"/>
      <c r="G168" s="13"/>
      <c r="H168" s="13"/>
      <c r="I168" s="13"/>
      <c r="J168" s="13"/>
      <c r="K168" s="64" t="str">
        <f>IF(AND($C168&lt;&gt;"",$I168&lt;&gt;"Closed",$I168&lt;&gt;"Complete",$I168&lt;&gt;"",$C168&amp;""=PMIS_Home!$B$4&amp;""),MAX($K$4:K167)+1,"")</f>
        <v/>
      </c>
    </row>
    <row r="169" spans="1:11" ht="135" customHeight="1">
      <c r="A169" s="13"/>
      <c r="B169" s="62"/>
      <c r="C169" s="13"/>
      <c r="D169" s="13"/>
      <c r="E169" s="13"/>
      <c r="F169" s="13"/>
      <c r="G169" s="13"/>
      <c r="H169" s="13"/>
      <c r="I169" s="13"/>
      <c r="J169" s="13"/>
      <c r="K169" s="64" t="str">
        <f>IF(AND($C169&lt;&gt;"",$I169&lt;&gt;"Closed",$I169&lt;&gt;"Complete",$I169&lt;&gt;"",$C169&amp;""=PMIS_Home!$B$4&amp;""),MAX($K$4:K168)+1,"")</f>
        <v/>
      </c>
    </row>
    <row r="170" spans="1:11" ht="135" customHeight="1">
      <c r="A170" s="13"/>
      <c r="B170" s="62"/>
      <c r="C170" s="13"/>
      <c r="D170" s="13"/>
      <c r="E170" s="13"/>
      <c r="F170" s="13"/>
      <c r="G170" s="13"/>
      <c r="H170" s="13"/>
      <c r="I170" s="13"/>
      <c r="J170" s="13"/>
      <c r="K170" s="64" t="str">
        <f>IF(AND($C170&lt;&gt;"",$I170&lt;&gt;"Closed",$I170&lt;&gt;"Complete",$I170&lt;&gt;"",$C170&amp;""=PMIS_Home!$B$4&amp;""),MAX($K$4:K169)+1,"")</f>
        <v/>
      </c>
    </row>
    <row r="171" spans="1:11" ht="135" customHeight="1">
      <c r="A171" s="13"/>
      <c r="B171" s="62"/>
      <c r="C171" s="13"/>
      <c r="D171" s="13"/>
      <c r="E171" s="13"/>
      <c r="F171" s="13"/>
      <c r="G171" s="13"/>
      <c r="H171" s="13"/>
      <c r="I171" s="13"/>
      <c r="J171" s="13"/>
      <c r="K171" s="64" t="str">
        <f>IF(AND($C171&lt;&gt;"",$I171&lt;&gt;"Closed",$I171&lt;&gt;"Complete",$I171&lt;&gt;"",$C171&amp;""=PMIS_Home!$B$4&amp;""),MAX($K$4:K170)+1,"")</f>
        <v/>
      </c>
    </row>
    <row r="172" spans="1:11" ht="135" customHeight="1">
      <c r="A172" s="13"/>
      <c r="B172" s="62"/>
      <c r="C172" s="13"/>
      <c r="D172" s="13"/>
      <c r="E172" s="13"/>
      <c r="F172" s="13"/>
      <c r="G172" s="13"/>
      <c r="H172" s="13"/>
      <c r="I172" s="13"/>
      <c r="J172" s="13"/>
      <c r="K172" s="64" t="str">
        <f>IF(AND($C172&lt;&gt;"",$I172&lt;&gt;"Closed",$I172&lt;&gt;"Complete",$I172&lt;&gt;"",$C172&amp;""=PMIS_Home!$B$4&amp;""),MAX($K$4:K171)+1,"")</f>
        <v/>
      </c>
    </row>
    <row r="173" spans="1:11" ht="135" customHeight="1">
      <c r="A173" s="13"/>
      <c r="B173" s="62"/>
      <c r="C173" s="13"/>
      <c r="D173" s="13"/>
      <c r="E173" s="13"/>
      <c r="F173" s="13"/>
      <c r="G173" s="13"/>
      <c r="H173" s="13"/>
      <c r="I173" s="13"/>
      <c r="J173" s="13"/>
      <c r="K173" s="64" t="str">
        <f>IF(AND($C173&lt;&gt;"",$I173&lt;&gt;"Closed",$I173&lt;&gt;"Complete",$I173&lt;&gt;"",$C173&amp;""=PMIS_Home!$B$4&amp;""),MAX($K$4:K172)+1,"")</f>
        <v/>
      </c>
    </row>
    <row r="174" spans="1:11" ht="135" customHeight="1">
      <c r="A174" s="13"/>
      <c r="B174" s="62"/>
      <c r="C174" s="13"/>
      <c r="D174" s="13"/>
      <c r="E174" s="13"/>
      <c r="F174" s="13"/>
      <c r="G174" s="13"/>
      <c r="H174" s="13"/>
      <c r="I174" s="13"/>
      <c r="J174" s="13"/>
      <c r="K174" s="64" t="str">
        <f>IF(AND($C174&lt;&gt;"",$I174&lt;&gt;"Closed",$I174&lt;&gt;"Complete",$I174&lt;&gt;"",$C174&amp;""=PMIS_Home!$B$4&amp;""),MAX($K$4:K173)+1,"")</f>
        <v/>
      </c>
    </row>
    <row r="175" spans="1:11" ht="135" customHeight="1">
      <c r="A175" s="13"/>
      <c r="B175" s="62"/>
      <c r="C175" s="13"/>
      <c r="D175" s="13"/>
      <c r="E175" s="13"/>
      <c r="F175" s="13"/>
      <c r="G175" s="13"/>
      <c r="H175" s="13"/>
      <c r="I175" s="13"/>
      <c r="J175" s="13"/>
      <c r="K175" s="64" t="str">
        <f>IF(AND($C175&lt;&gt;"",$I175&lt;&gt;"Closed",$I175&lt;&gt;"Complete",$I175&lt;&gt;"",$C175&amp;""=PMIS_Home!$B$4&amp;""),MAX($K$4:K174)+1,"")</f>
        <v/>
      </c>
    </row>
    <row r="176" spans="1:11" ht="135" customHeight="1">
      <c r="A176" s="13"/>
      <c r="B176" s="62"/>
      <c r="C176" s="13"/>
      <c r="D176" s="13"/>
      <c r="E176" s="13"/>
      <c r="F176" s="13"/>
      <c r="G176" s="13"/>
      <c r="H176" s="13"/>
      <c r="I176" s="13"/>
      <c r="J176" s="13"/>
      <c r="K176" s="64" t="str">
        <f>IF(AND($C176&lt;&gt;"",$I176&lt;&gt;"Closed",$I176&lt;&gt;"Complete",$I176&lt;&gt;"",$C176&amp;""=PMIS_Home!$B$4&amp;""),MAX($K$4:K175)+1,"")</f>
        <v/>
      </c>
    </row>
    <row r="177" spans="1:11" ht="135" customHeight="1">
      <c r="A177" s="13"/>
      <c r="B177" s="62"/>
      <c r="C177" s="13"/>
      <c r="D177" s="13"/>
      <c r="E177" s="13"/>
      <c r="F177" s="13"/>
      <c r="G177" s="13"/>
      <c r="H177" s="13"/>
      <c r="I177" s="13"/>
      <c r="J177" s="13"/>
      <c r="K177" s="64" t="str">
        <f>IF(AND($C177&lt;&gt;"",$I177&lt;&gt;"Closed",$I177&lt;&gt;"Complete",$I177&lt;&gt;"",$C177&amp;""=PMIS_Home!$B$4&amp;""),MAX($K$4:K176)+1,"")</f>
        <v/>
      </c>
    </row>
    <row r="178" spans="1:11" ht="135" customHeight="1">
      <c r="A178" s="13"/>
      <c r="B178" s="62"/>
      <c r="C178" s="13"/>
      <c r="D178" s="13"/>
      <c r="E178" s="13"/>
      <c r="F178" s="13"/>
      <c r="G178" s="13"/>
      <c r="H178" s="13"/>
      <c r="I178" s="13"/>
      <c r="J178" s="13"/>
      <c r="K178" s="64" t="str">
        <f>IF(AND($C178&lt;&gt;"",$I178&lt;&gt;"Closed",$I178&lt;&gt;"Complete",$I178&lt;&gt;"",$C178&amp;""=PMIS_Home!$B$4&amp;""),MAX($K$4:K177)+1,"")</f>
        <v/>
      </c>
    </row>
    <row r="179" spans="1:11" ht="135" customHeight="1">
      <c r="A179" s="13"/>
      <c r="B179" s="62"/>
      <c r="C179" s="13"/>
      <c r="D179" s="13"/>
      <c r="E179" s="13"/>
      <c r="F179" s="13"/>
      <c r="G179" s="13"/>
      <c r="H179" s="13"/>
      <c r="I179" s="13"/>
      <c r="J179" s="13"/>
      <c r="K179" s="64" t="str">
        <f>IF(AND($C179&lt;&gt;"",$I179&lt;&gt;"Closed",$I179&lt;&gt;"Complete",$I179&lt;&gt;"",$C179&amp;""=PMIS_Home!$B$4&amp;""),MAX($K$4:K178)+1,"")</f>
        <v/>
      </c>
    </row>
    <row r="180" spans="1:11" ht="135" customHeight="1">
      <c r="A180" s="13"/>
      <c r="B180" s="62"/>
      <c r="C180" s="13"/>
      <c r="D180" s="13"/>
      <c r="E180" s="13"/>
      <c r="F180" s="13"/>
      <c r="G180" s="13"/>
      <c r="H180" s="13"/>
      <c r="I180" s="13"/>
      <c r="J180" s="13"/>
      <c r="K180" s="64" t="str">
        <f>IF(AND($C180&lt;&gt;"",$I180&lt;&gt;"Closed",$I180&lt;&gt;"Complete",$I180&lt;&gt;"",$C180&amp;""=PMIS_Home!$B$4&amp;""),MAX($K$4:K179)+1,"")</f>
        <v/>
      </c>
    </row>
    <row r="181" spans="1:11" ht="135" customHeight="1">
      <c r="A181" s="13"/>
      <c r="B181" s="62"/>
      <c r="C181" s="13"/>
      <c r="D181" s="13"/>
      <c r="E181" s="13"/>
      <c r="F181" s="13"/>
      <c r="G181" s="13"/>
      <c r="H181" s="13"/>
      <c r="I181" s="13"/>
      <c r="J181" s="13"/>
      <c r="K181" s="64" t="str">
        <f>IF(AND($C181&lt;&gt;"",$I181&lt;&gt;"Closed",$I181&lt;&gt;"Complete",$I181&lt;&gt;"",$C181&amp;""=PMIS_Home!$B$4&amp;""),MAX($K$4:K180)+1,"")</f>
        <v/>
      </c>
    </row>
    <row r="182" spans="1:11" ht="135" customHeight="1">
      <c r="A182" s="13"/>
      <c r="B182" s="62"/>
      <c r="C182" s="13"/>
      <c r="D182" s="13"/>
      <c r="E182" s="13"/>
      <c r="F182" s="13"/>
      <c r="G182" s="13"/>
      <c r="H182" s="13"/>
      <c r="I182" s="13"/>
      <c r="J182" s="13"/>
      <c r="K182" s="64" t="str">
        <f>IF(AND($C182&lt;&gt;"",$I182&lt;&gt;"Closed",$I182&lt;&gt;"Complete",$I182&lt;&gt;"",$C182&amp;""=PMIS_Home!$B$4&amp;""),MAX($K$4:K181)+1,"")</f>
        <v/>
      </c>
    </row>
    <row r="183" spans="1:11" ht="135" customHeight="1">
      <c r="A183" s="13"/>
      <c r="B183" s="62"/>
      <c r="C183" s="13"/>
      <c r="D183" s="13"/>
      <c r="E183" s="13"/>
      <c r="F183" s="13"/>
      <c r="G183" s="13"/>
      <c r="H183" s="13"/>
      <c r="I183" s="13"/>
      <c r="J183" s="13"/>
      <c r="K183" s="64" t="str">
        <f>IF(AND($C183&lt;&gt;"",$I183&lt;&gt;"Closed",$I183&lt;&gt;"Complete",$I183&lt;&gt;"",$C183&amp;""=PMIS_Home!$B$4&amp;""),MAX($K$4:K182)+1,"")</f>
        <v/>
      </c>
    </row>
    <row r="184" spans="1:11" ht="135" customHeight="1">
      <c r="A184" s="13"/>
      <c r="B184" s="62"/>
      <c r="C184" s="13"/>
      <c r="D184" s="13"/>
      <c r="E184" s="13"/>
      <c r="F184" s="13"/>
      <c r="G184" s="13"/>
      <c r="H184" s="13"/>
      <c r="I184" s="13"/>
      <c r="J184" s="13"/>
      <c r="K184" s="64" t="str">
        <f>IF(AND($C184&lt;&gt;"",$I184&lt;&gt;"Closed",$I184&lt;&gt;"Complete",$I184&lt;&gt;"",$C184&amp;""=PMIS_Home!$B$4&amp;""),MAX($K$4:K183)+1,"")</f>
        <v/>
      </c>
    </row>
    <row r="185" spans="1:11" ht="135" customHeight="1">
      <c r="A185" s="13"/>
      <c r="B185" s="62"/>
      <c r="C185" s="13"/>
      <c r="D185" s="13"/>
      <c r="E185" s="13"/>
      <c r="F185" s="13"/>
      <c r="G185" s="13"/>
      <c r="H185" s="13"/>
      <c r="I185" s="13"/>
      <c r="J185" s="13"/>
      <c r="K185" s="64" t="str">
        <f>IF(AND($C185&lt;&gt;"",$I185&lt;&gt;"Closed",$I185&lt;&gt;"Complete",$I185&lt;&gt;"",$C185&amp;""=PMIS_Home!$B$4&amp;""),MAX($K$4:K184)+1,"")</f>
        <v/>
      </c>
    </row>
    <row r="186" spans="1:11" ht="135" customHeight="1">
      <c r="A186" s="13"/>
      <c r="B186" s="62"/>
      <c r="C186" s="13"/>
      <c r="D186" s="13"/>
      <c r="E186" s="13"/>
      <c r="F186" s="13"/>
      <c r="G186" s="13"/>
      <c r="H186" s="13"/>
      <c r="I186" s="13"/>
      <c r="J186" s="13"/>
      <c r="K186" s="64" t="str">
        <f>IF(AND($C186&lt;&gt;"",$I186&lt;&gt;"Closed",$I186&lt;&gt;"Complete",$I186&lt;&gt;"",$C186&amp;""=PMIS_Home!$B$4&amp;""),MAX($K$4:K185)+1,"")</f>
        <v/>
      </c>
    </row>
    <row r="187" spans="1:11" ht="135" customHeight="1">
      <c r="A187" s="13"/>
      <c r="B187" s="62"/>
      <c r="C187" s="13"/>
      <c r="D187" s="13"/>
      <c r="E187" s="13"/>
      <c r="F187" s="13"/>
      <c r="G187" s="13"/>
      <c r="H187" s="13"/>
      <c r="I187" s="13"/>
      <c r="J187" s="13"/>
      <c r="K187" s="64" t="str">
        <f>IF(AND($C187&lt;&gt;"",$I187&lt;&gt;"Closed",$I187&lt;&gt;"Complete",$I187&lt;&gt;"",$C187&amp;""=PMIS_Home!$B$4&amp;""),MAX($K$4:K186)+1,"")</f>
        <v/>
      </c>
    </row>
    <row r="188" spans="1:11" ht="135" customHeight="1">
      <c r="A188" s="13"/>
      <c r="B188" s="62"/>
      <c r="C188" s="13"/>
      <c r="D188" s="13"/>
      <c r="E188" s="13"/>
      <c r="F188" s="13"/>
      <c r="G188" s="13"/>
      <c r="H188" s="13"/>
      <c r="I188" s="13"/>
      <c r="J188" s="13"/>
      <c r="K188" s="64" t="str">
        <f>IF(AND($C188&lt;&gt;"",$I188&lt;&gt;"Closed",$I188&lt;&gt;"Complete",$I188&lt;&gt;"",$C188&amp;""=PMIS_Home!$B$4&amp;""),MAX($K$4:K187)+1,"")</f>
        <v/>
      </c>
    </row>
    <row r="189" spans="1:11" ht="135" customHeight="1">
      <c r="A189" s="13"/>
      <c r="B189" s="62"/>
      <c r="C189" s="13"/>
      <c r="D189" s="13"/>
      <c r="E189" s="13"/>
      <c r="F189" s="13"/>
      <c r="G189" s="13"/>
      <c r="H189" s="13"/>
      <c r="I189" s="13"/>
      <c r="J189" s="13"/>
      <c r="K189" s="64" t="str">
        <f>IF(AND($C189&lt;&gt;"",$I189&lt;&gt;"Closed",$I189&lt;&gt;"Complete",$I189&lt;&gt;"",$C189&amp;""=PMIS_Home!$B$4&amp;""),MAX($K$4:K188)+1,"")</f>
        <v/>
      </c>
    </row>
    <row r="190" spans="1:11" ht="135" customHeight="1">
      <c r="A190" s="13"/>
      <c r="B190" s="62"/>
      <c r="C190" s="13"/>
      <c r="D190" s="13"/>
      <c r="E190" s="13"/>
      <c r="F190" s="13"/>
      <c r="G190" s="13"/>
      <c r="H190" s="13"/>
      <c r="I190" s="13"/>
      <c r="J190" s="13"/>
      <c r="K190" s="64" t="str">
        <f>IF(AND($C190&lt;&gt;"",$I190&lt;&gt;"Closed",$I190&lt;&gt;"Complete",$I190&lt;&gt;"",$C190&amp;""=PMIS_Home!$B$4&amp;""),MAX($K$4:K189)+1,"")</f>
        <v/>
      </c>
    </row>
    <row r="191" spans="1:11" ht="135" customHeight="1">
      <c r="A191" s="13"/>
      <c r="B191" s="62"/>
      <c r="C191" s="13"/>
      <c r="D191" s="13"/>
      <c r="E191" s="13"/>
      <c r="F191" s="13"/>
      <c r="G191" s="13"/>
      <c r="H191" s="13"/>
      <c r="I191" s="13"/>
      <c r="J191" s="13"/>
      <c r="K191" s="64" t="str">
        <f>IF(AND($C191&lt;&gt;"",$I191&lt;&gt;"Closed",$I191&lt;&gt;"Complete",$I191&lt;&gt;"",$C191&amp;""=PMIS_Home!$B$4&amp;""),MAX($K$4:K190)+1,"")</f>
        <v/>
      </c>
    </row>
    <row r="192" spans="1:11" ht="135" customHeight="1">
      <c r="A192" s="13"/>
      <c r="B192" s="62"/>
      <c r="C192" s="13"/>
      <c r="D192" s="13"/>
      <c r="E192" s="13"/>
      <c r="F192" s="13"/>
      <c r="G192" s="13"/>
      <c r="H192" s="13"/>
      <c r="I192" s="13"/>
      <c r="J192" s="13"/>
      <c r="K192" s="64" t="str">
        <f>IF(AND($C192&lt;&gt;"",$I192&lt;&gt;"Closed",$I192&lt;&gt;"Complete",$I192&lt;&gt;"",$C192&amp;""=PMIS_Home!$B$4&amp;""),MAX($K$4:K191)+1,"")</f>
        <v/>
      </c>
    </row>
    <row r="193" spans="1:11" ht="135" customHeight="1">
      <c r="A193" s="13"/>
      <c r="B193" s="62"/>
      <c r="C193" s="13"/>
      <c r="D193" s="13"/>
      <c r="E193" s="13"/>
      <c r="F193" s="13"/>
      <c r="G193" s="13"/>
      <c r="H193" s="13"/>
      <c r="I193" s="13"/>
      <c r="J193" s="13"/>
      <c r="K193" s="64" t="str">
        <f>IF(AND($C193&lt;&gt;"",$I193&lt;&gt;"Closed",$I193&lt;&gt;"Complete",$I193&lt;&gt;"",$C193&amp;""=PMIS_Home!$B$4&amp;""),MAX($K$4:K192)+1,"")</f>
        <v/>
      </c>
    </row>
    <row r="194" spans="1:11" ht="135" customHeight="1">
      <c r="A194" s="13"/>
      <c r="B194" s="62"/>
      <c r="C194" s="13"/>
      <c r="D194" s="13"/>
      <c r="E194" s="13"/>
      <c r="F194" s="13"/>
      <c r="G194" s="13"/>
      <c r="H194" s="13"/>
      <c r="I194" s="13"/>
      <c r="J194" s="13"/>
      <c r="K194" s="64" t="str">
        <f>IF(AND($C194&lt;&gt;"",$I194&lt;&gt;"Closed",$I194&lt;&gt;"Complete",$I194&lt;&gt;"",$C194&amp;""=PMIS_Home!$B$4&amp;""),MAX($K$4:K193)+1,"")</f>
        <v/>
      </c>
    </row>
    <row r="195" spans="1:11" ht="135" customHeight="1">
      <c r="A195" s="13"/>
      <c r="B195" s="62"/>
      <c r="C195" s="13"/>
      <c r="D195" s="13"/>
      <c r="E195" s="13"/>
      <c r="F195" s="13"/>
      <c r="G195" s="13"/>
      <c r="H195" s="13"/>
      <c r="I195" s="13"/>
      <c r="J195" s="13"/>
      <c r="K195" s="64" t="str">
        <f>IF(AND($C195&lt;&gt;"",$I195&lt;&gt;"Closed",$I195&lt;&gt;"Complete",$I195&lt;&gt;"",$C195&amp;""=PMIS_Home!$B$4&amp;""),MAX($K$4:K194)+1,"")</f>
        <v/>
      </c>
    </row>
    <row r="196" spans="1:11" ht="135" customHeight="1">
      <c r="A196" s="13"/>
      <c r="B196" s="62"/>
      <c r="C196" s="13"/>
      <c r="D196" s="13"/>
      <c r="E196" s="13"/>
      <c r="F196" s="13"/>
      <c r="G196" s="13"/>
      <c r="H196" s="13"/>
      <c r="I196" s="13"/>
      <c r="J196" s="13"/>
      <c r="K196" s="64" t="str">
        <f>IF(AND($C196&lt;&gt;"",$I196&lt;&gt;"Closed",$I196&lt;&gt;"Complete",$I196&lt;&gt;"",$C196&amp;""=PMIS_Home!$B$4&amp;""),MAX($K$4:K195)+1,"")</f>
        <v/>
      </c>
    </row>
    <row r="197" spans="1:11" ht="135" customHeight="1">
      <c r="A197" s="13"/>
      <c r="B197" s="62"/>
      <c r="C197" s="13"/>
      <c r="D197" s="13"/>
      <c r="E197" s="13"/>
      <c r="F197" s="13"/>
      <c r="G197" s="13"/>
      <c r="H197" s="13"/>
      <c r="I197" s="13"/>
      <c r="J197" s="13"/>
      <c r="K197" s="64" t="str">
        <f>IF(AND($C197&lt;&gt;"",$I197&lt;&gt;"Closed",$I197&lt;&gt;"Complete",$I197&lt;&gt;"",$C197&amp;""=PMIS_Home!$B$4&amp;""),MAX($K$4:K196)+1,"")</f>
        <v/>
      </c>
    </row>
    <row r="198" spans="1:11" ht="135" customHeight="1">
      <c r="A198" s="13"/>
      <c r="B198" s="62"/>
      <c r="C198" s="13"/>
      <c r="D198" s="13"/>
      <c r="E198" s="13"/>
      <c r="F198" s="13"/>
      <c r="G198" s="13"/>
      <c r="H198" s="13"/>
      <c r="I198" s="13"/>
      <c r="J198" s="13"/>
      <c r="K198" s="64" t="str">
        <f>IF(AND($C198&lt;&gt;"",$I198&lt;&gt;"Closed",$I198&lt;&gt;"Complete",$I198&lt;&gt;"",$C198&amp;""=PMIS_Home!$B$4&amp;""),MAX($K$4:K197)+1,"")</f>
        <v/>
      </c>
    </row>
    <row r="199" spans="1:11" ht="135" customHeight="1">
      <c r="A199" s="13"/>
      <c r="B199" s="62"/>
      <c r="C199" s="13"/>
      <c r="D199" s="13"/>
      <c r="E199" s="13"/>
      <c r="F199" s="13"/>
      <c r="G199" s="13"/>
      <c r="H199" s="13"/>
      <c r="I199" s="13"/>
      <c r="J199" s="13"/>
      <c r="K199" s="64" t="str">
        <f>IF(AND($C199&lt;&gt;"",$I199&lt;&gt;"Closed",$I199&lt;&gt;"Complete",$I199&lt;&gt;"",$C199&amp;""=PMIS_Home!$B$4&amp;""),MAX($K$4:K198)+1,"")</f>
        <v/>
      </c>
    </row>
    <row r="200" spans="1:11" ht="135" customHeight="1">
      <c r="A200" s="13"/>
      <c r="B200" s="62"/>
      <c r="C200" s="13"/>
      <c r="D200" s="13"/>
      <c r="E200" s="13"/>
      <c r="F200" s="13"/>
      <c r="G200" s="13"/>
      <c r="H200" s="13"/>
      <c r="I200" s="13"/>
      <c r="J200" s="13"/>
      <c r="K200" s="64" t="str">
        <f>IF(AND($C200&lt;&gt;"",$I200&lt;&gt;"Closed",$I200&lt;&gt;"Complete",$I200&lt;&gt;"",$C200&amp;""=PMIS_Home!$B$4&amp;""),MAX($K$4:K199)+1,"")</f>
        <v/>
      </c>
    </row>
    <row r="201" spans="1:11" ht="135" customHeight="1">
      <c r="A201" s="13"/>
      <c r="B201" s="62"/>
      <c r="C201" s="13"/>
      <c r="D201" s="13"/>
      <c r="E201" s="13"/>
      <c r="F201" s="13"/>
      <c r="G201" s="13"/>
      <c r="H201" s="13"/>
      <c r="I201" s="13"/>
      <c r="J201" s="13"/>
      <c r="K201" s="64" t="str">
        <f>IF(AND($C201&lt;&gt;"",$I201&lt;&gt;"Closed",$I201&lt;&gt;"Complete",$I201&lt;&gt;"",$C201&amp;""=PMIS_Home!$B$4&amp;""),MAX($K$4:K200)+1,"")</f>
        <v/>
      </c>
    </row>
    <row r="202" spans="1:11" ht="135" customHeight="1">
      <c r="A202" s="13"/>
      <c r="B202" s="62"/>
      <c r="C202" s="13"/>
      <c r="D202" s="13"/>
      <c r="E202" s="13"/>
      <c r="F202" s="13"/>
      <c r="G202" s="13"/>
      <c r="H202" s="13"/>
      <c r="I202" s="13"/>
      <c r="J202" s="13"/>
      <c r="K202" s="64" t="str">
        <f>IF(AND($C202&lt;&gt;"",$I202&lt;&gt;"Closed",$I202&lt;&gt;"Complete",$I202&lt;&gt;"",$C202&amp;""=PMIS_Home!$B$4&amp;""),MAX($K$4:K201)+1,"")</f>
        <v/>
      </c>
    </row>
    <row r="203" spans="1:11" ht="135" customHeight="1">
      <c r="A203" s="13"/>
      <c r="B203" s="62"/>
      <c r="C203" s="13"/>
      <c r="D203" s="13"/>
      <c r="E203" s="13"/>
      <c r="F203" s="13"/>
      <c r="G203" s="13"/>
      <c r="H203" s="13"/>
      <c r="I203" s="13"/>
      <c r="J203" s="13"/>
      <c r="K203" s="64" t="str">
        <f>IF(AND($C203&lt;&gt;"",$I203&lt;&gt;"Closed",$I203&lt;&gt;"Complete",$I203&lt;&gt;"",$C203&amp;""=PMIS_Home!$B$4&amp;""),MAX($K$4:K202)+1,"")</f>
        <v/>
      </c>
    </row>
    <row r="204" spans="1:11" ht="135" customHeight="1">
      <c r="A204" s="13"/>
      <c r="B204" s="62"/>
      <c r="C204" s="13"/>
      <c r="D204" s="13"/>
      <c r="E204" s="13"/>
      <c r="F204" s="13"/>
      <c r="G204" s="13"/>
      <c r="H204" s="13"/>
      <c r="I204" s="13"/>
      <c r="J204" s="13"/>
      <c r="K204" s="64" t="str">
        <f>IF(AND($C204&lt;&gt;"",$I204&lt;&gt;"Closed",$I204&lt;&gt;"Complete",$I204&lt;&gt;"",$C204&amp;""=PMIS_Home!$B$4&amp;""),MAX($K$4:K203)+1,"")</f>
        <v/>
      </c>
    </row>
    <row r="205" spans="1:11" ht="135" customHeight="1">
      <c r="A205" s="13"/>
      <c r="B205" s="62"/>
      <c r="C205" s="13"/>
      <c r="D205" s="13"/>
      <c r="E205" s="13"/>
      <c r="F205" s="13"/>
      <c r="G205" s="13"/>
      <c r="H205" s="13"/>
      <c r="I205" s="13"/>
      <c r="J205" s="13"/>
      <c r="K205" s="64" t="str">
        <f>IF(AND($C205&lt;&gt;"",$I205&lt;&gt;"Closed",$I205&lt;&gt;"Complete",$I205&lt;&gt;"",$C205&amp;""=PMIS_Home!$B$4&amp;""),MAX($K$4:K204)+1,"")</f>
        <v/>
      </c>
    </row>
    <row r="206" spans="1:11" ht="135" customHeight="1">
      <c r="A206" s="13"/>
      <c r="B206" s="62"/>
      <c r="C206" s="13"/>
      <c r="D206" s="13"/>
      <c r="E206" s="13"/>
      <c r="F206" s="13"/>
      <c r="G206" s="13"/>
      <c r="H206" s="13"/>
      <c r="I206" s="13"/>
      <c r="J206" s="13"/>
      <c r="K206" s="64" t="str">
        <f>IF(AND($C206&lt;&gt;"",$I206&lt;&gt;"Closed",$I206&lt;&gt;"Complete",$I206&lt;&gt;"",$C206&amp;""=PMIS_Home!$B$4&amp;""),MAX($K$4:K205)+1,"")</f>
        <v/>
      </c>
    </row>
    <row r="207" spans="1:11" ht="135" customHeight="1">
      <c r="A207" s="13"/>
      <c r="B207" s="62"/>
      <c r="C207" s="13"/>
      <c r="D207" s="13"/>
      <c r="E207" s="13"/>
      <c r="F207" s="13"/>
      <c r="G207" s="13"/>
      <c r="H207" s="13"/>
      <c r="I207" s="13"/>
      <c r="J207" s="13"/>
      <c r="K207" s="64" t="str">
        <f>IF(AND($C207&lt;&gt;"",$I207&lt;&gt;"Closed",$I207&lt;&gt;"Complete",$I207&lt;&gt;"",$C207&amp;""=PMIS_Home!$B$4&amp;""),MAX($K$4:K206)+1,"")</f>
        <v/>
      </c>
    </row>
    <row r="208" spans="1:11" ht="135" customHeight="1">
      <c r="A208" s="13"/>
      <c r="B208" s="62"/>
      <c r="C208" s="13"/>
      <c r="D208" s="13"/>
      <c r="E208" s="13"/>
      <c r="F208" s="13"/>
      <c r="G208" s="13"/>
      <c r="H208" s="13"/>
      <c r="I208" s="13"/>
      <c r="J208" s="13"/>
      <c r="K208" s="64" t="str">
        <f>IF(AND($C208&lt;&gt;"",$I208&lt;&gt;"Closed",$I208&lt;&gt;"Complete",$I208&lt;&gt;"",$C208&amp;""=PMIS_Home!$B$4&amp;""),MAX($K$4:K207)+1,"")</f>
        <v/>
      </c>
    </row>
    <row r="209" spans="1:11" ht="135" customHeight="1">
      <c r="A209" s="13"/>
      <c r="B209" s="62"/>
      <c r="C209" s="13"/>
      <c r="D209" s="13"/>
      <c r="E209" s="13"/>
      <c r="F209" s="13"/>
      <c r="G209" s="13"/>
      <c r="H209" s="13"/>
      <c r="I209" s="13"/>
      <c r="J209" s="13"/>
      <c r="K209" s="64" t="str">
        <f>IF(AND($C209&lt;&gt;"",$I209&lt;&gt;"Closed",$I209&lt;&gt;"Complete",$I209&lt;&gt;"",$C209&amp;""=PMIS_Home!$B$4&amp;""),MAX($K$4:K208)+1,"")</f>
        <v/>
      </c>
    </row>
    <row r="210" spans="1:11" ht="135" customHeight="1">
      <c r="A210" s="13"/>
      <c r="B210" s="62"/>
      <c r="C210" s="13"/>
      <c r="D210" s="13"/>
      <c r="E210" s="13"/>
      <c r="F210" s="13"/>
      <c r="G210" s="13"/>
      <c r="H210" s="13"/>
      <c r="I210" s="13"/>
      <c r="J210" s="13"/>
      <c r="K210" s="64" t="str">
        <f>IF(AND($C210&lt;&gt;"",$I210&lt;&gt;"Closed",$I210&lt;&gt;"Complete",$I210&lt;&gt;"",$C210&amp;""=PMIS_Home!$B$4&amp;""),MAX($K$4:K209)+1,"")</f>
        <v/>
      </c>
    </row>
    <row r="211" spans="1:11" ht="135" customHeight="1">
      <c r="A211" s="13"/>
      <c r="B211" s="62"/>
      <c r="C211" s="13"/>
      <c r="D211" s="13"/>
      <c r="E211" s="13"/>
      <c r="F211" s="13"/>
      <c r="G211" s="13"/>
      <c r="H211" s="13"/>
      <c r="I211" s="13"/>
      <c r="J211" s="13"/>
      <c r="K211" s="64" t="str">
        <f>IF(AND($C211&lt;&gt;"",$I211&lt;&gt;"Closed",$I211&lt;&gt;"Complete",$I211&lt;&gt;"",$C211&amp;""=PMIS_Home!$B$4&amp;""),MAX($K$4:K210)+1,"")</f>
        <v/>
      </c>
    </row>
    <row r="212" spans="1:11" ht="135" customHeight="1">
      <c r="A212" s="13"/>
      <c r="B212" s="62"/>
      <c r="C212" s="13"/>
      <c r="D212" s="13"/>
      <c r="E212" s="13"/>
      <c r="F212" s="13"/>
      <c r="G212" s="13"/>
      <c r="H212" s="13"/>
      <c r="I212" s="13"/>
      <c r="J212" s="13"/>
      <c r="K212" s="64" t="str">
        <f>IF(AND($C212&lt;&gt;"",$I212&lt;&gt;"Closed",$I212&lt;&gt;"Complete",$I212&lt;&gt;"",$C212&amp;""=PMIS_Home!$B$4&amp;""),MAX($K$4:K211)+1,"")</f>
        <v/>
      </c>
    </row>
    <row r="213" spans="1:11" ht="135" customHeight="1">
      <c r="A213" s="13"/>
      <c r="B213" s="62"/>
      <c r="C213" s="13"/>
      <c r="D213" s="13"/>
      <c r="E213" s="13"/>
      <c r="F213" s="13"/>
      <c r="G213" s="13"/>
      <c r="H213" s="13"/>
      <c r="I213" s="13"/>
      <c r="J213" s="13"/>
      <c r="K213" s="64" t="str">
        <f>IF(AND($C213&lt;&gt;"",$I213&lt;&gt;"Closed",$I213&lt;&gt;"Complete",$I213&lt;&gt;"",$C213&amp;""=PMIS_Home!$B$4&amp;""),MAX($K$4:K212)+1,"")</f>
        <v/>
      </c>
    </row>
    <row r="214" spans="1:11" ht="135" customHeight="1">
      <c r="A214" s="13"/>
      <c r="B214" s="62"/>
      <c r="C214" s="13"/>
      <c r="D214" s="13"/>
      <c r="E214" s="13"/>
      <c r="F214" s="13"/>
      <c r="G214" s="13"/>
      <c r="H214" s="13"/>
      <c r="I214" s="13"/>
      <c r="J214" s="13"/>
      <c r="K214" s="64" t="str">
        <f>IF(AND($C214&lt;&gt;"",$I214&lt;&gt;"Closed",$I214&lt;&gt;"Complete",$I214&lt;&gt;"",$C214&amp;""=PMIS_Home!$B$4&amp;""),MAX($K$4:K213)+1,"")</f>
        <v/>
      </c>
    </row>
    <row r="215" spans="1:11" ht="135" customHeight="1">
      <c r="A215" s="13"/>
      <c r="B215" s="62"/>
      <c r="C215" s="13"/>
      <c r="D215" s="13"/>
      <c r="E215" s="13"/>
      <c r="F215" s="13"/>
      <c r="G215" s="13"/>
      <c r="H215" s="13"/>
      <c r="I215" s="13"/>
      <c r="J215" s="13"/>
      <c r="K215" s="64" t="str">
        <f>IF(AND($C215&lt;&gt;"",$I215&lt;&gt;"Closed",$I215&lt;&gt;"Complete",$I215&lt;&gt;"",$C215&amp;""=PMIS_Home!$B$4&amp;""),MAX($K$4:K214)+1,"")</f>
        <v/>
      </c>
    </row>
    <row r="216" spans="1:11" ht="135" customHeight="1">
      <c r="A216" s="13"/>
      <c r="B216" s="62"/>
      <c r="C216" s="13"/>
      <c r="D216" s="13"/>
      <c r="E216" s="13"/>
      <c r="F216" s="13"/>
      <c r="G216" s="13"/>
      <c r="H216" s="13"/>
      <c r="I216" s="13"/>
      <c r="J216" s="13"/>
      <c r="K216" s="64" t="str">
        <f>IF(AND($C216&lt;&gt;"",$I216&lt;&gt;"Closed",$I216&lt;&gt;"Complete",$I216&lt;&gt;"",$C216&amp;""=PMIS_Home!$B$4&amp;""),MAX($K$4:K215)+1,"")</f>
        <v/>
      </c>
    </row>
    <row r="217" spans="1:11" ht="135" customHeight="1">
      <c r="A217" s="13"/>
      <c r="B217" s="62"/>
      <c r="C217" s="13"/>
      <c r="D217" s="13"/>
      <c r="E217" s="13"/>
      <c r="F217" s="13"/>
      <c r="G217" s="13"/>
      <c r="H217" s="13"/>
      <c r="I217" s="13"/>
      <c r="J217" s="13"/>
      <c r="K217" s="64" t="str">
        <f>IF(AND($C217&lt;&gt;"",$I217&lt;&gt;"Closed",$I217&lt;&gt;"Complete",$I217&lt;&gt;"",$C217&amp;""=PMIS_Home!$B$4&amp;""),MAX($K$4:K216)+1,"")</f>
        <v/>
      </c>
    </row>
    <row r="218" spans="1:11" ht="135" customHeight="1">
      <c r="A218" s="13"/>
      <c r="B218" s="62"/>
      <c r="C218" s="13"/>
      <c r="D218" s="13"/>
      <c r="E218" s="13"/>
      <c r="F218" s="13"/>
      <c r="G218" s="13"/>
      <c r="H218" s="13"/>
      <c r="I218" s="13"/>
      <c r="J218" s="13"/>
      <c r="K218" s="64" t="str">
        <f>IF(AND($C218&lt;&gt;"",$I218&lt;&gt;"Closed",$I218&lt;&gt;"Complete",$I218&lt;&gt;"",$C218&amp;""=PMIS_Home!$B$4&amp;""),MAX($K$4:K217)+1,"")</f>
        <v/>
      </c>
    </row>
    <row r="219" spans="1:11" ht="135" customHeight="1">
      <c r="A219" s="13"/>
      <c r="B219" s="62"/>
      <c r="C219" s="13"/>
      <c r="D219" s="13"/>
      <c r="E219" s="13"/>
      <c r="F219" s="13"/>
      <c r="G219" s="13"/>
      <c r="H219" s="13"/>
      <c r="I219" s="13"/>
      <c r="J219" s="13"/>
      <c r="K219" s="64" t="str">
        <f>IF(AND($C219&lt;&gt;"",$I219&lt;&gt;"Closed",$I219&lt;&gt;"Complete",$I219&lt;&gt;"",$C219&amp;""=PMIS_Home!$B$4&amp;""),MAX($K$4:K218)+1,"")</f>
        <v/>
      </c>
    </row>
    <row r="220" spans="1:11" ht="135" customHeight="1">
      <c r="A220" s="13"/>
      <c r="B220" s="62"/>
      <c r="C220" s="13"/>
      <c r="D220" s="13"/>
      <c r="E220" s="13"/>
      <c r="F220" s="13"/>
      <c r="G220" s="13"/>
      <c r="H220" s="13"/>
      <c r="I220" s="13"/>
      <c r="J220" s="13"/>
      <c r="K220" s="64" t="str">
        <f>IF(AND($C220&lt;&gt;"",$I220&lt;&gt;"Closed",$I220&lt;&gt;"Complete",$I220&lt;&gt;"",$C220&amp;""=PMIS_Home!$B$4&amp;""),MAX($K$4:K219)+1,"")</f>
        <v/>
      </c>
    </row>
    <row r="221" spans="1:11" ht="135" customHeight="1">
      <c r="K221" s="65" t="str">
        <f>IF(AND($C221&lt;&gt;"",$I221&lt;&gt;"Closed",$I221&lt;&gt;"Complete",$I221&lt;&gt;"",$C221&amp;""=PMIS_Home!$B$4&amp;""),MAX($K$4:K220)+1,"")</f>
        <v/>
      </c>
    </row>
    <row r="222" spans="1:11" ht="135" customHeight="1">
      <c r="K222" s="65" t="str">
        <f>IF(AND($C222&lt;&gt;"",$I222&lt;&gt;"Closed",$I222&lt;&gt;"Complete",$I222&lt;&gt;"",$C222&amp;""=PMIS_Home!$B$4&amp;""),MAX($K$4:K221)+1,"")</f>
        <v/>
      </c>
    </row>
    <row r="223" spans="1:11" ht="135" customHeight="1">
      <c r="K223" s="65" t="str">
        <f>IF(AND($C223&lt;&gt;"",$I223&lt;&gt;"Closed",$I223&lt;&gt;"Complete",$I223&lt;&gt;"",$C223&amp;""=PMIS_Home!$B$4&amp;""),MAX($K$4:K222)+1,"")</f>
        <v/>
      </c>
    </row>
    <row r="224" spans="1:11" ht="135" customHeight="1">
      <c r="K224" s="65" t="str">
        <f>IF(AND($C224&lt;&gt;"",$I224&lt;&gt;"Closed",$I224&lt;&gt;"Complete",$I224&lt;&gt;"",$C224&amp;""=PMIS_Home!$B$4&amp;""),MAX($K$4:K223)+1,"")</f>
        <v/>
      </c>
    </row>
    <row r="225" spans="11:11" ht="135" customHeight="1">
      <c r="K225" s="65" t="str">
        <f>IF(AND($C225&lt;&gt;"",$I225&lt;&gt;"Closed",$I225&lt;&gt;"Complete",$I225&lt;&gt;"",$C225&amp;""=PMIS_Home!$B$4&amp;""),MAX($K$4:K224)+1,"")</f>
        <v/>
      </c>
    </row>
    <row r="226" spans="11:11" ht="135" customHeight="1">
      <c r="K226" s="65" t="str">
        <f>IF(AND($C226&lt;&gt;"",$I226&lt;&gt;"Closed",$I226&lt;&gt;"Complete",$I226&lt;&gt;"",$C226&amp;""=PMIS_Home!$B$4&amp;""),MAX($K$4:K225)+1,"")</f>
        <v/>
      </c>
    </row>
    <row r="227" spans="11:11" ht="135" customHeight="1">
      <c r="K227" s="65" t="str">
        <f>IF(AND($C227&lt;&gt;"",$I227&lt;&gt;"Closed",$I227&lt;&gt;"Complete",$I227&lt;&gt;"",$C227&amp;""=PMIS_Home!$B$4&amp;""),MAX($K$4:K226)+1,"")</f>
        <v/>
      </c>
    </row>
    <row r="228" spans="11:11" ht="135" customHeight="1">
      <c r="K228" s="65" t="str">
        <f>IF(AND($C228&lt;&gt;"",$I228&lt;&gt;"Closed",$I228&lt;&gt;"Complete",$I228&lt;&gt;"",$C228&amp;""=PMIS_Home!$B$4&amp;""),MAX($K$4:K227)+1,"")</f>
        <v/>
      </c>
    </row>
    <row r="229" spans="11:11" ht="135" customHeight="1">
      <c r="K229" s="65" t="str">
        <f>IF(AND($C229&lt;&gt;"",$I229&lt;&gt;"Closed",$I229&lt;&gt;"Complete",$I229&lt;&gt;"",$C229&amp;""=PMIS_Home!$B$4&amp;""),MAX($K$4:K228)+1,"")</f>
        <v/>
      </c>
    </row>
    <row r="230" spans="11:11" ht="135" customHeight="1">
      <c r="K230" s="65" t="str">
        <f>IF(AND($C230&lt;&gt;"",$I230&lt;&gt;"Closed",$I230&lt;&gt;"Complete",$I230&lt;&gt;"",$C230&amp;""=PMIS_Home!$B$4&amp;""),MAX($K$4:K229)+1,"")</f>
        <v/>
      </c>
    </row>
    <row r="231" spans="11:11" ht="135" customHeight="1">
      <c r="K231" s="65" t="str">
        <f>IF(AND($C231&lt;&gt;"",$I231&lt;&gt;"Closed",$I231&lt;&gt;"Complete",$I231&lt;&gt;"",$C231&amp;""=PMIS_Home!$B$4&amp;""),MAX($K$4:K230)+1,"")</f>
        <v/>
      </c>
    </row>
    <row r="232" spans="11:11" ht="135" customHeight="1">
      <c r="K232" s="65" t="str">
        <f>IF(AND($C232&lt;&gt;"",$I232&lt;&gt;"Closed",$I232&lt;&gt;"Complete",$I232&lt;&gt;"",$C232&amp;""=PMIS_Home!$B$4&amp;""),MAX($K$4:K231)+1,"")</f>
        <v/>
      </c>
    </row>
    <row r="233" spans="11:11" ht="135" customHeight="1">
      <c r="K233" s="65" t="str">
        <f>IF(AND($C233&lt;&gt;"",$I233&lt;&gt;"Closed",$I233&lt;&gt;"Complete",$I233&lt;&gt;"",$C233&amp;""=PMIS_Home!$B$4&amp;""),MAX($K$4:K232)+1,"")</f>
        <v/>
      </c>
    </row>
    <row r="234" spans="11:11" ht="135" customHeight="1">
      <c r="K234" s="65" t="str">
        <f>IF(AND($C234&lt;&gt;"",$I234&lt;&gt;"Closed",$I234&lt;&gt;"Complete",$I234&lt;&gt;"",$C234&amp;""=PMIS_Home!$B$4&amp;""),MAX($K$4:K233)+1,"")</f>
        <v/>
      </c>
    </row>
    <row r="235" spans="11:11" ht="135" customHeight="1">
      <c r="K235" s="65" t="str">
        <f>IF(AND($C235&lt;&gt;"",$I235&lt;&gt;"Closed",$I235&lt;&gt;"Complete",$I235&lt;&gt;"",$C235&amp;""=PMIS_Home!$B$4&amp;""),MAX($K$4:K234)+1,"")</f>
        <v/>
      </c>
    </row>
    <row r="236" spans="11:11" ht="135" customHeight="1">
      <c r="K236" s="65" t="str">
        <f>IF(AND($C236&lt;&gt;"",$I236&lt;&gt;"Closed",$I236&lt;&gt;"Complete",$I236&lt;&gt;"",$C236&amp;""=PMIS_Home!$B$4&amp;""),MAX($K$4:K235)+1,"")</f>
        <v/>
      </c>
    </row>
    <row r="237" spans="11:11" ht="135" customHeight="1">
      <c r="K237" s="65" t="str">
        <f>IF(AND($C237&lt;&gt;"",$I237&lt;&gt;"Closed",$I237&lt;&gt;"Complete",$I237&lt;&gt;"",$C237&amp;""=PMIS_Home!$B$4&amp;""),MAX($K$4:K236)+1,"")</f>
        <v/>
      </c>
    </row>
    <row r="238" spans="11:11" ht="135" customHeight="1">
      <c r="K238" s="65" t="str">
        <f>IF(AND($C238&lt;&gt;"",$I238&lt;&gt;"Closed",$I238&lt;&gt;"Complete",$I238&lt;&gt;"",$C238&amp;""=PMIS_Home!$B$4&amp;""),MAX($K$4:K237)+1,"")</f>
        <v/>
      </c>
    </row>
    <row r="239" spans="11:11" ht="135" customHeight="1">
      <c r="K239" s="65" t="str">
        <f>IF(AND($C239&lt;&gt;"",$I239&lt;&gt;"Closed",$I239&lt;&gt;"Complete",$I239&lt;&gt;"",$C239&amp;""=PMIS_Home!$B$4&amp;""),MAX($K$4:K238)+1,"")</f>
        <v/>
      </c>
    </row>
    <row r="240" spans="11:11" ht="135" customHeight="1">
      <c r="K240" s="65" t="str">
        <f>IF(AND($C240&lt;&gt;"",$I240&lt;&gt;"Closed",$I240&lt;&gt;"Complete",$I240&lt;&gt;"",$C240&amp;""=PMIS_Home!$B$4&amp;""),MAX($K$4:K239)+1,"")</f>
        <v/>
      </c>
    </row>
    <row r="241" spans="11:11" ht="135" customHeight="1">
      <c r="K241" s="65" t="str">
        <f>IF(AND($C241&lt;&gt;"",$I241&lt;&gt;"Closed",$I241&lt;&gt;"Complete",$I241&lt;&gt;"",$C241&amp;""=PMIS_Home!$B$4&amp;""),MAX($K$4:K240)+1,"")</f>
        <v/>
      </c>
    </row>
    <row r="242" spans="11:11" ht="135" customHeight="1">
      <c r="K242" s="65" t="str">
        <f>IF(AND($C242&lt;&gt;"",$I242&lt;&gt;"Closed",$I242&lt;&gt;"Complete",$I242&lt;&gt;"",$C242&amp;""=PMIS_Home!$B$4&amp;""),MAX($K$4:K241)+1,"")</f>
        <v/>
      </c>
    </row>
    <row r="243" spans="11:11" ht="135" customHeight="1">
      <c r="K243" s="65" t="str">
        <f>IF(AND($C243&lt;&gt;"",$I243&lt;&gt;"Closed",$I243&lt;&gt;"Complete",$I243&lt;&gt;"",$C243&amp;""=PMIS_Home!$B$4&amp;""),MAX($K$4:K242)+1,"")</f>
        <v/>
      </c>
    </row>
    <row r="244" spans="11:11" ht="135" customHeight="1">
      <c r="K244" s="65" t="str">
        <f>IF(AND($C244&lt;&gt;"",$I244&lt;&gt;"Closed",$I244&lt;&gt;"Complete",$I244&lt;&gt;"",$C244&amp;""=PMIS_Home!$B$4&amp;""),MAX($K$4:K243)+1,"")</f>
        <v/>
      </c>
    </row>
    <row r="245" spans="11:11" ht="135" customHeight="1">
      <c r="K245" s="65" t="str">
        <f>IF(AND($C245&lt;&gt;"",$I245&lt;&gt;"Closed",$I245&lt;&gt;"Complete",$I245&lt;&gt;"",$C245&amp;""=PMIS_Home!$B$4&amp;""),MAX($K$4:K244)+1,"")</f>
        <v/>
      </c>
    </row>
    <row r="246" spans="11:11" ht="135" customHeight="1">
      <c r="K246" s="65" t="str">
        <f>IF(AND($C246&lt;&gt;"",$I246&lt;&gt;"Closed",$I246&lt;&gt;"Complete",$I246&lt;&gt;"",$C246&amp;""=PMIS_Home!$B$4&amp;""),MAX($K$4:K245)+1,"")</f>
        <v/>
      </c>
    </row>
    <row r="247" spans="11:11" ht="135" customHeight="1">
      <c r="K247" s="65" t="str">
        <f>IF(AND($C247&lt;&gt;"",$I247&lt;&gt;"Closed",$I247&lt;&gt;"Complete",$I247&lt;&gt;"",$C247&amp;""=PMIS_Home!$B$4&amp;""),MAX($K$4:K246)+1,"")</f>
        <v/>
      </c>
    </row>
    <row r="248" spans="11:11" ht="135" customHeight="1">
      <c r="K248" s="65" t="str">
        <f>IF(AND($C248&lt;&gt;"",$I248&lt;&gt;"Closed",$I248&lt;&gt;"Complete",$I248&lt;&gt;"",$C248&amp;""=PMIS_Home!$B$4&amp;""),MAX($K$4:K247)+1,"")</f>
        <v/>
      </c>
    </row>
    <row r="249" spans="11:11" ht="135" customHeight="1">
      <c r="K249" s="65" t="str">
        <f>IF(AND($C249&lt;&gt;"",$I249&lt;&gt;"Closed",$I249&lt;&gt;"Complete",$I249&lt;&gt;"",$C249&amp;""=PMIS_Home!$B$4&amp;""),MAX($K$4:K248)+1,"")</f>
        <v/>
      </c>
    </row>
    <row r="250" spans="11:11" ht="135" customHeight="1">
      <c r="K250" s="65" t="str">
        <f>IF(AND($C250&lt;&gt;"",$I250&lt;&gt;"Closed",$I250&lt;&gt;"Complete",$I250&lt;&gt;"",$C250&amp;""=PMIS_Home!$B$4&amp;""),MAX($K$4:K249)+1,"")</f>
        <v/>
      </c>
    </row>
    <row r="251" spans="11:11" ht="135" customHeight="1">
      <c r="K251" s="65" t="str">
        <f>IF(AND($C251&lt;&gt;"",$I251&lt;&gt;"Closed",$I251&lt;&gt;"Complete",$I251&lt;&gt;"",$C251&amp;""=PMIS_Home!$B$4&amp;""),MAX($K$4:K250)+1,"")</f>
        <v/>
      </c>
    </row>
    <row r="252" spans="11:11" ht="135" customHeight="1">
      <c r="K252" s="65" t="str">
        <f>IF(AND($C252&lt;&gt;"",$I252&lt;&gt;"Closed",$I252&lt;&gt;"Complete",$I252&lt;&gt;"",$C252&amp;""=PMIS_Home!$B$4&amp;""),MAX($K$4:K251)+1,"")</f>
        <v/>
      </c>
    </row>
    <row r="253" spans="11:11" ht="135" customHeight="1">
      <c r="K253" s="65" t="str">
        <f>IF(AND($C253&lt;&gt;"",$I253&lt;&gt;"Closed",$I253&lt;&gt;"Complete",$I253&lt;&gt;"",$C253&amp;""=PMIS_Home!$B$4&amp;""),MAX($K$4:K252)+1,"")</f>
        <v/>
      </c>
    </row>
    <row r="254" spans="11:11" ht="135" customHeight="1">
      <c r="K254" s="65" t="str">
        <f>IF(AND($C254&lt;&gt;"",$I254&lt;&gt;"Closed",$I254&lt;&gt;"Complete",$I254&lt;&gt;"",$C254&amp;""=PMIS_Home!$B$4&amp;""),MAX($K$4:K253)+1,"")</f>
        <v/>
      </c>
    </row>
    <row r="255" spans="11:11" ht="135" customHeight="1">
      <c r="K255" s="65" t="str">
        <f>IF(AND($C255&lt;&gt;"",$I255&lt;&gt;"Closed",$I255&lt;&gt;"Complete",$I255&lt;&gt;"",$C255&amp;""=PMIS_Home!$B$4&amp;""),MAX($K$4:K254)+1,"")</f>
        <v/>
      </c>
    </row>
    <row r="256" spans="11:11" ht="135" customHeight="1">
      <c r="K256" s="65" t="str">
        <f>IF(AND($C256&lt;&gt;"",$I256&lt;&gt;"Closed",$I256&lt;&gt;"Complete",$I256&lt;&gt;"",$C256&amp;""=PMIS_Home!$B$4&amp;""),MAX($K$4:K255)+1,"")</f>
        <v/>
      </c>
    </row>
    <row r="257" spans="11:11" ht="135" customHeight="1">
      <c r="K257" s="65" t="str">
        <f>IF(AND($C257&lt;&gt;"",$I257&lt;&gt;"Closed",$I257&lt;&gt;"Complete",$I257&lt;&gt;"",$C257&amp;""=PMIS_Home!$B$4&amp;""),MAX($K$4:K256)+1,"")</f>
        <v/>
      </c>
    </row>
    <row r="258" spans="11:11" ht="135" customHeight="1">
      <c r="K258" s="65" t="str">
        <f>IF(AND($C258&lt;&gt;"",$I258&lt;&gt;"Closed",$I258&lt;&gt;"Complete",$I258&lt;&gt;"",$C258&amp;""=PMIS_Home!$B$4&amp;""),MAX($K$4:K257)+1,"")</f>
        <v/>
      </c>
    </row>
    <row r="259" spans="11:11" ht="135" customHeight="1">
      <c r="K259" s="65" t="str">
        <f>IF(AND($C259&lt;&gt;"",$I259&lt;&gt;"Closed",$I259&lt;&gt;"Complete",$I259&lt;&gt;"",$C259&amp;""=PMIS_Home!$B$4&amp;""),MAX($K$4:K258)+1,"")</f>
        <v/>
      </c>
    </row>
    <row r="260" spans="11:11" ht="135" customHeight="1">
      <c r="K260" s="65" t="str">
        <f>IF(AND($C260&lt;&gt;"",$I260&lt;&gt;"Closed",$I260&lt;&gt;"Complete",$I260&lt;&gt;"",$C260&amp;""=PMIS_Home!$B$4&amp;""),MAX($K$4:K259)+1,"")</f>
        <v/>
      </c>
    </row>
    <row r="261" spans="11:11" ht="135" customHeight="1">
      <c r="K261" s="65" t="str">
        <f>IF(AND($C261&lt;&gt;"",$I261&lt;&gt;"Closed",$I261&lt;&gt;"Complete",$I261&lt;&gt;"",$C261&amp;""=PMIS_Home!$B$4&amp;""),MAX($K$4:K260)+1,"")</f>
        <v/>
      </c>
    </row>
    <row r="262" spans="11:11" ht="135" customHeight="1">
      <c r="K262" s="65" t="str">
        <f>IF(AND($C262&lt;&gt;"",$I262&lt;&gt;"Closed",$I262&lt;&gt;"Complete",$I262&lt;&gt;"",$C262&amp;""=PMIS_Home!$B$4&amp;""),MAX($K$4:K261)+1,"")</f>
        <v/>
      </c>
    </row>
    <row r="263" spans="11:11" ht="135" customHeight="1">
      <c r="K263" s="65" t="str">
        <f>IF(AND($C263&lt;&gt;"",$I263&lt;&gt;"Closed",$I263&lt;&gt;"Complete",$I263&lt;&gt;"",$C263&amp;""=PMIS_Home!$B$4&amp;""),MAX($K$4:K262)+1,"")</f>
        <v/>
      </c>
    </row>
    <row r="264" spans="11:11" ht="135" customHeight="1">
      <c r="K264" s="65" t="str">
        <f>IF(AND($C264&lt;&gt;"",$I264&lt;&gt;"Closed",$I264&lt;&gt;"Complete",$I264&lt;&gt;"",$C264&amp;""=PMIS_Home!$B$4&amp;""),MAX($K$4:K263)+1,"")</f>
        <v/>
      </c>
    </row>
    <row r="265" spans="11:11" ht="135" customHeight="1">
      <c r="K265" s="65" t="str">
        <f>IF(AND($C265&lt;&gt;"",$I265&lt;&gt;"Closed",$I265&lt;&gt;"Complete",$I265&lt;&gt;"",$C265&amp;""=PMIS_Home!$B$4&amp;""),MAX($K$4:K264)+1,"")</f>
        <v/>
      </c>
    </row>
    <row r="266" spans="11:11" ht="135" customHeight="1">
      <c r="K266" s="65" t="str">
        <f>IF(AND($C266&lt;&gt;"",$I266&lt;&gt;"Closed",$I266&lt;&gt;"Complete",$I266&lt;&gt;"",$C266&amp;""=PMIS_Home!$B$4&amp;""),MAX($K$4:K265)+1,"")</f>
        <v/>
      </c>
    </row>
    <row r="267" spans="11:11" ht="135" customHeight="1">
      <c r="K267" s="65" t="str">
        <f>IF(AND($C267&lt;&gt;"",$I267&lt;&gt;"Closed",$I267&lt;&gt;"Complete",$I267&lt;&gt;"",$C267&amp;""=PMIS_Home!$B$4&amp;""),MAX($K$4:K266)+1,"")</f>
        <v/>
      </c>
    </row>
    <row r="268" spans="11:11" ht="135" customHeight="1">
      <c r="K268" s="65" t="str">
        <f>IF(AND($C268&lt;&gt;"",$I268&lt;&gt;"Closed",$I268&lt;&gt;"Complete",$I268&lt;&gt;"",$C268&amp;""=PMIS_Home!$B$4&amp;""),MAX($K$4:K267)+1,"")</f>
        <v/>
      </c>
    </row>
    <row r="269" spans="11:11" ht="135" customHeight="1">
      <c r="K269" s="65" t="str">
        <f>IF(AND($C269&lt;&gt;"",$I269&lt;&gt;"Closed",$I269&lt;&gt;"Complete",$I269&lt;&gt;"",$C269&amp;""=PMIS_Home!$B$4&amp;""),MAX($K$4:K268)+1,"")</f>
        <v/>
      </c>
    </row>
    <row r="270" spans="11:11" ht="135" customHeight="1">
      <c r="K270" s="65" t="str">
        <f>IF(AND($C270&lt;&gt;"",$I270&lt;&gt;"Closed",$I270&lt;&gt;"Complete",$I270&lt;&gt;"",$C270&amp;""=PMIS_Home!$B$4&amp;""),MAX($K$4:K269)+1,"")</f>
        <v/>
      </c>
    </row>
    <row r="271" spans="11:11" ht="135" customHeight="1">
      <c r="K271" s="65" t="str">
        <f>IF(AND($C271&lt;&gt;"",$I271&lt;&gt;"Closed",$I271&lt;&gt;"Complete",$I271&lt;&gt;"",$C271&amp;""=PMIS_Home!$B$4&amp;""),MAX($K$4:K270)+1,"")</f>
        <v/>
      </c>
    </row>
    <row r="272" spans="11:11" ht="135" customHeight="1">
      <c r="K272" s="65" t="str">
        <f>IF(AND($C272&lt;&gt;"",$I272&lt;&gt;"Closed",$I272&lt;&gt;"Complete",$I272&lt;&gt;"",$C272&amp;""=PMIS_Home!$B$4&amp;""),MAX($K$4:K271)+1,"")</f>
        <v/>
      </c>
    </row>
    <row r="273" spans="11:11" ht="135" customHeight="1">
      <c r="K273" s="65" t="str">
        <f>IF(AND($C273&lt;&gt;"",$I273&lt;&gt;"Closed",$I273&lt;&gt;"Complete",$I273&lt;&gt;"",$C273&amp;""=PMIS_Home!$B$4&amp;""),MAX($K$4:K272)+1,"")</f>
        <v/>
      </c>
    </row>
    <row r="274" spans="11:11" ht="135" customHeight="1">
      <c r="K274" s="65" t="str">
        <f>IF(AND($C274&lt;&gt;"",$I274&lt;&gt;"Closed",$I274&lt;&gt;"Complete",$I274&lt;&gt;"",$C274&amp;""=PMIS_Home!$B$4&amp;""),MAX($K$4:K273)+1,"")</f>
        <v/>
      </c>
    </row>
    <row r="275" spans="11:11" ht="135" customHeight="1">
      <c r="K275" s="65" t="str">
        <f>IF(AND($C275&lt;&gt;"",$I275&lt;&gt;"Closed",$I275&lt;&gt;"Complete",$I275&lt;&gt;"",$C275&amp;""=PMIS_Home!$B$4&amp;""),MAX($K$4:K274)+1,"")</f>
        <v/>
      </c>
    </row>
    <row r="276" spans="11:11" ht="135" customHeight="1">
      <c r="K276" s="65" t="str">
        <f>IF(AND($C276&lt;&gt;"",$I276&lt;&gt;"Closed",$I276&lt;&gt;"Complete",$I276&lt;&gt;"",$C276&amp;""=PMIS_Home!$B$4&amp;""),MAX($K$4:K275)+1,"")</f>
        <v/>
      </c>
    </row>
    <row r="277" spans="11:11" ht="135" customHeight="1">
      <c r="K277" s="65" t="str">
        <f>IF(AND($C277&lt;&gt;"",$I277&lt;&gt;"Closed",$I277&lt;&gt;"Complete",$I277&lt;&gt;"",$C277&amp;""=PMIS_Home!$B$4&amp;""),MAX($K$4:K276)+1,"")</f>
        <v/>
      </c>
    </row>
    <row r="278" spans="11:11" ht="135" customHeight="1">
      <c r="K278" s="65" t="str">
        <f>IF(AND($C278&lt;&gt;"",$I278&lt;&gt;"Closed",$I278&lt;&gt;"Complete",$I278&lt;&gt;"",$C278&amp;""=PMIS_Home!$B$4&amp;""),MAX($K$4:K277)+1,"")</f>
        <v/>
      </c>
    </row>
    <row r="279" spans="11:11" ht="135" customHeight="1">
      <c r="K279" s="65" t="str">
        <f>IF(AND($C279&lt;&gt;"",$I279&lt;&gt;"Closed",$I279&lt;&gt;"Complete",$I279&lt;&gt;"",$C279&amp;""=PMIS_Home!$B$4&amp;""),MAX($K$4:K278)+1,"")</f>
        <v/>
      </c>
    </row>
    <row r="280" spans="11:11" ht="135" customHeight="1">
      <c r="K280" s="65" t="str">
        <f>IF(AND($C280&lt;&gt;"",$I280&lt;&gt;"Closed",$I280&lt;&gt;"Complete",$I280&lt;&gt;"",$C280&amp;""=PMIS_Home!$B$4&amp;""),MAX($K$4:K279)+1,"")</f>
        <v/>
      </c>
    </row>
    <row r="281" spans="11:11" ht="135" customHeight="1">
      <c r="K281" s="65" t="str">
        <f>IF(AND($C281&lt;&gt;"",$I281&lt;&gt;"Closed",$I281&lt;&gt;"Complete",$I281&lt;&gt;"",$C281&amp;""=PMIS_Home!$B$4&amp;""),MAX($K$4:K280)+1,"")</f>
        <v/>
      </c>
    </row>
    <row r="282" spans="11:11" ht="135" customHeight="1">
      <c r="K282" s="65" t="str">
        <f>IF(AND($C282&lt;&gt;"",$I282&lt;&gt;"Closed",$I282&lt;&gt;"Complete",$I282&lt;&gt;"",$C282&amp;""=PMIS_Home!$B$4&amp;""),MAX($K$4:K281)+1,"")</f>
        <v/>
      </c>
    </row>
    <row r="283" spans="11:11" ht="135" customHeight="1">
      <c r="K283" s="65" t="str">
        <f>IF(AND($C283&lt;&gt;"",$I283&lt;&gt;"Closed",$I283&lt;&gt;"Complete",$I283&lt;&gt;"",$C283&amp;""=PMIS_Home!$B$4&amp;""),MAX($K$4:K282)+1,"")</f>
        <v/>
      </c>
    </row>
    <row r="284" spans="11:11" ht="135" customHeight="1">
      <c r="K284" s="65" t="str">
        <f>IF(AND($C284&lt;&gt;"",$I284&lt;&gt;"Closed",$I284&lt;&gt;"Complete",$I284&lt;&gt;"",$C284&amp;""=PMIS_Home!$B$4&amp;""),MAX($K$4:K283)+1,"")</f>
        <v/>
      </c>
    </row>
    <row r="285" spans="11:11" ht="135" customHeight="1">
      <c r="K285" s="65" t="str">
        <f>IF(AND($C285&lt;&gt;"",$I285&lt;&gt;"Closed",$I285&lt;&gt;"Complete",$I285&lt;&gt;"",$C285&amp;""=PMIS_Home!$B$4&amp;""),MAX($K$4:K284)+1,"")</f>
        <v/>
      </c>
    </row>
    <row r="286" spans="11:11" ht="135" customHeight="1">
      <c r="K286" s="65" t="str">
        <f>IF(AND($C286&lt;&gt;"",$I286&lt;&gt;"Closed",$I286&lt;&gt;"Complete",$I286&lt;&gt;"",$C286&amp;""=PMIS_Home!$B$4&amp;""),MAX($K$4:K285)+1,"")</f>
        <v/>
      </c>
    </row>
    <row r="287" spans="11:11" ht="135" customHeight="1">
      <c r="K287" s="65" t="str">
        <f>IF(AND($C287&lt;&gt;"",$I287&lt;&gt;"Closed",$I287&lt;&gt;"Complete",$I287&lt;&gt;"",$C287&amp;""=PMIS_Home!$B$4&amp;""),MAX($K$4:K286)+1,"")</f>
        <v/>
      </c>
    </row>
    <row r="288" spans="11:11" ht="135" customHeight="1">
      <c r="K288" s="65" t="str">
        <f>IF(AND($C288&lt;&gt;"",$I288&lt;&gt;"Closed",$I288&lt;&gt;"Complete",$I288&lt;&gt;"",$C288&amp;""=PMIS_Home!$B$4&amp;""),MAX($K$4:K287)+1,"")</f>
        <v/>
      </c>
    </row>
    <row r="289" spans="11:11" ht="135" customHeight="1">
      <c r="K289" s="65" t="str">
        <f>IF(AND($C289&lt;&gt;"",$I289&lt;&gt;"Closed",$I289&lt;&gt;"Complete",$I289&lt;&gt;"",$C289&amp;""=PMIS_Home!$B$4&amp;""),MAX($K$4:K288)+1,"")</f>
        <v/>
      </c>
    </row>
    <row r="290" spans="11:11" ht="135" customHeight="1">
      <c r="K290" s="65" t="str">
        <f>IF(AND($C290&lt;&gt;"",$I290&lt;&gt;"Closed",$I290&lt;&gt;"Complete",$I290&lt;&gt;"",$C290&amp;""=PMIS_Home!$B$4&amp;""),MAX($K$4:K289)+1,"")</f>
        <v/>
      </c>
    </row>
    <row r="291" spans="11:11" ht="135" customHeight="1">
      <c r="K291" s="65" t="str">
        <f>IF(AND($C291&lt;&gt;"",$I291&lt;&gt;"Closed",$I291&lt;&gt;"Complete",$I291&lt;&gt;"",$C291&amp;""=PMIS_Home!$B$4&amp;""),MAX($K$4:K290)+1,"")</f>
        <v/>
      </c>
    </row>
    <row r="292" spans="11:11" ht="135" customHeight="1">
      <c r="K292" s="65" t="str">
        <f>IF(AND($C292&lt;&gt;"",$I292&lt;&gt;"Closed",$I292&lt;&gt;"Complete",$I292&lt;&gt;"",$C292&amp;""=PMIS_Home!$B$4&amp;""),MAX($K$4:K291)+1,"")</f>
        <v/>
      </c>
    </row>
    <row r="293" spans="11:11" ht="135" customHeight="1">
      <c r="K293" s="65" t="str">
        <f>IF(AND($C293&lt;&gt;"",$I293&lt;&gt;"Closed",$I293&lt;&gt;"Complete",$I293&lt;&gt;"",$C293&amp;""=PMIS_Home!$B$4&amp;""),MAX($K$4:K292)+1,"")</f>
        <v/>
      </c>
    </row>
    <row r="294" spans="11:11" ht="135" customHeight="1">
      <c r="K294" s="65" t="str">
        <f>IF(AND($C294&lt;&gt;"",$I294&lt;&gt;"Closed",$I294&lt;&gt;"Complete",$I294&lt;&gt;"",$C294&amp;""=PMIS_Home!$B$4&amp;""),MAX($K$4:K293)+1,"")</f>
        <v/>
      </c>
    </row>
    <row r="295" spans="11:11" ht="135" customHeight="1">
      <c r="K295" s="65" t="str">
        <f>IF(AND($C295&lt;&gt;"",$I295&lt;&gt;"Closed",$I295&lt;&gt;"Complete",$I295&lt;&gt;"",$C295&amp;""=PMIS_Home!$B$4&amp;""),MAX($K$4:K294)+1,"")</f>
        <v/>
      </c>
    </row>
    <row r="296" spans="11:11" ht="135" customHeight="1">
      <c r="K296" s="65" t="str">
        <f>IF(AND($C296&lt;&gt;"",$I296&lt;&gt;"Closed",$I296&lt;&gt;"Complete",$I296&lt;&gt;"",$C296&amp;""=PMIS_Home!$B$4&amp;""),MAX($K$4:K295)+1,"")</f>
        <v/>
      </c>
    </row>
    <row r="297" spans="11:11" ht="135" customHeight="1">
      <c r="K297" s="65" t="str">
        <f>IF(AND($C297&lt;&gt;"",$I297&lt;&gt;"Closed",$I297&lt;&gt;"Complete",$I297&lt;&gt;"",$C297&amp;""=PMIS_Home!$B$4&amp;""),MAX($K$4:K296)+1,"")</f>
        <v/>
      </c>
    </row>
    <row r="298" spans="11:11" ht="135" customHeight="1">
      <c r="K298" s="65" t="str">
        <f>IF(AND($C298&lt;&gt;"",$I298&lt;&gt;"Closed",$I298&lt;&gt;"Complete",$I298&lt;&gt;"",$C298&amp;""=PMIS_Home!$B$4&amp;""),MAX($K$4:K297)+1,"")</f>
        <v/>
      </c>
    </row>
    <row r="299" spans="11:11" ht="135" customHeight="1">
      <c r="K299" s="65" t="str">
        <f>IF(AND($C299&lt;&gt;"",$I299&lt;&gt;"Closed",$I299&lt;&gt;"Complete",$I299&lt;&gt;"",$C299&amp;""=PMIS_Home!$B$4&amp;""),MAX($K$4:K298)+1,"")</f>
        <v/>
      </c>
    </row>
    <row r="300" spans="11:11" ht="135" customHeight="1">
      <c r="K300" s="65" t="str">
        <f>IF(AND($C300&lt;&gt;"",$I300&lt;&gt;"Closed",$I300&lt;&gt;"Complete",$I300&lt;&gt;"",$C300&amp;""=PMIS_Home!$B$4&amp;""),MAX($K$4:K299)+1,"")</f>
        <v/>
      </c>
    </row>
  </sheetData>
  <conditionalFormatting sqref="I4:I200">
    <cfRule type="expression" dxfId="1521" priority="2">
      <formula>$I4="Closed"</formula>
    </cfRule>
    <cfRule type="expression" dxfId="1520" priority="3">
      <formula>$I4="Complete"</formula>
    </cfRule>
    <cfRule type="expression" dxfId="1519" priority="4">
      <formula>$I4="Delayed"</formula>
    </cfRule>
    <cfRule type="expression" dxfId="1518" priority="5">
      <formula>$I4="On Hold"</formula>
    </cfRule>
    <cfRule type="expression" dxfId="1517" priority="6">
      <formula>$I4="In Progress"</formula>
    </cfRule>
  </conditionalFormatting>
  <dataValidations count="1">
    <dataValidation type="list" sqref="I4:I200" xr:uid="{00000000-0002-0000-0700-000000000000}">
      <formula1>"Not Started,Open,In Progress,Pending,On Hold,Delayed,Closed,Complete"</formula1>
      <formula2>0</formula2>
    </dataValidation>
  </dataValidation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728D5-7425-4DB0-8CC8-997A293E16AB}">
  <dimension ref="A1:U200"/>
  <sheetViews>
    <sheetView showGridLines="0" zoomScale="90" zoomScaleNormal="90" workbookViewId="0">
      <selection activeCell="N24" sqref="N24"/>
    </sheetView>
  </sheetViews>
  <sheetFormatPr defaultColWidth="8.88671875" defaultRowHeight="15" customHeight="1"/>
  <cols>
    <col min="1" max="1" width="18.44140625" style="8" customWidth="1"/>
    <col min="2" max="2" width="12" style="8" customWidth="1"/>
    <col min="3" max="3" width="28" style="8" customWidth="1"/>
    <col min="4" max="4" width="36" style="8" customWidth="1"/>
    <col min="5" max="5" width="16" style="8" customWidth="1"/>
    <col min="6" max="6" width="18" style="8" customWidth="1"/>
    <col min="7" max="7" width="24" style="8" customWidth="1"/>
    <col min="8" max="8" width="36" style="8" customWidth="1"/>
    <col min="9" max="9" width="13" customWidth="1"/>
    <col min="10" max="11" width="16" style="8" customWidth="1"/>
    <col min="12" max="12" width="30" style="8" customWidth="1"/>
    <col min="13" max="17" width="12" style="8" customWidth="1"/>
  </cols>
  <sheetData>
    <row r="1" spans="1:21" ht="15" customHeight="1">
      <c r="A1" s="884" t="s">
        <v>350</v>
      </c>
      <c r="B1" s="885"/>
      <c r="C1" s="885"/>
      <c r="D1" s="885"/>
      <c r="E1" s="885"/>
      <c r="F1" s="885"/>
      <c r="G1" s="885"/>
      <c r="H1" s="885"/>
      <c r="I1" s="885"/>
      <c r="J1" s="885"/>
      <c r="K1" s="885"/>
      <c r="M1" s="231"/>
      <c r="N1" s="231"/>
      <c r="O1" s="231"/>
      <c r="P1" s="231"/>
      <c r="Q1" s="231"/>
      <c r="R1" s="231"/>
      <c r="S1" s="231"/>
      <c r="T1" s="231"/>
      <c r="U1" s="196"/>
    </row>
    <row r="2" spans="1:21" ht="15" customHeight="1">
      <c r="A2" s="521" t="s">
        <v>351</v>
      </c>
      <c r="B2" s="522"/>
      <c r="C2" s="522"/>
      <c r="D2" s="522"/>
      <c r="E2" s="522"/>
      <c r="F2" s="522"/>
      <c r="G2" s="522"/>
      <c r="H2" s="522"/>
      <c r="M2" s="231"/>
      <c r="N2" s="231"/>
      <c r="O2" s="231"/>
      <c r="P2" s="231"/>
      <c r="Q2" s="231"/>
      <c r="R2" s="231"/>
      <c r="S2" s="231"/>
      <c r="T2" s="231"/>
      <c r="U2" s="196"/>
    </row>
    <row r="3" spans="1:21" s="196" customFormat="1" ht="15" customHeight="1">
      <c r="A3" s="387" t="s">
        <v>352</v>
      </c>
      <c r="B3" s="387" t="s">
        <v>142</v>
      </c>
      <c r="C3" s="387" t="s">
        <v>353</v>
      </c>
      <c r="D3" s="387" t="s">
        <v>354</v>
      </c>
      <c r="E3" s="387" t="s">
        <v>355</v>
      </c>
      <c r="F3" s="387" t="s">
        <v>356</v>
      </c>
      <c r="G3" s="387" t="s">
        <v>77</v>
      </c>
      <c r="H3" s="387" t="s">
        <v>5940</v>
      </c>
      <c r="I3" s="388" t="s">
        <v>357</v>
      </c>
      <c r="J3" s="389" t="s">
        <v>177</v>
      </c>
      <c r="K3" s="389" t="s">
        <v>11</v>
      </c>
      <c r="M3" s="231"/>
      <c r="N3" s="231"/>
      <c r="O3" s="231"/>
      <c r="P3" s="231"/>
      <c r="Q3" s="231"/>
      <c r="R3" s="231"/>
      <c r="S3" s="231"/>
      <c r="T3" s="231"/>
    </row>
    <row r="4" spans="1:21" s="196" customFormat="1" ht="15" customHeight="1" thickBot="1">
      <c r="A4" s="390"/>
      <c r="B4" s="391" t="s">
        <v>358</v>
      </c>
      <c r="C4" s="391" t="s">
        <v>359</v>
      </c>
      <c r="D4" s="391" t="s">
        <v>360</v>
      </c>
      <c r="E4" s="391" t="s">
        <v>361</v>
      </c>
      <c r="F4" s="391" t="s">
        <v>362</v>
      </c>
      <c r="G4" s="391"/>
      <c r="H4" s="391"/>
      <c r="I4" s="392" t="s">
        <v>363</v>
      </c>
      <c r="J4" s="393"/>
      <c r="K4" s="394"/>
      <c r="M4" s="231"/>
      <c r="N4" s="231"/>
      <c r="O4" s="231"/>
      <c r="P4" s="231"/>
      <c r="Q4" s="231"/>
      <c r="R4" s="231"/>
      <c r="S4" s="231"/>
      <c r="T4" s="231"/>
    </row>
    <row r="5" spans="1:21" s="196" customFormat="1" ht="15" customHeight="1" thickBot="1">
      <c r="A5" s="395"/>
      <c r="B5" s="396">
        <v>1</v>
      </c>
      <c r="C5" s="397" t="s">
        <v>366</v>
      </c>
      <c r="D5" s="397" t="s">
        <v>367</v>
      </c>
      <c r="E5" s="398"/>
      <c r="F5" s="398"/>
      <c r="G5" s="398"/>
      <c r="H5" s="398"/>
      <c r="I5" s="399"/>
      <c r="J5" s="400"/>
      <c r="K5" s="401"/>
      <c r="M5" s="231"/>
      <c r="N5" s="231"/>
      <c r="O5" s="231"/>
      <c r="P5" s="231"/>
      <c r="Q5" s="231"/>
      <c r="R5" s="231"/>
      <c r="S5" s="231"/>
      <c r="T5" s="231"/>
    </row>
    <row r="6" spans="1:21" s="196" customFormat="1" ht="15" customHeight="1" thickTop="1" thickBot="1">
      <c r="A6" s="402"/>
      <c r="B6" s="403"/>
      <c r="C6" s="404">
        <v>1</v>
      </c>
      <c r="D6" s="404" t="s">
        <v>369</v>
      </c>
      <c r="E6" s="404">
        <v>107</v>
      </c>
      <c r="F6" s="404" t="s">
        <v>370</v>
      </c>
      <c r="G6" s="405" t="s">
        <v>412</v>
      </c>
      <c r="H6" s="404"/>
      <c r="I6" s="406" t="s">
        <v>371</v>
      </c>
      <c r="J6" s="407"/>
      <c r="K6" s="408"/>
      <c r="M6" s="231"/>
      <c r="N6" s="231"/>
      <c r="O6" s="231"/>
      <c r="P6" s="231"/>
      <c r="Q6" s="231"/>
      <c r="R6" s="231"/>
      <c r="S6" s="231"/>
      <c r="T6" s="231"/>
    </row>
    <row r="7" spans="1:21" s="196" customFormat="1" ht="15" customHeight="1" thickBot="1">
      <c r="A7" s="409"/>
      <c r="B7" s="410"/>
      <c r="C7" s="411">
        <v>2</v>
      </c>
      <c r="D7" s="411" t="s">
        <v>373</v>
      </c>
      <c r="E7" s="405"/>
      <c r="F7" s="405"/>
      <c r="G7" s="405"/>
      <c r="H7" s="405"/>
      <c r="I7" s="412"/>
      <c r="J7" s="413"/>
      <c r="K7" s="414"/>
      <c r="M7" s="231"/>
      <c r="N7" s="231"/>
      <c r="O7" s="231"/>
      <c r="P7" s="231"/>
      <c r="Q7" s="231"/>
      <c r="R7" s="231"/>
      <c r="S7" s="231"/>
      <c r="T7" s="231"/>
    </row>
    <row r="8" spans="1:21" s="196" customFormat="1" ht="15" customHeight="1" thickTop="1" thickBot="1">
      <c r="A8" s="415"/>
      <c r="B8" s="416">
        <v>2</v>
      </c>
      <c r="C8" s="417" t="s">
        <v>375</v>
      </c>
      <c r="D8" s="417" t="s">
        <v>367</v>
      </c>
      <c r="E8" s="418"/>
      <c r="F8" s="418"/>
      <c r="G8" s="418"/>
      <c r="H8" s="418"/>
      <c r="I8" s="419"/>
      <c r="J8" s="420"/>
      <c r="K8" s="421"/>
      <c r="M8" s="231"/>
      <c r="N8" s="231"/>
      <c r="O8" s="231"/>
      <c r="P8" s="231"/>
      <c r="Q8" s="231"/>
      <c r="R8" s="231"/>
      <c r="S8" s="231"/>
      <c r="T8" s="231"/>
    </row>
    <row r="9" spans="1:21" s="196" customFormat="1" ht="15" customHeight="1" thickTop="1" thickBot="1">
      <c r="A9" s="402"/>
      <c r="B9" s="422"/>
      <c r="C9" s="423">
        <v>1</v>
      </c>
      <c r="D9" s="423" t="s">
        <v>369</v>
      </c>
      <c r="E9" s="423">
        <v>141</v>
      </c>
      <c r="F9" s="423" t="s">
        <v>377</v>
      </c>
      <c r="G9" s="424" t="s">
        <v>5941</v>
      </c>
      <c r="H9" s="423"/>
      <c r="I9" s="425" t="s">
        <v>378</v>
      </c>
      <c r="J9" s="426"/>
      <c r="K9" s="427"/>
      <c r="M9" s="231"/>
      <c r="N9" s="231"/>
      <c r="O9" s="231"/>
      <c r="P9" s="231"/>
      <c r="Q9" s="231"/>
      <c r="R9" s="231"/>
      <c r="S9" s="231"/>
      <c r="T9" s="231"/>
    </row>
    <row r="10" spans="1:21" s="196" customFormat="1" ht="15" customHeight="1" thickBot="1">
      <c r="A10" s="402"/>
      <c r="B10" s="422"/>
      <c r="C10" s="423">
        <v>2</v>
      </c>
      <c r="D10" s="423" t="s">
        <v>369</v>
      </c>
      <c r="E10" s="423">
        <v>236</v>
      </c>
      <c r="F10" s="423" t="s">
        <v>377</v>
      </c>
      <c r="G10" s="424" t="s">
        <v>412</v>
      </c>
      <c r="H10" s="423"/>
      <c r="I10" s="425" t="s">
        <v>380</v>
      </c>
      <c r="J10" s="426"/>
      <c r="K10" s="427"/>
      <c r="M10" s="231"/>
      <c r="N10" s="231"/>
      <c r="O10" s="231"/>
      <c r="P10" s="231"/>
      <c r="Q10" s="231"/>
      <c r="R10" s="231"/>
      <c r="S10" s="231"/>
      <c r="T10" s="231"/>
    </row>
    <row r="11" spans="1:21" s="196" customFormat="1" ht="15" customHeight="1" thickBot="1">
      <c r="A11" s="402"/>
      <c r="B11" s="422"/>
      <c r="C11" s="423">
        <v>3</v>
      </c>
      <c r="D11" s="423" t="s">
        <v>369</v>
      </c>
      <c r="E11" s="423">
        <v>342</v>
      </c>
      <c r="F11" s="423" t="s">
        <v>370</v>
      </c>
      <c r="G11" s="424" t="s">
        <v>412</v>
      </c>
      <c r="H11" s="423"/>
      <c r="I11" s="425" t="s">
        <v>382</v>
      </c>
      <c r="J11" s="426"/>
      <c r="K11" s="427"/>
      <c r="M11" s="231"/>
      <c r="N11" s="231"/>
      <c r="O11" s="231"/>
      <c r="P11" s="231"/>
      <c r="Q11" s="231"/>
      <c r="R11" s="231"/>
      <c r="S11" s="231"/>
      <c r="T11" s="231"/>
    </row>
    <row r="12" spans="1:21" s="196" customFormat="1" ht="15" customHeight="1" thickBot="1">
      <c r="A12" s="409"/>
      <c r="B12" s="428"/>
      <c r="C12" s="429">
        <v>4</v>
      </c>
      <c r="D12" s="429" t="s">
        <v>383</v>
      </c>
      <c r="E12" s="424"/>
      <c r="F12" s="424"/>
      <c r="G12" s="424"/>
      <c r="H12" s="424"/>
      <c r="I12" s="430"/>
      <c r="J12" s="431"/>
      <c r="K12" s="432"/>
      <c r="M12" s="231"/>
      <c r="N12" s="231"/>
      <c r="O12" s="231"/>
      <c r="P12" s="231"/>
      <c r="Q12" s="231"/>
      <c r="R12" s="231"/>
      <c r="S12" s="231"/>
      <c r="T12" s="231"/>
    </row>
    <row r="13" spans="1:21" s="196" customFormat="1" ht="15" customHeight="1" thickTop="1" thickBot="1">
      <c r="A13" s="415"/>
      <c r="B13" s="396">
        <v>3</v>
      </c>
      <c r="C13" s="397" t="s">
        <v>375</v>
      </c>
      <c r="D13" s="397" t="s">
        <v>367</v>
      </c>
      <c r="E13" s="398"/>
      <c r="F13" s="398"/>
      <c r="G13" s="398"/>
      <c r="H13" s="398"/>
      <c r="I13" s="399"/>
      <c r="J13" s="433"/>
      <c r="K13" s="434"/>
      <c r="M13" s="231"/>
      <c r="N13" s="231"/>
      <c r="O13" s="231"/>
      <c r="P13" s="231"/>
      <c r="Q13" s="231"/>
      <c r="R13" s="231"/>
      <c r="S13" s="231"/>
      <c r="T13" s="231"/>
    </row>
    <row r="14" spans="1:21" s="196" customFormat="1" ht="15" customHeight="1" thickTop="1" thickBot="1">
      <c r="A14" s="409"/>
      <c r="B14" s="410"/>
      <c r="C14" s="411">
        <v>1</v>
      </c>
      <c r="D14" s="411" t="s">
        <v>369</v>
      </c>
      <c r="E14" s="411" t="s">
        <v>386</v>
      </c>
      <c r="F14" s="411" t="s">
        <v>377</v>
      </c>
      <c r="G14" s="405" t="s">
        <v>412</v>
      </c>
      <c r="H14" s="411"/>
      <c r="I14" s="435" t="s">
        <v>387</v>
      </c>
      <c r="J14" s="436"/>
      <c r="K14" s="437"/>
      <c r="M14" s="231"/>
      <c r="N14" s="231"/>
      <c r="O14" s="231"/>
      <c r="P14" s="231"/>
      <c r="Q14" s="231"/>
      <c r="R14" s="231"/>
      <c r="S14" s="231"/>
      <c r="T14" s="231"/>
    </row>
    <row r="15" spans="1:21" s="196" customFormat="1" ht="15" customHeight="1" thickTop="1" thickBot="1">
      <c r="A15" s="415"/>
      <c r="B15" s="416">
        <v>4</v>
      </c>
      <c r="C15" s="417" t="s">
        <v>375</v>
      </c>
      <c r="D15" s="417" t="s">
        <v>369</v>
      </c>
      <c r="E15" s="417" t="s">
        <v>389</v>
      </c>
      <c r="F15" s="417" t="s">
        <v>377</v>
      </c>
      <c r="G15" s="418" t="s">
        <v>412</v>
      </c>
      <c r="H15" s="417"/>
      <c r="I15" s="438" t="s">
        <v>390</v>
      </c>
      <c r="J15" s="439"/>
      <c r="K15" s="440"/>
      <c r="M15" s="231"/>
      <c r="N15" s="231"/>
      <c r="O15" s="231"/>
      <c r="P15" s="231"/>
      <c r="Q15" s="231"/>
      <c r="R15" s="231"/>
      <c r="S15" s="231"/>
      <c r="T15" s="231"/>
    </row>
    <row r="16" spans="1:21" s="196" customFormat="1" ht="15" customHeight="1" thickTop="1" thickBot="1">
      <c r="A16" s="402"/>
      <c r="B16" s="422"/>
      <c r="C16" s="423">
        <v>1</v>
      </c>
      <c r="D16" s="423" t="s">
        <v>369</v>
      </c>
      <c r="E16" s="423">
        <v>141</v>
      </c>
      <c r="F16" s="423" t="s">
        <v>370</v>
      </c>
      <c r="G16" s="424" t="s">
        <v>5941</v>
      </c>
      <c r="H16" s="423"/>
      <c r="I16" s="425" t="s">
        <v>393</v>
      </c>
      <c r="J16" s="441"/>
      <c r="K16" s="442"/>
      <c r="M16" s="231"/>
      <c r="N16" s="231"/>
      <c r="O16" s="231"/>
      <c r="P16" s="231"/>
      <c r="Q16" s="231"/>
      <c r="R16" s="231"/>
      <c r="S16" s="231"/>
      <c r="T16" s="231"/>
    </row>
    <row r="17" spans="1:20" s="196" customFormat="1" ht="15" customHeight="1" thickBot="1">
      <c r="A17" s="409"/>
      <c r="B17" s="428"/>
      <c r="C17" s="429">
        <v>2</v>
      </c>
      <c r="D17" s="429" t="s">
        <v>369</v>
      </c>
      <c r="E17" s="429">
        <v>244</v>
      </c>
      <c r="F17" s="429" t="s">
        <v>370</v>
      </c>
      <c r="G17" s="424" t="s">
        <v>5941</v>
      </c>
      <c r="H17" s="429"/>
      <c r="I17" s="443" t="s">
        <v>395</v>
      </c>
      <c r="J17" s="444"/>
      <c r="K17" s="445"/>
      <c r="M17" s="231"/>
      <c r="N17" s="231"/>
      <c r="O17" s="231"/>
      <c r="P17" s="231"/>
      <c r="Q17" s="231"/>
      <c r="R17" s="231"/>
      <c r="S17" s="231"/>
      <c r="T17" s="231"/>
    </row>
    <row r="18" spans="1:20" s="196" customFormat="1" ht="15" customHeight="1" thickTop="1" thickBot="1">
      <c r="A18" s="415"/>
      <c r="B18" s="396">
        <v>5</v>
      </c>
      <c r="C18" s="397" t="s">
        <v>375</v>
      </c>
      <c r="D18" s="446" t="s">
        <v>367</v>
      </c>
      <c r="E18" s="447"/>
      <c r="F18" s="447"/>
      <c r="G18" s="447"/>
      <c r="H18" s="447"/>
      <c r="I18" s="448"/>
      <c r="J18" s="449"/>
      <c r="K18" s="401"/>
      <c r="M18" s="231"/>
      <c r="N18" s="231"/>
      <c r="O18" s="231"/>
      <c r="P18" s="231"/>
      <c r="Q18" s="231"/>
      <c r="R18" s="231"/>
      <c r="S18" s="231"/>
      <c r="T18" s="231"/>
    </row>
    <row r="19" spans="1:20" s="196" customFormat="1" ht="15" customHeight="1" thickTop="1" thickBot="1">
      <c r="A19" s="402"/>
      <c r="B19" s="403"/>
      <c r="C19" s="404">
        <v>1</v>
      </c>
      <c r="D19" s="450" t="s">
        <v>396</v>
      </c>
      <c r="E19" s="404">
        <v>150</v>
      </c>
      <c r="F19" s="450" t="s">
        <v>396</v>
      </c>
      <c r="G19" s="451" t="s">
        <v>412</v>
      </c>
      <c r="H19" s="450"/>
      <c r="I19" s="406" t="s">
        <v>397</v>
      </c>
      <c r="J19" s="407"/>
      <c r="K19" s="408"/>
      <c r="M19" s="231"/>
      <c r="N19" s="231"/>
      <c r="O19" s="231"/>
      <c r="P19" s="231"/>
      <c r="Q19" s="231"/>
      <c r="R19" s="231"/>
      <c r="S19" s="231"/>
      <c r="T19" s="231"/>
    </row>
    <row r="20" spans="1:20" s="196" customFormat="1" ht="15" customHeight="1" thickBot="1">
      <c r="A20" s="402"/>
      <c r="B20" s="403"/>
      <c r="C20" s="404">
        <v>2</v>
      </c>
      <c r="D20" s="404" t="s">
        <v>398</v>
      </c>
      <c r="E20" s="451"/>
      <c r="F20" s="451"/>
      <c r="G20" s="451"/>
      <c r="H20" s="451"/>
      <c r="I20" s="452"/>
      <c r="J20" s="453"/>
      <c r="K20" s="408"/>
      <c r="M20" s="231"/>
      <c r="N20" s="231"/>
      <c r="O20" s="231"/>
      <c r="P20" s="231"/>
      <c r="Q20" s="231"/>
      <c r="R20" s="231"/>
      <c r="S20" s="231"/>
      <c r="T20" s="231"/>
    </row>
    <row r="21" spans="1:20" s="196" customFormat="1" ht="15" customHeight="1" thickBot="1">
      <c r="A21" s="409"/>
      <c r="B21" s="410"/>
      <c r="C21" s="411" t="s">
        <v>399</v>
      </c>
      <c r="D21" s="451"/>
      <c r="E21" s="451"/>
      <c r="F21" s="451"/>
      <c r="G21" s="451"/>
      <c r="H21" s="451"/>
      <c r="I21" s="452"/>
      <c r="J21" s="454"/>
      <c r="K21" s="414"/>
      <c r="M21" s="231"/>
      <c r="N21" s="231"/>
      <c r="O21" s="231"/>
      <c r="P21" s="231"/>
      <c r="Q21" s="231"/>
      <c r="R21" s="231"/>
      <c r="S21" s="231"/>
      <c r="T21" s="231"/>
    </row>
    <row r="22" spans="1:20" s="196" customFormat="1" ht="15" customHeight="1" thickTop="1" thickBot="1">
      <c r="A22" s="415"/>
      <c r="B22" s="416">
        <v>6</v>
      </c>
      <c r="C22" s="417" t="s">
        <v>375</v>
      </c>
      <c r="D22" s="417" t="s">
        <v>367</v>
      </c>
      <c r="E22" s="418"/>
      <c r="F22" s="418"/>
      <c r="G22" s="418"/>
      <c r="H22" s="418"/>
      <c r="I22" s="419"/>
      <c r="J22" s="420"/>
      <c r="K22" s="421"/>
      <c r="M22" s="231"/>
      <c r="N22" s="231"/>
      <c r="O22" s="231"/>
      <c r="P22" s="231"/>
      <c r="Q22" s="231"/>
      <c r="R22" s="231"/>
      <c r="S22" s="231"/>
      <c r="T22" s="231"/>
    </row>
    <row r="23" spans="1:20" s="196" customFormat="1" ht="15" customHeight="1" thickTop="1" thickBot="1">
      <c r="A23" s="402"/>
      <c r="B23" s="422"/>
      <c r="C23" s="423">
        <v>1</v>
      </c>
      <c r="D23" s="423" t="s">
        <v>369</v>
      </c>
      <c r="E23" s="423">
        <v>178</v>
      </c>
      <c r="F23" s="423" t="s">
        <v>370</v>
      </c>
      <c r="G23" s="424" t="s">
        <v>412</v>
      </c>
      <c r="H23" s="423"/>
      <c r="I23" s="425" t="s">
        <v>387</v>
      </c>
      <c r="J23" s="426"/>
      <c r="K23" s="427"/>
      <c r="M23" s="231"/>
      <c r="N23" s="231"/>
      <c r="O23" s="231"/>
      <c r="P23" s="231"/>
      <c r="Q23" s="231"/>
      <c r="R23" s="231"/>
      <c r="S23" s="231"/>
      <c r="T23" s="231"/>
    </row>
    <row r="24" spans="1:20" s="196" customFormat="1" ht="15" customHeight="1" thickBot="1">
      <c r="A24" s="409"/>
      <c r="B24" s="428"/>
      <c r="C24" s="429">
        <v>2</v>
      </c>
      <c r="D24" s="429" t="s">
        <v>369</v>
      </c>
      <c r="E24" s="429">
        <v>233</v>
      </c>
      <c r="F24" s="429" t="s">
        <v>370</v>
      </c>
      <c r="G24" s="424" t="s">
        <v>412</v>
      </c>
      <c r="H24" s="429"/>
      <c r="I24" s="443" t="s">
        <v>400</v>
      </c>
      <c r="J24" s="455"/>
      <c r="K24" s="432"/>
      <c r="M24" s="231"/>
      <c r="N24" s="231"/>
      <c r="O24" s="231"/>
      <c r="P24" s="231"/>
      <c r="Q24" s="231"/>
      <c r="R24" s="231"/>
      <c r="S24" s="231"/>
      <c r="T24" s="231"/>
    </row>
    <row r="25" spans="1:20" s="196" customFormat="1" ht="15" customHeight="1" thickTop="1" thickBot="1">
      <c r="A25" s="415"/>
      <c r="B25" s="396">
        <v>7</v>
      </c>
      <c r="C25" s="397" t="s">
        <v>375</v>
      </c>
      <c r="D25" s="397" t="s">
        <v>369</v>
      </c>
      <c r="E25" s="397" t="s">
        <v>401</v>
      </c>
      <c r="F25" s="397" t="s">
        <v>370</v>
      </c>
      <c r="G25" s="398" t="s">
        <v>412</v>
      </c>
      <c r="H25" s="397"/>
      <c r="I25" s="456" t="s">
        <v>402</v>
      </c>
      <c r="J25" s="457"/>
      <c r="K25" s="401"/>
      <c r="M25" s="231"/>
      <c r="N25" s="231"/>
      <c r="O25" s="231"/>
      <c r="P25" s="231"/>
      <c r="Q25" s="231"/>
      <c r="R25" s="231"/>
      <c r="S25" s="231"/>
      <c r="T25" s="231"/>
    </row>
    <row r="26" spans="1:20" s="196" customFormat="1" ht="15" customHeight="1" thickTop="1" thickBot="1">
      <c r="A26" s="402"/>
      <c r="B26" s="403"/>
      <c r="C26" s="404">
        <v>1</v>
      </c>
      <c r="D26" s="404" t="s">
        <v>403</v>
      </c>
      <c r="E26" s="405"/>
      <c r="F26" s="405"/>
      <c r="G26" s="405"/>
      <c r="H26" s="405"/>
      <c r="I26" s="412"/>
      <c r="J26" s="458"/>
      <c r="K26" s="408"/>
      <c r="M26" s="231"/>
      <c r="N26" s="231"/>
      <c r="O26" s="231"/>
      <c r="P26" s="231"/>
      <c r="Q26" s="231"/>
      <c r="R26" s="231"/>
      <c r="S26" s="231"/>
      <c r="T26" s="231"/>
    </row>
    <row r="27" spans="1:20" s="196" customFormat="1" ht="15" customHeight="1" thickBot="1">
      <c r="A27" s="409"/>
      <c r="B27" s="410"/>
      <c r="C27" s="411">
        <v>2</v>
      </c>
      <c r="D27" s="411" t="s">
        <v>369</v>
      </c>
      <c r="E27" s="411" t="s">
        <v>404</v>
      </c>
      <c r="F27" s="411" t="s">
        <v>377</v>
      </c>
      <c r="G27" s="405" t="s">
        <v>5941</v>
      </c>
      <c r="H27" s="411"/>
      <c r="I27" s="435" t="s">
        <v>405</v>
      </c>
      <c r="J27" s="459"/>
      <c r="K27" s="414"/>
      <c r="M27" s="231"/>
      <c r="N27" s="231"/>
      <c r="O27" s="231"/>
      <c r="P27" s="231"/>
      <c r="Q27" s="231"/>
      <c r="R27" s="231"/>
      <c r="S27" s="231"/>
      <c r="T27" s="231"/>
    </row>
    <row r="28" spans="1:20" s="196" customFormat="1" ht="15" customHeight="1" thickTop="1" thickBot="1">
      <c r="A28" s="415"/>
      <c r="B28" s="416">
        <v>8</v>
      </c>
      <c r="C28" s="417" t="s">
        <v>375</v>
      </c>
      <c r="D28" s="417" t="s">
        <v>403</v>
      </c>
      <c r="E28" s="418"/>
      <c r="F28" s="418"/>
      <c r="G28" s="418"/>
      <c r="H28" s="418"/>
      <c r="I28" s="419"/>
      <c r="J28" s="420"/>
      <c r="K28" s="421"/>
      <c r="M28" s="231"/>
      <c r="N28" s="231"/>
      <c r="O28" s="231"/>
      <c r="P28" s="231"/>
      <c r="Q28" s="231"/>
      <c r="R28" s="231"/>
      <c r="S28" s="231"/>
      <c r="T28" s="231"/>
    </row>
    <row r="29" spans="1:20" s="196" customFormat="1" ht="15" customHeight="1" thickTop="1" thickBot="1">
      <c r="A29" s="402"/>
      <c r="B29" s="422"/>
      <c r="C29" s="423">
        <v>1</v>
      </c>
      <c r="D29" s="423" t="s">
        <v>403</v>
      </c>
      <c r="E29" s="424"/>
      <c r="F29" s="424"/>
      <c r="G29" s="424"/>
      <c r="H29" s="424"/>
      <c r="I29" s="430"/>
      <c r="J29" s="460"/>
      <c r="K29" s="427"/>
      <c r="M29" s="231"/>
      <c r="N29" s="231"/>
      <c r="O29" s="231"/>
      <c r="P29" s="231"/>
      <c r="Q29" s="231"/>
      <c r="R29" s="231"/>
      <c r="S29" s="231"/>
      <c r="T29" s="231"/>
    </row>
    <row r="30" spans="1:20" s="196" customFormat="1" ht="15" customHeight="1" thickBot="1">
      <c r="A30" s="402"/>
      <c r="B30" s="422"/>
      <c r="C30" s="423">
        <v>2</v>
      </c>
      <c r="D30" s="423" t="s">
        <v>369</v>
      </c>
      <c r="E30" s="423" t="s">
        <v>406</v>
      </c>
      <c r="F30" s="423" t="s">
        <v>377</v>
      </c>
      <c r="G30" s="424" t="s">
        <v>412</v>
      </c>
      <c r="H30" s="423"/>
      <c r="I30" s="425" t="s">
        <v>387</v>
      </c>
      <c r="J30" s="426"/>
      <c r="K30" s="427" t="s">
        <v>5942</v>
      </c>
      <c r="M30" s="231"/>
      <c r="N30" s="231"/>
      <c r="O30" s="231"/>
      <c r="P30" s="231"/>
      <c r="Q30" s="231"/>
      <c r="R30" s="231"/>
      <c r="S30" s="231"/>
      <c r="T30" s="231"/>
    </row>
    <row r="31" spans="1:20" s="196" customFormat="1" ht="15" customHeight="1" thickBot="1">
      <c r="A31" s="409"/>
      <c r="B31" s="428"/>
      <c r="C31" s="429" t="s">
        <v>399</v>
      </c>
      <c r="D31" s="424"/>
      <c r="E31" s="424"/>
      <c r="F31" s="424"/>
      <c r="G31" s="424"/>
      <c r="H31" s="424"/>
      <c r="I31" s="430"/>
      <c r="J31" s="431"/>
      <c r="K31" s="432"/>
      <c r="M31" s="231"/>
      <c r="N31" s="231"/>
      <c r="O31" s="231"/>
      <c r="P31" s="231"/>
      <c r="Q31" s="231"/>
      <c r="R31" s="231"/>
      <c r="S31" s="231"/>
      <c r="T31" s="231"/>
    </row>
    <row r="32" spans="1:20" s="196" customFormat="1" ht="15" customHeight="1" thickTop="1" thickBot="1">
      <c r="A32" s="415"/>
      <c r="B32" s="396">
        <v>9</v>
      </c>
      <c r="C32" s="397" t="s">
        <v>375</v>
      </c>
      <c r="D32" s="397" t="s">
        <v>369</v>
      </c>
      <c r="E32" s="397" t="s">
        <v>12</v>
      </c>
      <c r="F32" s="397" t="s">
        <v>370</v>
      </c>
      <c r="G32" s="398" t="s">
        <v>412</v>
      </c>
      <c r="H32" s="397"/>
      <c r="I32" s="456" t="s">
        <v>407</v>
      </c>
      <c r="J32" s="457"/>
      <c r="K32" s="401" t="s">
        <v>5943</v>
      </c>
      <c r="M32" s="231"/>
      <c r="N32" s="231"/>
      <c r="O32" s="231"/>
      <c r="P32" s="231"/>
      <c r="Q32" s="231"/>
      <c r="R32" s="231"/>
      <c r="S32" s="231"/>
      <c r="T32" s="231"/>
    </row>
    <row r="33" spans="1:20" s="196" customFormat="1" ht="15" customHeight="1" thickTop="1" thickBot="1">
      <c r="A33" s="402"/>
      <c r="B33" s="403"/>
      <c r="C33" s="404">
        <v>1</v>
      </c>
      <c r="D33" s="404" t="s">
        <v>369</v>
      </c>
      <c r="E33" s="404" t="s">
        <v>408</v>
      </c>
      <c r="F33" s="404" t="s">
        <v>370</v>
      </c>
      <c r="G33" s="405" t="s">
        <v>5941</v>
      </c>
      <c r="H33" s="404"/>
      <c r="I33" s="406" t="s">
        <v>409</v>
      </c>
      <c r="J33" s="407" t="s">
        <v>5944</v>
      </c>
      <c r="K33" s="408" t="s">
        <v>5945</v>
      </c>
      <c r="M33" s="231"/>
      <c r="N33" s="231"/>
      <c r="O33" s="231"/>
      <c r="P33" s="231"/>
      <c r="Q33" s="231"/>
      <c r="R33" s="231"/>
      <c r="S33" s="231"/>
      <c r="T33" s="231"/>
    </row>
    <row r="34" spans="1:20" s="196" customFormat="1" ht="15" customHeight="1" thickBot="1">
      <c r="A34" s="402"/>
      <c r="B34" s="403"/>
      <c r="C34" s="461"/>
      <c r="D34" s="461"/>
      <c r="E34" s="461"/>
      <c r="F34" s="461"/>
      <c r="G34" s="405"/>
      <c r="H34" s="461"/>
      <c r="I34" s="462"/>
      <c r="J34" s="463"/>
      <c r="K34" s="414" t="s">
        <v>5946</v>
      </c>
      <c r="M34" s="231"/>
      <c r="N34" s="231"/>
      <c r="O34" s="231"/>
      <c r="P34" s="231"/>
      <c r="Q34" s="231"/>
      <c r="R34" s="231"/>
      <c r="S34" s="231"/>
      <c r="T34" s="231"/>
    </row>
    <row r="35" spans="1:20" s="196" customFormat="1" ht="15" customHeight="1" thickBot="1">
      <c r="A35" s="409"/>
      <c r="B35" s="410"/>
      <c r="C35" s="411">
        <v>2</v>
      </c>
      <c r="D35" s="411" t="s">
        <v>369</v>
      </c>
      <c r="E35" s="411">
        <v>206</v>
      </c>
      <c r="F35" s="411" t="s">
        <v>370</v>
      </c>
      <c r="G35" s="405" t="s">
        <v>5941</v>
      </c>
      <c r="H35" s="411"/>
      <c r="I35" s="435" t="s">
        <v>410</v>
      </c>
      <c r="J35" s="459"/>
      <c r="K35" s="414"/>
      <c r="M35" s="231"/>
      <c r="N35" s="231"/>
      <c r="O35" s="231"/>
      <c r="P35" s="231"/>
      <c r="Q35" s="231"/>
      <c r="R35" s="231"/>
      <c r="S35" s="231"/>
      <c r="T35" s="231"/>
    </row>
    <row r="36" spans="1:20" s="196" customFormat="1" ht="15" customHeight="1" thickTop="1" thickBot="1">
      <c r="A36" s="415"/>
      <c r="B36" s="416">
        <v>10</v>
      </c>
      <c r="C36" s="417" t="s">
        <v>375</v>
      </c>
      <c r="D36" s="417" t="s">
        <v>403</v>
      </c>
      <c r="E36" s="418"/>
      <c r="F36" s="418"/>
      <c r="G36" s="418"/>
      <c r="H36" s="418"/>
      <c r="I36" s="419"/>
      <c r="J36" s="420"/>
      <c r="K36" s="421"/>
      <c r="M36" s="231"/>
      <c r="N36" s="231"/>
      <c r="O36" s="231"/>
      <c r="P36" s="231"/>
      <c r="Q36" s="231"/>
      <c r="R36" s="231"/>
      <c r="S36" s="231"/>
      <c r="T36" s="231"/>
    </row>
    <row r="37" spans="1:20" s="196" customFormat="1" ht="15" customHeight="1" thickTop="1" thickBot="1">
      <c r="A37" s="402"/>
      <c r="B37" s="422"/>
      <c r="C37" s="423">
        <v>1</v>
      </c>
      <c r="D37" s="423" t="s">
        <v>403</v>
      </c>
      <c r="E37" s="424"/>
      <c r="F37" s="424"/>
      <c r="G37" s="424"/>
      <c r="H37" s="424"/>
      <c r="I37" s="430"/>
      <c r="J37" s="460"/>
      <c r="K37" s="427"/>
      <c r="M37" s="231"/>
      <c r="N37" s="231"/>
      <c r="O37" s="231"/>
      <c r="P37" s="231"/>
      <c r="Q37" s="231"/>
      <c r="R37" s="231"/>
      <c r="S37" s="231"/>
      <c r="T37" s="231"/>
    </row>
    <row r="38" spans="1:20" s="196" customFormat="1" ht="15" customHeight="1" thickBot="1">
      <c r="A38" s="409"/>
      <c r="B38" s="428"/>
      <c r="C38" s="429" t="s">
        <v>399</v>
      </c>
      <c r="D38" s="429" t="s">
        <v>369</v>
      </c>
      <c r="E38" s="429" t="s">
        <v>411</v>
      </c>
      <c r="F38" s="429" t="s">
        <v>370</v>
      </c>
      <c r="G38" s="424" t="s">
        <v>412</v>
      </c>
      <c r="H38" s="429"/>
      <c r="I38" s="443" t="s">
        <v>412</v>
      </c>
      <c r="J38" s="455"/>
      <c r="K38" s="432" t="s">
        <v>5947</v>
      </c>
      <c r="M38" s="231"/>
      <c r="N38" s="231"/>
      <c r="O38" s="231"/>
      <c r="P38" s="231"/>
      <c r="Q38" s="231"/>
      <c r="R38" s="231"/>
      <c r="S38" s="231"/>
      <c r="T38" s="231"/>
    </row>
    <row r="39" spans="1:20" s="196" customFormat="1" ht="15" customHeight="1" thickTop="1" thickBot="1">
      <c r="A39" s="415"/>
      <c r="B39" s="396">
        <v>12</v>
      </c>
      <c r="C39" s="397" t="s">
        <v>375</v>
      </c>
      <c r="D39" s="464" t="s">
        <v>413</v>
      </c>
      <c r="E39" s="398"/>
      <c r="F39" s="398"/>
      <c r="G39" s="398"/>
      <c r="H39" s="398"/>
      <c r="I39" s="399"/>
      <c r="J39" s="400"/>
      <c r="K39" s="401"/>
      <c r="M39" s="231"/>
      <c r="N39" s="231"/>
      <c r="O39" s="231"/>
      <c r="P39" s="231"/>
      <c r="Q39" s="231"/>
      <c r="R39" s="231"/>
      <c r="S39" s="231"/>
      <c r="T39" s="231"/>
    </row>
    <row r="40" spans="1:20" s="196" customFormat="1" ht="15" customHeight="1" thickTop="1" thickBot="1">
      <c r="A40" s="402"/>
      <c r="B40" s="403"/>
      <c r="C40" s="404">
        <v>1</v>
      </c>
      <c r="D40" s="465" t="s">
        <v>413</v>
      </c>
      <c r="E40" s="405"/>
      <c r="F40" s="405"/>
      <c r="G40" s="405"/>
      <c r="H40" s="405"/>
      <c r="I40" s="412"/>
      <c r="J40" s="458"/>
      <c r="K40" s="408"/>
      <c r="M40" s="231"/>
      <c r="N40" s="231"/>
      <c r="O40" s="231"/>
      <c r="P40" s="231"/>
      <c r="Q40" s="231"/>
      <c r="R40" s="231"/>
      <c r="S40" s="231"/>
      <c r="T40" s="231"/>
    </row>
    <row r="41" spans="1:20" s="196" customFormat="1" ht="15" customHeight="1" thickBot="1">
      <c r="A41" s="409"/>
      <c r="B41" s="410"/>
      <c r="C41" s="411">
        <v>2</v>
      </c>
      <c r="D41" s="466" t="s">
        <v>413</v>
      </c>
      <c r="E41" s="405"/>
      <c r="F41" s="405"/>
      <c r="G41" s="405"/>
      <c r="H41" s="405"/>
      <c r="I41" s="412"/>
      <c r="J41" s="413"/>
      <c r="K41" s="414"/>
      <c r="M41" s="231"/>
      <c r="N41" s="231"/>
      <c r="O41" s="231"/>
      <c r="P41" s="231"/>
      <c r="Q41" s="231"/>
      <c r="R41" s="231"/>
      <c r="S41" s="231"/>
      <c r="T41" s="231"/>
    </row>
    <row r="42" spans="1:20" s="196" customFormat="1" ht="15" customHeight="1" thickTop="1" thickBot="1">
      <c r="A42" s="415"/>
      <c r="B42" s="416">
        <v>13</v>
      </c>
      <c r="C42" s="417" t="s">
        <v>375</v>
      </c>
      <c r="D42" s="417" t="s">
        <v>367</v>
      </c>
      <c r="E42" s="418"/>
      <c r="F42" s="418"/>
      <c r="G42" s="418"/>
      <c r="H42" s="418"/>
      <c r="I42" s="419"/>
      <c r="J42" s="420"/>
      <c r="K42" s="421"/>
      <c r="M42" s="231"/>
      <c r="N42" s="231"/>
      <c r="O42" s="231"/>
      <c r="P42" s="231"/>
      <c r="Q42" s="231"/>
      <c r="R42" s="231"/>
      <c r="S42" s="231"/>
      <c r="T42" s="231"/>
    </row>
    <row r="43" spans="1:20" s="196" customFormat="1" ht="15" customHeight="1" thickTop="1" thickBot="1">
      <c r="A43" s="402"/>
      <c r="B43" s="422"/>
      <c r="C43" s="423">
        <v>1</v>
      </c>
      <c r="D43" s="423" t="s">
        <v>369</v>
      </c>
      <c r="E43" s="423">
        <v>124</v>
      </c>
      <c r="F43" s="423" t="s">
        <v>370</v>
      </c>
      <c r="G43" s="424" t="s">
        <v>412</v>
      </c>
      <c r="H43" s="423"/>
      <c r="I43" s="425" t="s">
        <v>414</v>
      </c>
      <c r="J43" s="426"/>
      <c r="K43" s="427" t="s">
        <v>5948</v>
      </c>
      <c r="M43" s="231"/>
      <c r="N43" s="231"/>
      <c r="O43" s="231"/>
      <c r="P43" s="231"/>
      <c r="Q43" s="231"/>
      <c r="R43" s="231"/>
      <c r="S43" s="231"/>
      <c r="T43" s="231"/>
    </row>
    <row r="44" spans="1:20" s="196" customFormat="1" ht="15" customHeight="1" thickBot="1">
      <c r="A44" s="409"/>
      <c r="B44" s="428"/>
      <c r="C44" s="429">
        <v>2</v>
      </c>
      <c r="D44" s="429" t="s">
        <v>367</v>
      </c>
      <c r="E44" s="424"/>
      <c r="F44" s="424"/>
      <c r="G44" s="424"/>
      <c r="H44" s="424"/>
      <c r="I44" s="430"/>
      <c r="J44" s="431"/>
      <c r="K44" s="432"/>
      <c r="M44" s="231"/>
      <c r="N44" s="231"/>
      <c r="O44" s="231"/>
      <c r="P44" s="231"/>
      <c r="Q44" s="231"/>
      <c r="R44" s="231"/>
      <c r="S44" s="231"/>
      <c r="T44" s="231"/>
    </row>
    <row r="45" spans="1:20" s="196" customFormat="1" ht="15" customHeight="1" thickTop="1" thickBot="1">
      <c r="A45" s="415"/>
      <c r="B45" s="396">
        <v>14</v>
      </c>
      <c r="C45" s="397" t="s">
        <v>375</v>
      </c>
      <c r="D45" s="397" t="s">
        <v>367</v>
      </c>
      <c r="E45" s="398"/>
      <c r="F45" s="398"/>
      <c r="G45" s="398"/>
      <c r="H45" s="398"/>
      <c r="I45" s="399"/>
      <c r="J45" s="400"/>
      <c r="K45" s="401"/>
      <c r="M45" s="231"/>
      <c r="N45" s="231"/>
      <c r="O45" s="231"/>
      <c r="P45" s="231"/>
      <c r="Q45" s="231"/>
      <c r="R45" s="231"/>
      <c r="S45" s="231"/>
      <c r="T45" s="231"/>
    </row>
    <row r="46" spans="1:20" s="196" customFormat="1" ht="15" customHeight="1" thickTop="1" thickBot="1">
      <c r="A46" s="402"/>
      <c r="B46" s="403"/>
      <c r="C46" s="404">
        <v>1</v>
      </c>
      <c r="D46" s="404" t="s">
        <v>369</v>
      </c>
      <c r="E46" s="404">
        <v>119</v>
      </c>
      <c r="F46" s="404" t="s">
        <v>370</v>
      </c>
      <c r="G46" s="405" t="s">
        <v>5941</v>
      </c>
      <c r="H46" s="404"/>
      <c r="I46" s="406" t="s">
        <v>415</v>
      </c>
      <c r="J46" s="407"/>
      <c r="K46" s="408" t="s">
        <v>5949</v>
      </c>
      <c r="M46" s="231"/>
      <c r="N46" s="231"/>
      <c r="O46" s="231"/>
      <c r="P46" s="231"/>
      <c r="Q46" s="231"/>
      <c r="R46" s="231"/>
      <c r="S46" s="231"/>
      <c r="T46" s="231"/>
    </row>
    <row r="47" spans="1:20" s="196" customFormat="1" ht="15" customHeight="1" thickBot="1">
      <c r="A47" s="409"/>
      <c r="B47" s="410"/>
      <c r="C47" s="411">
        <v>2</v>
      </c>
      <c r="D47" s="411" t="s">
        <v>367</v>
      </c>
      <c r="E47" s="405"/>
      <c r="F47" s="405"/>
      <c r="G47" s="405"/>
      <c r="H47" s="405"/>
      <c r="I47" s="412"/>
      <c r="J47" s="413"/>
      <c r="K47" s="414"/>
      <c r="M47" s="231"/>
      <c r="N47" s="231"/>
      <c r="O47" s="231"/>
      <c r="P47" s="231"/>
      <c r="Q47" s="231"/>
      <c r="R47" s="231"/>
      <c r="S47" s="231"/>
      <c r="T47" s="231"/>
    </row>
    <row r="48" spans="1:20" s="196" customFormat="1" ht="15" customHeight="1" thickTop="1" thickBot="1">
      <c r="A48" s="415"/>
      <c r="B48" s="416">
        <v>15</v>
      </c>
      <c r="C48" s="417" t="s">
        <v>375</v>
      </c>
      <c r="D48" s="417" t="s">
        <v>367</v>
      </c>
      <c r="E48" s="418"/>
      <c r="F48" s="418"/>
      <c r="G48" s="418"/>
      <c r="H48" s="418"/>
      <c r="I48" s="419"/>
      <c r="J48" s="420"/>
      <c r="K48" s="421"/>
      <c r="M48" s="231"/>
      <c r="N48" s="231"/>
      <c r="O48" s="231"/>
      <c r="P48" s="231"/>
      <c r="Q48" s="231"/>
      <c r="R48" s="231"/>
      <c r="S48" s="231"/>
      <c r="T48" s="231"/>
    </row>
    <row r="49" spans="1:20" s="196" customFormat="1" ht="15" customHeight="1" thickTop="1" thickBot="1">
      <c r="A49" s="402"/>
      <c r="B49" s="422"/>
      <c r="C49" s="423">
        <v>1</v>
      </c>
      <c r="D49" s="423" t="s">
        <v>369</v>
      </c>
      <c r="E49" s="423">
        <v>124</v>
      </c>
      <c r="F49" s="423" t="s">
        <v>370</v>
      </c>
      <c r="G49" s="424" t="s">
        <v>5941</v>
      </c>
      <c r="H49" s="423"/>
      <c r="I49" s="425" t="s">
        <v>416</v>
      </c>
      <c r="J49" s="426"/>
      <c r="K49" s="427" t="s">
        <v>5949</v>
      </c>
      <c r="M49" s="231"/>
      <c r="N49" s="231"/>
      <c r="O49" s="231"/>
      <c r="P49" s="231"/>
      <c r="Q49" s="231"/>
      <c r="R49" s="231"/>
      <c r="S49" s="231"/>
      <c r="T49" s="231"/>
    </row>
    <row r="50" spans="1:20" s="196" customFormat="1" ht="15" customHeight="1" thickBot="1">
      <c r="A50" s="409"/>
      <c r="B50" s="428"/>
      <c r="C50" s="429">
        <v>2</v>
      </c>
      <c r="D50" s="429" t="s">
        <v>367</v>
      </c>
      <c r="E50" s="424"/>
      <c r="F50" s="424"/>
      <c r="G50" s="424"/>
      <c r="H50" s="424"/>
      <c r="I50" s="430"/>
      <c r="J50" s="431"/>
      <c r="K50" s="432"/>
      <c r="M50" s="231"/>
      <c r="N50" s="231"/>
      <c r="O50" s="231"/>
      <c r="P50" s="231"/>
      <c r="Q50" s="231"/>
      <c r="R50" s="231"/>
      <c r="S50" s="231"/>
      <c r="T50" s="231"/>
    </row>
    <row r="51" spans="1:20" s="196" customFormat="1" ht="15" customHeight="1" thickTop="1" thickBot="1">
      <c r="A51" s="415"/>
      <c r="B51" s="396">
        <v>16</v>
      </c>
      <c r="C51" s="397" t="s">
        <v>375</v>
      </c>
      <c r="D51" s="397" t="s">
        <v>369</v>
      </c>
      <c r="E51" s="397">
        <v>15</v>
      </c>
      <c r="F51" s="397" t="s">
        <v>370</v>
      </c>
      <c r="G51" s="398" t="s">
        <v>412</v>
      </c>
      <c r="H51" s="397"/>
      <c r="I51" s="456" t="s">
        <v>387</v>
      </c>
      <c r="J51" s="457"/>
      <c r="K51" s="401" t="s">
        <v>5950</v>
      </c>
      <c r="M51" s="231"/>
      <c r="N51" s="231"/>
      <c r="O51" s="231"/>
      <c r="P51" s="231"/>
      <c r="Q51" s="231"/>
      <c r="R51" s="231"/>
      <c r="S51" s="231"/>
      <c r="T51" s="231"/>
    </row>
    <row r="52" spans="1:20" s="196" customFormat="1" ht="15" customHeight="1" thickTop="1" thickBot="1">
      <c r="A52" s="402"/>
      <c r="B52" s="403"/>
      <c r="C52" s="404">
        <v>1</v>
      </c>
      <c r="D52" s="404" t="s">
        <v>417</v>
      </c>
      <c r="E52" s="405"/>
      <c r="F52" s="405"/>
      <c r="G52" s="405"/>
      <c r="H52" s="405"/>
      <c r="I52" s="412"/>
      <c r="J52" s="458"/>
      <c r="K52" s="408"/>
      <c r="M52" s="231"/>
      <c r="N52" s="231"/>
      <c r="O52" s="231"/>
      <c r="P52" s="231"/>
      <c r="Q52" s="231"/>
      <c r="R52" s="231"/>
      <c r="S52" s="231"/>
      <c r="T52" s="231"/>
    </row>
    <row r="53" spans="1:20" s="196" customFormat="1" ht="15" customHeight="1" thickBot="1">
      <c r="A53" s="402"/>
      <c r="B53" s="403"/>
      <c r="C53" s="404">
        <v>2</v>
      </c>
      <c r="D53" s="404" t="s">
        <v>417</v>
      </c>
      <c r="E53" s="405"/>
      <c r="F53" s="405"/>
      <c r="G53" s="405"/>
      <c r="H53" s="405"/>
      <c r="I53" s="412"/>
      <c r="J53" s="458"/>
      <c r="K53" s="408"/>
      <c r="M53" s="231"/>
      <c r="N53" s="231"/>
      <c r="O53" s="231"/>
      <c r="P53" s="231"/>
      <c r="Q53" s="231"/>
      <c r="R53" s="231"/>
      <c r="S53" s="231"/>
      <c r="T53" s="231"/>
    </row>
    <row r="54" spans="1:20" s="196" customFormat="1" ht="15" customHeight="1" thickBot="1">
      <c r="A54" s="409"/>
      <c r="B54" s="410"/>
      <c r="C54" s="411" t="s">
        <v>399</v>
      </c>
      <c r="D54" s="411" t="s">
        <v>417</v>
      </c>
      <c r="E54" s="405"/>
      <c r="F54" s="405"/>
      <c r="G54" s="405"/>
      <c r="H54" s="405"/>
      <c r="I54" s="412"/>
      <c r="J54" s="413"/>
      <c r="K54" s="414"/>
      <c r="M54" s="231"/>
      <c r="N54" s="231"/>
      <c r="O54" s="231"/>
      <c r="P54" s="231"/>
      <c r="Q54" s="231"/>
      <c r="R54" s="231"/>
      <c r="S54" s="231"/>
      <c r="T54" s="231"/>
    </row>
    <row r="55" spans="1:20" s="196" customFormat="1" ht="15" customHeight="1" thickTop="1" thickBot="1">
      <c r="A55" s="467"/>
      <c r="B55" s="467"/>
      <c r="C55" s="231"/>
      <c r="D55" s="231"/>
      <c r="E55" s="231"/>
      <c r="F55" s="231"/>
      <c r="G55" s="468"/>
      <c r="H55" s="231"/>
      <c r="I55" s="231"/>
      <c r="J55" s="469"/>
      <c r="K55" s="470"/>
      <c r="M55" s="231"/>
      <c r="N55" s="231"/>
      <c r="O55" s="231"/>
      <c r="P55" s="231"/>
      <c r="Q55" s="231"/>
      <c r="R55" s="231"/>
      <c r="S55" s="231"/>
      <c r="T55" s="231"/>
    </row>
    <row r="56" spans="1:20" s="196" customFormat="1" ht="15" customHeight="1" thickBot="1">
      <c r="A56" s="471"/>
      <c r="B56" s="416" t="s">
        <v>418</v>
      </c>
      <c r="C56" s="417" t="s">
        <v>375</v>
      </c>
      <c r="D56" s="417" t="s">
        <v>367</v>
      </c>
      <c r="E56" s="418"/>
      <c r="F56" s="418"/>
      <c r="G56" s="418"/>
      <c r="H56" s="418"/>
      <c r="I56" s="419"/>
      <c r="J56" s="420"/>
      <c r="K56" s="421"/>
      <c r="M56" s="231"/>
      <c r="N56" s="231"/>
      <c r="O56" s="231"/>
      <c r="P56" s="231"/>
      <c r="Q56" s="231"/>
      <c r="R56" s="231"/>
      <c r="S56" s="231"/>
      <c r="T56" s="231"/>
    </row>
    <row r="57" spans="1:20" s="196" customFormat="1" ht="15" customHeight="1" thickTop="1" thickBot="1">
      <c r="A57" s="402"/>
      <c r="B57" s="422"/>
      <c r="C57" s="423">
        <v>1</v>
      </c>
      <c r="D57" s="423" t="s">
        <v>369</v>
      </c>
      <c r="E57" s="423">
        <v>118</v>
      </c>
      <c r="F57" s="423" t="s">
        <v>370</v>
      </c>
      <c r="G57" s="424" t="s">
        <v>5941</v>
      </c>
      <c r="H57" s="423"/>
      <c r="I57" s="425" t="s">
        <v>415</v>
      </c>
      <c r="J57" s="426"/>
      <c r="K57" s="427" t="s">
        <v>5951</v>
      </c>
      <c r="M57" s="231"/>
      <c r="N57" s="231"/>
      <c r="O57" s="231"/>
      <c r="P57" s="231"/>
      <c r="Q57" s="231"/>
      <c r="R57" s="231"/>
      <c r="S57" s="231"/>
      <c r="T57" s="231"/>
    </row>
    <row r="58" spans="1:20" s="196" customFormat="1" ht="15" customHeight="1" thickBot="1">
      <c r="A58" s="402"/>
      <c r="B58" s="422"/>
      <c r="C58" s="423">
        <v>2</v>
      </c>
      <c r="D58" s="423" t="s">
        <v>367</v>
      </c>
      <c r="E58" s="424"/>
      <c r="F58" s="424"/>
      <c r="G58" s="424"/>
      <c r="H58" s="424"/>
      <c r="I58" s="430"/>
      <c r="J58" s="460"/>
      <c r="K58" s="427"/>
      <c r="M58" s="231"/>
      <c r="N58" s="231"/>
      <c r="O58" s="231"/>
      <c r="P58" s="231"/>
      <c r="Q58" s="231"/>
      <c r="R58" s="231"/>
      <c r="S58" s="231"/>
      <c r="T58" s="231"/>
    </row>
    <row r="59" spans="1:20" s="196" customFormat="1" ht="15" customHeight="1" thickBot="1">
      <c r="A59" s="409"/>
      <c r="B59" s="428"/>
      <c r="C59" s="429" t="s">
        <v>399</v>
      </c>
      <c r="D59" s="424"/>
      <c r="E59" s="424"/>
      <c r="F59" s="424"/>
      <c r="G59" s="424"/>
      <c r="H59" s="424"/>
      <c r="I59" s="430"/>
      <c r="J59" s="431"/>
      <c r="K59" s="432"/>
      <c r="M59" s="231"/>
      <c r="N59" s="231"/>
      <c r="O59" s="231"/>
      <c r="P59" s="231"/>
      <c r="Q59" s="231"/>
      <c r="R59" s="231"/>
      <c r="S59" s="231"/>
      <c r="T59" s="231"/>
    </row>
    <row r="60" spans="1:20" s="196" customFormat="1" ht="15" customHeight="1" thickTop="1" thickBot="1">
      <c r="A60" s="415"/>
      <c r="B60" s="396">
        <v>18</v>
      </c>
      <c r="C60" s="397" t="s">
        <v>375</v>
      </c>
      <c r="D60" s="397" t="s">
        <v>367</v>
      </c>
      <c r="E60" s="398"/>
      <c r="F60" s="398"/>
      <c r="G60" s="398"/>
      <c r="H60" s="398"/>
      <c r="I60" s="399"/>
      <c r="J60" s="400"/>
      <c r="K60" s="401"/>
      <c r="M60" s="231"/>
      <c r="N60" s="231"/>
      <c r="O60" s="231"/>
      <c r="P60" s="231"/>
      <c r="Q60" s="231"/>
      <c r="R60" s="231"/>
      <c r="S60" s="231"/>
      <c r="T60" s="231"/>
    </row>
    <row r="61" spans="1:20" s="196" customFormat="1" ht="15" customHeight="1" thickTop="1" thickBot="1">
      <c r="A61" s="402"/>
      <c r="B61" s="403"/>
      <c r="C61" s="404">
        <v>1</v>
      </c>
      <c r="D61" s="404" t="s">
        <v>369</v>
      </c>
      <c r="E61" s="404">
        <v>110</v>
      </c>
      <c r="F61" s="404" t="s">
        <v>370</v>
      </c>
      <c r="G61" s="405" t="s">
        <v>412</v>
      </c>
      <c r="H61" s="404"/>
      <c r="I61" s="406" t="s">
        <v>382</v>
      </c>
      <c r="J61" s="407"/>
      <c r="K61" s="408" t="s">
        <v>5952</v>
      </c>
      <c r="M61" s="231"/>
      <c r="N61" s="231"/>
      <c r="O61" s="231"/>
      <c r="P61" s="231"/>
      <c r="Q61" s="231"/>
      <c r="R61" s="231"/>
      <c r="S61" s="231"/>
      <c r="T61" s="231"/>
    </row>
    <row r="62" spans="1:20" s="196" customFormat="1" ht="15" customHeight="1" thickBot="1">
      <c r="A62" s="402"/>
      <c r="B62" s="403"/>
      <c r="C62" s="404">
        <v>2</v>
      </c>
      <c r="D62" s="404" t="s">
        <v>367</v>
      </c>
      <c r="E62" s="405"/>
      <c r="F62" s="405"/>
      <c r="G62" s="405"/>
      <c r="H62" s="405"/>
      <c r="I62" s="412"/>
      <c r="J62" s="458"/>
      <c r="K62" s="408"/>
      <c r="M62" s="231"/>
      <c r="N62" s="231"/>
      <c r="O62" s="231"/>
      <c r="P62" s="231"/>
      <c r="Q62" s="231"/>
      <c r="R62" s="231"/>
      <c r="S62" s="231"/>
      <c r="T62" s="231"/>
    </row>
    <row r="63" spans="1:20" s="196" customFormat="1" ht="15" customHeight="1" thickBot="1">
      <c r="A63" s="409"/>
      <c r="B63" s="410"/>
      <c r="C63" s="411" t="s">
        <v>399</v>
      </c>
      <c r="D63" s="405"/>
      <c r="E63" s="405"/>
      <c r="F63" s="405"/>
      <c r="G63" s="405"/>
      <c r="H63" s="405"/>
      <c r="I63" s="412"/>
      <c r="J63" s="413"/>
      <c r="K63" s="414"/>
      <c r="M63" s="231"/>
      <c r="N63" s="231"/>
      <c r="O63" s="231"/>
      <c r="P63" s="231"/>
      <c r="Q63" s="231"/>
      <c r="R63" s="231"/>
      <c r="S63" s="231"/>
      <c r="T63" s="231"/>
    </row>
    <row r="64" spans="1:20" s="196" customFormat="1" ht="15" customHeight="1" thickTop="1" thickBot="1">
      <c r="A64" s="415"/>
      <c r="B64" s="416">
        <v>19</v>
      </c>
      <c r="C64" s="417" t="s">
        <v>375</v>
      </c>
      <c r="D64" s="417" t="s">
        <v>419</v>
      </c>
      <c r="E64" s="418"/>
      <c r="F64" s="418"/>
      <c r="G64" s="418"/>
      <c r="H64" s="418"/>
      <c r="I64" s="419"/>
      <c r="J64" s="420"/>
      <c r="K64" s="421"/>
      <c r="M64" s="231"/>
      <c r="N64" s="231"/>
      <c r="O64" s="231"/>
      <c r="P64" s="231"/>
      <c r="Q64" s="231"/>
      <c r="R64" s="231"/>
      <c r="S64" s="231"/>
      <c r="T64" s="231"/>
    </row>
    <row r="65" spans="1:20" s="196" customFormat="1" ht="15" customHeight="1" thickTop="1" thickBot="1">
      <c r="A65" s="409"/>
      <c r="B65" s="428"/>
      <c r="C65" s="429">
        <v>1</v>
      </c>
      <c r="D65" s="429" t="s">
        <v>419</v>
      </c>
      <c r="E65" s="424"/>
      <c r="F65" s="424"/>
      <c r="G65" s="424"/>
      <c r="H65" s="424"/>
      <c r="I65" s="430"/>
      <c r="J65" s="431"/>
      <c r="K65" s="432"/>
      <c r="M65" s="231"/>
      <c r="N65" s="231"/>
      <c r="O65" s="231"/>
      <c r="P65" s="231"/>
      <c r="Q65" s="231"/>
      <c r="R65" s="231"/>
      <c r="S65" s="231"/>
      <c r="T65" s="231"/>
    </row>
    <row r="66" spans="1:20" s="196" customFormat="1" ht="15" customHeight="1" thickTop="1" thickBot="1">
      <c r="A66" s="67"/>
      <c r="B66" s="472" t="s">
        <v>420</v>
      </c>
      <c r="C66" s="473">
        <v>1</v>
      </c>
      <c r="D66" s="474" t="s">
        <v>396</v>
      </c>
      <c r="E66" s="473" t="s">
        <v>421</v>
      </c>
      <c r="F66" s="474" t="s">
        <v>396</v>
      </c>
      <c r="G66" s="447" t="s">
        <v>5941</v>
      </c>
      <c r="H66" s="474"/>
      <c r="I66" s="475" t="s">
        <v>422</v>
      </c>
      <c r="J66" s="476"/>
      <c r="K66" s="477"/>
      <c r="M66" s="231"/>
      <c r="N66" s="231"/>
      <c r="O66" s="231"/>
      <c r="P66" s="231"/>
      <c r="Q66" s="231"/>
      <c r="R66" s="231"/>
      <c r="S66" s="231"/>
      <c r="T66" s="231"/>
    </row>
    <row r="67" spans="1:20" s="196" customFormat="1" ht="15" customHeight="1" thickTop="1" thickBot="1">
      <c r="A67" s="478"/>
      <c r="B67" s="416" t="s">
        <v>423</v>
      </c>
      <c r="C67" s="417" t="s">
        <v>375</v>
      </c>
      <c r="D67" s="479" t="s">
        <v>424</v>
      </c>
      <c r="E67" s="480"/>
      <c r="F67" s="480"/>
      <c r="G67" s="480"/>
      <c r="H67" s="480"/>
      <c r="I67" s="481"/>
      <c r="J67" s="482"/>
      <c r="K67" s="421"/>
      <c r="M67" s="231"/>
      <c r="N67" s="231"/>
      <c r="O67" s="231"/>
      <c r="P67" s="231"/>
      <c r="Q67" s="231"/>
      <c r="R67" s="231"/>
      <c r="S67" s="231"/>
      <c r="T67" s="231"/>
    </row>
    <row r="68" spans="1:20" s="196" customFormat="1" ht="15" customHeight="1" thickTop="1" thickBot="1">
      <c r="A68" s="409"/>
      <c r="B68" s="428"/>
      <c r="C68" s="429">
        <v>1</v>
      </c>
      <c r="D68" s="483" t="s">
        <v>396</v>
      </c>
      <c r="E68" s="429" t="s">
        <v>425</v>
      </c>
      <c r="F68" s="483" t="s">
        <v>396</v>
      </c>
      <c r="G68" s="484" t="s">
        <v>5941</v>
      </c>
      <c r="H68" s="483"/>
      <c r="I68" s="443" t="s">
        <v>426</v>
      </c>
      <c r="J68" s="455"/>
      <c r="K68" s="432"/>
      <c r="M68" s="231"/>
      <c r="N68" s="231"/>
      <c r="O68" s="231"/>
      <c r="P68" s="231"/>
      <c r="Q68" s="231"/>
      <c r="R68" s="231"/>
      <c r="S68" s="231"/>
      <c r="T68" s="231"/>
    </row>
    <row r="69" spans="1:20" s="196" customFormat="1" ht="15" customHeight="1" thickTop="1" thickBot="1">
      <c r="A69" s="415"/>
      <c r="B69" s="396">
        <v>22</v>
      </c>
      <c r="C69" s="397">
        <v>1</v>
      </c>
      <c r="D69" s="485" t="s">
        <v>396</v>
      </c>
      <c r="E69" s="397">
        <v>106</v>
      </c>
      <c r="F69" s="485" t="s">
        <v>396</v>
      </c>
      <c r="G69" s="447"/>
      <c r="H69" s="486"/>
      <c r="I69" s="399"/>
      <c r="J69" s="400"/>
      <c r="K69" s="401" t="s">
        <v>5953</v>
      </c>
      <c r="M69" s="231"/>
      <c r="N69" s="231"/>
      <c r="O69" s="231"/>
      <c r="P69" s="231"/>
      <c r="Q69" s="231"/>
      <c r="R69" s="231"/>
      <c r="S69" s="231"/>
      <c r="T69" s="231"/>
    </row>
    <row r="70" spans="1:20" s="196" customFormat="1" ht="15" customHeight="1" thickTop="1" thickBot="1">
      <c r="A70" s="409"/>
      <c r="B70" s="410"/>
      <c r="C70" s="411" t="s">
        <v>427</v>
      </c>
      <c r="D70" s="487" t="s">
        <v>424</v>
      </c>
      <c r="E70" s="451"/>
      <c r="F70" s="451"/>
      <c r="G70" s="451"/>
      <c r="H70" s="451"/>
      <c r="I70" s="452"/>
      <c r="J70" s="454"/>
      <c r="K70" s="414"/>
      <c r="M70" s="231"/>
      <c r="N70" s="231"/>
      <c r="O70" s="231"/>
      <c r="P70" s="231"/>
      <c r="Q70" s="231"/>
      <c r="R70" s="231"/>
      <c r="S70" s="231"/>
      <c r="T70" s="231"/>
    </row>
    <row r="71" spans="1:20" s="196" customFormat="1" ht="15" customHeight="1" thickTop="1" thickBot="1">
      <c r="A71" s="415"/>
      <c r="B71" s="416">
        <v>33</v>
      </c>
      <c r="C71" s="417" t="s">
        <v>375</v>
      </c>
      <c r="D71" s="488" t="s">
        <v>396</v>
      </c>
      <c r="E71" s="417" t="s">
        <v>428</v>
      </c>
      <c r="F71" s="488" t="s">
        <v>396</v>
      </c>
      <c r="G71" s="480" t="s">
        <v>5941</v>
      </c>
      <c r="H71" s="488"/>
      <c r="I71" s="438" t="s">
        <v>429</v>
      </c>
      <c r="J71" s="489"/>
      <c r="K71" s="421"/>
      <c r="M71" s="231"/>
      <c r="N71" s="231"/>
      <c r="O71" s="231"/>
      <c r="P71" s="231"/>
      <c r="Q71" s="231"/>
      <c r="R71" s="231"/>
      <c r="S71" s="231"/>
      <c r="T71" s="231"/>
    </row>
    <row r="72" spans="1:20" s="196" customFormat="1" ht="15" customHeight="1" thickTop="1" thickBot="1">
      <c r="A72" s="409"/>
      <c r="B72" s="428"/>
      <c r="C72" s="429">
        <v>1</v>
      </c>
      <c r="D72" s="490" t="s">
        <v>430</v>
      </c>
      <c r="E72" s="484"/>
      <c r="F72" s="484"/>
      <c r="G72" s="484"/>
      <c r="H72" s="484"/>
      <c r="I72" s="491"/>
      <c r="J72" s="492"/>
      <c r="K72" s="432"/>
      <c r="M72" s="231"/>
      <c r="N72" s="231"/>
      <c r="O72" s="231"/>
      <c r="P72" s="231"/>
      <c r="Q72" s="231"/>
      <c r="R72" s="231"/>
      <c r="S72" s="231"/>
      <c r="T72" s="231"/>
    </row>
    <row r="73" spans="1:20" s="196" customFormat="1" ht="15" customHeight="1" thickTop="1" thickBot="1">
      <c r="A73" s="415"/>
      <c r="B73" s="396">
        <v>61</v>
      </c>
      <c r="C73" s="397" t="s">
        <v>375</v>
      </c>
      <c r="D73" s="397" t="s">
        <v>369</v>
      </c>
      <c r="E73" s="397" t="s">
        <v>34</v>
      </c>
      <c r="F73" s="397" t="s">
        <v>370</v>
      </c>
      <c r="G73" s="398" t="s">
        <v>412</v>
      </c>
      <c r="H73" s="397"/>
      <c r="I73" s="456" t="s">
        <v>431</v>
      </c>
      <c r="J73" s="457"/>
      <c r="K73" s="401" t="s">
        <v>5943</v>
      </c>
      <c r="M73" s="231"/>
      <c r="N73" s="231"/>
      <c r="O73" s="231"/>
      <c r="P73" s="231"/>
      <c r="Q73" s="231"/>
      <c r="R73" s="231"/>
      <c r="S73" s="231"/>
      <c r="T73" s="231"/>
    </row>
    <row r="74" spans="1:20" s="196" customFormat="1" ht="15" customHeight="1" thickTop="1" thickBot="1">
      <c r="A74" s="402"/>
      <c r="B74" s="403"/>
      <c r="C74" s="404">
        <v>1</v>
      </c>
      <c r="D74" s="404" t="s">
        <v>369</v>
      </c>
      <c r="E74" s="404">
        <v>124</v>
      </c>
      <c r="F74" s="404" t="s">
        <v>370</v>
      </c>
      <c r="G74" s="405" t="s">
        <v>412</v>
      </c>
      <c r="H74" s="404"/>
      <c r="I74" s="406" t="s">
        <v>432</v>
      </c>
      <c r="J74" s="407" t="s">
        <v>5954</v>
      </c>
      <c r="K74" s="408" t="s">
        <v>5955</v>
      </c>
      <c r="M74" s="231"/>
      <c r="N74" s="231"/>
      <c r="O74" s="231"/>
      <c r="P74" s="231"/>
      <c r="Q74" s="231"/>
      <c r="R74" s="231"/>
      <c r="S74" s="231"/>
      <c r="T74" s="231"/>
    </row>
    <row r="75" spans="1:20" s="196" customFormat="1" ht="15" customHeight="1" thickBot="1">
      <c r="A75" s="402"/>
      <c r="B75" s="403"/>
      <c r="C75" s="404">
        <v>2</v>
      </c>
      <c r="D75" s="404" t="s">
        <v>369</v>
      </c>
      <c r="E75" s="404">
        <v>226</v>
      </c>
      <c r="F75" s="404" t="s">
        <v>370</v>
      </c>
      <c r="G75" s="405" t="s">
        <v>412</v>
      </c>
      <c r="H75" s="404"/>
      <c r="I75" s="406" t="s">
        <v>433</v>
      </c>
      <c r="J75" s="407" t="s">
        <v>5954</v>
      </c>
      <c r="K75" s="408" t="s">
        <v>5955</v>
      </c>
      <c r="M75" s="231"/>
      <c r="N75" s="231"/>
      <c r="O75" s="231"/>
      <c r="P75" s="231"/>
      <c r="Q75" s="231"/>
      <c r="R75" s="231"/>
      <c r="S75" s="231"/>
      <c r="T75" s="231"/>
    </row>
    <row r="76" spans="1:20" s="196" customFormat="1" ht="15" customHeight="1" thickBot="1">
      <c r="A76" s="409"/>
      <c r="B76" s="410"/>
      <c r="C76" s="411" t="s">
        <v>399</v>
      </c>
      <c r="D76" s="405"/>
      <c r="E76" s="405"/>
      <c r="F76" s="405"/>
      <c r="G76" s="405"/>
      <c r="H76" s="405"/>
      <c r="I76" s="412"/>
      <c r="J76" s="413"/>
      <c r="K76" s="414"/>
      <c r="M76" s="231"/>
      <c r="N76" s="231"/>
      <c r="O76" s="231"/>
      <c r="P76" s="231"/>
      <c r="Q76" s="231"/>
      <c r="R76" s="231"/>
      <c r="S76" s="231"/>
      <c r="T76" s="231"/>
    </row>
    <row r="77" spans="1:20" s="196" customFormat="1" ht="15" customHeight="1" thickTop="1" thickBot="1">
      <c r="A77" s="415"/>
      <c r="B77" s="416">
        <v>62</v>
      </c>
      <c r="C77" s="417" t="s">
        <v>375</v>
      </c>
      <c r="D77" s="417" t="s">
        <v>369</v>
      </c>
      <c r="E77" s="417" t="s">
        <v>434</v>
      </c>
      <c r="F77" s="417" t="s">
        <v>370</v>
      </c>
      <c r="G77" s="418" t="s">
        <v>412</v>
      </c>
      <c r="H77" s="417"/>
      <c r="I77" s="438" t="s">
        <v>435</v>
      </c>
      <c r="J77" s="489"/>
      <c r="K77" s="421" t="s">
        <v>5956</v>
      </c>
      <c r="M77" s="231"/>
      <c r="N77" s="231"/>
      <c r="O77" s="231"/>
      <c r="P77" s="231"/>
      <c r="Q77" s="231"/>
      <c r="R77" s="231"/>
      <c r="S77" s="231"/>
      <c r="T77" s="231"/>
    </row>
    <row r="78" spans="1:20" s="196" customFormat="1" ht="15" customHeight="1" thickTop="1" thickBot="1">
      <c r="A78" s="402"/>
      <c r="B78" s="422"/>
      <c r="C78" s="423">
        <v>1</v>
      </c>
      <c r="D78" s="423" t="s">
        <v>369</v>
      </c>
      <c r="E78" s="423">
        <v>125</v>
      </c>
      <c r="F78" s="423" t="s">
        <v>370</v>
      </c>
      <c r="G78" s="424" t="s">
        <v>5941</v>
      </c>
      <c r="H78" s="423"/>
      <c r="I78" s="425" t="s">
        <v>436</v>
      </c>
      <c r="J78" s="426"/>
      <c r="K78" s="427" t="s">
        <v>5957</v>
      </c>
      <c r="M78" s="231"/>
      <c r="N78" s="231"/>
      <c r="O78" s="231"/>
      <c r="P78" s="231"/>
      <c r="Q78" s="231"/>
      <c r="R78" s="231"/>
      <c r="S78" s="231"/>
      <c r="T78" s="231"/>
    </row>
    <row r="79" spans="1:20" s="196" customFormat="1" ht="15" customHeight="1" thickBot="1">
      <c r="A79" s="402"/>
      <c r="B79" s="422"/>
      <c r="C79" s="423">
        <v>2</v>
      </c>
      <c r="D79" s="423" t="s">
        <v>369</v>
      </c>
      <c r="E79" s="423">
        <v>225</v>
      </c>
      <c r="F79" s="423" t="s">
        <v>370</v>
      </c>
      <c r="G79" s="424" t="s">
        <v>5941</v>
      </c>
      <c r="H79" s="423"/>
      <c r="I79" s="425" t="s">
        <v>415</v>
      </c>
      <c r="J79" s="426"/>
      <c r="K79" s="427" t="s">
        <v>5958</v>
      </c>
      <c r="M79" s="231"/>
      <c r="N79" s="231"/>
      <c r="O79" s="231"/>
      <c r="P79" s="231"/>
      <c r="Q79" s="231"/>
      <c r="R79" s="231"/>
      <c r="S79" s="231"/>
      <c r="T79" s="231"/>
    </row>
    <row r="80" spans="1:20" s="196" customFormat="1" ht="15" customHeight="1" thickBot="1">
      <c r="A80" s="409"/>
      <c r="B80" s="428"/>
      <c r="C80" s="429" t="s">
        <v>437</v>
      </c>
      <c r="D80" s="424"/>
      <c r="E80" s="424"/>
      <c r="F80" s="424"/>
      <c r="G80" s="424"/>
      <c r="H80" s="424"/>
      <c r="I80" s="430"/>
      <c r="J80" s="431"/>
      <c r="K80" s="432"/>
      <c r="M80" s="231"/>
      <c r="N80" s="231"/>
      <c r="O80" s="231"/>
      <c r="P80" s="231"/>
      <c r="Q80" s="231"/>
      <c r="R80" s="231"/>
      <c r="S80" s="231"/>
      <c r="T80" s="231"/>
    </row>
    <row r="81" spans="1:21" s="196" customFormat="1" ht="15" customHeight="1" thickTop="1" thickBot="1">
      <c r="A81" s="415"/>
      <c r="B81" s="396">
        <v>70</v>
      </c>
      <c r="C81" s="397" t="s">
        <v>375</v>
      </c>
      <c r="D81" s="397" t="s">
        <v>369</v>
      </c>
      <c r="E81" s="397" t="s">
        <v>438</v>
      </c>
      <c r="F81" s="397" t="s">
        <v>370</v>
      </c>
      <c r="G81" s="398" t="s">
        <v>5941</v>
      </c>
      <c r="H81" s="397"/>
      <c r="I81" s="456" t="s">
        <v>415</v>
      </c>
      <c r="J81" s="457"/>
      <c r="K81" s="401"/>
      <c r="M81" s="231"/>
      <c r="N81" s="231"/>
      <c r="O81" s="231"/>
      <c r="P81" s="231"/>
      <c r="Q81" s="231"/>
      <c r="R81" s="231"/>
      <c r="S81" s="231"/>
      <c r="T81" s="231"/>
    </row>
    <row r="82" spans="1:21" s="196" customFormat="1" ht="15" customHeight="1" thickTop="1" thickBot="1">
      <c r="A82" s="402"/>
      <c r="B82" s="403"/>
      <c r="C82" s="404">
        <v>1</v>
      </c>
      <c r="D82" s="404" t="s">
        <v>369</v>
      </c>
      <c r="E82" s="404">
        <v>125</v>
      </c>
      <c r="F82" s="404" t="s">
        <v>370</v>
      </c>
      <c r="G82" s="405" t="s">
        <v>5941</v>
      </c>
      <c r="H82" s="404"/>
      <c r="I82" s="406" t="s">
        <v>439</v>
      </c>
      <c r="J82" s="407"/>
      <c r="K82" s="408"/>
      <c r="M82" s="231"/>
      <c r="N82" s="231"/>
      <c r="O82" s="231"/>
      <c r="P82" s="231"/>
      <c r="Q82" s="231"/>
      <c r="R82" s="231"/>
      <c r="S82" s="231"/>
      <c r="T82" s="231"/>
    </row>
    <row r="83" spans="1:21" s="196" customFormat="1" ht="15" customHeight="1" thickBot="1">
      <c r="A83" s="409"/>
      <c r="B83" s="410"/>
      <c r="C83" s="411">
        <v>2</v>
      </c>
      <c r="D83" s="411" t="s">
        <v>369</v>
      </c>
      <c r="E83" s="411" t="s">
        <v>440</v>
      </c>
      <c r="F83" s="411" t="s">
        <v>370</v>
      </c>
      <c r="G83" s="405" t="s">
        <v>5941</v>
      </c>
      <c r="H83" s="411"/>
      <c r="I83" s="435" t="s">
        <v>415</v>
      </c>
      <c r="J83" s="459"/>
      <c r="K83" s="414"/>
      <c r="M83" s="231"/>
      <c r="N83" s="231"/>
      <c r="O83" s="231"/>
      <c r="P83" s="231"/>
      <c r="Q83" s="231"/>
      <c r="R83" s="231"/>
      <c r="S83" s="231"/>
      <c r="T83" s="231"/>
    </row>
    <row r="84" spans="1:21" s="196" customFormat="1" ht="15" customHeight="1" thickTop="1" thickBot="1">
      <c r="A84" s="478"/>
      <c r="B84" s="493" t="s">
        <v>441</v>
      </c>
      <c r="C84" s="494" t="s">
        <v>375</v>
      </c>
      <c r="D84" s="494" t="s">
        <v>442</v>
      </c>
      <c r="E84" s="494" t="s">
        <v>443</v>
      </c>
      <c r="F84" s="494" t="s">
        <v>377</v>
      </c>
      <c r="G84" s="418" t="s">
        <v>412</v>
      </c>
      <c r="H84" s="494"/>
      <c r="I84" s="495" t="s">
        <v>382</v>
      </c>
      <c r="J84" s="496"/>
      <c r="K84" s="497" t="s">
        <v>5959</v>
      </c>
      <c r="M84" s="8"/>
      <c r="N84" s="8"/>
      <c r="O84" s="8"/>
      <c r="P84" s="8"/>
      <c r="Q84" s="8"/>
      <c r="R84"/>
      <c r="S84"/>
      <c r="T84"/>
      <c r="U84"/>
    </row>
    <row r="85" spans="1:21" s="196" customFormat="1" ht="15" customHeight="1" thickTop="1" thickBot="1">
      <c r="A85" s="402"/>
      <c r="B85" s="498"/>
      <c r="C85" s="68"/>
      <c r="D85" s="68"/>
      <c r="E85" s="499" t="s">
        <v>52</v>
      </c>
      <c r="F85" s="499" t="s">
        <v>444</v>
      </c>
      <c r="G85" s="424" t="s">
        <v>412</v>
      </c>
      <c r="H85" s="499"/>
      <c r="I85" s="500" t="s">
        <v>445</v>
      </c>
      <c r="J85" s="501"/>
      <c r="K85" s="502" t="s">
        <v>5960</v>
      </c>
      <c r="M85" s="8"/>
      <c r="N85" s="8"/>
      <c r="O85" s="8"/>
      <c r="P85" s="8"/>
      <c r="Q85" s="8"/>
      <c r="R85"/>
      <c r="S85"/>
      <c r="T85"/>
      <c r="U85"/>
    </row>
    <row r="86" spans="1:21" s="196" customFormat="1" ht="15" customHeight="1" thickBot="1">
      <c r="A86" s="402"/>
      <c r="B86" s="498"/>
      <c r="C86" s="499">
        <v>1</v>
      </c>
      <c r="D86" s="499" t="s">
        <v>369</v>
      </c>
      <c r="E86" s="499">
        <v>1232</v>
      </c>
      <c r="F86" s="499" t="s">
        <v>377</v>
      </c>
      <c r="G86" s="424" t="s">
        <v>5941</v>
      </c>
      <c r="H86" s="499"/>
      <c r="I86" s="500" t="s">
        <v>415</v>
      </c>
      <c r="J86" s="501"/>
      <c r="K86" s="502"/>
      <c r="M86" s="8"/>
      <c r="N86" s="8"/>
      <c r="O86" s="8"/>
      <c r="P86" s="8"/>
      <c r="Q86" s="8"/>
      <c r="R86"/>
      <c r="S86"/>
      <c r="T86"/>
      <c r="U86"/>
    </row>
    <row r="87" spans="1:21" s="196" customFormat="1" ht="15" customHeight="1" thickBot="1">
      <c r="A87" s="402"/>
      <c r="B87" s="498"/>
      <c r="C87" s="499">
        <v>2</v>
      </c>
      <c r="D87" s="499" t="s">
        <v>369</v>
      </c>
      <c r="E87" s="499" t="s">
        <v>446</v>
      </c>
      <c r="F87" s="499" t="s">
        <v>377</v>
      </c>
      <c r="G87" s="424" t="s">
        <v>412</v>
      </c>
      <c r="H87" s="499"/>
      <c r="I87" s="500" t="s">
        <v>382</v>
      </c>
      <c r="J87" s="501"/>
      <c r="K87" s="502" t="s">
        <v>5961</v>
      </c>
      <c r="M87" s="8"/>
      <c r="N87" s="8"/>
      <c r="O87" s="8"/>
      <c r="P87" s="8"/>
      <c r="Q87" s="8"/>
      <c r="R87"/>
      <c r="S87"/>
      <c r="T87"/>
      <c r="U87"/>
    </row>
    <row r="88" spans="1:21" s="196" customFormat="1" ht="15" customHeight="1" thickBot="1">
      <c r="A88" s="402"/>
      <c r="B88" s="498"/>
      <c r="C88" s="499">
        <v>3</v>
      </c>
      <c r="D88" s="499" t="s">
        <v>369</v>
      </c>
      <c r="E88" s="499">
        <v>342</v>
      </c>
      <c r="F88" s="499" t="s">
        <v>377</v>
      </c>
      <c r="G88" s="424" t="s">
        <v>5941</v>
      </c>
      <c r="H88" s="499"/>
      <c r="I88" s="500" t="s">
        <v>447</v>
      </c>
      <c r="J88" s="501"/>
      <c r="K88" s="502" t="s">
        <v>5949</v>
      </c>
      <c r="M88" s="8"/>
      <c r="N88" s="8"/>
      <c r="O88" s="8"/>
      <c r="P88" s="8"/>
      <c r="Q88" s="8"/>
      <c r="R88"/>
      <c r="S88"/>
      <c r="T88"/>
      <c r="U88"/>
    </row>
    <row r="89" spans="1:21" s="196" customFormat="1" ht="15" customHeight="1" thickBot="1">
      <c r="A89" s="402"/>
      <c r="B89" s="498"/>
      <c r="C89" s="499">
        <v>4</v>
      </c>
      <c r="D89" s="499" t="s">
        <v>369</v>
      </c>
      <c r="E89" s="499">
        <v>401</v>
      </c>
      <c r="F89" s="499" t="s">
        <v>370</v>
      </c>
      <c r="G89" s="424" t="s">
        <v>5941</v>
      </c>
      <c r="H89" s="499"/>
      <c r="I89" s="500" t="s">
        <v>448</v>
      </c>
      <c r="J89" s="501"/>
      <c r="K89" s="502" t="s">
        <v>5962</v>
      </c>
      <c r="M89" s="8"/>
      <c r="N89" s="8"/>
      <c r="O89" s="8"/>
      <c r="P89" s="8"/>
      <c r="Q89" s="8"/>
      <c r="R89"/>
      <c r="S89"/>
      <c r="T89"/>
      <c r="U89"/>
    </row>
    <row r="90" spans="1:21" s="196" customFormat="1" ht="15" customHeight="1" thickBot="1">
      <c r="A90" s="409"/>
      <c r="B90" s="68"/>
      <c r="C90" s="503" t="s">
        <v>437</v>
      </c>
      <c r="D90" s="424"/>
      <c r="E90" s="424"/>
      <c r="F90" s="424"/>
      <c r="G90" s="424"/>
      <c r="H90" s="424"/>
      <c r="I90" s="430"/>
      <c r="J90" s="431"/>
      <c r="K90" s="504"/>
      <c r="M90" s="8"/>
      <c r="N90" s="8"/>
      <c r="O90" s="8"/>
      <c r="P90" s="8"/>
      <c r="Q90" s="8"/>
      <c r="R90"/>
      <c r="S90"/>
      <c r="T90"/>
      <c r="U90"/>
    </row>
    <row r="91" spans="1:21" s="196" customFormat="1" ht="15" customHeight="1" thickTop="1" thickBot="1">
      <c r="A91" s="415"/>
      <c r="B91" s="396">
        <v>80</v>
      </c>
      <c r="C91" s="397" t="s">
        <v>375</v>
      </c>
      <c r="D91" s="397" t="s">
        <v>367</v>
      </c>
      <c r="E91" s="398"/>
      <c r="F91" s="398"/>
      <c r="G91" s="398"/>
      <c r="H91" s="398"/>
      <c r="I91" s="399"/>
      <c r="J91" s="400"/>
      <c r="K91" s="401"/>
      <c r="M91" s="8"/>
      <c r="N91" s="8"/>
      <c r="O91" s="8"/>
      <c r="P91" s="8"/>
      <c r="Q91" s="8"/>
      <c r="R91"/>
      <c r="S91"/>
      <c r="T91"/>
      <c r="U91"/>
    </row>
    <row r="92" spans="1:21" s="196" customFormat="1" ht="15" customHeight="1" thickTop="1" thickBot="1">
      <c r="A92" s="409"/>
      <c r="B92" s="410"/>
      <c r="C92" s="411">
        <v>1</v>
      </c>
      <c r="D92" s="411" t="s">
        <v>369</v>
      </c>
      <c r="E92" s="411">
        <v>102</v>
      </c>
      <c r="F92" s="411" t="s">
        <v>370</v>
      </c>
      <c r="G92" s="405" t="s">
        <v>5941</v>
      </c>
      <c r="H92" s="411"/>
      <c r="I92" s="435" t="s">
        <v>449</v>
      </c>
      <c r="J92" s="459"/>
      <c r="K92" s="414" t="s">
        <v>5963</v>
      </c>
      <c r="M92" s="8"/>
      <c r="N92" s="8"/>
      <c r="O92" s="8"/>
      <c r="P92" s="8"/>
      <c r="Q92" s="8"/>
      <c r="R92"/>
      <c r="S92"/>
      <c r="T92"/>
      <c r="U92"/>
    </row>
    <row r="93" spans="1:21" s="196" customFormat="1" ht="15" customHeight="1" thickTop="1" thickBot="1">
      <c r="A93" s="415"/>
      <c r="B93" s="416">
        <v>81</v>
      </c>
      <c r="C93" s="417">
        <v>1</v>
      </c>
      <c r="D93" s="488" t="s">
        <v>396</v>
      </c>
      <c r="E93" s="417" t="s">
        <v>450</v>
      </c>
      <c r="F93" s="488" t="s">
        <v>451</v>
      </c>
      <c r="G93" s="480" t="s">
        <v>5941</v>
      </c>
      <c r="H93" s="488"/>
      <c r="I93" s="438" t="s">
        <v>412</v>
      </c>
      <c r="J93" s="489"/>
      <c r="K93" s="421" t="s">
        <v>5964</v>
      </c>
      <c r="M93" s="8"/>
      <c r="N93" s="8"/>
      <c r="O93" s="8"/>
      <c r="P93" s="8"/>
      <c r="Q93" s="8"/>
      <c r="R93"/>
      <c r="S93"/>
      <c r="T93"/>
      <c r="U93"/>
    </row>
    <row r="94" spans="1:21" s="196" customFormat="1" ht="15" customHeight="1" thickTop="1" thickBot="1">
      <c r="A94" s="409"/>
      <c r="B94" s="428"/>
      <c r="C94" s="429" t="s">
        <v>399</v>
      </c>
      <c r="D94" s="484"/>
      <c r="E94" s="484"/>
      <c r="F94" s="484"/>
      <c r="G94" s="484"/>
      <c r="H94" s="484"/>
      <c r="I94" s="491"/>
      <c r="J94" s="492"/>
      <c r="K94" s="432"/>
      <c r="M94" s="8"/>
      <c r="N94" s="8"/>
      <c r="O94" s="8"/>
      <c r="P94" s="8"/>
      <c r="Q94" s="8"/>
      <c r="R94"/>
      <c r="S94"/>
      <c r="T94"/>
      <c r="U94"/>
    </row>
    <row r="95" spans="1:21" s="196" customFormat="1" ht="15" customHeight="1" thickTop="1" thickBot="1">
      <c r="A95" s="415"/>
      <c r="B95" s="396">
        <v>82</v>
      </c>
      <c r="C95" s="397" t="s">
        <v>375</v>
      </c>
      <c r="D95" s="446" t="s">
        <v>367</v>
      </c>
      <c r="E95" s="447"/>
      <c r="F95" s="447"/>
      <c r="G95" s="447"/>
      <c r="H95" s="447"/>
      <c r="I95" s="448"/>
      <c r="J95" s="449"/>
      <c r="K95" s="401"/>
      <c r="M95" s="8"/>
      <c r="N95" s="8"/>
      <c r="O95" s="8"/>
      <c r="P95" s="8"/>
      <c r="Q95" s="8"/>
      <c r="R95"/>
      <c r="S95"/>
      <c r="T95"/>
      <c r="U95"/>
    </row>
    <row r="96" spans="1:21" s="196" customFormat="1" ht="15" customHeight="1" thickTop="1" thickBot="1">
      <c r="A96" s="409"/>
      <c r="B96" s="410"/>
      <c r="C96" s="411">
        <v>1</v>
      </c>
      <c r="D96" s="505" t="s">
        <v>396</v>
      </c>
      <c r="E96" s="411">
        <v>102</v>
      </c>
      <c r="F96" s="411" t="s">
        <v>396</v>
      </c>
      <c r="G96" s="451" t="s">
        <v>412</v>
      </c>
      <c r="H96" s="411"/>
      <c r="I96" s="435" t="s">
        <v>382</v>
      </c>
      <c r="J96" s="459"/>
      <c r="K96" s="414"/>
      <c r="M96" s="8"/>
      <c r="N96" s="8"/>
      <c r="O96" s="8"/>
      <c r="P96" s="8"/>
      <c r="Q96" s="8"/>
      <c r="R96"/>
      <c r="S96"/>
      <c r="T96"/>
      <c r="U96"/>
    </row>
    <row r="97" spans="1:21" s="196" customFormat="1" ht="15" customHeight="1" thickTop="1" thickBot="1">
      <c r="A97" s="415"/>
      <c r="B97" s="416" t="s">
        <v>452</v>
      </c>
      <c r="C97" s="417">
        <v>1</v>
      </c>
      <c r="D97" s="488" t="s">
        <v>396</v>
      </c>
      <c r="E97" s="417">
        <v>107</v>
      </c>
      <c r="F97" s="417" t="s">
        <v>396</v>
      </c>
      <c r="G97" s="480"/>
      <c r="H97" s="417"/>
      <c r="I97" s="438" t="s">
        <v>453</v>
      </c>
      <c r="J97" s="489"/>
      <c r="K97" s="421" t="s">
        <v>679</v>
      </c>
      <c r="M97" s="8"/>
      <c r="N97" s="8"/>
      <c r="O97" s="8"/>
      <c r="P97" s="8"/>
      <c r="Q97" s="8"/>
      <c r="R97"/>
      <c r="S97"/>
      <c r="T97"/>
      <c r="U97"/>
    </row>
    <row r="98" spans="1:21" s="196" customFormat="1" ht="15" customHeight="1" thickTop="1" thickBot="1">
      <c r="A98" s="402"/>
      <c r="B98" s="422"/>
      <c r="C98" s="423">
        <v>2</v>
      </c>
      <c r="D98" s="484"/>
      <c r="E98" s="484"/>
      <c r="F98" s="484"/>
      <c r="G98" s="484"/>
      <c r="H98" s="484"/>
      <c r="I98" s="491"/>
      <c r="J98" s="506"/>
      <c r="K98" s="427"/>
      <c r="M98" s="8"/>
      <c r="N98" s="8"/>
      <c r="O98" s="8"/>
      <c r="P98" s="8"/>
      <c r="Q98" s="8"/>
      <c r="R98"/>
      <c r="S98"/>
      <c r="T98"/>
      <c r="U98"/>
    </row>
    <row r="99" spans="1:21" s="196" customFormat="1" ht="15" customHeight="1" thickBot="1">
      <c r="A99" s="402"/>
      <c r="B99" s="422"/>
      <c r="C99" s="507" t="s">
        <v>399</v>
      </c>
      <c r="D99" s="508"/>
      <c r="E99" s="508"/>
      <c r="F99" s="508"/>
      <c r="G99" s="508"/>
      <c r="H99" s="508"/>
      <c r="I99" s="509"/>
      <c r="J99" s="510"/>
      <c r="K99" s="511"/>
      <c r="M99" s="8"/>
      <c r="N99" s="8"/>
      <c r="O99" s="8"/>
      <c r="P99" s="8"/>
      <c r="Q99" s="8"/>
      <c r="R99"/>
      <c r="S99"/>
      <c r="T99"/>
      <c r="U99"/>
    </row>
    <row r="100" spans="1:21" s="196" customFormat="1" ht="15" customHeight="1" thickBot="1">
      <c r="A100" s="512"/>
      <c r="B100" s="513" t="s">
        <v>68</v>
      </c>
      <c r="C100" s="514"/>
      <c r="D100" s="514"/>
      <c r="E100" s="514"/>
      <c r="F100" s="514"/>
      <c r="G100" s="515"/>
      <c r="H100" s="514"/>
      <c r="I100" s="516"/>
      <c r="J100" s="517"/>
      <c r="K100" s="518"/>
      <c r="M100" s="8"/>
      <c r="N100" s="8"/>
      <c r="O100" s="8"/>
      <c r="P100" s="8"/>
      <c r="Q100" s="8"/>
      <c r="R100"/>
      <c r="S100"/>
      <c r="T100"/>
      <c r="U100"/>
    </row>
    <row r="101" spans="1:21" s="196" customFormat="1" ht="15" customHeight="1" thickBot="1">
      <c r="A101" s="519"/>
      <c r="B101" s="513" t="s">
        <v>70</v>
      </c>
      <c r="C101" s="514"/>
      <c r="D101" s="514"/>
      <c r="E101" s="514"/>
      <c r="F101" s="514"/>
      <c r="G101" s="515"/>
      <c r="H101" s="514"/>
      <c r="I101" s="516"/>
      <c r="J101" s="517"/>
      <c r="K101" s="518"/>
      <c r="M101" s="8"/>
      <c r="N101" s="8"/>
      <c r="O101" s="8"/>
      <c r="P101" s="8"/>
      <c r="Q101" s="8"/>
      <c r="R101"/>
      <c r="S101"/>
      <c r="T101"/>
      <c r="U101"/>
    </row>
    <row r="102" spans="1:21" s="196" customFormat="1" ht="15" customHeight="1">
      <c r="A102" s="467"/>
      <c r="B102" s="467"/>
      <c r="C102" s="231"/>
      <c r="D102" s="231"/>
      <c r="E102" s="231"/>
      <c r="F102" s="231"/>
      <c r="G102" s="231"/>
      <c r="H102" s="231"/>
      <c r="I102" s="231"/>
      <c r="J102" s="231"/>
      <c r="K102" s="520"/>
      <c r="M102" s="8"/>
      <c r="N102" s="8"/>
      <c r="O102" s="8"/>
      <c r="P102" s="8"/>
      <c r="Q102" s="8"/>
      <c r="R102"/>
      <c r="S102"/>
      <c r="T102"/>
      <c r="U102"/>
    </row>
    <row r="103" spans="1:21" s="196" customFormat="1" ht="15" customHeight="1">
      <c r="A103" s="520"/>
      <c r="B103" s="520"/>
      <c r="C103" s="520"/>
      <c r="D103" s="520"/>
      <c r="E103" s="520"/>
      <c r="F103" s="520"/>
      <c r="G103" s="520"/>
      <c r="H103" s="520"/>
      <c r="I103" s="520"/>
      <c r="J103" s="520"/>
      <c r="K103" s="520"/>
      <c r="M103" s="8"/>
      <c r="N103" s="8"/>
      <c r="O103" s="8"/>
      <c r="P103" s="8"/>
      <c r="Q103" s="8"/>
      <c r="R103"/>
      <c r="S103"/>
      <c r="T103"/>
      <c r="U103"/>
    </row>
    <row r="104" spans="1:21" ht="15" customHeight="1">
      <c r="A104" s="12"/>
      <c r="B104" s="12"/>
      <c r="C104" s="12"/>
      <c r="D104" s="12"/>
      <c r="E104" s="12"/>
      <c r="F104" s="12"/>
      <c r="G104" s="12"/>
      <c r="H104" s="12"/>
    </row>
    <row r="105" spans="1:21" ht="15" customHeight="1">
      <c r="A105" s="12"/>
      <c r="B105" s="12"/>
      <c r="C105" s="12"/>
      <c r="D105" s="12"/>
      <c r="E105" s="12"/>
      <c r="F105" s="12"/>
      <c r="G105" s="12"/>
      <c r="H105" s="12"/>
    </row>
    <row r="106" spans="1:21" ht="15" customHeight="1">
      <c r="A106" s="12"/>
      <c r="B106" s="12"/>
      <c r="C106" s="12"/>
      <c r="D106" s="12"/>
      <c r="E106" s="12"/>
      <c r="F106" s="12"/>
      <c r="G106" s="12"/>
      <c r="H106" s="12"/>
    </row>
    <row r="107" spans="1:21" ht="15" customHeight="1">
      <c r="A107" s="12"/>
      <c r="B107" s="12"/>
      <c r="C107" s="12"/>
      <c r="D107" s="12"/>
      <c r="E107" s="12"/>
      <c r="F107" s="12"/>
      <c r="G107" s="12"/>
      <c r="H107" s="12"/>
    </row>
    <row r="108" spans="1:21" ht="15" customHeight="1">
      <c r="A108" s="12"/>
      <c r="B108" s="12"/>
      <c r="C108" s="12"/>
      <c r="D108" s="12"/>
      <c r="E108" s="12"/>
      <c r="F108" s="12"/>
      <c r="G108" s="12"/>
      <c r="H108" s="12"/>
    </row>
    <row r="109" spans="1:21" ht="15" customHeight="1">
      <c r="A109" s="12"/>
      <c r="B109" s="12"/>
      <c r="C109" s="12"/>
      <c r="D109" s="12"/>
      <c r="E109" s="12"/>
      <c r="F109" s="12"/>
      <c r="G109" s="12"/>
      <c r="H109" s="12"/>
    </row>
    <row r="110" spans="1:21" ht="15" customHeight="1">
      <c r="A110" s="12"/>
      <c r="B110" s="12"/>
      <c r="C110" s="12"/>
      <c r="D110" s="12"/>
      <c r="E110" s="12"/>
      <c r="F110" s="12"/>
      <c r="G110" s="12"/>
      <c r="H110" s="12"/>
    </row>
    <row r="111" spans="1:21" ht="15" customHeight="1">
      <c r="A111" s="12"/>
      <c r="B111" s="12"/>
      <c r="C111" s="12"/>
      <c r="D111" s="12"/>
      <c r="E111" s="12"/>
      <c r="F111" s="12"/>
      <c r="G111" s="12"/>
      <c r="H111" s="12"/>
    </row>
    <row r="112" spans="1:21" ht="15" customHeight="1">
      <c r="A112" s="12"/>
      <c r="B112" s="12"/>
      <c r="C112" s="12"/>
      <c r="D112" s="12"/>
      <c r="E112" s="12"/>
      <c r="F112" s="12"/>
      <c r="G112" s="12"/>
      <c r="H112" s="12"/>
    </row>
    <row r="113" spans="1:8" ht="15" customHeight="1">
      <c r="A113" s="12"/>
      <c r="B113" s="12"/>
      <c r="C113" s="12"/>
      <c r="D113" s="12"/>
      <c r="E113" s="12"/>
      <c r="F113" s="12"/>
      <c r="G113" s="12"/>
      <c r="H113" s="12"/>
    </row>
    <row r="114" spans="1:8" ht="15" customHeight="1">
      <c r="A114" s="12"/>
      <c r="B114" s="12"/>
      <c r="C114" s="12"/>
      <c r="D114" s="12"/>
      <c r="E114" s="12"/>
      <c r="F114" s="12"/>
      <c r="G114" s="12"/>
      <c r="H114" s="12"/>
    </row>
    <row r="115" spans="1:8" ht="15" customHeight="1">
      <c r="A115" s="12"/>
      <c r="B115" s="12"/>
      <c r="C115" s="12"/>
      <c r="D115" s="12"/>
      <c r="E115" s="12"/>
      <c r="F115" s="12"/>
      <c r="G115" s="12"/>
      <c r="H115" s="12"/>
    </row>
    <row r="116" spans="1:8" ht="15" customHeight="1">
      <c r="A116" s="12"/>
      <c r="B116" s="12"/>
      <c r="C116" s="12"/>
      <c r="D116" s="12"/>
      <c r="E116" s="12"/>
      <c r="F116" s="12"/>
      <c r="G116" s="12"/>
      <c r="H116" s="12"/>
    </row>
    <row r="117" spans="1:8" ht="15" customHeight="1">
      <c r="A117" s="12"/>
      <c r="B117" s="12"/>
      <c r="C117" s="12"/>
      <c r="D117" s="12"/>
      <c r="E117" s="12"/>
      <c r="F117" s="12"/>
      <c r="G117" s="12"/>
      <c r="H117" s="12"/>
    </row>
    <row r="118" spans="1:8" ht="15" customHeight="1">
      <c r="A118" s="12"/>
      <c r="B118" s="12"/>
      <c r="C118" s="12"/>
      <c r="D118" s="12"/>
      <c r="E118" s="12"/>
      <c r="F118" s="12"/>
      <c r="G118" s="12"/>
      <c r="H118" s="12"/>
    </row>
    <row r="119" spans="1:8" ht="15" customHeight="1">
      <c r="A119" s="12"/>
      <c r="B119" s="12"/>
      <c r="C119" s="12"/>
      <c r="D119" s="12"/>
      <c r="E119" s="12"/>
      <c r="F119" s="12"/>
      <c r="G119" s="12"/>
      <c r="H119" s="12"/>
    </row>
    <row r="120" spans="1:8" ht="15" customHeight="1">
      <c r="A120" s="12"/>
      <c r="B120" s="12"/>
      <c r="C120" s="12"/>
      <c r="D120" s="12"/>
      <c r="E120" s="12"/>
      <c r="F120" s="12"/>
      <c r="G120" s="12"/>
      <c r="H120" s="12"/>
    </row>
    <row r="121" spans="1:8" ht="15" customHeight="1">
      <c r="A121" s="12"/>
      <c r="B121" s="12"/>
      <c r="C121" s="12"/>
      <c r="D121" s="12"/>
      <c r="E121" s="12"/>
      <c r="F121" s="12"/>
      <c r="G121" s="12"/>
      <c r="H121" s="12"/>
    </row>
    <row r="122" spans="1:8" ht="15" customHeight="1">
      <c r="A122" s="12"/>
      <c r="B122" s="12"/>
      <c r="C122" s="12"/>
      <c r="D122" s="12"/>
      <c r="E122" s="12"/>
      <c r="F122" s="12"/>
      <c r="G122" s="12"/>
      <c r="H122" s="12"/>
    </row>
    <row r="123" spans="1:8" ht="15" customHeight="1">
      <c r="A123" s="12"/>
      <c r="B123" s="12"/>
      <c r="C123" s="12"/>
      <c r="D123" s="12"/>
      <c r="E123" s="12"/>
      <c r="F123" s="12"/>
      <c r="G123" s="12"/>
      <c r="H123" s="12"/>
    </row>
    <row r="124" spans="1:8" ht="15" customHeight="1">
      <c r="A124" s="12"/>
      <c r="B124" s="12"/>
      <c r="C124" s="12"/>
      <c r="D124" s="12"/>
      <c r="E124" s="12"/>
      <c r="F124" s="12"/>
      <c r="G124" s="12"/>
      <c r="H124" s="12"/>
    </row>
    <row r="125" spans="1:8" ht="15" customHeight="1">
      <c r="A125" s="12"/>
      <c r="B125" s="12"/>
      <c r="C125" s="12"/>
      <c r="D125" s="12"/>
      <c r="E125" s="12"/>
      <c r="F125" s="12"/>
      <c r="G125" s="12"/>
      <c r="H125" s="12"/>
    </row>
    <row r="126" spans="1:8" ht="15" customHeight="1">
      <c r="A126" s="12"/>
      <c r="B126" s="12"/>
      <c r="C126" s="12"/>
      <c r="D126" s="12"/>
      <c r="E126" s="12"/>
      <c r="F126" s="12"/>
      <c r="G126" s="12"/>
      <c r="H126" s="12"/>
    </row>
    <row r="127" spans="1:8" ht="15" customHeight="1">
      <c r="A127" s="12"/>
      <c r="B127" s="12"/>
      <c r="C127" s="12"/>
      <c r="D127" s="12"/>
      <c r="E127" s="12"/>
      <c r="F127" s="12"/>
      <c r="G127" s="12"/>
      <c r="H127" s="12"/>
    </row>
    <row r="128" spans="1:8" ht="15" customHeight="1">
      <c r="A128" s="12"/>
      <c r="B128" s="12"/>
      <c r="C128" s="12"/>
      <c r="D128" s="12"/>
      <c r="E128" s="12"/>
      <c r="F128" s="12"/>
      <c r="G128" s="12"/>
      <c r="H128" s="12"/>
    </row>
    <row r="129" spans="1:8" ht="15" customHeight="1">
      <c r="A129" s="12"/>
      <c r="B129" s="12"/>
      <c r="C129" s="12"/>
      <c r="D129" s="12"/>
      <c r="E129" s="12"/>
      <c r="F129" s="12"/>
      <c r="G129" s="12"/>
      <c r="H129" s="12"/>
    </row>
    <row r="130" spans="1:8" ht="15" customHeight="1">
      <c r="A130" s="12"/>
      <c r="B130" s="12"/>
      <c r="C130" s="12"/>
      <c r="D130" s="12"/>
      <c r="E130" s="12"/>
      <c r="F130" s="12"/>
      <c r="G130" s="12"/>
      <c r="H130" s="12"/>
    </row>
    <row r="131" spans="1:8" ht="15" customHeight="1">
      <c r="A131" s="12"/>
      <c r="B131" s="12"/>
      <c r="C131" s="12"/>
      <c r="D131" s="12"/>
      <c r="E131" s="12"/>
      <c r="F131" s="12"/>
      <c r="G131" s="12"/>
      <c r="H131" s="12"/>
    </row>
    <row r="132" spans="1:8" ht="15" customHeight="1">
      <c r="A132" s="12"/>
      <c r="B132" s="12"/>
      <c r="C132" s="12"/>
      <c r="D132" s="12"/>
      <c r="E132" s="12"/>
      <c r="F132" s="12"/>
      <c r="G132" s="12"/>
      <c r="H132" s="12"/>
    </row>
    <row r="133" spans="1:8" ht="15" customHeight="1">
      <c r="A133" s="12"/>
      <c r="B133" s="12"/>
      <c r="C133" s="12"/>
      <c r="D133" s="12"/>
      <c r="E133" s="12"/>
      <c r="F133" s="12"/>
      <c r="G133" s="12"/>
      <c r="H133" s="12"/>
    </row>
    <row r="134" spans="1:8" ht="15" customHeight="1">
      <c r="A134" s="12"/>
      <c r="B134" s="12"/>
      <c r="C134" s="12"/>
      <c r="D134" s="12"/>
      <c r="E134" s="12"/>
      <c r="F134" s="12"/>
      <c r="G134" s="12"/>
      <c r="H134" s="12"/>
    </row>
    <row r="135" spans="1:8" ht="15" customHeight="1">
      <c r="A135" s="12"/>
      <c r="B135" s="12"/>
      <c r="C135" s="12"/>
      <c r="D135" s="12"/>
      <c r="E135" s="12"/>
      <c r="F135" s="12"/>
      <c r="G135" s="12"/>
      <c r="H135" s="12"/>
    </row>
    <row r="136" spans="1:8" ht="15" customHeight="1">
      <c r="A136" s="12"/>
      <c r="B136" s="12"/>
      <c r="C136" s="12"/>
      <c r="D136" s="12"/>
      <c r="E136" s="12"/>
      <c r="F136" s="12"/>
      <c r="G136" s="12"/>
      <c r="H136" s="12"/>
    </row>
    <row r="137" spans="1:8" ht="15" customHeight="1">
      <c r="A137" s="12"/>
      <c r="B137" s="12"/>
      <c r="C137" s="12"/>
      <c r="D137" s="12"/>
      <c r="E137" s="12"/>
      <c r="F137" s="12"/>
      <c r="G137" s="12"/>
      <c r="H137" s="12"/>
    </row>
    <row r="138" spans="1:8" ht="15" customHeight="1">
      <c r="A138" s="12"/>
      <c r="B138" s="12"/>
      <c r="C138" s="12"/>
      <c r="D138" s="12"/>
      <c r="E138" s="12"/>
      <c r="F138" s="12"/>
      <c r="G138" s="12"/>
      <c r="H138" s="12"/>
    </row>
    <row r="139" spans="1:8" ht="15" customHeight="1">
      <c r="A139" s="12"/>
      <c r="B139" s="12"/>
      <c r="C139" s="12"/>
      <c r="D139" s="12"/>
      <c r="E139" s="12"/>
      <c r="F139" s="12"/>
      <c r="G139" s="12"/>
      <c r="H139" s="12"/>
    </row>
    <row r="140" spans="1:8" ht="15" customHeight="1">
      <c r="A140" s="12"/>
      <c r="B140" s="12"/>
      <c r="C140" s="12"/>
      <c r="D140" s="12"/>
      <c r="E140" s="12"/>
      <c r="F140" s="12"/>
      <c r="G140" s="12"/>
      <c r="H140" s="12"/>
    </row>
    <row r="141" spans="1:8" ht="15" customHeight="1">
      <c r="A141" s="12"/>
      <c r="B141" s="12"/>
      <c r="C141" s="12"/>
      <c r="D141" s="12"/>
      <c r="E141" s="12"/>
      <c r="F141" s="12"/>
      <c r="G141" s="12"/>
      <c r="H141" s="12"/>
    </row>
    <row r="142" spans="1:8" ht="15" customHeight="1">
      <c r="A142" s="12"/>
      <c r="B142" s="12"/>
      <c r="C142" s="12"/>
      <c r="D142" s="12"/>
      <c r="E142" s="12"/>
      <c r="F142" s="12"/>
      <c r="G142" s="12"/>
      <c r="H142" s="12"/>
    </row>
    <row r="143" spans="1:8" ht="15" customHeight="1">
      <c r="A143" s="12"/>
      <c r="B143" s="12"/>
      <c r="C143" s="12"/>
      <c r="D143" s="12"/>
      <c r="E143" s="12"/>
      <c r="F143" s="12"/>
      <c r="G143" s="12"/>
      <c r="H143" s="12"/>
    </row>
    <row r="144" spans="1:8" ht="15" customHeight="1">
      <c r="A144" s="12"/>
      <c r="B144" s="12"/>
      <c r="C144" s="12"/>
      <c r="D144" s="12"/>
      <c r="E144" s="12"/>
      <c r="F144" s="12"/>
      <c r="G144" s="12"/>
      <c r="H144" s="12"/>
    </row>
    <row r="145" spans="1:8" ht="15" customHeight="1">
      <c r="A145" s="12"/>
      <c r="B145" s="12"/>
      <c r="C145" s="12"/>
      <c r="D145" s="12"/>
      <c r="E145" s="12"/>
      <c r="F145" s="12"/>
      <c r="G145" s="12"/>
      <c r="H145" s="12"/>
    </row>
    <row r="146" spans="1:8" ht="15" customHeight="1">
      <c r="A146" s="12"/>
      <c r="B146" s="12"/>
      <c r="C146" s="12"/>
      <c r="D146" s="12"/>
      <c r="E146" s="12"/>
      <c r="F146" s="12"/>
      <c r="G146" s="12"/>
      <c r="H146" s="12"/>
    </row>
    <row r="147" spans="1:8" ht="15" customHeight="1">
      <c r="A147" s="12"/>
      <c r="B147" s="12"/>
      <c r="C147" s="12"/>
      <c r="D147" s="12"/>
      <c r="E147" s="12"/>
      <c r="F147" s="12"/>
      <c r="G147" s="12"/>
      <c r="H147" s="12"/>
    </row>
    <row r="148" spans="1:8" ht="15" customHeight="1">
      <c r="A148" s="12"/>
      <c r="B148" s="12"/>
      <c r="C148" s="12"/>
      <c r="D148" s="12"/>
      <c r="E148" s="12"/>
      <c r="F148" s="12"/>
      <c r="G148" s="12"/>
      <c r="H148" s="12"/>
    </row>
    <row r="149" spans="1:8" ht="15" customHeight="1">
      <c r="A149" s="12"/>
      <c r="B149" s="12"/>
      <c r="C149" s="12"/>
      <c r="D149" s="12"/>
      <c r="E149" s="12"/>
      <c r="F149" s="12"/>
      <c r="G149" s="12"/>
      <c r="H149" s="12"/>
    </row>
    <row r="150" spans="1:8" ht="15" customHeight="1">
      <c r="A150" s="12"/>
      <c r="B150" s="12"/>
      <c r="C150" s="12"/>
      <c r="D150" s="12"/>
      <c r="E150" s="12"/>
      <c r="F150" s="12"/>
      <c r="G150" s="12"/>
      <c r="H150" s="12"/>
    </row>
    <row r="151" spans="1:8" ht="15" customHeight="1">
      <c r="A151" s="12"/>
      <c r="B151" s="12"/>
      <c r="C151" s="12"/>
      <c r="D151" s="12"/>
      <c r="E151" s="12"/>
      <c r="F151" s="12"/>
      <c r="G151" s="12"/>
      <c r="H151" s="12"/>
    </row>
    <row r="152" spans="1:8" ht="15" customHeight="1">
      <c r="A152" s="12"/>
      <c r="B152" s="12"/>
      <c r="C152" s="12"/>
      <c r="D152" s="12"/>
      <c r="E152" s="12"/>
      <c r="F152" s="12"/>
      <c r="G152" s="12"/>
      <c r="H152" s="12"/>
    </row>
    <row r="153" spans="1:8" ht="15" customHeight="1">
      <c r="A153" s="12"/>
      <c r="B153" s="12"/>
      <c r="C153" s="12"/>
      <c r="D153" s="12"/>
      <c r="E153" s="12"/>
      <c r="F153" s="12"/>
      <c r="G153" s="12"/>
      <c r="H153" s="12"/>
    </row>
    <row r="154" spans="1:8" ht="15" customHeight="1">
      <c r="A154" s="12"/>
      <c r="B154" s="12"/>
      <c r="C154" s="12"/>
      <c r="D154" s="12"/>
      <c r="E154" s="12"/>
      <c r="F154" s="12"/>
      <c r="G154" s="12"/>
      <c r="H154" s="12"/>
    </row>
    <row r="155" spans="1:8" ht="15" customHeight="1">
      <c r="A155" s="12"/>
      <c r="B155" s="12"/>
      <c r="C155" s="12"/>
      <c r="D155" s="12"/>
      <c r="E155" s="12"/>
      <c r="F155" s="12"/>
      <c r="G155" s="12"/>
      <c r="H155" s="12"/>
    </row>
    <row r="156" spans="1:8" ht="15" customHeight="1">
      <c r="A156" s="12"/>
      <c r="B156" s="12"/>
      <c r="C156" s="12"/>
      <c r="D156" s="12"/>
      <c r="E156" s="12"/>
      <c r="F156" s="12"/>
      <c r="G156" s="12"/>
      <c r="H156" s="12"/>
    </row>
    <row r="157" spans="1:8" ht="15" customHeight="1">
      <c r="A157" s="12"/>
      <c r="B157" s="12"/>
      <c r="C157" s="12"/>
      <c r="D157" s="12"/>
      <c r="E157" s="12"/>
      <c r="F157" s="12"/>
      <c r="G157" s="12"/>
      <c r="H157" s="12"/>
    </row>
    <row r="158" spans="1:8" ht="15" customHeight="1">
      <c r="A158" s="12"/>
      <c r="B158" s="12"/>
      <c r="C158" s="12"/>
      <c r="D158" s="12"/>
      <c r="E158" s="12"/>
      <c r="F158" s="12"/>
      <c r="G158" s="12"/>
      <c r="H158" s="12"/>
    </row>
    <row r="159" spans="1:8" ht="15" customHeight="1">
      <c r="A159" s="12"/>
      <c r="B159" s="12"/>
      <c r="C159" s="12"/>
      <c r="D159" s="12"/>
      <c r="E159" s="12"/>
      <c r="F159" s="12"/>
      <c r="G159" s="12"/>
      <c r="H159" s="12"/>
    </row>
    <row r="160" spans="1:8" ht="15" customHeight="1">
      <c r="A160" s="12"/>
      <c r="B160" s="12"/>
      <c r="C160" s="12"/>
      <c r="D160" s="12"/>
      <c r="E160" s="12"/>
      <c r="F160" s="12"/>
      <c r="G160" s="12"/>
      <c r="H160" s="12"/>
    </row>
    <row r="161" spans="1:8" ht="15" customHeight="1">
      <c r="A161" s="12"/>
      <c r="B161" s="12"/>
      <c r="C161" s="12"/>
      <c r="D161" s="12"/>
      <c r="E161" s="12"/>
      <c r="F161" s="12"/>
      <c r="G161" s="12"/>
      <c r="H161" s="12"/>
    </row>
    <row r="162" spans="1:8" ht="15" customHeight="1">
      <c r="A162" s="12"/>
      <c r="B162" s="12"/>
      <c r="C162" s="12"/>
      <c r="D162" s="12"/>
      <c r="E162" s="12"/>
      <c r="F162" s="12"/>
      <c r="G162" s="12"/>
      <c r="H162" s="12"/>
    </row>
    <row r="163" spans="1:8" ht="15" customHeight="1">
      <c r="A163" s="12"/>
      <c r="B163" s="12"/>
      <c r="C163" s="12"/>
      <c r="D163" s="12"/>
      <c r="E163" s="12"/>
      <c r="F163" s="12"/>
      <c r="G163" s="12"/>
      <c r="H163" s="12"/>
    </row>
    <row r="164" spans="1:8" ht="15" customHeight="1">
      <c r="A164" s="12"/>
      <c r="B164" s="12"/>
      <c r="C164" s="12"/>
      <c r="D164" s="12"/>
      <c r="E164" s="12"/>
      <c r="F164" s="12"/>
      <c r="G164" s="12"/>
      <c r="H164" s="12"/>
    </row>
    <row r="165" spans="1:8" ht="15" customHeight="1">
      <c r="A165" s="12"/>
      <c r="B165" s="12"/>
      <c r="C165" s="12"/>
      <c r="D165" s="12"/>
      <c r="E165" s="12"/>
      <c r="F165" s="12"/>
      <c r="G165" s="12"/>
      <c r="H165" s="12"/>
    </row>
    <row r="166" spans="1:8" ht="15" customHeight="1">
      <c r="A166" s="12"/>
      <c r="B166" s="12"/>
      <c r="C166" s="12"/>
      <c r="D166" s="12"/>
      <c r="E166" s="12"/>
      <c r="F166" s="12"/>
      <c r="G166" s="12"/>
      <c r="H166" s="12"/>
    </row>
    <row r="167" spans="1:8" ht="15" customHeight="1">
      <c r="A167" s="12"/>
      <c r="B167" s="12"/>
      <c r="C167" s="12"/>
      <c r="D167" s="12"/>
      <c r="E167" s="12"/>
      <c r="F167" s="12"/>
      <c r="G167" s="12"/>
      <c r="H167" s="12"/>
    </row>
    <row r="168" spans="1:8" ht="15" customHeight="1">
      <c r="A168" s="12"/>
      <c r="B168" s="12"/>
      <c r="C168" s="12"/>
      <c r="D168" s="12"/>
      <c r="E168" s="12"/>
      <c r="F168" s="12"/>
      <c r="G168" s="12"/>
      <c r="H168" s="12"/>
    </row>
    <row r="169" spans="1:8" ht="15" customHeight="1">
      <c r="A169" s="12"/>
      <c r="B169" s="12"/>
      <c r="C169" s="12"/>
      <c r="D169" s="12"/>
      <c r="E169" s="12"/>
      <c r="F169" s="12"/>
      <c r="G169" s="12"/>
      <c r="H169" s="12"/>
    </row>
    <row r="170" spans="1:8" ht="15" customHeight="1">
      <c r="A170" s="12"/>
      <c r="B170" s="12"/>
      <c r="C170" s="12"/>
      <c r="D170" s="12"/>
      <c r="E170" s="12"/>
      <c r="F170" s="12"/>
      <c r="G170" s="12"/>
      <c r="H170" s="12"/>
    </row>
    <row r="171" spans="1:8" ht="15" customHeight="1">
      <c r="A171" s="12"/>
      <c r="B171" s="12"/>
      <c r="C171" s="12"/>
      <c r="D171" s="12"/>
      <c r="E171" s="12"/>
      <c r="F171" s="12"/>
      <c r="G171" s="12"/>
      <c r="H171" s="12"/>
    </row>
    <row r="172" spans="1:8" ht="15" customHeight="1">
      <c r="A172" s="12"/>
      <c r="B172" s="12"/>
      <c r="C172" s="12"/>
      <c r="D172" s="12"/>
      <c r="E172" s="12"/>
      <c r="F172" s="12"/>
      <c r="G172" s="12"/>
      <c r="H172" s="12"/>
    </row>
    <row r="173" spans="1:8" ht="15" customHeight="1">
      <c r="A173" s="12"/>
      <c r="B173" s="12"/>
      <c r="C173" s="12"/>
      <c r="D173" s="12"/>
      <c r="E173" s="12"/>
      <c r="F173" s="12"/>
      <c r="G173" s="12"/>
      <c r="H173" s="12"/>
    </row>
    <row r="174" spans="1:8" ht="15" customHeight="1">
      <c r="A174" s="12"/>
      <c r="B174" s="12"/>
      <c r="C174" s="12"/>
      <c r="D174" s="12"/>
      <c r="E174" s="12"/>
      <c r="F174" s="12"/>
      <c r="G174" s="12"/>
      <c r="H174" s="12"/>
    </row>
    <row r="175" spans="1:8" ht="15" customHeight="1">
      <c r="A175" s="12"/>
      <c r="B175" s="12"/>
      <c r="C175" s="12"/>
      <c r="D175" s="12"/>
      <c r="E175" s="12"/>
      <c r="F175" s="12"/>
      <c r="G175" s="12"/>
      <c r="H175" s="12"/>
    </row>
    <row r="176" spans="1:8" ht="15" customHeight="1">
      <c r="A176" s="12"/>
      <c r="B176" s="12"/>
      <c r="C176" s="12"/>
      <c r="D176" s="12"/>
      <c r="E176" s="12"/>
      <c r="F176" s="12"/>
      <c r="G176" s="12"/>
      <c r="H176" s="12"/>
    </row>
    <row r="177" spans="1:8" ht="15" customHeight="1">
      <c r="A177" s="12"/>
      <c r="B177" s="12"/>
      <c r="C177" s="12"/>
      <c r="D177" s="12"/>
      <c r="E177" s="12"/>
      <c r="F177" s="12"/>
      <c r="G177" s="12"/>
      <c r="H177" s="12"/>
    </row>
    <row r="178" spans="1:8" ht="15" customHeight="1">
      <c r="A178" s="12"/>
      <c r="B178" s="12"/>
      <c r="C178" s="12"/>
      <c r="D178" s="12"/>
      <c r="E178" s="12"/>
      <c r="F178" s="12"/>
      <c r="G178" s="12"/>
      <c r="H178" s="12"/>
    </row>
    <row r="179" spans="1:8" ht="15" customHeight="1">
      <c r="A179" s="12"/>
      <c r="B179" s="12"/>
      <c r="C179" s="12"/>
      <c r="D179" s="12"/>
      <c r="E179" s="12"/>
      <c r="F179" s="12"/>
      <c r="G179" s="12"/>
      <c r="H179" s="12"/>
    </row>
    <row r="180" spans="1:8" ht="15" customHeight="1">
      <c r="A180" s="12"/>
      <c r="B180" s="12"/>
      <c r="C180" s="12"/>
      <c r="D180" s="12"/>
      <c r="E180" s="12"/>
      <c r="F180" s="12"/>
      <c r="G180" s="12"/>
      <c r="H180" s="12"/>
    </row>
    <row r="181" spans="1:8" ht="15" customHeight="1">
      <c r="A181" s="12"/>
      <c r="B181" s="12"/>
      <c r="C181" s="12"/>
      <c r="D181" s="12"/>
      <c r="E181" s="12"/>
      <c r="F181" s="12"/>
      <c r="G181" s="12"/>
      <c r="H181" s="12"/>
    </row>
    <row r="182" spans="1:8" ht="15" customHeight="1">
      <c r="A182" s="12"/>
      <c r="B182" s="12"/>
      <c r="C182" s="12"/>
      <c r="D182" s="12"/>
      <c r="E182" s="12"/>
      <c r="F182" s="12"/>
      <c r="G182" s="12"/>
      <c r="H182" s="12"/>
    </row>
    <row r="183" spans="1:8" ht="15" customHeight="1">
      <c r="A183" s="12"/>
      <c r="B183" s="12"/>
      <c r="C183" s="12"/>
      <c r="D183" s="12"/>
      <c r="E183" s="12"/>
      <c r="F183" s="12"/>
      <c r="G183" s="12"/>
      <c r="H183" s="12"/>
    </row>
    <row r="184" spans="1:8" ht="15" customHeight="1">
      <c r="A184" s="12"/>
      <c r="B184" s="12"/>
      <c r="C184" s="12"/>
      <c r="D184" s="12"/>
      <c r="E184" s="12"/>
      <c r="F184" s="12"/>
      <c r="G184" s="12"/>
      <c r="H184" s="12"/>
    </row>
    <row r="185" spans="1:8" ht="15" customHeight="1">
      <c r="A185" s="12"/>
      <c r="B185" s="12"/>
      <c r="C185" s="12"/>
      <c r="D185" s="12"/>
      <c r="E185" s="12"/>
      <c r="F185" s="12"/>
      <c r="G185" s="12"/>
      <c r="H185" s="12"/>
    </row>
    <row r="186" spans="1:8" ht="15" customHeight="1">
      <c r="A186" s="12"/>
      <c r="B186" s="12"/>
      <c r="C186" s="12"/>
      <c r="D186" s="12"/>
      <c r="E186" s="12"/>
      <c r="F186" s="12"/>
      <c r="G186" s="12"/>
      <c r="H186" s="12"/>
    </row>
    <row r="187" spans="1:8" ht="15" customHeight="1">
      <c r="A187" s="12"/>
      <c r="B187" s="12"/>
      <c r="C187" s="12"/>
      <c r="D187" s="12"/>
      <c r="E187" s="12"/>
      <c r="F187" s="12"/>
      <c r="G187" s="12"/>
      <c r="H187" s="12"/>
    </row>
    <row r="188" spans="1:8" ht="15" customHeight="1">
      <c r="A188" s="12"/>
      <c r="B188" s="12"/>
      <c r="C188" s="12"/>
      <c r="D188" s="12"/>
      <c r="E188" s="12"/>
      <c r="F188" s="12"/>
      <c r="G188" s="12"/>
      <c r="H188" s="12"/>
    </row>
    <row r="189" spans="1:8" ht="15" customHeight="1">
      <c r="A189" s="12"/>
      <c r="B189" s="12"/>
      <c r="C189" s="12"/>
      <c r="D189" s="12"/>
      <c r="E189" s="12"/>
      <c r="F189" s="12"/>
      <c r="G189" s="12"/>
      <c r="H189" s="12"/>
    </row>
    <row r="190" spans="1:8" ht="15" customHeight="1">
      <c r="A190" s="12"/>
      <c r="B190" s="12"/>
      <c r="C190" s="12"/>
      <c r="D190" s="12"/>
      <c r="E190" s="12"/>
      <c r="F190" s="12"/>
      <c r="G190" s="12"/>
      <c r="H190" s="12"/>
    </row>
    <row r="191" spans="1:8" ht="15" customHeight="1">
      <c r="A191" s="12"/>
      <c r="B191" s="12"/>
      <c r="C191" s="12"/>
      <c r="D191" s="12"/>
      <c r="E191" s="12"/>
      <c r="F191" s="12"/>
      <c r="G191" s="12"/>
      <c r="H191" s="12"/>
    </row>
    <row r="192" spans="1:8" ht="15" customHeight="1">
      <c r="A192" s="12"/>
      <c r="B192" s="12"/>
      <c r="C192" s="12"/>
      <c r="D192" s="12"/>
      <c r="E192" s="12"/>
      <c r="F192" s="12"/>
      <c r="G192" s="12"/>
      <c r="H192" s="12"/>
    </row>
    <row r="193" spans="1:8" ht="15" customHeight="1">
      <c r="A193" s="12"/>
      <c r="B193" s="12"/>
      <c r="C193" s="12"/>
      <c r="D193" s="12"/>
      <c r="E193" s="12"/>
      <c r="F193" s="12"/>
      <c r="G193" s="12"/>
      <c r="H193" s="12"/>
    </row>
    <row r="194" spans="1:8" ht="15" customHeight="1">
      <c r="A194" s="12"/>
      <c r="B194" s="12"/>
      <c r="C194" s="12"/>
      <c r="D194" s="12"/>
      <c r="E194" s="12"/>
      <c r="F194" s="12"/>
      <c r="G194" s="12"/>
      <c r="H194" s="12"/>
    </row>
    <row r="195" spans="1:8" ht="15" customHeight="1">
      <c r="A195" s="12"/>
      <c r="B195" s="12"/>
      <c r="C195" s="12"/>
      <c r="D195" s="12"/>
      <c r="E195" s="12"/>
      <c r="F195" s="12"/>
      <c r="G195" s="12"/>
      <c r="H195" s="12"/>
    </row>
    <row r="196" spans="1:8" ht="15" customHeight="1">
      <c r="A196" s="12"/>
      <c r="B196" s="12"/>
      <c r="C196" s="12"/>
      <c r="D196" s="12"/>
      <c r="E196" s="12"/>
      <c r="F196" s="12"/>
      <c r="G196" s="12"/>
      <c r="H196" s="12"/>
    </row>
    <row r="197" spans="1:8" ht="15" customHeight="1">
      <c r="A197" s="12"/>
      <c r="B197" s="12"/>
      <c r="C197" s="12"/>
      <c r="D197" s="12"/>
      <c r="E197" s="12"/>
      <c r="F197" s="12"/>
      <c r="G197" s="12"/>
      <c r="H197" s="12"/>
    </row>
    <row r="198" spans="1:8" ht="15" customHeight="1">
      <c r="A198" s="12"/>
      <c r="B198" s="12"/>
      <c r="C198" s="12"/>
      <c r="D198" s="12"/>
      <c r="E198" s="12"/>
      <c r="F198" s="12"/>
      <c r="G198" s="12"/>
      <c r="H198" s="12"/>
    </row>
    <row r="199" spans="1:8" ht="15" customHeight="1">
      <c r="A199" s="12"/>
      <c r="B199" s="12"/>
      <c r="C199" s="12"/>
      <c r="D199" s="12"/>
      <c r="E199" s="12"/>
      <c r="F199" s="12"/>
      <c r="G199" s="12"/>
      <c r="H199" s="12"/>
    </row>
    <row r="200" spans="1:8" ht="15" customHeight="1">
      <c r="A200" s="12"/>
      <c r="B200" s="12"/>
      <c r="C200" s="12"/>
      <c r="D200" s="12"/>
      <c r="E200" s="12"/>
      <c r="F200" s="12"/>
      <c r="G200" s="12"/>
      <c r="H200" s="12"/>
    </row>
  </sheetData>
  <mergeCells count="1">
    <mergeCell ref="A1:K1"/>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95C71A-A5DC-4ABF-AA7A-82B8BD8D6CA6}">
  <dimension ref="A1:AV1434"/>
  <sheetViews>
    <sheetView zoomScale="70" zoomScaleNormal="70" workbookViewId="0">
      <selection activeCell="J32" sqref="J32"/>
    </sheetView>
  </sheetViews>
  <sheetFormatPr defaultColWidth="16" defaultRowHeight="97.5" customHeight="1"/>
  <cols>
    <col min="1" max="16" width="16" style="139"/>
    <col min="17" max="17" width="53.109375" style="139" bestFit="1" customWidth="1"/>
    <col min="18" max="18" width="66.109375" style="139" bestFit="1" customWidth="1"/>
    <col min="19" max="16384" width="16" style="139"/>
  </cols>
  <sheetData>
    <row r="1" spans="1:48" ht="97.5" customHeight="1">
      <c r="A1" s="886" t="s">
        <v>866</v>
      </c>
      <c r="B1" s="886"/>
      <c r="C1" s="886"/>
      <c r="D1" s="886"/>
      <c r="E1" s="886"/>
      <c r="F1" s="886"/>
      <c r="G1" s="886"/>
      <c r="H1" s="886"/>
      <c r="I1" s="886"/>
      <c r="J1" s="886"/>
      <c r="K1" s="886"/>
      <c r="L1" s="886"/>
      <c r="M1" s="886"/>
      <c r="N1" s="886"/>
      <c r="O1" s="886"/>
      <c r="P1" s="887"/>
      <c r="Q1" s="888" t="str">
        <f>HYPERLINK("#'PMIS_Data'!A1","Data")</f>
        <v>Data</v>
      </c>
      <c r="R1" s="886"/>
      <c r="S1" s="886"/>
      <c r="T1" s="886"/>
      <c r="U1" s="886"/>
      <c r="V1" s="886"/>
      <c r="W1" s="886"/>
      <c r="X1" s="886"/>
      <c r="Y1" s="889" t="s">
        <v>867</v>
      </c>
      <c r="Z1" s="889"/>
      <c r="AA1" s="889"/>
      <c r="AB1" s="889"/>
      <c r="AC1" s="889"/>
      <c r="AD1" s="889"/>
      <c r="AE1" s="889"/>
      <c r="AF1" s="889"/>
      <c r="AG1" s="889"/>
      <c r="AH1" s="889"/>
      <c r="AI1" s="889"/>
      <c r="AJ1" s="889"/>
      <c r="AK1" s="889"/>
      <c r="AL1" s="889"/>
      <c r="AM1" s="889"/>
      <c r="AN1" s="889"/>
      <c r="AO1" s="889"/>
      <c r="AP1" s="889"/>
      <c r="AQ1" s="889"/>
      <c r="AR1" s="889"/>
      <c r="AS1" s="889"/>
      <c r="AT1" s="889"/>
    </row>
    <row r="2" spans="1:48" s="352" customFormat="1" ht="97.5" customHeight="1">
      <c r="A2" s="349" t="s">
        <v>142</v>
      </c>
      <c r="B2" s="349" t="s">
        <v>173</v>
      </c>
      <c r="C2" s="349" t="s">
        <v>151</v>
      </c>
      <c r="D2" s="350" t="s">
        <v>549</v>
      </c>
      <c r="E2" s="350" t="s">
        <v>538</v>
      </c>
      <c r="F2" s="349" t="s">
        <v>154</v>
      </c>
      <c r="G2" s="349" t="s">
        <v>868</v>
      </c>
      <c r="H2" s="349" t="s">
        <v>161</v>
      </c>
      <c r="I2" s="349" t="s">
        <v>199</v>
      </c>
      <c r="J2" s="349" t="s">
        <v>163</v>
      </c>
      <c r="K2" s="349" t="s">
        <v>148</v>
      </c>
      <c r="L2" s="349" t="s">
        <v>153</v>
      </c>
      <c r="M2" s="349" t="s">
        <v>155</v>
      </c>
      <c r="N2" s="349" t="s">
        <v>146</v>
      </c>
      <c r="O2" s="349" t="s">
        <v>157</v>
      </c>
      <c r="P2" s="349" t="s">
        <v>556</v>
      </c>
      <c r="Q2" s="349" t="s">
        <v>869</v>
      </c>
      <c r="R2" s="349" t="s">
        <v>870</v>
      </c>
      <c r="S2" s="349" t="s">
        <v>871</v>
      </c>
      <c r="T2" s="349" t="s">
        <v>872</v>
      </c>
      <c r="U2" s="349" t="s">
        <v>873</v>
      </c>
      <c r="V2" s="349" t="s">
        <v>874</v>
      </c>
      <c r="W2" s="349" t="s">
        <v>875</v>
      </c>
      <c r="X2" s="349" t="s">
        <v>179</v>
      </c>
      <c r="Y2" s="349" t="s">
        <v>876</v>
      </c>
      <c r="Z2" s="353" t="s">
        <v>5843</v>
      </c>
      <c r="AA2" s="348" t="s">
        <v>5905</v>
      </c>
      <c r="AB2" s="353" t="s">
        <v>5848</v>
      </c>
      <c r="AC2" s="348" t="s">
        <v>5906</v>
      </c>
      <c r="AD2" s="348" t="s">
        <v>5907</v>
      </c>
      <c r="AE2" s="353" t="s">
        <v>5908</v>
      </c>
      <c r="AF2" s="348" t="s">
        <v>5909</v>
      </c>
      <c r="AG2" s="353" t="s">
        <v>5910</v>
      </c>
      <c r="AH2" s="348" t="s">
        <v>5911</v>
      </c>
      <c r="AI2" s="353" t="s">
        <v>5858</v>
      </c>
      <c r="AJ2" s="348" t="s">
        <v>5912</v>
      </c>
      <c r="AK2" s="353" t="s">
        <v>5921</v>
      </c>
      <c r="AL2" s="353" t="s">
        <v>5784</v>
      </c>
      <c r="AM2" s="348" t="s">
        <v>5914</v>
      </c>
      <c r="AN2" s="348" t="s">
        <v>5776</v>
      </c>
      <c r="AO2" s="353" t="s">
        <v>5915</v>
      </c>
      <c r="AP2" s="356" t="s">
        <v>5916</v>
      </c>
      <c r="AQ2" s="356" t="s">
        <v>5917</v>
      </c>
      <c r="AR2" s="356" t="s">
        <v>5918</v>
      </c>
      <c r="AS2" s="356" t="s">
        <v>5919</v>
      </c>
      <c r="AT2" s="356" t="s">
        <v>5920</v>
      </c>
      <c r="AU2" s="351"/>
      <c r="AV2" s="351"/>
    </row>
    <row r="3" spans="1:48" ht="97.5" customHeight="1">
      <c r="A3" s="106" t="str">
        <f>B01_Assessment!$B$2&amp;""</f>
        <v>01</v>
      </c>
      <c r="B3" s="106" t="str">
        <f>"B01_Assessment"</f>
        <v>B01_Assessment</v>
      </c>
      <c r="C3" s="106" t="str">
        <f>B01_Assessment!$F$2</f>
        <v>Yellow</v>
      </c>
      <c r="D3" s="142">
        <f>B01_Assessment!$H$2</f>
        <v>0.5</v>
      </c>
      <c r="E3" s="142">
        <f>IFERROR(B01_Assessment!$H$2,0)</f>
        <v>0.5</v>
      </c>
      <c r="F3" s="106" t="str">
        <f>B01_Assessment!$J$2</f>
        <v>No</v>
      </c>
      <c r="G3" s="106">
        <f>MAX(0,COUNTA(B01_Assessment!$A$10:$A$49)-COUNTIF(B01_Assessment!$A$10:$A$49,"*. *"))</f>
        <v>29</v>
      </c>
      <c r="H3" s="106">
        <f>IFERROR(B01_Assessment!$B$4,0)</f>
        <v>0</v>
      </c>
      <c r="I3" s="106">
        <f>IFERROR(B01_Assessment!$D$4,0)</f>
        <v>0</v>
      </c>
      <c r="J3" s="106">
        <f>SUMPRODUCT(--(ISNUMBER(SEARCH("-P",B01_Assessment!$A$1:$A$164&amp;""))),--((B01_Assessment!$I$1:$I$164="Open")+(B01_Assessment!$I$1:$I$164="In Progress")))</f>
        <v>0</v>
      </c>
      <c r="K3" s="106" t="str">
        <f>B01_Assessment!$B$5</f>
        <v>Not Started</v>
      </c>
      <c r="L3" s="106" t="str">
        <f>B01_Assessment!$D$5</f>
        <v>Not Started</v>
      </c>
      <c r="M3" s="106" t="str">
        <f>B01_Assessment!$F$5</f>
        <v>Not Started</v>
      </c>
      <c r="N3" s="106" t="str">
        <f>B01_Assessment!$H$5</f>
        <v>Not Started</v>
      </c>
      <c r="O3" s="106" t="str">
        <f>B01_Assessment!$J$5</f>
        <v>Not Started</v>
      </c>
      <c r="P3" s="106" t="str">
        <f>B01_Assessment!$B$6</f>
        <v>Not Started</v>
      </c>
      <c r="Q3" s="106" t="str">
        <f>B01_Assessment!$D$6</f>
        <v>Field verify Room 107, existing B02, 138, and 282; confirm active services, existing rack/equipment transfer, B01-TR107A/B panel sources, IU-1-01/CU-1-01 cooling, fire alarm/sprinkler impacts, FEC location, PACS/CCTV scope, 394 ft cable tray routes, and telecom cutover sequence.</v>
      </c>
      <c r="R3" s="106" t="str">
        <f>B01_Assessment!$H$4</f>
        <v>Building 01 is a full-scope telecom room building with new First-Level Telecom Room 107 and existing telecom transition rooms B02, 138, and 282. Scope includes architectural, hazardous, fire protection, mechanical, electrical, telecom, security, rack elevations, schedules, and photo references. Major open items include active service transfer from existing rooms, IU-1-01/CU-1-01 cooling, B01-TR107A/B normal/emergency power, UPS/PDU rack power, PACS/CCTV, 394 ft cable tray, firestopping, fiber Path A/B, and room/equipment cutover planning.</v>
      </c>
      <c r="S3" s="106">
        <f t="shared" ref="S3:S32" si="0">IFERROR(H3/MAX(G3,1),0)</f>
        <v>0</v>
      </c>
      <c r="T3" s="139">
        <f t="shared" ref="T3:T32" si="1">IFERROR(I3/MAX(G3,1),0)</f>
        <v>0</v>
      </c>
      <c r="U3" s="139">
        <f t="shared" ref="U3:U32" si="2">IFERROR(J3/MAX(G3,1),0)</f>
        <v>0</v>
      </c>
      <c r="V3" s="139" t="str">
        <f t="shared" ref="V3:V32" si="3">IF(X3&gt;0,"Shutdown Coordination",IF(H3&gt;0,"Risk Closure",IF(I3&gt;0,"Question Resolution",IF(J3&gt;0,"Field Documentation","Monitor"))))</f>
        <v>Monitor</v>
      </c>
      <c r="W3" s="139" t="str">
        <f t="shared" ref="W3:W32" si="4">IF(F3="Yes","Ready",IF(OR(X3&gt;0,H3&gt;0,I3&gt;0),"Blocked","Review"))</f>
        <v>Review</v>
      </c>
      <c r="X3" s="139">
        <f>IFERROR(B01_Assessment!$F$4,0)</f>
        <v>0</v>
      </c>
      <c r="Y3" s="143" t="str">
        <f t="shared" ref="Y3:Y32" si="5">IF(AND(A3&lt;&gt;"",B3&lt;&gt;""),"Mapped","Check")</f>
        <v>Mapped</v>
      </c>
      <c r="Z3" s="354">
        <f t="shared" ref="Z3:Z32" ca="1" si="6">IF($AP3=0,0,IFERROR((COUNTIF(INDIRECT("'"&amp;$B3&amp;"'!B"&amp;$AP3+2&amp;":B"&amp;$AP3+6),"*Verified*")+COUNTIF(INDIRECT("'"&amp;$B3&amp;"'!B"&amp;$AP3+2&amp;":B"&amp;$AP3+6),"Complete")+0.5*(COUNTIF(INDIRECT("'"&amp;$B3&amp;"'!B"&amp;$AP3+2&amp;":B"&amp;$AP3+6),"*Partial*")+COUNTIF(INDIRECT("'"&amp;$B3&amp;"'!B"&amp;$AP3+2&amp;":B"&amp;$AP3+6),"In Progress"))+0.25*COUNTIF(INDIRECT("'"&amp;$B3&amp;"'!B"&amp;$AP3+2&amp;":B"&amp;$AP3+6),"At Risk"))/(COUNTA(INDIRECT("'"&amp;$B3&amp;"'!B"&amp;$AP3+2&amp;":B"&amp;$AP3+6))-COUNTIF(INDIRECT("'"&amp;$B3&amp;"'!B"&amp;$AP3+2&amp;":B"&amp;$AP3+6),"*N/A*")),0))</f>
        <v>0</v>
      </c>
      <c r="AA3" s="253" t="str">
        <f t="shared" ref="AA3:AA32" ca="1" si="7">IF(Z3&gt;=0.95,"Approve",IF(Z3&gt;=0.85,"Partial / Review","Withhold / Review"))</f>
        <v>Withhold / Review</v>
      </c>
      <c r="AB3" s="354">
        <f t="shared" ref="AB3:AB32" ca="1" si="8">IF($AQ3=0,0,IFERROR(AVERAGE(INDIRECT("'"&amp;$B3&amp;"'!E"&amp;$AQ3+2&amp;":E"&amp;$AQ3+9)),0))</f>
        <v>0</v>
      </c>
      <c r="AC3" s="253" t="str">
        <f t="shared" ref="AC3:AC32" ca="1" si="9">IF(AB3&gt;=0.9,"Ready",IF(AB3&gt;=0.7,"At Risk","Blocked"))</f>
        <v>Blocked</v>
      </c>
      <c r="AD3" s="253" t="str">
        <f ca="1">IF($AQ3=0,"Owner controls not mapped",IFERROR(IF(_xludf.TEXTJOIN("; ",TRUE,INDIRECT("'"&amp;$B3&amp;"'!F"&amp;$AQ3+2&amp;":F"&amp;$AQ3+9))="","No blocker documented",_xludf.TEXTJOIN("; ",TRUE,INDIRECT("'"&amp;$B3&amp;"'!F"&amp;$AQ3+2&amp;":F"&amp;$AQ3+9))),"No blocker documented"))</f>
        <v>No blocker documented</v>
      </c>
      <c r="AE3" s="354">
        <f t="shared" ref="AE3:AE32" ca="1" si="10">IF($AR3=0,0,IFERROR((COUNTIF(INDIRECT("'"&amp;$B3&amp;"'!F"&amp;$AR3+2&amp;":F"&amp;$AR3+6),"Pass")+0.5*COUNTIF(INDIRECT("'"&amp;$B3&amp;"'!F"&amp;$AR3+2&amp;":F"&amp;$AR3+6),"Pending"))/(COUNTA(INDIRECT("'"&amp;$B3&amp;"'!F"&amp;$AR3+2&amp;":F"&amp;$AR3+6))-COUNTIF(INDIRECT("'"&amp;$B3&amp;"'!F"&amp;$AR3+2&amp;":F"&amp;$AR3+6),"N/A")),0))</f>
        <v>0.5</v>
      </c>
      <c r="AF3" s="253" t="str">
        <f t="shared" ref="AF3:AF32" ca="1" si="11">IF(AE3=1,"Compliant",IF(AE3&gt;=0.8,"Partial / Verify","Deficiency / Review"))</f>
        <v>Deficiency / Review</v>
      </c>
      <c r="AG3" s="354">
        <f t="shared" ref="AG3:AG32" ca="1" si="12">IF($AS3=0,0,IFERROR(AVERAGE(INDIRECT("'"&amp;$B3&amp;"'!F"&amp;$AS3+2&amp;":F"&amp;$AS3+5)),0))</f>
        <v>0</v>
      </c>
      <c r="AH3" s="253" t="str">
        <f t="shared" ref="AH3:AH32" ca="1" si="13">IF(AG3&gt;=1,"On / Ahead",IF(AG3&gt;=0.8,"Behind / Monitor","Critical / Document"))</f>
        <v>Critical / Document</v>
      </c>
      <c r="AI3" s="354">
        <f t="shared" ref="AI3:AI32" ca="1" si="14">IF($AT3=0,0,IFERROR(AVERAGE(INDIRECT("'"&amp;$B3&amp;"'!E"&amp;$AT3+2&amp;":E"&amp;$AT3+7)),0))</f>
        <v>0</v>
      </c>
      <c r="AJ3" s="253" t="str">
        <f t="shared" ref="AJ3:AJ32" ca="1" si="15">IF(AI3=1,"Ready for Turnover",IF(AI3&gt;=0.8,"Ready w/ Punch","Not Ready"))</f>
        <v>Not Ready</v>
      </c>
      <c r="AK3" s="354">
        <f t="shared" ref="AK3:AK32" ca="1" si="16">AI3</f>
        <v>0</v>
      </c>
      <c r="AL3" s="355">
        <f t="shared" ref="AL3:AL32" ca="1" si="17">IF($AT3=0,0,IFERROR(COUNTIF(INDIRECT("'"&amp;$B3&amp;"'!D"&amp;$AT3+2&amp;":D"&amp;$AT3+7),"No"),0))</f>
        <v>6</v>
      </c>
      <c r="AM3" s="253" t="str">
        <f t="shared" ref="AM3:AM32" ca="1" si="18">IF(AB3&lt;0.7,"Resolve OIT Blocker",IF(AI3&lt;0.8,"Close Acceptance Gates",IF(Z3&lt;0.85,"Review Payment",IF(AE3&lt;0.8,"Resolve Material QA",IF(AG3&lt;0.8,"Document Productivity","Monitor")))))</f>
        <v>Resolve OIT Blocker</v>
      </c>
      <c r="AN3" s="253" t="str">
        <f t="shared" ref="AN3:AN32" ca="1" si="19">IF(OR(AB3&lt;0.7,AI3&lt;0.8,Z3&lt;0.85,AE3&lt;0.8,AG3&lt;0.8),"🔴 ATTENTION",IF(OR(AB3&lt;0.9,AI3&lt;1,Z3&lt;0.95,AE3&lt;1,AG3&lt;1),"🟡 WATCH","🟢 READY"))</f>
        <v>🔴 ATTENTION</v>
      </c>
      <c r="AO3" s="354">
        <f ca="1">IFERROR(AVERAGE(Z3,AB3,AE3,AG3,AI3),0)</f>
        <v>0.1</v>
      </c>
      <c r="AP3" s="357">
        <f t="shared" ref="AP3:AP32" ca="1" si="20">IFERROR(MATCH("*PAYMENT VERIFICATION*",INDIRECT("'"&amp;$B3&amp;"'!A:A"),0),0)</f>
        <v>96</v>
      </c>
      <c r="AQ3" s="358">
        <f t="shared" ref="AQ3:AQ32" ca="1" si="21">IFERROR(MATCH("*OIT ACTIVATION*",INDIRECT("'"&amp;$B3&amp;"'!A:A"),0),0)</f>
        <v>105</v>
      </c>
      <c r="AR3" s="355">
        <f t="shared" ref="AR3:AR32" ca="1" si="22">IFERROR(MATCH("*MATERIAL VERIFICATION*",INDIRECT("'"&amp;$B3&amp;"'!A:A"),0),IFERROR(MATCH("*SUBMITTAL*",INDIRECT("'"&amp;$B3&amp;"'!A:A"),0),0))</f>
        <v>117</v>
      </c>
      <c r="AS3" s="357">
        <f t="shared" ref="AS3:AS32" ca="1" si="23">IFERROR(MATCH("*PRODUCTIVITY*",INDIRECT("'"&amp;$B3&amp;"'!A:A"),0),0)</f>
        <v>126</v>
      </c>
      <c r="AT3" s="357">
        <f t="shared" ref="AT3:AT32" ca="1" si="24">IFERROR(MATCH("*OWNER ACCEPTANCE*",INDIRECT("'"&amp;$B3&amp;"'!A:A"),0),IFERROR(MATCH("*ACCEPTANCE READINESS*",INDIRECT("'"&amp;$B3&amp;"'!A:A"),0),0))</f>
        <v>134</v>
      </c>
      <c r="AU3" s="196"/>
      <c r="AV3" s="253"/>
    </row>
    <row r="4" spans="1:48" ht="97.5" customHeight="1">
      <c r="A4" s="106" t="str">
        <f>B02_Assessment!$B$2&amp;""</f>
        <v>02</v>
      </c>
      <c r="B4" s="106" t="str">
        <f>"B02_Assessment"</f>
        <v>B02_Assessment</v>
      </c>
      <c r="C4" s="106" t="str">
        <f>B02_Assessment!$F$2</f>
        <v>Yellow</v>
      </c>
      <c r="D4" s="142">
        <f>B02_Assessment!$H$2</f>
        <v>0.5</v>
      </c>
      <c r="E4" s="142">
        <f>IFERROR(B02_Assessment!$H$2,0)</f>
        <v>0.5</v>
      </c>
      <c r="F4" s="106" t="str">
        <f>B02_Assessment!$J$2</f>
        <v>No</v>
      </c>
      <c r="G4" s="106">
        <f>MAX(0,COUNTA(B02_Assessment!$A$10:$A$49)-COUNTIF(B02_Assessment!$A$10:$A$49,"*. *"))</f>
        <v>30</v>
      </c>
      <c r="H4" s="106">
        <f>IFERROR(B02_Assessment!$B$4,0)</f>
        <v>0</v>
      </c>
      <c r="I4" s="106">
        <f>IFERROR(B02_Assessment!$D$4,0)</f>
        <v>0</v>
      </c>
      <c r="J4" s="106">
        <f>SUMPRODUCT(--(ISNUMBER(SEARCH("-P",B02_Assessment!$A$1:$A$300&amp;""))),--((B02_Assessment!$I$1:$I$300="Open")+(B02_Assessment!$I$1:$I$300="In Progress")))</f>
        <v>0</v>
      </c>
      <c r="K4" s="106" t="str">
        <f>B02_Assessment!$B$5</f>
        <v>Not Started</v>
      </c>
      <c r="L4" s="106" t="str">
        <f>B02_Assessment!$D$5</f>
        <v>Not Started</v>
      </c>
      <c r="M4" s="106" t="str">
        <f>B02_Assessment!$F$5</f>
        <v>Not Started</v>
      </c>
      <c r="N4" s="106" t="str">
        <f>B02_Assessment!$H$5</f>
        <v>Not Started</v>
      </c>
      <c r="O4" s="106" t="str">
        <f>B02_Assessment!$J$5</f>
        <v>Not Started</v>
      </c>
      <c r="P4" s="106" t="str">
        <f>B02_Assessment!$B$6</f>
        <v>Not Started</v>
      </c>
      <c r="Q4" s="106" t="str">
        <f>B02_Assessment!$D$6</f>
        <v>Field verify new Rooms 141, 236, 342 and existing B-06/141/236; confirm active services, rack/equipment transfer, B02-TR141A/B, B02-TR236A/B, B02-TR342A/B panel sources, CU-1-01/CU-2-01/CU-3-01 cooling assignments, fire alarm/sprinkler impacts, FEC locations, PACS/CCTV scope, 2,560 ft cable tray routes, and telecom cutover sequence.</v>
      </c>
      <c r="R4" s="106" t="str">
        <f>B02_Assessment!$H$4</f>
        <v>Building 02 is a large full-scope telecom room building with new Telecom Rooms 141, 236, and 342, plus existing telecom transition rooms B-06, 141, and 236. Scope includes architectural, infection control, fire protection, mechanical, electrical, telecommunications, rack elevations, schedules, PACS/CCTV, and photo references. Major open items include active service transfer, multiple panel sets B02-TR141/236/342 A/B, dedicated cooling CU-1/2/3-01, firestopping, PACS/CCTV integration, 2,560 ft cable tray, and high WAO/cable quantity acceptance.</v>
      </c>
      <c r="S4" s="106">
        <f t="shared" si="0"/>
        <v>0</v>
      </c>
      <c r="T4" s="139">
        <f t="shared" si="1"/>
        <v>0</v>
      </c>
      <c r="U4" s="139">
        <f t="shared" si="2"/>
        <v>0</v>
      </c>
      <c r="V4" s="139" t="str">
        <f t="shared" si="3"/>
        <v>Monitor</v>
      </c>
      <c r="W4" s="139" t="str">
        <f t="shared" si="4"/>
        <v>Review</v>
      </c>
      <c r="X4" s="139">
        <f>IFERROR(B02_Assessment!$F$4,0)</f>
        <v>0</v>
      </c>
      <c r="Y4" s="143" t="str">
        <f t="shared" si="5"/>
        <v>Mapped</v>
      </c>
      <c r="Z4" s="354">
        <f t="shared" ca="1" si="6"/>
        <v>0</v>
      </c>
      <c r="AA4" s="253" t="str">
        <f t="shared" ca="1" si="7"/>
        <v>Withhold / Review</v>
      </c>
      <c r="AB4" s="354">
        <f t="shared" ca="1" si="8"/>
        <v>0</v>
      </c>
      <c r="AC4" s="253" t="str">
        <f t="shared" ca="1" si="9"/>
        <v>Blocked</v>
      </c>
      <c r="AD4" s="253" t="str">
        <f ca="1">IF($AQ4=0,"Owner controls not mapped",IFERROR(IF(_xludf.TEXTJOIN("; ",TRUE,INDIRECT("'"&amp;$B4&amp;"'!F"&amp;$AQ4+2&amp;":F"&amp;$AQ4+9))="","No blocker documented",_xludf.TEXTJOIN("; ",TRUE,INDIRECT("'"&amp;$B4&amp;"'!F"&amp;$AQ4+2&amp;":F"&amp;$AQ4+9))),"No blocker documented"))</f>
        <v>No blocker documented</v>
      </c>
      <c r="AE4" s="354">
        <f t="shared" ca="1" si="10"/>
        <v>0.5</v>
      </c>
      <c r="AF4" s="253" t="str">
        <f t="shared" ca="1" si="11"/>
        <v>Deficiency / Review</v>
      </c>
      <c r="AG4" s="354">
        <f t="shared" ca="1" si="12"/>
        <v>0</v>
      </c>
      <c r="AH4" s="253" t="str">
        <f t="shared" ca="1" si="13"/>
        <v>Critical / Document</v>
      </c>
      <c r="AI4" s="354">
        <f t="shared" ca="1" si="14"/>
        <v>0</v>
      </c>
      <c r="AJ4" s="253" t="str">
        <f t="shared" ca="1" si="15"/>
        <v>Not Ready</v>
      </c>
      <c r="AK4" s="354">
        <f t="shared" ca="1" si="16"/>
        <v>0</v>
      </c>
      <c r="AL4" s="355">
        <f t="shared" ca="1" si="17"/>
        <v>6</v>
      </c>
      <c r="AM4" s="253" t="str">
        <f t="shared" ca="1" si="18"/>
        <v>Resolve OIT Blocker</v>
      </c>
      <c r="AN4" s="253" t="str">
        <f t="shared" ca="1" si="19"/>
        <v>🔴 ATTENTION</v>
      </c>
      <c r="AO4" s="354">
        <f t="shared" ref="AO4:AO32" ca="1" si="25">IFERROR(AVERAGE(Z4,AB4,AE4,AG4,AI4),0)</f>
        <v>0.1</v>
      </c>
      <c r="AP4" s="357">
        <f t="shared" ca="1" si="20"/>
        <v>108</v>
      </c>
      <c r="AQ4" s="358">
        <f t="shared" ca="1" si="21"/>
        <v>117</v>
      </c>
      <c r="AR4" s="355">
        <f t="shared" ca="1" si="22"/>
        <v>129</v>
      </c>
      <c r="AS4" s="357">
        <f t="shared" ca="1" si="23"/>
        <v>138</v>
      </c>
      <c r="AT4" s="357">
        <f t="shared" ca="1" si="24"/>
        <v>146</v>
      </c>
      <c r="AU4" s="196"/>
      <c r="AV4" s="253"/>
    </row>
    <row r="5" spans="1:48" ht="97.5" customHeight="1">
      <c r="A5" s="106" t="str">
        <f>B03_Assessment!$B$2&amp;""</f>
        <v>03</v>
      </c>
      <c r="B5" s="106" t="str">
        <f>"B03_Assessment"</f>
        <v>B03_Assessment</v>
      </c>
      <c r="C5" s="106" t="str">
        <f>B03_Assessment!$F$2</f>
        <v>Yellow</v>
      </c>
      <c r="D5" s="142">
        <f>B03_Assessment!$H$2</f>
        <v>0.5</v>
      </c>
      <c r="E5" s="142">
        <f>IFERROR(B03_Assessment!$H$2,0)</f>
        <v>0.5</v>
      </c>
      <c r="F5" s="106" t="str">
        <f>B03_Assessment!$J$2</f>
        <v>No</v>
      </c>
      <c r="G5" s="106">
        <f>MAX(0,COUNTA(B03_Assessment!$A$10:$A$49)-COUNTIF(B03_Assessment!$A$10:$A$49,"*. *"))</f>
        <v>29</v>
      </c>
      <c r="H5" s="106">
        <f>IFERROR(B03_Assessment!$B$4,0)</f>
        <v>0</v>
      </c>
      <c r="I5" s="106">
        <f>IFERROR(B03_Assessment!$D$4,0)</f>
        <v>0</v>
      </c>
      <c r="J5" s="106">
        <f>SUMPRODUCT(--(ISNUMBER(SEARCH("-P",B03_Assessment!$A$1:$A$300&amp;""))),--((B03_Assessment!$I$1:$I$300="Open")+(B03_Assessment!$I$1:$I$300="In Progress")))</f>
        <v>0</v>
      </c>
      <c r="K5" s="106" t="str">
        <f>B03_Assessment!$B$5</f>
        <v>Not Started</v>
      </c>
      <c r="L5" s="106" t="str">
        <f>B03_Assessment!$D$5</f>
        <v>Not Started</v>
      </c>
      <c r="M5" s="106" t="str">
        <f>B03_Assessment!$F$5</f>
        <v>Not Started</v>
      </c>
      <c r="N5" s="106" t="str">
        <f>B03_Assessment!$H$5</f>
        <v>Not Started</v>
      </c>
      <c r="O5" s="106" t="str">
        <f>B03_Assessment!$J$5</f>
        <v>Not Started</v>
      </c>
      <c r="P5" s="106" t="str">
        <f>B03_Assessment!$B$6</f>
        <v>Not Started</v>
      </c>
      <c r="Q5" s="106" t="str">
        <f>B03_Assessment!$D$6</f>
        <v>Field verify Room 101E, existing Room 107, and existing DMARC Room 101C; confirm active services, existing rack/equipment transfer, B03-TR101CA/B panel sources, CU-01 cooling assignment, fire alarm/sprinkler impacts, FEC location, PACS/CCTV scope, 961 ft cable tray routes, Room 107 inventory, and telecom cutover/fiber transfer sequence.</v>
      </c>
      <c r="R5" s="106" t="str">
        <f>B03_Assessment!$H$4</f>
        <v>Building 03 is a full-scope telecom room building centered on new/renovated Telecom Room 101E, with existing Basement Telecom Room 107 and existing first-floor DMARC/telecom Room 101C as transition points. Scope includes architectural, infection control, fire protection, mechanical, electrical, telecommunications, rack elevations, Room 107 inventory, PACS/CCTV, 961 ft cable tray, and 206 total ports with allowance. Major open items include transfer from existing 107/101C, active DMARC/fiber protection, B03-TR101CA/B panel sources, CU-01 cooling, firestopping, camera 101C-CAM-01, and OIT acceptance.</v>
      </c>
      <c r="S5" s="106">
        <f t="shared" si="0"/>
        <v>0</v>
      </c>
      <c r="T5" s="139">
        <f t="shared" si="1"/>
        <v>0</v>
      </c>
      <c r="U5" s="139">
        <f t="shared" si="2"/>
        <v>0</v>
      </c>
      <c r="V5" s="139" t="str">
        <f t="shared" si="3"/>
        <v>Monitor</v>
      </c>
      <c r="W5" s="139" t="str">
        <f t="shared" si="4"/>
        <v>Review</v>
      </c>
      <c r="X5" s="139">
        <f>IFERROR(B03_Assessment!$F$4,0)</f>
        <v>0</v>
      </c>
      <c r="Y5" s="143" t="str">
        <f t="shared" si="5"/>
        <v>Mapped</v>
      </c>
      <c r="Z5" s="354">
        <f t="shared" ca="1" si="6"/>
        <v>0</v>
      </c>
      <c r="AA5" s="253" t="str">
        <f t="shared" ca="1" si="7"/>
        <v>Withhold / Review</v>
      </c>
      <c r="AB5" s="354">
        <f t="shared" ca="1" si="8"/>
        <v>0</v>
      </c>
      <c r="AC5" s="253" t="str">
        <f t="shared" ca="1" si="9"/>
        <v>Blocked</v>
      </c>
      <c r="AD5" s="253" t="str">
        <f ca="1">IF($AQ5=0,"Owner controls not mapped",IFERROR(IF(_xludf.TEXTJOIN("; ",TRUE,INDIRECT("'"&amp;$B5&amp;"'!F"&amp;$AQ5+2&amp;":F"&amp;$AQ5+9))="","No blocker documented",_xludf.TEXTJOIN("; ",TRUE,INDIRECT("'"&amp;$B5&amp;"'!F"&amp;$AQ5+2&amp;":F"&amp;$AQ5+9))),"No blocker documented"))</f>
        <v>No blocker documented</v>
      </c>
      <c r="AE5" s="354">
        <f t="shared" ca="1" si="10"/>
        <v>0.5</v>
      </c>
      <c r="AF5" s="253" t="str">
        <f t="shared" ca="1" si="11"/>
        <v>Deficiency / Review</v>
      </c>
      <c r="AG5" s="354">
        <f t="shared" ca="1" si="12"/>
        <v>0</v>
      </c>
      <c r="AH5" s="253" t="str">
        <f t="shared" ca="1" si="13"/>
        <v>Critical / Document</v>
      </c>
      <c r="AI5" s="354">
        <f t="shared" ca="1" si="14"/>
        <v>0</v>
      </c>
      <c r="AJ5" s="253" t="str">
        <f t="shared" ca="1" si="15"/>
        <v>Not Ready</v>
      </c>
      <c r="AK5" s="354">
        <f t="shared" ca="1" si="16"/>
        <v>0</v>
      </c>
      <c r="AL5" s="355">
        <f t="shared" ca="1" si="17"/>
        <v>6</v>
      </c>
      <c r="AM5" s="253" t="str">
        <f t="shared" ca="1" si="18"/>
        <v>Resolve OIT Blocker</v>
      </c>
      <c r="AN5" s="253" t="str">
        <f t="shared" ca="1" si="19"/>
        <v>🔴 ATTENTION</v>
      </c>
      <c r="AO5" s="354">
        <f t="shared" ca="1" si="25"/>
        <v>0.1</v>
      </c>
      <c r="AP5" s="357">
        <f t="shared" ca="1" si="20"/>
        <v>107</v>
      </c>
      <c r="AQ5" s="358">
        <f t="shared" ca="1" si="21"/>
        <v>116</v>
      </c>
      <c r="AR5" s="355">
        <f t="shared" ca="1" si="22"/>
        <v>128</v>
      </c>
      <c r="AS5" s="357">
        <f t="shared" ca="1" si="23"/>
        <v>137</v>
      </c>
      <c r="AT5" s="357">
        <f t="shared" ca="1" si="24"/>
        <v>145</v>
      </c>
      <c r="AU5" s="196"/>
      <c r="AV5" s="253"/>
    </row>
    <row r="6" spans="1:48" ht="97.5" customHeight="1">
      <c r="A6" s="106" t="str">
        <f>B04_Assessment!$B$2&amp;""</f>
        <v>04</v>
      </c>
      <c r="B6" s="106" t="str">
        <f>"B04_Assessment"</f>
        <v>B04_Assessment</v>
      </c>
      <c r="C6" s="106" t="str">
        <f>B04_Assessment!$F$2</f>
        <v>Yellow</v>
      </c>
      <c r="D6" s="142">
        <f>B04_Assessment!$H$2</f>
        <v>0.5</v>
      </c>
      <c r="E6" s="142">
        <f>IFERROR(B04_Assessment!$H$2,0)</f>
        <v>0.5</v>
      </c>
      <c r="F6" s="106" t="str">
        <f>B04_Assessment!$J$2</f>
        <v>No</v>
      </c>
      <c r="G6" s="106">
        <f>MAX(0,COUNTA(B04_Assessment!$A$10:$A$49)-COUNTIF(B04_Assessment!$A$10:$A$49,"*. *"))</f>
        <v>27</v>
      </c>
      <c r="H6" s="106">
        <f>IFERROR(B04_Assessment!$B$4,0)</f>
        <v>0</v>
      </c>
      <c r="I6" s="106">
        <f>IFERROR(B04_Assessment!$D$4,0)</f>
        <v>0</v>
      </c>
      <c r="J6" s="106">
        <f>SUMPRODUCT(--(ISNUMBER(SEARCH("-P",B04_Assessment!$A$1:$A$300&amp;""))),--((B04_Assessment!$I$1:$I$300="Open")+(B04_Assessment!$I$1:$I$300="In Progress")))</f>
        <v>0</v>
      </c>
      <c r="K6" s="106" t="str">
        <f>B04_Assessment!$B$5</f>
        <v>Verify</v>
      </c>
      <c r="L6" s="106" t="str">
        <f>B04_Assessment!$D$5</f>
        <v>Verify</v>
      </c>
      <c r="M6" s="106" t="str">
        <f>B04_Assessment!$F$5</f>
        <v>Verify</v>
      </c>
      <c r="N6" s="106" t="str">
        <f>B04_Assessment!$H$5</f>
        <v>Verify</v>
      </c>
      <c r="O6" s="106" t="str">
        <f>B04_Assessment!$J$5</f>
        <v>Verify</v>
      </c>
      <c r="P6" s="106" t="str">
        <f>B04_Assessment!$B$6</f>
        <v>Verify</v>
      </c>
      <c r="Q6" s="106" t="str">
        <f>B04_Assessment!$D$6</f>
        <v>Field verify TR rooms B05, 141, and 244A; confirm cooling, panel/circuiting, fire alarm/sprinkler impacts, FEC locations, and cutover/phasing plan.</v>
      </c>
      <c r="R6" s="106" t="str">
        <f>B04_Assessment!$H$4</f>
        <v>B04 has multiple TRs across basement/first/second levels; field verification, abatement coordination, cooling power, firestopping, and cutover phasing remain open.</v>
      </c>
      <c r="S6" s="106">
        <f t="shared" si="0"/>
        <v>0</v>
      </c>
      <c r="T6" s="139">
        <f t="shared" si="1"/>
        <v>0</v>
      </c>
      <c r="U6" s="139">
        <f t="shared" si="2"/>
        <v>0</v>
      </c>
      <c r="V6" s="139" t="str">
        <f t="shared" si="3"/>
        <v>Monitor</v>
      </c>
      <c r="W6" s="139" t="str">
        <f t="shared" si="4"/>
        <v>Review</v>
      </c>
      <c r="X6" s="139">
        <f>IFERROR(B04_Assessment!$F$4,0)</f>
        <v>0</v>
      </c>
      <c r="Y6" s="143" t="str">
        <f t="shared" si="5"/>
        <v>Mapped</v>
      </c>
      <c r="Z6" s="354">
        <f t="shared" ca="1" si="6"/>
        <v>0</v>
      </c>
      <c r="AA6" s="253" t="str">
        <f t="shared" ca="1" si="7"/>
        <v>Withhold / Review</v>
      </c>
      <c r="AB6" s="354">
        <f t="shared" ca="1" si="8"/>
        <v>0</v>
      </c>
      <c r="AC6" s="253" t="str">
        <f t="shared" ca="1" si="9"/>
        <v>Blocked</v>
      </c>
      <c r="AD6" s="253" t="str">
        <f ca="1">IF($AQ6=0,"Owner controls not mapped",IFERROR(IF(_xludf.TEXTJOIN("; ",TRUE,INDIRECT("'"&amp;$B6&amp;"'!F"&amp;$AQ6+2&amp;":F"&amp;$AQ6+9))="","No blocker documented",_xludf.TEXTJOIN("; ",TRUE,INDIRECT("'"&amp;$B6&amp;"'!F"&amp;$AQ6+2&amp;":F"&amp;$AQ6+9))),"No blocker documented"))</f>
        <v>No blocker documented</v>
      </c>
      <c r="AE6" s="354">
        <f t="shared" ca="1" si="10"/>
        <v>0.5</v>
      </c>
      <c r="AF6" s="253" t="str">
        <f t="shared" ca="1" si="11"/>
        <v>Deficiency / Review</v>
      </c>
      <c r="AG6" s="354">
        <f t="shared" ca="1" si="12"/>
        <v>0</v>
      </c>
      <c r="AH6" s="253" t="str">
        <f t="shared" ca="1" si="13"/>
        <v>Critical / Document</v>
      </c>
      <c r="AI6" s="354">
        <f t="shared" ca="1" si="14"/>
        <v>0</v>
      </c>
      <c r="AJ6" s="253" t="str">
        <f t="shared" ca="1" si="15"/>
        <v>Not Ready</v>
      </c>
      <c r="AK6" s="354">
        <f t="shared" ca="1" si="16"/>
        <v>0</v>
      </c>
      <c r="AL6" s="355">
        <f t="shared" ca="1" si="17"/>
        <v>6</v>
      </c>
      <c r="AM6" s="253" t="str">
        <f t="shared" ca="1" si="18"/>
        <v>Resolve OIT Blocker</v>
      </c>
      <c r="AN6" s="253" t="str">
        <f t="shared" ca="1" si="19"/>
        <v>🔴 ATTENTION</v>
      </c>
      <c r="AO6" s="354">
        <f t="shared" ca="1" si="25"/>
        <v>0.1</v>
      </c>
      <c r="AP6" s="357">
        <f t="shared" ca="1" si="20"/>
        <v>98</v>
      </c>
      <c r="AQ6" s="358">
        <f t="shared" ca="1" si="21"/>
        <v>107</v>
      </c>
      <c r="AR6" s="355">
        <f t="shared" ca="1" si="22"/>
        <v>119</v>
      </c>
      <c r="AS6" s="357">
        <f t="shared" ca="1" si="23"/>
        <v>128</v>
      </c>
      <c r="AT6" s="357">
        <f t="shared" ca="1" si="24"/>
        <v>136</v>
      </c>
      <c r="AU6" s="196"/>
      <c r="AV6" s="253"/>
    </row>
    <row r="7" spans="1:48" ht="97.5" customHeight="1">
      <c r="A7" s="106" t="str">
        <f>B05_Assessment!$B$2&amp;""</f>
        <v>05</v>
      </c>
      <c r="B7" s="106" t="str">
        <f>"B05_Assessment"</f>
        <v>B05_Assessment</v>
      </c>
      <c r="C7" s="106" t="str">
        <f>B05_Assessment!$F$2</f>
        <v>Yellow</v>
      </c>
      <c r="D7" s="142">
        <f>B05_Assessment!$H$2</f>
        <v>0.55000000000000004</v>
      </c>
      <c r="E7" s="142">
        <f>IFERROR(B05_Assessment!$H$2,0)</f>
        <v>0.55000000000000004</v>
      </c>
      <c r="F7" s="106" t="str">
        <f>B05_Assessment!$J$2</f>
        <v>No</v>
      </c>
      <c r="G7" s="106">
        <f>MAX(0,COUNTA(B05_Assessment!$A$10:$A$49)-COUNTIF(B05_Assessment!$A$10:$A$49,"*. *"))</f>
        <v>26</v>
      </c>
      <c r="H7" s="106">
        <f>IFERROR(B05_Assessment!$B$4,0)</f>
        <v>0</v>
      </c>
      <c r="I7" s="106">
        <f>IFERROR(B05_Assessment!$D$4,0)</f>
        <v>0</v>
      </c>
      <c r="J7" s="106">
        <f>SUMPRODUCT(--(ISNUMBER(SEARCH("-P",B05_Assessment!$A$1:$A$300&amp;""))),--((B05_Assessment!$I$1:$I$300="Open")+(B05_Assessment!$I$1:$I$300="In Progress")))</f>
        <v>0</v>
      </c>
      <c r="K7" s="106" t="str">
        <f>B05_Assessment!$B$5</f>
        <v>N/A</v>
      </c>
      <c r="L7" s="106" t="str">
        <f>B05_Assessment!$D$5</f>
        <v>Verify</v>
      </c>
      <c r="M7" s="106" t="str">
        <f>B05_Assessment!$F$5</f>
        <v>Verify</v>
      </c>
      <c r="N7" s="106" t="str">
        <f>B05_Assessment!$H$5</f>
        <v>N/A</v>
      </c>
      <c r="O7" s="106" t="str">
        <f>B05_Assessment!$J$5</f>
        <v>Verify</v>
      </c>
      <c r="P7" s="106" t="str">
        <f>B05_Assessment!$B$6</f>
        <v>Verify</v>
      </c>
      <c r="Q7" s="106" t="str">
        <f>B05_Assessment!$D$6</f>
        <v>Field verify Room 150 TE location, existing 153-A equipment to remain/transition, electrical source, UPS/PDU receptacles, PACS/CCTV requirements, firestopping, and cutover sequence.</v>
      </c>
      <c r="R7" s="106" t="str">
        <f>B05_Assessment!$H$4</f>
        <v>Building 05 receives a Telecom Enclosure only; mechanical and fire protection scope is excluded, so TE power, telecom cutover, existing room conditions, and fire/life-safety interfaces must be verified.</v>
      </c>
      <c r="S7" s="106">
        <f t="shared" si="0"/>
        <v>0</v>
      </c>
      <c r="T7" s="139">
        <f t="shared" si="1"/>
        <v>0</v>
      </c>
      <c r="U7" s="139">
        <f t="shared" si="2"/>
        <v>0</v>
      </c>
      <c r="V7" s="139" t="str">
        <f t="shared" si="3"/>
        <v>Monitor</v>
      </c>
      <c r="W7" s="139" t="str">
        <f t="shared" si="4"/>
        <v>Review</v>
      </c>
      <c r="X7" s="139">
        <f>IFERROR(B05_Assessment!$F$4,0)</f>
        <v>0</v>
      </c>
      <c r="Y7" s="143" t="str">
        <f t="shared" si="5"/>
        <v>Mapped</v>
      </c>
      <c r="Z7" s="354">
        <f t="shared" ca="1" si="6"/>
        <v>0</v>
      </c>
      <c r="AA7" s="253" t="str">
        <f t="shared" ca="1" si="7"/>
        <v>Withhold / Review</v>
      </c>
      <c r="AB7" s="354">
        <f t="shared" ca="1" si="8"/>
        <v>0</v>
      </c>
      <c r="AC7" s="253" t="str">
        <f t="shared" ca="1" si="9"/>
        <v>Blocked</v>
      </c>
      <c r="AD7" s="253" t="str">
        <f ca="1">IF($AQ7=0,"Owner controls not mapped",IFERROR(IF(_xludf.TEXTJOIN("; ",TRUE,INDIRECT("'"&amp;$B7&amp;"'!F"&amp;$AQ7+2&amp;":F"&amp;$AQ7+9))="","No blocker documented",_xludf.TEXTJOIN("; ",TRUE,INDIRECT("'"&amp;$B7&amp;"'!F"&amp;$AQ7+2&amp;":F"&amp;$AQ7+9))),"No blocker documented"))</f>
        <v>No blocker documented</v>
      </c>
      <c r="AE7" s="354">
        <f t="shared" ca="1" si="10"/>
        <v>0.5</v>
      </c>
      <c r="AF7" s="253" t="str">
        <f t="shared" ca="1" si="11"/>
        <v>Deficiency / Review</v>
      </c>
      <c r="AG7" s="354">
        <f t="shared" ca="1" si="12"/>
        <v>0</v>
      </c>
      <c r="AH7" s="253" t="str">
        <f t="shared" ca="1" si="13"/>
        <v>Critical / Document</v>
      </c>
      <c r="AI7" s="354">
        <f t="shared" ca="1" si="14"/>
        <v>0</v>
      </c>
      <c r="AJ7" s="253" t="str">
        <f t="shared" ca="1" si="15"/>
        <v>Not Ready</v>
      </c>
      <c r="AK7" s="354">
        <f t="shared" ca="1" si="16"/>
        <v>0</v>
      </c>
      <c r="AL7" s="355">
        <f t="shared" ca="1" si="17"/>
        <v>6</v>
      </c>
      <c r="AM7" s="253" t="str">
        <f t="shared" ca="1" si="18"/>
        <v>Resolve OIT Blocker</v>
      </c>
      <c r="AN7" s="253" t="str">
        <f t="shared" ca="1" si="19"/>
        <v>🔴 ATTENTION</v>
      </c>
      <c r="AO7" s="354">
        <f t="shared" ca="1" si="25"/>
        <v>0.1</v>
      </c>
      <c r="AP7" s="357">
        <f t="shared" ca="1" si="20"/>
        <v>84</v>
      </c>
      <c r="AQ7" s="358">
        <f t="shared" ca="1" si="21"/>
        <v>93</v>
      </c>
      <c r="AR7" s="355">
        <f t="shared" ca="1" si="22"/>
        <v>105</v>
      </c>
      <c r="AS7" s="357">
        <f t="shared" ca="1" si="23"/>
        <v>114</v>
      </c>
      <c r="AT7" s="357">
        <f t="shared" ca="1" si="24"/>
        <v>122</v>
      </c>
      <c r="AU7" s="196"/>
      <c r="AV7" s="253"/>
    </row>
    <row r="8" spans="1:48" ht="97.5" customHeight="1">
      <c r="A8" s="106" t="str">
        <f>B06_Assessment!$B$2&amp;""</f>
        <v>06</v>
      </c>
      <c r="B8" s="106" t="str">
        <f>"B06_Assessment"</f>
        <v>B06_Assessment</v>
      </c>
      <c r="C8" s="106" t="str">
        <f>B06_Assessment!$F$2</f>
        <v>Yellow</v>
      </c>
      <c r="D8" s="142">
        <f>B06_Assessment!$H$2</f>
        <v>0.5</v>
      </c>
      <c r="E8" s="142">
        <f>IFERROR(B06_Assessment!$H$2,0)</f>
        <v>0.5</v>
      </c>
      <c r="F8" s="106" t="str">
        <f>B06_Assessment!$J$2</f>
        <v>No</v>
      </c>
      <c r="G8" s="106">
        <f>MAX(0,COUNTA(B06_Assessment!$A$10:$A$49)-COUNTIF(B06_Assessment!$A$10:$A$49,"*. *"))</f>
        <v>27</v>
      </c>
      <c r="H8" s="106">
        <f>IFERROR(B06_Assessment!$B$4,0)</f>
        <v>0</v>
      </c>
      <c r="I8" s="106">
        <f>IFERROR(B06_Assessment!$D$4,0)</f>
        <v>0</v>
      </c>
      <c r="J8" s="106">
        <f>SUMPRODUCT(--(ISNUMBER(SEARCH("-P",B06_Assessment!$A$1:$A$300&amp;""))),--((B06_Assessment!$I$1:$I$300="Open")+(B06_Assessment!$I$1:$I$300="In Progress")))</f>
        <v>0</v>
      </c>
      <c r="K8" s="106" t="str">
        <f>B06_Assessment!$B$5</f>
        <v>Verify</v>
      </c>
      <c r="L8" s="106" t="str">
        <f>B06_Assessment!$D$5</f>
        <v>Verify</v>
      </c>
      <c r="M8" s="106" t="str">
        <f>B06_Assessment!$F$5</f>
        <v>Verify</v>
      </c>
      <c r="N8" s="106" t="str">
        <f>B06_Assessment!$H$5</f>
        <v>Verify</v>
      </c>
      <c r="O8" s="106" t="str">
        <f>B06_Assessment!$J$5</f>
        <v>Verify</v>
      </c>
      <c r="P8" s="106" t="str">
        <f>B06_Assessment!$B$6</f>
        <v>Verify</v>
      </c>
      <c r="Q8" s="106" t="str">
        <f>B06_Assessment!$D$6</f>
        <v>Field verify existing B-01 equipment, Rooms 178 and 233, panel sources, IU/CU cooling, fire alarm/sprinkler impacts, FEC locations, and telecom cutover sequence.</v>
      </c>
      <c r="R8" s="106" t="str">
        <f>B06_Assessment!$H$4</f>
        <v>Building 06 has active existing telecom equipment plus new TR work in Rooms 178 and 233; field verification, cutover phasing, cooling, firestopping, and emergency power remain open.</v>
      </c>
      <c r="S8" s="106">
        <f t="shared" si="0"/>
        <v>0</v>
      </c>
      <c r="T8" s="139">
        <f t="shared" si="1"/>
        <v>0</v>
      </c>
      <c r="U8" s="139">
        <f t="shared" si="2"/>
        <v>0</v>
      </c>
      <c r="V8" s="139" t="str">
        <f t="shared" si="3"/>
        <v>Monitor</v>
      </c>
      <c r="W8" s="139" t="str">
        <f t="shared" si="4"/>
        <v>Review</v>
      </c>
      <c r="X8" s="139">
        <f>IFERROR(B06_Assessment!$F$4,0)</f>
        <v>0</v>
      </c>
      <c r="Y8" s="143" t="str">
        <f t="shared" si="5"/>
        <v>Mapped</v>
      </c>
      <c r="Z8" s="354">
        <f t="shared" ca="1" si="6"/>
        <v>0</v>
      </c>
      <c r="AA8" s="253" t="str">
        <f t="shared" ca="1" si="7"/>
        <v>Withhold / Review</v>
      </c>
      <c r="AB8" s="354">
        <f t="shared" ca="1" si="8"/>
        <v>0</v>
      </c>
      <c r="AC8" s="253" t="str">
        <f t="shared" ca="1" si="9"/>
        <v>Blocked</v>
      </c>
      <c r="AD8" s="253" t="str">
        <f ca="1">IF($AQ8=0,"Owner controls not mapped",IFERROR(IF(_xludf.TEXTJOIN("; ",TRUE,INDIRECT("'"&amp;$B8&amp;"'!F"&amp;$AQ8+2&amp;":F"&amp;$AQ8+9))="","No blocker documented",_xludf.TEXTJOIN("; ",TRUE,INDIRECT("'"&amp;$B8&amp;"'!F"&amp;$AQ8+2&amp;":F"&amp;$AQ8+9))),"No blocker documented"))</f>
        <v>No blocker documented</v>
      </c>
      <c r="AE8" s="354">
        <f t="shared" ca="1" si="10"/>
        <v>0.5</v>
      </c>
      <c r="AF8" s="253" t="str">
        <f t="shared" ca="1" si="11"/>
        <v>Deficiency / Review</v>
      </c>
      <c r="AG8" s="354">
        <f t="shared" ca="1" si="12"/>
        <v>0</v>
      </c>
      <c r="AH8" s="253" t="str">
        <f t="shared" ca="1" si="13"/>
        <v>Critical / Document</v>
      </c>
      <c r="AI8" s="354">
        <f t="shared" ca="1" si="14"/>
        <v>0</v>
      </c>
      <c r="AJ8" s="253" t="str">
        <f t="shared" ca="1" si="15"/>
        <v>Not Ready</v>
      </c>
      <c r="AK8" s="354">
        <f t="shared" ca="1" si="16"/>
        <v>0</v>
      </c>
      <c r="AL8" s="355">
        <f t="shared" ca="1" si="17"/>
        <v>6</v>
      </c>
      <c r="AM8" s="253" t="str">
        <f t="shared" ca="1" si="18"/>
        <v>Resolve OIT Blocker</v>
      </c>
      <c r="AN8" s="253" t="str">
        <f t="shared" ca="1" si="19"/>
        <v>🔴 ATTENTION</v>
      </c>
      <c r="AO8" s="354">
        <f t="shared" ca="1" si="25"/>
        <v>0.1</v>
      </c>
      <c r="AP8" s="357">
        <f t="shared" ca="1" si="20"/>
        <v>98</v>
      </c>
      <c r="AQ8" s="358">
        <f t="shared" ca="1" si="21"/>
        <v>107</v>
      </c>
      <c r="AR8" s="355">
        <f t="shared" ca="1" si="22"/>
        <v>119</v>
      </c>
      <c r="AS8" s="357">
        <f t="shared" ca="1" si="23"/>
        <v>128</v>
      </c>
      <c r="AT8" s="357">
        <f t="shared" ca="1" si="24"/>
        <v>136</v>
      </c>
      <c r="AU8" s="196"/>
      <c r="AV8" s="253"/>
    </row>
    <row r="9" spans="1:48" ht="97.5" customHeight="1">
      <c r="A9" s="106" t="str">
        <f>B07_Assessment!$B$2&amp;""</f>
        <v>07</v>
      </c>
      <c r="B9" s="106" t="str">
        <f>"B07_Assessment"</f>
        <v>B07_Assessment</v>
      </c>
      <c r="C9" s="106" t="str">
        <f>B07_Assessment!$F$2</f>
        <v>Yellow</v>
      </c>
      <c r="D9" s="142">
        <f>B07_Assessment!$H$2</f>
        <v>0.5</v>
      </c>
      <c r="E9" s="142">
        <f>IFERROR(B07_Assessment!$H$2,0)</f>
        <v>0.5</v>
      </c>
      <c r="F9" s="106" t="str">
        <f>B07_Assessment!$J$2</f>
        <v>No</v>
      </c>
      <c r="G9" s="106">
        <f>MAX(0,COUNTA(B07_Assessment!$A$10:$A$49)-COUNTIF(B07_Assessment!$A$10:$A$49,"*. *"))</f>
        <v>26</v>
      </c>
      <c r="H9" s="106">
        <f>IFERROR(B07_Assessment!$B$4,0)</f>
        <v>0</v>
      </c>
      <c r="I9" s="106">
        <f>IFERROR(B07_Assessment!$D$4,0)</f>
        <v>0</v>
      </c>
      <c r="J9" s="106">
        <f>SUMPRODUCT(--(ISNUMBER(SEARCH("-P",B07_Assessment!$A$1:$A$300&amp;""))),--((B07_Assessment!$I$1:$I$300="Open")+(B07_Assessment!$I$1:$I$300="In Progress")))</f>
        <v>0</v>
      </c>
      <c r="K9" s="106" t="str">
        <f>B07_Assessment!$B$5</f>
        <v>Verify</v>
      </c>
      <c r="L9" s="106" t="str">
        <f>B07_Assessment!$D$5</f>
        <v>Verify</v>
      </c>
      <c r="M9" s="106" t="str">
        <f>B07_Assessment!$F$5</f>
        <v>Verify</v>
      </c>
      <c r="N9" s="106" t="str">
        <f>B07_Assessment!$H$5</f>
        <v>Verify</v>
      </c>
      <c r="O9" s="106" t="str">
        <f>B07_Assessment!$J$5</f>
        <v>Verify</v>
      </c>
      <c r="P9" s="106" t="str">
        <f>B07_Assessment!$B$6</f>
        <v>Verify</v>
      </c>
      <c r="Q9" s="106" t="str">
        <f>B07_Assessment!$D$6</f>
        <v>Field verify TR B-18 and 228A; confirm rack/equipment layout, panel sources, IU/CU cooling, fire alarm/sprinkler impacts, FEC locations, PACS/CCTV scope, and telecom cutover sequence.</v>
      </c>
      <c r="R9" s="106" t="str">
        <f>B07_Assessment!$H$4</f>
        <v>Building 07 includes basement TR B-18 and second-level TR 228A; field verification, active-service cutover, cooling, firestopping, rated construction, and power source confirmation remain open.</v>
      </c>
      <c r="S9" s="106">
        <f t="shared" si="0"/>
        <v>0</v>
      </c>
      <c r="T9" s="139">
        <f t="shared" si="1"/>
        <v>0</v>
      </c>
      <c r="U9" s="139">
        <f t="shared" si="2"/>
        <v>0</v>
      </c>
      <c r="V9" s="139" t="str">
        <f t="shared" si="3"/>
        <v>Monitor</v>
      </c>
      <c r="W9" s="139" t="str">
        <f t="shared" si="4"/>
        <v>Review</v>
      </c>
      <c r="X9" s="139">
        <f>IFERROR(B07_Assessment!$F$4,0)</f>
        <v>0</v>
      </c>
      <c r="Y9" s="143" t="str">
        <f t="shared" si="5"/>
        <v>Mapped</v>
      </c>
      <c r="Z9" s="354">
        <f t="shared" ca="1" si="6"/>
        <v>0</v>
      </c>
      <c r="AA9" s="253" t="str">
        <f t="shared" ca="1" si="7"/>
        <v>Withhold / Review</v>
      </c>
      <c r="AB9" s="354">
        <f t="shared" ca="1" si="8"/>
        <v>0</v>
      </c>
      <c r="AC9" s="253" t="str">
        <f t="shared" ca="1" si="9"/>
        <v>Blocked</v>
      </c>
      <c r="AD9" s="253" t="str">
        <f ca="1">IF($AQ9=0,"Owner controls not mapped",IFERROR(IF(_xludf.TEXTJOIN("; ",TRUE,INDIRECT("'"&amp;$B9&amp;"'!F"&amp;$AQ9+2&amp;":F"&amp;$AQ9+9))="","No blocker documented",_xludf.TEXTJOIN("; ",TRUE,INDIRECT("'"&amp;$B9&amp;"'!F"&amp;$AQ9+2&amp;":F"&amp;$AQ9+9))),"No blocker documented"))</f>
        <v>No blocker documented</v>
      </c>
      <c r="AE9" s="354">
        <f t="shared" ca="1" si="10"/>
        <v>0.5</v>
      </c>
      <c r="AF9" s="253" t="str">
        <f t="shared" ca="1" si="11"/>
        <v>Deficiency / Review</v>
      </c>
      <c r="AG9" s="354">
        <f t="shared" ca="1" si="12"/>
        <v>0</v>
      </c>
      <c r="AH9" s="253" t="str">
        <f t="shared" ca="1" si="13"/>
        <v>Critical / Document</v>
      </c>
      <c r="AI9" s="354">
        <f t="shared" ca="1" si="14"/>
        <v>0</v>
      </c>
      <c r="AJ9" s="253" t="str">
        <f t="shared" ca="1" si="15"/>
        <v>Not Ready</v>
      </c>
      <c r="AK9" s="354">
        <f t="shared" ca="1" si="16"/>
        <v>0</v>
      </c>
      <c r="AL9" s="355">
        <f t="shared" ca="1" si="17"/>
        <v>6</v>
      </c>
      <c r="AM9" s="253" t="str">
        <f t="shared" ca="1" si="18"/>
        <v>Resolve OIT Blocker</v>
      </c>
      <c r="AN9" s="253" t="str">
        <f t="shared" ca="1" si="19"/>
        <v>🔴 ATTENTION</v>
      </c>
      <c r="AO9" s="354">
        <f t="shared" ca="1" si="25"/>
        <v>0.1</v>
      </c>
      <c r="AP9" s="357">
        <f t="shared" ca="1" si="20"/>
        <v>89</v>
      </c>
      <c r="AQ9" s="357">
        <f t="shared" ca="1" si="21"/>
        <v>98</v>
      </c>
      <c r="AR9" s="357">
        <f t="shared" ca="1" si="22"/>
        <v>110</v>
      </c>
      <c r="AS9" s="357">
        <f t="shared" ca="1" si="23"/>
        <v>119</v>
      </c>
      <c r="AT9" s="357">
        <f t="shared" ca="1" si="24"/>
        <v>127</v>
      </c>
      <c r="AU9" s="196"/>
      <c r="AV9" s="196"/>
    </row>
    <row r="10" spans="1:48" ht="97.5" customHeight="1">
      <c r="A10" s="106" t="str">
        <f>B08_Assessment!$B$2&amp;""</f>
        <v>08</v>
      </c>
      <c r="B10" s="106" t="str">
        <f>"B08_Assessment"</f>
        <v>B08_Assessment</v>
      </c>
      <c r="C10" s="106" t="str">
        <f>B08_Assessment!$F$2</f>
        <v>Yellow</v>
      </c>
      <c r="D10" s="142">
        <f>B08_Assessment!$H$2</f>
        <v>0.5</v>
      </c>
      <c r="E10" s="142">
        <f>IFERROR(B08_Assessment!$H$2,0)</f>
        <v>0.5</v>
      </c>
      <c r="F10" s="106" t="str">
        <f>B08_Assessment!$J$2</f>
        <v>No</v>
      </c>
      <c r="G10" s="106">
        <f>MAX(0,COUNTA(B08_Assessment!$A$10:$A$49)-COUNTIF(B08_Assessment!$A$10:$A$49,"*. *"))</f>
        <v>27</v>
      </c>
      <c r="H10" s="106">
        <f>IFERROR(B08_Assessment!$B$4,0)</f>
        <v>0</v>
      </c>
      <c r="I10" s="106">
        <f>IFERROR(B08_Assessment!$D$4,0)</f>
        <v>0</v>
      </c>
      <c r="J10" s="106">
        <f>SUMPRODUCT(--(ISNUMBER(SEARCH("-P",B08_Assessment!$A$1:$A$300&amp;""))),--((B08_Assessment!$I$1:$I$300="Open")+(B08_Assessment!$I$1:$I$300="In Progress")))</f>
        <v>0</v>
      </c>
      <c r="K10" s="106" t="str">
        <f>B08_Assessment!$B$5</f>
        <v>Verify</v>
      </c>
      <c r="L10" s="106" t="str">
        <f>B08_Assessment!$D$5</f>
        <v>Verify</v>
      </c>
      <c r="M10" s="106" t="str">
        <f>B08_Assessment!$F$5</f>
        <v>Verify</v>
      </c>
      <c r="N10" s="106" t="str">
        <f>B08_Assessment!$H$5</f>
        <v>Verify</v>
      </c>
      <c r="O10" s="106" t="str">
        <f>B08_Assessment!$J$5</f>
        <v>Verify</v>
      </c>
      <c r="P10" s="106" t="str">
        <f>B08_Assessment!$B$6</f>
        <v>Verify</v>
      </c>
      <c r="Q10" s="106" t="str">
        <f>B08_Assessment!$D$6</f>
        <v>Field verify B-15, B12B, and 2065A; confirm active services, 2065A rack layout, panel/power source, IU/CU cooling, hazardous material/abatement impacts, FEC locations, PACS/CCTV, and telecom cutover sequence.</v>
      </c>
      <c r="R10" s="106" t="str">
        <f>B08_Assessment!$H$4</f>
        <v>Building 08 includes existing basement telecom equipment at B-15, basement TE/cabling scope at B12B, and new second-level TR 2065A; field verification, abatement, rated construction, cooling/power, firestopping, and cutover phasing remain open.</v>
      </c>
      <c r="S10" s="106">
        <f t="shared" si="0"/>
        <v>0</v>
      </c>
      <c r="T10" s="139">
        <f t="shared" si="1"/>
        <v>0</v>
      </c>
      <c r="U10" s="139">
        <f t="shared" si="2"/>
        <v>0</v>
      </c>
      <c r="V10" s="139" t="str">
        <f t="shared" si="3"/>
        <v>Monitor</v>
      </c>
      <c r="W10" s="139" t="str">
        <f t="shared" si="4"/>
        <v>Review</v>
      </c>
      <c r="X10" s="139">
        <f>IFERROR(B08_Assessment!$F$4,0)</f>
        <v>0</v>
      </c>
      <c r="Y10" s="143" t="str">
        <f t="shared" si="5"/>
        <v>Mapped</v>
      </c>
      <c r="Z10" s="354">
        <f t="shared" ca="1" si="6"/>
        <v>0</v>
      </c>
      <c r="AA10" s="253" t="str">
        <f t="shared" ca="1" si="7"/>
        <v>Withhold / Review</v>
      </c>
      <c r="AB10" s="354">
        <f t="shared" ca="1" si="8"/>
        <v>0</v>
      </c>
      <c r="AC10" s="253" t="str">
        <f t="shared" ca="1" si="9"/>
        <v>Blocked</v>
      </c>
      <c r="AD10" s="253" t="str">
        <f ca="1">IF($AQ10=0,"Owner controls not mapped",IFERROR(IF(_xludf.TEXTJOIN("; ",TRUE,INDIRECT("'"&amp;$B10&amp;"'!F"&amp;$AQ10+2&amp;":F"&amp;$AQ10+9))="","No blocker documented",_xludf.TEXTJOIN("; ",TRUE,INDIRECT("'"&amp;$B10&amp;"'!F"&amp;$AQ10+2&amp;":F"&amp;$AQ10+9))),"No blocker documented"))</f>
        <v>No blocker documented</v>
      </c>
      <c r="AE10" s="354">
        <f t="shared" ca="1" si="10"/>
        <v>0.5</v>
      </c>
      <c r="AF10" s="253" t="str">
        <f t="shared" ca="1" si="11"/>
        <v>Deficiency / Review</v>
      </c>
      <c r="AG10" s="354">
        <f t="shared" ca="1" si="12"/>
        <v>0</v>
      </c>
      <c r="AH10" s="253" t="str">
        <f t="shared" ca="1" si="13"/>
        <v>Critical / Document</v>
      </c>
      <c r="AI10" s="354">
        <f t="shared" ca="1" si="14"/>
        <v>0</v>
      </c>
      <c r="AJ10" s="253" t="str">
        <f t="shared" ca="1" si="15"/>
        <v>Not Ready</v>
      </c>
      <c r="AK10" s="354">
        <f t="shared" ca="1" si="16"/>
        <v>0</v>
      </c>
      <c r="AL10" s="355">
        <f t="shared" ca="1" si="17"/>
        <v>6</v>
      </c>
      <c r="AM10" s="253" t="str">
        <f t="shared" ca="1" si="18"/>
        <v>Resolve OIT Blocker</v>
      </c>
      <c r="AN10" s="253" t="str">
        <f t="shared" ca="1" si="19"/>
        <v>🔴 ATTENTION</v>
      </c>
      <c r="AO10" s="354">
        <f t="shared" ca="1" si="25"/>
        <v>0.1</v>
      </c>
      <c r="AP10" s="357">
        <f t="shared" ca="1" si="20"/>
        <v>98</v>
      </c>
      <c r="AQ10" s="357">
        <f t="shared" ca="1" si="21"/>
        <v>107</v>
      </c>
      <c r="AR10" s="357">
        <f t="shared" ca="1" si="22"/>
        <v>119</v>
      </c>
      <c r="AS10" s="357">
        <f t="shared" ca="1" si="23"/>
        <v>128</v>
      </c>
      <c r="AT10" s="357">
        <f t="shared" ca="1" si="24"/>
        <v>136</v>
      </c>
      <c r="AU10" s="196"/>
      <c r="AV10" s="196"/>
    </row>
    <row r="11" spans="1:48" ht="97.5" customHeight="1">
      <c r="A11" s="106" t="str">
        <f>B09_Assessment!$B$2&amp;""</f>
        <v>09</v>
      </c>
      <c r="B11" s="106" t="str">
        <f>"B09_Assessment"</f>
        <v>B09_Assessment</v>
      </c>
      <c r="C11" s="106" t="str">
        <f>B09_Assessment!$F$2</f>
        <v>Yellow</v>
      </c>
      <c r="D11" s="142">
        <f>B09_Assessment!$H$2</f>
        <v>0.5</v>
      </c>
      <c r="E11" s="142">
        <f>IFERROR(B09_Assessment!$H$2,0)</f>
        <v>0.5</v>
      </c>
      <c r="F11" s="106" t="str">
        <f>B09_Assessment!$J$2</f>
        <v>No</v>
      </c>
      <c r="G11" s="106">
        <f>MAX(0,COUNTA(B09_Assessment!$A$10:$A$49)-COUNTIF(B09_Assessment!$A$10:$A$49,"*. *"))</f>
        <v>27</v>
      </c>
      <c r="H11" s="106">
        <f>IFERROR(B09_Assessment!$B$4,0)</f>
        <v>0</v>
      </c>
      <c r="I11" s="106">
        <f>IFERROR(B09_Assessment!$D$4,0)</f>
        <v>0</v>
      </c>
      <c r="J11" s="106">
        <f>SUMPRODUCT(--(ISNUMBER(SEARCH("-P",B09_Assessment!$A$1:$A$300&amp;""))),--((B09_Assessment!$I$1:$I$300="Open")+(B09_Assessment!$I$1:$I$300="In Progress")))</f>
        <v>0</v>
      </c>
      <c r="K11" s="106" t="str">
        <f>B09_Assessment!$B$5</f>
        <v>Verify</v>
      </c>
      <c r="L11" s="106" t="str">
        <f>B09_Assessment!$D$5</f>
        <v>Verify</v>
      </c>
      <c r="M11" s="106" t="str">
        <f>B09_Assessment!$F$5</f>
        <v>Verify</v>
      </c>
      <c r="N11" s="106" t="str">
        <f>B09_Assessment!$H$5</f>
        <v>Verify</v>
      </c>
      <c r="O11" s="106" t="str">
        <f>B09_Assessment!$J$5</f>
        <v>Verify</v>
      </c>
      <c r="P11" s="106" t="str">
        <f>B09_Assessment!$B$6</f>
        <v>Verify</v>
      </c>
      <c r="Q11" s="106" t="str">
        <f>B09_Assessment!$D$6</f>
        <v>Field verify B01, 104B, and 206A; confirm existing equipment and active services, panel sources, IU/CU cooling, fire alarm/sprinkler impacts, FEC locations, PACS/CCTV scope, hazardous/abatement impacts, and telecom cutover sequence.</v>
      </c>
      <c r="R11" s="106" t="str">
        <f>B09_Assessment!$H$4</f>
        <v>Building 09 includes three telecom spaces across basement, first, and second levels; field verification, hazardous material coordination, active service cutover, cooling, power/panel source, firestopping, and rated wall/door work remain open.</v>
      </c>
      <c r="S11" s="106">
        <f t="shared" si="0"/>
        <v>0</v>
      </c>
      <c r="T11" s="139">
        <f t="shared" si="1"/>
        <v>0</v>
      </c>
      <c r="U11" s="139">
        <f t="shared" si="2"/>
        <v>0</v>
      </c>
      <c r="V11" s="139" t="str">
        <f t="shared" si="3"/>
        <v>Monitor</v>
      </c>
      <c r="W11" s="139" t="str">
        <f t="shared" si="4"/>
        <v>Review</v>
      </c>
      <c r="X11" s="139">
        <f>IFERROR(B09_Assessment!$F$4,0)</f>
        <v>0</v>
      </c>
      <c r="Y11" s="143" t="str">
        <f t="shared" si="5"/>
        <v>Mapped</v>
      </c>
      <c r="Z11" s="354">
        <f t="shared" ca="1" si="6"/>
        <v>0</v>
      </c>
      <c r="AA11" s="253" t="str">
        <f t="shared" ca="1" si="7"/>
        <v>Withhold / Review</v>
      </c>
      <c r="AB11" s="354">
        <f t="shared" ca="1" si="8"/>
        <v>0</v>
      </c>
      <c r="AC11" s="253" t="str">
        <f t="shared" ca="1" si="9"/>
        <v>Blocked</v>
      </c>
      <c r="AD11" s="253" t="str">
        <f ca="1">IF($AQ11=0,"Owner controls not mapped",IFERROR(IF(_xludf.TEXTJOIN("; ",TRUE,INDIRECT("'"&amp;$B11&amp;"'!F"&amp;$AQ11+2&amp;":F"&amp;$AQ11+9))="","No blocker documented",_xludf.TEXTJOIN("; ",TRUE,INDIRECT("'"&amp;$B11&amp;"'!F"&amp;$AQ11+2&amp;":F"&amp;$AQ11+9))),"No blocker documented"))</f>
        <v>No blocker documented</v>
      </c>
      <c r="AE11" s="354">
        <f t="shared" ca="1" si="10"/>
        <v>0.5</v>
      </c>
      <c r="AF11" s="253" t="str">
        <f t="shared" ca="1" si="11"/>
        <v>Deficiency / Review</v>
      </c>
      <c r="AG11" s="354">
        <f t="shared" ca="1" si="12"/>
        <v>0</v>
      </c>
      <c r="AH11" s="253" t="str">
        <f t="shared" ca="1" si="13"/>
        <v>Critical / Document</v>
      </c>
      <c r="AI11" s="354">
        <f t="shared" ca="1" si="14"/>
        <v>0</v>
      </c>
      <c r="AJ11" s="253" t="str">
        <f t="shared" ca="1" si="15"/>
        <v>Not Ready</v>
      </c>
      <c r="AK11" s="354">
        <f t="shared" ca="1" si="16"/>
        <v>0</v>
      </c>
      <c r="AL11" s="355">
        <f t="shared" ca="1" si="17"/>
        <v>6</v>
      </c>
      <c r="AM11" s="253" t="str">
        <f t="shared" ca="1" si="18"/>
        <v>Resolve OIT Blocker</v>
      </c>
      <c r="AN11" s="253" t="str">
        <f t="shared" ca="1" si="19"/>
        <v>🔴 ATTENTION</v>
      </c>
      <c r="AO11" s="354">
        <f t="shared" ca="1" si="25"/>
        <v>0.1</v>
      </c>
      <c r="AP11" s="357">
        <f t="shared" ca="1" si="20"/>
        <v>98</v>
      </c>
      <c r="AQ11" s="357">
        <f t="shared" ca="1" si="21"/>
        <v>107</v>
      </c>
      <c r="AR11" s="357">
        <f t="shared" ca="1" si="22"/>
        <v>119</v>
      </c>
      <c r="AS11" s="357">
        <f t="shared" ca="1" si="23"/>
        <v>128</v>
      </c>
      <c r="AT11" s="357">
        <f t="shared" ca="1" si="24"/>
        <v>136</v>
      </c>
      <c r="AU11" s="196"/>
      <c r="AV11" s="196"/>
    </row>
    <row r="12" spans="1:48" ht="97.5" customHeight="1">
      <c r="A12" s="106" t="str">
        <f>B10_Assessment!$B$2&amp;""</f>
        <v>10</v>
      </c>
      <c r="B12" s="106" t="str">
        <f>"B10_Assessment"</f>
        <v>B10_Assessment</v>
      </c>
      <c r="C12" s="106" t="str">
        <f>B10_Assessment!$F$2</f>
        <v>Yellow</v>
      </c>
      <c r="D12" s="142">
        <f>B10_Assessment!$H$2</f>
        <v>0.5</v>
      </c>
      <c r="E12" s="142">
        <f>IFERROR(B10_Assessment!$H$2,0)</f>
        <v>0.5</v>
      </c>
      <c r="F12" s="106" t="str">
        <f>B10_Assessment!$J$2</f>
        <v>No</v>
      </c>
      <c r="G12" s="106">
        <f>MAX(0,COUNTA(B10_Assessment!$A$10:$A$49)-COUNTIF(B10_Assessment!$A$10:$A$49,"*. *"))</f>
        <v>27</v>
      </c>
      <c r="H12" s="106">
        <f>IFERROR(B10_Assessment!$B$4,0)</f>
        <v>0</v>
      </c>
      <c r="I12" s="106">
        <f>IFERROR(B10_Assessment!$D$4,0)</f>
        <v>0</v>
      </c>
      <c r="J12" s="106">
        <f>SUMPRODUCT(--(ISNUMBER(SEARCH("-P",B10_Assessment!$A$1:$A$300&amp;""))),--((B10_Assessment!$I$1:$I$300="Open")+(B10_Assessment!$I$1:$I$300="In Progress")))</f>
        <v>0</v>
      </c>
      <c r="K12" s="106" t="str">
        <f>B10_Assessment!$B$5</f>
        <v>Verify</v>
      </c>
      <c r="L12" s="106" t="str">
        <f>B10_Assessment!$D$5</f>
        <v>Verify</v>
      </c>
      <c r="M12" s="106" t="str">
        <f>B10_Assessment!$F$5</f>
        <v>Verify</v>
      </c>
      <c r="N12" s="106" t="str">
        <f>B10_Assessment!$H$5</f>
        <v>Verify</v>
      </c>
      <c r="O12" s="106" t="str">
        <f>B10_Assessment!$J$5</f>
        <v>Verify</v>
      </c>
      <c r="P12" s="106" t="str">
        <f>B10_Assessment!$B$6</f>
        <v>Verify</v>
      </c>
      <c r="Q12" s="106" t="str">
        <f>B10_Assessment!$D$6</f>
        <v>Field verify attic Telecom Room 200A, basement normal/emergency electrical source rooms B24/B25, existing wall-mounted rack/equipment, panel sources B10-TR200AA/AB, IU/CU-1-01 cooling, FEC/fire alarm/sprinkler impacts, hazardous/abatement scope, and telecom cutover plan.</v>
      </c>
      <c r="R12" s="106" t="str">
        <f>B10_Assessment!$H$4</f>
        <v>Building 10 scope centers on attic Telecom Room 200A with related basement electrical source rooms B24/B25, attic hazardous material abatement, dedicated cooling, new telecom panels, rack/UPS/PDU equipment, firestopping, and cutover coordination.</v>
      </c>
      <c r="S12" s="106">
        <f t="shared" si="0"/>
        <v>0</v>
      </c>
      <c r="T12" s="139">
        <f t="shared" si="1"/>
        <v>0</v>
      </c>
      <c r="U12" s="139">
        <f t="shared" si="2"/>
        <v>0</v>
      </c>
      <c r="V12" s="139" t="str">
        <f t="shared" si="3"/>
        <v>Monitor</v>
      </c>
      <c r="W12" s="139" t="str">
        <f t="shared" si="4"/>
        <v>Review</v>
      </c>
      <c r="X12" s="139">
        <f>IFERROR(B10_Assessment!$F$4,0)</f>
        <v>0</v>
      </c>
      <c r="Y12" s="143" t="str">
        <f t="shared" si="5"/>
        <v>Mapped</v>
      </c>
      <c r="Z12" s="354">
        <f t="shared" ca="1" si="6"/>
        <v>0</v>
      </c>
      <c r="AA12" s="253" t="str">
        <f t="shared" ca="1" si="7"/>
        <v>Withhold / Review</v>
      </c>
      <c r="AB12" s="354">
        <f t="shared" ca="1" si="8"/>
        <v>0</v>
      </c>
      <c r="AC12" s="253" t="str">
        <f t="shared" ca="1" si="9"/>
        <v>Blocked</v>
      </c>
      <c r="AD12" s="253" t="str">
        <f ca="1">IF($AQ12=0,"Owner controls not mapped",IFERROR(IF(_xludf.TEXTJOIN("; ",TRUE,INDIRECT("'"&amp;$B12&amp;"'!F"&amp;$AQ12+2&amp;":F"&amp;$AQ12+9))="","No blocker documented",_xludf.TEXTJOIN("; ",TRUE,INDIRECT("'"&amp;$B12&amp;"'!F"&amp;$AQ12+2&amp;":F"&amp;$AQ12+9))),"No blocker documented"))</f>
        <v>No blocker documented</v>
      </c>
      <c r="AE12" s="354">
        <f t="shared" ca="1" si="10"/>
        <v>0.5</v>
      </c>
      <c r="AF12" s="253" t="str">
        <f t="shared" ca="1" si="11"/>
        <v>Deficiency / Review</v>
      </c>
      <c r="AG12" s="354">
        <f t="shared" ca="1" si="12"/>
        <v>0</v>
      </c>
      <c r="AH12" s="253" t="str">
        <f t="shared" ca="1" si="13"/>
        <v>Critical / Document</v>
      </c>
      <c r="AI12" s="354">
        <f t="shared" ca="1" si="14"/>
        <v>0</v>
      </c>
      <c r="AJ12" s="253" t="str">
        <f t="shared" ca="1" si="15"/>
        <v>Not Ready</v>
      </c>
      <c r="AK12" s="354">
        <f t="shared" ca="1" si="16"/>
        <v>0</v>
      </c>
      <c r="AL12" s="355">
        <f t="shared" ca="1" si="17"/>
        <v>6</v>
      </c>
      <c r="AM12" s="253" t="str">
        <f t="shared" ca="1" si="18"/>
        <v>Resolve OIT Blocker</v>
      </c>
      <c r="AN12" s="253" t="str">
        <f t="shared" ca="1" si="19"/>
        <v>🔴 ATTENTION</v>
      </c>
      <c r="AO12" s="354">
        <f t="shared" ca="1" si="25"/>
        <v>0.1</v>
      </c>
      <c r="AP12" s="357">
        <f t="shared" ca="1" si="20"/>
        <v>98</v>
      </c>
      <c r="AQ12" s="357">
        <f t="shared" ca="1" si="21"/>
        <v>107</v>
      </c>
      <c r="AR12" s="357">
        <f t="shared" ca="1" si="22"/>
        <v>119</v>
      </c>
      <c r="AS12" s="357">
        <f t="shared" ca="1" si="23"/>
        <v>128</v>
      </c>
      <c r="AT12" s="357">
        <f t="shared" ca="1" si="24"/>
        <v>136</v>
      </c>
      <c r="AU12" s="196"/>
      <c r="AV12" s="196"/>
    </row>
    <row r="13" spans="1:48" ht="97.5" customHeight="1">
      <c r="A13" s="106" t="str">
        <f>B12_Assessment!$B$2&amp;""</f>
        <v>12</v>
      </c>
      <c r="B13" s="106" t="str">
        <f>"B12_Assessment"</f>
        <v>B12_Assessment</v>
      </c>
      <c r="C13" s="106" t="str">
        <f>B12_Assessment!$F$2</f>
        <v>Yellow</v>
      </c>
      <c r="D13" s="142">
        <f>B12_Assessment!$H$2</f>
        <v>0.6</v>
      </c>
      <c r="E13" s="142">
        <f>IFERROR(B12_Assessment!$H$2,0)</f>
        <v>0.6</v>
      </c>
      <c r="F13" s="106" t="str">
        <f>B12_Assessment!$J$2</f>
        <v>No</v>
      </c>
      <c r="G13" s="106">
        <f>MAX(0,COUNTA(B12_Assessment!$A$10:$A$49)-COUNTIF(B12_Assessment!$A$10:$A$49,"*. *"))</f>
        <v>26</v>
      </c>
      <c r="H13" s="106">
        <f>IFERROR(B12_Assessment!$B$4,0)</f>
        <v>0</v>
      </c>
      <c r="I13" s="106">
        <f>IFERROR(B12_Assessment!$D$4,0)</f>
        <v>0</v>
      </c>
      <c r="J13" s="106">
        <f>SUMPRODUCT(--(ISNUMBER(SEARCH("-P",B12_Assessment!$A$1:$A$300&amp;""))),--((B12_Assessment!$I$1:$I$300="Open")+(B12_Assessment!$I$1:$I$300="In Progress")))</f>
        <v>0</v>
      </c>
      <c r="K13" s="106" t="str">
        <f>B12_Assessment!$B$5</f>
        <v>N/A</v>
      </c>
      <c r="L13" s="106" t="str">
        <f>B12_Assessment!$D$5</f>
        <v>N/A / Verify</v>
      </c>
      <c r="M13" s="106" t="str">
        <f>B12_Assessment!$F$5</f>
        <v>Verify</v>
      </c>
      <c r="N13" s="106" t="str">
        <f>B12_Assessment!$H$5</f>
        <v>N/A / Verify</v>
      </c>
      <c r="O13" s="106" t="str">
        <f>B12_Assessment!$J$5</f>
        <v>N/A / Verify</v>
      </c>
      <c r="P13" s="106" t="str">
        <f>B12_Assessment!$B$6</f>
        <v>N/A / Verify</v>
      </c>
      <c r="Q13" s="106" t="str">
        <f>B12_Assessment!$D$6</f>
        <v>Field verify existing fiber pathway through Building 12, existing rack/demarc/serving closet condition, floor/wall penetrations, routing from basement/first/second level telecom plans, phasing/cutover approach, and test/label/as-built deliverables.</v>
      </c>
      <c r="R13" s="106" t="str">
        <f>B12_Assessment!$H$4</f>
        <v>Building 12 is explicitly identified as fiber-only with no new TR buildout, no new rack, and no electrical/HVAC/fire protection drawing packages; key owner risk is confirming pull-through fiber path, existing service continuity, pathway/firestopping, and VA/OIT acceptance before cutover.</v>
      </c>
      <c r="S13" s="106">
        <f t="shared" si="0"/>
        <v>0</v>
      </c>
      <c r="T13" s="139">
        <f t="shared" si="1"/>
        <v>0</v>
      </c>
      <c r="U13" s="139">
        <f t="shared" si="2"/>
        <v>0</v>
      </c>
      <c r="V13" s="139" t="str">
        <f t="shared" si="3"/>
        <v>Monitor</v>
      </c>
      <c r="W13" s="139" t="str">
        <f t="shared" si="4"/>
        <v>Review</v>
      </c>
      <c r="X13" s="139">
        <f>IFERROR(B12_Assessment!$F$4,0)</f>
        <v>0</v>
      </c>
      <c r="Y13" s="143" t="str">
        <f t="shared" si="5"/>
        <v>Mapped</v>
      </c>
      <c r="Z13" s="354">
        <f t="shared" ca="1" si="6"/>
        <v>0</v>
      </c>
      <c r="AA13" s="253" t="str">
        <f t="shared" ca="1" si="7"/>
        <v>Withhold / Review</v>
      </c>
      <c r="AB13" s="354">
        <f t="shared" ca="1" si="8"/>
        <v>0</v>
      </c>
      <c r="AC13" s="253" t="str">
        <f t="shared" ca="1" si="9"/>
        <v>Blocked</v>
      </c>
      <c r="AD13" s="253" t="str">
        <f ca="1">IF($AQ13=0,"Owner controls not mapped",IFERROR(IF(_xludf.TEXTJOIN("; ",TRUE,INDIRECT("'"&amp;$B13&amp;"'!F"&amp;$AQ13+2&amp;":F"&amp;$AQ13+9))="","No blocker documented",_xludf.TEXTJOIN("; ",TRUE,INDIRECT("'"&amp;$B13&amp;"'!F"&amp;$AQ13+2&amp;":F"&amp;$AQ13+9))),"No blocker documented"))</f>
        <v>No blocker documented</v>
      </c>
      <c r="AE13" s="354">
        <f t="shared" ca="1" si="10"/>
        <v>0.5</v>
      </c>
      <c r="AF13" s="253" t="str">
        <f t="shared" ca="1" si="11"/>
        <v>Deficiency / Review</v>
      </c>
      <c r="AG13" s="354">
        <f t="shared" ca="1" si="12"/>
        <v>0</v>
      </c>
      <c r="AH13" s="253" t="str">
        <f t="shared" ca="1" si="13"/>
        <v>Critical / Document</v>
      </c>
      <c r="AI13" s="354">
        <f t="shared" ca="1" si="14"/>
        <v>0</v>
      </c>
      <c r="AJ13" s="253" t="str">
        <f t="shared" ca="1" si="15"/>
        <v>Not Ready</v>
      </c>
      <c r="AK13" s="354">
        <f t="shared" ca="1" si="16"/>
        <v>0</v>
      </c>
      <c r="AL13" s="355">
        <f t="shared" ca="1" si="17"/>
        <v>6</v>
      </c>
      <c r="AM13" s="253" t="str">
        <f t="shared" ca="1" si="18"/>
        <v>Resolve OIT Blocker</v>
      </c>
      <c r="AN13" s="253" t="str">
        <f t="shared" ca="1" si="19"/>
        <v>🔴 ATTENTION</v>
      </c>
      <c r="AO13" s="354">
        <f t="shared" ca="1" si="25"/>
        <v>0.1</v>
      </c>
      <c r="AP13" s="357">
        <f t="shared" ca="1" si="20"/>
        <v>84</v>
      </c>
      <c r="AQ13" s="357">
        <f t="shared" ca="1" si="21"/>
        <v>93</v>
      </c>
      <c r="AR13" s="357">
        <f t="shared" ca="1" si="22"/>
        <v>105</v>
      </c>
      <c r="AS13" s="357">
        <f t="shared" ca="1" si="23"/>
        <v>114</v>
      </c>
      <c r="AT13" s="357">
        <f t="shared" ca="1" si="24"/>
        <v>122</v>
      </c>
      <c r="AU13" s="196"/>
      <c r="AV13" s="196"/>
    </row>
    <row r="14" spans="1:48" ht="97.5" customHeight="1">
      <c r="A14" s="106" t="str">
        <f>B13_Assessment!$B$2&amp;""</f>
        <v>13</v>
      </c>
      <c r="B14" s="106" t="str">
        <f>"B13_Assessment"</f>
        <v>B13_Assessment</v>
      </c>
      <c r="C14" s="106" t="str">
        <f>B13_Assessment!$F$2</f>
        <v>Yellow</v>
      </c>
      <c r="D14" s="142">
        <f>B13_Assessment!$H$2</f>
        <v>0.5</v>
      </c>
      <c r="E14" s="142">
        <f>IFERROR(B13_Assessment!$H$2,0)</f>
        <v>0.5</v>
      </c>
      <c r="F14" s="106" t="str">
        <f>B13_Assessment!$J$2</f>
        <v>No</v>
      </c>
      <c r="G14" s="106">
        <f>MAX(0,COUNTA(B13_Assessment!$A$10:$A$49)-COUNTIF(B13_Assessment!$A$10:$A$49,"*. *"))</f>
        <v>26</v>
      </c>
      <c r="H14" s="106">
        <f>IFERROR(B13_Assessment!$B$4,0)</f>
        <v>0</v>
      </c>
      <c r="I14" s="106">
        <f>IFERROR(B13_Assessment!$D$4,0)</f>
        <v>0</v>
      </c>
      <c r="J14" s="106">
        <f>SUMPRODUCT(--(ISNUMBER(SEARCH("-P",B13_Assessment!$A$1:$A$300&amp;""))),--((B13_Assessment!$I$1:$I$300="Open")+(B13_Assessment!$I$1:$I$300="In Progress")))</f>
        <v>0</v>
      </c>
      <c r="K14" s="106" t="str">
        <f>B13_Assessment!$B$5</f>
        <v>Verify</v>
      </c>
      <c r="L14" s="106" t="str">
        <f>B13_Assessment!$D$5</f>
        <v>Verify</v>
      </c>
      <c r="M14" s="106" t="str">
        <f>B13_Assessment!$F$5</f>
        <v>Verify</v>
      </c>
      <c r="N14" s="106" t="str">
        <f>B13_Assessment!$H$5</f>
        <v>Verify</v>
      </c>
      <c r="O14" s="106" t="str">
        <f>B13_Assessment!$J$5</f>
        <v>Verify</v>
      </c>
      <c r="P14" s="106" t="str">
        <f>B13_Assessment!$B$6</f>
        <v>Verify</v>
      </c>
      <c r="Q14" s="106" t="str">
        <f>B13_Assessment!$D$6</f>
        <v>Field verify Room 124 and existing Tel Room 222; confirm active services, rack/equipment transfer, B13-TR124AA/AB panel sources, IU/CU-1-01 cooling, fire alarm/sprinkler impacts, FEC location, PACS/CCTV scope, first-level hazardous/abatement impacts, and telecom cutover sequence.</v>
      </c>
      <c r="R14" s="106" t="str">
        <f>B13_Assessment!$H$4</f>
        <v>Building 13 includes new first-level Telecom Room 124 and existing second-level Tel Room 222; field verification, active service cutover, 240V UPS/PDU power, dedicated cooling, first-level hazardous material coordination, firestopping, and PACS/CCTV integration remain open.</v>
      </c>
      <c r="S14" s="106">
        <f t="shared" si="0"/>
        <v>0</v>
      </c>
      <c r="T14" s="139">
        <f t="shared" si="1"/>
        <v>0</v>
      </c>
      <c r="U14" s="139">
        <f t="shared" si="2"/>
        <v>0</v>
      </c>
      <c r="V14" s="139" t="str">
        <f t="shared" si="3"/>
        <v>Monitor</v>
      </c>
      <c r="W14" s="139" t="str">
        <f t="shared" si="4"/>
        <v>Review</v>
      </c>
      <c r="X14" s="139">
        <f>IFERROR(B13_Assessment!$F$4,0)</f>
        <v>0</v>
      </c>
      <c r="Y14" s="143" t="str">
        <f t="shared" si="5"/>
        <v>Mapped</v>
      </c>
      <c r="Z14" s="354">
        <f t="shared" ca="1" si="6"/>
        <v>0</v>
      </c>
      <c r="AA14" s="253" t="str">
        <f t="shared" ca="1" si="7"/>
        <v>Withhold / Review</v>
      </c>
      <c r="AB14" s="354">
        <f t="shared" ca="1" si="8"/>
        <v>0</v>
      </c>
      <c r="AC14" s="253" t="str">
        <f t="shared" ca="1" si="9"/>
        <v>Blocked</v>
      </c>
      <c r="AD14" s="253" t="str">
        <f ca="1">IF($AQ14=0,"Owner controls not mapped",IFERROR(IF(_xludf.TEXTJOIN("; ",TRUE,INDIRECT("'"&amp;$B14&amp;"'!F"&amp;$AQ14+2&amp;":F"&amp;$AQ14+9))="","No blocker documented",_xludf.TEXTJOIN("; ",TRUE,INDIRECT("'"&amp;$B14&amp;"'!F"&amp;$AQ14+2&amp;":F"&amp;$AQ14+9))),"No blocker documented"))</f>
        <v>No blocker documented</v>
      </c>
      <c r="AE14" s="354">
        <f t="shared" ca="1" si="10"/>
        <v>0.5</v>
      </c>
      <c r="AF14" s="253" t="str">
        <f t="shared" ca="1" si="11"/>
        <v>Deficiency / Review</v>
      </c>
      <c r="AG14" s="354">
        <f t="shared" ca="1" si="12"/>
        <v>0</v>
      </c>
      <c r="AH14" s="253" t="str">
        <f t="shared" ca="1" si="13"/>
        <v>Critical / Document</v>
      </c>
      <c r="AI14" s="354">
        <f t="shared" ca="1" si="14"/>
        <v>0</v>
      </c>
      <c r="AJ14" s="253" t="str">
        <f t="shared" ca="1" si="15"/>
        <v>Not Ready</v>
      </c>
      <c r="AK14" s="354">
        <f t="shared" ca="1" si="16"/>
        <v>0</v>
      </c>
      <c r="AL14" s="355">
        <f t="shared" ca="1" si="17"/>
        <v>6</v>
      </c>
      <c r="AM14" s="253" t="str">
        <f t="shared" ca="1" si="18"/>
        <v>Resolve OIT Blocker</v>
      </c>
      <c r="AN14" s="253" t="str">
        <f t="shared" ca="1" si="19"/>
        <v>🔴 ATTENTION</v>
      </c>
      <c r="AO14" s="354">
        <f t="shared" ca="1" si="25"/>
        <v>0.1</v>
      </c>
      <c r="AP14" s="357">
        <f t="shared" ca="1" si="20"/>
        <v>91</v>
      </c>
      <c r="AQ14" s="357">
        <f t="shared" ca="1" si="21"/>
        <v>100</v>
      </c>
      <c r="AR14" s="357">
        <f t="shared" ca="1" si="22"/>
        <v>112</v>
      </c>
      <c r="AS14" s="357">
        <f t="shared" ca="1" si="23"/>
        <v>121</v>
      </c>
      <c r="AT14" s="357">
        <f t="shared" ca="1" si="24"/>
        <v>129</v>
      </c>
      <c r="AU14" s="196"/>
      <c r="AV14" s="196"/>
    </row>
    <row r="15" spans="1:48" ht="97.5" customHeight="1">
      <c r="A15" s="106" t="str">
        <f>B14_Assessment!$B$2&amp;""</f>
        <v>14</v>
      </c>
      <c r="B15" s="106" t="str">
        <f>"B14_Assessment"</f>
        <v>B14_Assessment</v>
      </c>
      <c r="C15" s="106" t="str">
        <f>B14_Assessment!$F$2</f>
        <v>Yellow</v>
      </c>
      <c r="D15" s="142">
        <f>B14_Assessment!$H$2</f>
        <v>0.5</v>
      </c>
      <c r="E15" s="142">
        <f>IFERROR(B14_Assessment!$H$2,0)</f>
        <v>0.5</v>
      </c>
      <c r="F15" s="106" t="str">
        <f>B14_Assessment!$J$2</f>
        <v>No</v>
      </c>
      <c r="G15" s="106">
        <f>MAX(0,COUNTA(B14_Assessment!$A$10:$A$49)-COUNTIF(B14_Assessment!$A$10:$A$49,"*. *"))</f>
        <v>27</v>
      </c>
      <c r="H15" s="106">
        <f>IFERROR(B14_Assessment!$B$4,0)</f>
        <v>0</v>
      </c>
      <c r="I15" s="106">
        <f>IFERROR(B14_Assessment!$D$4,0)</f>
        <v>0</v>
      </c>
      <c r="J15" s="106">
        <f>SUMPRODUCT(--(ISNUMBER(SEARCH("-P",B14_Assessment!$A$1:$A$300&amp;""))),--((B14_Assessment!$I$1:$I$300="Open")+(B14_Assessment!$I$1:$I$300="In Progress")))</f>
        <v>0</v>
      </c>
      <c r="K15" s="106" t="str">
        <f>B14_Assessment!$B$5</f>
        <v>Verify</v>
      </c>
      <c r="L15" s="106" t="str">
        <f>B14_Assessment!$D$5</f>
        <v>Verify</v>
      </c>
      <c r="M15" s="106" t="str">
        <f>B14_Assessment!$F$5</f>
        <v>Verify</v>
      </c>
      <c r="N15" s="106" t="str">
        <f>B14_Assessment!$H$5</f>
        <v>Verify</v>
      </c>
      <c r="O15" s="106" t="str">
        <f>B14_Assessment!$J$5</f>
        <v>Verify</v>
      </c>
      <c r="P15" s="106" t="str">
        <f>B14_Assessment!$B$6</f>
        <v>Verify</v>
      </c>
      <c r="Q15" s="106" t="str">
        <f>B14_Assessment!$D$6</f>
        <v>Field verify Room 119 and existing basement Tel/F Panel B.01/B2; confirm active services, rack/equipment transfer, B14-TR119A/B panel sources, IU/CU-1-01 cooling, fire alarm/sprinkler impacts, FEC location, PACS/CCTV scope, first-level hazardous/abatement impacts, and telecom cutover sequence.</v>
      </c>
      <c r="R15" s="106" t="str">
        <f>B14_Assessment!$H$4</f>
        <v>Building 14 includes new first-level Telecom Room 119 and existing basement telecom rooms B.01/B2; field verification, active service cutover, 240V UPS/PDU power, dedicated cooling, first-level hazardous material coordination, firestopping, and PACS/CCTV integration remain open.</v>
      </c>
      <c r="S15" s="106">
        <f t="shared" si="0"/>
        <v>0</v>
      </c>
      <c r="T15" s="139">
        <f t="shared" si="1"/>
        <v>0</v>
      </c>
      <c r="U15" s="139">
        <f t="shared" si="2"/>
        <v>0</v>
      </c>
      <c r="V15" s="139" t="str">
        <f t="shared" si="3"/>
        <v>Monitor</v>
      </c>
      <c r="W15" s="139" t="str">
        <f t="shared" si="4"/>
        <v>Review</v>
      </c>
      <c r="X15" s="139">
        <f>IFERROR(B14_Assessment!$F$4,0)</f>
        <v>0</v>
      </c>
      <c r="Y15" s="143" t="str">
        <f t="shared" si="5"/>
        <v>Mapped</v>
      </c>
      <c r="Z15" s="354">
        <f t="shared" ca="1" si="6"/>
        <v>0</v>
      </c>
      <c r="AA15" s="253" t="str">
        <f t="shared" ca="1" si="7"/>
        <v>Withhold / Review</v>
      </c>
      <c r="AB15" s="354">
        <f t="shared" ca="1" si="8"/>
        <v>0</v>
      </c>
      <c r="AC15" s="253" t="str">
        <f t="shared" ca="1" si="9"/>
        <v>Blocked</v>
      </c>
      <c r="AD15" s="253" t="str">
        <f ca="1">IF($AQ15=0,"Owner controls not mapped",IFERROR(IF(_xludf.TEXTJOIN("; ",TRUE,INDIRECT("'"&amp;$B15&amp;"'!F"&amp;$AQ15+2&amp;":F"&amp;$AQ15+9))="","No blocker documented",_xludf.TEXTJOIN("; ",TRUE,INDIRECT("'"&amp;$B15&amp;"'!F"&amp;$AQ15+2&amp;":F"&amp;$AQ15+9))),"No blocker documented"))</f>
        <v>No blocker documented</v>
      </c>
      <c r="AE15" s="354">
        <f t="shared" ca="1" si="10"/>
        <v>0.5</v>
      </c>
      <c r="AF15" s="253" t="str">
        <f t="shared" ca="1" si="11"/>
        <v>Deficiency / Review</v>
      </c>
      <c r="AG15" s="354">
        <f t="shared" ca="1" si="12"/>
        <v>0</v>
      </c>
      <c r="AH15" s="253" t="str">
        <f t="shared" ca="1" si="13"/>
        <v>Critical / Document</v>
      </c>
      <c r="AI15" s="354">
        <f t="shared" ca="1" si="14"/>
        <v>0</v>
      </c>
      <c r="AJ15" s="253" t="str">
        <f t="shared" ca="1" si="15"/>
        <v>Not Ready</v>
      </c>
      <c r="AK15" s="354">
        <f t="shared" ca="1" si="16"/>
        <v>0</v>
      </c>
      <c r="AL15" s="355">
        <f t="shared" ca="1" si="17"/>
        <v>6</v>
      </c>
      <c r="AM15" s="253" t="str">
        <f t="shared" ca="1" si="18"/>
        <v>Resolve OIT Blocker</v>
      </c>
      <c r="AN15" s="253" t="str">
        <f t="shared" ca="1" si="19"/>
        <v>🔴 ATTENTION</v>
      </c>
      <c r="AO15" s="354">
        <f t="shared" ca="1" si="25"/>
        <v>0.1</v>
      </c>
      <c r="AP15" s="357">
        <f t="shared" ca="1" si="20"/>
        <v>99</v>
      </c>
      <c r="AQ15" s="357">
        <f t="shared" ca="1" si="21"/>
        <v>108</v>
      </c>
      <c r="AR15" s="357">
        <f t="shared" ca="1" si="22"/>
        <v>120</v>
      </c>
      <c r="AS15" s="357">
        <f t="shared" ca="1" si="23"/>
        <v>129</v>
      </c>
      <c r="AT15" s="357">
        <f t="shared" ca="1" si="24"/>
        <v>137</v>
      </c>
      <c r="AU15" s="196"/>
      <c r="AV15" s="196"/>
    </row>
    <row r="16" spans="1:48" ht="97.5" customHeight="1">
      <c r="A16" s="106" t="str">
        <f>B15_Assessment!$B$2&amp;""</f>
        <v>15</v>
      </c>
      <c r="B16" s="106" t="str">
        <f>"B15_Assessment"</f>
        <v>B15_Assessment</v>
      </c>
      <c r="C16" s="106" t="str">
        <f>B15_Assessment!$F$2</f>
        <v>Yellow</v>
      </c>
      <c r="D16" s="142">
        <f>B15_Assessment!$H$2</f>
        <v>0.5</v>
      </c>
      <c r="E16" s="142">
        <f>IFERROR(B15_Assessment!$H$2,0)</f>
        <v>0.5</v>
      </c>
      <c r="F16" s="106" t="str">
        <f>B15_Assessment!$J$2</f>
        <v>No</v>
      </c>
      <c r="G16" s="106">
        <f>MAX(0,COUNTA(B15_Assessment!$A$10:$A$49)-COUNTIF(B15_Assessment!$A$10:$A$49,"*. *"))</f>
        <v>27</v>
      </c>
      <c r="H16" s="106">
        <f>IFERROR(B15_Assessment!$B$4,0)</f>
        <v>0</v>
      </c>
      <c r="I16" s="106">
        <f>IFERROR(B15_Assessment!$D$4,0)</f>
        <v>0</v>
      </c>
      <c r="J16" s="106">
        <f>SUMPRODUCT(--(ISNUMBER(SEARCH("-P",B15_Assessment!$A$1:$A$300&amp;""))),--((B15_Assessment!$I$1:$I$300="Open")+(B15_Assessment!$I$1:$I$300="In Progress")))</f>
        <v>0</v>
      </c>
      <c r="K16" s="106" t="str">
        <f>B15_Assessment!$B$5</f>
        <v>Verify</v>
      </c>
      <c r="L16" s="106" t="str">
        <f>B15_Assessment!$D$5</f>
        <v>Verify</v>
      </c>
      <c r="M16" s="106" t="str">
        <f>B15_Assessment!$F$5</f>
        <v>Verify</v>
      </c>
      <c r="N16" s="106" t="str">
        <f>B15_Assessment!$H$5</f>
        <v>Verify</v>
      </c>
      <c r="O16" s="106" t="str">
        <f>B15_Assessment!$J$5</f>
        <v>Verify</v>
      </c>
      <c r="P16" s="106" t="str">
        <f>B15_Assessment!$B$6</f>
        <v>Verify</v>
      </c>
      <c r="Q16" s="106" t="str">
        <f>B15_Assessment!$D$6</f>
        <v>Field verify Room 124A, existing Tel Room 222 and basement B01; confirm active services, rack/equipment transfer, B15-TR124AA/AB panel sources, IU/CU-1-01 cooling, fire alarm/sprinkler impacts, FEC location, PACS/CCTV scope, first-level hazardous/abatement impacts, and telecom cutover sequence.</v>
      </c>
      <c r="R16" s="106" t="str">
        <f>B15_Assessment!$H$4</f>
        <v>Building 15 includes new first-level Telecom Room 124A and existing telecom transition points at second-level Tel Room 222 and basement B01; field verification, active service cutover, 240V UPS/PDU power, dedicated heat-pump cooling, first-level hazardous material coordination, firestopping, and PACS/CCTV integration remain open.</v>
      </c>
      <c r="S16" s="106">
        <f t="shared" si="0"/>
        <v>0</v>
      </c>
      <c r="T16" s="139">
        <f t="shared" si="1"/>
        <v>0</v>
      </c>
      <c r="U16" s="139">
        <f t="shared" si="2"/>
        <v>0</v>
      </c>
      <c r="V16" s="139" t="str">
        <f t="shared" si="3"/>
        <v>Monitor</v>
      </c>
      <c r="W16" s="139" t="str">
        <f t="shared" si="4"/>
        <v>Review</v>
      </c>
      <c r="X16" s="139">
        <f>IFERROR(B15_Assessment!$F$4,0)</f>
        <v>0</v>
      </c>
      <c r="Y16" s="143" t="str">
        <f t="shared" si="5"/>
        <v>Mapped</v>
      </c>
      <c r="Z16" s="354">
        <f t="shared" ca="1" si="6"/>
        <v>0</v>
      </c>
      <c r="AA16" s="253" t="str">
        <f t="shared" ca="1" si="7"/>
        <v>Withhold / Review</v>
      </c>
      <c r="AB16" s="354">
        <f t="shared" ca="1" si="8"/>
        <v>0</v>
      </c>
      <c r="AC16" s="253" t="str">
        <f t="shared" ca="1" si="9"/>
        <v>Blocked</v>
      </c>
      <c r="AD16" s="253" t="str">
        <f ca="1">IF($AQ16=0,"Owner controls not mapped",IFERROR(IF(_xludf.TEXTJOIN("; ",TRUE,INDIRECT("'"&amp;$B16&amp;"'!F"&amp;$AQ16+2&amp;":F"&amp;$AQ16+9))="","No blocker documented",_xludf.TEXTJOIN("; ",TRUE,INDIRECT("'"&amp;$B16&amp;"'!F"&amp;$AQ16+2&amp;":F"&amp;$AQ16+9))),"No blocker documented"))</f>
        <v>No blocker documented</v>
      </c>
      <c r="AE16" s="354">
        <f t="shared" ca="1" si="10"/>
        <v>0.5</v>
      </c>
      <c r="AF16" s="253" t="str">
        <f t="shared" ca="1" si="11"/>
        <v>Deficiency / Review</v>
      </c>
      <c r="AG16" s="354">
        <f t="shared" ca="1" si="12"/>
        <v>0</v>
      </c>
      <c r="AH16" s="253" t="str">
        <f t="shared" ca="1" si="13"/>
        <v>Critical / Document</v>
      </c>
      <c r="AI16" s="354">
        <f t="shared" ca="1" si="14"/>
        <v>0</v>
      </c>
      <c r="AJ16" s="253" t="str">
        <f t="shared" ca="1" si="15"/>
        <v>Not Ready</v>
      </c>
      <c r="AK16" s="354">
        <f t="shared" ca="1" si="16"/>
        <v>0</v>
      </c>
      <c r="AL16" s="355">
        <f t="shared" ca="1" si="17"/>
        <v>6</v>
      </c>
      <c r="AM16" s="253" t="str">
        <f t="shared" ca="1" si="18"/>
        <v>Resolve OIT Blocker</v>
      </c>
      <c r="AN16" s="253" t="str">
        <f t="shared" ca="1" si="19"/>
        <v>🔴 ATTENTION</v>
      </c>
      <c r="AO16" s="354">
        <f t="shared" ca="1" si="25"/>
        <v>0.1</v>
      </c>
      <c r="AP16" s="357">
        <f t="shared" ca="1" si="20"/>
        <v>99</v>
      </c>
      <c r="AQ16" s="357">
        <f t="shared" ca="1" si="21"/>
        <v>108</v>
      </c>
      <c r="AR16" s="357">
        <f t="shared" ca="1" si="22"/>
        <v>120</v>
      </c>
      <c r="AS16" s="357">
        <f t="shared" ca="1" si="23"/>
        <v>129</v>
      </c>
      <c r="AT16" s="357">
        <f t="shared" ca="1" si="24"/>
        <v>137</v>
      </c>
      <c r="AU16" s="196"/>
      <c r="AV16" s="196"/>
    </row>
    <row r="17" spans="1:48" ht="97.5" customHeight="1">
      <c r="A17" s="106" t="str">
        <f>B16_Assessment!$B$2&amp;""</f>
        <v>16</v>
      </c>
      <c r="B17" s="106" t="str">
        <f>"B16_Assessment"</f>
        <v>B16_Assessment</v>
      </c>
      <c r="C17" s="106" t="str">
        <f>B16_Assessment!$F$2</f>
        <v>Yellow</v>
      </c>
      <c r="D17" s="142">
        <f>B16_Assessment!$H$2</f>
        <v>0.5</v>
      </c>
      <c r="E17" s="142">
        <f>IFERROR(B16_Assessment!$H$2,0)</f>
        <v>0.5</v>
      </c>
      <c r="F17" s="106" t="str">
        <f>B16_Assessment!$J$2</f>
        <v>No</v>
      </c>
      <c r="G17" s="106">
        <f>MAX(0,COUNTA(B16_Assessment!$A$10:$A$49)-COUNTIF(B16_Assessment!$A$10:$A$49,"*. *"))</f>
        <v>26</v>
      </c>
      <c r="H17" s="106">
        <f>IFERROR(B16_Assessment!$B$4,0)</f>
        <v>0</v>
      </c>
      <c r="I17" s="106">
        <f>IFERROR(B16_Assessment!$D$4,0)</f>
        <v>0</v>
      </c>
      <c r="J17" s="106">
        <f>SUMPRODUCT(--(ISNUMBER(SEARCH("-P",B16_Assessment!$A$1:$A$300&amp;""))),--((B16_Assessment!$I$1:$I$300="Open")+(B16_Assessment!$I$1:$I$300="In Progress")))</f>
        <v>0</v>
      </c>
      <c r="K17" s="106" t="str">
        <f>B16_Assessment!$B$5</f>
        <v>Verify</v>
      </c>
      <c r="L17" s="106" t="str">
        <f>B16_Assessment!$D$5</f>
        <v>Verify</v>
      </c>
      <c r="M17" s="106" t="str">
        <f>B16_Assessment!$F$5</f>
        <v>Verify</v>
      </c>
      <c r="N17" s="106" t="str">
        <f>B16_Assessment!$H$5</f>
        <v>Verify</v>
      </c>
      <c r="O17" s="106" t="str">
        <f>B16_Assessment!$J$5</f>
        <v>Verify</v>
      </c>
      <c r="P17" s="106" t="str">
        <f>B16_Assessment!$B$6</f>
        <v>Verify</v>
      </c>
      <c r="Q17" s="106" t="str">
        <f>B16_Assessment!$D$6</f>
        <v>Field verify Room 015 and existing Room 014; confirm active services, rack/equipment transfer, B16-TR015A/B panel sources, IU/CU-1-01 cooling, fire alarm/sprinkler impacts, FEC location, PACS/CCTV scope, panel replacement/load measurement, and telecom cutover sequence.</v>
      </c>
      <c r="R17" s="106" t="str">
        <f>B16_Assessment!$H$4</f>
        <v>Building 16 includes new basement Telecom Room 015 and existing basement Telecom Room 014; field verification, active service transfer, 240V UPS/PDU power, dedicated cooling, panel replacement/source coordination, firestopping, PACS/CCTV integration, and cable tray coordination remain open.</v>
      </c>
      <c r="S17" s="106">
        <f t="shared" si="0"/>
        <v>0</v>
      </c>
      <c r="T17" s="139">
        <f t="shared" si="1"/>
        <v>0</v>
      </c>
      <c r="U17" s="139">
        <f t="shared" si="2"/>
        <v>0</v>
      </c>
      <c r="V17" s="139" t="str">
        <f t="shared" si="3"/>
        <v>Monitor</v>
      </c>
      <c r="W17" s="139" t="str">
        <f t="shared" si="4"/>
        <v>Review</v>
      </c>
      <c r="X17" s="139">
        <f>IFERROR(B16_Assessment!$F$4,0)</f>
        <v>0</v>
      </c>
      <c r="Y17" s="143" t="str">
        <f t="shared" si="5"/>
        <v>Mapped</v>
      </c>
      <c r="Z17" s="354">
        <f t="shared" ca="1" si="6"/>
        <v>0</v>
      </c>
      <c r="AA17" s="253" t="str">
        <f t="shared" ca="1" si="7"/>
        <v>Withhold / Review</v>
      </c>
      <c r="AB17" s="354">
        <f t="shared" ca="1" si="8"/>
        <v>0</v>
      </c>
      <c r="AC17" s="253" t="str">
        <f t="shared" ca="1" si="9"/>
        <v>Blocked</v>
      </c>
      <c r="AD17" s="253" t="str">
        <f ca="1">IF($AQ17=0,"Owner controls not mapped",IFERROR(IF(_xludf.TEXTJOIN("; ",TRUE,INDIRECT("'"&amp;$B17&amp;"'!F"&amp;$AQ17+2&amp;":F"&amp;$AQ17+9))="","No blocker documented",_xludf.TEXTJOIN("; ",TRUE,INDIRECT("'"&amp;$B17&amp;"'!F"&amp;$AQ17+2&amp;":F"&amp;$AQ17+9))),"No blocker documented"))</f>
        <v>No blocker documented</v>
      </c>
      <c r="AE17" s="354">
        <f t="shared" ca="1" si="10"/>
        <v>0.5</v>
      </c>
      <c r="AF17" s="253" t="str">
        <f t="shared" ca="1" si="11"/>
        <v>Deficiency / Review</v>
      </c>
      <c r="AG17" s="354">
        <f t="shared" ca="1" si="12"/>
        <v>0</v>
      </c>
      <c r="AH17" s="253" t="str">
        <f t="shared" ca="1" si="13"/>
        <v>Critical / Document</v>
      </c>
      <c r="AI17" s="354">
        <f t="shared" ca="1" si="14"/>
        <v>0</v>
      </c>
      <c r="AJ17" s="253" t="str">
        <f t="shared" ca="1" si="15"/>
        <v>Not Ready</v>
      </c>
      <c r="AK17" s="354">
        <f t="shared" ca="1" si="16"/>
        <v>0</v>
      </c>
      <c r="AL17" s="355">
        <f t="shared" ca="1" si="17"/>
        <v>6</v>
      </c>
      <c r="AM17" s="253" t="str">
        <f t="shared" ca="1" si="18"/>
        <v>Resolve OIT Blocker</v>
      </c>
      <c r="AN17" s="253" t="str">
        <f t="shared" ca="1" si="19"/>
        <v>🔴 ATTENTION</v>
      </c>
      <c r="AO17" s="354">
        <f t="shared" ca="1" si="25"/>
        <v>0.1</v>
      </c>
      <c r="AP17" s="357">
        <f t="shared" ca="1" si="20"/>
        <v>91</v>
      </c>
      <c r="AQ17" s="357">
        <f t="shared" ca="1" si="21"/>
        <v>100</v>
      </c>
      <c r="AR17" s="357">
        <f t="shared" ca="1" si="22"/>
        <v>112</v>
      </c>
      <c r="AS17" s="357">
        <f t="shared" ca="1" si="23"/>
        <v>121</v>
      </c>
      <c r="AT17" s="357">
        <f t="shared" ca="1" si="24"/>
        <v>129</v>
      </c>
      <c r="AU17" s="196"/>
      <c r="AV17" s="196"/>
    </row>
    <row r="18" spans="1:48" ht="97.5" customHeight="1">
      <c r="A18" s="106" t="str">
        <f>B17_Assessment!$B$2&amp;""</f>
        <v>17</v>
      </c>
      <c r="B18" s="106" t="str">
        <f>"B17_Assessment"</f>
        <v>B17_Assessment</v>
      </c>
      <c r="C18" s="106" t="str">
        <f>B17_Assessment!$F$2</f>
        <v>Yellow</v>
      </c>
      <c r="D18" s="142">
        <f>B17_Assessment!$H$2</f>
        <v>0.5</v>
      </c>
      <c r="E18" s="142">
        <f>IFERROR(B17_Assessment!$H$2,0)</f>
        <v>0.5</v>
      </c>
      <c r="F18" s="106" t="str">
        <f>B17_Assessment!$J$2</f>
        <v>No</v>
      </c>
      <c r="G18" s="106">
        <f>MAX(0,COUNTA(B17_Assessment!$A$10:$A$49)-COUNTIF(B17_Assessment!$A$10:$A$49,"*. *"))</f>
        <v>27</v>
      </c>
      <c r="H18" s="106">
        <f>IFERROR(B17_Assessment!$B$4,0)</f>
        <v>0</v>
      </c>
      <c r="I18" s="106">
        <f>IFERROR(B17_Assessment!$D$4,0)</f>
        <v>0</v>
      </c>
      <c r="J18" s="106">
        <f>SUMPRODUCT(--(ISNUMBER(SEARCH("-P",B17_Assessment!$A$1:$A$300&amp;""))),--((B17_Assessment!$I$1:$I$300="Open")+(B17_Assessment!$I$1:$I$300="In Progress")))</f>
        <v>0</v>
      </c>
      <c r="K18" s="106" t="str">
        <f>B17_Assessment!$B$5</f>
        <v>Verify</v>
      </c>
      <c r="L18" s="106" t="str">
        <f>B17_Assessment!$D$5</f>
        <v>Verify</v>
      </c>
      <c r="M18" s="106" t="str">
        <f>B17_Assessment!$F$5</f>
        <v>Verify</v>
      </c>
      <c r="N18" s="106" t="str">
        <f>B17_Assessment!$H$5</f>
        <v>Verify</v>
      </c>
      <c r="O18" s="106" t="str">
        <f>B17_Assessment!$J$5</f>
        <v>Verify</v>
      </c>
      <c r="P18" s="106" t="str">
        <f>B17_Assessment!$B$6</f>
        <v>Verify</v>
      </c>
      <c r="Q18" s="106" t="str">
        <f>B17_Assessment!$D$6</f>
        <v>Field verify Telecom Room 118, existing B35A, and Building 29 service path; confirm active services, B17-TR118A/B panel sources, BUS-B17-EQDP / BUS-B17-NPB1-R sources, IU/CU-1-01 cooling, FEC, fire alarm/sprinkler impacts, cable tray route, PACS/CCTV scope, hazardous material impacts, and cutover plan.</v>
      </c>
      <c r="R18" s="106" t="str">
        <f>B17_Assessment!$H$4</f>
        <v>Building 17_29 includes new first-level Telecom Room 118 serving Building 17 and Building 29, plus existing basement Telecom Closet B35A; field verification, active-service transfer, 208V UPS/PDU power, dedicated cooling, first-level hazardous material coordination, cable tray, firestopping, and PACS/CCTV integration remain open.</v>
      </c>
      <c r="S18" s="106">
        <f t="shared" si="0"/>
        <v>0</v>
      </c>
      <c r="T18" s="139">
        <f t="shared" si="1"/>
        <v>0</v>
      </c>
      <c r="U18" s="139">
        <f t="shared" si="2"/>
        <v>0</v>
      </c>
      <c r="V18" s="139" t="str">
        <f t="shared" si="3"/>
        <v>Monitor</v>
      </c>
      <c r="W18" s="139" t="str">
        <f t="shared" si="4"/>
        <v>Review</v>
      </c>
      <c r="X18" s="139">
        <f>IFERROR(B17_Assessment!$F$4,0)</f>
        <v>0</v>
      </c>
      <c r="Y18" s="143" t="str">
        <f t="shared" si="5"/>
        <v>Mapped</v>
      </c>
      <c r="Z18" s="354">
        <f t="shared" ca="1" si="6"/>
        <v>0</v>
      </c>
      <c r="AA18" s="253" t="str">
        <f t="shared" ca="1" si="7"/>
        <v>Withhold / Review</v>
      </c>
      <c r="AB18" s="354">
        <f t="shared" ca="1" si="8"/>
        <v>0</v>
      </c>
      <c r="AC18" s="253" t="str">
        <f t="shared" ca="1" si="9"/>
        <v>Blocked</v>
      </c>
      <c r="AD18" s="253" t="str">
        <f ca="1">IF($AQ18=0,"Owner controls not mapped",IFERROR(IF(_xludf.TEXTJOIN("; ",TRUE,INDIRECT("'"&amp;$B18&amp;"'!F"&amp;$AQ18+2&amp;":F"&amp;$AQ18+9))="","No blocker documented",_xludf.TEXTJOIN("; ",TRUE,INDIRECT("'"&amp;$B18&amp;"'!F"&amp;$AQ18+2&amp;":F"&amp;$AQ18+9))),"No blocker documented"))</f>
        <v>No blocker documented</v>
      </c>
      <c r="AE18" s="354">
        <f t="shared" ca="1" si="10"/>
        <v>0.5</v>
      </c>
      <c r="AF18" s="253" t="str">
        <f t="shared" ca="1" si="11"/>
        <v>Deficiency / Review</v>
      </c>
      <c r="AG18" s="354">
        <f t="shared" ca="1" si="12"/>
        <v>0</v>
      </c>
      <c r="AH18" s="253" t="str">
        <f t="shared" ca="1" si="13"/>
        <v>Critical / Document</v>
      </c>
      <c r="AI18" s="354">
        <f t="shared" ca="1" si="14"/>
        <v>0</v>
      </c>
      <c r="AJ18" s="253" t="str">
        <f t="shared" ca="1" si="15"/>
        <v>Not Ready</v>
      </c>
      <c r="AK18" s="354">
        <f t="shared" ca="1" si="16"/>
        <v>0</v>
      </c>
      <c r="AL18" s="355">
        <f t="shared" ca="1" si="17"/>
        <v>6</v>
      </c>
      <c r="AM18" s="253" t="str">
        <f t="shared" ca="1" si="18"/>
        <v>Resolve OIT Blocker</v>
      </c>
      <c r="AN18" s="253" t="str">
        <f t="shared" ca="1" si="19"/>
        <v>🔴 ATTENTION</v>
      </c>
      <c r="AO18" s="354">
        <f t="shared" ca="1" si="25"/>
        <v>0.1</v>
      </c>
      <c r="AP18" s="357">
        <f t="shared" ca="1" si="20"/>
        <v>99</v>
      </c>
      <c r="AQ18" s="357">
        <f t="shared" ca="1" si="21"/>
        <v>108</v>
      </c>
      <c r="AR18" s="357">
        <f t="shared" ca="1" si="22"/>
        <v>120</v>
      </c>
      <c r="AS18" s="357">
        <f t="shared" ca="1" si="23"/>
        <v>129</v>
      </c>
      <c r="AT18" s="357">
        <f t="shared" ca="1" si="24"/>
        <v>137</v>
      </c>
      <c r="AU18" s="196"/>
      <c r="AV18" s="196"/>
    </row>
    <row r="19" spans="1:48" ht="97.5" customHeight="1">
      <c r="A19" s="106" t="str">
        <f>B18_Assessment!$B$2&amp;""</f>
        <v>18</v>
      </c>
      <c r="B19" s="106" t="str">
        <f>"B18_Assessment"</f>
        <v>B18_Assessment</v>
      </c>
      <c r="C19" s="106" t="str">
        <f>B18_Assessment!$F$2</f>
        <v>Yellow</v>
      </c>
      <c r="D19" s="142">
        <f>B18_Assessment!$H$2</f>
        <v>0.5</v>
      </c>
      <c r="E19" s="142">
        <f>IFERROR(B18_Assessment!$H$2,0)</f>
        <v>0.5</v>
      </c>
      <c r="F19" s="106" t="str">
        <f>B18_Assessment!$J$2</f>
        <v>No</v>
      </c>
      <c r="G19" s="106">
        <f>MAX(0,COUNTA(B18_Assessment!$A$10:$A$49)-COUNTIF(B18_Assessment!$A$10:$A$49,"*. *"))</f>
        <v>27</v>
      </c>
      <c r="H19" s="106">
        <f>IFERROR(B18_Assessment!$B$4,0)</f>
        <v>0</v>
      </c>
      <c r="I19" s="106">
        <f>IFERROR(B18_Assessment!$D$4,0)</f>
        <v>0</v>
      </c>
      <c r="J19" s="106">
        <f>SUMPRODUCT(--(ISNUMBER(SEARCH("-P",B18_Assessment!$A$1:$A$300&amp;""))),--((B18_Assessment!$I$1:$I$300="Open")+(B18_Assessment!$I$1:$I$300="In Progress")))</f>
        <v>0</v>
      </c>
      <c r="K19" s="106" t="str">
        <f>B18_Assessment!$B$5</f>
        <v>Verify</v>
      </c>
      <c r="L19" s="106" t="str">
        <f>B18_Assessment!$D$5</f>
        <v>Verify</v>
      </c>
      <c r="M19" s="106" t="str">
        <f>B18_Assessment!$F$5</f>
        <v>Verify</v>
      </c>
      <c r="N19" s="106" t="str">
        <f>B18_Assessment!$H$5</f>
        <v>Verify</v>
      </c>
      <c r="O19" s="106" t="str">
        <f>B18_Assessment!$J$5</f>
        <v>Verify</v>
      </c>
      <c r="P19" s="106" t="str">
        <f>B18_Assessment!$B$6</f>
        <v>Verify</v>
      </c>
      <c r="Q19" s="106" t="str">
        <f>B18_Assessment!$D$6</f>
        <v>Field verify Telecom Room 110, existing TE 111B, existing Closet 213, and all active services; confirm B18-TR110A/B panel sources, IU/CU-1-01 cooling, FEC, fire alarm/sprinkler impacts, cable tray route, PACS/CCTV scope, lead-paint/hazardous impacts, and cutover plan.</v>
      </c>
      <c r="R19" s="106" t="str">
        <f>B18_Assessment!$H$4</f>
        <v>Building 18 includes new first-level Telecom Room 110 and existing telecom transition rooms 111B and 213; field verification, active-service transfer, 208V UPS/PDU power, dedicated cooling, lead-paint/first-level hazardous material coordination, firestopping, cable tray, and PACS/CCTV integration remain open.</v>
      </c>
      <c r="S19" s="106">
        <f t="shared" si="0"/>
        <v>0</v>
      </c>
      <c r="T19" s="139">
        <f t="shared" si="1"/>
        <v>0</v>
      </c>
      <c r="U19" s="139">
        <f t="shared" si="2"/>
        <v>0</v>
      </c>
      <c r="V19" s="139" t="str">
        <f t="shared" si="3"/>
        <v>Monitor</v>
      </c>
      <c r="W19" s="139" t="str">
        <f t="shared" si="4"/>
        <v>Review</v>
      </c>
      <c r="X19" s="139">
        <f>IFERROR(B18_Assessment!$F$4,0)</f>
        <v>0</v>
      </c>
      <c r="Y19" s="143" t="str">
        <f t="shared" si="5"/>
        <v>Mapped</v>
      </c>
      <c r="Z19" s="354">
        <f t="shared" ca="1" si="6"/>
        <v>0</v>
      </c>
      <c r="AA19" s="253" t="str">
        <f t="shared" ca="1" si="7"/>
        <v>Withhold / Review</v>
      </c>
      <c r="AB19" s="354">
        <f t="shared" ca="1" si="8"/>
        <v>0</v>
      </c>
      <c r="AC19" s="253" t="str">
        <f t="shared" ca="1" si="9"/>
        <v>Blocked</v>
      </c>
      <c r="AD19" s="253" t="str">
        <f ca="1">IF($AQ19=0,"Owner controls not mapped",IFERROR(IF(_xludf.TEXTJOIN("; ",TRUE,INDIRECT("'"&amp;$B19&amp;"'!F"&amp;$AQ19+2&amp;":F"&amp;$AQ19+9))="","No blocker documented",_xludf.TEXTJOIN("; ",TRUE,INDIRECT("'"&amp;$B19&amp;"'!F"&amp;$AQ19+2&amp;":F"&amp;$AQ19+9))),"No blocker documented"))</f>
        <v>No blocker documented</v>
      </c>
      <c r="AE19" s="354">
        <f t="shared" ca="1" si="10"/>
        <v>0.5</v>
      </c>
      <c r="AF19" s="253" t="str">
        <f t="shared" ca="1" si="11"/>
        <v>Deficiency / Review</v>
      </c>
      <c r="AG19" s="354">
        <f t="shared" ca="1" si="12"/>
        <v>0</v>
      </c>
      <c r="AH19" s="253" t="str">
        <f t="shared" ca="1" si="13"/>
        <v>Critical / Document</v>
      </c>
      <c r="AI19" s="354">
        <f t="shared" ca="1" si="14"/>
        <v>0</v>
      </c>
      <c r="AJ19" s="253" t="str">
        <f t="shared" ca="1" si="15"/>
        <v>Not Ready</v>
      </c>
      <c r="AK19" s="354">
        <f t="shared" ca="1" si="16"/>
        <v>0</v>
      </c>
      <c r="AL19" s="355">
        <f t="shared" ca="1" si="17"/>
        <v>6</v>
      </c>
      <c r="AM19" s="253" t="str">
        <f t="shared" ca="1" si="18"/>
        <v>Resolve OIT Blocker</v>
      </c>
      <c r="AN19" s="253" t="str">
        <f t="shared" ca="1" si="19"/>
        <v>🔴 ATTENTION</v>
      </c>
      <c r="AO19" s="354">
        <f t="shared" ca="1" si="25"/>
        <v>0.1</v>
      </c>
      <c r="AP19" s="357">
        <f t="shared" ca="1" si="20"/>
        <v>98</v>
      </c>
      <c r="AQ19" s="357">
        <f t="shared" ca="1" si="21"/>
        <v>107</v>
      </c>
      <c r="AR19" s="357">
        <f t="shared" ca="1" si="22"/>
        <v>119</v>
      </c>
      <c r="AS19" s="357">
        <f t="shared" ca="1" si="23"/>
        <v>128</v>
      </c>
      <c r="AT19" s="357">
        <f t="shared" ca="1" si="24"/>
        <v>136</v>
      </c>
      <c r="AU19" s="196"/>
      <c r="AV19" s="196"/>
    </row>
    <row r="20" spans="1:48" ht="97.5" customHeight="1">
      <c r="A20" s="106" t="str">
        <f>B20_Assessment!$B$2&amp;""</f>
        <v>20</v>
      </c>
      <c r="B20" s="106" t="str">
        <f>"B20_Assessment"</f>
        <v>B20_Assessment</v>
      </c>
      <c r="C20" s="106" t="str">
        <f>B20_Assessment!$F$2</f>
        <v>Yellow</v>
      </c>
      <c r="D20" s="142">
        <f>B20_Assessment!$H$2</f>
        <v>0.5</v>
      </c>
      <c r="E20" s="142">
        <f>IFERROR(B20_Assessment!$H$2,0)</f>
        <v>0.5</v>
      </c>
      <c r="F20" s="106" t="str">
        <f>B20_Assessment!$J$2</f>
        <v>No</v>
      </c>
      <c r="G20" s="106">
        <f>MAX(0,COUNTA(B20_Assessment!$A$10:$A$49)-COUNTIF(B20_Assessment!$A$10:$A$49,"*. *"))</f>
        <v>26</v>
      </c>
      <c r="H20" s="106">
        <f>IFERROR(B20_Assessment!$B$4,0)</f>
        <v>0</v>
      </c>
      <c r="I20" s="106">
        <f>IFERROR(B20_Assessment!$D$4,0)</f>
        <v>0</v>
      </c>
      <c r="J20" s="106">
        <f>SUMPRODUCT(--(ISNUMBER(SEARCH("-P",B20_Assessment!$A$1:$A$300&amp;""))),--((B20_Assessment!$I$1:$I$300="Open")+(B20_Assessment!$I$1:$I$300="In Progress")))</f>
        <v>0</v>
      </c>
      <c r="K20" s="106" t="str">
        <f>B20_Assessment!$B$5</f>
        <v>Excluded / Verify Existing</v>
      </c>
      <c r="L20" s="106" t="str">
        <f>B20_Assessment!$D$5</f>
        <v>Verify</v>
      </c>
      <c r="M20" s="106" t="str">
        <f>B20_Assessment!$F$5</f>
        <v>Verify</v>
      </c>
      <c r="N20" s="106" t="str">
        <f>B20_Assessment!$H$5</f>
        <v>Excluded / Firestop Only</v>
      </c>
      <c r="O20" s="106" t="str">
        <f>B20_Assessment!$J$5</f>
        <v>Verify Existing</v>
      </c>
      <c r="P20" s="106" t="str">
        <f>B20_Assessment!$B$6</f>
        <v>Verify Existing</v>
      </c>
      <c r="Q20" s="106" t="str">
        <f>B20_Assessment!$D$6</f>
        <v>Field verify Office 1B new TE location, existing Tel/Data Closet 8A, active services, TE01-1B-1 schedule, existing open TE cabinet, existing ground bar/patch panel/equipment box/indoor AC/backboard, 459 ft cable tray route, 10 Cat6A cross-connect cables, power/UPS/PDU source, and fiber Path A/B cutover.</v>
      </c>
      <c r="R20" s="106" t="str">
        <f>B20_Assessment!$H$4</f>
        <v>Building 20 is a telecom-enclosure building, not a full TR buildout. Scope centers on new first-level Office 1B wall-mount TE enclosure and existing Tel/Data Closet 8A; mechanical and fire protection scope are excluded by the cover sheet, but field verification, active equipment transfer, fiber/copper cutover, cable tray, firestopping, power/UPS/PDU, and existing equipment protection remain open.</v>
      </c>
      <c r="S20" s="106">
        <f t="shared" si="0"/>
        <v>0</v>
      </c>
      <c r="T20" s="139">
        <f t="shared" si="1"/>
        <v>0</v>
      </c>
      <c r="U20" s="139">
        <f t="shared" si="2"/>
        <v>0</v>
      </c>
      <c r="V20" s="139" t="str">
        <f t="shared" si="3"/>
        <v>Monitor</v>
      </c>
      <c r="W20" s="139" t="str">
        <f t="shared" si="4"/>
        <v>Review</v>
      </c>
      <c r="X20" s="139">
        <f>IFERROR(B20_Assessment!$F$4,0)</f>
        <v>0</v>
      </c>
      <c r="Y20" s="143" t="str">
        <f t="shared" si="5"/>
        <v>Mapped</v>
      </c>
      <c r="Z20" s="354">
        <f t="shared" ca="1" si="6"/>
        <v>0</v>
      </c>
      <c r="AA20" s="253" t="str">
        <f t="shared" ca="1" si="7"/>
        <v>Withhold / Review</v>
      </c>
      <c r="AB20" s="354">
        <f t="shared" ca="1" si="8"/>
        <v>0</v>
      </c>
      <c r="AC20" s="253" t="str">
        <f t="shared" ca="1" si="9"/>
        <v>Blocked</v>
      </c>
      <c r="AD20" s="253" t="str">
        <f ca="1">IF($AQ20=0,"Owner controls not mapped",IFERROR(IF(_xludf.TEXTJOIN("; ",TRUE,INDIRECT("'"&amp;$B20&amp;"'!F"&amp;$AQ20+2&amp;":F"&amp;$AQ20+9))="","No blocker documented",_xludf.TEXTJOIN("; ",TRUE,INDIRECT("'"&amp;$B20&amp;"'!F"&amp;$AQ20+2&amp;":F"&amp;$AQ20+9))),"No blocker documented"))</f>
        <v>No blocker documented</v>
      </c>
      <c r="AE20" s="354">
        <f t="shared" ca="1" si="10"/>
        <v>0.5</v>
      </c>
      <c r="AF20" s="253" t="str">
        <f t="shared" ca="1" si="11"/>
        <v>Deficiency / Review</v>
      </c>
      <c r="AG20" s="354">
        <f t="shared" ca="1" si="12"/>
        <v>0</v>
      </c>
      <c r="AH20" s="253" t="str">
        <f t="shared" ca="1" si="13"/>
        <v>Critical / Document</v>
      </c>
      <c r="AI20" s="354">
        <f t="shared" ca="1" si="14"/>
        <v>0</v>
      </c>
      <c r="AJ20" s="253" t="str">
        <f t="shared" ca="1" si="15"/>
        <v>Not Ready</v>
      </c>
      <c r="AK20" s="354">
        <f t="shared" ca="1" si="16"/>
        <v>0</v>
      </c>
      <c r="AL20" s="355">
        <f t="shared" ca="1" si="17"/>
        <v>6</v>
      </c>
      <c r="AM20" s="253" t="str">
        <f t="shared" ca="1" si="18"/>
        <v>Resolve OIT Blocker</v>
      </c>
      <c r="AN20" s="253" t="str">
        <f t="shared" ca="1" si="19"/>
        <v>🔴 ATTENTION</v>
      </c>
      <c r="AO20" s="354">
        <f t="shared" ca="1" si="25"/>
        <v>0.1</v>
      </c>
      <c r="AP20" s="357">
        <f t="shared" ca="1" si="20"/>
        <v>90</v>
      </c>
      <c r="AQ20" s="357">
        <f t="shared" ca="1" si="21"/>
        <v>99</v>
      </c>
      <c r="AR20" s="357">
        <f t="shared" ca="1" si="22"/>
        <v>111</v>
      </c>
      <c r="AS20" s="357">
        <f t="shared" ca="1" si="23"/>
        <v>120</v>
      </c>
      <c r="AT20" s="357">
        <f t="shared" ca="1" si="24"/>
        <v>128</v>
      </c>
      <c r="AU20" s="196"/>
      <c r="AV20" s="196"/>
    </row>
    <row r="21" spans="1:48" ht="97.5" customHeight="1">
      <c r="A21" s="106" t="str">
        <f>B21_Assessment!$B$2&amp;""</f>
        <v>21</v>
      </c>
      <c r="B21" s="106" t="str">
        <f>"B21_Assessment"</f>
        <v>B21_Assessment</v>
      </c>
      <c r="C21" s="106" t="str">
        <f>B21_Assessment!$F$2</f>
        <v>Yellow</v>
      </c>
      <c r="D21" s="142">
        <f>B21_Assessment!$H$2</f>
        <v>0.5</v>
      </c>
      <c r="E21" s="142">
        <f>IFERROR(B21_Assessment!$H$2,0)</f>
        <v>0.5</v>
      </c>
      <c r="F21" s="106" t="str">
        <f>B21_Assessment!$J$2</f>
        <v>No</v>
      </c>
      <c r="G21" s="106">
        <f>MAX(0,COUNTA(B21_Assessment!$A$10:$A$49)-COUNTIF(B21_Assessment!$A$10:$A$49,"*. *"))</f>
        <v>27</v>
      </c>
      <c r="H21" s="106">
        <f>IFERROR(B21_Assessment!$B$4,0)</f>
        <v>0</v>
      </c>
      <c r="I21" s="106">
        <f>IFERROR(B21_Assessment!$D$4,0)</f>
        <v>0</v>
      </c>
      <c r="J21" s="106">
        <f>SUMPRODUCT(--(ISNUMBER(SEARCH("-P",B21_Assessment!$A$1:$A$300&amp;""))),--((B21_Assessment!$I$1:$I$300="Open")+(B21_Assessment!$I$1:$I$300="In Progress")))</f>
        <v>0</v>
      </c>
      <c r="K21" s="106" t="str">
        <f>B21_Assessment!$B$5</f>
        <v>Verify</v>
      </c>
      <c r="L21" s="106" t="str">
        <f>B21_Assessment!$D$5</f>
        <v>Verify</v>
      </c>
      <c r="M21" s="106" t="str">
        <f>B21_Assessment!$F$5</f>
        <v>Verify</v>
      </c>
      <c r="N21" s="106" t="str">
        <f>B21_Assessment!$H$5</f>
        <v>Excluded / Firestop Only</v>
      </c>
      <c r="O21" s="106" t="str">
        <f>B21_Assessment!$J$5</f>
        <v>Verify Existing</v>
      </c>
      <c r="P21" s="106" t="str">
        <f>B21_Assessment!$B$6</f>
        <v>Verify Existing</v>
      </c>
      <c r="Q21" s="106" t="str">
        <f>B21_Assessment!$D$6</f>
        <v>Field verify new TE location at M&amp;O Foreman Office 100A, existing B21 B1.TR, existing B19 B05TR, B19-serving-B21 relationship, active services, TR01-104-1 / 100-A schedule, 659 ft cable tray route, 10 Cat6A cross-connect cables, UPS/PDU source, fiber paths A/B, and all firestopping/penetrations.</v>
      </c>
      <c r="R21" s="106" t="str">
        <f>B21_Assessment!$H$4</f>
        <v>Building 21 is combined with Building 19 and is primarily a telecom-enclosure scope. New first-level M&amp;O Foreman Office 100A / RM 104 schedule is served by a new 12RU TE enclosure, while existing Building 21 B1.TR and Building 19 B05TR equipment remain transition points. Fire protection scope is excluded, but mechanical/electrical sheets exist for equipment support. Field verification, active-service transfer, 659 ft cable tray, firestopping, UPS/PDU power, fiber/copper cutover, and B19/B21 scope boundary remain open.</v>
      </c>
      <c r="S21" s="106">
        <f t="shared" si="0"/>
        <v>0</v>
      </c>
      <c r="T21" s="139">
        <f t="shared" si="1"/>
        <v>0</v>
      </c>
      <c r="U21" s="139">
        <f t="shared" si="2"/>
        <v>0</v>
      </c>
      <c r="V21" s="139" t="str">
        <f t="shared" si="3"/>
        <v>Monitor</v>
      </c>
      <c r="W21" s="139" t="str">
        <f t="shared" si="4"/>
        <v>Review</v>
      </c>
      <c r="X21" s="139">
        <f>IFERROR(B21_Assessment!$F$4,0)</f>
        <v>0</v>
      </c>
      <c r="Y21" s="143" t="str">
        <f t="shared" si="5"/>
        <v>Mapped</v>
      </c>
      <c r="Z21" s="354">
        <f t="shared" ca="1" si="6"/>
        <v>0</v>
      </c>
      <c r="AA21" s="253" t="str">
        <f t="shared" ca="1" si="7"/>
        <v>Withhold / Review</v>
      </c>
      <c r="AB21" s="354">
        <f t="shared" ca="1" si="8"/>
        <v>0</v>
      </c>
      <c r="AC21" s="253" t="str">
        <f t="shared" ca="1" si="9"/>
        <v>Blocked</v>
      </c>
      <c r="AD21" s="253" t="str">
        <f ca="1">IF($AQ21=0,"Owner controls not mapped",IFERROR(IF(_xludf.TEXTJOIN("; ",TRUE,INDIRECT("'"&amp;$B21&amp;"'!F"&amp;$AQ21+2&amp;":F"&amp;$AQ21+9))="","No blocker documented",_xludf.TEXTJOIN("; ",TRUE,INDIRECT("'"&amp;$B21&amp;"'!F"&amp;$AQ21+2&amp;":F"&amp;$AQ21+9))),"No blocker documented"))</f>
        <v>No blocker documented</v>
      </c>
      <c r="AE21" s="354">
        <f t="shared" ca="1" si="10"/>
        <v>0.5</v>
      </c>
      <c r="AF21" s="253" t="str">
        <f t="shared" ca="1" si="11"/>
        <v>Deficiency / Review</v>
      </c>
      <c r="AG21" s="354">
        <f t="shared" ca="1" si="12"/>
        <v>0</v>
      </c>
      <c r="AH21" s="253" t="str">
        <f t="shared" ca="1" si="13"/>
        <v>Critical / Document</v>
      </c>
      <c r="AI21" s="354">
        <f t="shared" ca="1" si="14"/>
        <v>0</v>
      </c>
      <c r="AJ21" s="253" t="str">
        <f t="shared" ca="1" si="15"/>
        <v>Not Ready</v>
      </c>
      <c r="AK21" s="354">
        <f t="shared" ca="1" si="16"/>
        <v>0</v>
      </c>
      <c r="AL21" s="355">
        <f t="shared" ca="1" si="17"/>
        <v>6</v>
      </c>
      <c r="AM21" s="253" t="str">
        <f t="shared" ca="1" si="18"/>
        <v>Resolve OIT Blocker</v>
      </c>
      <c r="AN21" s="253" t="str">
        <f t="shared" ca="1" si="19"/>
        <v>🔴 ATTENTION</v>
      </c>
      <c r="AO21" s="354">
        <f t="shared" ca="1" si="25"/>
        <v>0.1</v>
      </c>
      <c r="AP21" s="357">
        <f t="shared" ca="1" si="20"/>
        <v>98</v>
      </c>
      <c r="AQ21" s="357">
        <f t="shared" ca="1" si="21"/>
        <v>107</v>
      </c>
      <c r="AR21" s="357">
        <f t="shared" ca="1" si="22"/>
        <v>119</v>
      </c>
      <c r="AS21" s="357">
        <f t="shared" ca="1" si="23"/>
        <v>128</v>
      </c>
      <c r="AT21" s="357">
        <f t="shared" ca="1" si="24"/>
        <v>136</v>
      </c>
      <c r="AU21" s="196"/>
      <c r="AV21" s="196"/>
    </row>
    <row r="22" spans="1:48" ht="97.5" customHeight="1">
      <c r="A22" s="106" t="str">
        <f>B22_Assessment!$B$2&amp;""</f>
        <v>22</v>
      </c>
      <c r="B22" s="106" t="str">
        <f>"B22_Assessment"</f>
        <v>B22_Assessment</v>
      </c>
      <c r="C22" s="106" t="str">
        <f>B22_Assessment!$F$2</f>
        <v>Yellow</v>
      </c>
      <c r="D22" s="142">
        <f>B22_Assessment!$H$2</f>
        <v>0.5</v>
      </c>
      <c r="E22" s="142">
        <f>IFERROR(B22_Assessment!$H$2,0)</f>
        <v>0.5</v>
      </c>
      <c r="F22" s="106" t="str">
        <f>B22_Assessment!$J$2</f>
        <v>No</v>
      </c>
      <c r="G22" s="106">
        <f>MAX(0,COUNTA(B22_Assessment!$A$10:$A$49)-COUNTIF(B22_Assessment!$A$10:$A$49,"*. *"))</f>
        <v>26</v>
      </c>
      <c r="H22" s="106">
        <f>IFERROR(B22_Assessment!$B$4,0)</f>
        <v>0</v>
      </c>
      <c r="I22" s="106">
        <f>IFERROR(B22_Assessment!$D$4,0)</f>
        <v>0</v>
      </c>
      <c r="J22" s="106">
        <f>SUMPRODUCT(--(ISNUMBER(SEARCH("-P",B22_Assessment!$A$1:$A$300&amp;""))),--((B22_Assessment!$I$1:$I$300="Open")+(B22_Assessment!$I$1:$I$300="In Progress")))</f>
        <v>0</v>
      </c>
      <c r="K22" s="106" t="str">
        <f>B22_Assessment!$B$5</f>
        <v>Excluded / Verify Existing</v>
      </c>
      <c r="L22" s="106" t="str">
        <f>B22_Assessment!$D$5</f>
        <v>Verify</v>
      </c>
      <c r="M22" s="106" t="str">
        <f>B22_Assessment!$F$5</f>
        <v>Verify</v>
      </c>
      <c r="N22" s="106" t="str">
        <f>B22_Assessment!$H$5</f>
        <v>Excluded / Firestop Only</v>
      </c>
      <c r="O22" s="106" t="str">
        <f>B22_Assessment!$J$5</f>
        <v>Verify Existing</v>
      </c>
      <c r="P22" s="106" t="str">
        <f>B22_Assessment!$B$6</f>
        <v>Verify Existing</v>
      </c>
      <c r="Q22" s="106" t="str">
        <f>B22_Assessment!$D$6</f>
        <v>Field verify Break Room 102 new TE location, existing Room 103 wall/wall-mount TE, active services, TR01-102-1 schedule, 139 ft cable tray route, 10 Cat6A cross-connect cables, UPS/PDU source, fiber paths A/B, firestopping/sleeves, and existing B19 port relationship.</v>
      </c>
      <c r="R22" s="106" t="str">
        <f>B22_Assessment!$H$4</f>
        <v>Building 22 is a telecom-enclosure building with mechanical and fire protection scope excluded. Scope centers on new first-level Break Room 102 TE enclosure and existing first-level wall/wall-mount TE Room 103. Field verification, active service transfer, 139 ft cable tray, 10 Cat6A cross-connect cables, UPS/PDU power, firestopping, and B19 utility service relationship remain open.</v>
      </c>
      <c r="S22" s="106">
        <f t="shared" si="0"/>
        <v>0</v>
      </c>
      <c r="T22" s="139">
        <f t="shared" si="1"/>
        <v>0</v>
      </c>
      <c r="U22" s="139">
        <f t="shared" si="2"/>
        <v>0</v>
      </c>
      <c r="V22" s="139" t="str">
        <f t="shared" si="3"/>
        <v>Monitor</v>
      </c>
      <c r="W22" s="139" t="str">
        <f t="shared" si="4"/>
        <v>Review</v>
      </c>
      <c r="X22" s="139">
        <f>IFERROR(B22_Assessment!$F$4,0)</f>
        <v>0</v>
      </c>
      <c r="Y22" s="143" t="str">
        <f t="shared" si="5"/>
        <v>Mapped</v>
      </c>
      <c r="Z22" s="354">
        <f t="shared" ca="1" si="6"/>
        <v>0</v>
      </c>
      <c r="AA22" s="253" t="str">
        <f t="shared" ca="1" si="7"/>
        <v>Withhold / Review</v>
      </c>
      <c r="AB22" s="354">
        <f t="shared" ca="1" si="8"/>
        <v>0</v>
      </c>
      <c r="AC22" s="253" t="str">
        <f t="shared" ca="1" si="9"/>
        <v>Blocked</v>
      </c>
      <c r="AD22" s="253" t="str">
        <f ca="1">IF($AQ22=0,"Owner controls not mapped",IFERROR(IF(_xludf.TEXTJOIN("; ",TRUE,INDIRECT("'"&amp;$B22&amp;"'!F"&amp;$AQ22+2&amp;":F"&amp;$AQ22+9))="","No blocker documented",_xludf.TEXTJOIN("; ",TRUE,INDIRECT("'"&amp;$B22&amp;"'!F"&amp;$AQ22+2&amp;":F"&amp;$AQ22+9))),"No blocker documented"))</f>
        <v>No blocker documented</v>
      </c>
      <c r="AE22" s="354">
        <f t="shared" ca="1" si="10"/>
        <v>0.5</v>
      </c>
      <c r="AF22" s="253" t="str">
        <f t="shared" ca="1" si="11"/>
        <v>Deficiency / Review</v>
      </c>
      <c r="AG22" s="354">
        <f t="shared" ca="1" si="12"/>
        <v>0</v>
      </c>
      <c r="AH22" s="253" t="str">
        <f t="shared" ca="1" si="13"/>
        <v>Critical / Document</v>
      </c>
      <c r="AI22" s="354">
        <f t="shared" ca="1" si="14"/>
        <v>0</v>
      </c>
      <c r="AJ22" s="253" t="str">
        <f t="shared" ca="1" si="15"/>
        <v>Not Ready</v>
      </c>
      <c r="AK22" s="354">
        <f t="shared" ca="1" si="16"/>
        <v>0</v>
      </c>
      <c r="AL22" s="355">
        <f t="shared" ca="1" si="17"/>
        <v>6</v>
      </c>
      <c r="AM22" s="253" t="str">
        <f t="shared" ca="1" si="18"/>
        <v>Resolve OIT Blocker</v>
      </c>
      <c r="AN22" s="253" t="str">
        <f t="shared" ca="1" si="19"/>
        <v>🔴 ATTENTION</v>
      </c>
      <c r="AO22" s="354">
        <f t="shared" ca="1" si="25"/>
        <v>0.1</v>
      </c>
      <c r="AP22" s="357">
        <f t="shared" ca="1" si="20"/>
        <v>92</v>
      </c>
      <c r="AQ22" s="357">
        <f t="shared" ca="1" si="21"/>
        <v>101</v>
      </c>
      <c r="AR22" s="357">
        <f t="shared" ca="1" si="22"/>
        <v>113</v>
      </c>
      <c r="AS22" s="357">
        <f t="shared" ca="1" si="23"/>
        <v>122</v>
      </c>
      <c r="AT22" s="357">
        <f t="shared" ca="1" si="24"/>
        <v>130</v>
      </c>
      <c r="AU22" s="196"/>
      <c r="AV22" s="196"/>
    </row>
    <row r="23" spans="1:48" ht="97.5" customHeight="1">
      <c r="A23" s="106" t="str">
        <f>B33_Assessment!$B$2&amp;""</f>
        <v>33</v>
      </c>
      <c r="B23" s="106" t="str">
        <f>"B33_Assessment"</f>
        <v>B33_Assessment</v>
      </c>
      <c r="C23" s="106" t="str">
        <f>B33_Assessment!$F$2</f>
        <v>Yellow</v>
      </c>
      <c r="D23" s="142">
        <f>B33_Assessment!$H$2</f>
        <v>0.5</v>
      </c>
      <c r="E23" s="142">
        <f>IFERROR(B33_Assessment!$H$2,0)</f>
        <v>0.5</v>
      </c>
      <c r="F23" s="106" t="str">
        <f>B33_Assessment!$J$2</f>
        <v>No</v>
      </c>
      <c r="G23" s="106">
        <f>MAX(0,COUNTA(B33_Assessment!$A$10:$A$49)-COUNTIF(B33_Assessment!$A$10:$A$49,"*. *"))</f>
        <v>26</v>
      </c>
      <c r="H23" s="106">
        <f>IFERROR(B33_Assessment!$B$4,0)</f>
        <v>0</v>
      </c>
      <c r="I23" s="106">
        <f>IFERROR(B33_Assessment!$D$4,0)</f>
        <v>0</v>
      </c>
      <c r="J23" s="106">
        <f>SUMPRODUCT(--(ISNUMBER(SEARCH("-P",B33_Assessment!$A$1:$A$300&amp;""))),--((B33_Assessment!$I$1:$I$300="Open")+(B33_Assessment!$I$1:$I$300="In Progress")))</f>
        <v>0</v>
      </c>
      <c r="K23" s="106" t="str">
        <f>B33_Assessment!$B$5</f>
        <v>Excluded / Verify Existing</v>
      </c>
      <c r="L23" s="106" t="str">
        <f>B33_Assessment!$D$5</f>
        <v>Verify</v>
      </c>
      <c r="M23" s="106" t="str">
        <f>B33_Assessment!$F$5</f>
        <v>Verify</v>
      </c>
      <c r="N23" s="106" t="str">
        <f>B33_Assessment!$H$5</f>
        <v>Excluded / Firestop Only</v>
      </c>
      <c r="O23" s="106" t="str">
        <f>B33_Assessment!$J$5</f>
        <v>Verify Existing</v>
      </c>
      <c r="P23" s="106" t="str">
        <f>B33_Assessment!$B$6</f>
        <v>Verify Existing</v>
      </c>
      <c r="Q23" s="106" t="str">
        <f>B33_Assessment!$D$6</f>
        <v>Field verify EEO Manager Office B23 new TE location, existing Tel Closet B17, active services, TE01-B23-1 schedule, 102 ft basement cable tray route, 10 Cat6A cross-connect cables, UPS/PDU source, fiber paths A/B, firestopping/sleeves, existing camera/security devices, and B17 legacy port/service relationships.</v>
      </c>
      <c r="R23" s="106" t="str">
        <f>B33_Assessment!$H$4</f>
        <v>Building 33 is a telecom-enclosure building with mechanical and fire protection scope excluded. Scope centers on new basement EEO Manager Office B23 TE enclosure and existing Tel Closet B17. Field verification, active service transfer, 102 ft basement cable tray, 10 Cat6A cross-connect cables, UPS/PDU power, firestopping, fiber/copper cutover, and legacy service relationships to Buildings 3, 80 and 82 remain open.</v>
      </c>
      <c r="S23" s="106">
        <f t="shared" si="0"/>
        <v>0</v>
      </c>
      <c r="T23" s="139">
        <f t="shared" si="1"/>
        <v>0</v>
      </c>
      <c r="U23" s="139">
        <f t="shared" si="2"/>
        <v>0</v>
      </c>
      <c r="V23" s="139" t="str">
        <f t="shared" si="3"/>
        <v>Monitor</v>
      </c>
      <c r="W23" s="139" t="str">
        <f t="shared" si="4"/>
        <v>Review</v>
      </c>
      <c r="X23" s="139">
        <f>IFERROR(B33_Assessment!$F$4,0)</f>
        <v>0</v>
      </c>
      <c r="Y23" s="143" t="str">
        <f t="shared" si="5"/>
        <v>Mapped</v>
      </c>
      <c r="Z23" s="354">
        <f t="shared" ca="1" si="6"/>
        <v>0</v>
      </c>
      <c r="AA23" s="253" t="str">
        <f t="shared" ca="1" si="7"/>
        <v>Withhold / Review</v>
      </c>
      <c r="AB23" s="354">
        <f t="shared" ca="1" si="8"/>
        <v>0</v>
      </c>
      <c r="AC23" s="253" t="str">
        <f t="shared" ca="1" si="9"/>
        <v>Blocked</v>
      </c>
      <c r="AD23" s="253" t="str">
        <f ca="1">IF($AQ23=0,"Owner controls not mapped",IFERROR(IF(_xludf.TEXTJOIN("; ",TRUE,INDIRECT("'"&amp;$B23&amp;"'!F"&amp;$AQ23+2&amp;":F"&amp;$AQ23+9))="","No blocker documented",_xludf.TEXTJOIN("; ",TRUE,INDIRECT("'"&amp;$B23&amp;"'!F"&amp;$AQ23+2&amp;":F"&amp;$AQ23+9))),"No blocker documented"))</f>
        <v>No blocker documented</v>
      </c>
      <c r="AE23" s="354">
        <f t="shared" ca="1" si="10"/>
        <v>0.5</v>
      </c>
      <c r="AF23" s="253" t="str">
        <f t="shared" ca="1" si="11"/>
        <v>Deficiency / Review</v>
      </c>
      <c r="AG23" s="354">
        <f t="shared" ca="1" si="12"/>
        <v>0</v>
      </c>
      <c r="AH23" s="253" t="str">
        <f t="shared" ca="1" si="13"/>
        <v>Critical / Document</v>
      </c>
      <c r="AI23" s="354">
        <f t="shared" ca="1" si="14"/>
        <v>0</v>
      </c>
      <c r="AJ23" s="253" t="str">
        <f t="shared" ca="1" si="15"/>
        <v>Not Ready</v>
      </c>
      <c r="AK23" s="354">
        <f t="shared" ca="1" si="16"/>
        <v>0</v>
      </c>
      <c r="AL23" s="355">
        <f t="shared" ca="1" si="17"/>
        <v>6</v>
      </c>
      <c r="AM23" s="253" t="str">
        <f t="shared" ca="1" si="18"/>
        <v>Resolve OIT Blocker</v>
      </c>
      <c r="AN23" s="253" t="str">
        <f t="shared" ca="1" si="19"/>
        <v>🔴 ATTENTION</v>
      </c>
      <c r="AO23" s="354">
        <f t="shared" ca="1" si="25"/>
        <v>0.1</v>
      </c>
      <c r="AP23" s="357">
        <f t="shared" ca="1" si="20"/>
        <v>91</v>
      </c>
      <c r="AQ23" s="357">
        <f t="shared" ca="1" si="21"/>
        <v>100</v>
      </c>
      <c r="AR23" s="357">
        <f t="shared" ca="1" si="22"/>
        <v>112</v>
      </c>
      <c r="AS23" s="357">
        <f t="shared" ca="1" si="23"/>
        <v>121</v>
      </c>
      <c r="AT23" s="357">
        <f t="shared" ca="1" si="24"/>
        <v>129</v>
      </c>
      <c r="AU23" s="196"/>
      <c r="AV23" s="196"/>
    </row>
    <row r="24" spans="1:48" ht="97.5" customHeight="1">
      <c r="A24" s="106" t="str">
        <f>B61_Assessment!$B$2&amp;""</f>
        <v>61</v>
      </c>
      <c r="B24" s="106" t="str">
        <f>"B61_Assessment"</f>
        <v>B61_Assessment</v>
      </c>
      <c r="C24" s="106" t="str">
        <f>B61_Assessment!$F$2</f>
        <v>PILOT PHASE</v>
      </c>
      <c r="D24" s="142">
        <f>B61_Assessment!$H$2</f>
        <v>0.55000000000000004</v>
      </c>
      <c r="E24" s="142">
        <f>IFERROR(B61_Assessment!$H$2,0)</f>
        <v>0.55000000000000004</v>
      </c>
      <c r="F24" s="106" t="str">
        <f>B61_Assessment!$J$2</f>
        <v>YES</v>
      </c>
      <c r="G24" s="106">
        <f>MAX(0,COUNTA(B61_Assessment!$A$10:$A$49)-COUNTIF(B61_Assessment!$A$10:$A$49,"*. *"))</f>
        <v>29</v>
      </c>
      <c r="H24" s="106">
        <f>IFERROR(B61_Assessment!$B$4,0)</f>
        <v>0</v>
      </c>
      <c r="I24" s="106">
        <f>IFERROR(B61_Assessment!$D$4,0)</f>
        <v>0</v>
      </c>
      <c r="J24" s="106">
        <f>SUMPRODUCT(--(ISNUMBER(SEARCH("-P",B61_Assessment!$A$1:$A$368&amp;""))),--((B61_Assessment!$I$1:$I$368="Open")+(B61_Assessment!$I$1:$I$368="In Progress")))</f>
        <v>0</v>
      </c>
      <c r="K24" s="106" t="str">
        <f>B61_Assessment!$B$5</f>
        <v>Not Started</v>
      </c>
      <c r="L24" s="106" t="str">
        <f>B61_Assessment!$D$5</f>
        <v>Not Started</v>
      </c>
      <c r="M24" s="106" t="str">
        <f>B61_Assessment!$F$5</f>
        <v>Not Started</v>
      </c>
      <c r="N24" s="106" t="str">
        <f>B61_Assessment!$H$5</f>
        <v>Not Started</v>
      </c>
      <c r="O24" s="106" t="str">
        <f>B61_Assessment!$J$5</f>
        <v>Not Started</v>
      </c>
      <c r="P24" s="106" t="str">
        <f>B61_Assessment!$B$6</f>
        <v>Not Started</v>
      </c>
      <c r="Q24" s="106" t="str">
        <f>B61_Assessment!$D$6</f>
        <v>Field verify B13H-A, 124, 226, and existing 137/137A; confirm active services, rack/equipment transfer, B61-TRB13A/B, B61-TR124A/B, B61-TR226A/B, B61-TR137AA/AB panel sources, IU/CU equipment, fire alarm/sprinkler impacts, FEC locations, PACS/CCTV scope, hazardous/abatement impacts, 1,966 ft cable tray routes, and cutover sequence.</v>
      </c>
      <c r="R24" s="106" t="str">
        <f>B61_Assessment!$H$4</f>
        <v>Building 61 is a large full-scope TR building with hazardous abatement, architectural, fire protection, plumbing, mechanical, electrical, security, telecom, server/demarc and rack elevation scope. Primary new telecom rooms include basement B13H-A, first-level 124, second-level 226, and existing Room 137/137A demarc/server equipment. Major open issues include active-service cutover, dedicated cooling IU/CU-0-01/1-01/2-01, panel source coordination, rack UPS/PDU power, cable tray coordination, firestopping, PACS/CCTV, and turnover testing.</v>
      </c>
      <c r="S24" s="106">
        <f t="shared" si="0"/>
        <v>0</v>
      </c>
      <c r="T24" s="139">
        <f t="shared" si="1"/>
        <v>0</v>
      </c>
      <c r="U24" s="139">
        <f t="shared" si="2"/>
        <v>0</v>
      </c>
      <c r="V24" s="139" t="str">
        <f t="shared" si="3"/>
        <v>Monitor</v>
      </c>
      <c r="W24" s="139" t="str">
        <f t="shared" si="4"/>
        <v>Ready</v>
      </c>
      <c r="X24" s="139">
        <f>IFERROR(B61_Assessment!$F$4,0)</f>
        <v>0</v>
      </c>
      <c r="Y24" s="143" t="str">
        <f t="shared" si="5"/>
        <v>Mapped</v>
      </c>
      <c r="Z24" s="354">
        <f t="shared" ca="1" si="6"/>
        <v>0</v>
      </c>
      <c r="AA24" s="253" t="str">
        <f t="shared" ca="1" si="7"/>
        <v>Withhold / Review</v>
      </c>
      <c r="AB24" s="354">
        <f t="shared" ca="1" si="8"/>
        <v>0</v>
      </c>
      <c r="AC24" s="253" t="str">
        <f t="shared" ca="1" si="9"/>
        <v>Blocked</v>
      </c>
      <c r="AD24" s="253" t="str">
        <f ca="1">IF($AQ24=0,"Owner controls not mapped",IFERROR(IF(_xludf.TEXTJOIN("; ",TRUE,INDIRECT("'"&amp;$B24&amp;"'!F"&amp;$AQ24+2&amp;":F"&amp;$AQ24+9))="","No blocker documented",_xludf.TEXTJOIN("; ",TRUE,INDIRECT("'"&amp;$B24&amp;"'!F"&amp;$AQ24+2&amp;":F"&amp;$AQ24+9))),"No blocker documented"))</f>
        <v>No blocker documented</v>
      </c>
      <c r="AE24" s="354">
        <f t="shared" ca="1" si="10"/>
        <v>0</v>
      </c>
      <c r="AF24" s="253" t="str">
        <f t="shared" ca="1" si="11"/>
        <v>Deficiency / Review</v>
      </c>
      <c r="AG24" s="354">
        <f t="shared" ca="1" si="12"/>
        <v>0</v>
      </c>
      <c r="AH24" s="253" t="str">
        <f t="shared" ca="1" si="13"/>
        <v>Critical / Document</v>
      </c>
      <c r="AI24" s="354">
        <f t="shared" ca="1" si="14"/>
        <v>0</v>
      </c>
      <c r="AJ24" s="253" t="str">
        <f t="shared" ca="1" si="15"/>
        <v>Not Ready</v>
      </c>
      <c r="AK24" s="354">
        <f t="shared" ca="1" si="16"/>
        <v>0</v>
      </c>
      <c r="AL24" s="355">
        <f t="shared" ca="1" si="17"/>
        <v>0</v>
      </c>
      <c r="AM24" s="253" t="str">
        <f t="shared" ca="1" si="18"/>
        <v>Resolve OIT Blocker</v>
      </c>
      <c r="AN24" s="253" t="str">
        <f t="shared" ca="1" si="19"/>
        <v>🔴 ATTENTION</v>
      </c>
      <c r="AO24" s="354">
        <f t="shared" ca="1" si="25"/>
        <v>0</v>
      </c>
      <c r="AP24" s="357">
        <f t="shared" ca="1" si="20"/>
        <v>97</v>
      </c>
      <c r="AQ24" s="357">
        <f t="shared" ca="1" si="21"/>
        <v>106</v>
      </c>
      <c r="AR24" s="357">
        <f t="shared" ca="1" si="22"/>
        <v>118</v>
      </c>
      <c r="AS24" s="357">
        <f t="shared" ca="1" si="23"/>
        <v>127</v>
      </c>
      <c r="AT24" s="357">
        <f t="shared" ca="1" si="24"/>
        <v>135</v>
      </c>
      <c r="AU24" s="196"/>
      <c r="AV24" s="196"/>
    </row>
    <row r="25" spans="1:48" ht="97.5" customHeight="1">
      <c r="A25" s="106" t="str">
        <f>B62_TR_Assessment!$B$2&amp;""</f>
        <v>62</v>
      </c>
      <c r="B25" s="106" t="str">
        <f>"B62_TR_Assessment"</f>
        <v>B62_TR_Assessment</v>
      </c>
      <c r="C25" s="106" t="str">
        <f>B62_TR_Assessment!$F$2</f>
        <v>Yellow</v>
      </c>
      <c r="D25" s="142">
        <f>B62_TR_Assessment!$H$2</f>
        <v>0.5</v>
      </c>
      <c r="E25" s="142">
        <f>IFERROR(B62_TR_Assessment!$H$2,0)</f>
        <v>0.5</v>
      </c>
      <c r="F25" s="106" t="str">
        <f>B62_TR_Assessment!$J$2</f>
        <v>No</v>
      </c>
      <c r="G25" s="106">
        <f>MAX(0,COUNTA(B62_TR_Assessment!$A$10:$A$49)-COUNTIF(B62_TR_Assessment!$A$10:$A$49,"*. *"))</f>
        <v>23</v>
      </c>
      <c r="H25" s="106">
        <f>IFERROR(B62_TR_Assessment!$B$4,0)</f>
        <v>0</v>
      </c>
      <c r="I25" s="106">
        <f>IFERROR(B61_Assessment!$D$4,0)</f>
        <v>0</v>
      </c>
      <c r="J25" s="106">
        <f>SUMPRODUCT(--(ISNUMBER(SEARCH("-P",B62_TR_Assessment!$A$1:$A$300&amp;""))),--((B62_TR_Assessment!$I$1:$I$300="Open")+(B62_TR_Assessment!$I$1:$I$300="In Progress")))</f>
        <v>0</v>
      </c>
      <c r="K25" s="106" t="str">
        <f>B62_TR_Assessment!$B$5</f>
        <v>Verify</v>
      </c>
      <c r="L25" s="106" t="str">
        <f>B62_TR_Assessment!$D$5</f>
        <v>Verify</v>
      </c>
      <c r="M25" s="106" t="str">
        <f>B62_TR_Assessment!$F$5</f>
        <v>Verify</v>
      </c>
      <c r="N25" s="106" t="str">
        <f>B62_TR_Assessment!$H$5</f>
        <v>Verify</v>
      </c>
      <c r="O25" s="106" t="str">
        <f>B62_TR_Assessment!$J$5</f>
        <v>Verify</v>
      </c>
      <c r="P25" s="106" t="str">
        <f>B62_TR_Assessment!$B$6</f>
        <v>Verify</v>
      </c>
      <c r="Q25" s="106" t="str">
        <f>B62_TR_Assessment!$D$6</f>
        <v>Verify cooling power path, firestopping, extinguisher location, and existing conditions</v>
      </c>
      <c r="R25" s="106" t="str">
        <f>B62_TR_Assessment!$H$4</f>
        <v>Cooling / emergency power not verified</v>
      </c>
      <c r="S25" s="106">
        <f t="shared" si="0"/>
        <v>0</v>
      </c>
      <c r="T25" s="139">
        <f t="shared" si="1"/>
        <v>0</v>
      </c>
      <c r="U25" s="139">
        <f t="shared" si="2"/>
        <v>0</v>
      </c>
      <c r="V25" s="139" t="str">
        <f t="shared" si="3"/>
        <v>Monitor</v>
      </c>
      <c r="W25" s="139" t="str">
        <f t="shared" si="4"/>
        <v>Review</v>
      </c>
      <c r="X25" s="139">
        <f>IFERROR(B62_TR_Assessment!$F$4,0)</f>
        <v>0</v>
      </c>
      <c r="Y25" s="143" t="str">
        <f t="shared" si="5"/>
        <v>Mapped</v>
      </c>
      <c r="Z25" s="354">
        <f t="shared" ca="1" si="6"/>
        <v>0</v>
      </c>
      <c r="AA25" s="253" t="str">
        <f t="shared" ca="1" si="7"/>
        <v>Withhold / Review</v>
      </c>
      <c r="AB25" s="354">
        <f t="shared" ca="1" si="8"/>
        <v>0</v>
      </c>
      <c r="AC25" s="253" t="str">
        <f t="shared" ca="1" si="9"/>
        <v>Blocked</v>
      </c>
      <c r="AD25" s="253" t="str">
        <f ca="1">IF($AQ25=0,"Owner controls not mapped",IFERROR(IF(_xludf.TEXTJOIN("; ",TRUE,INDIRECT("'"&amp;$B25&amp;"'!F"&amp;$AQ25+2&amp;":F"&amp;$AQ25+9))="","No blocker documented",_xludf.TEXTJOIN("; ",TRUE,INDIRECT("'"&amp;$B25&amp;"'!F"&amp;$AQ25+2&amp;":F"&amp;$AQ25+9))),"No blocker documented"))</f>
        <v>No blocker documented</v>
      </c>
      <c r="AE25" s="354">
        <f t="shared" ca="1" si="10"/>
        <v>0.5</v>
      </c>
      <c r="AF25" s="253" t="str">
        <f t="shared" ca="1" si="11"/>
        <v>Deficiency / Review</v>
      </c>
      <c r="AG25" s="354">
        <f t="shared" ca="1" si="12"/>
        <v>0</v>
      </c>
      <c r="AH25" s="253" t="str">
        <f t="shared" ca="1" si="13"/>
        <v>Critical / Document</v>
      </c>
      <c r="AI25" s="354">
        <f t="shared" ca="1" si="14"/>
        <v>0</v>
      </c>
      <c r="AJ25" s="253" t="str">
        <f t="shared" ca="1" si="15"/>
        <v>Not Ready</v>
      </c>
      <c r="AK25" s="354">
        <f t="shared" ca="1" si="16"/>
        <v>0</v>
      </c>
      <c r="AL25" s="355">
        <f t="shared" ca="1" si="17"/>
        <v>6</v>
      </c>
      <c r="AM25" s="253" t="str">
        <f t="shared" ca="1" si="18"/>
        <v>Resolve OIT Blocker</v>
      </c>
      <c r="AN25" s="253" t="str">
        <f t="shared" ca="1" si="19"/>
        <v>🔴 ATTENTION</v>
      </c>
      <c r="AO25" s="354">
        <f t="shared" ca="1" si="25"/>
        <v>0.1</v>
      </c>
      <c r="AP25" s="357">
        <f t="shared" ca="1" si="20"/>
        <v>80</v>
      </c>
      <c r="AQ25" s="357">
        <f t="shared" ca="1" si="21"/>
        <v>89</v>
      </c>
      <c r="AR25" s="357">
        <f t="shared" ca="1" si="22"/>
        <v>101</v>
      </c>
      <c r="AS25" s="357">
        <f t="shared" ca="1" si="23"/>
        <v>110</v>
      </c>
      <c r="AT25" s="357">
        <f t="shared" ca="1" si="24"/>
        <v>118</v>
      </c>
      <c r="AU25" s="196"/>
      <c r="AV25" s="196"/>
    </row>
    <row r="26" spans="1:48" ht="97.5" customHeight="1">
      <c r="A26" s="106" t="str">
        <f>B70_TR_Assessment!$B$2&amp;""</f>
        <v>70</v>
      </c>
      <c r="B26" s="106" t="str">
        <f>"B70_TR_Assessment"</f>
        <v>B70_TR_Assessment</v>
      </c>
      <c r="C26" s="106" t="str">
        <f>B70_TR_Assessment!$F$2</f>
        <v>Yellow</v>
      </c>
      <c r="D26" s="142">
        <f>B70_TR_Assessment!$H$2</f>
        <v>0.5</v>
      </c>
      <c r="E26" s="142">
        <f>IFERROR(B70_TR_Assessment!$H$2,0)</f>
        <v>0.5</v>
      </c>
      <c r="F26" s="106" t="str">
        <f>B70_TR_Assessment!$J$2</f>
        <v>No</v>
      </c>
      <c r="G26" s="106">
        <f>MAX(0,COUNTA(B70_TR_Assessment!$A$10:$A$49)-COUNTIF(B70_TR_Assessment!$A$10:$A$49,"*. *"))</f>
        <v>23</v>
      </c>
      <c r="H26" s="106">
        <f>IFERROR(B70_TR_Assessment!$B$4,0)</f>
        <v>0</v>
      </c>
      <c r="I26" s="106">
        <f>IFERROR(B61_Assessment!$D$4,0)</f>
        <v>0</v>
      </c>
      <c r="J26" s="106">
        <f>SUMPRODUCT(--(ISNUMBER(SEARCH("-P",B70_TR_Assessment!$A$1:$A$354&amp;""))),--((B70_TR_Assessment!$I$1:$I$354="Open")+(B70_TR_Assessment!$I$1:$I$354="In Progress")))</f>
        <v>0</v>
      </c>
      <c r="K26" s="106" t="str">
        <f>B70_TR_Assessment!$B$5</f>
        <v>Verify</v>
      </c>
      <c r="L26" s="106" t="str">
        <f>B70_TR_Assessment!$D$5</f>
        <v>Verify</v>
      </c>
      <c r="M26" s="106" t="str">
        <f>B70_TR_Assessment!$F$5</f>
        <v>Verify</v>
      </c>
      <c r="N26" s="106" t="str">
        <f>B70_TR_Assessment!$H$5</f>
        <v>Verify</v>
      </c>
      <c r="O26" s="106" t="str">
        <f>B70_TR_Assessment!$J$5</f>
        <v>Verify</v>
      </c>
      <c r="P26" s="106" t="str">
        <f>B70_TR_Assessment!$B$6</f>
        <v>Verify</v>
      </c>
      <c r="Q26" s="106" t="str">
        <f>B70_TR_Assessment!$D$6</f>
        <v>Verify cooling power path, firestopping, extinguisher locations, and migration phasing</v>
      </c>
      <c r="R26" s="106" t="str">
        <f>B70_TR_Assessment!$H$4</f>
        <v>Cooling / emergency power and existing TR phasing not verified</v>
      </c>
      <c r="S26" s="106">
        <f t="shared" si="0"/>
        <v>0</v>
      </c>
      <c r="T26" s="139">
        <f t="shared" si="1"/>
        <v>0</v>
      </c>
      <c r="U26" s="139">
        <f t="shared" si="2"/>
        <v>0</v>
      </c>
      <c r="V26" s="139" t="str">
        <f t="shared" si="3"/>
        <v>Monitor</v>
      </c>
      <c r="W26" s="139" t="str">
        <f t="shared" si="4"/>
        <v>Review</v>
      </c>
      <c r="X26" s="139">
        <f>IFERROR(B70_TR_Assessment!$F$4,0)</f>
        <v>0</v>
      </c>
      <c r="Y26" s="143" t="str">
        <f t="shared" si="5"/>
        <v>Mapped</v>
      </c>
      <c r="Z26" s="354">
        <f t="shared" ca="1" si="6"/>
        <v>0</v>
      </c>
      <c r="AA26" s="253" t="str">
        <f t="shared" ca="1" si="7"/>
        <v>Withhold / Review</v>
      </c>
      <c r="AB26" s="354">
        <f t="shared" ca="1" si="8"/>
        <v>0</v>
      </c>
      <c r="AC26" s="253" t="str">
        <f t="shared" ca="1" si="9"/>
        <v>Blocked</v>
      </c>
      <c r="AD26" s="253" t="str">
        <f ca="1">IF($AQ26=0,"Owner controls not mapped",IFERROR(IF(_xludf.TEXTJOIN("; ",TRUE,INDIRECT("'"&amp;$B26&amp;"'!F"&amp;$AQ26+2&amp;":F"&amp;$AQ26+9))="","No blocker documented",_xludf.TEXTJOIN("; ",TRUE,INDIRECT("'"&amp;$B26&amp;"'!F"&amp;$AQ26+2&amp;":F"&amp;$AQ26+9))),"No blocker documented"))</f>
        <v>No blocker documented</v>
      </c>
      <c r="AE26" s="354">
        <f t="shared" ca="1" si="10"/>
        <v>0.5</v>
      </c>
      <c r="AF26" s="253" t="str">
        <f t="shared" ca="1" si="11"/>
        <v>Deficiency / Review</v>
      </c>
      <c r="AG26" s="354">
        <f t="shared" ca="1" si="12"/>
        <v>0</v>
      </c>
      <c r="AH26" s="253" t="str">
        <f t="shared" ca="1" si="13"/>
        <v>Critical / Document</v>
      </c>
      <c r="AI26" s="354">
        <f t="shared" ca="1" si="14"/>
        <v>0</v>
      </c>
      <c r="AJ26" s="253" t="str">
        <f t="shared" ca="1" si="15"/>
        <v>Not Ready</v>
      </c>
      <c r="AK26" s="354">
        <f t="shared" ca="1" si="16"/>
        <v>0</v>
      </c>
      <c r="AL26" s="355">
        <f t="shared" ca="1" si="17"/>
        <v>6</v>
      </c>
      <c r="AM26" s="253" t="str">
        <f t="shared" ca="1" si="18"/>
        <v>Resolve OIT Blocker</v>
      </c>
      <c r="AN26" s="253" t="str">
        <f t="shared" ca="1" si="19"/>
        <v>🔴 ATTENTION</v>
      </c>
      <c r="AO26" s="354">
        <f t="shared" ca="1" si="25"/>
        <v>0.1</v>
      </c>
      <c r="AP26" s="357">
        <f t="shared" ca="1" si="20"/>
        <v>84</v>
      </c>
      <c r="AQ26" s="357">
        <f t="shared" ca="1" si="21"/>
        <v>93</v>
      </c>
      <c r="AR26" s="357">
        <f t="shared" ca="1" si="22"/>
        <v>105</v>
      </c>
      <c r="AS26" s="357">
        <f t="shared" ca="1" si="23"/>
        <v>114</v>
      </c>
      <c r="AT26" s="357">
        <f t="shared" ca="1" si="24"/>
        <v>122</v>
      </c>
      <c r="AU26" s="196"/>
      <c r="AV26" s="196"/>
    </row>
    <row r="27" spans="1:48" ht="97.5" customHeight="1">
      <c r="A27" s="106" t="str">
        <f>B78_Assessment!$B$2&amp;""</f>
        <v>78</v>
      </c>
      <c r="B27" s="106" t="str">
        <f>"B78_Assessment"</f>
        <v>B78_Assessment</v>
      </c>
      <c r="C27" s="106" t="str">
        <f>B78_Assessment!$F$2</f>
        <v>Yellow</v>
      </c>
      <c r="D27" s="142">
        <f>B78_Assessment!$H$2</f>
        <v>0.5</v>
      </c>
      <c r="E27" s="142">
        <f>IFERROR(B78_Assessment!$H$2,0)</f>
        <v>0.5</v>
      </c>
      <c r="F27" s="106" t="str">
        <f>B78_Assessment!$J$2</f>
        <v>No</v>
      </c>
      <c r="G27" s="106">
        <f>MAX(0,COUNTA(B78_Assessment!$A$10:$A$49)-COUNTIF(B78_Assessment!$A$10:$A$49,"*. *"))</f>
        <v>32</v>
      </c>
      <c r="H27" s="106">
        <f>IFERROR(B78_Assessment!$B$4,0)</f>
        <v>0</v>
      </c>
      <c r="I27" s="106">
        <f>IFERROR(B78_Assessment!$D$4,0)</f>
        <v>0</v>
      </c>
      <c r="J27" s="106">
        <f>SUMPRODUCT(--(ISNUMBER(SEARCH("-P",B78_Assessment!$A$1:$A$300&amp;""))),--((B78_Assessment!$I$1:$I$300="Open")+(B78_Assessment!$I$1:$I$300="In Progress")))</f>
        <v>0</v>
      </c>
      <c r="K27" s="106" t="str">
        <f>B78_Assessment!$B$5</f>
        <v>Verify</v>
      </c>
      <c r="L27" s="106" t="str">
        <f>B78_Assessment!$D$5</f>
        <v>Verify</v>
      </c>
      <c r="M27" s="106" t="str">
        <f>B78_Assessment!$F$5</f>
        <v>Verify</v>
      </c>
      <c r="N27" s="106" t="str">
        <f>B78_Assessment!$H$5</f>
        <v>Verify</v>
      </c>
      <c r="O27" s="106" t="str">
        <f>B78_Assessment!$J$5</f>
        <v>Verify</v>
      </c>
      <c r="P27" s="106" t="str">
        <f>B78_Assessment!$B$6</f>
        <v>Verify</v>
      </c>
      <c r="Q27" s="106" t="str">
        <f>B78_Assessment!$D$6</f>
        <v>Field verify rooms B30, B35, 1232, 227A, 342, 401 and existing telecom rooms 15E, 1234, 353, 308A, 408A; confirm active equipment, rack transfers, HVAC units, panel sources, UPS/PDU power, FEC locations, FA/FP modifications, PACS/CCTV, hazardous material impacts, cable tray routes, firestopping, and cutover sequence.</v>
      </c>
      <c r="R27" s="106" t="str">
        <f>B78_Assessment!$H$4</f>
        <v>Building 78/78A is a very large full-scope TR building with basement through fourth-level telecom rooms, existing telecom rooms, hazardous abatement, architectural, fire protection, mechanical, electrical, security, telecom, rack elevations and photo references. Major open issues include active service cutover, dedicated HVAC validation, panel/UPS/PDU coordination, 4,849 ft cable tray routes, firestopping, PACS/CCTV, existing rack transfers, and turnover testing.</v>
      </c>
      <c r="S27" s="106">
        <f t="shared" si="0"/>
        <v>0</v>
      </c>
      <c r="T27" s="139">
        <f t="shared" si="1"/>
        <v>0</v>
      </c>
      <c r="U27" s="139">
        <f t="shared" si="2"/>
        <v>0</v>
      </c>
      <c r="V27" s="139" t="str">
        <f t="shared" si="3"/>
        <v>Monitor</v>
      </c>
      <c r="W27" s="139" t="str">
        <f t="shared" si="4"/>
        <v>Review</v>
      </c>
      <c r="X27" s="139">
        <f>IFERROR(B78_Assessment!$F$4,0)</f>
        <v>0</v>
      </c>
      <c r="Y27" s="143" t="str">
        <f t="shared" si="5"/>
        <v>Mapped</v>
      </c>
      <c r="Z27" s="354">
        <f t="shared" ca="1" si="6"/>
        <v>0</v>
      </c>
      <c r="AA27" s="253" t="str">
        <f t="shared" ca="1" si="7"/>
        <v>Withhold / Review</v>
      </c>
      <c r="AB27" s="354">
        <f t="shared" ca="1" si="8"/>
        <v>0</v>
      </c>
      <c r="AC27" s="253" t="str">
        <f t="shared" ca="1" si="9"/>
        <v>Blocked</v>
      </c>
      <c r="AD27" s="253" t="str">
        <f ca="1">IF($AQ27=0,"Owner controls not mapped",IFERROR(IF(_xludf.TEXTJOIN("; ",TRUE,INDIRECT("'"&amp;$B27&amp;"'!F"&amp;$AQ27+2&amp;":F"&amp;$AQ27+9))="","No blocker documented",_xludf.TEXTJOIN("; ",TRUE,INDIRECT("'"&amp;$B27&amp;"'!F"&amp;$AQ27+2&amp;":F"&amp;$AQ27+9))),"No blocker documented"))</f>
        <v>No blocker documented</v>
      </c>
      <c r="AE27" s="354">
        <f t="shared" ca="1" si="10"/>
        <v>0.5</v>
      </c>
      <c r="AF27" s="253" t="str">
        <f t="shared" ca="1" si="11"/>
        <v>Deficiency / Review</v>
      </c>
      <c r="AG27" s="354">
        <f t="shared" ca="1" si="12"/>
        <v>0</v>
      </c>
      <c r="AH27" s="253" t="str">
        <f t="shared" ca="1" si="13"/>
        <v>Critical / Document</v>
      </c>
      <c r="AI27" s="354">
        <f t="shared" ca="1" si="14"/>
        <v>0</v>
      </c>
      <c r="AJ27" s="253" t="str">
        <f t="shared" ca="1" si="15"/>
        <v>Not Ready</v>
      </c>
      <c r="AK27" s="354">
        <f t="shared" ca="1" si="16"/>
        <v>0</v>
      </c>
      <c r="AL27" s="355">
        <f t="shared" ca="1" si="17"/>
        <v>6</v>
      </c>
      <c r="AM27" s="253" t="str">
        <f t="shared" ca="1" si="18"/>
        <v>Resolve OIT Blocker</v>
      </c>
      <c r="AN27" s="253" t="str">
        <f t="shared" ca="1" si="19"/>
        <v>🔴 ATTENTION</v>
      </c>
      <c r="AO27" s="354">
        <f t="shared" ca="1" si="25"/>
        <v>0.1</v>
      </c>
      <c r="AP27" s="357">
        <f t="shared" ca="1" si="20"/>
        <v>132</v>
      </c>
      <c r="AQ27" s="357">
        <f t="shared" ca="1" si="21"/>
        <v>141</v>
      </c>
      <c r="AR27" s="357">
        <f t="shared" ca="1" si="22"/>
        <v>153</v>
      </c>
      <c r="AS27" s="357">
        <f t="shared" ca="1" si="23"/>
        <v>162</v>
      </c>
      <c r="AT27" s="357">
        <f t="shared" ca="1" si="24"/>
        <v>170</v>
      </c>
      <c r="AU27" s="196"/>
      <c r="AV27" s="196"/>
    </row>
    <row r="28" spans="1:48" ht="97.5" customHeight="1">
      <c r="A28" s="106" t="str">
        <f>B80_Assessment!$B$2&amp;""</f>
        <v>80</v>
      </c>
      <c r="B28" s="106" t="str">
        <f>"B80_Assessment"</f>
        <v>B80_Assessment</v>
      </c>
      <c r="C28" s="106" t="str">
        <f>B80_Assessment!$F$2</f>
        <v>Yellow</v>
      </c>
      <c r="D28" s="142">
        <f>B80_Assessment!$H$2</f>
        <v>0.5</v>
      </c>
      <c r="E28" s="142">
        <f>IFERROR(B80_Assessment!$H$2,0)</f>
        <v>0.5</v>
      </c>
      <c r="F28" s="106" t="str">
        <f>B80_Assessment!$J$2</f>
        <v>No</v>
      </c>
      <c r="G28" s="106">
        <f>MAX(0,COUNTA(B80_Assessment!$A$10:$A$49)-COUNTIF(B80_Assessment!$A$10:$A$49,"*. *"))</f>
        <v>26</v>
      </c>
      <c r="H28" s="106">
        <f>IFERROR(B80_Assessment!$B$4,0)</f>
        <v>0</v>
      </c>
      <c r="I28" s="106">
        <f>IFERROR(B80_Assessment!$D$4,0)</f>
        <v>0</v>
      </c>
      <c r="J28" s="106">
        <f>SUMPRODUCT(--(ISNUMBER(SEARCH("-P",B80_Assessment!$A$1:$A$300&amp;""))),--((B80_Assessment!$I$1:$I$300="Open")+(B80_Assessment!$I$1:$I$300="In Progress")))</f>
        <v>0</v>
      </c>
      <c r="K28" s="106" t="str">
        <f>B80_Assessment!$B$5</f>
        <v>Verify</v>
      </c>
      <c r="L28" s="106" t="str">
        <f>B80_Assessment!$D$5</f>
        <v>Verify</v>
      </c>
      <c r="M28" s="106" t="str">
        <f>B80_Assessment!$F$5</f>
        <v>Verify</v>
      </c>
      <c r="N28" s="106" t="str">
        <f>B80_Assessment!$H$5</f>
        <v>Verify</v>
      </c>
      <c r="O28" s="106" t="str">
        <f>B80_Assessment!$J$5</f>
        <v>Verify</v>
      </c>
      <c r="P28" s="106" t="str">
        <f>B80_Assessment!$B$6</f>
        <v>Verify</v>
      </c>
      <c r="Q28" s="106" t="str">
        <f>B80_Assessment!$D$6</f>
        <v>Field verify Telecom Room 102 and existing 127A/126; confirm active services, existing rack/equipment transfer, B80-TR102A/B panel sources, IU-1-01/CU-1-01 cooling, fire alarm/sprinkler impacts, FEC location, PACS/CCTV scope, cable tray route, and telecom cutover sequence.</v>
      </c>
      <c r="R28" s="106" t="str">
        <f>B80_Assessment!$H$4</f>
        <v>Building 80 includes a new first-level Telecom Room 102 and existing Tel Closet 127A / photo-reference Room 126 transition point. Field verification, active equipment transfer, dedicated cooling IU-1-01/CU-1-01, B80-TR102A/B power, 811 ft cable tray, firestopping, PACS/CCTV, existing two-post rack migration, and room-number mapping remain open.</v>
      </c>
      <c r="S28" s="106">
        <f t="shared" si="0"/>
        <v>0</v>
      </c>
      <c r="T28" s="139">
        <f t="shared" si="1"/>
        <v>0</v>
      </c>
      <c r="U28" s="139">
        <f t="shared" si="2"/>
        <v>0</v>
      </c>
      <c r="V28" s="139" t="str">
        <f t="shared" si="3"/>
        <v>Monitor</v>
      </c>
      <c r="W28" s="139" t="str">
        <f t="shared" si="4"/>
        <v>Review</v>
      </c>
      <c r="X28" s="139">
        <f>IFERROR(B80_Assessment!$F$4,0)</f>
        <v>0</v>
      </c>
      <c r="Y28" s="143" t="str">
        <f t="shared" si="5"/>
        <v>Mapped</v>
      </c>
      <c r="Z28" s="354">
        <f t="shared" ca="1" si="6"/>
        <v>0</v>
      </c>
      <c r="AA28" s="253" t="str">
        <f t="shared" ca="1" si="7"/>
        <v>Withhold / Review</v>
      </c>
      <c r="AB28" s="354">
        <f t="shared" ca="1" si="8"/>
        <v>0</v>
      </c>
      <c r="AC28" s="253" t="str">
        <f t="shared" ca="1" si="9"/>
        <v>Blocked</v>
      </c>
      <c r="AD28" s="253" t="str">
        <f ca="1">IF($AQ28=0,"Owner controls not mapped",IFERROR(IF(_xludf.TEXTJOIN("; ",TRUE,INDIRECT("'"&amp;$B28&amp;"'!F"&amp;$AQ28+2&amp;":F"&amp;$AQ28+9))="","No blocker documented",_xludf.TEXTJOIN("; ",TRUE,INDIRECT("'"&amp;$B28&amp;"'!F"&amp;$AQ28+2&amp;":F"&amp;$AQ28+9))),"No blocker documented"))</f>
        <v>No blocker documented</v>
      </c>
      <c r="AE28" s="354">
        <f t="shared" ca="1" si="10"/>
        <v>0.5</v>
      </c>
      <c r="AF28" s="253" t="str">
        <f t="shared" ca="1" si="11"/>
        <v>Deficiency / Review</v>
      </c>
      <c r="AG28" s="354">
        <f t="shared" ca="1" si="12"/>
        <v>0</v>
      </c>
      <c r="AH28" s="253" t="str">
        <f t="shared" ca="1" si="13"/>
        <v>Critical / Document</v>
      </c>
      <c r="AI28" s="354">
        <f t="shared" ca="1" si="14"/>
        <v>0</v>
      </c>
      <c r="AJ28" s="253" t="str">
        <f t="shared" ca="1" si="15"/>
        <v>Not Ready</v>
      </c>
      <c r="AK28" s="354">
        <f t="shared" ca="1" si="16"/>
        <v>0</v>
      </c>
      <c r="AL28" s="355">
        <f t="shared" ca="1" si="17"/>
        <v>6</v>
      </c>
      <c r="AM28" s="253" t="str">
        <f t="shared" ca="1" si="18"/>
        <v>Resolve OIT Blocker</v>
      </c>
      <c r="AN28" s="253" t="str">
        <f t="shared" ca="1" si="19"/>
        <v>🔴 ATTENTION</v>
      </c>
      <c r="AO28" s="354">
        <f t="shared" ca="1" si="25"/>
        <v>0.1</v>
      </c>
      <c r="AP28" s="357">
        <f t="shared" ca="1" si="20"/>
        <v>91</v>
      </c>
      <c r="AQ28" s="357">
        <f t="shared" ca="1" si="21"/>
        <v>100</v>
      </c>
      <c r="AR28" s="357">
        <f t="shared" ca="1" si="22"/>
        <v>112</v>
      </c>
      <c r="AS28" s="357">
        <f t="shared" ca="1" si="23"/>
        <v>121</v>
      </c>
      <c r="AT28" s="357">
        <f t="shared" ca="1" si="24"/>
        <v>129</v>
      </c>
      <c r="AU28" s="196"/>
      <c r="AV28" s="196"/>
    </row>
    <row r="29" spans="1:48" ht="97.5" customHeight="1">
      <c r="A29" s="106" t="str">
        <f>B82_Assessment!$B$2&amp;""</f>
        <v>82</v>
      </c>
      <c r="B29" s="106" t="str">
        <f>"B82_Assessment"</f>
        <v>B82_Assessment</v>
      </c>
      <c r="C29" s="106" t="str">
        <f>B82_Assessment!$F$2</f>
        <v>Yellow</v>
      </c>
      <c r="D29" s="142">
        <f>B82_Assessment!$H$2</f>
        <v>0.5</v>
      </c>
      <c r="E29" s="142">
        <f>IFERROR(B82_Assessment!$H$2,0)</f>
        <v>0.5</v>
      </c>
      <c r="F29" s="106" t="str">
        <f>B82_Assessment!$J$2</f>
        <v>No</v>
      </c>
      <c r="G29" s="106">
        <f>MAX(0,COUNTA(B82_Assessment!$A$10:$A$49)-COUNTIF(B82_Assessment!$A$10:$A$49,"*. *"))</f>
        <v>26</v>
      </c>
      <c r="H29" s="106">
        <f>IFERROR(B82_Assessment!$B$4,0)</f>
        <v>0</v>
      </c>
      <c r="I29" s="106">
        <f>IFERROR(B82_Assessment!$D$4,0)</f>
        <v>0</v>
      </c>
      <c r="J29" s="106">
        <f>SUMPRODUCT(--(ISNUMBER(SEARCH("-P",B82_Assessment!$A$1:$A$300&amp;""))),--((B82_Assessment!$I$1:$I$300="Open")+(B82_Assessment!$I$1:$I$300="In Progress")))</f>
        <v>0</v>
      </c>
      <c r="K29" s="106" t="str">
        <f>B82_Assessment!$B$5</f>
        <v>Verify</v>
      </c>
      <c r="L29" s="106" t="str">
        <f>B82_Assessment!$D$5</f>
        <v>Verify</v>
      </c>
      <c r="M29" s="106" t="str">
        <f>B82_Assessment!$F$5</f>
        <v>Verify</v>
      </c>
      <c r="N29" s="106" t="str">
        <f>B82_Assessment!$H$5</f>
        <v>Excluded / Firestop Only</v>
      </c>
      <c r="O29" s="106" t="str">
        <f>B82_Assessment!$J$5</f>
        <v>Verify Existing</v>
      </c>
      <c r="P29" s="106" t="str">
        <f>B82_Assessment!$B$6</f>
        <v>Excluded / Verify Existing</v>
      </c>
      <c r="Q29" s="106" t="str">
        <f>B82_Assessment!$D$6</f>
        <v>Field verify Room 102 new TE location, existing B01-A, active services, TR01-102-01 schedule, 278 ft cable tray route, 10 Cat6A cable legend, UPS/PDU source, B82-MDP/B82-P-EMER connections, IU-1-01/CU-1-01 cooling, fiber paths A/B, firestopping/sleeves, existing cameras and TE cutover plan.</v>
      </c>
      <c r="R29" s="106" t="str">
        <f>B82_Assessment!$H$4</f>
        <v>Building 82 is identified as a Telecom Enclosure (TE) building on the cover sheet, with fire protection scope excluded, but mechanical sheets show IU-1-01/CU-1-01 dedicated cooling for Room 102 and electrical drawings show B82-MDP/B82-P-EMER power. Scope centers on new first-level Telecom Room 102 / 12RU enclosure and existing first-level Telecom Room B01-A transition point. Field verification, active-equipment transfer, 278 ft cable tray, firestopping, UPS/PDU power, HVAC controls, fiber/copper cutover, and room/equipment mapping remain open.</v>
      </c>
      <c r="S29" s="106">
        <f t="shared" si="0"/>
        <v>0</v>
      </c>
      <c r="T29" s="139">
        <f t="shared" si="1"/>
        <v>0</v>
      </c>
      <c r="U29" s="139">
        <f t="shared" si="2"/>
        <v>0</v>
      </c>
      <c r="V29" s="139" t="str">
        <f t="shared" si="3"/>
        <v>Monitor</v>
      </c>
      <c r="W29" s="139" t="str">
        <f t="shared" si="4"/>
        <v>Review</v>
      </c>
      <c r="X29" s="139">
        <f>IFERROR(B82_Assessment!$F$4,0)</f>
        <v>0</v>
      </c>
      <c r="Y29" s="143" t="str">
        <f t="shared" si="5"/>
        <v>Mapped</v>
      </c>
      <c r="Z29" s="354">
        <f t="shared" ca="1" si="6"/>
        <v>0</v>
      </c>
      <c r="AA29" s="253" t="str">
        <f t="shared" ca="1" si="7"/>
        <v>Withhold / Review</v>
      </c>
      <c r="AB29" s="354">
        <f t="shared" ca="1" si="8"/>
        <v>0</v>
      </c>
      <c r="AC29" s="253" t="str">
        <f t="shared" ca="1" si="9"/>
        <v>Blocked</v>
      </c>
      <c r="AD29" s="253" t="str">
        <f ca="1">IF($AQ29=0,"Owner controls not mapped",IFERROR(IF(_xludf.TEXTJOIN("; ",TRUE,INDIRECT("'"&amp;$B29&amp;"'!F"&amp;$AQ29+2&amp;":F"&amp;$AQ29+9))="","No blocker documented",_xludf.TEXTJOIN("; ",TRUE,INDIRECT("'"&amp;$B29&amp;"'!F"&amp;$AQ29+2&amp;":F"&amp;$AQ29+9))),"No blocker documented"))</f>
        <v>No blocker documented</v>
      </c>
      <c r="AE29" s="354">
        <f t="shared" ca="1" si="10"/>
        <v>0.5</v>
      </c>
      <c r="AF29" s="253" t="str">
        <f t="shared" ca="1" si="11"/>
        <v>Deficiency / Review</v>
      </c>
      <c r="AG29" s="354">
        <f t="shared" ca="1" si="12"/>
        <v>0</v>
      </c>
      <c r="AH29" s="253" t="str">
        <f t="shared" ca="1" si="13"/>
        <v>Critical / Document</v>
      </c>
      <c r="AI29" s="354">
        <f t="shared" ca="1" si="14"/>
        <v>0</v>
      </c>
      <c r="AJ29" s="253" t="str">
        <f t="shared" ca="1" si="15"/>
        <v>Not Ready</v>
      </c>
      <c r="AK29" s="354">
        <f t="shared" ca="1" si="16"/>
        <v>0</v>
      </c>
      <c r="AL29" s="355">
        <f t="shared" ca="1" si="17"/>
        <v>6</v>
      </c>
      <c r="AM29" s="253" t="str">
        <f t="shared" ca="1" si="18"/>
        <v>Resolve OIT Blocker</v>
      </c>
      <c r="AN29" s="253" t="str">
        <f t="shared" ca="1" si="19"/>
        <v>🔴 ATTENTION</v>
      </c>
      <c r="AO29" s="354">
        <f t="shared" ca="1" si="25"/>
        <v>0.1</v>
      </c>
      <c r="AP29" s="357">
        <f t="shared" ca="1" si="20"/>
        <v>91</v>
      </c>
      <c r="AQ29" s="357">
        <f t="shared" ca="1" si="21"/>
        <v>100</v>
      </c>
      <c r="AR29" s="357">
        <f t="shared" ca="1" si="22"/>
        <v>112</v>
      </c>
      <c r="AS29" s="357">
        <f t="shared" ca="1" si="23"/>
        <v>121</v>
      </c>
      <c r="AT29" s="357">
        <f t="shared" ca="1" si="24"/>
        <v>129</v>
      </c>
      <c r="AU29" s="196"/>
      <c r="AV29" s="196"/>
    </row>
    <row r="30" spans="1:48" ht="97.5" customHeight="1">
      <c r="A30" s="106" t="str">
        <f>BCH_Assessment!$B$2&amp;""</f>
        <v>BCH</v>
      </c>
      <c r="B30" s="106" t="str">
        <f>"BCH_Assessment"</f>
        <v>BCH_Assessment</v>
      </c>
      <c r="C30" s="106" t="str">
        <f>BCH_Assessment!$F$2</f>
        <v>Yellow</v>
      </c>
      <c r="D30" s="142">
        <f>BCH_Assessment!$H$2</f>
        <v>0.5</v>
      </c>
      <c r="E30" s="142">
        <f>IFERROR(BCH_Assessment!$H$2,0)</f>
        <v>0.5</v>
      </c>
      <c r="F30" s="106" t="str">
        <f>BCH_Assessment!$J$2</f>
        <v>No</v>
      </c>
      <c r="G30" s="106">
        <f>MAX(0,COUNTA(BCH_Assessment!$A$10:$A$49)-COUNTIF(BCH_Assessment!$A$10:$A$49,"*. *"))</f>
        <v>26</v>
      </c>
      <c r="H30" s="106">
        <f>IFERROR(BCH_Assessment!$B$4,0)</f>
        <v>0</v>
      </c>
      <c r="I30" s="106">
        <f>IFERROR(BCH_Assessment!$D$4,0)</f>
        <v>0</v>
      </c>
      <c r="J30" s="106">
        <f>SUMPRODUCT(--(ISNUMBER(SEARCH("-P",BCH_Assessment!$A$1:$A$300&amp;""))),--((BCH_Assessment!$I$1:$I$300="Open")+(BCH_Assessment!$I$1:$I$300="In Progress")))</f>
        <v>0</v>
      </c>
      <c r="K30" s="106" t="str">
        <f>BCH_Assessment!$B$5</f>
        <v>Verify</v>
      </c>
      <c r="L30" s="106" t="str">
        <f>BCH_Assessment!$D$5</f>
        <v>Verify</v>
      </c>
      <c r="M30" s="106" t="str">
        <f>BCH_Assessment!$F$5</f>
        <v>Verify</v>
      </c>
      <c r="N30" s="106" t="str">
        <f>BCH_Assessment!$H$5</f>
        <v>Excluded / Firestop Only</v>
      </c>
      <c r="O30" s="106" t="str">
        <f>BCH_Assessment!$J$5</f>
        <v>Verify Existing</v>
      </c>
      <c r="P30" s="106" t="str">
        <f>BCH_Assessment!$B$6</f>
        <v>Verify Existing</v>
      </c>
      <c r="Q30" s="106" t="str">
        <f>BCH_Assessment!$D$6</f>
        <v>Field verify Room 107, Room 00-107 rack/elevation reference, new TE/enclosure location, active services, cable tray route, power/UPS/PDU source, grounding/bonding, fiber Path A/B, 4-inch sleeve/firestop scope, camera/VMS scope, and confirm whether the BCH rack elevation is TE-only or new telecom room buildout.</v>
      </c>
      <c r="R30" s="106" t="str">
        <f>BCH_Assessment!$H$4</f>
        <v>Crescent House/BCH is a Telecom Enclosure (TE) scope with mechanical and fire protection excluded by the cover sheet. Scope centers on first-level Room 107 and rack/equipment location shown as Room 00-107 / BCH Crescent House. Field verification, room naming, wall-mounted TE versus 45RU room/rack elevation conflict, active-service cutover, power/UPS/PDU source, firestopping, fiber A/B routing, and cable tray/WAO quantities remain open.</v>
      </c>
      <c r="S30" s="106">
        <f t="shared" si="0"/>
        <v>0</v>
      </c>
      <c r="T30" s="139">
        <f t="shared" si="1"/>
        <v>0</v>
      </c>
      <c r="U30" s="139">
        <f t="shared" si="2"/>
        <v>0</v>
      </c>
      <c r="V30" s="139" t="str">
        <f t="shared" si="3"/>
        <v>Monitor</v>
      </c>
      <c r="W30" s="139" t="str">
        <f t="shared" si="4"/>
        <v>Review</v>
      </c>
      <c r="X30" s="139">
        <f>IFERROR(BCH_Assessment!$F$4,0)</f>
        <v>0</v>
      </c>
      <c r="Y30" s="143" t="str">
        <f t="shared" si="5"/>
        <v>Mapped</v>
      </c>
      <c r="Z30" s="354">
        <f t="shared" ca="1" si="6"/>
        <v>0</v>
      </c>
      <c r="AA30" s="253" t="str">
        <f t="shared" ca="1" si="7"/>
        <v>Withhold / Review</v>
      </c>
      <c r="AB30" s="354">
        <f t="shared" ca="1" si="8"/>
        <v>0</v>
      </c>
      <c r="AC30" s="253" t="str">
        <f t="shared" ca="1" si="9"/>
        <v>Blocked</v>
      </c>
      <c r="AD30" s="253" t="str">
        <f ca="1">IF($AQ30=0,"Owner controls not mapped",IFERROR(IF(_xludf.TEXTJOIN("; ",TRUE,INDIRECT("'"&amp;$B30&amp;"'!F"&amp;$AQ30+2&amp;":F"&amp;$AQ30+9))="","No blocker documented",_xludf.TEXTJOIN("; ",TRUE,INDIRECT("'"&amp;$B30&amp;"'!F"&amp;$AQ30+2&amp;":F"&amp;$AQ30+9))),"No blocker documented"))</f>
        <v>No blocker documented</v>
      </c>
      <c r="AE30" s="354">
        <f t="shared" ca="1" si="10"/>
        <v>0.5</v>
      </c>
      <c r="AF30" s="253" t="str">
        <f t="shared" ca="1" si="11"/>
        <v>Deficiency / Review</v>
      </c>
      <c r="AG30" s="354">
        <f t="shared" ca="1" si="12"/>
        <v>0</v>
      </c>
      <c r="AH30" s="253" t="str">
        <f t="shared" ca="1" si="13"/>
        <v>Critical / Document</v>
      </c>
      <c r="AI30" s="354">
        <f t="shared" ca="1" si="14"/>
        <v>0</v>
      </c>
      <c r="AJ30" s="253" t="str">
        <f t="shared" ca="1" si="15"/>
        <v>Not Ready</v>
      </c>
      <c r="AK30" s="354">
        <f t="shared" ca="1" si="16"/>
        <v>0</v>
      </c>
      <c r="AL30" s="355">
        <f t="shared" ca="1" si="17"/>
        <v>6</v>
      </c>
      <c r="AM30" s="253" t="str">
        <f t="shared" ca="1" si="18"/>
        <v>Resolve OIT Blocker</v>
      </c>
      <c r="AN30" s="253" t="str">
        <f t="shared" ca="1" si="19"/>
        <v>🔴 ATTENTION</v>
      </c>
      <c r="AO30" s="354">
        <f t="shared" ca="1" si="25"/>
        <v>0.1</v>
      </c>
      <c r="AP30" s="357">
        <f t="shared" ca="1" si="20"/>
        <v>92</v>
      </c>
      <c r="AQ30" s="357">
        <f t="shared" ca="1" si="21"/>
        <v>101</v>
      </c>
      <c r="AR30" s="357">
        <f t="shared" ca="1" si="22"/>
        <v>113</v>
      </c>
      <c r="AS30" s="357">
        <f t="shared" ca="1" si="23"/>
        <v>122</v>
      </c>
      <c r="AT30" s="357">
        <f t="shared" ca="1" si="24"/>
        <v>130</v>
      </c>
      <c r="AU30" s="196"/>
      <c r="AV30" s="196"/>
    </row>
    <row r="31" spans="1:48" ht="97.5" customHeight="1">
      <c r="A31" s="106" t="str">
        <f>MCR_Assessment!$B$2&amp;""</f>
        <v>MCR</v>
      </c>
      <c r="B31" s="106" t="str">
        <f>"MCR_Assessment"</f>
        <v>MCR_Assessment</v>
      </c>
      <c r="C31" s="106" t="str">
        <f>MCR_Assessment!$F$2</f>
        <v>Yellow</v>
      </c>
      <c r="D31" s="142">
        <f>MCR_Assessment!$H$2</f>
        <v>0.5</v>
      </c>
      <c r="E31" s="142">
        <f>IFERROR(MCR_Assessment!$H$2,0)</f>
        <v>0.5</v>
      </c>
      <c r="F31" s="106" t="str">
        <f>MCR_Assessment!$J$2</f>
        <v>No</v>
      </c>
      <c r="G31" s="106">
        <f>MAX(0,COUNTA(MCR_Assessment!$A$10:$A$49)-COUNTIF(MCR_Assessment!$A$10:$A$49,"*. *"))</f>
        <v>31</v>
      </c>
      <c r="H31" s="106">
        <f>IFERROR(MCR_Assessment!$B$4,0)</f>
        <v>0</v>
      </c>
      <c r="I31" s="106">
        <f>IFERROR(MCR_Assessment!$D$4,0)</f>
        <v>0</v>
      </c>
      <c r="J31" s="106">
        <f>SUMPRODUCT(--(ISNUMBER(SEARCH("-P",MCR_Assessment!$A$1:$A$300&amp;""))),--((MCR_Assessment!$I$1:$I$300="Open")+(MCR_Assessment!$I$1:$I$300="In Progress")))</f>
        <v>0</v>
      </c>
      <c r="K31" s="106" t="str">
        <f>MCR_Assessment!$B$5</f>
        <v>Verify</v>
      </c>
      <c r="L31" s="106" t="str">
        <f>MCR_Assessment!$D$5</f>
        <v>Verify</v>
      </c>
      <c r="M31" s="106" t="str">
        <f>MCR_Assessment!$F$5</f>
        <v>Verify</v>
      </c>
      <c r="N31" s="106" t="str">
        <f>MCR_Assessment!$H$5</f>
        <v>Verify</v>
      </c>
      <c r="O31" s="106" t="str">
        <f>MCR_Assessment!$J$5</f>
        <v>Verify</v>
      </c>
      <c r="P31" s="106" t="str">
        <f>MCR_Assessment!$B$6</f>
        <v>Verify</v>
      </c>
      <c r="Q31" s="106" t="str">
        <f>MCR_Assessment!$D$6</f>
        <v>Field verify new MCR Room 107 / Room 031 naming, MDA-A/B and HDA-A/B rack rows, existing MCR/server equipment in 107/137, UPS-A/B, CRAC units, clean-agent/preaction/fire alarm systems, MCR panel/ATS/generator sources, camera/access control devices, fiber Path A/B, service provider entrance, cable tray/firestop scope, third-party inspections, and phased activation/cutover sequence.</v>
      </c>
      <c r="R31" s="106" t="str">
        <f>MCR_Assessment!$H$4</f>
        <v>MCR is the most critical EHRM infrastructure building. Scope includes new Main Computer Room, new MDA A/B rows, HDA A/B rows, existing server/MCR equipment transfer from 107/137, redundant fiber Path A/B, new CRAC cooling, UPS A/B, electrical service/ATS/generator integration, clean-agent fire suppression, wet sprinkler/fire alarm interfaces, PACS/CCTV, 359 ft cable tray, and MCR activation window. Major risk is service continuity during backbone/core migration and VA activation.</v>
      </c>
      <c r="S31" s="106">
        <f t="shared" si="0"/>
        <v>0</v>
      </c>
      <c r="T31" s="139">
        <f t="shared" si="1"/>
        <v>0</v>
      </c>
      <c r="U31" s="139">
        <f t="shared" si="2"/>
        <v>0</v>
      </c>
      <c r="V31" s="139" t="str">
        <f t="shared" si="3"/>
        <v>Monitor</v>
      </c>
      <c r="W31" s="139" t="str">
        <f t="shared" si="4"/>
        <v>Review</v>
      </c>
      <c r="X31" s="139">
        <f>IFERROR(MCR_Assessment!$F$4,0)</f>
        <v>0</v>
      </c>
      <c r="Y31" s="143" t="str">
        <f t="shared" si="5"/>
        <v>Mapped</v>
      </c>
      <c r="Z31" s="354">
        <f t="shared" ca="1" si="6"/>
        <v>0</v>
      </c>
      <c r="AA31" s="253" t="str">
        <f t="shared" ca="1" si="7"/>
        <v>Withhold / Review</v>
      </c>
      <c r="AB31" s="354">
        <f t="shared" ca="1" si="8"/>
        <v>0</v>
      </c>
      <c r="AC31" s="253" t="str">
        <f t="shared" ca="1" si="9"/>
        <v>Blocked</v>
      </c>
      <c r="AD31" s="253" t="str">
        <f ca="1">IF($AQ31=0,"Owner controls not mapped",IFERROR(IF(_xludf.TEXTJOIN("; ",TRUE,INDIRECT("'"&amp;$B31&amp;"'!F"&amp;$AQ31+2&amp;":F"&amp;$AQ31+9))="","No blocker documented",_xludf.TEXTJOIN("; ",TRUE,INDIRECT("'"&amp;$B31&amp;"'!F"&amp;$AQ31+2&amp;":F"&amp;$AQ31+9))),"No blocker documented"))</f>
        <v>No blocker documented</v>
      </c>
      <c r="AE31" s="354">
        <f t="shared" ca="1" si="10"/>
        <v>0.5</v>
      </c>
      <c r="AF31" s="253" t="str">
        <f t="shared" ca="1" si="11"/>
        <v>Deficiency / Review</v>
      </c>
      <c r="AG31" s="354">
        <f t="shared" ca="1" si="12"/>
        <v>0</v>
      </c>
      <c r="AH31" s="253" t="str">
        <f t="shared" ca="1" si="13"/>
        <v>Critical / Document</v>
      </c>
      <c r="AI31" s="354">
        <f t="shared" ca="1" si="14"/>
        <v>0</v>
      </c>
      <c r="AJ31" s="253" t="str">
        <f t="shared" ca="1" si="15"/>
        <v>Not Ready</v>
      </c>
      <c r="AK31" s="354">
        <f t="shared" ca="1" si="16"/>
        <v>0</v>
      </c>
      <c r="AL31" s="355">
        <f t="shared" ca="1" si="17"/>
        <v>6</v>
      </c>
      <c r="AM31" s="253" t="str">
        <f t="shared" ca="1" si="18"/>
        <v>Resolve OIT Blocker</v>
      </c>
      <c r="AN31" s="253" t="str">
        <f t="shared" ca="1" si="19"/>
        <v>🔴 ATTENTION</v>
      </c>
      <c r="AO31" s="354">
        <f t="shared" ca="1" si="25"/>
        <v>0.1</v>
      </c>
      <c r="AP31" s="357">
        <f t="shared" ca="1" si="20"/>
        <v>118</v>
      </c>
      <c r="AQ31" s="357">
        <f t="shared" ca="1" si="21"/>
        <v>127</v>
      </c>
      <c r="AR31" s="357">
        <f t="shared" ca="1" si="22"/>
        <v>139</v>
      </c>
      <c r="AS31" s="357">
        <f t="shared" ca="1" si="23"/>
        <v>148</v>
      </c>
      <c r="AT31" s="357">
        <f t="shared" ca="1" si="24"/>
        <v>156</v>
      </c>
      <c r="AU31" s="196"/>
      <c r="AV31" s="196"/>
    </row>
    <row r="32" spans="1:48" ht="97.5" customHeight="1">
      <c r="A32" s="106" t="str">
        <f>SITE_Assesment!$B$2&amp;""</f>
        <v>SITE</v>
      </c>
      <c r="B32" s="106" t="str">
        <f>"SITE_Assesment"</f>
        <v>SITE_Assesment</v>
      </c>
      <c r="C32" s="106" t="str">
        <f>SITE_Assesment!$F$2</f>
        <v>Yellow</v>
      </c>
      <c r="D32" s="142">
        <f>SITE_Assesment!$H$2</f>
        <v>0.5</v>
      </c>
      <c r="E32" s="142">
        <f>IFERROR(SITE_Assesment!$H$2,0)</f>
        <v>0.5</v>
      </c>
      <c r="F32" s="106" t="str">
        <f>SITE_Assesment!$J$2</f>
        <v>No</v>
      </c>
      <c r="G32" s="106">
        <f>MAX(0,COUNTA(SITE_Assesment!$A$10:$A$49)-COUNTIF(SITE_Assesment!$A$10:$A$49,"*. *"))</f>
        <v>32</v>
      </c>
      <c r="H32" s="106">
        <f>IFERROR(SITE_Assesment!$B$4,0)</f>
        <v>0</v>
      </c>
      <c r="I32" s="106">
        <f>IFERROR(SITE_Assesment!$D$4,0)</f>
        <v>0</v>
      </c>
      <c r="J32" s="106">
        <f>SUMPRODUCT(--(ISNUMBER(SEARCH("-P",SITE_Assesment!$A$1:$A$300&amp;""))),--((SITE_Assesment!$I$1:$I$300="Open")+(SITE_Assesment!$I$1:$I$300="In Progress")))</f>
        <v>0</v>
      </c>
      <c r="K32" s="106" t="str">
        <f>SITE_Assesment!$B$5</f>
        <v>N/A</v>
      </c>
      <c r="L32" s="106" t="str">
        <f>SITE_Assesment!$D$5</f>
        <v>Verify</v>
      </c>
      <c r="M32" s="106" t="str">
        <f>SITE_Assesment!$F$5</f>
        <v>Verify</v>
      </c>
      <c r="N32" s="106" t="str">
        <f>SITE_Assesment!$H$5</f>
        <v>N/A / Maintain Access</v>
      </c>
      <c r="O32" s="106" t="str">
        <f>SITE_Assesment!$J$5</f>
        <v>N/A</v>
      </c>
      <c r="P32" s="106" t="str">
        <f>SITE_Assesment!$B$6</f>
        <v>Verify Site Access</v>
      </c>
      <c r="Q32" s="106" t="str">
        <f>SITE_Assesment!$D$6</f>
        <v>Field verify all THH/manhole locations, utility depths, trench routes, concrete ductbank sizes, Path A/B conduit counts, building tie-in points, site electrical conflicts, MCR/provider entrance points, restoration limits, traffic/pedestrian controls, inspection hold points, and fiber testing/acceptance sequence.</v>
      </c>
      <c r="R32" s="106" t="str">
        <f>SITE_Assesment!$H$4</f>
        <v>Site package controls the redundant telecommunications backbone for the full EHRM campus. Scope includes site survey, electrical site plans, telecom site plans, enlarged views, plan/profile sheets for Path A/B, concrete ductbank, direct-bury conduit, handholes THH #1-#19, communication manholes with locking covers, concrete pullboxes, trench restoration, and the site one-line fiber diagram. Major risks are existing utility conflicts, A/B path separation, ductbank inspection before backfill, MCR activation sequencing, and coordination of multiple building tie-ins.</v>
      </c>
      <c r="S32" s="106">
        <f t="shared" si="0"/>
        <v>0</v>
      </c>
      <c r="T32" s="139">
        <f t="shared" si="1"/>
        <v>0</v>
      </c>
      <c r="U32" s="139">
        <f t="shared" si="2"/>
        <v>0</v>
      </c>
      <c r="V32" s="139" t="str">
        <f t="shared" si="3"/>
        <v>Monitor</v>
      </c>
      <c r="W32" s="139" t="str">
        <f t="shared" si="4"/>
        <v>Review</v>
      </c>
      <c r="X32" s="139">
        <f>IFERROR(SITE_Assesment!$F$4,0)</f>
        <v>0</v>
      </c>
      <c r="Y32" s="143" t="str">
        <f t="shared" si="5"/>
        <v>Mapped</v>
      </c>
      <c r="Z32" s="354">
        <f t="shared" ca="1" si="6"/>
        <v>0</v>
      </c>
      <c r="AA32" s="253" t="str">
        <f t="shared" ca="1" si="7"/>
        <v>Withhold / Review</v>
      </c>
      <c r="AB32" s="354">
        <f t="shared" ca="1" si="8"/>
        <v>0</v>
      </c>
      <c r="AC32" s="253" t="str">
        <f t="shared" ca="1" si="9"/>
        <v>Blocked</v>
      </c>
      <c r="AD32" s="253" t="str">
        <f ca="1">IF($AQ32=0,"Owner controls not mapped",IFERROR(IF(_xludf.TEXTJOIN("; ",TRUE,INDIRECT("'"&amp;$B32&amp;"'!F"&amp;$AQ32+2&amp;":F"&amp;$AQ32+9))="","No blocker documented",_xludf.TEXTJOIN("; ",TRUE,INDIRECT("'"&amp;$B32&amp;"'!F"&amp;$AQ32+2&amp;":F"&amp;$AQ32+9))),"No blocker documented"))</f>
        <v>No blocker documented</v>
      </c>
      <c r="AE32" s="354">
        <f t="shared" ca="1" si="10"/>
        <v>0.5</v>
      </c>
      <c r="AF32" s="253" t="str">
        <f t="shared" ca="1" si="11"/>
        <v>Deficiency / Review</v>
      </c>
      <c r="AG32" s="354">
        <f t="shared" ca="1" si="12"/>
        <v>0</v>
      </c>
      <c r="AH32" s="253" t="str">
        <f t="shared" ca="1" si="13"/>
        <v>Critical / Document</v>
      </c>
      <c r="AI32" s="354">
        <f t="shared" ca="1" si="14"/>
        <v>0</v>
      </c>
      <c r="AJ32" s="253" t="str">
        <f t="shared" ca="1" si="15"/>
        <v>Not Ready</v>
      </c>
      <c r="AK32" s="354">
        <f t="shared" ca="1" si="16"/>
        <v>0</v>
      </c>
      <c r="AL32" s="355">
        <f t="shared" ca="1" si="17"/>
        <v>6</v>
      </c>
      <c r="AM32" s="253" t="str">
        <f t="shared" ca="1" si="18"/>
        <v>Resolve OIT Blocker</v>
      </c>
      <c r="AN32" s="253" t="str">
        <f t="shared" ca="1" si="19"/>
        <v>🔴 ATTENTION</v>
      </c>
      <c r="AO32" s="354">
        <f t="shared" ca="1" si="25"/>
        <v>0.1</v>
      </c>
      <c r="AP32" s="357">
        <f t="shared" ca="1" si="20"/>
        <v>116</v>
      </c>
      <c r="AQ32" s="357">
        <f t="shared" ca="1" si="21"/>
        <v>125</v>
      </c>
      <c r="AR32" s="357">
        <f t="shared" ca="1" si="22"/>
        <v>137</v>
      </c>
      <c r="AS32" s="357">
        <f t="shared" ca="1" si="23"/>
        <v>146</v>
      </c>
      <c r="AT32" s="357">
        <f t="shared" ca="1" si="24"/>
        <v>154</v>
      </c>
      <c r="AU32" s="196"/>
      <c r="AV32" s="196"/>
    </row>
    <row r="33" spans="1:12" ht="97.5" customHeight="1">
      <c r="A33" s="106"/>
      <c r="B33" s="106"/>
      <c r="C33" s="106"/>
      <c r="D33" s="142"/>
      <c r="E33" s="142"/>
      <c r="F33" s="106"/>
      <c r="G33" s="106"/>
      <c r="H33" s="106"/>
      <c r="I33" s="106"/>
      <c r="J33" s="106"/>
      <c r="K33" s="106"/>
      <c r="L33" s="106"/>
    </row>
    <row r="34" spans="1:12" ht="97.5" customHeight="1">
      <c r="A34" s="106"/>
      <c r="B34" s="106"/>
      <c r="C34" s="106"/>
      <c r="D34" s="142"/>
      <c r="E34" s="142"/>
      <c r="F34" s="106"/>
      <c r="G34" s="106"/>
      <c r="H34" s="106"/>
      <c r="I34" s="106"/>
      <c r="J34" s="106"/>
      <c r="K34" s="106"/>
      <c r="L34" s="106"/>
    </row>
    <row r="35" spans="1:12" ht="97.5" customHeight="1">
      <c r="A35" s="106"/>
      <c r="B35" s="106"/>
      <c r="C35" s="106"/>
      <c r="D35" s="142"/>
      <c r="E35" s="142"/>
      <c r="F35" s="106"/>
      <c r="G35" s="106"/>
      <c r="H35" s="106"/>
      <c r="I35" s="106"/>
      <c r="J35" s="106"/>
      <c r="K35" s="106"/>
      <c r="L35" s="106"/>
    </row>
    <row r="36" spans="1:12" ht="97.5" customHeight="1">
      <c r="A36" s="106"/>
      <c r="B36" s="106"/>
      <c r="C36" s="106"/>
      <c r="D36" s="142"/>
      <c r="E36" s="142"/>
      <c r="F36" s="106"/>
      <c r="G36" s="106"/>
      <c r="H36" s="106"/>
      <c r="I36" s="106"/>
      <c r="J36" s="106"/>
      <c r="K36" s="106"/>
      <c r="L36" s="106"/>
    </row>
    <row r="37" spans="1:12" ht="97.5" customHeight="1">
      <c r="A37" s="106"/>
      <c r="B37" s="106"/>
      <c r="C37" s="106"/>
      <c r="D37" s="142"/>
      <c r="E37" s="142"/>
      <c r="F37" s="106"/>
      <c r="G37" s="106"/>
      <c r="H37" s="106"/>
      <c r="I37" s="106"/>
      <c r="J37" s="106"/>
      <c r="K37" s="106"/>
      <c r="L37" s="106"/>
    </row>
    <row r="38" spans="1:12" ht="97.5" customHeight="1">
      <c r="A38" s="106"/>
      <c r="B38" s="106"/>
      <c r="C38" s="106"/>
      <c r="D38" s="142"/>
      <c r="E38" s="142"/>
      <c r="F38" s="106"/>
      <c r="G38" s="106"/>
      <c r="H38" s="106"/>
      <c r="I38" s="106"/>
      <c r="J38" s="106"/>
      <c r="K38" s="106"/>
      <c r="L38" s="106"/>
    </row>
    <row r="39" spans="1:12" ht="97.5" customHeight="1">
      <c r="A39" s="106"/>
      <c r="B39" s="106"/>
      <c r="C39" s="106"/>
      <c r="D39" s="142"/>
      <c r="E39" s="142"/>
      <c r="F39" s="106"/>
      <c r="G39" s="106"/>
      <c r="H39" s="106"/>
      <c r="I39" s="106"/>
      <c r="J39" s="106"/>
      <c r="K39" s="106"/>
      <c r="L39" s="106"/>
    </row>
    <row r="40" spans="1:12" ht="97.5" customHeight="1">
      <c r="A40" s="106"/>
      <c r="B40" s="106"/>
      <c r="C40" s="106"/>
      <c r="D40" s="142"/>
      <c r="E40" s="142"/>
      <c r="F40" s="106"/>
      <c r="G40" s="106"/>
      <c r="H40" s="106"/>
      <c r="I40" s="106"/>
      <c r="J40" s="106"/>
      <c r="K40" s="106"/>
      <c r="L40" s="106"/>
    </row>
    <row r="41" spans="1:12" ht="97.5" customHeight="1">
      <c r="A41" s="106"/>
      <c r="B41" s="106"/>
      <c r="C41" s="106"/>
      <c r="D41" s="142"/>
      <c r="E41" s="142"/>
      <c r="F41" s="106"/>
      <c r="G41" s="106"/>
      <c r="H41" s="106"/>
      <c r="I41" s="106"/>
      <c r="J41" s="106"/>
      <c r="K41" s="106"/>
      <c r="L41" s="106"/>
    </row>
    <row r="42" spans="1:12" ht="97.5" customHeight="1">
      <c r="A42" s="106"/>
      <c r="B42" s="106"/>
      <c r="C42" s="106"/>
      <c r="D42" s="142"/>
      <c r="E42" s="142"/>
      <c r="F42" s="106"/>
      <c r="G42" s="106"/>
      <c r="H42" s="106"/>
      <c r="I42" s="106"/>
      <c r="J42" s="106"/>
      <c r="K42" s="106"/>
      <c r="L42" s="106"/>
    </row>
    <row r="43" spans="1:12" ht="97.5" customHeight="1">
      <c r="A43" s="106"/>
      <c r="B43" s="106"/>
      <c r="C43" s="106"/>
      <c r="D43" s="142"/>
      <c r="E43" s="142"/>
      <c r="F43" s="106"/>
      <c r="G43" s="106"/>
      <c r="H43" s="106"/>
      <c r="I43" s="106"/>
      <c r="J43" s="106"/>
      <c r="K43" s="106"/>
      <c r="L43" s="106"/>
    </row>
    <row r="44" spans="1:12" ht="97.5" customHeight="1">
      <c r="A44" s="106"/>
      <c r="B44" s="106"/>
      <c r="C44" s="106"/>
      <c r="D44" s="142"/>
      <c r="E44" s="142"/>
      <c r="F44" s="106"/>
      <c r="G44" s="106"/>
      <c r="H44" s="106"/>
      <c r="I44" s="106"/>
      <c r="J44" s="106"/>
      <c r="K44" s="106"/>
      <c r="L44" s="106"/>
    </row>
    <row r="45" spans="1:12" ht="97.5" customHeight="1">
      <c r="A45" s="106"/>
      <c r="B45" s="106"/>
      <c r="C45" s="106"/>
      <c r="D45" s="142"/>
      <c r="E45" s="142"/>
      <c r="F45" s="106"/>
      <c r="G45" s="106"/>
      <c r="H45" s="106"/>
      <c r="I45" s="106"/>
      <c r="J45" s="106"/>
      <c r="K45" s="106"/>
      <c r="L45" s="106"/>
    </row>
    <row r="46" spans="1:12" ht="97.5" customHeight="1">
      <c r="A46" s="106"/>
      <c r="B46" s="106"/>
      <c r="C46" s="106"/>
      <c r="D46" s="142"/>
      <c r="E46" s="142"/>
      <c r="F46" s="106"/>
      <c r="G46" s="106"/>
      <c r="H46" s="106"/>
      <c r="I46" s="106"/>
      <c r="J46" s="106"/>
      <c r="K46" s="106"/>
      <c r="L46" s="106"/>
    </row>
    <row r="47" spans="1:12" ht="97.5" customHeight="1">
      <c r="A47" s="106"/>
      <c r="B47" s="106"/>
      <c r="C47" s="106"/>
      <c r="D47" s="142"/>
      <c r="E47" s="142"/>
      <c r="F47" s="106"/>
      <c r="G47" s="106"/>
      <c r="H47" s="106"/>
      <c r="I47" s="106"/>
      <c r="J47" s="106"/>
      <c r="K47" s="106"/>
      <c r="L47" s="106"/>
    </row>
    <row r="48" spans="1:12" ht="97.5" customHeight="1">
      <c r="A48" s="106"/>
      <c r="B48" s="106"/>
      <c r="C48" s="106"/>
      <c r="D48" s="142"/>
      <c r="E48" s="142"/>
      <c r="F48" s="106"/>
      <c r="G48" s="106"/>
      <c r="H48" s="106"/>
      <c r="I48" s="106"/>
      <c r="J48" s="106"/>
      <c r="K48" s="106"/>
      <c r="L48" s="106"/>
    </row>
    <row r="49" spans="1:12" ht="97.5" customHeight="1">
      <c r="A49" s="106"/>
      <c r="B49" s="106"/>
      <c r="C49" s="106"/>
      <c r="D49" s="142"/>
      <c r="E49" s="142"/>
      <c r="F49" s="106"/>
      <c r="G49" s="106"/>
      <c r="H49" s="106"/>
      <c r="I49" s="106"/>
      <c r="J49" s="106"/>
      <c r="K49" s="106"/>
      <c r="L49" s="106"/>
    </row>
    <row r="50" spans="1:12" ht="97.5" customHeight="1">
      <c r="A50" s="106"/>
      <c r="B50" s="106"/>
      <c r="C50" s="106"/>
      <c r="D50" s="142"/>
      <c r="E50" s="142"/>
      <c r="F50" s="106"/>
      <c r="G50" s="106"/>
      <c r="H50" s="106"/>
      <c r="I50" s="106"/>
      <c r="J50" s="106"/>
      <c r="K50" s="106"/>
      <c r="L50" s="106"/>
    </row>
    <row r="51" spans="1:12" ht="97.5" customHeight="1">
      <c r="A51" s="106"/>
      <c r="B51" s="106"/>
      <c r="C51" s="106"/>
      <c r="D51" s="142"/>
      <c r="E51" s="142"/>
      <c r="F51" s="106"/>
      <c r="G51" s="106"/>
      <c r="H51" s="106"/>
      <c r="I51" s="106"/>
      <c r="J51" s="106"/>
      <c r="K51" s="106"/>
      <c r="L51" s="106"/>
    </row>
    <row r="52" spans="1:12" ht="97.5" customHeight="1">
      <c r="A52" s="106"/>
      <c r="B52" s="106"/>
      <c r="C52" s="106"/>
      <c r="D52" s="142"/>
      <c r="E52" s="142"/>
      <c r="F52" s="106"/>
      <c r="G52" s="106"/>
      <c r="H52" s="106"/>
      <c r="I52" s="106"/>
      <c r="J52" s="106"/>
      <c r="K52" s="106"/>
      <c r="L52" s="106"/>
    </row>
    <row r="53" spans="1:12" ht="97.5" customHeight="1">
      <c r="A53" s="106"/>
      <c r="B53" s="106"/>
      <c r="C53" s="106"/>
      <c r="D53" s="142"/>
      <c r="E53" s="142"/>
      <c r="F53" s="106"/>
      <c r="G53" s="106"/>
      <c r="H53" s="106"/>
      <c r="I53" s="106"/>
      <c r="J53" s="106"/>
      <c r="K53" s="106"/>
      <c r="L53" s="106"/>
    </row>
    <row r="54" spans="1:12" ht="97.5" customHeight="1">
      <c r="A54" s="106"/>
      <c r="B54" s="106"/>
      <c r="C54" s="106"/>
      <c r="D54" s="142"/>
      <c r="E54" s="142"/>
      <c r="F54" s="106"/>
      <c r="G54" s="106"/>
      <c r="H54" s="106"/>
      <c r="I54" s="106"/>
      <c r="J54" s="106"/>
      <c r="K54" s="106"/>
      <c r="L54" s="106"/>
    </row>
    <row r="55" spans="1:12" ht="97.5" customHeight="1">
      <c r="A55" s="106"/>
      <c r="B55" s="106"/>
      <c r="C55" s="106"/>
      <c r="D55" s="142"/>
      <c r="E55" s="142"/>
      <c r="F55" s="106"/>
      <c r="G55" s="106"/>
      <c r="H55" s="106"/>
      <c r="I55" s="106"/>
      <c r="J55" s="106"/>
      <c r="K55" s="106"/>
      <c r="L55" s="106"/>
    </row>
    <row r="56" spans="1:12" ht="97.5" customHeight="1">
      <c r="A56" s="106"/>
      <c r="B56" s="106"/>
      <c r="C56" s="106"/>
      <c r="D56" s="142"/>
      <c r="E56" s="142"/>
      <c r="F56" s="106"/>
      <c r="G56" s="106"/>
      <c r="H56" s="106"/>
      <c r="I56" s="106"/>
      <c r="J56" s="106"/>
      <c r="K56" s="106"/>
      <c r="L56" s="106"/>
    </row>
    <row r="57" spans="1:12" ht="97.5" customHeight="1">
      <c r="A57" s="106"/>
      <c r="B57" s="106"/>
      <c r="C57" s="106"/>
      <c r="D57" s="142"/>
      <c r="E57" s="142"/>
      <c r="F57" s="106"/>
      <c r="G57" s="106"/>
      <c r="H57" s="106"/>
      <c r="I57" s="106"/>
      <c r="J57" s="106"/>
      <c r="K57" s="106"/>
      <c r="L57" s="106"/>
    </row>
    <row r="58" spans="1:12" ht="97.5" customHeight="1">
      <c r="A58" s="106"/>
      <c r="B58" s="106"/>
      <c r="C58" s="106"/>
      <c r="D58" s="142"/>
      <c r="E58" s="142"/>
      <c r="F58" s="106"/>
      <c r="G58" s="106"/>
      <c r="H58" s="106"/>
      <c r="I58" s="106"/>
      <c r="J58" s="106"/>
      <c r="K58" s="106"/>
      <c r="L58" s="106"/>
    </row>
    <row r="59" spans="1:12" ht="97.5" customHeight="1">
      <c r="A59" s="106"/>
      <c r="B59" s="106"/>
      <c r="C59" s="106"/>
      <c r="D59" s="142"/>
      <c r="E59" s="142"/>
      <c r="F59" s="106"/>
      <c r="G59" s="106"/>
      <c r="H59" s="106"/>
      <c r="I59" s="106"/>
      <c r="J59" s="106"/>
      <c r="K59" s="106"/>
      <c r="L59" s="106"/>
    </row>
    <row r="60" spans="1:12" ht="97.5" customHeight="1">
      <c r="A60" s="106"/>
      <c r="B60" s="106"/>
      <c r="C60" s="106"/>
      <c r="D60" s="142"/>
      <c r="E60" s="142"/>
      <c r="F60" s="106"/>
      <c r="G60" s="106"/>
      <c r="H60" s="106"/>
      <c r="I60" s="106"/>
      <c r="J60" s="106"/>
      <c r="K60" s="106"/>
      <c r="L60" s="106"/>
    </row>
    <row r="61" spans="1:12" ht="97.5" customHeight="1">
      <c r="A61" s="106"/>
      <c r="B61" s="106"/>
      <c r="C61" s="106"/>
      <c r="D61" s="142"/>
      <c r="E61" s="142"/>
      <c r="F61" s="106"/>
      <c r="G61" s="106"/>
      <c r="H61" s="106"/>
      <c r="I61" s="106"/>
      <c r="J61" s="106"/>
      <c r="K61" s="106"/>
      <c r="L61" s="106"/>
    </row>
    <row r="62" spans="1:12" ht="97.5" customHeight="1">
      <c r="A62" s="106"/>
      <c r="B62" s="106"/>
      <c r="C62" s="106"/>
      <c r="D62" s="142"/>
      <c r="E62" s="142"/>
      <c r="F62" s="106"/>
      <c r="G62" s="106"/>
      <c r="H62" s="106"/>
      <c r="I62" s="106"/>
      <c r="J62" s="106"/>
      <c r="K62" s="106"/>
      <c r="L62" s="106"/>
    </row>
    <row r="63" spans="1:12" ht="97.5" customHeight="1">
      <c r="A63" s="106"/>
      <c r="B63" s="106"/>
      <c r="C63" s="106"/>
      <c r="D63" s="142"/>
      <c r="E63" s="142"/>
      <c r="F63" s="106"/>
      <c r="G63" s="106"/>
      <c r="H63" s="106"/>
      <c r="I63" s="106"/>
      <c r="J63" s="106"/>
      <c r="K63" s="106"/>
      <c r="L63" s="106"/>
    </row>
    <row r="64" spans="1:12" ht="97.5" customHeight="1">
      <c r="A64" s="106"/>
      <c r="B64" s="106"/>
      <c r="C64" s="106"/>
      <c r="D64" s="142"/>
      <c r="E64" s="142"/>
      <c r="F64" s="106"/>
      <c r="G64" s="106"/>
      <c r="H64" s="106"/>
      <c r="I64" s="106"/>
      <c r="J64" s="106"/>
      <c r="K64" s="106"/>
      <c r="L64" s="106"/>
    </row>
    <row r="65" spans="1:12" ht="97.5" customHeight="1">
      <c r="A65" s="106"/>
      <c r="B65" s="106"/>
      <c r="C65" s="106"/>
      <c r="D65" s="142"/>
      <c r="E65" s="142"/>
      <c r="F65" s="106"/>
      <c r="G65" s="106"/>
      <c r="H65" s="106"/>
      <c r="I65" s="106"/>
      <c r="J65" s="106"/>
      <c r="K65" s="106"/>
      <c r="L65" s="106"/>
    </row>
    <row r="66" spans="1:12" ht="97.5" customHeight="1">
      <c r="A66" s="106"/>
      <c r="B66" s="106"/>
      <c r="C66" s="106"/>
      <c r="D66" s="142"/>
      <c r="E66" s="142"/>
      <c r="F66" s="106"/>
      <c r="G66" s="106"/>
      <c r="H66" s="106"/>
      <c r="I66" s="106"/>
      <c r="J66" s="106"/>
      <c r="K66" s="106"/>
      <c r="L66" s="106"/>
    </row>
    <row r="67" spans="1:12" ht="97.5" customHeight="1">
      <c r="A67" s="106"/>
      <c r="B67" s="106"/>
      <c r="C67" s="106"/>
      <c r="D67" s="142"/>
      <c r="E67" s="142"/>
      <c r="F67" s="106"/>
      <c r="G67" s="106"/>
      <c r="H67" s="106"/>
      <c r="I67" s="106"/>
      <c r="J67" s="106"/>
      <c r="K67" s="106"/>
      <c r="L67" s="106"/>
    </row>
    <row r="68" spans="1:12" ht="97.5" customHeight="1">
      <c r="A68" s="106"/>
      <c r="B68" s="106"/>
      <c r="C68" s="106"/>
      <c r="D68" s="142"/>
      <c r="E68" s="142"/>
      <c r="F68" s="106"/>
      <c r="G68" s="106"/>
      <c r="H68" s="106"/>
      <c r="I68" s="106"/>
      <c r="J68" s="106"/>
      <c r="K68" s="106"/>
      <c r="L68" s="106"/>
    </row>
    <row r="69" spans="1:12" ht="97.5" customHeight="1">
      <c r="A69" s="106"/>
      <c r="B69" s="106"/>
      <c r="C69" s="106"/>
      <c r="D69" s="142"/>
      <c r="E69" s="142"/>
      <c r="F69" s="106"/>
      <c r="G69" s="106"/>
      <c r="H69" s="106"/>
      <c r="I69" s="106"/>
      <c r="J69" s="106"/>
      <c r="K69" s="106"/>
      <c r="L69" s="106"/>
    </row>
    <row r="70" spans="1:12" ht="97.5" customHeight="1">
      <c r="A70" s="106"/>
      <c r="B70" s="106"/>
      <c r="C70" s="106"/>
      <c r="D70" s="142"/>
      <c r="E70" s="142"/>
      <c r="F70" s="106"/>
      <c r="G70" s="106"/>
      <c r="H70" s="106"/>
      <c r="I70" s="106"/>
      <c r="J70" s="106"/>
      <c r="K70" s="106"/>
      <c r="L70" s="106"/>
    </row>
    <row r="71" spans="1:12" ht="97.5" customHeight="1">
      <c r="A71" s="106"/>
      <c r="B71" s="106"/>
      <c r="C71" s="106"/>
      <c r="D71" s="142"/>
      <c r="E71" s="142"/>
      <c r="F71" s="106"/>
      <c r="G71" s="106"/>
      <c r="H71" s="106"/>
      <c r="I71" s="106"/>
      <c r="J71" s="106"/>
      <c r="K71" s="106"/>
      <c r="L71" s="106"/>
    </row>
    <row r="72" spans="1:12" ht="97.5" customHeight="1">
      <c r="A72" s="106"/>
      <c r="B72" s="106"/>
      <c r="C72" s="106"/>
      <c r="D72" s="142"/>
      <c r="E72" s="142"/>
      <c r="F72" s="106"/>
      <c r="G72" s="106"/>
      <c r="H72" s="106"/>
      <c r="I72" s="106"/>
      <c r="J72" s="106"/>
      <c r="K72" s="106"/>
      <c r="L72" s="106"/>
    </row>
    <row r="73" spans="1:12" ht="97.5" customHeight="1">
      <c r="A73" s="106"/>
      <c r="B73" s="106"/>
      <c r="C73" s="106"/>
      <c r="D73" s="142"/>
      <c r="E73" s="142"/>
      <c r="F73" s="106"/>
      <c r="G73" s="106"/>
      <c r="H73" s="106"/>
      <c r="I73" s="106"/>
      <c r="J73" s="106"/>
      <c r="K73" s="106"/>
      <c r="L73" s="106"/>
    </row>
    <row r="74" spans="1:12" ht="97.5" customHeight="1">
      <c r="A74" s="106"/>
      <c r="B74" s="106"/>
      <c r="C74" s="106"/>
      <c r="D74" s="142"/>
      <c r="E74" s="142"/>
      <c r="F74" s="106"/>
      <c r="G74" s="106"/>
      <c r="H74" s="106"/>
      <c r="I74" s="106"/>
      <c r="J74" s="106"/>
      <c r="K74" s="106"/>
      <c r="L74" s="106"/>
    </row>
    <row r="75" spans="1:12" ht="97.5" customHeight="1">
      <c r="A75" s="106"/>
      <c r="B75" s="106"/>
      <c r="C75" s="106"/>
      <c r="D75" s="142"/>
      <c r="E75" s="142"/>
      <c r="F75" s="106"/>
      <c r="G75" s="106"/>
      <c r="H75" s="106"/>
      <c r="I75" s="106"/>
      <c r="J75" s="106"/>
      <c r="K75" s="106"/>
      <c r="L75" s="106"/>
    </row>
    <row r="76" spans="1:12" ht="97.5" customHeight="1">
      <c r="A76" s="106"/>
      <c r="B76" s="106"/>
      <c r="C76" s="106"/>
      <c r="D76" s="142"/>
      <c r="E76" s="142"/>
      <c r="F76" s="106"/>
      <c r="G76" s="106"/>
      <c r="H76" s="106"/>
      <c r="I76" s="106"/>
      <c r="J76" s="106"/>
      <c r="K76" s="106"/>
      <c r="L76" s="106"/>
    </row>
    <row r="77" spans="1:12" ht="97.5" customHeight="1">
      <c r="A77" s="106"/>
      <c r="B77" s="106"/>
      <c r="C77" s="106"/>
      <c r="D77" s="142"/>
      <c r="E77" s="142"/>
      <c r="F77" s="106"/>
      <c r="G77" s="106"/>
      <c r="H77" s="106"/>
      <c r="I77" s="106"/>
      <c r="J77" s="106"/>
      <c r="K77" s="106"/>
      <c r="L77" s="106"/>
    </row>
    <row r="78" spans="1:12" ht="97.5" customHeight="1">
      <c r="A78" s="106"/>
      <c r="B78" s="106"/>
      <c r="C78" s="106"/>
      <c r="D78" s="142"/>
      <c r="E78" s="142"/>
      <c r="F78" s="106"/>
      <c r="G78" s="106"/>
      <c r="H78" s="106"/>
      <c r="I78" s="106"/>
      <c r="J78" s="106"/>
      <c r="K78" s="106"/>
      <c r="L78" s="106"/>
    </row>
    <row r="79" spans="1:12" ht="97.5" customHeight="1">
      <c r="A79" s="106"/>
      <c r="B79" s="106"/>
      <c r="C79" s="106"/>
      <c r="D79" s="142"/>
      <c r="E79" s="142"/>
      <c r="F79" s="106"/>
      <c r="G79" s="106"/>
      <c r="H79" s="106"/>
      <c r="I79" s="106"/>
      <c r="J79" s="106"/>
      <c r="K79" s="106"/>
      <c r="L79" s="106"/>
    </row>
    <row r="80" spans="1:12" ht="97.5" customHeight="1">
      <c r="A80" s="106"/>
      <c r="B80" s="106"/>
      <c r="C80" s="106"/>
      <c r="D80" s="142"/>
      <c r="E80" s="142"/>
      <c r="F80" s="106"/>
      <c r="G80" s="106"/>
      <c r="H80" s="106"/>
      <c r="I80" s="106"/>
      <c r="J80" s="106"/>
      <c r="K80" s="106"/>
      <c r="L80" s="106"/>
    </row>
    <row r="81" spans="1:12" ht="97.5" customHeight="1">
      <c r="A81" s="106"/>
      <c r="B81" s="106"/>
      <c r="C81" s="106"/>
      <c r="D81" s="142"/>
      <c r="E81" s="142"/>
      <c r="F81" s="106"/>
      <c r="G81" s="106"/>
      <c r="H81" s="106"/>
      <c r="I81" s="106"/>
      <c r="J81" s="106"/>
      <c r="K81" s="106"/>
      <c r="L81" s="106"/>
    </row>
    <row r="82" spans="1:12" ht="97.5" customHeight="1">
      <c r="A82" s="106"/>
      <c r="B82" s="106"/>
      <c r="C82" s="106"/>
      <c r="D82" s="142"/>
      <c r="E82" s="142"/>
      <c r="F82" s="106"/>
      <c r="G82" s="106"/>
      <c r="H82" s="106"/>
      <c r="I82" s="106"/>
      <c r="J82" s="106"/>
      <c r="K82" s="106"/>
      <c r="L82" s="106"/>
    </row>
    <row r="83" spans="1:12" ht="97.5" customHeight="1">
      <c r="A83" s="106"/>
      <c r="B83" s="106"/>
      <c r="C83" s="106"/>
      <c r="D83" s="142"/>
      <c r="E83" s="142"/>
      <c r="F83" s="106"/>
      <c r="G83" s="106"/>
      <c r="H83" s="106"/>
      <c r="I83" s="106"/>
      <c r="J83" s="106"/>
      <c r="K83" s="106"/>
      <c r="L83" s="106"/>
    </row>
    <row r="84" spans="1:12" ht="97.5" customHeight="1">
      <c r="A84" s="106"/>
      <c r="B84" s="106"/>
      <c r="C84" s="106"/>
      <c r="D84" s="142"/>
      <c r="E84" s="142"/>
      <c r="F84" s="106"/>
      <c r="G84" s="106"/>
      <c r="H84" s="106"/>
      <c r="I84" s="106"/>
      <c r="J84" s="106"/>
      <c r="K84" s="106"/>
      <c r="L84" s="106"/>
    </row>
    <row r="85" spans="1:12" ht="97.5" customHeight="1">
      <c r="A85" s="106"/>
      <c r="B85" s="106"/>
      <c r="C85" s="106"/>
      <c r="D85" s="142"/>
      <c r="E85" s="142"/>
      <c r="F85" s="106"/>
      <c r="G85" s="106"/>
      <c r="H85" s="106"/>
      <c r="I85" s="106"/>
      <c r="J85" s="106"/>
      <c r="K85" s="106"/>
      <c r="L85" s="106"/>
    </row>
    <row r="86" spans="1:12" ht="97.5" customHeight="1">
      <c r="A86" s="106"/>
      <c r="B86" s="106"/>
      <c r="C86" s="106"/>
      <c r="D86" s="142"/>
      <c r="E86" s="142"/>
      <c r="F86" s="106"/>
      <c r="G86" s="106"/>
      <c r="H86" s="106"/>
      <c r="I86" s="106"/>
      <c r="J86" s="106"/>
      <c r="K86" s="106"/>
      <c r="L86" s="106"/>
    </row>
    <row r="87" spans="1:12" ht="97.5" customHeight="1">
      <c r="A87" s="106"/>
      <c r="B87" s="106"/>
      <c r="C87" s="106"/>
      <c r="D87" s="142"/>
      <c r="E87" s="142"/>
      <c r="F87" s="106"/>
      <c r="G87" s="106"/>
      <c r="H87" s="106"/>
      <c r="I87" s="106"/>
      <c r="J87" s="106"/>
      <c r="K87" s="106"/>
      <c r="L87" s="106"/>
    </row>
    <row r="88" spans="1:12" ht="97.5" customHeight="1">
      <c r="A88" s="106"/>
      <c r="B88" s="106"/>
      <c r="C88" s="106"/>
      <c r="D88" s="142"/>
      <c r="E88" s="142"/>
      <c r="F88" s="106"/>
      <c r="G88" s="106"/>
      <c r="H88" s="106"/>
      <c r="I88" s="106"/>
      <c r="J88" s="106"/>
      <c r="K88" s="106"/>
      <c r="L88" s="106"/>
    </row>
    <row r="89" spans="1:12" ht="97.5" customHeight="1">
      <c r="A89" s="106"/>
      <c r="B89" s="106"/>
      <c r="C89" s="106"/>
      <c r="D89" s="142"/>
      <c r="E89" s="142"/>
      <c r="F89" s="106"/>
      <c r="G89" s="106"/>
      <c r="H89" s="106"/>
      <c r="I89" s="106"/>
      <c r="J89" s="106"/>
      <c r="K89" s="106"/>
      <c r="L89" s="106"/>
    </row>
    <row r="90" spans="1:12" ht="97.5" customHeight="1">
      <c r="A90" s="106"/>
      <c r="B90" s="106"/>
      <c r="C90" s="106"/>
      <c r="D90" s="142"/>
      <c r="E90" s="142"/>
      <c r="F90" s="106"/>
      <c r="G90" s="106"/>
      <c r="H90" s="106"/>
      <c r="I90" s="106"/>
      <c r="J90" s="106"/>
      <c r="K90" s="106"/>
      <c r="L90" s="106"/>
    </row>
    <row r="91" spans="1:12" ht="97.5" customHeight="1">
      <c r="A91" s="106"/>
      <c r="B91" s="106"/>
      <c r="C91" s="106"/>
      <c r="D91" s="142"/>
      <c r="E91" s="142"/>
      <c r="F91" s="106"/>
      <c r="G91" s="106"/>
      <c r="H91" s="106"/>
      <c r="I91" s="106"/>
      <c r="J91" s="106"/>
      <c r="K91" s="106"/>
      <c r="L91" s="106"/>
    </row>
    <row r="92" spans="1:12" ht="97.5" customHeight="1">
      <c r="A92" s="106"/>
      <c r="B92" s="106"/>
      <c r="C92" s="106"/>
      <c r="D92" s="142"/>
      <c r="E92" s="142"/>
      <c r="F92" s="106"/>
      <c r="G92" s="106"/>
      <c r="H92" s="106"/>
      <c r="I92" s="106"/>
      <c r="J92" s="106"/>
      <c r="K92" s="106"/>
      <c r="L92" s="106"/>
    </row>
    <row r="93" spans="1:12" ht="97.5" customHeight="1">
      <c r="A93" s="106"/>
      <c r="B93" s="106"/>
      <c r="C93" s="106"/>
      <c r="D93" s="142"/>
      <c r="E93" s="142"/>
      <c r="F93" s="106"/>
      <c r="G93" s="106"/>
      <c r="H93" s="106"/>
      <c r="I93" s="106"/>
      <c r="J93" s="106"/>
      <c r="K93" s="106"/>
      <c r="L93" s="106"/>
    </row>
    <row r="94" spans="1:12" ht="97.5" customHeight="1">
      <c r="A94" s="106"/>
      <c r="B94" s="106"/>
      <c r="C94" s="106"/>
      <c r="D94" s="142"/>
      <c r="E94" s="142"/>
      <c r="F94" s="106"/>
      <c r="G94" s="106"/>
      <c r="H94" s="106"/>
      <c r="I94" s="106"/>
      <c r="J94" s="106"/>
      <c r="K94" s="106"/>
      <c r="L94" s="106"/>
    </row>
    <row r="95" spans="1:12" ht="97.5" customHeight="1">
      <c r="A95" s="106"/>
      <c r="B95" s="106"/>
      <c r="C95" s="106"/>
      <c r="D95" s="142"/>
      <c r="E95" s="142"/>
      <c r="F95" s="106"/>
      <c r="G95" s="106"/>
      <c r="H95" s="106"/>
      <c r="I95" s="106"/>
      <c r="J95" s="106"/>
      <c r="K95" s="106"/>
      <c r="L95" s="106"/>
    </row>
    <row r="96" spans="1:12" ht="97.5" customHeight="1">
      <c r="A96" s="106"/>
      <c r="B96" s="106"/>
      <c r="C96" s="106"/>
      <c r="D96" s="142"/>
      <c r="E96" s="142"/>
      <c r="F96" s="106"/>
      <c r="G96" s="106"/>
      <c r="H96" s="106"/>
      <c r="I96" s="106"/>
      <c r="J96" s="106"/>
      <c r="K96" s="106"/>
      <c r="L96" s="106"/>
    </row>
    <row r="97" spans="1:12" ht="97.5" customHeight="1">
      <c r="A97" s="106"/>
      <c r="B97" s="106"/>
      <c r="C97" s="106"/>
      <c r="D97" s="142"/>
      <c r="E97" s="142"/>
      <c r="F97" s="106"/>
      <c r="G97" s="106"/>
      <c r="H97" s="106"/>
      <c r="I97" s="106"/>
      <c r="J97" s="106"/>
      <c r="K97" s="106"/>
      <c r="L97" s="106"/>
    </row>
    <row r="98" spans="1:12" ht="97.5" customHeight="1">
      <c r="A98" s="106"/>
      <c r="B98" s="106"/>
      <c r="C98" s="106"/>
      <c r="D98" s="142"/>
      <c r="E98" s="142"/>
      <c r="F98" s="106"/>
      <c r="G98" s="106"/>
      <c r="H98" s="106"/>
      <c r="I98" s="106"/>
      <c r="J98" s="106"/>
      <c r="K98" s="106"/>
      <c r="L98" s="106"/>
    </row>
    <row r="99" spans="1:12" ht="97.5" customHeight="1">
      <c r="A99" s="106"/>
      <c r="B99" s="106"/>
      <c r="C99" s="106"/>
      <c r="D99" s="142"/>
      <c r="E99" s="142"/>
      <c r="F99" s="106"/>
      <c r="G99" s="106"/>
      <c r="H99" s="106"/>
      <c r="I99" s="106"/>
      <c r="J99" s="106"/>
      <c r="K99" s="106"/>
      <c r="L99" s="106"/>
    </row>
    <row r="100" spans="1:12" ht="97.5" customHeight="1">
      <c r="A100" s="106"/>
      <c r="B100" s="106"/>
      <c r="C100" s="106"/>
      <c r="D100" s="142"/>
      <c r="E100" s="142"/>
      <c r="F100" s="106"/>
      <c r="G100" s="106"/>
      <c r="H100" s="106"/>
      <c r="I100" s="106"/>
      <c r="J100" s="106"/>
      <c r="K100" s="106"/>
      <c r="L100" s="106"/>
    </row>
    <row r="101" spans="1:12" ht="97.5" customHeight="1">
      <c r="A101" s="106"/>
      <c r="B101" s="106"/>
      <c r="C101" s="106"/>
      <c r="D101" s="142"/>
      <c r="E101" s="142"/>
      <c r="F101" s="106"/>
      <c r="G101" s="106"/>
      <c r="H101" s="106"/>
      <c r="I101" s="106"/>
      <c r="J101" s="106"/>
      <c r="K101" s="106"/>
      <c r="L101" s="106"/>
    </row>
    <row r="102" spans="1:12" ht="97.5" customHeight="1">
      <c r="A102" s="106"/>
      <c r="B102" s="106"/>
      <c r="C102" s="106"/>
      <c r="D102" s="142"/>
      <c r="E102" s="142"/>
      <c r="F102" s="106"/>
      <c r="G102" s="106"/>
      <c r="H102" s="106"/>
      <c r="I102" s="106"/>
      <c r="J102" s="106"/>
      <c r="K102" s="106"/>
      <c r="L102" s="106"/>
    </row>
    <row r="103" spans="1:12" ht="97.5" customHeight="1">
      <c r="A103" s="106"/>
      <c r="B103" s="106"/>
      <c r="C103" s="106"/>
      <c r="D103" s="142"/>
      <c r="E103" s="142"/>
      <c r="F103" s="106"/>
      <c r="G103" s="106"/>
      <c r="H103" s="106"/>
      <c r="I103" s="106"/>
      <c r="J103" s="106"/>
      <c r="K103" s="106"/>
      <c r="L103" s="106"/>
    </row>
    <row r="104" spans="1:12" ht="97.5" customHeight="1">
      <c r="A104" s="106"/>
      <c r="B104" s="106"/>
      <c r="C104" s="106"/>
      <c r="D104" s="142"/>
      <c r="E104" s="142"/>
      <c r="F104" s="106"/>
      <c r="G104" s="106"/>
      <c r="H104" s="106"/>
      <c r="I104" s="106"/>
      <c r="J104" s="106"/>
      <c r="K104" s="106"/>
      <c r="L104" s="106"/>
    </row>
    <row r="105" spans="1:12" ht="97.5" customHeight="1">
      <c r="A105" s="106"/>
      <c r="B105" s="106"/>
      <c r="C105" s="106"/>
      <c r="D105" s="142"/>
      <c r="E105" s="142"/>
      <c r="F105" s="106"/>
      <c r="G105" s="106"/>
      <c r="H105" s="106"/>
      <c r="I105" s="106"/>
      <c r="J105" s="106"/>
      <c r="K105" s="106"/>
      <c r="L105" s="106"/>
    </row>
    <row r="106" spans="1:12" ht="97.5" customHeight="1">
      <c r="A106" s="106"/>
      <c r="B106" s="106"/>
      <c r="C106" s="106"/>
      <c r="D106" s="142"/>
      <c r="E106" s="142"/>
      <c r="F106" s="106"/>
      <c r="G106" s="106"/>
      <c r="H106" s="106"/>
      <c r="I106" s="106"/>
      <c r="J106" s="106"/>
      <c r="K106" s="106"/>
      <c r="L106" s="106"/>
    </row>
    <row r="107" spans="1:12" ht="97.5" customHeight="1">
      <c r="A107" s="106"/>
      <c r="B107" s="106"/>
      <c r="C107" s="106"/>
      <c r="D107" s="142"/>
      <c r="E107" s="142"/>
      <c r="F107" s="106"/>
      <c r="G107" s="106"/>
      <c r="H107" s="106"/>
      <c r="I107" s="106"/>
      <c r="J107" s="106"/>
      <c r="K107" s="106"/>
      <c r="L107" s="106"/>
    </row>
    <row r="108" spans="1:12" ht="97.5" customHeight="1">
      <c r="A108" s="106"/>
      <c r="B108" s="106"/>
      <c r="C108" s="106"/>
      <c r="D108" s="142"/>
      <c r="E108" s="142"/>
      <c r="F108" s="106"/>
      <c r="G108" s="106"/>
      <c r="H108" s="106"/>
      <c r="I108" s="106"/>
      <c r="J108" s="106"/>
      <c r="K108" s="106"/>
      <c r="L108" s="106"/>
    </row>
    <row r="109" spans="1:12" ht="97.5" customHeight="1">
      <c r="A109" s="106"/>
      <c r="B109" s="106"/>
      <c r="C109" s="106"/>
      <c r="D109" s="142"/>
      <c r="E109" s="142"/>
      <c r="F109" s="106"/>
      <c r="G109" s="106"/>
      <c r="H109" s="106"/>
      <c r="I109" s="106"/>
      <c r="J109" s="106"/>
      <c r="K109" s="106"/>
      <c r="L109" s="106"/>
    </row>
    <row r="110" spans="1:12" ht="97.5" customHeight="1">
      <c r="A110" s="106"/>
      <c r="B110" s="106"/>
      <c r="C110" s="106"/>
      <c r="D110" s="142"/>
      <c r="E110" s="142"/>
      <c r="F110" s="106"/>
      <c r="G110" s="106"/>
      <c r="H110" s="106"/>
      <c r="I110" s="106"/>
      <c r="J110" s="106"/>
      <c r="K110" s="106"/>
      <c r="L110" s="106"/>
    </row>
    <row r="111" spans="1:12" ht="97.5" customHeight="1">
      <c r="A111" s="106"/>
      <c r="B111" s="106"/>
      <c r="C111" s="106"/>
      <c r="D111" s="142"/>
      <c r="E111" s="142"/>
      <c r="F111" s="106"/>
      <c r="G111" s="106"/>
      <c r="H111" s="106"/>
      <c r="I111" s="106"/>
      <c r="J111" s="106"/>
      <c r="K111" s="106"/>
      <c r="L111" s="106"/>
    </row>
    <row r="112" spans="1:12" ht="97.5" customHeight="1">
      <c r="A112" s="106"/>
      <c r="B112" s="106"/>
      <c r="C112" s="106"/>
      <c r="D112" s="142"/>
      <c r="E112" s="142"/>
      <c r="F112" s="106"/>
      <c r="G112" s="106"/>
      <c r="H112" s="106"/>
      <c r="I112" s="106"/>
      <c r="J112" s="106"/>
      <c r="K112" s="106"/>
      <c r="L112" s="106"/>
    </row>
    <row r="113" spans="1:12" ht="97.5" customHeight="1">
      <c r="A113" s="106"/>
      <c r="B113" s="106"/>
      <c r="C113" s="106"/>
      <c r="D113" s="142"/>
      <c r="E113" s="142"/>
      <c r="F113" s="106"/>
      <c r="G113" s="106"/>
      <c r="H113" s="106"/>
      <c r="I113" s="106"/>
      <c r="J113" s="106"/>
      <c r="K113" s="106"/>
      <c r="L113" s="106"/>
    </row>
    <row r="114" spans="1:12" ht="97.5" customHeight="1">
      <c r="A114" s="106"/>
      <c r="B114" s="106"/>
      <c r="C114" s="106"/>
      <c r="D114" s="142"/>
      <c r="E114" s="142"/>
      <c r="F114" s="106"/>
      <c r="G114" s="106"/>
      <c r="H114" s="106"/>
      <c r="I114" s="106"/>
      <c r="J114" s="106"/>
      <c r="K114" s="106"/>
      <c r="L114" s="106"/>
    </row>
    <row r="115" spans="1:12" ht="97.5" customHeight="1">
      <c r="A115" s="106"/>
      <c r="B115" s="106"/>
      <c r="C115" s="106"/>
      <c r="D115" s="142"/>
      <c r="E115" s="142"/>
      <c r="F115" s="106"/>
      <c r="G115" s="106"/>
      <c r="H115" s="106"/>
      <c r="I115" s="106"/>
      <c r="J115" s="106"/>
      <c r="K115" s="106"/>
      <c r="L115" s="106"/>
    </row>
    <row r="116" spans="1:12" ht="97.5" customHeight="1">
      <c r="A116" s="106"/>
      <c r="B116" s="106"/>
      <c r="C116" s="106"/>
      <c r="D116" s="142"/>
      <c r="E116" s="142"/>
      <c r="F116" s="106"/>
      <c r="G116" s="106"/>
      <c r="H116" s="106"/>
      <c r="I116" s="106"/>
      <c r="J116" s="106"/>
      <c r="K116" s="106"/>
      <c r="L116" s="106"/>
    </row>
    <row r="117" spans="1:12" ht="97.5" customHeight="1">
      <c r="A117" s="106"/>
      <c r="B117" s="106"/>
      <c r="C117" s="106"/>
      <c r="D117" s="142"/>
      <c r="E117" s="142"/>
      <c r="F117" s="106"/>
      <c r="G117" s="106"/>
      <c r="H117" s="106"/>
      <c r="I117" s="106"/>
      <c r="J117" s="106"/>
      <c r="K117" s="106"/>
      <c r="L117" s="106"/>
    </row>
    <row r="118" spans="1:12" ht="97.5" customHeight="1">
      <c r="A118" s="106"/>
      <c r="B118" s="106"/>
      <c r="C118" s="106"/>
      <c r="D118" s="142"/>
      <c r="E118" s="142"/>
      <c r="F118" s="106"/>
      <c r="G118" s="106"/>
      <c r="H118" s="106"/>
      <c r="I118" s="106"/>
      <c r="J118" s="106"/>
      <c r="K118" s="106"/>
      <c r="L118" s="106"/>
    </row>
    <row r="119" spans="1:12" ht="97.5" customHeight="1">
      <c r="A119" s="106"/>
      <c r="B119" s="106"/>
      <c r="C119" s="106"/>
      <c r="D119" s="142"/>
      <c r="E119" s="142"/>
      <c r="F119" s="106"/>
      <c r="G119" s="106"/>
      <c r="H119" s="106"/>
      <c r="I119" s="106"/>
      <c r="J119" s="106"/>
      <c r="K119" s="106"/>
      <c r="L119" s="106"/>
    </row>
    <row r="120" spans="1:12" ht="97.5" customHeight="1">
      <c r="A120" s="106"/>
      <c r="B120" s="106"/>
      <c r="C120" s="106"/>
      <c r="D120" s="142"/>
      <c r="E120" s="142"/>
      <c r="F120" s="106"/>
      <c r="G120" s="106"/>
      <c r="H120" s="106"/>
      <c r="I120" s="106"/>
      <c r="J120" s="106"/>
      <c r="K120" s="106"/>
      <c r="L120" s="106"/>
    </row>
    <row r="121" spans="1:12" ht="97.5" customHeight="1">
      <c r="A121" s="106"/>
      <c r="B121" s="106"/>
      <c r="C121" s="106"/>
      <c r="D121" s="142"/>
      <c r="E121" s="142"/>
      <c r="F121" s="106"/>
      <c r="G121" s="106"/>
      <c r="H121" s="106"/>
      <c r="I121" s="106"/>
      <c r="J121" s="106"/>
      <c r="K121" s="106"/>
      <c r="L121" s="106"/>
    </row>
    <row r="122" spans="1:12" ht="97.5" customHeight="1">
      <c r="A122" s="106"/>
      <c r="B122" s="106"/>
      <c r="C122" s="106"/>
      <c r="D122" s="142"/>
      <c r="E122" s="142"/>
      <c r="F122" s="106"/>
      <c r="G122" s="106"/>
      <c r="H122" s="106"/>
      <c r="I122" s="106"/>
      <c r="J122" s="106"/>
      <c r="K122" s="106"/>
      <c r="L122" s="106"/>
    </row>
    <row r="123" spans="1:12" ht="97.5" customHeight="1">
      <c r="A123" s="106"/>
      <c r="B123" s="106"/>
      <c r="C123" s="106"/>
      <c r="D123" s="142"/>
      <c r="E123" s="142"/>
      <c r="F123" s="106"/>
      <c r="G123" s="106"/>
      <c r="H123" s="106"/>
      <c r="I123" s="106"/>
      <c r="J123" s="106"/>
      <c r="K123" s="106"/>
      <c r="L123" s="106"/>
    </row>
    <row r="124" spans="1:12" ht="97.5" customHeight="1">
      <c r="A124" s="106"/>
      <c r="B124" s="106"/>
      <c r="C124" s="106"/>
      <c r="D124" s="142"/>
      <c r="E124" s="142"/>
      <c r="F124" s="106"/>
      <c r="G124" s="106"/>
      <c r="H124" s="106"/>
      <c r="I124" s="106"/>
      <c r="J124" s="106"/>
      <c r="K124" s="106"/>
      <c r="L124" s="106"/>
    </row>
    <row r="125" spans="1:12" ht="97.5" customHeight="1">
      <c r="A125" s="106"/>
      <c r="B125" s="106"/>
      <c r="C125" s="106"/>
      <c r="D125" s="142"/>
      <c r="E125" s="142"/>
      <c r="F125" s="106"/>
      <c r="G125" s="106"/>
      <c r="H125" s="106"/>
      <c r="I125" s="106"/>
      <c r="J125" s="106"/>
      <c r="K125" s="106"/>
      <c r="L125" s="106"/>
    </row>
    <row r="126" spans="1:12" ht="97.5" customHeight="1">
      <c r="A126" s="106"/>
      <c r="B126" s="106"/>
      <c r="C126" s="106"/>
      <c r="D126" s="142"/>
      <c r="E126" s="142"/>
      <c r="F126" s="106"/>
      <c r="G126" s="106"/>
      <c r="H126" s="106"/>
      <c r="I126" s="106"/>
      <c r="J126" s="106"/>
      <c r="K126" s="106"/>
      <c r="L126" s="106"/>
    </row>
    <row r="127" spans="1:12" ht="97.5" customHeight="1">
      <c r="A127" s="106"/>
      <c r="B127" s="106"/>
      <c r="C127" s="106"/>
      <c r="D127" s="142"/>
      <c r="E127" s="142"/>
      <c r="F127" s="106"/>
      <c r="G127" s="106"/>
      <c r="H127" s="106"/>
      <c r="I127" s="106"/>
      <c r="J127" s="106"/>
      <c r="K127" s="106"/>
      <c r="L127" s="106"/>
    </row>
    <row r="128" spans="1:12" ht="97.5" customHeight="1">
      <c r="A128" s="106"/>
      <c r="B128" s="106"/>
      <c r="C128" s="106"/>
      <c r="D128" s="142"/>
      <c r="E128" s="142"/>
      <c r="F128" s="106"/>
      <c r="G128" s="106"/>
      <c r="H128" s="106"/>
      <c r="I128" s="106"/>
      <c r="J128" s="106"/>
      <c r="K128" s="106"/>
      <c r="L128" s="106"/>
    </row>
    <row r="129" spans="1:12" ht="97.5" customHeight="1">
      <c r="A129" s="106"/>
      <c r="B129" s="106"/>
      <c r="C129" s="106"/>
      <c r="D129" s="142"/>
      <c r="E129" s="142"/>
      <c r="F129" s="106"/>
      <c r="G129" s="106"/>
      <c r="H129" s="106"/>
      <c r="I129" s="106"/>
      <c r="J129" s="106"/>
      <c r="K129" s="106"/>
      <c r="L129" s="106"/>
    </row>
    <row r="130" spans="1:12" ht="97.5" customHeight="1">
      <c r="A130" s="106"/>
      <c r="B130" s="106"/>
      <c r="C130" s="106"/>
      <c r="D130" s="142"/>
      <c r="E130" s="142"/>
      <c r="F130" s="106"/>
      <c r="G130" s="106"/>
      <c r="H130" s="106"/>
      <c r="I130" s="106"/>
      <c r="J130" s="106"/>
      <c r="K130" s="106"/>
      <c r="L130" s="106"/>
    </row>
    <row r="131" spans="1:12" ht="97.5" customHeight="1">
      <c r="A131" s="106"/>
      <c r="B131" s="106"/>
      <c r="C131" s="106"/>
      <c r="D131" s="142"/>
      <c r="E131" s="142"/>
      <c r="F131" s="106"/>
      <c r="G131" s="106"/>
      <c r="H131" s="106"/>
      <c r="I131" s="106"/>
      <c r="J131" s="106"/>
      <c r="K131" s="106"/>
      <c r="L131" s="106"/>
    </row>
    <row r="132" spans="1:12" ht="97.5" customHeight="1">
      <c r="A132" s="106"/>
      <c r="B132" s="106"/>
      <c r="C132" s="106"/>
      <c r="D132" s="142"/>
      <c r="E132" s="142"/>
      <c r="F132" s="106"/>
      <c r="G132" s="106"/>
      <c r="H132" s="106"/>
      <c r="I132" s="106"/>
      <c r="J132" s="106"/>
      <c r="K132" s="106"/>
      <c r="L132" s="106"/>
    </row>
    <row r="133" spans="1:12" ht="97.5" customHeight="1">
      <c r="A133" s="106"/>
      <c r="B133" s="106"/>
      <c r="C133" s="106"/>
      <c r="D133" s="142"/>
      <c r="E133" s="142"/>
      <c r="F133" s="106"/>
      <c r="G133" s="106"/>
      <c r="H133" s="106"/>
      <c r="I133" s="106"/>
      <c r="J133" s="106"/>
      <c r="K133" s="106"/>
      <c r="L133" s="106"/>
    </row>
    <row r="134" spans="1:12" ht="97.5" customHeight="1">
      <c r="A134" s="106"/>
      <c r="B134" s="106"/>
      <c r="C134" s="106"/>
      <c r="D134" s="142"/>
      <c r="E134" s="142"/>
      <c r="F134" s="106"/>
      <c r="G134" s="106"/>
      <c r="H134" s="106"/>
      <c r="I134" s="106"/>
      <c r="J134" s="106"/>
      <c r="K134" s="106"/>
      <c r="L134" s="106"/>
    </row>
    <row r="135" spans="1:12" ht="97.5" customHeight="1">
      <c r="A135" s="106"/>
      <c r="B135" s="106"/>
      <c r="C135" s="106"/>
      <c r="D135" s="142"/>
      <c r="E135" s="142"/>
      <c r="F135" s="106"/>
      <c r="G135" s="106"/>
      <c r="H135" s="106"/>
      <c r="I135" s="106"/>
      <c r="J135" s="106"/>
      <c r="K135" s="106"/>
      <c r="L135" s="106"/>
    </row>
    <row r="136" spans="1:12" ht="97.5" customHeight="1">
      <c r="A136" s="106"/>
      <c r="B136" s="106"/>
      <c r="C136" s="106"/>
      <c r="D136" s="142"/>
      <c r="E136" s="142"/>
      <c r="F136" s="106"/>
      <c r="G136" s="106"/>
      <c r="H136" s="106"/>
      <c r="I136" s="106"/>
      <c r="J136" s="106"/>
      <c r="K136" s="106"/>
      <c r="L136" s="106"/>
    </row>
    <row r="137" spans="1:12" ht="97.5" customHeight="1">
      <c r="A137" s="106"/>
      <c r="B137" s="106"/>
      <c r="C137" s="106"/>
      <c r="D137" s="142"/>
      <c r="E137" s="142"/>
      <c r="F137" s="106"/>
      <c r="G137" s="106"/>
      <c r="H137" s="106"/>
      <c r="I137" s="106"/>
      <c r="J137" s="106"/>
      <c r="K137" s="106"/>
      <c r="L137" s="106"/>
    </row>
    <row r="138" spans="1:12" ht="97.5" customHeight="1">
      <c r="A138" s="106"/>
      <c r="B138" s="106"/>
      <c r="C138" s="106"/>
      <c r="D138" s="142"/>
      <c r="E138" s="142"/>
      <c r="F138" s="106"/>
      <c r="G138" s="106"/>
      <c r="H138" s="106"/>
      <c r="I138" s="106"/>
      <c r="J138" s="106"/>
      <c r="K138" s="106"/>
      <c r="L138" s="106"/>
    </row>
    <row r="139" spans="1:12" ht="97.5" customHeight="1">
      <c r="A139" s="106"/>
      <c r="B139" s="106"/>
      <c r="C139" s="106"/>
      <c r="D139" s="142"/>
      <c r="E139" s="142"/>
      <c r="F139" s="106"/>
      <c r="G139" s="106"/>
      <c r="H139" s="106"/>
      <c r="I139" s="106"/>
      <c r="J139" s="106"/>
      <c r="K139" s="106"/>
      <c r="L139" s="106"/>
    </row>
    <row r="140" spans="1:12" ht="97.5" customHeight="1">
      <c r="A140" s="106"/>
      <c r="B140" s="106"/>
      <c r="C140" s="106"/>
      <c r="D140" s="142"/>
      <c r="E140" s="142"/>
      <c r="F140" s="106"/>
      <c r="G140" s="106"/>
      <c r="H140" s="106"/>
      <c r="I140" s="106"/>
      <c r="J140" s="106"/>
      <c r="K140" s="106"/>
      <c r="L140" s="106"/>
    </row>
    <row r="141" spans="1:12" ht="97.5" customHeight="1">
      <c r="A141" s="106"/>
      <c r="B141" s="106"/>
      <c r="C141" s="106"/>
      <c r="D141" s="142"/>
      <c r="E141" s="142"/>
      <c r="F141" s="106"/>
      <c r="G141" s="106"/>
      <c r="H141" s="106"/>
      <c r="I141" s="106"/>
      <c r="J141" s="106"/>
      <c r="K141" s="106"/>
      <c r="L141" s="106"/>
    </row>
    <row r="142" spans="1:12" ht="97.5" customHeight="1">
      <c r="A142" s="106"/>
      <c r="B142" s="106"/>
      <c r="C142" s="106"/>
      <c r="D142" s="142"/>
      <c r="E142" s="142"/>
      <c r="F142" s="106"/>
      <c r="G142" s="106"/>
      <c r="H142" s="106"/>
      <c r="I142" s="106"/>
      <c r="J142" s="106"/>
      <c r="K142" s="106"/>
      <c r="L142" s="106"/>
    </row>
    <row r="143" spans="1:12" ht="97.5" customHeight="1">
      <c r="A143" s="106"/>
      <c r="B143" s="106"/>
      <c r="C143" s="106"/>
      <c r="D143" s="142"/>
      <c r="E143" s="142"/>
      <c r="F143" s="106"/>
      <c r="G143" s="106"/>
      <c r="H143" s="106"/>
      <c r="I143" s="106"/>
      <c r="J143" s="106"/>
      <c r="K143" s="106"/>
      <c r="L143" s="106"/>
    </row>
    <row r="144" spans="1:12" ht="97.5" customHeight="1">
      <c r="A144" s="106"/>
      <c r="B144" s="106"/>
      <c r="C144" s="106"/>
      <c r="D144" s="142"/>
      <c r="E144" s="142"/>
      <c r="F144" s="106"/>
      <c r="G144" s="106"/>
      <c r="H144" s="106"/>
      <c r="I144" s="106"/>
      <c r="J144" s="106"/>
      <c r="K144" s="106"/>
      <c r="L144" s="106"/>
    </row>
    <row r="145" spans="1:12" ht="97.5" customHeight="1">
      <c r="A145" s="106"/>
      <c r="B145" s="106"/>
      <c r="C145" s="106"/>
      <c r="D145" s="142"/>
      <c r="E145" s="142"/>
      <c r="F145" s="106"/>
      <c r="G145" s="106"/>
      <c r="H145" s="106"/>
      <c r="I145" s="106"/>
      <c r="J145" s="106"/>
      <c r="K145" s="106"/>
      <c r="L145" s="106"/>
    </row>
    <row r="146" spans="1:12" ht="97.5" customHeight="1">
      <c r="A146" s="106"/>
      <c r="B146" s="106"/>
      <c r="C146" s="106"/>
      <c r="D146" s="142"/>
      <c r="E146" s="142"/>
      <c r="F146" s="106"/>
      <c r="G146" s="106"/>
      <c r="H146" s="106"/>
      <c r="I146" s="106"/>
      <c r="J146" s="106"/>
      <c r="K146" s="106"/>
      <c r="L146" s="106"/>
    </row>
    <row r="147" spans="1:12" ht="97.5" customHeight="1">
      <c r="A147" s="106"/>
      <c r="B147" s="106"/>
      <c r="C147" s="106"/>
      <c r="D147" s="142"/>
      <c r="E147" s="142"/>
      <c r="F147" s="106"/>
      <c r="G147" s="106"/>
      <c r="H147" s="106"/>
      <c r="I147" s="106"/>
      <c r="J147" s="106"/>
      <c r="K147" s="106"/>
      <c r="L147" s="106"/>
    </row>
    <row r="148" spans="1:12" ht="97.5" customHeight="1">
      <c r="A148" s="106"/>
      <c r="B148" s="106"/>
      <c r="C148" s="106"/>
      <c r="D148" s="142"/>
      <c r="E148" s="142"/>
      <c r="F148" s="106"/>
      <c r="G148" s="106"/>
      <c r="H148" s="106"/>
      <c r="I148" s="106"/>
      <c r="J148" s="106"/>
      <c r="K148" s="106"/>
      <c r="L148" s="106"/>
    </row>
    <row r="149" spans="1:12" ht="97.5" customHeight="1">
      <c r="A149" s="106"/>
      <c r="B149" s="106"/>
      <c r="C149" s="106"/>
      <c r="D149" s="142"/>
      <c r="E149" s="142"/>
      <c r="F149" s="106"/>
      <c r="G149" s="106"/>
      <c r="H149" s="106"/>
      <c r="I149" s="106"/>
      <c r="J149" s="106"/>
      <c r="K149" s="106"/>
      <c r="L149" s="106"/>
    </row>
    <row r="150" spans="1:12" ht="97.5" customHeight="1">
      <c r="A150" s="106"/>
      <c r="B150" s="106"/>
      <c r="C150" s="106"/>
      <c r="D150" s="142"/>
      <c r="E150" s="142"/>
      <c r="F150" s="106"/>
      <c r="G150" s="106"/>
      <c r="H150" s="106"/>
      <c r="I150" s="106"/>
      <c r="J150" s="106"/>
      <c r="K150" s="106"/>
      <c r="L150" s="106"/>
    </row>
    <row r="151" spans="1:12" ht="97.5" customHeight="1">
      <c r="A151" s="106"/>
      <c r="B151" s="106"/>
      <c r="C151" s="106"/>
      <c r="D151" s="142"/>
      <c r="E151" s="142"/>
      <c r="F151" s="106"/>
      <c r="G151" s="106"/>
      <c r="H151" s="106"/>
      <c r="I151" s="106"/>
      <c r="J151" s="106"/>
      <c r="K151" s="106"/>
      <c r="L151" s="106"/>
    </row>
    <row r="152" spans="1:12" ht="97.5" customHeight="1">
      <c r="A152" s="106"/>
      <c r="B152" s="106"/>
      <c r="C152" s="106"/>
      <c r="D152" s="142"/>
      <c r="E152" s="142"/>
      <c r="F152" s="106"/>
      <c r="G152" s="106"/>
      <c r="H152" s="106"/>
      <c r="I152" s="106"/>
      <c r="J152" s="106"/>
      <c r="K152" s="106"/>
      <c r="L152" s="106"/>
    </row>
    <row r="153" spans="1:12" ht="97.5" customHeight="1">
      <c r="A153" s="106"/>
      <c r="B153" s="106"/>
      <c r="C153" s="106"/>
      <c r="D153" s="142"/>
      <c r="E153" s="142"/>
      <c r="F153" s="106"/>
      <c r="G153" s="106"/>
      <c r="H153" s="106"/>
      <c r="I153" s="106"/>
      <c r="J153" s="106"/>
      <c r="K153" s="106"/>
      <c r="L153" s="106"/>
    </row>
    <row r="154" spans="1:12" ht="97.5" customHeight="1">
      <c r="A154" s="106"/>
      <c r="B154" s="106"/>
      <c r="C154" s="106"/>
      <c r="D154" s="142"/>
      <c r="E154" s="142"/>
      <c r="F154" s="106"/>
      <c r="G154" s="106"/>
      <c r="H154" s="106"/>
      <c r="I154" s="106"/>
      <c r="J154" s="106"/>
      <c r="K154" s="106"/>
      <c r="L154" s="106"/>
    </row>
    <row r="155" spans="1:12" ht="97.5" customHeight="1">
      <c r="A155" s="106"/>
      <c r="B155" s="106"/>
      <c r="C155" s="106"/>
      <c r="D155" s="142"/>
      <c r="E155" s="142"/>
      <c r="F155" s="106"/>
      <c r="G155" s="106"/>
      <c r="H155" s="106"/>
      <c r="I155" s="106"/>
      <c r="J155" s="106"/>
      <c r="K155" s="106"/>
      <c r="L155" s="106"/>
    </row>
    <row r="156" spans="1:12" ht="97.5" customHeight="1">
      <c r="A156" s="106"/>
      <c r="B156" s="106"/>
      <c r="C156" s="106"/>
      <c r="D156" s="142"/>
      <c r="E156" s="142"/>
      <c r="F156" s="106"/>
      <c r="G156" s="106"/>
      <c r="H156" s="106"/>
      <c r="I156" s="106"/>
      <c r="J156" s="106"/>
      <c r="K156" s="106"/>
      <c r="L156" s="106"/>
    </row>
    <row r="157" spans="1:12" ht="97.5" customHeight="1">
      <c r="A157" s="106"/>
      <c r="B157" s="106"/>
      <c r="C157" s="106"/>
      <c r="D157" s="142"/>
      <c r="E157" s="142"/>
      <c r="F157" s="106"/>
      <c r="G157" s="106"/>
      <c r="H157" s="106"/>
      <c r="I157" s="106"/>
      <c r="J157" s="106"/>
      <c r="K157" s="106"/>
      <c r="L157" s="106"/>
    </row>
    <row r="158" spans="1:12" ht="97.5" customHeight="1">
      <c r="A158" s="106"/>
      <c r="B158" s="106"/>
      <c r="C158" s="106"/>
      <c r="D158" s="142"/>
      <c r="E158" s="142"/>
      <c r="F158" s="106"/>
      <c r="G158" s="106"/>
      <c r="H158" s="106"/>
      <c r="I158" s="106"/>
      <c r="J158" s="106"/>
      <c r="K158" s="106"/>
      <c r="L158" s="106"/>
    </row>
    <row r="159" spans="1:12" ht="97.5" customHeight="1">
      <c r="A159" s="106"/>
      <c r="B159" s="106"/>
      <c r="C159" s="106"/>
      <c r="D159" s="142"/>
      <c r="E159" s="142"/>
      <c r="F159" s="106"/>
      <c r="G159" s="106"/>
      <c r="H159" s="106"/>
      <c r="I159" s="106"/>
      <c r="J159" s="106"/>
      <c r="K159" s="106"/>
      <c r="L159" s="106"/>
    </row>
    <row r="160" spans="1:12" ht="97.5" customHeight="1">
      <c r="A160" s="106"/>
      <c r="B160" s="106"/>
      <c r="C160" s="106"/>
      <c r="D160" s="142"/>
      <c r="E160" s="142"/>
      <c r="F160" s="106"/>
      <c r="G160" s="106"/>
      <c r="H160" s="106"/>
      <c r="I160" s="106"/>
      <c r="J160" s="106"/>
      <c r="K160" s="106"/>
      <c r="L160" s="106"/>
    </row>
    <row r="161" spans="1:12" ht="97.5" customHeight="1">
      <c r="A161" s="106"/>
      <c r="B161" s="106"/>
      <c r="C161" s="106"/>
      <c r="D161" s="142"/>
      <c r="E161" s="142"/>
      <c r="F161" s="106"/>
      <c r="G161" s="106"/>
      <c r="H161" s="106"/>
      <c r="I161" s="106"/>
      <c r="J161" s="106"/>
      <c r="K161" s="106"/>
      <c r="L161" s="106"/>
    </row>
    <row r="162" spans="1:12" ht="97.5" customHeight="1">
      <c r="A162" s="106"/>
      <c r="B162" s="106"/>
      <c r="C162" s="106"/>
      <c r="D162" s="142"/>
      <c r="E162" s="142"/>
      <c r="F162" s="106"/>
      <c r="G162" s="106"/>
      <c r="H162" s="106"/>
      <c r="I162" s="106"/>
      <c r="J162" s="106"/>
      <c r="K162" s="106"/>
      <c r="L162" s="106"/>
    </row>
    <row r="163" spans="1:12" ht="97.5" customHeight="1">
      <c r="A163" s="106"/>
      <c r="B163" s="106"/>
      <c r="C163" s="106"/>
      <c r="D163" s="142"/>
      <c r="E163" s="142"/>
      <c r="F163" s="106"/>
      <c r="G163" s="106"/>
      <c r="H163" s="106"/>
      <c r="I163" s="106"/>
      <c r="J163" s="106"/>
      <c r="K163" s="106"/>
      <c r="L163" s="106"/>
    </row>
    <row r="164" spans="1:12" ht="97.5" customHeight="1">
      <c r="A164" s="106"/>
      <c r="B164" s="106"/>
      <c r="C164" s="106"/>
      <c r="D164" s="142"/>
      <c r="E164" s="142"/>
      <c r="F164" s="106"/>
      <c r="G164" s="106"/>
      <c r="H164" s="106"/>
      <c r="I164" s="106"/>
      <c r="J164" s="106"/>
      <c r="K164" s="106"/>
      <c r="L164" s="106"/>
    </row>
    <row r="165" spans="1:12" ht="97.5" customHeight="1">
      <c r="A165" s="106"/>
      <c r="B165" s="106"/>
      <c r="C165" s="106"/>
      <c r="D165" s="142"/>
      <c r="E165" s="142"/>
      <c r="F165" s="106"/>
      <c r="G165" s="106"/>
      <c r="H165" s="106"/>
      <c r="I165" s="106"/>
      <c r="J165" s="106"/>
      <c r="K165" s="106"/>
      <c r="L165" s="106"/>
    </row>
    <row r="166" spans="1:12" ht="97.5" customHeight="1">
      <c r="A166" s="106"/>
      <c r="B166" s="106"/>
      <c r="C166" s="106"/>
      <c r="D166" s="142"/>
      <c r="E166" s="142"/>
      <c r="F166" s="106"/>
      <c r="G166" s="106"/>
      <c r="H166" s="106"/>
      <c r="I166" s="106"/>
      <c r="J166" s="106"/>
      <c r="K166" s="106"/>
      <c r="L166" s="106"/>
    </row>
    <row r="167" spans="1:12" ht="97.5" customHeight="1">
      <c r="A167" s="106"/>
      <c r="B167" s="106"/>
      <c r="C167" s="106"/>
      <c r="D167" s="142"/>
      <c r="E167" s="142"/>
      <c r="F167" s="106"/>
      <c r="G167" s="106"/>
      <c r="H167" s="106"/>
      <c r="I167" s="106"/>
      <c r="J167" s="106"/>
      <c r="K167" s="106"/>
      <c r="L167" s="106"/>
    </row>
    <row r="168" spans="1:12" ht="97.5" customHeight="1">
      <c r="A168" s="106"/>
      <c r="B168" s="106"/>
      <c r="C168" s="106"/>
      <c r="D168" s="142"/>
      <c r="E168" s="142"/>
      <c r="F168" s="106"/>
      <c r="G168" s="106"/>
      <c r="H168" s="106"/>
      <c r="I168" s="106"/>
      <c r="J168" s="106"/>
      <c r="K168" s="106"/>
      <c r="L168" s="106"/>
    </row>
    <row r="169" spans="1:12" ht="97.5" customHeight="1">
      <c r="A169" s="106"/>
      <c r="B169" s="106"/>
      <c r="C169" s="106"/>
      <c r="D169" s="142"/>
      <c r="E169" s="142"/>
      <c r="F169" s="106"/>
      <c r="G169" s="106"/>
      <c r="H169" s="106"/>
      <c r="I169" s="106"/>
      <c r="J169" s="106"/>
      <c r="K169" s="106"/>
      <c r="L169" s="106"/>
    </row>
    <row r="170" spans="1:12" ht="97.5" customHeight="1">
      <c r="A170" s="106"/>
      <c r="B170" s="106"/>
      <c r="C170" s="106"/>
      <c r="D170" s="142"/>
      <c r="E170" s="142"/>
      <c r="F170" s="106"/>
      <c r="G170" s="106"/>
      <c r="H170" s="106"/>
      <c r="I170" s="106"/>
      <c r="J170" s="106"/>
      <c r="K170" s="106"/>
      <c r="L170" s="106"/>
    </row>
    <row r="171" spans="1:12" ht="97.5" customHeight="1">
      <c r="A171" s="106"/>
      <c r="B171" s="106"/>
      <c r="C171" s="106"/>
      <c r="D171" s="142"/>
      <c r="E171" s="142"/>
      <c r="F171" s="106"/>
      <c r="G171" s="106"/>
      <c r="H171" s="106"/>
      <c r="I171" s="106"/>
      <c r="J171" s="106"/>
      <c r="K171" s="106"/>
      <c r="L171" s="106"/>
    </row>
    <row r="172" spans="1:12" ht="97.5" customHeight="1">
      <c r="A172" s="106"/>
      <c r="B172" s="106"/>
      <c r="C172" s="106"/>
      <c r="D172" s="142"/>
      <c r="E172" s="142"/>
      <c r="F172" s="106"/>
      <c r="G172" s="106"/>
      <c r="H172" s="106"/>
      <c r="I172" s="106"/>
      <c r="J172" s="106"/>
      <c r="K172" s="106"/>
      <c r="L172" s="106"/>
    </row>
    <row r="173" spans="1:12" ht="97.5" customHeight="1">
      <c r="A173" s="106"/>
      <c r="B173" s="106"/>
      <c r="C173" s="106"/>
      <c r="D173" s="142"/>
      <c r="E173" s="142"/>
      <c r="F173" s="106"/>
      <c r="G173" s="106"/>
      <c r="H173" s="106"/>
      <c r="I173" s="106"/>
      <c r="J173" s="106"/>
      <c r="K173" s="106"/>
      <c r="L173" s="106"/>
    </row>
    <row r="174" spans="1:12" ht="97.5" customHeight="1">
      <c r="A174" s="106"/>
      <c r="B174" s="106"/>
      <c r="C174" s="106"/>
      <c r="D174" s="142"/>
      <c r="E174" s="142"/>
      <c r="F174" s="106"/>
      <c r="G174" s="106"/>
      <c r="H174" s="106"/>
      <c r="I174" s="106"/>
      <c r="J174" s="106"/>
      <c r="K174" s="106"/>
      <c r="L174" s="106"/>
    </row>
    <row r="175" spans="1:12" ht="97.5" customHeight="1">
      <c r="A175" s="106"/>
      <c r="B175" s="106"/>
      <c r="C175" s="106"/>
      <c r="D175" s="142"/>
      <c r="E175" s="142"/>
      <c r="F175" s="106"/>
      <c r="G175" s="106"/>
      <c r="H175" s="106"/>
      <c r="I175" s="106"/>
      <c r="J175" s="106"/>
      <c r="K175" s="106"/>
      <c r="L175" s="106"/>
    </row>
    <row r="176" spans="1:12" ht="97.5" customHeight="1">
      <c r="A176" s="106"/>
      <c r="B176" s="106"/>
      <c r="C176" s="106"/>
      <c r="D176" s="142"/>
      <c r="E176" s="142"/>
      <c r="F176" s="106"/>
      <c r="G176" s="106"/>
      <c r="H176" s="106"/>
      <c r="I176" s="106"/>
      <c r="J176" s="106"/>
      <c r="K176" s="106"/>
      <c r="L176" s="106"/>
    </row>
    <row r="177" spans="1:12" ht="97.5" customHeight="1">
      <c r="A177" s="106"/>
      <c r="B177" s="106"/>
      <c r="C177" s="106"/>
      <c r="D177" s="142"/>
      <c r="E177" s="142"/>
      <c r="F177" s="106"/>
      <c r="G177" s="106"/>
      <c r="H177" s="106"/>
      <c r="I177" s="106"/>
      <c r="J177" s="106"/>
      <c r="K177" s="106"/>
      <c r="L177" s="106"/>
    </row>
    <row r="178" spans="1:12" ht="97.5" customHeight="1">
      <c r="A178" s="106"/>
      <c r="B178" s="106"/>
      <c r="C178" s="106"/>
      <c r="D178" s="142"/>
      <c r="E178" s="142"/>
      <c r="F178" s="106"/>
      <c r="G178" s="106"/>
      <c r="H178" s="106"/>
      <c r="I178" s="106"/>
      <c r="J178" s="106"/>
      <c r="K178" s="106"/>
      <c r="L178" s="106"/>
    </row>
    <row r="179" spans="1:12" ht="97.5" customHeight="1">
      <c r="A179" s="106"/>
      <c r="B179" s="106"/>
      <c r="C179" s="106"/>
      <c r="D179" s="142"/>
      <c r="E179" s="142"/>
      <c r="F179" s="106"/>
      <c r="G179" s="106"/>
      <c r="H179" s="106"/>
      <c r="I179" s="106"/>
      <c r="J179" s="106"/>
      <c r="K179" s="106"/>
      <c r="L179" s="106"/>
    </row>
    <row r="180" spans="1:12" ht="97.5" customHeight="1">
      <c r="A180" s="106"/>
      <c r="B180" s="106"/>
      <c r="C180" s="106"/>
      <c r="D180" s="142"/>
      <c r="E180" s="142"/>
      <c r="F180" s="106"/>
      <c r="G180" s="106"/>
      <c r="H180" s="106"/>
      <c r="I180" s="106"/>
      <c r="J180" s="106"/>
      <c r="K180" s="106"/>
      <c r="L180" s="106"/>
    </row>
    <row r="181" spans="1:12" ht="97.5" customHeight="1">
      <c r="A181" s="106"/>
      <c r="B181" s="106"/>
      <c r="C181" s="106"/>
      <c r="D181" s="142"/>
      <c r="E181" s="142"/>
      <c r="F181" s="106"/>
      <c r="G181" s="106"/>
      <c r="H181" s="106"/>
      <c r="I181" s="106"/>
      <c r="J181" s="106"/>
      <c r="K181" s="106"/>
      <c r="L181" s="106"/>
    </row>
    <row r="182" spans="1:12" ht="97.5" customHeight="1">
      <c r="A182" s="106"/>
      <c r="B182" s="106"/>
      <c r="C182" s="106"/>
      <c r="D182" s="142"/>
      <c r="E182" s="142"/>
      <c r="F182" s="106"/>
      <c r="G182" s="106"/>
      <c r="H182" s="106"/>
      <c r="I182" s="106"/>
      <c r="J182" s="106"/>
      <c r="K182" s="106"/>
      <c r="L182" s="106"/>
    </row>
    <row r="183" spans="1:12" ht="97.5" customHeight="1">
      <c r="A183" s="106"/>
      <c r="B183" s="106"/>
      <c r="C183" s="106"/>
      <c r="D183" s="142"/>
      <c r="E183" s="142"/>
      <c r="F183" s="106"/>
      <c r="G183" s="106"/>
      <c r="H183" s="106"/>
      <c r="I183" s="106"/>
      <c r="J183" s="106"/>
      <c r="K183" s="106"/>
      <c r="L183" s="106"/>
    </row>
    <row r="184" spans="1:12" ht="97.5" customHeight="1">
      <c r="A184" s="106"/>
      <c r="B184" s="106"/>
      <c r="C184" s="106"/>
      <c r="D184" s="142"/>
      <c r="E184" s="142"/>
      <c r="F184" s="106"/>
      <c r="G184" s="106"/>
      <c r="H184" s="106"/>
      <c r="I184" s="106"/>
      <c r="J184" s="106"/>
      <c r="K184" s="106"/>
      <c r="L184" s="106"/>
    </row>
    <row r="185" spans="1:12" ht="97.5" customHeight="1">
      <c r="A185" s="106"/>
      <c r="B185" s="106"/>
      <c r="C185" s="106"/>
      <c r="D185" s="142"/>
      <c r="E185" s="142"/>
      <c r="F185" s="106"/>
      <c r="G185" s="106"/>
      <c r="H185" s="106"/>
      <c r="I185" s="106"/>
      <c r="J185" s="106"/>
      <c r="K185" s="106"/>
      <c r="L185" s="106"/>
    </row>
    <row r="186" spans="1:12" ht="97.5" customHeight="1">
      <c r="A186" s="106"/>
      <c r="B186" s="106"/>
      <c r="C186" s="106"/>
      <c r="D186" s="142"/>
      <c r="E186" s="142"/>
      <c r="F186" s="106"/>
      <c r="G186" s="106"/>
      <c r="H186" s="106"/>
      <c r="I186" s="106"/>
      <c r="J186" s="106"/>
      <c r="K186" s="106"/>
      <c r="L186" s="106"/>
    </row>
    <row r="187" spans="1:12" ht="97.5" customHeight="1">
      <c r="A187" s="106"/>
      <c r="B187" s="106"/>
      <c r="C187" s="106"/>
      <c r="D187" s="142"/>
      <c r="E187" s="142"/>
      <c r="F187" s="106"/>
      <c r="G187" s="106"/>
      <c r="H187" s="106"/>
      <c r="I187" s="106"/>
      <c r="J187" s="106"/>
      <c r="K187" s="106"/>
      <c r="L187" s="106"/>
    </row>
    <row r="188" spans="1:12" ht="97.5" customHeight="1">
      <c r="A188" s="106"/>
      <c r="B188" s="106"/>
      <c r="C188" s="106"/>
      <c r="D188" s="142"/>
      <c r="E188" s="142"/>
      <c r="F188" s="106"/>
      <c r="G188" s="106"/>
      <c r="H188" s="106"/>
      <c r="I188" s="106"/>
      <c r="J188" s="106"/>
      <c r="K188" s="106"/>
      <c r="L188" s="106"/>
    </row>
    <row r="189" spans="1:12" ht="97.5" customHeight="1">
      <c r="A189" s="106"/>
      <c r="B189" s="106"/>
      <c r="C189" s="106"/>
      <c r="D189" s="142"/>
      <c r="E189" s="142"/>
      <c r="F189" s="106"/>
      <c r="G189" s="106"/>
      <c r="H189" s="106"/>
      <c r="I189" s="106"/>
      <c r="J189" s="106"/>
      <c r="K189" s="106"/>
      <c r="L189" s="106"/>
    </row>
    <row r="190" spans="1:12" ht="97.5" customHeight="1">
      <c r="A190" s="106"/>
      <c r="B190" s="106"/>
      <c r="C190" s="106"/>
      <c r="D190" s="142"/>
      <c r="E190" s="142"/>
      <c r="F190" s="106"/>
      <c r="G190" s="106"/>
      <c r="H190" s="106"/>
      <c r="I190" s="106"/>
      <c r="J190" s="106"/>
      <c r="K190" s="106"/>
      <c r="L190" s="106"/>
    </row>
    <row r="191" spans="1:12" ht="97.5" customHeight="1">
      <c r="A191" s="106"/>
      <c r="B191" s="106"/>
      <c r="C191" s="106"/>
      <c r="D191" s="142"/>
      <c r="E191" s="142"/>
      <c r="F191" s="106"/>
      <c r="G191" s="106"/>
      <c r="H191" s="106"/>
      <c r="I191" s="106"/>
      <c r="J191" s="106"/>
      <c r="K191" s="106"/>
      <c r="L191" s="106"/>
    </row>
    <row r="192" spans="1:12" ht="97.5" customHeight="1">
      <c r="A192" s="106"/>
      <c r="B192" s="106"/>
      <c r="C192" s="106"/>
      <c r="D192" s="142"/>
      <c r="E192" s="142"/>
      <c r="F192" s="106"/>
      <c r="G192" s="106"/>
      <c r="H192" s="106"/>
      <c r="I192" s="106"/>
      <c r="J192" s="106"/>
      <c r="K192" s="106"/>
      <c r="L192" s="106"/>
    </row>
    <row r="193" spans="1:12" ht="97.5" customHeight="1">
      <c r="A193" s="106"/>
      <c r="B193" s="106"/>
      <c r="C193" s="106"/>
      <c r="D193" s="142"/>
      <c r="E193" s="142"/>
      <c r="F193" s="106"/>
      <c r="G193" s="106"/>
      <c r="H193" s="106"/>
      <c r="I193" s="106"/>
      <c r="J193" s="106"/>
      <c r="K193" s="106"/>
      <c r="L193" s="106"/>
    </row>
    <row r="194" spans="1:12" ht="97.5" customHeight="1">
      <c r="A194" s="106"/>
      <c r="B194" s="106"/>
      <c r="C194" s="106"/>
      <c r="D194" s="142"/>
      <c r="E194" s="142"/>
      <c r="F194" s="106"/>
      <c r="G194" s="106"/>
      <c r="H194" s="106"/>
      <c r="I194" s="106"/>
      <c r="J194" s="106"/>
      <c r="K194" s="106"/>
      <c r="L194" s="106"/>
    </row>
    <row r="195" spans="1:12" ht="97.5" customHeight="1">
      <c r="A195" s="106" t="str">
        <f>B33_Assessment!$B$2</f>
        <v>33</v>
      </c>
      <c r="B195" s="106" t="str">
        <f t="shared" ref="B195:B200" si="26">"B33_Assessment"</f>
        <v>B33_Assessment</v>
      </c>
      <c r="C195" s="106" t="str">
        <f>B33_Assessment!$A$52</f>
        <v>B33-R8</v>
      </c>
      <c r="D195" s="142" t="str">
        <f>B33_Assessment!$B$52</f>
        <v>B17 / Other Bldgs</v>
      </c>
      <c r="E195" s="142" t="str">
        <f>B33_Assessment!$C$52</f>
        <v>Existing B17 cross-building service relationships may create cutover dependency</v>
      </c>
      <c r="F195" s="106" t="str">
        <f>B33_Assessment!$D$52</f>
        <v>High</v>
      </c>
      <c r="G195" s="106" t="str">
        <f>B33_Assessment!$E$52</f>
        <v>Medium</v>
      </c>
      <c r="H195" s="106">
        <f>B33_Assessment!$F$52</f>
        <v>6</v>
      </c>
      <c r="I195" s="106" t="str">
        <f>B33_Assessment!$G$52</f>
        <v>Verify ports to Bldgs 3, 80 and 82, SERTEX utility service, labels, test records, service provider dependency and OIT approval</v>
      </c>
      <c r="J195" s="106" t="str">
        <f>B33_Assessment!$H$52</f>
        <v>Telecom / OIT</v>
      </c>
      <c r="K195" s="106" t="str">
        <f>B33_Assessment!$I$52</f>
        <v>Closed</v>
      </c>
      <c r="L195" s="106" t="str">
        <f>B33_Assessment!$J$52</f>
        <v>Existing B17 elevation identifies ports 1-72 to Bldg 3, 73-96 to Bldg 80, 97-120 to Bldg 82, and 121-144 to Bldg 3.</v>
      </c>
    </row>
    <row r="196" spans="1:12" ht="97.5" customHeight="1">
      <c r="A196" s="106" t="str">
        <f>B61_Assessment!$B$2</f>
        <v>61</v>
      </c>
      <c r="B196" s="106" t="str">
        <f t="shared" si="26"/>
        <v>B33_Assessment</v>
      </c>
      <c r="C196" s="106" t="str">
        <f>B61_Assessment!$A$59</f>
        <v>B61-R1</v>
      </c>
      <c r="D196" s="142" t="str">
        <f>B61_Assessment!$B$59</f>
        <v>All</v>
      </c>
      <c r="E196" s="142" t="str">
        <f>B61_Assessment!$C$59</f>
        <v>Existing conditions and active equipment across B13H-A, 124, 226 and 137/137A not field verified</v>
      </c>
      <c r="F196" s="106" t="str">
        <f>B61_Assessment!$D$59</f>
        <v>High</v>
      </c>
      <c r="G196" s="106" t="str">
        <f>B61_Assessment!$E$59</f>
        <v>Medium</v>
      </c>
      <c r="H196" s="106">
        <f>B61_Assessment!$F$59</f>
        <v>6</v>
      </c>
      <c r="I196" s="106" t="str">
        <f>B61_Assessment!$G$59</f>
        <v>Perform existing conditions survey with photos and active-service inventory before mobilization</v>
      </c>
      <c r="J196" s="106" t="str">
        <f>B61_Assessment!$H$59</f>
        <v>GCC / Contractor</v>
      </c>
      <c r="K196" s="106" t="str">
        <f>B61_Assessment!$I$59</f>
        <v>Closed</v>
      </c>
      <c r="L196" s="106" t="str">
        <f>B61_Assessment!$J$59</f>
        <v>Large multi-room scope with active demarc/server equipment.</v>
      </c>
    </row>
    <row r="197" spans="1:12" ht="97.5" customHeight="1">
      <c r="A197" s="106" t="str">
        <f>B61_Assessment!$B$2</f>
        <v>61</v>
      </c>
      <c r="B197" s="106" t="str">
        <f t="shared" si="26"/>
        <v>B33_Assessment</v>
      </c>
      <c r="C197" s="106" t="str">
        <f>B61_Assessment!$A$60</f>
        <v>B61-R2</v>
      </c>
      <c r="D197" s="142" t="str">
        <f>B61_Assessment!$B$60</f>
        <v>B13H-A / 124 / 226</v>
      </c>
      <c r="E197" s="142" t="str">
        <f>B61_Assessment!$C$60</f>
        <v>Hazardous material abatement plans exist for first and second levels</v>
      </c>
      <c r="F197" s="106" t="str">
        <f>B61_Assessment!$D$60</f>
        <v>High</v>
      </c>
      <c r="G197" s="106" t="str">
        <f>B61_Assessment!$E$60</f>
        <v>Medium</v>
      </c>
      <c r="H197" s="106">
        <f>B61_Assessment!$F$60</f>
        <v>6</v>
      </c>
      <c r="I197" s="106" t="str">
        <f>B61_Assessment!$G$60</f>
        <v>Coordinate IH/abatement review before penetrations, wall/ceiling work, cabling or mechanical/electrical installation</v>
      </c>
      <c r="J197" s="106" t="str">
        <f>B61_Assessment!$H$60</f>
        <v>GC / IH / COR</v>
      </c>
      <c r="K197" s="106" t="str">
        <f>B61_Assessment!$I$60</f>
        <v>Closed</v>
      </c>
      <c r="L197" s="106" t="str">
        <f>B61_Assessment!$J$60</f>
        <v>Drawing index includes 61H-101 and 61H-102 hazardous material abatement plans.</v>
      </c>
    </row>
    <row r="198" spans="1:12" ht="97.5" customHeight="1">
      <c r="A198" s="106" t="str">
        <f>B61_Assessment!$B$2</f>
        <v>61</v>
      </c>
      <c r="B198" s="106" t="str">
        <f t="shared" si="26"/>
        <v>B33_Assessment</v>
      </c>
      <c r="C198" s="106" t="str">
        <f>B61_Assessment!$A$61</f>
        <v>B61-R3</v>
      </c>
      <c r="D198" s="142" t="str">
        <f>B61_Assessment!$B$61</f>
        <v>137 / 137A</v>
      </c>
      <c r="E198" s="142" t="str">
        <f>B61_Assessment!$C$61</f>
        <v>Existing server/demarc equipment may remain active during cutover</v>
      </c>
      <c r="F198" s="106" t="str">
        <f>B61_Assessment!$D$61</f>
        <v>Critical</v>
      </c>
      <c r="G198" s="106" t="str">
        <f>B61_Assessment!$E$61</f>
        <v>Medium</v>
      </c>
      <c r="H198" s="106">
        <f>B61_Assessment!$F$61</f>
        <v>8</v>
      </c>
      <c r="I198" s="106" t="str">
        <f>B61_Assessment!$G$61</f>
        <v>Document active services, service provider circuits, rack inventory, OIT windows, temporary utilities and rollback path</v>
      </c>
      <c r="J198" s="106" t="str">
        <f>B61_Assessment!$H$61</f>
        <v>OIT / Telecom</v>
      </c>
      <c r="K198" s="106" t="str">
        <f>B61_Assessment!$I$61</f>
        <v>Closed</v>
      </c>
      <c r="L198" s="106" t="str">
        <f>B61_Assessment!$J$61</f>
        <v>Existing APC/Fujitsu/rack/patch equipment shown in Room 137 inventory/rack elevations.</v>
      </c>
    </row>
    <row r="199" spans="1:12" ht="97.5" customHeight="1">
      <c r="A199" s="106" t="str">
        <f>B61_Assessment!$B$2</f>
        <v>61</v>
      </c>
      <c r="B199" s="106" t="str">
        <f t="shared" si="26"/>
        <v>B33_Assessment</v>
      </c>
      <c r="C199" s="106" t="str">
        <f>B61_Assessment!$A$62</f>
        <v>B61-R4</v>
      </c>
      <c r="D199" s="142" t="str">
        <f>B61_Assessment!$B$62</f>
        <v>All TRs</v>
      </c>
      <c r="E199" s="142" t="str">
        <f>B61_Assessment!$C$62</f>
        <v>Dedicated cooling sequence, emergency power, condensate, BACnet and alarms not verified</v>
      </c>
      <c r="F199" s="106" t="str">
        <f>B61_Assessment!$D$62</f>
        <v>Critical</v>
      </c>
      <c r="G199" s="106" t="str">
        <f>B61_Assessment!$E$62</f>
        <v>Medium</v>
      </c>
      <c r="H199" s="106">
        <f>B61_Assessment!$F$62</f>
        <v>8</v>
      </c>
      <c r="I199" s="106" t="str">
        <f>B61_Assessment!$G$62</f>
        <v>Confirm IU/CU-0/1/2 power source, condensate, controls, BACnet adapter, thermostat and high-temp alarm</v>
      </c>
      <c r="J199" s="106" t="str">
        <f>B61_Assessment!$H$62</f>
        <v>Mechanical / Electrical</v>
      </c>
      <c r="K199" s="106" t="str">
        <f>B61_Assessment!$I$62</f>
        <v>Closed</v>
      </c>
      <c r="L199" s="106" t="str">
        <f>B61_Assessment!$J$62</f>
        <v>Cooling is central to TR/server readiness.</v>
      </c>
    </row>
    <row r="200" spans="1:12" ht="97.5" customHeight="1">
      <c r="A200" s="106" t="str">
        <f>B61_Assessment!$B$2</f>
        <v>61</v>
      </c>
      <c r="B200" s="106" t="str">
        <f t="shared" si="26"/>
        <v>B33_Assessment</v>
      </c>
      <c r="C200" s="106" t="str">
        <f>B61_Assessment!$A$63</f>
        <v>B61-R5</v>
      </c>
      <c r="D200" s="142" t="str">
        <f>B61_Assessment!$B$63</f>
        <v>All TRs</v>
      </c>
      <c r="E200" s="142" t="str">
        <f>B61_Assessment!$C$63</f>
        <v>Panel source, UPS/PDU and rack receptacle coordination could delay energization</v>
      </c>
      <c r="F200" s="106" t="str">
        <f>B61_Assessment!$D$63</f>
        <v>Critical</v>
      </c>
      <c r="G200" s="106" t="str">
        <f>B61_Assessment!$E$63</f>
        <v>Medium</v>
      </c>
      <c r="H200" s="106">
        <f>B61_Assessment!$F$63</f>
        <v>8</v>
      </c>
      <c r="I200" s="106" t="str">
        <f>B61_Assessment!$G$63</f>
        <v>Verify B61-TRB13A/B, B61-TR124A/B, B61-TR226A/B, B61-TR137AA/AB, PD panels, SPDs and load measurements</v>
      </c>
      <c r="J200" s="106" t="str">
        <f>B61_Assessment!$H$63</f>
        <v>Electrical / GCC</v>
      </c>
      <c r="K200" s="106" t="str">
        <f>B61_Assessment!$I$63</f>
        <v>Closed</v>
      </c>
      <c r="L200" s="106" t="str">
        <f>B61_Assessment!$J$63</f>
        <v>Multiple telecom panelboards and PD panels shown.</v>
      </c>
    </row>
    <row r="201" spans="1:12" ht="97.5" customHeight="1">
      <c r="A201" s="106" t="str">
        <f>B61_Assessment!$B$2</f>
        <v>61</v>
      </c>
      <c r="B201" s="106" t="str">
        <f>"B61_Assessment"</f>
        <v>B61_Assessment</v>
      </c>
      <c r="C201" s="106" t="str">
        <f>B61_Assessment!$A$64</f>
        <v>B61-R6</v>
      </c>
      <c r="D201" s="142" t="str">
        <f>B61_Assessment!$B$64</f>
        <v>All</v>
      </c>
      <c r="E201" s="142" t="str">
        <f>B61_Assessment!$C$64</f>
        <v>Large cable tray scope creates coordination and firestop risk</v>
      </c>
      <c r="F201" s="106" t="str">
        <f>B61_Assessment!$D$64</f>
        <v>High</v>
      </c>
      <c r="G201" s="106" t="str">
        <f>B61_Assessment!$E$64</f>
        <v>Medium</v>
      </c>
      <c r="H201" s="106">
        <f>B61_Assessment!$F$64</f>
        <v>6</v>
      </c>
      <c r="I201" s="106" t="str">
        <f>B61_Assessment!$G$64</f>
        <v>Verify 1,966 ft cable tray route, supports, seismic bracing, 40% fill, MEP conflicts, sleeves and final firestop assemblies</v>
      </c>
      <c r="J201" s="106" t="str">
        <f>B61_Assessment!$H$64</f>
        <v>Telecom / GC</v>
      </c>
      <c r="K201" s="106" t="str">
        <f>B61_Assessment!$I$64</f>
        <v>Closed</v>
      </c>
      <c r="L201" s="106" t="str">
        <f>B61_Assessment!$J$64</f>
        <v>Cable tray schedule: basement 890 ft, first 499 ft, second 578 ft.</v>
      </c>
    </row>
    <row r="202" spans="1:12" ht="97.5" customHeight="1">
      <c r="A202" s="106" t="str">
        <f>B61_Assessment!$B$2</f>
        <v>61</v>
      </c>
      <c r="B202" s="106" t="str">
        <f>"B61_Assessment"</f>
        <v>B61_Assessment</v>
      </c>
      <c r="C202" s="106" t="str">
        <f>B61_Assessment!$A$65</f>
        <v>B61-R7</v>
      </c>
      <c r="D202" s="142" t="str">
        <f>B61_Assessment!$B$65</f>
        <v>All</v>
      </c>
      <c r="E202" s="142" t="str">
        <f>B61_Assessment!$C$65</f>
        <v>Telecom/fiber cutover could affect active hospital communications and server/demarc services</v>
      </c>
      <c r="F202" s="106" t="str">
        <f>B61_Assessment!$D$65</f>
        <v>Critical</v>
      </c>
      <c r="G202" s="106" t="str">
        <f>B61_Assessment!$E$65</f>
        <v>Medium</v>
      </c>
      <c r="H202" s="106">
        <f>B61_Assessment!$F$65</f>
        <v>8</v>
      </c>
      <c r="I202" s="106" t="str">
        <f>B61_Assessment!$G$65</f>
        <v>Require cutover plan, test records, labels, as-builts, OIT coordination and VA acceptance before active connection</v>
      </c>
      <c r="J202" s="106" t="str">
        <f>B61_Assessment!$H$65</f>
        <v>Telecom / OIT</v>
      </c>
      <c r="K202" s="106" t="str">
        <f>B61_Assessment!$I$65</f>
        <v>Closed</v>
      </c>
      <c r="L202" s="106" t="str">
        <f>B61_Assessment!$J$65</f>
        <v>WAO counts and active ports are substantial across B13H-A, 124 and 226.</v>
      </c>
    </row>
    <row r="203" spans="1:12" ht="97.5" customHeight="1">
      <c r="A203" s="106" t="str">
        <f>B61_Assessment!$B$2</f>
        <v>61</v>
      </c>
      <c r="B203" s="106" t="str">
        <f>"B61_Assessment"</f>
        <v>B61_Assessment</v>
      </c>
      <c r="C203" s="106" t="str">
        <f>B61_Assessment!$A$66</f>
        <v>B61-R8</v>
      </c>
      <c r="D203" s="142" t="str">
        <f>B61_Assessment!$B$66</f>
        <v>All</v>
      </c>
      <c r="E203" s="142" t="str">
        <f>B61_Assessment!$C$66</f>
        <v>Commissioning/third-party inspection reports may not be complete at turnover</v>
      </c>
      <c r="F203" s="106" t="str">
        <f>B61_Assessment!$D$66</f>
        <v>High</v>
      </c>
      <c r="G203" s="106" t="str">
        <f>B61_Assessment!$E$66</f>
        <v>Medium</v>
      </c>
      <c r="H203" s="106">
        <f>B61_Assessment!$F$66</f>
        <v>6</v>
      </c>
      <c r="I203" s="106" t="str">
        <f>B61_Assessment!$G$66</f>
        <v>Track commissioning, inspections, FA/FP acceptance, power verification, cabling tests, labels and as-builts</v>
      </c>
      <c r="J203" s="106" t="str">
        <f>B61_Assessment!$H$66</f>
        <v>GC / Cx Manager</v>
      </c>
      <c r="K203" s="106" t="str">
        <f>B61_Assessment!$I$66</f>
        <v>Closed</v>
      </c>
      <c r="L203" s="106" t="str">
        <f>B61_Assessment!$J$66</f>
        <v>Full-scope building with multiple divisions.</v>
      </c>
    </row>
    <row r="204" spans="1:12" ht="97.5" customHeight="1">
      <c r="A204" s="106">
        <f>B62_TR_Assessment!$B$2</f>
        <v>62</v>
      </c>
      <c r="B204" s="106" t="str">
        <f>"B62_TR_Assessment"</f>
        <v>B62_TR_Assessment</v>
      </c>
      <c r="C204" s="106" t="str">
        <f>B62_TR_Assessment!$A$52</f>
        <v>B62-R1</v>
      </c>
      <c r="D204" s="142" t="str">
        <f>B62_TR_Assessment!$B$52</f>
        <v>All</v>
      </c>
      <c r="E204" s="142" t="str">
        <f>B62_TR_Assessment!$C$52</f>
        <v>Cooling redundancy / emergency power not verified</v>
      </c>
      <c r="F204" s="106" t="str">
        <f>B62_TR_Assessment!$D$52</f>
        <v>High</v>
      </c>
      <c r="G204" s="106" t="str">
        <f>B62_TR_Assessment!$E$52</f>
        <v>Medium</v>
      </c>
      <c r="H204" s="106">
        <f>B62_TR_Assessment!$F$52</f>
        <v>6</v>
      </c>
      <c r="I204" s="106" t="str">
        <f>B62_TR_Assessment!$G$52</f>
        <v>Confirm power path for cooling, controls, condensate pump</v>
      </c>
      <c r="J204" s="106" t="str">
        <f>B62_TR_Assessment!$H$52</f>
        <v>GCC / VA</v>
      </c>
      <c r="K204" s="106" t="str">
        <f>B62_TR_Assessment!$I$52</f>
        <v>Closed</v>
      </c>
      <c r="L204" s="106">
        <f>B62_TR_Assessment!$J$52</f>
        <v>0</v>
      </c>
    </row>
    <row r="205" spans="1:12" ht="97.5" customHeight="1">
      <c r="A205" s="106">
        <f>B62_TR_Assessment!$B$2</f>
        <v>62</v>
      </c>
      <c r="B205" s="106" t="str">
        <f>"B62_TR_Assessment"</f>
        <v>B62_TR_Assessment</v>
      </c>
      <c r="C205" s="106" t="str">
        <f>B62_TR_Assessment!$A$53</f>
        <v>B62-R2</v>
      </c>
      <c r="D205" s="142" t="str">
        <f>B62_TR_Assessment!$B$53</f>
        <v>All</v>
      </c>
      <c r="E205" s="142" t="str">
        <f>B62_TR_Assessment!$C$53</f>
        <v>Firestopping condition unknown</v>
      </c>
      <c r="F205" s="106" t="str">
        <f>B62_TR_Assessment!$D$53</f>
        <v>High</v>
      </c>
      <c r="G205" s="106" t="str">
        <f>B62_TR_Assessment!$E$53</f>
        <v>Medium</v>
      </c>
      <c r="H205" s="106">
        <f>B62_TR_Assessment!$F$53</f>
        <v>6</v>
      </c>
      <c r="I205" s="106" t="str">
        <f>B62_TR_Assessment!$G$53</f>
        <v>Survey penetrations and temporary/permanent firestop plan</v>
      </c>
      <c r="J205" s="106" t="str">
        <f>B62_TR_Assessment!$H$53</f>
        <v>GCC</v>
      </c>
      <c r="K205" s="106" t="str">
        <f>B62_TR_Assessment!$I$53</f>
        <v>Closed</v>
      </c>
      <c r="L205" s="106">
        <f>B62_TR_Assessment!$J$53</f>
        <v>0</v>
      </c>
    </row>
    <row r="206" spans="1:12" ht="97.5" customHeight="1">
      <c r="A206" s="106">
        <f>B62_TR_Assessment!$B$2</f>
        <v>62</v>
      </c>
      <c r="B206" s="106" t="str">
        <f>"B62_TR_Assessment"</f>
        <v>B62_TR_Assessment</v>
      </c>
      <c r="C206" s="106" t="str">
        <f>B62_TR_Assessment!$A$54</f>
        <v>B62-R3</v>
      </c>
      <c r="D206" s="142" t="str">
        <f>B62_TR_Assessment!$B$54</f>
        <v>All</v>
      </c>
      <c r="E206" s="142" t="str">
        <f>B62_TR_Assessment!$C$54</f>
        <v>Existing room conditions undocumented</v>
      </c>
      <c r="F206" s="106" t="str">
        <f>B62_TR_Assessment!$D$54</f>
        <v>Medium</v>
      </c>
      <c r="G206" s="106" t="str">
        <f>B62_TR_Assessment!$E$54</f>
        <v>High</v>
      </c>
      <c r="H206" s="106">
        <f>B62_TR_Assessment!$F$54</f>
        <v>6</v>
      </c>
      <c r="I206" s="106" t="str">
        <f>B62_TR_Assessment!$G$54</f>
        <v>Create photo record before construction begins</v>
      </c>
      <c r="J206" s="106" t="str">
        <f>B62_TR_Assessment!$H$54</f>
        <v>GCC</v>
      </c>
      <c r="K206" s="106" t="str">
        <f>B62_TR_Assessment!$I$54</f>
        <v>Closed</v>
      </c>
      <c r="L206" s="106">
        <f>B62_TR_Assessment!$J$54</f>
        <v>0</v>
      </c>
    </row>
    <row r="207" spans="1:12" ht="97.5" customHeight="1">
      <c r="A207" s="106">
        <f>B62_TR_Assessment!$B$2</f>
        <v>62</v>
      </c>
      <c r="B207" s="106" t="str">
        <f>"B62_TR_Assessment"</f>
        <v>B62_TR_Assessment</v>
      </c>
      <c r="C207" s="106" t="str">
        <f>B62_TR_Assessment!$A$55</f>
        <v>B62-R4</v>
      </c>
      <c r="D207" s="142" t="str">
        <f>B62_TR_Assessment!$B$55</f>
        <v>All</v>
      </c>
      <c r="E207" s="142" t="str">
        <f>B62_TR_Assessment!$C$55</f>
        <v>Condensate leak risk near IT equipment</v>
      </c>
      <c r="F207" s="106" t="str">
        <f>B62_TR_Assessment!$D$55</f>
        <v>High</v>
      </c>
      <c r="G207" s="106" t="str">
        <f>B62_TR_Assessment!$E$55</f>
        <v>Medium</v>
      </c>
      <c r="H207" s="106">
        <f>B62_TR_Assessment!$F$55</f>
        <v>6</v>
      </c>
      <c r="I207" s="106" t="str">
        <f>B62_TR_Assessment!$G$55</f>
        <v>Verify condensate routing and alarms</v>
      </c>
      <c r="J207" s="106" t="str">
        <f>B62_TR_Assessment!$H$55</f>
        <v>GCC / Contractor</v>
      </c>
      <c r="K207" s="106" t="str">
        <f>B62_TR_Assessment!$I$55</f>
        <v>Closed</v>
      </c>
      <c r="L207" s="106">
        <f>B62_TR_Assessment!$J$55</f>
        <v>0</v>
      </c>
    </row>
    <row r="208" spans="1:12" ht="97.5" customHeight="1">
      <c r="A208" s="106">
        <f>B70_TR_Assessment!$B$2</f>
        <v>70</v>
      </c>
      <c r="B208" s="106" t="str">
        <f t="shared" ref="B208:B217" si="27">"B70_TR_Assessment"</f>
        <v>B70_TR_Assessment</v>
      </c>
      <c r="C208" s="106" t="str">
        <f>B70_TR_Assessment!$A$52</f>
        <v>B70-R1</v>
      </c>
      <c r="D208" s="142" t="str">
        <f>B70_TR_Assessment!$B$52</f>
        <v>All</v>
      </c>
      <c r="E208" s="142" t="str">
        <f>B70_TR_Assessment!$C$52</f>
        <v>Cooling emergency power / continuity not verified</v>
      </c>
      <c r="F208" s="106" t="str">
        <f>B70_TR_Assessment!$D$52</f>
        <v>High</v>
      </c>
      <c r="G208" s="106" t="str">
        <f>B70_TR_Assessment!$E$52</f>
        <v>Medium</v>
      </c>
      <c r="H208" s="106">
        <f>B70_TR_Assessment!$F$52</f>
        <v>6</v>
      </c>
      <c r="I208" s="106" t="str">
        <f>B70_TR_Assessment!$G$52</f>
        <v>Confirm power path for cooling, controls, BACnet adapter, and condensate pump</v>
      </c>
      <c r="J208" s="106" t="str">
        <f>B70_TR_Assessment!$H$52</f>
        <v>GCC / VA</v>
      </c>
      <c r="K208" s="106" t="str">
        <f>B70_TR_Assessment!$I$52</f>
        <v>Closed</v>
      </c>
      <c r="L208" s="106">
        <f>B70_TR_Assessment!$J$52</f>
        <v>0</v>
      </c>
    </row>
    <row r="209" spans="1:12" ht="97.5" customHeight="1">
      <c r="A209" s="106">
        <f>B70_TR_Assessment!$B$2</f>
        <v>70</v>
      </c>
      <c r="B209" s="106" t="str">
        <f t="shared" si="27"/>
        <v>B70_TR_Assessment</v>
      </c>
      <c r="C209" s="106" t="str">
        <f>B70_TR_Assessment!$A$53</f>
        <v>B70-R2</v>
      </c>
      <c r="D209" s="142" t="str">
        <f>B70_TR_Assessment!$B$53</f>
        <v>All</v>
      </c>
      <c r="E209" s="142" t="str">
        <f>B70_TR_Assessment!$C$53</f>
        <v>1-hour rated/smoke-rated TR envelope and penetrations not field verified</v>
      </c>
      <c r="F209" s="106" t="str">
        <f>B70_TR_Assessment!$D$53</f>
        <v>High</v>
      </c>
      <c r="G209" s="106" t="str">
        <f>B70_TR_Assessment!$E$53</f>
        <v>Medium</v>
      </c>
      <c r="H209" s="106">
        <f>B70_TR_Assessment!$F$53</f>
        <v>6</v>
      </c>
      <c r="I209" s="106" t="str">
        <f>B70_TR_Assessment!$G$53</f>
        <v>Survey walls, doors, sleeves, trays, firestop, and head-of-wall conditions</v>
      </c>
      <c r="J209" s="106" t="str">
        <f>B70_TR_Assessment!$H$53</f>
        <v>GCC</v>
      </c>
      <c r="K209" s="106" t="str">
        <f>B70_TR_Assessment!$I$53</f>
        <v>Closed</v>
      </c>
      <c r="L209" s="106">
        <f>B70_TR_Assessment!$J$53</f>
        <v>0</v>
      </c>
    </row>
    <row r="210" spans="1:12" ht="97.5" customHeight="1">
      <c r="A210" s="106">
        <f>B70_TR_Assessment!$B$2</f>
        <v>70</v>
      </c>
      <c r="B210" s="106" t="str">
        <f t="shared" si="27"/>
        <v>B70_TR_Assessment</v>
      </c>
      <c r="C210" s="106" t="str">
        <f>B70_TR_Assessment!$A$54</f>
        <v>B70-R3</v>
      </c>
      <c r="D210" s="142" t="str">
        <f>B70_TR_Assessment!$B$54</f>
        <v>B27</v>
      </c>
      <c r="E210" s="142" t="str">
        <f>B70_TR_Assessment!$C$54</f>
        <v>Existing basement service conditions may constrain routing and access</v>
      </c>
      <c r="F210" s="106" t="str">
        <f>B70_TR_Assessment!$D$54</f>
        <v>Medium</v>
      </c>
      <c r="G210" s="106" t="str">
        <f>B70_TR_Assessment!$E$54</f>
        <v>High</v>
      </c>
      <c r="H210" s="106">
        <f>B70_TR_Assessment!$F$54</f>
        <v>6</v>
      </c>
      <c r="I210" s="106" t="str">
        <f>B70_TR_Assessment!$G$54</f>
        <v>Document existing utilities, clearances, and phasing around active systems</v>
      </c>
      <c r="J210" s="106" t="str">
        <f>B70_TR_Assessment!$H$54</f>
        <v>GCC</v>
      </c>
      <c r="K210" s="106" t="str">
        <f>B70_TR_Assessment!$I$54</f>
        <v>Closed</v>
      </c>
      <c r="L210" s="106">
        <f>B70_TR_Assessment!$J$54</f>
        <v>0</v>
      </c>
    </row>
    <row r="211" spans="1:12" ht="97.5" customHeight="1">
      <c r="A211" s="106">
        <f>B70_TR_Assessment!$B$2</f>
        <v>70</v>
      </c>
      <c r="B211" s="106" t="str">
        <f t="shared" si="27"/>
        <v>B70_TR_Assessment</v>
      </c>
      <c r="C211" s="106" t="str">
        <f>B70_TR_Assessment!$A$55</f>
        <v>B70-R4</v>
      </c>
      <c r="D211" s="142" t="str">
        <f>B70_TR_Assessment!$B$55</f>
        <v>All</v>
      </c>
      <c r="E211" s="142" t="str">
        <f>B70_TR_Assessment!$C$55</f>
        <v>Existing TR/service equipment transfer could affect active operations</v>
      </c>
      <c r="F211" s="106" t="str">
        <f>B70_TR_Assessment!$D$55</f>
        <v>High</v>
      </c>
      <c r="G211" s="106" t="str">
        <f>B70_TR_Assessment!$E$55</f>
        <v>Medium</v>
      </c>
      <c r="H211" s="106">
        <f>B70_TR_Assessment!$F$55</f>
        <v>6</v>
      </c>
      <c r="I211" s="106" t="str">
        <f>B70_TR_Assessment!$G$55</f>
        <v>Require phasing plan and maintain analog/low-voltage systems operational</v>
      </c>
      <c r="J211" s="106" t="str">
        <f>B70_TR_Assessment!$H$55</f>
        <v>GCC / Contractor</v>
      </c>
      <c r="K211" s="106" t="str">
        <f>B70_TR_Assessment!$I$55</f>
        <v>Closed</v>
      </c>
      <c r="L211" s="106">
        <f>B70_TR_Assessment!$J$55</f>
        <v>0</v>
      </c>
    </row>
    <row r="212" spans="1:12" ht="97.5" customHeight="1">
      <c r="A212" s="106">
        <f>B70_TR_Assessment!$B$2</f>
        <v>70</v>
      </c>
      <c r="B212" s="106" t="str">
        <f t="shared" si="27"/>
        <v>B70_TR_Assessment</v>
      </c>
      <c r="C212" s="106" t="str">
        <f>B70_TR_Assessment!$A$56</f>
        <v>B70-R5</v>
      </c>
      <c r="D212" s="142" t="str">
        <f>B70_TR_Assessment!$B$56</f>
        <v>All</v>
      </c>
      <c r="E212" s="142" t="str">
        <f>B70_TR_Assessment!$C$56</f>
        <v>Condensate leak risk near IT equipment</v>
      </c>
      <c r="F212" s="106" t="str">
        <f>B70_TR_Assessment!$D$56</f>
        <v>High</v>
      </c>
      <c r="G212" s="106" t="str">
        <f>B70_TR_Assessment!$E$56</f>
        <v>Medium</v>
      </c>
      <c r="H212" s="106">
        <f>B70_TR_Assessment!$F$56</f>
        <v>6</v>
      </c>
      <c r="I212" s="106" t="str">
        <f>B70_TR_Assessment!$G$56</f>
        <v>Verify condensate routing, insulation, pump power, and alarms</v>
      </c>
      <c r="J212" s="106" t="str">
        <f>B70_TR_Assessment!$H$56</f>
        <v>GCC / Contractor</v>
      </c>
      <c r="K212" s="106" t="str">
        <f>B70_TR_Assessment!$I$56</f>
        <v>Closed</v>
      </c>
      <c r="L212" s="106">
        <f>B70_TR_Assessment!$J$56</f>
        <v>0</v>
      </c>
    </row>
    <row r="213" spans="1:12" ht="97.5" customHeight="1">
      <c r="A213" s="106">
        <f>B78_Assessment!$B$2</f>
        <v>78</v>
      </c>
      <c r="B213" s="106" t="str">
        <f t="shared" si="27"/>
        <v>B70_TR_Assessment</v>
      </c>
      <c r="C213" s="106" t="str">
        <f>B78_Assessment!$A$80</f>
        <v>B78-R1</v>
      </c>
      <c r="D213" s="142" t="str">
        <f>B78_Assessment!$B$80</f>
        <v>All</v>
      </c>
      <c r="E213" s="142" t="str">
        <f>B78_Assessment!$C$80</f>
        <v>Existing conditions and active equipment across six TRs and existing telecom rooms not field verified</v>
      </c>
      <c r="F213" s="106" t="str">
        <f>B78_Assessment!$D$80</f>
        <v>High</v>
      </c>
      <c r="G213" s="106" t="str">
        <f>B78_Assessment!$E$80</f>
        <v>Medium</v>
      </c>
      <c r="H213" s="106">
        <f>B78_Assessment!$F$80</f>
        <v>6</v>
      </c>
      <c r="I213" s="106" t="str">
        <f>B78_Assessment!$G$80</f>
        <v>Perform detailed room-by-room existing condition survey with photos and active-service inventory</v>
      </c>
      <c r="J213" s="106" t="str">
        <f>B78_Assessment!$H$80</f>
        <v>GCC / Contractor</v>
      </c>
      <c r="K213" s="106" t="str">
        <f>B78_Assessment!$I$80</f>
        <v>Closed</v>
      </c>
      <c r="L213" s="106" t="str">
        <f>B78_Assessment!$J$80</f>
        <v>B78/78A has six major TR areas and several existing transition rooms.</v>
      </c>
    </row>
    <row r="214" spans="1:12" ht="97.5" customHeight="1">
      <c r="A214" s="106">
        <f>B78_Assessment!$B$2</f>
        <v>78</v>
      </c>
      <c r="B214" s="106" t="str">
        <f t="shared" si="27"/>
        <v>B70_TR_Assessment</v>
      </c>
      <c r="C214" s="106" t="str">
        <f>B78_Assessment!$A$81</f>
        <v>B78-R2</v>
      </c>
      <c r="D214" s="142" t="str">
        <f>B78_Assessment!$B$81</f>
        <v>Basement / Third</v>
      </c>
      <c r="E214" s="142" t="str">
        <f>B78_Assessment!$C$81</f>
        <v>Hazardous material abatement plans exist for basement and third level</v>
      </c>
      <c r="F214" s="106" t="str">
        <f>B78_Assessment!$D$81</f>
        <v>High</v>
      </c>
      <c r="G214" s="106" t="str">
        <f>B78_Assessment!$E$81</f>
        <v>Medium</v>
      </c>
      <c r="H214" s="106">
        <f>B78_Assessment!$F$81</f>
        <v>6</v>
      </c>
      <c r="I214" s="106" t="str">
        <f>B78_Assessment!$G$81</f>
        <v>Coordinate IH/abatement review before penetrations, wall/ceiling work, cabling or MEP installation</v>
      </c>
      <c r="J214" s="106" t="str">
        <f>B78_Assessment!$H$81</f>
        <v>GC / IH / COR</v>
      </c>
      <c r="K214" s="106" t="str">
        <f>B78_Assessment!$I$81</f>
        <v>Closed</v>
      </c>
      <c r="L214" s="106" t="str">
        <f>B78_Assessment!$J$81</f>
        <v>Drawing index includes 78_78AH-100 and 78_78AH-103.</v>
      </c>
    </row>
    <row r="215" spans="1:12" ht="97.5" customHeight="1">
      <c r="A215" s="106">
        <f>B78_Assessment!$B$2</f>
        <v>78</v>
      </c>
      <c r="B215" s="106" t="str">
        <f t="shared" si="27"/>
        <v>B70_TR_Assessment</v>
      </c>
      <c r="C215" s="106" t="str">
        <f>B78_Assessment!$A$82</f>
        <v>B78-R3</v>
      </c>
      <c r="D215" s="142" t="str">
        <f>B78_Assessment!$B$82</f>
        <v>Existing rooms</v>
      </c>
      <c r="E215" s="142" t="str">
        <f>B78_Assessment!$C$82</f>
        <v>Existing telecom equipment may remain active during cutover</v>
      </c>
      <c r="F215" s="106" t="str">
        <f>B78_Assessment!$D$82</f>
        <v>Critical</v>
      </c>
      <c r="G215" s="106" t="str">
        <f>B78_Assessment!$E$82</f>
        <v>Medium</v>
      </c>
      <c r="H215" s="106">
        <f>B78_Assessment!$F$82</f>
        <v>8</v>
      </c>
      <c r="I215" s="106" t="str">
        <f>B78_Assessment!$G$82</f>
        <v>Document active services, OIT windows, rack inventory, temporary utilities and rollback plan</v>
      </c>
      <c r="J215" s="106" t="str">
        <f>B78_Assessment!$H$82</f>
        <v>Telecom / OIT</v>
      </c>
      <c r="K215" s="106" t="str">
        <f>B78_Assessment!$I$82</f>
        <v>Closed</v>
      </c>
      <c r="L215" s="106" t="str">
        <f>B78_Assessment!$J$82</f>
        <v>Photo references include 15E, 1234, 353, 308A, 408A.</v>
      </c>
    </row>
    <row r="216" spans="1:12" ht="97.5" customHeight="1">
      <c r="A216" s="106">
        <f>B78_Assessment!$B$2</f>
        <v>78</v>
      </c>
      <c r="B216" s="106" t="str">
        <f t="shared" si="27"/>
        <v>B70_TR_Assessment</v>
      </c>
      <c r="C216" s="106" t="str">
        <f>B78_Assessment!$A$83</f>
        <v>B78-R4</v>
      </c>
      <c r="D216" s="142" t="str">
        <f>B78_Assessment!$B$83</f>
        <v>All TRs</v>
      </c>
      <c r="E216" s="142" t="str">
        <f>B78_Assessment!$C$83</f>
        <v>Dedicated cooling sequence, emergency power, condensate and alarms not verified</v>
      </c>
      <c r="F216" s="106" t="str">
        <f>B78_Assessment!$D$83</f>
        <v>Critical</v>
      </c>
      <c r="G216" s="106" t="str">
        <f>B78_Assessment!$E$83</f>
        <v>Medium</v>
      </c>
      <c r="H216" s="106">
        <f>B78_Assessment!$F$83</f>
        <v>8</v>
      </c>
      <c r="I216" s="106" t="str">
        <f>B78_Assessment!$G$83</f>
        <v>Confirm HVAC equipment serving each TR, emergency source, condensate, controls/BACnet and high-temp alarms</v>
      </c>
      <c r="J216" s="106" t="str">
        <f>B78_Assessment!$H$83</f>
        <v>Mechanical / Electrical</v>
      </c>
      <c r="K216" s="106" t="str">
        <f>B78_Assessment!$I$83</f>
        <v>Closed</v>
      </c>
      <c r="L216" s="106" t="str">
        <f>B78_Assessment!$J$83</f>
        <v>Mechanical sheets are included for basement through fourth level.</v>
      </c>
    </row>
    <row r="217" spans="1:12" ht="97.5" customHeight="1">
      <c r="A217" s="106">
        <f>B78_Assessment!$B$2</f>
        <v>78</v>
      </c>
      <c r="B217" s="106" t="str">
        <f t="shared" si="27"/>
        <v>B70_TR_Assessment</v>
      </c>
      <c r="C217" s="106" t="str">
        <f>B78_Assessment!$A$84</f>
        <v>B78-R5</v>
      </c>
      <c r="D217" s="142" t="str">
        <f>B78_Assessment!$B$84</f>
        <v>All TRs</v>
      </c>
      <c r="E217" s="142" t="str">
        <f>B78_Assessment!$C$84</f>
        <v>Panel source, UPS/PDU and rack receptacle coordination could delay energization</v>
      </c>
      <c r="F217" s="106" t="str">
        <f>B78_Assessment!$D$84</f>
        <v>Critical</v>
      </c>
      <c r="G217" s="106" t="str">
        <f>B78_Assessment!$E$84</f>
        <v>Medium</v>
      </c>
      <c r="H217" s="106">
        <f>B78_Assessment!$F$84</f>
        <v>8</v>
      </c>
      <c r="I217" s="106" t="str">
        <f>B78_Assessment!$G$84</f>
        <v>Verify telecom panelboards, breakers, rack receptacles, UPS/PDU sources, SPDs, labels and LOTO requirements</v>
      </c>
      <c r="J217" s="106" t="str">
        <f>B78_Assessment!$H$84</f>
        <v>Electrical / GCC</v>
      </c>
      <c r="K217" s="106" t="str">
        <f>B78_Assessment!$I$84</f>
        <v>Closed</v>
      </c>
      <c r="L217" s="106" t="str">
        <f>B78_Assessment!$J$84</f>
        <v>Electrical plans/schedules are extensive; confirm all panel IDs in field.</v>
      </c>
    </row>
    <row r="218" spans="1:12" ht="97.5" customHeight="1">
      <c r="A218" s="106">
        <f>B78_Assessment!$B$2</f>
        <v>78</v>
      </c>
      <c r="B218" s="106" t="str">
        <f t="shared" ref="B218:B225" si="28">"B78_Assessment"</f>
        <v>B78_Assessment</v>
      </c>
      <c r="C218" s="106" t="str">
        <f>B78_Assessment!$A$85</f>
        <v>B78-R6</v>
      </c>
      <c r="D218" s="142" t="str">
        <f>B78_Assessment!$B$85</f>
        <v>All</v>
      </c>
      <c r="E218" s="142" t="str">
        <f>B78_Assessment!$C$85</f>
        <v>Large cable tray scope creates coordination and firestop risk</v>
      </c>
      <c r="F218" s="106" t="str">
        <f>B78_Assessment!$D$85</f>
        <v>High</v>
      </c>
      <c r="G218" s="106" t="str">
        <f>B78_Assessment!$E$85</f>
        <v>Medium</v>
      </c>
      <c r="H218" s="106">
        <f>B78_Assessment!$F$85</f>
        <v>6</v>
      </c>
      <c r="I218" s="106" t="str">
        <f>B78_Assessment!$G$85</f>
        <v>Verify 4,849 ft cable tray route, supports, seismic bracing, 40% fill, MEP conflicts, sleeves and final firestop assemblies</v>
      </c>
      <c r="J218" s="106" t="str">
        <f>B78_Assessment!$H$85</f>
        <v>Telecom / GC</v>
      </c>
      <c r="K218" s="106" t="str">
        <f>B78_Assessment!$I$85</f>
        <v>Closed</v>
      </c>
      <c r="L218" s="106" t="str">
        <f>B78_Assessment!$J$85</f>
        <v>Cable tray schedule: basement 1,702 ft, first 959 ft, second 804 ft, third 695 ft, fourth 689 ft.</v>
      </c>
    </row>
    <row r="219" spans="1:12" ht="97.5" customHeight="1">
      <c r="A219" s="106">
        <f>B78_Assessment!$B$2</f>
        <v>78</v>
      </c>
      <c r="B219" s="106" t="str">
        <f t="shared" si="28"/>
        <v>B78_Assessment</v>
      </c>
      <c r="C219" s="106" t="str">
        <f>B78_Assessment!$A$86</f>
        <v>B78-R7</v>
      </c>
      <c r="D219" s="142" t="str">
        <f>B78_Assessment!$B$86</f>
        <v>All</v>
      </c>
      <c r="E219" s="142" t="str">
        <f>B78_Assessment!$C$86</f>
        <v>Telecom/fiber cutover could affect active hospital communications across B78 and B78A</v>
      </c>
      <c r="F219" s="106" t="str">
        <f>B78_Assessment!$D$86</f>
        <v>Critical</v>
      </c>
      <c r="G219" s="106" t="str">
        <f>B78_Assessment!$E$86</f>
        <v>Medium</v>
      </c>
      <c r="H219" s="106">
        <f>B78_Assessment!$F$86</f>
        <v>8</v>
      </c>
      <c r="I219" s="106" t="str">
        <f>B78_Assessment!$G$86</f>
        <v>Require cutover plan, test records, labels, as-builts, OIT coordination and VA acceptance before active connection</v>
      </c>
      <c r="J219" s="106" t="str">
        <f>B78_Assessment!$H$86</f>
        <v>Telecom / OIT</v>
      </c>
      <c r="K219" s="106" t="str">
        <f>B78_Assessment!$I$86</f>
        <v>Closed</v>
      </c>
      <c r="L219" s="106" t="str">
        <f>B78_Assessment!$J$86</f>
        <v>Total scheduled ports exceed 1,300 across the primary schedules.</v>
      </c>
    </row>
    <row r="220" spans="1:12" ht="97.5" customHeight="1">
      <c r="A220" s="106">
        <f>B78_Assessment!$B$2</f>
        <v>78</v>
      </c>
      <c r="B220" s="106" t="str">
        <f t="shared" si="28"/>
        <v>B78_Assessment</v>
      </c>
      <c r="C220" s="106" t="str">
        <f>B78_Assessment!$A$87</f>
        <v>B78-R8</v>
      </c>
      <c r="D220" s="142" t="str">
        <f>B78_Assessment!$B$87</f>
        <v>All</v>
      </c>
      <c r="E220" s="142" t="str">
        <f>B78_Assessment!$C$87</f>
        <v>Commissioning/third-party inspection reports may not be complete at turnover</v>
      </c>
      <c r="F220" s="106" t="str">
        <f>B78_Assessment!$D$87</f>
        <v>High</v>
      </c>
      <c r="G220" s="106" t="str">
        <f>B78_Assessment!$E$87</f>
        <v>Medium</v>
      </c>
      <c r="H220" s="106">
        <f>B78_Assessment!$F$87</f>
        <v>6</v>
      </c>
      <c r="I220" s="106" t="str">
        <f>B78_Assessment!$G$87</f>
        <v>Track commissioning, inspections, FA/FP acceptance, power verification, cabling tests, labels and as-builts</v>
      </c>
      <c r="J220" s="106" t="str">
        <f>B78_Assessment!$H$87</f>
        <v>GC / Cx Manager</v>
      </c>
      <c r="K220" s="106" t="str">
        <f>B78_Assessment!$I$87</f>
        <v>Closed</v>
      </c>
      <c r="L220" s="106" t="str">
        <f>B78_Assessment!$J$87</f>
        <v>Full-scope 102-sheet IFC package with multiple divisions.</v>
      </c>
    </row>
    <row r="221" spans="1:12" ht="97.5" customHeight="1">
      <c r="A221" s="106" t="str">
        <f>B80_Assessment!$B$2</f>
        <v>80</v>
      </c>
      <c r="B221" s="106" t="str">
        <f t="shared" si="28"/>
        <v>B78_Assessment</v>
      </c>
      <c r="C221" s="106" t="str">
        <f>B80_Assessment!$A$45</f>
        <v>B80-R1</v>
      </c>
      <c r="D221" s="142" t="str">
        <f>B80_Assessment!$B$45</f>
        <v>All</v>
      </c>
      <c r="E221" s="142" t="str">
        <f>B80_Assessment!$C$45</f>
        <v>Existing conditions for Room 102 and existing 127A/126 not field verified</v>
      </c>
      <c r="F221" s="106" t="str">
        <f>B80_Assessment!$D$45</f>
        <v>High</v>
      </c>
      <c r="G221" s="106" t="str">
        <f>B80_Assessment!$E$45</f>
        <v>Medium</v>
      </c>
      <c r="H221" s="106">
        <f>B80_Assessment!$F$45</f>
        <v>6</v>
      </c>
      <c r="I221" s="106" t="str">
        <f>B80_Assessment!$G$45</f>
        <v>Perform existing conditions survey with photos before mobilization</v>
      </c>
      <c r="J221" s="106" t="str">
        <f>B80_Assessment!$H$45</f>
        <v>GCC / Contractor</v>
      </c>
      <c r="K221" s="106" t="str">
        <f>B80_Assessment!$I$45</f>
        <v>Closed</v>
      </c>
      <c r="L221" s="106" t="str">
        <f>B80_Assessment!$J$45</f>
        <v>B80 includes new TR plus existing telecom transition point.</v>
      </c>
    </row>
    <row r="222" spans="1:12" ht="97.5" customHeight="1">
      <c r="A222" s="106" t="str">
        <f>B80_Assessment!$B$2</f>
        <v>80</v>
      </c>
      <c r="B222" s="106" t="str">
        <f t="shared" si="28"/>
        <v>B78_Assessment</v>
      </c>
      <c r="C222" s="106" t="str">
        <f>B80_Assessment!$A$46</f>
        <v>B80-R2</v>
      </c>
      <c r="D222" s="142" t="str">
        <f>B80_Assessment!$B$46</f>
        <v>127A / 126</v>
      </c>
      <c r="E222" s="142" t="str">
        <f>B80_Assessment!$C$46</f>
        <v>Existing telecom equipment may remain active during transfer to Room 102</v>
      </c>
      <c r="F222" s="106" t="str">
        <f>B80_Assessment!$D$46</f>
        <v>Critical</v>
      </c>
      <c r="G222" s="106" t="str">
        <f>B80_Assessment!$E$46</f>
        <v>Medium</v>
      </c>
      <c r="H222" s="106">
        <f>B80_Assessment!$F$46</f>
        <v>8</v>
      </c>
      <c r="I222" s="106" t="str">
        <f>B80_Assessment!$G$46</f>
        <v>Document active services, protect in place, identify OIT cutover windows, phasing and rollback plan</v>
      </c>
      <c r="J222" s="106" t="str">
        <f>B80_Assessment!$H$46</f>
        <v>Telecom / OIT</v>
      </c>
      <c r="K222" s="106" t="str">
        <f>B80_Assessment!$I$46</f>
        <v>Closed</v>
      </c>
      <c r="L222" s="106" t="str">
        <f>B80_Assessment!$J$46</f>
        <v>Existing rack elevation shows Cisco switches, legacy patch panels, Fiber LIU and APC floor UPS.</v>
      </c>
    </row>
    <row r="223" spans="1:12" ht="97.5" customHeight="1">
      <c r="A223" s="106" t="str">
        <f>B80_Assessment!$B$2</f>
        <v>80</v>
      </c>
      <c r="B223" s="106" t="str">
        <f t="shared" si="28"/>
        <v>B78_Assessment</v>
      </c>
      <c r="C223" s="106" t="str">
        <f>B80_Assessment!$A$47</f>
        <v>B80-R3</v>
      </c>
      <c r="D223" s="142" t="str">
        <f>B80_Assessment!$B$47</f>
        <v>102 / 127A</v>
      </c>
      <c r="E223" s="142" t="str">
        <f>B80_Assessment!$C$47</f>
        <v>Room-number mismatch between Tel Closet 127A and photo/rack reference Room 126/127-A</v>
      </c>
      <c r="F223" s="106" t="str">
        <f>B80_Assessment!$D$47</f>
        <v>High</v>
      </c>
      <c r="G223" s="106" t="str">
        <f>B80_Assessment!$E$47</f>
        <v>Medium</v>
      </c>
      <c r="H223" s="106">
        <f>B80_Assessment!$F$47</f>
        <v>6</v>
      </c>
      <c r="I223" s="106" t="str">
        <f>B80_Assessment!$G$47</f>
        <v>Track both IDs in PMIS and confirm field room signage/owner mapping before punch list and turnover</v>
      </c>
      <c r="J223" s="106" t="str">
        <f>B80_Assessment!$H$47</f>
        <v>GCC / VA / Designer</v>
      </c>
      <c r="K223" s="106" t="str">
        <f>B80_Assessment!$I$47</f>
        <v>Closed</v>
      </c>
      <c r="L223" s="106" t="str">
        <f>B80_Assessment!$J$47</f>
        <v>80T-101 calls Tel Closet 127A; 80R-900 photo reference calls existing telecom room 126; 80T-604 lists room 126/127-A.</v>
      </c>
    </row>
    <row r="224" spans="1:12" ht="97.5" customHeight="1">
      <c r="A224" s="106" t="str">
        <f>B80_Assessment!$B$2</f>
        <v>80</v>
      </c>
      <c r="B224" s="106" t="str">
        <f t="shared" si="28"/>
        <v>B78_Assessment</v>
      </c>
      <c r="C224" s="106" t="str">
        <f>B80_Assessment!$A$48</f>
        <v>B80-R4</v>
      </c>
      <c r="D224" s="142" t="str">
        <f>B80_Assessment!$B$48</f>
        <v>102</v>
      </c>
      <c r="E224" s="142" t="str">
        <f>B80_Assessment!$C$48</f>
        <v>Dedicated cooling emergency power, condensate, BACnet and alarms not verified</v>
      </c>
      <c r="F224" s="106" t="str">
        <f>B80_Assessment!$D$48</f>
        <v>Critical</v>
      </c>
      <c r="G224" s="106" t="str">
        <f>B80_Assessment!$E$48</f>
        <v>Medium</v>
      </c>
      <c r="H224" s="106">
        <f>B80_Assessment!$F$48</f>
        <v>8</v>
      </c>
      <c r="I224" s="106" t="str">
        <f>B80_Assessment!$G$48</f>
        <v>Confirm IU-1-01/CU-1-01 power source, condensate route, controls, BACnet adapter, thermostat and high-temp alarm</v>
      </c>
      <c r="J224" s="106" t="str">
        <f>B80_Assessment!$H$48</f>
        <v>Mechanical / Electrical</v>
      </c>
      <c r="K224" s="106" t="str">
        <f>B80_Assessment!$I$48</f>
        <v>Closed</v>
      </c>
      <c r="L224" s="106" t="str">
        <f>B80_Assessment!$J$48</f>
        <v>Cooling is central to TR readiness.</v>
      </c>
    </row>
    <row r="225" spans="1:12" ht="97.5" customHeight="1">
      <c r="A225" s="106" t="str">
        <f>B80_Assessment!$B$2</f>
        <v>80</v>
      </c>
      <c r="B225" s="106" t="str">
        <f t="shared" si="28"/>
        <v>B78_Assessment</v>
      </c>
      <c r="C225" s="106" t="str">
        <f>B80_Assessment!$A$49</f>
        <v>B80-R5</v>
      </c>
      <c r="D225" s="142" t="str">
        <f>B80_Assessment!$B$49</f>
        <v>102</v>
      </c>
      <c r="E225" s="142" t="str">
        <f>B80_Assessment!$C$49</f>
        <v>B80-TR102A/B UPS/PDU and panel source coordination could delay energization</v>
      </c>
      <c r="F225" s="106" t="str">
        <f>B80_Assessment!$D$49</f>
        <v>High</v>
      </c>
      <c r="G225" s="106" t="str">
        <f>B80_Assessment!$E$49</f>
        <v>Medium</v>
      </c>
      <c r="H225" s="106">
        <f>B80_Assessment!$F$49</f>
        <v>6</v>
      </c>
      <c r="I225" s="106" t="str">
        <f>B80_Assessment!$G$49</f>
        <v>Verify panel sources BUS-B80-MDP and BUS-B80-E1, breakers, receptacles, SPD, labels, load measurement and LOTO needs</v>
      </c>
      <c r="J225" s="106" t="str">
        <f>B80_Assessment!$H$49</f>
        <v>Electrical / GCC</v>
      </c>
      <c r="K225" s="106" t="str">
        <f>B80_Assessment!$I$49</f>
        <v>Closed</v>
      </c>
      <c r="L225" s="106" t="str">
        <f>B80_Assessment!$J$49</f>
        <v>B80-TR102A/B panel schedules and one-line show normal/emergency source split.</v>
      </c>
    </row>
    <row r="226" spans="1:12" ht="97.5" customHeight="1">
      <c r="A226" s="106" t="str">
        <f>B80_Assessment!$B$2</f>
        <v>80</v>
      </c>
      <c r="B226" s="106" t="str">
        <f t="shared" ref="B226:B233" si="29">"B80_Assessment"</f>
        <v>B80_Assessment</v>
      </c>
      <c r="C226" s="106" t="str">
        <f>B80_Assessment!$A$50</f>
        <v>B80-R6</v>
      </c>
      <c r="D226" s="142" t="str">
        <f>B80_Assessment!$B$50</f>
        <v>All</v>
      </c>
      <c r="E226" s="142" t="str">
        <f>B80_Assessment!$C$50</f>
        <v>811 feet of cable tray/pathway requires coordination and firestop tracking</v>
      </c>
      <c r="F226" s="106" t="str">
        <f>B80_Assessment!$D$50</f>
        <v>High</v>
      </c>
      <c r="G226" s="106" t="str">
        <f>B80_Assessment!$E$50</f>
        <v>Medium</v>
      </c>
      <c r="H226" s="106">
        <f>B80_Assessment!$F$50</f>
        <v>6</v>
      </c>
      <c r="I226" s="106" t="str">
        <f>B80_Assessment!$G$50</f>
        <v>Verify route, supports, seismic bracing, 40% fill, penetrations, lighting/HVAC conflicts and firestop assemblies</v>
      </c>
      <c r="J226" s="106" t="str">
        <f>B80_Assessment!$H$50</f>
        <v>Telecom / GC</v>
      </c>
      <c r="K226" s="106" t="str">
        <f>B80_Assessment!$I$50</f>
        <v>Closed</v>
      </c>
      <c r="L226" s="106" t="str">
        <f>B80_Assessment!$J$50</f>
        <v>80T-701 cable tray schedule: basement 122 ft, first level 688 ft, grand total 811 ft.</v>
      </c>
    </row>
    <row r="227" spans="1:12" ht="97.5" customHeight="1">
      <c r="A227" s="106" t="str">
        <f>B80_Assessment!$B$2</f>
        <v>80</v>
      </c>
      <c r="B227" s="106" t="str">
        <f t="shared" si="29"/>
        <v>B80_Assessment</v>
      </c>
      <c r="C227" s="106" t="str">
        <f>B80_Assessment!$A$51</f>
        <v>B80-R7</v>
      </c>
      <c r="D227" s="142" t="str">
        <f>B80_Assessment!$B$51</f>
        <v>All</v>
      </c>
      <c r="E227" s="142" t="str">
        <f>B80_Assessment!$C$51</f>
        <v>Telecom/fiber cutover could affect active hospital communications on first-level operations</v>
      </c>
      <c r="F227" s="106" t="str">
        <f>B80_Assessment!$D$51</f>
        <v>Critical</v>
      </c>
      <c r="G227" s="106" t="str">
        <f>B80_Assessment!$E$51</f>
        <v>Medium</v>
      </c>
      <c r="H227" s="106">
        <f>B80_Assessment!$F$51</f>
        <v>8</v>
      </c>
      <c r="I227" s="106" t="str">
        <f>B80_Assessment!$G$51</f>
        <v>Require cutover plan, test records, labels, as-builts, OIT coordination and VA acceptance before active connection</v>
      </c>
      <c r="J227" s="106" t="str">
        <f>B80_Assessment!$H$51</f>
        <v>Telecom / OIT</v>
      </c>
      <c r="K227" s="106" t="str">
        <f>B80_Assessment!$I$51</f>
        <v>Closed</v>
      </c>
      <c r="L227" s="106" t="str">
        <f>B80_Assessment!$J$51</f>
        <v>RM102 supports 215 total ports including allowance and existing rack transfer.</v>
      </c>
    </row>
    <row r="228" spans="1:12" ht="97.5" customHeight="1">
      <c r="A228" s="106" t="str">
        <f>B80_Assessment!$B$2</f>
        <v>80</v>
      </c>
      <c r="B228" s="106" t="str">
        <f t="shared" si="29"/>
        <v>B80_Assessment</v>
      </c>
      <c r="C228" s="106" t="str">
        <f>B80_Assessment!$A$52</f>
        <v>B80-R8</v>
      </c>
      <c r="D228" s="142" t="str">
        <f>B80_Assessment!$B$52</f>
        <v>All</v>
      </c>
      <c r="E228" s="142" t="str">
        <f>B80_Assessment!$C$52</f>
        <v>Commissioning/third-party inspection reports may not be complete at turnover</v>
      </c>
      <c r="F228" s="106" t="str">
        <f>B80_Assessment!$D$52</f>
        <v>High</v>
      </c>
      <c r="G228" s="106" t="str">
        <f>B80_Assessment!$E$52</f>
        <v>Medium</v>
      </c>
      <c r="H228" s="106">
        <f>B80_Assessment!$F$52</f>
        <v>6</v>
      </c>
      <c r="I228" s="106" t="str">
        <f>B80_Assessment!$G$52</f>
        <v>Track commissioning, inspections, FA/FP acceptance, power verification, cabling tests, labels and as-builts</v>
      </c>
      <c r="J228" s="106" t="str">
        <f>B80_Assessment!$H$52</f>
        <v>GC / Cx Manager</v>
      </c>
      <c r="K228" s="106" t="str">
        <f>B80_Assessment!$I$52</f>
        <v>Closed</v>
      </c>
      <c r="L228" s="106" t="str">
        <f>B80_Assessment!$J$52</f>
        <v>Full-scope 52-sheet IFC package with mechanical, electrical, FP and telecom work.</v>
      </c>
    </row>
    <row r="229" spans="1:12" ht="97.5" customHeight="1">
      <c r="A229" s="106" t="str">
        <f>B82_Assessment!$B$2</f>
        <v>82</v>
      </c>
      <c r="B229" s="106" t="str">
        <f t="shared" si="29"/>
        <v>B80_Assessment</v>
      </c>
      <c r="C229" s="106" t="str">
        <f>B82_Assessment!$A$45</f>
        <v>B82-R1</v>
      </c>
      <c r="D229" s="142" t="str">
        <f>B82_Assessment!$B$45</f>
        <v>All</v>
      </c>
      <c r="E229" s="142" t="str">
        <f>B82_Assessment!$C$45</f>
        <v>Existing conditions for new Room 102 TE and existing B01-A not field verified</v>
      </c>
      <c r="F229" s="106" t="str">
        <f>B82_Assessment!$D$45</f>
        <v>High</v>
      </c>
      <c r="G229" s="106" t="str">
        <f>B82_Assessment!$E$45</f>
        <v>Medium</v>
      </c>
      <c r="H229" s="106">
        <f>B82_Assessment!$F$45</f>
        <v>6</v>
      </c>
      <c r="I229" s="106" t="str">
        <f>B82_Assessment!$G$45</f>
        <v>Perform existing conditions survey with photos before mobilization</v>
      </c>
      <c r="J229" s="106" t="str">
        <f>B82_Assessment!$H$45</f>
        <v>GCC / Contractor</v>
      </c>
      <c r="K229" s="106" t="str">
        <f>B82_Assessment!$I$45</f>
        <v>Closed</v>
      </c>
      <c r="L229" s="106" t="str">
        <f>B82_Assessment!$J$45</f>
        <v>B82 has a compact TE scope but still depends on field conditions and existing equipment transfer.</v>
      </c>
    </row>
    <row r="230" spans="1:12" ht="97.5" customHeight="1">
      <c r="A230" s="106" t="str">
        <f>B82_Assessment!$B$2</f>
        <v>82</v>
      </c>
      <c r="B230" s="106" t="str">
        <f t="shared" si="29"/>
        <v>B80_Assessment</v>
      </c>
      <c r="C230" s="106" t="str">
        <f>B82_Assessment!$A$46</f>
        <v>B82-R2</v>
      </c>
      <c r="D230" s="142" t="str">
        <f>B82_Assessment!$B$46</f>
        <v>102 / B01-A</v>
      </c>
      <c r="E230" s="142" t="str">
        <f>B82_Assessment!$C$46</f>
        <v>Existing equipment in B01-A may remain active during transfer to new TE in 102</v>
      </c>
      <c r="F230" s="106" t="str">
        <f>B82_Assessment!$D$46</f>
        <v>Critical</v>
      </c>
      <c r="G230" s="106" t="str">
        <f>B82_Assessment!$E$46</f>
        <v>Medium</v>
      </c>
      <c r="H230" s="106">
        <f>B82_Assessment!$F$46</f>
        <v>8</v>
      </c>
      <c r="I230" s="106" t="str">
        <f>B82_Assessment!$G$46</f>
        <v>Document active services, protect in place, identify OIT cutover windows, phasing, rollback path and temporary utilities</v>
      </c>
      <c r="J230" s="106" t="str">
        <f>B82_Assessment!$H$46</f>
        <v>Telecom / OIT</v>
      </c>
      <c r="K230" s="106" t="str">
        <f>B82_Assessment!$I$46</f>
        <v>Closed</v>
      </c>
      <c r="L230" s="106" t="str">
        <f>B82_Assessment!$J$46</f>
        <v>82T-101 keynotes require phasing plan and transfer of existing devices to new rack/enclosure.</v>
      </c>
    </row>
    <row r="231" spans="1:12" ht="97.5" customHeight="1">
      <c r="A231" s="106" t="str">
        <f>B82_Assessment!$B$2</f>
        <v>82</v>
      </c>
      <c r="B231" s="106" t="str">
        <f t="shared" si="29"/>
        <v>B80_Assessment</v>
      </c>
      <c r="C231" s="106" t="str">
        <f>B82_Assessment!$A$47</f>
        <v>B82-R3</v>
      </c>
      <c r="D231" s="142" t="str">
        <f>B82_Assessment!$B$47</f>
        <v>102</v>
      </c>
      <c r="E231" s="142" t="str">
        <f>B82_Assessment!$C$47</f>
        <v>Cover sheet says TE, but mechanical cooling is included for Room 102</v>
      </c>
      <c r="F231" s="106" t="str">
        <f>B82_Assessment!$D$47</f>
        <v>High</v>
      </c>
      <c r="G231" s="106" t="str">
        <f>B82_Assessment!$E$47</f>
        <v>Medium</v>
      </c>
      <c r="H231" s="106">
        <f>B82_Assessment!$F$47</f>
        <v>6</v>
      </c>
      <c r="I231" s="106" t="str">
        <f>B82_Assessment!$G$47</f>
        <v>Confirm scope interpretation with VA/AE and ensure cooling is commissioned if it serves active TE equipment</v>
      </c>
      <c r="J231" s="106" t="str">
        <f>B82_Assessment!$H$47</f>
        <v>GCC / VA / Designer</v>
      </c>
      <c r="K231" s="106" t="str">
        <f>B82_Assessment!$I$47</f>
        <v>Closed</v>
      </c>
      <c r="L231" s="106" t="str">
        <f>B82_Assessment!$J$47</f>
        <v>Unlike some TE buildings, B82 includes IU-1-01/CU-1-01 mechanical/electrical scope.</v>
      </c>
    </row>
    <row r="232" spans="1:12" ht="97.5" customHeight="1">
      <c r="A232" s="106" t="str">
        <f>B82_Assessment!$B$2</f>
        <v>82</v>
      </c>
      <c r="B232" s="106" t="str">
        <f t="shared" si="29"/>
        <v>B80_Assessment</v>
      </c>
      <c r="C232" s="106" t="str">
        <f>B82_Assessment!$A$48</f>
        <v>B82-R4</v>
      </c>
      <c r="D232" s="142" t="str">
        <f>B82_Assessment!$B$48</f>
        <v>102</v>
      </c>
      <c r="E232" s="142" t="str">
        <f>B82_Assessment!$C$48</f>
        <v>Dedicated cooling emergency power, condensate, BACnet and alarms not verified</v>
      </c>
      <c r="F232" s="106" t="str">
        <f>B82_Assessment!$D$48</f>
        <v>Critical</v>
      </c>
      <c r="G232" s="106" t="str">
        <f>B82_Assessment!$E$48</f>
        <v>Medium</v>
      </c>
      <c r="H232" s="106">
        <f>B82_Assessment!$F$48</f>
        <v>8</v>
      </c>
      <c r="I232" s="106" t="str">
        <f>B82_Assessment!$G$48</f>
        <v>Confirm IU-1-01/CU-1-01 power source, condensate, controls, BACnet adapter, thermostat and high-temp alarm</v>
      </c>
      <c r="J232" s="106" t="str">
        <f>B82_Assessment!$H$48</f>
        <v>Mechanical / Electrical</v>
      </c>
      <c r="K232" s="106" t="str">
        <f>B82_Assessment!$I$48</f>
        <v>Closed</v>
      </c>
      <c r="L232" s="106" t="str">
        <f>B82_Assessment!$J$48</f>
        <v>Cooling appears included and must be verified before acceptance.</v>
      </c>
    </row>
    <row r="233" spans="1:12" ht="97.5" customHeight="1">
      <c r="A233" s="106" t="str">
        <f>B82_Assessment!$B$2</f>
        <v>82</v>
      </c>
      <c r="B233" s="106" t="str">
        <f t="shared" si="29"/>
        <v>B80_Assessment</v>
      </c>
      <c r="C233" s="106" t="str">
        <f>B82_Assessment!$A$49</f>
        <v>B82-R5</v>
      </c>
      <c r="D233" s="142" t="str">
        <f>B82_Assessment!$B$49</f>
        <v>102</v>
      </c>
      <c r="E233" s="142" t="str">
        <f>B82_Assessment!$C$49</f>
        <v>UPS/PDU/receptacle source and grounding/bonding not verified</v>
      </c>
      <c r="F233" s="106" t="str">
        <f>B82_Assessment!$D$49</f>
        <v>High</v>
      </c>
      <c r="G233" s="106" t="str">
        <f>B82_Assessment!$E$49</f>
        <v>Medium</v>
      </c>
      <c r="H233" s="106">
        <f>B82_Assessment!$F$49</f>
        <v>6</v>
      </c>
      <c r="I233" s="106" t="str">
        <f>B82_Assessment!$G$49</f>
        <v>Verify circuit source, receptacle type, UPS/PDU load, grounding bar, bonding, SPD and labels</v>
      </c>
      <c r="J233" s="106" t="str">
        <f>B82_Assessment!$H$49</f>
        <v>Electrical / Telecom</v>
      </c>
      <c r="K233" s="106" t="str">
        <f>B82_Assessment!$I$49</f>
        <v>Closed</v>
      </c>
      <c r="L233" s="106" t="str">
        <f>B82_Assessment!$J$49</f>
        <v>New TE enclosure includes APC UPS and two PDUs.</v>
      </c>
    </row>
    <row r="234" spans="1:12" ht="97.5" customHeight="1">
      <c r="A234" s="106" t="str">
        <f>B82_Assessment!$B$2</f>
        <v>82</v>
      </c>
      <c r="B234" s="106" t="str">
        <f t="shared" ref="B234:B241" si="30">"B82_Assessment"</f>
        <v>B82_Assessment</v>
      </c>
      <c r="C234" s="106" t="str">
        <f>B82_Assessment!$A$50</f>
        <v>B82-R6</v>
      </c>
      <c r="D234" s="142" t="str">
        <f>B82_Assessment!$B$50</f>
        <v>All</v>
      </c>
      <c r="E234" s="142" t="str">
        <f>B82_Assessment!$C$50</f>
        <v>278 feet of first-level cable tray/pathway requires coordination and firestop tracking</v>
      </c>
      <c r="F234" s="106" t="str">
        <f>B82_Assessment!$D$50</f>
        <v>High</v>
      </c>
      <c r="G234" s="106" t="str">
        <f>B82_Assessment!$E$50</f>
        <v>Medium</v>
      </c>
      <c r="H234" s="106">
        <f>B82_Assessment!$F$50</f>
        <v>6</v>
      </c>
      <c r="I234" s="106" t="str">
        <f>B82_Assessment!$G$50</f>
        <v>Verify route, supports, seismic bracing, 40% fill, penetrations, light/HVAC conflicts and firestop assemblies</v>
      </c>
      <c r="J234" s="106" t="str">
        <f>B82_Assessment!$H$50</f>
        <v>Telecom / GC</v>
      </c>
      <c r="K234" s="106" t="str">
        <f>B82_Assessment!$I$50</f>
        <v>Closed</v>
      </c>
      <c r="L234" s="106" t="str">
        <f>B82_Assessment!$J$50</f>
        <v>82T-701 cable tray schedule lists first level estimated length of 278 ft.</v>
      </c>
    </row>
    <row r="235" spans="1:12" ht="97.5" customHeight="1">
      <c r="A235" s="106" t="str">
        <f>B82_Assessment!$B$2</f>
        <v>82</v>
      </c>
      <c r="B235" s="106" t="str">
        <f t="shared" si="30"/>
        <v>B82_Assessment</v>
      </c>
      <c r="C235" s="106" t="str">
        <f>B82_Assessment!$A$51</f>
        <v>B82-R7</v>
      </c>
      <c r="D235" s="142" t="str">
        <f>B82_Assessment!$B$51</f>
        <v>All</v>
      </c>
      <c r="E235" s="142" t="str">
        <f>B82_Assessment!$C$51</f>
        <v>Firestopping/rated sleeve work could be missed because FP scope is excluded</v>
      </c>
      <c r="F235" s="106" t="str">
        <f>B82_Assessment!$D$51</f>
        <v>High</v>
      </c>
      <c r="G235" s="106" t="str">
        <f>B82_Assessment!$E$51</f>
        <v>Medium</v>
      </c>
      <c r="H235" s="106">
        <f>B82_Assessment!$F$51</f>
        <v>6</v>
      </c>
      <c r="I235" s="106" t="str">
        <f>B82_Assessment!$G$51</f>
        <v>Track 4-inch speed sleeve, rated penetrations, fire caulk, temporary firestopping and patching even without FP sheet scope</v>
      </c>
      <c r="J235" s="106" t="str">
        <f>B82_Assessment!$H$51</f>
        <v>GC / Firestop</v>
      </c>
      <c r="K235" s="106" t="str">
        <f>B82_Assessment!$I$51</f>
        <v>Closed</v>
      </c>
      <c r="L235" s="106" t="str">
        <f>B82_Assessment!$J$51</f>
        <v>Cover excludes fire protection; telecom notes require fire caulk and rated penetrations.</v>
      </c>
    </row>
    <row r="236" spans="1:12" ht="97.5" customHeight="1">
      <c r="A236" s="106" t="str">
        <f>B82_Assessment!$B$2</f>
        <v>82</v>
      </c>
      <c r="B236" s="106" t="str">
        <f t="shared" si="30"/>
        <v>B82_Assessment</v>
      </c>
      <c r="C236" s="106" t="str">
        <f>B82_Assessment!$A$52</f>
        <v>B82-R8</v>
      </c>
      <c r="D236" s="142" t="str">
        <f>B82_Assessment!$B$52</f>
        <v>All</v>
      </c>
      <c r="E236" s="142" t="str">
        <f>B82_Assessment!$C$52</f>
        <v>Commissioning/test documentation may be overlooked due to TE-only scope</v>
      </c>
      <c r="F236" s="106" t="str">
        <f>B82_Assessment!$D$52</f>
        <v>High</v>
      </c>
      <c r="G236" s="106" t="str">
        <f>B82_Assessment!$E$52</f>
        <v>Medium</v>
      </c>
      <c r="H236" s="106">
        <f>B82_Assessment!$F$52</f>
        <v>6</v>
      </c>
      <c r="I236" s="106" t="str">
        <f>B82_Assessment!$G$52</f>
        <v>Track cable test records, labels, as-builts, laminated schedules, OIT acceptance, UPS/PDU verification, HVAC startup/controls and owner signoff</v>
      </c>
      <c r="J236" s="106" t="str">
        <f>B82_Assessment!$H$52</f>
        <v>GC / Cx Manager</v>
      </c>
      <c r="K236" s="106" t="str">
        <f>B82_Assessment!$I$52</f>
        <v>Closed</v>
      </c>
      <c r="L236" s="106" t="str">
        <f>B82_Assessment!$J$52</f>
        <v>General notes still require testing, acceptance and documentation.</v>
      </c>
    </row>
    <row r="237" spans="1:12" ht="97.5" customHeight="1">
      <c r="A237" s="106" t="str">
        <f>BCH_Assessment!$B$2</f>
        <v>BCH</v>
      </c>
      <c r="B237" s="106" t="str">
        <f t="shared" si="30"/>
        <v>B82_Assessment</v>
      </c>
      <c r="C237" s="106" t="str">
        <f>BCH_Assessment!$A$45</f>
        <v>BCH-R1</v>
      </c>
      <c r="D237" s="142" t="str">
        <f>BCH_Assessment!$B$45</f>
        <v>All</v>
      </c>
      <c r="E237" s="142" t="str">
        <f>BCH_Assessment!$C$45</f>
        <v>Existing conditions for Crescent House Room 107 not field verified</v>
      </c>
      <c r="F237" s="106" t="str">
        <f>BCH_Assessment!$D$45</f>
        <v>High</v>
      </c>
      <c r="G237" s="106" t="str">
        <f>BCH_Assessment!$E$45</f>
        <v>Medium</v>
      </c>
      <c r="H237" s="106">
        <f>BCH_Assessment!$F$45</f>
        <v>6</v>
      </c>
      <c r="I237" s="106" t="str">
        <f>BCH_Assessment!$G$45</f>
        <v>Perform existing conditions survey with photos before mobilization</v>
      </c>
      <c r="J237" s="106" t="str">
        <f>BCH_Assessment!$H$45</f>
        <v>GCC / Contractor</v>
      </c>
      <c r="K237" s="106" t="str">
        <f>BCH_Assessment!$I$45</f>
        <v>Closed</v>
      </c>
      <c r="L237" s="106" t="str">
        <f>BCH_Assessment!$J$45</f>
        <v>BCH is off-site at 15 Veterans Way, Lowell and requires careful field verification.</v>
      </c>
    </row>
    <row r="238" spans="1:12" ht="97.5" customHeight="1">
      <c r="A238" s="106" t="str">
        <f>BCH_Assessment!$B$2</f>
        <v>BCH</v>
      </c>
      <c r="B238" s="106" t="str">
        <f t="shared" si="30"/>
        <v>B82_Assessment</v>
      </c>
      <c r="C238" s="106" t="str">
        <f>BCH_Assessment!$A$46</f>
        <v>BCH-R2</v>
      </c>
      <c r="D238" s="142" t="str">
        <f>BCH_Assessment!$B$46</f>
        <v>107</v>
      </c>
      <c r="E238" s="142" t="str">
        <f>BCH_Assessment!$C$46</f>
        <v>Mechanical and fire protection are excluded despite telecom/electronics installation</v>
      </c>
      <c r="F238" s="106" t="str">
        <f>BCH_Assessment!$D$46</f>
        <v>High</v>
      </c>
      <c r="G238" s="106" t="str">
        <f>BCH_Assessment!$E$46</f>
        <v>Medium</v>
      </c>
      <c r="H238" s="106">
        <f>BCH_Assessment!$F$46</f>
        <v>6</v>
      </c>
      <c r="I238" s="106" t="str">
        <f>BCH_Assessment!$G$46</f>
        <v>Verify existing environmental and life-safety conditions support TE equipment; confirm no dedicated HVAC/FP requirement applies</v>
      </c>
      <c r="J238" s="106" t="str">
        <f>BCH_Assessment!$H$46</f>
        <v>GCC / VA / AE</v>
      </c>
      <c r="K238" s="106" t="str">
        <f>BCH_Assessment!$I$46</f>
        <v>Closed</v>
      </c>
      <c r="L238" s="106" t="str">
        <f>BCH_Assessment!$J$46</f>
        <v>Cover sheet explicitly excludes mechanical and fire protection.</v>
      </c>
    </row>
    <row r="239" spans="1:12" ht="97.5" customHeight="1">
      <c r="A239" s="106" t="str">
        <f>BCH_Assessment!$B$2</f>
        <v>BCH</v>
      </c>
      <c r="B239" s="106" t="str">
        <f t="shared" si="30"/>
        <v>B82_Assessment</v>
      </c>
      <c r="C239" s="106" t="str">
        <f>BCH_Assessment!$A$47</f>
        <v>BCH-R3</v>
      </c>
      <c r="D239" s="142" t="str">
        <f>BCH_Assessment!$B$47</f>
        <v>107 / 00</v>
      </c>
      <c r="E239" s="142" t="str">
        <f>BCH_Assessment!$C$47</f>
        <v>Rack/elevation conflict: TE 12RU enclosure versus BCH Room 107 new telecom room elevation</v>
      </c>
      <c r="F239" s="106" t="str">
        <f>BCH_Assessment!$D$47</f>
        <v>High</v>
      </c>
      <c r="G239" s="106" t="str">
        <f>BCH_Assessment!$E$47</f>
        <v>Medium</v>
      </c>
      <c r="H239" s="106">
        <f>BCH_Assessment!$F$47</f>
        <v>6</v>
      </c>
      <c r="I239" s="106" t="str">
        <f>BCH_Assessment!$G$47</f>
        <v>Submit RFI/confirm with AE which elevation governs and map room/equipment in PMIS</v>
      </c>
      <c r="J239" s="106" t="str">
        <f>BCH_Assessment!$H$47</f>
        <v>Telecom / Designer</v>
      </c>
      <c r="K239" s="106" t="str">
        <f>BCH_Assessment!$I$47</f>
        <v>Closed</v>
      </c>
      <c r="L239" s="106" t="str">
        <f>BCH_Assessment!$J$47</f>
        <v>BCHT-604 includes both TE enclosure and BCH 45RU new telecom room/no existing elevations.</v>
      </c>
    </row>
    <row r="240" spans="1:12" ht="97.5" customHeight="1">
      <c r="A240" s="106" t="str">
        <f>BCH_Assessment!$B$2</f>
        <v>BCH</v>
      </c>
      <c r="B240" s="106" t="str">
        <f t="shared" si="30"/>
        <v>B82_Assessment</v>
      </c>
      <c r="C240" s="106" t="str">
        <f>BCH_Assessment!$A$48</f>
        <v>BCH-R4</v>
      </c>
      <c r="D240" s="142" t="str">
        <f>BCH_Assessment!$B$48</f>
        <v>107</v>
      </c>
      <c r="E240" s="142" t="str">
        <f>BCH_Assessment!$C$48</f>
        <v>Active services and existing devices may require phasing/temporary service</v>
      </c>
      <c r="F240" s="106" t="str">
        <f>BCH_Assessment!$D$48</f>
        <v>Critical</v>
      </c>
      <c r="G240" s="106" t="str">
        <f>BCH_Assessment!$E$48</f>
        <v>Medium</v>
      </c>
      <c r="H240" s="106">
        <f>BCH_Assessment!$F$48</f>
        <v>8</v>
      </c>
      <c r="I240" s="106" t="str">
        <f>BCH_Assessment!$G$48</f>
        <v>Document active services, maintain existing service, use phasing plan, temporary utilities and OIT cutover windows</v>
      </c>
      <c r="J240" s="106" t="str">
        <f>BCH_Assessment!$H$48</f>
        <v>Telecom / OIT</v>
      </c>
      <c r="K240" s="106" t="str">
        <f>BCH_Assessment!$I$48</f>
        <v>Closed</v>
      </c>
      <c r="L240" s="106" t="str">
        <f>BCH_Assessment!$J$48</f>
        <v>General telecom notes require transfer/phasing and avoiding shutdowns.</v>
      </c>
    </row>
    <row r="241" spans="1:12" ht="97.5" customHeight="1">
      <c r="A241" s="106" t="str">
        <f>BCH_Assessment!$B$2</f>
        <v>BCH</v>
      </c>
      <c r="B241" s="106" t="str">
        <f t="shared" si="30"/>
        <v>B82_Assessment</v>
      </c>
      <c r="C241" s="106" t="str">
        <f>BCH_Assessment!$A$49</f>
        <v>BCH-R5</v>
      </c>
      <c r="D241" s="142" t="str">
        <f>BCH_Assessment!$B$49</f>
        <v>107</v>
      </c>
      <c r="E241" s="142" t="str">
        <f>BCH_Assessment!$C$49</f>
        <v>UPS/PDU/receptacle source and grounding/bonding not verified</v>
      </c>
      <c r="F241" s="106" t="str">
        <f>BCH_Assessment!$D$49</f>
        <v>High</v>
      </c>
      <c r="G241" s="106" t="str">
        <f>BCH_Assessment!$E$49</f>
        <v>Medium</v>
      </c>
      <c r="H241" s="106">
        <f>BCH_Assessment!$F$49</f>
        <v>6</v>
      </c>
      <c r="I241" s="106" t="str">
        <f>BCH_Assessment!$G$49</f>
        <v>Verify circuit source, receptacle type, UPS/PDU load, grounding bar, bonding and labels</v>
      </c>
      <c r="J241" s="106" t="str">
        <f>BCH_Assessment!$H$49</f>
        <v>Electrical / Telecom</v>
      </c>
      <c r="K241" s="106" t="str">
        <f>BCH_Assessment!$I$49</f>
        <v>Closed</v>
      </c>
      <c r="L241" s="106" t="str">
        <f>BCH_Assessment!$J$49</f>
        <v>Electrical sheets included but no full mechanical/FP package.</v>
      </c>
    </row>
    <row r="242" spans="1:12" ht="97.5" customHeight="1">
      <c r="A242" s="106" t="str">
        <f>BCH_Assessment!$B$2</f>
        <v>BCH</v>
      </c>
      <c r="B242" s="106" t="str">
        <f t="shared" ref="B242:B249" si="31">"BCH_Assessment"</f>
        <v>BCH_Assessment</v>
      </c>
      <c r="C242" s="106" t="str">
        <f>BCH_Assessment!$A$50</f>
        <v>BCH-R6</v>
      </c>
      <c r="D242" s="142" t="str">
        <f>BCH_Assessment!$B$50</f>
        <v>All</v>
      </c>
      <c r="E242" s="142" t="str">
        <f>BCH_Assessment!$C$50</f>
        <v>Cable tray, sleeve and pathway quantities not scheduled in a BCHT-701 sheet</v>
      </c>
      <c r="F242" s="106" t="str">
        <f>BCH_Assessment!$D$50</f>
        <v>High</v>
      </c>
      <c r="G242" s="106" t="str">
        <f>BCH_Assessment!$E$50</f>
        <v>Medium</v>
      </c>
      <c r="H242" s="106">
        <f>BCH_Assessment!$F$50</f>
        <v>6</v>
      </c>
      <c r="I242" s="106" t="str">
        <f>BCH_Assessment!$G$50</f>
        <v>Require coordination drawings showing route, supports, fill, penetrations, sleeves and cable counts</v>
      </c>
      <c r="J242" s="106" t="str">
        <f>BCH_Assessment!$H$50</f>
        <v>Telecom / GC</v>
      </c>
      <c r="K242" s="106" t="str">
        <f>BCH_Assessment!$I$50</f>
        <v>Closed</v>
      </c>
      <c r="L242" s="106" t="str">
        <f>BCH_Assessment!$J$50</f>
        <v>Drawing index does not list BCHT-701 telecom schedules.</v>
      </c>
    </row>
    <row r="243" spans="1:12" ht="97.5" customHeight="1">
      <c r="A243" s="106" t="str">
        <f>BCH_Assessment!$B$2</f>
        <v>BCH</v>
      </c>
      <c r="B243" s="106" t="str">
        <f t="shared" si="31"/>
        <v>BCH_Assessment</v>
      </c>
      <c r="C243" s="106" t="str">
        <f>BCH_Assessment!$A$51</f>
        <v>BCH-R7</v>
      </c>
      <c r="D243" s="142" t="str">
        <f>BCH_Assessment!$B$51</f>
        <v>All</v>
      </c>
      <c r="E243" s="142" t="str">
        <f>BCH_Assessment!$C$51</f>
        <v>Firestopping/rated sleeve work could be missed because FP scope is excluded</v>
      </c>
      <c r="F243" s="106" t="str">
        <f>BCH_Assessment!$D$51</f>
        <v>High</v>
      </c>
      <c r="G243" s="106" t="str">
        <f>BCH_Assessment!$E$51</f>
        <v>Medium</v>
      </c>
      <c r="H243" s="106">
        <f>BCH_Assessment!$F$51</f>
        <v>6</v>
      </c>
      <c r="I243" s="106" t="str">
        <f>BCH_Assessment!$G$51</f>
        <v>Track 4-inch sleeves, rated penetrations, fire caulk, temporary firestopping and patching even without FP scope</v>
      </c>
      <c r="J243" s="106" t="str">
        <f>BCH_Assessment!$H$51</f>
        <v>GC / Firestop</v>
      </c>
      <c r="K243" s="106" t="str">
        <f>BCH_Assessment!$I$51</f>
        <v>Closed</v>
      </c>
      <c r="L243" s="106" t="str">
        <f>BCH_Assessment!$J$51</f>
        <v>Telecom plan notes still require fire caulk and rated penetration protection.</v>
      </c>
    </row>
    <row r="244" spans="1:12" ht="97.5" customHeight="1">
      <c r="A244" s="106" t="str">
        <f>BCH_Assessment!$B$2</f>
        <v>BCH</v>
      </c>
      <c r="B244" s="106" t="str">
        <f t="shared" si="31"/>
        <v>BCH_Assessment</v>
      </c>
      <c r="C244" s="106" t="str">
        <f>BCH_Assessment!$A$52</f>
        <v>BCH-R8</v>
      </c>
      <c r="D244" s="142" t="str">
        <f>BCH_Assessment!$B$52</f>
        <v>All</v>
      </c>
      <c r="E244" s="142" t="str">
        <f>BCH_Assessment!$C$52</f>
        <v>Turnover documentation may be incomplete due to TE-only/off-site scope</v>
      </c>
      <c r="F244" s="106" t="str">
        <f>BCH_Assessment!$D$52</f>
        <v>High</v>
      </c>
      <c r="G244" s="106" t="str">
        <f>BCH_Assessment!$E$52</f>
        <v>Medium</v>
      </c>
      <c r="H244" s="106">
        <f>BCH_Assessment!$F$52</f>
        <v>6</v>
      </c>
      <c r="I244" s="106" t="str">
        <f>BCH_Assessment!$G$52</f>
        <v>Track cable test records, labels, as-builts, laminated schedules, OIT acceptance, UPS/PDU verification and owner signoff</v>
      </c>
      <c r="J244" s="106" t="str">
        <f>BCH_Assessment!$H$52</f>
        <v>GC / Cx Manager</v>
      </c>
      <c r="K244" s="106" t="str">
        <f>BCH_Assessment!$I$52</f>
        <v>Closed</v>
      </c>
      <c r="L244" s="106" t="str">
        <f>BCH_Assessment!$J$52</f>
        <v>Commissioning/testing requirements still apply to impacted systems.</v>
      </c>
    </row>
    <row r="245" spans="1:12" ht="97.5" customHeight="1">
      <c r="A245" s="106" t="str">
        <f>MCR_Assessment!$B$2</f>
        <v>MCR</v>
      </c>
      <c r="B245" s="106" t="str">
        <f t="shared" si="31"/>
        <v>BCH_Assessment</v>
      </c>
      <c r="C245" s="106" t="str">
        <f>MCR_Assessment!$A$68</f>
        <v>MCR-R1</v>
      </c>
      <c r="D245" s="142" t="str">
        <f>MCR_Assessment!$B$68</f>
        <v>All</v>
      </c>
      <c r="E245" s="142" t="str">
        <f>MCR_Assessment!$C$68</f>
        <v>MCR is a new standalone critical facility with 120-sheet multi-discipline scope</v>
      </c>
      <c r="F245" s="106" t="str">
        <f>MCR_Assessment!$D$68</f>
        <v>Critical</v>
      </c>
      <c r="G245" s="106" t="str">
        <f>MCR_Assessment!$E$68</f>
        <v>Medium</v>
      </c>
      <c r="H245" s="106">
        <f>MCR_Assessment!$F$68</f>
        <v>8</v>
      </c>
      <c r="I245" s="106" t="str">
        <f>MCR_Assessment!$G$68</f>
        <v>Use discipline-by-discipline pre-install checklist, coordination drawings, third-party inspections and commissioning tracker</v>
      </c>
      <c r="J245" s="106" t="str">
        <f>MCR_Assessment!$H$68</f>
        <v>GCC / VA / Cx</v>
      </c>
      <c r="K245" s="106" t="str">
        <f>MCR_Assessment!$I$68</f>
        <v>Closed</v>
      </c>
      <c r="L245" s="106" t="str">
        <f>MCR_Assessment!$J$68</f>
        <v>New MCR cannot depend on another project or funding source to be usable.</v>
      </c>
    </row>
    <row r="246" spans="1:12" ht="97.5" customHeight="1">
      <c r="A246" s="106" t="str">
        <f>MCR_Assessment!$B$2</f>
        <v>MCR</v>
      </c>
      <c r="B246" s="106" t="str">
        <f t="shared" si="31"/>
        <v>BCH_Assessment</v>
      </c>
      <c r="C246" s="106" t="str">
        <f>MCR_Assessment!$A$69</f>
        <v>MCR-R2</v>
      </c>
      <c r="D246" s="142" t="str">
        <f>MCR_Assessment!$B$69</f>
        <v>Existing 107/137</v>
      </c>
      <c r="E246" s="142" t="str">
        <f>MCR_Assessment!$C$69</f>
        <v>Existing MCR/server/core equipment transfer may interrupt hospital network operations</v>
      </c>
      <c r="F246" s="106" t="str">
        <f>MCR_Assessment!$D$69</f>
        <v>Critical</v>
      </c>
      <c r="G246" s="106" t="str">
        <f>MCR_Assessment!$E$69</f>
        <v>Medium</v>
      </c>
      <c r="H246" s="106">
        <f>MCR_Assessment!$F$69</f>
        <v>8</v>
      </c>
      <c r="I246" s="106" t="str">
        <f>MCR_Assessment!$G$69</f>
        <v>Require detailed OIT cutover plan, temporary fiber/umbilicals, rollback plan, VA activation windows and after-hours phasing</v>
      </c>
      <c r="J246" s="106" t="str">
        <f>MCR_Assessment!$H$69</f>
        <v>OIT / Telecom</v>
      </c>
      <c r="K246" s="106" t="str">
        <f>MCR_Assessment!$I$69</f>
        <v>Closed</v>
      </c>
      <c r="L246" s="106" t="str">
        <f>MCR_Assessment!$J$69</f>
        <v>Notes state MCR activation may need 3-6 months and WAO activation depends on fiber/core connections.</v>
      </c>
    </row>
    <row r="247" spans="1:12" ht="97.5" customHeight="1">
      <c r="A247" s="106" t="str">
        <f>MCR_Assessment!$B$2</f>
        <v>MCR</v>
      </c>
      <c r="B247" s="106" t="str">
        <f t="shared" si="31"/>
        <v>BCH_Assessment</v>
      </c>
      <c r="C247" s="106" t="str">
        <f>MCR_Assessment!$A$70</f>
        <v>MCR-R3</v>
      </c>
      <c r="D247" s="142" t="str">
        <f>MCR_Assessment!$B$70</f>
        <v>MDA/HDA</v>
      </c>
      <c r="E247" s="142" t="str">
        <f>MCR_Assessment!$C$70</f>
        <v>A/B fiber path diversity and backbone commissioning not verified</v>
      </c>
      <c r="F247" s="106" t="str">
        <f>MCR_Assessment!$D$70</f>
        <v>Critical</v>
      </c>
      <c r="G247" s="106" t="str">
        <f>MCR_Assessment!$E$70</f>
        <v>Medium</v>
      </c>
      <c r="H247" s="106">
        <f>MCR_Assessment!$F$70</f>
        <v>8</v>
      </c>
      <c r="I247" s="106" t="str">
        <f>MCR_Assessment!$G$70</f>
        <v>Verify OSP/ISP Path A/B routing, no intermediate splices, test results, labeling and geographic diversity</v>
      </c>
      <c r="J247" s="106" t="str">
        <f>MCR_Assessment!$H$70</f>
        <v>Telecom / OIT</v>
      </c>
      <c r="K247" s="106" t="str">
        <f>MCR_Assessment!$I$70</f>
        <v>Closed</v>
      </c>
      <c r="L247" s="106" t="str">
        <f>MCR_Assessment!$J$70</f>
        <v>New fiber risers require A-side and B-side redundant paths to every TR.</v>
      </c>
    </row>
    <row r="248" spans="1:12" ht="97.5" customHeight="1">
      <c r="A248" s="106" t="str">
        <f>MCR_Assessment!$B$2</f>
        <v>MCR</v>
      </c>
      <c r="B248" s="106" t="str">
        <f t="shared" si="31"/>
        <v>BCH_Assessment</v>
      </c>
      <c r="C248" s="106" t="str">
        <f>MCR_Assessment!$A$71</f>
        <v>MCR-R4</v>
      </c>
      <c r="D248" s="142" t="str">
        <f>MCR_Assessment!$B$71</f>
        <v>MCR / UPS</v>
      </c>
      <c r="E248" s="142" t="str">
        <f>MCR_Assessment!$C$71</f>
        <v>UPS-A/B, ATS/generator, panel source and PDU coordination could delay activation</v>
      </c>
      <c r="F248" s="106" t="str">
        <f>MCR_Assessment!$D$71</f>
        <v>Critical</v>
      </c>
      <c r="G248" s="106" t="str">
        <f>MCR_Assessment!$E$71</f>
        <v>Medium</v>
      </c>
      <c r="H248" s="106">
        <f>MCR_Assessment!$F$71</f>
        <v>8</v>
      </c>
      <c r="I248" s="106" t="str">
        <f>MCR_Assessment!$G$71</f>
        <v>Verify one-line, load banks, breaker settings, panel labels, generator/ATS tests, UPS start-up and A/B power mapping</v>
      </c>
      <c r="J248" s="106" t="str">
        <f>MCR_Assessment!$H$71</f>
        <v>Electrical / Cx</v>
      </c>
      <c r="K248" s="106" t="str">
        <f>MCR_Assessment!$I$71</f>
        <v>Closed</v>
      </c>
      <c r="L248" s="106" t="str">
        <f>MCR_Assessment!$J$71</f>
        <v>Electrical scope includes site electrical, enlarged MCR plans, one-lines and schedules.</v>
      </c>
    </row>
    <row r="249" spans="1:12" ht="97.5" customHeight="1">
      <c r="A249" s="106" t="str">
        <f>MCR_Assessment!$B$2</f>
        <v>MCR</v>
      </c>
      <c r="B249" s="106" t="str">
        <f t="shared" si="31"/>
        <v>BCH_Assessment</v>
      </c>
      <c r="C249" s="106" t="str">
        <f>MCR_Assessment!$A$72</f>
        <v>MCR-R5</v>
      </c>
      <c r="D249" s="142" t="str">
        <f>MCR_Assessment!$B$72</f>
        <v>MCR</v>
      </c>
      <c r="E249" s="142" t="str">
        <f>MCR_Assessment!$C$72</f>
        <v>CRAC capacity, redundancy, condensate, BMS/FMS alarms and emergency power not verified</v>
      </c>
      <c r="F249" s="106" t="str">
        <f>MCR_Assessment!$D$72</f>
        <v>Critical</v>
      </c>
      <c r="G249" s="106" t="str">
        <f>MCR_Assessment!$E$72</f>
        <v>Medium</v>
      </c>
      <c r="H249" s="106">
        <f>MCR_Assessment!$F$72</f>
        <v>8</v>
      </c>
      <c r="I249" s="106" t="str">
        <f>MCR_Assessment!$G$72</f>
        <v>Confirm mechanical schedules, CRAC start-up, controls, alarm points, emergency source, environmental monitoring and hot/cold aisle performance</v>
      </c>
      <c r="J249" s="106" t="str">
        <f>MCR_Assessment!$H$72</f>
        <v>Mechanical / Cx</v>
      </c>
      <c r="K249" s="106" t="str">
        <f>MCR_Assessment!$I$72</f>
        <v>Closed</v>
      </c>
      <c r="L249" s="106" t="str">
        <f>MCR_Assessment!$J$72</f>
        <v>Telecom notes explicitly call for indoor computer room air conditioner CRAC units and BMS coordination.</v>
      </c>
    </row>
    <row r="250" spans="1:12" ht="97.5" customHeight="1">
      <c r="A250" s="106" t="str">
        <f>MCR_Assessment!$B$2</f>
        <v>MCR</v>
      </c>
      <c r="B250" s="106" t="str">
        <f t="shared" ref="B250:B257" si="32">"MCR_Assessment"</f>
        <v>MCR_Assessment</v>
      </c>
      <c r="C250" s="106" t="str">
        <f>MCR_Assessment!$A$73</f>
        <v>MCR-R6</v>
      </c>
      <c r="D250" s="142" t="str">
        <f>MCR_Assessment!$B$73</f>
        <v>MCR</v>
      </c>
      <c r="E250" s="142" t="str">
        <f>MCR_Assessment!$C$73</f>
        <v>Clean-agent/preaction/fire alarm interface and room integrity acceptance risk</v>
      </c>
      <c r="F250" s="106" t="str">
        <f>MCR_Assessment!$D$73</f>
        <v>Critical</v>
      </c>
      <c r="G250" s="106" t="str">
        <f>MCR_Assessment!$E$73</f>
        <v>Medium</v>
      </c>
      <c r="H250" s="106">
        <f>MCR_Assessment!$F$73</f>
        <v>8</v>
      </c>
      <c r="I250" s="106" t="str">
        <f>MCR_Assessment!$G$73</f>
        <v>Track clean-agent calculations, room integrity test, release/abort stations, FA matrix, sprinkler/preaction tests and AHJ/third-party acceptance</v>
      </c>
      <c r="J250" s="106" t="str">
        <f>MCR_Assessment!$H$73</f>
        <v>FP / FA / Cx</v>
      </c>
      <c r="K250" s="106" t="str">
        <f>MCR_Assessment!$I$73</f>
        <v>Closed</v>
      </c>
      <c r="L250" s="106" t="str">
        <f>MCR_Assessment!$J$73</f>
        <v>MCR receives new fire alarm and clean-agent fire suppression system.</v>
      </c>
    </row>
    <row r="251" spans="1:12" ht="97.5" customHeight="1">
      <c r="A251" s="106" t="str">
        <f>MCR_Assessment!$B$2</f>
        <v>MCR</v>
      </c>
      <c r="B251" s="106" t="str">
        <f t="shared" si="32"/>
        <v>MCR_Assessment</v>
      </c>
      <c r="C251" s="106" t="str">
        <f>MCR_Assessment!$A$74</f>
        <v>MCR-R7</v>
      </c>
      <c r="D251" s="142" t="str">
        <f>MCR_Assessment!$B$74</f>
        <v>MCR / Site</v>
      </c>
      <c r="E251" s="142" t="str">
        <f>MCR_Assessment!$C$74</f>
        <v>Civil/site/utility ductbank, drainage, grading and security envelope could affect substantial completion</v>
      </c>
      <c r="F251" s="106" t="str">
        <f>MCR_Assessment!$D$74</f>
        <v>High</v>
      </c>
      <c r="G251" s="106" t="str">
        <f>MCR_Assessment!$E$74</f>
        <v>Medium</v>
      </c>
      <c r="H251" s="106">
        <f>MCR_Assessment!$F$74</f>
        <v>6</v>
      </c>
      <c r="I251" s="106" t="str">
        <f>MCR_Assessment!$G$74</f>
        <v>Track civil utility plan, stormwater, grading, ductbank, site fiber conduit encasement, access and landscape/hardscape restoration</v>
      </c>
      <c r="J251" s="106" t="str">
        <f>MCR_Assessment!$H$74</f>
        <v>Civil / Site / GC</v>
      </c>
      <c r="K251" s="106" t="str">
        <f>MCR_Assessment!$I$74</f>
        <v>Closed</v>
      </c>
      <c r="L251" s="106" t="str">
        <f>MCR_Assessment!$J$74</f>
        <v>MCR package includes civil, structural and architectural site work.</v>
      </c>
    </row>
    <row r="252" spans="1:12" ht="97.5" customHeight="1">
      <c r="A252" s="106" t="str">
        <f>MCR_Assessment!$B$2</f>
        <v>MCR</v>
      </c>
      <c r="B252" s="106" t="str">
        <f t="shared" si="32"/>
        <v>MCR_Assessment</v>
      </c>
      <c r="C252" s="106" t="str">
        <f>MCR_Assessment!$A$75</f>
        <v>MCR-R8</v>
      </c>
      <c r="D252" s="142" t="str">
        <f>MCR_Assessment!$B$75</f>
        <v>All</v>
      </c>
      <c r="E252" s="142" t="str">
        <f>MCR_Assessment!$C$75</f>
        <v>Commissioning/turnover package may be incomplete across all divisions</v>
      </c>
      <c r="F252" s="106" t="str">
        <f>MCR_Assessment!$D$75</f>
        <v>High</v>
      </c>
      <c r="G252" s="106" t="str">
        <f>MCR_Assessment!$E$75</f>
        <v>Medium</v>
      </c>
      <c r="H252" s="106">
        <f>MCR_Assessment!$F$75</f>
        <v>6</v>
      </c>
      <c r="I252" s="106" t="str">
        <f>MCR_Assessment!$G$75</f>
        <v>Maintain MCR-specific turnover matrix for electrical, mechanical, FP, FA, telecom, security, civil, structural and architectural systems</v>
      </c>
      <c r="J252" s="106" t="str">
        <f>MCR_Assessment!$H$75</f>
        <v>GC / Cx Manager</v>
      </c>
      <c r="K252" s="106" t="str">
        <f>MCR_Assessment!$I$75</f>
        <v>Closed</v>
      </c>
      <c r="L252" s="106" t="str">
        <f>MCR_Assessment!$J$75</f>
        <v>General notes require commissioning/recommissioning, third-party inspections and written reports.</v>
      </c>
    </row>
    <row r="253" spans="1:12" ht="97.5" customHeight="1">
      <c r="A253" s="106" t="str">
        <f>SITE_Assesment!$B$2</f>
        <v>SITE</v>
      </c>
      <c r="B253" s="106" t="str">
        <f t="shared" si="32"/>
        <v>MCR_Assessment</v>
      </c>
      <c r="C253" s="106" t="str">
        <f>SITE_Assesment!$A$66</f>
        <v>SITE-R1</v>
      </c>
      <c r="D253" s="142" t="str">
        <f>SITE_Assesment!$B$66</f>
        <v>All</v>
      </c>
      <c r="E253" s="142" t="str">
        <f>SITE_Assesment!$C$66</f>
        <v>Existing utility locations are approximate and field conditions may vary from survey</v>
      </c>
      <c r="F253" s="106" t="str">
        <f>SITE_Assesment!$D$66</f>
        <v>Critical</v>
      </c>
      <c r="G253" s="106" t="str">
        <f>SITE_Assesment!$E$66</f>
        <v>High</v>
      </c>
      <c r="H253" s="106">
        <f>SITE_Assesment!$F$66</f>
        <v>9</v>
      </c>
      <c r="I253" s="106" t="str">
        <f>SITE_Assesment!$G$66</f>
        <v>Complete utility locate, GPR review, potholing/hand-digging at crossings and VA utility coordination before excavation</v>
      </c>
      <c r="J253" s="106" t="str">
        <f>SITE_Assesment!$H$66</f>
        <v>GC / Civil / VA</v>
      </c>
      <c r="K253" s="106" t="str">
        <f>SITE_Assesment!$I$66</f>
        <v>Closed</v>
      </c>
      <c r="L253" s="106" t="str">
        <f>SITE_Assesment!$J$66</f>
        <v>Multiple sheets repeat that survey conditions may vary and utility location service is required prior to excavation.</v>
      </c>
    </row>
    <row r="254" spans="1:12" ht="97.5" customHeight="1">
      <c r="A254" s="106" t="str">
        <f>SITE_Assesment!$B$2</f>
        <v>SITE</v>
      </c>
      <c r="B254" s="106" t="str">
        <f t="shared" si="32"/>
        <v>MCR_Assessment</v>
      </c>
      <c r="C254" s="106" t="str">
        <f>SITE_Assesment!$A$67</f>
        <v>SITE-R2</v>
      </c>
      <c r="D254" s="142" t="str">
        <f>SITE_Assesment!$B$67</f>
        <v>All</v>
      </c>
      <c r="E254" s="142" t="str">
        <f>SITE_Assesment!$C$67</f>
        <v>A/B fiber path separation may not be maintained through common ductbank or congested areas</v>
      </c>
      <c r="F254" s="106" t="str">
        <f>SITE_Assesment!$D$67</f>
        <v>Critical</v>
      </c>
      <c r="G254" s="106" t="str">
        <f>SITE_Assesment!$E$67</f>
        <v>Medium</v>
      </c>
      <c r="H254" s="106">
        <f>SITE_Assesment!$F$67</f>
        <v>8</v>
      </c>
      <c r="I254" s="106" t="str">
        <f>SITE_Assesment!$G$67</f>
        <v>Verify separate conduits, route diversity, THH labels, T-601 path counts and as-built documentation</v>
      </c>
      <c r="J254" s="106" t="str">
        <f>SITE_Assesment!$H$67</f>
        <v>Telecom / OIT</v>
      </c>
      <c r="K254" s="106" t="str">
        <f>SITE_Assesment!$I$67</f>
        <v>Closed</v>
      </c>
      <c r="L254" s="106" t="str">
        <f>SITE_Assesment!$J$67</f>
        <v>Legend allows A+B in common ductbank but separate conduits; redundancy must be validated.</v>
      </c>
    </row>
    <row r="255" spans="1:12" ht="97.5" customHeight="1">
      <c r="A255" s="106" t="str">
        <f>SITE_Assesment!$B$2</f>
        <v>SITE</v>
      </c>
      <c r="B255" s="106" t="str">
        <f t="shared" si="32"/>
        <v>MCR_Assessment</v>
      </c>
      <c r="C255" s="106" t="str">
        <f>SITE_Assesment!$A$68</f>
        <v>SITE-R3</v>
      </c>
      <c r="D255" s="142" t="str">
        <f>SITE_Assesment!$B$68</f>
        <v>All</v>
      </c>
      <c r="E255" s="142" t="str">
        <f>SITE_Assesment!$C$68</f>
        <v>Concrete ductbank could be backfilled before inspection</v>
      </c>
      <c r="F255" s="106" t="str">
        <f>SITE_Assesment!$D$68</f>
        <v>High</v>
      </c>
      <c r="G255" s="106" t="str">
        <f>SITE_Assesment!$E$68</f>
        <v>Medium</v>
      </c>
      <c r="H255" s="106">
        <f>SITE_Assesment!$F$68</f>
        <v>6</v>
      </c>
      <c r="I255" s="106" t="str">
        <f>SITE_Assesment!$G$68</f>
        <v>Establish inspection hold point; trench remains open until concrete duct inspection and photos are accepted</v>
      </c>
      <c r="J255" s="106" t="str">
        <f>SITE_Assesment!$H$68</f>
        <v>GC / QA / COR</v>
      </c>
      <c r="K255" s="106" t="str">
        <f>SITE_Assesment!$I$68</f>
        <v>Closed</v>
      </c>
      <c r="L255" s="106" t="str">
        <f>SITE_Assesment!$J$68</f>
        <v>Site notes state trench to remain open until inspection of concrete duct.</v>
      </c>
    </row>
    <row r="256" spans="1:12" ht="97.5" customHeight="1">
      <c r="A256" s="106" t="str">
        <f>SITE_Assesment!$B$2</f>
        <v>SITE</v>
      </c>
      <c r="B256" s="106" t="str">
        <f t="shared" si="32"/>
        <v>MCR_Assessment</v>
      </c>
      <c r="C256" s="106" t="str">
        <f>SITE_Assesment!$A$69</f>
        <v>SITE-R4</v>
      </c>
      <c r="D256" s="142" t="str">
        <f>SITE_Assesment!$B$69</f>
        <v>MCR / Provider</v>
      </c>
      <c r="E256" s="142" t="str">
        <f>SITE_Assesment!$C$69</f>
        <v>WAN/provider fiber and MCR activation sequence could delay campus cutover</v>
      </c>
      <c r="F256" s="106" t="str">
        <f>SITE_Assesment!$D$69</f>
        <v>Critical</v>
      </c>
      <c r="G256" s="106" t="str">
        <f>SITE_Assesment!$E$69</f>
        <v>Medium</v>
      </c>
      <c r="H256" s="106">
        <f>SITE_Assesment!$F$69</f>
        <v>8</v>
      </c>
      <c r="I256" s="106" t="str">
        <f>SITE_Assesment!$G$69</f>
        <v>Coordinate Century Link/service provider, temporary fiber, provider extension, MCR readiness and OIT activation plan</v>
      </c>
      <c r="J256" s="106" t="str">
        <f>SITE_Assesment!$H$69</f>
        <v>OIT / Telecom</v>
      </c>
      <c r="K256" s="106" t="str">
        <f>SITE_Assesment!$I$69</f>
        <v>Closed</v>
      </c>
      <c r="L256" s="106" t="str">
        <f>SITE_Assesment!$J$69</f>
        <v>T-601 references WAN fiber, temporary fiber and provider extension.</v>
      </c>
    </row>
    <row r="257" spans="1:12" ht="97.5" customHeight="1">
      <c r="A257" s="106" t="str">
        <f>SITE_Assesment!$B$2</f>
        <v>SITE</v>
      </c>
      <c r="B257" s="106" t="str">
        <f t="shared" si="32"/>
        <v>MCR_Assessment</v>
      </c>
      <c r="C257" s="106" t="str">
        <f>SITE_Assesment!$A$70</f>
        <v>SITE-R5</v>
      </c>
      <c r="D257" s="142" t="str">
        <f>SITE_Assesment!$B$70</f>
        <v>Roads / Parking / Pedestrian Areas</v>
      </c>
      <c r="E257" s="142" t="str">
        <f>SITE_Assesment!$C$70</f>
        <v>Trenching/restoration may disrupt accessible parking, fire lanes, public access and campus traffic</v>
      </c>
      <c r="F257" s="106" t="str">
        <f>SITE_Assesment!$D$70</f>
        <v>High</v>
      </c>
      <c r="G257" s="106" t="str">
        <f>SITE_Assesment!$E$70</f>
        <v>Medium</v>
      </c>
      <c r="H257" s="106">
        <f>SITE_Assesment!$F$70</f>
        <v>6</v>
      </c>
      <c r="I257" s="106" t="str">
        <f>SITE_Assesment!$G$70</f>
        <v>Submit traffic/pedestrian/staging plan, maintain fire lanes/hydrants and restore surfaces to match existing</v>
      </c>
      <c r="J257" s="106" t="str">
        <f>SITE_Assesment!$H$70</f>
        <v>GC / Site</v>
      </c>
      <c r="K257" s="106" t="str">
        <f>SITE_Assesment!$I$70</f>
        <v>Closed</v>
      </c>
      <c r="L257" s="106" t="str">
        <f>SITE_Assesment!$J$70</f>
        <v>General notes require coordination with owner and protection of accessible parking/public access.</v>
      </c>
    </row>
    <row r="258" spans="1:12" ht="97.5" customHeight="1">
      <c r="A258" s="106" t="str">
        <f>SITE_Assesment!$B$2</f>
        <v>SITE</v>
      </c>
      <c r="B258" s="106" t="str">
        <f>"SITE_Assesment"</f>
        <v>SITE_Assesment</v>
      </c>
      <c r="C258" s="106" t="str">
        <f>SITE_Assesment!$A$71</f>
        <v>SITE-R6</v>
      </c>
      <c r="D258" s="106" t="str">
        <f>SITE_Assesment!$B$71</f>
        <v>All Building Tie-ins</v>
      </c>
      <c r="E258" s="106" t="str">
        <f>SITE_Assesment!$C$71</f>
        <v>Building entry penetrations/firestopping may not align with building PMIS packages</v>
      </c>
      <c r="F258" s="106" t="str">
        <f>SITE_Assesment!$D$71</f>
        <v>High</v>
      </c>
      <c r="G258" s="106" t="str">
        <f>SITE_Assesment!$E$71</f>
        <v>Medium</v>
      </c>
      <c r="H258" s="106">
        <f>SITE_Assesment!$F$71</f>
        <v>6</v>
      </c>
      <c r="I258" s="106" t="str">
        <f>SITE_Assesment!$G$71</f>
        <v>Cross-check every site tie-in against building assessment, T-101 continuation sheets and firestop photos</v>
      </c>
      <c r="J258" s="106" t="str">
        <f>SITE_Assesment!$H$71</f>
        <v>Telecom / Firestop / QA</v>
      </c>
      <c r="K258" s="106" t="str">
        <f>SITE_Assesment!$I$71</f>
        <v>Closed</v>
      </c>
      <c r="L258" s="106" t="str">
        <f>SITE_Assesment!$J$71</f>
        <v>Every building continuation references building T-101 and T-601.</v>
      </c>
    </row>
    <row r="259" spans="1:12" ht="97.5" customHeight="1">
      <c r="A259" s="106" t="str">
        <f>SITE_Assesment!$B$2</f>
        <v>SITE</v>
      </c>
      <c r="B259" s="106" t="str">
        <f>"SITE_Assesment"</f>
        <v>SITE_Assesment</v>
      </c>
      <c r="C259" s="106" t="str">
        <f>SITE_Assesment!$A$72</f>
        <v>SITE-R7</v>
      </c>
      <c r="D259" s="106" t="str">
        <f>SITE_Assesment!$B$72</f>
        <v>Civil Restoration</v>
      </c>
      <c r="E259" s="106" t="str">
        <f>SITE_Assesment!$C$72</f>
        <v>Asphalt/concrete/landscape restoration quantities and limits may be underestimated</v>
      </c>
      <c r="F259" s="106" t="str">
        <f>SITE_Assesment!$D$72</f>
        <v>Medium</v>
      </c>
      <c r="G259" s="106" t="str">
        <f>SITE_Assesment!$E$72</f>
        <v>Medium</v>
      </c>
      <c r="H259" s="106">
        <f>SITE_Assesment!$F$72</f>
        <v>4</v>
      </c>
      <c r="I259" s="106" t="str">
        <f>SITE_Assesment!$G$72</f>
        <v>Verify trench patch details, tie bars, concrete/asphalt specs, landscape protection and final surface restoration photo log</v>
      </c>
      <c r="J259" s="106" t="str">
        <f>SITE_Assesment!$H$72</f>
        <v>GC / Civil</v>
      </c>
      <c r="K259" s="106" t="str">
        <f>SITE_Assesment!$I$72</f>
        <v>Closed</v>
      </c>
      <c r="L259" s="106" t="str">
        <f>SITE_Assesment!$J$72</f>
        <v>T-501 includes trenching/restoration details and concrete requirements.</v>
      </c>
    </row>
    <row r="260" spans="1:12" ht="97.5" customHeight="1">
      <c r="A260" s="106" t="str">
        <f>SITE_Assesment!$B$2</f>
        <v>SITE</v>
      </c>
      <c r="B260" s="106" t="str">
        <f>"SITE_Assesment"</f>
        <v>SITE_Assesment</v>
      </c>
      <c r="C260" s="106" t="str">
        <f>SITE_Assesment!$A$73</f>
        <v>SITE-R8</v>
      </c>
      <c r="D260" s="106" t="str">
        <f>SITE_Assesment!$B$73</f>
        <v>Commissioning / Turnover</v>
      </c>
      <c r="E260" s="106" t="str">
        <f>SITE_Assesment!$C$73</f>
        <v>Fiber testing, labels, as-builts and site utility commissioning may be incomplete</v>
      </c>
      <c r="F260" s="106" t="str">
        <f>SITE_Assesment!$D$73</f>
        <v>High</v>
      </c>
      <c r="G260" s="106" t="str">
        <f>SITE_Assesment!$E$73</f>
        <v>Medium</v>
      </c>
      <c r="H260" s="106">
        <f>SITE_Assesment!$F$73</f>
        <v>6</v>
      </c>
      <c r="I260" s="106" t="str">
        <f>SITE_Assesment!$G$73</f>
        <v>Track OTDR/power meter tests, conduit as-builts, THH labels, route photos, redlines, third-party inspections and VA/OIT acceptance</v>
      </c>
      <c r="J260" s="106" t="str">
        <f>SITE_Assesment!$H$73</f>
        <v>GC / Cx / OIT</v>
      </c>
      <c r="K260" s="106" t="str">
        <f>SITE_Assesment!$I$73</f>
        <v>Closed</v>
      </c>
      <c r="L260" s="106" t="str">
        <f>SITE_Assesment!$J$73</f>
        <v>Commissioning and third-party inspection requirements apply to site utilities and communications.</v>
      </c>
    </row>
    <row r="261" spans="1:12" ht="97.5" customHeight="1">
      <c r="A261" s="19"/>
      <c r="B261" s="19"/>
      <c r="C261" s="19"/>
      <c r="D261" s="144"/>
      <c r="E261" s="144"/>
      <c r="F261" s="19"/>
      <c r="G261" s="19"/>
      <c r="H261" s="19"/>
      <c r="I261" s="19"/>
      <c r="J261" s="19"/>
      <c r="K261" s="19"/>
      <c r="L261" s="19"/>
    </row>
    <row r="262" spans="1:12" ht="97.5" customHeight="1">
      <c r="A262" s="146"/>
      <c r="B262" s="146"/>
      <c r="C262" s="146"/>
      <c r="D262" s="147"/>
      <c r="E262" s="147"/>
      <c r="F262" s="146"/>
      <c r="G262" s="146"/>
      <c r="H262" s="146"/>
      <c r="I262" s="146"/>
      <c r="J262" s="146"/>
      <c r="K262" s="146"/>
      <c r="L262" s="146"/>
    </row>
    <row r="263" spans="1:12" ht="97.5" customHeight="1">
      <c r="A263" s="106"/>
      <c r="B263" s="106" t="str">
        <f t="shared" ref="B263:B278" si="33">"B01_Assessment"</f>
        <v>B01_Assessment</v>
      </c>
      <c r="C263" s="106"/>
      <c r="D263" s="142"/>
      <c r="E263" s="142"/>
      <c r="F263" s="106"/>
      <c r="G263" s="106"/>
      <c r="H263" s="106"/>
      <c r="I263" s="106"/>
      <c r="J263" s="106"/>
      <c r="K263" s="106"/>
      <c r="L263" s="106"/>
    </row>
    <row r="264" spans="1:12" ht="97.5" customHeight="1">
      <c r="A264" s="19" t="s">
        <v>877</v>
      </c>
      <c r="B264" s="19" t="str">
        <f t="shared" si="33"/>
        <v>B01_Assessment</v>
      </c>
      <c r="C264" s="19"/>
      <c r="D264" s="144"/>
      <c r="E264" s="144"/>
      <c r="F264" s="19"/>
      <c r="G264" s="19"/>
      <c r="H264" s="19"/>
      <c r="I264" s="19"/>
      <c r="J264" s="19"/>
      <c r="K264" s="19"/>
      <c r="L264" s="19"/>
    </row>
    <row r="265" spans="1:12" ht="97.5" customHeight="1">
      <c r="A265" s="146" t="s">
        <v>142</v>
      </c>
      <c r="B265" s="146" t="str">
        <f t="shared" si="33"/>
        <v>B01_Assessment</v>
      </c>
      <c r="C265" s="146" t="s">
        <v>221</v>
      </c>
      <c r="D265" s="147" t="s">
        <v>222</v>
      </c>
      <c r="E265" s="147" t="s">
        <v>265</v>
      </c>
      <c r="F265" s="146" t="s">
        <v>77</v>
      </c>
      <c r="G265" s="146" t="s">
        <v>878</v>
      </c>
      <c r="H265" s="146" t="s">
        <v>879</v>
      </c>
      <c r="I265" s="146" t="s">
        <v>880</v>
      </c>
      <c r="J265" s="146" t="s">
        <v>494</v>
      </c>
      <c r="K265" s="146" t="s">
        <v>881</v>
      </c>
      <c r="L265" s="146" t="s">
        <v>11</v>
      </c>
    </row>
    <row r="266" spans="1:12" ht="97.5" customHeight="1">
      <c r="A266" s="106" t="str">
        <f>B01_Assessment!$B$2</f>
        <v>01</v>
      </c>
      <c r="B266" s="106" t="str">
        <f t="shared" si="33"/>
        <v>B01_Assessment</v>
      </c>
      <c r="C266" s="106" t="str">
        <f>B01_Assessment!$A$70</f>
        <v>B01-Q1</v>
      </c>
      <c r="D266" s="142" t="str">
        <f>B01_Assessment!$B$70</f>
        <v>Confirm final telecom scope: new Room 107 with existing B02, 138 and 282 transition/transfer points?</v>
      </c>
      <c r="E266" s="142" t="str">
        <f>B01_Assessment!$C$70</f>
        <v>VA / OIT / Designer</v>
      </c>
      <c r="F266" s="106" t="str">
        <f>B01_Assessment!$D$70</f>
        <v>Closed</v>
      </c>
      <c r="G266" s="106">
        <f>B01_Assessment!$E$70</f>
        <v>0</v>
      </c>
      <c r="H266" s="106">
        <f>B01_Assessment!$F$70</f>
        <v>0</v>
      </c>
      <c r="I266" s="106" t="str">
        <f>B01_Assessment!$G$70</f>
        <v>Room inventory could miss scope</v>
      </c>
      <c r="J266" s="106">
        <f>B01_Assessment!$H$70</f>
        <v>0</v>
      </c>
      <c r="K266" s="106">
        <f>B01_Assessment!$I$70</f>
        <v>0</v>
      </c>
      <c r="L266" s="106">
        <f>B01_Assessment!$J$70</f>
        <v>0</v>
      </c>
    </row>
    <row r="267" spans="1:12" ht="97.5" customHeight="1">
      <c r="A267" s="106" t="str">
        <f>B01_Assessment!$B$2</f>
        <v>01</v>
      </c>
      <c r="B267" s="106" t="str">
        <f t="shared" si="33"/>
        <v>B01_Assessment</v>
      </c>
      <c r="C267" s="106" t="str">
        <f>B01_Assessment!$A$71</f>
        <v>B01-Q2</v>
      </c>
      <c r="D267" s="142" t="str">
        <f>B01_Assessment!$B$71</f>
        <v>What active services are currently fed from existing Rooms B02, 138 and 282?</v>
      </c>
      <c r="E267" s="142" t="str">
        <f>B01_Assessment!$C$71</f>
        <v>OIT / Contractor</v>
      </c>
      <c r="F267" s="106" t="str">
        <f>B01_Assessment!$D$71</f>
        <v>Closed</v>
      </c>
      <c r="G267" s="106">
        <f>B01_Assessment!$E$71</f>
        <v>0</v>
      </c>
      <c r="H267" s="106">
        <f>B01_Assessment!$F$71</f>
        <v>0</v>
      </c>
      <c r="I267" s="106" t="str">
        <f>B01_Assessment!$G$71</f>
        <v>Potential communications/security outage</v>
      </c>
      <c r="J267" s="106">
        <f>B01_Assessment!$H$71</f>
        <v>0</v>
      </c>
      <c r="K267" s="106">
        <f>B01_Assessment!$I$71</f>
        <v>0</v>
      </c>
      <c r="L267" s="106">
        <f>B01_Assessment!$J$71</f>
        <v>0</v>
      </c>
    </row>
    <row r="268" spans="1:12" ht="97.5" customHeight="1">
      <c r="A268" s="106" t="str">
        <f>B01_Assessment!$B$2</f>
        <v>01</v>
      </c>
      <c r="B268" s="106" t="str">
        <f t="shared" si="33"/>
        <v>B01_Assessment</v>
      </c>
      <c r="C268" s="106" t="str">
        <f>B01_Assessment!$A$72</f>
        <v>B01-Q3</v>
      </c>
      <c r="D268" s="142" t="str">
        <f>B01_Assessment!$B$72</f>
        <v>What equipment from existing racks transfers to new Room 107 versus remains/decommissions?</v>
      </c>
      <c r="E268" s="142" t="str">
        <f>B01_Assessment!$C$72</f>
        <v>OIT / Telecom</v>
      </c>
      <c r="F268" s="106" t="str">
        <f>B01_Assessment!$D$72</f>
        <v>Closed</v>
      </c>
      <c r="G268" s="106">
        <f>B01_Assessment!$E$72</f>
        <v>0</v>
      </c>
      <c r="H268" s="106">
        <f>B01_Assessment!$F$72</f>
        <v>0</v>
      </c>
      <c r="I268" s="106" t="str">
        <f>B01_Assessment!$G$72</f>
        <v>Cutover and rack elevation risk</v>
      </c>
      <c r="J268" s="106">
        <f>B01_Assessment!$H$72</f>
        <v>0</v>
      </c>
      <c r="K268" s="106">
        <f>B01_Assessment!$I$72</f>
        <v>0</v>
      </c>
      <c r="L268" s="106">
        <f>B01_Assessment!$J$72</f>
        <v>0</v>
      </c>
    </row>
    <row r="269" spans="1:12" ht="97.5" customHeight="1">
      <c r="A269" s="106" t="str">
        <f>B01_Assessment!$B$2</f>
        <v>01</v>
      </c>
      <c r="B269" s="106" t="str">
        <f t="shared" si="33"/>
        <v>B01_Assessment</v>
      </c>
      <c r="C269" s="106" t="str">
        <f>B01_Assessment!$A$73</f>
        <v>B01-Q4</v>
      </c>
      <c r="D269" s="142" t="str">
        <f>B01_Assessment!$B$73</f>
        <v>Is IU-1-01/CU-1-01 on emergency/backup power and dedicated to Room 107?</v>
      </c>
      <c r="E269" s="142" t="str">
        <f>B01_Assessment!$C$73</f>
        <v>Mechanical / Electrical / VA</v>
      </c>
      <c r="F269" s="106" t="str">
        <f>B01_Assessment!$D$73</f>
        <v>Closed</v>
      </c>
      <c r="G269" s="106">
        <f>B01_Assessment!$E$73</f>
        <v>0</v>
      </c>
      <c r="H269" s="106">
        <f>B01_Assessment!$F$73</f>
        <v>0</v>
      </c>
      <c r="I269" s="106" t="str">
        <f>B01_Assessment!$G$73</f>
        <v>Cooling continuity unclear</v>
      </c>
      <c r="J269" s="106">
        <f>B01_Assessment!$H$73</f>
        <v>0</v>
      </c>
      <c r="K269" s="106">
        <f>B01_Assessment!$I$73</f>
        <v>0</v>
      </c>
      <c r="L269" s="106">
        <f>B01_Assessment!$J$73</f>
        <v>0</v>
      </c>
    </row>
    <row r="270" spans="1:12" ht="97.5" customHeight="1">
      <c r="A270" s="106" t="str">
        <f>B01_Assessment!$B$2</f>
        <v>01</v>
      </c>
      <c r="B270" s="106" t="str">
        <f t="shared" si="33"/>
        <v>B01_Assessment</v>
      </c>
      <c r="C270" s="106" t="str">
        <f>B01_Assessment!$A$74</f>
        <v>B01-Q5</v>
      </c>
      <c r="D270" s="142" t="str">
        <f>B01_Assessment!$B$74</f>
        <v>Where is the clean-agent/CO2 extinguisher cabinet located within 75 ft of Room 107?</v>
      </c>
      <c r="E270" s="142" t="str">
        <f>B01_Assessment!$C$74</f>
        <v>GC / COR</v>
      </c>
      <c r="F270" s="106" t="str">
        <f>B01_Assessment!$D$74</f>
        <v>Closed</v>
      </c>
      <c r="G270" s="106">
        <f>B01_Assessment!$E$74</f>
        <v>0</v>
      </c>
      <c r="H270" s="106">
        <f>B01_Assessment!$F$74</f>
        <v>0</v>
      </c>
      <c r="I270" s="106" t="str">
        <f>B01_Assessment!$G$74</f>
        <v>Life-safety acceptance risk</v>
      </c>
      <c r="J270" s="106">
        <f>B01_Assessment!$H$74</f>
        <v>0</v>
      </c>
      <c r="K270" s="106">
        <f>B01_Assessment!$I$74</f>
        <v>0</v>
      </c>
      <c r="L270" s="106">
        <f>B01_Assessment!$J$74</f>
        <v>0</v>
      </c>
    </row>
    <row r="271" spans="1:12" ht="97.5" customHeight="1">
      <c r="A271" s="106" t="str">
        <f>B01_Assessment!$B$2</f>
        <v>01</v>
      </c>
      <c r="B271" s="106" t="str">
        <f t="shared" si="33"/>
        <v>B01_Assessment</v>
      </c>
      <c r="C271" s="106" t="str">
        <f>B01_Assessment!$A$75</f>
        <v>B01-Q6</v>
      </c>
      <c r="D271" s="142" t="str">
        <f>B01_Assessment!$B$75</f>
        <v>Are B01-TR107A/B sources, rack receptacles, SPDs, labels and 30-day load measurements approved?</v>
      </c>
      <c r="E271" s="142" t="str">
        <f>B01_Assessment!$C$75</f>
        <v>Electrical / Designer</v>
      </c>
      <c r="F271" s="106" t="str">
        <f>B01_Assessment!$D$75</f>
        <v>Closed</v>
      </c>
      <c r="G271" s="106">
        <f>B01_Assessment!$E$75</f>
        <v>0</v>
      </c>
      <c r="H271" s="106">
        <f>B01_Assessment!$F$75</f>
        <v>0</v>
      </c>
      <c r="I271" s="106" t="str">
        <f>B01_Assessment!$G$75</f>
        <v>Electrical readiness unknown</v>
      </c>
      <c r="J271" s="106">
        <f>B01_Assessment!$H$75</f>
        <v>0</v>
      </c>
      <c r="K271" s="106">
        <f>B01_Assessment!$I$75</f>
        <v>0</v>
      </c>
      <c r="L271" s="106">
        <f>B01_Assessment!$J$75</f>
        <v>0</v>
      </c>
    </row>
    <row r="272" spans="1:12" ht="97.5" customHeight="1">
      <c r="A272" s="106" t="str">
        <f>B01_Assessment!$B$2</f>
        <v>01</v>
      </c>
      <c r="B272" s="106" t="str">
        <f t="shared" si="33"/>
        <v>B01_Assessment</v>
      </c>
      <c r="C272" s="106" t="str">
        <f>B01_Assessment!$A$76</f>
        <v>B01-Q7</v>
      </c>
      <c r="D272" s="142" t="str">
        <f>B01_Assessment!$B$76</f>
        <v>Are all rated wall/floor penetrations, sleeves, cable tray entries and firestopping details identified?</v>
      </c>
      <c r="E272" s="142" t="str">
        <f>B01_Assessment!$C$76</f>
        <v>GC / Firestop</v>
      </c>
      <c r="F272" s="106" t="str">
        <f>B01_Assessment!$D$76</f>
        <v>Closed</v>
      </c>
      <c r="G272" s="106">
        <f>B01_Assessment!$E$76</f>
        <v>0</v>
      </c>
      <c r="H272" s="106">
        <f>B01_Assessment!$F$76</f>
        <v>0</v>
      </c>
      <c r="I272" s="106" t="str">
        <f>B01_Assessment!$G$76</f>
        <v>Fire/smoke spread risk</v>
      </c>
      <c r="J272" s="106">
        <f>B01_Assessment!$H$76</f>
        <v>0</v>
      </c>
      <c r="K272" s="106">
        <f>B01_Assessment!$I$76</f>
        <v>0</v>
      </c>
      <c r="L272" s="106">
        <f>B01_Assessment!$J$76</f>
        <v>0</v>
      </c>
    </row>
    <row r="273" spans="1:12" ht="97.5" customHeight="1">
      <c r="A273" s="106" t="str">
        <f>B01_Assessment!$B$2</f>
        <v>01</v>
      </c>
      <c r="B273" s="106" t="str">
        <f t="shared" si="33"/>
        <v>B01_Assessment</v>
      </c>
      <c r="C273" s="106" t="str">
        <f>B01_Assessment!$A$77</f>
        <v>B01-Q8</v>
      </c>
      <c r="D273" s="142" t="str">
        <f>B01_Assessment!$B$77</f>
        <v>Which third-party inspections and commissioning forms are required before VA/OIT acceptance?</v>
      </c>
      <c r="E273" s="142" t="str">
        <f>B01_Assessment!$C$77</f>
        <v>GC / Cx Manager / OIT</v>
      </c>
      <c r="F273" s="106" t="str">
        <f>B01_Assessment!$D$77</f>
        <v>Closed</v>
      </c>
      <c r="G273" s="106">
        <f>B01_Assessment!$E$77</f>
        <v>0</v>
      </c>
      <c r="H273" s="106">
        <f>B01_Assessment!$F$77</f>
        <v>0</v>
      </c>
      <c r="I273" s="106" t="str">
        <f>B01_Assessment!$G$77</f>
        <v>Turnover package gap</v>
      </c>
      <c r="J273" s="106">
        <f>B01_Assessment!$H$77</f>
        <v>0</v>
      </c>
      <c r="K273" s="106">
        <f>B01_Assessment!$I$77</f>
        <v>0</v>
      </c>
      <c r="L273" s="106">
        <f>B01_Assessment!$J$77</f>
        <v>0</v>
      </c>
    </row>
    <row r="274" spans="1:12" ht="97.5" customHeight="1">
      <c r="A274" s="106" t="str">
        <f>B02_Assessment!$B$2</f>
        <v>02</v>
      </c>
      <c r="B274" s="106" t="str">
        <f t="shared" si="33"/>
        <v>B01_Assessment</v>
      </c>
      <c r="C274" s="106" t="str">
        <f>B02_Assessment!$A$71</f>
        <v>B02-Q1</v>
      </c>
      <c r="D274" s="142" t="str">
        <f>B02_Assessment!$B$71</f>
        <v>Confirm final telecom scope: new Rooms 141, 236 and 342 with existing B-06/141/236 transition points?</v>
      </c>
      <c r="E274" s="142" t="str">
        <f>B02_Assessment!$C$71</f>
        <v>VA / OIT / Designer</v>
      </c>
      <c r="F274" s="106" t="str">
        <f>B02_Assessment!$D$71</f>
        <v>Closed</v>
      </c>
      <c r="G274" s="106">
        <f>B02_Assessment!$E$71</f>
        <v>0</v>
      </c>
      <c r="H274" s="106">
        <f>B02_Assessment!$F$71</f>
        <v>0</v>
      </c>
      <c r="I274" s="106" t="str">
        <f>B02_Assessment!$G$71</f>
        <v>Room inventory could miss scope</v>
      </c>
      <c r="J274" s="106">
        <f>B02_Assessment!$H$71</f>
        <v>0</v>
      </c>
      <c r="K274" s="106">
        <f>B02_Assessment!$I$71</f>
        <v>0</v>
      </c>
      <c r="L274" s="106">
        <f>B02_Assessment!$J$71</f>
        <v>0</v>
      </c>
    </row>
    <row r="275" spans="1:12" ht="97.5" customHeight="1">
      <c r="A275" s="106" t="str">
        <f>B02_Assessment!$B$2</f>
        <v>02</v>
      </c>
      <c r="B275" s="106" t="str">
        <f t="shared" si="33"/>
        <v>B01_Assessment</v>
      </c>
      <c r="C275" s="106" t="str">
        <f>B02_Assessment!$A$72</f>
        <v>B02-Q2</v>
      </c>
      <c r="D275" s="142" t="str">
        <f>B02_Assessment!$B$72</f>
        <v>What active services are currently fed from existing Rooms B-06, 141 and 236?</v>
      </c>
      <c r="E275" s="142" t="str">
        <f>B02_Assessment!$C$72</f>
        <v>OIT / Contractor</v>
      </c>
      <c r="F275" s="106" t="str">
        <f>B02_Assessment!$D$72</f>
        <v>Closed</v>
      </c>
      <c r="G275" s="106">
        <f>B02_Assessment!$E$72</f>
        <v>0</v>
      </c>
      <c r="H275" s="106">
        <f>B02_Assessment!$F$72</f>
        <v>0</v>
      </c>
      <c r="I275" s="106" t="str">
        <f>B02_Assessment!$G$72</f>
        <v>Potential communications/security outage</v>
      </c>
      <c r="J275" s="106">
        <f>B02_Assessment!$H$72</f>
        <v>0</v>
      </c>
      <c r="K275" s="106">
        <f>B02_Assessment!$I$72</f>
        <v>0</v>
      </c>
      <c r="L275" s="106">
        <f>B02_Assessment!$J$72</f>
        <v>0</v>
      </c>
    </row>
    <row r="276" spans="1:12" ht="97.5" customHeight="1">
      <c r="A276" s="106" t="str">
        <f>B02_Assessment!$B$2</f>
        <v>02</v>
      </c>
      <c r="B276" s="106" t="str">
        <f t="shared" si="33"/>
        <v>B01_Assessment</v>
      </c>
      <c r="C276" s="106" t="str">
        <f>B02_Assessment!$A$73</f>
        <v>B02-Q3</v>
      </c>
      <c r="D276" s="142" t="str">
        <f>B02_Assessment!$B$73</f>
        <v>What existing equipment is transferred, relocated, removed or protected in Rooms 141 and 236?</v>
      </c>
      <c r="E276" s="142" t="str">
        <f>B02_Assessment!$C$73</f>
        <v>OIT / Telecom</v>
      </c>
      <c r="F276" s="106" t="str">
        <f>B02_Assessment!$D$73</f>
        <v>Closed</v>
      </c>
      <c r="G276" s="106">
        <f>B02_Assessment!$E$73</f>
        <v>0</v>
      </c>
      <c r="H276" s="106">
        <f>B02_Assessment!$F$73</f>
        <v>0</v>
      </c>
      <c r="I276" s="106" t="str">
        <f>B02_Assessment!$G$73</f>
        <v>Cutover and rack elevation risk</v>
      </c>
      <c r="J276" s="106">
        <f>B02_Assessment!$H$73</f>
        <v>0</v>
      </c>
      <c r="K276" s="106">
        <f>B02_Assessment!$I$73</f>
        <v>0</v>
      </c>
      <c r="L276" s="106">
        <f>B02_Assessment!$J$73</f>
        <v>0</v>
      </c>
    </row>
    <row r="277" spans="1:12" ht="97.5" customHeight="1">
      <c r="A277" s="106" t="str">
        <f>B02_Assessment!$B$2</f>
        <v>02</v>
      </c>
      <c r="B277" s="106" t="str">
        <f t="shared" si="33"/>
        <v>B01_Assessment</v>
      </c>
      <c r="C277" s="106" t="str">
        <f>B02_Assessment!$A$74</f>
        <v>B02-Q4</v>
      </c>
      <c r="D277" s="142" t="str">
        <f>B02_Assessment!$B$74</f>
        <v>Which IU/CU pair serves each TR and are they on emergency/backup power?</v>
      </c>
      <c r="E277" s="142" t="str">
        <f>B02_Assessment!$C$74</f>
        <v>Mechanical / Electrical / VA</v>
      </c>
      <c r="F277" s="106" t="str">
        <f>B02_Assessment!$D$74</f>
        <v>Closed</v>
      </c>
      <c r="G277" s="106">
        <f>B02_Assessment!$E$74</f>
        <v>0</v>
      </c>
      <c r="H277" s="106">
        <f>B02_Assessment!$F$74</f>
        <v>0</v>
      </c>
      <c r="I277" s="106" t="str">
        <f>B02_Assessment!$G$74</f>
        <v>Cooling continuity unclear</v>
      </c>
      <c r="J277" s="106">
        <f>B02_Assessment!$H$74</f>
        <v>0</v>
      </c>
      <c r="K277" s="106">
        <f>B02_Assessment!$I$74</f>
        <v>0</v>
      </c>
      <c r="L277" s="106">
        <f>B02_Assessment!$J$74</f>
        <v>0</v>
      </c>
    </row>
    <row r="278" spans="1:12" ht="97.5" customHeight="1">
      <c r="A278" s="106" t="str">
        <f>B02_Assessment!$B$2</f>
        <v>02</v>
      </c>
      <c r="B278" s="106" t="str">
        <f t="shared" si="33"/>
        <v>B01_Assessment</v>
      </c>
      <c r="C278" s="106" t="str">
        <f>B02_Assessment!$A$75</f>
        <v>B02-Q5</v>
      </c>
      <c r="D278" s="142" t="str">
        <f>B02_Assessment!$B$75</f>
        <v>Where are clean-agent/CO2 extinguisher cabinets located within 75 ft of Rooms 141, 236 and 342?</v>
      </c>
      <c r="E278" s="142" t="str">
        <f>B02_Assessment!$C$75</f>
        <v>GC / COR</v>
      </c>
      <c r="F278" s="106" t="str">
        <f>B02_Assessment!$D$75</f>
        <v>Closed</v>
      </c>
      <c r="G278" s="106">
        <f>B02_Assessment!$E$75</f>
        <v>0</v>
      </c>
      <c r="H278" s="106">
        <f>B02_Assessment!$F$75</f>
        <v>0</v>
      </c>
      <c r="I278" s="106" t="str">
        <f>B02_Assessment!$G$75</f>
        <v>Life-safety acceptance risk</v>
      </c>
      <c r="J278" s="106">
        <f>B02_Assessment!$H$75</f>
        <v>0</v>
      </c>
      <c r="K278" s="106">
        <f>B02_Assessment!$I$75</f>
        <v>0</v>
      </c>
      <c r="L278" s="106">
        <f>B02_Assessment!$J$75</f>
        <v>0</v>
      </c>
    </row>
    <row r="279" spans="1:12" ht="97.5" customHeight="1">
      <c r="A279" s="106" t="str">
        <f>B02_Assessment!$B$2</f>
        <v>02</v>
      </c>
      <c r="B279" s="106" t="str">
        <f t="shared" ref="B279:B286" si="34">"B02_Assessment"</f>
        <v>B02_Assessment</v>
      </c>
      <c r="C279" s="106" t="str">
        <f>B02_Assessment!$A$76</f>
        <v>B02-Q6</v>
      </c>
      <c r="D279" s="142" t="str">
        <f>B02_Assessment!$B$76</f>
        <v>Are B02-TR141/236/342 A/B sources, rack receptacles, SPDs, labels and 30-day load measurements approved?</v>
      </c>
      <c r="E279" s="142" t="str">
        <f>B02_Assessment!$C$76</f>
        <v>Electrical / Designer</v>
      </c>
      <c r="F279" s="106" t="str">
        <f>B02_Assessment!$D$76</f>
        <v>Closed</v>
      </c>
      <c r="G279" s="106">
        <f>B02_Assessment!$E$76</f>
        <v>0</v>
      </c>
      <c r="H279" s="106">
        <f>B02_Assessment!$F$76</f>
        <v>0</v>
      </c>
      <c r="I279" s="106" t="str">
        <f>B02_Assessment!$G$76</f>
        <v>Electrical readiness unknown</v>
      </c>
      <c r="J279" s="106">
        <f>B02_Assessment!$H$76</f>
        <v>0</v>
      </c>
      <c r="K279" s="106">
        <f>B02_Assessment!$I$76</f>
        <v>0</v>
      </c>
      <c r="L279" s="106">
        <f>B02_Assessment!$J$76</f>
        <v>0</v>
      </c>
    </row>
    <row r="280" spans="1:12" ht="97.5" customHeight="1">
      <c r="A280" s="106" t="str">
        <f>B02_Assessment!$B$2</f>
        <v>02</v>
      </c>
      <c r="B280" s="106" t="str">
        <f t="shared" si="34"/>
        <v>B02_Assessment</v>
      </c>
      <c r="C280" s="106" t="str">
        <f>B02_Assessment!$A$77</f>
        <v>B02-Q7</v>
      </c>
      <c r="D280" s="142" t="str">
        <f>B02_Assessment!$B$77</f>
        <v>Are all rated wall/floor penetrations, sleeves, cable tray entries and firestopping details identified?</v>
      </c>
      <c r="E280" s="142" t="str">
        <f>B02_Assessment!$C$77</f>
        <v>GC / Firestop</v>
      </c>
      <c r="F280" s="106" t="str">
        <f>B02_Assessment!$D$77</f>
        <v>Closed</v>
      </c>
      <c r="G280" s="106">
        <f>B02_Assessment!$E$77</f>
        <v>0</v>
      </c>
      <c r="H280" s="106">
        <f>B02_Assessment!$F$77</f>
        <v>0</v>
      </c>
      <c r="I280" s="106" t="str">
        <f>B02_Assessment!$G$77</f>
        <v>Fire/smoke spread risk</v>
      </c>
      <c r="J280" s="106">
        <f>B02_Assessment!$H$77</f>
        <v>0</v>
      </c>
      <c r="K280" s="106">
        <f>B02_Assessment!$I$77</f>
        <v>0</v>
      </c>
      <c r="L280" s="106">
        <f>B02_Assessment!$J$77</f>
        <v>0</v>
      </c>
    </row>
    <row r="281" spans="1:12" ht="97.5" customHeight="1">
      <c r="A281" s="106" t="str">
        <f>B02_Assessment!$B$2</f>
        <v>02</v>
      </c>
      <c r="B281" s="106" t="str">
        <f t="shared" si="34"/>
        <v>B02_Assessment</v>
      </c>
      <c r="C281" s="106" t="str">
        <f>B02_Assessment!$A$78</f>
        <v>B02-Q8</v>
      </c>
      <c r="D281" s="142" t="str">
        <f>B02_Assessment!$B$78</f>
        <v>Which third-party inspections and commissioning forms are required before VA/OIT acceptance?</v>
      </c>
      <c r="E281" s="142" t="str">
        <f>B02_Assessment!$C$78</f>
        <v>GC / Cx Manager / OIT</v>
      </c>
      <c r="F281" s="106" t="str">
        <f>B02_Assessment!$D$78</f>
        <v>Closed</v>
      </c>
      <c r="G281" s="106">
        <f>B02_Assessment!$E$78</f>
        <v>0</v>
      </c>
      <c r="H281" s="106">
        <f>B02_Assessment!$F$78</f>
        <v>0</v>
      </c>
      <c r="I281" s="106" t="str">
        <f>B02_Assessment!$G$78</f>
        <v>Turnover package gap</v>
      </c>
      <c r="J281" s="106">
        <f>B02_Assessment!$H$78</f>
        <v>0</v>
      </c>
      <c r="K281" s="106">
        <f>B02_Assessment!$I$78</f>
        <v>0</v>
      </c>
      <c r="L281" s="106">
        <f>B02_Assessment!$J$78</f>
        <v>0</v>
      </c>
    </row>
    <row r="282" spans="1:12" ht="97.5" customHeight="1">
      <c r="A282" s="106" t="str">
        <f>B03_Assessment!$B$2</f>
        <v>03</v>
      </c>
      <c r="B282" s="106" t="str">
        <f t="shared" si="34"/>
        <v>B02_Assessment</v>
      </c>
      <c r="C282" s="106" t="str">
        <f>B03_Assessment!$A$70</f>
        <v>B03-Q1</v>
      </c>
      <c r="D282" s="142" t="str">
        <f>B03_Assessment!$B$70</f>
        <v>Confirm final telecom scope: new Room 101E with existing Basement Room 107 and existing DMARC Room 101C transition points?</v>
      </c>
      <c r="E282" s="142" t="str">
        <f>B03_Assessment!$C$70</f>
        <v>VA / OIT / Designer</v>
      </c>
      <c r="F282" s="106" t="str">
        <f>B03_Assessment!$D$70</f>
        <v>Closed</v>
      </c>
      <c r="G282" s="106">
        <f>B03_Assessment!$E$70</f>
        <v>0</v>
      </c>
      <c r="H282" s="106">
        <f>B03_Assessment!$F$70</f>
        <v>0</v>
      </c>
      <c r="I282" s="106" t="str">
        <f>B03_Assessment!$G$70</f>
        <v>Room inventory could miss scope</v>
      </c>
      <c r="J282" s="106">
        <f>B03_Assessment!$H$70</f>
        <v>0</v>
      </c>
      <c r="K282" s="106">
        <f>B03_Assessment!$I$70</f>
        <v>0</v>
      </c>
      <c r="L282" s="106">
        <f>B03_Assessment!$J$70</f>
        <v>0</v>
      </c>
    </row>
    <row r="283" spans="1:12" ht="97.5" customHeight="1">
      <c r="A283" s="106" t="str">
        <f>B03_Assessment!$B$2</f>
        <v>03</v>
      </c>
      <c r="B283" s="106" t="str">
        <f t="shared" si="34"/>
        <v>B02_Assessment</v>
      </c>
      <c r="C283" s="106" t="str">
        <f>B03_Assessment!$A$71</f>
        <v>B03-Q2</v>
      </c>
      <c r="D283" s="142" t="str">
        <f>B03_Assessment!$B$71</f>
        <v>What active services are currently fed from existing Room 107 and DMARC Room 101C?</v>
      </c>
      <c r="E283" s="142" t="str">
        <f>B03_Assessment!$C$71</f>
        <v>OIT / Contractor / Provider</v>
      </c>
      <c r="F283" s="106" t="str">
        <f>B03_Assessment!$D$71</f>
        <v>Closed</v>
      </c>
      <c r="G283" s="106">
        <f>B03_Assessment!$E$71</f>
        <v>0</v>
      </c>
      <c r="H283" s="106">
        <f>B03_Assessment!$F$71</f>
        <v>0</v>
      </c>
      <c r="I283" s="106" t="str">
        <f>B03_Assessment!$G$71</f>
        <v>Potential communications/provider outage</v>
      </c>
      <c r="J283" s="106">
        <f>B03_Assessment!$H$71</f>
        <v>0</v>
      </c>
      <c r="K283" s="106">
        <f>B03_Assessment!$I$71</f>
        <v>0</v>
      </c>
      <c r="L283" s="106">
        <f>B03_Assessment!$J$71</f>
        <v>0</v>
      </c>
    </row>
    <row r="284" spans="1:12" ht="97.5" customHeight="1">
      <c r="A284" s="106" t="str">
        <f>B03_Assessment!$B$2</f>
        <v>03</v>
      </c>
      <c r="B284" s="106" t="str">
        <f t="shared" si="34"/>
        <v>B02_Assessment</v>
      </c>
      <c r="C284" s="106" t="str">
        <f>B03_Assessment!$A$72</f>
        <v>B03-Q3</v>
      </c>
      <c r="D284" s="142" t="str">
        <f>B03_Assessment!$B$72</f>
        <v>What existing equipment transfers to new Room 101E versus remains/decommissions?</v>
      </c>
      <c r="E284" s="142" t="str">
        <f>B03_Assessment!$C$72</f>
        <v>OIT / Telecom</v>
      </c>
      <c r="F284" s="106" t="str">
        <f>B03_Assessment!$D$72</f>
        <v>Closed</v>
      </c>
      <c r="G284" s="106">
        <f>B03_Assessment!$E$72</f>
        <v>0</v>
      </c>
      <c r="H284" s="106">
        <f>B03_Assessment!$F$72</f>
        <v>0</v>
      </c>
      <c r="I284" s="106" t="str">
        <f>B03_Assessment!$G$72</f>
        <v>Cutover and rack elevation risk</v>
      </c>
      <c r="J284" s="106">
        <f>B03_Assessment!$H$72</f>
        <v>0</v>
      </c>
      <c r="K284" s="106">
        <f>B03_Assessment!$I$72</f>
        <v>0</v>
      </c>
      <c r="L284" s="106">
        <f>B03_Assessment!$J$72</f>
        <v>0</v>
      </c>
    </row>
    <row r="285" spans="1:12" ht="97.5" customHeight="1">
      <c r="A285" s="106" t="str">
        <f>B03_Assessment!$B$2</f>
        <v>03</v>
      </c>
      <c r="B285" s="106" t="str">
        <f t="shared" si="34"/>
        <v>B02_Assessment</v>
      </c>
      <c r="C285" s="106" t="str">
        <f>B03_Assessment!$A$73</f>
        <v>B03-Q4</v>
      </c>
      <c r="D285" s="142" t="str">
        <f>B03_Assessment!$B$73</f>
        <v>Which IU/CU pair serves Room 101E and is it on emergency/backup power?</v>
      </c>
      <c r="E285" s="142" t="str">
        <f>B03_Assessment!$C$73</f>
        <v>Mechanical / Electrical / VA</v>
      </c>
      <c r="F285" s="106" t="str">
        <f>B03_Assessment!$D$73</f>
        <v>Closed</v>
      </c>
      <c r="G285" s="106">
        <f>B03_Assessment!$E$73</f>
        <v>0</v>
      </c>
      <c r="H285" s="106">
        <f>B03_Assessment!$F$73</f>
        <v>0</v>
      </c>
      <c r="I285" s="106" t="str">
        <f>B03_Assessment!$G$73</f>
        <v>Cooling continuity unclear</v>
      </c>
      <c r="J285" s="106">
        <f>B03_Assessment!$H$73</f>
        <v>0</v>
      </c>
      <c r="K285" s="106">
        <f>B03_Assessment!$I$73</f>
        <v>0</v>
      </c>
      <c r="L285" s="106">
        <f>B03_Assessment!$J$73</f>
        <v>0</v>
      </c>
    </row>
    <row r="286" spans="1:12" ht="97.5" customHeight="1">
      <c r="A286" s="106" t="str">
        <f>B03_Assessment!$B$2</f>
        <v>03</v>
      </c>
      <c r="B286" s="106" t="str">
        <f t="shared" si="34"/>
        <v>B02_Assessment</v>
      </c>
      <c r="C286" s="106" t="str">
        <f>B03_Assessment!$A$74</f>
        <v>B03-Q5</v>
      </c>
      <c r="D286" s="142" t="str">
        <f>B03_Assessment!$B$74</f>
        <v>Where is the clean-agent/CO2 extinguisher cabinet located within 75 ft of Room 101E?</v>
      </c>
      <c r="E286" s="142" t="str">
        <f>B03_Assessment!$C$74</f>
        <v>GC / COR</v>
      </c>
      <c r="F286" s="106" t="str">
        <f>B03_Assessment!$D$74</f>
        <v>Closed</v>
      </c>
      <c r="G286" s="106">
        <f>B03_Assessment!$E$74</f>
        <v>0</v>
      </c>
      <c r="H286" s="106">
        <f>B03_Assessment!$F$74</f>
        <v>0</v>
      </c>
      <c r="I286" s="106" t="str">
        <f>B03_Assessment!$G$74</f>
        <v>Life-safety acceptance risk</v>
      </c>
      <c r="J286" s="106">
        <f>B03_Assessment!$H$74</f>
        <v>0</v>
      </c>
      <c r="K286" s="106">
        <f>B03_Assessment!$I$74</f>
        <v>0</v>
      </c>
      <c r="L286" s="106">
        <f>B03_Assessment!$J$74</f>
        <v>0</v>
      </c>
    </row>
    <row r="287" spans="1:12" ht="97.5" customHeight="1">
      <c r="A287" s="106" t="str">
        <f>B03_Assessment!$B$2</f>
        <v>03</v>
      </c>
      <c r="B287" s="106" t="str">
        <f t="shared" ref="B287:B294" si="35">"B03_Assessment"</f>
        <v>B03_Assessment</v>
      </c>
      <c r="C287" s="106" t="str">
        <f>B03_Assessment!$A$75</f>
        <v>B03-Q6</v>
      </c>
      <c r="D287" s="142" t="str">
        <f>B03_Assessment!$B$75</f>
        <v>Are B03-TR101CA/B sources, rack receptacles, SPDs, labels and 30-day load measurements approved?</v>
      </c>
      <c r="E287" s="142" t="str">
        <f>B03_Assessment!$C$75</f>
        <v>Electrical / Designer</v>
      </c>
      <c r="F287" s="106" t="str">
        <f>B03_Assessment!$D$75</f>
        <v>Closed</v>
      </c>
      <c r="G287" s="106">
        <f>B03_Assessment!$E$75</f>
        <v>0</v>
      </c>
      <c r="H287" s="106">
        <f>B03_Assessment!$F$75</f>
        <v>0</v>
      </c>
      <c r="I287" s="106" t="str">
        <f>B03_Assessment!$G$75</f>
        <v>Electrical readiness unknown</v>
      </c>
      <c r="J287" s="106">
        <f>B03_Assessment!$H$75</f>
        <v>0</v>
      </c>
      <c r="K287" s="106">
        <f>B03_Assessment!$I$75</f>
        <v>0</v>
      </c>
      <c r="L287" s="106">
        <f>B03_Assessment!$J$75</f>
        <v>0</v>
      </c>
    </row>
    <row r="288" spans="1:12" ht="97.5" customHeight="1">
      <c r="A288" s="106" t="str">
        <f>B03_Assessment!$B$2</f>
        <v>03</v>
      </c>
      <c r="B288" s="106" t="str">
        <f t="shared" si="35"/>
        <v>B03_Assessment</v>
      </c>
      <c r="C288" s="106" t="str">
        <f>B03_Assessment!$A$76</f>
        <v>B03-Q7</v>
      </c>
      <c r="D288" s="142" t="str">
        <f>B03_Assessment!$B$76</f>
        <v>Are all rated wall/floor penetrations, sleeves, cable tray entries and firestopping details identified?</v>
      </c>
      <c r="E288" s="142" t="str">
        <f>B03_Assessment!$C$76</f>
        <v>GC / Firestop</v>
      </c>
      <c r="F288" s="106" t="str">
        <f>B03_Assessment!$D$76</f>
        <v>Closed</v>
      </c>
      <c r="G288" s="106">
        <f>B03_Assessment!$E$76</f>
        <v>0</v>
      </c>
      <c r="H288" s="106">
        <f>B03_Assessment!$F$76</f>
        <v>0</v>
      </c>
      <c r="I288" s="106" t="str">
        <f>B03_Assessment!$G$76</f>
        <v>Fire/smoke spread risk</v>
      </c>
      <c r="J288" s="106">
        <f>B03_Assessment!$H$76</f>
        <v>0</v>
      </c>
      <c r="K288" s="106">
        <f>B03_Assessment!$I$76</f>
        <v>0</v>
      </c>
      <c r="L288" s="106">
        <f>B03_Assessment!$J$76</f>
        <v>0</v>
      </c>
    </row>
    <row r="289" spans="1:12" ht="97.5" customHeight="1">
      <c r="A289" s="106" t="str">
        <f>B03_Assessment!$B$2</f>
        <v>03</v>
      </c>
      <c r="B289" s="106" t="str">
        <f t="shared" si="35"/>
        <v>B03_Assessment</v>
      </c>
      <c r="C289" s="106" t="str">
        <f>B03_Assessment!$A$77</f>
        <v>B03-Q8</v>
      </c>
      <c r="D289" s="142" t="str">
        <f>B03_Assessment!$B$77</f>
        <v>Which third-party inspections and commissioning forms are required before VA/OIT acceptance?</v>
      </c>
      <c r="E289" s="142" t="str">
        <f>B03_Assessment!$C$77</f>
        <v>GC / Cx Manager / OIT</v>
      </c>
      <c r="F289" s="106" t="str">
        <f>B03_Assessment!$D$77</f>
        <v>Closed</v>
      </c>
      <c r="G289" s="106">
        <f>B03_Assessment!$E$77</f>
        <v>0</v>
      </c>
      <c r="H289" s="106">
        <f>B03_Assessment!$F$77</f>
        <v>0</v>
      </c>
      <c r="I289" s="106" t="str">
        <f>B03_Assessment!$G$77</f>
        <v>Turnover package gap</v>
      </c>
      <c r="J289" s="106">
        <f>B03_Assessment!$H$77</f>
        <v>0</v>
      </c>
      <c r="K289" s="106">
        <f>B03_Assessment!$I$77</f>
        <v>0</v>
      </c>
      <c r="L289" s="106">
        <f>B03_Assessment!$J$77</f>
        <v>0</v>
      </c>
    </row>
    <row r="290" spans="1:12" ht="97.5" customHeight="1">
      <c r="A290" s="106" t="str">
        <f>B04_Assessment!$B$2</f>
        <v>04</v>
      </c>
      <c r="B290" s="106" t="str">
        <f t="shared" si="35"/>
        <v>B03_Assessment</v>
      </c>
      <c r="C290" s="106" t="str">
        <f>B04_Assessment!$A$63</f>
        <v>B04-Q1</v>
      </c>
      <c r="D290" s="142" t="str">
        <f>B04_Assessment!$B$63</f>
        <v>Confirm final TR room list: B05, 141, and 244A; are there additional served-from rooms?</v>
      </c>
      <c r="E290" s="142" t="str">
        <f>B04_Assessment!$C$63</f>
        <v>VA / OIT / Designer</v>
      </c>
      <c r="F290" s="106" t="str">
        <f>B04_Assessment!$D$63</f>
        <v>Closed</v>
      </c>
      <c r="G290" s="106">
        <f>B04_Assessment!$E$63</f>
        <v>0</v>
      </c>
      <c r="H290" s="106">
        <f>B04_Assessment!$F$63</f>
        <v>0</v>
      </c>
      <c r="I290" s="106" t="str">
        <f>B04_Assessment!$G$63</f>
        <v>Incomplete room inventory / missed scope</v>
      </c>
      <c r="J290" s="106">
        <f>B04_Assessment!$H$63</f>
        <v>0</v>
      </c>
      <c r="K290" s="106">
        <f>B04_Assessment!$I$63</f>
        <v>0</v>
      </c>
      <c r="L290" s="106">
        <f>B04_Assessment!$J$63</f>
        <v>0</v>
      </c>
    </row>
    <row r="291" spans="1:12" ht="97.5" customHeight="1">
      <c r="A291" s="106" t="str">
        <f>B04_Assessment!$B$2</f>
        <v>04</v>
      </c>
      <c r="B291" s="106" t="str">
        <f t="shared" si="35"/>
        <v>B03_Assessment</v>
      </c>
      <c r="C291" s="106" t="str">
        <f>B04_Assessment!$A$64</f>
        <v>B04-Q2</v>
      </c>
      <c r="D291" s="142" t="str">
        <f>B04_Assessment!$B$64</f>
        <v>Are B05, 141, and 244A cooling systems on emergency/backup power?</v>
      </c>
      <c r="E291" s="142" t="str">
        <f>B04_Assessment!$C$64</f>
        <v>VA / Electrical / Mechanical</v>
      </c>
      <c r="F291" s="106" t="str">
        <f>B04_Assessment!$D$64</f>
        <v>Closed</v>
      </c>
      <c r="G291" s="106">
        <f>B04_Assessment!$E$64</f>
        <v>0</v>
      </c>
      <c r="H291" s="106">
        <f>B04_Assessment!$F$64</f>
        <v>0</v>
      </c>
      <c r="I291" s="106" t="str">
        <f>B04_Assessment!$G$64</f>
        <v>Cooling continuity not confirmed</v>
      </c>
      <c r="J291" s="106">
        <f>B04_Assessment!$H$64</f>
        <v>0</v>
      </c>
      <c r="K291" s="106">
        <f>B04_Assessment!$I$64</f>
        <v>0</v>
      </c>
      <c r="L291" s="106">
        <f>B04_Assessment!$J$64</f>
        <v>0</v>
      </c>
    </row>
    <row r="292" spans="1:12" ht="97.5" customHeight="1">
      <c r="A292" s="106" t="str">
        <f>B04_Assessment!$B$2</f>
        <v>04</v>
      </c>
      <c r="B292" s="106" t="str">
        <f t="shared" si="35"/>
        <v>B03_Assessment</v>
      </c>
      <c r="C292" s="106" t="str">
        <f>B04_Assessment!$A$65</f>
        <v>B04-Q3</v>
      </c>
      <c r="D292" s="142" t="str">
        <f>B04_Assessment!$B$65</f>
        <v>Where are clean-agent/CO2 extinguisher cabinets located within 75 ft of each TR?</v>
      </c>
      <c r="E292" s="142" t="str">
        <f>B04_Assessment!$C$65</f>
        <v>GC / COR</v>
      </c>
      <c r="F292" s="106" t="str">
        <f>B04_Assessment!$D$65</f>
        <v>Closed</v>
      </c>
      <c r="G292" s="106">
        <f>B04_Assessment!$E$65</f>
        <v>0</v>
      </c>
      <c r="H292" s="106">
        <f>B04_Assessment!$F$65</f>
        <v>0</v>
      </c>
      <c r="I292" s="106" t="str">
        <f>B04_Assessment!$G$65</f>
        <v>Life safety acceptance risk</v>
      </c>
      <c r="J292" s="106">
        <f>B04_Assessment!$H$65</f>
        <v>0</v>
      </c>
      <c r="K292" s="106">
        <f>B04_Assessment!$I$65</f>
        <v>0</v>
      </c>
      <c r="L292" s="106">
        <f>B04_Assessment!$J$65</f>
        <v>0</v>
      </c>
    </row>
    <row r="293" spans="1:12" ht="97.5" customHeight="1">
      <c r="A293" s="106" t="str">
        <f>B04_Assessment!$B$2</f>
        <v>04</v>
      </c>
      <c r="B293" s="106" t="str">
        <f t="shared" si="35"/>
        <v>B03_Assessment</v>
      </c>
      <c r="C293" s="106" t="str">
        <f>B04_Assessment!$A$66</f>
        <v>B04-Q4</v>
      </c>
      <c r="D293" s="142" t="str">
        <f>B04_Assessment!$B$66</f>
        <v>What is the approved migration and cutover sequence for active Building 04 services?</v>
      </c>
      <c r="E293" s="142" t="str">
        <f>B04_Assessment!$C$66</f>
        <v>OIT / Contractor</v>
      </c>
      <c r="F293" s="106" t="str">
        <f>B04_Assessment!$D$66</f>
        <v>Closed</v>
      </c>
      <c r="G293" s="106">
        <f>B04_Assessment!$E$66</f>
        <v>0</v>
      </c>
      <c r="H293" s="106">
        <f>B04_Assessment!$F$66</f>
        <v>0</v>
      </c>
      <c r="I293" s="106" t="str">
        <f>B04_Assessment!$G$66</f>
        <v>Potential communications outage</v>
      </c>
      <c r="J293" s="106">
        <f>B04_Assessment!$H$66</f>
        <v>0</v>
      </c>
      <c r="K293" s="106">
        <f>B04_Assessment!$I$66</f>
        <v>0</v>
      </c>
      <c r="L293" s="106">
        <f>B04_Assessment!$J$66</f>
        <v>0</v>
      </c>
    </row>
    <row r="294" spans="1:12" ht="97.5" customHeight="1">
      <c r="A294" s="106" t="str">
        <f>B04_Assessment!$B$2</f>
        <v>04</v>
      </c>
      <c r="B294" s="106" t="str">
        <f t="shared" si="35"/>
        <v>B03_Assessment</v>
      </c>
      <c r="C294" s="106" t="str">
        <f>B04_Assessment!$A$67</f>
        <v>B04-Q5</v>
      </c>
      <c r="D294" s="142" t="str">
        <f>B04_Assessment!$B$67</f>
        <v>Are hazardous/abatement impacts cleared for basement and first-level penetrations/floor work?</v>
      </c>
      <c r="E294" s="142" t="str">
        <f>B04_Assessment!$C$67</f>
        <v>GC / COR</v>
      </c>
      <c r="F294" s="106" t="str">
        <f>B04_Assessment!$D$67</f>
        <v>Closed</v>
      </c>
      <c r="G294" s="106">
        <f>B04_Assessment!$E$67</f>
        <v>0</v>
      </c>
      <c r="H294" s="106">
        <f>B04_Assessment!$F$67</f>
        <v>0</v>
      </c>
      <c r="I294" s="106" t="str">
        <f>B04_Assessment!$G$67</f>
        <v>Work stoppage or exposure risk</v>
      </c>
      <c r="J294" s="106">
        <f>B04_Assessment!$H$67</f>
        <v>0</v>
      </c>
      <c r="K294" s="106">
        <f>B04_Assessment!$I$67</f>
        <v>0</v>
      </c>
      <c r="L294" s="106">
        <f>B04_Assessment!$J$67</f>
        <v>0</v>
      </c>
    </row>
    <row r="295" spans="1:12" ht="97.5" customHeight="1">
      <c r="A295" s="106" t="str">
        <f>B04_Assessment!$B$2</f>
        <v>04</v>
      </c>
      <c r="B295" s="106" t="str">
        <f t="shared" ref="B295:B301" si="36">"B04_Assessment"</f>
        <v>B04_Assessment</v>
      </c>
      <c r="C295" s="106" t="str">
        <f>B04_Assessment!$A$68</f>
        <v>B04-Q6</v>
      </c>
      <c r="D295" s="142" t="str">
        <f>B04_Assessment!$B$68</f>
        <v>Are all B04 panelboards/feeders/breakers/SPDs/load measurements approved before renovation?</v>
      </c>
      <c r="E295" s="142" t="str">
        <f>B04_Assessment!$C$68</f>
        <v>Electrical / Designer</v>
      </c>
      <c r="F295" s="106" t="str">
        <f>B04_Assessment!$D$68</f>
        <v>Closed</v>
      </c>
      <c r="G295" s="106">
        <f>B04_Assessment!$E$68</f>
        <v>0</v>
      </c>
      <c r="H295" s="106">
        <f>B04_Assessment!$F$68</f>
        <v>0</v>
      </c>
      <c r="I295" s="106" t="str">
        <f>B04_Assessment!$G$68</f>
        <v>Electrical delay or overload risk</v>
      </c>
      <c r="J295" s="106">
        <f>B04_Assessment!$H$68</f>
        <v>0</v>
      </c>
      <c r="K295" s="106">
        <f>B04_Assessment!$I$68</f>
        <v>0</v>
      </c>
      <c r="L295" s="106">
        <f>B04_Assessment!$J$68</f>
        <v>0</v>
      </c>
    </row>
    <row r="296" spans="1:12" ht="97.5" customHeight="1">
      <c r="A296" s="106" t="str">
        <f>B04_Assessment!$B$2</f>
        <v>04</v>
      </c>
      <c r="B296" s="106" t="str">
        <f t="shared" si="36"/>
        <v>B04_Assessment</v>
      </c>
      <c r="C296" s="106" t="str">
        <f>B04_Assessment!$A$69</f>
        <v>B04-Q7</v>
      </c>
      <c r="D296" s="142" t="str">
        <f>B04_Assessment!$B$69</f>
        <v>Are all rated wall/floor penetrations and speed sleeves identified and firestopped?</v>
      </c>
      <c r="E296" s="142" t="str">
        <f>B04_Assessment!$C$69</f>
        <v>GC / Designer</v>
      </c>
      <c r="F296" s="106" t="str">
        <f>B04_Assessment!$D$69</f>
        <v>Closed</v>
      </c>
      <c r="G296" s="106">
        <f>B04_Assessment!$E$69</f>
        <v>0</v>
      </c>
      <c r="H296" s="106">
        <f>B04_Assessment!$F$69</f>
        <v>0</v>
      </c>
      <c r="I296" s="106" t="str">
        <f>B04_Assessment!$G$69</f>
        <v>Fire/smoke spread risk</v>
      </c>
      <c r="J296" s="106">
        <f>B04_Assessment!$H$69</f>
        <v>0</v>
      </c>
      <c r="K296" s="106">
        <f>B04_Assessment!$I$69</f>
        <v>0</v>
      </c>
      <c r="L296" s="106">
        <f>B04_Assessment!$J$69</f>
        <v>0</v>
      </c>
    </row>
    <row r="297" spans="1:12" ht="97.5" customHeight="1">
      <c r="A297" s="106" t="str">
        <f>B04_Assessment!$B$2</f>
        <v>04</v>
      </c>
      <c r="B297" s="106" t="str">
        <f t="shared" si="36"/>
        <v>B04_Assessment</v>
      </c>
      <c r="C297" s="106" t="str">
        <f>B04_Assessment!$A$70</f>
        <v>B04-Q8</v>
      </c>
      <c r="D297" s="142" t="str">
        <f>B04_Assessment!$B$70</f>
        <v>Which third-party tests, commissioning forms, and acceptance documents are required before VA turnover?</v>
      </c>
      <c r="E297" s="142" t="str">
        <f>B04_Assessment!$C$70</f>
        <v>GC / Cx Manager</v>
      </c>
      <c r="F297" s="106" t="str">
        <f>B04_Assessment!$D$70</f>
        <v>Closed</v>
      </c>
      <c r="G297" s="106">
        <f>B04_Assessment!$E$70</f>
        <v>0</v>
      </c>
      <c r="H297" s="106">
        <f>B04_Assessment!$F$70</f>
        <v>0</v>
      </c>
      <c r="I297" s="106" t="str">
        <f>B04_Assessment!$G$70</f>
        <v>Incomplete turnover package</v>
      </c>
      <c r="J297" s="106">
        <f>B04_Assessment!$H$70</f>
        <v>0</v>
      </c>
      <c r="K297" s="106">
        <f>B04_Assessment!$I$70</f>
        <v>0</v>
      </c>
      <c r="L297" s="106">
        <f>B04_Assessment!$J$70</f>
        <v>0</v>
      </c>
    </row>
    <row r="298" spans="1:12" ht="97.5" customHeight="1">
      <c r="A298" s="106" t="str">
        <f>B05_Assessment!$B$2</f>
        <v>05</v>
      </c>
      <c r="B298" s="106" t="str">
        <f t="shared" si="36"/>
        <v>B04_Assessment</v>
      </c>
      <c r="C298" s="106" t="str">
        <f>B05_Assessment!$A$54</f>
        <v>B05-Q1</v>
      </c>
      <c r="D298" s="142" t="str">
        <f>B05_Assessment!$B$54</f>
        <v>Confirm final TE room/location: Room 150 new TE and Room 153-A existing TE transition point?</v>
      </c>
      <c r="E298" s="142" t="str">
        <f>B05_Assessment!$C$54</f>
        <v>VA / OIT / Designer</v>
      </c>
      <c r="F298" s="106" t="str">
        <f>B05_Assessment!$D$54</f>
        <v>Closed</v>
      </c>
      <c r="G298" s="106">
        <f>B05_Assessment!$E$54</f>
        <v>0</v>
      </c>
      <c r="H298" s="106">
        <f>B05_Assessment!$F$54</f>
        <v>0</v>
      </c>
      <c r="I298" s="106" t="str">
        <f>B05_Assessment!$G$54</f>
        <v>Room inventory could be wrong</v>
      </c>
      <c r="J298" s="106">
        <f>B05_Assessment!$H$54</f>
        <v>0</v>
      </c>
      <c r="K298" s="106">
        <f>B05_Assessment!$I$54</f>
        <v>0</v>
      </c>
      <c r="L298" s="106">
        <f>B05_Assessment!$J$54</f>
        <v>0</v>
      </c>
    </row>
    <row r="299" spans="1:12" ht="97.5" customHeight="1">
      <c r="A299" s="106" t="str">
        <f>B05_Assessment!$B$2</f>
        <v>05</v>
      </c>
      <c r="B299" s="106" t="str">
        <f t="shared" si="36"/>
        <v>B04_Assessment</v>
      </c>
      <c r="C299" s="106" t="str">
        <f>B05_Assessment!$A$55</f>
        <v>B05-Q2</v>
      </c>
      <c r="D299" s="142" t="str">
        <f>B05_Assessment!$B$55</f>
        <v>What active services are currently fed from the existing 153-A TE/legacy patch panels?</v>
      </c>
      <c r="E299" s="142" t="str">
        <f>B05_Assessment!$C$55</f>
        <v>OIT / Contractor</v>
      </c>
      <c r="F299" s="106" t="str">
        <f>B05_Assessment!$D$55</f>
        <v>Closed</v>
      </c>
      <c r="G299" s="106">
        <f>B05_Assessment!$E$55</f>
        <v>0</v>
      </c>
      <c r="H299" s="106">
        <f>B05_Assessment!$F$55</f>
        <v>0</v>
      </c>
      <c r="I299" s="106" t="str">
        <f>B05_Assessment!$G$55</f>
        <v>Potential communications outage</v>
      </c>
      <c r="J299" s="106">
        <f>B05_Assessment!$H$55</f>
        <v>0</v>
      </c>
      <c r="K299" s="106">
        <f>B05_Assessment!$I$55</f>
        <v>0</v>
      </c>
      <c r="L299" s="106">
        <f>B05_Assessment!$J$55</f>
        <v>0</v>
      </c>
    </row>
    <row r="300" spans="1:12" ht="97.5" customHeight="1">
      <c r="A300" s="106" t="str">
        <f>B05_Assessment!$B$2</f>
        <v>05</v>
      </c>
      <c r="B300" s="106" t="str">
        <f t="shared" si="36"/>
        <v>B04_Assessment</v>
      </c>
      <c r="C300" s="106" t="str">
        <f>B05_Assessment!$A$56</f>
        <v>B05-Q3</v>
      </c>
      <c r="D300" s="142" t="str">
        <f>B05_Assessment!$B$56</f>
        <v>What is the approved cutover sequence from existing 153-A equipment to new Room 150 TE?</v>
      </c>
      <c r="E300" s="142" t="str">
        <f>B05_Assessment!$C$56</f>
        <v>OIT / Contractor</v>
      </c>
      <c r="F300" s="106" t="str">
        <f>B05_Assessment!$D$56</f>
        <v>Closed</v>
      </c>
      <c r="G300" s="106">
        <f>B05_Assessment!$E$56</f>
        <v>0</v>
      </c>
      <c r="H300" s="106">
        <f>B05_Assessment!$F$56</f>
        <v>0</v>
      </c>
      <c r="I300" s="106" t="str">
        <f>B05_Assessment!$G$56</f>
        <v>Cutover risk</v>
      </c>
      <c r="J300" s="106">
        <f>B05_Assessment!$H$56</f>
        <v>0</v>
      </c>
      <c r="K300" s="106">
        <f>B05_Assessment!$I$56</f>
        <v>0</v>
      </c>
      <c r="L300" s="106">
        <f>B05_Assessment!$J$56</f>
        <v>0</v>
      </c>
    </row>
    <row r="301" spans="1:12" ht="97.5" customHeight="1">
      <c r="A301" s="106" t="str">
        <f>B05_Assessment!$B$2</f>
        <v>05</v>
      </c>
      <c r="B301" s="106" t="str">
        <f t="shared" si="36"/>
        <v>B04_Assessment</v>
      </c>
      <c r="C301" s="106" t="str">
        <f>B05_Assessment!$A$57</f>
        <v>B05-Q4</v>
      </c>
      <c r="D301" s="142" t="str">
        <f>B05_Assessment!$B$57</f>
        <v>Which electrical panel/circuit serves the Room 150 UPS/PDU outlets?</v>
      </c>
      <c r="E301" s="142" t="str">
        <f>B05_Assessment!$C$57</f>
        <v>Electrical / Designer</v>
      </c>
      <c r="F301" s="106" t="str">
        <f>B05_Assessment!$D$57</f>
        <v>Closed</v>
      </c>
      <c r="G301" s="106">
        <f>B05_Assessment!$E$57</f>
        <v>0</v>
      </c>
      <c r="H301" s="106">
        <f>B05_Assessment!$F$57</f>
        <v>0</v>
      </c>
      <c r="I301" s="106" t="str">
        <f>B05_Assessment!$G$57</f>
        <v>Power source cannot be verified</v>
      </c>
      <c r="J301" s="106">
        <f>B05_Assessment!$H$57</f>
        <v>0</v>
      </c>
      <c r="K301" s="106">
        <f>B05_Assessment!$I$57</f>
        <v>0</v>
      </c>
      <c r="L301" s="106">
        <f>B05_Assessment!$J$57</f>
        <v>0</v>
      </c>
    </row>
    <row r="302" spans="1:12" ht="97.5" customHeight="1">
      <c r="A302" s="106" t="str">
        <f>B05_Assessment!$B$2</f>
        <v>05</v>
      </c>
      <c r="B302" s="106" t="str">
        <f t="shared" ref="B302:B309" si="37">"B05_Assessment"</f>
        <v>B05_Assessment</v>
      </c>
      <c r="C302" s="106" t="str">
        <f>B05_Assessment!$A$58</f>
        <v>B05-Q5</v>
      </c>
      <c r="D302" s="142" t="str">
        <f>B05_Assessment!$B$58</f>
        <v>Is emergency/backup power required or provided for the TE UPS/PDU source?</v>
      </c>
      <c r="E302" s="142" t="str">
        <f>B05_Assessment!$C$58</f>
        <v>VA / Electrical</v>
      </c>
      <c r="F302" s="106" t="str">
        <f>B05_Assessment!$D$58</f>
        <v>Closed</v>
      </c>
      <c r="G302" s="106">
        <f>B05_Assessment!$E$58</f>
        <v>0</v>
      </c>
      <c r="H302" s="106">
        <f>B05_Assessment!$F$58</f>
        <v>0</v>
      </c>
      <c r="I302" s="106" t="str">
        <f>B05_Assessment!$G$58</f>
        <v>Continuity requirement unclear</v>
      </c>
      <c r="J302" s="106">
        <f>B05_Assessment!$H$58</f>
        <v>0</v>
      </c>
      <c r="K302" s="106">
        <f>B05_Assessment!$I$58</f>
        <v>0</v>
      </c>
      <c r="L302" s="106">
        <f>B05_Assessment!$J$58</f>
        <v>0</v>
      </c>
    </row>
    <row r="303" spans="1:12" ht="97.5" customHeight="1">
      <c r="A303" s="106" t="str">
        <f>B05_Assessment!$B$2</f>
        <v>05</v>
      </c>
      <c r="B303" s="106" t="str">
        <f t="shared" si="37"/>
        <v>B05_Assessment</v>
      </c>
      <c r="C303" s="106" t="str">
        <f>B05_Assessment!$A$59</f>
        <v>B05-Q6</v>
      </c>
      <c r="D303" s="142" t="str">
        <f>B05_Assessment!$B$59</f>
        <v>Are firestopping locations and surface raceway/conduit routes shown and coordinated?</v>
      </c>
      <c r="E303" s="142" t="str">
        <f>B05_Assessment!$C$59</f>
        <v>GC / Designer</v>
      </c>
      <c r="F303" s="106" t="str">
        <f>B05_Assessment!$D$59</f>
        <v>Closed</v>
      </c>
      <c r="G303" s="106">
        <f>B05_Assessment!$E$59</f>
        <v>0</v>
      </c>
      <c r="H303" s="106">
        <f>B05_Assessment!$F$59</f>
        <v>0</v>
      </c>
      <c r="I303" s="106" t="str">
        <f>B05_Assessment!$G$59</f>
        <v>Rated assembly/firestop risk</v>
      </c>
      <c r="J303" s="106">
        <f>B05_Assessment!$H$59</f>
        <v>0</v>
      </c>
      <c r="K303" s="106">
        <f>B05_Assessment!$I$59</f>
        <v>0</v>
      </c>
      <c r="L303" s="106">
        <f>B05_Assessment!$J$59</f>
        <v>0</v>
      </c>
    </row>
    <row r="304" spans="1:12" ht="97.5" customHeight="1">
      <c r="A304" s="106" t="str">
        <f>B05_Assessment!$B$2</f>
        <v>05</v>
      </c>
      <c r="B304" s="106" t="str">
        <f t="shared" si="37"/>
        <v>B05_Assessment</v>
      </c>
      <c r="C304" s="106" t="str">
        <f>B05_Assessment!$A$60</f>
        <v>B05-Q7</v>
      </c>
      <c r="D304" s="142" t="str">
        <f>B05_Assessment!$B$60</f>
        <v>Does Room 150 or existing Room 153-A require PACS/CCTV modifications, or is existing security adequate?</v>
      </c>
      <c r="E304" s="142" t="str">
        <f>B05_Assessment!$C$60</f>
        <v>Security / VA</v>
      </c>
      <c r="F304" s="106" t="str">
        <f>B05_Assessment!$D$60</f>
        <v>Closed</v>
      </c>
      <c r="G304" s="106">
        <f>B05_Assessment!$E$60</f>
        <v>0</v>
      </c>
      <c r="H304" s="106">
        <f>B05_Assessment!$F$60</f>
        <v>0</v>
      </c>
      <c r="I304" s="106" t="str">
        <f>B05_Assessment!$G$60</f>
        <v>Security acceptance risk</v>
      </c>
      <c r="J304" s="106">
        <f>B05_Assessment!$H$60</f>
        <v>0</v>
      </c>
      <c r="K304" s="106">
        <f>B05_Assessment!$I$60</f>
        <v>0</v>
      </c>
      <c r="L304" s="106">
        <f>B05_Assessment!$J$60</f>
        <v>0</v>
      </c>
    </row>
    <row r="305" spans="1:12" ht="97.5" customHeight="1">
      <c r="A305" s="106" t="str">
        <f>B06_Assessment!$B$2</f>
        <v>06</v>
      </c>
      <c r="B305" s="106" t="str">
        <f t="shared" si="37"/>
        <v>B05_Assessment</v>
      </c>
      <c r="C305" s="106" t="str">
        <f>B06_Assessment!$A$63</f>
        <v>B06-Q1</v>
      </c>
      <c r="D305" s="142" t="str">
        <f>B06_Assessment!$B$63</f>
        <v>Confirm final TR/TE scope: B-01 existing equipment, Room 178, and Room 233?</v>
      </c>
      <c r="E305" s="142" t="str">
        <f>B06_Assessment!$C$63</f>
        <v>VA / OIT / Designer</v>
      </c>
      <c r="F305" s="106" t="str">
        <f>B06_Assessment!$D$63</f>
        <v>Closed</v>
      </c>
      <c r="G305" s="106">
        <f>B06_Assessment!$E$63</f>
        <v>0</v>
      </c>
      <c r="H305" s="106">
        <f>B06_Assessment!$F$63</f>
        <v>0</v>
      </c>
      <c r="I305" s="106" t="str">
        <f>B06_Assessment!$G$63</f>
        <v>Room inventory could miss scope</v>
      </c>
      <c r="J305" s="106">
        <f>B06_Assessment!$H$63</f>
        <v>0</v>
      </c>
      <c r="K305" s="106">
        <f>B06_Assessment!$I$63</f>
        <v>0</v>
      </c>
      <c r="L305" s="106">
        <f>B06_Assessment!$J$63</f>
        <v>0</v>
      </c>
    </row>
    <row r="306" spans="1:12" ht="97.5" customHeight="1">
      <c r="A306" s="106" t="str">
        <f>B06_Assessment!$B$2</f>
        <v>06</v>
      </c>
      <c r="B306" s="106" t="str">
        <f t="shared" si="37"/>
        <v>B05_Assessment</v>
      </c>
      <c r="C306" s="106" t="str">
        <f>B06_Assessment!$A$64</f>
        <v>B06-Q2</v>
      </c>
      <c r="D306" s="142" t="str">
        <f>B06_Assessment!$B$64</f>
        <v>What active services are fed from existing B-01 and Room 178 legacy equipment?</v>
      </c>
      <c r="E306" s="142" t="str">
        <f>B06_Assessment!$C$64</f>
        <v>OIT / Contractor</v>
      </c>
      <c r="F306" s="106" t="str">
        <f>B06_Assessment!$D$64</f>
        <v>Closed</v>
      </c>
      <c r="G306" s="106">
        <f>B06_Assessment!$E$64</f>
        <v>0</v>
      </c>
      <c r="H306" s="106">
        <f>B06_Assessment!$F$64</f>
        <v>0</v>
      </c>
      <c r="I306" s="106" t="str">
        <f>B06_Assessment!$G$64</f>
        <v>Potential communications outage</v>
      </c>
      <c r="J306" s="106">
        <f>B06_Assessment!$H$64</f>
        <v>0</v>
      </c>
      <c r="K306" s="106">
        <f>B06_Assessment!$I$64</f>
        <v>0</v>
      </c>
      <c r="L306" s="106">
        <f>B06_Assessment!$J$64</f>
        <v>0</v>
      </c>
    </row>
    <row r="307" spans="1:12" ht="97.5" customHeight="1">
      <c r="A307" s="106" t="str">
        <f>B06_Assessment!$B$2</f>
        <v>06</v>
      </c>
      <c r="B307" s="106" t="str">
        <f t="shared" si="37"/>
        <v>B05_Assessment</v>
      </c>
      <c r="C307" s="106" t="str">
        <f>B06_Assessment!$A$65</f>
        <v>B06-Q3</v>
      </c>
      <c r="D307" s="142" t="str">
        <f>B06_Assessment!$B$65</f>
        <v>What is the approved cutover sequence for B-01, 178 and 233?</v>
      </c>
      <c r="E307" s="142" t="str">
        <f>B06_Assessment!$C$65</f>
        <v>OIT / Contractor</v>
      </c>
      <c r="F307" s="106" t="str">
        <f>B06_Assessment!$D$65</f>
        <v>Closed</v>
      </c>
      <c r="G307" s="106">
        <f>B06_Assessment!$E$65</f>
        <v>0</v>
      </c>
      <c r="H307" s="106">
        <f>B06_Assessment!$F$65</f>
        <v>0</v>
      </c>
      <c r="I307" s="106" t="str">
        <f>B06_Assessment!$G$65</f>
        <v>Cutover risk</v>
      </c>
      <c r="J307" s="106">
        <f>B06_Assessment!$H$65</f>
        <v>0</v>
      </c>
      <c r="K307" s="106">
        <f>B06_Assessment!$I$65</f>
        <v>0</v>
      </c>
      <c r="L307" s="106">
        <f>B06_Assessment!$J$65</f>
        <v>0</v>
      </c>
    </row>
    <row r="308" spans="1:12" ht="97.5" customHeight="1">
      <c r="A308" s="106" t="str">
        <f>B06_Assessment!$B$2</f>
        <v>06</v>
      </c>
      <c r="B308" s="106" t="str">
        <f t="shared" si="37"/>
        <v>B05_Assessment</v>
      </c>
      <c r="C308" s="106" t="str">
        <f>B06_Assessment!$A$66</f>
        <v>B06-Q4</v>
      </c>
      <c r="D308" s="142" t="str">
        <f>B06_Assessment!$B$66</f>
        <v>Are IU-1-01/CU-1-01 and IU-2-01/CU-2-01 on emergency/backup power?</v>
      </c>
      <c r="E308" s="142" t="str">
        <f>B06_Assessment!$C$66</f>
        <v>Mechanical / Electrical / VA</v>
      </c>
      <c r="F308" s="106" t="str">
        <f>B06_Assessment!$D$66</f>
        <v>Closed</v>
      </c>
      <c r="G308" s="106">
        <f>B06_Assessment!$E$66</f>
        <v>0</v>
      </c>
      <c r="H308" s="106">
        <f>B06_Assessment!$F$66</f>
        <v>0</v>
      </c>
      <c r="I308" s="106" t="str">
        <f>B06_Assessment!$G$66</f>
        <v>Cooling continuity unclear</v>
      </c>
      <c r="J308" s="106">
        <f>B06_Assessment!$H$66</f>
        <v>0</v>
      </c>
      <c r="K308" s="106">
        <f>B06_Assessment!$I$66</f>
        <v>0</v>
      </c>
      <c r="L308" s="106">
        <f>B06_Assessment!$J$66</f>
        <v>0</v>
      </c>
    </row>
    <row r="309" spans="1:12" ht="97.5" customHeight="1">
      <c r="A309" s="106" t="str">
        <f>B06_Assessment!$B$2</f>
        <v>06</v>
      </c>
      <c r="B309" s="106" t="str">
        <f t="shared" si="37"/>
        <v>B05_Assessment</v>
      </c>
      <c r="C309" s="106" t="str">
        <f>B06_Assessment!$A$67</f>
        <v>B06-Q5</v>
      </c>
      <c r="D309" s="142" t="str">
        <f>B06_Assessment!$B$67</f>
        <v>Where are clean-agent/CO2 extinguisher cabinets located within 75 ft of each TR?</v>
      </c>
      <c r="E309" s="142" t="str">
        <f>B06_Assessment!$C$67</f>
        <v>GC / COR</v>
      </c>
      <c r="F309" s="106" t="str">
        <f>B06_Assessment!$D$67</f>
        <v>Closed</v>
      </c>
      <c r="G309" s="106">
        <f>B06_Assessment!$E$67</f>
        <v>0</v>
      </c>
      <c r="H309" s="106">
        <f>B06_Assessment!$F$67</f>
        <v>0</v>
      </c>
      <c r="I309" s="106" t="str">
        <f>B06_Assessment!$G$67</f>
        <v>Life safety acceptance risk</v>
      </c>
      <c r="J309" s="106">
        <f>B06_Assessment!$H$67</f>
        <v>0</v>
      </c>
      <c r="K309" s="106">
        <f>B06_Assessment!$I$67</f>
        <v>0</v>
      </c>
      <c r="L309" s="106">
        <f>B06_Assessment!$J$67</f>
        <v>0</v>
      </c>
    </row>
    <row r="310" spans="1:12" ht="97.5" customHeight="1">
      <c r="A310" s="106" t="str">
        <f>B06_Assessment!$B$2</f>
        <v>06</v>
      </c>
      <c r="B310" s="106" t="str">
        <f t="shared" ref="B310:B317" si="38">"B06_Assessment"</f>
        <v>B06_Assessment</v>
      </c>
      <c r="C310" s="106" t="str">
        <f>B06_Assessment!$A$68</f>
        <v>B06-Q6</v>
      </c>
      <c r="D310" s="142" t="str">
        <f>B06_Assessment!$B$68</f>
        <v>Are all panel load measurements, replacement panels, breakers, SPDs and labels approved?</v>
      </c>
      <c r="E310" s="142" t="str">
        <f>B06_Assessment!$C$68</f>
        <v>Electrical / Designer</v>
      </c>
      <c r="F310" s="106" t="str">
        <f>B06_Assessment!$D$68</f>
        <v>Closed</v>
      </c>
      <c r="G310" s="106">
        <f>B06_Assessment!$E$68</f>
        <v>0</v>
      </c>
      <c r="H310" s="106">
        <f>B06_Assessment!$F$68</f>
        <v>0</v>
      </c>
      <c r="I310" s="106" t="str">
        <f>B06_Assessment!$G$68</f>
        <v>Electrical readiness unknown</v>
      </c>
      <c r="J310" s="106">
        <f>B06_Assessment!$H$68</f>
        <v>0</v>
      </c>
      <c r="K310" s="106">
        <f>B06_Assessment!$I$68</f>
        <v>0</v>
      </c>
      <c r="L310" s="106">
        <f>B06_Assessment!$J$68</f>
        <v>0</v>
      </c>
    </row>
    <row r="311" spans="1:12" ht="97.5" customHeight="1">
      <c r="A311" s="106" t="str">
        <f>B06_Assessment!$B$2</f>
        <v>06</v>
      </c>
      <c r="B311" s="106" t="str">
        <f t="shared" si="38"/>
        <v>B06_Assessment</v>
      </c>
      <c r="C311" s="106" t="str">
        <f>B06_Assessment!$A$69</f>
        <v>B06-Q7</v>
      </c>
      <c r="D311" s="142" t="str">
        <f>B06_Assessment!$B$69</f>
        <v>Are all rated wall/floor penetrations, sleeves and firestopping identified?</v>
      </c>
      <c r="E311" s="142" t="str">
        <f>B06_Assessment!$C$69</f>
        <v>GC / Firestop</v>
      </c>
      <c r="F311" s="106" t="str">
        <f>B06_Assessment!$D$69</f>
        <v>Closed</v>
      </c>
      <c r="G311" s="106">
        <f>B06_Assessment!$E$69</f>
        <v>0</v>
      </c>
      <c r="H311" s="106">
        <f>B06_Assessment!$F$69</f>
        <v>0</v>
      </c>
      <c r="I311" s="106" t="str">
        <f>B06_Assessment!$G$69</f>
        <v>Fire/smoke spread risk</v>
      </c>
      <c r="J311" s="106">
        <f>B06_Assessment!$H$69</f>
        <v>0</v>
      </c>
      <c r="K311" s="106">
        <f>B06_Assessment!$I$69</f>
        <v>0</v>
      </c>
      <c r="L311" s="106">
        <f>B06_Assessment!$J$69</f>
        <v>0</v>
      </c>
    </row>
    <row r="312" spans="1:12" ht="97.5" customHeight="1">
      <c r="A312" s="106" t="str">
        <f>B06_Assessment!$B$2</f>
        <v>06</v>
      </c>
      <c r="B312" s="106" t="str">
        <f t="shared" si="38"/>
        <v>B06_Assessment</v>
      </c>
      <c r="C312" s="106" t="str">
        <f>B06_Assessment!$A$70</f>
        <v>B06-Q8</v>
      </c>
      <c r="D312" s="142" t="str">
        <f>B06_Assessment!$B$70</f>
        <v>Which commissioning/third-party tests must be complete before VA acceptance?</v>
      </c>
      <c r="E312" s="142" t="str">
        <f>B06_Assessment!$C$70</f>
        <v>GC / Cx Manager</v>
      </c>
      <c r="F312" s="106" t="str">
        <f>B06_Assessment!$D$70</f>
        <v>Closed</v>
      </c>
      <c r="G312" s="106">
        <f>B06_Assessment!$E$70</f>
        <v>0</v>
      </c>
      <c r="H312" s="106">
        <f>B06_Assessment!$F$70</f>
        <v>0</v>
      </c>
      <c r="I312" s="106" t="str">
        <f>B06_Assessment!$G$70</f>
        <v>Turnover package gap</v>
      </c>
      <c r="J312" s="106">
        <f>B06_Assessment!$H$70</f>
        <v>0</v>
      </c>
      <c r="K312" s="106">
        <f>B06_Assessment!$I$70</f>
        <v>0</v>
      </c>
      <c r="L312" s="106">
        <f>B06_Assessment!$J$70</f>
        <v>0</v>
      </c>
    </row>
    <row r="313" spans="1:12" ht="97.5" customHeight="1">
      <c r="A313" s="106" t="str">
        <f>B07_Assessment!$B$2</f>
        <v>07</v>
      </c>
      <c r="B313" s="106" t="str">
        <f t="shared" si="38"/>
        <v>B06_Assessment</v>
      </c>
      <c r="C313" s="106" t="str">
        <f>B07_Assessment!$A$56</f>
        <v>B07-Q1</v>
      </c>
      <c r="D313" s="142" t="str">
        <f>B07_Assessment!$B$56</f>
        <v>Confirm final TR scope: B-18 basement and 228A second floor only?</v>
      </c>
      <c r="E313" s="142" t="str">
        <f>B07_Assessment!$C$56</f>
        <v>VA / OIT / Designer</v>
      </c>
      <c r="F313" s="106" t="str">
        <f>B07_Assessment!$D$56</f>
        <v>Closed</v>
      </c>
      <c r="G313" s="106">
        <f>B07_Assessment!$E$56</f>
        <v>0</v>
      </c>
      <c r="H313" s="106">
        <f>B07_Assessment!$F$56</f>
        <v>0</v>
      </c>
      <c r="I313" s="106" t="str">
        <f>B07_Assessment!$G$56</f>
        <v>Room inventory could miss scope</v>
      </c>
      <c r="J313" s="106">
        <f>B07_Assessment!$H$56</f>
        <v>0</v>
      </c>
      <c r="K313" s="106">
        <f>B07_Assessment!$I$56</f>
        <v>0</v>
      </c>
      <c r="L313" s="106">
        <f>B07_Assessment!$J$56</f>
        <v>0</v>
      </c>
    </row>
    <row r="314" spans="1:12" ht="97.5" customHeight="1">
      <c r="A314" s="106" t="str">
        <f>B07_Assessment!$B$2</f>
        <v>07</v>
      </c>
      <c r="B314" s="106" t="str">
        <f t="shared" si="38"/>
        <v>B06_Assessment</v>
      </c>
      <c r="C314" s="106" t="str">
        <f>B07_Assessment!$A$57</f>
        <v>B07-Q2</v>
      </c>
      <c r="D314" s="142" t="str">
        <f>B07_Assessment!$B$57</f>
        <v>Are IU-0-01/CU-0-01 assigned to B-18 and IU-2-01/CU-2-01 assigned to 228A?</v>
      </c>
      <c r="E314" s="142" t="str">
        <f>B07_Assessment!$C$57</f>
        <v>Mechanical / Designer</v>
      </c>
      <c r="F314" s="106" t="str">
        <f>B07_Assessment!$D$57</f>
        <v>Closed</v>
      </c>
      <c r="G314" s="106">
        <f>B07_Assessment!$E$57</f>
        <v>0</v>
      </c>
      <c r="H314" s="106">
        <f>B07_Assessment!$F$57</f>
        <v>0</v>
      </c>
      <c r="I314" s="106" t="str">
        <f>B07_Assessment!$G$57</f>
        <v>Cooling scope unclear</v>
      </c>
      <c r="J314" s="106">
        <f>B07_Assessment!$H$57</f>
        <v>0</v>
      </c>
      <c r="K314" s="106">
        <f>B07_Assessment!$I$57</f>
        <v>0</v>
      </c>
      <c r="L314" s="106">
        <f>B07_Assessment!$J$57</f>
        <v>0</v>
      </c>
    </row>
    <row r="315" spans="1:12" ht="97.5" customHeight="1">
      <c r="A315" s="106" t="str">
        <f>B07_Assessment!$B$2</f>
        <v>07</v>
      </c>
      <c r="B315" s="106" t="str">
        <f t="shared" si="38"/>
        <v>B06_Assessment</v>
      </c>
      <c r="C315" s="106" t="str">
        <f>B07_Assessment!$A$58</f>
        <v>B07-Q3</v>
      </c>
      <c r="D315" s="142" t="str">
        <f>B07_Assessment!$B$58</f>
        <v>Are cooling units and controls on emergency/backup power?</v>
      </c>
      <c r="E315" s="142" t="str">
        <f>B07_Assessment!$C$58</f>
        <v>Mechanical / Electrical / VA</v>
      </c>
      <c r="F315" s="106" t="str">
        <f>B07_Assessment!$D$58</f>
        <v>Closed</v>
      </c>
      <c r="G315" s="106">
        <f>B07_Assessment!$E$58</f>
        <v>0</v>
      </c>
      <c r="H315" s="106">
        <f>B07_Assessment!$F$58</f>
        <v>0</v>
      </c>
      <c r="I315" s="106" t="str">
        <f>B07_Assessment!$G$58</f>
        <v>Cooling continuity not confirmed</v>
      </c>
      <c r="J315" s="106">
        <f>B07_Assessment!$H$58</f>
        <v>0</v>
      </c>
      <c r="K315" s="106">
        <f>B07_Assessment!$I$58</f>
        <v>0</v>
      </c>
      <c r="L315" s="106">
        <f>B07_Assessment!$J$58</f>
        <v>0</v>
      </c>
    </row>
    <row r="316" spans="1:12" ht="97.5" customHeight="1">
      <c r="A316" s="106" t="str">
        <f>B07_Assessment!$B$2</f>
        <v>07</v>
      </c>
      <c r="B316" s="106" t="str">
        <f t="shared" si="38"/>
        <v>B06_Assessment</v>
      </c>
      <c r="C316" s="106" t="str">
        <f>B07_Assessment!$A$59</f>
        <v>B07-Q4</v>
      </c>
      <c r="D316" s="142" t="str">
        <f>B07_Assessment!$B$59</f>
        <v>Where are clean-agent/CO2 extinguisher cabinets located within 75 ft of each TR?</v>
      </c>
      <c r="E316" s="142" t="str">
        <f>B07_Assessment!$C$59</f>
        <v>GC / COR</v>
      </c>
      <c r="F316" s="106" t="str">
        <f>B07_Assessment!$D$59</f>
        <v>Closed</v>
      </c>
      <c r="G316" s="106">
        <f>B07_Assessment!$E$59</f>
        <v>0</v>
      </c>
      <c r="H316" s="106">
        <f>B07_Assessment!$F$59</f>
        <v>0</v>
      </c>
      <c r="I316" s="106" t="str">
        <f>B07_Assessment!$G$59</f>
        <v>Life safety acceptance risk</v>
      </c>
      <c r="J316" s="106">
        <f>B07_Assessment!$H$59</f>
        <v>0</v>
      </c>
      <c r="K316" s="106">
        <f>B07_Assessment!$I$59</f>
        <v>0</v>
      </c>
      <c r="L316" s="106">
        <f>B07_Assessment!$J$59</f>
        <v>0</v>
      </c>
    </row>
    <row r="317" spans="1:12" ht="97.5" customHeight="1">
      <c r="A317" s="106" t="str">
        <f>B07_Assessment!$B$2</f>
        <v>07</v>
      </c>
      <c r="B317" s="106" t="str">
        <f t="shared" si="38"/>
        <v>B06_Assessment</v>
      </c>
      <c r="C317" s="106" t="str">
        <f>B07_Assessment!$A$60</f>
        <v>B07-Q5</v>
      </c>
      <c r="D317" s="142" t="str">
        <f>B07_Assessment!$B$60</f>
        <v>What active services are currently fed from B-18 and/or existing pathways serving 228A?</v>
      </c>
      <c r="E317" s="142" t="str">
        <f>B07_Assessment!$C$60</f>
        <v>OIT / Contractor</v>
      </c>
      <c r="F317" s="106" t="str">
        <f>B07_Assessment!$D$60</f>
        <v>Closed</v>
      </c>
      <c r="G317" s="106">
        <f>B07_Assessment!$E$60</f>
        <v>0</v>
      </c>
      <c r="H317" s="106">
        <f>B07_Assessment!$F$60</f>
        <v>0</v>
      </c>
      <c r="I317" s="106" t="str">
        <f>B07_Assessment!$G$60</f>
        <v>Potential communications outage</v>
      </c>
      <c r="J317" s="106">
        <f>B07_Assessment!$H$60</f>
        <v>0</v>
      </c>
      <c r="K317" s="106">
        <f>B07_Assessment!$I$60</f>
        <v>0</v>
      </c>
      <c r="L317" s="106">
        <f>B07_Assessment!$J$60</f>
        <v>0</v>
      </c>
    </row>
    <row r="318" spans="1:12" ht="97.5" customHeight="1">
      <c r="A318" s="106" t="str">
        <f>B07_Assessment!$B$2</f>
        <v>07</v>
      </c>
      <c r="B318" s="106" t="str">
        <f t="shared" ref="B318:B325" si="39">"B07_Assessment"</f>
        <v>B07_Assessment</v>
      </c>
      <c r="C318" s="106" t="str">
        <f>B07_Assessment!$A$61</f>
        <v>B07-Q6</v>
      </c>
      <c r="D318" s="142" t="str">
        <f>B07_Assessment!$B$61</f>
        <v>Are all B07 panelboard sources, circuits, SPDs, labels and load measurements approved?</v>
      </c>
      <c r="E318" s="142" t="str">
        <f>B07_Assessment!$C$61</f>
        <v>Electrical / Designer</v>
      </c>
      <c r="F318" s="106" t="str">
        <f>B07_Assessment!$D$61</f>
        <v>Closed</v>
      </c>
      <c r="G318" s="106">
        <f>B07_Assessment!$E$61</f>
        <v>0</v>
      </c>
      <c r="H318" s="106">
        <f>B07_Assessment!$F$61</f>
        <v>0</v>
      </c>
      <c r="I318" s="106" t="str">
        <f>B07_Assessment!$G$61</f>
        <v>Electrical readiness unknown</v>
      </c>
      <c r="J318" s="106">
        <f>B07_Assessment!$H$61</f>
        <v>0</v>
      </c>
      <c r="K318" s="106">
        <f>B07_Assessment!$I$61</f>
        <v>0</v>
      </c>
      <c r="L318" s="106">
        <f>B07_Assessment!$J$61</f>
        <v>0</v>
      </c>
    </row>
    <row r="319" spans="1:12" ht="97.5" customHeight="1">
      <c r="A319" s="106" t="str">
        <f>B07_Assessment!$B$2</f>
        <v>07</v>
      </c>
      <c r="B319" s="106" t="str">
        <f t="shared" si="39"/>
        <v>B07_Assessment</v>
      </c>
      <c r="C319" s="106" t="str">
        <f>B07_Assessment!$A$62</f>
        <v>B07-Q7</v>
      </c>
      <c r="D319" s="142" t="str">
        <f>B07_Assessment!$B$62</f>
        <v>Are all rated wall/floor penetrations, sleeves and firestopping identified?</v>
      </c>
      <c r="E319" s="142" t="str">
        <f>B07_Assessment!$C$62</f>
        <v>GC / Firestop</v>
      </c>
      <c r="F319" s="106" t="str">
        <f>B07_Assessment!$D$62</f>
        <v>Closed</v>
      </c>
      <c r="G319" s="106">
        <f>B07_Assessment!$E$62</f>
        <v>0</v>
      </c>
      <c r="H319" s="106">
        <f>B07_Assessment!$F$62</f>
        <v>0</v>
      </c>
      <c r="I319" s="106" t="str">
        <f>B07_Assessment!$G$62</f>
        <v>Fire/smoke spread risk</v>
      </c>
      <c r="J319" s="106">
        <f>B07_Assessment!$H$62</f>
        <v>0</v>
      </c>
      <c r="K319" s="106">
        <f>B07_Assessment!$I$62</f>
        <v>0</v>
      </c>
      <c r="L319" s="106">
        <f>B07_Assessment!$J$62</f>
        <v>0</v>
      </c>
    </row>
    <row r="320" spans="1:12" ht="97.5" customHeight="1">
      <c r="A320" s="106" t="str">
        <f>B07_Assessment!$B$2</f>
        <v>07</v>
      </c>
      <c r="B320" s="106" t="str">
        <f t="shared" si="39"/>
        <v>B07_Assessment</v>
      </c>
      <c r="C320" s="106" t="str">
        <f>B07_Assessment!$A$63</f>
        <v>B07-Q8</v>
      </c>
      <c r="D320" s="142" t="str">
        <f>B07_Assessment!$B$63</f>
        <v>Which third-party inspections and commissioning forms are required before VA acceptance?</v>
      </c>
      <c r="E320" s="142" t="str">
        <f>B07_Assessment!$C$63</f>
        <v>GC / Cx Manager</v>
      </c>
      <c r="F320" s="106" t="str">
        <f>B07_Assessment!$D$63</f>
        <v>Closed</v>
      </c>
      <c r="G320" s="106">
        <f>B07_Assessment!$E$63</f>
        <v>0</v>
      </c>
      <c r="H320" s="106">
        <f>B07_Assessment!$F$63</f>
        <v>0</v>
      </c>
      <c r="I320" s="106" t="str">
        <f>B07_Assessment!$G$63</f>
        <v>Turnover package gap</v>
      </c>
      <c r="J320" s="106">
        <f>B07_Assessment!$H$63</f>
        <v>0</v>
      </c>
      <c r="K320" s="106">
        <f>B07_Assessment!$I$63</f>
        <v>0</v>
      </c>
      <c r="L320" s="106">
        <f>B07_Assessment!$J$63</f>
        <v>0</v>
      </c>
    </row>
    <row r="321" spans="1:12" ht="97.5" customHeight="1">
      <c r="A321" s="106" t="str">
        <f>B08_Assessment!$B$2</f>
        <v>08</v>
      </c>
      <c r="B321" s="106" t="str">
        <f t="shared" si="39"/>
        <v>B07_Assessment</v>
      </c>
      <c r="C321" s="106" t="str">
        <f>B08_Assessment!$A$63</f>
        <v>B08-Q1</v>
      </c>
      <c r="D321" s="142" t="str">
        <f>B08_Assessment!$B$63</f>
        <v>Confirm final scope: existing B-15 equipment, B12B TE/cabling area, and new TR 2065A?</v>
      </c>
      <c r="E321" s="142" t="str">
        <f>B08_Assessment!$C$63</f>
        <v>VA / OIT / Designer</v>
      </c>
      <c r="F321" s="106" t="str">
        <f>B08_Assessment!$D$63</f>
        <v>Closed</v>
      </c>
      <c r="G321" s="106">
        <f>B08_Assessment!$E$63</f>
        <v>0</v>
      </c>
      <c r="H321" s="106">
        <f>B08_Assessment!$F$63</f>
        <v>0</v>
      </c>
      <c r="I321" s="106" t="str">
        <f>B08_Assessment!$G$63</f>
        <v>Room inventory may miss scope</v>
      </c>
      <c r="J321" s="106">
        <f>B08_Assessment!$H$63</f>
        <v>0</v>
      </c>
      <c r="K321" s="106">
        <f>B08_Assessment!$I$63</f>
        <v>0</v>
      </c>
      <c r="L321" s="106">
        <f>B08_Assessment!$J$63</f>
        <v>0</v>
      </c>
    </row>
    <row r="322" spans="1:12" ht="97.5" customHeight="1">
      <c r="A322" s="106" t="str">
        <f>B08_Assessment!$B$2</f>
        <v>08</v>
      </c>
      <c r="B322" s="106" t="str">
        <f t="shared" si="39"/>
        <v>B07_Assessment</v>
      </c>
      <c r="C322" s="106" t="str">
        <f>B08_Assessment!$A$64</f>
        <v>B08-Q2</v>
      </c>
      <c r="D322" s="142" t="str">
        <f>B08_Assessment!$B$64</f>
        <v>What active services are currently fed from existing B-15 equipment?</v>
      </c>
      <c r="E322" s="142" t="str">
        <f>B08_Assessment!$C$64</f>
        <v>OIT / Contractor</v>
      </c>
      <c r="F322" s="106" t="str">
        <f>B08_Assessment!$D$64</f>
        <v>Closed</v>
      </c>
      <c r="G322" s="106">
        <f>B08_Assessment!$E$64</f>
        <v>0</v>
      </c>
      <c r="H322" s="106">
        <f>B08_Assessment!$F$64</f>
        <v>0</v>
      </c>
      <c r="I322" s="106" t="str">
        <f>B08_Assessment!$G$64</f>
        <v>Potential communications outage</v>
      </c>
      <c r="J322" s="106">
        <f>B08_Assessment!$H$64</f>
        <v>0</v>
      </c>
      <c r="K322" s="106">
        <f>B08_Assessment!$I$64</f>
        <v>0</v>
      </c>
      <c r="L322" s="106">
        <f>B08_Assessment!$J$64</f>
        <v>0</v>
      </c>
    </row>
    <row r="323" spans="1:12" ht="97.5" customHeight="1">
      <c r="A323" s="106" t="str">
        <f>B08_Assessment!$B$2</f>
        <v>08</v>
      </c>
      <c r="B323" s="106" t="str">
        <f t="shared" si="39"/>
        <v>B07_Assessment</v>
      </c>
      <c r="C323" s="106" t="str">
        <f>B08_Assessment!$A$65</f>
        <v>B08-Q3</v>
      </c>
      <c r="D323" s="142" t="str">
        <f>B08_Assessment!$B$65</f>
        <v>Is B12B truly a TE/equipment location or only a cabling pathway/service area?</v>
      </c>
      <c r="E323" s="142" t="str">
        <f>B08_Assessment!$C$65</f>
        <v>VA / Designer / Contractor</v>
      </c>
      <c r="F323" s="106" t="str">
        <f>B08_Assessment!$D$65</f>
        <v>Closed</v>
      </c>
      <c r="G323" s="106">
        <f>B08_Assessment!$E$65</f>
        <v>0</v>
      </c>
      <c r="H323" s="106">
        <f>B08_Assessment!$F$65</f>
        <v>0</v>
      </c>
      <c r="I323" s="106" t="str">
        <f>B08_Assessment!$G$65</f>
        <v>Scope ambiguity</v>
      </c>
      <c r="J323" s="106">
        <f>B08_Assessment!$H$65</f>
        <v>0</v>
      </c>
      <c r="K323" s="106">
        <f>B08_Assessment!$I$65</f>
        <v>0</v>
      </c>
      <c r="L323" s="106">
        <f>B08_Assessment!$J$65</f>
        <v>0</v>
      </c>
    </row>
    <row r="324" spans="1:12" ht="97.5" customHeight="1">
      <c r="A324" s="106" t="str">
        <f>B08_Assessment!$B$2</f>
        <v>08</v>
      </c>
      <c r="B324" s="106" t="str">
        <f t="shared" si="39"/>
        <v>B07_Assessment</v>
      </c>
      <c r="C324" s="106" t="str">
        <f>B08_Assessment!$A$66</f>
        <v>B08-Q4</v>
      </c>
      <c r="D324" s="142" t="str">
        <f>B08_Assessment!$B$66</f>
        <v>Is IU-2-01/CU-2-01 dedicated to TR 2065A and on emergency/backup power?</v>
      </c>
      <c r="E324" s="142" t="str">
        <f>B08_Assessment!$C$66</f>
        <v>Mechanical / Electrical / VA</v>
      </c>
      <c r="F324" s="106" t="str">
        <f>B08_Assessment!$D$66</f>
        <v>Closed</v>
      </c>
      <c r="G324" s="106">
        <f>B08_Assessment!$E$66</f>
        <v>0</v>
      </c>
      <c r="H324" s="106">
        <f>B08_Assessment!$F$66</f>
        <v>0</v>
      </c>
      <c r="I324" s="106" t="str">
        <f>B08_Assessment!$G$66</f>
        <v>Cooling continuity unclear</v>
      </c>
      <c r="J324" s="106">
        <f>B08_Assessment!$H$66</f>
        <v>0</v>
      </c>
      <c r="K324" s="106">
        <f>B08_Assessment!$I$66</f>
        <v>0</v>
      </c>
      <c r="L324" s="106">
        <f>B08_Assessment!$J$66</f>
        <v>0</v>
      </c>
    </row>
    <row r="325" spans="1:12" ht="97.5" customHeight="1">
      <c r="A325" s="106" t="str">
        <f>B08_Assessment!$B$2</f>
        <v>08</v>
      </c>
      <c r="B325" s="106" t="str">
        <f t="shared" si="39"/>
        <v>B07_Assessment</v>
      </c>
      <c r="C325" s="106" t="str">
        <f>B08_Assessment!$A$67</f>
        <v>B08-Q5</v>
      </c>
      <c r="D325" s="142" t="str">
        <f>B08_Assessment!$B$67</f>
        <v>Where are clean-agent/CO2 extinguisher cabinets located within 75 ft of each TR/TE?</v>
      </c>
      <c r="E325" s="142" t="str">
        <f>B08_Assessment!$C$67</f>
        <v>GC / COR</v>
      </c>
      <c r="F325" s="106" t="str">
        <f>B08_Assessment!$D$67</f>
        <v>Closed</v>
      </c>
      <c r="G325" s="106">
        <f>B08_Assessment!$E$67</f>
        <v>0</v>
      </c>
      <c r="H325" s="106">
        <f>B08_Assessment!$F$67</f>
        <v>0</v>
      </c>
      <c r="I325" s="106" t="str">
        <f>B08_Assessment!$G$67</f>
        <v>Life safety acceptance risk</v>
      </c>
      <c r="J325" s="106">
        <f>B08_Assessment!$H$67</f>
        <v>0</v>
      </c>
      <c r="K325" s="106">
        <f>B08_Assessment!$I$67</f>
        <v>0</v>
      </c>
      <c r="L325" s="106">
        <f>B08_Assessment!$J$67</f>
        <v>0</v>
      </c>
    </row>
    <row r="326" spans="1:12" ht="97.5" customHeight="1">
      <c r="A326" s="106" t="str">
        <f>B08_Assessment!$B$2</f>
        <v>08</v>
      </c>
      <c r="B326" s="106" t="str">
        <f t="shared" ref="B326:B333" si="40">"B08_Assessment"</f>
        <v>B08_Assessment</v>
      </c>
      <c r="C326" s="106" t="str">
        <f>B08_Assessment!$A$68</f>
        <v>B08-Q6</v>
      </c>
      <c r="D326" s="142" t="str">
        <f>B08_Assessment!$B$68</f>
        <v>Are all B08 panelboard sources, circuits, SPDs, rack receptacles and load measurements approved?</v>
      </c>
      <c r="E326" s="142" t="str">
        <f>B08_Assessment!$C$68</f>
        <v>Electrical / Designer</v>
      </c>
      <c r="F326" s="106" t="str">
        <f>B08_Assessment!$D$68</f>
        <v>Closed</v>
      </c>
      <c r="G326" s="106">
        <f>B08_Assessment!$E$68</f>
        <v>0</v>
      </c>
      <c r="H326" s="106">
        <f>B08_Assessment!$F$68</f>
        <v>0</v>
      </c>
      <c r="I326" s="106" t="str">
        <f>B08_Assessment!$G$68</f>
        <v>Electrical readiness unknown</v>
      </c>
      <c r="J326" s="106">
        <f>B08_Assessment!$H$68</f>
        <v>0</v>
      </c>
      <c r="K326" s="106">
        <f>B08_Assessment!$I$68</f>
        <v>0</v>
      </c>
      <c r="L326" s="106">
        <f>B08_Assessment!$J$68</f>
        <v>0</v>
      </c>
    </row>
    <row r="327" spans="1:12" ht="97.5" customHeight="1">
      <c r="A327" s="106" t="str">
        <f>B08_Assessment!$B$2</f>
        <v>08</v>
      </c>
      <c r="B327" s="106" t="str">
        <f t="shared" si="40"/>
        <v>B08_Assessment</v>
      </c>
      <c r="C327" s="106" t="str">
        <f>B08_Assessment!$A$69</f>
        <v>B08-Q7</v>
      </c>
      <c r="D327" s="142" t="str">
        <f>B08_Assessment!$B$69</f>
        <v>Are all rated wall/floor penetrations, sleeves and firestopping identified?</v>
      </c>
      <c r="E327" s="142" t="str">
        <f>B08_Assessment!$C$69</f>
        <v>GC / Firestop</v>
      </c>
      <c r="F327" s="106" t="str">
        <f>B08_Assessment!$D$69</f>
        <v>Closed</v>
      </c>
      <c r="G327" s="106">
        <f>B08_Assessment!$E$69</f>
        <v>0</v>
      </c>
      <c r="H327" s="106">
        <f>B08_Assessment!$F$69</f>
        <v>0</v>
      </c>
      <c r="I327" s="106" t="str">
        <f>B08_Assessment!$G$69</f>
        <v>Fire/smoke spread risk</v>
      </c>
      <c r="J327" s="106">
        <f>B08_Assessment!$H$69</f>
        <v>0</v>
      </c>
      <c r="K327" s="106">
        <f>B08_Assessment!$I$69</f>
        <v>0</v>
      </c>
      <c r="L327" s="106">
        <f>B08_Assessment!$J$69</f>
        <v>0</v>
      </c>
    </row>
    <row r="328" spans="1:12" ht="97.5" customHeight="1">
      <c r="A328" s="106" t="str">
        <f>B08_Assessment!$B$2</f>
        <v>08</v>
      </c>
      <c r="B328" s="106" t="str">
        <f t="shared" si="40"/>
        <v>B08_Assessment</v>
      </c>
      <c r="C328" s="106" t="str">
        <f>B08_Assessment!$A$70</f>
        <v>B08-Q8</v>
      </c>
      <c r="D328" s="142" t="str">
        <f>B08_Assessment!$B$70</f>
        <v>Which hazardous material/abatement steps apply to Level 2 floor penetrations and flooring removal?</v>
      </c>
      <c r="E328" s="142" t="str">
        <f>B08_Assessment!$C$70</f>
        <v>GC / IH / COR</v>
      </c>
      <c r="F328" s="106" t="str">
        <f>B08_Assessment!$D$70</f>
        <v>Closed</v>
      </c>
      <c r="G328" s="106">
        <f>B08_Assessment!$E$70</f>
        <v>0</v>
      </c>
      <c r="H328" s="106">
        <f>B08_Assessment!$F$70</f>
        <v>0</v>
      </c>
      <c r="I328" s="106" t="str">
        <f>B08_Assessment!$G$70</f>
        <v>Work delay or exposure risk</v>
      </c>
      <c r="J328" s="106">
        <f>B08_Assessment!$H$70</f>
        <v>0</v>
      </c>
      <c r="K328" s="106">
        <f>B08_Assessment!$I$70</f>
        <v>0</v>
      </c>
      <c r="L328" s="106">
        <f>B08_Assessment!$J$70</f>
        <v>0</v>
      </c>
    </row>
    <row r="329" spans="1:12" ht="97.5" customHeight="1">
      <c r="A329" s="106" t="str">
        <f>B09_Assessment!$B$2</f>
        <v>09</v>
      </c>
      <c r="B329" s="106" t="str">
        <f t="shared" si="40"/>
        <v>B08_Assessment</v>
      </c>
      <c r="C329" s="106" t="str">
        <f>B09_Assessment!$A$63</f>
        <v>B09-Q1</v>
      </c>
      <c r="D329" s="142" t="str">
        <f>B09_Assessment!$B$63</f>
        <v>Confirm final TR scope: B01 basement, 104B first level, and 206A second level?</v>
      </c>
      <c r="E329" s="142" t="str">
        <f>B09_Assessment!$C$63</f>
        <v>VA / OIT / Designer</v>
      </c>
      <c r="F329" s="106" t="str">
        <f>B09_Assessment!$D$63</f>
        <v>Closed</v>
      </c>
      <c r="G329" s="106">
        <f>B09_Assessment!$E$63</f>
        <v>0</v>
      </c>
      <c r="H329" s="106">
        <f>B09_Assessment!$F$63</f>
        <v>0</v>
      </c>
      <c r="I329" s="106" t="str">
        <f>B09_Assessment!$G$63</f>
        <v>Room inventory may miss scope</v>
      </c>
      <c r="J329" s="106">
        <f>B09_Assessment!$H$63</f>
        <v>0</v>
      </c>
      <c r="K329" s="106">
        <f>B09_Assessment!$I$63</f>
        <v>0</v>
      </c>
      <c r="L329" s="106">
        <f>B09_Assessment!$J$63</f>
        <v>0</v>
      </c>
    </row>
    <row r="330" spans="1:12" ht="97.5" customHeight="1">
      <c r="A330" s="106" t="str">
        <f>B09_Assessment!$B$2</f>
        <v>09</v>
      </c>
      <c r="B330" s="106" t="str">
        <f t="shared" si="40"/>
        <v>B08_Assessment</v>
      </c>
      <c r="C330" s="106" t="str">
        <f>B09_Assessment!$A$64</f>
        <v>B09-Q2</v>
      </c>
      <c r="D330" s="142" t="str">
        <f>B09_Assessment!$B$64</f>
        <v>What active services are currently fed from B01 existing equipment/security/network devices?</v>
      </c>
      <c r="E330" s="142" t="str">
        <f>B09_Assessment!$C$64</f>
        <v>OIT / Contractor</v>
      </c>
      <c r="F330" s="106" t="str">
        <f>B09_Assessment!$D$64</f>
        <v>Closed</v>
      </c>
      <c r="G330" s="106">
        <f>B09_Assessment!$E$64</f>
        <v>0</v>
      </c>
      <c r="H330" s="106">
        <f>B09_Assessment!$F$64</f>
        <v>0</v>
      </c>
      <c r="I330" s="106" t="str">
        <f>B09_Assessment!$G$64</f>
        <v>Potential communications/security outage</v>
      </c>
      <c r="J330" s="106">
        <f>B09_Assessment!$H$64</f>
        <v>0</v>
      </c>
      <c r="K330" s="106">
        <f>B09_Assessment!$I$64</f>
        <v>0</v>
      </c>
      <c r="L330" s="106">
        <f>B09_Assessment!$J$64</f>
        <v>0</v>
      </c>
    </row>
    <row r="331" spans="1:12" ht="97.5" customHeight="1">
      <c r="A331" s="106" t="str">
        <f>B09_Assessment!$B$2</f>
        <v>09</v>
      </c>
      <c r="B331" s="106" t="str">
        <f t="shared" si="40"/>
        <v>B08_Assessment</v>
      </c>
      <c r="C331" s="106" t="str">
        <f>B09_Assessment!$A$65</f>
        <v>B09-Q3</v>
      </c>
      <c r="D331" s="142" t="str">
        <f>B09_Assessment!$B$65</f>
        <v>What hazardous/abatement steps apply to B01, 104B and 206A work areas?</v>
      </c>
      <c r="E331" s="142" t="str">
        <f>B09_Assessment!$C$65</f>
        <v>GC / IH / COR</v>
      </c>
      <c r="F331" s="106" t="str">
        <f>B09_Assessment!$D$65</f>
        <v>Closed</v>
      </c>
      <c r="G331" s="106">
        <f>B09_Assessment!$E$65</f>
        <v>0</v>
      </c>
      <c r="H331" s="106">
        <f>B09_Assessment!$F$65</f>
        <v>0</v>
      </c>
      <c r="I331" s="106" t="str">
        <f>B09_Assessment!$G$65</f>
        <v>Work delay or exposure risk</v>
      </c>
      <c r="J331" s="106">
        <f>B09_Assessment!$H$65</f>
        <v>0</v>
      </c>
      <c r="K331" s="106">
        <f>B09_Assessment!$I$65</f>
        <v>0</v>
      </c>
      <c r="L331" s="106">
        <f>B09_Assessment!$J$65</f>
        <v>0</v>
      </c>
    </row>
    <row r="332" spans="1:12" ht="97.5" customHeight="1">
      <c r="A332" s="106" t="str">
        <f>B09_Assessment!$B$2</f>
        <v>09</v>
      </c>
      <c r="B332" s="106" t="str">
        <f t="shared" si="40"/>
        <v>B08_Assessment</v>
      </c>
      <c r="C332" s="106" t="str">
        <f>B09_Assessment!$A$66</f>
        <v>B09-Q4</v>
      </c>
      <c r="D332" s="142" t="str">
        <f>B09_Assessment!$B$66</f>
        <v>Are IU-0-01/CU-0-1, IU-1-01/CU-1-1 and IU-2-01/CU-2-1 on emergency/backup power?</v>
      </c>
      <c r="E332" s="142" t="str">
        <f>B09_Assessment!$C$66</f>
        <v>Mechanical / Electrical / VA</v>
      </c>
      <c r="F332" s="106" t="str">
        <f>B09_Assessment!$D$66</f>
        <v>Closed</v>
      </c>
      <c r="G332" s="106">
        <f>B09_Assessment!$E$66</f>
        <v>0</v>
      </c>
      <c r="H332" s="106">
        <f>B09_Assessment!$F$66</f>
        <v>0</v>
      </c>
      <c r="I332" s="106" t="str">
        <f>B09_Assessment!$G$66</f>
        <v>Cooling continuity unclear</v>
      </c>
      <c r="J332" s="106">
        <f>B09_Assessment!$H$66</f>
        <v>0</v>
      </c>
      <c r="K332" s="106">
        <f>B09_Assessment!$I$66</f>
        <v>0</v>
      </c>
      <c r="L332" s="106">
        <f>B09_Assessment!$J$66</f>
        <v>0</v>
      </c>
    </row>
    <row r="333" spans="1:12" ht="97.5" customHeight="1">
      <c r="A333" s="106" t="str">
        <f>B09_Assessment!$B$2</f>
        <v>09</v>
      </c>
      <c r="B333" s="106" t="str">
        <f t="shared" si="40"/>
        <v>B08_Assessment</v>
      </c>
      <c r="C333" s="106" t="str">
        <f>B09_Assessment!$A$67</f>
        <v>B09-Q5</v>
      </c>
      <c r="D333" s="142" t="str">
        <f>B09_Assessment!$B$67</f>
        <v>Where are clean-agent/CO2 extinguisher cabinets located within 75 ft of each TR?</v>
      </c>
      <c r="E333" s="142" t="str">
        <f>B09_Assessment!$C$67</f>
        <v>GC / COR</v>
      </c>
      <c r="F333" s="106" t="str">
        <f>B09_Assessment!$D$67</f>
        <v>Closed</v>
      </c>
      <c r="G333" s="106">
        <f>B09_Assessment!$E$67</f>
        <v>0</v>
      </c>
      <c r="H333" s="106">
        <f>B09_Assessment!$F$67</f>
        <v>0</v>
      </c>
      <c r="I333" s="106" t="str">
        <f>B09_Assessment!$G$67</f>
        <v>Life safety acceptance risk</v>
      </c>
      <c r="J333" s="106">
        <f>B09_Assessment!$H$67</f>
        <v>0</v>
      </c>
      <c r="K333" s="106">
        <f>B09_Assessment!$I$67</f>
        <v>0</v>
      </c>
      <c r="L333" s="106">
        <f>B09_Assessment!$J$67</f>
        <v>0</v>
      </c>
    </row>
    <row r="334" spans="1:12" ht="97.5" customHeight="1">
      <c r="A334" s="106" t="str">
        <f>B09_Assessment!$B$2</f>
        <v>09</v>
      </c>
      <c r="B334" s="106" t="str">
        <f t="shared" ref="B334:B341" si="41">"B09_Assessment"</f>
        <v>B09_Assessment</v>
      </c>
      <c r="C334" s="106" t="str">
        <f>B09_Assessment!$A$68</f>
        <v>B09-Q6</v>
      </c>
      <c r="D334" s="142" t="str">
        <f>B09_Assessment!$B$68</f>
        <v>Are all B09 panelboard sources, circuits, SPDs, rack receptacles and load measurements approved?</v>
      </c>
      <c r="E334" s="142" t="str">
        <f>B09_Assessment!$C$68</f>
        <v>Electrical / Designer</v>
      </c>
      <c r="F334" s="106" t="str">
        <f>B09_Assessment!$D$68</f>
        <v>Closed</v>
      </c>
      <c r="G334" s="106">
        <f>B09_Assessment!$E$68</f>
        <v>0</v>
      </c>
      <c r="H334" s="106">
        <f>B09_Assessment!$F$68</f>
        <v>0</v>
      </c>
      <c r="I334" s="106" t="str">
        <f>B09_Assessment!$G$68</f>
        <v>Electrical readiness unknown</v>
      </c>
      <c r="J334" s="106">
        <f>B09_Assessment!$H$68</f>
        <v>0</v>
      </c>
      <c r="K334" s="106">
        <f>B09_Assessment!$I$68</f>
        <v>0</v>
      </c>
      <c r="L334" s="106">
        <f>B09_Assessment!$J$68</f>
        <v>0</v>
      </c>
    </row>
    <row r="335" spans="1:12" ht="97.5" customHeight="1">
      <c r="A335" s="106" t="str">
        <f>B09_Assessment!$B$2</f>
        <v>09</v>
      </c>
      <c r="B335" s="106" t="str">
        <f t="shared" si="41"/>
        <v>B09_Assessment</v>
      </c>
      <c r="C335" s="106" t="str">
        <f>B09_Assessment!$A$69</f>
        <v>B09-Q7</v>
      </c>
      <c r="D335" s="142" t="str">
        <f>B09_Assessment!$B$69</f>
        <v>Are all rated wall/floor penetrations, sleeves and firestopping identified?</v>
      </c>
      <c r="E335" s="142" t="str">
        <f>B09_Assessment!$C$69</f>
        <v>GC / Firestop</v>
      </c>
      <c r="F335" s="106" t="str">
        <f>B09_Assessment!$D$69</f>
        <v>Closed</v>
      </c>
      <c r="G335" s="106">
        <f>B09_Assessment!$E$69</f>
        <v>0</v>
      </c>
      <c r="H335" s="106">
        <f>B09_Assessment!$F$69</f>
        <v>0</v>
      </c>
      <c r="I335" s="106" t="str">
        <f>B09_Assessment!$G$69</f>
        <v>Fire/smoke spread risk</v>
      </c>
      <c r="J335" s="106">
        <f>B09_Assessment!$H$69</f>
        <v>0</v>
      </c>
      <c r="K335" s="106">
        <f>B09_Assessment!$I$69</f>
        <v>0</v>
      </c>
      <c r="L335" s="106">
        <f>B09_Assessment!$J$69</f>
        <v>0</v>
      </c>
    </row>
    <row r="336" spans="1:12" ht="97.5" customHeight="1">
      <c r="A336" s="106" t="str">
        <f>B09_Assessment!$B$2</f>
        <v>09</v>
      </c>
      <c r="B336" s="106" t="str">
        <f t="shared" si="41"/>
        <v>B09_Assessment</v>
      </c>
      <c r="C336" s="106" t="str">
        <f>B09_Assessment!$A$70</f>
        <v>B09-Q8</v>
      </c>
      <c r="D336" s="142" t="str">
        <f>B09_Assessment!$B$70</f>
        <v>Which third-party inspections and commissioning forms are required before VA acceptance?</v>
      </c>
      <c r="E336" s="142" t="str">
        <f>B09_Assessment!$C$70</f>
        <v>GC / Cx Manager</v>
      </c>
      <c r="F336" s="106" t="str">
        <f>B09_Assessment!$D$70</f>
        <v>Closed</v>
      </c>
      <c r="G336" s="106">
        <f>B09_Assessment!$E$70</f>
        <v>0</v>
      </c>
      <c r="H336" s="106">
        <f>B09_Assessment!$F$70</f>
        <v>0</v>
      </c>
      <c r="I336" s="106" t="str">
        <f>B09_Assessment!$G$70</f>
        <v>Turnover package gap</v>
      </c>
      <c r="J336" s="106">
        <f>B09_Assessment!$H$70</f>
        <v>0</v>
      </c>
      <c r="K336" s="106">
        <f>B09_Assessment!$I$70</f>
        <v>0</v>
      </c>
      <c r="L336" s="106">
        <f>B09_Assessment!$J$70</f>
        <v>0</v>
      </c>
    </row>
    <row r="337" spans="1:12" ht="97.5" customHeight="1">
      <c r="A337" s="106" t="str">
        <f>B10_Assessment!$B$2</f>
        <v>10</v>
      </c>
      <c r="B337" s="106" t="str">
        <f t="shared" si="41"/>
        <v>B09_Assessment</v>
      </c>
      <c r="C337" s="106" t="str">
        <f>B10_Assessment!$A$63</f>
        <v>B10-Q1</v>
      </c>
      <c r="D337" s="142" t="str">
        <f>B10_Assessment!$B$63</f>
        <v>Confirm final scope: attic Telecom Room 200A only, with basement electrical source coordination in B24/B25?</v>
      </c>
      <c r="E337" s="142" t="str">
        <f>B10_Assessment!$C$63</f>
        <v>VA / OIT / Designer</v>
      </c>
      <c r="F337" s="106" t="str">
        <f>B10_Assessment!$D$63</f>
        <v>Closed</v>
      </c>
      <c r="G337" s="106">
        <f>B10_Assessment!$E$63</f>
        <v>0</v>
      </c>
      <c r="H337" s="106">
        <f>B10_Assessment!$F$63</f>
        <v>0</v>
      </c>
      <c r="I337" s="106" t="str">
        <f>B10_Assessment!$G$63</f>
        <v>Room inventory could miss scope</v>
      </c>
      <c r="J337" s="106">
        <f>B10_Assessment!$H$63</f>
        <v>0</v>
      </c>
      <c r="K337" s="106">
        <f>B10_Assessment!$I$63</f>
        <v>0</v>
      </c>
      <c r="L337" s="106">
        <f>B10_Assessment!$J$63</f>
        <v>0</v>
      </c>
    </row>
    <row r="338" spans="1:12" ht="97.5" customHeight="1">
      <c r="A338" s="106" t="str">
        <f>B10_Assessment!$B$2</f>
        <v>10</v>
      </c>
      <c r="B338" s="106" t="str">
        <f t="shared" si="41"/>
        <v>B09_Assessment</v>
      </c>
      <c r="C338" s="106" t="str">
        <f>B10_Assessment!$A$64</f>
        <v>B10-Q2</v>
      </c>
      <c r="D338" s="142" t="str">
        <f>B10_Assessment!$B$64</f>
        <v>What active services are currently fed from the existing wall-mounted rack/equipment in Room 200A?</v>
      </c>
      <c r="E338" s="142" t="str">
        <f>B10_Assessment!$C$64</f>
        <v>OIT / Contractor</v>
      </c>
      <c r="F338" s="106" t="str">
        <f>B10_Assessment!$D$64</f>
        <v>Closed</v>
      </c>
      <c r="G338" s="106">
        <f>B10_Assessment!$E$64</f>
        <v>0</v>
      </c>
      <c r="H338" s="106">
        <f>B10_Assessment!$F$64</f>
        <v>0</v>
      </c>
      <c r="I338" s="106" t="str">
        <f>B10_Assessment!$G$64</f>
        <v>Potential communications outage</v>
      </c>
      <c r="J338" s="106">
        <f>B10_Assessment!$H$64</f>
        <v>0</v>
      </c>
      <c r="K338" s="106">
        <f>B10_Assessment!$I$64</f>
        <v>0</v>
      </c>
      <c r="L338" s="106">
        <f>B10_Assessment!$J$64</f>
        <v>0</v>
      </c>
    </row>
    <row r="339" spans="1:12" ht="97.5" customHeight="1">
      <c r="A339" s="106" t="str">
        <f>B10_Assessment!$B$2</f>
        <v>10</v>
      </c>
      <c r="B339" s="106" t="str">
        <f t="shared" si="41"/>
        <v>B09_Assessment</v>
      </c>
      <c r="C339" s="106" t="str">
        <f>B10_Assessment!$A$65</f>
        <v>B10-Q3</v>
      </c>
      <c r="D339" s="142" t="str">
        <f>B10_Assessment!$B$65</f>
        <v>What attic hazardous material/abatement steps apply before cabling, penetrations, HVAC or electrical work?</v>
      </c>
      <c r="E339" s="142" t="str">
        <f>B10_Assessment!$C$65</f>
        <v>GC / IH / COR</v>
      </c>
      <c r="F339" s="106" t="str">
        <f>B10_Assessment!$D$65</f>
        <v>Closed</v>
      </c>
      <c r="G339" s="106">
        <f>B10_Assessment!$E$65</f>
        <v>0</v>
      </c>
      <c r="H339" s="106">
        <f>B10_Assessment!$F$65</f>
        <v>0</v>
      </c>
      <c r="I339" s="106" t="str">
        <f>B10_Assessment!$G$65</f>
        <v>Work delay/exposure risk</v>
      </c>
      <c r="J339" s="106">
        <f>B10_Assessment!$H$65</f>
        <v>0</v>
      </c>
      <c r="K339" s="106">
        <f>B10_Assessment!$I$65</f>
        <v>0</v>
      </c>
      <c r="L339" s="106">
        <f>B10_Assessment!$J$65</f>
        <v>0</v>
      </c>
    </row>
    <row r="340" spans="1:12" ht="97.5" customHeight="1">
      <c r="A340" s="106" t="str">
        <f>B10_Assessment!$B$2</f>
        <v>10</v>
      </c>
      <c r="B340" s="106" t="str">
        <f t="shared" si="41"/>
        <v>B09_Assessment</v>
      </c>
      <c r="C340" s="106" t="str">
        <f>B10_Assessment!$A$66</f>
        <v>B10-Q4</v>
      </c>
      <c r="D340" s="142" t="str">
        <f>B10_Assessment!$B$66</f>
        <v>Is IU-1-01/CU-1-01 on emergency/backup power and does it serve Room 200A only?</v>
      </c>
      <c r="E340" s="142" t="str">
        <f>B10_Assessment!$C$66</f>
        <v>Mechanical / Electrical / VA</v>
      </c>
      <c r="F340" s="106" t="str">
        <f>B10_Assessment!$D$66</f>
        <v>Closed</v>
      </c>
      <c r="G340" s="106">
        <f>B10_Assessment!$E$66</f>
        <v>0</v>
      </c>
      <c r="H340" s="106">
        <f>B10_Assessment!$F$66</f>
        <v>0</v>
      </c>
      <c r="I340" s="106" t="str">
        <f>B10_Assessment!$G$66</f>
        <v>Cooling continuity unclear</v>
      </c>
      <c r="J340" s="106">
        <f>B10_Assessment!$H$66</f>
        <v>0</v>
      </c>
      <c r="K340" s="106">
        <f>B10_Assessment!$I$66</f>
        <v>0</v>
      </c>
      <c r="L340" s="106">
        <f>B10_Assessment!$J$66</f>
        <v>0</v>
      </c>
    </row>
    <row r="341" spans="1:12" ht="97.5" customHeight="1">
      <c r="A341" s="106" t="str">
        <f>B10_Assessment!$B$2</f>
        <v>10</v>
      </c>
      <c r="B341" s="106" t="str">
        <f t="shared" si="41"/>
        <v>B09_Assessment</v>
      </c>
      <c r="C341" s="106" t="str">
        <f>B10_Assessment!$A$67</f>
        <v>B10-Q5</v>
      </c>
      <c r="D341" s="142" t="str">
        <f>B10_Assessment!$B$67</f>
        <v>Where is the clean-agent/CO2 extinguisher cabinet located within 75 ft of Room 200A?</v>
      </c>
      <c r="E341" s="142" t="str">
        <f>B10_Assessment!$C$67</f>
        <v>GC / COR</v>
      </c>
      <c r="F341" s="106" t="str">
        <f>B10_Assessment!$D$67</f>
        <v>Closed</v>
      </c>
      <c r="G341" s="106">
        <f>B10_Assessment!$E$67</f>
        <v>0</v>
      </c>
      <c r="H341" s="106">
        <f>B10_Assessment!$F$67</f>
        <v>0</v>
      </c>
      <c r="I341" s="106" t="str">
        <f>B10_Assessment!$G$67</f>
        <v>Life-safety acceptance risk</v>
      </c>
      <c r="J341" s="106">
        <f>B10_Assessment!$H$67</f>
        <v>0</v>
      </c>
      <c r="K341" s="106">
        <f>B10_Assessment!$I$67</f>
        <v>0</v>
      </c>
      <c r="L341" s="106">
        <f>B10_Assessment!$J$67</f>
        <v>0</v>
      </c>
    </row>
    <row r="342" spans="1:12" ht="97.5" customHeight="1">
      <c r="A342" s="106" t="str">
        <f>B10_Assessment!$B$2</f>
        <v>10</v>
      </c>
      <c r="B342" s="106" t="str">
        <f t="shared" ref="B342:B348" si="42">"B10_Assessment"</f>
        <v>B10_Assessment</v>
      </c>
      <c r="C342" s="106" t="str">
        <f>B10_Assessment!$A$68</f>
        <v>B10-Q6</v>
      </c>
      <c r="D342" s="142" t="str">
        <f>B10_Assessment!$B$68</f>
        <v>Are B10-TR200AA/AB, B10-MDP, B10-L10-E and ATS-B10-LSD source circuits/load measurements approved?</v>
      </c>
      <c r="E342" s="142" t="str">
        <f>B10_Assessment!$C$68</f>
        <v>Electrical / Designer</v>
      </c>
      <c r="F342" s="106" t="str">
        <f>B10_Assessment!$D$68</f>
        <v>Closed</v>
      </c>
      <c r="G342" s="106">
        <f>B10_Assessment!$E$68</f>
        <v>0</v>
      </c>
      <c r="H342" s="106">
        <f>B10_Assessment!$F$68</f>
        <v>0</v>
      </c>
      <c r="I342" s="106" t="str">
        <f>B10_Assessment!$G$68</f>
        <v>Electrical readiness unknown</v>
      </c>
      <c r="J342" s="106">
        <f>B10_Assessment!$H$68</f>
        <v>0</v>
      </c>
      <c r="K342" s="106">
        <f>B10_Assessment!$I$68</f>
        <v>0</v>
      </c>
      <c r="L342" s="106">
        <f>B10_Assessment!$J$68</f>
        <v>0</v>
      </c>
    </row>
    <row r="343" spans="1:12" ht="97.5" customHeight="1">
      <c r="A343" s="106" t="str">
        <f>B10_Assessment!$B$2</f>
        <v>10</v>
      </c>
      <c r="B343" s="106" t="str">
        <f t="shared" si="42"/>
        <v>B10_Assessment</v>
      </c>
      <c r="C343" s="106" t="str">
        <f>B10_Assessment!$A$69</f>
        <v>B10-Q7</v>
      </c>
      <c r="D343" s="142" t="str">
        <f>B10_Assessment!$B$69</f>
        <v>Are all attic wall/floor/ceiling penetrations, sleeves and firestopping details identified?</v>
      </c>
      <c r="E343" s="142" t="str">
        <f>B10_Assessment!$C$69</f>
        <v>GC / Firestop</v>
      </c>
      <c r="F343" s="106" t="str">
        <f>B10_Assessment!$D$69</f>
        <v>Closed</v>
      </c>
      <c r="G343" s="106">
        <f>B10_Assessment!$E$69</f>
        <v>0</v>
      </c>
      <c r="H343" s="106">
        <f>B10_Assessment!$F$69</f>
        <v>0</v>
      </c>
      <c r="I343" s="106" t="str">
        <f>B10_Assessment!$G$69</f>
        <v>Fire/smoke spread risk</v>
      </c>
      <c r="J343" s="106">
        <f>B10_Assessment!$H$69</f>
        <v>0</v>
      </c>
      <c r="K343" s="106">
        <f>B10_Assessment!$I$69</f>
        <v>0</v>
      </c>
      <c r="L343" s="106">
        <f>B10_Assessment!$J$69</f>
        <v>0</v>
      </c>
    </row>
    <row r="344" spans="1:12" ht="97.5" customHeight="1">
      <c r="A344" s="106" t="str">
        <f>B10_Assessment!$B$2</f>
        <v>10</v>
      </c>
      <c r="B344" s="106" t="str">
        <f t="shared" si="42"/>
        <v>B10_Assessment</v>
      </c>
      <c r="C344" s="106" t="str">
        <f>B10_Assessment!$A$70</f>
        <v>B10-Q8</v>
      </c>
      <c r="D344" s="142" t="str">
        <f>B10_Assessment!$B$70</f>
        <v>Which third-party inspections and commissioning forms are required before VA acceptance?</v>
      </c>
      <c r="E344" s="142" t="str">
        <f>B10_Assessment!$C$70</f>
        <v>GC / Cx Manager</v>
      </c>
      <c r="F344" s="106" t="str">
        <f>B10_Assessment!$D$70</f>
        <v>Closed</v>
      </c>
      <c r="G344" s="106">
        <f>B10_Assessment!$E$70</f>
        <v>0</v>
      </c>
      <c r="H344" s="106">
        <f>B10_Assessment!$F$70</f>
        <v>0</v>
      </c>
      <c r="I344" s="106" t="str">
        <f>B10_Assessment!$G$70</f>
        <v>Turnover package gap</v>
      </c>
      <c r="J344" s="106">
        <f>B10_Assessment!$H$70</f>
        <v>0</v>
      </c>
      <c r="K344" s="106">
        <f>B10_Assessment!$I$70</f>
        <v>0</v>
      </c>
      <c r="L344" s="106">
        <f>B10_Assessment!$J$70</f>
        <v>0</v>
      </c>
    </row>
    <row r="345" spans="1:12" ht="97.5" customHeight="1">
      <c r="A345" s="106" t="str">
        <f>B12_Assessment!$B$2</f>
        <v>12</v>
      </c>
      <c r="B345" s="106" t="str">
        <f t="shared" si="42"/>
        <v>B10_Assessment</v>
      </c>
      <c r="C345" s="106" t="str">
        <f>B12_Assessment!$A$54</f>
        <v>B12-Q1</v>
      </c>
      <c r="D345" s="142" t="str">
        <f>B12_Assessment!$B$54</f>
        <v>Confirm Building 12 scope is fiber-only with no new TR, no new rack, no new electrical, HVAC, fire protection, PACS or CCTV work?</v>
      </c>
      <c r="E345" s="142" t="str">
        <f>B12_Assessment!$C$54</f>
        <v>VA / OIT / Designer</v>
      </c>
      <c r="F345" s="106" t="str">
        <f>B12_Assessment!$D$54</f>
        <v>Closed</v>
      </c>
      <c r="G345" s="106">
        <f>B12_Assessment!$E$54</f>
        <v>0</v>
      </c>
      <c r="H345" s="106">
        <f>B12_Assessment!$F$54</f>
        <v>0</v>
      </c>
      <c r="I345" s="106" t="str">
        <f>B12_Assessment!$G$54</f>
        <v>Scope misunderstanding</v>
      </c>
      <c r="J345" s="106">
        <f>B12_Assessment!$H$54</f>
        <v>0</v>
      </c>
      <c r="K345" s="106">
        <f>B12_Assessment!$I$54</f>
        <v>0</v>
      </c>
      <c r="L345" s="106">
        <f>B12_Assessment!$J$54</f>
        <v>0</v>
      </c>
    </row>
    <row r="346" spans="1:12" ht="97.5" customHeight="1">
      <c r="A346" s="106" t="str">
        <f>B12_Assessment!$B$2</f>
        <v>12</v>
      </c>
      <c r="B346" s="106" t="str">
        <f t="shared" si="42"/>
        <v>B10_Assessment</v>
      </c>
      <c r="C346" s="106" t="str">
        <f>B12_Assessment!$A$55</f>
        <v>B12-Q2</v>
      </c>
      <c r="D346" s="142" t="str">
        <f>B12_Assessment!$B$55</f>
        <v>What exact pathway does the Building 12 fiber take through basement, first and second levels?</v>
      </c>
      <c r="E346" s="142" t="str">
        <f>B12_Assessment!$C$55</f>
        <v>Telecom Contractor / OIT</v>
      </c>
      <c r="F346" s="106" t="str">
        <f>B12_Assessment!$D$55</f>
        <v>Closed</v>
      </c>
      <c r="G346" s="106">
        <f>B12_Assessment!$E$55</f>
        <v>0</v>
      </c>
      <c r="H346" s="106">
        <f>B12_Assessment!$F$55</f>
        <v>0</v>
      </c>
      <c r="I346" s="106" t="str">
        <f>B12_Assessment!$G$55</f>
        <v>Fiber pull and access risk</v>
      </c>
      <c r="J346" s="106">
        <f>B12_Assessment!$H$55</f>
        <v>0</v>
      </c>
      <c r="K346" s="106">
        <f>B12_Assessment!$I$55</f>
        <v>0</v>
      </c>
      <c r="L346" s="106">
        <f>B12_Assessment!$J$55</f>
        <v>0</v>
      </c>
    </row>
    <row r="347" spans="1:12" ht="97.5" customHeight="1">
      <c r="A347" s="106" t="str">
        <f>B12_Assessment!$B$2</f>
        <v>12</v>
      </c>
      <c r="B347" s="106" t="str">
        <f t="shared" si="42"/>
        <v>B10_Assessment</v>
      </c>
      <c r="C347" s="106" t="str">
        <f>B12_Assessment!$A$56</f>
        <v>B12-Q3</v>
      </c>
      <c r="D347" s="142" t="str">
        <f>B12_Assessment!$B$56</f>
        <v>Where does the Building 12 fiber terminate, and is the existing rack/demarc/closet to be touched?</v>
      </c>
      <c r="E347" s="142" t="str">
        <f>B12_Assessment!$C$56</f>
        <v>OIT / Contractor</v>
      </c>
      <c r="F347" s="106" t="str">
        <f>B12_Assessment!$D$56</f>
        <v>Closed</v>
      </c>
      <c r="G347" s="106">
        <f>B12_Assessment!$E$56</f>
        <v>0</v>
      </c>
      <c r="H347" s="106">
        <f>B12_Assessment!$F$56</f>
        <v>0</v>
      </c>
      <c r="I347" s="106" t="str">
        <f>B12_Assessment!$G$56</f>
        <v>Termination and ownership unclear</v>
      </c>
      <c r="J347" s="106">
        <f>B12_Assessment!$H$56</f>
        <v>0</v>
      </c>
      <c r="K347" s="106">
        <f>B12_Assessment!$I$56</f>
        <v>0</v>
      </c>
      <c r="L347" s="106">
        <f>B12_Assessment!$J$56</f>
        <v>0</v>
      </c>
    </row>
    <row r="348" spans="1:12" ht="97.5" customHeight="1">
      <c r="A348" s="106" t="str">
        <f>B12_Assessment!$B$2</f>
        <v>12</v>
      </c>
      <c r="B348" s="106" t="str">
        <f t="shared" si="42"/>
        <v>B10_Assessment</v>
      </c>
      <c r="C348" s="106" t="str">
        <f>B12_Assessment!$A$57</f>
        <v>B12-Q4</v>
      </c>
      <c r="D348" s="142" t="str">
        <f>B12_Assessment!$B$57</f>
        <v>Are existing conduits/cable trays available and below fill limits for the new fiber?</v>
      </c>
      <c r="E348" s="142" t="str">
        <f>B12_Assessment!$C$57</f>
        <v>Telecom Contractor</v>
      </c>
      <c r="F348" s="106" t="str">
        <f>B12_Assessment!$D$57</f>
        <v>Closed</v>
      </c>
      <c r="G348" s="106">
        <f>B12_Assessment!$E$57</f>
        <v>0</v>
      </c>
      <c r="H348" s="106">
        <f>B12_Assessment!$F$57</f>
        <v>0</v>
      </c>
      <c r="I348" s="106" t="str">
        <f>B12_Assessment!$G$57</f>
        <v>Pathway capacity risk</v>
      </c>
      <c r="J348" s="106">
        <f>B12_Assessment!$H$57</f>
        <v>0</v>
      </c>
      <c r="K348" s="106">
        <f>B12_Assessment!$I$57</f>
        <v>0</v>
      </c>
      <c r="L348" s="106">
        <f>B12_Assessment!$J$57</f>
        <v>0</v>
      </c>
    </row>
    <row r="349" spans="1:12" ht="97.5" customHeight="1">
      <c r="A349" s="106" t="str">
        <f>B12_Assessment!$B$2</f>
        <v>12</v>
      </c>
      <c r="B349" s="106" t="str">
        <f t="shared" ref="B349:B356" si="43">"B12_Assessment"</f>
        <v>B12_Assessment</v>
      </c>
      <c r="C349" s="106" t="str">
        <f>B12_Assessment!$A$58</f>
        <v>B12-Q5</v>
      </c>
      <c r="D349" s="142" t="str">
        <f>B12_Assessment!$B$58</f>
        <v>Are there any floor/rated wall penetrations requiring firestop or temporary firestop during cable pull?</v>
      </c>
      <c r="E349" s="142" t="str">
        <f>B12_Assessment!$C$58</f>
        <v>GC / Firestop</v>
      </c>
      <c r="F349" s="106" t="str">
        <f>B12_Assessment!$D$58</f>
        <v>Closed</v>
      </c>
      <c r="G349" s="106">
        <f>B12_Assessment!$E$58</f>
        <v>0</v>
      </c>
      <c r="H349" s="106">
        <f>B12_Assessment!$F$58</f>
        <v>0</v>
      </c>
      <c r="I349" s="106" t="str">
        <f>B12_Assessment!$G$58</f>
        <v>Life safety/firestop risk</v>
      </c>
      <c r="J349" s="106">
        <f>B12_Assessment!$H$58</f>
        <v>0</v>
      </c>
      <c r="K349" s="106">
        <f>B12_Assessment!$I$58</f>
        <v>0</v>
      </c>
      <c r="L349" s="106">
        <f>B12_Assessment!$J$58</f>
        <v>0</v>
      </c>
    </row>
    <row r="350" spans="1:12" ht="97.5" customHeight="1">
      <c r="A350" s="106" t="str">
        <f>B12_Assessment!$B$2</f>
        <v>12</v>
      </c>
      <c r="B350" s="106" t="str">
        <f t="shared" si="43"/>
        <v>B12_Assessment</v>
      </c>
      <c r="C350" s="106" t="str">
        <f>B12_Assessment!$A$59</f>
        <v>B12-Q6</v>
      </c>
      <c r="D350" s="142" t="str">
        <f>B12_Assessment!$B$59</f>
        <v>What is the approved cutover/testing/acceptance sequence for Building 12 fiber?</v>
      </c>
      <c r="E350" s="142" t="str">
        <f>B12_Assessment!$C$59</f>
        <v>OIT / COR / Contractor</v>
      </c>
      <c r="F350" s="106" t="str">
        <f>B12_Assessment!$D$59</f>
        <v>Closed</v>
      </c>
      <c r="G350" s="106">
        <f>B12_Assessment!$E$59</f>
        <v>0</v>
      </c>
      <c r="H350" s="106">
        <f>B12_Assessment!$F$59</f>
        <v>0</v>
      </c>
      <c r="I350" s="106" t="str">
        <f>B12_Assessment!$G$59</f>
        <v>Possible outage or acceptance delay</v>
      </c>
      <c r="J350" s="106">
        <f>B12_Assessment!$H$59</f>
        <v>0</v>
      </c>
      <c r="K350" s="106">
        <f>B12_Assessment!$I$59</f>
        <v>0</v>
      </c>
      <c r="L350" s="106">
        <f>B12_Assessment!$J$59</f>
        <v>0</v>
      </c>
    </row>
    <row r="351" spans="1:12" ht="97.5" customHeight="1">
      <c r="A351" s="106" t="str">
        <f>B12_Assessment!$B$2</f>
        <v>12</v>
      </c>
      <c r="B351" s="106" t="str">
        <f t="shared" si="43"/>
        <v>B12_Assessment</v>
      </c>
      <c r="C351" s="106" t="str">
        <f>B12_Assessment!$A$60</f>
        <v>B12-Q7</v>
      </c>
      <c r="D351" s="142" t="str">
        <f>B12_Assessment!$B$60</f>
        <v>Which fiber test reports, labels, route documentation and as-builts are required for closeout?</v>
      </c>
      <c r="E351" s="142" t="str">
        <f>B12_Assessment!$C$60</f>
        <v>Telecom / GCC</v>
      </c>
      <c r="F351" s="106" t="str">
        <f>B12_Assessment!$D$60</f>
        <v>Closed</v>
      </c>
      <c r="G351" s="106">
        <f>B12_Assessment!$E$60</f>
        <v>0</v>
      </c>
      <c r="H351" s="106">
        <f>B12_Assessment!$F$60</f>
        <v>0</v>
      </c>
      <c r="I351" s="106" t="str">
        <f>B12_Assessment!$G$60</f>
        <v>Closeout documentation gap</v>
      </c>
      <c r="J351" s="106">
        <f>B12_Assessment!$H$60</f>
        <v>0</v>
      </c>
      <c r="K351" s="106">
        <f>B12_Assessment!$I$60</f>
        <v>0</v>
      </c>
      <c r="L351" s="106">
        <f>B12_Assessment!$J$60</f>
        <v>0</v>
      </c>
    </row>
    <row r="352" spans="1:12" ht="97.5" customHeight="1">
      <c r="A352" s="106" t="str">
        <f>B13_Assessment!$B$2</f>
        <v>13</v>
      </c>
      <c r="B352" s="106" t="str">
        <f t="shared" si="43"/>
        <v>B12_Assessment</v>
      </c>
      <c r="C352" s="106" t="str">
        <f>B13_Assessment!$A$56</f>
        <v>B13-Q1</v>
      </c>
      <c r="D352" s="142" t="str">
        <f>B13_Assessment!$B$56</f>
        <v>Confirm final telecom scope: new Room 124 and existing Tel Room 222 transition only?</v>
      </c>
      <c r="E352" s="142" t="str">
        <f>B13_Assessment!$C$56</f>
        <v>VA / OIT / Designer</v>
      </c>
      <c r="F352" s="106" t="str">
        <f>B13_Assessment!$D$56</f>
        <v>Closed</v>
      </c>
      <c r="G352" s="106">
        <f>B13_Assessment!$E$56</f>
        <v>0</v>
      </c>
      <c r="H352" s="106">
        <f>B13_Assessment!$F$56</f>
        <v>0</v>
      </c>
      <c r="I352" s="106" t="str">
        <f>B13_Assessment!$G$56</f>
        <v>Room inventory could miss scope</v>
      </c>
      <c r="J352" s="106">
        <f>B13_Assessment!$H$56</f>
        <v>0</v>
      </c>
      <c r="K352" s="106">
        <f>B13_Assessment!$I$56</f>
        <v>0</v>
      </c>
      <c r="L352" s="106">
        <f>B13_Assessment!$J$56</f>
        <v>0</v>
      </c>
    </row>
    <row r="353" spans="1:12" ht="97.5" customHeight="1">
      <c r="A353" s="106" t="str">
        <f>B13_Assessment!$B$2</f>
        <v>13</v>
      </c>
      <c r="B353" s="106" t="str">
        <f t="shared" si="43"/>
        <v>B12_Assessment</v>
      </c>
      <c r="C353" s="106" t="str">
        <f>B13_Assessment!$A$57</f>
        <v>B13-Q2</v>
      </c>
      <c r="D353" s="142" t="str">
        <f>B13_Assessment!$B$57</f>
        <v>What active services are currently fed from existing Tel Room 222 equipment?</v>
      </c>
      <c r="E353" s="142" t="str">
        <f>B13_Assessment!$C$57</f>
        <v>OIT / Contractor</v>
      </c>
      <c r="F353" s="106" t="str">
        <f>B13_Assessment!$D$57</f>
        <v>Closed</v>
      </c>
      <c r="G353" s="106">
        <f>B13_Assessment!$E$57</f>
        <v>0</v>
      </c>
      <c r="H353" s="106">
        <f>B13_Assessment!$F$57</f>
        <v>0</v>
      </c>
      <c r="I353" s="106" t="str">
        <f>B13_Assessment!$G$57</f>
        <v>Potential communications/security outage</v>
      </c>
      <c r="J353" s="106">
        <f>B13_Assessment!$H$57</f>
        <v>0</v>
      </c>
      <c r="K353" s="106">
        <f>B13_Assessment!$I$57</f>
        <v>0</v>
      </c>
      <c r="L353" s="106">
        <f>B13_Assessment!$J$57</f>
        <v>0</v>
      </c>
    </row>
    <row r="354" spans="1:12" ht="97.5" customHeight="1">
      <c r="A354" s="106" t="str">
        <f>B13_Assessment!$B$2</f>
        <v>13</v>
      </c>
      <c r="B354" s="106" t="str">
        <f t="shared" si="43"/>
        <v>B12_Assessment</v>
      </c>
      <c r="C354" s="106" t="str">
        <f>B13_Assessment!$A$58</f>
        <v>B13-Q3</v>
      </c>
      <c r="D354" s="142" t="str">
        <f>B13_Assessment!$B$58</f>
        <v>What hazardous/abatement steps apply to first-level Room 124 work?</v>
      </c>
      <c r="E354" s="142" t="str">
        <f>B13_Assessment!$C$58</f>
        <v>GC / IH / COR</v>
      </c>
      <c r="F354" s="106" t="str">
        <f>B13_Assessment!$D$58</f>
        <v>Closed</v>
      </c>
      <c r="G354" s="106">
        <f>B13_Assessment!$E$58</f>
        <v>0</v>
      </c>
      <c r="H354" s="106">
        <f>B13_Assessment!$F$58</f>
        <v>0</v>
      </c>
      <c r="I354" s="106" t="str">
        <f>B13_Assessment!$G$58</f>
        <v>Work delay or exposure risk</v>
      </c>
      <c r="J354" s="106">
        <f>B13_Assessment!$H$58</f>
        <v>0</v>
      </c>
      <c r="K354" s="106">
        <f>B13_Assessment!$I$58</f>
        <v>0</v>
      </c>
      <c r="L354" s="106">
        <f>B13_Assessment!$J$58</f>
        <v>0</v>
      </c>
    </row>
    <row r="355" spans="1:12" ht="97.5" customHeight="1">
      <c r="A355" s="106" t="str">
        <f>B13_Assessment!$B$2</f>
        <v>13</v>
      </c>
      <c r="B355" s="106" t="str">
        <f t="shared" si="43"/>
        <v>B12_Assessment</v>
      </c>
      <c r="C355" s="106" t="str">
        <f>B13_Assessment!$A$59</f>
        <v>B13-Q4</v>
      </c>
      <c r="D355" s="142" t="str">
        <f>B13_Assessment!$B$59</f>
        <v>Is IU-1-01/CU-1-01 on emergency/backup power and dedicated to Room 124?</v>
      </c>
      <c r="E355" s="142" t="str">
        <f>B13_Assessment!$C$59</f>
        <v>Mechanical / Electrical / VA</v>
      </c>
      <c r="F355" s="106" t="str">
        <f>B13_Assessment!$D$59</f>
        <v>Closed</v>
      </c>
      <c r="G355" s="106">
        <f>B13_Assessment!$E$59</f>
        <v>0</v>
      </c>
      <c r="H355" s="106">
        <f>B13_Assessment!$F$59</f>
        <v>0</v>
      </c>
      <c r="I355" s="106" t="str">
        <f>B13_Assessment!$G$59</f>
        <v>Cooling continuity unclear</v>
      </c>
      <c r="J355" s="106">
        <f>B13_Assessment!$H$59</f>
        <v>0</v>
      </c>
      <c r="K355" s="106">
        <f>B13_Assessment!$I$59</f>
        <v>0</v>
      </c>
      <c r="L355" s="106">
        <f>B13_Assessment!$J$59</f>
        <v>0</v>
      </c>
    </row>
    <row r="356" spans="1:12" ht="97.5" customHeight="1">
      <c r="A356" s="106" t="str">
        <f>B13_Assessment!$B$2</f>
        <v>13</v>
      </c>
      <c r="B356" s="106" t="str">
        <f t="shared" si="43"/>
        <v>B12_Assessment</v>
      </c>
      <c r="C356" s="106" t="str">
        <f>B13_Assessment!$A$60</f>
        <v>B13-Q5</v>
      </c>
      <c r="D356" s="142" t="str">
        <f>B13_Assessment!$B$60</f>
        <v>Where is the clean-agent/CO2 extinguisher cabinet located within 75 ft of Room 124?</v>
      </c>
      <c r="E356" s="142" t="str">
        <f>B13_Assessment!$C$60</f>
        <v>GC / COR</v>
      </c>
      <c r="F356" s="106" t="str">
        <f>B13_Assessment!$D$60</f>
        <v>Closed</v>
      </c>
      <c r="G356" s="106">
        <f>B13_Assessment!$E$60</f>
        <v>0</v>
      </c>
      <c r="H356" s="106">
        <f>B13_Assessment!$F$60</f>
        <v>0</v>
      </c>
      <c r="I356" s="106" t="str">
        <f>B13_Assessment!$G$60</f>
        <v>Life-safety acceptance risk</v>
      </c>
      <c r="J356" s="106">
        <f>B13_Assessment!$H$60</f>
        <v>0</v>
      </c>
      <c r="K356" s="106">
        <f>B13_Assessment!$I$60</f>
        <v>0</v>
      </c>
      <c r="L356" s="106">
        <f>B13_Assessment!$J$60</f>
        <v>0</v>
      </c>
    </row>
    <row r="357" spans="1:12" ht="97.5" customHeight="1">
      <c r="A357" s="106" t="str">
        <f>B13_Assessment!$B$2</f>
        <v>13</v>
      </c>
      <c r="B357" s="106" t="str">
        <f t="shared" ref="B357:B364" si="44">"B13_Assessment"</f>
        <v>B13_Assessment</v>
      </c>
      <c r="C357" s="106" t="str">
        <f>B13_Assessment!$A$61</f>
        <v>B13-Q6</v>
      </c>
      <c r="D357" s="142" t="str">
        <f>B13_Assessment!$B$61</f>
        <v>Are B13-TR124AA/AB sources, rack receptacles, SPDs, circuit labels and load measurements approved?</v>
      </c>
      <c r="E357" s="142" t="str">
        <f>B13_Assessment!$C$61</f>
        <v>Electrical / Designer</v>
      </c>
      <c r="F357" s="106" t="str">
        <f>B13_Assessment!$D$61</f>
        <v>Closed</v>
      </c>
      <c r="G357" s="106">
        <f>B13_Assessment!$E$61</f>
        <v>0</v>
      </c>
      <c r="H357" s="106">
        <f>B13_Assessment!$F$61</f>
        <v>0</v>
      </c>
      <c r="I357" s="106" t="str">
        <f>B13_Assessment!$G$61</f>
        <v>Electrical readiness unknown</v>
      </c>
      <c r="J357" s="106">
        <f>B13_Assessment!$H$61</f>
        <v>0</v>
      </c>
      <c r="K357" s="106">
        <f>B13_Assessment!$I$61</f>
        <v>0</v>
      </c>
      <c r="L357" s="106">
        <f>B13_Assessment!$J$61</f>
        <v>0</v>
      </c>
    </row>
    <row r="358" spans="1:12" ht="97.5" customHeight="1">
      <c r="A358" s="106" t="str">
        <f>B13_Assessment!$B$2</f>
        <v>13</v>
      </c>
      <c r="B358" s="106" t="str">
        <f t="shared" si="44"/>
        <v>B13_Assessment</v>
      </c>
      <c r="C358" s="106" t="str">
        <f>B13_Assessment!$A$62</f>
        <v>B13-Q7</v>
      </c>
      <c r="D358" s="142" t="str">
        <f>B13_Assessment!$B$62</f>
        <v>Are all rated wall/floor penetrations, sleeves, cable tray entries and firestopping details identified?</v>
      </c>
      <c r="E358" s="142" t="str">
        <f>B13_Assessment!$C$62</f>
        <v>GC / Firestop</v>
      </c>
      <c r="F358" s="106" t="str">
        <f>B13_Assessment!$D$62</f>
        <v>Closed</v>
      </c>
      <c r="G358" s="106">
        <f>B13_Assessment!$E$62</f>
        <v>0</v>
      </c>
      <c r="H358" s="106">
        <f>B13_Assessment!$F$62</f>
        <v>0</v>
      </c>
      <c r="I358" s="106" t="str">
        <f>B13_Assessment!$G$62</f>
        <v>Fire/smoke spread risk</v>
      </c>
      <c r="J358" s="106">
        <f>B13_Assessment!$H$62</f>
        <v>0</v>
      </c>
      <c r="K358" s="106">
        <f>B13_Assessment!$I$62</f>
        <v>0</v>
      </c>
      <c r="L358" s="106">
        <f>B13_Assessment!$J$62</f>
        <v>0</v>
      </c>
    </row>
    <row r="359" spans="1:12" ht="97.5" customHeight="1">
      <c r="A359" s="106" t="str">
        <f>B13_Assessment!$B$2</f>
        <v>13</v>
      </c>
      <c r="B359" s="106" t="str">
        <f t="shared" si="44"/>
        <v>B13_Assessment</v>
      </c>
      <c r="C359" s="106" t="str">
        <f>B13_Assessment!$A$63</f>
        <v>B13-Q8</v>
      </c>
      <c r="D359" s="142" t="str">
        <f>B13_Assessment!$B$63</f>
        <v>Which third-party inspections and commissioning forms are required before VA acceptance?</v>
      </c>
      <c r="E359" s="142" t="str">
        <f>B13_Assessment!$C$63</f>
        <v>GC / Cx Manager</v>
      </c>
      <c r="F359" s="106" t="str">
        <f>B13_Assessment!$D$63</f>
        <v>Closed</v>
      </c>
      <c r="G359" s="106">
        <f>B13_Assessment!$E$63</f>
        <v>0</v>
      </c>
      <c r="H359" s="106">
        <f>B13_Assessment!$F$63</f>
        <v>0</v>
      </c>
      <c r="I359" s="106" t="str">
        <f>B13_Assessment!$G$63</f>
        <v>Turnover package gap</v>
      </c>
      <c r="J359" s="106">
        <f>B13_Assessment!$H$63</f>
        <v>0</v>
      </c>
      <c r="K359" s="106">
        <f>B13_Assessment!$I$63</f>
        <v>0</v>
      </c>
      <c r="L359" s="106">
        <f>B13_Assessment!$J$63</f>
        <v>0</v>
      </c>
    </row>
    <row r="360" spans="1:12" ht="97.5" customHeight="1">
      <c r="A360" s="106" t="str">
        <f>B14_Assessment!$B$2</f>
        <v>14</v>
      </c>
      <c r="B360" s="106" t="str">
        <f t="shared" si="44"/>
        <v>B13_Assessment</v>
      </c>
      <c r="C360" s="106" t="str">
        <f>B14_Assessment!$A$63</f>
        <v>B14-Q1</v>
      </c>
      <c r="D360" s="142" t="str">
        <f>B14_Assessment!$B$63</f>
        <v>Confirm final telecom scope: new Room 119 and existing basement B.01/B2 transition only?</v>
      </c>
      <c r="E360" s="142" t="str">
        <f>B14_Assessment!$C$63</f>
        <v>VA / OIT / Designer</v>
      </c>
      <c r="F360" s="106" t="str">
        <f>B14_Assessment!$D$63</f>
        <v>Closed</v>
      </c>
      <c r="G360" s="106">
        <f>B14_Assessment!$E$63</f>
        <v>0</v>
      </c>
      <c r="H360" s="106">
        <f>B14_Assessment!$F$63</f>
        <v>0</v>
      </c>
      <c r="I360" s="106" t="str">
        <f>B14_Assessment!$G$63</f>
        <v>Room inventory could miss scope</v>
      </c>
      <c r="J360" s="106">
        <f>B14_Assessment!$H$63</f>
        <v>0</v>
      </c>
      <c r="K360" s="106">
        <f>B14_Assessment!$I$63</f>
        <v>0</v>
      </c>
      <c r="L360" s="106">
        <f>B14_Assessment!$J$63</f>
        <v>0</v>
      </c>
    </row>
    <row r="361" spans="1:12" ht="97.5" customHeight="1">
      <c r="A361" s="106" t="str">
        <f>B14_Assessment!$B$2</f>
        <v>14</v>
      </c>
      <c r="B361" s="106" t="str">
        <f t="shared" si="44"/>
        <v>B13_Assessment</v>
      </c>
      <c r="C361" s="106" t="str">
        <f>B14_Assessment!$A$64</f>
        <v>B14-Q2</v>
      </c>
      <c r="D361" s="142" t="str">
        <f>B14_Assessment!$B$64</f>
        <v>What active services are currently fed from existing B.01/B2 equipment?</v>
      </c>
      <c r="E361" s="142" t="str">
        <f>B14_Assessment!$C$64</f>
        <v>OIT / Contractor</v>
      </c>
      <c r="F361" s="106" t="str">
        <f>B14_Assessment!$D$64</f>
        <v>Closed</v>
      </c>
      <c r="G361" s="106">
        <f>B14_Assessment!$E$64</f>
        <v>0</v>
      </c>
      <c r="H361" s="106">
        <f>B14_Assessment!$F$64</f>
        <v>0</v>
      </c>
      <c r="I361" s="106" t="str">
        <f>B14_Assessment!$G$64</f>
        <v>Potential communications/security outage</v>
      </c>
      <c r="J361" s="106">
        <f>B14_Assessment!$H$64</f>
        <v>0</v>
      </c>
      <c r="K361" s="106">
        <f>B14_Assessment!$I$64</f>
        <v>0</v>
      </c>
      <c r="L361" s="106">
        <f>B14_Assessment!$J$64</f>
        <v>0</v>
      </c>
    </row>
    <row r="362" spans="1:12" ht="97.5" customHeight="1">
      <c r="A362" s="106" t="str">
        <f>B14_Assessment!$B$2</f>
        <v>14</v>
      </c>
      <c r="B362" s="106" t="str">
        <f t="shared" si="44"/>
        <v>B13_Assessment</v>
      </c>
      <c r="C362" s="106" t="str">
        <f>B14_Assessment!$A$65</f>
        <v>B14-Q3</v>
      </c>
      <c r="D362" s="142" t="str">
        <f>B14_Assessment!$B$65</f>
        <v>What hazardous/abatement steps apply to first-level Room 119 work?</v>
      </c>
      <c r="E362" s="142" t="str">
        <f>B14_Assessment!$C$65</f>
        <v>GC / IH / COR</v>
      </c>
      <c r="F362" s="106" t="str">
        <f>B14_Assessment!$D$65</f>
        <v>Closed</v>
      </c>
      <c r="G362" s="106">
        <f>B14_Assessment!$E$65</f>
        <v>0</v>
      </c>
      <c r="H362" s="106">
        <f>B14_Assessment!$F$65</f>
        <v>0</v>
      </c>
      <c r="I362" s="106" t="str">
        <f>B14_Assessment!$G$65</f>
        <v>Work delay or exposure risk</v>
      </c>
      <c r="J362" s="106">
        <f>B14_Assessment!$H$65</f>
        <v>0</v>
      </c>
      <c r="K362" s="106">
        <f>B14_Assessment!$I$65</f>
        <v>0</v>
      </c>
      <c r="L362" s="106">
        <f>B14_Assessment!$J$65</f>
        <v>0</v>
      </c>
    </row>
    <row r="363" spans="1:12" ht="97.5" customHeight="1">
      <c r="A363" s="106" t="str">
        <f>B14_Assessment!$B$2</f>
        <v>14</v>
      </c>
      <c r="B363" s="106" t="str">
        <f t="shared" si="44"/>
        <v>B13_Assessment</v>
      </c>
      <c r="C363" s="106" t="str">
        <f>B14_Assessment!$A$66</f>
        <v>B14-Q4</v>
      </c>
      <c r="D363" s="142" t="str">
        <f>B14_Assessment!$B$66</f>
        <v>Is IU-1-01/CU-1-01 on emergency/backup power and dedicated to Room 119?</v>
      </c>
      <c r="E363" s="142" t="str">
        <f>B14_Assessment!$C$66</f>
        <v>Mechanical / Electrical / VA</v>
      </c>
      <c r="F363" s="106" t="str">
        <f>B14_Assessment!$D$66</f>
        <v>Closed</v>
      </c>
      <c r="G363" s="106">
        <f>B14_Assessment!$E$66</f>
        <v>0</v>
      </c>
      <c r="H363" s="106">
        <f>B14_Assessment!$F$66</f>
        <v>0</v>
      </c>
      <c r="I363" s="106" t="str">
        <f>B14_Assessment!$G$66</f>
        <v>Cooling continuity unclear</v>
      </c>
      <c r="J363" s="106">
        <f>B14_Assessment!$H$66</f>
        <v>0</v>
      </c>
      <c r="K363" s="106">
        <f>B14_Assessment!$I$66</f>
        <v>0</v>
      </c>
      <c r="L363" s="106">
        <f>B14_Assessment!$J$66</f>
        <v>0</v>
      </c>
    </row>
    <row r="364" spans="1:12" ht="97.5" customHeight="1">
      <c r="A364" s="106" t="str">
        <f>B14_Assessment!$B$2</f>
        <v>14</v>
      </c>
      <c r="B364" s="106" t="str">
        <f t="shared" si="44"/>
        <v>B13_Assessment</v>
      </c>
      <c r="C364" s="106" t="str">
        <f>B14_Assessment!$A$67</f>
        <v>B14-Q5</v>
      </c>
      <c r="D364" s="142" t="str">
        <f>B14_Assessment!$B$67</f>
        <v>Where is the clean-agent/CO2 extinguisher cabinet located within 75 ft of Room 119?</v>
      </c>
      <c r="E364" s="142" t="str">
        <f>B14_Assessment!$C$67</f>
        <v>GC / COR</v>
      </c>
      <c r="F364" s="106" t="str">
        <f>B14_Assessment!$D$67</f>
        <v>Closed</v>
      </c>
      <c r="G364" s="106">
        <f>B14_Assessment!$E$67</f>
        <v>0</v>
      </c>
      <c r="H364" s="106">
        <f>B14_Assessment!$F$67</f>
        <v>0</v>
      </c>
      <c r="I364" s="106" t="str">
        <f>B14_Assessment!$G$67</f>
        <v>Life-safety acceptance risk</v>
      </c>
      <c r="J364" s="106">
        <f>B14_Assessment!$H$67</f>
        <v>0</v>
      </c>
      <c r="K364" s="106">
        <f>B14_Assessment!$I$67</f>
        <v>0</v>
      </c>
      <c r="L364" s="106">
        <f>B14_Assessment!$J$67</f>
        <v>0</v>
      </c>
    </row>
    <row r="365" spans="1:12" ht="97.5" customHeight="1">
      <c r="A365" s="106" t="str">
        <f>B14_Assessment!$B$2</f>
        <v>14</v>
      </c>
      <c r="B365" s="106" t="str">
        <f t="shared" ref="B365:B372" si="45">"B14_Assessment"</f>
        <v>B14_Assessment</v>
      </c>
      <c r="C365" s="106" t="str">
        <f>B14_Assessment!$A$68</f>
        <v>B14-Q6</v>
      </c>
      <c r="D365" s="142" t="str">
        <f>B14_Assessment!$B$68</f>
        <v>Are B14-TR119A/B sources, rack receptacles, SPDs, circuit labels and load measurements approved?</v>
      </c>
      <c r="E365" s="142" t="str">
        <f>B14_Assessment!$C$68</f>
        <v>Electrical / Designer</v>
      </c>
      <c r="F365" s="106" t="str">
        <f>B14_Assessment!$D$68</f>
        <v>Closed</v>
      </c>
      <c r="G365" s="106">
        <f>B14_Assessment!$E$68</f>
        <v>0</v>
      </c>
      <c r="H365" s="106">
        <f>B14_Assessment!$F$68</f>
        <v>0</v>
      </c>
      <c r="I365" s="106" t="str">
        <f>B14_Assessment!$G$68</f>
        <v>Electrical readiness unknown</v>
      </c>
      <c r="J365" s="106">
        <f>B14_Assessment!$H$68</f>
        <v>0</v>
      </c>
      <c r="K365" s="106">
        <f>B14_Assessment!$I$68</f>
        <v>0</v>
      </c>
      <c r="L365" s="106">
        <f>B14_Assessment!$J$68</f>
        <v>0</v>
      </c>
    </row>
    <row r="366" spans="1:12" ht="97.5" customHeight="1">
      <c r="A366" s="106" t="str">
        <f>B14_Assessment!$B$2</f>
        <v>14</v>
      </c>
      <c r="B366" s="106" t="str">
        <f t="shared" si="45"/>
        <v>B14_Assessment</v>
      </c>
      <c r="C366" s="106" t="str">
        <f>B14_Assessment!$A$69</f>
        <v>B14-Q7</v>
      </c>
      <c r="D366" s="142" t="str">
        <f>B14_Assessment!$B$69</f>
        <v>Are all rated wall/floor penetrations, sleeves, cable tray entries and firestopping details identified?</v>
      </c>
      <c r="E366" s="142" t="str">
        <f>B14_Assessment!$C$69</f>
        <v>GC / Firestop</v>
      </c>
      <c r="F366" s="106" t="str">
        <f>B14_Assessment!$D$69</f>
        <v>Closed</v>
      </c>
      <c r="G366" s="106">
        <f>B14_Assessment!$E$69</f>
        <v>0</v>
      </c>
      <c r="H366" s="106">
        <f>B14_Assessment!$F$69</f>
        <v>0</v>
      </c>
      <c r="I366" s="106" t="str">
        <f>B14_Assessment!$G$69</f>
        <v>Fire/smoke spread risk</v>
      </c>
      <c r="J366" s="106">
        <f>B14_Assessment!$H$69</f>
        <v>0</v>
      </c>
      <c r="K366" s="106">
        <f>B14_Assessment!$I$69</f>
        <v>0</v>
      </c>
      <c r="L366" s="106">
        <f>B14_Assessment!$J$69</f>
        <v>0</v>
      </c>
    </row>
    <row r="367" spans="1:12" ht="97.5" customHeight="1">
      <c r="A367" s="106" t="str">
        <f>B14_Assessment!$B$2</f>
        <v>14</v>
      </c>
      <c r="B367" s="106" t="str">
        <f t="shared" si="45"/>
        <v>B14_Assessment</v>
      </c>
      <c r="C367" s="106" t="str">
        <f>B14_Assessment!$A$70</f>
        <v>B14-Q8</v>
      </c>
      <c r="D367" s="142" t="str">
        <f>B14_Assessment!$B$70</f>
        <v>Which third-party inspections and commissioning forms are required before VA acceptance?</v>
      </c>
      <c r="E367" s="142" t="str">
        <f>B14_Assessment!$C$70</f>
        <v>GC / Cx Manager</v>
      </c>
      <c r="F367" s="106" t="str">
        <f>B14_Assessment!$D$70</f>
        <v>Closed</v>
      </c>
      <c r="G367" s="106">
        <f>B14_Assessment!$E$70</f>
        <v>0</v>
      </c>
      <c r="H367" s="106">
        <f>B14_Assessment!$F$70</f>
        <v>0</v>
      </c>
      <c r="I367" s="106" t="str">
        <f>B14_Assessment!$G$70</f>
        <v>Turnover package gap</v>
      </c>
      <c r="J367" s="106">
        <f>B14_Assessment!$H$70</f>
        <v>0</v>
      </c>
      <c r="K367" s="106">
        <f>B14_Assessment!$I$70</f>
        <v>0</v>
      </c>
      <c r="L367" s="106">
        <f>B14_Assessment!$J$70</f>
        <v>0</v>
      </c>
    </row>
    <row r="368" spans="1:12" ht="97.5" customHeight="1">
      <c r="A368" s="106" t="str">
        <f>B15_Assessment!$B$2</f>
        <v>15</v>
      </c>
      <c r="B368" s="106" t="str">
        <f t="shared" si="45"/>
        <v>B14_Assessment</v>
      </c>
      <c r="C368" s="106" t="str">
        <f>B15_Assessment!$A$63</f>
        <v>B15-Q1</v>
      </c>
      <c r="D368" s="142" t="str">
        <f>B15_Assessment!$B$63</f>
        <v>Confirm final telecom scope: new Room 124A and existing Rooms 222/B01 transition only?</v>
      </c>
      <c r="E368" s="142" t="str">
        <f>B15_Assessment!$C$63</f>
        <v>VA / OIT / Designer</v>
      </c>
      <c r="F368" s="106" t="str">
        <f>B15_Assessment!$D$63</f>
        <v>Closed</v>
      </c>
      <c r="G368" s="106">
        <f>B15_Assessment!$E$63</f>
        <v>0</v>
      </c>
      <c r="H368" s="106">
        <f>B15_Assessment!$F$63</f>
        <v>0</v>
      </c>
      <c r="I368" s="106" t="str">
        <f>B15_Assessment!$G$63</f>
        <v>Room inventory could miss scope</v>
      </c>
      <c r="J368" s="106">
        <f>B15_Assessment!$H$63</f>
        <v>0</v>
      </c>
      <c r="K368" s="106">
        <f>B15_Assessment!$I$63</f>
        <v>0</v>
      </c>
      <c r="L368" s="106">
        <f>B15_Assessment!$J$63</f>
        <v>0</v>
      </c>
    </row>
    <row r="369" spans="1:12" ht="97.5" customHeight="1">
      <c r="A369" s="106" t="str">
        <f>B15_Assessment!$B$2</f>
        <v>15</v>
      </c>
      <c r="B369" s="106" t="str">
        <f t="shared" si="45"/>
        <v>B14_Assessment</v>
      </c>
      <c r="C369" s="106" t="str">
        <f>B15_Assessment!$A$64</f>
        <v>B15-Q2</v>
      </c>
      <c r="D369" s="142" t="str">
        <f>B15_Assessment!$B$64</f>
        <v>Why does 15T-701 reference RM 109A while plans and electrical schedules identify Telecom Room 124A?</v>
      </c>
      <c r="E369" s="142" t="str">
        <f>B15_Assessment!$C$64</f>
        <v>VA / Designer / OIT</v>
      </c>
      <c r="F369" s="106" t="str">
        <f>B15_Assessment!$D$64</f>
        <v>Closed</v>
      </c>
      <c r="G369" s="106">
        <f>B15_Assessment!$E$64</f>
        <v>0</v>
      </c>
      <c r="H369" s="106">
        <f>B15_Assessment!$F$64</f>
        <v>0</v>
      </c>
      <c r="I369" s="106" t="str">
        <f>B15_Assessment!$G$64</f>
        <v>Room naming mismatch could affect PMIS tracking</v>
      </c>
      <c r="J369" s="106">
        <f>B15_Assessment!$H$64</f>
        <v>0</v>
      </c>
      <c r="K369" s="106">
        <f>B15_Assessment!$I$64</f>
        <v>0</v>
      </c>
      <c r="L369" s="106">
        <f>B15_Assessment!$J$64</f>
        <v>0</v>
      </c>
    </row>
    <row r="370" spans="1:12" ht="97.5" customHeight="1">
      <c r="A370" s="106" t="str">
        <f>B15_Assessment!$B$2</f>
        <v>15</v>
      </c>
      <c r="B370" s="106" t="str">
        <f t="shared" si="45"/>
        <v>B14_Assessment</v>
      </c>
      <c r="C370" s="106" t="str">
        <f>B15_Assessment!$A$65</f>
        <v>B15-Q3</v>
      </c>
      <c r="D370" s="142" t="str">
        <f>B15_Assessment!$B$65</f>
        <v>What active services are currently fed from existing Room 222 and B01 equipment?</v>
      </c>
      <c r="E370" s="142" t="str">
        <f>B15_Assessment!$C$65</f>
        <v>OIT / Contractor</v>
      </c>
      <c r="F370" s="106" t="str">
        <f>B15_Assessment!$D$65</f>
        <v>Closed</v>
      </c>
      <c r="G370" s="106">
        <f>B15_Assessment!$E$65</f>
        <v>0</v>
      </c>
      <c r="H370" s="106">
        <f>B15_Assessment!$F$65</f>
        <v>0</v>
      </c>
      <c r="I370" s="106" t="str">
        <f>B15_Assessment!$G$65</f>
        <v>Potential communications/security outage</v>
      </c>
      <c r="J370" s="106">
        <f>B15_Assessment!$H$65</f>
        <v>0</v>
      </c>
      <c r="K370" s="106">
        <f>B15_Assessment!$I$65</f>
        <v>0</v>
      </c>
      <c r="L370" s="106">
        <f>B15_Assessment!$J$65</f>
        <v>0</v>
      </c>
    </row>
    <row r="371" spans="1:12" ht="97.5" customHeight="1">
      <c r="A371" s="106" t="str">
        <f>B15_Assessment!$B$2</f>
        <v>15</v>
      </c>
      <c r="B371" s="106" t="str">
        <f t="shared" si="45"/>
        <v>B14_Assessment</v>
      </c>
      <c r="C371" s="106" t="str">
        <f>B15_Assessment!$A$66</f>
        <v>B15-Q4</v>
      </c>
      <c r="D371" s="142" t="str">
        <f>B15_Assessment!$B$66</f>
        <v>What hazardous/abatement steps apply to first-level Room 124A work?</v>
      </c>
      <c r="E371" s="142" t="str">
        <f>B15_Assessment!$C$66</f>
        <v>GC / IH / COR</v>
      </c>
      <c r="F371" s="106" t="str">
        <f>B15_Assessment!$D$66</f>
        <v>Closed</v>
      </c>
      <c r="G371" s="106">
        <f>B15_Assessment!$E$66</f>
        <v>0</v>
      </c>
      <c r="H371" s="106">
        <f>B15_Assessment!$F$66</f>
        <v>0</v>
      </c>
      <c r="I371" s="106" t="str">
        <f>B15_Assessment!$G$66</f>
        <v>Work delay or exposure risk</v>
      </c>
      <c r="J371" s="106">
        <f>B15_Assessment!$H$66</f>
        <v>0</v>
      </c>
      <c r="K371" s="106">
        <f>B15_Assessment!$I$66</f>
        <v>0</v>
      </c>
      <c r="L371" s="106">
        <f>B15_Assessment!$J$66</f>
        <v>0</v>
      </c>
    </row>
    <row r="372" spans="1:12" ht="97.5" customHeight="1">
      <c r="A372" s="106" t="str">
        <f>B15_Assessment!$B$2</f>
        <v>15</v>
      </c>
      <c r="B372" s="106" t="str">
        <f t="shared" si="45"/>
        <v>B14_Assessment</v>
      </c>
      <c r="C372" s="106" t="str">
        <f>B15_Assessment!$A$67</f>
        <v>B15-Q5</v>
      </c>
      <c r="D372" s="142" t="str">
        <f>B15_Assessment!$B$67</f>
        <v>Is IU-1-01/CU-1-01 on emergency/backup power and dedicated to Room 124A?</v>
      </c>
      <c r="E372" s="142" t="str">
        <f>B15_Assessment!$C$67</f>
        <v>Mechanical / Electrical / VA</v>
      </c>
      <c r="F372" s="106" t="str">
        <f>B15_Assessment!$D$67</f>
        <v>Closed</v>
      </c>
      <c r="G372" s="106">
        <f>B15_Assessment!$E$67</f>
        <v>0</v>
      </c>
      <c r="H372" s="106">
        <f>B15_Assessment!$F$67</f>
        <v>0</v>
      </c>
      <c r="I372" s="106" t="str">
        <f>B15_Assessment!$G$67</f>
        <v>Cooling continuity unclear</v>
      </c>
      <c r="J372" s="106">
        <f>B15_Assessment!$H$67</f>
        <v>0</v>
      </c>
      <c r="K372" s="106">
        <f>B15_Assessment!$I$67</f>
        <v>0</v>
      </c>
      <c r="L372" s="106">
        <f>B15_Assessment!$J$67</f>
        <v>0</v>
      </c>
    </row>
    <row r="373" spans="1:12" ht="97.5" customHeight="1">
      <c r="A373" s="106" t="str">
        <f>B15_Assessment!$B$2</f>
        <v>15</v>
      </c>
      <c r="B373" s="106" t="str">
        <f t="shared" ref="B373:B380" si="46">"B15_Assessment"</f>
        <v>B15_Assessment</v>
      </c>
      <c r="C373" s="106" t="str">
        <f>B15_Assessment!$A$68</f>
        <v>B15-Q6</v>
      </c>
      <c r="D373" s="142" t="str">
        <f>B15_Assessment!$B$68</f>
        <v>Where is the clean-agent/CO2 extinguisher cabinet located within 75 ft of Room 124A?</v>
      </c>
      <c r="E373" s="142" t="str">
        <f>B15_Assessment!$C$68</f>
        <v>GC / COR</v>
      </c>
      <c r="F373" s="106" t="str">
        <f>B15_Assessment!$D$68</f>
        <v>Closed</v>
      </c>
      <c r="G373" s="106">
        <f>B15_Assessment!$E$68</f>
        <v>0</v>
      </c>
      <c r="H373" s="106">
        <f>B15_Assessment!$F$68</f>
        <v>0</v>
      </c>
      <c r="I373" s="106" t="str">
        <f>B15_Assessment!$G$68</f>
        <v>Life-safety acceptance risk</v>
      </c>
      <c r="J373" s="106">
        <f>B15_Assessment!$H$68</f>
        <v>0</v>
      </c>
      <c r="K373" s="106">
        <f>B15_Assessment!$I$68</f>
        <v>0</v>
      </c>
      <c r="L373" s="106">
        <f>B15_Assessment!$J$68</f>
        <v>0</v>
      </c>
    </row>
    <row r="374" spans="1:12" ht="97.5" customHeight="1">
      <c r="A374" s="106" t="str">
        <f>B15_Assessment!$B$2</f>
        <v>15</v>
      </c>
      <c r="B374" s="106" t="str">
        <f t="shared" si="46"/>
        <v>B15_Assessment</v>
      </c>
      <c r="C374" s="106" t="str">
        <f>B15_Assessment!$A$69</f>
        <v>B15-Q7</v>
      </c>
      <c r="D374" s="142" t="str">
        <f>B15_Assessment!$B$69</f>
        <v>Are B15-TR124AA/AB sources, rack receptacles, SPDs, circuit labels and load measurements approved?</v>
      </c>
      <c r="E374" s="142" t="str">
        <f>B15_Assessment!$C$69</f>
        <v>Electrical / Designer</v>
      </c>
      <c r="F374" s="106" t="str">
        <f>B15_Assessment!$D$69</f>
        <v>Closed</v>
      </c>
      <c r="G374" s="106">
        <f>B15_Assessment!$E$69</f>
        <v>0</v>
      </c>
      <c r="H374" s="106">
        <f>B15_Assessment!$F$69</f>
        <v>0</v>
      </c>
      <c r="I374" s="106" t="str">
        <f>B15_Assessment!$G$69</f>
        <v>Electrical readiness unknown</v>
      </c>
      <c r="J374" s="106">
        <f>B15_Assessment!$H$69</f>
        <v>0</v>
      </c>
      <c r="K374" s="106">
        <f>B15_Assessment!$I$69</f>
        <v>0</v>
      </c>
      <c r="L374" s="106">
        <f>B15_Assessment!$J$69</f>
        <v>0</v>
      </c>
    </row>
    <row r="375" spans="1:12" ht="97.5" customHeight="1">
      <c r="A375" s="106" t="str">
        <f>B15_Assessment!$B$2</f>
        <v>15</v>
      </c>
      <c r="B375" s="106" t="str">
        <f t="shared" si="46"/>
        <v>B15_Assessment</v>
      </c>
      <c r="C375" s="106" t="str">
        <f>B15_Assessment!$A$70</f>
        <v>B15-Q8</v>
      </c>
      <c r="D375" s="142" t="str">
        <f>B15_Assessment!$B$70</f>
        <v>Are all rated wall/floor penetrations, sleeves, cable tray entries and firestopping details identified?</v>
      </c>
      <c r="E375" s="142" t="str">
        <f>B15_Assessment!$C$70</f>
        <v>GC / Firestop</v>
      </c>
      <c r="F375" s="106" t="str">
        <f>B15_Assessment!$D$70</f>
        <v>Closed</v>
      </c>
      <c r="G375" s="106">
        <f>B15_Assessment!$E$70</f>
        <v>0</v>
      </c>
      <c r="H375" s="106">
        <f>B15_Assessment!$F$70</f>
        <v>0</v>
      </c>
      <c r="I375" s="106" t="str">
        <f>B15_Assessment!$G$70</f>
        <v>Fire/smoke spread risk</v>
      </c>
      <c r="J375" s="106">
        <f>B15_Assessment!$H$70</f>
        <v>0</v>
      </c>
      <c r="K375" s="106">
        <f>B15_Assessment!$I$70</f>
        <v>0</v>
      </c>
      <c r="L375" s="106">
        <f>B15_Assessment!$J$70</f>
        <v>0</v>
      </c>
    </row>
    <row r="376" spans="1:12" ht="97.5" customHeight="1">
      <c r="A376" s="106" t="str">
        <f>B16_Assessment!$B$2</f>
        <v>16</v>
      </c>
      <c r="B376" s="106" t="str">
        <f t="shared" si="46"/>
        <v>B15_Assessment</v>
      </c>
      <c r="C376" s="106" t="str">
        <f>B16_Assessment!$A$56</f>
        <v>B16-Q1</v>
      </c>
      <c r="D376" s="142" t="str">
        <f>B16_Assessment!$B$56</f>
        <v>Confirm final telecom scope: new Room 015 and existing Room 014 transition only?</v>
      </c>
      <c r="E376" s="142" t="str">
        <f>B16_Assessment!$C$56</f>
        <v>VA / OIT / Designer</v>
      </c>
      <c r="F376" s="106" t="str">
        <f>B16_Assessment!$D$56</f>
        <v>Closed</v>
      </c>
      <c r="G376" s="106">
        <f>B16_Assessment!$E$56</f>
        <v>0</v>
      </c>
      <c r="H376" s="106">
        <f>B16_Assessment!$F$56</f>
        <v>0</v>
      </c>
      <c r="I376" s="106" t="str">
        <f>B16_Assessment!$G$56</f>
        <v>Room inventory could miss scope</v>
      </c>
      <c r="J376" s="106">
        <f>B16_Assessment!$H$56</f>
        <v>0</v>
      </c>
      <c r="K376" s="106">
        <f>B16_Assessment!$I$56</f>
        <v>0</v>
      </c>
      <c r="L376" s="106">
        <f>B16_Assessment!$J$56</f>
        <v>0</v>
      </c>
    </row>
    <row r="377" spans="1:12" ht="97.5" customHeight="1">
      <c r="A377" s="106" t="str">
        <f>B16_Assessment!$B$2</f>
        <v>16</v>
      </c>
      <c r="B377" s="106" t="str">
        <f t="shared" si="46"/>
        <v>B15_Assessment</v>
      </c>
      <c r="C377" s="106" t="str">
        <f>B16_Assessment!$A$57</f>
        <v>B16-Q2</v>
      </c>
      <c r="D377" s="142" t="str">
        <f>B16_Assessment!$B$57</f>
        <v>What active services are currently fed from existing Room 014 equipment?</v>
      </c>
      <c r="E377" s="142" t="str">
        <f>B16_Assessment!$C$57</f>
        <v>OIT / Contractor</v>
      </c>
      <c r="F377" s="106" t="str">
        <f>B16_Assessment!$D$57</f>
        <v>Closed</v>
      </c>
      <c r="G377" s="106">
        <f>B16_Assessment!$E$57</f>
        <v>0</v>
      </c>
      <c r="H377" s="106">
        <f>B16_Assessment!$F$57</f>
        <v>0</v>
      </c>
      <c r="I377" s="106" t="str">
        <f>B16_Assessment!$G$57</f>
        <v>Potential communications/security outage</v>
      </c>
      <c r="J377" s="106">
        <f>B16_Assessment!$H$57</f>
        <v>0</v>
      </c>
      <c r="K377" s="106">
        <f>B16_Assessment!$I$57</f>
        <v>0</v>
      </c>
      <c r="L377" s="106">
        <f>B16_Assessment!$J$57</f>
        <v>0</v>
      </c>
    </row>
    <row r="378" spans="1:12" ht="97.5" customHeight="1">
      <c r="A378" s="106" t="str">
        <f>B16_Assessment!$B$2</f>
        <v>16</v>
      </c>
      <c r="B378" s="106" t="str">
        <f t="shared" si="46"/>
        <v>B15_Assessment</v>
      </c>
      <c r="C378" s="106" t="str">
        <f>B16_Assessment!$A$58</f>
        <v>B16-Q3</v>
      </c>
      <c r="D378" s="142" t="str">
        <f>B16_Assessment!$B$58</f>
        <v>Is IU-1-01/CU-1-01 on emergency/backup power and dedicated to Room 015?</v>
      </c>
      <c r="E378" s="142" t="str">
        <f>B16_Assessment!$C$58</f>
        <v>Mechanical / Electrical / VA</v>
      </c>
      <c r="F378" s="106" t="str">
        <f>B16_Assessment!$D$58</f>
        <v>Closed</v>
      </c>
      <c r="G378" s="106">
        <f>B16_Assessment!$E$58</f>
        <v>0</v>
      </c>
      <c r="H378" s="106">
        <f>B16_Assessment!$F$58</f>
        <v>0</v>
      </c>
      <c r="I378" s="106" t="str">
        <f>B16_Assessment!$G$58</f>
        <v>Cooling continuity unclear</v>
      </c>
      <c r="J378" s="106">
        <f>B16_Assessment!$H$58</f>
        <v>0</v>
      </c>
      <c r="K378" s="106">
        <f>B16_Assessment!$I$58</f>
        <v>0</v>
      </c>
      <c r="L378" s="106">
        <f>B16_Assessment!$J$58</f>
        <v>0</v>
      </c>
    </row>
    <row r="379" spans="1:12" ht="97.5" customHeight="1">
      <c r="A379" s="106" t="str">
        <f>B16_Assessment!$B$2</f>
        <v>16</v>
      </c>
      <c r="B379" s="106" t="str">
        <f t="shared" si="46"/>
        <v>B15_Assessment</v>
      </c>
      <c r="C379" s="106" t="str">
        <f>B16_Assessment!$A$59</f>
        <v>B16-Q4</v>
      </c>
      <c r="D379" s="142" t="str">
        <f>B16_Assessment!$B$59</f>
        <v>Where is the clean-agent/CO2 extinguisher cabinet located within 75 ft of Room 015?</v>
      </c>
      <c r="E379" s="142" t="str">
        <f>B16_Assessment!$C$59</f>
        <v>GC / COR</v>
      </c>
      <c r="F379" s="106" t="str">
        <f>B16_Assessment!$D$59</f>
        <v>Closed</v>
      </c>
      <c r="G379" s="106">
        <f>B16_Assessment!$E$59</f>
        <v>0</v>
      </c>
      <c r="H379" s="106">
        <f>B16_Assessment!$F$59</f>
        <v>0</v>
      </c>
      <c r="I379" s="106" t="str">
        <f>B16_Assessment!$G$59</f>
        <v>Life-safety acceptance risk</v>
      </c>
      <c r="J379" s="106">
        <f>B16_Assessment!$H$59</f>
        <v>0</v>
      </c>
      <c r="K379" s="106">
        <f>B16_Assessment!$I$59</f>
        <v>0</v>
      </c>
      <c r="L379" s="106">
        <f>B16_Assessment!$J$59</f>
        <v>0</v>
      </c>
    </row>
    <row r="380" spans="1:12" ht="97.5" customHeight="1">
      <c r="A380" s="106" t="str">
        <f>B16_Assessment!$B$2</f>
        <v>16</v>
      </c>
      <c r="B380" s="106" t="str">
        <f t="shared" si="46"/>
        <v>B15_Assessment</v>
      </c>
      <c r="C380" s="106" t="str">
        <f>B16_Assessment!$A$60</f>
        <v>B16-Q5</v>
      </c>
      <c r="D380" s="142" t="str">
        <f>B16_Assessment!$B$60</f>
        <v>Are B16-TR015A/B sources, rack receptacles, SPDs, circuit labels and load measurements approved?</v>
      </c>
      <c r="E380" s="142" t="str">
        <f>B16_Assessment!$C$60</f>
        <v>Electrical / Designer</v>
      </c>
      <c r="F380" s="106" t="str">
        <f>B16_Assessment!$D$60</f>
        <v>Closed</v>
      </c>
      <c r="G380" s="106">
        <f>B16_Assessment!$E$60</f>
        <v>0</v>
      </c>
      <c r="H380" s="106">
        <f>B16_Assessment!$F$60</f>
        <v>0</v>
      </c>
      <c r="I380" s="106" t="str">
        <f>B16_Assessment!$G$60</f>
        <v>Electrical readiness unknown</v>
      </c>
      <c r="J380" s="106">
        <f>B16_Assessment!$H$60</f>
        <v>0</v>
      </c>
      <c r="K380" s="106">
        <f>B16_Assessment!$I$60</f>
        <v>0</v>
      </c>
      <c r="L380" s="106">
        <f>B16_Assessment!$J$60</f>
        <v>0</v>
      </c>
    </row>
    <row r="381" spans="1:12" ht="97.5" customHeight="1">
      <c r="A381" s="106" t="str">
        <f>B16_Assessment!$B$2</f>
        <v>16</v>
      </c>
      <c r="B381" s="106" t="str">
        <f t="shared" ref="B381:B388" si="47">"B16_Assessment"</f>
        <v>B16_Assessment</v>
      </c>
      <c r="C381" s="106" t="str">
        <f>B16_Assessment!$A$61</f>
        <v>B16-Q6</v>
      </c>
      <c r="D381" s="142" t="str">
        <f>B16_Assessment!$B$61</f>
        <v>Which existing panel/circuit breaker/feeder demolition and replacement affects Room 015 telecom power?</v>
      </c>
      <c r="E381" s="142" t="str">
        <f>B16_Assessment!$C$61</f>
        <v>Electrical / GCC</v>
      </c>
      <c r="F381" s="106" t="str">
        <f>B16_Assessment!$D$61</f>
        <v>Closed</v>
      </c>
      <c r="G381" s="106">
        <f>B16_Assessment!$E$61</f>
        <v>0</v>
      </c>
      <c r="H381" s="106">
        <f>B16_Assessment!$F$61</f>
        <v>0</v>
      </c>
      <c r="I381" s="106" t="str">
        <f>B16_Assessment!$G$61</f>
        <v>Panel outage/cutover risk</v>
      </c>
      <c r="J381" s="106">
        <f>B16_Assessment!$H$61</f>
        <v>0</v>
      </c>
      <c r="K381" s="106">
        <f>B16_Assessment!$I$61</f>
        <v>0</v>
      </c>
      <c r="L381" s="106">
        <f>B16_Assessment!$J$61</f>
        <v>0</v>
      </c>
    </row>
    <row r="382" spans="1:12" ht="97.5" customHeight="1">
      <c r="A382" s="106" t="str">
        <f>B16_Assessment!$B$2</f>
        <v>16</v>
      </c>
      <c r="B382" s="106" t="str">
        <f t="shared" si="47"/>
        <v>B16_Assessment</v>
      </c>
      <c r="C382" s="106" t="str">
        <f>B16_Assessment!$A$62</f>
        <v>B16-Q7</v>
      </c>
      <c r="D382" s="142" t="str">
        <f>B16_Assessment!$B$62</f>
        <v>Are all rated wall/floor penetrations, sleeves, cable tray entries and firestopping details identified?</v>
      </c>
      <c r="E382" s="142" t="str">
        <f>B16_Assessment!$C$62</f>
        <v>GC / Firestop</v>
      </c>
      <c r="F382" s="106" t="str">
        <f>B16_Assessment!$D$62</f>
        <v>Closed</v>
      </c>
      <c r="G382" s="106">
        <f>B16_Assessment!$E$62</f>
        <v>0</v>
      </c>
      <c r="H382" s="106">
        <f>B16_Assessment!$F$62</f>
        <v>0</v>
      </c>
      <c r="I382" s="106" t="str">
        <f>B16_Assessment!$G$62</f>
        <v>Fire/smoke spread risk</v>
      </c>
      <c r="J382" s="106">
        <f>B16_Assessment!$H$62</f>
        <v>0</v>
      </c>
      <c r="K382" s="106">
        <f>B16_Assessment!$I$62</f>
        <v>0</v>
      </c>
      <c r="L382" s="106">
        <f>B16_Assessment!$J$62</f>
        <v>0</v>
      </c>
    </row>
    <row r="383" spans="1:12" ht="97.5" customHeight="1">
      <c r="A383" s="106" t="str">
        <f>B16_Assessment!$B$2</f>
        <v>16</v>
      </c>
      <c r="B383" s="106" t="str">
        <f t="shared" si="47"/>
        <v>B16_Assessment</v>
      </c>
      <c r="C383" s="106" t="str">
        <f>B16_Assessment!$A$63</f>
        <v>B16-Q8</v>
      </c>
      <c r="D383" s="142" t="str">
        <f>B16_Assessment!$B$63</f>
        <v>Which third-party inspections and commissioning forms are required before VA acceptance?</v>
      </c>
      <c r="E383" s="142" t="str">
        <f>B16_Assessment!$C$63</f>
        <v>GC / Cx Manager</v>
      </c>
      <c r="F383" s="106" t="str">
        <f>B16_Assessment!$D$63</f>
        <v>Closed</v>
      </c>
      <c r="G383" s="106">
        <f>B16_Assessment!$E$63</f>
        <v>0</v>
      </c>
      <c r="H383" s="106">
        <f>B16_Assessment!$F$63</f>
        <v>0</v>
      </c>
      <c r="I383" s="106" t="str">
        <f>B16_Assessment!$G$63</f>
        <v>Turnover package gap</v>
      </c>
      <c r="J383" s="106">
        <f>B16_Assessment!$H$63</f>
        <v>0</v>
      </c>
      <c r="K383" s="106">
        <f>B16_Assessment!$I$63</f>
        <v>0</v>
      </c>
      <c r="L383" s="106">
        <f>B16_Assessment!$J$63</f>
        <v>0</v>
      </c>
    </row>
    <row r="384" spans="1:12" ht="97.5" customHeight="1">
      <c r="A384" s="106" t="str">
        <f>B17_Assessment!$B$2</f>
        <v>17</v>
      </c>
      <c r="B384" s="106" t="str">
        <f t="shared" si="47"/>
        <v>B16_Assessment</v>
      </c>
      <c r="C384" s="106" t="str">
        <f>B17_Assessment!$A$63</f>
        <v>B17-Q1</v>
      </c>
      <c r="D384" s="142" t="str">
        <f>B17_Assessment!$B$63</f>
        <v>Confirm final telecom scope: new Room 118, existing B35A, and Building 29 served from B17?</v>
      </c>
      <c r="E384" s="142" t="str">
        <f>B17_Assessment!$C$63</f>
        <v>VA / OIT / Designer</v>
      </c>
      <c r="F384" s="106" t="str">
        <f>B17_Assessment!$D$63</f>
        <v>Closed</v>
      </c>
      <c r="G384" s="106">
        <f>B17_Assessment!$E$63</f>
        <v>0</v>
      </c>
      <c r="H384" s="106">
        <f>B17_Assessment!$F$63</f>
        <v>0</v>
      </c>
      <c r="I384" s="106" t="str">
        <f>B17_Assessment!$G$63</f>
        <v>Room inventory or PMIS mapping could miss scope</v>
      </c>
      <c r="J384" s="106">
        <f>B17_Assessment!$H$63</f>
        <v>0</v>
      </c>
      <c r="K384" s="106">
        <f>B17_Assessment!$I$63</f>
        <v>0</v>
      </c>
      <c r="L384" s="106">
        <f>B17_Assessment!$J$63</f>
        <v>0</v>
      </c>
    </row>
    <row r="385" spans="1:12" ht="97.5" customHeight="1">
      <c r="A385" s="106" t="str">
        <f>B17_Assessment!$B$2</f>
        <v>17</v>
      </c>
      <c r="B385" s="106" t="str">
        <f t="shared" si="47"/>
        <v>B16_Assessment</v>
      </c>
      <c r="C385" s="106" t="str">
        <f>B17_Assessment!$A$64</f>
        <v>B17-Q2</v>
      </c>
      <c r="D385" s="142" t="str">
        <f>B17_Assessment!$B$64</f>
        <v>What active services are currently fed from existing B35A equipment?</v>
      </c>
      <c r="E385" s="142" t="str">
        <f>B17_Assessment!$C$64</f>
        <v>OIT / Contractor</v>
      </c>
      <c r="F385" s="106" t="str">
        <f>B17_Assessment!$D$64</f>
        <v>Closed</v>
      </c>
      <c r="G385" s="106">
        <f>B17_Assessment!$E$64</f>
        <v>0</v>
      </c>
      <c r="H385" s="106">
        <f>B17_Assessment!$F$64</f>
        <v>0</v>
      </c>
      <c r="I385" s="106" t="str">
        <f>B17_Assessment!$G$64</f>
        <v>Potential communications/security outage</v>
      </c>
      <c r="J385" s="106">
        <f>B17_Assessment!$H$64</f>
        <v>0</v>
      </c>
      <c r="K385" s="106">
        <f>B17_Assessment!$I$64</f>
        <v>0</v>
      </c>
      <c r="L385" s="106">
        <f>B17_Assessment!$J$64</f>
        <v>0</v>
      </c>
    </row>
    <row r="386" spans="1:12" ht="97.5" customHeight="1">
      <c r="A386" s="106" t="str">
        <f>B17_Assessment!$B$2</f>
        <v>17</v>
      </c>
      <c r="B386" s="106" t="str">
        <f t="shared" si="47"/>
        <v>B16_Assessment</v>
      </c>
      <c r="C386" s="106" t="str">
        <f>B17_Assessment!$A$65</f>
        <v>B17-Q3</v>
      </c>
      <c r="D386" s="142" t="str">
        <f>B17_Assessment!$B$65</f>
        <v>What exact Building 29 outlets/devices are served through TR17-118-1?</v>
      </c>
      <c r="E386" s="142" t="str">
        <f>B17_Assessment!$C$65</f>
        <v>VA / OIT / Designer</v>
      </c>
      <c r="F386" s="106" t="str">
        <f>B17_Assessment!$D$65</f>
        <v>Closed</v>
      </c>
      <c r="G386" s="106">
        <f>B17_Assessment!$E$65</f>
        <v>0</v>
      </c>
      <c r="H386" s="106">
        <f>B17_Assessment!$F$65</f>
        <v>0</v>
      </c>
      <c r="I386" s="106" t="str">
        <f>B17_Assessment!$G$65</f>
        <v>Building 29 scope boundary unclear</v>
      </c>
      <c r="J386" s="106">
        <f>B17_Assessment!$H$65</f>
        <v>0</v>
      </c>
      <c r="K386" s="106">
        <f>B17_Assessment!$I$65</f>
        <v>0</v>
      </c>
      <c r="L386" s="106">
        <f>B17_Assessment!$J$65</f>
        <v>0</v>
      </c>
    </row>
    <row r="387" spans="1:12" ht="97.5" customHeight="1">
      <c r="A387" s="106" t="str">
        <f>B17_Assessment!$B$2</f>
        <v>17</v>
      </c>
      <c r="B387" s="106" t="str">
        <f t="shared" si="47"/>
        <v>B16_Assessment</v>
      </c>
      <c r="C387" s="106" t="str">
        <f>B17_Assessment!$A$66</f>
        <v>B17-Q4</v>
      </c>
      <c r="D387" s="142" t="str">
        <f>B17_Assessment!$B$66</f>
        <v>Is IU-1-01/CU-1-01 on emergency/backup power and dedicated to Room 118?</v>
      </c>
      <c r="E387" s="142" t="str">
        <f>B17_Assessment!$C$66</f>
        <v>Mechanical / Electrical / VA</v>
      </c>
      <c r="F387" s="106" t="str">
        <f>B17_Assessment!$D$66</f>
        <v>Closed</v>
      </c>
      <c r="G387" s="106">
        <f>B17_Assessment!$E$66</f>
        <v>0</v>
      </c>
      <c r="H387" s="106">
        <f>B17_Assessment!$F$66</f>
        <v>0</v>
      </c>
      <c r="I387" s="106" t="str">
        <f>B17_Assessment!$G$66</f>
        <v>Cooling continuity unclear</v>
      </c>
      <c r="J387" s="106">
        <f>B17_Assessment!$H$66</f>
        <v>0</v>
      </c>
      <c r="K387" s="106">
        <f>B17_Assessment!$I$66</f>
        <v>0</v>
      </c>
      <c r="L387" s="106">
        <f>B17_Assessment!$J$66</f>
        <v>0</v>
      </c>
    </row>
    <row r="388" spans="1:12" ht="97.5" customHeight="1">
      <c r="A388" s="106" t="str">
        <f>B17_Assessment!$B$2</f>
        <v>17</v>
      </c>
      <c r="B388" s="106" t="str">
        <f t="shared" si="47"/>
        <v>B16_Assessment</v>
      </c>
      <c r="C388" s="106" t="str">
        <f>B17_Assessment!$A$67</f>
        <v>B17-Q5</v>
      </c>
      <c r="D388" s="142" t="str">
        <f>B17_Assessment!$B$67</f>
        <v>Where is the clean-agent/CO2 extinguisher cabinet located within 75 ft of Room 118?</v>
      </c>
      <c r="E388" s="142" t="str">
        <f>B17_Assessment!$C$67</f>
        <v>GC / COR</v>
      </c>
      <c r="F388" s="106" t="str">
        <f>B17_Assessment!$D$67</f>
        <v>Closed</v>
      </c>
      <c r="G388" s="106">
        <f>B17_Assessment!$E$67</f>
        <v>0</v>
      </c>
      <c r="H388" s="106">
        <f>B17_Assessment!$F$67</f>
        <v>0</v>
      </c>
      <c r="I388" s="106" t="str">
        <f>B17_Assessment!$G$67</f>
        <v>Life-safety acceptance risk</v>
      </c>
      <c r="J388" s="106">
        <f>B17_Assessment!$H$67</f>
        <v>0</v>
      </c>
      <c r="K388" s="106">
        <f>B17_Assessment!$I$67</f>
        <v>0</v>
      </c>
      <c r="L388" s="106">
        <f>B17_Assessment!$J$67</f>
        <v>0</v>
      </c>
    </row>
    <row r="389" spans="1:12" ht="97.5" customHeight="1">
      <c r="A389" s="106" t="str">
        <f>B17_Assessment!$B$2</f>
        <v>17</v>
      </c>
      <c r="B389" s="106" t="str">
        <f t="shared" ref="B389:B396" si="48">"B17_Assessment"</f>
        <v>B17_Assessment</v>
      </c>
      <c r="C389" s="106" t="str">
        <f>B17_Assessment!$A$68</f>
        <v>B17-Q6</v>
      </c>
      <c r="D389" s="142" t="str">
        <f>B17_Assessment!$B$68</f>
        <v>Are B17-TR118A/B sources, rack receptacles, SPDs, circuit labels and load measurements approved?</v>
      </c>
      <c r="E389" s="142" t="str">
        <f>B17_Assessment!$C$68</f>
        <v>Electrical / Designer</v>
      </c>
      <c r="F389" s="106" t="str">
        <f>B17_Assessment!$D$68</f>
        <v>Closed</v>
      </c>
      <c r="G389" s="106">
        <f>B17_Assessment!$E$68</f>
        <v>0</v>
      </c>
      <c r="H389" s="106">
        <f>B17_Assessment!$F$68</f>
        <v>0</v>
      </c>
      <c r="I389" s="106" t="str">
        <f>B17_Assessment!$G$68</f>
        <v>Electrical readiness unknown</v>
      </c>
      <c r="J389" s="106">
        <f>B17_Assessment!$H$68</f>
        <v>0</v>
      </c>
      <c r="K389" s="106">
        <f>B17_Assessment!$I$68</f>
        <v>0</v>
      </c>
      <c r="L389" s="106">
        <f>B17_Assessment!$J$68</f>
        <v>0</v>
      </c>
    </row>
    <row r="390" spans="1:12" ht="97.5" customHeight="1">
      <c r="A390" s="106" t="str">
        <f>B17_Assessment!$B$2</f>
        <v>17</v>
      </c>
      <c r="B390" s="106" t="str">
        <f t="shared" si="48"/>
        <v>B17_Assessment</v>
      </c>
      <c r="C390" s="106" t="str">
        <f>B17_Assessment!$A$69</f>
        <v>B17-Q7</v>
      </c>
      <c r="D390" s="142" t="str">
        <f>B17_Assessment!$B$69</f>
        <v>Are all rated wall/floor penetrations, sleeves, cable tray entries and firestopping details identified?</v>
      </c>
      <c r="E390" s="142" t="str">
        <f>B17_Assessment!$C$69</f>
        <v>GC / Firestop</v>
      </c>
      <c r="F390" s="106" t="str">
        <f>B17_Assessment!$D$69</f>
        <v>Closed</v>
      </c>
      <c r="G390" s="106">
        <f>B17_Assessment!$E$69</f>
        <v>0</v>
      </c>
      <c r="H390" s="106">
        <f>B17_Assessment!$F$69</f>
        <v>0</v>
      </c>
      <c r="I390" s="106" t="str">
        <f>B17_Assessment!$G$69</f>
        <v>Fire/smoke spread risk</v>
      </c>
      <c r="J390" s="106">
        <f>B17_Assessment!$H$69</f>
        <v>0</v>
      </c>
      <c r="K390" s="106">
        <f>B17_Assessment!$I$69</f>
        <v>0</v>
      </c>
      <c r="L390" s="106">
        <f>B17_Assessment!$J$69</f>
        <v>0</v>
      </c>
    </row>
    <row r="391" spans="1:12" ht="97.5" customHeight="1">
      <c r="A391" s="106" t="str">
        <f>B17_Assessment!$B$2</f>
        <v>17</v>
      </c>
      <c r="B391" s="106" t="str">
        <f t="shared" si="48"/>
        <v>B17_Assessment</v>
      </c>
      <c r="C391" s="106" t="str">
        <f>B17_Assessment!$A$70</f>
        <v>B17-Q8</v>
      </c>
      <c r="D391" s="142" t="str">
        <f>B17_Assessment!$B$70</f>
        <v>Which third-party inspections and commissioning forms are required before VA acceptance?</v>
      </c>
      <c r="E391" s="142" t="str">
        <f>B17_Assessment!$C$70</f>
        <v>GC / Cx Manager</v>
      </c>
      <c r="F391" s="106" t="str">
        <f>B17_Assessment!$D$70</f>
        <v>Closed</v>
      </c>
      <c r="G391" s="106">
        <f>B17_Assessment!$E$70</f>
        <v>0</v>
      </c>
      <c r="H391" s="106">
        <f>B17_Assessment!$F$70</f>
        <v>0</v>
      </c>
      <c r="I391" s="106" t="str">
        <f>B17_Assessment!$G$70</f>
        <v>Turnover package gap</v>
      </c>
      <c r="J391" s="106">
        <f>B17_Assessment!$H$70</f>
        <v>0</v>
      </c>
      <c r="K391" s="106">
        <f>B17_Assessment!$I$70</f>
        <v>0</v>
      </c>
      <c r="L391" s="106">
        <f>B17_Assessment!$J$70</f>
        <v>0</v>
      </c>
    </row>
    <row r="392" spans="1:12" ht="97.5" customHeight="1">
      <c r="A392" s="106" t="str">
        <f>B18_Assessment!$B$2</f>
        <v>18</v>
      </c>
      <c r="B392" s="106" t="str">
        <f t="shared" si="48"/>
        <v>B17_Assessment</v>
      </c>
      <c r="C392" s="106" t="str">
        <f>B18_Assessment!$A$63</f>
        <v>B18-Q1</v>
      </c>
      <c r="D392" s="142" t="str">
        <f>B18_Assessment!$B$63</f>
        <v>Confirm final telecom scope: new Room 110 with existing 111B and 213 transition only?</v>
      </c>
      <c r="E392" s="142" t="str">
        <f>B18_Assessment!$C$63</f>
        <v>VA / OIT / Designer</v>
      </c>
      <c r="F392" s="106" t="str">
        <f>B18_Assessment!$D$63</f>
        <v>Closed</v>
      </c>
      <c r="G392" s="106">
        <f>B18_Assessment!$E$63</f>
        <v>0</v>
      </c>
      <c r="H392" s="106">
        <f>B18_Assessment!$F$63</f>
        <v>0</v>
      </c>
      <c r="I392" s="106" t="str">
        <f>B18_Assessment!$G$63</f>
        <v>Room inventory or PMIS mapping could miss scope</v>
      </c>
      <c r="J392" s="106">
        <f>B18_Assessment!$H$63</f>
        <v>0</v>
      </c>
      <c r="K392" s="106">
        <f>B18_Assessment!$I$63</f>
        <v>0</v>
      </c>
      <c r="L392" s="106">
        <f>B18_Assessment!$J$63</f>
        <v>0</v>
      </c>
    </row>
    <row r="393" spans="1:12" ht="97.5" customHeight="1">
      <c r="A393" s="106" t="str">
        <f>B18_Assessment!$B$2</f>
        <v>18</v>
      </c>
      <c r="B393" s="106" t="str">
        <f t="shared" si="48"/>
        <v>B17_Assessment</v>
      </c>
      <c r="C393" s="106" t="str">
        <f>B18_Assessment!$A$64</f>
        <v>B18-Q2</v>
      </c>
      <c r="D393" s="142" t="str">
        <f>B18_Assessment!$B$64</f>
        <v>Why does 18T-701 reference RM 111A while new rack/electrical plans identify Telecom Room 110?</v>
      </c>
      <c r="E393" s="142" t="str">
        <f>B18_Assessment!$C$64</f>
        <v>VA / Designer / OIT</v>
      </c>
      <c r="F393" s="106" t="str">
        <f>B18_Assessment!$D$64</f>
        <v>Closed</v>
      </c>
      <c r="G393" s="106">
        <f>B18_Assessment!$E$64</f>
        <v>0</v>
      </c>
      <c r="H393" s="106">
        <f>B18_Assessment!$F$64</f>
        <v>0</v>
      </c>
      <c r="I393" s="106" t="str">
        <f>B18_Assessment!$G$64</f>
        <v>Room naming mismatch could affect PMIS tracking</v>
      </c>
      <c r="J393" s="106">
        <f>B18_Assessment!$H$64</f>
        <v>0</v>
      </c>
      <c r="K393" s="106">
        <f>B18_Assessment!$I$64</f>
        <v>0</v>
      </c>
      <c r="L393" s="106">
        <f>B18_Assessment!$J$64</f>
        <v>0</v>
      </c>
    </row>
    <row r="394" spans="1:12" ht="97.5" customHeight="1">
      <c r="A394" s="106" t="str">
        <f>B18_Assessment!$B$2</f>
        <v>18</v>
      </c>
      <c r="B394" s="106" t="str">
        <f t="shared" si="48"/>
        <v>B17_Assessment</v>
      </c>
      <c r="C394" s="106" t="str">
        <f>B18_Assessment!$A$65</f>
        <v>B18-Q3</v>
      </c>
      <c r="D394" s="142" t="str">
        <f>B18_Assessment!$B$65</f>
        <v>What active services are currently fed from existing 111B and 213 equipment?</v>
      </c>
      <c r="E394" s="142" t="str">
        <f>B18_Assessment!$C$65</f>
        <v>OIT / Contractor</v>
      </c>
      <c r="F394" s="106" t="str">
        <f>B18_Assessment!$D$65</f>
        <v>Closed</v>
      </c>
      <c r="G394" s="106">
        <f>B18_Assessment!$E$65</f>
        <v>0</v>
      </c>
      <c r="H394" s="106">
        <f>B18_Assessment!$F$65</f>
        <v>0</v>
      </c>
      <c r="I394" s="106" t="str">
        <f>B18_Assessment!$G$65</f>
        <v>Potential communications/security outage</v>
      </c>
      <c r="J394" s="106">
        <f>B18_Assessment!$H$65</f>
        <v>0</v>
      </c>
      <c r="K394" s="106">
        <f>B18_Assessment!$I$65</f>
        <v>0</v>
      </c>
      <c r="L394" s="106">
        <f>B18_Assessment!$J$65</f>
        <v>0</v>
      </c>
    </row>
    <row r="395" spans="1:12" ht="97.5" customHeight="1">
      <c r="A395" s="106" t="str">
        <f>B18_Assessment!$B$2</f>
        <v>18</v>
      </c>
      <c r="B395" s="106" t="str">
        <f t="shared" si="48"/>
        <v>B17_Assessment</v>
      </c>
      <c r="C395" s="106" t="str">
        <f>B18_Assessment!$A$66</f>
        <v>B18-Q4</v>
      </c>
      <c r="D395" s="142" t="str">
        <f>B18_Assessment!$B$66</f>
        <v>Is IU-1-01/CU-1-01 on emergency/backup power and dedicated to Room 110?</v>
      </c>
      <c r="E395" s="142" t="str">
        <f>B18_Assessment!$C$66</f>
        <v>Mechanical / Electrical / VA</v>
      </c>
      <c r="F395" s="106" t="str">
        <f>B18_Assessment!$D$66</f>
        <v>Closed</v>
      </c>
      <c r="G395" s="106">
        <f>B18_Assessment!$E$66</f>
        <v>0</v>
      </c>
      <c r="H395" s="106">
        <f>B18_Assessment!$F$66</f>
        <v>0</v>
      </c>
      <c r="I395" s="106" t="str">
        <f>B18_Assessment!$G$66</f>
        <v>Cooling continuity unclear</v>
      </c>
      <c r="J395" s="106">
        <f>B18_Assessment!$H$66</f>
        <v>0</v>
      </c>
      <c r="K395" s="106">
        <f>B18_Assessment!$I$66</f>
        <v>0</v>
      </c>
      <c r="L395" s="106">
        <f>B18_Assessment!$J$66</f>
        <v>0</v>
      </c>
    </row>
    <row r="396" spans="1:12" ht="97.5" customHeight="1">
      <c r="A396" s="106" t="str">
        <f>B18_Assessment!$B$2</f>
        <v>18</v>
      </c>
      <c r="B396" s="106" t="str">
        <f t="shared" si="48"/>
        <v>B17_Assessment</v>
      </c>
      <c r="C396" s="106" t="str">
        <f>B18_Assessment!$A$67</f>
        <v>B18-Q5</v>
      </c>
      <c r="D396" s="142" t="str">
        <f>B18_Assessment!$B$67</f>
        <v>Where is the clean-agent/CO2 extinguisher cabinet located within 75 ft of Room 110?</v>
      </c>
      <c r="E396" s="142" t="str">
        <f>B18_Assessment!$C$67</f>
        <v>GC / COR</v>
      </c>
      <c r="F396" s="106" t="str">
        <f>B18_Assessment!$D$67</f>
        <v>Closed</v>
      </c>
      <c r="G396" s="106">
        <f>B18_Assessment!$E$67</f>
        <v>0</v>
      </c>
      <c r="H396" s="106">
        <f>B18_Assessment!$F$67</f>
        <v>0</v>
      </c>
      <c r="I396" s="106" t="str">
        <f>B18_Assessment!$G$67</f>
        <v>Life-safety acceptance risk</v>
      </c>
      <c r="J396" s="106">
        <f>B18_Assessment!$H$67</f>
        <v>0</v>
      </c>
      <c r="K396" s="106">
        <f>B18_Assessment!$I$67</f>
        <v>0</v>
      </c>
      <c r="L396" s="106">
        <f>B18_Assessment!$J$67</f>
        <v>0</v>
      </c>
    </row>
    <row r="397" spans="1:12" ht="97.5" customHeight="1">
      <c r="A397" s="106" t="str">
        <f>B18_Assessment!$B$2</f>
        <v>18</v>
      </c>
      <c r="B397" s="106" t="str">
        <f t="shared" ref="B397:B404" si="49">"B18_Assessment"</f>
        <v>B18_Assessment</v>
      </c>
      <c r="C397" s="106" t="str">
        <f>B18_Assessment!$A$68</f>
        <v>B18-Q6</v>
      </c>
      <c r="D397" s="142" t="str">
        <f>B18_Assessment!$B$68</f>
        <v>Are B18-TR110A/B sources, rack receptacles, SPDs, circuit labels and load measurements approved?</v>
      </c>
      <c r="E397" s="142" t="str">
        <f>B18_Assessment!$C$68</f>
        <v>Electrical / Designer</v>
      </c>
      <c r="F397" s="106" t="str">
        <f>B18_Assessment!$D$68</f>
        <v>Closed</v>
      </c>
      <c r="G397" s="106">
        <f>B18_Assessment!$E$68</f>
        <v>0</v>
      </c>
      <c r="H397" s="106">
        <f>B18_Assessment!$F$68</f>
        <v>0</v>
      </c>
      <c r="I397" s="106" t="str">
        <f>B18_Assessment!$G$68</f>
        <v>Electrical readiness unknown</v>
      </c>
      <c r="J397" s="106">
        <f>B18_Assessment!$H$68</f>
        <v>0</v>
      </c>
      <c r="K397" s="106">
        <f>B18_Assessment!$I$68</f>
        <v>0</v>
      </c>
      <c r="L397" s="106">
        <f>B18_Assessment!$J$68</f>
        <v>0</v>
      </c>
    </row>
    <row r="398" spans="1:12" ht="97.5" customHeight="1">
      <c r="A398" s="106" t="str">
        <f>B18_Assessment!$B$2</f>
        <v>18</v>
      </c>
      <c r="B398" s="106" t="str">
        <f t="shared" si="49"/>
        <v>B18_Assessment</v>
      </c>
      <c r="C398" s="106" t="str">
        <f>B18_Assessment!$A$69</f>
        <v>B18-Q7</v>
      </c>
      <c r="D398" s="142" t="str">
        <f>B18_Assessment!$B$69</f>
        <v>Are all rated wall/floor penetrations, sleeves, cable tray entries and firestopping details identified?</v>
      </c>
      <c r="E398" s="142" t="str">
        <f>B18_Assessment!$C$69</f>
        <v>GC / Firestop</v>
      </c>
      <c r="F398" s="106" t="str">
        <f>B18_Assessment!$D$69</f>
        <v>Closed</v>
      </c>
      <c r="G398" s="106">
        <f>B18_Assessment!$E$69</f>
        <v>0</v>
      </c>
      <c r="H398" s="106">
        <f>B18_Assessment!$F$69</f>
        <v>0</v>
      </c>
      <c r="I398" s="106" t="str">
        <f>B18_Assessment!$G$69</f>
        <v>Fire/smoke spread risk</v>
      </c>
      <c r="J398" s="106">
        <f>B18_Assessment!$H$69</f>
        <v>0</v>
      </c>
      <c r="K398" s="106">
        <f>B18_Assessment!$I$69</f>
        <v>0</v>
      </c>
      <c r="L398" s="106">
        <f>B18_Assessment!$J$69</f>
        <v>0</v>
      </c>
    </row>
    <row r="399" spans="1:12" ht="97.5" customHeight="1">
      <c r="A399" s="106" t="str">
        <f>B18_Assessment!$B$2</f>
        <v>18</v>
      </c>
      <c r="B399" s="106" t="str">
        <f t="shared" si="49"/>
        <v>B18_Assessment</v>
      </c>
      <c r="C399" s="106" t="str">
        <f>B18_Assessment!$A$70</f>
        <v>B18-Q8</v>
      </c>
      <c r="D399" s="142" t="str">
        <f>B18_Assessment!$B$70</f>
        <v>Which third-party inspections and commissioning forms are required before VA acceptance?</v>
      </c>
      <c r="E399" s="142" t="str">
        <f>B18_Assessment!$C$70</f>
        <v>GC / Cx Manager</v>
      </c>
      <c r="F399" s="106" t="str">
        <f>B18_Assessment!$D$70</f>
        <v>Closed</v>
      </c>
      <c r="G399" s="106">
        <f>B18_Assessment!$E$70</f>
        <v>0</v>
      </c>
      <c r="H399" s="106">
        <f>B18_Assessment!$F$70</f>
        <v>0</v>
      </c>
      <c r="I399" s="106" t="str">
        <f>B18_Assessment!$G$70</f>
        <v>Turnover package gap</v>
      </c>
      <c r="J399" s="106">
        <f>B18_Assessment!$H$70</f>
        <v>0</v>
      </c>
      <c r="K399" s="106">
        <f>B18_Assessment!$I$70</f>
        <v>0</v>
      </c>
      <c r="L399" s="106">
        <f>B18_Assessment!$J$70</f>
        <v>0</v>
      </c>
    </row>
    <row r="400" spans="1:12" ht="97.5" customHeight="1">
      <c r="A400" s="106" t="str">
        <f>B20_Assessment!$B$2</f>
        <v>20</v>
      </c>
      <c r="B400" s="106" t="str">
        <f t="shared" si="49"/>
        <v>B18_Assessment</v>
      </c>
      <c r="C400" s="106" t="str">
        <f>B20_Assessment!$A$56</f>
        <v>B20-Q1</v>
      </c>
      <c r="D400" s="142" t="str">
        <f>B20_Assessment!$B$56</f>
        <v>Confirm final scope: new wall-mount TE enclosure in Office 1B and existing Tel/Data Closet 8A transition only?</v>
      </c>
      <c r="E400" s="142" t="str">
        <f>B20_Assessment!$C$56</f>
        <v>VA / OIT / Designer</v>
      </c>
      <c r="F400" s="106" t="str">
        <f>B20_Assessment!$D$56</f>
        <v>Closed</v>
      </c>
      <c r="G400" s="106">
        <f>B20_Assessment!$E$56</f>
        <v>0</v>
      </c>
      <c r="H400" s="106">
        <f>B20_Assessment!$F$56</f>
        <v>0</v>
      </c>
      <c r="I400" s="106" t="str">
        <f>B20_Assessment!$G$56</f>
        <v>Room inventory or PMIS mapping could miss scope</v>
      </c>
      <c r="J400" s="106">
        <f>B20_Assessment!$H$56</f>
        <v>0</v>
      </c>
      <c r="K400" s="106">
        <f>B20_Assessment!$I$56</f>
        <v>0</v>
      </c>
      <c r="L400" s="106">
        <f>B20_Assessment!$J$56</f>
        <v>0</v>
      </c>
    </row>
    <row r="401" spans="1:12" ht="97.5" customHeight="1">
      <c r="A401" s="106" t="str">
        <f>B20_Assessment!$B$2</f>
        <v>20</v>
      </c>
      <c r="B401" s="106" t="str">
        <f t="shared" si="49"/>
        <v>B18_Assessment</v>
      </c>
      <c r="C401" s="106" t="str">
        <f>B20_Assessment!$A$57</f>
        <v>B20-Q2</v>
      </c>
      <c r="D401" s="142" t="str">
        <f>B20_Assessment!$B$57</f>
        <v>What active services are currently fed from existing 8A open TE cabinet and related equipment?</v>
      </c>
      <c r="E401" s="142" t="str">
        <f>B20_Assessment!$C$57</f>
        <v>OIT / Contractor</v>
      </c>
      <c r="F401" s="106" t="str">
        <f>B20_Assessment!$D$57</f>
        <v>Closed</v>
      </c>
      <c r="G401" s="106">
        <f>B20_Assessment!$E$57</f>
        <v>0</v>
      </c>
      <c r="H401" s="106">
        <f>B20_Assessment!$F$57</f>
        <v>0</v>
      </c>
      <c r="I401" s="106" t="str">
        <f>B20_Assessment!$G$57</f>
        <v>Potential communications/security outage</v>
      </c>
      <c r="J401" s="106">
        <f>B20_Assessment!$H$57</f>
        <v>0</v>
      </c>
      <c r="K401" s="106">
        <f>B20_Assessment!$I$57</f>
        <v>0</v>
      </c>
      <c r="L401" s="106">
        <f>B20_Assessment!$J$57</f>
        <v>0</v>
      </c>
    </row>
    <row r="402" spans="1:12" ht="97.5" customHeight="1">
      <c r="A402" s="106" t="str">
        <f>B20_Assessment!$B$2</f>
        <v>20</v>
      </c>
      <c r="B402" s="106" t="str">
        <f t="shared" si="49"/>
        <v>B18_Assessment</v>
      </c>
      <c r="C402" s="106" t="str">
        <f>B20_Assessment!$A$58</f>
        <v>B20-Q3</v>
      </c>
      <c r="D402" s="142" t="str">
        <f>B20_Assessment!$B$58</f>
        <v>What is the approved power source, receptacle type and circuit capacity for the new APC UPS/PDU in Office 1B?</v>
      </c>
      <c r="E402" s="142" t="str">
        <f>B20_Assessment!$C$58</f>
        <v>Electrical / Designer</v>
      </c>
      <c r="F402" s="106" t="str">
        <f>B20_Assessment!$D$58</f>
        <v>Closed</v>
      </c>
      <c r="G402" s="106">
        <f>B20_Assessment!$E$58</f>
        <v>0</v>
      </c>
      <c r="H402" s="106">
        <f>B20_Assessment!$F$58</f>
        <v>0</v>
      </c>
      <c r="I402" s="106" t="str">
        <f>B20_Assessment!$G$58</f>
        <v>Electrical readiness unknown</v>
      </c>
      <c r="J402" s="106">
        <f>B20_Assessment!$H$58</f>
        <v>0</v>
      </c>
      <c r="K402" s="106">
        <f>B20_Assessment!$I$58</f>
        <v>0</v>
      </c>
      <c r="L402" s="106">
        <f>B20_Assessment!$J$58</f>
        <v>0</v>
      </c>
    </row>
    <row r="403" spans="1:12" ht="97.5" customHeight="1">
      <c r="A403" s="106" t="str">
        <f>B20_Assessment!$B$2</f>
        <v>20</v>
      </c>
      <c r="B403" s="106" t="str">
        <f t="shared" si="49"/>
        <v>B18_Assessment</v>
      </c>
      <c r="C403" s="106" t="str">
        <f>B20_Assessment!$A$59</f>
        <v>B20-Q4</v>
      </c>
      <c r="D403" s="142" t="str">
        <f>B20_Assessment!$B$59</f>
        <v>Is Office 1B HVAC/ambient condition acceptable for a wall-mount TE with UPS/PDU/network switch?</v>
      </c>
      <c r="E403" s="142" t="str">
        <f>B20_Assessment!$C$59</f>
        <v>VA / OIT / Facilities</v>
      </c>
      <c r="F403" s="106" t="str">
        <f>B20_Assessment!$D$59</f>
        <v>Closed</v>
      </c>
      <c r="G403" s="106">
        <f>B20_Assessment!$E$59</f>
        <v>0</v>
      </c>
      <c r="H403" s="106">
        <f>B20_Assessment!$F$59</f>
        <v>0</v>
      </c>
      <c r="I403" s="106" t="str">
        <f>B20_Assessment!$G$59</f>
        <v>Heat/load risk after mechanical scope excluded</v>
      </c>
      <c r="J403" s="106">
        <f>B20_Assessment!$H$59</f>
        <v>0</v>
      </c>
      <c r="K403" s="106">
        <f>B20_Assessment!$I$59</f>
        <v>0</v>
      </c>
      <c r="L403" s="106">
        <f>B20_Assessment!$J$59</f>
        <v>0</v>
      </c>
    </row>
    <row r="404" spans="1:12" ht="97.5" customHeight="1">
      <c r="A404" s="106" t="str">
        <f>B20_Assessment!$B$2</f>
        <v>20</v>
      </c>
      <c r="B404" s="106" t="str">
        <f t="shared" si="49"/>
        <v>B18_Assessment</v>
      </c>
      <c r="C404" s="106" t="str">
        <f>B20_Assessment!$A$60</f>
        <v>B20-Q5</v>
      </c>
      <c r="D404" s="142" t="str">
        <f>B20_Assessment!$B$60</f>
        <v>Are existing cameras/security devices in Building 20 protected and retained with no VMS/PACS changes?</v>
      </c>
      <c r="E404" s="142" t="str">
        <f>B20_Assessment!$C$60</f>
        <v>Security / OIT</v>
      </c>
      <c r="F404" s="106" t="str">
        <f>B20_Assessment!$D$60</f>
        <v>Closed</v>
      </c>
      <c r="G404" s="106">
        <f>B20_Assessment!$E$60</f>
        <v>0</v>
      </c>
      <c r="H404" s="106">
        <f>B20_Assessment!$F$60</f>
        <v>0</v>
      </c>
      <c r="I404" s="106" t="str">
        <f>B20_Assessment!$G$60</f>
        <v>Security continuity unclear</v>
      </c>
      <c r="J404" s="106">
        <f>B20_Assessment!$H$60</f>
        <v>0</v>
      </c>
      <c r="K404" s="106">
        <f>B20_Assessment!$I$60</f>
        <v>0</v>
      </c>
      <c r="L404" s="106">
        <f>B20_Assessment!$J$60</f>
        <v>0</v>
      </c>
    </row>
    <row r="405" spans="1:12" ht="97.5" customHeight="1">
      <c r="A405" s="106" t="str">
        <f>B20_Assessment!$B$2</f>
        <v>20</v>
      </c>
      <c r="B405" s="106" t="str">
        <f t="shared" ref="B405:B412" si="50">"B20_Assessment"</f>
        <v>B20_Assessment</v>
      </c>
      <c r="C405" s="106" t="str">
        <f>B20_Assessment!$A$61</f>
        <v>B20-Q6</v>
      </c>
      <c r="D405" s="142" t="str">
        <f>B20_Assessment!$B$61</f>
        <v>Are all 459 feet of cable tray route, sleeves, supports and firestopping details field verified?</v>
      </c>
      <c r="E405" s="142" t="str">
        <f>B20_Assessment!$C$61</f>
        <v>Telecom / GC / Firestop</v>
      </c>
      <c r="F405" s="106" t="str">
        <f>B20_Assessment!$D$61</f>
        <v>Closed</v>
      </c>
      <c r="G405" s="106">
        <f>B20_Assessment!$E$61</f>
        <v>0</v>
      </c>
      <c r="H405" s="106">
        <f>B20_Assessment!$F$61</f>
        <v>0</v>
      </c>
      <c r="I405" s="106" t="str">
        <f>B20_Assessment!$G$61</f>
        <v>Install delay or firestop gap</v>
      </c>
      <c r="J405" s="106">
        <f>B20_Assessment!$H$61</f>
        <v>0</v>
      </c>
      <c r="K405" s="106">
        <f>B20_Assessment!$I$61</f>
        <v>0</v>
      </c>
      <c r="L405" s="106">
        <f>B20_Assessment!$J$61</f>
        <v>0</v>
      </c>
    </row>
    <row r="406" spans="1:12" ht="97.5" customHeight="1">
      <c r="A406" s="106" t="str">
        <f>B20_Assessment!$B$2</f>
        <v>20</v>
      </c>
      <c r="B406" s="106" t="str">
        <f t="shared" si="50"/>
        <v>B20_Assessment</v>
      </c>
      <c r="C406" s="106" t="str">
        <f>B20_Assessment!$A$62</f>
        <v>B20-Q7</v>
      </c>
      <c r="D406" s="142" t="str">
        <f>B20_Assessment!$B$62</f>
        <v>Are the 10 new Cat6A cross-connect cables from existing TE to new TE location coordinated and labeled?</v>
      </c>
      <c r="E406" s="142" t="str">
        <f>B20_Assessment!$C$62</f>
        <v>Telecom / OIT</v>
      </c>
      <c r="F406" s="106" t="str">
        <f>B20_Assessment!$D$62</f>
        <v>Closed</v>
      </c>
      <c r="G406" s="106">
        <f>B20_Assessment!$E$62</f>
        <v>0</v>
      </c>
      <c r="H406" s="106">
        <f>B20_Assessment!$F$62</f>
        <v>0</v>
      </c>
      <c r="I406" s="106" t="str">
        <f>B20_Assessment!$G$62</f>
        <v>Cutover and labeling risk</v>
      </c>
      <c r="J406" s="106">
        <f>B20_Assessment!$H$62</f>
        <v>0</v>
      </c>
      <c r="K406" s="106">
        <f>B20_Assessment!$I$62</f>
        <v>0</v>
      </c>
      <c r="L406" s="106">
        <f>B20_Assessment!$J$62</f>
        <v>0</v>
      </c>
    </row>
    <row r="407" spans="1:12" ht="97.5" customHeight="1">
      <c r="A407" s="106" t="str">
        <f>B20_Assessment!$B$2</f>
        <v>20</v>
      </c>
      <c r="B407" s="106" t="str">
        <f t="shared" si="50"/>
        <v>B20_Assessment</v>
      </c>
      <c r="C407" s="106" t="str">
        <f>B20_Assessment!$A$63</f>
        <v>B20-Q8</v>
      </c>
      <c r="D407" s="142" t="str">
        <f>B20_Assessment!$B$63</f>
        <v>Which test records and turnover documents are required for TE-only acceptance?</v>
      </c>
      <c r="E407" s="142" t="str">
        <f>B20_Assessment!$C$63</f>
        <v>GC / Cx Manager / OIT</v>
      </c>
      <c r="F407" s="106" t="str">
        <f>B20_Assessment!$D$63</f>
        <v>Closed</v>
      </c>
      <c r="G407" s="106">
        <f>B20_Assessment!$E$63</f>
        <v>0</v>
      </c>
      <c r="H407" s="106">
        <f>B20_Assessment!$F$63</f>
        <v>0</v>
      </c>
      <c r="I407" s="106" t="str">
        <f>B20_Assessment!$G$63</f>
        <v>Turnover package gap</v>
      </c>
      <c r="J407" s="106">
        <f>B20_Assessment!$H$63</f>
        <v>0</v>
      </c>
      <c r="K407" s="106">
        <f>B20_Assessment!$I$63</f>
        <v>0</v>
      </c>
      <c r="L407" s="106">
        <f>B20_Assessment!$J$63</f>
        <v>0</v>
      </c>
    </row>
    <row r="408" spans="1:12" ht="97.5" customHeight="1">
      <c r="A408" s="106" t="str">
        <f>B21_Assessment!$B$2</f>
        <v>21</v>
      </c>
      <c r="B408" s="106" t="str">
        <f t="shared" si="50"/>
        <v>B20_Assessment</v>
      </c>
      <c r="C408" s="106" t="str">
        <f>B21_Assessment!$A$63</f>
        <v>B21-Q1</v>
      </c>
      <c r="D408" s="142" t="str">
        <f>B21_Assessment!$B$63</f>
        <v>Confirm final scope: new TE enclosure at Room 100A/RM 104 and existing B21 B1.TR plus B19 B05TR transition?</v>
      </c>
      <c r="E408" s="142" t="str">
        <f>B21_Assessment!$C$63</f>
        <v>VA / OIT / Designer</v>
      </c>
      <c r="F408" s="106" t="str">
        <f>B21_Assessment!$D$63</f>
        <v>Closed</v>
      </c>
      <c r="G408" s="106">
        <f>B21_Assessment!$E$63</f>
        <v>0</v>
      </c>
      <c r="H408" s="106">
        <f>B21_Assessment!$F$63</f>
        <v>0</v>
      </c>
      <c r="I408" s="106" t="str">
        <f>B21_Assessment!$G$63</f>
        <v>Room inventory or PMIS mapping could miss scope</v>
      </c>
      <c r="J408" s="106">
        <f>B21_Assessment!$H$63</f>
        <v>0</v>
      </c>
      <c r="K408" s="106">
        <f>B21_Assessment!$I$63</f>
        <v>0</v>
      </c>
      <c r="L408" s="106">
        <f>B21_Assessment!$J$63</f>
        <v>0</v>
      </c>
    </row>
    <row r="409" spans="1:12" ht="97.5" customHeight="1">
      <c r="A409" s="106" t="str">
        <f>B21_Assessment!$B$2</f>
        <v>21</v>
      </c>
      <c r="B409" s="106" t="str">
        <f t="shared" si="50"/>
        <v>B20_Assessment</v>
      </c>
      <c r="C409" s="106" t="str">
        <f>B21_Assessment!$A$64</f>
        <v>B21-Q2</v>
      </c>
      <c r="D409" s="142" t="str">
        <f>B21_Assessment!$B$64</f>
        <v>Why does 21_19T-701 list RM 104 / TR01-104-1 while enlarged plan identifies Room 100A?</v>
      </c>
      <c r="E409" s="142" t="str">
        <f>B21_Assessment!$C$64</f>
        <v>VA / Designer / OIT</v>
      </c>
      <c r="F409" s="106" t="str">
        <f>B21_Assessment!$D$64</f>
        <v>Closed</v>
      </c>
      <c r="G409" s="106">
        <f>B21_Assessment!$E$64</f>
        <v>0</v>
      </c>
      <c r="H409" s="106">
        <f>B21_Assessment!$F$64</f>
        <v>0</v>
      </c>
      <c r="I409" s="106" t="str">
        <f>B21_Assessment!$G$64</f>
        <v>Room naming mismatch could affect PMIS tracking</v>
      </c>
      <c r="J409" s="106">
        <f>B21_Assessment!$H$64</f>
        <v>0</v>
      </c>
      <c r="K409" s="106">
        <f>B21_Assessment!$I$64</f>
        <v>0</v>
      </c>
      <c r="L409" s="106">
        <f>B21_Assessment!$J$64</f>
        <v>0</v>
      </c>
    </row>
    <row r="410" spans="1:12" ht="97.5" customHeight="1">
      <c r="A410" s="106" t="str">
        <f>B21_Assessment!$B$2</f>
        <v>21</v>
      </c>
      <c r="B410" s="106" t="str">
        <f t="shared" si="50"/>
        <v>B20_Assessment</v>
      </c>
      <c r="C410" s="106" t="str">
        <f>B21_Assessment!$A$65</f>
        <v>B21-Q3</v>
      </c>
      <c r="D410" s="142" t="str">
        <f>B21_Assessment!$B$65</f>
        <v>What active services are currently fed from existing B21 B1.TR and B19 B05TR equipment?</v>
      </c>
      <c r="E410" s="142" t="str">
        <f>B21_Assessment!$C$65</f>
        <v>OIT / Contractor</v>
      </c>
      <c r="F410" s="106" t="str">
        <f>B21_Assessment!$D$65</f>
        <v>Closed</v>
      </c>
      <c r="G410" s="106">
        <f>B21_Assessment!$E$65</f>
        <v>0</v>
      </c>
      <c r="H410" s="106">
        <f>B21_Assessment!$F$65</f>
        <v>0</v>
      </c>
      <c r="I410" s="106" t="str">
        <f>B21_Assessment!$G$65</f>
        <v>Potential communications/security outage</v>
      </c>
      <c r="J410" s="106">
        <f>B21_Assessment!$H$65</f>
        <v>0</v>
      </c>
      <c r="K410" s="106">
        <f>B21_Assessment!$I$65</f>
        <v>0</v>
      </c>
      <c r="L410" s="106">
        <f>B21_Assessment!$J$65</f>
        <v>0</v>
      </c>
    </row>
    <row r="411" spans="1:12" ht="97.5" customHeight="1">
      <c r="A411" s="106" t="str">
        <f>B21_Assessment!$B$2</f>
        <v>21</v>
      </c>
      <c r="B411" s="106" t="str">
        <f t="shared" si="50"/>
        <v>B20_Assessment</v>
      </c>
      <c r="C411" s="106" t="str">
        <f>B21_Assessment!$A$66</f>
        <v>B21-Q4</v>
      </c>
      <c r="D411" s="142" t="str">
        <f>B21_Assessment!$B$66</f>
        <v>What exactly is meant by '19 serving 21' on the new TE enclosure elevation?</v>
      </c>
      <c r="E411" s="142" t="str">
        <f>B21_Assessment!$C$66</f>
        <v>VA / OIT / Designer</v>
      </c>
      <c r="F411" s="106" t="str">
        <f>B21_Assessment!$D$66</f>
        <v>Closed</v>
      </c>
      <c r="G411" s="106">
        <f>B21_Assessment!$E$66</f>
        <v>0</v>
      </c>
      <c r="H411" s="106">
        <f>B21_Assessment!$F$66</f>
        <v>0</v>
      </c>
      <c r="I411" s="106" t="str">
        <f>B21_Assessment!$G$66</f>
        <v>Building 19/21 boundary unclear</v>
      </c>
      <c r="J411" s="106">
        <f>B21_Assessment!$H$66</f>
        <v>0</v>
      </c>
      <c r="K411" s="106">
        <f>B21_Assessment!$I$66</f>
        <v>0</v>
      </c>
      <c r="L411" s="106">
        <f>B21_Assessment!$J$66</f>
        <v>0</v>
      </c>
    </row>
    <row r="412" spans="1:12" ht="97.5" customHeight="1">
      <c r="A412" s="106" t="str">
        <f>B21_Assessment!$B$2</f>
        <v>21</v>
      </c>
      <c r="B412" s="106" t="str">
        <f t="shared" si="50"/>
        <v>B20_Assessment</v>
      </c>
      <c r="C412" s="106" t="str">
        <f>B21_Assessment!$A$67</f>
        <v>B21-Q5</v>
      </c>
      <c r="D412" s="142" t="str">
        <f>B21_Assessment!$B$67</f>
        <v>What is the approved power source, receptacle type and circuit capacity for the new APC UPS/PDU in 100A?</v>
      </c>
      <c r="E412" s="142" t="str">
        <f>B21_Assessment!$C$67</f>
        <v>Electrical / Designer</v>
      </c>
      <c r="F412" s="106" t="str">
        <f>B21_Assessment!$D$67</f>
        <v>Closed</v>
      </c>
      <c r="G412" s="106">
        <f>B21_Assessment!$E$67</f>
        <v>0</v>
      </c>
      <c r="H412" s="106">
        <f>B21_Assessment!$F$67</f>
        <v>0</v>
      </c>
      <c r="I412" s="106" t="str">
        <f>B21_Assessment!$G$67</f>
        <v>Electrical readiness unknown</v>
      </c>
      <c r="J412" s="106">
        <f>B21_Assessment!$H$67</f>
        <v>0</v>
      </c>
      <c r="K412" s="106">
        <f>B21_Assessment!$I$67</f>
        <v>0</v>
      </c>
      <c r="L412" s="106">
        <f>B21_Assessment!$J$67</f>
        <v>0</v>
      </c>
    </row>
    <row r="413" spans="1:12" ht="97.5" customHeight="1">
      <c r="A413" s="106" t="str">
        <f>B21_Assessment!$B$2</f>
        <v>21</v>
      </c>
      <c r="B413" s="106" t="str">
        <f t="shared" ref="B413:B420" si="51">"B21_Assessment"</f>
        <v>B21_Assessment</v>
      </c>
      <c r="C413" s="106" t="str">
        <f>B21_Assessment!$A$68</f>
        <v>B21-Q6</v>
      </c>
      <c r="D413" s="142" t="str">
        <f>B21_Assessment!$B$68</f>
        <v>Are all 659 ft of cable tray route, sleeves, supports and firestopping details field verified?</v>
      </c>
      <c r="E413" s="142" t="str">
        <f>B21_Assessment!$C$68</f>
        <v>Telecom / GC / Firestop</v>
      </c>
      <c r="F413" s="106" t="str">
        <f>B21_Assessment!$D$68</f>
        <v>Closed</v>
      </c>
      <c r="G413" s="106">
        <f>B21_Assessment!$E$68</f>
        <v>0</v>
      </c>
      <c r="H413" s="106">
        <f>B21_Assessment!$F$68</f>
        <v>0</v>
      </c>
      <c r="I413" s="106" t="str">
        <f>B21_Assessment!$G$68</f>
        <v>Install delay or firestop gap</v>
      </c>
      <c r="J413" s="106">
        <f>B21_Assessment!$H$68</f>
        <v>0</v>
      </c>
      <c r="K413" s="106">
        <f>B21_Assessment!$I$68</f>
        <v>0</v>
      </c>
      <c r="L413" s="106">
        <f>B21_Assessment!$J$68</f>
        <v>0</v>
      </c>
    </row>
    <row r="414" spans="1:12" ht="97.5" customHeight="1">
      <c r="A414" s="106" t="str">
        <f>B21_Assessment!$B$2</f>
        <v>21</v>
      </c>
      <c r="B414" s="106" t="str">
        <f t="shared" si="51"/>
        <v>B21_Assessment</v>
      </c>
      <c r="C414" s="106" t="str">
        <f>B21_Assessment!$A$69</f>
        <v>B21-Q7</v>
      </c>
      <c r="D414" s="142" t="str">
        <f>B21_Assessment!$B$69</f>
        <v>Are the 10 new Cat6A cross-connect cables from existing TE to new TE location coordinated and labeled?</v>
      </c>
      <c r="E414" s="142" t="str">
        <f>B21_Assessment!$C$69</f>
        <v>Telecom / OIT</v>
      </c>
      <c r="F414" s="106" t="str">
        <f>B21_Assessment!$D$69</f>
        <v>Closed</v>
      </c>
      <c r="G414" s="106">
        <f>B21_Assessment!$E$69</f>
        <v>0</v>
      </c>
      <c r="H414" s="106">
        <f>B21_Assessment!$F$69</f>
        <v>0</v>
      </c>
      <c r="I414" s="106" t="str">
        <f>B21_Assessment!$G$69</f>
        <v>Cutover and labeling risk</v>
      </c>
      <c r="J414" s="106">
        <f>B21_Assessment!$H$69</f>
        <v>0</v>
      </c>
      <c r="K414" s="106">
        <f>B21_Assessment!$I$69</f>
        <v>0</v>
      </c>
      <c r="L414" s="106">
        <f>B21_Assessment!$J$69</f>
        <v>0</v>
      </c>
    </row>
    <row r="415" spans="1:12" ht="97.5" customHeight="1">
      <c r="A415" s="106" t="str">
        <f>B21_Assessment!$B$2</f>
        <v>21</v>
      </c>
      <c r="B415" s="106" t="str">
        <f t="shared" si="51"/>
        <v>B21_Assessment</v>
      </c>
      <c r="C415" s="106" t="str">
        <f>B21_Assessment!$A$70</f>
        <v>B21-Q8</v>
      </c>
      <c r="D415" s="142" t="str">
        <f>B21_Assessment!$B$70</f>
        <v>Which test records and turnover documents are required for TE-only acceptance?</v>
      </c>
      <c r="E415" s="142" t="str">
        <f>B21_Assessment!$C$70</f>
        <v>GC / Cx Manager / OIT</v>
      </c>
      <c r="F415" s="106" t="str">
        <f>B21_Assessment!$D$70</f>
        <v>Closed</v>
      </c>
      <c r="G415" s="106">
        <f>B21_Assessment!$E$70</f>
        <v>0</v>
      </c>
      <c r="H415" s="106">
        <f>B21_Assessment!$F$70</f>
        <v>0</v>
      </c>
      <c r="I415" s="106" t="str">
        <f>B21_Assessment!$G$70</f>
        <v>Turnover package gap</v>
      </c>
      <c r="J415" s="106">
        <f>B21_Assessment!$H$70</f>
        <v>0</v>
      </c>
      <c r="K415" s="106">
        <f>B21_Assessment!$I$70</f>
        <v>0</v>
      </c>
      <c r="L415" s="106">
        <f>B21_Assessment!$J$70</f>
        <v>0</v>
      </c>
    </row>
    <row r="416" spans="1:12" ht="97.5" customHeight="1">
      <c r="A416" s="106" t="str">
        <f>B22_Assessment!$B$2</f>
        <v>22</v>
      </c>
      <c r="B416" s="106" t="str">
        <f t="shared" si="51"/>
        <v>B21_Assessment</v>
      </c>
      <c r="C416" s="106" t="str">
        <f>B22_Assessment!$A$56</f>
        <v>B22-Q1</v>
      </c>
      <c r="D416" s="142" t="str">
        <f>B22_Assessment!$B$56</f>
        <v>Confirm final scope: new wall-mount TE enclosure in Break Room 102 and existing Room 103 transition only?</v>
      </c>
      <c r="E416" s="142" t="str">
        <f>B22_Assessment!$C$56</f>
        <v>VA / OIT / Designer</v>
      </c>
      <c r="F416" s="106" t="str">
        <f>B22_Assessment!$D$56</f>
        <v>Closed</v>
      </c>
      <c r="G416" s="106">
        <f>B22_Assessment!$E$56</f>
        <v>0</v>
      </c>
      <c r="H416" s="106">
        <f>B22_Assessment!$F$56</f>
        <v>0</v>
      </c>
      <c r="I416" s="106" t="str">
        <f>B22_Assessment!$G$56</f>
        <v>Room inventory or PMIS mapping could miss scope</v>
      </c>
      <c r="J416" s="106">
        <f>B22_Assessment!$H$56</f>
        <v>0</v>
      </c>
      <c r="K416" s="106">
        <f>B22_Assessment!$I$56</f>
        <v>0</v>
      </c>
      <c r="L416" s="106">
        <f>B22_Assessment!$J$56</f>
        <v>0</v>
      </c>
    </row>
    <row r="417" spans="1:12" ht="97.5" customHeight="1">
      <c r="A417" s="106" t="str">
        <f>B22_Assessment!$B$2</f>
        <v>22</v>
      </c>
      <c r="B417" s="106" t="str">
        <f t="shared" si="51"/>
        <v>B21_Assessment</v>
      </c>
      <c r="C417" s="106" t="str">
        <f>B22_Assessment!$A$57</f>
        <v>B22-Q2</v>
      </c>
      <c r="D417" s="142" t="str">
        <f>B22_Assessment!$B$57</f>
        <v>What active services are currently fed from existing Room 103 equipment?</v>
      </c>
      <c r="E417" s="142" t="str">
        <f>B22_Assessment!$C$57</f>
        <v>OIT / Contractor</v>
      </c>
      <c r="F417" s="106" t="str">
        <f>B22_Assessment!$D$57</f>
        <v>Closed</v>
      </c>
      <c r="G417" s="106">
        <f>B22_Assessment!$E$57</f>
        <v>0</v>
      </c>
      <c r="H417" s="106">
        <f>B22_Assessment!$F$57</f>
        <v>0</v>
      </c>
      <c r="I417" s="106" t="str">
        <f>B22_Assessment!$G$57</f>
        <v>Potential communications/security outage</v>
      </c>
      <c r="J417" s="106">
        <f>B22_Assessment!$H$57</f>
        <v>0</v>
      </c>
      <c r="K417" s="106">
        <f>B22_Assessment!$I$57</f>
        <v>0</v>
      </c>
      <c r="L417" s="106">
        <f>B22_Assessment!$J$57</f>
        <v>0</v>
      </c>
    </row>
    <row r="418" spans="1:12" ht="97.5" customHeight="1">
      <c r="A418" s="106" t="str">
        <f>B22_Assessment!$B$2</f>
        <v>22</v>
      </c>
      <c r="B418" s="106" t="str">
        <f t="shared" si="51"/>
        <v>B21_Assessment</v>
      </c>
      <c r="C418" s="106" t="str">
        <f>B22_Assessment!$A$58</f>
        <v>B22-Q3</v>
      </c>
      <c r="D418" s="142" t="str">
        <f>B22_Assessment!$B$58</f>
        <v>What is the approved power source, receptacle type and circuit capacity for the new APC UPS/PDU in Room 102?</v>
      </c>
      <c r="E418" s="142" t="str">
        <f>B22_Assessment!$C$58</f>
        <v>Electrical / Designer</v>
      </c>
      <c r="F418" s="106" t="str">
        <f>B22_Assessment!$D$58</f>
        <v>Closed</v>
      </c>
      <c r="G418" s="106">
        <f>B22_Assessment!$E$58</f>
        <v>0</v>
      </c>
      <c r="H418" s="106">
        <f>B22_Assessment!$F$58</f>
        <v>0</v>
      </c>
      <c r="I418" s="106" t="str">
        <f>B22_Assessment!$G$58</f>
        <v>Electrical readiness unknown</v>
      </c>
      <c r="J418" s="106">
        <f>B22_Assessment!$H$58</f>
        <v>0</v>
      </c>
      <c r="K418" s="106">
        <f>B22_Assessment!$I$58</f>
        <v>0</v>
      </c>
      <c r="L418" s="106">
        <f>B22_Assessment!$J$58</f>
        <v>0</v>
      </c>
    </row>
    <row r="419" spans="1:12" ht="97.5" customHeight="1">
      <c r="A419" s="106" t="str">
        <f>B22_Assessment!$B$2</f>
        <v>22</v>
      </c>
      <c r="B419" s="106" t="str">
        <f t="shared" si="51"/>
        <v>B21_Assessment</v>
      </c>
      <c r="C419" s="106" t="str">
        <f>B22_Assessment!$A$59</f>
        <v>B22-Q4</v>
      </c>
      <c r="D419" s="142" t="str">
        <f>B22_Assessment!$B$59</f>
        <v>Is Break Room 102 HVAC/ambient condition acceptable for a wall-mount TE with UPS/PDU/network switch?</v>
      </c>
      <c r="E419" s="142" t="str">
        <f>B22_Assessment!$C$59</f>
        <v>VA / OIT / Facilities</v>
      </c>
      <c r="F419" s="106" t="str">
        <f>B22_Assessment!$D$59</f>
        <v>Closed</v>
      </c>
      <c r="G419" s="106">
        <f>B22_Assessment!$E$59</f>
        <v>0</v>
      </c>
      <c r="H419" s="106">
        <f>B22_Assessment!$F$59</f>
        <v>0</v>
      </c>
      <c r="I419" s="106" t="str">
        <f>B22_Assessment!$G$59</f>
        <v>Heat/load risk after mechanical scope excluded</v>
      </c>
      <c r="J419" s="106">
        <f>B22_Assessment!$H$59</f>
        <v>0</v>
      </c>
      <c r="K419" s="106">
        <f>B22_Assessment!$I$59</f>
        <v>0</v>
      </c>
      <c r="L419" s="106">
        <f>B22_Assessment!$J$59</f>
        <v>0</v>
      </c>
    </row>
    <row r="420" spans="1:12" ht="97.5" customHeight="1">
      <c r="A420" s="106" t="str">
        <f>B22_Assessment!$B$2</f>
        <v>22</v>
      </c>
      <c r="B420" s="106" t="str">
        <f t="shared" si="51"/>
        <v>B21_Assessment</v>
      </c>
      <c r="C420" s="106" t="str">
        <f>B22_Assessment!$A$60</f>
        <v>B22-Q5</v>
      </c>
      <c r="D420" s="142" t="str">
        <f>B22_Assessment!$B$60</f>
        <v>Are existing cameras/security devices in Building 22 protected and retained with no VMS/PACS changes?</v>
      </c>
      <c r="E420" s="142" t="str">
        <f>B22_Assessment!$C$60</f>
        <v>Security / OIT</v>
      </c>
      <c r="F420" s="106" t="str">
        <f>B22_Assessment!$D$60</f>
        <v>Closed</v>
      </c>
      <c r="G420" s="106">
        <f>B22_Assessment!$E$60</f>
        <v>0</v>
      </c>
      <c r="H420" s="106">
        <f>B22_Assessment!$F$60</f>
        <v>0</v>
      </c>
      <c r="I420" s="106" t="str">
        <f>B22_Assessment!$G$60</f>
        <v>Security continuity unclear</v>
      </c>
      <c r="J420" s="106">
        <f>B22_Assessment!$H$60</f>
        <v>0</v>
      </c>
      <c r="K420" s="106">
        <f>B22_Assessment!$I$60</f>
        <v>0</v>
      </c>
      <c r="L420" s="106">
        <f>B22_Assessment!$J$60</f>
        <v>0</v>
      </c>
    </row>
    <row r="421" spans="1:12" ht="97.5" customHeight="1">
      <c r="A421" s="106" t="str">
        <f>B22_Assessment!$B$2</f>
        <v>22</v>
      </c>
      <c r="B421" s="106" t="str">
        <f t="shared" ref="B421:B428" si="52">"B22_Assessment"</f>
        <v>B22_Assessment</v>
      </c>
      <c r="C421" s="106" t="str">
        <f>B22_Assessment!$A$61</f>
        <v>B22-Q6</v>
      </c>
      <c r="D421" s="142" t="str">
        <f>B22_Assessment!$B$61</f>
        <v>Are all 139 feet of cable tray route, sleeves, supports and firestopping details field verified?</v>
      </c>
      <c r="E421" s="142" t="str">
        <f>B22_Assessment!$C$61</f>
        <v>Telecom / GC / Firestop</v>
      </c>
      <c r="F421" s="106" t="str">
        <f>B22_Assessment!$D$61</f>
        <v>Closed</v>
      </c>
      <c r="G421" s="106">
        <f>B22_Assessment!$E$61</f>
        <v>0</v>
      </c>
      <c r="H421" s="106">
        <f>B22_Assessment!$F$61</f>
        <v>0</v>
      </c>
      <c r="I421" s="106" t="str">
        <f>B22_Assessment!$G$61</f>
        <v>Install delay or firestop gap</v>
      </c>
      <c r="J421" s="106">
        <f>B22_Assessment!$H$61</f>
        <v>0</v>
      </c>
      <c r="K421" s="106">
        <f>B22_Assessment!$I$61</f>
        <v>0</v>
      </c>
      <c r="L421" s="106">
        <f>B22_Assessment!$J$61</f>
        <v>0</v>
      </c>
    </row>
    <row r="422" spans="1:12" ht="97.5" customHeight="1">
      <c r="A422" s="106" t="str">
        <f>B22_Assessment!$B$2</f>
        <v>22</v>
      </c>
      <c r="B422" s="106" t="str">
        <f t="shared" si="52"/>
        <v>B22_Assessment</v>
      </c>
      <c r="C422" s="106" t="str">
        <f>B22_Assessment!$A$62</f>
        <v>B22-Q7</v>
      </c>
      <c r="D422" s="142" t="str">
        <f>B22_Assessment!$B$62</f>
        <v>Are the 10 new Cat6A cross-connect cables from existing TE to new TE location coordinated and labeled?</v>
      </c>
      <c r="E422" s="142" t="str">
        <f>B22_Assessment!$C$62</f>
        <v>Telecom / OIT</v>
      </c>
      <c r="F422" s="106" t="str">
        <f>B22_Assessment!$D$62</f>
        <v>Closed</v>
      </c>
      <c r="G422" s="106">
        <f>B22_Assessment!$E$62</f>
        <v>0</v>
      </c>
      <c r="H422" s="106">
        <f>B22_Assessment!$F$62</f>
        <v>0</v>
      </c>
      <c r="I422" s="106" t="str">
        <f>B22_Assessment!$G$62</f>
        <v>Cutover and labeling risk</v>
      </c>
      <c r="J422" s="106">
        <f>B22_Assessment!$H$62</f>
        <v>0</v>
      </c>
      <c r="K422" s="106">
        <f>B22_Assessment!$I$62</f>
        <v>0</v>
      </c>
      <c r="L422" s="106">
        <f>B22_Assessment!$J$62</f>
        <v>0</v>
      </c>
    </row>
    <row r="423" spans="1:12" ht="97.5" customHeight="1">
      <c r="A423" s="106" t="str">
        <f>B22_Assessment!$B$2</f>
        <v>22</v>
      </c>
      <c r="B423" s="106" t="str">
        <f t="shared" si="52"/>
        <v>B22_Assessment</v>
      </c>
      <c r="C423" s="106" t="str">
        <f>B22_Assessment!$A$63</f>
        <v>B22-Q8</v>
      </c>
      <c r="D423" s="142" t="str">
        <f>B22_Assessment!$B$63</f>
        <v>What is the operational impact of Room 103 ports 1-24 to Building 19 ports 73-96?</v>
      </c>
      <c r="E423" s="142" t="str">
        <f>B22_Assessment!$C$63</f>
        <v>VA / OIT / Designer</v>
      </c>
      <c r="F423" s="106" t="str">
        <f>B22_Assessment!$D$63</f>
        <v>Closed</v>
      </c>
      <c r="G423" s="106">
        <f>B22_Assessment!$E$63</f>
        <v>0</v>
      </c>
      <c r="H423" s="106">
        <f>B22_Assessment!$F$63</f>
        <v>0</v>
      </c>
      <c r="I423" s="106" t="str">
        <f>B22_Assessment!$G$63</f>
        <v>B19 dependency/cutover risk</v>
      </c>
      <c r="J423" s="106">
        <f>B22_Assessment!$H$63</f>
        <v>0</v>
      </c>
      <c r="K423" s="106">
        <f>B22_Assessment!$I$63</f>
        <v>0</v>
      </c>
      <c r="L423" s="106">
        <f>B22_Assessment!$J$63</f>
        <v>0</v>
      </c>
    </row>
    <row r="424" spans="1:12" ht="97.5" customHeight="1">
      <c r="A424" s="106" t="str">
        <f>B33_Assessment!$B$2</f>
        <v>33</v>
      </c>
      <c r="B424" s="106" t="str">
        <f t="shared" si="52"/>
        <v>B22_Assessment</v>
      </c>
      <c r="C424" s="106" t="str">
        <f>B33_Assessment!$A$56</f>
        <v>B33-Q1</v>
      </c>
      <c r="D424" s="142" t="str">
        <f>B33_Assessment!$B$56</f>
        <v>Confirm final scope: new wall-mount TE enclosure in B23 and existing B17 transition only?</v>
      </c>
      <c r="E424" s="142" t="str">
        <f>B33_Assessment!$C$56</f>
        <v>VA / OIT / Designer</v>
      </c>
      <c r="F424" s="106" t="str">
        <f>B33_Assessment!$D$56</f>
        <v>Closed</v>
      </c>
      <c r="G424" s="106">
        <f>B33_Assessment!$E$56</f>
        <v>0</v>
      </c>
      <c r="H424" s="106">
        <f>B33_Assessment!$F$56</f>
        <v>0</v>
      </c>
      <c r="I424" s="106" t="str">
        <f>B33_Assessment!$G$56</f>
        <v>Room inventory or PMIS mapping could miss scope</v>
      </c>
      <c r="J424" s="106">
        <f>B33_Assessment!$H$56</f>
        <v>0</v>
      </c>
      <c r="K424" s="106">
        <f>B33_Assessment!$I$56</f>
        <v>0</v>
      </c>
      <c r="L424" s="106">
        <f>B33_Assessment!$J$56</f>
        <v>0</v>
      </c>
    </row>
    <row r="425" spans="1:12" ht="97.5" customHeight="1">
      <c r="A425" s="106" t="str">
        <f>B33_Assessment!$B$2</f>
        <v>33</v>
      </c>
      <c r="B425" s="106" t="str">
        <f t="shared" si="52"/>
        <v>B22_Assessment</v>
      </c>
      <c r="C425" s="106" t="str">
        <f>B33_Assessment!$A$57</f>
        <v>B33-Q2</v>
      </c>
      <c r="D425" s="142" t="str">
        <f>B33_Assessment!$B$57</f>
        <v>What active services are currently fed from existing B17 equipment?</v>
      </c>
      <c r="E425" s="142" t="str">
        <f>B33_Assessment!$C$57</f>
        <v>OIT / Contractor</v>
      </c>
      <c r="F425" s="106" t="str">
        <f>B33_Assessment!$D$57</f>
        <v>Closed</v>
      </c>
      <c r="G425" s="106">
        <f>B33_Assessment!$E$57</f>
        <v>0</v>
      </c>
      <c r="H425" s="106">
        <f>B33_Assessment!$F$57</f>
        <v>0</v>
      </c>
      <c r="I425" s="106" t="str">
        <f>B33_Assessment!$G$57</f>
        <v>Potential communications/security outage</v>
      </c>
      <c r="J425" s="106">
        <f>B33_Assessment!$H$57</f>
        <v>0</v>
      </c>
      <c r="K425" s="106">
        <f>B33_Assessment!$I$57</f>
        <v>0</v>
      </c>
      <c r="L425" s="106">
        <f>B33_Assessment!$J$57</f>
        <v>0</v>
      </c>
    </row>
    <row r="426" spans="1:12" ht="97.5" customHeight="1">
      <c r="A426" s="106" t="str">
        <f>B33_Assessment!$B$2</f>
        <v>33</v>
      </c>
      <c r="B426" s="106" t="str">
        <f t="shared" si="52"/>
        <v>B22_Assessment</v>
      </c>
      <c r="C426" s="106" t="str">
        <f>B33_Assessment!$A$58</f>
        <v>B33-Q3</v>
      </c>
      <c r="D426" s="142" t="str">
        <f>B33_Assessment!$B$58</f>
        <v>What is the approved power source, receptacle type and circuit capacity for the new APC UPS/PDU in B23?</v>
      </c>
      <c r="E426" s="142" t="str">
        <f>B33_Assessment!$C$58</f>
        <v>Electrical / Designer</v>
      </c>
      <c r="F426" s="106" t="str">
        <f>B33_Assessment!$D$58</f>
        <v>Closed</v>
      </c>
      <c r="G426" s="106">
        <f>B33_Assessment!$E$58</f>
        <v>0</v>
      </c>
      <c r="H426" s="106">
        <f>B33_Assessment!$F$58</f>
        <v>0</v>
      </c>
      <c r="I426" s="106" t="str">
        <f>B33_Assessment!$G$58</f>
        <v>Electrical readiness unknown</v>
      </c>
      <c r="J426" s="106">
        <f>B33_Assessment!$H$58</f>
        <v>0</v>
      </c>
      <c r="K426" s="106">
        <f>B33_Assessment!$I$58</f>
        <v>0</v>
      </c>
      <c r="L426" s="106">
        <f>B33_Assessment!$J$58</f>
        <v>0</v>
      </c>
    </row>
    <row r="427" spans="1:12" ht="97.5" customHeight="1">
      <c r="A427" s="106" t="str">
        <f>B33_Assessment!$B$2</f>
        <v>33</v>
      </c>
      <c r="B427" s="106" t="str">
        <f t="shared" si="52"/>
        <v>B22_Assessment</v>
      </c>
      <c r="C427" s="106" t="str">
        <f>B33_Assessment!$A$59</f>
        <v>B33-Q4</v>
      </c>
      <c r="D427" s="142" t="str">
        <f>B33_Assessment!$B$59</f>
        <v>Is Office B23 HVAC/ambient condition acceptable for a wall-mount TE with UPS/PDU/network switch?</v>
      </c>
      <c r="E427" s="142" t="str">
        <f>B33_Assessment!$C$59</f>
        <v>VA / OIT / Facilities</v>
      </c>
      <c r="F427" s="106" t="str">
        <f>B33_Assessment!$D$59</f>
        <v>Closed</v>
      </c>
      <c r="G427" s="106">
        <f>B33_Assessment!$E$59</f>
        <v>0</v>
      </c>
      <c r="H427" s="106">
        <f>B33_Assessment!$F$59</f>
        <v>0</v>
      </c>
      <c r="I427" s="106" t="str">
        <f>B33_Assessment!$G$59</f>
        <v>Heat/load risk after mechanical scope excluded</v>
      </c>
      <c r="J427" s="106">
        <f>B33_Assessment!$H$59</f>
        <v>0</v>
      </c>
      <c r="K427" s="106">
        <f>B33_Assessment!$I$59</f>
        <v>0</v>
      </c>
      <c r="L427" s="106">
        <f>B33_Assessment!$J$59</f>
        <v>0</v>
      </c>
    </row>
    <row r="428" spans="1:12" ht="97.5" customHeight="1">
      <c r="A428" s="106" t="str">
        <f>B33_Assessment!$B$2</f>
        <v>33</v>
      </c>
      <c r="B428" s="106" t="str">
        <f t="shared" si="52"/>
        <v>B22_Assessment</v>
      </c>
      <c r="C428" s="106" t="str">
        <f>B33_Assessment!$A$60</f>
        <v>B33-Q5</v>
      </c>
      <c r="D428" s="142" t="str">
        <f>B33_Assessment!$B$60</f>
        <v>Are existing cameras/security devices in Building 33 protected and retained with no VMS/PACS disruption?</v>
      </c>
      <c r="E428" s="142" t="str">
        <f>B33_Assessment!$C$60</f>
        <v>Security / OIT</v>
      </c>
      <c r="F428" s="106" t="str">
        <f>B33_Assessment!$D$60</f>
        <v>Closed</v>
      </c>
      <c r="G428" s="106">
        <f>B33_Assessment!$E$60</f>
        <v>0</v>
      </c>
      <c r="H428" s="106">
        <f>B33_Assessment!$F$60</f>
        <v>0</v>
      </c>
      <c r="I428" s="106" t="str">
        <f>B33_Assessment!$G$60</f>
        <v>Security continuity unclear</v>
      </c>
      <c r="J428" s="106">
        <f>B33_Assessment!$H$60</f>
        <v>0</v>
      </c>
      <c r="K428" s="106">
        <f>B33_Assessment!$I$60</f>
        <v>0</v>
      </c>
      <c r="L428" s="106">
        <f>B33_Assessment!$J$60</f>
        <v>0</v>
      </c>
    </row>
    <row r="429" spans="1:12" ht="97.5" customHeight="1">
      <c r="A429" s="106" t="str">
        <f>B33_Assessment!$B$2</f>
        <v>33</v>
      </c>
      <c r="B429" s="106" t="str">
        <f t="shared" ref="B429:B436" si="53">"B33_Assessment"</f>
        <v>B33_Assessment</v>
      </c>
      <c r="C429" s="106" t="str">
        <f>B33_Assessment!$A$61</f>
        <v>B33-Q6</v>
      </c>
      <c r="D429" s="142" t="str">
        <f>B33_Assessment!$B$61</f>
        <v>Are all 102 feet of cable tray route, sleeves, supports and firestopping details field verified?</v>
      </c>
      <c r="E429" s="142" t="str">
        <f>B33_Assessment!$C$61</f>
        <v>Telecom / GC / Firestop</v>
      </c>
      <c r="F429" s="106" t="str">
        <f>B33_Assessment!$D$61</f>
        <v>Closed</v>
      </c>
      <c r="G429" s="106">
        <f>B33_Assessment!$E$61</f>
        <v>0</v>
      </c>
      <c r="H429" s="106">
        <f>B33_Assessment!$F$61</f>
        <v>0</v>
      </c>
      <c r="I429" s="106" t="str">
        <f>B33_Assessment!$G$61</f>
        <v>Install delay or firestop gap</v>
      </c>
      <c r="J429" s="106">
        <f>B33_Assessment!$H$61</f>
        <v>0</v>
      </c>
      <c r="K429" s="106">
        <f>B33_Assessment!$I$61</f>
        <v>0</v>
      </c>
      <c r="L429" s="106">
        <f>B33_Assessment!$J$61</f>
        <v>0</v>
      </c>
    </row>
    <row r="430" spans="1:12" ht="97.5" customHeight="1">
      <c r="A430" s="106" t="str">
        <f>B33_Assessment!$B$2</f>
        <v>33</v>
      </c>
      <c r="B430" s="106" t="str">
        <f t="shared" si="53"/>
        <v>B33_Assessment</v>
      </c>
      <c r="C430" s="106" t="str">
        <f>B33_Assessment!$A$62</f>
        <v>B33-Q7</v>
      </c>
      <c r="D430" s="142" t="str">
        <f>B33_Assessment!$B$62</f>
        <v>Are the 10 new Cat6A cross-connect cables from existing TE to new TE location coordinated and labeled?</v>
      </c>
      <c r="E430" s="142" t="str">
        <f>B33_Assessment!$C$62</f>
        <v>Telecom / OIT</v>
      </c>
      <c r="F430" s="106" t="str">
        <f>B33_Assessment!$D$62</f>
        <v>Closed</v>
      </c>
      <c r="G430" s="106">
        <f>B33_Assessment!$E$62</f>
        <v>0</v>
      </c>
      <c r="H430" s="106">
        <f>B33_Assessment!$F$62</f>
        <v>0</v>
      </c>
      <c r="I430" s="106" t="str">
        <f>B33_Assessment!$G$62</f>
        <v>Cutover and labeling risk</v>
      </c>
      <c r="J430" s="106">
        <f>B33_Assessment!$H$62</f>
        <v>0</v>
      </c>
      <c r="K430" s="106">
        <f>B33_Assessment!$I$62</f>
        <v>0</v>
      </c>
      <c r="L430" s="106">
        <f>B33_Assessment!$J$62</f>
        <v>0</v>
      </c>
    </row>
    <row r="431" spans="1:12" ht="97.5" customHeight="1">
      <c r="A431" s="106" t="str">
        <f>B33_Assessment!$B$2</f>
        <v>33</v>
      </c>
      <c r="B431" s="106" t="str">
        <f t="shared" si="53"/>
        <v>B33_Assessment</v>
      </c>
      <c r="C431" s="106" t="str">
        <f>B33_Assessment!$A$63</f>
        <v>B33-Q8</v>
      </c>
      <c r="D431" s="142" t="str">
        <f>B33_Assessment!$B$63</f>
        <v>What is the operational impact of B17 ports serving Buildings 3, 80 and 82?</v>
      </c>
      <c r="E431" s="142" t="str">
        <f>B33_Assessment!$C$63</f>
        <v>VA / OIT / Designer</v>
      </c>
      <c r="F431" s="106" t="str">
        <f>B33_Assessment!$D$63</f>
        <v>Closed</v>
      </c>
      <c r="G431" s="106">
        <f>B33_Assessment!$E$63</f>
        <v>0</v>
      </c>
      <c r="H431" s="106">
        <f>B33_Assessment!$F$63</f>
        <v>0</v>
      </c>
      <c r="I431" s="106" t="str">
        <f>B33_Assessment!$G$63</f>
        <v>Cross-building dependency/cutover risk</v>
      </c>
      <c r="J431" s="106">
        <f>B33_Assessment!$H$63</f>
        <v>0</v>
      </c>
      <c r="K431" s="106">
        <f>B33_Assessment!$I$63</f>
        <v>0</v>
      </c>
      <c r="L431" s="106">
        <f>B33_Assessment!$J$63</f>
        <v>0</v>
      </c>
    </row>
    <row r="432" spans="1:12" ht="97.5" customHeight="1">
      <c r="A432" s="106" t="str">
        <f>B61_Assessment!$B$2</f>
        <v>61</v>
      </c>
      <c r="B432" s="106" t="str">
        <f t="shared" si="53"/>
        <v>B33_Assessment</v>
      </c>
      <c r="C432" s="106" t="str">
        <f>B61_Assessment!$A$70</f>
        <v>B61-Q1</v>
      </c>
      <c r="D432" s="142" t="str">
        <f>B61_Assessment!$B$70</f>
        <v>Confirm final telecom room list and PMIS mapping: B13H-A, 124, 226 and existing 137/137A demarc/server rooms?</v>
      </c>
      <c r="E432" s="142" t="str">
        <f>B61_Assessment!$C$70</f>
        <v>VA / OIT / Designer</v>
      </c>
      <c r="F432" s="106" t="str">
        <f>B61_Assessment!$D$70</f>
        <v>Closed</v>
      </c>
      <c r="G432" s="106">
        <f>B61_Assessment!$E$70</f>
        <v>0</v>
      </c>
      <c r="H432" s="106">
        <f>B61_Assessment!$F$70</f>
        <v>0</v>
      </c>
      <c r="I432" s="106" t="str">
        <f>B61_Assessment!$G$70</f>
        <v>Room inventory could miss scope</v>
      </c>
      <c r="J432" s="106">
        <f>B61_Assessment!$H$70</f>
        <v>0</v>
      </c>
      <c r="K432" s="106">
        <f>B61_Assessment!$I$70</f>
        <v>0</v>
      </c>
      <c r="L432" s="106">
        <f>B61_Assessment!$J$70</f>
        <v>0</v>
      </c>
    </row>
    <row r="433" spans="1:12" ht="97.5" customHeight="1">
      <c r="A433" s="106" t="str">
        <f>B61_Assessment!$B$2</f>
        <v>61</v>
      </c>
      <c r="B433" s="106" t="str">
        <f t="shared" si="53"/>
        <v>B33_Assessment</v>
      </c>
      <c r="C433" s="106" t="str">
        <f>B61_Assessment!$A$71</f>
        <v>B61-Q2</v>
      </c>
      <c r="D433" s="142" t="str">
        <f>B61_Assessment!$B$71</f>
        <v>What active services and circuits are currently housed in Room 137/137A?</v>
      </c>
      <c r="E433" s="142" t="str">
        <f>B61_Assessment!$C$71</f>
        <v>OIT / Contractor</v>
      </c>
      <c r="F433" s="106" t="str">
        <f>B61_Assessment!$D$71</f>
        <v>Closed</v>
      </c>
      <c r="G433" s="106">
        <f>B61_Assessment!$E$71</f>
        <v>0</v>
      </c>
      <c r="H433" s="106">
        <f>B61_Assessment!$F$71</f>
        <v>0</v>
      </c>
      <c r="I433" s="106" t="str">
        <f>B61_Assessment!$G$71</f>
        <v>Potential outage/cutover risk</v>
      </c>
      <c r="J433" s="106">
        <f>B61_Assessment!$H$71</f>
        <v>0</v>
      </c>
      <c r="K433" s="106">
        <f>B61_Assessment!$I$71</f>
        <v>0</v>
      </c>
      <c r="L433" s="106">
        <f>B61_Assessment!$J$71</f>
        <v>0</v>
      </c>
    </row>
    <row r="434" spans="1:12" ht="97.5" customHeight="1">
      <c r="A434" s="106" t="str">
        <f>B61_Assessment!$B$2</f>
        <v>61</v>
      </c>
      <c r="B434" s="106" t="str">
        <f t="shared" si="53"/>
        <v>B33_Assessment</v>
      </c>
      <c r="C434" s="106" t="str">
        <f>B61_Assessment!$A$72</f>
        <v>B61-Q3</v>
      </c>
      <c r="D434" s="142" t="str">
        <f>B61_Assessment!$B$72</f>
        <v>Are B61-TR137AA/AB panel references tied to Room 137 or a schedule naming mismatch for Room 124?</v>
      </c>
      <c r="E434" s="142" t="str">
        <f>B61_Assessment!$C$72</f>
        <v>Electrical / Designer</v>
      </c>
      <c r="F434" s="106" t="str">
        <f>B61_Assessment!$D$72</f>
        <v>Closed</v>
      </c>
      <c r="G434" s="106">
        <f>B61_Assessment!$E$72</f>
        <v>0</v>
      </c>
      <c r="H434" s="106">
        <f>B61_Assessment!$F$72</f>
        <v>0</v>
      </c>
      <c r="I434" s="106" t="str">
        <f>B61_Assessment!$G$72</f>
        <v>Electrical PMIS mapping risk</v>
      </c>
      <c r="J434" s="106">
        <f>B61_Assessment!$H$72</f>
        <v>0</v>
      </c>
      <c r="K434" s="106">
        <f>B61_Assessment!$I$72</f>
        <v>0</v>
      </c>
      <c r="L434" s="106">
        <f>B61_Assessment!$J$72</f>
        <v>0</v>
      </c>
    </row>
    <row r="435" spans="1:12" ht="97.5" customHeight="1">
      <c r="A435" s="106" t="str">
        <f>B61_Assessment!$B$2</f>
        <v>61</v>
      </c>
      <c r="B435" s="106" t="str">
        <f t="shared" si="53"/>
        <v>B33_Assessment</v>
      </c>
      <c r="C435" s="106" t="str">
        <f>B61_Assessment!$A$73</f>
        <v>B61-Q4</v>
      </c>
      <c r="D435" s="142" t="str">
        <f>B61_Assessment!$B$73</f>
        <v>Are IU/CU-0-01, 1-01 and 2-01 on emergency/backup power and dedicated to the TRs they serve?</v>
      </c>
      <c r="E435" s="142" t="str">
        <f>B61_Assessment!$C$73</f>
        <v>Mechanical / Electrical / VA</v>
      </c>
      <c r="F435" s="106" t="str">
        <f>B61_Assessment!$D$73</f>
        <v>Closed</v>
      </c>
      <c r="G435" s="106">
        <f>B61_Assessment!$E$73</f>
        <v>0</v>
      </c>
      <c r="H435" s="106">
        <f>B61_Assessment!$F$73</f>
        <v>0</v>
      </c>
      <c r="I435" s="106" t="str">
        <f>B61_Assessment!$G$73</f>
        <v>Cooling continuity unclear</v>
      </c>
      <c r="J435" s="106">
        <f>B61_Assessment!$H$73</f>
        <v>0</v>
      </c>
      <c r="K435" s="106">
        <f>B61_Assessment!$I$73</f>
        <v>0</v>
      </c>
      <c r="L435" s="106">
        <f>B61_Assessment!$J$73</f>
        <v>0</v>
      </c>
    </row>
    <row r="436" spans="1:12" ht="97.5" customHeight="1">
      <c r="A436" s="106" t="str">
        <f>B61_Assessment!$B$2</f>
        <v>61</v>
      </c>
      <c r="B436" s="106" t="str">
        <f t="shared" si="53"/>
        <v>B33_Assessment</v>
      </c>
      <c r="C436" s="106" t="str">
        <f>B61_Assessment!$A$74</f>
        <v>B61-Q5</v>
      </c>
      <c r="D436" s="142" t="str">
        <f>B61_Assessment!$B$74</f>
        <v>Where are clean-agent/CO2 FEC cabinets located within 75 ft of each new TR?</v>
      </c>
      <c r="E436" s="142" t="str">
        <f>B61_Assessment!$C$74</f>
        <v>GC / COR</v>
      </c>
      <c r="F436" s="106" t="str">
        <f>B61_Assessment!$D$74</f>
        <v>Closed</v>
      </c>
      <c r="G436" s="106">
        <f>B61_Assessment!$E$74</f>
        <v>0</v>
      </c>
      <c r="H436" s="106">
        <f>B61_Assessment!$F$74</f>
        <v>0</v>
      </c>
      <c r="I436" s="106" t="str">
        <f>B61_Assessment!$G$74</f>
        <v>Life-safety acceptance risk</v>
      </c>
      <c r="J436" s="106">
        <f>B61_Assessment!$H$74</f>
        <v>0</v>
      </c>
      <c r="K436" s="106">
        <f>B61_Assessment!$I$74</f>
        <v>0</v>
      </c>
      <c r="L436" s="106">
        <f>B61_Assessment!$J$74</f>
        <v>0</v>
      </c>
    </row>
    <row r="437" spans="1:12" ht="97.5" customHeight="1">
      <c r="A437" s="106" t="str">
        <f>B61_Assessment!$B$2</f>
        <v>61</v>
      </c>
      <c r="B437" s="106" t="str">
        <f>"B61_Assessment"</f>
        <v>B61_Assessment</v>
      </c>
      <c r="C437" s="106" t="str">
        <f>B61_Assessment!$A$75</f>
        <v>B61-Q6</v>
      </c>
      <c r="D437" s="142" t="str">
        <f>B61_Assessment!$B$75</f>
        <v>Are rack UPS/PDU circuits, SPDs, labels, load measurements and LOTO requirements approved for all TR panelboards?</v>
      </c>
      <c r="E437" s="142" t="str">
        <f>B61_Assessment!$C$75</f>
        <v>Electrical / Designer</v>
      </c>
      <c r="F437" s="106" t="str">
        <f>B61_Assessment!$D$75</f>
        <v>Closed</v>
      </c>
      <c r="G437" s="106">
        <f>B61_Assessment!$E$75</f>
        <v>0</v>
      </c>
      <c r="H437" s="106">
        <f>B61_Assessment!$F$75</f>
        <v>0</v>
      </c>
      <c r="I437" s="106" t="str">
        <f>B61_Assessment!$G$75</f>
        <v>Electrical readiness unknown</v>
      </c>
      <c r="J437" s="106">
        <f>B61_Assessment!$H$75</f>
        <v>0</v>
      </c>
      <c r="K437" s="106">
        <f>B61_Assessment!$I$75</f>
        <v>0</v>
      </c>
      <c r="L437" s="106">
        <f>B61_Assessment!$J$75</f>
        <v>0</v>
      </c>
    </row>
    <row r="438" spans="1:12" ht="97.5" customHeight="1">
      <c r="A438" s="106" t="str">
        <f>B61_Assessment!$B$2</f>
        <v>61</v>
      </c>
      <c r="B438" s="106" t="str">
        <f>"B61_Assessment"</f>
        <v>B61_Assessment</v>
      </c>
      <c r="C438" s="106" t="str">
        <f>B61_Assessment!$A$76</f>
        <v>B61-Q7</v>
      </c>
      <c r="D438" s="142" t="str">
        <f>B61_Assessment!$B$76</f>
        <v>Are all rated wall/floor penetrations, sleeves, cable tray entries and temporary firestopping details identified?</v>
      </c>
      <c r="E438" s="142" t="str">
        <f>B61_Assessment!$C$76</f>
        <v>GC / Firestop</v>
      </c>
      <c r="F438" s="106" t="str">
        <f>B61_Assessment!$D$76</f>
        <v>Closed</v>
      </c>
      <c r="G438" s="106">
        <f>B61_Assessment!$E$76</f>
        <v>0</v>
      </c>
      <c r="H438" s="106">
        <f>B61_Assessment!$F$76</f>
        <v>0</v>
      </c>
      <c r="I438" s="106" t="str">
        <f>B61_Assessment!$G$76</f>
        <v>Fire/smoke spread risk</v>
      </c>
      <c r="J438" s="106">
        <f>B61_Assessment!$H$76</f>
        <v>0</v>
      </c>
      <c r="K438" s="106">
        <f>B61_Assessment!$I$76</f>
        <v>0</v>
      </c>
      <c r="L438" s="106">
        <f>B61_Assessment!$J$76</f>
        <v>0</v>
      </c>
    </row>
    <row r="439" spans="1:12" ht="97.5" customHeight="1">
      <c r="A439" s="106" t="str">
        <f>B61_Assessment!$B$2</f>
        <v>61</v>
      </c>
      <c r="B439" s="106" t="str">
        <f>"B61_Assessment"</f>
        <v>B61_Assessment</v>
      </c>
      <c r="C439" s="106" t="str">
        <f>B61_Assessment!$A$77</f>
        <v>B61-Q8</v>
      </c>
      <c r="D439" s="142" t="str">
        <f>B61_Assessment!$B$77</f>
        <v>Which third-party inspections, commissioning forms and OIT acceptance records are required before turnover?</v>
      </c>
      <c r="E439" s="142" t="str">
        <f>B61_Assessment!$C$77</f>
        <v>GC / Cx Manager / OIT</v>
      </c>
      <c r="F439" s="106" t="str">
        <f>B61_Assessment!$D$77</f>
        <v>Closed</v>
      </c>
      <c r="G439" s="106">
        <f>B61_Assessment!$E$77</f>
        <v>0</v>
      </c>
      <c r="H439" s="106">
        <f>B61_Assessment!$F$77</f>
        <v>0</v>
      </c>
      <c r="I439" s="106" t="str">
        <f>B61_Assessment!$G$77</f>
        <v>Turnover package gap</v>
      </c>
      <c r="J439" s="106">
        <f>B61_Assessment!$H$77</f>
        <v>0</v>
      </c>
      <c r="K439" s="106">
        <f>B61_Assessment!$I$77</f>
        <v>0</v>
      </c>
      <c r="L439" s="106">
        <f>B61_Assessment!$J$77</f>
        <v>0</v>
      </c>
    </row>
    <row r="440" spans="1:12" ht="97.5" customHeight="1">
      <c r="A440" s="106">
        <f>B62_TR_Assessment!$B$2</f>
        <v>62</v>
      </c>
      <c r="B440" s="106" t="str">
        <f>"B62_TR_Assessment"</f>
        <v>B62_TR_Assessment</v>
      </c>
      <c r="C440" s="106" t="str">
        <f>B62_TR_Assessment!$A$60</f>
        <v>B62-Q1</v>
      </c>
      <c r="D440" s="142" t="str">
        <f>B62_TR_Assessment!$B$60</f>
        <v>Are cooling units emergency powered?</v>
      </c>
      <c r="E440" s="142" t="str">
        <f>B62_TR_Assessment!$C$60</f>
        <v>VA / Designer</v>
      </c>
      <c r="F440" s="106" t="str">
        <f>B62_TR_Assessment!$D$60</f>
        <v>Closed</v>
      </c>
      <c r="G440" s="106">
        <f>B62_TR_Assessment!$E$60</f>
        <v>0</v>
      </c>
      <c r="H440" s="106">
        <f>B62_TR_Assessment!$F$60</f>
        <v>0</v>
      </c>
      <c r="I440" s="106" t="str">
        <f>B62_TR_Assessment!$G$60</f>
        <v>Cannot confirm continuity of operations</v>
      </c>
      <c r="J440" s="106">
        <f>B62_TR_Assessment!$H$60</f>
        <v>0</v>
      </c>
      <c r="K440" s="106">
        <f>B62_TR_Assessment!$I$60</f>
        <v>0</v>
      </c>
      <c r="L440" s="106">
        <f>B62_TR_Assessment!$J$60</f>
        <v>0</v>
      </c>
    </row>
    <row r="441" spans="1:12" ht="97.5" customHeight="1">
      <c r="A441" s="106">
        <f>B62_TR_Assessment!$B$2</f>
        <v>62</v>
      </c>
      <c r="B441" s="106" t="str">
        <f>"B62_TR_Assessment"</f>
        <v>B62_TR_Assessment</v>
      </c>
      <c r="C441" s="106" t="str">
        <f>B62_TR_Assessment!$A$61</f>
        <v>B62-Q2</v>
      </c>
      <c r="D441" s="142" t="str">
        <f>B62_TR_Assessment!$B$61</f>
        <v>Are future rack loads included in HVAC sizing?</v>
      </c>
      <c r="E441" s="142" t="str">
        <f>B62_TR_Assessment!$C$61</f>
        <v>Designer</v>
      </c>
      <c r="F441" s="106" t="str">
        <f>B62_TR_Assessment!$D$61</f>
        <v>Closed</v>
      </c>
      <c r="G441" s="106">
        <f>B62_TR_Assessment!$E$61</f>
        <v>0</v>
      </c>
      <c r="H441" s="106">
        <f>B62_TR_Assessment!$F$61</f>
        <v>0</v>
      </c>
      <c r="I441" s="106" t="str">
        <f>B62_TR_Assessment!$G$61</f>
        <v>Cooling may be undersized after expansion</v>
      </c>
      <c r="J441" s="106">
        <f>B62_TR_Assessment!$H$61</f>
        <v>0</v>
      </c>
      <c r="K441" s="106">
        <f>B62_TR_Assessment!$I$61</f>
        <v>0</v>
      </c>
      <c r="L441" s="106">
        <f>B62_TR_Assessment!$J$61</f>
        <v>0</v>
      </c>
    </row>
    <row r="442" spans="1:12" ht="97.5" customHeight="1">
      <c r="A442" s="106">
        <f>B62_TR_Assessment!$B$2</f>
        <v>62</v>
      </c>
      <c r="B442" s="106" t="str">
        <f>"B62_TR_Assessment"</f>
        <v>B62_TR_Assessment</v>
      </c>
      <c r="C442" s="106" t="str">
        <f>B62_TR_Assessment!$A$62</f>
        <v>B62-Q3</v>
      </c>
      <c r="D442" s="142" t="str">
        <f>B62_TR_Assessment!$B$62</f>
        <v>Is extinguisher location identified within 75 feet?</v>
      </c>
      <c r="E442" s="142" t="str">
        <f>B62_TR_Assessment!$C$62</f>
        <v>Contractor / COR</v>
      </c>
      <c r="F442" s="106" t="str">
        <f>B62_TR_Assessment!$D$62</f>
        <v>Closed</v>
      </c>
      <c r="G442" s="106">
        <f>B62_TR_Assessment!$E$62</f>
        <v>0</v>
      </c>
      <c r="H442" s="106">
        <f>B62_TR_Assessment!$F$62</f>
        <v>0</v>
      </c>
      <c r="I442" s="106" t="str">
        <f>B62_TR_Assessment!$G$62</f>
        <v>Life safety / acceptance risk</v>
      </c>
      <c r="J442" s="106">
        <f>B62_TR_Assessment!$H$62</f>
        <v>0</v>
      </c>
      <c r="K442" s="106">
        <f>B62_TR_Assessment!$I$62</f>
        <v>0</v>
      </c>
      <c r="L442" s="106">
        <f>B62_TR_Assessment!$J$62</f>
        <v>0</v>
      </c>
    </row>
    <row r="443" spans="1:12" ht="97.5" customHeight="1">
      <c r="A443" s="106">
        <f>B62_TR_Assessment!$B$2</f>
        <v>62</v>
      </c>
      <c r="B443" s="106" t="str">
        <f>"B62_TR_Assessment"</f>
        <v>B62_TR_Assessment</v>
      </c>
      <c r="C443" s="106" t="str">
        <f>B62_TR_Assessment!$A$63</f>
        <v>B62-Q4</v>
      </c>
      <c r="D443" s="142" t="str">
        <f>B62_TR_Assessment!$B$63</f>
        <v>Are all penetrations fully documented and firestopped?</v>
      </c>
      <c r="E443" s="142" t="str">
        <f>B62_TR_Assessment!$C$63</f>
        <v>Contractor / Designer</v>
      </c>
      <c r="F443" s="106" t="str">
        <f>B62_TR_Assessment!$D$63</f>
        <v>Closed</v>
      </c>
      <c r="G443" s="106">
        <f>B62_TR_Assessment!$E$63</f>
        <v>0</v>
      </c>
      <c r="H443" s="106">
        <f>B62_TR_Assessment!$F$63</f>
        <v>0</v>
      </c>
      <c r="I443" s="106" t="str">
        <f>B62_TR_Assessment!$G$63</f>
        <v>Fire/smoke spread risk</v>
      </c>
      <c r="J443" s="106">
        <f>B62_TR_Assessment!$H$63</f>
        <v>0</v>
      </c>
      <c r="K443" s="106">
        <f>B62_TR_Assessment!$I$63</f>
        <v>0</v>
      </c>
      <c r="L443" s="106">
        <f>B62_TR_Assessment!$J$63</f>
        <v>0</v>
      </c>
    </row>
    <row r="444" spans="1:12" ht="97.5" customHeight="1">
      <c r="A444" s="106">
        <f>B70_TR_Assessment!$B$2</f>
        <v>70</v>
      </c>
      <c r="B444" s="106" t="str">
        <f t="shared" ref="B444:B453" si="54">"B70_TR_Assessment"</f>
        <v>B70_TR_Assessment</v>
      </c>
      <c r="C444" s="106" t="str">
        <f>B70_TR_Assessment!$A$61</f>
        <v>B70-Q1</v>
      </c>
      <c r="D444" s="142" t="str">
        <f>B70_TR_Assessment!$B$61</f>
        <v>Are cooling units and controls on emergency/backup power?</v>
      </c>
      <c r="E444" s="142" t="str">
        <f>B70_TR_Assessment!$C$61</f>
        <v>VA / Designer</v>
      </c>
      <c r="F444" s="106" t="str">
        <f>B70_TR_Assessment!$D$61</f>
        <v>Closed</v>
      </c>
      <c r="G444" s="106">
        <f>B70_TR_Assessment!$E$61</f>
        <v>0</v>
      </c>
      <c r="H444" s="106">
        <f>B70_TR_Assessment!$F$61</f>
        <v>0</v>
      </c>
      <c r="I444" s="106" t="str">
        <f>B70_TR_Assessment!$G$61</f>
        <v>Cannot confirm continuity of operations</v>
      </c>
      <c r="J444" s="106">
        <f>B70_TR_Assessment!$H$61</f>
        <v>0</v>
      </c>
      <c r="K444" s="106">
        <f>B70_TR_Assessment!$I$61</f>
        <v>0</v>
      </c>
      <c r="L444" s="106">
        <f>B70_TR_Assessment!$J$61</f>
        <v>0</v>
      </c>
    </row>
    <row r="445" spans="1:12" ht="97.5" customHeight="1">
      <c r="A445" s="106">
        <f>B70_TR_Assessment!$B$2</f>
        <v>70</v>
      </c>
      <c r="B445" s="106" t="str">
        <f t="shared" si="54"/>
        <v>B70_TR_Assessment</v>
      </c>
      <c r="C445" s="106" t="str">
        <f>B70_TR_Assessment!$A$62</f>
        <v>B70-Q2</v>
      </c>
      <c r="D445" s="142" t="str">
        <f>B70_TR_Assessment!$B$62</f>
        <v>Are future rack loads included in HVAC sizing for B27, 125A, and 262A?</v>
      </c>
      <c r="E445" s="142" t="str">
        <f>B70_TR_Assessment!$C$62</f>
        <v>Designer</v>
      </c>
      <c r="F445" s="106" t="str">
        <f>B70_TR_Assessment!$D$62</f>
        <v>Closed</v>
      </c>
      <c r="G445" s="106">
        <f>B70_TR_Assessment!$E$62</f>
        <v>0</v>
      </c>
      <c r="H445" s="106">
        <f>B70_TR_Assessment!$F$62</f>
        <v>0</v>
      </c>
      <c r="I445" s="106" t="str">
        <f>B70_TR_Assessment!$G$62</f>
        <v>Cooling may be undersized after expansion</v>
      </c>
      <c r="J445" s="106">
        <f>B70_TR_Assessment!$H$62</f>
        <v>0</v>
      </c>
      <c r="K445" s="106">
        <f>B70_TR_Assessment!$I$62</f>
        <v>0</v>
      </c>
      <c r="L445" s="106">
        <f>B70_TR_Assessment!$J$62</f>
        <v>0</v>
      </c>
    </row>
    <row r="446" spans="1:12" ht="97.5" customHeight="1">
      <c r="A446" s="106">
        <f>B70_TR_Assessment!$B$2</f>
        <v>70</v>
      </c>
      <c r="B446" s="106" t="str">
        <f t="shared" si="54"/>
        <v>B70_TR_Assessment</v>
      </c>
      <c r="C446" s="106" t="str">
        <f>B70_TR_Assessment!$A$63</f>
        <v>B70-Q3</v>
      </c>
      <c r="D446" s="142" t="str">
        <f>B70_TR_Assessment!$B$63</f>
        <v>Are extinguisher cabinet locations identified within 75 feet of each TR?</v>
      </c>
      <c r="E446" s="142" t="str">
        <f>B70_TR_Assessment!$C$63</f>
        <v>Contractor / COR</v>
      </c>
      <c r="F446" s="106" t="str">
        <f>B70_TR_Assessment!$D$63</f>
        <v>Closed</v>
      </c>
      <c r="G446" s="106">
        <f>B70_TR_Assessment!$E$63</f>
        <v>0</v>
      </c>
      <c r="H446" s="106">
        <f>B70_TR_Assessment!$F$63</f>
        <v>0</v>
      </c>
      <c r="I446" s="106" t="str">
        <f>B70_TR_Assessment!$G$63</f>
        <v>Acceptance / life safety risk</v>
      </c>
      <c r="J446" s="106">
        <f>B70_TR_Assessment!$H$63</f>
        <v>0</v>
      </c>
      <c r="K446" s="106">
        <f>B70_TR_Assessment!$I$63</f>
        <v>0</v>
      </c>
      <c r="L446" s="106">
        <f>B70_TR_Assessment!$J$63</f>
        <v>0</v>
      </c>
    </row>
    <row r="447" spans="1:12" ht="97.5" customHeight="1">
      <c r="A447" s="106">
        <f>B70_TR_Assessment!$B$2</f>
        <v>70</v>
      </c>
      <c r="B447" s="106" t="str">
        <f t="shared" si="54"/>
        <v>B70_TR_Assessment</v>
      </c>
      <c r="C447" s="106" t="str">
        <f>B70_TR_Assessment!$A$64</f>
        <v>B70-Q4</v>
      </c>
      <c r="D447" s="142" t="str">
        <f>B70_TR_Assessment!$B$64</f>
        <v>Are all wall/floor penetrations and speed sleeves shown and firestopped?</v>
      </c>
      <c r="E447" s="142" t="str">
        <f>B70_TR_Assessment!$C$64</f>
        <v>Contractor / Designer</v>
      </c>
      <c r="F447" s="106" t="str">
        <f>B70_TR_Assessment!$D$64</f>
        <v>Closed</v>
      </c>
      <c r="G447" s="106">
        <f>B70_TR_Assessment!$E$64</f>
        <v>0</v>
      </c>
      <c r="H447" s="106">
        <f>B70_TR_Assessment!$F$64</f>
        <v>0</v>
      </c>
      <c r="I447" s="106" t="str">
        <f>B70_TR_Assessment!$G$64</f>
        <v>Fire/smoke spread risk</v>
      </c>
      <c r="J447" s="106">
        <f>B70_TR_Assessment!$H$64</f>
        <v>0</v>
      </c>
      <c r="K447" s="106">
        <f>B70_TR_Assessment!$I$64</f>
        <v>0</v>
      </c>
      <c r="L447" s="106">
        <f>B70_TR_Assessment!$J$64</f>
        <v>0</v>
      </c>
    </row>
    <row r="448" spans="1:12" ht="97.5" customHeight="1">
      <c r="A448" s="106">
        <f>B70_TR_Assessment!$B$2</f>
        <v>70</v>
      </c>
      <c r="B448" s="106" t="str">
        <f t="shared" si="54"/>
        <v>B70_TR_Assessment</v>
      </c>
      <c r="C448" s="106" t="str">
        <f>B70_TR_Assessment!$A$65</f>
        <v>B70-Q5</v>
      </c>
      <c r="D448" s="142" t="str">
        <f>B70_TR_Assessment!$B$65</f>
        <v>What phasing is required to keep existing low-voltage/analog systems operational?</v>
      </c>
      <c r="E448" s="142" t="str">
        <f>B70_TR_Assessment!$C$65</f>
        <v>Contractor / OIT</v>
      </c>
      <c r="F448" s="106" t="str">
        <f>B70_TR_Assessment!$D$65</f>
        <v>Closed</v>
      </c>
      <c r="G448" s="106">
        <f>B70_TR_Assessment!$E$65</f>
        <v>0</v>
      </c>
      <c r="H448" s="106">
        <f>B70_TR_Assessment!$F$65</f>
        <v>0</v>
      </c>
      <c r="I448" s="106" t="str">
        <f>B70_TR_Assessment!$G$65</f>
        <v>Potential communications interruption</v>
      </c>
      <c r="J448" s="106">
        <f>B70_TR_Assessment!$H$65</f>
        <v>0</v>
      </c>
      <c r="K448" s="106">
        <f>B70_TR_Assessment!$I$65</f>
        <v>0</v>
      </c>
      <c r="L448" s="106">
        <f>B70_TR_Assessment!$J$65</f>
        <v>0</v>
      </c>
    </row>
    <row r="449" spans="1:12" ht="97.5" customHeight="1">
      <c r="A449" s="106">
        <f>B78_Assessment!$B$2</f>
        <v>78</v>
      </c>
      <c r="B449" s="106" t="str">
        <f t="shared" si="54"/>
        <v>B70_TR_Assessment</v>
      </c>
      <c r="C449" s="106" t="str">
        <f>B78_Assessment!$A$91</f>
        <v>B78-Q1</v>
      </c>
      <c r="D449" s="142" t="str">
        <f>B78_Assessment!$B$91</f>
        <v>Confirm final telecom room list and PMIS mapping: B30, B35, 1232, 227A, 342, 401 plus existing rooms 15E/1234/353/308A/408A?</v>
      </c>
      <c r="E449" s="142" t="str">
        <f>B78_Assessment!$C$91</f>
        <v>VA / OIT / Designer</v>
      </c>
      <c r="F449" s="106" t="str">
        <f>B78_Assessment!$D$91</f>
        <v>Closed</v>
      </c>
      <c r="G449" s="106">
        <f>B78_Assessment!$E$91</f>
        <v>0</v>
      </c>
      <c r="H449" s="106">
        <f>B78_Assessment!$F$91</f>
        <v>0</v>
      </c>
      <c r="I449" s="106" t="str">
        <f>B78_Assessment!$G$91</f>
        <v>Room inventory could miss scope</v>
      </c>
      <c r="J449" s="106">
        <f>B78_Assessment!$H$91</f>
        <v>0</v>
      </c>
      <c r="K449" s="106">
        <f>B78_Assessment!$I$91</f>
        <v>0</v>
      </c>
      <c r="L449" s="106">
        <f>B78_Assessment!$J$91</f>
        <v>0</v>
      </c>
    </row>
    <row r="450" spans="1:12" ht="97.5" customHeight="1">
      <c r="A450" s="106">
        <f>B78_Assessment!$B$2</f>
        <v>78</v>
      </c>
      <c r="B450" s="106" t="str">
        <f t="shared" si="54"/>
        <v>B70_TR_Assessment</v>
      </c>
      <c r="C450" s="106" t="str">
        <f>B78_Assessment!$A$92</f>
        <v>B78-Q2</v>
      </c>
      <c r="D450" s="142" t="str">
        <f>B78_Assessment!$B$92</f>
        <v>What active services currently remain in each existing telecom room/photo reference location?</v>
      </c>
      <c r="E450" s="142" t="str">
        <f>B78_Assessment!$C$92</f>
        <v>OIT / Contractor</v>
      </c>
      <c r="F450" s="106" t="str">
        <f>B78_Assessment!$D$92</f>
        <v>Closed</v>
      </c>
      <c r="G450" s="106">
        <f>B78_Assessment!$E$92</f>
        <v>0</v>
      </c>
      <c r="H450" s="106">
        <f>B78_Assessment!$F$92</f>
        <v>0</v>
      </c>
      <c r="I450" s="106" t="str">
        <f>B78_Assessment!$G$92</f>
        <v>Potential outage/cutover risk</v>
      </c>
      <c r="J450" s="106">
        <f>B78_Assessment!$H$92</f>
        <v>0</v>
      </c>
      <c r="K450" s="106">
        <f>B78_Assessment!$I$92</f>
        <v>0</v>
      </c>
      <c r="L450" s="106">
        <f>B78_Assessment!$J$92</f>
        <v>0</v>
      </c>
    </row>
    <row r="451" spans="1:12" ht="97.5" customHeight="1">
      <c r="A451" s="106">
        <f>B78_Assessment!$B$2</f>
        <v>78</v>
      </c>
      <c r="B451" s="106" t="str">
        <f t="shared" si="54"/>
        <v>B70_TR_Assessment</v>
      </c>
      <c r="C451" s="106" t="str">
        <f>B78_Assessment!$A$93</f>
        <v>B78-Q3</v>
      </c>
      <c r="D451" s="142" t="str">
        <f>B78_Assessment!$B$93</f>
        <v>Are Room 1232 and existing Room 1234 separate rooms or naming/mapping references for the same telecom space?</v>
      </c>
      <c r="E451" s="142" t="str">
        <f>B78_Assessment!$C$93</f>
        <v>VA / Designer / OIT</v>
      </c>
      <c r="F451" s="106" t="str">
        <f>B78_Assessment!$D$93</f>
        <v>Closed</v>
      </c>
      <c r="G451" s="106">
        <f>B78_Assessment!$E$93</f>
        <v>0</v>
      </c>
      <c r="H451" s="106">
        <f>B78_Assessment!$F$93</f>
        <v>0</v>
      </c>
      <c r="I451" s="106" t="str">
        <f>B78_Assessment!$G$93</f>
        <v>PMIS mapping risk</v>
      </c>
      <c r="J451" s="106">
        <f>B78_Assessment!$H$93</f>
        <v>0</v>
      </c>
      <c r="K451" s="106">
        <f>B78_Assessment!$I$93</f>
        <v>0</v>
      </c>
      <c r="L451" s="106">
        <f>B78_Assessment!$J$93</f>
        <v>0</v>
      </c>
    </row>
    <row r="452" spans="1:12" ht="97.5" customHeight="1">
      <c r="A452" s="106">
        <f>B78_Assessment!$B$2</f>
        <v>78</v>
      </c>
      <c r="B452" s="106" t="str">
        <f t="shared" si="54"/>
        <v>B70_TR_Assessment</v>
      </c>
      <c r="C452" s="106" t="str">
        <f>B78_Assessment!$A$94</f>
        <v>B78-Q4</v>
      </c>
      <c r="D452" s="142" t="str">
        <f>B78_Assessment!$B$94</f>
        <v>Which dedicated cooling units serve each TR and are they on emergency/backup power?</v>
      </c>
      <c r="E452" s="142" t="str">
        <f>B78_Assessment!$C$94</f>
        <v>Mechanical / Electrical / VA</v>
      </c>
      <c r="F452" s="106" t="str">
        <f>B78_Assessment!$D$94</f>
        <v>Closed</v>
      </c>
      <c r="G452" s="106">
        <f>B78_Assessment!$E$94</f>
        <v>0</v>
      </c>
      <c r="H452" s="106">
        <f>B78_Assessment!$F$94</f>
        <v>0</v>
      </c>
      <c r="I452" s="106" t="str">
        <f>B78_Assessment!$G$94</f>
        <v>Cooling continuity unclear</v>
      </c>
      <c r="J452" s="106">
        <f>B78_Assessment!$H$94</f>
        <v>0</v>
      </c>
      <c r="K452" s="106">
        <f>B78_Assessment!$I$94</f>
        <v>0</v>
      </c>
      <c r="L452" s="106">
        <f>B78_Assessment!$J$94</f>
        <v>0</v>
      </c>
    </row>
    <row r="453" spans="1:12" ht="97.5" customHeight="1">
      <c r="A453" s="106">
        <f>B78_Assessment!$B$2</f>
        <v>78</v>
      </c>
      <c r="B453" s="106" t="str">
        <f t="shared" si="54"/>
        <v>B70_TR_Assessment</v>
      </c>
      <c r="C453" s="106" t="str">
        <f>B78_Assessment!$A$95</f>
        <v>B78-Q5</v>
      </c>
      <c r="D453" s="142" t="str">
        <f>B78_Assessment!$B$95</f>
        <v>Where are clean-agent/CO2 FEC cabinets located within 75 ft of each new TR?</v>
      </c>
      <c r="E453" s="142" t="str">
        <f>B78_Assessment!$C$95</f>
        <v>GC / COR</v>
      </c>
      <c r="F453" s="106" t="str">
        <f>B78_Assessment!$D$95</f>
        <v>Closed</v>
      </c>
      <c r="G453" s="106">
        <f>B78_Assessment!$E$95</f>
        <v>0</v>
      </c>
      <c r="H453" s="106">
        <f>B78_Assessment!$F$95</f>
        <v>0</v>
      </c>
      <c r="I453" s="106" t="str">
        <f>B78_Assessment!$G$95</f>
        <v>Life-safety acceptance risk</v>
      </c>
      <c r="J453" s="106">
        <f>B78_Assessment!$H$95</f>
        <v>0</v>
      </c>
      <c r="K453" s="106">
        <f>B78_Assessment!$I$95</f>
        <v>0</v>
      </c>
      <c r="L453" s="106">
        <f>B78_Assessment!$J$95</f>
        <v>0</v>
      </c>
    </row>
    <row r="454" spans="1:12" ht="97.5" customHeight="1">
      <c r="A454" s="106">
        <f>B78_Assessment!$B$2</f>
        <v>78</v>
      </c>
      <c r="B454" s="106" t="str">
        <f t="shared" ref="B454:B461" si="55">"B78_Assessment"</f>
        <v>B78_Assessment</v>
      </c>
      <c r="C454" s="106" t="str">
        <f>B78_Assessment!$A$96</f>
        <v>B78-Q6</v>
      </c>
      <c r="D454" s="142" t="str">
        <f>B78_Assessment!$B$96</f>
        <v>Are rack UPS/PDU circuits, SPDs, labels, load measurements and LOTO requirements approved for all TR panelboards?</v>
      </c>
      <c r="E454" s="142" t="str">
        <f>B78_Assessment!$C$96</f>
        <v>Electrical / Designer</v>
      </c>
      <c r="F454" s="106" t="str">
        <f>B78_Assessment!$D$96</f>
        <v>Closed</v>
      </c>
      <c r="G454" s="106">
        <f>B78_Assessment!$E$96</f>
        <v>0</v>
      </c>
      <c r="H454" s="106">
        <f>B78_Assessment!$F$96</f>
        <v>0</v>
      </c>
      <c r="I454" s="106" t="str">
        <f>B78_Assessment!$G$96</f>
        <v>Electrical readiness unknown</v>
      </c>
      <c r="J454" s="106">
        <f>B78_Assessment!$H$96</f>
        <v>0</v>
      </c>
      <c r="K454" s="106">
        <f>B78_Assessment!$I$96</f>
        <v>0</v>
      </c>
      <c r="L454" s="106">
        <f>B78_Assessment!$J$96</f>
        <v>0</v>
      </c>
    </row>
    <row r="455" spans="1:12" ht="97.5" customHeight="1">
      <c r="A455" s="106">
        <f>B78_Assessment!$B$2</f>
        <v>78</v>
      </c>
      <c r="B455" s="106" t="str">
        <f t="shared" si="55"/>
        <v>B78_Assessment</v>
      </c>
      <c r="C455" s="106" t="str">
        <f>B78_Assessment!$A$97</f>
        <v>B78-Q7</v>
      </c>
      <c r="D455" s="142" t="str">
        <f>B78_Assessment!$B$97</f>
        <v>Are all rated wall/floor penetrations, sleeves, cable tray entries and temporary firestopping details identified?</v>
      </c>
      <c r="E455" s="142" t="str">
        <f>B78_Assessment!$C$97</f>
        <v>GC / Firestop</v>
      </c>
      <c r="F455" s="106" t="str">
        <f>B78_Assessment!$D$97</f>
        <v>Closed</v>
      </c>
      <c r="G455" s="106">
        <f>B78_Assessment!$E$97</f>
        <v>0</v>
      </c>
      <c r="H455" s="106">
        <f>B78_Assessment!$F$97</f>
        <v>0</v>
      </c>
      <c r="I455" s="106" t="str">
        <f>B78_Assessment!$G$97</f>
        <v>Fire/smoke spread risk</v>
      </c>
      <c r="J455" s="106">
        <f>B78_Assessment!$H$97</f>
        <v>0</v>
      </c>
      <c r="K455" s="106">
        <f>B78_Assessment!$I$97</f>
        <v>0</v>
      </c>
      <c r="L455" s="106">
        <f>B78_Assessment!$J$97</f>
        <v>0</v>
      </c>
    </row>
    <row r="456" spans="1:12" ht="97.5" customHeight="1">
      <c r="A456" s="106">
        <f>B78_Assessment!$B$2</f>
        <v>78</v>
      </c>
      <c r="B456" s="106" t="str">
        <f t="shared" si="55"/>
        <v>B78_Assessment</v>
      </c>
      <c r="C456" s="106" t="str">
        <f>B78_Assessment!$A$98</f>
        <v>B78-Q8</v>
      </c>
      <c r="D456" s="142" t="str">
        <f>B78_Assessment!$B$98</f>
        <v>Which third-party inspections, commissioning forms and OIT acceptance records are required before turnover?</v>
      </c>
      <c r="E456" s="142" t="str">
        <f>B78_Assessment!$C$98</f>
        <v>GC / Cx Manager / OIT</v>
      </c>
      <c r="F456" s="106" t="str">
        <f>B78_Assessment!$D$98</f>
        <v>Closed</v>
      </c>
      <c r="G456" s="106">
        <f>B78_Assessment!$E$98</f>
        <v>0</v>
      </c>
      <c r="H456" s="106">
        <f>B78_Assessment!$F$98</f>
        <v>0</v>
      </c>
      <c r="I456" s="106" t="str">
        <f>B78_Assessment!$G$98</f>
        <v>Turnover package gap</v>
      </c>
      <c r="J456" s="106">
        <f>B78_Assessment!$H$98</f>
        <v>0</v>
      </c>
      <c r="K456" s="106">
        <f>B78_Assessment!$I$98</f>
        <v>0</v>
      </c>
      <c r="L456" s="106">
        <f>B78_Assessment!$J$98</f>
        <v>0</v>
      </c>
    </row>
    <row r="457" spans="1:12" ht="97.5" customHeight="1">
      <c r="A457" s="106" t="str">
        <f>B80_Assessment!$B$2</f>
        <v>80</v>
      </c>
      <c r="B457" s="106" t="str">
        <f t="shared" si="55"/>
        <v>B78_Assessment</v>
      </c>
      <c r="C457" s="106" t="str">
        <f>B80_Assessment!$A$56</f>
        <v>B80-Q1</v>
      </c>
      <c r="D457" s="142" t="str">
        <f>B80_Assessment!$B$56</f>
        <v>Confirm final telecom scope: new Room 102 with existing 127A/126 transition only?</v>
      </c>
      <c r="E457" s="142" t="str">
        <f>B80_Assessment!$C$56</f>
        <v>VA / OIT / Designer</v>
      </c>
      <c r="F457" s="106" t="str">
        <f>B80_Assessment!$D$56</f>
        <v>Closed</v>
      </c>
      <c r="G457" s="106">
        <f>B80_Assessment!$E$56</f>
        <v>0</v>
      </c>
      <c r="H457" s="106">
        <f>B80_Assessment!$F$56</f>
        <v>0</v>
      </c>
      <c r="I457" s="106" t="str">
        <f>B80_Assessment!$G$56</f>
        <v>Room inventory could miss scope</v>
      </c>
      <c r="J457" s="106">
        <f>B80_Assessment!$H$56</f>
        <v>0</v>
      </c>
      <c r="K457" s="106">
        <f>B80_Assessment!$I$56</f>
        <v>0</v>
      </c>
      <c r="L457" s="106">
        <f>B80_Assessment!$J$56</f>
        <v>0</v>
      </c>
    </row>
    <row r="458" spans="1:12" ht="97.5" customHeight="1">
      <c r="A458" s="106" t="str">
        <f>B80_Assessment!$B$2</f>
        <v>80</v>
      </c>
      <c r="B458" s="106" t="str">
        <f t="shared" si="55"/>
        <v>B78_Assessment</v>
      </c>
      <c r="C458" s="106" t="str">
        <f>B80_Assessment!$A$57</f>
        <v>B80-Q2</v>
      </c>
      <c r="D458" s="142" t="str">
        <f>B80_Assessment!$B$57</f>
        <v>What active services are currently fed from existing Room 127A/126 equipment?</v>
      </c>
      <c r="E458" s="142" t="str">
        <f>B80_Assessment!$C$57</f>
        <v>OIT / Contractor</v>
      </c>
      <c r="F458" s="106" t="str">
        <f>B80_Assessment!$D$57</f>
        <v>Closed</v>
      </c>
      <c r="G458" s="106">
        <f>B80_Assessment!$E$57</f>
        <v>0</v>
      </c>
      <c r="H458" s="106">
        <f>B80_Assessment!$F$57</f>
        <v>0</v>
      </c>
      <c r="I458" s="106" t="str">
        <f>B80_Assessment!$G$57</f>
        <v>Potential communications/security outage</v>
      </c>
      <c r="J458" s="106">
        <f>B80_Assessment!$H$57</f>
        <v>0</v>
      </c>
      <c r="K458" s="106">
        <f>B80_Assessment!$I$57</f>
        <v>0</v>
      </c>
      <c r="L458" s="106">
        <f>B80_Assessment!$J$57</f>
        <v>0</v>
      </c>
    </row>
    <row r="459" spans="1:12" ht="97.5" customHeight="1">
      <c r="A459" s="106" t="str">
        <f>B80_Assessment!$B$2</f>
        <v>80</v>
      </c>
      <c r="B459" s="106" t="str">
        <f t="shared" si="55"/>
        <v>B78_Assessment</v>
      </c>
      <c r="C459" s="106" t="str">
        <f>B80_Assessment!$A$58</f>
        <v>B80-Q3</v>
      </c>
      <c r="D459" s="142" t="str">
        <f>B80_Assessment!$B$58</f>
        <v>Are Room 127A and Room 126 the same telecom room, or separate locations?</v>
      </c>
      <c r="E459" s="142" t="str">
        <f>B80_Assessment!$C$58</f>
        <v>VA / Designer / OIT</v>
      </c>
      <c r="F459" s="106" t="str">
        <f>B80_Assessment!$D$58</f>
        <v>Closed</v>
      </c>
      <c r="G459" s="106">
        <f>B80_Assessment!$E$58</f>
        <v>0</v>
      </c>
      <c r="H459" s="106">
        <f>B80_Assessment!$F$58</f>
        <v>0</v>
      </c>
      <c r="I459" s="106" t="str">
        <f>B80_Assessment!$G$58</f>
        <v>PMIS mapping and turnover risk</v>
      </c>
      <c r="J459" s="106">
        <f>B80_Assessment!$H$58</f>
        <v>0</v>
      </c>
      <c r="K459" s="106">
        <f>B80_Assessment!$I$58</f>
        <v>0</v>
      </c>
      <c r="L459" s="106">
        <f>B80_Assessment!$J$58</f>
        <v>0</v>
      </c>
    </row>
    <row r="460" spans="1:12" ht="97.5" customHeight="1">
      <c r="A460" s="106" t="str">
        <f>B80_Assessment!$B$2</f>
        <v>80</v>
      </c>
      <c r="B460" s="106" t="str">
        <f t="shared" si="55"/>
        <v>B78_Assessment</v>
      </c>
      <c r="C460" s="106" t="str">
        <f>B80_Assessment!$A$59</f>
        <v>B80-Q4</v>
      </c>
      <c r="D460" s="142" t="str">
        <f>B80_Assessment!$B$59</f>
        <v>Is IU-1-01/CU-1-01 on emergency/backup power and dedicated to Room 102?</v>
      </c>
      <c r="E460" s="142" t="str">
        <f>B80_Assessment!$C$59</f>
        <v>Mechanical / Electrical / VA</v>
      </c>
      <c r="F460" s="106" t="str">
        <f>B80_Assessment!$D$59</f>
        <v>Closed</v>
      </c>
      <c r="G460" s="106">
        <f>B80_Assessment!$E$59</f>
        <v>0</v>
      </c>
      <c r="H460" s="106">
        <f>B80_Assessment!$F$59</f>
        <v>0</v>
      </c>
      <c r="I460" s="106" t="str">
        <f>B80_Assessment!$G$59</f>
        <v>Cooling continuity unclear</v>
      </c>
      <c r="J460" s="106">
        <f>B80_Assessment!$H$59</f>
        <v>0</v>
      </c>
      <c r="K460" s="106">
        <f>B80_Assessment!$I$59</f>
        <v>0</v>
      </c>
      <c r="L460" s="106">
        <f>B80_Assessment!$J$59</f>
        <v>0</v>
      </c>
    </row>
    <row r="461" spans="1:12" ht="97.5" customHeight="1">
      <c r="A461" s="106" t="str">
        <f>B80_Assessment!$B$2</f>
        <v>80</v>
      </c>
      <c r="B461" s="106" t="str">
        <f t="shared" si="55"/>
        <v>B78_Assessment</v>
      </c>
      <c r="C461" s="106" t="str">
        <f>B80_Assessment!$A$60</f>
        <v>B80-Q5</v>
      </c>
      <c r="D461" s="142" t="str">
        <f>B80_Assessment!$B$60</f>
        <v>Where is the clean-agent/CO2 extinguisher cabinet located within 75 ft of Room 102?</v>
      </c>
      <c r="E461" s="142" t="str">
        <f>B80_Assessment!$C$60</f>
        <v>GC / COR</v>
      </c>
      <c r="F461" s="106" t="str">
        <f>B80_Assessment!$D$60</f>
        <v>Closed</v>
      </c>
      <c r="G461" s="106">
        <f>B80_Assessment!$E$60</f>
        <v>0</v>
      </c>
      <c r="H461" s="106">
        <f>B80_Assessment!$F$60</f>
        <v>0</v>
      </c>
      <c r="I461" s="106" t="str">
        <f>B80_Assessment!$G$60</f>
        <v>Life-safety acceptance risk</v>
      </c>
      <c r="J461" s="106">
        <f>B80_Assessment!$H$60</f>
        <v>0</v>
      </c>
      <c r="K461" s="106">
        <f>B80_Assessment!$I$60</f>
        <v>0</v>
      </c>
      <c r="L461" s="106">
        <f>B80_Assessment!$J$60</f>
        <v>0</v>
      </c>
    </row>
    <row r="462" spans="1:12" ht="97.5" customHeight="1">
      <c r="A462" s="106" t="str">
        <f>B80_Assessment!$B$2</f>
        <v>80</v>
      </c>
      <c r="B462" s="106" t="str">
        <f t="shared" ref="B462:B469" si="56">"B80_Assessment"</f>
        <v>B80_Assessment</v>
      </c>
      <c r="C462" s="106" t="str">
        <f>B80_Assessment!$A$61</f>
        <v>B80-Q6</v>
      </c>
      <c r="D462" s="142" t="str">
        <f>B80_Assessment!$B$61</f>
        <v>Are B80-TR102A/B sources, rack receptacles, SPDs, circuit labels and load measurements approved?</v>
      </c>
      <c r="E462" s="142" t="str">
        <f>B80_Assessment!$C$61</f>
        <v>Electrical / Designer</v>
      </c>
      <c r="F462" s="106" t="str">
        <f>B80_Assessment!$D$61</f>
        <v>Closed</v>
      </c>
      <c r="G462" s="106">
        <f>B80_Assessment!$E$61</f>
        <v>0</v>
      </c>
      <c r="H462" s="106">
        <f>B80_Assessment!$F$61</f>
        <v>0</v>
      </c>
      <c r="I462" s="106" t="str">
        <f>B80_Assessment!$G$61</f>
        <v>Electrical readiness unknown</v>
      </c>
      <c r="J462" s="106">
        <f>B80_Assessment!$H$61</f>
        <v>0</v>
      </c>
      <c r="K462" s="106">
        <f>B80_Assessment!$I$61</f>
        <v>0</v>
      </c>
      <c r="L462" s="106">
        <f>B80_Assessment!$J$61</f>
        <v>0</v>
      </c>
    </row>
    <row r="463" spans="1:12" ht="97.5" customHeight="1">
      <c r="A463" s="106" t="str">
        <f>B80_Assessment!$B$2</f>
        <v>80</v>
      </c>
      <c r="B463" s="106" t="str">
        <f t="shared" si="56"/>
        <v>B80_Assessment</v>
      </c>
      <c r="C463" s="106" t="str">
        <f>B80_Assessment!$A$62</f>
        <v>B80-Q7</v>
      </c>
      <c r="D463" s="142" t="str">
        <f>B80_Assessment!$B$62</f>
        <v>Are all rated wall/floor penetrations, sleeves, cable tray entries and firestopping details identified?</v>
      </c>
      <c r="E463" s="142" t="str">
        <f>B80_Assessment!$C$62</f>
        <v>GC / Firestop</v>
      </c>
      <c r="F463" s="106" t="str">
        <f>B80_Assessment!$D$62</f>
        <v>Closed</v>
      </c>
      <c r="G463" s="106">
        <f>B80_Assessment!$E$62</f>
        <v>0</v>
      </c>
      <c r="H463" s="106">
        <f>B80_Assessment!$F$62</f>
        <v>0</v>
      </c>
      <c r="I463" s="106" t="str">
        <f>B80_Assessment!$G$62</f>
        <v>Fire/smoke spread risk</v>
      </c>
      <c r="J463" s="106">
        <f>B80_Assessment!$H$62</f>
        <v>0</v>
      </c>
      <c r="K463" s="106">
        <f>B80_Assessment!$I$62</f>
        <v>0</v>
      </c>
      <c r="L463" s="106">
        <f>B80_Assessment!$J$62</f>
        <v>0</v>
      </c>
    </row>
    <row r="464" spans="1:12" ht="97.5" customHeight="1">
      <c r="A464" s="106" t="str">
        <f>B80_Assessment!$B$2</f>
        <v>80</v>
      </c>
      <c r="B464" s="106" t="str">
        <f t="shared" si="56"/>
        <v>B80_Assessment</v>
      </c>
      <c r="C464" s="106" t="str">
        <f>B80_Assessment!$A$63</f>
        <v>B80-Q8</v>
      </c>
      <c r="D464" s="142" t="str">
        <f>B80_Assessment!$B$63</f>
        <v>Which third-party inspections and commissioning forms are required before VA/OIT acceptance?</v>
      </c>
      <c r="E464" s="142" t="str">
        <f>B80_Assessment!$C$63</f>
        <v>GC / Cx Manager / OIT</v>
      </c>
      <c r="F464" s="106" t="str">
        <f>B80_Assessment!$D$63</f>
        <v>Closed</v>
      </c>
      <c r="G464" s="106">
        <f>B80_Assessment!$E$63</f>
        <v>0</v>
      </c>
      <c r="H464" s="106">
        <f>B80_Assessment!$F$63</f>
        <v>0</v>
      </c>
      <c r="I464" s="106" t="str">
        <f>B80_Assessment!$G$63</f>
        <v>Turnover package gap</v>
      </c>
      <c r="J464" s="106">
        <f>B80_Assessment!$H$63</f>
        <v>0</v>
      </c>
      <c r="K464" s="106">
        <f>B80_Assessment!$I$63</f>
        <v>0</v>
      </c>
      <c r="L464" s="106">
        <f>B80_Assessment!$J$63</f>
        <v>0</v>
      </c>
    </row>
    <row r="465" spans="1:12" ht="97.5" customHeight="1">
      <c r="A465" s="106" t="str">
        <f>B82_Assessment!$B$2</f>
        <v>82</v>
      </c>
      <c r="B465" s="106" t="str">
        <f t="shared" si="56"/>
        <v>B80_Assessment</v>
      </c>
      <c r="C465" s="106" t="str">
        <f>B82_Assessment!$A$56</f>
        <v>B82-Q1</v>
      </c>
      <c r="D465" s="142" t="str">
        <f>B82_Assessment!$B$56</f>
        <v>Confirm final scope: new 12RU wall-mount TE enclosure in Room 102 and existing B01-A transition only?</v>
      </c>
      <c r="E465" s="142" t="str">
        <f>B82_Assessment!$C$56</f>
        <v>VA / OIT / Designer</v>
      </c>
      <c r="F465" s="106" t="str">
        <f>B82_Assessment!$D$56</f>
        <v>Closed</v>
      </c>
      <c r="G465" s="106">
        <f>B82_Assessment!$E$56</f>
        <v>0</v>
      </c>
      <c r="H465" s="106">
        <f>B82_Assessment!$F$56</f>
        <v>0</v>
      </c>
      <c r="I465" s="106" t="str">
        <f>B82_Assessment!$G$56</f>
        <v>Room inventory or PMIS mapping could miss scope</v>
      </c>
      <c r="J465" s="106">
        <f>B82_Assessment!$H$56</f>
        <v>0</v>
      </c>
      <c r="K465" s="106">
        <f>B82_Assessment!$I$56</f>
        <v>0</v>
      </c>
      <c r="L465" s="106">
        <f>B82_Assessment!$J$56</f>
        <v>0</v>
      </c>
    </row>
    <row r="466" spans="1:12" ht="97.5" customHeight="1">
      <c r="A466" s="106" t="str">
        <f>B82_Assessment!$B$2</f>
        <v>82</v>
      </c>
      <c r="B466" s="106" t="str">
        <f t="shared" si="56"/>
        <v>B80_Assessment</v>
      </c>
      <c r="C466" s="106" t="str">
        <f>B82_Assessment!$A$57</f>
        <v>B82-Q2</v>
      </c>
      <c r="D466" s="142" t="str">
        <f>B82_Assessment!$B$57</f>
        <v>What active services are currently fed from existing B01-A equipment?</v>
      </c>
      <c r="E466" s="142" t="str">
        <f>B82_Assessment!$C$57</f>
        <v>OIT / Contractor</v>
      </c>
      <c r="F466" s="106" t="str">
        <f>B82_Assessment!$D$57</f>
        <v>Closed</v>
      </c>
      <c r="G466" s="106">
        <f>B82_Assessment!$E$57</f>
        <v>0</v>
      </c>
      <c r="H466" s="106">
        <f>B82_Assessment!$F$57</f>
        <v>0</v>
      </c>
      <c r="I466" s="106" t="str">
        <f>B82_Assessment!$G$57</f>
        <v>Potential communications/security outage</v>
      </c>
      <c r="J466" s="106">
        <f>B82_Assessment!$H$57</f>
        <v>0</v>
      </c>
      <c r="K466" s="106">
        <f>B82_Assessment!$I$57</f>
        <v>0</v>
      </c>
      <c r="L466" s="106">
        <f>B82_Assessment!$J$57</f>
        <v>0</v>
      </c>
    </row>
    <row r="467" spans="1:12" ht="97.5" customHeight="1">
      <c r="A467" s="106" t="str">
        <f>B82_Assessment!$B$2</f>
        <v>82</v>
      </c>
      <c r="B467" s="106" t="str">
        <f t="shared" si="56"/>
        <v>B80_Assessment</v>
      </c>
      <c r="C467" s="106" t="str">
        <f>B82_Assessment!$A$58</f>
        <v>B82-Q3</v>
      </c>
      <c r="D467" s="142" t="str">
        <f>B82_Assessment!$B$58</f>
        <v>Is Room 102 officially a TE-only scope or a conditioned telecom room with mechanical support?</v>
      </c>
      <c r="E467" s="142" t="str">
        <f>B82_Assessment!$C$58</f>
        <v>VA / AE / COR</v>
      </c>
      <c r="F467" s="106" t="str">
        <f>B82_Assessment!$D$58</f>
        <v>Closed</v>
      </c>
      <c r="G467" s="106">
        <f>B82_Assessment!$E$58</f>
        <v>0</v>
      </c>
      <c r="H467" s="106">
        <f>B82_Assessment!$F$58</f>
        <v>0</v>
      </c>
      <c r="I467" s="106" t="str">
        <f>B82_Assessment!$G$58</f>
        <v>Scope and commissioning responsibility unclear</v>
      </c>
      <c r="J467" s="106">
        <f>B82_Assessment!$H$58</f>
        <v>0</v>
      </c>
      <c r="K467" s="106">
        <f>B82_Assessment!$I$58</f>
        <v>0</v>
      </c>
      <c r="L467" s="106">
        <f>B82_Assessment!$J$58</f>
        <v>0</v>
      </c>
    </row>
    <row r="468" spans="1:12" ht="97.5" customHeight="1">
      <c r="A468" s="106" t="str">
        <f>B82_Assessment!$B$2</f>
        <v>82</v>
      </c>
      <c r="B468" s="106" t="str">
        <f t="shared" si="56"/>
        <v>B80_Assessment</v>
      </c>
      <c r="C468" s="106" t="str">
        <f>B82_Assessment!$A$59</f>
        <v>B82-Q4</v>
      </c>
      <c r="D468" s="142" t="str">
        <f>B82_Assessment!$B$59</f>
        <v>Is IU-1-01/CU-1-01 on emergency/backup power and dedicated to Room 102?</v>
      </c>
      <c r="E468" s="142" t="str">
        <f>B82_Assessment!$C$59</f>
        <v>Mechanical / Electrical / VA</v>
      </c>
      <c r="F468" s="106" t="str">
        <f>B82_Assessment!$D$59</f>
        <v>Closed</v>
      </c>
      <c r="G468" s="106">
        <f>B82_Assessment!$E$59</f>
        <v>0</v>
      </c>
      <c r="H468" s="106">
        <f>B82_Assessment!$F$59</f>
        <v>0</v>
      </c>
      <c r="I468" s="106" t="str">
        <f>B82_Assessment!$G$59</f>
        <v>Cooling continuity unclear</v>
      </c>
      <c r="J468" s="106">
        <f>B82_Assessment!$H$59</f>
        <v>0</v>
      </c>
      <c r="K468" s="106">
        <f>B82_Assessment!$I$59</f>
        <v>0</v>
      </c>
      <c r="L468" s="106">
        <f>B82_Assessment!$J$59</f>
        <v>0</v>
      </c>
    </row>
    <row r="469" spans="1:12" ht="97.5" customHeight="1">
      <c r="A469" s="106" t="str">
        <f>B82_Assessment!$B$2</f>
        <v>82</v>
      </c>
      <c r="B469" s="106" t="str">
        <f t="shared" si="56"/>
        <v>B80_Assessment</v>
      </c>
      <c r="C469" s="106" t="str">
        <f>B82_Assessment!$A$60</f>
        <v>B82-Q5</v>
      </c>
      <c r="D469" s="142" t="str">
        <f>B82_Assessment!$B$60</f>
        <v>What is the approved power source, receptacle type and circuit capacity for the new APC UPS/PDU in Room 102?</v>
      </c>
      <c r="E469" s="142" t="str">
        <f>B82_Assessment!$C$60</f>
        <v>Electrical / Designer</v>
      </c>
      <c r="F469" s="106" t="str">
        <f>B82_Assessment!$D$60</f>
        <v>Closed</v>
      </c>
      <c r="G469" s="106">
        <f>B82_Assessment!$E$60</f>
        <v>0</v>
      </c>
      <c r="H469" s="106">
        <f>B82_Assessment!$F$60</f>
        <v>0</v>
      </c>
      <c r="I469" s="106" t="str">
        <f>B82_Assessment!$G$60</f>
        <v>Electrical readiness unknown</v>
      </c>
      <c r="J469" s="106">
        <f>B82_Assessment!$H$60</f>
        <v>0</v>
      </c>
      <c r="K469" s="106">
        <f>B82_Assessment!$I$60</f>
        <v>0</v>
      </c>
      <c r="L469" s="106">
        <f>B82_Assessment!$J$60</f>
        <v>0</v>
      </c>
    </row>
    <row r="470" spans="1:12" ht="97.5" customHeight="1">
      <c r="A470" s="106" t="str">
        <f>B82_Assessment!$B$2</f>
        <v>82</v>
      </c>
      <c r="B470" s="106" t="str">
        <f t="shared" ref="B470:B477" si="57">"B82_Assessment"</f>
        <v>B82_Assessment</v>
      </c>
      <c r="C470" s="106" t="str">
        <f>B82_Assessment!$A$61</f>
        <v>B82-Q6</v>
      </c>
      <c r="D470" s="142" t="str">
        <f>B82_Assessment!$B$61</f>
        <v>Are all 278 feet of cable tray route, sleeves, supports and firestopping details field verified?</v>
      </c>
      <c r="E470" s="142" t="str">
        <f>B82_Assessment!$C$61</f>
        <v>Telecom / GC / Firestop</v>
      </c>
      <c r="F470" s="106" t="str">
        <f>B82_Assessment!$D$61</f>
        <v>Closed</v>
      </c>
      <c r="G470" s="106">
        <f>B82_Assessment!$E$61</f>
        <v>0</v>
      </c>
      <c r="H470" s="106">
        <f>B82_Assessment!$F$61</f>
        <v>0</v>
      </c>
      <c r="I470" s="106" t="str">
        <f>B82_Assessment!$G$61</f>
        <v>Install delay or firestop gap</v>
      </c>
      <c r="J470" s="106">
        <f>B82_Assessment!$H$61</f>
        <v>0</v>
      </c>
      <c r="K470" s="106">
        <f>B82_Assessment!$I$61</f>
        <v>0</v>
      </c>
      <c r="L470" s="106">
        <f>B82_Assessment!$J$61</f>
        <v>0</v>
      </c>
    </row>
    <row r="471" spans="1:12" ht="97.5" customHeight="1">
      <c r="A471" s="106" t="str">
        <f>B82_Assessment!$B$2</f>
        <v>82</v>
      </c>
      <c r="B471" s="106" t="str">
        <f t="shared" si="57"/>
        <v>B82_Assessment</v>
      </c>
      <c r="C471" s="106" t="str">
        <f>B82_Assessment!$A$62</f>
        <v>B82-Q7</v>
      </c>
      <c r="D471" s="142" t="str">
        <f>B82_Assessment!$B$62</f>
        <v>Are existing cameras/security devices protected and retained with no VMS/PACS disruption?</v>
      </c>
      <c r="E471" s="142" t="str">
        <f>B82_Assessment!$C$62</f>
        <v>Security / OIT</v>
      </c>
      <c r="F471" s="106" t="str">
        <f>B82_Assessment!$D$62</f>
        <v>Closed</v>
      </c>
      <c r="G471" s="106">
        <f>B82_Assessment!$E$62</f>
        <v>0</v>
      </c>
      <c r="H471" s="106">
        <f>B82_Assessment!$F$62</f>
        <v>0</v>
      </c>
      <c r="I471" s="106" t="str">
        <f>B82_Assessment!$G$62</f>
        <v>Security continuity unclear</v>
      </c>
      <c r="J471" s="106">
        <f>B82_Assessment!$H$62</f>
        <v>0</v>
      </c>
      <c r="K471" s="106">
        <f>B82_Assessment!$I$62</f>
        <v>0</v>
      </c>
      <c r="L471" s="106">
        <f>B82_Assessment!$J$62</f>
        <v>0</v>
      </c>
    </row>
    <row r="472" spans="1:12" ht="97.5" customHeight="1">
      <c r="A472" s="106" t="str">
        <f>B82_Assessment!$B$2</f>
        <v>82</v>
      </c>
      <c r="B472" s="106" t="str">
        <f t="shared" si="57"/>
        <v>B82_Assessment</v>
      </c>
      <c r="C472" s="106" t="str">
        <f>B82_Assessment!$A$63</f>
        <v>B82-Q8</v>
      </c>
      <c r="D472" s="142" t="str">
        <f>B82_Assessment!$B$63</f>
        <v>Which test records, HVAC startup records and turnover documents are required for TE acceptance?</v>
      </c>
      <c r="E472" s="142" t="str">
        <f>B82_Assessment!$C$63</f>
        <v>GC / Cx Manager / OIT</v>
      </c>
      <c r="F472" s="106" t="str">
        <f>B82_Assessment!$D$63</f>
        <v>Closed</v>
      </c>
      <c r="G472" s="106">
        <f>B82_Assessment!$E$63</f>
        <v>0</v>
      </c>
      <c r="H472" s="106">
        <f>B82_Assessment!$F$63</f>
        <v>0</v>
      </c>
      <c r="I472" s="106" t="str">
        <f>B82_Assessment!$G$63</f>
        <v>Turnover package gap</v>
      </c>
      <c r="J472" s="106">
        <f>B82_Assessment!$H$63</f>
        <v>0</v>
      </c>
      <c r="K472" s="106">
        <f>B82_Assessment!$I$63</f>
        <v>0</v>
      </c>
      <c r="L472" s="106">
        <f>B82_Assessment!$J$63</f>
        <v>0</v>
      </c>
    </row>
    <row r="473" spans="1:12" ht="97.5" customHeight="1">
      <c r="A473" s="106" t="str">
        <f>BCH_Assessment!$B$2</f>
        <v>BCH</v>
      </c>
      <c r="B473" s="106" t="str">
        <f t="shared" si="57"/>
        <v>B82_Assessment</v>
      </c>
      <c r="C473" s="106" t="str">
        <f>BCH_Assessment!$A$56</f>
        <v>BCH-Q1</v>
      </c>
      <c r="D473" s="142" t="str">
        <f>BCH_Assessment!$B$56</f>
        <v>Confirm final BCH scope: Room 107 TE enclosure only, or a new telecom room/rack buildout?</v>
      </c>
      <c r="E473" s="142" t="str">
        <f>BCH_Assessment!$C$56</f>
        <v>VA / AE / OIT</v>
      </c>
      <c r="F473" s="106" t="str">
        <f>BCH_Assessment!$D$56</f>
        <v>Closed</v>
      </c>
      <c r="G473" s="106">
        <f>BCH_Assessment!$E$56</f>
        <v>0</v>
      </c>
      <c r="H473" s="106">
        <f>BCH_Assessment!$F$56</f>
        <v>0</v>
      </c>
      <c r="I473" s="106" t="str">
        <f>BCH_Assessment!$G$56</f>
        <v>PMIS scope and acceptance criteria unclear</v>
      </c>
      <c r="J473" s="106">
        <f>BCH_Assessment!$H$56</f>
        <v>0</v>
      </c>
      <c r="K473" s="106">
        <f>BCH_Assessment!$I$56</f>
        <v>0</v>
      </c>
      <c r="L473" s="106">
        <f>BCH_Assessment!$J$56</f>
        <v>0</v>
      </c>
    </row>
    <row r="474" spans="1:12" ht="97.5" customHeight="1">
      <c r="A474" s="106" t="str">
        <f>BCH_Assessment!$B$2</f>
        <v>BCH</v>
      </c>
      <c r="B474" s="106" t="str">
        <f t="shared" si="57"/>
        <v>B82_Assessment</v>
      </c>
      <c r="C474" s="106" t="str">
        <f>BCH_Assessment!$A$57</f>
        <v>BCH-Q2</v>
      </c>
      <c r="D474" s="142" t="str">
        <f>BCH_Assessment!$B$57</f>
        <v>Why does BCHT-604 show a T78 12RU TE enclosure and a separate BCH Crescent House Room 107 new telecom room elevation?</v>
      </c>
      <c r="E474" s="142" t="str">
        <f>BCH_Assessment!$C$57</f>
        <v>VA / Designer</v>
      </c>
      <c r="F474" s="106" t="str">
        <f>BCH_Assessment!$D$57</f>
        <v>Closed</v>
      </c>
      <c r="G474" s="106">
        <f>BCH_Assessment!$E$57</f>
        <v>0</v>
      </c>
      <c r="H474" s="106">
        <f>BCH_Assessment!$F$57</f>
        <v>0</v>
      </c>
      <c r="I474" s="106" t="str">
        <f>BCH_Assessment!$G$57</f>
        <v>Rack/equipment mapping conflict</v>
      </c>
      <c r="J474" s="106">
        <f>BCH_Assessment!$H$57</f>
        <v>0</v>
      </c>
      <c r="K474" s="106">
        <f>BCH_Assessment!$I$57</f>
        <v>0</v>
      </c>
      <c r="L474" s="106">
        <f>BCH_Assessment!$J$57</f>
        <v>0</v>
      </c>
    </row>
    <row r="475" spans="1:12" ht="97.5" customHeight="1">
      <c r="A475" s="106" t="str">
        <f>BCH_Assessment!$B$2</f>
        <v>BCH</v>
      </c>
      <c r="B475" s="106" t="str">
        <f t="shared" si="57"/>
        <v>B82_Assessment</v>
      </c>
      <c r="C475" s="106" t="str">
        <f>BCH_Assessment!$A$58</f>
        <v>BCH-Q3</v>
      </c>
      <c r="D475" s="142" t="str">
        <f>BCH_Assessment!$B$58</f>
        <v>What active services currently serve Crescent House and where are existing terminations located?</v>
      </c>
      <c r="E475" s="142" t="str">
        <f>BCH_Assessment!$C$58</f>
        <v>OIT / Contractor</v>
      </c>
      <c r="F475" s="106" t="str">
        <f>BCH_Assessment!$D$58</f>
        <v>Closed</v>
      </c>
      <c r="G475" s="106">
        <f>BCH_Assessment!$E$58</f>
        <v>0</v>
      </c>
      <c r="H475" s="106">
        <f>BCH_Assessment!$F$58</f>
        <v>0</v>
      </c>
      <c r="I475" s="106" t="str">
        <f>BCH_Assessment!$G$58</f>
        <v>Cutover/outage risk</v>
      </c>
      <c r="J475" s="106">
        <f>BCH_Assessment!$H$58</f>
        <v>0</v>
      </c>
      <c r="K475" s="106">
        <f>BCH_Assessment!$I$58</f>
        <v>0</v>
      </c>
      <c r="L475" s="106">
        <f>BCH_Assessment!$J$58</f>
        <v>0</v>
      </c>
    </row>
    <row r="476" spans="1:12" ht="97.5" customHeight="1">
      <c r="A476" s="106" t="str">
        <f>BCH_Assessment!$B$2</f>
        <v>BCH</v>
      </c>
      <c r="B476" s="106" t="str">
        <f t="shared" si="57"/>
        <v>B82_Assessment</v>
      </c>
      <c r="C476" s="106" t="str">
        <f>BCH_Assessment!$A$59</f>
        <v>BCH-Q4</v>
      </c>
      <c r="D476" s="142" t="str">
        <f>BCH_Assessment!$B$59</f>
        <v>What is the approved power source, receptacle type and circuit capacity for the new UPS/PDU?</v>
      </c>
      <c r="E476" s="142" t="str">
        <f>BCH_Assessment!$C$59</f>
        <v>Electrical / Designer</v>
      </c>
      <c r="F476" s="106" t="str">
        <f>BCH_Assessment!$D$59</f>
        <v>Closed</v>
      </c>
      <c r="G476" s="106">
        <f>BCH_Assessment!$E$59</f>
        <v>0</v>
      </c>
      <c r="H476" s="106">
        <f>BCH_Assessment!$F$59</f>
        <v>0</v>
      </c>
      <c r="I476" s="106" t="str">
        <f>BCH_Assessment!$G$59</f>
        <v>Electrical readiness unknown</v>
      </c>
      <c r="J476" s="106">
        <f>BCH_Assessment!$H$59</f>
        <v>0</v>
      </c>
      <c r="K476" s="106">
        <f>BCH_Assessment!$I$59</f>
        <v>0</v>
      </c>
      <c r="L476" s="106">
        <f>BCH_Assessment!$J$59</f>
        <v>0</v>
      </c>
    </row>
    <row r="477" spans="1:12" ht="97.5" customHeight="1">
      <c r="A477" s="106" t="str">
        <f>BCH_Assessment!$B$2</f>
        <v>BCH</v>
      </c>
      <c r="B477" s="106" t="str">
        <f t="shared" si="57"/>
        <v>B82_Assessment</v>
      </c>
      <c r="C477" s="106" t="str">
        <f>BCH_Assessment!$A$60</f>
        <v>BCH-Q5</v>
      </c>
      <c r="D477" s="142" t="str">
        <f>BCH_Assessment!$B$60</f>
        <v>Is existing HVAC/ambient condition acceptable for TE/network equipment since mechanical scope is excluded?</v>
      </c>
      <c r="E477" s="142" t="str">
        <f>BCH_Assessment!$C$60</f>
        <v>VA / OIT / Facilities</v>
      </c>
      <c r="F477" s="106" t="str">
        <f>BCH_Assessment!$D$60</f>
        <v>Closed</v>
      </c>
      <c r="G477" s="106">
        <f>BCH_Assessment!$E$60</f>
        <v>0</v>
      </c>
      <c r="H477" s="106">
        <f>BCH_Assessment!$F$60</f>
        <v>0</v>
      </c>
      <c r="I477" s="106" t="str">
        <f>BCH_Assessment!$G$60</f>
        <v>Heat/load risk</v>
      </c>
      <c r="J477" s="106">
        <f>BCH_Assessment!$H$60</f>
        <v>0</v>
      </c>
      <c r="K477" s="106">
        <f>BCH_Assessment!$I$60</f>
        <v>0</v>
      </c>
      <c r="L477" s="106">
        <f>BCH_Assessment!$J$60</f>
        <v>0</v>
      </c>
    </row>
    <row r="478" spans="1:12" ht="97.5" customHeight="1">
      <c r="A478" s="106" t="str">
        <f>BCH_Assessment!$B$2</f>
        <v>BCH</v>
      </c>
      <c r="B478" s="106" t="str">
        <f t="shared" ref="B478:B485" si="58">"BCH_Assessment"</f>
        <v>BCH_Assessment</v>
      </c>
      <c r="C478" s="106" t="str">
        <f>BCH_Assessment!$A$61</f>
        <v>BCH-Q6</v>
      </c>
      <c r="D478" s="142" t="str">
        <f>BCH_Assessment!$B$61</f>
        <v>Are cable tray route, sleeve locations, supports and firestopping details shown/field verified without a BCHT-701 schedule?</v>
      </c>
      <c r="E478" s="142" t="str">
        <f>BCH_Assessment!$C$61</f>
        <v>Telecom / GC / Firestop</v>
      </c>
      <c r="F478" s="106" t="str">
        <f>BCH_Assessment!$D$61</f>
        <v>Closed</v>
      </c>
      <c r="G478" s="106">
        <f>BCH_Assessment!$E$61</f>
        <v>0</v>
      </c>
      <c r="H478" s="106">
        <f>BCH_Assessment!$F$61</f>
        <v>0</v>
      </c>
      <c r="I478" s="106" t="str">
        <f>BCH_Assessment!$G$61</f>
        <v>Install delay or firestop gap</v>
      </c>
      <c r="J478" s="106">
        <f>BCH_Assessment!$H$61</f>
        <v>0</v>
      </c>
      <c r="K478" s="106">
        <f>BCH_Assessment!$I$61</f>
        <v>0</v>
      </c>
      <c r="L478" s="106">
        <f>BCH_Assessment!$J$61</f>
        <v>0</v>
      </c>
    </row>
    <row r="479" spans="1:12" ht="97.5" customHeight="1">
      <c r="A479" s="106" t="str">
        <f>BCH_Assessment!$B$2</f>
        <v>BCH</v>
      </c>
      <c r="B479" s="106" t="str">
        <f t="shared" si="58"/>
        <v>BCH_Assessment</v>
      </c>
      <c r="C479" s="106" t="str">
        <f>BCH_Assessment!$A$62</f>
        <v>BCH-Q7</v>
      </c>
      <c r="D479" s="142" t="str">
        <f>BCH_Assessment!$B$62</f>
        <v>Are camera/security devices required, protected and integrated into VMS for Room 107?</v>
      </c>
      <c r="E479" s="142" t="str">
        <f>BCH_Assessment!$C$62</f>
        <v>Security / OIT</v>
      </c>
      <c r="F479" s="106" t="str">
        <f>BCH_Assessment!$D$62</f>
        <v>Closed</v>
      </c>
      <c r="G479" s="106">
        <f>BCH_Assessment!$E$62</f>
        <v>0</v>
      </c>
      <c r="H479" s="106">
        <f>BCH_Assessment!$F$62</f>
        <v>0</v>
      </c>
      <c r="I479" s="106" t="str">
        <f>BCH_Assessment!$G$62</f>
        <v>Security continuity unclear</v>
      </c>
      <c r="J479" s="106">
        <f>BCH_Assessment!$H$62</f>
        <v>0</v>
      </c>
      <c r="K479" s="106">
        <f>BCH_Assessment!$I$62</f>
        <v>0</v>
      </c>
      <c r="L479" s="106">
        <f>BCH_Assessment!$J$62</f>
        <v>0</v>
      </c>
    </row>
    <row r="480" spans="1:12" ht="97.5" customHeight="1">
      <c r="A480" s="106" t="str">
        <f>BCH_Assessment!$B$2</f>
        <v>BCH</v>
      </c>
      <c r="B480" s="106" t="str">
        <f t="shared" si="58"/>
        <v>BCH_Assessment</v>
      </c>
      <c r="C480" s="106" t="str">
        <f>BCH_Assessment!$A$63</f>
        <v>BCH-Q8</v>
      </c>
      <c r="D480" s="142" t="str">
        <f>BCH_Assessment!$B$63</f>
        <v>Which test records and turnover documents are required for BCH TE/off-site acceptance?</v>
      </c>
      <c r="E480" s="142" t="str">
        <f>BCH_Assessment!$C$63</f>
        <v>GC / Cx Manager / OIT</v>
      </c>
      <c r="F480" s="106" t="str">
        <f>BCH_Assessment!$D$63</f>
        <v>Closed</v>
      </c>
      <c r="G480" s="106">
        <f>BCH_Assessment!$E$63</f>
        <v>0</v>
      </c>
      <c r="H480" s="106">
        <f>BCH_Assessment!$F$63</f>
        <v>0</v>
      </c>
      <c r="I480" s="106" t="str">
        <f>BCH_Assessment!$G$63</f>
        <v>Turnover package gap</v>
      </c>
      <c r="J480" s="106">
        <f>BCH_Assessment!$H$63</f>
        <v>0</v>
      </c>
      <c r="K480" s="106">
        <f>BCH_Assessment!$I$63</f>
        <v>0</v>
      </c>
      <c r="L480" s="106">
        <f>BCH_Assessment!$J$63</f>
        <v>0</v>
      </c>
    </row>
    <row r="481" spans="1:12" ht="97.5" customHeight="1">
      <c r="A481" s="106" t="str">
        <f>MCR_Assessment!$B$2</f>
        <v>MCR</v>
      </c>
      <c r="B481" s="106" t="str">
        <f t="shared" si="58"/>
        <v>BCH_Assessment</v>
      </c>
      <c r="C481" s="106" t="str">
        <f>MCR_Assessment!$A$79</f>
        <v>MCR-Q1</v>
      </c>
      <c r="D481" s="142" t="str">
        <f>MCR_Assessment!$B$79</f>
        <v>Confirm final room naming and PMIS mapping: MCR Room 107, Fiber Entrance Room 031, Existing 107/137 server/MCR references.</v>
      </c>
      <c r="E481" s="142" t="str">
        <f>MCR_Assessment!$C$79</f>
        <v>VA / OIT / Designer</v>
      </c>
      <c r="F481" s="106" t="str">
        <f>MCR_Assessment!$D$79</f>
        <v>Closed</v>
      </c>
      <c r="G481" s="106">
        <f>MCR_Assessment!$E$79</f>
        <v>0</v>
      </c>
      <c r="H481" s="106">
        <f>MCR_Assessment!$F$79</f>
        <v>0</v>
      </c>
      <c r="I481" s="106" t="str">
        <f>MCR_Assessment!$G$79</f>
        <v>Room inventory and turnover mapping could be wrong</v>
      </c>
      <c r="J481" s="106">
        <f>MCR_Assessment!$H$79</f>
        <v>0</v>
      </c>
      <c r="K481" s="106">
        <f>MCR_Assessment!$I$79</f>
        <v>0</v>
      </c>
      <c r="L481" s="106">
        <f>MCR_Assessment!$J$79</f>
        <v>0</v>
      </c>
    </row>
    <row r="482" spans="1:12" ht="97.5" customHeight="1">
      <c r="A482" s="106" t="str">
        <f>MCR_Assessment!$B$2</f>
        <v>MCR</v>
      </c>
      <c r="B482" s="106" t="str">
        <f t="shared" si="58"/>
        <v>BCH_Assessment</v>
      </c>
      <c r="C482" s="106" t="str">
        <f>MCR_Assessment!$A$80</f>
        <v>MCR-Q2</v>
      </c>
      <c r="D482" s="142" t="str">
        <f>MCR_Assessment!$B$80</f>
        <v>What existing core/server/rack equipment is being relocated from the existing MCR/server rooms, and what remains?</v>
      </c>
      <c r="E482" s="142" t="str">
        <f>MCR_Assessment!$C$80</f>
        <v>OIT / Contractor</v>
      </c>
      <c r="F482" s="106" t="str">
        <f>MCR_Assessment!$D$80</f>
        <v>Closed</v>
      </c>
      <c r="G482" s="106">
        <f>MCR_Assessment!$E$80</f>
        <v>0</v>
      </c>
      <c r="H482" s="106">
        <f>MCR_Assessment!$F$80</f>
        <v>0</v>
      </c>
      <c r="I482" s="106" t="str">
        <f>MCR_Assessment!$G$80</f>
        <v>Cutover and outage risk</v>
      </c>
      <c r="J482" s="106">
        <f>MCR_Assessment!$H$80</f>
        <v>0</v>
      </c>
      <c r="K482" s="106">
        <f>MCR_Assessment!$I$80</f>
        <v>0</v>
      </c>
      <c r="L482" s="106">
        <f>MCR_Assessment!$J$80</f>
        <v>0</v>
      </c>
    </row>
    <row r="483" spans="1:12" ht="97.5" customHeight="1">
      <c r="A483" s="106" t="str">
        <f>MCR_Assessment!$B$2</f>
        <v>MCR</v>
      </c>
      <c r="B483" s="106" t="str">
        <f t="shared" si="58"/>
        <v>BCH_Assessment</v>
      </c>
      <c r="C483" s="106" t="str">
        <f>MCR_Assessment!$A$81</f>
        <v>MCR-Q3</v>
      </c>
      <c r="D483" s="142" t="str">
        <f>MCR_Assessment!$B$81</f>
        <v>What is the approved MCR activation sequence and required VA/OIT hold points?</v>
      </c>
      <c r="E483" s="142" t="str">
        <f>MCR_Assessment!$C$81</f>
        <v>VA / OIT / COR</v>
      </c>
      <c r="F483" s="106" t="str">
        <f>MCR_Assessment!$D$81</f>
        <v>Closed</v>
      </c>
      <c r="G483" s="106">
        <f>MCR_Assessment!$E$81</f>
        <v>0</v>
      </c>
      <c r="H483" s="106">
        <f>MCR_Assessment!$F$81</f>
        <v>0</v>
      </c>
      <c r="I483" s="106" t="str">
        <f>MCR_Assessment!$G$81</f>
        <v>Schedule/cutover impact</v>
      </c>
      <c r="J483" s="106">
        <f>MCR_Assessment!$H$81</f>
        <v>0</v>
      </c>
      <c r="K483" s="106">
        <f>MCR_Assessment!$I$81</f>
        <v>0</v>
      </c>
      <c r="L483" s="106" t="str">
        <f>MCR_Assessment!$J$81</f>
        <v>General phasing notes mention 3-6 month MCR activation and split core operation.</v>
      </c>
    </row>
    <row r="484" spans="1:12" ht="97.5" customHeight="1">
      <c r="A484" s="106" t="str">
        <f>MCR_Assessment!$B$2</f>
        <v>MCR</v>
      </c>
      <c r="B484" s="106" t="str">
        <f t="shared" si="58"/>
        <v>BCH_Assessment</v>
      </c>
      <c r="C484" s="106" t="str">
        <f>MCR_Assessment!$A$82</f>
        <v>MCR-Q4</v>
      </c>
      <c r="D484" s="142" t="str">
        <f>MCR_Assessment!$B$82</f>
        <v>Are UPS-A/B, generator/ATS and emergency power paths commissioned and mapped to each rack/PDU?</v>
      </c>
      <c r="E484" s="142" t="str">
        <f>MCR_Assessment!$C$82</f>
        <v>Electrical / Cx</v>
      </c>
      <c r="F484" s="106" t="str">
        <f>MCR_Assessment!$D$82</f>
        <v>Closed</v>
      </c>
      <c r="G484" s="106">
        <f>MCR_Assessment!$E$82</f>
        <v>0</v>
      </c>
      <c r="H484" s="106">
        <f>MCR_Assessment!$F$82</f>
        <v>0</v>
      </c>
      <c r="I484" s="106" t="str">
        <f>MCR_Assessment!$G$82</f>
        <v>Electrical readiness unknown</v>
      </c>
      <c r="J484" s="106">
        <f>MCR_Assessment!$H$82</f>
        <v>0</v>
      </c>
      <c r="K484" s="106">
        <f>MCR_Assessment!$I$82</f>
        <v>0</v>
      </c>
      <c r="L484" s="106">
        <f>MCR_Assessment!$J$82</f>
        <v>0</v>
      </c>
    </row>
    <row r="485" spans="1:12" ht="97.5" customHeight="1">
      <c r="A485" s="106" t="str">
        <f>MCR_Assessment!$B$2</f>
        <v>MCR</v>
      </c>
      <c r="B485" s="106" t="str">
        <f t="shared" si="58"/>
        <v>BCH_Assessment</v>
      </c>
      <c r="C485" s="106" t="str">
        <f>MCR_Assessment!$A$83</f>
        <v>MCR-Q5</v>
      </c>
      <c r="D485" s="142" t="str">
        <f>MCR_Assessment!$B$83</f>
        <v>Are CRAC units fully commissioned with BMS/FMS alarms, redundancy and emergency power?</v>
      </c>
      <c r="E485" s="142" t="str">
        <f>MCR_Assessment!$C$83</f>
        <v>Mechanical / Cx</v>
      </c>
      <c r="F485" s="106" t="str">
        <f>MCR_Assessment!$D$83</f>
        <v>Closed</v>
      </c>
      <c r="G485" s="106">
        <f>MCR_Assessment!$E$83</f>
        <v>0</v>
      </c>
      <c r="H485" s="106">
        <f>MCR_Assessment!$F$83</f>
        <v>0</v>
      </c>
      <c r="I485" s="106" t="str">
        <f>MCR_Assessment!$G$83</f>
        <v>Cooling continuity risk</v>
      </c>
      <c r="J485" s="106">
        <f>MCR_Assessment!$H$83</f>
        <v>0</v>
      </c>
      <c r="K485" s="106">
        <f>MCR_Assessment!$I$83</f>
        <v>0</v>
      </c>
      <c r="L485" s="106">
        <f>MCR_Assessment!$J$83</f>
        <v>0</v>
      </c>
    </row>
    <row r="486" spans="1:12" ht="97.5" customHeight="1">
      <c r="A486" s="106" t="str">
        <f>MCR_Assessment!$B$2</f>
        <v>MCR</v>
      </c>
      <c r="B486" s="106" t="str">
        <f t="shared" ref="B486:B493" si="59">"MCR_Assessment"</f>
        <v>MCR_Assessment</v>
      </c>
      <c r="C486" s="106" t="str">
        <f>MCR_Assessment!$A$84</f>
        <v>MCR-Q6</v>
      </c>
      <c r="D486" s="142" t="str">
        <f>MCR_Assessment!$B$84</f>
        <v>Are clean-agent/preaction/fire alarm systems fully designed, tested and accepted?</v>
      </c>
      <c r="E486" s="142" t="str">
        <f>MCR_Assessment!$C$84</f>
        <v>FP / FA / AHJ</v>
      </c>
      <c r="F486" s="106" t="str">
        <f>MCR_Assessment!$D$84</f>
        <v>Closed</v>
      </c>
      <c r="G486" s="106">
        <f>MCR_Assessment!$E$84</f>
        <v>0</v>
      </c>
      <c r="H486" s="106">
        <f>MCR_Assessment!$F$84</f>
        <v>0</v>
      </c>
      <c r="I486" s="106" t="str">
        <f>MCR_Assessment!$G$84</f>
        <v>Life-safety acceptance risk</v>
      </c>
      <c r="J486" s="106">
        <f>MCR_Assessment!$H$84</f>
        <v>0</v>
      </c>
      <c r="K486" s="106">
        <f>MCR_Assessment!$I$84</f>
        <v>0</v>
      </c>
      <c r="L486" s="106">
        <f>MCR_Assessment!$J$84</f>
        <v>0</v>
      </c>
    </row>
    <row r="487" spans="1:12" ht="97.5" customHeight="1">
      <c r="A487" s="106" t="str">
        <f>MCR_Assessment!$B$2</f>
        <v>MCR</v>
      </c>
      <c r="B487" s="106" t="str">
        <f t="shared" si="59"/>
        <v>MCR_Assessment</v>
      </c>
      <c r="C487" s="106" t="str">
        <f>MCR_Assessment!$A$85</f>
        <v>MCR-Q7</v>
      </c>
      <c r="D487" s="142" t="str">
        <f>MCR_Assessment!$B$85</f>
        <v>Are redundant Path A/B fiber routes geographically diverse, tested, labeled and accepted?</v>
      </c>
      <c r="E487" s="142" t="str">
        <f>MCR_Assessment!$C$85</f>
        <v>Telecom / OIT</v>
      </c>
      <c r="F487" s="106" t="str">
        <f>MCR_Assessment!$D$85</f>
        <v>Closed</v>
      </c>
      <c r="G487" s="106">
        <f>MCR_Assessment!$E$85</f>
        <v>0</v>
      </c>
      <c r="H487" s="106">
        <f>MCR_Assessment!$F$85</f>
        <v>0</v>
      </c>
      <c r="I487" s="106" t="str">
        <f>MCR_Assessment!$G$85</f>
        <v>Backbone redundancy risk</v>
      </c>
      <c r="J487" s="106">
        <f>MCR_Assessment!$H$85</f>
        <v>0</v>
      </c>
      <c r="K487" s="106">
        <f>MCR_Assessment!$I$85</f>
        <v>0</v>
      </c>
      <c r="L487" s="106">
        <f>MCR_Assessment!$J$85</f>
        <v>0</v>
      </c>
    </row>
    <row r="488" spans="1:12" ht="97.5" customHeight="1">
      <c r="A488" s="106" t="str">
        <f>MCR_Assessment!$B$2</f>
        <v>MCR</v>
      </c>
      <c r="B488" s="106" t="str">
        <f t="shared" si="59"/>
        <v>MCR_Assessment</v>
      </c>
      <c r="C488" s="106" t="str">
        <f>MCR_Assessment!$A$86</f>
        <v>MCR-Q8</v>
      </c>
      <c r="D488" s="142" t="str">
        <f>MCR_Assessment!$B$86</f>
        <v>Which third-party inspections, commissioning reports and OIT validation records are required before turnover/activation?</v>
      </c>
      <c r="E488" s="142" t="str">
        <f>MCR_Assessment!$C$86</f>
        <v>GC / Cx Manager / OIT</v>
      </c>
      <c r="F488" s="106" t="str">
        <f>MCR_Assessment!$D$86</f>
        <v>Closed</v>
      </c>
      <c r="G488" s="106">
        <f>MCR_Assessment!$E$86</f>
        <v>0</v>
      </c>
      <c r="H488" s="106">
        <f>MCR_Assessment!$F$86</f>
        <v>0</v>
      </c>
      <c r="I488" s="106" t="str">
        <f>MCR_Assessment!$G$86</f>
        <v>Turnover package gap</v>
      </c>
      <c r="J488" s="106">
        <f>MCR_Assessment!$H$86</f>
        <v>0</v>
      </c>
      <c r="K488" s="106">
        <f>MCR_Assessment!$I$86</f>
        <v>0</v>
      </c>
      <c r="L488" s="106">
        <f>MCR_Assessment!$J$86</f>
        <v>0</v>
      </c>
    </row>
    <row r="489" spans="1:12" ht="97.5" customHeight="1">
      <c r="A489" s="106" t="str">
        <f>SITE_Assesment!$B$2</f>
        <v>SITE</v>
      </c>
      <c r="B489" s="106" t="str">
        <f t="shared" si="59"/>
        <v>MCR_Assessment</v>
      </c>
      <c r="C489" s="106" t="str">
        <f>SITE_Assesment!$A$77</f>
        <v>SITE-Q1</v>
      </c>
      <c r="D489" s="142" t="str">
        <f>SITE_Assesment!$B$77</f>
        <v>Confirm final list of all site fiber buildings and whether Buildings 1-22, 33, 61, 62, 70, 78/78A, 80, 81, 82, Crescent House and MCR are included in one site backbone turnover package.</v>
      </c>
      <c r="E489" s="142" t="str">
        <f>SITE_Assesment!$C$77</f>
        <v>VA / OIT / Designer</v>
      </c>
      <c r="F489" s="106" t="str">
        <f>SITE_Assesment!$D$77</f>
        <v>Closed</v>
      </c>
      <c r="G489" s="106">
        <f>SITE_Assesment!$E$77</f>
        <v>0</v>
      </c>
      <c r="H489" s="106">
        <f>SITE_Assesment!$F$77</f>
        <v>0</v>
      </c>
      <c r="I489" s="106" t="str">
        <f>SITE_Assesment!$G$77</f>
        <v>Scope and turnover package mapping unclear</v>
      </c>
      <c r="J489" s="106">
        <f>SITE_Assesment!$H$77</f>
        <v>0</v>
      </c>
      <c r="K489" s="106">
        <f>SITE_Assesment!$I$77</f>
        <v>0</v>
      </c>
      <c r="L489" s="106">
        <f>SITE_Assesment!$J$77</f>
        <v>0</v>
      </c>
    </row>
    <row r="490" spans="1:12" ht="97.5" customHeight="1">
      <c r="A490" s="106" t="str">
        <f>SITE_Assesment!$B$2</f>
        <v>SITE</v>
      </c>
      <c r="B490" s="106" t="str">
        <f t="shared" si="59"/>
        <v>MCR_Assessment</v>
      </c>
      <c r="C490" s="106" t="str">
        <f>SITE_Assesment!$A$78</f>
        <v>SITE-Q2</v>
      </c>
      <c r="D490" s="142" t="str">
        <f>SITE_Assesment!$B$78</f>
        <v>Which THH/manhole numbers are new versus existing, and which require locking cover replacement only?</v>
      </c>
      <c r="E490" s="142" t="str">
        <f>SITE_Assesment!$C$78</f>
        <v>Telecom / Civil</v>
      </c>
      <c r="F490" s="106" t="str">
        <f>SITE_Assesment!$D$78</f>
        <v>Closed</v>
      </c>
      <c r="G490" s="106">
        <f>SITE_Assesment!$E$78</f>
        <v>0</v>
      </c>
      <c r="H490" s="106">
        <f>SITE_Assesment!$F$78</f>
        <v>0</v>
      </c>
      <c r="I490" s="106" t="str">
        <f>SITE_Assesment!$G$78</f>
        <v>Structure inventory and inspection scope unclear</v>
      </c>
      <c r="J490" s="106">
        <f>SITE_Assesment!$H$78</f>
        <v>0</v>
      </c>
      <c r="K490" s="106">
        <f>SITE_Assesment!$I$78</f>
        <v>0</v>
      </c>
      <c r="L490" s="106">
        <f>SITE_Assesment!$J$78</f>
        <v>0</v>
      </c>
    </row>
    <row r="491" spans="1:12" ht="97.5" customHeight="1">
      <c r="A491" s="106" t="str">
        <f>SITE_Assesment!$B$2</f>
        <v>SITE</v>
      </c>
      <c r="B491" s="106" t="str">
        <f t="shared" si="59"/>
        <v>MCR_Assessment</v>
      </c>
      <c r="C491" s="106" t="str">
        <f>SITE_Assesment!$A$79</f>
        <v>SITE-Q3</v>
      </c>
      <c r="D491" s="142" t="str">
        <f>SITE_Assesment!$B$79</f>
        <v>Are all A and B routes physically diverse enough and in separate conduit wherever common ductbank is used?</v>
      </c>
      <c r="E491" s="142" t="str">
        <f>SITE_Assesment!$C$79</f>
        <v>OIT / Designer</v>
      </c>
      <c r="F491" s="106" t="str">
        <f>SITE_Assesment!$D$79</f>
        <v>Closed</v>
      </c>
      <c r="G491" s="106">
        <f>SITE_Assesment!$E$79</f>
        <v>0</v>
      </c>
      <c r="H491" s="106">
        <f>SITE_Assesment!$F$79</f>
        <v>0</v>
      </c>
      <c r="I491" s="106" t="str">
        <f>SITE_Assesment!$G$79</f>
        <v>Redundancy risk</v>
      </c>
      <c r="J491" s="106">
        <f>SITE_Assesment!$H$79</f>
        <v>0</v>
      </c>
      <c r="K491" s="106">
        <f>SITE_Assesment!$I$79</f>
        <v>0</v>
      </c>
      <c r="L491" s="106">
        <f>SITE_Assesment!$J$79</f>
        <v>0</v>
      </c>
    </row>
    <row r="492" spans="1:12" ht="97.5" customHeight="1">
      <c r="A492" s="106" t="str">
        <f>SITE_Assesment!$B$2</f>
        <v>SITE</v>
      </c>
      <c r="B492" s="106" t="str">
        <f t="shared" si="59"/>
        <v>MCR_Assessment</v>
      </c>
      <c r="C492" s="106" t="str">
        <f>SITE_Assesment!$A$80</f>
        <v>SITE-Q4</v>
      </c>
      <c r="D492" s="142" t="str">
        <f>SITE_Assesment!$B$80</f>
        <v>What are the approved utility-locate/potholing requirements before excavation at each crossing?</v>
      </c>
      <c r="E492" s="142" t="str">
        <f>SITE_Assesment!$C$80</f>
        <v>GC / VA / Civil</v>
      </c>
      <c r="F492" s="106" t="str">
        <f>SITE_Assesment!$D$80</f>
        <v>Closed</v>
      </c>
      <c r="G492" s="106">
        <f>SITE_Assesment!$E$80</f>
        <v>0</v>
      </c>
      <c r="H492" s="106">
        <f>SITE_Assesment!$F$80</f>
        <v>0</v>
      </c>
      <c r="I492" s="106" t="str">
        <f>SITE_Assesment!$G$80</f>
        <v>Utility strike risk</v>
      </c>
      <c r="J492" s="106">
        <f>SITE_Assesment!$H$80</f>
        <v>0</v>
      </c>
      <c r="K492" s="106">
        <f>SITE_Assesment!$I$80</f>
        <v>0</v>
      </c>
      <c r="L492" s="106">
        <f>SITE_Assesment!$J$80</f>
        <v>0</v>
      </c>
    </row>
    <row r="493" spans="1:12" ht="97.5" customHeight="1">
      <c r="A493" s="106" t="str">
        <f>SITE_Assesment!$B$2</f>
        <v>SITE</v>
      </c>
      <c r="B493" s="106" t="str">
        <f t="shared" si="59"/>
        <v>MCR_Assessment</v>
      </c>
      <c r="C493" s="106" t="str">
        <f>SITE_Assesment!$A$81</f>
        <v>SITE-Q5</v>
      </c>
      <c r="D493" s="142" t="str">
        <f>SITE_Assesment!$B$81</f>
        <v>What inspection hold points are required for ductbank forms, conduit placement, concrete pour, pull string, mandrel and backfill?</v>
      </c>
      <c r="E493" s="142" t="str">
        <f>SITE_Assesment!$C$81</f>
        <v>QA / COR / Civil</v>
      </c>
      <c r="F493" s="106" t="str">
        <f>SITE_Assesment!$D$81</f>
        <v>Closed</v>
      </c>
      <c r="G493" s="106">
        <f>SITE_Assesment!$E$81</f>
        <v>0</v>
      </c>
      <c r="H493" s="106">
        <f>SITE_Assesment!$F$81</f>
        <v>0</v>
      </c>
      <c r="I493" s="106" t="str">
        <f>SITE_Assesment!$G$81</f>
        <v>QA acceptance risk</v>
      </c>
      <c r="J493" s="106">
        <f>SITE_Assesment!$H$81</f>
        <v>0</v>
      </c>
      <c r="K493" s="106">
        <f>SITE_Assesment!$I$81</f>
        <v>0</v>
      </c>
      <c r="L493" s="106">
        <f>SITE_Assesment!$J$81</f>
        <v>0</v>
      </c>
    </row>
    <row r="494" spans="1:12" ht="97.5" customHeight="1">
      <c r="A494" s="106" t="str">
        <f>SITE_Assesment!$B$2</f>
        <v>SITE</v>
      </c>
      <c r="B494" s="106" t="str">
        <f>"SITE_Assesment"</f>
        <v>SITE_Assesment</v>
      </c>
      <c r="C494" s="106" t="str">
        <f>SITE_Assesment!$A$82</f>
        <v>SITE-Q6</v>
      </c>
      <c r="D494" s="106" t="str">
        <f>SITE_Assesment!$B$82</f>
        <v>Are directional boring alternatives allowed anywhere, or is all base-bid work trenching unless separately approved by Government?</v>
      </c>
      <c r="E494" s="106" t="str">
        <f>SITE_Assesment!$C$82</f>
        <v>VA / COR</v>
      </c>
      <c r="F494" s="106" t="str">
        <f>SITE_Assesment!$D$82</f>
        <v>Closed</v>
      </c>
      <c r="G494" s="106">
        <f>SITE_Assesment!$E$82</f>
        <v>0</v>
      </c>
      <c r="H494" s="106">
        <f>SITE_Assesment!$F$82</f>
        <v>0</v>
      </c>
      <c r="I494" s="106" t="str">
        <f>SITE_Assesment!$G$82</f>
        <v>Means/methods and cost/schedule risk</v>
      </c>
      <c r="J494" s="106">
        <f>SITE_Assesment!$H$82</f>
        <v>0</v>
      </c>
      <c r="K494" s="106">
        <f>SITE_Assesment!$I$82</f>
        <v>0</v>
      </c>
      <c r="L494" s="106">
        <f>SITE_Assesment!$J$82</f>
        <v>0</v>
      </c>
    </row>
    <row r="495" spans="1:12" ht="97.5" customHeight="1">
      <c r="A495" s="106" t="str">
        <f>SITE_Assesment!$B$2</f>
        <v>SITE</v>
      </c>
      <c r="B495" s="106" t="str">
        <f>"SITE_Assesment"</f>
        <v>SITE_Assesment</v>
      </c>
      <c r="C495" s="106" t="str">
        <f>SITE_Assesment!$A$83</f>
        <v>SITE-Q7</v>
      </c>
      <c r="D495" s="106" t="str">
        <f>SITE_Assesment!$B$83</f>
        <v>What exact fiber test package is required for each path and building tie-in before connection to active operations?</v>
      </c>
      <c r="E495" s="106" t="str">
        <f>SITE_Assesment!$C$83</f>
        <v>OIT / Telecom / Cx</v>
      </c>
      <c r="F495" s="106" t="str">
        <f>SITE_Assesment!$D$83</f>
        <v>Closed</v>
      </c>
      <c r="G495" s="106">
        <f>SITE_Assesment!$E$83</f>
        <v>0</v>
      </c>
      <c r="H495" s="106">
        <f>SITE_Assesment!$F$83</f>
        <v>0</v>
      </c>
      <c r="I495" s="106" t="str">
        <f>SITE_Assesment!$G$83</f>
        <v>Acceptance/activation risk</v>
      </c>
      <c r="J495" s="106">
        <f>SITE_Assesment!$H$83</f>
        <v>0</v>
      </c>
      <c r="K495" s="106">
        <f>SITE_Assesment!$I$83</f>
        <v>0</v>
      </c>
      <c r="L495" s="106">
        <f>SITE_Assesment!$J$83</f>
        <v>0</v>
      </c>
    </row>
    <row r="496" spans="1:12" ht="97.5" customHeight="1">
      <c r="A496" s="106" t="str">
        <f>SITE_Assesment!$B$2</f>
        <v>SITE</v>
      </c>
      <c r="B496" s="106" t="str">
        <f>"SITE_Assesment"</f>
        <v>SITE_Assesment</v>
      </c>
      <c r="C496" s="106" t="str">
        <f>SITE_Assesment!$A$84</f>
        <v>SITE-Q8</v>
      </c>
      <c r="D496" s="106" t="str">
        <f>SITE_Assesment!$B$84</f>
        <v>How will MCR/provider temporary fiber, new fiber and campus building activation be sequenced to limit shutdowns to one at a time?</v>
      </c>
      <c r="E496" s="106" t="str">
        <f>SITE_Assesment!$C$84</f>
        <v>OIT / GC / COR</v>
      </c>
      <c r="F496" s="106" t="str">
        <f>SITE_Assesment!$D$84</f>
        <v>Closed</v>
      </c>
      <c r="G496" s="106">
        <f>SITE_Assesment!$E$84</f>
        <v>0</v>
      </c>
      <c r="H496" s="106">
        <f>SITE_Assesment!$F$84</f>
        <v>0</v>
      </c>
      <c r="I496" s="106" t="str">
        <f>SITE_Assesment!$G$84</f>
        <v>Operational outage risk</v>
      </c>
      <c r="J496" s="106">
        <f>SITE_Assesment!$H$84</f>
        <v>0</v>
      </c>
      <c r="K496" s="106">
        <f>SITE_Assesment!$I$84</f>
        <v>0</v>
      </c>
      <c r="L496" s="106">
        <f>SITE_Assesment!$J$84</f>
        <v>0</v>
      </c>
    </row>
    <row r="497" spans="1:12" ht="97.5" customHeight="1">
      <c r="A497" s="19"/>
      <c r="D497" s="144"/>
      <c r="E497" s="144"/>
      <c r="F497" s="19"/>
      <c r="G497" s="19"/>
      <c r="H497" s="19"/>
      <c r="I497" s="19"/>
      <c r="J497" s="19"/>
      <c r="K497" s="19"/>
      <c r="L497" s="19"/>
    </row>
    <row r="498" spans="1:12" ht="97.5" customHeight="1">
      <c r="A498" s="146"/>
      <c r="B498" s="146"/>
      <c r="C498" s="146"/>
      <c r="D498" s="147"/>
      <c r="E498" s="147"/>
      <c r="F498" s="146"/>
      <c r="G498" s="146"/>
      <c r="H498" s="146"/>
      <c r="I498" s="146"/>
      <c r="J498" s="146"/>
      <c r="K498" s="146"/>
      <c r="L498" s="146"/>
    </row>
    <row r="499" spans="1:12" s="148" customFormat="1" ht="97.5" customHeight="1">
      <c r="A499" s="103"/>
      <c r="B499" s="103"/>
      <c r="C499" s="103"/>
      <c r="D499" s="104"/>
      <c r="E499" s="104"/>
      <c r="F499" s="103"/>
      <c r="G499" s="103"/>
      <c r="H499" s="103"/>
      <c r="I499" s="103"/>
      <c r="J499" s="103"/>
      <c r="K499" s="103"/>
      <c r="L499" s="103"/>
    </row>
    <row r="500" spans="1:12" ht="97.5" customHeight="1">
      <c r="A500" s="19" t="s">
        <v>882</v>
      </c>
      <c r="B500" s="19"/>
      <c r="C500" s="19"/>
      <c r="D500" s="144"/>
      <c r="E500" s="144"/>
      <c r="F500" s="19"/>
      <c r="G500" s="19"/>
      <c r="H500" s="19"/>
      <c r="I500" s="19"/>
      <c r="J500" s="19"/>
      <c r="K500" s="19"/>
      <c r="L500" s="19"/>
    </row>
    <row r="501" spans="1:12" ht="97.5" customHeight="1">
      <c r="A501" s="146" t="s">
        <v>142</v>
      </c>
      <c r="B501" s="146" t="s">
        <v>173</v>
      </c>
      <c r="C501" s="146" t="s">
        <v>883</v>
      </c>
      <c r="D501" s="147" t="s">
        <v>275</v>
      </c>
      <c r="E501" s="147" t="s">
        <v>884</v>
      </c>
      <c r="F501" s="146" t="s">
        <v>885</v>
      </c>
      <c r="G501" s="146" t="s">
        <v>886</v>
      </c>
      <c r="H501" s="146" t="s">
        <v>887</v>
      </c>
      <c r="I501" s="146" t="s">
        <v>888</v>
      </c>
      <c r="J501" s="146" t="s">
        <v>77</v>
      </c>
      <c r="K501" s="146" t="s">
        <v>889</v>
      </c>
      <c r="L501" s="146" t="s">
        <v>11</v>
      </c>
    </row>
    <row r="502" spans="1:12" ht="97.5" customHeight="1">
      <c r="A502" s="106" t="str">
        <f>B01_Assessment!$B$2</f>
        <v>01</v>
      </c>
      <c r="B502" s="106" t="str">
        <f>"B01_Assessment"</f>
        <v>B01_Assessment</v>
      </c>
      <c r="C502" s="106" t="str">
        <f>B01_Assessment!$A$10</f>
        <v>01</v>
      </c>
      <c r="D502" s="142" t="str">
        <f>B01_Assessment!$B$10</f>
        <v>107</v>
      </c>
      <c r="E502" s="142" t="str">
        <f>B01_Assessment!$C$10</f>
        <v>First</v>
      </c>
      <c r="F502" s="106" t="str">
        <f>B01_Assessment!$D$10</f>
        <v>New Telecom Room build area</v>
      </c>
      <c r="G502" s="106" t="str">
        <f>B01_Assessment!$E$10</f>
        <v>Telecom Room</v>
      </c>
      <c r="H502" s="106">
        <f>B01_Assessment!$F$10</f>
        <v>1</v>
      </c>
      <c r="I502" s="106">
        <f>B01_Assessment!$G$10</f>
        <v>1</v>
      </c>
      <c r="J502" s="106" t="str">
        <f>B01_Assessment!$H$10</f>
        <v>Verify</v>
      </c>
      <c r="K502" s="106" t="str">
        <f>B01_Assessment!$I$10</f>
        <v>01A-401 / 01E-101 / 01E-601 / 01E-701 / 01T-101 / 01T-604 / 01T-605 / 01T-701</v>
      </c>
      <c r="L502" s="106" t="str">
        <f>B01_Assessment!$J$10</f>
        <v>Primary Building 01 TR. Plans identify Room 107 as new TR with Rack ID TR01-107-1, one new 4-post rack plus future rack, 5kW UPS, future/zone PDU, network switches, 48-port Cat6A patch panels, 24-port Cat5e patch panel, Fiber LIU, panels B01-TR107A/B, IU-1-01/CU-1-01 cooling, camera 107-CAM-1, and 161 total ports with 10% allowance.</v>
      </c>
    </row>
    <row r="503" spans="1:12" ht="97.5" customHeight="1">
      <c r="A503" s="106" t="str">
        <f>B01_Assessment!$B$2</f>
        <v>01</v>
      </c>
      <c r="B503" s="106" t="str">
        <f>"B01_Assessment"</f>
        <v>B01_Assessment</v>
      </c>
      <c r="C503" s="106" t="str">
        <f>B01_Assessment!$A$11</f>
        <v>01</v>
      </c>
      <c r="D503" s="142" t="str">
        <f>B01_Assessment!$B$11</f>
        <v>B02</v>
      </c>
      <c r="E503" s="142" t="str">
        <f>B01_Assessment!$C$11</f>
        <v>Basement</v>
      </c>
      <c r="F503" s="106" t="str">
        <f>B01_Assessment!$D$11</f>
        <v>Existing telecom room / racks</v>
      </c>
      <c r="G503" s="106" t="str">
        <f>B01_Assessment!$E$11</f>
        <v>Existing telecom transition point</v>
      </c>
      <c r="H503" s="106">
        <f>B01_Assessment!$F$11</f>
        <v>3</v>
      </c>
      <c r="I503" s="106">
        <f>B01_Assessment!$G$11</f>
        <v>0</v>
      </c>
      <c r="J503" s="106" t="str">
        <f>B01_Assessment!$H$11</f>
        <v>Verify</v>
      </c>
      <c r="K503" s="106" t="str">
        <f>B01_Assessment!$I$11</f>
        <v>01T-100 / 01T-604 / 01R-900</v>
      </c>
      <c r="L503" s="106" t="str">
        <f>B01_Assessment!$J$11</f>
        <v>Existing Basement Telecom Room B02 with two 2-post floor racks and one wall TE. Existing equipment includes open rack, UPS on floor, Tripp Lite Smart Pro UPS, Tera Max/Nokia/Baseband/IRU equipment, Corning LANscape, Cisco, and Ortronics 24-port patch panels. Protect active services and transfer devices as required.</v>
      </c>
    </row>
    <row r="504" spans="1:12" ht="97.5" customHeight="1">
      <c r="A504" s="106" t="str">
        <f>B01_Assessment!$B$2</f>
        <v>01</v>
      </c>
      <c r="B504" s="106" t="str">
        <f>"B01_Assessment"</f>
        <v>B01_Assessment</v>
      </c>
      <c r="C504" s="106" t="str">
        <f>B01_Assessment!$A$12</f>
        <v>01</v>
      </c>
      <c r="D504" s="142" t="str">
        <f>B01_Assessment!$B$12</f>
        <v>138</v>
      </c>
      <c r="E504" s="142" t="str">
        <f>B01_Assessment!$C$12</f>
        <v>First</v>
      </c>
      <c r="F504" s="106" t="str">
        <f>B01_Assessment!$D$12</f>
        <v>Existing telecom room / patch panels</v>
      </c>
      <c r="G504" s="106" t="str">
        <f>B01_Assessment!$E$12</f>
        <v>Existing telecom transition point</v>
      </c>
      <c r="H504" s="106">
        <f>B01_Assessment!$F$12</f>
        <v>3</v>
      </c>
      <c r="I504" s="106">
        <f>B01_Assessment!$G$12</f>
        <v>0</v>
      </c>
      <c r="J504" s="106" t="str">
        <f>B01_Assessment!$H$12</f>
        <v>Verify</v>
      </c>
      <c r="K504" s="106" t="str">
        <f>B01_Assessment!$I$12</f>
        <v>01T-101 / 01T-604 / 01R-900</v>
      </c>
      <c r="L504" s="106" t="str">
        <f>B01_Assessment!$J$12</f>
        <v>Existing First-Level Telecom Room 138 with existing patch panels, APC UPS floor, Cisco, Corning LANscape and Ortronics 24/48-port patch panels. Protect active services and verify migration to Room 107.</v>
      </c>
    </row>
    <row r="505" spans="1:12" ht="97.5" customHeight="1">
      <c r="A505" s="106" t="str">
        <f>B01_Assessment!$B$2</f>
        <v>01</v>
      </c>
      <c r="B505" s="106" t="str">
        <f>"B01_Assessment"</f>
        <v>B01_Assessment</v>
      </c>
      <c r="C505" s="106" t="str">
        <f>B01_Assessment!$A$13</f>
        <v>01</v>
      </c>
      <c r="D505" s="142" t="str">
        <f>B01_Assessment!$B$13</f>
        <v>282</v>
      </c>
      <c r="E505" s="142" t="str">
        <f>B01_Assessment!$C$13</f>
        <v>Second</v>
      </c>
      <c r="F505" s="106" t="str">
        <f>B01_Assessment!$D$13</f>
        <v>Existing telecom room / racks</v>
      </c>
      <c r="G505" s="106" t="str">
        <f>B01_Assessment!$E$13</f>
        <v>Existing telecom transition point</v>
      </c>
      <c r="H505" s="106">
        <f>B01_Assessment!$F$13</f>
        <v>2</v>
      </c>
      <c r="I505" s="106">
        <f>B01_Assessment!$G$13</f>
        <v>0</v>
      </c>
      <c r="J505" s="106" t="str">
        <f>B01_Assessment!$H$13</f>
        <v>Verify</v>
      </c>
      <c r="K505" s="106" t="str">
        <f>B01_Assessment!$I$13</f>
        <v>01T-101 / 01T-605 / 01R-900</v>
      </c>
      <c r="L505" s="106" t="str">
        <f>B01_Assessment!$J$13</f>
        <v>Existing Second-Level Telecom Room 282 with two 2-post floor racks, Cisco switches, cable managers, legacy Ortronics 24/48-port patch panels, Corning LANscape and APC 12-port equipment. Protect active services during Room 107 cutover.</v>
      </c>
    </row>
    <row r="506" spans="1:12" ht="97.5" customHeight="1">
      <c r="A506" s="106" t="str">
        <f>B02_Assessment!$B$2</f>
        <v>02</v>
      </c>
      <c r="B506" s="106" t="str">
        <f>"B02_Assessment"</f>
        <v>B02_Assessment</v>
      </c>
      <c r="C506" s="106" t="str">
        <f>B02_Assessment!$A$10</f>
        <v>02</v>
      </c>
      <c r="D506" s="142" t="str">
        <f>B02_Assessment!$B$10</f>
        <v>141</v>
      </c>
      <c r="E506" s="142" t="str">
        <f>B02_Assessment!$C$10</f>
        <v>First</v>
      </c>
      <c r="F506" s="106" t="str">
        <f>B02_Assessment!$D$10</f>
        <v>Existing first-level telecom room / expanded TR work area</v>
      </c>
      <c r="G506" s="106" t="str">
        <f>B02_Assessment!$E$10</f>
        <v>Telecom Room</v>
      </c>
      <c r="H506" s="106">
        <f>B02_Assessment!$F$10</f>
        <v>2</v>
      </c>
      <c r="I506" s="106">
        <f>B02_Assessment!$G$10</f>
        <v>1</v>
      </c>
      <c r="J506" s="106" t="str">
        <f>B02_Assessment!$H$10</f>
        <v>Verify</v>
      </c>
      <c r="K506" s="106" t="str">
        <f>B02_Assessment!$I$10</f>
        <v>02A-401 / 02E-101 / 02E-401 / 02E-601 / 02E-701 / 02T-101 / 02T-401 / 02T-604 / 02T-701</v>
      </c>
      <c r="L506" s="106" t="str">
        <f>B02_Assessment!$J$10</f>
        <v>Primary first-level TR. Schedules identify RM141 with 211 WAO total, 215 active ports, 322 scheduled ports and 354 total ports with 10% allowance. Rack IDs TR01-141-01/02. Enlarged plan shows Room 141 new and demo scope, 174-CAM-01, existing patch panels/fire alarm cabinet relocated to RM141 and future rack space.</v>
      </c>
    </row>
    <row r="507" spans="1:12" ht="97.5" customHeight="1">
      <c r="A507" s="106" t="str">
        <f>B02_Assessment!$B$2</f>
        <v>02</v>
      </c>
      <c r="B507" s="106" t="str">
        <f>"B02_Assessment"</f>
        <v>B02_Assessment</v>
      </c>
      <c r="C507" s="106" t="str">
        <f>B02_Assessment!$A$11</f>
        <v>02</v>
      </c>
      <c r="D507" s="142" t="str">
        <f>B02_Assessment!$B$11</f>
        <v>236</v>
      </c>
      <c r="E507" s="142" t="str">
        <f>B02_Assessment!$C$11</f>
        <v>Second</v>
      </c>
      <c r="F507" s="106" t="str">
        <f>B02_Assessment!$D$11</f>
        <v>Existing second-level telecom room / expanded TR work area</v>
      </c>
      <c r="G507" s="106" t="str">
        <f>B02_Assessment!$E$11</f>
        <v>Telecom Room</v>
      </c>
      <c r="H507" s="106">
        <f>B02_Assessment!$F$11</f>
        <v>2</v>
      </c>
      <c r="I507" s="106">
        <f>B02_Assessment!$G$11</f>
        <v>1</v>
      </c>
      <c r="J507" s="106" t="str">
        <f>B02_Assessment!$H$11</f>
        <v>Verify</v>
      </c>
      <c r="K507" s="106" t="str">
        <f>B02_Assessment!$I$11</f>
        <v>02A-401 / 02E-102 / 02E-402 / 02E-701 / 02T-102 / 02T-401 / 02T-604 / 02T-702</v>
      </c>
      <c r="L507" s="106" t="str">
        <f>B02_Assessment!$J$11</f>
        <v>Second-level TR. Schedules identify RM236 with 179 WAO total, 178 active ports, 314 scheduled ports and approximately 345 ports with 10% allowance. Rack IDs TR01-236-01/02. Enlarged plans show 236-CAM-01 and new/demolition work at Room 236 / existing Room 282.</v>
      </c>
    </row>
    <row r="508" spans="1:12" ht="97.5" customHeight="1">
      <c r="A508" s="106" t="str">
        <f>B02_Assessment!$B$2</f>
        <v>02</v>
      </c>
      <c r="B508" s="106" t="str">
        <f>"B02_Assessment"</f>
        <v>B02_Assessment</v>
      </c>
      <c r="C508" s="106" t="str">
        <f>B02_Assessment!$A$12</f>
        <v>02</v>
      </c>
      <c r="D508" s="142" t="str">
        <f>B02_Assessment!$B$12</f>
        <v>342</v>
      </c>
      <c r="E508" s="142" t="str">
        <f>B02_Assessment!$C$12</f>
        <v>Third</v>
      </c>
      <c r="F508" s="106" t="str">
        <f>B02_Assessment!$D$12</f>
        <v>Third-level telecom room / expanded TR work area</v>
      </c>
      <c r="G508" s="106" t="str">
        <f>B02_Assessment!$E$12</f>
        <v>Telecom Room</v>
      </c>
      <c r="H508" s="106">
        <f>B02_Assessment!$F$12</f>
        <v>2</v>
      </c>
      <c r="I508" s="106">
        <f>B02_Assessment!$G$12</f>
        <v>1</v>
      </c>
      <c r="J508" s="106" t="str">
        <f>B02_Assessment!$H$12</f>
        <v>Verify</v>
      </c>
      <c r="K508" s="106" t="str">
        <f>B02_Assessment!$I$12</f>
        <v>02A-402 / 02E-103 / 02E-402 / 02E-701 / 02T-103 / 02T-401 / 02T-604 / 02T-703</v>
      </c>
      <c r="L508" s="106" t="str">
        <f>B02_Assessment!$J$12</f>
        <v>Third-level TR. Schedules identify RM342 with 274 WAO total, 96 active ports, 353 scheduled ports and 388 total ports with 10% allowance. Rack IDs TR01-342-01/02. Enlarged plans show 342-CAM-01, 342A-CK-A and new rack scope.</v>
      </c>
    </row>
    <row r="509" spans="1:12" ht="97.5" customHeight="1">
      <c r="A509" s="106" t="str">
        <f>B02_Assessment!$B$2</f>
        <v>02</v>
      </c>
      <c r="B509" s="106" t="str">
        <f>"B02_Assessment"</f>
        <v>B02_Assessment</v>
      </c>
      <c r="C509" s="106" t="str">
        <f>B02_Assessment!$A$13</f>
        <v>02</v>
      </c>
      <c r="D509" s="142" t="str">
        <f>B02_Assessment!$B$13</f>
        <v>B-06</v>
      </c>
      <c r="E509" s="142" t="str">
        <f>B02_Assessment!$C$13</f>
        <v>Basement</v>
      </c>
      <c r="F509" s="106" t="str">
        <f>B02_Assessment!$D$13</f>
        <v>Existing telecom room / legacy rack equipment</v>
      </c>
      <c r="G509" s="106" t="str">
        <f>B02_Assessment!$E$13</f>
        <v>Existing telecom transition point</v>
      </c>
      <c r="H509" s="106">
        <f>B02_Assessment!$F$13</f>
        <v>1</v>
      </c>
      <c r="I509" s="106">
        <f>B02_Assessment!$G$13</f>
        <v>0</v>
      </c>
      <c r="J509" s="106" t="str">
        <f>B02_Assessment!$H$13</f>
        <v>Verify</v>
      </c>
      <c r="K509" s="106" t="str">
        <f>B02_Assessment!$I$13</f>
        <v>02T-100 / 02T-604 / 02R-900</v>
      </c>
      <c r="L509" s="106" t="str">
        <f>B02_Assessment!$J$13</f>
        <v>Existing Basement Telecom Room B-06 with legacy Ortronics 48-port patch panels. Photo reference identifies B-06 existing telecom room. Protect active services and verify transfer/abandonment scope.</v>
      </c>
    </row>
    <row r="510" spans="1:12" ht="97.5" customHeight="1">
      <c r="A510" s="106" t="str">
        <f>B02_Assessment!$B$2</f>
        <v>02</v>
      </c>
      <c r="B510" s="106" t="str">
        <f>"B02_Assessment"</f>
        <v>B02_Assessment</v>
      </c>
      <c r="C510" s="106" t="str">
        <f>B02_Assessment!$A$14</f>
        <v>02</v>
      </c>
      <c r="D510" s="142" t="str">
        <f>B02_Assessment!$B$14</f>
        <v>Existing 141 / 236</v>
      </c>
      <c r="E510" s="142" t="str">
        <f>B02_Assessment!$C$14</f>
        <v>First / Second</v>
      </c>
      <c r="F510" s="106" t="str">
        <f>B02_Assessment!$D$14</f>
        <v>Existing telecom room equipment / transition points</v>
      </c>
      <c r="G510" s="106" t="str">
        <f>B02_Assessment!$E$14</f>
        <v>Existing telecom transition points</v>
      </c>
      <c r="H510" s="106">
        <f>B02_Assessment!$F$14</f>
        <v>4</v>
      </c>
      <c r="I510" s="106">
        <f>B02_Assessment!$G$14</f>
        <v>0</v>
      </c>
      <c r="J510" s="106" t="str">
        <f>B02_Assessment!$H$14</f>
        <v>Verify</v>
      </c>
      <c r="K510" s="106" t="str">
        <f>B02_Assessment!$I$14</f>
        <v>02T-604 / 02R-900</v>
      </c>
      <c r="L510" s="106" t="str">
        <f>B02_Assessment!$J$14</f>
        <v>Existing First-Level Telecom Room 141 and Second-Level Existing Telecom Room 236 shown in photo references/rack elevations. Existing devices and racks are to be protected or transferred per notes.</v>
      </c>
    </row>
    <row r="511" spans="1:12" ht="97.5" customHeight="1">
      <c r="A511" s="106" t="str">
        <f>B03_Assessment!$B$2</f>
        <v>03</v>
      </c>
      <c r="B511" s="106" t="str">
        <f>"B03_Assessment"</f>
        <v>B03_Assessment</v>
      </c>
      <c r="C511" s="106" t="str">
        <f>B03_Assessment!$A$10</f>
        <v>03</v>
      </c>
      <c r="D511" s="142" t="str">
        <f>B03_Assessment!$B$10</f>
        <v>101E</v>
      </c>
      <c r="E511" s="142" t="str">
        <f>B03_Assessment!$C$10</f>
        <v>First</v>
      </c>
      <c r="F511" s="106" t="str">
        <f>B03_Assessment!$D$10</f>
        <v>New telecom room buildout / relocated TR function</v>
      </c>
      <c r="G511" s="106" t="str">
        <f>B03_Assessment!$E$10</f>
        <v>Telecom Room</v>
      </c>
      <c r="H511" s="106">
        <f>B03_Assessment!$F$10</f>
        <v>2</v>
      </c>
      <c r="I511" s="106">
        <f>B03_Assessment!$G$10</f>
        <v>1</v>
      </c>
      <c r="J511" s="106" t="str">
        <f>B03_Assessment!$H$10</f>
        <v>Verify</v>
      </c>
      <c r="K511" s="106" t="str">
        <f>B03_Assessment!$I$10</f>
        <v>03A-401 / 03E-101 / 03E-401 / 03E-601 / 03E-701 / 03T-101 / 03T-401 / 03T-604 / 03T-701</v>
      </c>
      <c r="L511" s="106" t="str">
        <f>B03_Assessment!$J$10</f>
        <v>Primary Building 03 TR. Schedules identify RM101E with 143 WAO total, 213 active ports, 187 scheduled ports, 206 total ports with 10% allowance, Rack IDs TR01-101E-1 and TR01-101E-2, 5kW UPS, Zone PDU, fiber LIU, Cat6A patch panels, and future rack/switch capacity.</v>
      </c>
    </row>
    <row r="512" spans="1:12" ht="97.5" customHeight="1">
      <c r="A512" s="106" t="str">
        <f>B03_Assessment!$B$2</f>
        <v>03</v>
      </c>
      <c r="B512" s="106" t="str">
        <f>"B03_Assessment"</f>
        <v>B03_Assessment</v>
      </c>
      <c r="C512" s="106" t="str">
        <f>B03_Assessment!$A$11</f>
        <v>03</v>
      </c>
      <c r="D512" s="142" t="str">
        <f>B03_Assessment!$B$11</f>
        <v>107</v>
      </c>
      <c r="E512" s="142" t="str">
        <f>B03_Assessment!$C$11</f>
        <v>Basement</v>
      </c>
      <c r="F512" s="106" t="str">
        <f>B03_Assessment!$D$11</f>
        <v>Existing telecom room / legacy rack equipment</v>
      </c>
      <c r="G512" s="106" t="str">
        <f>B03_Assessment!$E$11</f>
        <v>Existing telecom transition point</v>
      </c>
      <c r="H512" s="106">
        <f>B03_Assessment!$F$11</f>
        <v>1</v>
      </c>
      <c r="I512" s="106">
        <f>B03_Assessment!$G$11</f>
        <v>0</v>
      </c>
      <c r="J512" s="106" t="str">
        <f>B03_Assessment!$H$11</f>
        <v>Verify</v>
      </c>
      <c r="K512" s="106" t="str">
        <f>B03_Assessment!$I$11</f>
        <v>03T-100 / 03T-403 / 03T-604 / 03R-900</v>
      </c>
      <c r="L512" s="106" t="str">
        <f>B03_Assessment!$J$11</f>
        <v>Existing Basement Telecom Room 107. Rack elevation identifies Building 3 existing B3-LB-B13-TC-FIBER rack with UPS on floor, Cisco switch, legacy 48-port patch panels, and fiber LIU wall-mounted. 03T-403 provides Room 107 inventory list for reference.</v>
      </c>
    </row>
    <row r="513" spans="1:12" ht="97.5" customHeight="1">
      <c r="A513" s="106" t="str">
        <f>B03_Assessment!$B$2</f>
        <v>03</v>
      </c>
      <c r="B513" s="106" t="str">
        <f>"B03_Assessment"</f>
        <v>B03_Assessment</v>
      </c>
      <c r="C513" s="106" t="str">
        <f>B03_Assessment!$A$12</f>
        <v>03</v>
      </c>
      <c r="D513" s="142" t="str">
        <f>B03_Assessment!$B$12</f>
        <v>101C</v>
      </c>
      <c r="E513" s="142" t="str">
        <f>B03_Assessment!$C$12</f>
        <v>First</v>
      </c>
      <c r="F513" s="106" t="str">
        <f>B03_Assessment!$D$12</f>
        <v>Existing DMARC / telecom room</v>
      </c>
      <c r="G513" s="106" t="str">
        <f>B03_Assessment!$E$12</f>
        <v>Existing DMARC transition point</v>
      </c>
      <c r="H513" s="106">
        <f>B03_Assessment!$F$12</f>
        <v>1</v>
      </c>
      <c r="I513" s="106">
        <f>B03_Assessment!$G$12</f>
        <v>0</v>
      </c>
      <c r="J513" s="106" t="str">
        <f>B03_Assessment!$H$12</f>
        <v>Verify</v>
      </c>
      <c r="K513" s="106" t="str">
        <f>B03_Assessment!$I$12</f>
        <v>03T-101 / 03T-401 / 03T-604 / 03R-900</v>
      </c>
      <c r="L513" s="106" t="str">
        <f>B03_Assessment!$J$12</f>
        <v>First-floor existing DMARC Room 101C / telecom room. Enlarged plan shows existing/removal patch panels, existing branch panel, telecom cabinet, 101C-CAM-01, 101C-CK-A, 101C-A/B/C/D and AP locations. Protect active DMARC/fiber until new service is operational.</v>
      </c>
    </row>
    <row r="514" spans="1:12" ht="97.5" customHeight="1">
      <c r="A514" s="106" t="str">
        <f>B03_Assessment!$B$2</f>
        <v>03</v>
      </c>
      <c r="B514" s="106" t="str">
        <f>"B03_Assessment"</f>
        <v>B03_Assessment</v>
      </c>
      <c r="C514" s="106" t="str">
        <f>B03_Assessment!$A$13</f>
        <v>03</v>
      </c>
      <c r="D514" s="142" t="str">
        <f>B03_Assessment!$B$13</f>
        <v>108 / 107A / 101C related WAO areas</v>
      </c>
      <c r="E514" s="142" t="str">
        <f>B03_Assessment!$C$13</f>
        <v>First</v>
      </c>
      <c r="F514" s="106" t="str">
        <f>B03_Assessment!$D$13</f>
        <v>Work area outlets and WAP/camera locations</v>
      </c>
      <c r="G514" s="106" t="str">
        <f>B03_Assessment!$E$13</f>
        <v>WAO recabling / device support</v>
      </c>
      <c r="H514" s="106">
        <f>B03_Assessment!$F$13</f>
        <v>0</v>
      </c>
      <c r="I514" s="106">
        <f>B03_Assessment!$G$13</f>
        <v>0</v>
      </c>
      <c r="J514" s="106" t="str">
        <f>B03_Assessment!$H$13</f>
        <v>Verify</v>
      </c>
      <c r="K514" s="106" t="str">
        <f>B03_Assessment!$I$13</f>
        <v>03T-101 / 03T-701</v>
      </c>
      <c r="L514" s="106" t="str">
        <f>B03_Assessment!$J$13</f>
        <v>WAO schedule includes first-level outlets such as 108-A/B/C, 108-CK-A, 108-AP-A, 107A-AP-A, 101C-CAM-01, 101C-A/B/C/D and AP locations served from TR01-101E-1/2.</v>
      </c>
    </row>
    <row r="515" spans="1:12" ht="97.5" customHeight="1">
      <c r="A515" s="106" t="str">
        <f>B04_Assessment!$B$2</f>
        <v>04</v>
      </c>
      <c r="B515" s="106" t="str">
        <f>"B04_Assessment"</f>
        <v>B04_Assessment</v>
      </c>
      <c r="C515" s="106" t="str">
        <f>B04_Assessment!$A$10</f>
        <v>04</v>
      </c>
      <c r="D515" s="142" t="str">
        <f>B04_Assessment!$B$10</f>
        <v>B05</v>
      </c>
      <c r="E515" s="142" t="str">
        <f>B04_Assessment!$C$10</f>
        <v>Basement</v>
      </c>
      <c r="F515" s="106" t="str">
        <f>B04_Assessment!$D$10</f>
        <v>Existing telecom / service area</v>
      </c>
      <c r="G515" s="106" t="str">
        <f>B04_Assessment!$E$10</f>
        <v>TR</v>
      </c>
      <c r="H515" s="106">
        <f>B04_Assessment!$F$10</f>
        <v>2</v>
      </c>
      <c r="I515" s="106">
        <f>B04_Assessment!$G$10</f>
        <v>0</v>
      </c>
      <c r="J515" s="106" t="str">
        <f>B04_Assessment!$H$10</f>
        <v>Verify</v>
      </c>
      <c r="K515" s="106" t="str">
        <f>B04_Assessment!$I$10</f>
        <v>04A-400 / 04T-604 / 04E-701</v>
      </c>
      <c r="L515" s="106" t="str">
        <f>B04_Assessment!$J$10</f>
        <v>Rack elevations show B05 with Rack 1 of 2 and Rack 2 of 2; new B04-TRB05A/B panels and NPA-TR feed shown.</v>
      </c>
    </row>
    <row r="516" spans="1:12" ht="97.5" customHeight="1">
      <c r="A516" s="106" t="str">
        <f>B04_Assessment!$B$2</f>
        <v>04</v>
      </c>
      <c r="B516" s="106" t="str">
        <f>"B04_Assessment"</f>
        <v>B04_Assessment</v>
      </c>
      <c r="C516" s="106" t="str">
        <f>B04_Assessment!$A$11</f>
        <v>04</v>
      </c>
      <c r="D516" s="142" t="str">
        <f>B04_Assessment!$B$11</f>
        <v>141</v>
      </c>
      <c r="E516" s="142" t="str">
        <f>B04_Assessment!$C$11</f>
        <v>First</v>
      </c>
      <c r="F516" s="106" t="str">
        <f>B04_Assessment!$D$11</f>
        <v>Existing room to be converted / upgraded</v>
      </c>
      <c r="G516" s="106" t="str">
        <f>B04_Assessment!$E$11</f>
        <v>TR</v>
      </c>
      <c r="H516" s="106">
        <f>B04_Assessment!$F$11</f>
        <v>1</v>
      </c>
      <c r="I516" s="106">
        <f>B04_Assessment!$G$11</f>
        <v>1</v>
      </c>
      <c r="J516" s="106" t="str">
        <f>B04_Assessment!$H$11</f>
        <v>Verify</v>
      </c>
      <c r="K516" s="106" t="str">
        <f>B04_Assessment!$I$11</f>
        <v>04A-401 / 04T-604 / 04E-701</v>
      </c>
      <c r="L516" s="106" t="str">
        <f>B04_Assessment!$J$11</f>
        <v>Architectural enlarged views identify Room 141; new 45-minute rated door/frame, 1-hour/smoke-rated envelope, open-to-deck TR, and future rack.</v>
      </c>
    </row>
    <row r="517" spans="1:12" ht="97.5" customHeight="1">
      <c r="A517" s="106" t="str">
        <f>B04_Assessment!$B$2</f>
        <v>04</v>
      </c>
      <c r="B517" s="106" t="str">
        <f>"B04_Assessment"</f>
        <v>B04_Assessment</v>
      </c>
      <c r="C517" s="106" t="str">
        <f>B04_Assessment!$A$12</f>
        <v>04</v>
      </c>
      <c r="D517" s="142" t="str">
        <f>B04_Assessment!$B$12</f>
        <v>244A</v>
      </c>
      <c r="E517" s="142" t="str">
        <f>B04_Assessment!$C$12</f>
        <v>Second</v>
      </c>
      <c r="F517" s="106" t="str">
        <f>B04_Assessment!$D$12</f>
        <v>Existing or renovated telecom area</v>
      </c>
      <c r="G517" s="106" t="str">
        <f>B04_Assessment!$E$12</f>
        <v>TR</v>
      </c>
      <c r="H517" s="106">
        <f>B04_Assessment!$F$12</f>
        <v>1</v>
      </c>
      <c r="I517" s="106">
        <f>B04_Assessment!$G$12</f>
        <v>1</v>
      </c>
      <c r="J517" s="106" t="str">
        <f>B04_Assessment!$H$12</f>
        <v>Verify</v>
      </c>
      <c r="K517" s="106" t="str">
        <f>B04_Assessment!$I$12</f>
        <v>04T / 04E-701</v>
      </c>
      <c r="L517" s="106" t="str">
        <f>B04_Assessment!$J$12</f>
        <v>Panel schedule identifies B04-TR244A; room requires field verification of rack count, cooling, pathways, fire protection, and PACS/CCTV requirements.</v>
      </c>
    </row>
    <row r="518" spans="1:12" ht="97.5" customHeight="1">
      <c r="A518" s="106" t="str">
        <f>B05_Assessment!$B$2</f>
        <v>05</v>
      </c>
      <c r="B518" s="106" t="str">
        <f>"B05_Assessment"</f>
        <v>B05_Assessment</v>
      </c>
      <c r="C518" s="106" t="str">
        <f>B05_Assessment!$A$10</f>
        <v>05</v>
      </c>
      <c r="D518" s="142" t="str">
        <f>B05_Assessment!$B$10</f>
        <v>150</v>
      </c>
      <c r="E518" s="142" t="str">
        <f>B05_Assessment!$C$10</f>
        <v>First</v>
      </c>
      <c r="F518" s="106" t="str">
        <f>B05_Assessment!$D$10</f>
        <v>Telecom / equipment location</v>
      </c>
      <c r="G518" s="106" t="str">
        <f>B05_Assessment!$E$10</f>
        <v>Telecom Enclosure (TE)</v>
      </c>
      <c r="H518" s="106">
        <f>B05_Assessment!$F$10</f>
        <v>1</v>
      </c>
      <c r="I518" s="106">
        <f>B05_Assessment!$G$10</f>
        <v>0</v>
      </c>
      <c r="J518" s="106" t="str">
        <f>B05_Assessment!$H$10</f>
        <v>Verify</v>
      </c>
      <c r="K518" s="106" t="str">
        <f>B05_Assessment!$I$10</f>
        <v>05T-604 / 05T-401 / 05E-401</v>
      </c>
      <c r="L518" s="106" t="str">
        <f>B05_Assessment!$J$10</f>
        <v>New elevation identifies Room 150 with one 12RU Telecom Enclosure; includes APC UPS, PDUs, cable managers, 48-port patch panels, Cat6A patch panel, and Fiber LIU.</v>
      </c>
    </row>
    <row r="519" spans="1:12" ht="97.5" customHeight="1">
      <c r="A519" s="106" t="str">
        <f>B05_Assessment!$B$2</f>
        <v>05</v>
      </c>
      <c r="B519" s="106" t="str">
        <f>"B05_Assessment"</f>
        <v>B05_Assessment</v>
      </c>
      <c r="C519" s="106" t="str">
        <f>B05_Assessment!$A$11</f>
        <v>05</v>
      </c>
      <c r="D519" s="142" t="str">
        <f>B05_Assessment!$B$11</f>
        <v>153-A</v>
      </c>
      <c r="E519" s="142" t="str">
        <f>B05_Assessment!$C$11</f>
        <v>First</v>
      </c>
      <c r="F519" s="106" t="str">
        <f>B05_Assessment!$D$11</f>
        <v>Existing wall-mounted TE / existing rack area</v>
      </c>
      <c r="G519" s="106" t="str">
        <f>B05_Assessment!$E$11</f>
        <v>Existing equipment / transition point</v>
      </c>
      <c r="H519" s="106">
        <f>B05_Assessment!$F$11</f>
        <v>1</v>
      </c>
      <c r="I519" s="106">
        <f>B05_Assessment!$G$11</f>
        <v>0</v>
      </c>
      <c r="J519" s="106" t="str">
        <f>B05_Assessment!$H$11</f>
        <v>Verify</v>
      </c>
      <c r="K519" s="106" t="str">
        <f>B05_Assessment!$I$11</f>
        <v>05T-604</v>
      </c>
      <c r="L519" s="106" t="str">
        <f>B05_Assessment!$J$11</f>
        <v>Existing elevation shows wall or wall-mount TE at Room 153-A with Cisco switches and multiple legacy 24-port patch panels; existing floor UPS shown.</v>
      </c>
    </row>
    <row r="520" spans="1:12" ht="97.5" customHeight="1">
      <c r="A520" s="106" t="str">
        <f>B06_Assessment!$B$2</f>
        <v>06</v>
      </c>
      <c r="B520" s="106" t="str">
        <f>"B06_Assessment"</f>
        <v>B06_Assessment</v>
      </c>
      <c r="C520" s="106" t="str">
        <f>B06_Assessment!$A$10</f>
        <v>06</v>
      </c>
      <c r="D520" s="142" t="str">
        <f>B06_Assessment!$B$10</f>
        <v>B-01</v>
      </c>
      <c r="E520" s="142" t="str">
        <f>B06_Assessment!$C$10</f>
        <v>Basement</v>
      </c>
      <c r="F520" s="106" t="str">
        <f>B06_Assessment!$D$10</f>
        <v>Existing wall/wall-mount TE and floor UPS</v>
      </c>
      <c r="G520" s="106" t="str">
        <f>B06_Assessment!$E$10</f>
        <v>Existing equipment / transition point</v>
      </c>
      <c r="H520" s="106">
        <f>B06_Assessment!$F$10</f>
        <v>1</v>
      </c>
      <c r="I520" s="106">
        <f>B06_Assessment!$G$10</f>
        <v>0</v>
      </c>
      <c r="J520" s="106" t="str">
        <f>B06_Assessment!$H$10</f>
        <v>Verify</v>
      </c>
      <c r="K520" s="106" t="str">
        <f>B06_Assessment!$I$10</f>
        <v>06T-604</v>
      </c>
      <c r="L520" s="106" t="str">
        <f>B06_Assessment!$J$10</f>
        <v>Existing basement wall/wall-mount TE with Cisco switches, legacy Ortronics 48-port patch panels, and floor UPS.</v>
      </c>
    </row>
    <row r="521" spans="1:12" ht="97.5" customHeight="1">
      <c r="A521" s="106" t="str">
        <f>B06_Assessment!$B$2</f>
        <v>06</v>
      </c>
      <c r="B521" s="106" t="str">
        <f>"B06_Assessment"</f>
        <v>B06_Assessment</v>
      </c>
      <c r="C521" s="106" t="str">
        <f>B06_Assessment!$A$11</f>
        <v>06</v>
      </c>
      <c r="D521" s="142" t="str">
        <f>B06_Assessment!$B$11</f>
        <v>178</v>
      </c>
      <c r="E521" s="142" t="str">
        <f>B06_Assessment!$C$11</f>
        <v>First</v>
      </c>
      <c r="F521" s="106" t="str">
        <f>B06_Assessment!$D$11</f>
        <v>Existing telecom room / group therapy area adjacent</v>
      </c>
      <c r="G521" s="106" t="str">
        <f>B06_Assessment!$E$11</f>
        <v>Telecom Room</v>
      </c>
      <c r="H521" s="106">
        <f>B06_Assessment!$F$11</f>
        <v>2</v>
      </c>
      <c r="I521" s="106">
        <f>B06_Assessment!$G$11</f>
        <v>0</v>
      </c>
      <c r="J521" s="106" t="str">
        <f>B06_Assessment!$H$11</f>
        <v>Verify</v>
      </c>
      <c r="K521" s="106" t="str">
        <f>B06_Assessment!$I$11</f>
        <v>06A-401 / 06E-401 / 06T-604 / 06E-701</v>
      </c>
      <c r="L521" s="106" t="str">
        <f>B06_Assessment!$J$11</f>
        <v>Room 178 shown as 114 SF Telecom Room; existing 2-post racks and new B06-TR178A/B panel work with IU-1-01 cooling.</v>
      </c>
    </row>
    <row r="522" spans="1:12" ht="97.5" customHeight="1">
      <c r="A522" s="106" t="str">
        <f>B06_Assessment!$B$2</f>
        <v>06</v>
      </c>
      <c r="B522" s="106" t="str">
        <f>"B06_Assessment"</f>
        <v>B06_Assessment</v>
      </c>
      <c r="C522" s="106" t="str">
        <f>B06_Assessment!$A$12</f>
        <v>06</v>
      </c>
      <c r="D522" s="142" t="str">
        <f>B06_Assessment!$B$12</f>
        <v>233</v>
      </c>
      <c r="E522" s="142" t="str">
        <f>B06_Assessment!$C$12</f>
        <v>Second</v>
      </c>
      <c r="F522" s="106" t="str">
        <f>B06_Assessment!$D$12</f>
        <v>Data closet / patient toilet area conversion</v>
      </c>
      <c r="G522" s="106" t="str">
        <f>B06_Assessment!$E$12</f>
        <v>Telecom Room</v>
      </c>
      <c r="H522" s="106">
        <f>B06_Assessment!$F$12</f>
        <v>1</v>
      </c>
      <c r="I522" s="106">
        <f>B06_Assessment!$G$12</f>
        <v>1</v>
      </c>
      <c r="J522" s="106" t="str">
        <f>B06_Assessment!$H$12</f>
        <v>Verify</v>
      </c>
      <c r="K522" s="106" t="str">
        <f>B06_Assessment!$I$12</f>
        <v>06A-402 / 06E-401 / 06T-604 / 06E-701</v>
      </c>
      <c r="L522" s="106" t="str">
        <f>B06_Assessment!$J$12</f>
        <v>Room 233 shown as 119 SF Telecom Room/Data Closet; future rack elevation, B06-TR233A/B panels, and IU-2-01 cooling.</v>
      </c>
    </row>
    <row r="523" spans="1:12" ht="97.5" customHeight="1">
      <c r="A523" s="106" t="str">
        <f>B07_Assessment!$B$2</f>
        <v>07</v>
      </c>
      <c r="B523" s="106" t="str">
        <f>"B07_Assessment"</f>
        <v>B07_Assessment</v>
      </c>
      <c r="C523" s="106" t="str">
        <f>B07_Assessment!$A$10</f>
        <v>07</v>
      </c>
      <c r="D523" s="142" t="str">
        <f>B07_Assessment!$B$10</f>
        <v>B-18</v>
      </c>
      <c r="E523" s="142" t="str">
        <f>B07_Assessment!$C$10</f>
        <v>Basement</v>
      </c>
      <c r="F523" s="106" t="str">
        <f>B07_Assessment!$D$10</f>
        <v>Existing office / telecom-service area</v>
      </c>
      <c r="G523" s="106" t="str">
        <f>B07_Assessment!$E$10</f>
        <v>Telecom Room</v>
      </c>
      <c r="H523" s="106">
        <f>B07_Assessment!$F$10</f>
        <v>1</v>
      </c>
      <c r="I523" s="106">
        <f>B07_Assessment!$G$10</f>
        <v>1</v>
      </c>
      <c r="J523" s="106" t="str">
        <f>B07_Assessment!$H$10</f>
        <v>Verify</v>
      </c>
      <c r="K523" s="106" t="str">
        <f>B07_Assessment!$I$10</f>
        <v>07A-400 / 07E-401 / 07T-604 / 07M-701</v>
      </c>
      <c r="L523" s="106" t="str">
        <f>B07_Assessment!$J$10</f>
        <v>Rack elevation shows B-18 as 1 of 1 + future, 4-post floor rack, UPS, future Zone PDU, network switches, Cat6A patch panels, Cat5E patch panel and Fiber LIU.</v>
      </c>
    </row>
    <row r="524" spans="1:12" ht="97.5" customHeight="1">
      <c r="A524" s="106" t="str">
        <f>B07_Assessment!$B$2</f>
        <v>07</v>
      </c>
      <c r="B524" s="106" t="str">
        <f>"B07_Assessment"</f>
        <v>B07_Assessment</v>
      </c>
      <c r="C524" s="106" t="str">
        <f>B07_Assessment!$A$11</f>
        <v>07</v>
      </c>
      <c r="D524" s="142" t="str">
        <f>B07_Assessment!$B$11</f>
        <v>228A</v>
      </c>
      <c r="E524" s="142" t="str">
        <f>B07_Assessment!$C$11</f>
        <v>Second</v>
      </c>
      <c r="F524" s="106" t="str">
        <f>B07_Assessment!$D$11</f>
        <v>Social worker shared / adjacent OPM storage and DOM MSA area</v>
      </c>
      <c r="G524" s="106" t="str">
        <f>B07_Assessment!$E$11</f>
        <v>Telecom Room</v>
      </c>
      <c r="H524" s="106">
        <f>B07_Assessment!$F$11</f>
        <v>1</v>
      </c>
      <c r="I524" s="106">
        <f>B07_Assessment!$G$11</f>
        <v>1</v>
      </c>
      <c r="J524" s="106" t="str">
        <f>B07_Assessment!$H$11</f>
        <v>Verify</v>
      </c>
      <c r="K524" s="106" t="str">
        <f>B07_Assessment!$I$11</f>
        <v>07A-401 / 07E-401 / 07T-604 / 07M-701</v>
      </c>
      <c r="L524" s="106" t="str">
        <f>B07_Assessment!$J$11</f>
        <v>Architectural enlarged view identifies Telecom Room 228A at 236 SF; includes fire-rated door/wall work, FEC requirement, exterior furring wall/window enclosure and temporary dust barrier.</v>
      </c>
    </row>
    <row r="525" spans="1:12" ht="97.5" customHeight="1">
      <c r="A525" s="106" t="str">
        <f>B08_Assessment!$B$2</f>
        <v>08</v>
      </c>
      <c r="B525" s="106" t="str">
        <f>"B08_Assessment"</f>
        <v>B08_Assessment</v>
      </c>
      <c r="C525" s="106" t="str">
        <f>B08_Assessment!$A$10</f>
        <v>08</v>
      </c>
      <c r="D525" s="142" t="str">
        <f>B08_Assessment!$B$10</f>
        <v>B-15</v>
      </c>
      <c r="E525" s="142" t="str">
        <f>B08_Assessment!$C$10</f>
        <v>Basement</v>
      </c>
      <c r="F525" s="106" t="str">
        <f>B08_Assessment!$D$10</f>
        <v>Existing wall/wall-mounted TE and floor UPS</v>
      </c>
      <c r="G525" s="106" t="str">
        <f>B08_Assessment!$E$10</f>
        <v>Existing equipment / transition point</v>
      </c>
      <c r="H525" s="106">
        <f>B08_Assessment!$F$10</f>
        <v>2</v>
      </c>
      <c r="I525" s="106">
        <f>B08_Assessment!$G$10</f>
        <v>0</v>
      </c>
      <c r="J525" s="106" t="str">
        <f>B08_Assessment!$H$10</f>
        <v>Verify</v>
      </c>
      <c r="K525" s="106" t="str">
        <f>B08_Assessment!$I$10</f>
        <v>08T-604</v>
      </c>
      <c r="L525" s="106" t="str">
        <f>B08_Assessment!$J$10</f>
        <v>Existing rack elevation identifies Building 08 basement Room B-15 with wall/wall-mounted TE, legacy patch panels, legacy Fiber LIU, and floor UPS.</v>
      </c>
    </row>
    <row r="526" spans="1:12" ht="97.5" customHeight="1">
      <c r="A526" s="106" t="str">
        <f>B08_Assessment!$B$2</f>
        <v>08</v>
      </c>
      <c r="B526" s="106" t="str">
        <f>"B08_Assessment"</f>
        <v>B08_Assessment</v>
      </c>
      <c r="C526" s="106" t="str">
        <f>B08_Assessment!$A$11</f>
        <v>08</v>
      </c>
      <c r="D526" s="142" t="str">
        <f>B08_Assessment!$B$11</f>
        <v>B12B</v>
      </c>
      <c r="E526" s="142" t="str">
        <f>B08_Assessment!$C$11</f>
        <v>Basement</v>
      </c>
      <c r="F526" s="106" t="str">
        <f>B08_Assessment!$D$11</f>
        <v>Office / basement cabling area</v>
      </c>
      <c r="G526" s="106" t="str">
        <f>B08_Assessment!$E$11</f>
        <v>Telecom enclosure / TE cabling service area</v>
      </c>
      <c r="H526" s="106">
        <f>B08_Assessment!$F$11</f>
        <v>1</v>
      </c>
      <c r="I526" s="106">
        <f>B08_Assessment!$G$11</f>
        <v>0</v>
      </c>
      <c r="J526" s="106" t="str">
        <f>B08_Assessment!$H$11</f>
        <v>Verify</v>
      </c>
      <c r="K526" s="106" t="str">
        <f>B08_Assessment!$I$11</f>
        <v>08A-401 / 08E-701 / 08T-701</v>
      </c>
      <c r="L526" s="106" t="str">
        <f>B08_Assessment!$J$11</f>
        <v>Door schedule identifies B12B as Office with 45-minute door; telecom schedule and electrical schedule reference TE01-B12B-1 and TE receptacle Room B12B. Field verify actual TE/equipment scope.</v>
      </c>
    </row>
    <row r="527" spans="1:12" ht="97.5" customHeight="1">
      <c r="A527" s="106" t="str">
        <f>B08_Assessment!$B$2</f>
        <v>08</v>
      </c>
      <c r="B527" s="106" t="str">
        <f>"B08_Assessment"</f>
        <v>B08_Assessment</v>
      </c>
      <c r="C527" s="106" t="str">
        <f>B08_Assessment!$A$12</f>
        <v>08</v>
      </c>
      <c r="D527" s="142" t="str">
        <f>B08_Assessment!$B$12</f>
        <v>2065A</v>
      </c>
      <c r="E527" s="142" t="str">
        <f>B08_Assessment!$C$12</f>
        <v>Second</v>
      </c>
      <c r="F527" s="106" t="str">
        <f>B08_Assessment!$D$12</f>
        <v>Existing copy/office/storage area converted</v>
      </c>
      <c r="G527" s="106" t="str">
        <f>B08_Assessment!$E$12</f>
        <v>Telecom Room</v>
      </c>
      <c r="H527" s="106">
        <f>B08_Assessment!$F$12</f>
        <v>2</v>
      </c>
      <c r="I527" s="106">
        <f>B08_Assessment!$G$12</f>
        <v>0</v>
      </c>
      <c r="J527" s="106" t="str">
        <f>B08_Assessment!$H$12</f>
        <v>Verify</v>
      </c>
      <c r="K527" s="106" t="str">
        <f>B08_Assessment!$I$12</f>
        <v>08A-401 / 08E-701 / 08T-604 / 08M-701</v>
      </c>
      <c r="L527" s="106" t="str">
        <f>B08_Assessment!$J$12</f>
        <v>Telecom Room 2065A, 127 SF; new rack elevation shows two 4-post floor racks, UPS, Zone PDU, network switches, Cat6A patch panels, Cat5E patch panel and Fiber LIU.</v>
      </c>
    </row>
    <row r="528" spans="1:12" ht="97.5" customHeight="1">
      <c r="A528" s="106" t="str">
        <f>B09_Assessment!$B$2</f>
        <v>09</v>
      </c>
      <c r="B528" s="106" t="str">
        <f>"B09_Assessment"</f>
        <v>B09_Assessment</v>
      </c>
      <c r="C528" s="106" t="str">
        <f>B09_Assessment!$A$10</f>
        <v>09</v>
      </c>
      <c r="D528" s="142" t="str">
        <f>B09_Assessment!$B$10</f>
        <v>B01</v>
      </c>
      <c r="E528" s="142" t="str">
        <f>B09_Assessment!$C$10</f>
        <v>Basement</v>
      </c>
      <c r="F528" s="106" t="str">
        <f>B09_Assessment!$D$10</f>
        <v>Storage / existing telecom equipment area</v>
      </c>
      <c r="G528" s="106" t="str">
        <f>B09_Assessment!$E$10</f>
        <v>Telecom Room</v>
      </c>
      <c r="H528" s="106">
        <f>B09_Assessment!$F$10</f>
        <v>2</v>
      </c>
      <c r="I528" s="106">
        <f>B09_Assessment!$G$10</f>
        <v>0</v>
      </c>
      <c r="J528" s="106" t="str">
        <f>B09_Assessment!$H$10</f>
        <v>Verify</v>
      </c>
      <c r="K528" s="106" t="str">
        <f>B09_Assessment!$I$10</f>
        <v>09A-400 / 09E-402 / 09T-604 / 09E-701</v>
      </c>
      <c r="L528" s="106" t="str">
        <f>B09_Assessment!$J$10</f>
        <v>Telecom Room B01, 200 SF; existing/new telecom equipment shown with panels B09-TRB01A/B and cooling circuits CU-0-1, CU-1-1, CU-2-1 in electrical schedule/enlarged plans.</v>
      </c>
    </row>
    <row r="529" spans="1:12" ht="97.5" customHeight="1">
      <c r="A529" s="106" t="str">
        <f>B09_Assessment!$B$2</f>
        <v>09</v>
      </c>
      <c r="B529" s="106" t="str">
        <f>"B09_Assessment"</f>
        <v>B09_Assessment</v>
      </c>
      <c r="C529" s="106" t="str">
        <f>B09_Assessment!$A$11</f>
        <v>09</v>
      </c>
      <c r="D529" s="142" t="str">
        <f>B09_Assessment!$B$11</f>
        <v>104B</v>
      </c>
      <c r="E529" s="142" t="str">
        <f>B09_Assessment!$C$11</f>
        <v>First</v>
      </c>
      <c r="F529" s="106" t="str">
        <f>B09_Assessment!$D$11</f>
        <v>Interview room / existing area converted</v>
      </c>
      <c r="G529" s="106" t="str">
        <f>B09_Assessment!$E$11</f>
        <v>Telecom Room</v>
      </c>
      <c r="H529" s="106">
        <f>B09_Assessment!$F$11</f>
        <v>2</v>
      </c>
      <c r="I529" s="106">
        <f>B09_Assessment!$G$11</f>
        <v>0</v>
      </c>
      <c r="J529" s="106" t="str">
        <f>B09_Assessment!$H$11</f>
        <v>Verify</v>
      </c>
      <c r="K529" s="106" t="str">
        <f>B09_Assessment!$I$11</f>
        <v>09A-401 / 09E-401 / 09T-604 / 09E-701</v>
      </c>
      <c r="L529" s="106" t="str">
        <f>B09_Assessment!$J$11</f>
        <v>Telecom Room 104B, 85 SF; panels B09-TR104BA/B shown; first-level enlarged plans identify access control/security devices, IU-1-01, and TR receptacle/rack circuiting.</v>
      </c>
    </row>
    <row r="530" spans="1:12" ht="97.5" customHeight="1">
      <c r="A530" s="106" t="str">
        <f>B09_Assessment!$B$2</f>
        <v>09</v>
      </c>
      <c r="B530" s="106" t="str">
        <f>"B09_Assessment"</f>
        <v>B09_Assessment</v>
      </c>
      <c r="C530" s="106" t="str">
        <f>B09_Assessment!$A$12</f>
        <v>09</v>
      </c>
      <c r="D530" s="142" t="str">
        <f>B09_Assessment!$B$12</f>
        <v>206A</v>
      </c>
      <c r="E530" s="142" t="str">
        <f>B09_Assessment!$C$12</f>
        <v>Second</v>
      </c>
      <c r="F530" s="106" t="str">
        <f>B09_Assessment!$D$12</f>
        <v>Nursing service / adjacent office area</v>
      </c>
      <c r="G530" s="106" t="str">
        <f>B09_Assessment!$E$12</f>
        <v>Telecom Room</v>
      </c>
      <c r="H530" s="106">
        <f>B09_Assessment!$F$12</f>
        <v>2</v>
      </c>
      <c r="I530" s="106">
        <f>B09_Assessment!$G$12</f>
        <v>0</v>
      </c>
      <c r="J530" s="106" t="str">
        <f>B09_Assessment!$H$12</f>
        <v>Verify</v>
      </c>
      <c r="K530" s="106" t="str">
        <f>B09_Assessment!$I$12</f>
        <v>09A-401 / 09E-401 / 09T-604 / 09E-701</v>
      </c>
      <c r="L530" s="106" t="str">
        <f>B09_Assessment!$J$12</f>
        <v>Telecom Room 206A, 120 SF; panels B09-TR206AA/B shown; second-level enlarged plans identify IU-2-01, TR circuits, security devices, and room layout adjacent to Nursing Service 206.</v>
      </c>
    </row>
    <row r="531" spans="1:12" ht="97.5" customHeight="1">
      <c r="A531" s="106" t="str">
        <f>B10_Assessment!$B$2</f>
        <v>10</v>
      </c>
      <c r="B531" s="106" t="str">
        <f>"B10_Assessment"</f>
        <v>B10_Assessment</v>
      </c>
      <c r="C531" s="106" t="str">
        <f>B10_Assessment!$A$10</f>
        <v>10</v>
      </c>
      <c r="D531" s="142" t="str">
        <f>B10_Assessment!$B$10</f>
        <v>200A</v>
      </c>
      <c r="E531" s="142" t="str">
        <f>B10_Assessment!$C$10</f>
        <v>Attic</v>
      </c>
      <c r="F531" s="106" t="str">
        <f>B10_Assessment!$D$10</f>
        <v>Existing attic telecom/equipment area</v>
      </c>
      <c r="G531" s="106" t="str">
        <f>B10_Assessment!$E$10</f>
        <v>Telecom Room</v>
      </c>
      <c r="H531" s="106">
        <f>B10_Assessment!$F$10</f>
        <v>2</v>
      </c>
      <c r="I531" s="106">
        <f>B10_Assessment!$G$10</f>
        <v>1</v>
      </c>
      <c r="J531" s="106" t="str">
        <f>B10_Assessment!$H$10</f>
        <v>Verify</v>
      </c>
      <c r="K531" s="106" t="str">
        <f>B10_Assessment!$I$10</f>
        <v>10A-401 / 10E-401 / 10T-604 / 10M-701</v>
      </c>
      <c r="L531" s="106" t="str">
        <f>B10_Assessment!$J$10</f>
        <v>Primary Building 10 TR. Drawings identify attic-level Room 200A with existing wall-mounted rack/equipment, new telecom rack equipment, panels B10-TR200AA/AB, IU-1-01, CU-1-01, rack receptacles and future rack space.</v>
      </c>
    </row>
    <row r="532" spans="1:12" ht="97.5" customHeight="1">
      <c r="A532" s="106" t="str">
        <f>B10_Assessment!$B$2</f>
        <v>10</v>
      </c>
      <c r="B532" s="106" t="str">
        <f>"B10_Assessment"</f>
        <v>B10_Assessment</v>
      </c>
      <c r="C532" s="106" t="str">
        <f>B10_Assessment!$A$11</f>
        <v>10</v>
      </c>
      <c r="D532" s="142" t="str">
        <f>B10_Assessment!$B$11</f>
        <v>B24</v>
      </c>
      <c r="E532" s="142" t="str">
        <f>B10_Assessment!$C$11</f>
        <v>Basement</v>
      </c>
      <c r="F532" s="106" t="str">
        <f>B10_Assessment!$D$11</f>
        <v>Existing electrical room - normal power</v>
      </c>
      <c r="G532" s="106" t="str">
        <f>B10_Assessment!$E$11</f>
        <v>Electrical source / coordination room</v>
      </c>
      <c r="H532" s="106">
        <f>B10_Assessment!$F$11</f>
        <v>0</v>
      </c>
      <c r="I532" s="106">
        <f>B10_Assessment!$G$11</f>
        <v>0</v>
      </c>
      <c r="J532" s="106" t="str">
        <f>B10_Assessment!$H$11</f>
        <v>Verify</v>
      </c>
      <c r="K532" s="106" t="str">
        <f>B10_Assessment!$I$11</f>
        <v>10E-401 / 10E-701</v>
      </c>
      <c r="L532" s="106" t="str">
        <f>B10_Assessment!$J$11</f>
        <v>Basement existing electrical room normal power referenced on electrical enlarged plan; coordinate B10-MDP/B10-L10-E feeders and load measurement.</v>
      </c>
    </row>
    <row r="533" spans="1:12" ht="97.5" customHeight="1">
      <c r="A533" s="106" t="str">
        <f>B10_Assessment!$B$2</f>
        <v>10</v>
      </c>
      <c r="B533" s="106" t="str">
        <f>"B10_Assessment"</f>
        <v>B10_Assessment</v>
      </c>
      <c r="C533" s="106" t="str">
        <f>B10_Assessment!$A$12</f>
        <v>10</v>
      </c>
      <c r="D533" s="142" t="str">
        <f>B10_Assessment!$B$12</f>
        <v>B25</v>
      </c>
      <c r="E533" s="142" t="str">
        <f>B10_Assessment!$C$12</f>
        <v>Basement</v>
      </c>
      <c r="F533" s="106" t="str">
        <f>B10_Assessment!$D$12</f>
        <v>Existing electrical room - emergency power</v>
      </c>
      <c r="G533" s="106" t="str">
        <f>B10_Assessment!$E$12</f>
        <v>Emergency electrical source / coordination room</v>
      </c>
      <c r="H533" s="106">
        <f>B10_Assessment!$F$12</f>
        <v>0</v>
      </c>
      <c r="I533" s="106">
        <f>B10_Assessment!$G$12</f>
        <v>0</v>
      </c>
      <c r="J533" s="106" t="str">
        <f>B10_Assessment!$H$12</f>
        <v>Verify</v>
      </c>
      <c r="K533" s="106" t="str">
        <f>B10_Assessment!$I$12</f>
        <v>10E-401 / 10E-601 / 10E-701</v>
      </c>
      <c r="L533" s="106" t="str">
        <f>B10_Assessment!$J$12</f>
        <v>Basement existing electrical room emergency power referenced on electrical enlarged plan; coordinate ATS-B10-LSD, emergency source and TR equipment continuity.</v>
      </c>
    </row>
    <row r="534" spans="1:12" ht="97.5" customHeight="1">
      <c r="A534" s="106" t="str">
        <f>B12_Assessment!$B$2</f>
        <v>12</v>
      </c>
      <c r="B534" s="106" t="str">
        <f>"B12_Assessment"</f>
        <v>B12_Assessment</v>
      </c>
      <c r="C534" s="106" t="str">
        <f>B12_Assessment!$A$10</f>
        <v>12</v>
      </c>
      <c r="D534" s="142" t="str">
        <f>B12_Assessment!$B$10</f>
        <v>00 / existing fiber path</v>
      </c>
      <c r="E534" s="142" t="str">
        <f>B12_Assessment!$C$10</f>
        <v>B/1/2</v>
      </c>
      <c r="F534" s="106" t="str">
        <f>B12_Assessment!$D$10</f>
        <v>Existing building fiber pathway / pull-through route</v>
      </c>
      <c r="G534" s="106" t="str">
        <f>B12_Assessment!$E$10</f>
        <v>Fiber-only pull-through scope</v>
      </c>
      <c r="H534" s="106">
        <f>B12_Assessment!$F$10</f>
        <v>0</v>
      </c>
      <c r="I534" s="106">
        <f>B12_Assessment!$G$10</f>
        <v>0</v>
      </c>
      <c r="J534" s="106" t="str">
        <f>B12_Assessment!$H$10</f>
        <v>Verify</v>
      </c>
      <c r="K534" s="106" t="str">
        <f>B12_Assessment!$I$10</f>
        <v>12G-000 / 12T-100 / 12T-101 / 12T-604</v>
      </c>
      <c r="L534" s="106" t="str">
        <f>B12_Assessment!$J$10</f>
        <v>Cover sheet states Building 12 receives fiber only. Rack elevation sheet identifies Building 12 as existing rack elevation/fiber only with no rack mounting and no new TR buildout.</v>
      </c>
    </row>
    <row r="535" spans="1:12" ht="97.5" customHeight="1">
      <c r="A535" s="106" t="str">
        <f>B12_Assessment!$B$2</f>
        <v>12</v>
      </c>
      <c r="B535" s="106" t="str">
        <f>"B12_Assessment"</f>
        <v>B12_Assessment</v>
      </c>
      <c r="C535" s="106" t="str">
        <f>B12_Assessment!$A$11</f>
        <v>12</v>
      </c>
      <c r="D535" s="142" t="str">
        <f>B12_Assessment!$B$11</f>
        <v>Existing rack/demarc - field verify</v>
      </c>
      <c r="E535" s="142" t="str">
        <f>B12_Assessment!$C$11</f>
        <v>Field verify</v>
      </c>
      <c r="F535" s="106" t="str">
        <f>B12_Assessment!$D$11</f>
        <v>Existing service point / serving closet</v>
      </c>
      <c r="G535" s="106" t="str">
        <f>B12_Assessment!$E$11</f>
        <v>Protect-in-place / fiber transition point</v>
      </c>
      <c r="H535" s="106">
        <f>B12_Assessment!$F$11</f>
        <v>0</v>
      </c>
      <c r="I535" s="106">
        <f>B12_Assessment!$G$11</f>
        <v>0</v>
      </c>
      <c r="J535" s="106" t="str">
        <f>B12_Assessment!$H$11</f>
        <v>Verify</v>
      </c>
      <c r="K535" s="106" t="str">
        <f>B12_Assessment!$I$11</f>
        <v>12T-604 / 12T-601 / 12T-602 / 12T-603A/B</v>
      </c>
      <c r="L535" s="106" t="str">
        <f>B12_Assessment!$J$11</f>
        <v>12T-604 identifies building level B/1/2 and mounting type NONE/FIBER ONLY. Field verification required to document where fiber enters, passes through, and terminates.</v>
      </c>
    </row>
    <row r="536" spans="1:12" ht="97.5" customHeight="1">
      <c r="A536" s="106" t="str">
        <f>B13_Assessment!$B$2</f>
        <v>13</v>
      </c>
      <c r="B536" s="106" t="str">
        <f>"B13_Assessment"</f>
        <v>B13_Assessment</v>
      </c>
      <c r="C536" s="106" t="str">
        <f>B13_Assessment!$A$10</f>
        <v>13</v>
      </c>
      <c r="D536" s="142" t="str">
        <f>B13_Assessment!$B$10</f>
        <v>124</v>
      </c>
      <c r="E536" s="142" t="str">
        <f>B13_Assessment!$C$10</f>
        <v>First</v>
      </c>
      <c r="F536" s="106" t="str">
        <f>B13_Assessment!$D$10</f>
        <v>Telecom Room / new TR build area</v>
      </c>
      <c r="G536" s="106" t="str">
        <f>B13_Assessment!$E$10</f>
        <v>Telecom Room</v>
      </c>
      <c r="H536" s="106">
        <f>B13_Assessment!$F$10</f>
        <v>2</v>
      </c>
      <c r="I536" s="106">
        <f>B13_Assessment!$G$10</f>
        <v>1</v>
      </c>
      <c r="J536" s="106" t="str">
        <f>B13_Assessment!$H$10</f>
        <v>Verify</v>
      </c>
      <c r="K536" s="106" t="str">
        <f>B13_Assessment!$I$10</f>
        <v>13A-401 / 13E-401 / 13T-100 / 13T-701</v>
      </c>
      <c r="L536" s="106" t="str">
        <f>B13_Assessment!$J$10</f>
        <v>Primary Building 13 TR. Plans identify Telecom Room 124 at 119 SF, served by Rack ID TR01-124-1, panels B13-TR124AA/AB, 240V UPS/PDU rack power, IU-1-01/CU-1-01 cooling, and a future rack allowance.</v>
      </c>
    </row>
    <row r="537" spans="1:12" ht="97.5" customHeight="1">
      <c r="A537" s="106" t="str">
        <f>B13_Assessment!$B$2</f>
        <v>13</v>
      </c>
      <c r="B537" s="106" t="str">
        <f>"B13_Assessment"</f>
        <v>B13_Assessment</v>
      </c>
      <c r="C537" s="106" t="str">
        <f>B13_Assessment!$A$11</f>
        <v>13</v>
      </c>
      <c r="D537" s="142" t="str">
        <f>B13_Assessment!$B$11</f>
        <v>222</v>
      </c>
      <c r="E537" s="142" t="str">
        <f>B13_Assessment!$C$11</f>
        <v>Second</v>
      </c>
      <c r="F537" s="106" t="str">
        <f>B13_Assessment!$D$11</f>
        <v>Existing Tel Room / existing rack and patching area</v>
      </c>
      <c r="G537" s="106" t="str">
        <f>B13_Assessment!$E$11</f>
        <v>Existing telecom transition point</v>
      </c>
      <c r="H537" s="106">
        <f>B13_Assessment!$F$11</f>
        <v>1</v>
      </c>
      <c r="I537" s="106">
        <f>B13_Assessment!$G$11</f>
        <v>0</v>
      </c>
      <c r="J537" s="106" t="str">
        <f>B13_Assessment!$H$11</f>
        <v>Verify</v>
      </c>
      <c r="K537" s="106" t="str">
        <f>B13_Assessment!$I$11</f>
        <v>13T-100 / 13R-900</v>
      </c>
      <c r="L537" s="106" t="str">
        <f>B13_Assessment!$J$11</f>
        <v>Existing second-level Tel Room 222 shown with existing telco patch, plywood backboard, indoor AC unit, wall-mounted rack, patch panel, and security cabinet. Protect active services and verify what is transferred to Room 124.</v>
      </c>
    </row>
    <row r="538" spans="1:12" ht="97.5" customHeight="1">
      <c r="A538" s="106" t="str">
        <f>B14_Assessment!$B$2</f>
        <v>14</v>
      </c>
      <c r="B538" s="106" t="str">
        <f>"B14_Assessment"</f>
        <v>B14_Assessment</v>
      </c>
      <c r="C538" s="106" t="str">
        <f>B14_Assessment!$A$10</f>
        <v>14</v>
      </c>
      <c r="D538" s="142" t="str">
        <f>B14_Assessment!$B$10</f>
        <v>119</v>
      </c>
      <c r="E538" s="142" t="str">
        <f>B14_Assessment!$C$10</f>
        <v>First</v>
      </c>
      <c r="F538" s="106" t="str">
        <f>B14_Assessment!$D$10</f>
        <v>Telecom Room / new TR build area</v>
      </c>
      <c r="G538" s="106" t="str">
        <f>B14_Assessment!$E$10</f>
        <v>Telecom Room</v>
      </c>
      <c r="H538" s="106">
        <f>B14_Assessment!$F$10</f>
        <v>1</v>
      </c>
      <c r="I538" s="106">
        <f>B14_Assessment!$G$10</f>
        <v>1</v>
      </c>
      <c r="J538" s="106" t="str">
        <f>B14_Assessment!$H$10</f>
        <v>Verify</v>
      </c>
      <c r="K538" s="106" t="str">
        <f>B14_Assessment!$I$10</f>
        <v>14A-401 / 14E-100 / 14T-100 / 14T-604 / 14T-701</v>
      </c>
      <c r="L538" s="106" t="str">
        <f>B14_Assessment!$J$10</f>
        <v>Primary Building 14 TR. Plans identify Telecom Room 119 at 124 SF, served by Rack ID TR01-119-1, panels B14-TR119A/B, 240V UPS/PDU rack power, IU-1-01/CU-1-01 cooling, 56 feet of first-level cable tray, and a future rack allowance.</v>
      </c>
    </row>
    <row r="539" spans="1:12" ht="97.5" customHeight="1">
      <c r="A539" s="106" t="str">
        <f>B14_Assessment!$B$2</f>
        <v>14</v>
      </c>
      <c r="B539" s="106" t="str">
        <f>"B14_Assessment"</f>
        <v>B14_Assessment</v>
      </c>
      <c r="C539" s="106" t="str">
        <f>B14_Assessment!$A$11</f>
        <v>14</v>
      </c>
      <c r="D539" s="142" t="str">
        <f>B14_Assessment!$B$11</f>
        <v>B.01</v>
      </c>
      <c r="E539" s="142" t="str">
        <f>B14_Assessment!$C$11</f>
        <v>Basement</v>
      </c>
      <c r="F539" s="106" t="str">
        <f>B14_Assessment!$D$11</f>
        <v>Existing Tel/F Panel room / telecom equipment area</v>
      </c>
      <c r="G539" s="106" t="str">
        <f>B14_Assessment!$E$11</f>
        <v>Existing telecom transition point</v>
      </c>
      <c r="H539" s="106">
        <f>B14_Assessment!$F$11</f>
        <v>1</v>
      </c>
      <c r="I539" s="106">
        <f>B14_Assessment!$G$11</f>
        <v>0</v>
      </c>
      <c r="J539" s="106" t="str">
        <f>B14_Assessment!$H$11</f>
        <v>Verify</v>
      </c>
      <c r="K539" s="106" t="str">
        <f>B14_Assessment!$I$11</f>
        <v>14T-100 / 14T-604 / 14R-900</v>
      </c>
      <c r="L539" s="106" t="str">
        <f>B14_Assessment!$J$11</f>
        <v>Existing basement Tel/F Panel B.01 shown at 165 SF with existing wall-mounted TE, patch panels, telco patch, plywood backboards, and legacy fiber/equipment. Protect active services and verify what transfers to Room 119.</v>
      </c>
    </row>
    <row r="540" spans="1:12" ht="97.5" customHeight="1">
      <c r="A540" s="106" t="str">
        <f>B14_Assessment!$B$2</f>
        <v>14</v>
      </c>
      <c r="B540" s="106" t="str">
        <f>"B14_Assessment"</f>
        <v>B14_Assessment</v>
      </c>
      <c r="C540" s="106" t="str">
        <f>B14_Assessment!$A$12</f>
        <v>14</v>
      </c>
      <c r="D540" s="142" t="str">
        <f>B14_Assessment!$B$12</f>
        <v>B2</v>
      </c>
      <c r="E540" s="142" t="str">
        <f>B14_Assessment!$C$12</f>
        <v>Basement</v>
      </c>
      <c r="F540" s="106" t="str">
        <f>B14_Assessment!$D$12</f>
        <v>Existing telecom room reference</v>
      </c>
      <c r="G540" s="106" t="str">
        <f>B14_Assessment!$E$12</f>
        <v>Existing telecom transition point</v>
      </c>
      <c r="H540" s="106">
        <f>B14_Assessment!$F$12</f>
        <v>1</v>
      </c>
      <c r="I540" s="106">
        <f>B14_Assessment!$G$12</f>
        <v>0</v>
      </c>
      <c r="J540" s="106" t="str">
        <f>B14_Assessment!$H$12</f>
        <v>Verify</v>
      </c>
      <c r="K540" s="106" t="str">
        <f>B14_Assessment!$I$12</f>
        <v>14R-900</v>
      </c>
      <c r="L540" s="106" t="str">
        <f>B14_Assessment!$J$12</f>
        <v>Photo reference sheet identifies basement existing telecom room B2. Field verify whether B2 is same/related to B.01 or separate legacy telecom space.</v>
      </c>
    </row>
    <row r="541" spans="1:12" ht="97.5" customHeight="1">
      <c r="A541" s="106" t="str">
        <f>B15_Assessment!$B$2</f>
        <v>15</v>
      </c>
      <c r="B541" s="106" t="str">
        <f>"B15_Assessment"</f>
        <v>B15_Assessment</v>
      </c>
      <c r="C541" s="106" t="str">
        <f>B15_Assessment!$A$10</f>
        <v>15</v>
      </c>
      <c r="D541" s="142" t="str">
        <f>B15_Assessment!$B$10</f>
        <v>124A</v>
      </c>
      <c r="E541" s="142" t="str">
        <f>B15_Assessment!$C$10</f>
        <v>First</v>
      </c>
      <c r="F541" s="106" t="str">
        <f>B15_Assessment!$D$10</f>
        <v>Office/room converted to Telecom Room</v>
      </c>
      <c r="G541" s="106" t="str">
        <f>B15_Assessment!$E$10</f>
        <v>Telecom Room</v>
      </c>
      <c r="H541" s="106">
        <f>B15_Assessment!$F$10</f>
        <v>1</v>
      </c>
      <c r="I541" s="106">
        <f>B15_Assessment!$G$10</f>
        <v>1</v>
      </c>
      <c r="J541" s="106" t="str">
        <f>B15_Assessment!$H$10</f>
        <v>Verify</v>
      </c>
      <c r="K541" s="106" t="str">
        <f>B15_Assessment!$I$10</f>
        <v>15A-401 / 15E-401 / 15T-100 / 15T-604 / 15T-701</v>
      </c>
      <c r="L541" s="106" t="str">
        <f>B15_Assessment!$J$10</f>
        <v>Primary Building 15 TR. Plans identify Telecom Room 124A at 121 SF, served by Rack ID TR15-109A-01, panels B15-TR124AA/AB, 240V UPS/PDU rack power, IU-1-01/CU-1-01 cooling, and a future rack allowance.</v>
      </c>
    </row>
    <row r="542" spans="1:12" ht="97.5" customHeight="1">
      <c r="A542" s="106" t="str">
        <f>B15_Assessment!$B$2</f>
        <v>15</v>
      </c>
      <c r="B542" s="106" t="str">
        <f>"B15_Assessment"</f>
        <v>B15_Assessment</v>
      </c>
      <c r="C542" s="106" t="str">
        <f>B15_Assessment!$A$11</f>
        <v>15</v>
      </c>
      <c r="D542" s="142" t="str">
        <f>B15_Assessment!$B$11</f>
        <v>222</v>
      </c>
      <c r="E542" s="142" t="str">
        <f>B15_Assessment!$C$11</f>
        <v>Second</v>
      </c>
      <c r="F542" s="106" t="str">
        <f>B15_Assessment!$D$11</f>
        <v>Existing Tel Room / wall-mounted rack and support equipment</v>
      </c>
      <c r="G542" s="106" t="str">
        <f>B15_Assessment!$E$11</f>
        <v>Existing telecom transition point</v>
      </c>
      <c r="H542" s="106">
        <f>B15_Assessment!$F$11</f>
        <v>1</v>
      </c>
      <c r="I542" s="106">
        <f>B15_Assessment!$G$11</f>
        <v>0</v>
      </c>
      <c r="J542" s="106" t="str">
        <f>B15_Assessment!$H$11</f>
        <v>Verify</v>
      </c>
      <c r="K542" s="106" t="str">
        <f>B15_Assessment!$I$11</f>
        <v>15T-100 / 15T-604 / 15R-900</v>
      </c>
      <c r="L542" s="106" t="str">
        <f>B15_Assessment!$J$11</f>
        <v>Existing second-level Tel Room 222 shown at 65 SF with existing/remain indoor AC unit, security cabinet, ground bar, plywood backboard, wall-mounted rack, existing Cisco switches, legacy patch panels, and floor UPS; protect active services and verify transfer to Room 124A.</v>
      </c>
    </row>
    <row r="543" spans="1:12" ht="97.5" customHeight="1">
      <c r="A543" s="106" t="str">
        <f>B15_Assessment!$B$2</f>
        <v>15</v>
      </c>
      <c r="B543" s="106" t="str">
        <f>"B15_Assessment"</f>
        <v>B15_Assessment</v>
      </c>
      <c r="C543" s="106" t="str">
        <f>B15_Assessment!$A$12</f>
        <v>15</v>
      </c>
      <c r="D543" s="142" t="str">
        <f>B15_Assessment!$B$12</f>
        <v>B01</v>
      </c>
      <c r="E543" s="142" t="str">
        <f>B15_Assessment!$C$12</f>
        <v>Basement</v>
      </c>
      <c r="F543" s="106" t="str">
        <f>B15_Assessment!$D$12</f>
        <v>Existing telecom/crossover area</v>
      </c>
      <c r="G543" s="106" t="str">
        <f>B15_Assessment!$E$12</f>
        <v>Existing telecom transition point</v>
      </c>
      <c r="H543" s="106">
        <f>B15_Assessment!$F$12</f>
        <v>1</v>
      </c>
      <c r="I543" s="106">
        <f>B15_Assessment!$G$12</f>
        <v>0</v>
      </c>
      <c r="J543" s="106" t="str">
        <f>B15_Assessment!$H$12</f>
        <v>Verify</v>
      </c>
      <c r="K543" s="106" t="str">
        <f>B15_Assessment!$I$12</f>
        <v>15T-604 / 15R-900</v>
      </c>
      <c r="L543" s="106" t="str">
        <f>B15_Assessment!$J$12</f>
        <v>Rack elevations identify existing B-01 crossover wall/wall-mount TE with legacy 24-port patch panel. Photo reference identifies basement existing telecom room B01.</v>
      </c>
    </row>
    <row r="544" spans="1:12" ht="97.5" customHeight="1">
      <c r="A544" s="106" t="str">
        <f>B16_Assessment!$B$2</f>
        <v>16</v>
      </c>
      <c r="B544" s="106" t="str">
        <f>"B16_Assessment"</f>
        <v>B16_Assessment</v>
      </c>
      <c r="C544" s="106" t="str">
        <f>B16_Assessment!$A$10</f>
        <v>16</v>
      </c>
      <c r="D544" s="142" t="str">
        <f>B16_Assessment!$B$10</f>
        <v>015</v>
      </c>
      <c r="E544" s="142" t="str">
        <f>B16_Assessment!$C$10</f>
        <v>Basement</v>
      </c>
      <c r="F544" s="106" t="str">
        <f>B16_Assessment!$D$10</f>
        <v>Vacant / new telecom room build area</v>
      </c>
      <c r="G544" s="106" t="str">
        <f>B16_Assessment!$E$10</f>
        <v>Telecom Room</v>
      </c>
      <c r="H544" s="106">
        <f>B16_Assessment!$F$10</f>
        <v>1</v>
      </c>
      <c r="I544" s="106">
        <f>B16_Assessment!$G$10</f>
        <v>1</v>
      </c>
      <c r="J544" s="106" t="str">
        <f>B16_Assessment!$H$10</f>
        <v>Verify</v>
      </c>
      <c r="K544" s="106" t="str">
        <f>B16_Assessment!$I$10</f>
        <v>16A-400 / 16E-100 / 16T-100 / 16T-604 / 16T-701</v>
      </c>
      <c r="L544" s="106" t="str">
        <f>B16_Assessment!$J$10</f>
        <v>Primary Building 16 TR. Plans identify Telecom Room 015 at 79 SF, served by Rack ID TR01-015-A-1, panels B16-TR015A/B, 240V UPS/PDU rack power, IU-1-01/CU-1-01 cooling, 96 feet total cable tray, and future rack allowance.</v>
      </c>
    </row>
    <row r="545" spans="1:12" ht="97.5" customHeight="1">
      <c r="A545" s="106" t="str">
        <f>B16_Assessment!$B$2</f>
        <v>16</v>
      </c>
      <c r="B545" s="106" t="str">
        <f>"B16_Assessment"</f>
        <v>B16_Assessment</v>
      </c>
      <c r="C545" s="106" t="str">
        <f>B16_Assessment!$A$11</f>
        <v>16</v>
      </c>
      <c r="D545" s="142" t="str">
        <f>B16_Assessment!$B$11</f>
        <v>014</v>
      </c>
      <c r="E545" s="142" t="str">
        <f>B16_Assessment!$C$11</f>
        <v>Basement</v>
      </c>
      <c r="F545" s="106" t="str">
        <f>B16_Assessment!$D$11</f>
        <v>Existing telecom room / stair-adjacent legacy equipment area</v>
      </c>
      <c r="G545" s="106" t="str">
        <f>B16_Assessment!$E$11</f>
        <v>Existing telecom transition point</v>
      </c>
      <c r="H545" s="106">
        <f>B16_Assessment!$F$11</f>
        <v>1</v>
      </c>
      <c r="I545" s="106">
        <f>B16_Assessment!$G$11</f>
        <v>0</v>
      </c>
      <c r="J545" s="106" t="str">
        <f>B16_Assessment!$H$11</f>
        <v>Verify</v>
      </c>
      <c r="K545" s="106" t="str">
        <f>B16_Assessment!$I$11</f>
        <v>16T-100 / 16T-604 / 16R-900</v>
      </c>
      <c r="L545" s="106" t="str">
        <f>B16_Assessment!$J$11</f>
        <v>Existing basement Telecom Room 014 shown with wall-mounted rack, plywood backboard, patch panel, security cabinet, telco patch, existing floor-mounted UPS, Cisco switch, legacy 12-port modular patch panel and Fiber LIU/wall; protect active services and verify transfer to Room 015.</v>
      </c>
    </row>
    <row r="546" spans="1:12" ht="97.5" customHeight="1">
      <c r="A546" s="106" t="str">
        <f>B17_Assessment!$B$2</f>
        <v>17</v>
      </c>
      <c r="B546" s="106" t="str">
        <f>"B17_Assessment"</f>
        <v>B17_Assessment</v>
      </c>
      <c r="C546" s="106" t="str">
        <f>B17_Assessment!$A$10</f>
        <v>17</v>
      </c>
      <c r="D546" s="142" t="str">
        <f>B17_Assessment!$B$10</f>
        <v>118</v>
      </c>
      <c r="E546" s="142" t="str">
        <f>B17_Assessment!$C$10</f>
        <v>First</v>
      </c>
      <c r="F546" s="106" t="str">
        <f>B17_Assessment!$D$10</f>
        <v>New telecom room build area</v>
      </c>
      <c r="G546" s="106" t="str">
        <f>B17_Assessment!$E$10</f>
        <v>Telecom Room</v>
      </c>
      <c r="H546" s="106">
        <f>B17_Assessment!$F$10</f>
        <v>1</v>
      </c>
      <c r="I546" s="106">
        <f>B17_Assessment!$G$10</f>
        <v>1</v>
      </c>
      <c r="J546" s="106" t="str">
        <f>B17_Assessment!$H$10</f>
        <v>Verify</v>
      </c>
      <c r="K546" s="106" t="str">
        <f>B17_Assessment!$I$10</f>
        <v>17_29A-401 / 17_29E-401 / 17_29T-100 / 17_29T-604 / 17_29T-701</v>
      </c>
      <c r="L546" s="106" t="str">
        <f>B17_Assessment!$J$10</f>
        <v>Primary Building 17 TR. Plans identify Telecom Room 118 at 157 SF, Rack ID TR17-118-1, panels B17-TR118A/B, 208V rack UPS/PDU equipment, IU-1-01/CU-1-01 cooling, 517 feet total cable tray, and future rack allowance. Rack elevation notes Room 118 serves Building 29.</v>
      </c>
    </row>
    <row r="547" spans="1:12" ht="97.5" customHeight="1">
      <c r="A547" s="106" t="str">
        <f>B17_Assessment!$B$2</f>
        <v>17</v>
      </c>
      <c r="B547" s="106" t="str">
        <f>"B17_Assessment"</f>
        <v>B17_Assessment</v>
      </c>
      <c r="C547" s="106" t="str">
        <f>B17_Assessment!$A$11</f>
        <v>17</v>
      </c>
      <c r="D547" s="142" t="str">
        <f>B17_Assessment!$B$11</f>
        <v>B35A</v>
      </c>
      <c r="E547" s="142" t="str">
        <f>B17_Assessment!$C$11</f>
        <v>Basement</v>
      </c>
      <c r="F547" s="106" t="str">
        <f>B17_Assessment!$D$11</f>
        <v>Existing telecom closet / legacy equipment area</v>
      </c>
      <c r="G547" s="106" t="str">
        <f>B17_Assessment!$E$11</f>
        <v>Existing telecom transition point</v>
      </c>
      <c r="H547" s="106">
        <f>B17_Assessment!$F$11</f>
        <v>1</v>
      </c>
      <c r="I547" s="106">
        <f>B17_Assessment!$G$11</f>
        <v>0</v>
      </c>
      <c r="J547" s="106" t="str">
        <f>B17_Assessment!$H$11</f>
        <v>Verify</v>
      </c>
      <c r="K547" s="106" t="str">
        <f>B17_Assessment!$I$11</f>
        <v>17_29T-100 / 17_29T-604 / 17_29R-900</v>
      </c>
      <c r="L547" s="106" t="str">
        <f>B17_Assessment!$J$11</f>
        <v>Existing basement Telecom Closet B35A shown at 12 SF with wall-mounted TE, patch panel, security cabinet, plywood backboard, indoor AC unit, floor UPS, Cisco switches, legacy Ortronics 24/48-port patch panels and SERTEX utility service ports. Protect active services and verify transfer to Room 118.</v>
      </c>
    </row>
    <row r="548" spans="1:12" ht="97.5" customHeight="1">
      <c r="A548" s="106" t="str">
        <f>B17_Assessment!$B$2</f>
        <v>17</v>
      </c>
      <c r="B548" s="106" t="str">
        <f>"B17_Assessment"</f>
        <v>B17_Assessment</v>
      </c>
      <c r="C548" s="106" t="str">
        <f>B17_Assessment!$A$12</f>
        <v>29</v>
      </c>
      <c r="D548" s="142" t="str">
        <f>B17_Assessment!$B$12</f>
        <v>Building 29 path</v>
      </c>
      <c r="E548" s="142" t="str">
        <f>B17_Assessment!$C$12</f>
        <v>First / served from B17</v>
      </c>
      <c r="F548" s="106" t="str">
        <f>B17_Assessment!$D$12</f>
        <v>Building 29 service extension</v>
      </c>
      <c r="G548" s="106" t="str">
        <f>B17_Assessment!$E$12</f>
        <v>Served from B17 TR 118</v>
      </c>
      <c r="H548" s="106">
        <f>B17_Assessment!$F$12</f>
        <v>0</v>
      </c>
      <c r="I548" s="106">
        <f>B17_Assessment!$G$12</f>
        <v>0</v>
      </c>
      <c r="J548" s="106" t="str">
        <f>B17_Assessment!$H$12</f>
        <v>Verify</v>
      </c>
      <c r="K548" s="106" t="str">
        <f>B17_Assessment!$I$12</f>
        <v>17_29T-100 / 17_29T-604 / 17_29T-701</v>
      </c>
      <c r="L548" s="106" t="str">
        <f>B17_Assessment!$J$12</f>
        <v>Building 29 is shown served from B17, with path to B29 via 4-inch PVC and fiber extending from Building 17 to Building 29. Field verify pathway, service boundary, and active outlets included in TR17-118-1 schedule.</v>
      </c>
    </row>
    <row r="549" spans="1:12" ht="97.5" customHeight="1">
      <c r="A549" s="106" t="str">
        <f>B18_Assessment!$B$2</f>
        <v>18</v>
      </c>
      <c r="B549" s="106" t="str">
        <f>"B18_Assessment"</f>
        <v>B18_Assessment</v>
      </c>
      <c r="C549" s="106" t="str">
        <f>B18_Assessment!$A$10</f>
        <v>18</v>
      </c>
      <c r="D549" s="142" t="str">
        <f>B18_Assessment!$B$10</f>
        <v>110</v>
      </c>
      <c r="E549" s="142" t="str">
        <f>B18_Assessment!$C$10</f>
        <v>First</v>
      </c>
      <c r="F549" s="106" t="str">
        <f>B18_Assessment!$D$10</f>
        <v>New telecom room build area</v>
      </c>
      <c r="G549" s="106" t="str">
        <f>B18_Assessment!$E$10</f>
        <v>Telecom Room</v>
      </c>
      <c r="H549" s="106">
        <f>B18_Assessment!$F$10</f>
        <v>1</v>
      </c>
      <c r="I549" s="106">
        <f>B18_Assessment!$G$10</f>
        <v>1</v>
      </c>
      <c r="J549" s="106" t="str">
        <f>B18_Assessment!$H$10</f>
        <v>Verify</v>
      </c>
      <c r="K549" s="106" t="str">
        <f>B18_Assessment!$I$10</f>
        <v>18A-401 / 18E-101 / 18T-100 / 18T-401 / 18T-604 / 18T-701</v>
      </c>
      <c r="L549" s="106" t="str">
        <f>B18_Assessment!$J$10</f>
        <v>Primary Building 18 TR. Plans identify Telecom Room 110 at 168 SF, Rack ID TR01-111A-1, panels B18-TR110A/B, 208V rack UPS/PDU equipment, IU-1-01/CU-1-01 cooling, 315 feet total cable tray, and future rack allowance. Room 110 is the new rack room even though the schedule labels RM 111A.</v>
      </c>
    </row>
    <row r="550" spans="1:12" ht="97.5" customHeight="1">
      <c r="A550" s="106" t="str">
        <f>B18_Assessment!$B$2</f>
        <v>18</v>
      </c>
      <c r="B550" s="106" t="str">
        <f>"B18_Assessment"</f>
        <v>B18_Assessment</v>
      </c>
      <c r="C550" s="106" t="str">
        <f>B18_Assessment!$A$11</f>
        <v>18</v>
      </c>
      <c r="D550" s="142" t="str">
        <f>B18_Assessment!$B$11</f>
        <v>111B</v>
      </c>
      <c r="E550" s="142" t="str">
        <f>B18_Assessment!$C$11</f>
        <v>First</v>
      </c>
      <c r="F550" s="106" t="str">
        <f>B18_Assessment!$D$11</f>
        <v>Existing TE / stair-adjacent legacy equipment area</v>
      </c>
      <c r="G550" s="106" t="str">
        <f>B18_Assessment!$E$11</f>
        <v>Existing telecom transition point</v>
      </c>
      <c r="H550" s="106">
        <f>B18_Assessment!$F$11</f>
        <v>1</v>
      </c>
      <c r="I550" s="106">
        <f>B18_Assessment!$G$11</f>
        <v>0</v>
      </c>
      <c r="J550" s="106" t="str">
        <f>B18_Assessment!$H$11</f>
        <v>Verify</v>
      </c>
      <c r="K550" s="106" t="str">
        <f>B18_Assessment!$I$11</f>
        <v>18T-401 / 18T-604 / 18R-900</v>
      </c>
      <c r="L550" s="106" t="str">
        <f>B18_Assessment!$J$11</f>
        <v>Existing first-level TE 111B shown at 13 SF with wall-mounted rack, plywood backboard, patch panel, security cabinet, existing floor UPS, and 5RU fiber optic housing. Protect active services and verify transfer to Room 110.</v>
      </c>
    </row>
    <row r="551" spans="1:12" ht="97.5" customHeight="1">
      <c r="A551" s="106" t="str">
        <f>B18_Assessment!$B$2</f>
        <v>18</v>
      </c>
      <c r="B551" s="106" t="str">
        <f>"B18_Assessment"</f>
        <v>B18_Assessment</v>
      </c>
      <c r="C551" s="106" t="str">
        <f>B18_Assessment!$A$12</f>
        <v>18</v>
      </c>
      <c r="D551" s="142" t="str">
        <f>B18_Assessment!$B$12</f>
        <v>213</v>
      </c>
      <c r="E551" s="142" t="str">
        <f>B18_Assessment!$C$12</f>
        <v>Second</v>
      </c>
      <c r="F551" s="106" t="str">
        <f>B18_Assessment!$D$12</f>
        <v>Existing telecom closet / legacy equipment area</v>
      </c>
      <c r="G551" s="106" t="str">
        <f>B18_Assessment!$E$12</f>
        <v>Existing telecom transition point</v>
      </c>
      <c r="H551" s="106">
        <f>B18_Assessment!$F$12</f>
        <v>1</v>
      </c>
      <c r="I551" s="106">
        <f>B18_Assessment!$G$12</f>
        <v>0</v>
      </c>
      <c r="J551" s="106" t="str">
        <f>B18_Assessment!$H$12</f>
        <v>Verify</v>
      </c>
      <c r="K551" s="106" t="str">
        <f>B18_Assessment!$I$12</f>
        <v>18T-401 / 18T-604 / 18R-900</v>
      </c>
      <c r="L551" s="106" t="str">
        <f>B18_Assessment!$J$12</f>
        <v>Existing second-level Closet 213 shown at 8 SF with wall-mounted rack, plywood backboard, patch panel, security cabinet, APC floor UPS, SERTEX utility service ports, Cisco switch and legacy Ortronics patch panels. Protect active services and verify transfer to Room 110.</v>
      </c>
    </row>
    <row r="552" spans="1:12" ht="97.5" customHeight="1">
      <c r="A552" s="106" t="str">
        <f>B20_Assessment!$B$2</f>
        <v>20</v>
      </c>
      <c r="B552" s="106" t="str">
        <f>"B20_Assessment"</f>
        <v>B20_Assessment</v>
      </c>
      <c r="C552" s="106" t="str">
        <f>B20_Assessment!$A$10</f>
        <v>20</v>
      </c>
      <c r="D552" s="142" t="str">
        <f>B20_Assessment!$B$10</f>
        <v>1B</v>
      </c>
      <c r="E552" s="142" t="str">
        <f>B20_Assessment!$C$10</f>
        <v>First</v>
      </c>
      <c r="F552" s="106" t="str">
        <f>B20_Assessment!$D$10</f>
        <v>Office / new TE location</v>
      </c>
      <c r="G552" s="106" t="str">
        <f>B20_Assessment!$E$10</f>
        <v>Telecom Enclosure</v>
      </c>
      <c r="H552" s="106">
        <f>B20_Assessment!$F$10</f>
        <v>1</v>
      </c>
      <c r="I552" s="106">
        <f>B20_Assessment!$G$10</f>
        <v>0</v>
      </c>
      <c r="J552" s="106" t="str">
        <f>B20_Assessment!$H$10</f>
        <v>Verify</v>
      </c>
      <c r="K552" s="106" t="str">
        <f>B20_Assessment!$I$10</f>
        <v>20T-101 / 20T-701 / 20E-101 / 20E-601</v>
      </c>
      <c r="L552" s="106" t="str">
        <f>B20_Assessment!$J$10</f>
        <v>Primary Building 20 TE. Plans identify Office 1B at 110 SF with new wall-mount telecom enclosure Rack ID TE01-1B-1, 12RU enclosure, APC UPS, two PDUs, network switch, 48-port Cat6A patch panel, Fiber LIU, and 33 total ports with 10% allowance.</v>
      </c>
    </row>
    <row r="553" spans="1:12" ht="97.5" customHeight="1">
      <c r="A553" s="106" t="str">
        <f>B20_Assessment!$B$2</f>
        <v>20</v>
      </c>
      <c r="B553" s="106" t="str">
        <f>"B20_Assessment"</f>
        <v>B20_Assessment</v>
      </c>
      <c r="C553" s="106" t="str">
        <f>B20_Assessment!$A$11</f>
        <v>20</v>
      </c>
      <c r="D553" s="142" t="str">
        <f>B20_Assessment!$B$11</f>
        <v>8A</v>
      </c>
      <c r="E553" s="142" t="str">
        <f>B20_Assessment!$C$11</f>
        <v>First</v>
      </c>
      <c r="F553" s="106" t="str">
        <f>B20_Assessment!$D$11</f>
        <v>Existing Tel/Data Closet / open TE cabinet</v>
      </c>
      <c r="G553" s="106" t="str">
        <f>B20_Assessment!$E$11</f>
        <v>Existing telecom transition point</v>
      </c>
      <c r="H553" s="106">
        <f>B20_Assessment!$F$11</f>
        <v>2</v>
      </c>
      <c r="I553" s="106">
        <f>B20_Assessment!$G$11</f>
        <v>0</v>
      </c>
      <c r="J553" s="106" t="str">
        <f>B20_Assessment!$H$11</f>
        <v>Verify</v>
      </c>
      <c r="K553" s="106" t="str">
        <f>B20_Assessment!$I$11</f>
        <v>20T-101 / 20T-701 / 20R-900</v>
      </c>
      <c r="L553" s="106" t="str">
        <f>B20_Assessment!$J$11</f>
        <v>Existing Tel/Data Closet 8A at 17 SF with existing open TE cabinet, ground bar, patch panel, equipment box, indoor AC unit, plywood backboard, BIX blocks, Cisco switch, legacy Ortronics 48-port patch panel, floor UPS and Fiber LIU. Protect active services and transfer to Office 1B TE.</v>
      </c>
    </row>
    <row r="554" spans="1:12" ht="97.5" customHeight="1">
      <c r="A554" s="106" t="str">
        <f>B21_Assessment!$B$2</f>
        <v>21</v>
      </c>
      <c r="B554" s="106" t="str">
        <f>"B21_Assessment"</f>
        <v>B21_Assessment</v>
      </c>
      <c r="C554" s="106" t="str">
        <f>B21_Assessment!$A$10</f>
        <v>21</v>
      </c>
      <c r="D554" s="142" t="str">
        <f>B21_Assessment!$B$10</f>
        <v>100A</v>
      </c>
      <c r="E554" s="142" t="str">
        <f>B21_Assessment!$C$10</f>
        <v>First</v>
      </c>
      <c r="F554" s="106" t="str">
        <f>B21_Assessment!$D$10</f>
        <v>M&amp;O Foreman Office / new TE location</v>
      </c>
      <c r="G554" s="106" t="str">
        <f>B21_Assessment!$E$10</f>
        <v>Telecom Enclosure</v>
      </c>
      <c r="H554" s="106">
        <f>B21_Assessment!$F$10</f>
        <v>1</v>
      </c>
      <c r="I554" s="106">
        <f>B21_Assessment!$G$10</f>
        <v>0</v>
      </c>
      <c r="J554" s="106" t="str">
        <f>B21_Assessment!$H$10</f>
        <v>Verify</v>
      </c>
      <c r="K554" s="106" t="str">
        <f>B21_Assessment!$I$10</f>
        <v>21_19T-101 / 21_19T-604 / 21_19T-701 / 21_19E-101</v>
      </c>
      <c r="L554" s="106" t="str">
        <f>B21_Assessment!$J$10</f>
        <v>Primary Building 21/B19 TE. Plans identify M&amp;O Foreman Office 100A at 202 SF with new 12RU telecom enclosure, shown as 19 serving 21, Room 100-A, and schedule Rack ID TR01-104-1 / RM 104. Includes APC UPS, two PDUs, network switches B20 and B19, 48-port Cat6A patch panel, Fiber LIU, and 131 total ports with 10% allowance.</v>
      </c>
    </row>
    <row r="555" spans="1:12" ht="97.5" customHeight="1">
      <c r="A555" s="106" t="str">
        <f>B21_Assessment!$B$2</f>
        <v>21</v>
      </c>
      <c r="B555" s="106" t="str">
        <f>"B21_Assessment"</f>
        <v>B21_Assessment</v>
      </c>
      <c r="C555" s="106" t="str">
        <f>B21_Assessment!$A$11</f>
        <v>21</v>
      </c>
      <c r="D555" s="142" t="str">
        <f>B21_Assessment!$B$11</f>
        <v>B1.TR</v>
      </c>
      <c r="E555" s="142" t="str">
        <f>B21_Assessment!$C$11</f>
        <v>Basement</v>
      </c>
      <c r="F555" s="106" t="str">
        <f>B21_Assessment!$D$11</f>
        <v>Existing telecom room / wall-mount TE</v>
      </c>
      <c r="G555" s="106" t="str">
        <f>B21_Assessment!$E$11</f>
        <v>Existing telecom transition point</v>
      </c>
      <c r="H555" s="106">
        <f>B21_Assessment!$F$11</f>
        <v>1</v>
      </c>
      <c r="I555" s="106">
        <f>B21_Assessment!$G$11</f>
        <v>0</v>
      </c>
      <c r="J555" s="106" t="str">
        <f>B21_Assessment!$H$11</f>
        <v>Verify</v>
      </c>
      <c r="K555" s="106" t="str">
        <f>B21_Assessment!$I$11</f>
        <v>21_19T-100 / 21_19T-604</v>
      </c>
      <c r="L555" s="106" t="str">
        <f>B21_Assessment!$J$11</f>
        <v>Existing Building 21 basement B1.TR shown with legacy Ortronics 24/48-port patch panels, UPS on ground, Cisco switch, multiple legacy 24-port patch panels, Fiber LIU, and APC floor UPS. Protect active services and verify transfer/cutover to new TE.</v>
      </c>
    </row>
    <row r="556" spans="1:12" ht="97.5" customHeight="1">
      <c r="A556" s="106" t="str">
        <f>B21_Assessment!$B$2</f>
        <v>21</v>
      </c>
      <c r="B556" s="106" t="str">
        <f>"B21_Assessment"</f>
        <v>B21_Assessment</v>
      </c>
      <c r="C556" s="106" t="str">
        <f>B21_Assessment!$A$12</f>
        <v>19</v>
      </c>
      <c r="D556" s="142" t="str">
        <f>B21_Assessment!$B$12</f>
        <v>B05TR</v>
      </c>
      <c r="E556" s="142" t="str">
        <f>B21_Assessment!$C$12</f>
        <v>Basement / First</v>
      </c>
      <c r="F556" s="106" t="str">
        <f>B21_Assessment!$D$12</f>
        <v>Existing telecom room / wall-mount TE</v>
      </c>
      <c r="G556" s="106" t="str">
        <f>B21_Assessment!$E$12</f>
        <v>Existing telecom transition point serving B19/B21</v>
      </c>
      <c r="H556" s="106">
        <f>B21_Assessment!$F$12</f>
        <v>2</v>
      </c>
      <c r="I556" s="106">
        <f>B21_Assessment!$G$12</f>
        <v>0</v>
      </c>
      <c r="J556" s="106" t="str">
        <f>B21_Assessment!$H$12</f>
        <v>Verify</v>
      </c>
      <c r="K556" s="106" t="str">
        <f>B21_Assessment!$I$12</f>
        <v>21_19T-100 / 21_19T-604 / 21_19R-900</v>
      </c>
      <c r="L556" s="106" t="str">
        <f>B21_Assessment!$J$12</f>
        <v>Existing Building 19 B05TR shown with basement and first-level existing elevations, legacy Ortronics patch panels, Cisco switch, Fiber LIU, APC floor UPS, and photo reference for basement B05. New enclosure is marked '19 serving 21'.</v>
      </c>
    </row>
    <row r="557" spans="1:12" ht="97.5" customHeight="1">
      <c r="A557" s="106" t="str">
        <f>B22_Assessment!$B$2</f>
        <v>22</v>
      </c>
      <c r="B557" s="106" t="str">
        <f>"B22_Assessment"</f>
        <v>B22_Assessment</v>
      </c>
      <c r="C557" s="106" t="str">
        <f>B22_Assessment!$A$10</f>
        <v>22</v>
      </c>
      <c r="D557" s="142" t="str">
        <f>B22_Assessment!$B$10</f>
        <v>102</v>
      </c>
      <c r="E557" s="142" t="str">
        <f>B22_Assessment!$C$10</f>
        <v>First</v>
      </c>
      <c r="F557" s="106" t="str">
        <f>B22_Assessment!$D$10</f>
        <v>Break Room / new TE location</v>
      </c>
      <c r="G557" s="106" t="str">
        <f>B22_Assessment!$E$10</f>
        <v>Telecom Enclosure</v>
      </c>
      <c r="H557" s="106">
        <f>B22_Assessment!$F$10</f>
        <v>1</v>
      </c>
      <c r="I557" s="106">
        <f>B22_Assessment!$G$10</f>
        <v>0</v>
      </c>
      <c r="J557" s="106" t="str">
        <f>B22_Assessment!$H$10</f>
        <v>Verify</v>
      </c>
      <c r="K557" s="106" t="str">
        <f>B22_Assessment!$I$10</f>
        <v>22T-101 / 22T-701 / 22E-101 / 22E-701</v>
      </c>
      <c r="L557" s="106" t="str">
        <f>B22_Assessment!$J$10</f>
        <v>Primary Building 22 TE. Plans identify Break Room 102 at 358 SF with new 12RU telecom enclosure Rack ID TR01-102-1, APC UPS, two PDUs, network switch, 48-port Cat6A patch panel, Fiber LIU, and 8 total ports with 10% allowance.</v>
      </c>
    </row>
    <row r="558" spans="1:12" ht="97.5" customHeight="1">
      <c r="A558" s="106" t="str">
        <f>B22_Assessment!$B$2</f>
        <v>22</v>
      </c>
      <c r="B558" s="106" t="str">
        <f>"B22_Assessment"</f>
        <v>B22_Assessment</v>
      </c>
      <c r="C558" s="106" t="str">
        <f>B22_Assessment!$A$11</f>
        <v>22</v>
      </c>
      <c r="D558" s="142" t="str">
        <f>B22_Assessment!$B$11</f>
        <v>103</v>
      </c>
      <c r="E558" s="142" t="str">
        <f>B22_Assessment!$C$11</f>
        <v>First</v>
      </c>
      <c r="F558" s="106" t="str">
        <f>B22_Assessment!$D$11</f>
        <v>Existing wall/wall-mount TE / legacy equipment area</v>
      </c>
      <c r="G558" s="106" t="str">
        <f>B22_Assessment!$E$11</f>
        <v>Existing telecom transition point</v>
      </c>
      <c r="H558" s="106">
        <f>B22_Assessment!$F$11</f>
        <v>1</v>
      </c>
      <c r="I558" s="106">
        <f>B22_Assessment!$G$11</f>
        <v>0</v>
      </c>
      <c r="J558" s="106" t="str">
        <f>B22_Assessment!$H$11</f>
        <v>Verify</v>
      </c>
      <c r="K558" s="106" t="str">
        <f>B22_Assessment!$I$11</f>
        <v>22T-101 / 22T-701 / 22R-900</v>
      </c>
      <c r="L558" s="106" t="str">
        <f>B22_Assessment!$J$11</f>
        <v>Existing Room 103 first-level wall/wall-mount TE shown with APC UPS, Cisco switch, SERTEX utility service, legacy Ortronics 24-port patch panel, Fiber LIU on wall, and ports 1-24 to Building 19 ports 73-96. Protect active services and transfer to Room 102 TE.</v>
      </c>
    </row>
    <row r="559" spans="1:12" ht="97.5" customHeight="1">
      <c r="A559" s="106" t="str">
        <f>B33_Assessment!$B$2</f>
        <v>33</v>
      </c>
      <c r="B559" s="106" t="str">
        <f>"B33_Assessment"</f>
        <v>B33_Assessment</v>
      </c>
      <c r="C559" s="106" t="str">
        <f>B33_Assessment!$A$10</f>
        <v>33</v>
      </c>
      <c r="D559" s="142" t="str">
        <f>B33_Assessment!$B$10</f>
        <v>B23</v>
      </c>
      <c r="E559" s="142" t="str">
        <f>B33_Assessment!$C$10</f>
        <v>Basement</v>
      </c>
      <c r="F559" s="106" t="str">
        <f>B33_Assessment!$D$10</f>
        <v>EEO Manager Office / new TE location</v>
      </c>
      <c r="G559" s="106" t="str">
        <f>B33_Assessment!$E$10</f>
        <v>Telecom Enclosure</v>
      </c>
      <c r="H559" s="106">
        <f>B33_Assessment!$F$10</f>
        <v>1</v>
      </c>
      <c r="I559" s="106">
        <f>B33_Assessment!$G$10</f>
        <v>0</v>
      </c>
      <c r="J559" s="106" t="str">
        <f>B33_Assessment!$H$10</f>
        <v>Verify</v>
      </c>
      <c r="K559" s="106" t="str">
        <f>B33_Assessment!$I$10</f>
        <v>33T-100 / 33T-604 / 33T-701 / 33E-100 / 33E-701</v>
      </c>
      <c r="L559" s="106" t="str">
        <f>B33_Assessment!$J$10</f>
        <v>Primary Building 33 TE. Plans identify EEO Manager Office B23 at 175 SF with new 12RU telecom enclosure Rack ID TE01-B23-1, APC UPS, two PDUs, network switch, 48-port Cat6A patch panel, Fiber LIU, 55 WAO total, and 97 total ports with 10% allowance.</v>
      </c>
    </row>
    <row r="560" spans="1:12" ht="97.5" customHeight="1">
      <c r="A560" s="106" t="str">
        <f>B33_Assessment!$B$2</f>
        <v>33</v>
      </c>
      <c r="B560" s="106" t="str">
        <f>"B33_Assessment"</f>
        <v>B33_Assessment</v>
      </c>
      <c r="C560" s="106" t="str">
        <f>B33_Assessment!$A$11</f>
        <v>33</v>
      </c>
      <c r="D560" s="142" t="str">
        <f>B33_Assessment!$B$11</f>
        <v>B17</v>
      </c>
      <c r="E560" s="142" t="str">
        <f>B33_Assessment!$C$11</f>
        <v>Basement / First photo reference</v>
      </c>
      <c r="F560" s="106" t="str">
        <f>B33_Assessment!$D$11</f>
        <v>Existing Tel Closet / open TE cabinet and legacy equipment</v>
      </c>
      <c r="G560" s="106" t="str">
        <f>B33_Assessment!$E$11</f>
        <v>Existing telecom transition point</v>
      </c>
      <c r="H560" s="106">
        <f>B33_Assessment!$F$11</f>
        <v>2</v>
      </c>
      <c r="I560" s="106">
        <f>B33_Assessment!$G$11</f>
        <v>0</v>
      </c>
      <c r="J560" s="106" t="str">
        <f>B33_Assessment!$H$11</f>
        <v>Verify</v>
      </c>
      <c r="K560" s="106" t="str">
        <f>B33_Assessment!$I$11</f>
        <v>33T-100 / 33T-604 / 33R-900</v>
      </c>
      <c r="L560" s="106" t="str">
        <f>B33_Assessment!$J$11</f>
        <v>Existing Tel Closet B17 shown at 13 SF with existing open TE cabinet, network door controller, indoor AC unit, plywood backboard, keypad, patch panel, ground bar, equipment box, Cisco switches, legacy patch panels, Fiber LIU, SERTEX utility service, and UPS on floor. Protect active services and verify transfer to Room B23 TE.</v>
      </c>
    </row>
    <row r="561" spans="1:12" ht="97.5" customHeight="1">
      <c r="A561" s="106" t="str">
        <f>B61_Assessment!$B$2</f>
        <v>61</v>
      </c>
      <c r="B561" s="106" t="str">
        <f>"B61_Assessment"</f>
        <v>B61_Assessment</v>
      </c>
      <c r="C561" s="106" t="str">
        <f>B61_Assessment!$A$10</f>
        <v>61</v>
      </c>
      <c r="D561" s="142" t="str">
        <f>B61_Assessment!$B$10</f>
        <v>B13H-A</v>
      </c>
      <c r="E561" s="142" t="str">
        <f>B61_Assessment!$C$10</f>
        <v>Basement</v>
      </c>
      <c r="F561" s="106" t="str">
        <f>B61_Assessment!$D$10</f>
        <v>Basement telecom / support area</v>
      </c>
      <c r="G561" s="106" t="str">
        <f>B61_Assessment!$E$10</f>
        <v>Telecom Room</v>
      </c>
      <c r="H561" s="106">
        <f>B61_Assessment!$F$10</f>
        <v>1</v>
      </c>
      <c r="I561" s="106">
        <f>B61_Assessment!$G$10</f>
        <v>1</v>
      </c>
      <c r="J561" s="106" t="str">
        <f>B61_Assessment!$H$10</f>
        <v>Pass</v>
      </c>
      <c r="K561" s="106" t="str">
        <f>B61_Assessment!$I$10</f>
        <v>61A-400 / 61E-401 / 61T-100 / 61T-401 / 61T-604 / 61T-701</v>
      </c>
      <c r="L561" s="106" t="str">
        <f>B61_Assessment!$J$10</f>
        <v>Basement TR identified as RM B13H-A with Rack ID TR01-B13H-A-1. Schedules identify 88 WAO total, 74 active ports, 129 scheduled ports, 142 ports with 10% allowance. Electrical panels include B61-TRB13A/B. Mechanical cooling includes IU-0-01/CU-0-01.</v>
      </c>
    </row>
    <row r="562" spans="1:12" ht="97.5" customHeight="1">
      <c r="A562" s="106" t="str">
        <f>B61_Assessment!$B$2</f>
        <v>61</v>
      </c>
      <c r="B562" s="106" t="str">
        <f>"B61_Assessment"</f>
        <v>B61_Assessment</v>
      </c>
      <c r="C562" s="106" t="str">
        <f>B61_Assessment!$A$11</f>
        <v>61</v>
      </c>
      <c r="D562" s="142" t="str">
        <f>B61_Assessment!$B$11</f>
        <v>124</v>
      </c>
      <c r="E562" s="142" t="str">
        <f>B61_Assessment!$C$11</f>
        <v>First</v>
      </c>
      <c r="F562" s="106" t="str">
        <f>B61_Assessment!$D$11</f>
        <v>First-level telecom area</v>
      </c>
      <c r="G562" s="106" t="str">
        <f>B61_Assessment!$E$11</f>
        <v>Telecom Room</v>
      </c>
      <c r="H562" s="106">
        <f>B61_Assessment!$F$11</f>
        <v>1</v>
      </c>
      <c r="I562" s="106">
        <f>B61_Assessment!$G$11</f>
        <v>1</v>
      </c>
      <c r="J562" s="106" t="str">
        <f>B61_Assessment!$H$11</f>
        <v>Pass</v>
      </c>
      <c r="K562" s="106" t="str">
        <f>B61_Assessment!$I$11</f>
        <v>61A-400 / 61E-402 / 61T-101 / 61T-401 / 61T-604 / 61T-701</v>
      </c>
      <c r="L562" s="106" t="str">
        <f>B61_Assessment!$J$11</f>
        <v>First-level TR identified as Room 124 / Rack ID TR01-124-1. Electrical panels include B61-TR124A/B. Mechanical cooling includes IU-1-01/CU-1-01. Verify room naming against electrical schedule references that also call out RM137B rack receptacles.</v>
      </c>
    </row>
    <row r="563" spans="1:12" ht="97.5" customHeight="1">
      <c r="A563" s="106" t="str">
        <f>B61_Assessment!$B$2</f>
        <v>61</v>
      </c>
      <c r="B563" s="106" t="str">
        <f>"B61_Assessment"</f>
        <v>B61_Assessment</v>
      </c>
      <c r="C563" s="106" t="str">
        <f>B61_Assessment!$A$12</f>
        <v>61</v>
      </c>
      <c r="D563" s="142" t="str">
        <f>B61_Assessment!$B$12</f>
        <v>226</v>
      </c>
      <c r="E563" s="142" t="str">
        <f>B61_Assessment!$C$12</f>
        <v>Second</v>
      </c>
      <c r="F563" s="106" t="str">
        <f>B61_Assessment!$D$12</f>
        <v>Second-level telecom area</v>
      </c>
      <c r="G563" s="106" t="str">
        <f>B61_Assessment!$E$12</f>
        <v>Telecom Room</v>
      </c>
      <c r="H563" s="106">
        <f>B61_Assessment!$F$12</f>
        <v>1</v>
      </c>
      <c r="I563" s="106">
        <f>B61_Assessment!$G$12</f>
        <v>1</v>
      </c>
      <c r="J563" s="106" t="str">
        <f>B61_Assessment!$H$12</f>
        <v>Pass</v>
      </c>
      <c r="K563" s="106" t="str">
        <f>B61_Assessment!$I$12</f>
        <v>61A-401 / 61E-402 / 61T-102 / 61T-401 / 61T-605 / 61T-702</v>
      </c>
      <c r="L563" s="106" t="str">
        <f>B61_Assessment!$J$12</f>
        <v>Second-level TR identified as Room 226 / Rack ID TR01-226-1. Schedules identify 109 WAO total, 126 active ports, 156 scheduled ports, 172 ports with 10% allowance. Electrical panels include B61-TR226A/B. Mechanical cooling includes IU-2-01/CU-2-01.</v>
      </c>
    </row>
    <row r="564" spans="1:12" ht="97.5" customHeight="1">
      <c r="A564" s="106" t="str">
        <f>B61_Assessment!$B$2</f>
        <v>61</v>
      </c>
      <c r="B564" s="106" t="str">
        <f>"B61_Assessment"</f>
        <v>B61_Assessment</v>
      </c>
      <c r="C564" s="106" t="str">
        <f>B61_Assessment!$A$13</f>
        <v>61</v>
      </c>
      <c r="D564" s="142" t="str">
        <f>B61_Assessment!$B$13</f>
        <v>137 / 137A</v>
      </c>
      <c r="E564" s="142" t="str">
        <f>B61_Assessment!$C$13</f>
        <v>First</v>
      </c>
      <c r="F564" s="106" t="str">
        <f>B61_Assessment!$D$13</f>
        <v>Existing server/demarc/telecom equipment rooms</v>
      </c>
      <c r="G564" s="106" t="str">
        <f>B61_Assessment!$E$13</f>
        <v>Existing demarc / server transition point</v>
      </c>
      <c r="H564" s="106">
        <f>B61_Assessment!$F$13</f>
        <v>11</v>
      </c>
      <c r="I564" s="106">
        <f>B61_Assessment!$G$13</f>
        <v>0</v>
      </c>
      <c r="J564" s="106" t="str">
        <f>B61_Assessment!$H$13</f>
        <v>Pass</v>
      </c>
      <c r="K564" s="106" t="str">
        <f>B61_Assessment!$I$13</f>
        <v>61T-402 / 61T-606 / 61T-607 / 61R-900</v>
      </c>
      <c r="L564" s="106" t="str">
        <f>B61_Assessment!$J$13</f>
        <v>Existing Room 137/137A rack inventory and demarc/server equipment include existing 4-post racks, PACS/equipment racks, APC UPS/PDU equipment, Fujitsu FLM equipment, wall-mounted patch panels, and local elevations. Protect active services and verify what remains, transfers, or is modified.</v>
      </c>
    </row>
    <row r="565" spans="1:12" ht="97.5" customHeight="1">
      <c r="A565" s="106">
        <f>B62_TR_Assessment!$B$2</f>
        <v>62</v>
      </c>
      <c r="B565" s="106" t="str">
        <f>"B62_TR_Assessment"</f>
        <v>B62_TR_Assessment</v>
      </c>
      <c r="C565" s="106" t="str">
        <f>B62_TR_Assessment!$A$10</f>
        <v>62</v>
      </c>
      <c r="D565" s="142" t="str">
        <f>B62_TR_Assessment!$B$10</f>
        <v>B24A</v>
      </c>
      <c r="E565" s="142" t="str">
        <f>B62_TR_Assessment!$C$10</f>
        <v>Basement</v>
      </c>
      <c r="F565" s="106" t="str">
        <f>B62_TR_Assessment!$D$10</f>
        <v>Restroom / Storage</v>
      </c>
      <c r="G565" s="106" t="str">
        <f>B62_TR_Assessment!$E$10</f>
        <v>TR</v>
      </c>
      <c r="H565" s="106">
        <f>B62_TR_Assessment!$F$10</f>
        <v>1</v>
      </c>
      <c r="I565" s="106">
        <f>B62_TR_Assessment!$G$10</f>
        <v>1</v>
      </c>
      <c r="J565" s="106" t="str">
        <f>B62_TR_Assessment!$H$10</f>
        <v>Verify</v>
      </c>
      <c r="K565" s="106" t="str">
        <f>B62_TR_Assessment!$I$10</f>
        <v>B62 IFC</v>
      </c>
      <c r="L565" s="106">
        <f>B62_TR_Assessment!$J$10</f>
        <v>0</v>
      </c>
    </row>
    <row r="566" spans="1:12" ht="97.5" customHeight="1">
      <c r="A566" s="106">
        <f>B62_TR_Assessment!$B$2</f>
        <v>62</v>
      </c>
      <c r="B566" s="106" t="str">
        <f>"B62_TR_Assessment"</f>
        <v>B62_TR_Assessment</v>
      </c>
      <c r="C566" s="106" t="str">
        <f>B62_TR_Assessment!$A$11</f>
        <v>62</v>
      </c>
      <c r="D566" s="142" t="str">
        <f>B62_TR_Assessment!$B$11</f>
        <v>125</v>
      </c>
      <c r="E566" s="142" t="str">
        <f>B62_TR_Assessment!$C$11</f>
        <v>First</v>
      </c>
      <c r="F566" s="106" t="str">
        <f>B62_TR_Assessment!$D$11</f>
        <v>Medication Room</v>
      </c>
      <c r="G566" s="106" t="str">
        <f>B62_TR_Assessment!$E$11</f>
        <v>TR</v>
      </c>
      <c r="H566" s="106">
        <f>B62_TR_Assessment!$F$11</f>
        <v>1</v>
      </c>
      <c r="I566" s="106">
        <f>B62_TR_Assessment!$G$11</f>
        <v>1</v>
      </c>
      <c r="J566" s="106" t="str">
        <f>B62_TR_Assessment!$H$11</f>
        <v>Verify</v>
      </c>
      <c r="K566" s="106" t="str">
        <f>B62_TR_Assessment!$I$11</f>
        <v>B62 IFC</v>
      </c>
      <c r="L566" s="106">
        <f>B62_TR_Assessment!$J$11</f>
        <v>0</v>
      </c>
    </row>
    <row r="567" spans="1:12" ht="97.5" customHeight="1">
      <c r="A567" s="106">
        <f>B62_TR_Assessment!$B$2</f>
        <v>62</v>
      </c>
      <c r="B567" s="106" t="str">
        <f>"B62_TR_Assessment"</f>
        <v>B62_TR_Assessment</v>
      </c>
      <c r="C567" s="106" t="str">
        <f>B62_TR_Assessment!$A$12</f>
        <v>62</v>
      </c>
      <c r="D567" s="142" t="str">
        <f>B62_TR_Assessment!$B$12</f>
        <v>225</v>
      </c>
      <c r="E567" s="142" t="str">
        <f>B62_TR_Assessment!$C$12</f>
        <v>Second</v>
      </c>
      <c r="F567" s="106" t="str">
        <f>B62_TR_Assessment!$D$12</f>
        <v>Office</v>
      </c>
      <c r="G567" s="106" t="str">
        <f>B62_TR_Assessment!$E$12</f>
        <v>TR</v>
      </c>
      <c r="H567" s="106">
        <f>B62_TR_Assessment!$F$12</f>
        <v>1</v>
      </c>
      <c r="I567" s="106">
        <f>B62_TR_Assessment!$G$12</f>
        <v>1</v>
      </c>
      <c r="J567" s="106" t="str">
        <f>B62_TR_Assessment!$H$12</f>
        <v>Verify</v>
      </c>
      <c r="K567" s="106" t="str">
        <f>B62_TR_Assessment!$I$12</f>
        <v>B62 IFC</v>
      </c>
      <c r="L567" s="106">
        <f>B62_TR_Assessment!$J$12</f>
        <v>0</v>
      </c>
    </row>
    <row r="568" spans="1:12" ht="97.5" customHeight="1">
      <c r="A568" s="106">
        <f>B70_TR_Assessment!$B$2</f>
        <v>70</v>
      </c>
      <c r="B568" s="106" t="str">
        <f t="shared" ref="B568:B574" si="60">"B70_TR_Assessment"</f>
        <v>B70_TR_Assessment</v>
      </c>
      <c r="C568" s="106" t="str">
        <f>B70_TR_Assessment!$A$10</f>
        <v>70</v>
      </c>
      <c r="D568" s="142" t="str">
        <f>B70_TR_Assessment!$B$10</f>
        <v>B27</v>
      </c>
      <c r="E568" s="142" t="str">
        <f>B70_TR_Assessment!$C$10</f>
        <v>Basement</v>
      </c>
      <c r="F568" s="106" t="str">
        <f>B70_TR_Assessment!$D$10</f>
        <v>Telecom Room / existing service area</v>
      </c>
      <c r="G568" s="106" t="str">
        <f>B70_TR_Assessment!$E$10</f>
        <v>TR</v>
      </c>
      <c r="H568" s="106">
        <f>B70_TR_Assessment!$F$10</f>
        <v>1</v>
      </c>
      <c r="I568" s="106">
        <f>B70_TR_Assessment!$G$10</f>
        <v>1</v>
      </c>
      <c r="J568" s="106" t="str">
        <f>B70_TR_Assessment!$H$10</f>
        <v>Verify</v>
      </c>
      <c r="K568" s="106" t="str">
        <f>B70_TR_Assessment!$I$10</f>
        <v>70A/70T/70M/70FX</v>
      </c>
      <c r="L568" s="106" t="str">
        <f>B70_TR_Assessment!$J$10</f>
        <v>Shown as Telecom Room B27; rack elevation references B-27 with 1 rack + future.</v>
      </c>
    </row>
    <row r="569" spans="1:12" ht="97.5" customHeight="1">
      <c r="A569" s="106">
        <f>B70_TR_Assessment!$B$2</f>
        <v>70</v>
      </c>
      <c r="B569" s="106" t="str">
        <f t="shared" si="60"/>
        <v>B70_TR_Assessment</v>
      </c>
      <c r="C569" s="106" t="str">
        <f>B70_TR_Assessment!$A$11</f>
        <v>70</v>
      </c>
      <c r="D569" s="142" t="str">
        <f>B70_TR_Assessment!$B$11</f>
        <v>125A</v>
      </c>
      <c r="E569" s="142" t="str">
        <f>B70_TR_Assessment!$C$11</f>
        <v>First</v>
      </c>
      <c r="F569" s="106" t="str">
        <f>B70_TR_Assessment!$D$11</f>
        <v>Telecom Room / existing or renovated space</v>
      </c>
      <c r="G569" s="106" t="str">
        <f>B70_TR_Assessment!$E$11</f>
        <v>TR</v>
      </c>
      <c r="H569" s="106">
        <f>B70_TR_Assessment!$F$11</f>
        <v>1</v>
      </c>
      <c r="I569" s="106">
        <f>B70_TR_Assessment!$G$11</f>
        <v>1</v>
      </c>
      <c r="J569" s="106" t="str">
        <f>B70_TR_Assessment!$H$11</f>
        <v>Verify</v>
      </c>
      <c r="K569" s="106" t="str">
        <f>B70_TR_Assessment!$I$11</f>
        <v>70A/70T/70M/70FX</v>
      </c>
      <c r="L569" s="106" t="str">
        <f>B70_TR_Assessment!$J$11</f>
        <v>Shown as Telecom Room 125A; rack elevation references 125-A with 1 rack + future.</v>
      </c>
    </row>
    <row r="570" spans="1:12" ht="97.5" customHeight="1">
      <c r="A570" s="106">
        <f>B70_TR_Assessment!$B$2</f>
        <v>70</v>
      </c>
      <c r="B570" s="106" t="str">
        <f t="shared" si="60"/>
        <v>B70_TR_Assessment</v>
      </c>
      <c r="C570" s="106" t="str">
        <f>B70_TR_Assessment!$A$12</f>
        <v>70</v>
      </c>
      <c r="D570" s="142" t="str">
        <f>B70_TR_Assessment!$B$12</f>
        <v>262A</v>
      </c>
      <c r="E570" s="142" t="str">
        <f>B70_TR_Assessment!$C$12</f>
        <v>Second</v>
      </c>
      <c r="F570" s="106" t="str">
        <f>B70_TR_Assessment!$D$12</f>
        <v>Telecom Room / existing or renovated space</v>
      </c>
      <c r="G570" s="106" t="str">
        <f>B70_TR_Assessment!$E$12</f>
        <v>TR</v>
      </c>
      <c r="H570" s="106">
        <f>B70_TR_Assessment!$F$12</f>
        <v>1</v>
      </c>
      <c r="I570" s="106">
        <f>B70_TR_Assessment!$G$12</f>
        <v>1</v>
      </c>
      <c r="J570" s="106" t="str">
        <f>B70_TR_Assessment!$H$12</f>
        <v>Verify</v>
      </c>
      <c r="K570" s="106" t="str">
        <f>B70_TR_Assessment!$I$12</f>
        <v>70A/70T/70M/70FX</v>
      </c>
      <c r="L570" s="106" t="str">
        <f>B70_TR_Assessment!$J$12</f>
        <v>Shown as Telecom Room 262A; rack elevation references 262-A with 1 rack + future.</v>
      </c>
    </row>
    <row r="571" spans="1:12" ht="97.5" customHeight="1">
      <c r="A571" s="106">
        <f>B78_Assessment!$B$2</f>
        <v>78</v>
      </c>
      <c r="B571" s="106" t="str">
        <f t="shared" si="60"/>
        <v>B70_TR_Assessment</v>
      </c>
      <c r="C571" s="106" t="str">
        <f>B78_Assessment!$A$10</f>
        <v>78/78A</v>
      </c>
      <c r="D571" s="142" t="str">
        <f>B78_Assessment!$B$10</f>
        <v>B30</v>
      </c>
      <c r="E571" s="142" t="str">
        <f>B78_Assessment!$C$10</f>
        <v>Basement</v>
      </c>
      <c r="F571" s="106" t="str">
        <f>B78_Assessment!$D$10</f>
        <v>Basement telecom area / existing rack transfer</v>
      </c>
      <c r="G571" s="106" t="str">
        <f>B78_Assessment!$E$10</f>
        <v>Telecom Room</v>
      </c>
      <c r="H571" s="106">
        <f>B78_Assessment!$F$10</f>
        <v>2</v>
      </c>
      <c r="I571" s="106">
        <f>B78_Assessment!$G$10</f>
        <v>1</v>
      </c>
      <c r="J571" s="106" t="str">
        <f>B78_Assessment!$H$10</f>
        <v>Verify</v>
      </c>
      <c r="K571" s="106" t="str">
        <f>B78_Assessment!$I$10</f>
        <v>78_78AA-400 / 78_78AE-401 / 78_78AT-100 / 78_78AT-604 / 78_78AT-701</v>
      </c>
      <c r="L571" s="106" t="str">
        <f>B78_Assessment!$J$10</f>
        <v>Basement primary TR. Schedule identifies RM B30 with 210 WAO total, 23 active ports, 311 scheduled ports, 342 total ports with 10% allowance. Rack IDs include TR01-B30-1 and TR01-B30-2.</v>
      </c>
    </row>
    <row r="572" spans="1:12" ht="97.5" customHeight="1">
      <c r="A572" s="106">
        <f>B78_Assessment!$B$2</f>
        <v>78</v>
      </c>
      <c r="B572" s="106" t="str">
        <f t="shared" si="60"/>
        <v>B70_TR_Assessment</v>
      </c>
      <c r="C572" s="106" t="str">
        <f>B78_Assessment!$A$11</f>
        <v>78/78A</v>
      </c>
      <c r="D572" s="142" t="str">
        <f>B78_Assessment!$B$11</f>
        <v>B35</v>
      </c>
      <c r="E572" s="142" t="str">
        <f>B78_Assessment!$C$11</f>
        <v>Basement</v>
      </c>
      <c r="F572" s="106" t="str">
        <f>B78_Assessment!$D$11</f>
        <v>Basement telecom area / existing rack transfer</v>
      </c>
      <c r="G572" s="106" t="str">
        <f>B78_Assessment!$E$11</f>
        <v>Telecom Room</v>
      </c>
      <c r="H572" s="106">
        <f>B78_Assessment!$F$11</f>
        <v>1</v>
      </c>
      <c r="I572" s="106">
        <f>B78_Assessment!$G$11</f>
        <v>1</v>
      </c>
      <c r="J572" s="106" t="str">
        <f>B78_Assessment!$H$11</f>
        <v>Verify</v>
      </c>
      <c r="K572" s="106" t="str">
        <f>B78_Assessment!$I$11</f>
        <v>78_78AT-100 / 78_78AT-605 / 78_78AT-702</v>
      </c>
      <c r="L572" s="106" t="str">
        <f>B78_Assessment!$J$11</f>
        <v>Basement TR/closet. Schedule identifies RM B35 with 53 WAO total, 23 active ports, 64 scheduled ports, 70 total ports with 10% allowance. Verify relationship to existing basement telecom room 15E photo reference.</v>
      </c>
    </row>
    <row r="573" spans="1:12" ht="97.5" customHeight="1">
      <c r="A573" s="106">
        <f>B78_Assessment!$B$2</f>
        <v>78</v>
      </c>
      <c r="B573" s="106" t="str">
        <f t="shared" si="60"/>
        <v>B70_TR_Assessment</v>
      </c>
      <c r="C573" s="106" t="str">
        <f>B78_Assessment!$A$12</f>
        <v>78/78A</v>
      </c>
      <c r="D573" s="142" t="str">
        <f>B78_Assessment!$B$12</f>
        <v>1232</v>
      </c>
      <c r="E573" s="142" t="str">
        <f>B78_Assessment!$C$12</f>
        <v>First</v>
      </c>
      <c r="F573" s="106" t="str">
        <f>B78_Assessment!$D$12</f>
        <v>First-level telecom room / existing rack transfer</v>
      </c>
      <c r="G573" s="106" t="str">
        <f>B78_Assessment!$E$12</f>
        <v>Telecom Room</v>
      </c>
      <c r="H573" s="106">
        <f>B78_Assessment!$F$12</f>
        <v>1</v>
      </c>
      <c r="I573" s="106">
        <f>B78_Assessment!$G$12</f>
        <v>1</v>
      </c>
      <c r="J573" s="106" t="str">
        <f>B78_Assessment!$H$12</f>
        <v>Verify</v>
      </c>
      <c r="K573" s="106" t="str">
        <f>B78_Assessment!$I$12</f>
        <v>78_78AA-401 / 78_78AE-402 / 78_78AT-101 / 78_78AT-606 / 78_78AT-702/703</v>
      </c>
      <c r="L573" s="106" t="str">
        <f>B78_Assessment!$J$12</f>
        <v>First-level TR. Schedule identifies RM 1232 with 301 WAO total, 388 active ports, 404 scheduled ports, 444 total ports with 10% allowance. Existing photo references show first-level existing telecom room 1234; verify room-name mapping.</v>
      </c>
    </row>
    <row r="574" spans="1:12" ht="97.5" customHeight="1">
      <c r="A574" s="106">
        <f>B78_Assessment!$B$2</f>
        <v>78</v>
      </c>
      <c r="B574" s="106" t="str">
        <f t="shared" si="60"/>
        <v>B70_TR_Assessment</v>
      </c>
      <c r="C574" s="106" t="str">
        <f>B78_Assessment!$A$13</f>
        <v>78/78A</v>
      </c>
      <c r="D574" s="142" t="str">
        <f>B78_Assessment!$B$13</f>
        <v>227A</v>
      </c>
      <c r="E574" s="142" t="str">
        <f>B78_Assessment!$C$13</f>
        <v>Second</v>
      </c>
      <c r="F574" s="106" t="str">
        <f>B78_Assessment!$D$13</f>
        <v>Second-level telecom room / existing rack transfer</v>
      </c>
      <c r="G574" s="106" t="str">
        <f>B78_Assessment!$E$13</f>
        <v>Telecom Room</v>
      </c>
      <c r="H574" s="106">
        <f>B78_Assessment!$F$13</f>
        <v>1</v>
      </c>
      <c r="I574" s="106">
        <f>B78_Assessment!$G$13</f>
        <v>1</v>
      </c>
      <c r="J574" s="106" t="str">
        <f>B78_Assessment!$H$13</f>
        <v>Verify</v>
      </c>
      <c r="K574" s="106" t="str">
        <f>B78_Assessment!$I$13</f>
        <v>78_78AA-401 / 78_78AE-402 / 78_78AT-102 / 78_78AT-606 / 78_78AT-703/704</v>
      </c>
      <c r="L574" s="106" t="str">
        <f>B78_Assessment!$J$13</f>
        <v>Second-level TR. Schedule identifies RM 227A with 256 WAO total, 153 active ports, 348 scheduled ports, 383 total ports with 10% allowance. Existing photo references show second-level existing telecom room 1234; verify field room ID.</v>
      </c>
    </row>
    <row r="575" spans="1:12" ht="97.5" customHeight="1">
      <c r="A575" s="106">
        <f>B78_Assessment!$B$2</f>
        <v>78</v>
      </c>
      <c r="B575" s="106" t="str">
        <f>"B78_Assessment"</f>
        <v>B78_Assessment</v>
      </c>
      <c r="C575" s="106" t="str">
        <f>B78_Assessment!$A$14</f>
        <v>78/78A</v>
      </c>
      <c r="D575" s="142" t="str">
        <f>B78_Assessment!$B$14</f>
        <v>342</v>
      </c>
      <c r="E575" s="142" t="str">
        <f>B78_Assessment!$C$14</f>
        <v>Third</v>
      </c>
      <c r="F575" s="106" t="str">
        <f>B78_Assessment!$D$14</f>
        <v>Third-level telecom room / existing rack transfer</v>
      </c>
      <c r="G575" s="106" t="str">
        <f>B78_Assessment!$E$14</f>
        <v>Telecom Room</v>
      </c>
      <c r="H575" s="106">
        <f>B78_Assessment!$F$14</f>
        <v>2</v>
      </c>
      <c r="I575" s="106">
        <f>B78_Assessment!$G$14</f>
        <v>1</v>
      </c>
      <c r="J575" s="106" t="str">
        <f>B78_Assessment!$H$14</f>
        <v>Verify</v>
      </c>
      <c r="K575" s="106" t="str">
        <f>B78_Assessment!$I$14</f>
        <v>78_78AA-402 / 78_78AE-403 / 78_78AT-103 / 78_78AT-607 / 78_78AT-704</v>
      </c>
      <c r="L575" s="106" t="str">
        <f>B78_Assessment!$J$14</f>
        <v>Third-level TR. Schedule identifies RM 342 with 158 WAO total, 163 active ports, 289 scheduled ports, 318 total ports with 10% allowance. Rack IDs include TR01-342-1 and TR01-342-2.</v>
      </c>
    </row>
    <row r="576" spans="1:12" ht="97.5" customHeight="1">
      <c r="A576" s="106">
        <f>B78_Assessment!$B$2</f>
        <v>78</v>
      </c>
      <c r="B576" s="106" t="str">
        <f>"B78_Assessment"</f>
        <v>B78_Assessment</v>
      </c>
      <c r="C576" s="106" t="str">
        <f>B78_Assessment!$A$15</f>
        <v>78/78A</v>
      </c>
      <c r="D576" s="142" t="str">
        <f>B78_Assessment!$B$15</f>
        <v>401</v>
      </c>
      <c r="E576" s="142" t="str">
        <f>B78_Assessment!$C$15</f>
        <v>Fourth</v>
      </c>
      <c r="F576" s="106" t="str">
        <f>B78_Assessment!$D$15</f>
        <v>Fourth-level telecom room / existing rack transfer</v>
      </c>
      <c r="G576" s="106" t="str">
        <f>B78_Assessment!$E$15</f>
        <v>Telecom Room</v>
      </c>
      <c r="H576" s="106">
        <f>B78_Assessment!$F$15</f>
        <v>1</v>
      </c>
      <c r="I576" s="106">
        <f>B78_Assessment!$G$15</f>
        <v>1</v>
      </c>
      <c r="J576" s="106" t="str">
        <f>B78_Assessment!$H$15</f>
        <v>Verify</v>
      </c>
      <c r="K576" s="106" t="str">
        <f>B78_Assessment!$I$15</f>
        <v>78_78AA-402 / 78_78AE-404 / 78_78AT-104 / 78_78AT-607 / 78_78AT-705</v>
      </c>
      <c r="L576" s="106" t="str">
        <f>B78_Assessment!$J$15</f>
        <v>Fourth-level TR. Schedule identifies RM 401 with 89 WAO total, 65 active ports, 123 scheduled ports, 135 total ports with 10% allowance.</v>
      </c>
    </row>
    <row r="577" spans="1:12" ht="97.5" customHeight="1">
      <c r="A577" s="106">
        <f>B78_Assessment!$B$2</f>
        <v>78</v>
      </c>
      <c r="B577" s="106" t="str">
        <f>"B78_Assessment"</f>
        <v>B78_Assessment</v>
      </c>
      <c r="C577" s="106" t="str">
        <f>B78_Assessment!$A$16</f>
        <v>78/78A</v>
      </c>
      <c r="D577" s="142" t="str">
        <f>B78_Assessment!$B$16</f>
        <v>15E / 1234 / 353 / 308A / 408A</v>
      </c>
      <c r="E577" s="142" t="str">
        <f>B78_Assessment!$C$16</f>
        <v>Existing levels</v>
      </c>
      <c r="F577" s="106" t="str">
        <f>B78_Assessment!$D$16</f>
        <v>Existing telecom rooms / photo references</v>
      </c>
      <c r="G577" s="106" t="str">
        <f>B78_Assessment!$E$16</f>
        <v>Existing telecom transition points</v>
      </c>
      <c r="H577" s="106">
        <f>B78_Assessment!$F$16</f>
        <v>5</v>
      </c>
      <c r="I577" s="106">
        <f>B78_Assessment!$G$16</f>
        <v>0</v>
      </c>
      <c r="J577" s="106" t="str">
        <f>B78_Assessment!$H$16</f>
        <v>Verify</v>
      </c>
      <c r="K577" s="106" t="str">
        <f>B78_Assessment!$I$16</f>
        <v>78_78AR-900 / 901 / 902 / 903</v>
      </c>
      <c r="L577" s="106" t="str">
        <f>B78_Assessment!$J$16</f>
        <v>Photo references identify existing telecom rooms: basement 15E, first-level 1234, second-level 1234, third-level 353, fourth-level 308A and 408A. Protect active equipment and verify transfer/abandonment scope.</v>
      </c>
    </row>
    <row r="578" spans="1:12" ht="97.5" customHeight="1">
      <c r="A578" s="106" t="str">
        <f>B80_Assessment!$B$2</f>
        <v>80</v>
      </c>
      <c r="B578" s="106" t="str">
        <f>"B80_Assessment"</f>
        <v>B80_Assessment</v>
      </c>
      <c r="C578" s="106" t="str">
        <f>B80_Assessment!$A$10</f>
        <v>80</v>
      </c>
      <c r="D578" s="142" t="str">
        <f>B80_Assessment!$B$10</f>
        <v>102</v>
      </c>
      <c r="E578" s="142" t="str">
        <f>B80_Assessment!$C$10</f>
        <v>First</v>
      </c>
      <c r="F578" s="106" t="str">
        <f>B80_Assessment!$D$10</f>
        <v>Telecom Room / new TR build area</v>
      </c>
      <c r="G578" s="106" t="str">
        <f>B80_Assessment!$E$10</f>
        <v>Telecom Room</v>
      </c>
      <c r="H578" s="106">
        <f>B80_Assessment!$F$10</f>
        <v>1</v>
      </c>
      <c r="I578" s="106">
        <f>B80_Assessment!$G$10</f>
        <v>1</v>
      </c>
      <c r="J578" s="106" t="str">
        <f>B80_Assessment!$H$10</f>
        <v>Verify</v>
      </c>
      <c r="K578" s="106" t="str">
        <f>B80_Assessment!$I$10</f>
        <v>80A-401 / 80E-101 / 80E-401 / 80T-101 / 80T-604 / 80T-701</v>
      </c>
      <c r="L578" s="106" t="str">
        <f>B80_Assessment!$J$10</f>
        <v>Primary Building 80 TR. Plans identify Telecom Room 102 at 140 SF, new Rack ID TR01-102-1 plus future rack, panels B80-TR102A/B, 5kW 208V UPS/PDU rack power, IU-1-01/CU-1-01 dedicated cooling, camera 102-CAM-1, and 215 total ports with 10% allowance.</v>
      </c>
    </row>
    <row r="579" spans="1:12" ht="97.5" customHeight="1">
      <c r="A579" s="106" t="str">
        <f>B80_Assessment!$B$2</f>
        <v>80</v>
      </c>
      <c r="B579" s="106" t="str">
        <f>"B80_Assessment"</f>
        <v>B80_Assessment</v>
      </c>
      <c r="C579" s="106" t="str">
        <f>B80_Assessment!$A$11</f>
        <v>80</v>
      </c>
      <c r="D579" s="142" t="str">
        <f>B80_Assessment!$B$11</f>
        <v>127A / 126</v>
      </c>
      <c r="E579" s="142" t="str">
        <f>B80_Assessment!$C$11</f>
        <v>First</v>
      </c>
      <c r="F579" s="106" t="str">
        <f>B80_Assessment!$D$11</f>
        <v>Existing Tel Closet / existing telecom room photo reference</v>
      </c>
      <c r="G579" s="106" t="str">
        <f>B80_Assessment!$E$11</f>
        <v>Existing telecom transition point</v>
      </c>
      <c r="H579" s="106">
        <f>B80_Assessment!$F$11</f>
        <v>1</v>
      </c>
      <c r="I579" s="106">
        <f>B80_Assessment!$G$11</f>
        <v>0</v>
      </c>
      <c r="J579" s="106" t="str">
        <f>B80_Assessment!$H$11</f>
        <v>Verify</v>
      </c>
      <c r="K579" s="106" t="str">
        <f>B80_Assessment!$I$11</f>
        <v>80T-101 / 80T-604 / 80R-900</v>
      </c>
      <c r="L579" s="106" t="str">
        <f>B80_Assessment!$J$11</f>
        <v>Existing Tel Closet 127A shown at 9 SF with existing plywood backboard, ground bar, patch panel, equipment box and two-post TR. Rack elevation/photo reference identify existing room 126/127-A with existing wall/wall-mount TE, Cisco switches, legacy optical Fiber LIU, multiple legacy Ortronics patch panels, Cat5e patch panel and APC floor UPS. Verify room-number mapping and active services.</v>
      </c>
    </row>
    <row r="580" spans="1:12" ht="97.5" customHeight="1">
      <c r="A580" s="106" t="str">
        <f>B82_Assessment!$B$2</f>
        <v>82</v>
      </c>
      <c r="B580" s="106" t="str">
        <f t="shared" ref="B580:B587" si="61">"B82_Assessment"</f>
        <v>B82_Assessment</v>
      </c>
      <c r="C580" s="106" t="str">
        <f>B82_Assessment!$A$10</f>
        <v>82</v>
      </c>
      <c r="D580" s="142" t="str">
        <f>B82_Assessment!$B$10</f>
        <v>102</v>
      </c>
      <c r="E580" s="142" t="str">
        <f>B82_Assessment!$C$10</f>
        <v>First</v>
      </c>
      <c r="F580" s="106" t="str">
        <f>B82_Assessment!$D$10</f>
        <v>Telecom Room / new TE location</v>
      </c>
      <c r="G580" s="106" t="str">
        <f>B82_Assessment!$E$10</f>
        <v>Telecom Enclosure</v>
      </c>
      <c r="H580" s="106">
        <f>B82_Assessment!$F$10</f>
        <v>1</v>
      </c>
      <c r="I580" s="106">
        <f>B82_Assessment!$G$10</f>
        <v>0</v>
      </c>
      <c r="J580" s="106" t="str">
        <f>B82_Assessment!$H$10</f>
        <v>Verify</v>
      </c>
      <c r="K580" s="106" t="str">
        <f>B82_Assessment!$I$10</f>
        <v>82A-401 / 82M-101 / 82E-101 / 82T-101 / 82T-604 / 82T-701</v>
      </c>
      <c r="L580" s="106" t="str">
        <f>B82_Assessment!$J$10</f>
        <v>Primary Building 82 TE. Plans identify Telecom Room 102 at 86 SF with new 12RU telecom enclosure, Rack ID TR01-102-01, APC UPS, two PDUs, network switch, 48-port Cat6A patch panel, Fiber LIU, IU-1-01/CU-1-01 cooling, and 40 total ports with 10% allowance.</v>
      </c>
    </row>
    <row r="581" spans="1:12" ht="97.5" customHeight="1">
      <c r="A581" s="106" t="str">
        <f>B82_Assessment!$B$2</f>
        <v>82</v>
      </c>
      <c r="B581" s="106" t="str">
        <f t="shared" si="61"/>
        <v>B82_Assessment</v>
      </c>
      <c r="C581" s="106" t="str">
        <f>B82_Assessment!$A$11</f>
        <v>82</v>
      </c>
      <c r="D581" s="142" t="str">
        <f>B82_Assessment!$B$11</f>
        <v>B01-A</v>
      </c>
      <c r="E581" s="142" t="str">
        <f>B82_Assessment!$C$11</f>
        <v>First</v>
      </c>
      <c r="F581" s="106" t="str">
        <f>B82_Assessment!$D$11</f>
        <v>Existing telecom room / wall rack and patch panels</v>
      </c>
      <c r="G581" s="106" t="str">
        <f>B82_Assessment!$E$11</f>
        <v>Existing telecom transition point</v>
      </c>
      <c r="H581" s="106">
        <f>B82_Assessment!$F$11</f>
        <v>1</v>
      </c>
      <c r="I581" s="106">
        <f>B82_Assessment!$G$11</f>
        <v>0</v>
      </c>
      <c r="J581" s="106" t="str">
        <f>B82_Assessment!$H$11</f>
        <v>Verify</v>
      </c>
      <c r="K581" s="106" t="str">
        <f>B82_Assessment!$I$11</f>
        <v>82T-101 / 82T-604 / 82R-900</v>
      </c>
      <c r="L581" s="106" t="str">
        <f>B82_Assessment!$J$11</f>
        <v>Existing first-level telecom room B01-A shown with existing wall rack, Cisco switches, cable management, Ortronics 24-port patch panels, APC floor UPS, and photo reference. Protect active services and verify transfer to Room 102 TE.</v>
      </c>
    </row>
    <row r="582" spans="1:12" ht="97.5" customHeight="1">
      <c r="A582" s="106" t="str">
        <f>BCH_Assessment!$B$2</f>
        <v>BCH</v>
      </c>
      <c r="B582" s="106" t="str">
        <f t="shared" si="61"/>
        <v>B82_Assessment</v>
      </c>
      <c r="C582" s="106" t="str">
        <f>BCH_Assessment!$A$10</f>
        <v>BCH</v>
      </c>
      <c r="D582" s="142" t="str">
        <f>BCH_Assessment!$B$10</f>
        <v>107</v>
      </c>
      <c r="E582" s="142" t="str">
        <f>BCH_Assessment!$C$10</f>
        <v>First</v>
      </c>
      <c r="F582" s="106" t="str">
        <f>BCH_Assessment!$D$10</f>
        <v>Existing Crescent House room area / telecom work area</v>
      </c>
      <c r="G582" s="106" t="str">
        <f>BCH_Assessment!$E$10</f>
        <v>Telecom Enclosure / Telecom Room</v>
      </c>
      <c r="H582" s="106">
        <f>BCH_Assessment!$F$10</f>
        <v>1</v>
      </c>
      <c r="I582" s="106">
        <f>BCH_Assessment!$G$10</f>
        <v>0</v>
      </c>
      <c r="J582" s="106" t="str">
        <f>BCH_Assessment!$H$10</f>
        <v>Verify</v>
      </c>
      <c r="K582" s="106" t="str">
        <f>BCH_Assessment!$I$10</f>
        <v>BCHGA-401 / BCHE-101 / BCHT-101 / BCHT-604</v>
      </c>
      <c r="L582" s="106" t="str">
        <f>BCH_Assessment!$J$10</f>
        <v>Primary BCH telecom location. Architectural/electrical/telecom plans reference first-level Room 107. BCHT-101 enlarged plan identifies RM 107 new telecom work. BCHT-604 shows BCH Crescent House Room 107 as new telecom room / no existing elevations.</v>
      </c>
    </row>
    <row r="583" spans="1:12" ht="97.5" customHeight="1">
      <c r="A583" s="106" t="str">
        <f>BCH_Assessment!$B$2</f>
        <v>BCH</v>
      </c>
      <c r="B583" s="106" t="str">
        <f t="shared" si="61"/>
        <v>B82_Assessment</v>
      </c>
      <c r="C583" s="106" t="str">
        <f>BCH_Assessment!$A$11</f>
        <v>BCH</v>
      </c>
      <c r="D583" s="142" t="str">
        <f>BCH_Assessment!$B$11</f>
        <v>00 / 107</v>
      </c>
      <c r="E583" s="142" t="str">
        <f>BCH_Assessment!$C$11</f>
        <v>First</v>
      </c>
      <c r="F583" s="106" t="str">
        <f>BCH_Assessment!$D$11</f>
        <v>Rack/elevation reference location</v>
      </c>
      <c r="G583" s="106" t="str">
        <f>BCH_Assessment!$E$11</f>
        <v>Telecom Enclosure</v>
      </c>
      <c r="H583" s="106">
        <f>BCH_Assessment!$F$11</f>
        <v>1</v>
      </c>
      <c r="I583" s="106">
        <f>BCH_Assessment!$G$11</f>
        <v>0</v>
      </c>
      <c r="J583" s="106" t="str">
        <f>BCH_Assessment!$H$11</f>
        <v>Verify</v>
      </c>
      <c r="K583" s="106" t="str">
        <f>BCH_Assessment!$I$11</f>
        <v>BCHT-604</v>
      </c>
      <c r="L583" s="106" t="str">
        <f>BCH_Assessment!$J$11</f>
        <v>Rack elevation shows 12RU telecom enclosure with APC UPS, two PDUs, network switch, 48-port Cat6A patch panel, Fiber LIU, and first-level mounting. Also includes separate BCH Crescent House Room 107 / new telecom room elevation; field confirm correct configuration.</v>
      </c>
    </row>
    <row r="584" spans="1:12" ht="97.5" customHeight="1">
      <c r="A584" s="106" t="str">
        <f>MCR_Assessment!$B$2</f>
        <v>MCR</v>
      </c>
      <c r="B584" s="106" t="str">
        <f t="shared" si="61"/>
        <v>B82_Assessment</v>
      </c>
      <c r="C584" s="106" t="str">
        <f>MCR_Assessment!$A$10</f>
        <v>MCR</v>
      </c>
      <c r="D584" s="142" t="str">
        <f>MCR_Assessment!$B$10</f>
        <v>107 / MCR</v>
      </c>
      <c r="E584" s="142" t="str">
        <f>MCR_Assessment!$C$10</f>
        <v>Ground</v>
      </c>
      <c r="F584" s="106" t="str">
        <f>MCR_Assessment!$D$10</f>
        <v>New Main Computer Room / MCR building</v>
      </c>
      <c r="G584" s="106" t="str">
        <f>MCR_Assessment!$E$10</f>
        <v>Main Computer Room</v>
      </c>
      <c r="H584" s="106">
        <f>MCR_Assessment!$F$10</f>
        <v>12</v>
      </c>
      <c r="I584" s="106">
        <f>MCR_Assessment!$G$10</f>
        <v>0</v>
      </c>
      <c r="J584" s="106" t="str">
        <f>MCR_Assessment!$H$10</f>
        <v>Verify</v>
      </c>
      <c r="K584" s="106" t="str">
        <f>MCR_Assessment!$I$10</f>
        <v>MCRA-101 / MCRT-100 / MCRT-101 / MCRT-401 / MCRT-607-609 / MCRT-701</v>
      </c>
      <c r="L584" s="106" t="str">
        <f>MCR_Assessment!$J$10</f>
        <v>Primary new MCR space. Telecom plans show MDA-A1/A2/A3, MDA-B1/B2/B3, HDA-A, HDA-B, UPS-A and UPS-B. Rack elevations identify MDA A/B racks, HDA A/B server cabinets, existing server cabinet transfer references, 10 WAO total and 359 ft cable tray.</v>
      </c>
    </row>
    <row r="585" spans="1:12" ht="97.5" customHeight="1">
      <c r="A585" s="106" t="str">
        <f>MCR_Assessment!$B$2</f>
        <v>MCR</v>
      </c>
      <c r="B585" s="106" t="str">
        <f t="shared" si="61"/>
        <v>B82_Assessment</v>
      </c>
      <c r="C585" s="106" t="str">
        <f>MCR_Assessment!$A$11</f>
        <v>MCR</v>
      </c>
      <c r="D585" s="142" t="str">
        <f>MCR_Assessment!$B$11</f>
        <v>031 / Fiber Entrance Room 1</v>
      </c>
      <c r="E585" s="142" t="str">
        <f>MCR_Assessment!$C$11</f>
        <v>Ground</v>
      </c>
      <c r="F585" s="106" t="str">
        <f>MCR_Assessment!$D$11</f>
        <v>Fiber entrance / telecom pathway space</v>
      </c>
      <c r="G585" s="106" t="str">
        <f>MCR_Assessment!$E$11</f>
        <v>Fiber Entrance / support room</v>
      </c>
      <c r="H585" s="106">
        <f>MCR_Assessment!$F$11</f>
        <v>1</v>
      </c>
      <c r="I585" s="106">
        <f>MCR_Assessment!$G$11</f>
        <v>0</v>
      </c>
      <c r="J585" s="106" t="str">
        <f>MCR_Assessment!$H$11</f>
        <v>Verify</v>
      </c>
      <c r="K585" s="106" t="str">
        <f>MCR_Assessment!$I$11</f>
        <v>MCRT-401 / MCRT-701</v>
      </c>
      <c r="L585" s="106" t="str">
        <f>MCR_Assessment!$J$11</f>
        <v>MCRT-701 schedule is titled Data Device and Circuit Schedule - Fiber Entrance Room 1 and identifies Rack ID TR01-031-1, four data outlets 31-A/B/C/D and security camera/data devices 07-CAM-03/04/07/08/11.</v>
      </c>
    </row>
    <row r="586" spans="1:12" ht="97.5" customHeight="1">
      <c r="A586" s="106" t="str">
        <f>MCR_Assessment!$B$2</f>
        <v>MCR</v>
      </c>
      <c r="B586" s="106" t="str">
        <f t="shared" si="61"/>
        <v>B82_Assessment</v>
      </c>
      <c r="C586" s="106" t="str">
        <f>MCR_Assessment!$A$12</f>
        <v>MCR</v>
      </c>
      <c r="D586" s="142" t="str">
        <f>MCR_Assessment!$B$12</f>
        <v>MDA-A1/A2/A3</v>
      </c>
      <c r="E586" s="142" t="str">
        <f>MCR_Assessment!$C$12</f>
        <v>Ground</v>
      </c>
      <c r="F586" s="106" t="str">
        <f>MCR_Assessment!$D$12</f>
        <v>New MDA row A</v>
      </c>
      <c r="G586" s="106" t="str">
        <f>MCR_Assessment!$E$12</f>
        <v>Main Distribution Area A</v>
      </c>
      <c r="H586" s="106">
        <f>MCR_Assessment!$F$12</f>
        <v>3</v>
      </c>
      <c r="I586" s="106">
        <f>MCR_Assessment!$G$12</f>
        <v>0</v>
      </c>
      <c r="J586" s="106" t="str">
        <f>MCR_Assessment!$H$12</f>
        <v>Verify</v>
      </c>
      <c r="K586" s="106" t="str">
        <f>MCR_Assessment!$I$12</f>
        <v>MCRT-607</v>
      </c>
      <c r="L586" s="106" t="str">
        <f>MCR_Assessment!$J$12</f>
        <v>New MDA A racks: MDA-A-1, MDA-A-2, MDA-A-3. MDA A-2 includes 1RU LIU for hybrid FOC to HDA and 48x Cat6A to HDA. MDA A-1/A-3 reserved for LAN elements/leaf/access or spine/aggregation.</v>
      </c>
    </row>
    <row r="587" spans="1:12" ht="97.5" customHeight="1">
      <c r="A587" s="106" t="str">
        <f>MCR_Assessment!$B$2</f>
        <v>MCR</v>
      </c>
      <c r="B587" s="106" t="str">
        <f t="shared" si="61"/>
        <v>B82_Assessment</v>
      </c>
      <c r="C587" s="106" t="str">
        <f>MCR_Assessment!$A$13</f>
        <v>MCR</v>
      </c>
      <c r="D587" s="142" t="str">
        <f>MCR_Assessment!$B$13</f>
        <v>MDA-B1/B2/B3</v>
      </c>
      <c r="E587" s="142" t="str">
        <f>MCR_Assessment!$C$13</f>
        <v>Ground</v>
      </c>
      <c r="F587" s="106" t="str">
        <f>MCR_Assessment!$D$13</f>
        <v>New MDA row B</v>
      </c>
      <c r="G587" s="106" t="str">
        <f>MCR_Assessment!$E$13</f>
        <v>Main Distribution Area B</v>
      </c>
      <c r="H587" s="106">
        <f>MCR_Assessment!$F$13</f>
        <v>3</v>
      </c>
      <c r="I587" s="106">
        <f>MCR_Assessment!$G$13</f>
        <v>0</v>
      </c>
      <c r="J587" s="106" t="str">
        <f>MCR_Assessment!$H$13</f>
        <v>Verify</v>
      </c>
      <c r="K587" s="106" t="str">
        <f>MCR_Assessment!$I$13</f>
        <v>MCRT-607</v>
      </c>
      <c r="L587" s="106" t="str">
        <f>MCR_Assessment!$J$13</f>
        <v>New MDA B racks: MDA-B-1, MDA-B-2, MDA-B-3. MDA B-2 includes 1RU LIU for hybrid FOC to HDA and 48x Cat6A to HDA. Supports redundant B-side backbone/distribution.</v>
      </c>
    </row>
    <row r="588" spans="1:12" ht="97.5" customHeight="1">
      <c r="A588" s="106" t="str">
        <f>MCR_Assessment!$B$2</f>
        <v>MCR</v>
      </c>
      <c r="B588" s="106" t="str">
        <f>"MCR_Assessment"</f>
        <v>MCR_Assessment</v>
      </c>
      <c r="C588" s="106" t="str">
        <f>MCR_Assessment!$A$14</f>
        <v>MCR</v>
      </c>
      <c r="D588" s="106" t="str">
        <f>MCR_Assessment!$B$14</f>
        <v>HDA-A</v>
      </c>
      <c r="E588" s="106" t="str">
        <f>MCR_Assessment!$C$14</f>
        <v>Ground</v>
      </c>
      <c r="F588" s="106" t="str">
        <f>MCR_Assessment!$D$14</f>
        <v>New HDA A row</v>
      </c>
      <c r="G588" s="106" t="str">
        <f>MCR_Assessment!$E$14</f>
        <v>Horizontal Distribution Area A</v>
      </c>
      <c r="H588" s="106">
        <f>MCR_Assessment!$F$14</f>
        <v>1</v>
      </c>
      <c r="I588" s="106">
        <f>MCR_Assessment!$G$14</f>
        <v>0</v>
      </c>
      <c r="J588" s="106" t="str">
        <f>MCR_Assessment!$H$14</f>
        <v>Verify</v>
      </c>
      <c r="K588" s="106" t="str">
        <f>MCR_Assessment!$I$14</f>
        <v>MCRT-608</v>
      </c>
      <c r="L588" s="106" t="str">
        <f>MCR_Assessment!$J$14</f>
        <v>HDA A-1 new server cabinet front/rear elevation, 48-port Cat6A patch panels, HD fiber LIUs, HD Cat6A patch panel to MDA-A2, and backbone side A/B LIU. Also includes existing B61 server cabinet transfer references.</v>
      </c>
    </row>
    <row r="589" spans="1:12" ht="97.5" customHeight="1">
      <c r="A589" s="106" t="str">
        <f>MCR_Assessment!$B$2</f>
        <v>MCR</v>
      </c>
      <c r="B589" s="106" t="str">
        <f>"MCR_Assessment"</f>
        <v>MCR_Assessment</v>
      </c>
      <c r="C589" s="106" t="str">
        <f>MCR_Assessment!$A$15</f>
        <v>MCR</v>
      </c>
      <c r="D589" s="106" t="str">
        <f>MCR_Assessment!$B$15</f>
        <v>HDA-B</v>
      </c>
      <c r="E589" s="106" t="str">
        <f>MCR_Assessment!$C$15</f>
        <v>Ground</v>
      </c>
      <c r="F589" s="106" t="str">
        <f>MCR_Assessment!$D$15</f>
        <v>New HDA B row</v>
      </c>
      <c r="G589" s="106" t="str">
        <f>MCR_Assessment!$E$15</f>
        <v>Horizontal Distribution Area B</v>
      </c>
      <c r="H589" s="106">
        <f>MCR_Assessment!$F$15</f>
        <v>1</v>
      </c>
      <c r="I589" s="106">
        <f>MCR_Assessment!$G$15</f>
        <v>0</v>
      </c>
      <c r="J589" s="106" t="str">
        <f>MCR_Assessment!$H$15</f>
        <v>Verify</v>
      </c>
      <c r="K589" s="106" t="str">
        <f>MCR_Assessment!$I$15</f>
        <v>MCRT-609</v>
      </c>
      <c r="L589" s="106" t="str">
        <f>MCR_Assessment!$J$15</f>
        <v>HDA B-1 new server cabinet front/rear elevation, 48-port Cat6A patch panels, HD fiber LIUs, HD Cat6A patch panel to MDA-B2, and duplicate existing B61 server cabinet transfer references.</v>
      </c>
    </row>
    <row r="590" spans="1:12" ht="97.5" customHeight="1">
      <c r="A590" s="106" t="str">
        <f>MCR_Assessment!$B$2</f>
        <v>MCR</v>
      </c>
      <c r="B590" s="106" t="str">
        <f>"MCR_Assessment"</f>
        <v>MCR_Assessment</v>
      </c>
      <c r="C590" s="106" t="str">
        <f>MCR_Assessment!$A$16</f>
        <v>MCR</v>
      </c>
      <c r="D590" s="106" t="str">
        <f>MCR_Assessment!$B$16</f>
        <v>Existing 107 / 137 Server MCR</v>
      </c>
      <c r="E590" s="106" t="str">
        <f>MCR_Assessment!$C$16</f>
        <v>Existing / transition</v>
      </c>
      <c r="F590" s="106" t="str">
        <f>MCR_Assessment!$D$16</f>
        <v>Existing MCR/server/core equipment</v>
      </c>
      <c r="G590" s="106" t="str">
        <f>MCR_Assessment!$E$16</f>
        <v>Existing equipment transition point</v>
      </c>
      <c r="H590" s="106">
        <f>MCR_Assessment!$F$16</f>
        <v>20</v>
      </c>
      <c r="I590" s="106">
        <f>MCR_Assessment!$G$16</f>
        <v>0</v>
      </c>
      <c r="J590" s="106" t="str">
        <f>MCR_Assessment!$H$16</f>
        <v>Verify</v>
      </c>
      <c r="K590" s="106" t="str">
        <f>MCR_Assessment!$I$16</f>
        <v>MCRT-604 / MCRT-605 / MCRT-606 / MCRT-608 / MCRT-609</v>
      </c>
      <c r="L590" s="106" t="str">
        <f>MCR_Assessment!$J$16</f>
        <v>Existing MCR elevations include Rows 1-3 and existing server cabinet B61 equipment, Cisco core, WAN aggregation, NetScout, Canoga Perkins, Cisco switches, legacy Ortronics patch panels, LIUs, APC/Chatsworth/HP PDUs and UPS equipment. Protect and phase transfer.</v>
      </c>
    </row>
    <row r="591" spans="1:12" ht="97.5" customHeight="1">
      <c r="A591" s="19"/>
      <c r="D591" s="144"/>
      <c r="E591" s="144"/>
      <c r="F591" s="19"/>
      <c r="G591" s="19"/>
      <c r="H591" s="19"/>
      <c r="I591" s="19"/>
      <c r="J591" s="19"/>
      <c r="K591" s="19"/>
      <c r="L591" s="19"/>
    </row>
    <row r="592" spans="1:12" ht="97.5" customHeight="1">
      <c r="A592" s="146"/>
      <c r="B592" s="146"/>
      <c r="C592" s="146"/>
      <c r="D592" s="147"/>
      <c r="E592" s="147"/>
      <c r="F592" s="146"/>
      <c r="G592" s="146"/>
      <c r="H592" s="146"/>
      <c r="I592" s="146"/>
      <c r="J592" s="146"/>
      <c r="K592" s="146"/>
      <c r="L592" s="146"/>
    </row>
    <row r="593" spans="1:12" ht="97.5" customHeight="1">
      <c r="A593" s="106"/>
      <c r="B593" s="106" t="str">
        <f t="shared" ref="B593:B608" si="62">"B01_Assessment"</f>
        <v>B01_Assessment</v>
      </c>
      <c r="C593" s="106"/>
      <c r="D593" s="142"/>
      <c r="E593" s="142"/>
      <c r="F593" s="106"/>
      <c r="G593" s="106"/>
      <c r="H593" s="106"/>
      <c r="I593" s="106"/>
      <c r="J593" s="106"/>
      <c r="K593" s="106"/>
      <c r="L593" s="106"/>
    </row>
    <row r="594" spans="1:12" ht="97.5" customHeight="1">
      <c r="A594" s="19" t="s">
        <v>890</v>
      </c>
      <c r="B594" s="19" t="str">
        <f t="shared" si="62"/>
        <v>B01_Assessment</v>
      </c>
      <c r="C594" s="19"/>
      <c r="D594" s="144"/>
      <c r="E594" s="144"/>
      <c r="F594" s="19"/>
      <c r="G594" s="19"/>
      <c r="H594" s="19"/>
      <c r="I594" s="19"/>
      <c r="J594" s="19"/>
      <c r="K594" s="19"/>
      <c r="L594" s="19"/>
    </row>
    <row r="595" spans="1:12" ht="97.5" customHeight="1">
      <c r="A595" s="146" t="s">
        <v>142</v>
      </c>
      <c r="B595" s="146" t="str">
        <f t="shared" si="62"/>
        <v>B01_Assessment</v>
      </c>
      <c r="C595" s="146" t="s">
        <v>291</v>
      </c>
      <c r="D595" s="147" t="s">
        <v>275</v>
      </c>
      <c r="E595" s="147" t="s">
        <v>493</v>
      </c>
      <c r="F595" s="146" t="s">
        <v>214</v>
      </c>
      <c r="G595" s="146" t="s">
        <v>263</v>
      </c>
      <c r="H595" s="146" t="s">
        <v>891</v>
      </c>
      <c r="I595" s="146" t="s">
        <v>892</v>
      </c>
      <c r="J595" s="146" t="s">
        <v>893</v>
      </c>
      <c r="K595" s="146" t="s">
        <v>77</v>
      </c>
      <c r="L595" s="146" t="s">
        <v>11</v>
      </c>
    </row>
    <row r="596" spans="1:12" ht="97.5" customHeight="1">
      <c r="A596" s="106" t="str">
        <f>B01_Assessment!$B$2</f>
        <v>01</v>
      </c>
      <c r="B596" s="106" t="str">
        <f t="shared" si="62"/>
        <v>B01_Assessment</v>
      </c>
      <c r="C596" s="106" t="str">
        <f>B01_Assessment!$A$81</f>
        <v>B01-P001</v>
      </c>
      <c r="D596" s="142" t="str">
        <f>B01_Assessment!$B$81</f>
        <v>107</v>
      </c>
      <c r="E596" s="142" t="str">
        <f>B01_Assessment!$C$81</f>
        <v>Existing / New Condition</v>
      </c>
      <c r="F596" s="106" t="str">
        <f>B01_Assessment!$D$81</f>
        <v>Room 107 walls, ceiling/deck, floor, door, rack/future rack, power, HVAC, fiber path A/B, cable tray and penetrations</v>
      </c>
      <c r="G596" s="106">
        <f>B01_Assessment!$E$81</f>
        <v>0</v>
      </c>
      <c r="H596" s="106" t="str">
        <f>B01_Assessment!$F$81</f>
        <v>Paul</v>
      </c>
      <c r="I596" s="106">
        <f>B01_Assessment!$G$81</f>
        <v>0</v>
      </c>
      <c r="J596" s="106" t="str">
        <f>B01_Assessment!$H$81</f>
        <v>B01-R1/B01-R3</v>
      </c>
      <c r="K596" s="106" t="str">
        <f>B01_Assessment!$I$81</f>
        <v>Closed</v>
      </c>
      <c r="L596" s="106">
        <f>B01_Assessment!$J$81</f>
        <v>0</v>
      </c>
    </row>
    <row r="597" spans="1:12" ht="97.5" customHeight="1">
      <c r="A597" s="106" t="str">
        <f>B01_Assessment!$B$2</f>
        <v>01</v>
      </c>
      <c r="B597" s="106" t="str">
        <f t="shared" si="62"/>
        <v>B01_Assessment</v>
      </c>
      <c r="C597" s="106" t="str">
        <f>B01_Assessment!$A$82</f>
        <v>B01-P002</v>
      </c>
      <c r="D597" s="142" t="str">
        <f>B01_Assessment!$B$82</f>
        <v>B02</v>
      </c>
      <c r="E597" s="142" t="str">
        <f>B01_Assessment!$C$82</f>
        <v>Existing Equipment</v>
      </c>
      <c r="F597" s="106" t="str">
        <f>B01_Assessment!$D$82</f>
        <v>Basement existing telecom room B02 racks, wall TE, Cisco/Nokia/Baseband/IRU/Corning/Ortronics equipment, UPS and cable entries</v>
      </c>
      <c r="G597" s="106">
        <f>B01_Assessment!$E$82</f>
        <v>0</v>
      </c>
      <c r="H597" s="106" t="str">
        <f>B01_Assessment!$F$82</f>
        <v>Paul</v>
      </c>
      <c r="I597" s="106">
        <f>B01_Assessment!$G$82</f>
        <v>0</v>
      </c>
      <c r="J597" s="106" t="str">
        <f>B01_Assessment!$H$82</f>
        <v>B01-R1/B01-R2</v>
      </c>
      <c r="K597" s="106" t="str">
        <f>B01_Assessment!$I$82</f>
        <v>Closed</v>
      </c>
      <c r="L597" s="106">
        <f>B01_Assessment!$J$82</f>
        <v>0</v>
      </c>
    </row>
    <row r="598" spans="1:12" ht="97.5" customHeight="1">
      <c r="A598" s="106" t="str">
        <f>B01_Assessment!$B$2</f>
        <v>01</v>
      </c>
      <c r="B598" s="106" t="str">
        <f t="shared" si="62"/>
        <v>B01_Assessment</v>
      </c>
      <c r="C598" s="106" t="str">
        <f>B01_Assessment!$A$83</f>
        <v>B01-P003</v>
      </c>
      <c r="D598" s="142" t="str">
        <f>B01_Assessment!$B$83</f>
        <v>138</v>
      </c>
      <c r="E598" s="142" t="str">
        <f>B01_Assessment!$C$83</f>
        <v>Existing Equipment</v>
      </c>
      <c r="F598" s="106" t="str">
        <f>B01_Assessment!$D$83</f>
        <v>First-level existing telecom room 138 racks, patch panels, Cisco, Corning, APC UPS and active service labels</v>
      </c>
      <c r="G598" s="106">
        <f>B01_Assessment!$E$83</f>
        <v>0</v>
      </c>
      <c r="H598" s="106" t="str">
        <f>B01_Assessment!$F$83</f>
        <v>Paul</v>
      </c>
      <c r="I598" s="106">
        <f>B01_Assessment!$G$83</f>
        <v>0</v>
      </c>
      <c r="J598" s="106" t="str">
        <f>B01_Assessment!$H$83</f>
        <v>B01-R2/B01-R6</v>
      </c>
      <c r="K598" s="106" t="str">
        <f>B01_Assessment!$I$83</f>
        <v>Closed</v>
      </c>
      <c r="L598" s="106">
        <f>B01_Assessment!$J$83</f>
        <v>0</v>
      </c>
    </row>
    <row r="599" spans="1:12" ht="97.5" customHeight="1">
      <c r="A599" s="106" t="str">
        <f>B01_Assessment!$B$2</f>
        <v>01</v>
      </c>
      <c r="B599" s="106" t="str">
        <f t="shared" si="62"/>
        <v>B01_Assessment</v>
      </c>
      <c r="C599" s="106" t="str">
        <f>B01_Assessment!$A$84</f>
        <v>B01-P004</v>
      </c>
      <c r="D599" s="142" t="str">
        <f>B01_Assessment!$B$84</f>
        <v>282</v>
      </c>
      <c r="E599" s="142" t="str">
        <f>B01_Assessment!$C$84</f>
        <v>Existing Equipment</v>
      </c>
      <c r="F599" s="106" t="str">
        <f>B01_Assessment!$D$84</f>
        <v>Second-level existing telecom room 282 racks, Cisco switches, Ortronics patch panels, cable managers and active service labels</v>
      </c>
      <c r="G599" s="106">
        <f>B01_Assessment!$E$84</f>
        <v>0</v>
      </c>
      <c r="H599" s="106" t="str">
        <f>B01_Assessment!$F$84</f>
        <v>Paul</v>
      </c>
      <c r="I599" s="106">
        <f>B01_Assessment!$G$84</f>
        <v>0</v>
      </c>
      <c r="J599" s="106" t="str">
        <f>B01_Assessment!$H$84</f>
        <v>B01-R2/B01-R6</v>
      </c>
      <c r="K599" s="106" t="str">
        <f>B01_Assessment!$I$84</f>
        <v>Closed</v>
      </c>
      <c r="L599" s="106">
        <f>B01_Assessment!$J$84</f>
        <v>0</v>
      </c>
    </row>
    <row r="600" spans="1:12" ht="97.5" customHeight="1">
      <c r="A600" s="106" t="str">
        <f>B01_Assessment!$B$2</f>
        <v>01</v>
      </c>
      <c r="B600" s="106" t="str">
        <f t="shared" si="62"/>
        <v>B01_Assessment</v>
      </c>
      <c r="C600" s="106" t="str">
        <f>B01_Assessment!$A$85</f>
        <v>B01-P005</v>
      </c>
      <c r="D600" s="142" t="str">
        <f>B01_Assessment!$B$85</f>
        <v>107</v>
      </c>
      <c r="E600" s="142" t="str">
        <f>B01_Assessment!$C$85</f>
        <v>HVAC</v>
      </c>
      <c r="F600" s="106" t="str">
        <f>B01_Assessment!$D$85</f>
        <v>IU-1-01/CU-1-01, condensate pump/line, thermostat, BACnet adapter, disconnects, FMS alarm points and power source</v>
      </c>
      <c r="G600" s="106">
        <f>B01_Assessment!$E$85</f>
        <v>0</v>
      </c>
      <c r="H600" s="106" t="str">
        <f>B01_Assessment!$F$85</f>
        <v>Paul</v>
      </c>
      <c r="I600" s="106">
        <f>B01_Assessment!$G$85</f>
        <v>0</v>
      </c>
      <c r="J600" s="106" t="str">
        <f>B01_Assessment!$H$85</f>
        <v>B01-R3</v>
      </c>
      <c r="K600" s="106" t="str">
        <f>B01_Assessment!$I$85</f>
        <v>Closed</v>
      </c>
      <c r="L600" s="106">
        <f>B01_Assessment!$J$85</f>
        <v>0</v>
      </c>
    </row>
    <row r="601" spans="1:12" ht="97.5" customHeight="1">
      <c r="A601" s="106" t="str">
        <f>B01_Assessment!$B$2</f>
        <v>01</v>
      </c>
      <c r="B601" s="106" t="str">
        <f t="shared" si="62"/>
        <v>B01_Assessment</v>
      </c>
      <c r="C601" s="106" t="str">
        <f>B01_Assessment!$A$86</f>
        <v>B01-P006</v>
      </c>
      <c r="D601" s="142" t="str">
        <f>B01_Assessment!$B$86</f>
        <v>107</v>
      </c>
      <c r="E601" s="142" t="str">
        <f>B01_Assessment!$C$86</f>
        <v>Electrical</v>
      </c>
      <c r="F601" s="106" t="str">
        <f>B01_Assessment!$D$86</f>
        <v>B01-TR107A/B panels, rack receptacles, breakers, SPD, PACS power supply, access controller, lighting, CU-1-01 and labels</v>
      </c>
      <c r="G601" s="106">
        <f>B01_Assessment!$E$86</f>
        <v>0</v>
      </c>
      <c r="H601" s="106" t="str">
        <f>B01_Assessment!$F$86</f>
        <v>Paul</v>
      </c>
      <c r="I601" s="106">
        <f>B01_Assessment!$G$86</f>
        <v>0</v>
      </c>
      <c r="J601" s="106" t="str">
        <f>B01_Assessment!$H$86</f>
        <v>B01-R4/B01-R7</v>
      </c>
      <c r="K601" s="106" t="str">
        <f>B01_Assessment!$I$86</f>
        <v>Closed</v>
      </c>
      <c r="L601" s="106">
        <f>B01_Assessment!$J$86</f>
        <v>0</v>
      </c>
    </row>
    <row r="602" spans="1:12" ht="97.5" customHeight="1">
      <c r="A602" s="106" t="str">
        <f>B01_Assessment!$B$2</f>
        <v>01</v>
      </c>
      <c r="B602" s="106" t="str">
        <f t="shared" si="62"/>
        <v>B01_Assessment</v>
      </c>
      <c r="C602" s="106" t="str">
        <f>B01_Assessment!$A$87</f>
        <v>B01-P007</v>
      </c>
      <c r="D602" s="142" t="str">
        <f>B01_Assessment!$B$87</f>
        <v>All</v>
      </c>
      <c r="E602" s="142" t="str">
        <f>B01_Assessment!$C$87</f>
        <v>Cable Tray / Firestop</v>
      </c>
      <c r="F602" s="106" t="str">
        <f>B01_Assessment!$D$87</f>
        <v>Basement/first/second cable tray route, supports, seismic bracing, 40% fill, penetrations and before/after firestopping</v>
      </c>
      <c r="G602" s="106">
        <f>B01_Assessment!$E$87</f>
        <v>0</v>
      </c>
      <c r="H602" s="106" t="str">
        <f>B01_Assessment!$F$87</f>
        <v>Paul</v>
      </c>
      <c r="I602" s="106">
        <f>B01_Assessment!$G$87</f>
        <v>0</v>
      </c>
      <c r="J602" s="106" t="str">
        <f>B01_Assessment!$H$87</f>
        <v>B01-R5</v>
      </c>
      <c r="K602" s="106" t="str">
        <f>B01_Assessment!$I$87</f>
        <v>Closed</v>
      </c>
      <c r="L602" s="106">
        <f>B01_Assessment!$J$87</f>
        <v>0</v>
      </c>
    </row>
    <row r="603" spans="1:12" ht="97.5" customHeight="1">
      <c r="A603" s="106" t="str">
        <f>B01_Assessment!$B$2</f>
        <v>01</v>
      </c>
      <c r="B603" s="106" t="str">
        <f t="shared" si="62"/>
        <v>B01_Assessment</v>
      </c>
      <c r="C603" s="106" t="str">
        <f>B01_Assessment!$A$88</f>
        <v>B01-P008</v>
      </c>
      <c r="D603" s="142" t="str">
        <f>B01_Assessment!$B$88</f>
        <v>107 / Existing Rooms</v>
      </c>
      <c r="E603" s="142" t="str">
        <f>B01_Assessment!$C$88</f>
        <v>Telecom / Security</v>
      </c>
      <c r="F603" s="106" t="str">
        <f>B01_Assessment!$D$88</f>
        <v>New rack/future rack, Fiber LIU, Cat6A, patch panels, labels/test records, 107-CAM-1, PACS and existing rack transfer work</v>
      </c>
      <c r="G603" s="106">
        <f>B01_Assessment!$E$88</f>
        <v>0</v>
      </c>
      <c r="H603" s="106" t="str">
        <f>B01_Assessment!$F$88</f>
        <v>Paul</v>
      </c>
      <c r="I603" s="106">
        <f>B01_Assessment!$G$88</f>
        <v>0</v>
      </c>
      <c r="J603" s="106" t="str">
        <f>B01_Assessment!$H$88</f>
        <v>B01-R6/B01-R8</v>
      </c>
      <c r="K603" s="106" t="str">
        <f>B01_Assessment!$I$88</f>
        <v>Closed</v>
      </c>
      <c r="L603" s="106">
        <f>B01_Assessment!$J$88</f>
        <v>0</v>
      </c>
    </row>
    <row r="604" spans="1:12" ht="97.5" customHeight="1">
      <c r="A604" s="106" t="str">
        <f>B02_Assessment!$B$2</f>
        <v>02</v>
      </c>
      <c r="B604" s="106" t="str">
        <f t="shared" si="62"/>
        <v>B01_Assessment</v>
      </c>
      <c r="C604" s="106" t="str">
        <f>B02_Assessment!$A$82</f>
        <v>B02-P001</v>
      </c>
      <c r="D604" s="142" t="str">
        <f>B02_Assessment!$B$82</f>
        <v>141</v>
      </c>
      <c r="E604" s="142" t="str">
        <f>B02_Assessment!$C$82</f>
        <v>Existing / New Condition</v>
      </c>
      <c r="F604" s="106" t="str">
        <f>B02_Assessment!$D$82</f>
        <v>Room 141 walls, ceiling/deck, floor, door, racks/future rack, panels, HVAC, cable tray, 174-CAM-01, penetrations and demo/relocation conditions</v>
      </c>
      <c r="G604" s="106">
        <f>B02_Assessment!$E$82</f>
        <v>0</v>
      </c>
      <c r="H604" s="106" t="str">
        <f>B02_Assessment!$F$82</f>
        <v>Paul</v>
      </c>
      <c r="I604" s="106">
        <f>B02_Assessment!$G$82</f>
        <v>0</v>
      </c>
      <c r="J604" s="106" t="str">
        <f>B02_Assessment!$H$82</f>
        <v>B02-R1/B02-R3</v>
      </c>
      <c r="K604" s="106" t="str">
        <f>B02_Assessment!$I$82</f>
        <v>Closed</v>
      </c>
      <c r="L604" s="106">
        <f>B02_Assessment!$J$82</f>
        <v>0</v>
      </c>
    </row>
    <row r="605" spans="1:12" ht="97.5" customHeight="1">
      <c r="A605" s="106" t="str">
        <f>B02_Assessment!$B$2</f>
        <v>02</v>
      </c>
      <c r="B605" s="106" t="str">
        <f t="shared" si="62"/>
        <v>B01_Assessment</v>
      </c>
      <c r="C605" s="106" t="str">
        <f>B02_Assessment!$A$83</f>
        <v>B02-P002</v>
      </c>
      <c r="D605" s="142" t="str">
        <f>B02_Assessment!$B$83</f>
        <v>236</v>
      </c>
      <c r="E605" s="142" t="str">
        <f>B02_Assessment!$C$83</f>
        <v>Existing / New Condition</v>
      </c>
      <c r="F605" s="106" t="str">
        <f>B02_Assessment!$D$83</f>
        <v>Room 236 walls, ceiling/deck, floor, door, racks/future rack, panels, HVAC, cable tray, 236-CAM-01, penetrations and existing transfer conditions</v>
      </c>
      <c r="G605" s="106">
        <f>B02_Assessment!$E$83</f>
        <v>0</v>
      </c>
      <c r="H605" s="106" t="str">
        <f>B02_Assessment!$F$83</f>
        <v>Paul</v>
      </c>
      <c r="I605" s="106">
        <f>B02_Assessment!$G$83</f>
        <v>0</v>
      </c>
      <c r="J605" s="106" t="str">
        <f>B02_Assessment!$H$83</f>
        <v>B02-R1/B02-R6</v>
      </c>
      <c r="K605" s="106" t="str">
        <f>B02_Assessment!$I$83</f>
        <v>Closed</v>
      </c>
      <c r="L605" s="106">
        <f>B02_Assessment!$J$83</f>
        <v>0</v>
      </c>
    </row>
    <row r="606" spans="1:12" ht="97.5" customHeight="1">
      <c r="A606" s="106" t="str">
        <f>B02_Assessment!$B$2</f>
        <v>02</v>
      </c>
      <c r="B606" s="106" t="str">
        <f t="shared" si="62"/>
        <v>B01_Assessment</v>
      </c>
      <c r="C606" s="106" t="str">
        <f>B02_Assessment!$A$84</f>
        <v>B02-P003</v>
      </c>
      <c r="D606" s="142" t="str">
        <f>B02_Assessment!$B$84</f>
        <v>342</v>
      </c>
      <c r="E606" s="142" t="str">
        <f>B02_Assessment!$C$84</f>
        <v>Existing / New Condition</v>
      </c>
      <c r="F606" s="106" t="str">
        <f>B02_Assessment!$D$84</f>
        <v>Room 342 walls, ceiling/deck, floor, door, racks/future rack, panels, HVAC, cable tray, 342-CAM-01, penetrations and 342A-CK-A</v>
      </c>
      <c r="G606" s="106">
        <f>B02_Assessment!$E$84</f>
        <v>0</v>
      </c>
      <c r="H606" s="106" t="str">
        <f>B02_Assessment!$F$84</f>
        <v>Paul</v>
      </c>
      <c r="I606" s="106">
        <f>B02_Assessment!$G$84</f>
        <v>0</v>
      </c>
      <c r="J606" s="106" t="str">
        <f>B02_Assessment!$H$84</f>
        <v>B02-R1/B02-R7</v>
      </c>
      <c r="K606" s="106" t="str">
        <f>B02_Assessment!$I$84</f>
        <v>Closed</v>
      </c>
      <c r="L606" s="106">
        <f>B02_Assessment!$J$84</f>
        <v>0</v>
      </c>
    </row>
    <row r="607" spans="1:12" ht="97.5" customHeight="1">
      <c r="A607" s="106" t="str">
        <f>B02_Assessment!$B$2</f>
        <v>02</v>
      </c>
      <c r="B607" s="106" t="str">
        <f t="shared" si="62"/>
        <v>B01_Assessment</v>
      </c>
      <c r="C607" s="106" t="str">
        <f>B02_Assessment!$A$85</f>
        <v>B02-P004</v>
      </c>
      <c r="D607" s="142" t="str">
        <f>B02_Assessment!$B$85</f>
        <v>B-06</v>
      </c>
      <c r="E607" s="142" t="str">
        <f>B02_Assessment!$C$85</f>
        <v>Existing Equipment</v>
      </c>
      <c r="F607" s="106" t="str">
        <f>B02_Assessment!$D$85</f>
        <v>Basement existing telecom room B-06 legacy rack/patch panels, active service labels and cable entries</v>
      </c>
      <c r="G607" s="106">
        <f>B02_Assessment!$E$85</f>
        <v>0</v>
      </c>
      <c r="H607" s="106" t="str">
        <f>B02_Assessment!$F$85</f>
        <v>Paul</v>
      </c>
      <c r="I607" s="106">
        <f>B02_Assessment!$G$85</f>
        <v>0</v>
      </c>
      <c r="J607" s="106" t="str">
        <f>B02_Assessment!$H$85</f>
        <v>B02-R2</v>
      </c>
      <c r="K607" s="106" t="str">
        <f>B02_Assessment!$I$85</f>
        <v>Closed</v>
      </c>
      <c r="L607" s="106">
        <f>B02_Assessment!$J$85</f>
        <v>0</v>
      </c>
    </row>
    <row r="608" spans="1:12" ht="97.5" customHeight="1">
      <c r="A608" s="106" t="str">
        <f>B02_Assessment!$B$2</f>
        <v>02</v>
      </c>
      <c r="B608" s="106" t="str">
        <f t="shared" si="62"/>
        <v>B01_Assessment</v>
      </c>
      <c r="C608" s="106" t="str">
        <f>B02_Assessment!$A$86</f>
        <v>B02-P005</v>
      </c>
      <c r="D608" s="142" t="str">
        <f>B02_Assessment!$B$86</f>
        <v>Existing 141 / 236</v>
      </c>
      <c r="E608" s="142" t="str">
        <f>B02_Assessment!$C$86</f>
        <v>Existing Equipment</v>
      </c>
      <c r="F608" s="106" t="str">
        <f>B02_Assessment!$D$86</f>
        <v>Existing first/second-level telecom rooms 141 and 236, existing patch panels, relocated/removed equipment and fire alarm cabinet conditions</v>
      </c>
      <c r="G608" s="106">
        <f>B02_Assessment!$E$86</f>
        <v>0</v>
      </c>
      <c r="H608" s="106" t="str">
        <f>B02_Assessment!$F$86</f>
        <v>Paul</v>
      </c>
      <c r="I608" s="106">
        <f>B02_Assessment!$G$86</f>
        <v>0</v>
      </c>
      <c r="J608" s="106" t="str">
        <f>B02_Assessment!$H$86</f>
        <v>B02-R2/B02-R6</v>
      </c>
      <c r="K608" s="106" t="str">
        <f>B02_Assessment!$I$86</f>
        <v>Closed</v>
      </c>
      <c r="L608" s="106">
        <f>B02_Assessment!$J$86</f>
        <v>0</v>
      </c>
    </row>
    <row r="609" spans="1:12" ht="97.5" customHeight="1">
      <c r="A609" s="106" t="str">
        <f>B02_Assessment!$B$2</f>
        <v>02</v>
      </c>
      <c r="B609" s="106" t="str">
        <f t="shared" ref="B609:B616" si="63">"B02_Assessment"</f>
        <v>B02_Assessment</v>
      </c>
      <c r="C609" s="106" t="str">
        <f>B02_Assessment!$A$87</f>
        <v>B02-P006</v>
      </c>
      <c r="D609" s="142" t="str">
        <f>B02_Assessment!$B$87</f>
        <v>All TRs</v>
      </c>
      <c r="E609" s="142" t="str">
        <f>B02_Assessment!$C$87</f>
        <v>Electrical / HVAC</v>
      </c>
      <c r="F609" s="106" t="str">
        <f>B02_Assessment!$D$87</f>
        <v>B02-TR141/236/342 A/B panels, rack receptacles, breakers, SPD, UPS/PDU, CU/IU equipment, condensate, disconnects and labels</v>
      </c>
      <c r="G609" s="106">
        <f>B02_Assessment!$E$87</f>
        <v>0</v>
      </c>
      <c r="H609" s="106" t="str">
        <f>B02_Assessment!$F$87</f>
        <v>Paul</v>
      </c>
      <c r="I609" s="106">
        <f>B02_Assessment!$G$87</f>
        <v>0</v>
      </c>
      <c r="J609" s="106" t="str">
        <f>B02_Assessment!$H$87</f>
        <v>B02-R3/B02-R4</v>
      </c>
      <c r="K609" s="106" t="str">
        <f>B02_Assessment!$I$87</f>
        <v>Closed</v>
      </c>
      <c r="L609" s="106">
        <f>B02_Assessment!$J$87</f>
        <v>0</v>
      </c>
    </row>
    <row r="610" spans="1:12" ht="97.5" customHeight="1">
      <c r="A610" s="106" t="str">
        <f>B02_Assessment!$B$2</f>
        <v>02</v>
      </c>
      <c r="B610" s="106" t="str">
        <f t="shared" si="63"/>
        <v>B02_Assessment</v>
      </c>
      <c r="C610" s="106" t="str">
        <f>B02_Assessment!$A$88</f>
        <v>B02-P007</v>
      </c>
      <c r="D610" s="142" t="str">
        <f>B02_Assessment!$B$88</f>
        <v>All</v>
      </c>
      <c r="E610" s="142" t="str">
        <f>B02_Assessment!$C$88</f>
        <v>Cable Tray / Firestop</v>
      </c>
      <c r="F610" s="106" t="str">
        <f>B02_Assessment!$D$88</f>
        <v>Basement/first/second/third/fourth cable tray route, supports, seismic bracing, 40% fill, penetrations and before/after firestopping</v>
      </c>
      <c r="G610" s="106">
        <f>B02_Assessment!$E$88</f>
        <v>0</v>
      </c>
      <c r="H610" s="106" t="str">
        <f>B02_Assessment!$F$88</f>
        <v>Paul</v>
      </c>
      <c r="I610" s="106">
        <f>B02_Assessment!$G$88</f>
        <v>0</v>
      </c>
      <c r="J610" s="106" t="str">
        <f>B02_Assessment!$H$88</f>
        <v>B02-R5</v>
      </c>
      <c r="K610" s="106" t="str">
        <f>B02_Assessment!$I$88</f>
        <v>Closed</v>
      </c>
      <c r="L610" s="106">
        <f>B02_Assessment!$J$88</f>
        <v>0</v>
      </c>
    </row>
    <row r="611" spans="1:12" ht="97.5" customHeight="1">
      <c r="A611" s="106" t="str">
        <f>B02_Assessment!$B$2</f>
        <v>02</v>
      </c>
      <c r="B611" s="106" t="str">
        <f t="shared" si="63"/>
        <v>B02_Assessment</v>
      </c>
      <c r="C611" s="106" t="str">
        <f>B02_Assessment!$A$89</f>
        <v>B02-P008</v>
      </c>
      <c r="D611" s="142" t="str">
        <f>B02_Assessment!$B$89</f>
        <v>All TRs</v>
      </c>
      <c r="E611" s="142" t="str">
        <f>B02_Assessment!$C$89</f>
        <v>Telecom / Security</v>
      </c>
      <c r="F611" s="106" t="str">
        <f>B02_Assessment!$D$89</f>
        <v>Racks, Fiber LIU, Cat6A, patch panels, labels/test records, cameras, PACS and existing rack transfer work</v>
      </c>
      <c r="G611" s="106">
        <f>B02_Assessment!$E$89</f>
        <v>0</v>
      </c>
      <c r="H611" s="106" t="str">
        <f>B02_Assessment!$F$89</f>
        <v>Paul</v>
      </c>
      <c r="I611" s="106">
        <f>B02_Assessment!$G$89</f>
        <v>0</v>
      </c>
      <c r="J611" s="106" t="str">
        <f>B02_Assessment!$H$89</f>
        <v>B02-R6/B02-R8</v>
      </c>
      <c r="K611" s="106" t="str">
        <f>B02_Assessment!$I$89</f>
        <v>Closed</v>
      </c>
      <c r="L611" s="106">
        <f>B02_Assessment!$J$89</f>
        <v>0</v>
      </c>
    </row>
    <row r="612" spans="1:12" ht="97.5" customHeight="1">
      <c r="A612" s="106" t="str">
        <f>B03_Assessment!$B$2</f>
        <v>03</v>
      </c>
      <c r="B612" s="106" t="str">
        <f t="shared" si="63"/>
        <v>B02_Assessment</v>
      </c>
      <c r="C612" s="106" t="str">
        <f>B03_Assessment!$A$81</f>
        <v>B03-P001</v>
      </c>
      <c r="D612" s="142" t="str">
        <f>B03_Assessment!$B$81</f>
        <v>101E</v>
      </c>
      <c r="E612" s="142" t="str">
        <f>B03_Assessment!$C$81</f>
        <v>Existing / New Condition</v>
      </c>
      <c r="F612" s="106" t="str">
        <f>B03_Assessment!$D$81</f>
        <v>Room 101E walls, ceiling/deck, floor, door, racks/future rack, panels, HVAC, cable tray, penetrations, PACS and final TR layout</v>
      </c>
      <c r="G612" s="106">
        <f>B03_Assessment!$E$81</f>
        <v>0</v>
      </c>
      <c r="H612" s="106" t="str">
        <f>B03_Assessment!$F$81</f>
        <v>Paul</v>
      </c>
      <c r="I612" s="106">
        <f>B03_Assessment!$G$81</f>
        <v>0</v>
      </c>
      <c r="J612" s="106" t="str">
        <f>B03_Assessment!$H$81</f>
        <v>B03-R1/B03-R3</v>
      </c>
      <c r="K612" s="106" t="str">
        <f>B03_Assessment!$I$81</f>
        <v>Closed</v>
      </c>
      <c r="L612" s="106">
        <f>B03_Assessment!$J$81</f>
        <v>0</v>
      </c>
    </row>
    <row r="613" spans="1:12" ht="97.5" customHeight="1">
      <c r="A613" s="106" t="str">
        <f>B03_Assessment!$B$2</f>
        <v>03</v>
      </c>
      <c r="B613" s="106" t="str">
        <f t="shared" si="63"/>
        <v>B02_Assessment</v>
      </c>
      <c r="C613" s="106" t="str">
        <f>B03_Assessment!$A$82</f>
        <v>B03-P002</v>
      </c>
      <c r="D613" s="142" t="str">
        <f>B03_Assessment!$B$82</f>
        <v>107</v>
      </c>
      <c r="E613" s="142" t="str">
        <f>B03_Assessment!$C$82</f>
        <v>Existing Equipment</v>
      </c>
      <c r="F613" s="106" t="str">
        <f>B03_Assessment!$D$82</f>
        <v>Basement existing telecom room 107 rack, UPS on floor, Cisco switch, legacy patch panels, fiber LIU, active service labels and cable entries</v>
      </c>
      <c r="G613" s="106">
        <f>B03_Assessment!$E$82</f>
        <v>0</v>
      </c>
      <c r="H613" s="106" t="str">
        <f>B03_Assessment!$F$82</f>
        <v>Paul</v>
      </c>
      <c r="I613" s="106">
        <f>B03_Assessment!$G$82</f>
        <v>0</v>
      </c>
      <c r="J613" s="106" t="str">
        <f>B03_Assessment!$H$82</f>
        <v>B03-R1/B03-R2</v>
      </c>
      <c r="K613" s="106" t="str">
        <f>B03_Assessment!$I$82</f>
        <v>Closed</v>
      </c>
      <c r="L613" s="106">
        <f>B03_Assessment!$J$82</f>
        <v>0</v>
      </c>
    </row>
    <row r="614" spans="1:12" ht="97.5" customHeight="1">
      <c r="A614" s="106" t="str">
        <f>B03_Assessment!$B$2</f>
        <v>03</v>
      </c>
      <c r="B614" s="106" t="str">
        <f t="shared" si="63"/>
        <v>B02_Assessment</v>
      </c>
      <c r="C614" s="106" t="str">
        <f>B03_Assessment!$A$83</f>
        <v>B03-P003</v>
      </c>
      <c r="D614" s="142" t="str">
        <f>B03_Assessment!$B$83</f>
        <v>101C</v>
      </c>
      <c r="E614" s="142" t="str">
        <f>B03_Assessment!$C$83</f>
        <v>Existing DMARC</v>
      </c>
      <c r="F614" s="106" t="str">
        <f>B03_Assessment!$D$83</f>
        <v>First-floor existing DMARC Room 101C, patch panels, telecom cabinet, branch panel, provider/fiber equipment, 101C-CAM-01 and active service labels</v>
      </c>
      <c r="G614" s="106">
        <f>B03_Assessment!$E$83</f>
        <v>0</v>
      </c>
      <c r="H614" s="106" t="str">
        <f>B03_Assessment!$F$83</f>
        <v>Paul</v>
      </c>
      <c r="I614" s="106">
        <f>B03_Assessment!$G$83</f>
        <v>0</v>
      </c>
      <c r="J614" s="106" t="str">
        <f>B03_Assessment!$H$83</f>
        <v>B03-R2/B03-R6</v>
      </c>
      <c r="K614" s="106" t="str">
        <f>B03_Assessment!$I$83</f>
        <v>Closed</v>
      </c>
      <c r="L614" s="106">
        <f>B03_Assessment!$J$83</f>
        <v>0</v>
      </c>
    </row>
    <row r="615" spans="1:12" ht="97.5" customHeight="1">
      <c r="A615" s="106" t="str">
        <f>B03_Assessment!$B$2</f>
        <v>03</v>
      </c>
      <c r="B615" s="106" t="str">
        <f t="shared" si="63"/>
        <v>B02_Assessment</v>
      </c>
      <c r="C615" s="106" t="str">
        <f>B03_Assessment!$A$84</f>
        <v>B03-P004</v>
      </c>
      <c r="D615" s="142" t="str">
        <f>B03_Assessment!$B$84</f>
        <v>101E / 101C</v>
      </c>
      <c r="E615" s="142" t="str">
        <f>B03_Assessment!$C$84</f>
        <v>Electrical / Security</v>
      </c>
      <c r="F615" s="106" t="str">
        <f>B03_Assessment!$D$84</f>
        <v>B03-TR101CA/B panels, rack receptacles, breakers, SPD, UPS/PDU, access controller, CU-01, 101C-CAM-01 and labels</v>
      </c>
      <c r="G615" s="106">
        <f>B03_Assessment!$E$84</f>
        <v>0</v>
      </c>
      <c r="H615" s="106" t="str">
        <f>B03_Assessment!$F$84</f>
        <v>Paul</v>
      </c>
      <c r="I615" s="106">
        <f>B03_Assessment!$G$84</f>
        <v>0</v>
      </c>
      <c r="J615" s="106" t="str">
        <f>B03_Assessment!$H$84</f>
        <v>B03-R4/B03-R7</v>
      </c>
      <c r="K615" s="106" t="str">
        <f>B03_Assessment!$I$84</f>
        <v>Closed</v>
      </c>
      <c r="L615" s="106">
        <f>B03_Assessment!$J$84</f>
        <v>0</v>
      </c>
    </row>
    <row r="616" spans="1:12" ht="97.5" customHeight="1">
      <c r="A616" s="106" t="str">
        <f>B03_Assessment!$B$2</f>
        <v>03</v>
      </c>
      <c r="B616" s="106" t="str">
        <f t="shared" si="63"/>
        <v>B02_Assessment</v>
      </c>
      <c r="C616" s="106" t="str">
        <f>B03_Assessment!$A$85</f>
        <v>B03-P005</v>
      </c>
      <c r="D616" s="142" t="str">
        <f>B03_Assessment!$B$85</f>
        <v>101E</v>
      </c>
      <c r="E616" s="142" t="str">
        <f>B03_Assessment!$C$85</f>
        <v>HVAC</v>
      </c>
      <c r="F616" s="106" t="str">
        <f>B03_Assessment!$D$85</f>
        <v>IU/CU-01, condensate route, thermostat, BACnet adapter, disconnects, alarm points and emergency power source</v>
      </c>
      <c r="G616" s="106">
        <f>B03_Assessment!$E$85</f>
        <v>0</v>
      </c>
      <c r="H616" s="106" t="str">
        <f>B03_Assessment!$F$85</f>
        <v>Paul</v>
      </c>
      <c r="I616" s="106">
        <f>B03_Assessment!$G$85</f>
        <v>0</v>
      </c>
      <c r="J616" s="106" t="str">
        <f>B03_Assessment!$H$85</f>
        <v>B03-R3</v>
      </c>
      <c r="K616" s="106" t="str">
        <f>B03_Assessment!$I$85</f>
        <v>Closed</v>
      </c>
      <c r="L616" s="106">
        <f>B03_Assessment!$J$85</f>
        <v>0</v>
      </c>
    </row>
    <row r="617" spans="1:12" ht="97.5" customHeight="1">
      <c r="A617" s="106" t="str">
        <f>B03_Assessment!$B$2</f>
        <v>03</v>
      </c>
      <c r="B617" s="106" t="str">
        <f t="shared" ref="B617:B624" si="64">"B03_Assessment"</f>
        <v>B03_Assessment</v>
      </c>
      <c r="C617" s="106" t="str">
        <f>B03_Assessment!$A$86</f>
        <v>B03-P006</v>
      </c>
      <c r="D617" s="142" t="str">
        <f>B03_Assessment!$B$86</f>
        <v>All</v>
      </c>
      <c r="E617" s="142" t="str">
        <f>B03_Assessment!$C$86</f>
        <v>Cable Tray / Firestop</v>
      </c>
      <c r="F617" s="106" t="str">
        <f>B03_Assessment!$D$86</f>
        <v>Basement and first-level cable tray route, supports, seismic bracing, 40% fill, penetrations and before/after firestopping</v>
      </c>
      <c r="G617" s="106">
        <f>B03_Assessment!$E$86</f>
        <v>0</v>
      </c>
      <c r="H617" s="106" t="str">
        <f>B03_Assessment!$F$86</f>
        <v>Paul</v>
      </c>
      <c r="I617" s="106">
        <f>B03_Assessment!$G$86</f>
        <v>0</v>
      </c>
      <c r="J617" s="106" t="str">
        <f>B03_Assessment!$H$86</f>
        <v>B03-R5</v>
      </c>
      <c r="K617" s="106" t="str">
        <f>B03_Assessment!$I$86</f>
        <v>Closed</v>
      </c>
      <c r="L617" s="106">
        <f>B03_Assessment!$J$86</f>
        <v>0</v>
      </c>
    </row>
    <row r="618" spans="1:12" ht="97.5" customHeight="1">
      <c r="A618" s="106" t="str">
        <f>B03_Assessment!$B$2</f>
        <v>03</v>
      </c>
      <c r="B618" s="106" t="str">
        <f t="shared" si="64"/>
        <v>B03_Assessment</v>
      </c>
      <c r="C618" s="106" t="str">
        <f>B03_Assessment!$A$87</f>
        <v>B03-P007</v>
      </c>
      <c r="D618" s="142" t="str">
        <f>B03_Assessment!$B$87</f>
        <v>WAO Areas</v>
      </c>
      <c r="E618" s="142" t="str">
        <f>B03_Assessment!$C$87</f>
        <v>Telecom Devices</v>
      </c>
      <c r="F618" s="106" t="str">
        <f>B03_Assessment!$D$87</f>
        <v>Representative outlets/WAPs/Centrak/clock/camera locations including 108-A/B/C, 108-CK-A, 107A-AP-A, 101C-CAM-01 and related labels</v>
      </c>
      <c r="G618" s="106">
        <f>B03_Assessment!$E$87</f>
        <v>0</v>
      </c>
      <c r="H618" s="106" t="str">
        <f>B03_Assessment!$F$87</f>
        <v>Paul</v>
      </c>
      <c r="I618" s="106">
        <f>B03_Assessment!$G$87</f>
        <v>0</v>
      </c>
      <c r="J618" s="106" t="str">
        <f>B03_Assessment!$H$87</f>
        <v>B03-R6</v>
      </c>
      <c r="K618" s="106" t="str">
        <f>B03_Assessment!$I$87</f>
        <v>Closed</v>
      </c>
      <c r="L618" s="106">
        <f>B03_Assessment!$J$87</f>
        <v>0</v>
      </c>
    </row>
    <row r="619" spans="1:12" ht="97.5" customHeight="1">
      <c r="A619" s="106" t="str">
        <f>B03_Assessment!$B$2</f>
        <v>03</v>
      </c>
      <c r="B619" s="106" t="str">
        <f t="shared" si="64"/>
        <v>B03_Assessment</v>
      </c>
      <c r="C619" s="106" t="str">
        <f>B03_Assessment!$A$88</f>
        <v>B03-P008</v>
      </c>
      <c r="D619" s="142" t="str">
        <f>B03_Assessment!$B$88</f>
        <v>101E / Existing Rooms</v>
      </c>
      <c r="E619" s="142" t="str">
        <f>B03_Assessment!$C$88</f>
        <v>Telecom Acceptance</v>
      </c>
      <c r="F619" s="106" t="str">
        <f>B03_Assessment!$D$88</f>
        <v>New racks TR01-101E-1/2, Fiber LIU, Cat6A, patch panels, labels/test records and existing rack transfer work</v>
      </c>
      <c r="G619" s="106">
        <f>B03_Assessment!$E$88</f>
        <v>0</v>
      </c>
      <c r="H619" s="106" t="str">
        <f>B03_Assessment!$F$88</f>
        <v>Paul</v>
      </c>
      <c r="I619" s="106">
        <f>B03_Assessment!$G$88</f>
        <v>0</v>
      </c>
      <c r="J619" s="106" t="str">
        <f>B03_Assessment!$H$88</f>
        <v>B03-R6/B03-R8</v>
      </c>
      <c r="K619" s="106" t="str">
        <f>B03_Assessment!$I$88</f>
        <v>Closed</v>
      </c>
      <c r="L619" s="106">
        <f>B03_Assessment!$J$88</f>
        <v>0</v>
      </c>
    </row>
    <row r="620" spans="1:12" ht="97.5" customHeight="1">
      <c r="A620" s="106" t="str">
        <f>B04_Assessment!$B$2</f>
        <v>04</v>
      </c>
      <c r="B620" s="106" t="str">
        <f t="shared" si="64"/>
        <v>B03_Assessment</v>
      </c>
      <c r="C620" s="106" t="str">
        <f>B04_Assessment!$A$74</f>
        <v>B04-P001</v>
      </c>
      <c r="D620" s="142" t="str">
        <f>B04_Assessment!$B$74</f>
        <v>B05</v>
      </c>
      <c r="E620" s="142" t="str">
        <f>B04_Assessment!$C$74</f>
        <v>Existing Condition</v>
      </c>
      <c r="F620" s="106" t="str">
        <f>B04_Assessment!$D$74</f>
        <v>Basement TR B05 existing conditions, racks, utilities, penetrations, panels</v>
      </c>
      <c r="G620" s="106">
        <f>B04_Assessment!$E$74</f>
        <v>0</v>
      </c>
      <c r="H620" s="106" t="str">
        <f>B04_Assessment!$F$74</f>
        <v>Paul</v>
      </c>
      <c r="I620" s="106">
        <f>B04_Assessment!$G$74</f>
        <v>0</v>
      </c>
      <c r="J620" s="106" t="str">
        <f>B04_Assessment!$H$74</f>
        <v>B04-R1/B04-R2</v>
      </c>
      <c r="K620" s="106" t="str">
        <f>B04_Assessment!$I$74</f>
        <v>Closed</v>
      </c>
      <c r="L620" s="106">
        <f>B04_Assessment!$J$74</f>
        <v>0</v>
      </c>
    </row>
    <row r="621" spans="1:12" ht="97.5" customHeight="1">
      <c r="A621" s="106" t="str">
        <f>B04_Assessment!$B$2</f>
        <v>04</v>
      </c>
      <c r="B621" s="106" t="str">
        <f t="shared" si="64"/>
        <v>B03_Assessment</v>
      </c>
      <c r="C621" s="106" t="str">
        <f>B04_Assessment!$A$75</f>
        <v>B04-P002</v>
      </c>
      <c r="D621" s="142" t="str">
        <f>B04_Assessment!$B$75</f>
        <v>141</v>
      </c>
      <c r="E621" s="142" t="str">
        <f>B04_Assessment!$C$75</f>
        <v>Existing Condition</v>
      </c>
      <c r="F621" s="106" t="str">
        <f>B04_Assessment!$D$75</f>
        <v>Room 141 existing conditions, door/walls/ceiling/window/floor conditions</v>
      </c>
      <c r="G621" s="106">
        <f>B04_Assessment!$E$75</f>
        <v>0</v>
      </c>
      <c r="H621" s="106" t="str">
        <f>B04_Assessment!$F$75</f>
        <v>Paul</v>
      </c>
      <c r="I621" s="106">
        <f>B04_Assessment!$G$75</f>
        <v>0</v>
      </c>
      <c r="J621" s="106" t="str">
        <f>B04_Assessment!$H$75</f>
        <v>B04-R3</v>
      </c>
      <c r="K621" s="106" t="str">
        <f>B04_Assessment!$I$75</f>
        <v>Closed</v>
      </c>
      <c r="L621" s="106">
        <f>B04_Assessment!$J$75</f>
        <v>0</v>
      </c>
    </row>
    <row r="622" spans="1:12" ht="97.5" customHeight="1">
      <c r="A622" s="106" t="str">
        <f>B04_Assessment!$B$2</f>
        <v>04</v>
      </c>
      <c r="B622" s="106" t="str">
        <f t="shared" si="64"/>
        <v>B03_Assessment</v>
      </c>
      <c r="C622" s="106" t="str">
        <f>B04_Assessment!$A$76</f>
        <v>B04-P003</v>
      </c>
      <c r="D622" s="142" t="str">
        <f>B04_Assessment!$B$76</f>
        <v>244A</v>
      </c>
      <c r="E622" s="142" t="str">
        <f>B04_Assessment!$C$76</f>
        <v>Existing Condition</v>
      </c>
      <c r="F622" s="106" t="str">
        <f>B04_Assessment!$D$76</f>
        <v>Room 244A TR existing condition and panel/rack area</v>
      </c>
      <c r="G622" s="106">
        <f>B04_Assessment!$E$76</f>
        <v>0</v>
      </c>
      <c r="H622" s="106" t="str">
        <f>B04_Assessment!$F$76</f>
        <v>Paul</v>
      </c>
      <c r="I622" s="106">
        <f>B04_Assessment!$G$76</f>
        <v>0</v>
      </c>
      <c r="J622" s="106" t="str">
        <f>B04_Assessment!$H$76</f>
        <v>B04-R1</v>
      </c>
      <c r="K622" s="106" t="str">
        <f>B04_Assessment!$I$76</f>
        <v>Closed</v>
      </c>
      <c r="L622" s="106">
        <f>B04_Assessment!$J$76</f>
        <v>0</v>
      </c>
    </row>
    <row r="623" spans="1:12" ht="97.5" customHeight="1">
      <c r="A623" s="106" t="str">
        <f>B04_Assessment!$B$2</f>
        <v>04</v>
      </c>
      <c r="B623" s="106" t="str">
        <f t="shared" si="64"/>
        <v>B03_Assessment</v>
      </c>
      <c r="C623" s="106" t="str">
        <f>B04_Assessment!$A$77</f>
        <v>B04-P004</v>
      </c>
      <c r="D623" s="142" t="str">
        <f>B04_Assessment!$B$77</f>
        <v>All</v>
      </c>
      <c r="E623" s="142" t="str">
        <f>B04_Assessment!$C$77</f>
        <v>Firestop</v>
      </c>
      <c r="F623" s="106" t="str">
        <f>B04_Assessment!$D$77</f>
        <v>All floor/wall/sleeve/tray penetrations before and after firestop</v>
      </c>
      <c r="G623" s="106">
        <f>B04_Assessment!$E$77</f>
        <v>0</v>
      </c>
      <c r="H623" s="106" t="str">
        <f>B04_Assessment!$F$77</f>
        <v>Paul</v>
      </c>
      <c r="I623" s="106">
        <f>B04_Assessment!$G$77</f>
        <v>0</v>
      </c>
      <c r="J623" s="106" t="str">
        <f>B04_Assessment!$H$77</f>
        <v>B04-R7</v>
      </c>
      <c r="K623" s="106" t="str">
        <f>B04_Assessment!$I$77</f>
        <v>Closed</v>
      </c>
      <c r="L623" s="106">
        <f>B04_Assessment!$J$77</f>
        <v>0</v>
      </c>
    </row>
    <row r="624" spans="1:12" ht="97.5" customHeight="1">
      <c r="A624" s="106" t="str">
        <f>B04_Assessment!$B$2</f>
        <v>04</v>
      </c>
      <c r="B624" s="106" t="str">
        <f t="shared" si="64"/>
        <v>B03_Assessment</v>
      </c>
      <c r="C624" s="106" t="str">
        <f>B04_Assessment!$A$78</f>
        <v>B04-P005</v>
      </c>
      <c r="D624" s="142" t="str">
        <f>B04_Assessment!$B$78</f>
        <v>All</v>
      </c>
      <c r="E624" s="142" t="str">
        <f>B04_Assessment!$C$78</f>
        <v>HVAC</v>
      </c>
      <c r="F624" s="106" t="str">
        <f>B04_Assessment!$D$78</f>
        <v>Cooling units, condensate routing, controls, high-temp alarms</v>
      </c>
      <c r="G624" s="106">
        <f>B04_Assessment!$E$78</f>
        <v>0</v>
      </c>
      <c r="H624" s="106" t="str">
        <f>B04_Assessment!$F$78</f>
        <v>Paul</v>
      </c>
      <c r="I624" s="106">
        <f>B04_Assessment!$G$78</f>
        <v>0</v>
      </c>
      <c r="J624" s="106" t="str">
        <f>B04_Assessment!$H$78</f>
        <v>B04-R4</v>
      </c>
      <c r="K624" s="106" t="str">
        <f>B04_Assessment!$I$78</f>
        <v>Closed</v>
      </c>
      <c r="L624" s="106">
        <f>B04_Assessment!$J$78</f>
        <v>0</v>
      </c>
    </row>
    <row r="625" spans="1:12" ht="97.5" customHeight="1">
      <c r="A625" s="106" t="str">
        <f>B04_Assessment!$B$2</f>
        <v>04</v>
      </c>
      <c r="B625" s="106" t="str">
        <f t="shared" ref="B625:B630" si="65">"B04_Assessment"</f>
        <v>B04_Assessment</v>
      </c>
      <c r="C625" s="106" t="str">
        <f>B04_Assessment!$A$79</f>
        <v>B04-P006</v>
      </c>
      <c r="D625" s="142" t="str">
        <f>B04_Assessment!$B$79</f>
        <v>All</v>
      </c>
      <c r="E625" s="142" t="str">
        <f>B04_Assessment!$C$79</f>
        <v>Electrical</v>
      </c>
      <c r="F625" s="106" t="str">
        <f>B04_Assessment!$D$79</f>
        <v>Panels, breakers, UPS/PDU receptacles, SPD, grounding/bonding</v>
      </c>
      <c r="G625" s="106">
        <f>B04_Assessment!$E$79</f>
        <v>0</v>
      </c>
      <c r="H625" s="106" t="str">
        <f>B04_Assessment!$F$79</f>
        <v>Paul</v>
      </c>
      <c r="I625" s="106">
        <f>B04_Assessment!$G$79</f>
        <v>0</v>
      </c>
      <c r="J625" s="106" t="str">
        <f>B04_Assessment!$H$79</f>
        <v>B04-R5</v>
      </c>
      <c r="K625" s="106" t="str">
        <f>B04_Assessment!$I$79</f>
        <v>Closed</v>
      </c>
      <c r="L625" s="106">
        <f>B04_Assessment!$J$79</f>
        <v>0</v>
      </c>
    </row>
    <row r="626" spans="1:12" ht="97.5" customHeight="1">
      <c r="A626" s="106" t="str">
        <f>B04_Assessment!$B$2</f>
        <v>04</v>
      </c>
      <c r="B626" s="106" t="str">
        <f t="shared" si="65"/>
        <v>B04_Assessment</v>
      </c>
      <c r="C626" s="106" t="str">
        <f>B04_Assessment!$A$80</f>
        <v>B04-P007</v>
      </c>
      <c r="D626" s="142" t="str">
        <f>B04_Assessment!$B$80</f>
        <v>All</v>
      </c>
      <c r="E626" s="142" t="str">
        <f>B04_Assessment!$C$80</f>
        <v>Telecom</v>
      </c>
      <c r="F626" s="106" t="str">
        <f>B04_Assessment!$D$80</f>
        <v>Racks, ladder tray, fiber, Cat6A, labels, LIU, cable managers</v>
      </c>
      <c r="G626" s="106">
        <f>B04_Assessment!$E$80</f>
        <v>0</v>
      </c>
      <c r="H626" s="106" t="str">
        <f>B04_Assessment!$F$80</f>
        <v>Paul</v>
      </c>
      <c r="I626" s="106">
        <f>B04_Assessment!$G$80</f>
        <v>0</v>
      </c>
      <c r="J626" s="106" t="str">
        <f>B04_Assessment!$H$80</f>
        <v>B04-R6</v>
      </c>
      <c r="K626" s="106" t="str">
        <f>B04_Assessment!$I$80</f>
        <v>Closed</v>
      </c>
      <c r="L626" s="106">
        <f>B04_Assessment!$J$80</f>
        <v>0</v>
      </c>
    </row>
    <row r="627" spans="1:12" ht="97.5" customHeight="1">
      <c r="A627" s="106" t="str">
        <f>B04_Assessment!$B$2</f>
        <v>04</v>
      </c>
      <c r="B627" s="106" t="str">
        <f t="shared" si="65"/>
        <v>B04_Assessment</v>
      </c>
      <c r="C627" s="106" t="str">
        <f>B04_Assessment!$A$81</f>
        <v>B04-P008</v>
      </c>
      <c r="D627" s="142" t="str">
        <f>B04_Assessment!$B$81</f>
        <v>All</v>
      </c>
      <c r="E627" s="142" t="str">
        <f>B04_Assessment!$C$81</f>
        <v>Security</v>
      </c>
      <c r="F627" s="106" t="str">
        <f>B04_Assessment!$D$81</f>
        <v>PACS, card reader, electric strike, camera, motion sensor rough-in</v>
      </c>
      <c r="G627" s="106">
        <f>B04_Assessment!$E$81</f>
        <v>0</v>
      </c>
      <c r="H627" s="106" t="str">
        <f>B04_Assessment!$F$81</f>
        <v>Paul</v>
      </c>
      <c r="I627" s="106">
        <f>B04_Assessment!$G$81</f>
        <v>0</v>
      </c>
      <c r="J627" s="106" t="str">
        <f>B04_Assessment!$H$81</f>
        <v>B04-R3</v>
      </c>
      <c r="K627" s="106" t="str">
        <f>B04_Assessment!$I$81</f>
        <v>Closed</v>
      </c>
      <c r="L627" s="106">
        <f>B04_Assessment!$J$81</f>
        <v>0</v>
      </c>
    </row>
    <row r="628" spans="1:12" ht="97.5" customHeight="1">
      <c r="A628" s="106" t="str">
        <f>B05_Assessment!$B$2</f>
        <v>05</v>
      </c>
      <c r="B628" s="106" t="str">
        <f t="shared" si="65"/>
        <v>B04_Assessment</v>
      </c>
      <c r="C628" s="106" t="str">
        <f>B05_Assessment!$A$64</f>
        <v>B05-P001</v>
      </c>
      <c r="D628" s="142" t="str">
        <f>B05_Assessment!$B$64</f>
        <v>150</v>
      </c>
      <c r="E628" s="142" t="str">
        <f>B05_Assessment!$C$64</f>
        <v>Existing Condition</v>
      </c>
      <c r="F628" s="106" t="str">
        <f>B05_Assessment!$D$64</f>
        <v>Room 150 wall/TE location, mounting surface, clearances, power, pathway</v>
      </c>
      <c r="G628" s="106">
        <f>B05_Assessment!$E$64</f>
        <v>0</v>
      </c>
      <c r="H628" s="106" t="str">
        <f>B05_Assessment!$F$64</f>
        <v>Paul</v>
      </c>
      <c r="I628" s="106">
        <f>B05_Assessment!$G$64</f>
        <v>0</v>
      </c>
      <c r="J628" s="106" t="str">
        <f>B05_Assessment!$H$64</f>
        <v>B05-R1/B05-R4</v>
      </c>
      <c r="K628" s="106" t="str">
        <f>B05_Assessment!$I$64</f>
        <v>Closed</v>
      </c>
      <c r="L628" s="106">
        <f>B05_Assessment!$J$64</f>
        <v>0</v>
      </c>
    </row>
    <row r="629" spans="1:12" ht="97.5" customHeight="1">
      <c r="A629" s="106" t="str">
        <f>B05_Assessment!$B$2</f>
        <v>05</v>
      </c>
      <c r="B629" s="106" t="str">
        <f t="shared" si="65"/>
        <v>B04_Assessment</v>
      </c>
      <c r="C629" s="106" t="str">
        <f>B05_Assessment!$A$65</f>
        <v>B05-P002</v>
      </c>
      <c r="D629" s="142" t="str">
        <f>B05_Assessment!$B$65</f>
        <v>153-A</v>
      </c>
      <c r="E629" s="142" t="str">
        <f>B05_Assessment!$C$65</f>
        <v>Existing Condition</v>
      </c>
      <c r="F629" s="106" t="str">
        <f>B05_Assessment!$D$65</f>
        <v>Existing wall/wall-mount TE, Cisco switches, legacy patch panels, floor UPS</v>
      </c>
      <c r="G629" s="106">
        <f>B05_Assessment!$E$65</f>
        <v>0</v>
      </c>
      <c r="H629" s="106" t="str">
        <f>B05_Assessment!$F$65</f>
        <v>Paul</v>
      </c>
      <c r="I629" s="106">
        <f>B05_Assessment!$G$65</f>
        <v>0</v>
      </c>
      <c r="J629" s="106" t="str">
        <f>B05_Assessment!$H$65</f>
        <v>B05-R2</v>
      </c>
      <c r="K629" s="106" t="str">
        <f>B05_Assessment!$I$65</f>
        <v>Closed</v>
      </c>
      <c r="L629" s="106">
        <f>B05_Assessment!$J$65</f>
        <v>0</v>
      </c>
    </row>
    <row r="630" spans="1:12" ht="97.5" customHeight="1">
      <c r="A630" s="106" t="str">
        <f>B05_Assessment!$B$2</f>
        <v>05</v>
      </c>
      <c r="B630" s="106" t="str">
        <f t="shared" si="65"/>
        <v>B04_Assessment</v>
      </c>
      <c r="C630" s="106" t="str">
        <f>B05_Assessment!$A$66</f>
        <v>B05-P003</v>
      </c>
      <c r="D630" s="142" t="str">
        <f>B05_Assessment!$B$66</f>
        <v>All</v>
      </c>
      <c r="E630" s="142" t="str">
        <f>B05_Assessment!$C$66</f>
        <v>Firestop</v>
      </c>
      <c r="F630" s="106" t="str">
        <f>B05_Assessment!$D$66</f>
        <v>All new/reused penetrations and surface raceway/conduit routes</v>
      </c>
      <c r="G630" s="106">
        <f>B05_Assessment!$E$66</f>
        <v>0</v>
      </c>
      <c r="H630" s="106" t="str">
        <f>B05_Assessment!$F$66</f>
        <v>Paul</v>
      </c>
      <c r="I630" s="106">
        <f>B05_Assessment!$G$66</f>
        <v>0</v>
      </c>
      <c r="J630" s="106" t="str">
        <f>B05_Assessment!$H$66</f>
        <v>B05-R5</v>
      </c>
      <c r="K630" s="106" t="str">
        <f>B05_Assessment!$I$66</f>
        <v>Closed</v>
      </c>
      <c r="L630" s="106">
        <f>B05_Assessment!$J$66</f>
        <v>0</v>
      </c>
    </row>
    <row r="631" spans="1:12" ht="97.5" customHeight="1">
      <c r="A631" s="106" t="str">
        <f>B05_Assessment!$B$2</f>
        <v>05</v>
      </c>
      <c r="B631" s="106" t="str">
        <f t="shared" ref="B631:B638" si="66">"B05_Assessment"</f>
        <v>B05_Assessment</v>
      </c>
      <c r="C631" s="106" t="str">
        <f>B05_Assessment!$A$67</f>
        <v>B05-P004</v>
      </c>
      <c r="D631" s="142" t="str">
        <f>B05_Assessment!$B$67</f>
        <v>150</v>
      </c>
      <c r="E631" s="142" t="str">
        <f>B05_Assessment!$C$67</f>
        <v>Electrical</v>
      </c>
      <c r="F631" s="106" t="str">
        <f>B05_Assessment!$D$67</f>
        <v>UPS/PDU outlet, circuit label, panel source, grounding/bonding</v>
      </c>
      <c r="G631" s="106">
        <f>B05_Assessment!$E$67</f>
        <v>0</v>
      </c>
      <c r="H631" s="106" t="str">
        <f>B05_Assessment!$F$67</f>
        <v>Paul</v>
      </c>
      <c r="I631" s="106">
        <f>B05_Assessment!$G$67</f>
        <v>0</v>
      </c>
      <c r="J631" s="106" t="str">
        <f>B05_Assessment!$H$67</f>
        <v>B05-R4</v>
      </c>
      <c r="K631" s="106" t="str">
        <f>B05_Assessment!$I$67</f>
        <v>Closed</v>
      </c>
      <c r="L631" s="106">
        <f>B05_Assessment!$J$67</f>
        <v>0</v>
      </c>
    </row>
    <row r="632" spans="1:12" ht="97.5" customHeight="1">
      <c r="A632" s="106" t="str">
        <f>B05_Assessment!$B$2</f>
        <v>05</v>
      </c>
      <c r="B632" s="106" t="str">
        <f t="shared" si="66"/>
        <v>B05_Assessment</v>
      </c>
      <c r="C632" s="106" t="str">
        <f>B05_Assessment!$A$68</f>
        <v>B05-P005</v>
      </c>
      <c r="D632" s="142" t="str">
        <f>B05_Assessment!$B$68</f>
        <v>All</v>
      </c>
      <c r="E632" s="142" t="str">
        <f>B05_Assessment!$C$68</f>
        <v>Telecom</v>
      </c>
      <c r="F632" s="106" t="str">
        <f>B05_Assessment!$D$68</f>
        <v>TE, patch panels, Fiber LIU, labels, testing records, as-built conditions</v>
      </c>
      <c r="G632" s="106">
        <f>B05_Assessment!$E$68</f>
        <v>0</v>
      </c>
      <c r="H632" s="106" t="str">
        <f>B05_Assessment!$F$68</f>
        <v>Paul</v>
      </c>
      <c r="I632" s="106">
        <f>B05_Assessment!$G$68</f>
        <v>0</v>
      </c>
      <c r="J632" s="106" t="str">
        <f>B05_Assessment!$H$68</f>
        <v>B05-R6</v>
      </c>
      <c r="K632" s="106" t="str">
        <f>B05_Assessment!$I$68</f>
        <v>Closed</v>
      </c>
      <c r="L632" s="106">
        <f>B05_Assessment!$J$68</f>
        <v>0</v>
      </c>
    </row>
    <row r="633" spans="1:12" ht="97.5" customHeight="1">
      <c r="A633" s="106" t="str">
        <f>B05_Assessment!$B$2</f>
        <v>05</v>
      </c>
      <c r="B633" s="106" t="str">
        <f t="shared" si="66"/>
        <v>B05_Assessment</v>
      </c>
      <c r="C633" s="106" t="str">
        <f>B05_Assessment!$A$69</f>
        <v>B05-P006</v>
      </c>
      <c r="D633" s="142" t="str">
        <f>B05_Assessment!$B$69</f>
        <v>All</v>
      </c>
      <c r="E633" s="142" t="str">
        <f>B05_Assessment!$C$69</f>
        <v>Security</v>
      </c>
      <c r="F633" s="106" t="str">
        <f>B05_Assessment!$D$69</f>
        <v>Door/security/CCTV/PACS conditions at TE location</v>
      </c>
      <c r="G633" s="106">
        <f>B05_Assessment!$E$69</f>
        <v>0</v>
      </c>
      <c r="H633" s="106" t="str">
        <f>B05_Assessment!$F$69</f>
        <v>Paul</v>
      </c>
      <c r="I633" s="106">
        <f>B05_Assessment!$G$69</f>
        <v>0</v>
      </c>
      <c r="J633" s="106" t="str">
        <f>B05_Assessment!$H$69</f>
        <v>B05-R6</v>
      </c>
      <c r="K633" s="106" t="str">
        <f>B05_Assessment!$I$69</f>
        <v>Closed</v>
      </c>
      <c r="L633" s="106">
        <f>B05_Assessment!$J$69</f>
        <v>0</v>
      </c>
    </row>
    <row r="634" spans="1:12" ht="97.5" customHeight="1">
      <c r="A634" s="106" t="str">
        <f>B06_Assessment!$B$2</f>
        <v>06</v>
      </c>
      <c r="B634" s="106" t="str">
        <f t="shared" si="66"/>
        <v>B05_Assessment</v>
      </c>
      <c r="C634" s="106" t="str">
        <f>B06_Assessment!$A$74</f>
        <v>B06-P001</v>
      </c>
      <c r="D634" s="142" t="str">
        <f>B06_Assessment!$B$74</f>
        <v>B-01</v>
      </c>
      <c r="E634" s="142" t="str">
        <f>B06_Assessment!$C$74</f>
        <v>Existing Condition</v>
      </c>
      <c r="F634" s="106" t="str">
        <f>B06_Assessment!$D$74</f>
        <v>Existing basement wall/wall-mount TE, Cisco switches, legacy patch panels, floor UPS</v>
      </c>
      <c r="G634" s="106">
        <f>B06_Assessment!$E$74</f>
        <v>0</v>
      </c>
      <c r="H634" s="106" t="str">
        <f>B06_Assessment!$F$74</f>
        <v>Paul</v>
      </c>
      <c r="I634" s="106">
        <f>B06_Assessment!$G$74</f>
        <v>0</v>
      </c>
      <c r="J634" s="106" t="str">
        <f>B06_Assessment!$H$74</f>
        <v>B06-R1/B06-R2</v>
      </c>
      <c r="K634" s="106" t="str">
        <f>B06_Assessment!$I$74</f>
        <v>Closed</v>
      </c>
      <c r="L634" s="106">
        <f>B06_Assessment!$J$74</f>
        <v>0</v>
      </c>
    </row>
    <row r="635" spans="1:12" ht="97.5" customHeight="1">
      <c r="A635" s="106" t="str">
        <f>B06_Assessment!$B$2</f>
        <v>06</v>
      </c>
      <c r="B635" s="106" t="str">
        <f t="shared" si="66"/>
        <v>B05_Assessment</v>
      </c>
      <c r="C635" s="106" t="str">
        <f>B06_Assessment!$A$75</f>
        <v>B06-P002</v>
      </c>
      <c r="D635" s="142" t="str">
        <f>B06_Assessment!$B$75</f>
        <v>178</v>
      </c>
      <c r="E635" s="142" t="str">
        <f>B06_Assessment!$C$75</f>
        <v>Existing Condition</v>
      </c>
      <c r="F635" s="106" t="str">
        <f>B06_Assessment!$D$75</f>
        <v>Room 178 TR, existing 2-post racks, panels, card reader/security, HVAC location</v>
      </c>
      <c r="G635" s="106">
        <f>B06_Assessment!$E$75</f>
        <v>0</v>
      </c>
      <c r="H635" s="106" t="str">
        <f>B06_Assessment!$F$75</f>
        <v>Paul</v>
      </c>
      <c r="I635" s="106">
        <f>B06_Assessment!$G$75</f>
        <v>0</v>
      </c>
      <c r="J635" s="106" t="str">
        <f>B06_Assessment!$H$75</f>
        <v>B06-R1/B06-R3</v>
      </c>
      <c r="K635" s="106" t="str">
        <f>B06_Assessment!$I$75</f>
        <v>Closed</v>
      </c>
      <c r="L635" s="106">
        <f>B06_Assessment!$J$75</f>
        <v>0</v>
      </c>
    </row>
    <row r="636" spans="1:12" ht="97.5" customHeight="1">
      <c r="A636" s="106" t="str">
        <f>B06_Assessment!$B$2</f>
        <v>06</v>
      </c>
      <c r="B636" s="106" t="str">
        <f t="shared" si="66"/>
        <v>B05_Assessment</v>
      </c>
      <c r="C636" s="106" t="str">
        <f>B06_Assessment!$A$76</f>
        <v>B06-P003</v>
      </c>
      <c r="D636" s="142" t="str">
        <f>B06_Assessment!$B$76</f>
        <v>233</v>
      </c>
      <c r="E636" s="142" t="str">
        <f>B06_Assessment!$C$76</f>
        <v>Existing Condition</v>
      </c>
      <c r="F636" s="106" t="str">
        <f>B06_Assessment!$D$76</f>
        <v>Room 233/Data Closet, adjacent toilet/bath areas, walls/door/ceiling/penetrations</v>
      </c>
      <c r="G636" s="106">
        <f>B06_Assessment!$E$76</f>
        <v>0</v>
      </c>
      <c r="H636" s="106" t="str">
        <f>B06_Assessment!$F$76</f>
        <v>Paul</v>
      </c>
      <c r="I636" s="106">
        <f>B06_Assessment!$G$76</f>
        <v>0</v>
      </c>
      <c r="J636" s="106" t="str">
        <f>B06_Assessment!$H$76</f>
        <v>B06-R4</v>
      </c>
      <c r="K636" s="106" t="str">
        <f>B06_Assessment!$I$76</f>
        <v>Closed</v>
      </c>
      <c r="L636" s="106">
        <f>B06_Assessment!$J$76</f>
        <v>0</v>
      </c>
    </row>
    <row r="637" spans="1:12" ht="97.5" customHeight="1">
      <c r="A637" s="106" t="str">
        <f>B06_Assessment!$B$2</f>
        <v>06</v>
      </c>
      <c r="B637" s="106" t="str">
        <f t="shared" si="66"/>
        <v>B05_Assessment</v>
      </c>
      <c r="C637" s="106" t="str">
        <f>B06_Assessment!$A$77</f>
        <v>B06-P004</v>
      </c>
      <c r="D637" s="142" t="str">
        <f>B06_Assessment!$B$77</f>
        <v>All</v>
      </c>
      <c r="E637" s="142" t="str">
        <f>B06_Assessment!$C$77</f>
        <v>Firestop</v>
      </c>
      <c r="F637" s="106" t="str">
        <f>B06_Assessment!$D$77</f>
        <v>All wall/floor/sleeve/tray penetrations before and after firestop</v>
      </c>
      <c r="G637" s="106">
        <f>B06_Assessment!$E$77</f>
        <v>0</v>
      </c>
      <c r="H637" s="106" t="str">
        <f>B06_Assessment!$F$77</f>
        <v>Paul</v>
      </c>
      <c r="I637" s="106">
        <f>B06_Assessment!$G$77</f>
        <v>0</v>
      </c>
      <c r="J637" s="106" t="str">
        <f>B06_Assessment!$H$77</f>
        <v>B06-R6</v>
      </c>
      <c r="K637" s="106" t="str">
        <f>B06_Assessment!$I$77</f>
        <v>Closed</v>
      </c>
      <c r="L637" s="106">
        <f>B06_Assessment!$J$77</f>
        <v>0</v>
      </c>
    </row>
    <row r="638" spans="1:12" ht="97.5" customHeight="1">
      <c r="A638" s="106" t="str">
        <f>B06_Assessment!$B$2</f>
        <v>06</v>
      </c>
      <c r="B638" s="106" t="str">
        <f t="shared" si="66"/>
        <v>B05_Assessment</v>
      </c>
      <c r="C638" s="106" t="str">
        <f>B06_Assessment!$A$78</f>
        <v>B06-P005</v>
      </c>
      <c r="D638" s="142" t="str">
        <f>B06_Assessment!$B$78</f>
        <v>178/233</v>
      </c>
      <c r="E638" s="142" t="str">
        <f>B06_Assessment!$C$78</f>
        <v>HVAC</v>
      </c>
      <c r="F638" s="106" t="str">
        <f>B06_Assessment!$D$78</f>
        <v>IU/CU equipment, condensate, thermostat, BACnet adapter, disconnects, high-temp alarm</v>
      </c>
      <c r="G638" s="106">
        <f>B06_Assessment!$E$78</f>
        <v>0</v>
      </c>
      <c r="H638" s="106" t="str">
        <f>B06_Assessment!$F$78</f>
        <v>Paul</v>
      </c>
      <c r="I638" s="106">
        <f>B06_Assessment!$G$78</f>
        <v>0</v>
      </c>
      <c r="J638" s="106" t="str">
        <f>B06_Assessment!$H$78</f>
        <v>B06-R5</v>
      </c>
      <c r="K638" s="106" t="str">
        <f>B06_Assessment!$I$78</f>
        <v>Closed</v>
      </c>
      <c r="L638" s="106">
        <f>B06_Assessment!$J$78</f>
        <v>0</v>
      </c>
    </row>
    <row r="639" spans="1:12" ht="97.5" customHeight="1">
      <c r="A639" s="106" t="str">
        <f>B06_Assessment!$B$2</f>
        <v>06</v>
      </c>
      <c r="B639" s="106" t="str">
        <f t="shared" ref="B639:B645" si="67">"B06_Assessment"</f>
        <v>B06_Assessment</v>
      </c>
      <c r="C639" s="106" t="str">
        <f>B06_Assessment!$A$79</f>
        <v>B06-P006</v>
      </c>
      <c r="D639" s="142" t="str">
        <f>B06_Assessment!$B$79</f>
        <v>All</v>
      </c>
      <c r="E639" s="142" t="str">
        <f>B06_Assessment!$C$79</f>
        <v>Electrical</v>
      </c>
      <c r="F639" s="106" t="str">
        <f>B06_Assessment!$D$79</f>
        <v>B06-NP-TR, B06-EP-TR, B06-TR178A/B, B06-TR233A/B, breakers, SPD, labels</v>
      </c>
      <c r="G639" s="106">
        <f>B06_Assessment!$E$79</f>
        <v>0</v>
      </c>
      <c r="H639" s="106" t="str">
        <f>B06_Assessment!$F$79</f>
        <v>Paul</v>
      </c>
      <c r="I639" s="106">
        <f>B06_Assessment!$G$79</f>
        <v>0</v>
      </c>
      <c r="J639" s="106" t="str">
        <f>B06_Assessment!$H$79</f>
        <v>B06-R3/B06-R6</v>
      </c>
      <c r="K639" s="106" t="str">
        <f>B06_Assessment!$I$79</f>
        <v>Closed</v>
      </c>
      <c r="L639" s="106">
        <f>B06_Assessment!$J$79</f>
        <v>0</v>
      </c>
    </row>
    <row r="640" spans="1:12" ht="97.5" customHeight="1">
      <c r="A640" s="106" t="str">
        <f>B06_Assessment!$B$2</f>
        <v>06</v>
      </c>
      <c r="B640" s="106" t="str">
        <f t="shared" si="67"/>
        <v>B06_Assessment</v>
      </c>
      <c r="C640" s="106" t="str">
        <f>B06_Assessment!$A$80</f>
        <v>B06-P007</v>
      </c>
      <c r="D640" s="142" t="str">
        <f>B06_Assessment!$B$80</f>
        <v>All</v>
      </c>
      <c r="E640" s="142" t="str">
        <f>B06_Assessment!$C$80</f>
        <v>Telecom</v>
      </c>
      <c r="F640" s="106" t="str">
        <f>B06_Assessment!$D$80</f>
        <v>Racks, ladder tray, fiber, Cat6A, LIU, patch panels, labels, test records</v>
      </c>
      <c r="G640" s="106">
        <f>B06_Assessment!$E$80</f>
        <v>0</v>
      </c>
      <c r="H640" s="106" t="str">
        <f>B06_Assessment!$F$80</f>
        <v>Paul</v>
      </c>
      <c r="I640" s="106">
        <f>B06_Assessment!$G$80</f>
        <v>0</v>
      </c>
      <c r="J640" s="106" t="str">
        <f>B06_Assessment!$H$80</f>
        <v>B06-R7</v>
      </c>
      <c r="K640" s="106" t="str">
        <f>B06_Assessment!$I$80</f>
        <v>Closed</v>
      </c>
      <c r="L640" s="106">
        <f>B06_Assessment!$J$80</f>
        <v>0</v>
      </c>
    </row>
    <row r="641" spans="1:12" ht="97.5" customHeight="1">
      <c r="A641" s="106" t="str">
        <f>B06_Assessment!$B$2</f>
        <v>06</v>
      </c>
      <c r="B641" s="106" t="str">
        <f t="shared" si="67"/>
        <v>B06_Assessment</v>
      </c>
      <c r="C641" s="106" t="str">
        <f>B06_Assessment!$A$81</f>
        <v>B06-P008</v>
      </c>
      <c r="D641" s="142" t="str">
        <f>B06_Assessment!$B$81</f>
        <v>All</v>
      </c>
      <c r="E641" s="142" t="str">
        <f>B06_Assessment!$C$81</f>
        <v>Security</v>
      </c>
      <c r="F641" s="106" t="str">
        <f>B06_Assessment!$D$81</f>
        <v>Card readers, electric strikes, door position, motion sensors, CCTV/PACS integration</v>
      </c>
      <c r="G641" s="106">
        <f>B06_Assessment!$E$81</f>
        <v>0</v>
      </c>
      <c r="H641" s="106" t="str">
        <f>B06_Assessment!$F$81</f>
        <v>Paul</v>
      </c>
      <c r="I641" s="106">
        <f>B06_Assessment!$G$81</f>
        <v>0</v>
      </c>
      <c r="J641" s="106" t="str">
        <f>B06_Assessment!$H$81</f>
        <v>B06-R4</v>
      </c>
      <c r="K641" s="106" t="str">
        <f>B06_Assessment!$I$81</f>
        <v>Closed</v>
      </c>
      <c r="L641" s="106">
        <f>B06_Assessment!$J$81</f>
        <v>0</v>
      </c>
    </row>
    <row r="642" spans="1:12" ht="97.5" customHeight="1">
      <c r="A642" s="106" t="str">
        <f>B07_Assessment!$B$2</f>
        <v>07</v>
      </c>
      <c r="B642" s="106" t="str">
        <f t="shared" si="67"/>
        <v>B06_Assessment</v>
      </c>
      <c r="C642" s="106" t="str">
        <f>B07_Assessment!$A$67</f>
        <v>B07-P001</v>
      </c>
      <c r="D642" s="142" t="str">
        <f>B07_Assessment!$B$67</f>
        <v>B-18</v>
      </c>
      <c r="E642" s="142" t="str">
        <f>B07_Assessment!$C$67</f>
        <v>Existing Condition</v>
      </c>
      <c r="F642" s="106" t="str">
        <f>B07_Assessment!$D$67</f>
        <v>Basement TR B-18 existing room, walls, ceiling, floor, utilities, penetrations and pathway</v>
      </c>
      <c r="G642" s="106">
        <f>B07_Assessment!$E$67</f>
        <v>0</v>
      </c>
      <c r="H642" s="106" t="str">
        <f>B07_Assessment!$F$67</f>
        <v>Paul</v>
      </c>
      <c r="I642" s="106">
        <f>B07_Assessment!$G$67</f>
        <v>0</v>
      </c>
      <c r="J642" s="106" t="str">
        <f>B07_Assessment!$H$67</f>
        <v>B07-R1/B07-R2</v>
      </c>
      <c r="K642" s="106" t="str">
        <f>B07_Assessment!$I$67</f>
        <v>Closed</v>
      </c>
      <c r="L642" s="106">
        <f>B07_Assessment!$J$67</f>
        <v>0</v>
      </c>
    </row>
    <row r="643" spans="1:12" ht="97.5" customHeight="1">
      <c r="A643" s="106" t="str">
        <f>B07_Assessment!$B$2</f>
        <v>07</v>
      </c>
      <c r="B643" s="106" t="str">
        <f t="shared" si="67"/>
        <v>B06_Assessment</v>
      </c>
      <c r="C643" s="106" t="str">
        <f>B07_Assessment!$A$68</f>
        <v>B07-P002</v>
      </c>
      <c r="D643" s="142" t="str">
        <f>B07_Assessment!$B$68</f>
        <v>228A</v>
      </c>
      <c r="E643" s="142" t="str">
        <f>B07_Assessment!$C$68</f>
        <v>Existing Condition</v>
      </c>
      <c r="F643" s="106" t="str">
        <f>B07_Assessment!$D$68</f>
        <v>Second-floor TR 228A, door/wall/furring/window conditions, adjacent spaces and pathway</v>
      </c>
      <c r="G643" s="106">
        <f>B07_Assessment!$E$68</f>
        <v>0</v>
      </c>
      <c r="H643" s="106" t="str">
        <f>B07_Assessment!$F$68</f>
        <v>Paul</v>
      </c>
      <c r="I643" s="106">
        <f>B07_Assessment!$G$68</f>
        <v>0</v>
      </c>
      <c r="J643" s="106" t="str">
        <f>B07_Assessment!$H$68</f>
        <v>B07-R1/B07-R3</v>
      </c>
      <c r="K643" s="106" t="str">
        <f>B07_Assessment!$I$68</f>
        <v>Closed</v>
      </c>
      <c r="L643" s="106">
        <f>B07_Assessment!$J$68</f>
        <v>0</v>
      </c>
    </row>
    <row r="644" spans="1:12" ht="97.5" customHeight="1">
      <c r="A644" s="106" t="str">
        <f>B07_Assessment!$B$2</f>
        <v>07</v>
      </c>
      <c r="B644" s="106" t="str">
        <f t="shared" si="67"/>
        <v>B06_Assessment</v>
      </c>
      <c r="C644" s="106" t="str">
        <f>B07_Assessment!$A$69</f>
        <v>B07-P003</v>
      </c>
      <c r="D644" s="142" t="str">
        <f>B07_Assessment!$B$69</f>
        <v>All</v>
      </c>
      <c r="E644" s="142" t="str">
        <f>B07_Assessment!$C$69</f>
        <v>Firestop</v>
      </c>
      <c r="F644" s="106" t="str">
        <f>B07_Assessment!$D$69</f>
        <v>All wall/floor/sleeve/tray penetrations before and after firestop</v>
      </c>
      <c r="G644" s="106">
        <f>B07_Assessment!$E$69</f>
        <v>0</v>
      </c>
      <c r="H644" s="106" t="str">
        <f>B07_Assessment!$F$69</f>
        <v>Paul</v>
      </c>
      <c r="I644" s="106">
        <f>B07_Assessment!$G$69</f>
        <v>0</v>
      </c>
      <c r="J644" s="106" t="str">
        <f>B07_Assessment!$H$69</f>
        <v>B07-R7</v>
      </c>
      <c r="K644" s="106" t="str">
        <f>B07_Assessment!$I$69</f>
        <v>Closed</v>
      </c>
      <c r="L644" s="106">
        <f>B07_Assessment!$J$69</f>
        <v>0</v>
      </c>
    </row>
    <row r="645" spans="1:12" ht="97.5" customHeight="1">
      <c r="A645" s="106" t="str">
        <f>B07_Assessment!$B$2</f>
        <v>07</v>
      </c>
      <c r="B645" s="106" t="str">
        <f t="shared" si="67"/>
        <v>B06_Assessment</v>
      </c>
      <c r="C645" s="106" t="str">
        <f>B07_Assessment!$A$70</f>
        <v>B07-P004</v>
      </c>
      <c r="D645" s="142" t="str">
        <f>B07_Assessment!$B$70</f>
        <v>B-18/228A</v>
      </c>
      <c r="E645" s="142" t="str">
        <f>B07_Assessment!$C$70</f>
        <v>HVAC</v>
      </c>
      <c r="F645" s="106" t="str">
        <f>B07_Assessment!$D$70</f>
        <v>IU/CU units, condensate, thermostat, BACnet adapter, disconnects, high-temp alarm and power source</v>
      </c>
      <c r="G645" s="106">
        <f>B07_Assessment!$E$70</f>
        <v>0</v>
      </c>
      <c r="H645" s="106" t="str">
        <f>B07_Assessment!$F$70</f>
        <v>Paul</v>
      </c>
      <c r="I645" s="106">
        <f>B07_Assessment!$G$70</f>
        <v>0</v>
      </c>
      <c r="J645" s="106" t="str">
        <f>B07_Assessment!$H$70</f>
        <v>B07-R4</v>
      </c>
      <c r="K645" s="106" t="str">
        <f>B07_Assessment!$I$70</f>
        <v>Closed</v>
      </c>
      <c r="L645" s="106">
        <f>B07_Assessment!$J$70</f>
        <v>0</v>
      </c>
    </row>
    <row r="646" spans="1:12" ht="97.5" customHeight="1">
      <c r="A646" s="106" t="str">
        <f>B07_Assessment!$B$2</f>
        <v>07</v>
      </c>
      <c r="B646" s="106" t="str">
        <f t="shared" ref="B646:B653" si="68">"B07_Assessment"</f>
        <v>B07_Assessment</v>
      </c>
      <c r="C646" s="106" t="str">
        <f>B07_Assessment!$A$71</f>
        <v>B07-P005</v>
      </c>
      <c r="D646" s="142" t="str">
        <f>B07_Assessment!$B$71</f>
        <v>All</v>
      </c>
      <c r="E646" s="142" t="str">
        <f>B07_Assessment!$C$71</f>
        <v>Electrical</v>
      </c>
      <c r="F646" s="106" t="str">
        <f>B07_Assessment!$D$71</f>
        <v>B07-TRB18A/B and B07-TR228A/B panels, breakers, SPD, rack receptacles and labels</v>
      </c>
      <c r="G646" s="106">
        <f>B07_Assessment!$E$71</f>
        <v>0</v>
      </c>
      <c r="H646" s="106" t="str">
        <f>B07_Assessment!$F$71</f>
        <v>Paul</v>
      </c>
      <c r="I646" s="106">
        <f>B07_Assessment!$G$71</f>
        <v>0</v>
      </c>
      <c r="J646" s="106" t="str">
        <f>B07_Assessment!$H$71</f>
        <v>B07-R5</v>
      </c>
      <c r="K646" s="106" t="str">
        <f>B07_Assessment!$I$71</f>
        <v>Closed</v>
      </c>
      <c r="L646" s="106">
        <f>B07_Assessment!$J$71</f>
        <v>0</v>
      </c>
    </row>
    <row r="647" spans="1:12" ht="97.5" customHeight="1">
      <c r="A647" s="106" t="str">
        <f>B07_Assessment!$B$2</f>
        <v>07</v>
      </c>
      <c r="B647" s="106" t="str">
        <f t="shared" si="68"/>
        <v>B07_Assessment</v>
      </c>
      <c r="C647" s="106" t="str">
        <f>B07_Assessment!$A$72</f>
        <v>B07-P006</v>
      </c>
      <c r="D647" s="142" t="str">
        <f>B07_Assessment!$B$72</f>
        <v>All</v>
      </c>
      <c r="E647" s="142" t="str">
        <f>B07_Assessment!$C$72</f>
        <v>Telecom</v>
      </c>
      <c r="F647" s="106" t="str">
        <f>B07_Assessment!$D$72</f>
        <v>Racks, ladder tray, fiber, Cat6A, patch panels, LIU, labels and test records</v>
      </c>
      <c r="G647" s="106">
        <f>B07_Assessment!$E$72</f>
        <v>0</v>
      </c>
      <c r="H647" s="106" t="str">
        <f>B07_Assessment!$F$72</f>
        <v>Paul</v>
      </c>
      <c r="I647" s="106">
        <f>B07_Assessment!$G$72</f>
        <v>0</v>
      </c>
      <c r="J647" s="106" t="str">
        <f>B07_Assessment!$H$72</f>
        <v>B07-R6</v>
      </c>
      <c r="K647" s="106" t="str">
        <f>B07_Assessment!$I$72</f>
        <v>Closed</v>
      </c>
      <c r="L647" s="106">
        <f>B07_Assessment!$J$72</f>
        <v>0</v>
      </c>
    </row>
    <row r="648" spans="1:12" ht="97.5" customHeight="1">
      <c r="A648" s="106" t="str">
        <f>B07_Assessment!$B$2</f>
        <v>07</v>
      </c>
      <c r="B648" s="106" t="str">
        <f t="shared" si="68"/>
        <v>B07_Assessment</v>
      </c>
      <c r="C648" s="106" t="str">
        <f>B07_Assessment!$A$73</f>
        <v>B07-P007</v>
      </c>
      <c r="D648" s="142" t="str">
        <f>B07_Assessment!$B$73</f>
        <v>All</v>
      </c>
      <c r="E648" s="142" t="str">
        <f>B07_Assessment!$C$73</f>
        <v>Security</v>
      </c>
      <c r="F648" s="106" t="str">
        <f>B07_Assessment!$D$73</f>
        <v>Card reader, electric strike, door position, CCTV/PACS and motion sensors</v>
      </c>
      <c r="G648" s="106">
        <f>B07_Assessment!$E$73</f>
        <v>0</v>
      </c>
      <c r="H648" s="106" t="str">
        <f>B07_Assessment!$F$73</f>
        <v>Paul</v>
      </c>
      <c r="I648" s="106">
        <f>B07_Assessment!$G$73</f>
        <v>0</v>
      </c>
      <c r="J648" s="106" t="str">
        <f>B07_Assessment!$H$73</f>
        <v>B07-R3</v>
      </c>
      <c r="K648" s="106" t="str">
        <f>B07_Assessment!$I$73</f>
        <v>Closed</v>
      </c>
      <c r="L648" s="106">
        <f>B07_Assessment!$J$73</f>
        <v>0</v>
      </c>
    </row>
    <row r="649" spans="1:12" ht="97.5" customHeight="1">
      <c r="A649" s="106" t="str">
        <f>B08_Assessment!$B$2</f>
        <v>08</v>
      </c>
      <c r="B649" s="106" t="str">
        <f t="shared" si="68"/>
        <v>B07_Assessment</v>
      </c>
      <c r="C649" s="106" t="str">
        <f>B08_Assessment!$A$74</f>
        <v>B08-P001</v>
      </c>
      <c r="D649" s="142" t="str">
        <f>B08_Assessment!$B$74</f>
        <v>B-15</v>
      </c>
      <c r="E649" s="142" t="str">
        <f>B08_Assessment!$C$74</f>
        <v>Existing Condition</v>
      </c>
      <c r="F649" s="106" t="str">
        <f>B08_Assessment!$D$74</f>
        <v>Existing basement TE, legacy patch panels, Fiber LIU, floor UPS and pathways</v>
      </c>
      <c r="G649" s="106">
        <f>B08_Assessment!$E$74</f>
        <v>0</v>
      </c>
      <c r="H649" s="106" t="str">
        <f>B08_Assessment!$F$74</f>
        <v>Paul</v>
      </c>
      <c r="I649" s="106">
        <f>B08_Assessment!$G$74</f>
        <v>0</v>
      </c>
      <c r="J649" s="106" t="str">
        <f>B08_Assessment!$H$74</f>
        <v>B08-R1/B08-R2</v>
      </c>
      <c r="K649" s="106" t="str">
        <f>B08_Assessment!$I$74</f>
        <v>Closed</v>
      </c>
      <c r="L649" s="106">
        <f>B08_Assessment!$J$74</f>
        <v>0</v>
      </c>
    </row>
    <row r="650" spans="1:12" ht="97.5" customHeight="1">
      <c r="A650" s="106" t="str">
        <f>B08_Assessment!$B$2</f>
        <v>08</v>
      </c>
      <c r="B650" s="106" t="str">
        <f t="shared" si="68"/>
        <v>B07_Assessment</v>
      </c>
      <c r="C650" s="106" t="str">
        <f>B08_Assessment!$A$75</f>
        <v>B08-P002</v>
      </c>
      <c r="D650" s="142" t="str">
        <f>B08_Assessment!$B$75</f>
        <v>B12B</v>
      </c>
      <c r="E650" s="142" t="str">
        <f>B08_Assessment!$C$75</f>
        <v>Existing Condition</v>
      </c>
      <c r="F650" s="106" t="str">
        <f>B08_Assessment!$D$75</f>
        <v>Basement B12B office/TE location, door, pathways, receptacles, panel source and penetrations</v>
      </c>
      <c r="G650" s="106">
        <f>B08_Assessment!$E$75</f>
        <v>0</v>
      </c>
      <c r="H650" s="106" t="str">
        <f>B08_Assessment!$F$75</f>
        <v>Paul</v>
      </c>
      <c r="I650" s="106">
        <f>B08_Assessment!$G$75</f>
        <v>0</v>
      </c>
      <c r="J650" s="106" t="str">
        <f>B08_Assessment!$H$75</f>
        <v>B08-R3</v>
      </c>
      <c r="K650" s="106" t="str">
        <f>B08_Assessment!$I$75</f>
        <v>Closed</v>
      </c>
      <c r="L650" s="106">
        <f>B08_Assessment!$J$75</f>
        <v>0</v>
      </c>
    </row>
    <row r="651" spans="1:12" ht="97.5" customHeight="1">
      <c r="A651" s="106" t="str">
        <f>B08_Assessment!$B$2</f>
        <v>08</v>
      </c>
      <c r="B651" s="106" t="str">
        <f t="shared" si="68"/>
        <v>B07_Assessment</v>
      </c>
      <c r="C651" s="106" t="str">
        <f>B08_Assessment!$A$76</f>
        <v>B08-P003</v>
      </c>
      <c r="D651" s="142" t="str">
        <f>B08_Assessment!$B$76</f>
        <v>2065A</v>
      </c>
      <c r="E651" s="142" t="str">
        <f>B08_Assessment!$C$76</f>
        <v>Existing Condition</v>
      </c>
      <c r="F651" s="106" t="str">
        <f>B08_Assessment!$D$76</f>
        <v>Second-floor TR 2065A room, door/walls/ceiling/floor, exterior furring/window, penetrations</v>
      </c>
      <c r="G651" s="106">
        <f>B08_Assessment!$E$76</f>
        <v>0</v>
      </c>
      <c r="H651" s="106" t="str">
        <f>B08_Assessment!$F$76</f>
        <v>Paul</v>
      </c>
      <c r="I651" s="106">
        <f>B08_Assessment!$G$76</f>
        <v>0</v>
      </c>
      <c r="J651" s="106" t="str">
        <f>B08_Assessment!$H$76</f>
        <v>B08-R4</v>
      </c>
      <c r="K651" s="106" t="str">
        <f>B08_Assessment!$I$76</f>
        <v>Closed</v>
      </c>
      <c r="L651" s="106">
        <f>B08_Assessment!$J$76</f>
        <v>0</v>
      </c>
    </row>
    <row r="652" spans="1:12" ht="97.5" customHeight="1">
      <c r="A652" s="106" t="str">
        <f>B08_Assessment!$B$2</f>
        <v>08</v>
      </c>
      <c r="B652" s="106" t="str">
        <f t="shared" si="68"/>
        <v>B07_Assessment</v>
      </c>
      <c r="C652" s="106" t="str">
        <f>B08_Assessment!$A$77</f>
        <v>B08-P004</v>
      </c>
      <c r="D652" s="142" t="str">
        <f>B08_Assessment!$B$77</f>
        <v>All</v>
      </c>
      <c r="E652" s="142" t="str">
        <f>B08_Assessment!$C$77</f>
        <v>Firestop</v>
      </c>
      <c r="F652" s="106" t="str">
        <f>B08_Assessment!$D$77</f>
        <v>All wall/floor/sleeve/tray penetrations before and after firestop</v>
      </c>
      <c r="G652" s="106">
        <f>B08_Assessment!$E$77</f>
        <v>0</v>
      </c>
      <c r="H652" s="106" t="str">
        <f>B08_Assessment!$F$77</f>
        <v>Paul</v>
      </c>
      <c r="I652" s="106">
        <f>B08_Assessment!$G$77</f>
        <v>0</v>
      </c>
      <c r="J652" s="106" t="str">
        <f>B08_Assessment!$H$77</f>
        <v>B08-R7</v>
      </c>
      <c r="K652" s="106" t="str">
        <f>B08_Assessment!$I$77</f>
        <v>Closed</v>
      </c>
      <c r="L652" s="106">
        <f>B08_Assessment!$J$77</f>
        <v>0</v>
      </c>
    </row>
    <row r="653" spans="1:12" ht="97.5" customHeight="1">
      <c r="A653" s="106" t="str">
        <f>B08_Assessment!$B$2</f>
        <v>08</v>
      </c>
      <c r="B653" s="106" t="str">
        <f t="shared" si="68"/>
        <v>B07_Assessment</v>
      </c>
      <c r="C653" s="106" t="str">
        <f>B08_Assessment!$A$78</f>
        <v>B08-P005</v>
      </c>
      <c r="D653" s="142" t="str">
        <f>B08_Assessment!$B$78</f>
        <v>2065A</v>
      </c>
      <c r="E653" s="142" t="str">
        <f>B08_Assessment!$C$78</f>
        <v>HVAC</v>
      </c>
      <c r="F653" s="106" t="str">
        <f>B08_Assessment!$D$78</f>
        <v>IU-2-01/CU-2-01, condensate, thermostat, BACnet adapter, disconnects, high-temp alarm and power</v>
      </c>
      <c r="G653" s="106">
        <f>B08_Assessment!$E$78</f>
        <v>0</v>
      </c>
      <c r="H653" s="106" t="str">
        <f>B08_Assessment!$F$78</f>
        <v>Paul</v>
      </c>
      <c r="I653" s="106">
        <f>B08_Assessment!$G$78</f>
        <v>0</v>
      </c>
      <c r="J653" s="106" t="str">
        <f>B08_Assessment!$H$78</f>
        <v>B08-R5</v>
      </c>
      <c r="K653" s="106" t="str">
        <f>B08_Assessment!$I$78</f>
        <v>Closed</v>
      </c>
      <c r="L653" s="106">
        <f>B08_Assessment!$J$78</f>
        <v>0</v>
      </c>
    </row>
    <row r="654" spans="1:12" ht="97.5" customHeight="1">
      <c r="A654" s="106" t="str">
        <f>B08_Assessment!$B$2</f>
        <v>08</v>
      </c>
      <c r="B654" s="106" t="str">
        <f t="shared" ref="B654:B661" si="69">"B08_Assessment"</f>
        <v>B08_Assessment</v>
      </c>
      <c r="C654" s="106" t="str">
        <f>B08_Assessment!$A$79</f>
        <v>B08-P006</v>
      </c>
      <c r="D654" s="142" t="str">
        <f>B08_Assessment!$B$79</f>
        <v>All</v>
      </c>
      <c r="E654" s="142" t="str">
        <f>B08_Assessment!$C$79</f>
        <v>Electrical</v>
      </c>
      <c r="F654" s="106" t="str">
        <f>B08_Assessment!$D$79</f>
        <v>B08-TR2065AA/AB panels, breakers, SPD, rack receptacles, TE receptacle B12B and labels</v>
      </c>
      <c r="G654" s="106">
        <f>B08_Assessment!$E$79</f>
        <v>0</v>
      </c>
      <c r="H654" s="106" t="str">
        <f>B08_Assessment!$F$79</f>
        <v>Paul</v>
      </c>
      <c r="I654" s="106">
        <f>B08_Assessment!$G$79</f>
        <v>0</v>
      </c>
      <c r="J654" s="106" t="str">
        <f>B08_Assessment!$H$79</f>
        <v>B08-R6</v>
      </c>
      <c r="K654" s="106" t="str">
        <f>B08_Assessment!$I$79</f>
        <v>Closed</v>
      </c>
      <c r="L654" s="106">
        <f>B08_Assessment!$J$79</f>
        <v>0</v>
      </c>
    </row>
    <row r="655" spans="1:12" ht="97.5" customHeight="1">
      <c r="A655" s="106" t="str">
        <f>B08_Assessment!$B$2</f>
        <v>08</v>
      </c>
      <c r="B655" s="106" t="str">
        <f t="shared" si="69"/>
        <v>B08_Assessment</v>
      </c>
      <c r="C655" s="106" t="str">
        <f>B08_Assessment!$A$80</f>
        <v>B08-P007</v>
      </c>
      <c r="D655" s="142" t="str">
        <f>B08_Assessment!$B$80</f>
        <v>All</v>
      </c>
      <c r="E655" s="142" t="str">
        <f>B08_Assessment!$C$80</f>
        <v>Telecom</v>
      </c>
      <c r="F655" s="106" t="str">
        <f>B08_Assessment!$D$80</f>
        <v>B-15 legacy equipment, B12B TE schedule, 2065A racks, fiber, Cat6A, patch panels, LIU, labels and test records</v>
      </c>
      <c r="G655" s="106">
        <f>B08_Assessment!$E$80</f>
        <v>0</v>
      </c>
      <c r="H655" s="106" t="str">
        <f>B08_Assessment!$F$80</f>
        <v>Paul</v>
      </c>
      <c r="I655" s="106">
        <f>B08_Assessment!$G$80</f>
        <v>0</v>
      </c>
      <c r="J655" s="106" t="str">
        <f>B08_Assessment!$H$80</f>
        <v>B08-R2/B08-R8</v>
      </c>
      <c r="K655" s="106" t="str">
        <f>B08_Assessment!$I$80</f>
        <v>Closed</v>
      </c>
      <c r="L655" s="106">
        <f>B08_Assessment!$J$80</f>
        <v>0</v>
      </c>
    </row>
    <row r="656" spans="1:12" ht="97.5" customHeight="1">
      <c r="A656" s="106" t="str">
        <f>B08_Assessment!$B$2</f>
        <v>08</v>
      </c>
      <c r="B656" s="106" t="str">
        <f t="shared" si="69"/>
        <v>B08_Assessment</v>
      </c>
      <c r="C656" s="106" t="str">
        <f>B08_Assessment!$A$81</f>
        <v>B08-P008</v>
      </c>
      <c r="D656" s="142" t="str">
        <f>B08_Assessment!$B$81</f>
        <v>All</v>
      </c>
      <c r="E656" s="142" t="str">
        <f>B08_Assessment!$C$81</f>
        <v>Security</v>
      </c>
      <c r="F656" s="106" t="str">
        <f>B08_Assessment!$D$81</f>
        <v>Card reader, electric strike, door position, CCTV/PACS and motion sensors</v>
      </c>
      <c r="G656" s="106">
        <f>B08_Assessment!$E$81</f>
        <v>0</v>
      </c>
      <c r="H656" s="106" t="str">
        <f>B08_Assessment!$F$81</f>
        <v>Paul</v>
      </c>
      <c r="I656" s="106">
        <f>B08_Assessment!$G$81</f>
        <v>0</v>
      </c>
      <c r="J656" s="106" t="str">
        <f>B08_Assessment!$H$81</f>
        <v>B08-R4</v>
      </c>
      <c r="K656" s="106" t="str">
        <f>B08_Assessment!$I$81</f>
        <v>Closed</v>
      </c>
      <c r="L656" s="106">
        <f>B08_Assessment!$J$81</f>
        <v>0</v>
      </c>
    </row>
    <row r="657" spans="1:12" ht="97.5" customHeight="1">
      <c r="A657" s="106" t="str">
        <f>B09_Assessment!$B$2</f>
        <v>09</v>
      </c>
      <c r="B657" s="106" t="str">
        <f t="shared" si="69"/>
        <v>B08_Assessment</v>
      </c>
      <c r="C657" s="106" t="str">
        <f>B09_Assessment!$A$74</f>
        <v>B09-P001</v>
      </c>
      <c r="D657" s="142" t="str">
        <f>B09_Assessment!$B$74</f>
        <v>B01</v>
      </c>
      <c r="E657" s="142" t="str">
        <f>B09_Assessment!$C$74</f>
        <v>Existing Condition</v>
      </c>
      <c r="F657" s="106" t="str">
        <f>B09_Assessment!$D$74</f>
        <v>Basement TR B01 existing telecom/security/network equipment, storage conditions, panels, ceiling, walls and pathways</v>
      </c>
      <c r="G657" s="106">
        <f>B09_Assessment!$E$74</f>
        <v>0</v>
      </c>
      <c r="H657" s="106" t="str">
        <f>B09_Assessment!$F$74</f>
        <v>Paul</v>
      </c>
      <c r="I657" s="106">
        <f>B09_Assessment!$G$74</f>
        <v>0</v>
      </c>
      <c r="J657" s="106" t="str">
        <f>B09_Assessment!$H$74</f>
        <v>B09-R1/B09-R2</v>
      </c>
      <c r="K657" s="106" t="str">
        <f>B09_Assessment!$I$74</f>
        <v>Closed</v>
      </c>
      <c r="L657" s="106">
        <f>B09_Assessment!$J$74</f>
        <v>0</v>
      </c>
    </row>
    <row r="658" spans="1:12" ht="97.5" customHeight="1">
      <c r="A658" s="106" t="str">
        <f>B09_Assessment!$B$2</f>
        <v>09</v>
      </c>
      <c r="B658" s="106" t="str">
        <f t="shared" si="69"/>
        <v>B08_Assessment</v>
      </c>
      <c r="C658" s="106" t="str">
        <f>B09_Assessment!$A$75</f>
        <v>B09-P002</v>
      </c>
      <c r="D658" s="142" t="str">
        <f>B09_Assessment!$B$75</f>
        <v>104B</v>
      </c>
      <c r="E658" s="142" t="str">
        <f>B09_Assessment!$C$75</f>
        <v>Existing Condition</v>
      </c>
      <c r="F658" s="106" t="str">
        <f>B09_Assessment!$D$75</f>
        <v>First-level TR 104B, walls/door/ceiling/floor, security devices, IU-1-01 location and pathways</v>
      </c>
      <c r="G658" s="106">
        <f>B09_Assessment!$E$75</f>
        <v>0</v>
      </c>
      <c r="H658" s="106" t="str">
        <f>B09_Assessment!$F$75</f>
        <v>Paul</v>
      </c>
      <c r="I658" s="106">
        <f>B09_Assessment!$G$75</f>
        <v>0</v>
      </c>
      <c r="J658" s="106" t="str">
        <f>B09_Assessment!$H$75</f>
        <v>B09-R1/B09-R4</v>
      </c>
      <c r="K658" s="106" t="str">
        <f>B09_Assessment!$I$75</f>
        <v>Closed</v>
      </c>
      <c r="L658" s="106">
        <f>B09_Assessment!$J$75</f>
        <v>0</v>
      </c>
    </row>
    <row r="659" spans="1:12" ht="97.5" customHeight="1">
      <c r="A659" s="106" t="str">
        <f>B09_Assessment!$B$2</f>
        <v>09</v>
      </c>
      <c r="B659" s="106" t="str">
        <f t="shared" si="69"/>
        <v>B08_Assessment</v>
      </c>
      <c r="C659" s="106" t="str">
        <f>B09_Assessment!$A$76</f>
        <v>B09-P003</v>
      </c>
      <c r="D659" s="142" t="str">
        <f>B09_Assessment!$B$76</f>
        <v>206A</v>
      </c>
      <c r="E659" s="142" t="str">
        <f>B09_Assessment!$C$76</f>
        <v>Existing Condition</v>
      </c>
      <c r="F659" s="106" t="str">
        <f>B09_Assessment!$D$76</f>
        <v>Second-level TR 206A, walls/door/ceiling/floor, adjacent Nursing Service 206, IU-2-01 location and pathways</v>
      </c>
      <c r="G659" s="106">
        <f>B09_Assessment!$E$76</f>
        <v>0</v>
      </c>
      <c r="H659" s="106" t="str">
        <f>B09_Assessment!$F$76</f>
        <v>Paul</v>
      </c>
      <c r="I659" s="106">
        <f>B09_Assessment!$G$76</f>
        <v>0</v>
      </c>
      <c r="J659" s="106" t="str">
        <f>B09_Assessment!$H$76</f>
        <v>B09-R1/B09-R4</v>
      </c>
      <c r="K659" s="106" t="str">
        <f>B09_Assessment!$I$76</f>
        <v>Closed</v>
      </c>
      <c r="L659" s="106">
        <f>B09_Assessment!$J$76</f>
        <v>0</v>
      </c>
    </row>
    <row r="660" spans="1:12" ht="97.5" customHeight="1">
      <c r="A660" s="106" t="str">
        <f>B09_Assessment!$B$2</f>
        <v>09</v>
      </c>
      <c r="B660" s="106" t="str">
        <f t="shared" si="69"/>
        <v>B08_Assessment</v>
      </c>
      <c r="C660" s="106" t="str">
        <f>B09_Assessment!$A$77</f>
        <v>B09-P004</v>
      </c>
      <c r="D660" s="142" t="str">
        <f>B09_Assessment!$B$77</f>
        <v>All</v>
      </c>
      <c r="E660" s="142" t="str">
        <f>B09_Assessment!$C$77</f>
        <v>Hazardous Materials</v>
      </c>
      <c r="F660" s="106" t="str">
        <f>B09_Assessment!$D$77</f>
        <v>Flooring, ceilings, pipe insulation, penetrations and abatement-related locations before disturbance</v>
      </c>
      <c r="G660" s="106">
        <f>B09_Assessment!$E$77</f>
        <v>0</v>
      </c>
      <c r="H660" s="106" t="str">
        <f>B09_Assessment!$F$77</f>
        <v>Paul</v>
      </c>
      <c r="I660" s="106">
        <f>B09_Assessment!$G$77</f>
        <v>0</v>
      </c>
      <c r="J660" s="106" t="str">
        <f>B09_Assessment!$H$77</f>
        <v>B09-R3</v>
      </c>
      <c r="K660" s="106" t="str">
        <f>B09_Assessment!$I$77</f>
        <v>Closed</v>
      </c>
      <c r="L660" s="106">
        <f>B09_Assessment!$J$77</f>
        <v>0</v>
      </c>
    </row>
    <row r="661" spans="1:12" ht="97.5" customHeight="1">
      <c r="A661" s="106" t="str">
        <f>B09_Assessment!$B$2</f>
        <v>09</v>
      </c>
      <c r="B661" s="106" t="str">
        <f t="shared" si="69"/>
        <v>B08_Assessment</v>
      </c>
      <c r="C661" s="106" t="str">
        <f>B09_Assessment!$A$78</f>
        <v>B09-P005</v>
      </c>
      <c r="D661" s="142" t="str">
        <f>B09_Assessment!$B$78</f>
        <v>All</v>
      </c>
      <c r="E661" s="142" t="str">
        <f>B09_Assessment!$C$78</f>
        <v>Firestop</v>
      </c>
      <c r="F661" s="106" t="str">
        <f>B09_Assessment!$D$78</f>
        <v>All wall/floor/sleeve/tray penetrations before and after firestop</v>
      </c>
      <c r="G661" s="106">
        <f>B09_Assessment!$E$78</f>
        <v>0</v>
      </c>
      <c r="H661" s="106" t="str">
        <f>B09_Assessment!$F$78</f>
        <v>Paul</v>
      </c>
      <c r="I661" s="106">
        <f>B09_Assessment!$G$78</f>
        <v>0</v>
      </c>
      <c r="J661" s="106" t="str">
        <f>B09_Assessment!$H$78</f>
        <v>B09-R7</v>
      </c>
      <c r="K661" s="106" t="str">
        <f>B09_Assessment!$I$78</f>
        <v>Closed</v>
      </c>
      <c r="L661" s="106">
        <f>B09_Assessment!$J$78</f>
        <v>0</v>
      </c>
    </row>
    <row r="662" spans="1:12" ht="97.5" customHeight="1">
      <c r="A662" s="106" t="str">
        <f>B09_Assessment!$B$2</f>
        <v>09</v>
      </c>
      <c r="B662" s="106" t="str">
        <f t="shared" ref="B662:B669" si="70">"B09_Assessment"</f>
        <v>B09_Assessment</v>
      </c>
      <c r="C662" s="106" t="str">
        <f>B09_Assessment!$A$79</f>
        <v>B09-P006</v>
      </c>
      <c r="D662" s="142" t="str">
        <f>B09_Assessment!$B$79</f>
        <v>All</v>
      </c>
      <c r="E662" s="142" t="str">
        <f>B09_Assessment!$C$79</f>
        <v>HVAC</v>
      </c>
      <c r="F662" s="106" t="str">
        <f>B09_Assessment!$D$79</f>
        <v>IU/CU equipment, condensate, thermostat, BACnet adapter, disconnects, high-temp alarm and power source</v>
      </c>
      <c r="G662" s="106">
        <f>B09_Assessment!$E$79</f>
        <v>0</v>
      </c>
      <c r="H662" s="106" t="str">
        <f>B09_Assessment!$F$79</f>
        <v>Paul</v>
      </c>
      <c r="I662" s="106">
        <f>B09_Assessment!$G$79</f>
        <v>0</v>
      </c>
      <c r="J662" s="106" t="str">
        <f>B09_Assessment!$H$79</f>
        <v>B09-R5</v>
      </c>
      <c r="K662" s="106" t="str">
        <f>B09_Assessment!$I$79</f>
        <v>Closed</v>
      </c>
      <c r="L662" s="106">
        <f>B09_Assessment!$J$79</f>
        <v>0</v>
      </c>
    </row>
    <row r="663" spans="1:12" ht="97.5" customHeight="1">
      <c r="A663" s="106" t="str">
        <f>B09_Assessment!$B$2</f>
        <v>09</v>
      </c>
      <c r="B663" s="106" t="str">
        <f t="shared" si="70"/>
        <v>B09_Assessment</v>
      </c>
      <c r="C663" s="106" t="str">
        <f>B09_Assessment!$A$80</f>
        <v>B09-P007</v>
      </c>
      <c r="D663" s="142" t="str">
        <f>B09_Assessment!$B$80</f>
        <v>All</v>
      </c>
      <c r="E663" s="142" t="str">
        <f>B09_Assessment!$C$80</f>
        <v>Electrical</v>
      </c>
      <c r="F663" s="106" t="str">
        <f>B09_Assessment!$D$80</f>
        <v>B09 TR panels, breakers, SPD, rack receptacles, access controllers, lighting and labels</v>
      </c>
      <c r="G663" s="106">
        <f>B09_Assessment!$E$80</f>
        <v>0</v>
      </c>
      <c r="H663" s="106" t="str">
        <f>B09_Assessment!$F$80</f>
        <v>Paul</v>
      </c>
      <c r="I663" s="106">
        <f>B09_Assessment!$G$80</f>
        <v>0</v>
      </c>
      <c r="J663" s="106" t="str">
        <f>B09_Assessment!$H$80</f>
        <v>B09-R6</v>
      </c>
      <c r="K663" s="106" t="str">
        <f>B09_Assessment!$I$80</f>
        <v>Closed</v>
      </c>
      <c r="L663" s="106">
        <f>B09_Assessment!$J$80</f>
        <v>0</v>
      </c>
    </row>
    <row r="664" spans="1:12" ht="97.5" customHeight="1">
      <c r="A664" s="106" t="str">
        <f>B09_Assessment!$B$2</f>
        <v>09</v>
      </c>
      <c r="B664" s="106" t="str">
        <f t="shared" si="70"/>
        <v>B09_Assessment</v>
      </c>
      <c r="C664" s="106" t="str">
        <f>B09_Assessment!$A$81</f>
        <v>B09-P008</v>
      </c>
      <c r="D664" s="142" t="str">
        <f>B09_Assessment!$B$81</f>
        <v>All</v>
      </c>
      <c r="E664" s="142" t="str">
        <f>B09_Assessment!$C$81</f>
        <v>Telecom/Security</v>
      </c>
      <c r="F664" s="106" t="str">
        <f>B09_Assessment!$D$81</f>
        <v>Racks, fiber, Cat6A, LIU, patch panels, labeling/testing, cameras, access control and VMS/PACS integration</v>
      </c>
      <c r="G664" s="106">
        <f>B09_Assessment!$E$81</f>
        <v>0</v>
      </c>
      <c r="H664" s="106" t="str">
        <f>B09_Assessment!$F$81</f>
        <v>Paul</v>
      </c>
      <c r="I664" s="106">
        <f>B09_Assessment!$G$81</f>
        <v>0</v>
      </c>
      <c r="J664" s="106" t="str">
        <f>B09_Assessment!$H$81</f>
        <v>B09-R8</v>
      </c>
      <c r="K664" s="106" t="str">
        <f>B09_Assessment!$I$81</f>
        <v>Closed</v>
      </c>
      <c r="L664" s="106">
        <f>B09_Assessment!$J$81</f>
        <v>0</v>
      </c>
    </row>
    <row r="665" spans="1:12" ht="97.5" customHeight="1">
      <c r="A665" s="106" t="str">
        <f>B10_Assessment!$B$2</f>
        <v>10</v>
      </c>
      <c r="B665" s="106" t="str">
        <f t="shared" si="70"/>
        <v>B09_Assessment</v>
      </c>
      <c r="C665" s="106" t="str">
        <f>B10_Assessment!$A$74</f>
        <v>B10-P001</v>
      </c>
      <c r="D665" s="142" t="str">
        <f>B10_Assessment!$B$74</f>
        <v>200A</v>
      </c>
      <c r="E665" s="142" t="str">
        <f>B10_Assessment!$C$74</f>
        <v>Existing Condition</v>
      </c>
      <c r="F665" s="106" t="str">
        <f>B10_Assessment!$D$74</f>
        <v>Attic TR 200A existing rack/equipment, floor/deck, walls, access route, pathways and clearances</v>
      </c>
      <c r="G665" s="106">
        <f>B10_Assessment!$E$74</f>
        <v>0</v>
      </c>
      <c r="H665" s="106" t="str">
        <f>B10_Assessment!$F$74</f>
        <v>Paul</v>
      </c>
      <c r="I665" s="106">
        <f>B10_Assessment!$G$74</f>
        <v>0</v>
      </c>
      <c r="J665" s="106" t="str">
        <f>B10_Assessment!$H$74</f>
        <v>B10-R1/B10-R3</v>
      </c>
      <c r="K665" s="106" t="str">
        <f>B10_Assessment!$I$74</f>
        <v>Closed</v>
      </c>
      <c r="L665" s="106">
        <f>B10_Assessment!$J$74</f>
        <v>0</v>
      </c>
    </row>
    <row r="666" spans="1:12" ht="97.5" customHeight="1">
      <c r="A666" s="106" t="str">
        <f>B10_Assessment!$B$2</f>
        <v>10</v>
      </c>
      <c r="B666" s="106" t="str">
        <f t="shared" si="70"/>
        <v>B09_Assessment</v>
      </c>
      <c r="C666" s="106" t="str">
        <f>B10_Assessment!$A$75</f>
        <v>B10-P002</v>
      </c>
      <c r="D666" s="142" t="str">
        <f>B10_Assessment!$B$75</f>
        <v>200A</v>
      </c>
      <c r="E666" s="142" t="str">
        <f>B10_Assessment!$C$75</f>
        <v>Hazardous Materials</v>
      </c>
      <c r="F666" s="106" t="str">
        <f>B10_Assessment!$D$75</f>
        <v>Attic abatement-related materials, flooring/penetrations, ceiling/deck and disturbance areas</v>
      </c>
      <c r="G666" s="106">
        <f>B10_Assessment!$E$75</f>
        <v>0</v>
      </c>
      <c r="H666" s="106" t="str">
        <f>B10_Assessment!$F$75</f>
        <v>Paul</v>
      </c>
      <c r="I666" s="106">
        <f>B10_Assessment!$G$75</f>
        <v>0</v>
      </c>
      <c r="J666" s="106" t="str">
        <f>B10_Assessment!$H$75</f>
        <v>B10-R2</v>
      </c>
      <c r="K666" s="106" t="str">
        <f>B10_Assessment!$I$75</f>
        <v>Closed</v>
      </c>
      <c r="L666" s="106">
        <f>B10_Assessment!$J$75</f>
        <v>0</v>
      </c>
    </row>
    <row r="667" spans="1:12" ht="97.5" customHeight="1">
      <c r="A667" s="106" t="str">
        <f>B10_Assessment!$B$2</f>
        <v>10</v>
      </c>
      <c r="B667" s="106" t="str">
        <f t="shared" si="70"/>
        <v>B09_Assessment</v>
      </c>
      <c r="C667" s="106" t="str">
        <f>B10_Assessment!$A$76</f>
        <v>B10-P003</v>
      </c>
      <c r="D667" s="142" t="str">
        <f>B10_Assessment!$B$76</f>
        <v>B24</v>
      </c>
      <c r="E667" s="142" t="str">
        <f>B10_Assessment!$C$76</f>
        <v>Electrical</v>
      </c>
      <c r="F667" s="106" t="str">
        <f>B10_Assessment!$D$76</f>
        <v>Existing normal electrical room panels, B10-MDP/B10-L10-E, feeder route and working clearances</v>
      </c>
      <c r="G667" s="106">
        <f>B10_Assessment!$E$76</f>
        <v>0</v>
      </c>
      <c r="H667" s="106" t="str">
        <f>B10_Assessment!$F$76</f>
        <v>Paul</v>
      </c>
      <c r="I667" s="106">
        <f>B10_Assessment!$G$76</f>
        <v>0</v>
      </c>
      <c r="J667" s="106" t="str">
        <f>B10_Assessment!$H$76</f>
        <v>B10-R5</v>
      </c>
      <c r="K667" s="106" t="str">
        <f>B10_Assessment!$I$76</f>
        <v>Closed</v>
      </c>
      <c r="L667" s="106">
        <f>B10_Assessment!$J$76</f>
        <v>0</v>
      </c>
    </row>
    <row r="668" spans="1:12" ht="97.5" customHeight="1">
      <c r="A668" s="106" t="str">
        <f>B10_Assessment!$B$2</f>
        <v>10</v>
      </c>
      <c r="B668" s="106" t="str">
        <f t="shared" si="70"/>
        <v>B09_Assessment</v>
      </c>
      <c r="C668" s="106" t="str">
        <f>B10_Assessment!$A$77</f>
        <v>B10-P004</v>
      </c>
      <c r="D668" s="142" t="str">
        <f>B10_Assessment!$B$77</f>
        <v>B25</v>
      </c>
      <c r="E668" s="142" t="str">
        <f>B10_Assessment!$C$77</f>
        <v>Electrical</v>
      </c>
      <c r="F668" s="106" t="str">
        <f>B10_Assessment!$D$77</f>
        <v>Existing emergency electrical room, ATS-B10-LSD/emergency distribution and access constraints</v>
      </c>
      <c r="G668" s="106">
        <f>B10_Assessment!$E$77</f>
        <v>0</v>
      </c>
      <c r="H668" s="106" t="str">
        <f>B10_Assessment!$F$77</f>
        <v>Paul</v>
      </c>
      <c r="I668" s="106">
        <f>B10_Assessment!$G$77</f>
        <v>0</v>
      </c>
      <c r="J668" s="106" t="str">
        <f>B10_Assessment!$H$77</f>
        <v>B10-R5</v>
      </c>
      <c r="K668" s="106" t="str">
        <f>B10_Assessment!$I$77</f>
        <v>Closed</v>
      </c>
      <c r="L668" s="106">
        <f>B10_Assessment!$J$77</f>
        <v>0</v>
      </c>
    </row>
    <row r="669" spans="1:12" ht="97.5" customHeight="1">
      <c r="A669" s="106" t="str">
        <f>B10_Assessment!$B$2</f>
        <v>10</v>
      </c>
      <c r="B669" s="106" t="str">
        <f t="shared" si="70"/>
        <v>B09_Assessment</v>
      </c>
      <c r="C669" s="106" t="str">
        <f>B10_Assessment!$A$78</f>
        <v>B10-P005</v>
      </c>
      <c r="D669" s="142" t="str">
        <f>B10_Assessment!$B$78</f>
        <v>200A</v>
      </c>
      <c r="E669" s="142" t="str">
        <f>B10_Assessment!$C$78</f>
        <v>Firestop</v>
      </c>
      <c r="F669" s="106" t="str">
        <f>B10_Assessment!$D$78</f>
        <v>All attic wall/floor/sleeve/tray penetrations before and after firestop</v>
      </c>
      <c r="G669" s="106">
        <f>B10_Assessment!$E$78</f>
        <v>0</v>
      </c>
      <c r="H669" s="106" t="str">
        <f>B10_Assessment!$F$78</f>
        <v>Paul</v>
      </c>
      <c r="I669" s="106">
        <f>B10_Assessment!$G$78</f>
        <v>0</v>
      </c>
      <c r="J669" s="106" t="str">
        <f>B10_Assessment!$H$78</f>
        <v>B10-R6</v>
      </c>
      <c r="K669" s="106" t="str">
        <f>B10_Assessment!$I$78</f>
        <v>Closed</v>
      </c>
      <c r="L669" s="106">
        <f>B10_Assessment!$J$78</f>
        <v>0</v>
      </c>
    </row>
    <row r="670" spans="1:12" ht="97.5" customHeight="1">
      <c r="A670" s="106" t="str">
        <f>B10_Assessment!$B$2</f>
        <v>10</v>
      </c>
      <c r="B670" s="106" t="str">
        <f>"B10_Assessment"</f>
        <v>B10_Assessment</v>
      </c>
      <c r="C670" s="106" t="str">
        <f>B10_Assessment!$A$79</f>
        <v>B10-P006</v>
      </c>
      <c r="D670" s="142" t="str">
        <f>B10_Assessment!$B$79</f>
        <v>200A</v>
      </c>
      <c r="E670" s="142" t="str">
        <f>B10_Assessment!$C$79</f>
        <v>HVAC</v>
      </c>
      <c r="F670" s="106" t="str">
        <f>B10_Assessment!$D$79</f>
        <v>IU-1-01/CU-1-01, condensate, thermostat, BACnet adapter, disconnects, high-temp alarm and power source</v>
      </c>
      <c r="G670" s="106">
        <f>B10_Assessment!$E$79</f>
        <v>0</v>
      </c>
      <c r="H670" s="106" t="str">
        <f>B10_Assessment!$F$79</f>
        <v>Paul</v>
      </c>
      <c r="I670" s="106">
        <f>B10_Assessment!$G$79</f>
        <v>0</v>
      </c>
      <c r="J670" s="106" t="str">
        <f>B10_Assessment!$H$79</f>
        <v>B10-R4</v>
      </c>
      <c r="K670" s="106" t="str">
        <f>B10_Assessment!$I$79</f>
        <v>Closed</v>
      </c>
      <c r="L670" s="106">
        <f>B10_Assessment!$J$79</f>
        <v>0</v>
      </c>
    </row>
    <row r="671" spans="1:12" ht="97.5" customHeight="1">
      <c r="A671" s="106" t="str">
        <f>B10_Assessment!$B$2</f>
        <v>10</v>
      </c>
      <c r="B671" s="106" t="str">
        <f>"B10_Assessment"</f>
        <v>B10_Assessment</v>
      </c>
      <c r="C671" s="106" t="str">
        <f>B10_Assessment!$A$80</f>
        <v>B10-P007</v>
      </c>
      <c r="D671" s="142" t="str">
        <f>B10_Assessment!$B$80</f>
        <v>200A</v>
      </c>
      <c r="E671" s="142" t="str">
        <f>B10_Assessment!$C$80</f>
        <v>Telecom</v>
      </c>
      <c r="F671" s="106" t="str">
        <f>B10_Assessment!$D$80</f>
        <v>Racks, UPS/PDU, fiber, Cat6A, patch panels, LIU, bonding, labels and test records</v>
      </c>
      <c r="G671" s="106">
        <f>B10_Assessment!$E$80</f>
        <v>0</v>
      </c>
      <c r="H671" s="106" t="str">
        <f>B10_Assessment!$F$80</f>
        <v>Paul</v>
      </c>
      <c r="I671" s="106">
        <f>B10_Assessment!$G$80</f>
        <v>0</v>
      </c>
      <c r="J671" s="106" t="str">
        <f>B10_Assessment!$H$80</f>
        <v>B10-R7</v>
      </c>
      <c r="K671" s="106" t="str">
        <f>B10_Assessment!$I$80</f>
        <v>Closed</v>
      </c>
      <c r="L671" s="106">
        <f>B10_Assessment!$J$80</f>
        <v>0</v>
      </c>
    </row>
    <row r="672" spans="1:12" ht="97.5" customHeight="1">
      <c r="A672" s="106" t="str">
        <f>B10_Assessment!$B$2</f>
        <v>10</v>
      </c>
      <c r="B672" s="106" t="str">
        <f>"B10_Assessment"</f>
        <v>B10_Assessment</v>
      </c>
      <c r="C672" s="106" t="str">
        <f>B10_Assessment!$A$81</f>
        <v>B10-P008</v>
      </c>
      <c r="D672" s="142" t="str">
        <f>B10_Assessment!$B$81</f>
        <v>200A</v>
      </c>
      <c r="E672" s="142" t="str">
        <f>B10_Assessment!$C$81</f>
        <v>Security</v>
      </c>
      <c r="F672" s="106" t="str">
        <f>B10_Assessment!$D$81</f>
        <v>Card reader, electric strike, door position, CCTV/PACS, motion sensor and VMS/PACS integration</v>
      </c>
      <c r="G672" s="106">
        <f>B10_Assessment!$E$81</f>
        <v>0</v>
      </c>
      <c r="H672" s="106" t="str">
        <f>B10_Assessment!$F$81</f>
        <v>Paul</v>
      </c>
      <c r="I672" s="106">
        <f>B10_Assessment!$G$81</f>
        <v>0</v>
      </c>
      <c r="J672" s="106" t="str">
        <f>B10_Assessment!$H$81</f>
        <v>B10-R8</v>
      </c>
      <c r="K672" s="106" t="str">
        <f>B10_Assessment!$I$81</f>
        <v>Closed</v>
      </c>
      <c r="L672" s="106">
        <f>B10_Assessment!$J$81</f>
        <v>0</v>
      </c>
    </row>
    <row r="673" spans="1:12" ht="97.5" customHeight="1">
      <c r="A673" s="106" t="str">
        <f>B12_Assessment!$B$2</f>
        <v>12</v>
      </c>
      <c r="B673" s="106" t="str">
        <f t="shared" ref="B673:B682" si="71">"B12_Assessment"</f>
        <v>B12_Assessment</v>
      </c>
      <c r="C673" s="106" t="str">
        <f>B12_Assessment!$A$64</f>
        <v>B12-P001</v>
      </c>
      <c r="D673" s="142" t="str">
        <f>B12_Assessment!$B$64</f>
        <v>Fiber path B/1/2</v>
      </c>
      <c r="E673" s="142" t="str">
        <f>B12_Assessment!$C$64</f>
        <v>Existing Condition</v>
      </c>
      <c r="F673" s="106" t="str">
        <f>B12_Assessment!$D$64</f>
        <v>Existing conduit/cable tray/pathway from entry through basement/first/second levels</v>
      </c>
      <c r="G673" s="106">
        <f>B12_Assessment!$E$64</f>
        <v>0</v>
      </c>
      <c r="H673" s="106" t="str">
        <f>B12_Assessment!$F$64</f>
        <v>Paul</v>
      </c>
      <c r="I673" s="106">
        <f>B12_Assessment!$G$64</f>
        <v>0</v>
      </c>
      <c r="J673" s="106" t="str">
        <f>B12_Assessment!$H$64</f>
        <v>B12-R2</v>
      </c>
      <c r="K673" s="106" t="str">
        <f>B12_Assessment!$I$64</f>
        <v>Closed</v>
      </c>
      <c r="L673" s="106">
        <f>B12_Assessment!$J$64</f>
        <v>0</v>
      </c>
    </row>
    <row r="674" spans="1:12" ht="97.5" customHeight="1">
      <c r="A674" s="106" t="str">
        <f>B12_Assessment!$B$2</f>
        <v>12</v>
      </c>
      <c r="B674" s="106" t="str">
        <f t="shared" si="71"/>
        <v>B12_Assessment</v>
      </c>
      <c r="C674" s="106" t="str">
        <f>B12_Assessment!$A$65</f>
        <v>B12-P002</v>
      </c>
      <c r="D674" s="142" t="str">
        <f>B12_Assessment!$B$65</f>
        <v>Existing rack/demarc - field verify</v>
      </c>
      <c r="E674" s="142" t="str">
        <f>B12_Assessment!$C$65</f>
        <v>Existing Condition</v>
      </c>
      <c r="F674" s="106" t="str">
        <f>B12_Assessment!$D$65</f>
        <v>Existing rack, demarc, serving closet or fiber termination/pass-through point</v>
      </c>
      <c r="G674" s="106">
        <f>B12_Assessment!$E$65</f>
        <v>0</v>
      </c>
      <c r="H674" s="106" t="str">
        <f>B12_Assessment!$F$65</f>
        <v>Paul</v>
      </c>
      <c r="I674" s="106">
        <f>B12_Assessment!$G$65</f>
        <v>0</v>
      </c>
      <c r="J674" s="106" t="str">
        <f>B12_Assessment!$H$65</f>
        <v>B12-R5</v>
      </c>
      <c r="K674" s="106" t="str">
        <f>B12_Assessment!$I$65</f>
        <v>Closed</v>
      </c>
      <c r="L674" s="106">
        <f>B12_Assessment!$J$65</f>
        <v>0</v>
      </c>
    </row>
    <row r="675" spans="1:12" ht="97.5" customHeight="1">
      <c r="A675" s="106" t="str">
        <f>B12_Assessment!$B$2</f>
        <v>12</v>
      </c>
      <c r="B675" s="106" t="str">
        <f t="shared" si="71"/>
        <v>B12_Assessment</v>
      </c>
      <c r="C675" s="106" t="str">
        <f>B12_Assessment!$A$66</f>
        <v>B12-P003</v>
      </c>
      <c r="D675" s="142" t="str">
        <f>B12_Assessment!$B$66</f>
        <v>All</v>
      </c>
      <c r="E675" s="142" t="str">
        <f>B12_Assessment!$C$66</f>
        <v>Firestop</v>
      </c>
      <c r="F675" s="106" t="str">
        <f>B12_Assessment!$D$66</f>
        <v>All floor/wall/sleeve penetrations before pull, during work, and after permanent firestop</v>
      </c>
      <c r="G675" s="106">
        <f>B12_Assessment!$E$66</f>
        <v>0</v>
      </c>
      <c r="H675" s="106" t="str">
        <f>B12_Assessment!$F$66</f>
        <v>Paul</v>
      </c>
      <c r="I675" s="106">
        <f>B12_Assessment!$G$66</f>
        <v>0</v>
      </c>
      <c r="J675" s="106" t="str">
        <f>B12_Assessment!$H$66</f>
        <v>B12-R4</v>
      </c>
      <c r="K675" s="106" t="str">
        <f>B12_Assessment!$I$66</f>
        <v>Closed</v>
      </c>
      <c r="L675" s="106">
        <f>B12_Assessment!$J$66</f>
        <v>0</v>
      </c>
    </row>
    <row r="676" spans="1:12" ht="97.5" customHeight="1">
      <c r="A676" s="106" t="str">
        <f>B12_Assessment!$B$2</f>
        <v>12</v>
      </c>
      <c r="B676" s="106" t="str">
        <f t="shared" si="71"/>
        <v>B12_Assessment</v>
      </c>
      <c r="C676" s="106" t="str">
        <f>B12_Assessment!$A$67</f>
        <v>B12-P004</v>
      </c>
      <c r="D676" s="142" t="str">
        <f>B12_Assessment!$B$67</f>
        <v>All</v>
      </c>
      <c r="E676" s="142" t="str">
        <f>B12_Assessment!$C$67</f>
        <v>Telecom</v>
      </c>
      <c r="F676" s="106" t="str">
        <f>B12_Assessment!$D$67</f>
        <v>Fiber reels, pull route, pull boxes, labels, slack loops, termination points and test records</v>
      </c>
      <c r="G676" s="106">
        <f>B12_Assessment!$E$67</f>
        <v>0</v>
      </c>
      <c r="H676" s="106" t="str">
        <f>B12_Assessment!$F$67</f>
        <v>Paul</v>
      </c>
      <c r="I676" s="106">
        <f>B12_Assessment!$G$67</f>
        <v>0</v>
      </c>
      <c r="J676" s="106" t="str">
        <f>B12_Assessment!$H$67</f>
        <v>B12-R3/B12-R6</v>
      </c>
      <c r="K676" s="106" t="str">
        <f>B12_Assessment!$I$67</f>
        <v>Closed</v>
      </c>
      <c r="L676" s="106">
        <f>B12_Assessment!$J$67</f>
        <v>0</v>
      </c>
    </row>
    <row r="677" spans="1:12" ht="97.5" customHeight="1">
      <c r="A677" s="106" t="str">
        <f>B12_Assessment!$B$2</f>
        <v>12</v>
      </c>
      <c r="B677" s="106" t="str">
        <f t="shared" si="71"/>
        <v>B12_Assessment</v>
      </c>
      <c r="C677" s="106" t="str">
        <f>B12_Assessment!$A$68</f>
        <v>B12-P005</v>
      </c>
      <c r="D677" s="142" t="str">
        <f>B12_Assessment!$B$68</f>
        <v>All</v>
      </c>
      <c r="E677" s="142" t="str">
        <f>B12_Assessment!$C$68</f>
        <v>Closeout</v>
      </c>
      <c r="F677" s="106" t="str">
        <f>B12_Assessment!$D$68</f>
        <v>Fiber certification/OTDR screenshots, labeling, as-built route and VA/OIT acceptance evidence</v>
      </c>
      <c r="G677" s="106">
        <f>B12_Assessment!$E$68</f>
        <v>0</v>
      </c>
      <c r="H677" s="106" t="str">
        <f>B12_Assessment!$F$68</f>
        <v>Paul</v>
      </c>
      <c r="I677" s="106">
        <f>B12_Assessment!$G$68</f>
        <v>0</v>
      </c>
      <c r="J677" s="106" t="str">
        <f>B12_Assessment!$H$68</f>
        <v>B12-R6</v>
      </c>
      <c r="K677" s="106" t="str">
        <f>B12_Assessment!$I$68</f>
        <v>Closed</v>
      </c>
      <c r="L677" s="106">
        <f>B12_Assessment!$J$68</f>
        <v>0</v>
      </c>
    </row>
    <row r="678" spans="1:12" ht="97.5" customHeight="1">
      <c r="A678" s="106" t="str">
        <f>B13_Assessment!$B$2</f>
        <v>13</v>
      </c>
      <c r="B678" s="106" t="str">
        <f t="shared" si="71"/>
        <v>B12_Assessment</v>
      </c>
      <c r="C678" s="106" t="str">
        <f>B13_Assessment!$A$67</f>
        <v>B13-P001</v>
      </c>
      <c r="D678" s="142" t="str">
        <f>B13_Assessment!$B$67</f>
        <v>124</v>
      </c>
      <c r="E678" s="142" t="str">
        <f>B13_Assessment!$C$67</f>
        <v>Existing Condition</v>
      </c>
      <c r="F678" s="106" t="str">
        <f>B13_Assessment!$D$67</f>
        <v>Room 124 walls, ceiling/deck, floor, door, adjacent Telehealth 124A/109, rack location, pathways and penetrations</v>
      </c>
      <c r="G678" s="106">
        <f>B13_Assessment!$E$67</f>
        <v>0</v>
      </c>
      <c r="H678" s="106" t="str">
        <f>B13_Assessment!$F$67</f>
        <v>Paul</v>
      </c>
      <c r="I678" s="106">
        <f>B13_Assessment!$G$67</f>
        <v>0</v>
      </c>
      <c r="J678" s="106" t="str">
        <f>B13_Assessment!$H$67</f>
        <v>B13-R1/B13-R6</v>
      </c>
      <c r="K678" s="106" t="str">
        <f>B13_Assessment!$I$67</f>
        <v>Closed</v>
      </c>
      <c r="L678" s="106">
        <f>B13_Assessment!$J$67</f>
        <v>0</v>
      </c>
    </row>
    <row r="679" spans="1:12" ht="97.5" customHeight="1">
      <c r="A679" s="106" t="str">
        <f>B13_Assessment!$B$2</f>
        <v>13</v>
      </c>
      <c r="B679" s="106" t="str">
        <f t="shared" si="71"/>
        <v>B12_Assessment</v>
      </c>
      <c r="C679" s="106" t="str">
        <f>B13_Assessment!$A$68</f>
        <v>B13-P002</v>
      </c>
      <c r="D679" s="142" t="str">
        <f>B13_Assessment!$B$68</f>
        <v>222</v>
      </c>
      <c r="E679" s="142" t="str">
        <f>B13_Assessment!$C$68</f>
        <v>Existing Condition</v>
      </c>
      <c r="F679" s="106" t="str">
        <f>B13_Assessment!$D$68</f>
        <v>Existing Tel Room 222 wall rack, telco patch, plywood backboard, AC unit, patch panel and security cabinet</v>
      </c>
      <c r="G679" s="106">
        <f>B13_Assessment!$E$68</f>
        <v>0</v>
      </c>
      <c r="H679" s="106" t="str">
        <f>B13_Assessment!$F$68</f>
        <v>Paul</v>
      </c>
      <c r="I679" s="106">
        <f>B13_Assessment!$G$68</f>
        <v>0</v>
      </c>
      <c r="J679" s="106" t="str">
        <f>B13_Assessment!$H$68</f>
        <v>B13-R1/B13-R3</v>
      </c>
      <c r="K679" s="106" t="str">
        <f>B13_Assessment!$I$68</f>
        <v>Closed</v>
      </c>
      <c r="L679" s="106">
        <f>B13_Assessment!$J$68</f>
        <v>0</v>
      </c>
    </row>
    <row r="680" spans="1:12" ht="97.5" customHeight="1">
      <c r="A680" s="106" t="str">
        <f>B13_Assessment!$B$2</f>
        <v>13</v>
      </c>
      <c r="B680" s="106" t="str">
        <f t="shared" si="71"/>
        <v>B12_Assessment</v>
      </c>
      <c r="C680" s="106" t="str">
        <f>B13_Assessment!$A$69</f>
        <v>B13-P003</v>
      </c>
      <c r="D680" s="142" t="str">
        <f>B13_Assessment!$B$69</f>
        <v>124</v>
      </c>
      <c r="E680" s="142" t="str">
        <f>B13_Assessment!$C$69</f>
        <v>Hazardous Materials</v>
      </c>
      <c r="F680" s="106" t="str">
        <f>B13_Assessment!$D$69</f>
        <v>First-level abatement-related materials, flooring, walls, ceiling/penetrations, and disturbance areas</v>
      </c>
      <c r="G680" s="106">
        <f>B13_Assessment!$E$69</f>
        <v>0</v>
      </c>
      <c r="H680" s="106" t="str">
        <f>B13_Assessment!$F$69</f>
        <v>Paul</v>
      </c>
      <c r="I680" s="106">
        <f>B13_Assessment!$G$69</f>
        <v>0</v>
      </c>
      <c r="J680" s="106" t="str">
        <f>B13_Assessment!$H$69</f>
        <v>B13-R2</v>
      </c>
      <c r="K680" s="106" t="str">
        <f>B13_Assessment!$I$69</f>
        <v>Closed</v>
      </c>
      <c r="L680" s="106">
        <f>B13_Assessment!$J$69</f>
        <v>0</v>
      </c>
    </row>
    <row r="681" spans="1:12" ht="97.5" customHeight="1">
      <c r="A681" s="106" t="str">
        <f>B13_Assessment!$B$2</f>
        <v>13</v>
      </c>
      <c r="B681" s="106" t="str">
        <f t="shared" si="71"/>
        <v>B12_Assessment</v>
      </c>
      <c r="C681" s="106" t="str">
        <f>B13_Assessment!$A$70</f>
        <v>B13-P004</v>
      </c>
      <c r="D681" s="142" t="str">
        <f>B13_Assessment!$B$70</f>
        <v>124</v>
      </c>
      <c r="E681" s="142" t="str">
        <f>B13_Assessment!$C$70</f>
        <v>Firestop</v>
      </c>
      <c r="F681" s="106" t="str">
        <f>B13_Assessment!$D$70</f>
        <v>All wall/floor/sleeve/tray penetrations before and after firestop</v>
      </c>
      <c r="G681" s="106">
        <f>B13_Assessment!$E$70</f>
        <v>0</v>
      </c>
      <c r="H681" s="106" t="str">
        <f>B13_Assessment!$F$70</f>
        <v>Paul</v>
      </c>
      <c r="I681" s="106">
        <f>B13_Assessment!$G$70</f>
        <v>0</v>
      </c>
      <c r="J681" s="106" t="str">
        <f>B13_Assessment!$H$70</f>
        <v>B13-R6</v>
      </c>
      <c r="K681" s="106" t="str">
        <f>B13_Assessment!$I$70</f>
        <v>Closed</v>
      </c>
      <c r="L681" s="106">
        <f>B13_Assessment!$J$70</f>
        <v>0</v>
      </c>
    </row>
    <row r="682" spans="1:12" ht="97.5" customHeight="1">
      <c r="A682" s="106" t="str">
        <f>B13_Assessment!$B$2</f>
        <v>13</v>
      </c>
      <c r="B682" s="106" t="str">
        <f t="shared" si="71"/>
        <v>B12_Assessment</v>
      </c>
      <c r="C682" s="106" t="str">
        <f>B13_Assessment!$A$71</f>
        <v>B13-P005</v>
      </c>
      <c r="D682" s="142" t="str">
        <f>B13_Assessment!$B$71</f>
        <v>124</v>
      </c>
      <c r="E682" s="142" t="str">
        <f>B13_Assessment!$C$71</f>
        <v>HVAC</v>
      </c>
      <c r="F682" s="106" t="str">
        <f>B13_Assessment!$D$71</f>
        <v>IU-1-01/CU-1-01, condensate, thermostat, BACnet adapter, disconnects, high-temp alarm and power source</v>
      </c>
      <c r="G682" s="106">
        <f>B13_Assessment!$E$71</f>
        <v>0</v>
      </c>
      <c r="H682" s="106" t="str">
        <f>B13_Assessment!$F$71</f>
        <v>Paul</v>
      </c>
      <c r="I682" s="106">
        <f>B13_Assessment!$G$71</f>
        <v>0</v>
      </c>
      <c r="J682" s="106" t="str">
        <f>B13_Assessment!$H$71</f>
        <v>B13-R4</v>
      </c>
      <c r="K682" s="106" t="str">
        <f>B13_Assessment!$I$71</f>
        <v>Closed</v>
      </c>
      <c r="L682" s="106">
        <f>B13_Assessment!$J$71</f>
        <v>0</v>
      </c>
    </row>
    <row r="683" spans="1:12" ht="97.5" customHeight="1">
      <c r="A683" s="106" t="str">
        <f>B13_Assessment!$B$2</f>
        <v>13</v>
      </c>
      <c r="B683" s="106" t="str">
        <f t="shared" ref="B683:B690" si="72">"B13_Assessment"</f>
        <v>B13_Assessment</v>
      </c>
      <c r="C683" s="106" t="str">
        <f>B13_Assessment!$A$72</f>
        <v>B13-P006</v>
      </c>
      <c r="D683" s="142" t="str">
        <f>B13_Assessment!$B$72</f>
        <v>124</v>
      </c>
      <c r="E683" s="142" t="str">
        <f>B13_Assessment!$C$72</f>
        <v>Electrical</v>
      </c>
      <c r="F683" s="106" t="str">
        <f>B13_Assessment!$D$72</f>
        <v>B13-TR124AA/AB panels, rack receptacles, breakers, SPD, access controller, lighting and labels</v>
      </c>
      <c r="G683" s="106">
        <f>B13_Assessment!$E$72</f>
        <v>0</v>
      </c>
      <c r="H683" s="106" t="str">
        <f>B13_Assessment!$F$72</f>
        <v>Paul</v>
      </c>
      <c r="I683" s="106">
        <f>B13_Assessment!$G$72</f>
        <v>0</v>
      </c>
      <c r="J683" s="106" t="str">
        <f>B13_Assessment!$H$72</f>
        <v>B13-R5</v>
      </c>
      <c r="K683" s="106" t="str">
        <f>B13_Assessment!$I$72</f>
        <v>Closed</v>
      </c>
      <c r="L683" s="106">
        <f>B13_Assessment!$J$72</f>
        <v>0</v>
      </c>
    </row>
    <row r="684" spans="1:12" ht="97.5" customHeight="1">
      <c r="A684" s="106" t="str">
        <f>B13_Assessment!$B$2</f>
        <v>13</v>
      </c>
      <c r="B684" s="106" t="str">
        <f t="shared" si="72"/>
        <v>B13_Assessment</v>
      </c>
      <c r="C684" s="106" t="str">
        <f>B13_Assessment!$A$73</f>
        <v>B13-P007</v>
      </c>
      <c r="D684" s="142" t="str">
        <f>B13_Assessment!$B$73</f>
        <v>124/222</v>
      </c>
      <c r="E684" s="142" t="str">
        <f>B13_Assessment!$C$73</f>
        <v>Telecom</v>
      </c>
      <c r="F684" s="106" t="str">
        <f>B13_Assessment!$D$73</f>
        <v>New racks, fiber path A/B, Cat6A, patch panels, LIU, labels/test records and existing Room 222 transfer work</v>
      </c>
      <c r="G684" s="106">
        <f>B13_Assessment!$E$73</f>
        <v>0</v>
      </c>
      <c r="H684" s="106" t="str">
        <f>B13_Assessment!$F$73</f>
        <v>Paul</v>
      </c>
      <c r="I684" s="106">
        <f>B13_Assessment!$G$73</f>
        <v>0</v>
      </c>
      <c r="J684" s="106" t="str">
        <f>B13_Assessment!$H$73</f>
        <v>B13-R7</v>
      </c>
      <c r="K684" s="106" t="str">
        <f>B13_Assessment!$I$73</f>
        <v>Closed</v>
      </c>
      <c r="L684" s="106">
        <f>B13_Assessment!$J$73</f>
        <v>0</v>
      </c>
    </row>
    <row r="685" spans="1:12" ht="97.5" customHeight="1">
      <c r="A685" s="106" t="str">
        <f>B13_Assessment!$B$2</f>
        <v>13</v>
      </c>
      <c r="B685" s="106" t="str">
        <f t="shared" si="72"/>
        <v>B13_Assessment</v>
      </c>
      <c r="C685" s="106" t="str">
        <f>B13_Assessment!$A$74</f>
        <v>B13-P008</v>
      </c>
      <c r="D685" s="142" t="str">
        <f>B13_Assessment!$B$74</f>
        <v>124/222</v>
      </c>
      <c r="E685" s="142" t="str">
        <f>B13_Assessment!$C$74</f>
        <v>Security</v>
      </c>
      <c r="F685" s="106" t="str">
        <f>B13_Assessment!$D$74</f>
        <v>124-CAM-01, card reader, electric strike, door position, motion sensor, existing security cabinet and VMS/PACS integration</v>
      </c>
      <c r="G685" s="106">
        <f>B13_Assessment!$E$74</f>
        <v>0</v>
      </c>
      <c r="H685" s="106" t="str">
        <f>B13_Assessment!$F$74</f>
        <v>Paul</v>
      </c>
      <c r="I685" s="106">
        <f>B13_Assessment!$G$74</f>
        <v>0</v>
      </c>
      <c r="J685" s="106" t="str">
        <f>B13_Assessment!$H$74</f>
        <v>B13-R8</v>
      </c>
      <c r="K685" s="106" t="str">
        <f>B13_Assessment!$I$74</f>
        <v>Closed</v>
      </c>
      <c r="L685" s="106">
        <f>B13_Assessment!$J$74</f>
        <v>0</v>
      </c>
    </row>
    <row r="686" spans="1:12" ht="97.5" customHeight="1">
      <c r="A686" s="106" t="str">
        <f>B14_Assessment!$B$2</f>
        <v>14</v>
      </c>
      <c r="B686" s="106" t="str">
        <f t="shared" si="72"/>
        <v>B13_Assessment</v>
      </c>
      <c r="C686" s="106" t="str">
        <f>B14_Assessment!$A$74</f>
        <v>B14-P001</v>
      </c>
      <c r="D686" s="142" t="str">
        <f>B14_Assessment!$B$74</f>
        <v>119</v>
      </c>
      <c r="E686" s="142" t="str">
        <f>B14_Assessment!$C$74</f>
        <v>Existing Condition</v>
      </c>
      <c r="F686" s="106" t="str">
        <f>B14_Assessment!$D$74</f>
        <v>Room 119 walls, ceiling/deck, floor, door, adjacent conference/restroom/office spaces, rack location, pathways and penetrations</v>
      </c>
      <c r="G686" s="106">
        <f>B14_Assessment!$E$74</f>
        <v>0</v>
      </c>
      <c r="H686" s="106" t="str">
        <f>B14_Assessment!$F$74</f>
        <v>Paul</v>
      </c>
      <c r="I686" s="106">
        <f>B14_Assessment!$G$74</f>
        <v>0</v>
      </c>
      <c r="J686" s="106" t="str">
        <f>B14_Assessment!$H$74</f>
        <v>B14-R1/B14-R6</v>
      </c>
      <c r="K686" s="106" t="str">
        <f>B14_Assessment!$I$74</f>
        <v>Closed</v>
      </c>
      <c r="L686" s="106">
        <f>B14_Assessment!$J$74</f>
        <v>0</v>
      </c>
    </row>
    <row r="687" spans="1:12" ht="97.5" customHeight="1">
      <c r="A687" s="106" t="str">
        <f>B14_Assessment!$B$2</f>
        <v>14</v>
      </c>
      <c r="B687" s="106" t="str">
        <f t="shared" si="72"/>
        <v>B13_Assessment</v>
      </c>
      <c r="C687" s="106" t="str">
        <f>B14_Assessment!$A$75</f>
        <v>B14-P002</v>
      </c>
      <c r="D687" s="142" t="str">
        <f>B14_Assessment!$B$75</f>
        <v>B.01</v>
      </c>
      <c r="E687" s="142" t="str">
        <f>B14_Assessment!$C$75</f>
        <v>Existing Condition</v>
      </c>
      <c r="F687" s="106" t="str">
        <f>B14_Assessment!$D$75</f>
        <v>Existing basement Tel/F Panel B.01, wall-mounted TE, patch panels, telco patch, plywood backboards, legacy Fiber LIU and pathways</v>
      </c>
      <c r="G687" s="106">
        <f>B14_Assessment!$E$75</f>
        <v>0</v>
      </c>
      <c r="H687" s="106" t="str">
        <f>B14_Assessment!$F$75</f>
        <v>Paul</v>
      </c>
      <c r="I687" s="106">
        <f>B14_Assessment!$G$75</f>
        <v>0</v>
      </c>
      <c r="J687" s="106" t="str">
        <f>B14_Assessment!$H$75</f>
        <v>B14-R1/B14-R3</v>
      </c>
      <c r="K687" s="106" t="str">
        <f>B14_Assessment!$I$75</f>
        <v>Closed</v>
      </c>
      <c r="L687" s="106">
        <f>B14_Assessment!$J$75</f>
        <v>0</v>
      </c>
    </row>
    <row r="688" spans="1:12" ht="97.5" customHeight="1">
      <c r="A688" s="106" t="str">
        <f>B14_Assessment!$B$2</f>
        <v>14</v>
      </c>
      <c r="B688" s="106" t="str">
        <f t="shared" si="72"/>
        <v>B13_Assessment</v>
      </c>
      <c r="C688" s="106" t="str">
        <f>B14_Assessment!$A$76</f>
        <v>B14-P003</v>
      </c>
      <c r="D688" s="142" t="str">
        <f>B14_Assessment!$B$76</f>
        <v>B2</v>
      </c>
      <c r="E688" s="142" t="str">
        <f>B14_Assessment!$C$76</f>
        <v>Existing Condition</v>
      </c>
      <c r="F688" s="106" t="str">
        <f>B14_Assessment!$D$76</f>
        <v>Existing basement telecom room B2 photo reference, equipment, pathways, power and protection-in-place needs</v>
      </c>
      <c r="G688" s="106">
        <f>B14_Assessment!$E$76</f>
        <v>0</v>
      </c>
      <c r="H688" s="106" t="str">
        <f>B14_Assessment!$F$76</f>
        <v>Paul</v>
      </c>
      <c r="I688" s="106">
        <f>B14_Assessment!$G$76</f>
        <v>0</v>
      </c>
      <c r="J688" s="106" t="str">
        <f>B14_Assessment!$H$76</f>
        <v>B14-R1/B14-R3</v>
      </c>
      <c r="K688" s="106" t="str">
        <f>B14_Assessment!$I$76</f>
        <v>Closed</v>
      </c>
      <c r="L688" s="106">
        <f>B14_Assessment!$J$76</f>
        <v>0</v>
      </c>
    </row>
    <row r="689" spans="1:12" ht="97.5" customHeight="1">
      <c r="A689" s="106" t="str">
        <f>B14_Assessment!$B$2</f>
        <v>14</v>
      </c>
      <c r="B689" s="106" t="str">
        <f t="shared" si="72"/>
        <v>B13_Assessment</v>
      </c>
      <c r="C689" s="106" t="str">
        <f>B14_Assessment!$A$77</f>
        <v>B14-P004</v>
      </c>
      <c r="D689" s="142" t="str">
        <f>B14_Assessment!$B$77</f>
        <v>119</v>
      </c>
      <c r="E689" s="142" t="str">
        <f>B14_Assessment!$C$77</f>
        <v>Hazardous Materials</v>
      </c>
      <c r="F689" s="106" t="str">
        <f>B14_Assessment!$D$77</f>
        <v>First-level abatement-related materials, flooring, walls, ceiling/penetrations, and disturbance areas</v>
      </c>
      <c r="G689" s="106">
        <f>B14_Assessment!$E$77</f>
        <v>0</v>
      </c>
      <c r="H689" s="106" t="str">
        <f>B14_Assessment!$F$77</f>
        <v>Paul</v>
      </c>
      <c r="I689" s="106">
        <f>B14_Assessment!$G$77</f>
        <v>0</v>
      </c>
      <c r="J689" s="106" t="str">
        <f>B14_Assessment!$H$77</f>
        <v>B14-R2</v>
      </c>
      <c r="K689" s="106" t="str">
        <f>B14_Assessment!$I$77</f>
        <v>Closed</v>
      </c>
      <c r="L689" s="106">
        <f>B14_Assessment!$J$77</f>
        <v>0</v>
      </c>
    </row>
    <row r="690" spans="1:12" ht="97.5" customHeight="1">
      <c r="A690" s="106" t="str">
        <f>B14_Assessment!$B$2</f>
        <v>14</v>
      </c>
      <c r="B690" s="106" t="str">
        <f t="shared" si="72"/>
        <v>B13_Assessment</v>
      </c>
      <c r="C690" s="106" t="str">
        <f>B14_Assessment!$A$78</f>
        <v>B14-P005</v>
      </c>
      <c r="D690" s="142" t="str">
        <f>B14_Assessment!$B$78</f>
        <v>119</v>
      </c>
      <c r="E690" s="142" t="str">
        <f>B14_Assessment!$C$78</f>
        <v>Firestop</v>
      </c>
      <c r="F690" s="106" t="str">
        <f>B14_Assessment!$D$78</f>
        <v>All wall/floor/sleeve/tray penetrations before and after firestop</v>
      </c>
      <c r="G690" s="106">
        <f>B14_Assessment!$E$78</f>
        <v>0</v>
      </c>
      <c r="H690" s="106" t="str">
        <f>B14_Assessment!$F$78</f>
        <v>Paul</v>
      </c>
      <c r="I690" s="106">
        <f>B14_Assessment!$G$78</f>
        <v>0</v>
      </c>
      <c r="J690" s="106" t="str">
        <f>B14_Assessment!$H$78</f>
        <v>B14-R6</v>
      </c>
      <c r="K690" s="106" t="str">
        <f>B14_Assessment!$I$78</f>
        <v>Closed</v>
      </c>
      <c r="L690" s="106">
        <f>B14_Assessment!$J$78</f>
        <v>0</v>
      </c>
    </row>
    <row r="691" spans="1:12" ht="97.5" customHeight="1">
      <c r="A691" s="106" t="str">
        <f>B14_Assessment!$B$2</f>
        <v>14</v>
      </c>
      <c r="B691" s="106" t="str">
        <f t="shared" ref="B691:B698" si="73">"B14_Assessment"</f>
        <v>B14_Assessment</v>
      </c>
      <c r="C691" s="106" t="str">
        <f>B14_Assessment!$A$79</f>
        <v>B14-P006</v>
      </c>
      <c r="D691" s="142" t="str">
        <f>B14_Assessment!$B$79</f>
        <v>119</v>
      </c>
      <c r="E691" s="142" t="str">
        <f>B14_Assessment!$C$79</f>
        <v>HVAC</v>
      </c>
      <c r="F691" s="106" t="str">
        <f>B14_Assessment!$D$79</f>
        <v>IU-1-01/CU-1-01, condensate, thermostat, BACnet adapter, disconnects, high-temp alarm and power source</v>
      </c>
      <c r="G691" s="106">
        <f>B14_Assessment!$E$79</f>
        <v>0</v>
      </c>
      <c r="H691" s="106" t="str">
        <f>B14_Assessment!$F$79</f>
        <v>Paul</v>
      </c>
      <c r="I691" s="106">
        <f>B14_Assessment!$G$79</f>
        <v>0</v>
      </c>
      <c r="J691" s="106" t="str">
        <f>B14_Assessment!$H$79</f>
        <v>B14-R4</v>
      </c>
      <c r="K691" s="106" t="str">
        <f>B14_Assessment!$I$79</f>
        <v>Closed</v>
      </c>
      <c r="L691" s="106">
        <f>B14_Assessment!$J$79</f>
        <v>0</v>
      </c>
    </row>
    <row r="692" spans="1:12" ht="97.5" customHeight="1">
      <c r="A692" s="106" t="str">
        <f>B14_Assessment!$B$2</f>
        <v>14</v>
      </c>
      <c r="B692" s="106" t="str">
        <f t="shared" si="73"/>
        <v>B14_Assessment</v>
      </c>
      <c r="C692" s="106" t="str">
        <f>B14_Assessment!$A$80</f>
        <v>B14-P007</v>
      </c>
      <c r="D692" s="142" t="str">
        <f>B14_Assessment!$B$80</f>
        <v>119</v>
      </c>
      <c r="E692" s="142" t="str">
        <f>B14_Assessment!$C$80</f>
        <v>Electrical</v>
      </c>
      <c r="F692" s="106" t="str">
        <f>B14_Assessment!$D$80</f>
        <v>B14-TR119A/B panels, rack receptacles, breakers, SPD, access controller, lighting, CU-1-01 and labels</v>
      </c>
      <c r="G692" s="106">
        <f>B14_Assessment!$E$80</f>
        <v>0</v>
      </c>
      <c r="H692" s="106" t="str">
        <f>B14_Assessment!$F$80</f>
        <v>Paul</v>
      </c>
      <c r="I692" s="106">
        <f>B14_Assessment!$G$80</f>
        <v>0</v>
      </c>
      <c r="J692" s="106" t="str">
        <f>B14_Assessment!$H$80</f>
        <v>B14-R5</v>
      </c>
      <c r="K692" s="106" t="str">
        <f>B14_Assessment!$I$80</f>
        <v>Closed</v>
      </c>
      <c r="L692" s="106">
        <f>B14_Assessment!$J$80</f>
        <v>0</v>
      </c>
    </row>
    <row r="693" spans="1:12" ht="97.5" customHeight="1">
      <c r="A693" s="106" t="str">
        <f>B14_Assessment!$B$2</f>
        <v>14</v>
      </c>
      <c r="B693" s="106" t="str">
        <f t="shared" si="73"/>
        <v>B14_Assessment</v>
      </c>
      <c r="C693" s="106" t="str">
        <f>B14_Assessment!$A$81</f>
        <v>B14-P008</v>
      </c>
      <c r="D693" s="142" t="str">
        <f>B14_Assessment!$B$81</f>
        <v>119/B.01</v>
      </c>
      <c r="E693" s="142" t="str">
        <f>B14_Assessment!$C$81</f>
        <v>Telecom/Security</v>
      </c>
      <c r="F693" s="106" t="str">
        <f>B14_Assessment!$D$81</f>
        <v>New rack/future rack, fiber path A/B, Cat6A, patch panels, LIU, labels/test records, 119-CAM-01 and existing B.01/B2 transfer work</v>
      </c>
      <c r="G693" s="106">
        <f>B14_Assessment!$E$81</f>
        <v>0</v>
      </c>
      <c r="H693" s="106" t="str">
        <f>B14_Assessment!$F$81</f>
        <v>Paul</v>
      </c>
      <c r="I693" s="106">
        <f>B14_Assessment!$G$81</f>
        <v>0</v>
      </c>
      <c r="J693" s="106" t="str">
        <f>B14_Assessment!$H$81</f>
        <v>B14-R7/B14-R8</v>
      </c>
      <c r="K693" s="106" t="str">
        <f>B14_Assessment!$I$81</f>
        <v>Closed</v>
      </c>
      <c r="L693" s="106">
        <f>B14_Assessment!$J$81</f>
        <v>0</v>
      </c>
    </row>
    <row r="694" spans="1:12" ht="97.5" customHeight="1">
      <c r="A694" s="106" t="str">
        <f>B15_Assessment!$B$2</f>
        <v>15</v>
      </c>
      <c r="B694" s="106" t="str">
        <f t="shared" si="73"/>
        <v>B14_Assessment</v>
      </c>
      <c r="C694" s="106" t="str">
        <f>B15_Assessment!$A$74</f>
        <v>B15-P001</v>
      </c>
      <c r="D694" s="142" t="str">
        <f>B15_Assessment!$B$74</f>
        <v>124A</v>
      </c>
      <c r="E694" s="142" t="str">
        <f>B15_Assessment!$C$74</f>
        <v>Existing Condition</v>
      </c>
      <c r="F694" s="106" t="str">
        <f>B15_Assessment!$D$74</f>
        <v>Room 124A walls, ceiling/deck, floor, door, adjacent Office 124/Office 109/HAC 123, rack location, pathways and penetrations</v>
      </c>
      <c r="G694" s="106">
        <f>B15_Assessment!$E$74</f>
        <v>0</v>
      </c>
      <c r="H694" s="106" t="str">
        <f>B15_Assessment!$F$74</f>
        <v>Paul</v>
      </c>
      <c r="I694" s="106">
        <f>B15_Assessment!$G$74</f>
        <v>0</v>
      </c>
      <c r="J694" s="106" t="str">
        <f>B15_Assessment!$H$74</f>
        <v>B15-R1/B15-R6</v>
      </c>
      <c r="K694" s="106" t="str">
        <f>B15_Assessment!$I$74</f>
        <v>Closed</v>
      </c>
      <c r="L694" s="106">
        <f>B15_Assessment!$J$74</f>
        <v>0</v>
      </c>
    </row>
    <row r="695" spans="1:12" ht="97.5" customHeight="1">
      <c r="A695" s="106" t="str">
        <f>B15_Assessment!$B$2</f>
        <v>15</v>
      </c>
      <c r="B695" s="106" t="str">
        <f t="shared" si="73"/>
        <v>B14_Assessment</v>
      </c>
      <c r="C695" s="106" t="str">
        <f>B15_Assessment!$A$75</f>
        <v>B15-P002</v>
      </c>
      <c r="D695" s="142" t="str">
        <f>B15_Assessment!$B$75</f>
        <v>222</v>
      </c>
      <c r="E695" s="142" t="str">
        <f>B15_Assessment!$C$75</f>
        <v>Existing Condition</v>
      </c>
      <c r="F695" s="106" t="str">
        <f>B15_Assessment!$D$75</f>
        <v>Existing Tel Room 222 wall rack, Cisco switches, legacy patch panels, indoor AC unit, security cabinet, ground bar, plywood backboard and floor UPS</v>
      </c>
      <c r="G695" s="106">
        <f>B15_Assessment!$E$75</f>
        <v>0</v>
      </c>
      <c r="H695" s="106" t="str">
        <f>B15_Assessment!$F$75</f>
        <v>Paul</v>
      </c>
      <c r="I695" s="106">
        <f>B15_Assessment!$G$75</f>
        <v>0</v>
      </c>
      <c r="J695" s="106" t="str">
        <f>B15_Assessment!$H$75</f>
        <v>B15-R1/B15-R3</v>
      </c>
      <c r="K695" s="106" t="str">
        <f>B15_Assessment!$I$75</f>
        <v>Closed</v>
      </c>
      <c r="L695" s="106">
        <f>B15_Assessment!$J$75</f>
        <v>0</v>
      </c>
    </row>
    <row r="696" spans="1:12" ht="97.5" customHeight="1">
      <c r="A696" s="106" t="str">
        <f>B15_Assessment!$B$2</f>
        <v>15</v>
      </c>
      <c r="B696" s="106" t="str">
        <f t="shared" si="73"/>
        <v>B14_Assessment</v>
      </c>
      <c r="C696" s="106" t="str">
        <f>B15_Assessment!$A$76</f>
        <v>B15-P003</v>
      </c>
      <c r="D696" s="142" t="str">
        <f>B15_Assessment!$B$76</f>
        <v>B01</v>
      </c>
      <c r="E696" s="142" t="str">
        <f>B15_Assessment!$C$76</f>
        <v>Existing Condition</v>
      </c>
      <c r="F696" s="106" t="str">
        <f>B15_Assessment!$D$76</f>
        <v>Existing basement telecom/crossover B01, legacy 24-port patch panel, pathway, power and protection-in-place needs</v>
      </c>
      <c r="G696" s="106">
        <f>B15_Assessment!$E$76</f>
        <v>0</v>
      </c>
      <c r="H696" s="106" t="str">
        <f>B15_Assessment!$F$76</f>
        <v>Paul</v>
      </c>
      <c r="I696" s="106">
        <f>B15_Assessment!$G$76</f>
        <v>0</v>
      </c>
      <c r="J696" s="106" t="str">
        <f>B15_Assessment!$H$76</f>
        <v>B15-R1/B15-R3</v>
      </c>
      <c r="K696" s="106" t="str">
        <f>B15_Assessment!$I$76</f>
        <v>Closed</v>
      </c>
      <c r="L696" s="106">
        <f>B15_Assessment!$J$76</f>
        <v>0</v>
      </c>
    </row>
    <row r="697" spans="1:12" ht="97.5" customHeight="1">
      <c r="A697" s="106" t="str">
        <f>B15_Assessment!$B$2</f>
        <v>15</v>
      </c>
      <c r="B697" s="106" t="str">
        <f t="shared" si="73"/>
        <v>B14_Assessment</v>
      </c>
      <c r="C697" s="106" t="str">
        <f>B15_Assessment!$A$77</f>
        <v>B15-P004</v>
      </c>
      <c r="D697" s="142" t="str">
        <f>B15_Assessment!$B$77</f>
        <v>124A</v>
      </c>
      <c r="E697" s="142" t="str">
        <f>B15_Assessment!$C$77</f>
        <v>Hazardous Materials</v>
      </c>
      <c r="F697" s="106" t="str">
        <f>B15_Assessment!$D$77</f>
        <v>First-level abatement-related materials, lead-based paint/door frames, flooring, walls, ceiling/penetrations, and disturbance areas</v>
      </c>
      <c r="G697" s="106">
        <f>B15_Assessment!$E$77</f>
        <v>0</v>
      </c>
      <c r="H697" s="106" t="str">
        <f>B15_Assessment!$F$77</f>
        <v>Paul</v>
      </c>
      <c r="I697" s="106">
        <f>B15_Assessment!$G$77</f>
        <v>0</v>
      </c>
      <c r="J697" s="106" t="str">
        <f>B15_Assessment!$H$77</f>
        <v>B15-R2</v>
      </c>
      <c r="K697" s="106" t="str">
        <f>B15_Assessment!$I$77</f>
        <v>Closed</v>
      </c>
      <c r="L697" s="106">
        <f>B15_Assessment!$J$77</f>
        <v>0</v>
      </c>
    </row>
    <row r="698" spans="1:12" ht="97.5" customHeight="1">
      <c r="A698" s="106" t="str">
        <f>B15_Assessment!$B$2</f>
        <v>15</v>
      </c>
      <c r="B698" s="106" t="str">
        <f t="shared" si="73"/>
        <v>B14_Assessment</v>
      </c>
      <c r="C698" s="106" t="str">
        <f>B15_Assessment!$A$78</f>
        <v>B15-P005</v>
      </c>
      <c r="D698" s="142" t="str">
        <f>B15_Assessment!$B$78</f>
        <v>124A</v>
      </c>
      <c r="E698" s="142" t="str">
        <f>B15_Assessment!$C$78</f>
        <v>Firestop</v>
      </c>
      <c r="F698" s="106" t="str">
        <f>B15_Assessment!$D$78</f>
        <v>All wall/floor/sleeve/tray penetrations before and after firestop</v>
      </c>
      <c r="G698" s="106">
        <f>B15_Assessment!$E$78</f>
        <v>0</v>
      </c>
      <c r="H698" s="106" t="str">
        <f>B15_Assessment!$F$78</f>
        <v>Paul</v>
      </c>
      <c r="I698" s="106">
        <f>B15_Assessment!$G$78</f>
        <v>0</v>
      </c>
      <c r="J698" s="106" t="str">
        <f>B15_Assessment!$H$78</f>
        <v>B15-R6</v>
      </c>
      <c r="K698" s="106" t="str">
        <f>B15_Assessment!$I$78</f>
        <v>Closed</v>
      </c>
      <c r="L698" s="106">
        <f>B15_Assessment!$J$78</f>
        <v>0</v>
      </c>
    </row>
    <row r="699" spans="1:12" ht="97.5" customHeight="1">
      <c r="A699" s="106" t="str">
        <f>B15_Assessment!$B$2</f>
        <v>15</v>
      </c>
      <c r="B699" s="106" t="str">
        <f t="shared" ref="B699:B706" si="74">"B15_Assessment"</f>
        <v>B15_Assessment</v>
      </c>
      <c r="C699" s="106" t="str">
        <f>B15_Assessment!$A$79</f>
        <v>B15-P006</v>
      </c>
      <c r="D699" s="142" t="str">
        <f>B15_Assessment!$B$79</f>
        <v>124A</v>
      </c>
      <c r="E699" s="142" t="str">
        <f>B15_Assessment!$C$79</f>
        <v>HVAC</v>
      </c>
      <c r="F699" s="106" t="str">
        <f>B15_Assessment!$D$79</f>
        <v>IU-1-01/CU-1-01, condensate, thermostat, BACnet adapter, disconnects, high-temp alarm and power source</v>
      </c>
      <c r="G699" s="106">
        <f>B15_Assessment!$E$79</f>
        <v>0</v>
      </c>
      <c r="H699" s="106" t="str">
        <f>B15_Assessment!$F$79</f>
        <v>Paul</v>
      </c>
      <c r="I699" s="106">
        <f>B15_Assessment!$G$79</f>
        <v>0</v>
      </c>
      <c r="J699" s="106" t="str">
        <f>B15_Assessment!$H$79</f>
        <v>B15-R4</v>
      </c>
      <c r="K699" s="106" t="str">
        <f>B15_Assessment!$I$79</f>
        <v>Closed</v>
      </c>
      <c r="L699" s="106">
        <f>B15_Assessment!$J$79</f>
        <v>0</v>
      </c>
    </row>
    <row r="700" spans="1:12" ht="97.5" customHeight="1">
      <c r="A700" s="106" t="str">
        <f>B15_Assessment!$B$2</f>
        <v>15</v>
      </c>
      <c r="B700" s="106" t="str">
        <f t="shared" si="74"/>
        <v>B15_Assessment</v>
      </c>
      <c r="C700" s="106" t="str">
        <f>B15_Assessment!$A$80</f>
        <v>B15-P007</v>
      </c>
      <c r="D700" s="142" t="str">
        <f>B15_Assessment!$B$80</f>
        <v>124A</v>
      </c>
      <c r="E700" s="142" t="str">
        <f>B15_Assessment!$C$80</f>
        <v>Electrical</v>
      </c>
      <c r="F700" s="106" t="str">
        <f>B15_Assessment!$D$80</f>
        <v>B15-TR124AA/AB panels, rack receptacles, breakers, SPD, access controller, lighting, CU-1-01 and labels</v>
      </c>
      <c r="G700" s="106">
        <f>B15_Assessment!$E$80</f>
        <v>0</v>
      </c>
      <c r="H700" s="106" t="str">
        <f>B15_Assessment!$F$80</f>
        <v>Paul</v>
      </c>
      <c r="I700" s="106">
        <f>B15_Assessment!$G$80</f>
        <v>0</v>
      </c>
      <c r="J700" s="106" t="str">
        <f>B15_Assessment!$H$80</f>
        <v>B15-R5</v>
      </c>
      <c r="K700" s="106" t="str">
        <f>B15_Assessment!$I$80</f>
        <v>Closed</v>
      </c>
      <c r="L700" s="106">
        <f>B15_Assessment!$J$80</f>
        <v>0</v>
      </c>
    </row>
    <row r="701" spans="1:12" ht="97.5" customHeight="1">
      <c r="A701" s="106" t="str">
        <f>B15_Assessment!$B$2</f>
        <v>15</v>
      </c>
      <c r="B701" s="106" t="str">
        <f t="shared" si="74"/>
        <v>B15_Assessment</v>
      </c>
      <c r="C701" s="106" t="str">
        <f>B15_Assessment!$A$81</f>
        <v>B15-P008</v>
      </c>
      <c r="D701" s="142" t="str">
        <f>B15_Assessment!$B$81</f>
        <v>124A/222/B01</v>
      </c>
      <c r="E701" s="142" t="str">
        <f>B15_Assessment!$C$81</f>
        <v>Telecom/Security</v>
      </c>
      <c r="F701" s="106" t="str">
        <f>B15_Assessment!$D$81</f>
        <v>New rack/future rack, fiber path A/B, Cat6A, patch panels, LIU, labels/test records, 124A-CAM-1 and existing 222/B01 transfer work</v>
      </c>
      <c r="G701" s="106">
        <f>B15_Assessment!$E$81</f>
        <v>0</v>
      </c>
      <c r="H701" s="106" t="str">
        <f>B15_Assessment!$F$81</f>
        <v>Paul</v>
      </c>
      <c r="I701" s="106">
        <f>B15_Assessment!$G$81</f>
        <v>0</v>
      </c>
      <c r="J701" s="106" t="str">
        <f>B15_Assessment!$H$81</f>
        <v>B15-R7/B15-R8</v>
      </c>
      <c r="K701" s="106" t="str">
        <f>B15_Assessment!$I$81</f>
        <v>Closed</v>
      </c>
      <c r="L701" s="106">
        <f>B15_Assessment!$J$81</f>
        <v>0</v>
      </c>
    </row>
    <row r="702" spans="1:12" ht="97.5" customHeight="1">
      <c r="A702" s="106" t="str">
        <f>B16_Assessment!$B$2</f>
        <v>16</v>
      </c>
      <c r="B702" s="106" t="str">
        <f t="shared" si="74"/>
        <v>B15_Assessment</v>
      </c>
      <c r="C702" s="106" t="str">
        <f>B16_Assessment!$A$67</f>
        <v>B16-P001</v>
      </c>
      <c r="D702" s="142" t="str">
        <f>B16_Assessment!$B$67</f>
        <v>015</v>
      </c>
      <c r="E702" s="142" t="str">
        <f>B16_Assessment!$C$67</f>
        <v>Existing Condition</v>
      </c>
      <c r="F702" s="106" t="str">
        <f>B16_Assessment!$D$67</f>
        <v>Room 015 walls, ceiling/deck, floor, door, adjacent Vacant 011/012/013, Stair 014, Water Heater 010, rack location, pathways and penetrations</v>
      </c>
      <c r="G702" s="106">
        <f>B16_Assessment!$E$67</f>
        <v>0</v>
      </c>
      <c r="H702" s="106" t="str">
        <f>B16_Assessment!$F$67</f>
        <v>Paul</v>
      </c>
      <c r="I702" s="106">
        <f>B16_Assessment!$G$67</f>
        <v>0</v>
      </c>
      <c r="J702" s="106" t="str">
        <f>B16_Assessment!$H$67</f>
        <v>B16-R1/B16-R3</v>
      </c>
      <c r="K702" s="106" t="str">
        <f>B16_Assessment!$I$67</f>
        <v>Closed</v>
      </c>
      <c r="L702" s="106">
        <f>B16_Assessment!$J$67</f>
        <v>0</v>
      </c>
    </row>
    <row r="703" spans="1:12" ht="97.5" customHeight="1">
      <c r="A703" s="106" t="str">
        <f>B16_Assessment!$B$2</f>
        <v>16</v>
      </c>
      <c r="B703" s="106" t="str">
        <f t="shared" si="74"/>
        <v>B15_Assessment</v>
      </c>
      <c r="C703" s="106" t="str">
        <f>B16_Assessment!$A$68</f>
        <v>B16-P002</v>
      </c>
      <c r="D703" s="142" t="str">
        <f>B16_Assessment!$B$68</f>
        <v>014</v>
      </c>
      <c r="E703" s="142" t="str">
        <f>B16_Assessment!$C$68</f>
        <v>Existing Condition</v>
      </c>
      <c r="F703" s="106" t="str">
        <f>B16_Assessment!$D$68</f>
        <v>Existing Telecom Room 014 wall rack/TE, Cisco switch, legacy 12-port patch panel, Fiber LIU, floor UPS, plywood backboard and security cabinet</v>
      </c>
      <c r="G703" s="106">
        <f>B16_Assessment!$E$68</f>
        <v>0</v>
      </c>
      <c r="H703" s="106" t="str">
        <f>B16_Assessment!$F$68</f>
        <v>Paul</v>
      </c>
      <c r="I703" s="106">
        <f>B16_Assessment!$G$68</f>
        <v>0</v>
      </c>
      <c r="J703" s="106" t="str">
        <f>B16_Assessment!$H$68</f>
        <v>B16-R1/B16-R2</v>
      </c>
      <c r="K703" s="106" t="str">
        <f>B16_Assessment!$I$68</f>
        <v>Closed</v>
      </c>
      <c r="L703" s="106">
        <f>B16_Assessment!$J$68</f>
        <v>0</v>
      </c>
    </row>
    <row r="704" spans="1:12" ht="97.5" customHeight="1">
      <c r="A704" s="106" t="str">
        <f>B16_Assessment!$B$2</f>
        <v>16</v>
      </c>
      <c r="B704" s="106" t="str">
        <f t="shared" si="74"/>
        <v>B15_Assessment</v>
      </c>
      <c r="C704" s="106" t="str">
        <f>B16_Assessment!$A$69</f>
        <v>B16-P003</v>
      </c>
      <c r="D704" s="142" t="str">
        <f>B16_Assessment!$B$69</f>
        <v>015</v>
      </c>
      <c r="E704" s="142" t="str">
        <f>B16_Assessment!$C$69</f>
        <v>Firestop</v>
      </c>
      <c r="F704" s="106" t="str">
        <f>B16_Assessment!$D$69</f>
        <v>All wall/floor/sleeve/tray penetrations before and after firestop</v>
      </c>
      <c r="G704" s="106">
        <f>B16_Assessment!$E$69</f>
        <v>0</v>
      </c>
      <c r="H704" s="106" t="str">
        <f>B16_Assessment!$F$69</f>
        <v>Paul</v>
      </c>
      <c r="I704" s="106">
        <f>B16_Assessment!$G$69</f>
        <v>0</v>
      </c>
      <c r="J704" s="106" t="str">
        <f>B16_Assessment!$H$69</f>
        <v>B16-R6</v>
      </c>
      <c r="K704" s="106" t="str">
        <f>B16_Assessment!$I$69</f>
        <v>Closed</v>
      </c>
      <c r="L704" s="106">
        <f>B16_Assessment!$J$69</f>
        <v>0</v>
      </c>
    </row>
    <row r="705" spans="1:12" ht="97.5" customHeight="1">
      <c r="A705" s="106" t="str">
        <f>B16_Assessment!$B$2</f>
        <v>16</v>
      </c>
      <c r="B705" s="106" t="str">
        <f t="shared" si="74"/>
        <v>B15_Assessment</v>
      </c>
      <c r="C705" s="106" t="str">
        <f>B16_Assessment!$A$70</f>
        <v>B16-P004</v>
      </c>
      <c r="D705" s="142" t="str">
        <f>B16_Assessment!$B$70</f>
        <v>015</v>
      </c>
      <c r="E705" s="142" t="str">
        <f>B16_Assessment!$C$70</f>
        <v>HVAC</v>
      </c>
      <c r="F705" s="106" t="str">
        <f>B16_Assessment!$D$70</f>
        <v>IU-1-01/CU-1-01, condensate, thermostat, BACnet adapter, disconnects, high-temp alarm and power source</v>
      </c>
      <c r="G705" s="106">
        <f>B16_Assessment!$E$70</f>
        <v>0</v>
      </c>
      <c r="H705" s="106" t="str">
        <f>B16_Assessment!$F$70</f>
        <v>Paul</v>
      </c>
      <c r="I705" s="106">
        <f>B16_Assessment!$G$70</f>
        <v>0</v>
      </c>
      <c r="J705" s="106" t="str">
        <f>B16_Assessment!$H$70</f>
        <v>B16-R4</v>
      </c>
      <c r="K705" s="106" t="str">
        <f>B16_Assessment!$I$70</f>
        <v>Closed</v>
      </c>
      <c r="L705" s="106">
        <f>B16_Assessment!$J$70</f>
        <v>0</v>
      </c>
    </row>
    <row r="706" spans="1:12" ht="97.5" customHeight="1">
      <c r="A706" s="106" t="str">
        <f>B16_Assessment!$B$2</f>
        <v>16</v>
      </c>
      <c r="B706" s="106" t="str">
        <f t="shared" si="74"/>
        <v>B15_Assessment</v>
      </c>
      <c r="C706" s="106" t="str">
        <f>B16_Assessment!$A$71</f>
        <v>B16-P005</v>
      </c>
      <c r="D706" s="142" t="str">
        <f>B16_Assessment!$B$71</f>
        <v>015</v>
      </c>
      <c r="E706" s="142" t="str">
        <f>B16_Assessment!$C$71</f>
        <v>Electrical</v>
      </c>
      <c r="F706" s="106" t="str">
        <f>B16_Assessment!$D$71</f>
        <v>B16-TR015A/B panels, rack receptacles, breakers, SPD, access controller, lighting, CU-1-01 and labels</v>
      </c>
      <c r="G706" s="106">
        <f>B16_Assessment!$E$71</f>
        <v>0</v>
      </c>
      <c r="H706" s="106" t="str">
        <f>B16_Assessment!$F$71</f>
        <v>Paul</v>
      </c>
      <c r="I706" s="106">
        <f>B16_Assessment!$G$71</f>
        <v>0</v>
      </c>
      <c r="J706" s="106" t="str">
        <f>B16_Assessment!$H$71</f>
        <v>B16-R5</v>
      </c>
      <c r="K706" s="106" t="str">
        <f>B16_Assessment!$I$71</f>
        <v>Closed</v>
      </c>
      <c r="L706" s="106">
        <f>B16_Assessment!$J$71</f>
        <v>0</v>
      </c>
    </row>
    <row r="707" spans="1:12" ht="97.5" customHeight="1">
      <c r="A707" s="106" t="str">
        <f>B16_Assessment!$B$2</f>
        <v>16</v>
      </c>
      <c r="B707" s="106" t="str">
        <f t="shared" ref="B707:B714" si="75">"B16_Assessment"</f>
        <v>B16_Assessment</v>
      </c>
      <c r="C707" s="106" t="str">
        <f>B16_Assessment!$A$72</f>
        <v>B16-P006</v>
      </c>
      <c r="D707" s="142" t="str">
        <f>B16_Assessment!$B$72</f>
        <v>015/014</v>
      </c>
      <c r="E707" s="142" t="str">
        <f>B16_Assessment!$C$72</f>
        <v>Telecom</v>
      </c>
      <c r="F707" s="106" t="str">
        <f>B16_Assessment!$D$72</f>
        <v>New rack/future rack, fiber path A/B, Cat6A, patch panels, LIU, labels/test records and existing Room 014 transfer work</v>
      </c>
      <c r="G707" s="106">
        <f>B16_Assessment!$E$72</f>
        <v>0</v>
      </c>
      <c r="H707" s="106" t="str">
        <f>B16_Assessment!$F$72</f>
        <v>Paul</v>
      </c>
      <c r="I707" s="106">
        <f>B16_Assessment!$G$72</f>
        <v>0</v>
      </c>
      <c r="J707" s="106" t="str">
        <f>B16_Assessment!$H$72</f>
        <v>B16-R7</v>
      </c>
      <c r="K707" s="106" t="str">
        <f>B16_Assessment!$I$72</f>
        <v>Closed</v>
      </c>
      <c r="L707" s="106">
        <f>B16_Assessment!$J$72</f>
        <v>0</v>
      </c>
    </row>
    <row r="708" spans="1:12" ht="97.5" customHeight="1">
      <c r="A708" s="106" t="str">
        <f>B16_Assessment!$B$2</f>
        <v>16</v>
      </c>
      <c r="B708" s="106" t="str">
        <f t="shared" si="75"/>
        <v>B16_Assessment</v>
      </c>
      <c r="C708" s="106" t="str">
        <f>B16_Assessment!$A$73</f>
        <v>B16-P007</v>
      </c>
      <c r="D708" s="142" t="str">
        <f>B16_Assessment!$B$73</f>
        <v>015/014</v>
      </c>
      <c r="E708" s="142" t="str">
        <f>B16_Assessment!$C$73</f>
        <v>Security</v>
      </c>
      <c r="F708" s="106" t="str">
        <f>B16_Assessment!$D$73</f>
        <v>015-CAM-1, card reader, electric strike, door position, motion sensor, existing security cabinet and VMS/PACS integration</v>
      </c>
      <c r="G708" s="106">
        <f>B16_Assessment!$E$73</f>
        <v>0</v>
      </c>
      <c r="H708" s="106" t="str">
        <f>B16_Assessment!$F$73</f>
        <v>Paul</v>
      </c>
      <c r="I708" s="106">
        <f>B16_Assessment!$G$73</f>
        <v>0</v>
      </c>
      <c r="J708" s="106" t="str">
        <f>B16_Assessment!$H$73</f>
        <v>B16-R8</v>
      </c>
      <c r="K708" s="106" t="str">
        <f>B16_Assessment!$I$73</f>
        <v>Closed</v>
      </c>
      <c r="L708" s="106">
        <f>B16_Assessment!$J$73</f>
        <v>0</v>
      </c>
    </row>
    <row r="709" spans="1:12" ht="97.5" customHeight="1">
      <c r="A709" s="106" t="str">
        <f>B16_Assessment!$B$2</f>
        <v>16</v>
      </c>
      <c r="B709" s="106" t="str">
        <f t="shared" si="75"/>
        <v>B16_Assessment</v>
      </c>
      <c r="C709" s="106" t="str">
        <f>B16_Assessment!$A$74</f>
        <v>B16-P008</v>
      </c>
      <c r="D709" s="142" t="str">
        <f>B16_Assessment!$B$74</f>
        <v>All</v>
      </c>
      <c r="E709" s="142" t="str">
        <f>B16_Assessment!$C$74</f>
        <v>Cable Tray / Pathway</v>
      </c>
      <c r="F709" s="106" t="str">
        <f>B16_Assessment!$D$74</f>
        <v>Basement and first-level cable tray/pathway route, supports, fill, firestopping and seismic bracing</v>
      </c>
      <c r="G709" s="106">
        <f>B16_Assessment!$E$74</f>
        <v>0</v>
      </c>
      <c r="H709" s="106" t="str">
        <f>B16_Assessment!$F$74</f>
        <v>Paul</v>
      </c>
      <c r="I709" s="106">
        <f>B16_Assessment!$G$74</f>
        <v>0</v>
      </c>
      <c r="J709" s="106" t="str">
        <f>B16_Assessment!$H$74</f>
        <v>B16-R3/B16-R7</v>
      </c>
      <c r="K709" s="106" t="str">
        <f>B16_Assessment!$I$74</f>
        <v>Closed</v>
      </c>
      <c r="L709" s="106">
        <f>B16_Assessment!$J$74</f>
        <v>0</v>
      </c>
    </row>
    <row r="710" spans="1:12" ht="97.5" customHeight="1">
      <c r="A710" s="106" t="str">
        <f>B17_Assessment!$B$2</f>
        <v>17</v>
      </c>
      <c r="B710" s="106" t="str">
        <f t="shared" si="75"/>
        <v>B16_Assessment</v>
      </c>
      <c r="C710" s="106" t="str">
        <f>B17_Assessment!$A$74</f>
        <v>B17-P001</v>
      </c>
      <c r="D710" s="142" t="str">
        <f>B17_Assessment!$B$74</f>
        <v>118</v>
      </c>
      <c r="E710" s="142" t="str">
        <f>B17_Assessment!$C$74</f>
        <v>Existing Condition</v>
      </c>
      <c r="F710" s="106" t="str">
        <f>B17_Assessment!$D$74</f>
        <v>Room 118 walls, ceiling/deck, floor, door, adjacent Lab/Freezer/Research/Corridor areas, rack location, pathways and penetrations</v>
      </c>
      <c r="G710" s="106">
        <f>B17_Assessment!$E$74</f>
        <v>0</v>
      </c>
      <c r="H710" s="106" t="str">
        <f>B17_Assessment!$F$74</f>
        <v>Paul</v>
      </c>
      <c r="I710" s="106">
        <f>B17_Assessment!$G$74</f>
        <v>0</v>
      </c>
      <c r="J710" s="106" t="str">
        <f>B17_Assessment!$H$74</f>
        <v>B17-R1/B17-R2</v>
      </c>
      <c r="K710" s="106" t="str">
        <f>B17_Assessment!$I$74</f>
        <v>Closed</v>
      </c>
      <c r="L710" s="106">
        <f>B17_Assessment!$J$74</f>
        <v>0</v>
      </c>
    </row>
    <row r="711" spans="1:12" ht="97.5" customHeight="1">
      <c r="A711" s="106" t="str">
        <f>B17_Assessment!$B$2</f>
        <v>17</v>
      </c>
      <c r="B711" s="106" t="str">
        <f t="shared" si="75"/>
        <v>B16_Assessment</v>
      </c>
      <c r="C711" s="106" t="str">
        <f>B17_Assessment!$A$75</f>
        <v>B17-P002</v>
      </c>
      <c r="D711" s="142" t="str">
        <f>B17_Assessment!$B$75</f>
        <v>B35A</v>
      </c>
      <c r="E711" s="142" t="str">
        <f>B17_Assessment!$C$75</f>
        <v>Existing Condition</v>
      </c>
      <c r="F711" s="106" t="str">
        <f>B17_Assessment!$D$75</f>
        <v>Existing Telecom Closet B35A wall TE, SERTEX service ports, legacy patch panels, Cisco switches, security cabinet, plywood backboard, indoor AC and floor UPS</v>
      </c>
      <c r="G711" s="106">
        <f>B17_Assessment!$E$75</f>
        <v>0</v>
      </c>
      <c r="H711" s="106" t="str">
        <f>B17_Assessment!$F$75</f>
        <v>Paul</v>
      </c>
      <c r="I711" s="106">
        <f>B17_Assessment!$G$75</f>
        <v>0</v>
      </c>
      <c r="J711" s="106" t="str">
        <f>B17_Assessment!$H$75</f>
        <v>B17-R1/B17-R3</v>
      </c>
      <c r="K711" s="106" t="str">
        <f>B17_Assessment!$I$75</f>
        <v>Closed</v>
      </c>
      <c r="L711" s="106">
        <f>B17_Assessment!$J$75</f>
        <v>0</v>
      </c>
    </row>
    <row r="712" spans="1:12" ht="97.5" customHeight="1">
      <c r="A712" s="106" t="str">
        <f>B17_Assessment!$B$2</f>
        <v>17</v>
      </c>
      <c r="B712" s="106" t="str">
        <f t="shared" si="75"/>
        <v>B16_Assessment</v>
      </c>
      <c r="C712" s="106" t="str">
        <f>B17_Assessment!$A$76</f>
        <v>B17-P003</v>
      </c>
      <c r="D712" s="142" t="str">
        <f>B17_Assessment!$B$76</f>
        <v>B29 Path</v>
      </c>
      <c r="E712" s="142" t="str">
        <f>B17_Assessment!$C$76</f>
        <v>Pathway</v>
      </c>
      <c r="F712" s="106" t="str">
        <f>B17_Assessment!$D$76</f>
        <v>Path to B29 4-inch PVC, fiber route, penetrations, handoff points and labeling</v>
      </c>
      <c r="G712" s="106">
        <f>B17_Assessment!$E$76</f>
        <v>0</v>
      </c>
      <c r="H712" s="106" t="str">
        <f>B17_Assessment!$F$76</f>
        <v>Paul</v>
      </c>
      <c r="I712" s="106">
        <f>B17_Assessment!$G$76</f>
        <v>0</v>
      </c>
      <c r="J712" s="106" t="str">
        <f>B17_Assessment!$H$76</f>
        <v>B17-R6/B17-R7</v>
      </c>
      <c r="K712" s="106" t="str">
        <f>B17_Assessment!$I$76</f>
        <v>Closed</v>
      </c>
      <c r="L712" s="106">
        <f>B17_Assessment!$J$76</f>
        <v>0</v>
      </c>
    </row>
    <row r="713" spans="1:12" ht="97.5" customHeight="1">
      <c r="A713" s="106" t="str">
        <f>B17_Assessment!$B$2</f>
        <v>17</v>
      </c>
      <c r="B713" s="106" t="str">
        <f t="shared" si="75"/>
        <v>B16_Assessment</v>
      </c>
      <c r="C713" s="106" t="str">
        <f>B17_Assessment!$A$77</f>
        <v>B17-P004</v>
      </c>
      <c r="D713" s="142" t="str">
        <f>B17_Assessment!$B$77</f>
        <v>118</v>
      </c>
      <c r="E713" s="142" t="str">
        <f>B17_Assessment!$C$77</f>
        <v>Hazardous Materials</v>
      </c>
      <c r="F713" s="106" t="str">
        <f>B17_Assessment!$D$77</f>
        <v>First-level abatement-related materials, flooring, walls, ceiling/penetrations, and disturbance areas</v>
      </c>
      <c r="G713" s="106">
        <f>B17_Assessment!$E$77</f>
        <v>0</v>
      </c>
      <c r="H713" s="106" t="str">
        <f>B17_Assessment!$F$77</f>
        <v>Paul</v>
      </c>
      <c r="I713" s="106">
        <f>B17_Assessment!$G$77</f>
        <v>0</v>
      </c>
      <c r="J713" s="106" t="str">
        <f>B17_Assessment!$H$77</f>
        <v>B17-R2</v>
      </c>
      <c r="K713" s="106" t="str">
        <f>B17_Assessment!$I$77</f>
        <v>Closed</v>
      </c>
      <c r="L713" s="106">
        <f>B17_Assessment!$J$77</f>
        <v>0</v>
      </c>
    </row>
    <row r="714" spans="1:12" ht="97.5" customHeight="1">
      <c r="A714" s="106" t="str">
        <f>B17_Assessment!$B$2</f>
        <v>17</v>
      </c>
      <c r="B714" s="106" t="str">
        <f t="shared" si="75"/>
        <v>B16_Assessment</v>
      </c>
      <c r="C714" s="106" t="str">
        <f>B17_Assessment!$A$78</f>
        <v>B17-P005</v>
      </c>
      <c r="D714" s="142" t="str">
        <f>B17_Assessment!$B$78</f>
        <v>118/B29</v>
      </c>
      <c r="E714" s="142" t="str">
        <f>B17_Assessment!$C$78</f>
        <v>Firestop</v>
      </c>
      <c r="F714" s="106" t="str">
        <f>B17_Assessment!$D$78</f>
        <v>All wall/floor/sleeve/tray penetrations before and after firestop, including B29 pathway</v>
      </c>
      <c r="G714" s="106">
        <f>B17_Assessment!$E$78</f>
        <v>0</v>
      </c>
      <c r="H714" s="106" t="str">
        <f>B17_Assessment!$F$78</f>
        <v>Paul</v>
      </c>
      <c r="I714" s="106">
        <f>B17_Assessment!$G$78</f>
        <v>0</v>
      </c>
      <c r="J714" s="106" t="str">
        <f>B17_Assessment!$H$78</f>
        <v>B17-R6</v>
      </c>
      <c r="K714" s="106" t="str">
        <f>B17_Assessment!$I$78</f>
        <v>Closed</v>
      </c>
      <c r="L714" s="106">
        <f>B17_Assessment!$J$78</f>
        <v>0</v>
      </c>
    </row>
    <row r="715" spans="1:12" ht="97.5" customHeight="1">
      <c r="A715" s="106" t="str">
        <f>B17_Assessment!$B$2</f>
        <v>17</v>
      </c>
      <c r="B715" s="106" t="str">
        <f t="shared" ref="B715:B722" si="76">"B17_Assessment"</f>
        <v>B17_Assessment</v>
      </c>
      <c r="C715" s="106" t="str">
        <f>B17_Assessment!$A$79</f>
        <v>B17-P006</v>
      </c>
      <c r="D715" s="142" t="str">
        <f>B17_Assessment!$B$79</f>
        <v>118</v>
      </c>
      <c r="E715" s="142" t="str">
        <f>B17_Assessment!$C$79</f>
        <v>HVAC</v>
      </c>
      <c r="F715" s="106" t="str">
        <f>B17_Assessment!$D$79</f>
        <v>IU-1-01/CU-1-01, condensate, thermostat, BACnet adapter, disconnects, high-temp alarm and power source</v>
      </c>
      <c r="G715" s="106">
        <f>B17_Assessment!$E$79</f>
        <v>0</v>
      </c>
      <c r="H715" s="106" t="str">
        <f>B17_Assessment!$F$79</f>
        <v>Paul</v>
      </c>
      <c r="I715" s="106">
        <f>B17_Assessment!$G$79</f>
        <v>0</v>
      </c>
      <c r="J715" s="106" t="str">
        <f>B17_Assessment!$H$79</f>
        <v>B17-R4</v>
      </c>
      <c r="K715" s="106" t="str">
        <f>B17_Assessment!$I$79</f>
        <v>Closed</v>
      </c>
      <c r="L715" s="106">
        <f>B17_Assessment!$J$79</f>
        <v>0</v>
      </c>
    </row>
    <row r="716" spans="1:12" ht="97.5" customHeight="1">
      <c r="A716" s="106" t="str">
        <f>B17_Assessment!$B$2</f>
        <v>17</v>
      </c>
      <c r="B716" s="106" t="str">
        <f t="shared" si="76"/>
        <v>B17_Assessment</v>
      </c>
      <c r="C716" s="106" t="str">
        <f>B17_Assessment!$A$80</f>
        <v>B17-P007</v>
      </c>
      <c r="D716" s="142" t="str">
        <f>B17_Assessment!$B$80</f>
        <v>118</v>
      </c>
      <c r="E716" s="142" t="str">
        <f>B17_Assessment!$C$80</f>
        <v>Electrical</v>
      </c>
      <c r="F716" s="106" t="str">
        <f>B17_Assessment!$D$80</f>
        <v>B17-TR118A/B panels, BUS-B17-EQDP, BUS-B17-NPB1-R, rack receptacles, breakers, SPD, access controller, lighting, CU-1-01 and labels</v>
      </c>
      <c r="G716" s="106">
        <f>B17_Assessment!$E$80</f>
        <v>0</v>
      </c>
      <c r="H716" s="106" t="str">
        <f>B17_Assessment!$F$80</f>
        <v>Paul</v>
      </c>
      <c r="I716" s="106">
        <f>B17_Assessment!$G$80</f>
        <v>0</v>
      </c>
      <c r="J716" s="106" t="str">
        <f>B17_Assessment!$H$80</f>
        <v>B17-R5</v>
      </c>
      <c r="K716" s="106" t="str">
        <f>B17_Assessment!$I$80</f>
        <v>Closed</v>
      </c>
      <c r="L716" s="106">
        <f>B17_Assessment!$J$80</f>
        <v>0</v>
      </c>
    </row>
    <row r="717" spans="1:12" ht="97.5" customHeight="1">
      <c r="A717" s="106" t="str">
        <f>B17_Assessment!$B$2</f>
        <v>17</v>
      </c>
      <c r="B717" s="106" t="str">
        <f t="shared" si="76"/>
        <v>B17_Assessment</v>
      </c>
      <c r="C717" s="106" t="str">
        <f>B17_Assessment!$A$81</f>
        <v>B17-P008</v>
      </c>
      <c r="D717" s="142" t="str">
        <f>B17_Assessment!$B$81</f>
        <v>118/B35A/B29</v>
      </c>
      <c r="E717" s="142" t="str">
        <f>B17_Assessment!$C$81</f>
        <v>Telecom/Security</v>
      </c>
      <c r="F717" s="106" t="str">
        <f>B17_Assessment!$D$81</f>
        <v>New rack/future rack, fiber path A/B, Cat6A, patch panels, LIU, labels/test records, 118-CAM-01 and existing B35A transfer work</v>
      </c>
      <c r="G717" s="106">
        <f>B17_Assessment!$E$81</f>
        <v>0</v>
      </c>
      <c r="H717" s="106" t="str">
        <f>B17_Assessment!$F$81</f>
        <v>Paul</v>
      </c>
      <c r="I717" s="106">
        <f>B17_Assessment!$G$81</f>
        <v>0</v>
      </c>
      <c r="J717" s="106" t="str">
        <f>B17_Assessment!$H$81</f>
        <v>B17-R7/B17-R8</v>
      </c>
      <c r="K717" s="106" t="str">
        <f>B17_Assessment!$I$81</f>
        <v>Closed</v>
      </c>
      <c r="L717" s="106">
        <f>B17_Assessment!$J$81</f>
        <v>0</v>
      </c>
    </row>
    <row r="718" spans="1:12" ht="97.5" customHeight="1">
      <c r="A718" s="106" t="str">
        <f>B18_Assessment!$B$2</f>
        <v>18</v>
      </c>
      <c r="B718" s="106" t="str">
        <f t="shared" si="76"/>
        <v>B17_Assessment</v>
      </c>
      <c r="C718" s="106" t="str">
        <f>B18_Assessment!$A$74</f>
        <v>B18-P001</v>
      </c>
      <c r="D718" s="142" t="str">
        <f>B18_Assessment!$B$74</f>
        <v>110</v>
      </c>
      <c r="E718" s="142" t="str">
        <f>B18_Assessment!$C$74</f>
        <v>Existing Condition</v>
      </c>
      <c r="F718" s="106" t="str">
        <f>B18_Assessment!$D$74</f>
        <v>Room 110 walls, ceiling/deck, floor, door, adjacent Corridor 121/Stair 122/Office 112, rack location, pathways and penetrations</v>
      </c>
      <c r="G718" s="106">
        <f>B18_Assessment!$E$74</f>
        <v>0</v>
      </c>
      <c r="H718" s="106" t="str">
        <f>B18_Assessment!$F$74</f>
        <v>Paul</v>
      </c>
      <c r="I718" s="106">
        <f>B18_Assessment!$G$74</f>
        <v>0</v>
      </c>
      <c r="J718" s="106" t="str">
        <f>B18_Assessment!$H$74</f>
        <v>B18-R1/B18-R2</v>
      </c>
      <c r="K718" s="106" t="str">
        <f>B18_Assessment!$I$74</f>
        <v>Closed</v>
      </c>
      <c r="L718" s="106">
        <f>B18_Assessment!$J$74</f>
        <v>0</v>
      </c>
    </row>
    <row r="719" spans="1:12" ht="97.5" customHeight="1">
      <c r="A719" s="106" t="str">
        <f>B18_Assessment!$B$2</f>
        <v>18</v>
      </c>
      <c r="B719" s="106" t="str">
        <f t="shared" si="76"/>
        <v>B17_Assessment</v>
      </c>
      <c r="C719" s="106" t="str">
        <f>B18_Assessment!$A$75</f>
        <v>B18-P002</v>
      </c>
      <c r="D719" s="142" t="str">
        <f>B18_Assessment!$B$75</f>
        <v>111B</v>
      </c>
      <c r="E719" s="142" t="str">
        <f>B18_Assessment!$C$75</f>
        <v>Existing Condition</v>
      </c>
      <c r="F719" s="106" t="str">
        <f>B18_Assessment!$D$75</f>
        <v>Existing TE 111B wall rack, plywood backboard, patch panel, security cabinet, floor UPS and 5RU fiber housing</v>
      </c>
      <c r="G719" s="106">
        <f>B18_Assessment!$E$75</f>
        <v>0</v>
      </c>
      <c r="H719" s="106" t="str">
        <f>B18_Assessment!$F$75</f>
        <v>Paul</v>
      </c>
      <c r="I719" s="106">
        <f>B18_Assessment!$G$75</f>
        <v>0</v>
      </c>
      <c r="J719" s="106" t="str">
        <f>B18_Assessment!$H$75</f>
        <v>B18-R1/B18-R3</v>
      </c>
      <c r="K719" s="106" t="str">
        <f>B18_Assessment!$I$75</f>
        <v>Closed</v>
      </c>
      <c r="L719" s="106">
        <f>B18_Assessment!$J$75</f>
        <v>0</v>
      </c>
    </row>
    <row r="720" spans="1:12" ht="97.5" customHeight="1">
      <c r="A720" s="106" t="str">
        <f>B18_Assessment!$B$2</f>
        <v>18</v>
      </c>
      <c r="B720" s="106" t="str">
        <f t="shared" si="76"/>
        <v>B17_Assessment</v>
      </c>
      <c r="C720" s="106" t="str">
        <f>B18_Assessment!$A$76</f>
        <v>B18-P003</v>
      </c>
      <c r="D720" s="142" t="str">
        <f>B18_Assessment!$B$76</f>
        <v>213</v>
      </c>
      <c r="E720" s="142" t="str">
        <f>B18_Assessment!$C$76</f>
        <v>Existing Condition</v>
      </c>
      <c r="F720" s="106" t="str">
        <f>B18_Assessment!$D$76</f>
        <v>Existing Closet 213 wall rack/TE, SERTEX service ports, Cisco switch, legacy Ortronics patch panels, security cabinet, plywood backboard and APC floor UPS</v>
      </c>
      <c r="G720" s="106">
        <f>B18_Assessment!$E$76</f>
        <v>0</v>
      </c>
      <c r="H720" s="106" t="str">
        <f>B18_Assessment!$F$76</f>
        <v>Paul</v>
      </c>
      <c r="I720" s="106">
        <f>B18_Assessment!$G$76</f>
        <v>0</v>
      </c>
      <c r="J720" s="106" t="str">
        <f>B18_Assessment!$H$76</f>
        <v>B18-R1/B18-R3</v>
      </c>
      <c r="K720" s="106" t="str">
        <f>B18_Assessment!$I$76</f>
        <v>Closed</v>
      </c>
      <c r="L720" s="106">
        <f>B18_Assessment!$J$76</f>
        <v>0</v>
      </c>
    </row>
    <row r="721" spans="1:12" ht="97.5" customHeight="1">
      <c r="A721" s="106" t="str">
        <f>B18_Assessment!$B$2</f>
        <v>18</v>
      </c>
      <c r="B721" s="106" t="str">
        <f t="shared" si="76"/>
        <v>B17_Assessment</v>
      </c>
      <c r="C721" s="106" t="str">
        <f>B18_Assessment!$A$77</f>
        <v>B18-P004</v>
      </c>
      <c r="D721" s="142" t="str">
        <f>B18_Assessment!$B$77</f>
        <v>110</v>
      </c>
      <c r="E721" s="142" t="str">
        <f>B18_Assessment!$C$77</f>
        <v>Hazardous Materials</v>
      </c>
      <c r="F721" s="106" t="str">
        <f>B18_Assessment!$D$77</f>
        <v>First-level abatement/lead-paint areas, flooring, walls, ceiling/penetrations, and disturbance areas</v>
      </c>
      <c r="G721" s="106">
        <f>B18_Assessment!$E$77</f>
        <v>0</v>
      </c>
      <c r="H721" s="106" t="str">
        <f>B18_Assessment!$F$77</f>
        <v>Paul</v>
      </c>
      <c r="I721" s="106">
        <f>B18_Assessment!$G$77</f>
        <v>0</v>
      </c>
      <c r="J721" s="106" t="str">
        <f>B18_Assessment!$H$77</f>
        <v>B18-R2</v>
      </c>
      <c r="K721" s="106" t="str">
        <f>B18_Assessment!$I$77</f>
        <v>Closed</v>
      </c>
      <c r="L721" s="106">
        <f>B18_Assessment!$J$77</f>
        <v>0</v>
      </c>
    </row>
    <row r="722" spans="1:12" ht="97.5" customHeight="1">
      <c r="A722" s="106" t="str">
        <f>B18_Assessment!$B$2</f>
        <v>18</v>
      </c>
      <c r="B722" s="106" t="str">
        <f t="shared" si="76"/>
        <v>B17_Assessment</v>
      </c>
      <c r="C722" s="106" t="str">
        <f>B18_Assessment!$A$78</f>
        <v>B18-P005</v>
      </c>
      <c r="D722" s="142" t="str">
        <f>B18_Assessment!$B$78</f>
        <v>110</v>
      </c>
      <c r="E722" s="142" t="str">
        <f>B18_Assessment!$C$78</f>
        <v>Firestop</v>
      </c>
      <c r="F722" s="106" t="str">
        <f>B18_Assessment!$D$78</f>
        <v>All wall/floor/sleeve/tray penetrations before and after firestop</v>
      </c>
      <c r="G722" s="106">
        <f>B18_Assessment!$E$78</f>
        <v>0</v>
      </c>
      <c r="H722" s="106" t="str">
        <f>B18_Assessment!$F$78</f>
        <v>Paul</v>
      </c>
      <c r="I722" s="106">
        <f>B18_Assessment!$G$78</f>
        <v>0</v>
      </c>
      <c r="J722" s="106" t="str">
        <f>B18_Assessment!$H$78</f>
        <v>B18-R6</v>
      </c>
      <c r="K722" s="106" t="str">
        <f>B18_Assessment!$I$78</f>
        <v>Closed</v>
      </c>
      <c r="L722" s="106">
        <f>B18_Assessment!$J$78</f>
        <v>0</v>
      </c>
    </row>
    <row r="723" spans="1:12" ht="97.5" customHeight="1">
      <c r="A723" s="106" t="str">
        <f>B18_Assessment!$B$2</f>
        <v>18</v>
      </c>
      <c r="B723" s="106" t="str">
        <f t="shared" ref="B723:B730" si="77">"B18_Assessment"</f>
        <v>B18_Assessment</v>
      </c>
      <c r="C723" s="106" t="str">
        <f>B18_Assessment!$A$79</f>
        <v>B18-P006</v>
      </c>
      <c r="D723" s="142" t="str">
        <f>B18_Assessment!$B$79</f>
        <v>110</v>
      </c>
      <c r="E723" s="142" t="str">
        <f>B18_Assessment!$C$79</f>
        <v>HVAC</v>
      </c>
      <c r="F723" s="106" t="str">
        <f>B18_Assessment!$D$79</f>
        <v>IU-1-01/CU-1-01, condensate, thermostat, BACnet adapter, disconnects, high-temp alarm and power source</v>
      </c>
      <c r="G723" s="106">
        <f>B18_Assessment!$E$79</f>
        <v>0</v>
      </c>
      <c r="H723" s="106" t="str">
        <f>B18_Assessment!$F$79</f>
        <v>Paul</v>
      </c>
      <c r="I723" s="106">
        <f>B18_Assessment!$G$79</f>
        <v>0</v>
      </c>
      <c r="J723" s="106" t="str">
        <f>B18_Assessment!$H$79</f>
        <v>B18-R4</v>
      </c>
      <c r="K723" s="106" t="str">
        <f>B18_Assessment!$I$79</f>
        <v>Closed</v>
      </c>
      <c r="L723" s="106">
        <f>B18_Assessment!$J$79</f>
        <v>0</v>
      </c>
    </row>
    <row r="724" spans="1:12" ht="97.5" customHeight="1">
      <c r="A724" s="106" t="str">
        <f>B18_Assessment!$B$2</f>
        <v>18</v>
      </c>
      <c r="B724" s="106" t="str">
        <f t="shared" si="77"/>
        <v>B18_Assessment</v>
      </c>
      <c r="C724" s="106" t="str">
        <f>B18_Assessment!$A$80</f>
        <v>B18-P007</v>
      </c>
      <c r="D724" s="142" t="str">
        <f>B18_Assessment!$B$80</f>
        <v>110</v>
      </c>
      <c r="E724" s="142" t="str">
        <f>B18_Assessment!$C$80</f>
        <v>Electrical</v>
      </c>
      <c r="F724" s="106" t="str">
        <f>B18_Assessment!$D$80</f>
        <v>B18-TR110A/B panels, rack receptacles, breakers, SPD, access controller, lighting, CU-1-01 and labels</v>
      </c>
      <c r="G724" s="106">
        <f>B18_Assessment!$E$80</f>
        <v>0</v>
      </c>
      <c r="H724" s="106" t="str">
        <f>B18_Assessment!$F$80</f>
        <v>Paul</v>
      </c>
      <c r="I724" s="106">
        <f>B18_Assessment!$G$80</f>
        <v>0</v>
      </c>
      <c r="J724" s="106" t="str">
        <f>B18_Assessment!$H$80</f>
        <v>B18-R5</v>
      </c>
      <c r="K724" s="106" t="str">
        <f>B18_Assessment!$I$80</f>
        <v>Closed</v>
      </c>
      <c r="L724" s="106">
        <f>B18_Assessment!$J$80</f>
        <v>0</v>
      </c>
    </row>
    <row r="725" spans="1:12" ht="97.5" customHeight="1">
      <c r="A725" s="106" t="str">
        <f>B18_Assessment!$B$2</f>
        <v>18</v>
      </c>
      <c r="B725" s="106" t="str">
        <f t="shared" si="77"/>
        <v>B18_Assessment</v>
      </c>
      <c r="C725" s="106" t="str">
        <f>B18_Assessment!$A$81</f>
        <v>B18-P008</v>
      </c>
      <c r="D725" s="142" t="str">
        <f>B18_Assessment!$B$81</f>
        <v>110/111B/213</v>
      </c>
      <c r="E725" s="142" t="str">
        <f>B18_Assessment!$C$81</f>
        <v>Telecom/Security</v>
      </c>
      <c r="F725" s="106" t="str">
        <f>B18_Assessment!$D$81</f>
        <v>New rack/future rack, fiber path A/B, Cat6A, patch panels, LIU, labels/test records, 111A-CAM-01 and existing 111B/213 transfer work</v>
      </c>
      <c r="G725" s="106">
        <f>B18_Assessment!$E$81</f>
        <v>0</v>
      </c>
      <c r="H725" s="106" t="str">
        <f>B18_Assessment!$F$81</f>
        <v>Paul</v>
      </c>
      <c r="I725" s="106">
        <f>B18_Assessment!$G$81</f>
        <v>0</v>
      </c>
      <c r="J725" s="106" t="str">
        <f>B18_Assessment!$H$81</f>
        <v>B18-R7/B18-R8</v>
      </c>
      <c r="K725" s="106" t="str">
        <f>B18_Assessment!$I$81</f>
        <v>Closed</v>
      </c>
      <c r="L725" s="106">
        <f>B18_Assessment!$J$81</f>
        <v>0</v>
      </c>
    </row>
    <row r="726" spans="1:12" ht="97.5" customHeight="1">
      <c r="A726" s="106" t="str">
        <f>B20_Assessment!$B$2</f>
        <v>20</v>
      </c>
      <c r="B726" s="106" t="str">
        <f t="shared" si="77"/>
        <v>B18_Assessment</v>
      </c>
      <c r="C726" s="106" t="str">
        <f>B20_Assessment!$A$67</f>
        <v>B20-P001</v>
      </c>
      <c r="D726" s="142" t="str">
        <f>B20_Assessment!$B$67</f>
        <v>1B</v>
      </c>
      <c r="E726" s="142" t="str">
        <f>B20_Assessment!$C$67</f>
        <v>Existing Condition</v>
      </c>
      <c r="F726" s="106" t="str">
        <f>B20_Assessment!$D$67</f>
        <v>Office 1B wall location, wall backing, clearances, ceiling, power source, cable path, fiber path A/B and new TE enclosure location</v>
      </c>
      <c r="G726" s="106">
        <f>B20_Assessment!$E$67</f>
        <v>0</v>
      </c>
      <c r="H726" s="106" t="str">
        <f>B20_Assessment!$F$67</f>
        <v>Paul</v>
      </c>
      <c r="I726" s="106">
        <f>B20_Assessment!$G$67</f>
        <v>0</v>
      </c>
      <c r="J726" s="106" t="str">
        <f>B20_Assessment!$H$67</f>
        <v>B20-R1/B20-R3</v>
      </c>
      <c r="K726" s="106" t="str">
        <f>B20_Assessment!$I$67</f>
        <v>Closed</v>
      </c>
      <c r="L726" s="106">
        <f>B20_Assessment!$J$67</f>
        <v>0</v>
      </c>
    </row>
    <row r="727" spans="1:12" ht="97.5" customHeight="1">
      <c r="A727" s="106" t="str">
        <f>B20_Assessment!$B$2</f>
        <v>20</v>
      </c>
      <c r="B727" s="106" t="str">
        <f t="shared" si="77"/>
        <v>B18_Assessment</v>
      </c>
      <c r="C727" s="106" t="str">
        <f>B20_Assessment!$A$68</f>
        <v>B20-P002</v>
      </c>
      <c r="D727" s="142" t="str">
        <f>B20_Assessment!$B$68</f>
        <v>8A</v>
      </c>
      <c r="E727" s="142" t="str">
        <f>B20_Assessment!$C$68</f>
        <v>Existing Condition</v>
      </c>
      <c r="F727" s="106" t="str">
        <f>B20_Assessment!$D$68</f>
        <v>Existing Tel/Data Closet 8A open TE cabinet, ground bar, patch panel, equipment box, indoor AC unit, plywood backboard and cable entries</v>
      </c>
      <c r="G727" s="106">
        <f>B20_Assessment!$E$68</f>
        <v>0</v>
      </c>
      <c r="H727" s="106" t="str">
        <f>B20_Assessment!$F$68</f>
        <v>Paul</v>
      </c>
      <c r="I727" s="106">
        <f>B20_Assessment!$G$68</f>
        <v>0</v>
      </c>
      <c r="J727" s="106" t="str">
        <f>B20_Assessment!$H$68</f>
        <v>B20-R1/B20-R2</v>
      </c>
      <c r="K727" s="106" t="str">
        <f>B20_Assessment!$I$68</f>
        <v>Closed</v>
      </c>
      <c r="L727" s="106">
        <f>B20_Assessment!$J$68</f>
        <v>0</v>
      </c>
    </row>
    <row r="728" spans="1:12" ht="97.5" customHeight="1">
      <c r="A728" s="106" t="str">
        <f>B20_Assessment!$B$2</f>
        <v>20</v>
      </c>
      <c r="B728" s="106" t="str">
        <f t="shared" si="77"/>
        <v>B18_Assessment</v>
      </c>
      <c r="C728" s="106" t="str">
        <f>B20_Assessment!$A$69</f>
        <v>B20-P003</v>
      </c>
      <c r="D728" s="142" t="str">
        <f>B20_Assessment!$B$69</f>
        <v>8A</v>
      </c>
      <c r="E728" s="142" t="str">
        <f>B20_Assessment!$C$69</f>
        <v>Existing Equipment</v>
      </c>
      <c r="F728" s="106" t="str">
        <f>B20_Assessment!$D$69</f>
        <v>BIX blocks, Cisco switch, legacy Ortronics 48-port patch panel, UPS on ground and Fiber LIU on wall</v>
      </c>
      <c r="G728" s="106">
        <f>B20_Assessment!$E$69</f>
        <v>0</v>
      </c>
      <c r="H728" s="106" t="str">
        <f>B20_Assessment!$F$69</f>
        <v>Paul</v>
      </c>
      <c r="I728" s="106">
        <f>B20_Assessment!$G$69</f>
        <v>0</v>
      </c>
      <c r="J728" s="106" t="str">
        <f>B20_Assessment!$H$69</f>
        <v>B20-R2/B20-R5</v>
      </c>
      <c r="K728" s="106" t="str">
        <f>B20_Assessment!$I$69</f>
        <v>Closed</v>
      </c>
      <c r="L728" s="106">
        <f>B20_Assessment!$J$69</f>
        <v>0</v>
      </c>
    </row>
    <row r="729" spans="1:12" ht="97.5" customHeight="1">
      <c r="A729" s="106" t="str">
        <f>B20_Assessment!$B$2</f>
        <v>20</v>
      </c>
      <c r="B729" s="106" t="str">
        <f t="shared" si="77"/>
        <v>B18_Assessment</v>
      </c>
      <c r="C729" s="106" t="str">
        <f>B20_Assessment!$A$70</f>
        <v>B20-P004</v>
      </c>
      <c r="D729" s="142" t="str">
        <f>B20_Assessment!$B$70</f>
        <v>1B/8A</v>
      </c>
      <c r="E729" s="142" t="str">
        <f>B20_Assessment!$C$70</f>
        <v>Pathway</v>
      </c>
      <c r="F729" s="106" t="str">
        <f>B20_Assessment!$D$70</f>
        <v>459 ft Level 1 cable tray route, sleeves, wall penetrations, support points, light/HVAC conflicts and 40% fill concerns</v>
      </c>
      <c r="G729" s="106">
        <f>B20_Assessment!$E$70</f>
        <v>0</v>
      </c>
      <c r="H729" s="106" t="str">
        <f>B20_Assessment!$F$70</f>
        <v>Paul</v>
      </c>
      <c r="I729" s="106">
        <f>B20_Assessment!$G$70</f>
        <v>0</v>
      </c>
      <c r="J729" s="106" t="str">
        <f>B20_Assessment!$H$70</f>
        <v>B20-R6/B20-R7</v>
      </c>
      <c r="K729" s="106" t="str">
        <f>B20_Assessment!$I$70</f>
        <v>Closed</v>
      </c>
      <c r="L729" s="106">
        <f>B20_Assessment!$J$70</f>
        <v>0</v>
      </c>
    </row>
    <row r="730" spans="1:12" ht="97.5" customHeight="1">
      <c r="A730" s="106" t="str">
        <f>B20_Assessment!$B$2</f>
        <v>20</v>
      </c>
      <c r="B730" s="106" t="str">
        <f t="shared" si="77"/>
        <v>B18_Assessment</v>
      </c>
      <c r="C730" s="106" t="str">
        <f>B20_Assessment!$A$71</f>
        <v>B20-P005</v>
      </c>
      <c r="D730" s="142" t="str">
        <f>B20_Assessment!$B$71</f>
        <v>1B</v>
      </c>
      <c r="E730" s="142" t="str">
        <f>B20_Assessment!$C$71</f>
        <v>Electrical</v>
      </c>
      <c r="F730" s="106" t="str">
        <f>B20_Assessment!$D$71</f>
        <v>New TE enclosure UPS/PDU receptacles, circuit source, grounding/bonding, labels and disconnect/access</v>
      </c>
      <c r="G730" s="106">
        <f>B20_Assessment!$E$71</f>
        <v>0</v>
      </c>
      <c r="H730" s="106" t="str">
        <f>B20_Assessment!$F$71</f>
        <v>Paul</v>
      </c>
      <c r="I730" s="106">
        <f>B20_Assessment!$G$71</f>
        <v>0</v>
      </c>
      <c r="J730" s="106" t="str">
        <f>B20_Assessment!$H$71</f>
        <v>B20-R5</v>
      </c>
      <c r="K730" s="106" t="str">
        <f>B20_Assessment!$I$71</f>
        <v>Closed</v>
      </c>
      <c r="L730" s="106">
        <f>B20_Assessment!$J$71</f>
        <v>0</v>
      </c>
    </row>
    <row r="731" spans="1:12" ht="97.5" customHeight="1">
      <c r="A731" s="106" t="str">
        <f>B20_Assessment!$B$2</f>
        <v>20</v>
      </c>
      <c r="B731" s="106" t="str">
        <f t="shared" ref="B731:B738" si="78">"B20_Assessment"</f>
        <v>B20_Assessment</v>
      </c>
      <c r="C731" s="106" t="str">
        <f>B20_Assessment!$A$72</f>
        <v>B20-P006</v>
      </c>
      <c r="D731" s="142" t="str">
        <f>B20_Assessment!$B$72</f>
        <v>1B/8A</v>
      </c>
      <c r="E731" s="142" t="str">
        <f>B20_Assessment!$C$72</f>
        <v>Telecom</v>
      </c>
      <c r="F731" s="106" t="str">
        <f>B20_Assessment!$D$72</f>
        <v>TE01-1B-1 enclosure, cross-connect cables, Fiber LIU, patch panels, labels, test results and existing equipment transfer</v>
      </c>
      <c r="G731" s="106">
        <f>B20_Assessment!$E$72</f>
        <v>0</v>
      </c>
      <c r="H731" s="106" t="str">
        <f>B20_Assessment!$F$72</f>
        <v>Paul</v>
      </c>
      <c r="I731" s="106">
        <f>B20_Assessment!$G$72</f>
        <v>0</v>
      </c>
      <c r="J731" s="106" t="str">
        <f>B20_Assessment!$H$72</f>
        <v>B20-R2/B20-R8</v>
      </c>
      <c r="K731" s="106" t="str">
        <f>B20_Assessment!$I$72</f>
        <v>Closed</v>
      </c>
      <c r="L731" s="106">
        <f>B20_Assessment!$J$72</f>
        <v>0</v>
      </c>
    </row>
    <row r="732" spans="1:12" ht="97.5" customHeight="1">
      <c r="A732" s="106" t="str">
        <f>B20_Assessment!$B$2</f>
        <v>20</v>
      </c>
      <c r="B732" s="106" t="str">
        <f t="shared" si="78"/>
        <v>B20_Assessment</v>
      </c>
      <c r="C732" s="106" t="str">
        <f>B20_Assessment!$A$73</f>
        <v>B20-P007</v>
      </c>
      <c r="D732" s="142" t="str">
        <f>B20_Assessment!$B$73</f>
        <v>All</v>
      </c>
      <c r="E732" s="142" t="str">
        <f>B20_Assessment!$C$73</f>
        <v>Firestop</v>
      </c>
      <c r="F732" s="106" t="str">
        <f>B20_Assessment!$D$73</f>
        <v>4-inch speed sleeve, wall penetrations and fire caulk before/after photos</v>
      </c>
      <c r="G732" s="106">
        <f>B20_Assessment!$E$73</f>
        <v>0</v>
      </c>
      <c r="H732" s="106" t="str">
        <f>B20_Assessment!$F$73</f>
        <v>Paul</v>
      </c>
      <c r="I732" s="106">
        <f>B20_Assessment!$G$73</f>
        <v>0</v>
      </c>
      <c r="J732" s="106" t="str">
        <f>B20_Assessment!$H$73</f>
        <v>B20-R7</v>
      </c>
      <c r="K732" s="106" t="str">
        <f>B20_Assessment!$I$73</f>
        <v>Closed</v>
      </c>
      <c r="L732" s="106">
        <f>B20_Assessment!$J$73</f>
        <v>0</v>
      </c>
    </row>
    <row r="733" spans="1:12" ht="97.5" customHeight="1">
      <c r="A733" s="106" t="str">
        <f>B20_Assessment!$B$2</f>
        <v>20</v>
      </c>
      <c r="B733" s="106" t="str">
        <f t="shared" si="78"/>
        <v>B20_Assessment</v>
      </c>
      <c r="C733" s="106" t="str">
        <f>B20_Assessment!$A$74</f>
        <v>B20-P008</v>
      </c>
      <c r="D733" s="142" t="str">
        <f>B20_Assessment!$B$74</f>
        <v>All</v>
      </c>
      <c r="E733" s="142" t="str">
        <f>B20_Assessment!$C$74</f>
        <v>Security / Existing Devices</v>
      </c>
      <c r="F733" s="106" t="str">
        <f>B20_Assessment!$D$74</f>
        <v>Existing cameras/security devices to remain, protection-in-place and final operating condition</v>
      </c>
      <c r="G733" s="106">
        <f>B20_Assessment!$E$74</f>
        <v>0</v>
      </c>
      <c r="H733" s="106" t="str">
        <f>B20_Assessment!$F$74</f>
        <v>Paul</v>
      </c>
      <c r="I733" s="106">
        <f>B20_Assessment!$G$74</f>
        <v>0</v>
      </c>
      <c r="J733" s="106" t="str">
        <f>B20_Assessment!$H$74</f>
        <v>B20-R8</v>
      </c>
      <c r="K733" s="106" t="str">
        <f>B20_Assessment!$I$74</f>
        <v>Closed</v>
      </c>
      <c r="L733" s="106">
        <f>B20_Assessment!$J$74</f>
        <v>0</v>
      </c>
    </row>
    <row r="734" spans="1:12" ht="97.5" customHeight="1">
      <c r="A734" s="106" t="str">
        <f>B21_Assessment!$B$2</f>
        <v>21</v>
      </c>
      <c r="B734" s="106" t="str">
        <f t="shared" si="78"/>
        <v>B20_Assessment</v>
      </c>
      <c r="C734" s="106" t="str">
        <f>B21_Assessment!$A$74</f>
        <v>B21-P001</v>
      </c>
      <c r="D734" s="142" t="str">
        <f>B21_Assessment!$B$74</f>
        <v>100A</v>
      </c>
      <c r="E734" s="142" t="str">
        <f>B21_Assessment!$C$74</f>
        <v>Existing Condition</v>
      </c>
      <c r="F734" s="106" t="str">
        <f>B21_Assessment!$D$74</f>
        <v>M&amp;O Foreman Office 100A wall location, wall backing, clearances, ceiling, power source, cable path, fiber path A/B and new TE enclosure location</v>
      </c>
      <c r="G734" s="106">
        <f>B21_Assessment!$E$74</f>
        <v>0</v>
      </c>
      <c r="H734" s="106" t="str">
        <f>B21_Assessment!$F$74</f>
        <v>Paul</v>
      </c>
      <c r="I734" s="106">
        <f>B21_Assessment!$G$74</f>
        <v>0</v>
      </c>
      <c r="J734" s="106" t="str">
        <f>B21_Assessment!$H$74</f>
        <v>B21-R1/B21-R3</v>
      </c>
      <c r="K734" s="106" t="str">
        <f>B21_Assessment!$I$74</f>
        <v>Closed</v>
      </c>
      <c r="L734" s="106">
        <f>B21_Assessment!$J$74</f>
        <v>0</v>
      </c>
    </row>
    <row r="735" spans="1:12" ht="97.5" customHeight="1">
      <c r="A735" s="106" t="str">
        <f>B21_Assessment!$B$2</f>
        <v>21</v>
      </c>
      <c r="B735" s="106" t="str">
        <f t="shared" si="78"/>
        <v>B20_Assessment</v>
      </c>
      <c r="C735" s="106" t="str">
        <f>B21_Assessment!$A$75</f>
        <v>B21-P002</v>
      </c>
      <c r="D735" s="142" t="str">
        <f>B21_Assessment!$B$75</f>
        <v>B1.TR</v>
      </c>
      <c r="E735" s="142" t="str">
        <f>B21_Assessment!$C$75</f>
        <v>Existing Condition</v>
      </c>
      <c r="F735" s="106" t="str">
        <f>B21_Assessment!$D$75</f>
        <v>Existing B21 basement B1.TR wall TE, legacy patch panels, Cisco switch, Fiber LIU, UPS on ground and cable entries</v>
      </c>
      <c r="G735" s="106">
        <f>B21_Assessment!$E$75</f>
        <v>0</v>
      </c>
      <c r="H735" s="106" t="str">
        <f>B21_Assessment!$F$75</f>
        <v>Paul</v>
      </c>
      <c r="I735" s="106">
        <f>B21_Assessment!$G$75</f>
        <v>0</v>
      </c>
      <c r="J735" s="106" t="str">
        <f>B21_Assessment!$H$75</f>
        <v>B21-R1/B21-R2</v>
      </c>
      <c r="K735" s="106" t="str">
        <f>B21_Assessment!$I$75</f>
        <v>Closed</v>
      </c>
      <c r="L735" s="106">
        <f>B21_Assessment!$J$75</f>
        <v>0</v>
      </c>
    </row>
    <row r="736" spans="1:12" ht="97.5" customHeight="1">
      <c r="A736" s="106" t="str">
        <f>B21_Assessment!$B$2</f>
        <v>21</v>
      </c>
      <c r="B736" s="106" t="str">
        <f t="shared" si="78"/>
        <v>B20_Assessment</v>
      </c>
      <c r="C736" s="106" t="str">
        <f>B21_Assessment!$A$76</f>
        <v>B21-P003</v>
      </c>
      <c r="D736" s="142" t="str">
        <f>B21_Assessment!$B$76</f>
        <v>B05TR</v>
      </c>
      <c r="E736" s="142" t="str">
        <f>B21_Assessment!$C$76</f>
        <v>Existing Condition</v>
      </c>
      <c r="F736" s="106" t="str">
        <f>B21_Assessment!$D$76</f>
        <v>Existing B19 B05TR basement and first-level TE/equipment, APC floor UPS, Cisco switch, patch panels, Fiber LIU and pathways</v>
      </c>
      <c r="G736" s="106">
        <f>B21_Assessment!$E$76</f>
        <v>0</v>
      </c>
      <c r="H736" s="106" t="str">
        <f>B21_Assessment!$F$76</f>
        <v>Paul</v>
      </c>
      <c r="I736" s="106">
        <f>B21_Assessment!$G$76</f>
        <v>0</v>
      </c>
      <c r="J736" s="106" t="str">
        <f>B21_Assessment!$H$76</f>
        <v>B21-R1/B21-R4</v>
      </c>
      <c r="K736" s="106" t="str">
        <f>B21_Assessment!$I$76</f>
        <v>Closed</v>
      </c>
      <c r="L736" s="106">
        <f>B21_Assessment!$J$76</f>
        <v>0</v>
      </c>
    </row>
    <row r="737" spans="1:12" ht="97.5" customHeight="1">
      <c r="A737" s="106" t="str">
        <f>B21_Assessment!$B$2</f>
        <v>21</v>
      </c>
      <c r="B737" s="106" t="str">
        <f t="shared" si="78"/>
        <v>B20_Assessment</v>
      </c>
      <c r="C737" s="106" t="str">
        <f>B21_Assessment!$A$77</f>
        <v>B21-P004</v>
      </c>
      <c r="D737" s="142" t="str">
        <f>B21_Assessment!$B$77</f>
        <v>100A/B05TR/B1.TR</v>
      </c>
      <c r="E737" s="142" t="str">
        <f>B21_Assessment!$C$77</f>
        <v>Pathway</v>
      </c>
      <c r="F737" s="106" t="str">
        <f>B21_Assessment!$D$77</f>
        <v>659 ft cable tray route, sleeves, wall/floor penetrations, support points, light/HVAC conflicts and 40% fill concerns</v>
      </c>
      <c r="G737" s="106">
        <f>B21_Assessment!$E$77</f>
        <v>0</v>
      </c>
      <c r="H737" s="106" t="str">
        <f>B21_Assessment!$F$77</f>
        <v>Paul</v>
      </c>
      <c r="I737" s="106">
        <f>B21_Assessment!$G$77</f>
        <v>0</v>
      </c>
      <c r="J737" s="106" t="str">
        <f>B21_Assessment!$H$77</f>
        <v>B21-R6/B21-R7</v>
      </c>
      <c r="K737" s="106" t="str">
        <f>B21_Assessment!$I$77</f>
        <v>Closed</v>
      </c>
      <c r="L737" s="106">
        <f>B21_Assessment!$J$77</f>
        <v>0</v>
      </c>
    </row>
    <row r="738" spans="1:12" ht="97.5" customHeight="1">
      <c r="A738" s="106" t="str">
        <f>B21_Assessment!$B$2</f>
        <v>21</v>
      </c>
      <c r="B738" s="106" t="str">
        <f t="shared" si="78"/>
        <v>B20_Assessment</v>
      </c>
      <c r="C738" s="106" t="str">
        <f>B21_Assessment!$A$78</f>
        <v>B21-P005</v>
      </c>
      <c r="D738" s="142" t="str">
        <f>B21_Assessment!$B$78</f>
        <v>100A</v>
      </c>
      <c r="E738" s="142" t="str">
        <f>B21_Assessment!$C$78</f>
        <v>Electrical</v>
      </c>
      <c r="F738" s="106" t="str">
        <f>B21_Assessment!$D$78</f>
        <v>New TE enclosure UPS/PDU receptacles, circuit source, grounding/bonding, labels and access</v>
      </c>
      <c r="G738" s="106">
        <f>B21_Assessment!$E$78</f>
        <v>0</v>
      </c>
      <c r="H738" s="106" t="str">
        <f>B21_Assessment!$F$78</f>
        <v>Paul</v>
      </c>
      <c r="I738" s="106">
        <f>B21_Assessment!$G$78</f>
        <v>0</v>
      </c>
      <c r="J738" s="106" t="str">
        <f>B21_Assessment!$H$78</f>
        <v>B21-R5</v>
      </c>
      <c r="K738" s="106" t="str">
        <f>B21_Assessment!$I$78</f>
        <v>Closed</v>
      </c>
      <c r="L738" s="106">
        <f>B21_Assessment!$J$78</f>
        <v>0</v>
      </c>
    </row>
    <row r="739" spans="1:12" ht="97.5" customHeight="1">
      <c r="A739" s="106" t="str">
        <f>B21_Assessment!$B$2</f>
        <v>21</v>
      </c>
      <c r="B739" s="106" t="str">
        <f t="shared" ref="B739:B746" si="79">"B21_Assessment"</f>
        <v>B21_Assessment</v>
      </c>
      <c r="C739" s="106" t="str">
        <f>B21_Assessment!$A$79</f>
        <v>B21-P006</v>
      </c>
      <c r="D739" s="142" t="str">
        <f>B21_Assessment!$B$79</f>
        <v>100A/B1.TR/B05TR</v>
      </c>
      <c r="E739" s="142" t="str">
        <f>B21_Assessment!$C$79</f>
        <v>Telecom</v>
      </c>
      <c r="F739" s="106" t="str">
        <f>B21_Assessment!$D$79</f>
        <v>TR01-104-1 enclosure, cross-connect cables, Fiber LIU, patch panels, labels, test results and existing equipment transfer</v>
      </c>
      <c r="G739" s="106">
        <f>B21_Assessment!$E$79</f>
        <v>0</v>
      </c>
      <c r="H739" s="106" t="str">
        <f>B21_Assessment!$F$79</f>
        <v>Paul</v>
      </c>
      <c r="I739" s="106">
        <f>B21_Assessment!$G$79</f>
        <v>0</v>
      </c>
      <c r="J739" s="106" t="str">
        <f>B21_Assessment!$H$79</f>
        <v>B21-R2/B21-R8</v>
      </c>
      <c r="K739" s="106" t="str">
        <f>B21_Assessment!$I$79</f>
        <v>Closed</v>
      </c>
      <c r="L739" s="106">
        <f>B21_Assessment!$J$79</f>
        <v>0</v>
      </c>
    </row>
    <row r="740" spans="1:12" ht="97.5" customHeight="1">
      <c r="A740" s="106" t="str">
        <f>B21_Assessment!$B$2</f>
        <v>21</v>
      </c>
      <c r="B740" s="106" t="str">
        <f t="shared" si="79"/>
        <v>B21_Assessment</v>
      </c>
      <c r="C740" s="106" t="str">
        <f>B21_Assessment!$A$80</f>
        <v>B21-P007</v>
      </c>
      <c r="D740" s="142" t="str">
        <f>B21_Assessment!$B$80</f>
        <v>All</v>
      </c>
      <c r="E740" s="142" t="str">
        <f>B21_Assessment!$C$80</f>
        <v>Firestop</v>
      </c>
      <c r="F740" s="106" t="str">
        <f>B21_Assessment!$D$80</f>
        <v>4-inch speed sleeve, wall/floor penetrations and fire caulk before/after photos</v>
      </c>
      <c r="G740" s="106">
        <f>B21_Assessment!$E$80</f>
        <v>0</v>
      </c>
      <c r="H740" s="106" t="str">
        <f>B21_Assessment!$F$80</f>
        <v>Paul</v>
      </c>
      <c r="I740" s="106">
        <f>B21_Assessment!$G$80</f>
        <v>0</v>
      </c>
      <c r="J740" s="106" t="str">
        <f>B21_Assessment!$H$80</f>
        <v>B21-R7</v>
      </c>
      <c r="K740" s="106" t="str">
        <f>B21_Assessment!$I$80</f>
        <v>Closed</v>
      </c>
      <c r="L740" s="106">
        <f>B21_Assessment!$J$80</f>
        <v>0</v>
      </c>
    </row>
    <row r="741" spans="1:12" ht="97.5" customHeight="1">
      <c r="A741" s="106" t="str">
        <f>B21_Assessment!$B$2</f>
        <v>21</v>
      </c>
      <c r="B741" s="106" t="str">
        <f t="shared" si="79"/>
        <v>B21_Assessment</v>
      </c>
      <c r="C741" s="106" t="str">
        <f>B21_Assessment!$A$81</f>
        <v>B21-P008</v>
      </c>
      <c r="D741" s="142" t="str">
        <f>B21_Assessment!$B$81</f>
        <v>All</v>
      </c>
      <c r="E741" s="142" t="str">
        <f>B21_Assessment!$C$81</f>
        <v>Security / Existing Devices</v>
      </c>
      <c r="F741" s="106" t="str">
        <f>B21_Assessment!$D$81</f>
        <v>Existing cameras/security devices to remain, protection-in-place and final operating condition</v>
      </c>
      <c r="G741" s="106">
        <f>B21_Assessment!$E$81</f>
        <v>0</v>
      </c>
      <c r="H741" s="106" t="str">
        <f>B21_Assessment!$F$81</f>
        <v>Paul</v>
      </c>
      <c r="I741" s="106">
        <f>B21_Assessment!$G$81</f>
        <v>0</v>
      </c>
      <c r="J741" s="106" t="str">
        <f>B21_Assessment!$H$81</f>
        <v>B21-R8</v>
      </c>
      <c r="K741" s="106" t="str">
        <f>B21_Assessment!$I$81</f>
        <v>Closed</v>
      </c>
      <c r="L741" s="106">
        <f>B21_Assessment!$J$81</f>
        <v>0</v>
      </c>
    </row>
    <row r="742" spans="1:12" ht="97.5" customHeight="1">
      <c r="A742" s="106" t="str">
        <f>B22_Assessment!$B$2</f>
        <v>22</v>
      </c>
      <c r="B742" s="106" t="str">
        <f t="shared" si="79"/>
        <v>B21_Assessment</v>
      </c>
      <c r="C742" s="106" t="str">
        <f>B22_Assessment!$A$67</f>
        <v>B22-P001</v>
      </c>
      <c r="D742" s="142" t="str">
        <f>B22_Assessment!$B$67</f>
        <v>102</v>
      </c>
      <c r="E742" s="142" t="str">
        <f>B22_Assessment!$C$67</f>
        <v>Existing Condition</v>
      </c>
      <c r="F742" s="106" t="str">
        <f>B22_Assessment!$D$67</f>
        <v>Break Room 102 wall location, wall backing, clearances, ceiling, power source, cable path, fiber path A/B and new TE enclosure location</v>
      </c>
      <c r="G742" s="106">
        <f>B22_Assessment!$E$67</f>
        <v>0</v>
      </c>
      <c r="H742" s="106" t="str">
        <f>B22_Assessment!$F$67</f>
        <v>Paul</v>
      </c>
      <c r="I742" s="106">
        <f>B22_Assessment!$G$67</f>
        <v>0</v>
      </c>
      <c r="J742" s="106" t="str">
        <f>B22_Assessment!$H$67</f>
        <v>B22-R1/B22-R3</v>
      </c>
      <c r="K742" s="106" t="str">
        <f>B22_Assessment!$I$67</f>
        <v>Closed</v>
      </c>
      <c r="L742" s="106">
        <f>B22_Assessment!$J$67</f>
        <v>0</v>
      </c>
    </row>
    <row r="743" spans="1:12" ht="97.5" customHeight="1">
      <c r="A743" s="106" t="str">
        <f>B22_Assessment!$B$2</f>
        <v>22</v>
      </c>
      <c r="B743" s="106" t="str">
        <f t="shared" si="79"/>
        <v>B21_Assessment</v>
      </c>
      <c r="C743" s="106" t="str">
        <f>B22_Assessment!$A$68</f>
        <v>B22-P002</v>
      </c>
      <c r="D743" s="142" t="str">
        <f>B22_Assessment!$B$68</f>
        <v>103</v>
      </c>
      <c r="E743" s="142" t="str">
        <f>B22_Assessment!$C$68</f>
        <v>Existing Condition</v>
      </c>
      <c r="F743" s="106" t="str">
        <f>B22_Assessment!$D$68</f>
        <v>Existing Room 103 wall/wall-mount TE, APC UPS, Cisco switch, SERTEX utility service, legacy patch panel, Fiber LIU and cable entries</v>
      </c>
      <c r="G743" s="106">
        <f>B22_Assessment!$E$68</f>
        <v>0</v>
      </c>
      <c r="H743" s="106" t="str">
        <f>B22_Assessment!$F$68</f>
        <v>Paul</v>
      </c>
      <c r="I743" s="106">
        <f>B22_Assessment!$G$68</f>
        <v>0</v>
      </c>
      <c r="J743" s="106" t="str">
        <f>B22_Assessment!$H$68</f>
        <v>B22-R1/B22-R2</v>
      </c>
      <c r="K743" s="106" t="str">
        <f>B22_Assessment!$I$68</f>
        <v>Closed</v>
      </c>
      <c r="L743" s="106">
        <f>B22_Assessment!$J$68</f>
        <v>0</v>
      </c>
    </row>
    <row r="744" spans="1:12" ht="97.5" customHeight="1">
      <c r="A744" s="106" t="str">
        <f>B22_Assessment!$B$2</f>
        <v>22</v>
      </c>
      <c r="B744" s="106" t="str">
        <f t="shared" si="79"/>
        <v>B21_Assessment</v>
      </c>
      <c r="C744" s="106" t="str">
        <f>B22_Assessment!$A$69</f>
        <v>B22-P003</v>
      </c>
      <c r="D744" s="142" t="str">
        <f>B22_Assessment!$B$69</f>
        <v>103 / B19</v>
      </c>
      <c r="E744" s="142" t="str">
        <f>B22_Assessment!$C$69</f>
        <v>Existing Equipment</v>
      </c>
      <c r="F744" s="106" t="str">
        <f>B22_Assessment!$D$69</f>
        <v>Ports 1-24 to Building 19 ports 73-96, active service labeling, utility service and handoff condition</v>
      </c>
      <c r="G744" s="106">
        <f>B22_Assessment!$E$69</f>
        <v>0</v>
      </c>
      <c r="H744" s="106" t="str">
        <f>B22_Assessment!$F$69</f>
        <v>Paul</v>
      </c>
      <c r="I744" s="106">
        <f>B22_Assessment!$G$69</f>
        <v>0</v>
      </c>
      <c r="J744" s="106" t="str">
        <f>B22_Assessment!$H$69</f>
        <v>B22-R8</v>
      </c>
      <c r="K744" s="106" t="str">
        <f>B22_Assessment!$I$69</f>
        <v>Closed</v>
      </c>
      <c r="L744" s="106">
        <f>B22_Assessment!$J$69</f>
        <v>0</v>
      </c>
    </row>
    <row r="745" spans="1:12" ht="97.5" customHeight="1">
      <c r="A745" s="106" t="str">
        <f>B22_Assessment!$B$2</f>
        <v>22</v>
      </c>
      <c r="B745" s="106" t="str">
        <f t="shared" si="79"/>
        <v>B21_Assessment</v>
      </c>
      <c r="C745" s="106" t="str">
        <f>B22_Assessment!$A$70</f>
        <v>B22-P004</v>
      </c>
      <c r="D745" s="142" t="str">
        <f>B22_Assessment!$B$70</f>
        <v>102/103</v>
      </c>
      <c r="E745" s="142" t="str">
        <f>B22_Assessment!$C$70</f>
        <v>Pathway</v>
      </c>
      <c r="F745" s="106" t="str">
        <f>B22_Assessment!$D$70</f>
        <v>139 ft first-floor cable tray route, sleeves, wall penetrations, support points, light/HVAC conflicts and 40% fill concerns</v>
      </c>
      <c r="G745" s="106">
        <f>B22_Assessment!$E$70</f>
        <v>0</v>
      </c>
      <c r="H745" s="106" t="str">
        <f>B22_Assessment!$F$70</f>
        <v>Paul</v>
      </c>
      <c r="I745" s="106">
        <f>B22_Assessment!$G$70</f>
        <v>0</v>
      </c>
      <c r="J745" s="106" t="str">
        <f>B22_Assessment!$H$70</f>
        <v>B22-R6/B22-R7</v>
      </c>
      <c r="K745" s="106" t="str">
        <f>B22_Assessment!$I$70</f>
        <v>Closed</v>
      </c>
      <c r="L745" s="106">
        <f>B22_Assessment!$J$70</f>
        <v>0</v>
      </c>
    </row>
    <row r="746" spans="1:12" ht="97.5" customHeight="1">
      <c r="A746" s="106" t="str">
        <f>B22_Assessment!$B$2</f>
        <v>22</v>
      </c>
      <c r="B746" s="106" t="str">
        <f t="shared" si="79"/>
        <v>B21_Assessment</v>
      </c>
      <c r="C746" s="106" t="str">
        <f>B22_Assessment!$A$71</f>
        <v>B22-P005</v>
      </c>
      <c r="D746" s="142" t="str">
        <f>B22_Assessment!$B$71</f>
        <v>102</v>
      </c>
      <c r="E746" s="142" t="str">
        <f>B22_Assessment!$C$71</f>
        <v>Electrical</v>
      </c>
      <c r="F746" s="106" t="str">
        <f>B22_Assessment!$D$71</f>
        <v>New TE enclosure UPS/PDU receptacles, circuit source, grounding/bonding, labels and access</v>
      </c>
      <c r="G746" s="106">
        <f>B22_Assessment!$E$71</f>
        <v>0</v>
      </c>
      <c r="H746" s="106" t="str">
        <f>B22_Assessment!$F$71</f>
        <v>Paul</v>
      </c>
      <c r="I746" s="106">
        <f>B22_Assessment!$G$71</f>
        <v>0</v>
      </c>
      <c r="J746" s="106" t="str">
        <f>B22_Assessment!$H$71</f>
        <v>B22-R5</v>
      </c>
      <c r="K746" s="106" t="str">
        <f>B22_Assessment!$I$71</f>
        <v>Closed</v>
      </c>
      <c r="L746" s="106">
        <f>B22_Assessment!$J$71</f>
        <v>0</v>
      </c>
    </row>
    <row r="747" spans="1:12" ht="97.5" customHeight="1">
      <c r="A747" s="106" t="str">
        <f>B22_Assessment!$B$2</f>
        <v>22</v>
      </c>
      <c r="B747" s="106" t="str">
        <f t="shared" ref="B747:B754" si="80">"B22_Assessment"</f>
        <v>B22_Assessment</v>
      </c>
      <c r="C747" s="106" t="str">
        <f>B22_Assessment!$A$72</f>
        <v>B22-P006</v>
      </c>
      <c r="D747" s="142" t="str">
        <f>B22_Assessment!$B$72</f>
        <v>102/103</v>
      </c>
      <c r="E747" s="142" t="str">
        <f>B22_Assessment!$C$72</f>
        <v>Telecom</v>
      </c>
      <c r="F747" s="106" t="str">
        <f>B22_Assessment!$D$72</f>
        <v>TR01-102-1 enclosure, cross-connect cables, Fiber LIU, patch panels, labels, test results and existing equipment transfer</v>
      </c>
      <c r="G747" s="106">
        <f>B22_Assessment!$E$72</f>
        <v>0</v>
      </c>
      <c r="H747" s="106" t="str">
        <f>B22_Assessment!$F$72</f>
        <v>Paul</v>
      </c>
      <c r="I747" s="106">
        <f>B22_Assessment!$G$72</f>
        <v>0</v>
      </c>
      <c r="J747" s="106" t="str">
        <f>B22_Assessment!$H$72</f>
        <v>B22-R2/B22-R8</v>
      </c>
      <c r="K747" s="106" t="str">
        <f>B22_Assessment!$I$72</f>
        <v>Closed</v>
      </c>
      <c r="L747" s="106">
        <f>B22_Assessment!$J$72</f>
        <v>0</v>
      </c>
    </row>
    <row r="748" spans="1:12" ht="97.5" customHeight="1">
      <c r="A748" s="106" t="str">
        <f>B22_Assessment!$B$2</f>
        <v>22</v>
      </c>
      <c r="B748" s="106" t="str">
        <f t="shared" si="80"/>
        <v>B22_Assessment</v>
      </c>
      <c r="C748" s="106" t="str">
        <f>B22_Assessment!$A$73</f>
        <v>B22-P007</v>
      </c>
      <c r="D748" s="142" t="str">
        <f>B22_Assessment!$B$73</f>
        <v>All</v>
      </c>
      <c r="E748" s="142" t="str">
        <f>B22_Assessment!$C$73</f>
        <v>Firestop</v>
      </c>
      <c r="F748" s="106" t="str">
        <f>B22_Assessment!$D$73</f>
        <v>4-inch speed sleeve, wall/floor penetrations and fire caulk before/after photos</v>
      </c>
      <c r="G748" s="106">
        <f>B22_Assessment!$E$73</f>
        <v>0</v>
      </c>
      <c r="H748" s="106" t="str">
        <f>B22_Assessment!$F$73</f>
        <v>Paul</v>
      </c>
      <c r="I748" s="106">
        <f>B22_Assessment!$G$73</f>
        <v>0</v>
      </c>
      <c r="J748" s="106" t="str">
        <f>B22_Assessment!$H$73</f>
        <v>B22-R7</v>
      </c>
      <c r="K748" s="106" t="str">
        <f>B22_Assessment!$I$73</f>
        <v>Closed</v>
      </c>
      <c r="L748" s="106">
        <f>B22_Assessment!$J$73</f>
        <v>0</v>
      </c>
    </row>
    <row r="749" spans="1:12" ht="97.5" customHeight="1">
      <c r="A749" s="106" t="str">
        <f>B22_Assessment!$B$2</f>
        <v>22</v>
      </c>
      <c r="B749" s="106" t="str">
        <f t="shared" si="80"/>
        <v>B22_Assessment</v>
      </c>
      <c r="C749" s="106" t="str">
        <f>B22_Assessment!$A$74</f>
        <v>B22-P008</v>
      </c>
      <c r="D749" s="142" t="str">
        <f>B22_Assessment!$B$74</f>
        <v>All</v>
      </c>
      <c r="E749" s="142" t="str">
        <f>B22_Assessment!$C$74</f>
        <v>Security / Existing Devices</v>
      </c>
      <c r="F749" s="106" t="str">
        <f>B22_Assessment!$D$74</f>
        <v>Existing cameras/security devices to remain, protection-in-place and final operating condition</v>
      </c>
      <c r="G749" s="106">
        <f>B22_Assessment!$E$74</f>
        <v>0</v>
      </c>
      <c r="H749" s="106" t="str">
        <f>B22_Assessment!$F$74</f>
        <v>Paul</v>
      </c>
      <c r="I749" s="106">
        <f>B22_Assessment!$G$74</f>
        <v>0</v>
      </c>
      <c r="J749" s="106" t="str">
        <f>B22_Assessment!$H$74</f>
        <v>B22-R8</v>
      </c>
      <c r="K749" s="106" t="str">
        <f>B22_Assessment!$I$74</f>
        <v>Closed</v>
      </c>
      <c r="L749" s="106">
        <f>B22_Assessment!$J$74</f>
        <v>0</v>
      </c>
    </row>
    <row r="750" spans="1:12" ht="97.5" customHeight="1">
      <c r="A750" s="106" t="str">
        <f>B33_Assessment!$B$2</f>
        <v>33</v>
      </c>
      <c r="B750" s="106" t="str">
        <f t="shared" si="80"/>
        <v>B22_Assessment</v>
      </c>
      <c r="C750" s="106" t="str">
        <f>B33_Assessment!$A$67</f>
        <v>B33-P001</v>
      </c>
      <c r="D750" s="142" t="str">
        <f>B33_Assessment!$B$67</f>
        <v>B23</v>
      </c>
      <c r="E750" s="142" t="str">
        <f>B33_Assessment!$C$67</f>
        <v>Existing Condition</v>
      </c>
      <c r="F750" s="106" t="str">
        <f>B33_Assessment!$D$67</f>
        <v>EEO Manager Office B23 wall location, wall backing, clearances, ceiling, power source, cable path, fiber path A/B and new TE enclosure location</v>
      </c>
      <c r="G750" s="106">
        <f>B33_Assessment!$E$67</f>
        <v>0</v>
      </c>
      <c r="H750" s="106" t="str">
        <f>B33_Assessment!$F$67</f>
        <v>Paul</v>
      </c>
      <c r="I750" s="106">
        <f>B33_Assessment!$G$67</f>
        <v>0</v>
      </c>
      <c r="J750" s="106" t="str">
        <f>B33_Assessment!$H$67</f>
        <v>B33-R1/B33-R3</v>
      </c>
      <c r="K750" s="106" t="str">
        <f>B33_Assessment!$I$67</f>
        <v>Closed</v>
      </c>
      <c r="L750" s="106">
        <f>B33_Assessment!$J$67</f>
        <v>0</v>
      </c>
    </row>
    <row r="751" spans="1:12" ht="97.5" customHeight="1">
      <c r="A751" s="106" t="str">
        <f>B33_Assessment!$B$2</f>
        <v>33</v>
      </c>
      <c r="B751" s="106" t="str">
        <f t="shared" si="80"/>
        <v>B22_Assessment</v>
      </c>
      <c r="C751" s="106" t="str">
        <f>B33_Assessment!$A$68</f>
        <v>B33-P002</v>
      </c>
      <c r="D751" s="142" t="str">
        <f>B33_Assessment!$B$68</f>
        <v>B17</v>
      </c>
      <c r="E751" s="142" t="str">
        <f>B33_Assessment!$C$68</f>
        <v>Existing Condition</v>
      </c>
      <c r="F751" s="106" t="str">
        <f>B33_Assessment!$D$68</f>
        <v>Existing Tel Closet B17 open TE cabinet, network door controller, indoor AC unit, plywood backboard, keypad, patch panel, ground bar and equipment box</v>
      </c>
      <c r="G751" s="106">
        <f>B33_Assessment!$E$68</f>
        <v>0</v>
      </c>
      <c r="H751" s="106" t="str">
        <f>B33_Assessment!$F$68</f>
        <v>Paul</v>
      </c>
      <c r="I751" s="106">
        <f>B33_Assessment!$G$68</f>
        <v>0</v>
      </c>
      <c r="J751" s="106" t="str">
        <f>B33_Assessment!$H$68</f>
        <v>B33-R1/B33-R2</v>
      </c>
      <c r="K751" s="106" t="str">
        <f>B33_Assessment!$I$68</f>
        <v>Closed</v>
      </c>
      <c r="L751" s="106">
        <f>B33_Assessment!$J$68</f>
        <v>0</v>
      </c>
    </row>
    <row r="752" spans="1:12" ht="97.5" customHeight="1">
      <c r="A752" s="106" t="str">
        <f>B33_Assessment!$B$2</f>
        <v>33</v>
      </c>
      <c r="B752" s="106" t="str">
        <f t="shared" si="80"/>
        <v>B22_Assessment</v>
      </c>
      <c r="C752" s="106" t="str">
        <f>B33_Assessment!$A$69</f>
        <v>B33-P003</v>
      </c>
      <c r="D752" s="142" t="str">
        <f>B33_Assessment!$B$69</f>
        <v>B17</v>
      </c>
      <c r="E752" s="142" t="str">
        <f>B33_Assessment!$C$69</f>
        <v>Existing Equipment</v>
      </c>
      <c r="F752" s="106" t="str">
        <f>B33_Assessment!$D$69</f>
        <v>Cisco switches, legacy 24/48-port patch panels, SERTEX utility service, Fiber LIU, UPS on floor and cross-building port labels</v>
      </c>
      <c r="G752" s="106">
        <f>B33_Assessment!$E$69</f>
        <v>0</v>
      </c>
      <c r="H752" s="106" t="str">
        <f>B33_Assessment!$F$69</f>
        <v>Paul</v>
      </c>
      <c r="I752" s="106">
        <f>B33_Assessment!$G$69</f>
        <v>0</v>
      </c>
      <c r="J752" s="106" t="str">
        <f>B33_Assessment!$H$69</f>
        <v>B33-R2/B33-R8</v>
      </c>
      <c r="K752" s="106" t="str">
        <f>B33_Assessment!$I$69</f>
        <v>Closed</v>
      </c>
      <c r="L752" s="106">
        <f>B33_Assessment!$J$69</f>
        <v>0</v>
      </c>
    </row>
    <row r="753" spans="1:12" ht="97.5" customHeight="1">
      <c r="A753" s="106" t="str">
        <f>B33_Assessment!$B$2</f>
        <v>33</v>
      </c>
      <c r="B753" s="106" t="str">
        <f t="shared" si="80"/>
        <v>B22_Assessment</v>
      </c>
      <c r="C753" s="106" t="str">
        <f>B33_Assessment!$A$70</f>
        <v>B33-P004</v>
      </c>
      <c r="D753" s="142" t="str">
        <f>B33_Assessment!$B$70</f>
        <v>B23/B17</v>
      </c>
      <c r="E753" s="142" t="str">
        <f>B33_Assessment!$C$70</f>
        <v>Pathway</v>
      </c>
      <c r="F753" s="106" t="str">
        <f>B33_Assessment!$D$70</f>
        <v>102 ft basement cable tray route, 4-inch sleeve, wall/floor penetrations, support points, light/HVAC conflicts and 40% fill concerns</v>
      </c>
      <c r="G753" s="106">
        <f>B33_Assessment!$E$70</f>
        <v>0</v>
      </c>
      <c r="H753" s="106" t="str">
        <f>B33_Assessment!$F$70</f>
        <v>Paul</v>
      </c>
      <c r="I753" s="106">
        <f>B33_Assessment!$G$70</f>
        <v>0</v>
      </c>
      <c r="J753" s="106" t="str">
        <f>B33_Assessment!$H$70</f>
        <v>B33-R6/B33-R7</v>
      </c>
      <c r="K753" s="106" t="str">
        <f>B33_Assessment!$I$70</f>
        <v>Closed</v>
      </c>
      <c r="L753" s="106">
        <f>B33_Assessment!$J$70</f>
        <v>0</v>
      </c>
    </row>
    <row r="754" spans="1:12" ht="97.5" customHeight="1">
      <c r="A754" s="106" t="str">
        <f>B33_Assessment!$B$2</f>
        <v>33</v>
      </c>
      <c r="B754" s="106" t="str">
        <f t="shared" si="80"/>
        <v>B22_Assessment</v>
      </c>
      <c r="C754" s="106" t="str">
        <f>B33_Assessment!$A$71</f>
        <v>B33-P005</v>
      </c>
      <c r="D754" s="142" t="str">
        <f>B33_Assessment!$B$71</f>
        <v>B23</v>
      </c>
      <c r="E754" s="142" t="str">
        <f>B33_Assessment!$C$71</f>
        <v>Electrical</v>
      </c>
      <c r="F754" s="106" t="str">
        <f>B33_Assessment!$D$71</f>
        <v>New TE enclosure UPS/PDU receptacles, circuit source, grounding/bonding, labels and access</v>
      </c>
      <c r="G754" s="106">
        <f>B33_Assessment!$E$71</f>
        <v>0</v>
      </c>
      <c r="H754" s="106" t="str">
        <f>B33_Assessment!$F$71</f>
        <v>Paul</v>
      </c>
      <c r="I754" s="106">
        <f>B33_Assessment!$G$71</f>
        <v>0</v>
      </c>
      <c r="J754" s="106" t="str">
        <f>B33_Assessment!$H$71</f>
        <v>B33-R5</v>
      </c>
      <c r="K754" s="106" t="str">
        <f>B33_Assessment!$I$71</f>
        <v>Closed</v>
      </c>
      <c r="L754" s="106">
        <f>B33_Assessment!$J$71</f>
        <v>0</v>
      </c>
    </row>
    <row r="755" spans="1:12" ht="97.5" customHeight="1">
      <c r="A755" s="106" t="str">
        <f>B33_Assessment!$B$2</f>
        <v>33</v>
      </c>
      <c r="B755" s="106" t="str">
        <f t="shared" ref="B755:B762" si="81">"B33_Assessment"</f>
        <v>B33_Assessment</v>
      </c>
      <c r="C755" s="106" t="str">
        <f>B33_Assessment!$A$72</f>
        <v>B33-P006</v>
      </c>
      <c r="D755" s="142" t="str">
        <f>B33_Assessment!$B$72</f>
        <v>B23/B17</v>
      </c>
      <c r="E755" s="142" t="str">
        <f>B33_Assessment!$C$72</f>
        <v>Telecom</v>
      </c>
      <c r="F755" s="106" t="str">
        <f>B33_Assessment!$D$72</f>
        <v>TE01-B23-1 enclosure, cross-connect cables, Fiber LIU, patch panels, labels, test results and existing B17 equipment transfer</v>
      </c>
      <c r="G755" s="106">
        <f>B33_Assessment!$E$72</f>
        <v>0</v>
      </c>
      <c r="H755" s="106" t="str">
        <f>B33_Assessment!$F$72</f>
        <v>Paul</v>
      </c>
      <c r="I755" s="106">
        <f>B33_Assessment!$G$72</f>
        <v>0</v>
      </c>
      <c r="J755" s="106" t="str">
        <f>B33_Assessment!$H$72</f>
        <v>B33-R2/B33-R8</v>
      </c>
      <c r="K755" s="106" t="str">
        <f>B33_Assessment!$I$72</f>
        <v>Closed</v>
      </c>
      <c r="L755" s="106">
        <f>B33_Assessment!$J$72</f>
        <v>0</v>
      </c>
    </row>
    <row r="756" spans="1:12" ht="97.5" customHeight="1">
      <c r="A756" s="106" t="str">
        <f>B33_Assessment!$B$2</f>
        <v>33</v>
      </c>
      <c r="B756" s="106" t="str">
        <f t="shared" si="81"/>
        <v>B33_Assessment</v>
      </c>
      <c r="C756" s="106" t="str">
        <f>B33_Assessment!$A$73</f>
        <v>B33-P007</v>
      </c>
      <c r="D756" s="142" t="str">
        <f>B33_Assessment!$B$73</f>
        <v>All</v>
      </c>
      <c r="E756" s="142" t="str">
        <f>B33_Assessment!$C$73</f>
        <v>Firestop</v>
      </c>
      <c r="F756" s="106" t="str">
        <f>B33_Assessment!$D$73</f>
        <v>4-inch speed sleeve, wall/floor penetrations and fire caulk before/after photos</v>
      </c>
      <c r="G756" s="106">
        <f>B33_Assessment!$E$73</f>
        <v>0</v>
      </c>
      <c r="H756" s="106" t="str">
        <f>B33_Assessment!$F$73</f>
        <v>Paul</v>
      </c>
      <c r="I756" s="106">
        <f>B33_Assessment!$G$73</f>
        <v>0</v>
      </c>
      <c r="J756" s="106" t="str">
        <f>B33_Assessment!$H$73</f>
        <v>B33-R7</v>
      </c>
      <c r="K756" s="106" t="str">
        <f>B33_Assessment!$I$73</f>
        <v>Closed</v>
      </c>
      <c r="L756" s="106">
        <f>B33_Assessment!$J$73</f>
        <v>0</v>
      </c>
    </row>
    <row r="757" spans="1:12" ht="97.5" customHeight="1">
      <c r="A757" s="106" t="str">
        <f>B33_Assessment!$B$2</f>
        <v>33</v>
      </c>
      <c r="B757" s="106" t="str">
        <f t="shared" si="81"/>
        <v>B33_Assessment</v>
      </c>
      <c r="C757" s="106" t="str">
        <f>B33_Assessment!$A$74</f>
        <v>B33-P008</v>
      </c>
      <c r="D757" s="142" t="str">
        <f>B33_Assessment!$B$74</f>
        <v>B17/B23</v>
      </c>
      <c r="E757" s="142" t="str">
        <f>B33_Assessment!$C$74</f>
        <v>Security / Existing Devices</v>
      </c>
      <c r="F757" s="106" t="str">
        <f>B33_Assessment!$D$74</f>
        <v>Existing cameras, network door controller, keypad and equipment box to remain/protect or be recabled</v>
      </c>
      <c r="G757" s="106">
        <f>B33_Assessment!$E$74</f>
        <v>0</v>
      </c>
      <c r="H757" s="106" t="str">
        <f>B33_Assessment!$F$74</f>
        <v>Paul</v>
      </c>
      <c r="I757" s="106">
        <f>B33_Assessment!$G$74</f>
        <v>0</v>
      </c>
      <c r="J757" s="106" t="str">
        <f>B33_Assessment!$H$74</f>
        <v>B33-R8</v>
      </c>
      <c r="K757" s="106" t="str">
        <f>B33_Assessment!$I$74</f>
        <v>Closed</v>
      </c>
      <c r="L757" s="106">
        <f>B33_Assessment!$J$74</f>
        <v>0</v>
      </c>
    </row>
    <row r="758" spans="1:12" ht="97.5" customHeight="1">
      <c r="A758" s="106" t="str">
        <f>B61_Assessment!$B$2</f>
        <v>61</v>
      </c>
      <c r="B758" s="106" t="str">
        <f t="shared" si="81"/>
        <v>B33_Assessment</v>
      </c>
      <c r="C758" s="106" t="str">
        <f>B61_Assessment!$A$81</f>
        <v>B61-P001</v>
      </c>
      <c r="D758" s="142" t="str">
        <f>B61_Assessment!$B$81</f>
        <v>B13H-A</v>
      </c>
      <c r="E758" s="142" t="str">
        <f>B61_Assessment!$C$81</f>
        <v>Existing Condition</v>
      </c>
      <c r="F758" s="106" t="str">
        <f>B61_Assessment!$D$81</f>
        <v>Basement TR B13H-A walls, ceiling/deck, floor, door, rack/future rack, power, HVAC, cable tray and penetrations</v>
      </c>
      <c r="G758" s="106">
        <f>B61_Assessment!$E$81</f>
        <v>0</v>
      </c>
      <c r="H758" s="106" t="str">
        <f>B61_Assessment!$F$81</f>
        <v>Paul</v>
      </c>
      <c r="I758" s="106">
        <f>B61_Assessment!$G$81</f>
        <v>0</v>
      </c>
      <c r="J758" s="106" t="str">
        <f>B61_Assessment!$H$81</f>
        <v>B61-R1/B61-R2</v>
      </c>
      <c r="K758" s="106" t="str">
        <f>B61_Assessment!$I$81</f>
        <v>Closed</v>
      </c>
      <c r="L758" s="106">
        <f>B61_Assessment!$J$81</f>
        <v>0</v>
      </c>
    </row>
    <row r="759" spans="1:12" ht="97.5" customHeight="1">
      <c r="A759" s="106" t="str">
        <f>B61_Assessment!$B$2</f>
        <v>61</v>
      </c>
      <c r="B759" s="106" t="str">
        <f t="shared" si="81"/>
        <v>B33_Assessment</v>
      </c>
      <c r="C759" s="106" t="str">
        <f>B61_Assessment!$A$82</f>
        <v>B61-P002</v>
      </c>
      <c r="D759" s="142" t="str">
        <f>B61_Assessment!$B$82</f>
        <v>124</v>
      </c>
      <c r="E759" s="142" t="str">
        <f>B61_Assessment!$C$82</f>
        <v>Existing Condition</v>
      </c>
      <c r="F759" s="106" t="str">
        <f>B61_Assessment!$D$82</f>
        <v>First-level TR 124 walls, ceiling/deck, floor, door, rack/future rack, power, HVAC, cable tray and penetrations</v>
      </c>
      <c r="G759" s="106">
        <f>B61_Assessment!$E$82</f>
        <v>0</v>
      </c>
      <c r="H759" s="106" t="str">
        <f>B61_Assessment!$F$82</f>
        <v>Paul</v>
      </c>
      <c r="I759" s="106">
        <f>B61_Assessment!$G$82</f>
        <v>0</v>
      </c>
      <c r="J759" s="106" t="str">
        <f>B61_Assessment!$H$82</f>
        <v>B61-R1/B61-R4</v>
      </c>
      <c r="K759" s="106" t="str">
        <f>B61_Assessment!$I$82</f>
        <v>Closed</v>
      </c>
      <c r="L759" s="106">
        <f>B61_Assessment!$J$82</f>
        <v>0</v>
      </c>
    </row>
    <row r="760" spans="1:12" ht="97.5" customHeight="1">
      <c r="A760" s="106" t="str">
        <f>B61_Assessment!$B$2</f>
        <v>61</v>
      </c>
      <c r="B760" s="106" t="str">
        <f t="shared" si="81"/>
        <v>B33_Assessment</v>
      </c>
      <c r="C760" s="106" t="str">
        <f>B61_Assessment!$A$83</f>
        <v>B61-P003</v>
      </c>
      <c r="D760" s="142" t="str">
        <f>B61_Assessment!$B$83</f>
        <v>226</v>
      </c>
      <c r="E760" s="142" t="str">
        <f>B61_Assessment!$C$83</f>
        <v>Existing Condition</v>
      </c>
      <c r="F760" s="106" t="str">
        <f>B61_Assessment!$D$83</f>
        <v>Second-level TR 226 walls, ceiling/deck, floor, door, rack/future rack, power, HVAC, cable tray and riser penetrations</v>
      </c>
      <c r="G760" s="106">
        <f>B61_Assessment!$E$83</f>
        <v>0</v>
      </c>
      <c r="H760" s="106" t="str">
        <f>B61_Assessment!$F$83</f>
        <v>Paul</v>
      </c>
      <c r="I760" s="106">
        <f>B61_Assessment!$G$83</f>
        <v>0</v>
      </c>
      <c r="J760" s="106" t="str">
        <f>B61_Assessment!$H$83</f>
        <v>B61-R1/B61-R4</v>
      </c>
      <c r="K760" s="106" t="str">
        <f>B61_Assessment!$I$83</f>
        <v>Closed</v>
      </c>
      <c r="L760" s="106">
        <f>B61_Assessment!$J$83</f>
        <v>0</v>
      </c>
    </row>
    <row r="761" spans="1:12" ht="97.5" customHeight="1">
      <c r="A761" s="106" t="str">
        <f>B61_Assessment!$B$2</f>
        <v>61</v>
      </c>
      <c r="B761" s="106" t="str">
        <f t="shared" si="81"/>
        <v>B33_Assessment</v>
      </c>
      <c r="C761" s="106" t="str">
        <f>B61_Assessment!$A$84</f>
        <v>B61-P004</v>
      </c>
      <c r="D761" s="142" t="str">
        <f>B61_Assessment!$B$84</f>
        <v>137 / 137A</v>
      </c>
      <c r="E761" s="142" t="str">
        <f>B61_Assessment!$C$84</f>
        <v>Existing Equipment</v>
      </c>
      <c r="F761" s="106" t="str">
        <f>B61_Assessment!$D$84</f>
        <v>Existing server/demarc racks, APC UPS/PDU, Fujitsu equipment, patch panels, PACS/equipment racks and cable entries</v>
      </c>
      <c r="G761" s="106">
        <f>B61_Assessment!$E$84</f>
        <v>0</v>
      </c>
      <c r="H761" s="106" t="str">
        <f>B61_Assessment!$F$84</f>
        <v>Paul</v>
      </c>
      <c r="I761" s="106">
        <f>B61_Assessment!$G$84</f>
        <v>0</v>
      </c>
      <c r="J761" s="106" t="str">
        <f>B61_Assessment!$H$84</f>
        <v>B61-R3/B61-R7</v>
      </c>
      <c r="K761" s="106" t="str">
        <f>B61_Assessment!$I$84</f>
        <v>Closed</v>
      </c>
      <c r="L761" s="106">
        <f>B61_Assessment!$J$84</f>
        <v>0</v>
      </c>
    </row>
    <row r="762" spans="1:12" ht="97.5" customHeight="1">
      <c r="A762" s="106" t="str">
        <f>B61_Assessment!$B$2</f>
        <v>61</v>
      </c>
      <c r="B762" s="106" t="str">
        <f t="shared" si="81"/>
        <v>B33_Assessment</v>
      </c>
      <c r="C762" s="106" t="str">
        <f>B61_Assessment!$A$85</f>
        <v>B61-P005</v>
      </c>
      <c r="D762" s="142" t="str">
        <f>B61_Assessment!$B$85</f>
        <v>All TRs</v>
      </c>
      <c r="E762" s="142" t="str">
        <f>B61_Assessment!$C$85</f>
        <v>HVAC</v>
      </c>
      <c r="F762" s="106" t="str">
        <f>B61_Assessment!$D$85</f>
        <v>IU/CU-0-01, IU/CU-1-01, IU/CU-2-01, condensate, thermostat, BACnet adapter, disconnects, high-temp alarm and power source</v>
      </c>
      <c r="G762" s="106">
        <f>B61_Assessment!$E$85</f>
        <v>0</v>
      </c>
      <c r="H762" s="106" t="str">
        <f>B61_Assessment!$F$85</f>
        <v>Paul</v>
      </c>
      <c r="I762" s="106">
        <f>B61_Assessment!$G$85</f>
        <v>0</v>
      </c>
      <c r="J762" s="106" t="str">
        <f>B61_Assessment!$H$85</f>
        <v>B61-R4</v>
      </c>
      <c r="K762" s="106" t="str">
        <f>B61_Assessment!$I$85</f>
        <v>Closed</v>
      </c>
      <c r="L762" s="106">
        <f>B61_Assessment!$J$85</f>
        <v>0</v>
      </c>
    </row>
    <row r="763" spans="1:12" ht="97.5" customHeight="1">
      <c r="A763" s="106" t="str">
        <f>B61_Assessment!$B$2</f>
        <v>61</v>
      </c>
      <c r="B763" s="106" t="str">
        <f>"B61_Assessment"</f>
        <v>B61_Assessment</v>
      </c>
      <c r="C763" s="106" t="str">
        <f>B61_Assessment!$A$86</f>
        <v>B61-P006</v>
      </c>
      <c r="D763" s="142" t="str">
        <f>B61_Assessment!$B$86</f>
        <v>All TRs</v>
      </c>
      <c r="E763" s="142" t="str">
        <f>B61_Assessment!$C$86</f>
        <v>Electrical</v>
      </c>
      <c r="F763" s="106" t="str">
        <f>B61_Assessment!$D$86</f>
        <v>B61 telecom panels, PD panels, rack receptacles, UPS/PDU, breakers, SPDs, labels and grounding/bonding</v>
      </c>
      <c r="G763" s="106">
        <f>B61_Assessment!$E$86</f>
        <v>0</v>
      </c>
      <c r="H763" s="106" t="str">
        <f>B61_Assessment!$F$86</f>
        <v>Paul</v>
      </c>
      <c r="I763" s="106">
        <f>B61_Assessment!$G$86</f>
        <v>0</v>
      </c>
      <c r="J763" s="106" t="str">
        <f>B61_Assessment!$H$86</f>
        <v>B61-R5</v>
      </c>
      <c r="K763" s="106" t="str">
        <f>B61_Assessment!$I$86</f>
        <v>Closed</v>
      </c>
      <c r="L763" s="106">
        <f>B61_Assessment!$J$86</f>
        <v>0</v>
      </c>
    </row>
    <row r="764" spans="1:12" ht="97.5" customHeight="1">
      <c r="A764" s="106" t="str">
        <f>B61_Assessment!$B$2</f>
        <v>61</v>
      </c>
      <c r="B764" s="106" t="str">
        <f>"B61_Assessment"</f>
        <v>B61_Assessment</v>
      </c>
      <c r="C764" s="106" t="str">
        <f>B61_Assessment!$A$87</f>
        <v>B61-P007</v>
      </c>
      <c r="D764" s="142" t="str">
        <f>B61_Assessment!$B$87</f>
        <v>All</v>
      </c>
      <c r="E764" s="142" t="str">
        <f>B61_Assessment!$C$87</f>
        <v>Cable Tray / Firestop</v>
      </c>
      <c r="F764" s="106" t="str">
        <f>B61_Assessment!$D$87</f>
        <v>Basement/first/second cable tray route, supports, seismic bracing, penetrations and before/after firestopping</v>
      </c>
      <c r="G764" s="106">
        <f>B61_Assessment!$E$87</f>
        <v>0</v>
      </c>
      <c r="H764" s="106" t="str">
        <f>B61_Assessment!$F$87</f>
        <v>Paul</v>
      </c>
      <c r="I764" s="106">
        <f>B61_Assessment!$G$87</f>
        <v>0</v>
      </c>
      <c r="J764" s="106" t="str">
        <f>B61_Assessment!$H$87</f>
        <v>B61-R6</v>
      </c>
      <c r="K764" s="106" t="str">
        <f>B61_Assessment!$I$87</f>
        <v>Closed</v>
      </c>
      <c r="L764" s="106">
        <f>B61_Assessment!$J$87</f>
        <v>0</v>
      </c>
    </row>
    <row r="765" spans="1:12" ht="97.5" customHeight="1">
      <c r="A765" s="106" t="str">
        <f>B61_Assessment!$B$2</f>
        <v>61</v>
      </c>
      <c r="B765" s="106" t="str">
        <f>"B61_Assessment"</f>
        <v>B61_Assessment</v>
      </c>
      <c r="C765" s="106" t="str">
        <f>B61_Assessment!$A$88</f>
        <v>B61-P008</v>
      </c>
      <c r="D765" s="142" t="str">
        <f>B61_Assessment!$B$88</f>
        <v>All</v>
      </c>
      <c r="E765" s="142" t="str">
        <f>B61_Assessment!$C$88</f>
        <v>Telecom / Security</v>
      </c>
      <c r="F765" s="106" t="str">
        <f>B61_Assessment!$D$88</f>
        <v>Racks, Fiber LIU, Cat6A, patch panels, labels/test records, CCTV, PACS and existing equipment transfer work</v>
      </c>
      <c r="G765" s="106">
        <f>B61_Assessment!$E$88</f>
        <v>0</v>
      </c>
      <c r="H765" s="106" t="str">
        <f>B61_Assessment!$F$88</f>
        <v>Paul</v>
      </c>
      <c r="I765" s="106">
        <f>B61_Assessment!$G$88</f>
        <v>0</v>
      </c>
      <c r="J765" s="106" t="str">
        <f>B61_Assessment!$H$88</f>
        <v>B61-R7/B61-R8</v>
      </c>
      <c r="K765" s="106" t="str">
        <f>B61_Assessment!$I$88</f>
        <v>Closed</v>
      </c>
      <c r="L765" s="106">
        <f>B61_Assessment!$J$88</f>
        <v>0</v>
      </c>
    </row>
    <row r="766" spans="1:12" ht="97.5" customHeight="1">
      <c r="A766" s="106">
        <f>B62_TR_Assessment!$B$2</f>
        <v>62</v>
      </c>
      <c r="B766" s="106" t="str">
        <f>"B62_TR_Assessment"</f>
        <v>B62_TR_Assessment</v>
      </c>
      <c r="C766" s="106" t="str">
        <f>B62_TR_Assessment!$A$68</f>
        <v>B62-P001</v>
      </c>
      <c r="D766" s="142" t="str">
        <f>B62_TR_Assessment!$B$68</f>
        <v>B24A</v>
      </c>
      <c r="E766" s="142" t="str">
        <f>B62_TR_Assessment!$C$68</f>
        <v>Existing Condition</v>
      </c>
      <c r="F766" s="106" t="str">
        <f>B62_TR_Assessment!$D$68</f>
        <v>Existing room condition</v>
      </c>
      <c r="G766" s="149">
        <f>B62_TR_Assessment!$E$68</f>
        <v>0</v>
      </c>
      <c r="H766" s="106" t="str">
        <f>B62_TR_Assessment!$F$68</f>
        <v>Paul</v>
      </c>
      <c r="I766" s="106">
        <f>B62_TR_Assessment!$G$68</f>
        <v>0</v>
      </c>
      <c r="J766" s="106">
        <f>B62_TR_Assessment!$H$68</f>
        <v>0</v>
      </c>
      <c r="K766" s="106" t="str">
        <f>B62_TR_Assessment!$I$68</f>
        <v>Closed</v>
      </c>
      <c r="L766" s="106">
        <f>B62_TR_Assessment!$J$68</f>
        <v>0</v>
      </c>
    </row>
    <row r="767" spans="1:12" ht="97.5" customHeight="1">
      <c r="A767" s="106">
        <f>B62_TR_Assessment!$B$2</f>
        <v>62</v>
      </c>
      <c r="B767" s="106" t="str">
        <f>"B62_TR_Assessment"</f>
        <v>B62_TR_Assessment</v>
      </c>
      <c r="C767" s="106" t="str">
        <f>B62_TR_Assessment!$A$69</f>
        <v>B62-P002</v>
      </c>
      <c r="D767" s="142" t="str">
        <f>B62_TR_Assessment!$B$69</f>
        <v>125</v>
      </c>
      <c r="E767" s="142" t="str">
        <f>B62_TR_Assessment!$C$69</f>
        <v>Existing Condition</v>
      </c>
      <c r="F767" s="106" t="str">
        <f>B62_TR_Assessment!$D$69</f>
        <v>Existing room condition</v>
      </c>
      <c r="G767" s="149">
        <f>B62_TR_Assessment!$E$69</f>
        <v>0</v>
      </c>
      <c r="H767" s="106" t="str">
        <f>B62_TR_Assessment!$F$69</f>
        <v>Paul</v>
      </c>
      <c r="I767" s="106">
        <f>B62_TR_Assessment!$G$69</f>
        <v>0</v>
      </c>
      <c r="J767" s="106">
        <f>B62_TR_Assessment!$H$69</f>
        <v>0</v>
      </c>
      <c r="K767" s="106" t="str">
        <f>B62_TR_Assessment!$I$69</f>
        <v>Closed</v>
      </c>
      <c r="L767" s="106">
        <f>B62_TR_Assessment!$J$69</f>
        <v>0</v>
      </c>
    </row>
    <row r="768" spans="1:12" ht="97.5" customHeight="1">
      <c r="A768" s="106">
        <f>B62_TR_Assessment!$B$2</f>
        <v>62</v>
      </c>
      <c r="B768" s="106" t="str">
        <f>"B62_TR_Assessment"</f>
        <v>B62_TR_Assessment</v>
      </c>
      <c r="C768" s="106" t="str">
        <f>B62_TR_Assessment!$A$70</f>
        <v>B62-P003</v>
      </c>
      <c r="D768" s="142" t="str">
        <f>B62_TR_Assessment!$B$70</f>
        <v>225</v>
      </c>
      <c r="E768" s="142" t="str">
        <f>B62_TR_Assessment!$C$70</f>
        <v>Existing Condition</v>
      </c>
      <c r="F768" s="106" t="str">
        <f>B62_TR_Assessment!$D$70</f>
        <v>Existing room condition</v>
      </c>
      <c r="G768" s="149">
        <f>B62_TR_Assessment!$E$70</f>
        <v>0</v>
      </c>
      <c r="H768" s="106" t="str">
        <f>B62_TR_Assessment!$F$70</f>
        <v>Paul</v>
      </c>
      <c r="I768" s="106">
        <f>B62_TR_Assessment!$G$70</f>
        <v>0</v>
      </c>
      <c r="J768" s="106">
        <f>B62_TR_Assessment!$H$70</f>
        <v>0</v>
      </c>
      <c r="K768" s="106" t="str">
        <f>B62_TR_Assessment!$I$70</f>
        <v>Closed</v>
      </c>
      <c r="L768" s="106">
        <f>B62_TR_Assessment!$J$70</f>
        <v>0</v>
      </c>
    </row>
    <row r="769" spans="1:12" ht="97.5" customHeight="1">
      <c r="A769" s="106">
        <f>B62_TR_Assessment!$B$2</f>
        <v>62</v>
      </c>
      <c r="B769" s="106" t="str">
        <f>"B62_TR_Assessment"</f>
        <v>B62_TR_Assessment</v>
      </c>
      <c r="C769" s="106" t="str">
        <f>B62_TR_Assessment!$A$71</f>
        <v>B62-P004</v>
      </c>
      <c r="D769" s="142" t="str">
        <f>B62_TR_Assessment!$B$71</f>
        <v>All</v>
      </c>
      <c r="E769" s="142" t="str">
        <f>B62_TR_Assessment!$C$71</f>
        <v>Firestop</v>
      </c>
      <c r="F769" s="106" t="str">
        <f>B62_TR_Assessment!$D$71</f>
        <v>Penetration/firestopping photo</v>
      </c>
      <c r="G769" s="106">
        <f>B62_TR_Assessment!$E$71</f>
        <v>0</v>
      </c>
      <c r="H769" s="106" t="str">
        <f>B62_TR_Assessment!$F$71</f>
        <v>Paul</v>
      </c>
      <c r="I769" s="106">
        <f>B62_TR_Assessment!$G$71</f>
        <v>0</v>
      </c>
      <c r="J769" s="106" t="str">
        <f>B62_TR_Assessment!$H$71</f>
        <v>B62-R2</v>
      </c>
      <c r="K769" s="106" t="str">
        <f>B62_TR_Assessment!$I$71</f>
        <v>Closed</v>
      </c>
      <c r="L769" s="106">
        <f>B62_TR_Assessment!$J$71</f>
        <v>0</v>
      </c>
    </row>
    <row r="770" spans="1:12" ht="97.5" customHeight="1">
      <c r="A770" s="106">
        <f>B70_TR_Assessment!$B$2</f>
        <v>70</v>
      </c>
      <c r="B770" s="106" t="str">
        <f t="shared" ref="B770:B779" si="82">"B70_TR_Assessment"</f>
        <v>B70_TR_Assessment</v>
      </c>
      <c r="C770" s="106" t="str">
        <f>B70_TR_Assessment!$A$70</f>
        <v>B70-P001</v>
      </c>
      <c r="D770" s="142" t="str">
        <f>B70_TR_Assessment!$B$70</f>
        <v>B27</v>
      </c>
      <c r="E770" s="142" t="str">
        <f>B70_TR_Assessment!$C$70</f>
        <v>Existing Condition</v>
      </c>
      <c r="F770" s="106" t="str">
        <f>B70_TR_Assessment!$D$70</f>
        <v>Existing basement TR / utility condition</v>
      </c>
      <c r="G770" s="106">
        <f>B70_TR_Assessment!$E$70</f>
        <v>0</v>
      </c>
      <c r="H770" s="106" t="str">
        <f>B70_TR_Assessment!$F$70</f>
        <v>Paul</v>
      </c>
      <c r="I770" s="106">
        <f>B70_TR_Assessment!$G$70</f>
        <v>0</v>
      </c>
      <c r="J770" s="106" t="str">
        <f>B70_TR_Assessment!$H$70</f>
        <v>B70-R3</v>
      </c>
      <c r="K770" s="106" t="str">
        <f>B70_TR_Assessment!$I$70</f>
        <v>Closed</v>
      </c>
      <c r="L770" s="106">
        <f>B70_TR_Assessment!$J$70</f>
        <v>0</v>
      </c>
    </row>
    <row r="771" spans="1:12" ht="97.5" customHeight="1">
      <c r="A771" s="106">
        <f>B70_TR_Assessment!$B$2</f>
        <v>70</v>
      </c>
      <c r="B771" s="106" t="str">
        <f t="shared" si="82"/>
        <v>B70_TR_Assessment</v>
      </c>
      <c r="C771" s="106" t="str">
        <f>B70_TR_Assessment!$A$71</f>
        <v>B70-P002</v>
      </c>
      <c r="D771" s="142" t="str">
        <f>B70_TR_Assessment!$B$71</f>
        <v>125A</v>
      </c>
      <c r="E771" s="142" t="str">
        <f>B70_TR_Assessment!$C$71</f>
        <v>Existing Condition</v>
      </c>
      <c r="F771" s="106" t="str">
        <f>B70_TR_Assessment!$D$71</f>
        <v>Existing first-floor TR condition</v>
      </c>
      <c r="G771" s="106">
        <f>B70_TR_Assessment!$E$71</f>
        <v>0</v>
      </c>
      <c r="H771" s="106" t="str">
        <f>B70_TR_Assessment!$F$71</f>
        <v>Paul</v>
      </c>
      <c r="I771" s="106">
        <f>B70_TR_Assessment!$G$71</f>
        <v>0</v>
      </c>
      <c r="J771" s="106">
        <f>B70_TR_Assessment!$H$71</f>
        <v>0</v>
      </c>
      <c r="K771" s="106" t="str">
        <f>B70_TR_Assessment!$I$71</f>
        <v>Closed</v>
      </c>
      <c r="L771" s="106">
        <f>B70_TR_Assessment!$J$71</f>
        <v>0</v>
      </c>
    </row>
    <row r="772" spans="1:12" ht="97.5" customHeight="1">
      <c r="A772" s="106">
        <f>B70_TR_Assessment!$B$2</f>
        <v>70</v>
      </c>
      <c r="B772" s="106" t="str">
        <f t="shared" si="82"/>
        <v>B70_TR_Assessment</v>
      </c>
      <c r="C772" s="106" t="str">
        <f>B70_TR_Assessment!$A$72</f>
        <v>B70-P003</v>
      </c>
      <c r="D772" s="142" t="str">
        <f>B70_TR_Assessment!$B$72</f>
        <v>262A</v>
      </c>
      <c r="E772" s="142" t="str">
        <f>B70_TR_Assessment!$C$72</f>
        <v>Existing Condition</v>
      </c>
      <c r="F772" s="106" t="str">
        <f>B70_TR_Assessment!$D$72</f>
        <v>Existing second-floor TR condition</v>
      </c>
      <c r="G772" s="106">
        <f>B70_TR_Assessment!$E$72</f>
        <v>0</v>
      </c>
      <c r="H772" s="106" t="str">
        <f>B70_TR_Assessment!$F$72</f>
        <v>Paul</v>
      </c>
      <c r="I772" s="106">
        <f>B70_TR_Assessment!$G$72</f>
        <v>0</v>
      </c>
      <c r="J772" s="106">
        <f>B70_TR_Assessment!$H$72</f>
        <v>0</v>
      </c>
      <c r="K772" s="106" t="str">
        <f>B70_TR_Assessment!$I$72</f>
        <v>Closed</v>
      </c>
      <c r="L772" s="106">
        <f>B70_TR_Assessment!$J$72</f>
        <v>0</v>
      </c>
    </row>
    <row r="773" spans="1:12" ht="97.5" customHeight="1">
      <c r="A773" s="106">
        <f>B70_TR_Assessment!$B$2</f>
        <v>70</v>
      </c>
      <c r="B773" s="106" t="str">
        <f t="shared" si="82"/>
        <v>B70_TR_Assessment</v>
      </c>
      <c r="C773" s="106" t="str">
        <f>B70_TR_Assessment!$A$73</f>
        <v>B70-P004</v>
      </c>
      <c r="D773" s="142" t="str">
        <f>B70_TR_Assessment!$B$73</f>
        <v>All</v>
      </c>
      <c r="E773" s="142" t="str">
        <f>B70_TR_Assessment!$C$73</f>
        <v>Firestop</v>
      </c>
      <c r="F773" s="106" t="str">
        <f>B70_TR_Assessment!$D$73</f>
        <v>Penetration/firestopping photo</v>
      </c>
      <c r="G773" s="106">
        <f>B70_TR_Assessment!$E$73</f>
        <v>0</v>
      </c>
      <c r="H773" s="106" t="str">
        <f>B70_TR_Assessment!$F$73</f>
        <v>Paul</v>
      </c>
      <c r="I773" s="106">
        <f>B70_TR_Assessment!$G$73</f>
        <v>0</v>
      </c>
      <c r="J773" s="106" t="str">
        <f>B70_TR_Assessment!$H$73</f>
        <v>B70-R2</v>
      </c>
      <c r="K773" s="106" t="str">
        <f>B70_TR_Assessment!$I$73</f>
        <v>Closed</v>
      </c>
      <c r="L773" s="106">
        <f>B70_TR_Assessment!$J$73</f>
        <v>0</v>
      </c>
    </row>
    <row r="774" spans="1:12" ht="97.5" customHeight="1">
      <c r="A774" s="106">
        <f>B70_TR_Assessment!$B$2</f>
        <v>70</v>
      </c>
      <c r="B774" s="106" t="str">
        <f t="shared" si="82"/>
        <v>B70_TR_Assessment</v>
      </c>
      <c r="C774" s="106" t="str">
        <f>B70_TR_Assessment!$A$74</f>
        <v>B70-P005</v>
      </c>
      <c r="D774" s="142" t="str">
        <f>B70_TR_Assessment!$B$74</f>
        <v>All</v>
      </c>
      <c r="E774" s="142" t="str">
        <f>B70_TR_Assessment!$C$74</f>
        <v>HVAC</v>
      </c>
      <c r="F774" s="106" t="str">
        <f>B70_TR_Assessment!$D$74</f>
        <v>Cooling unit/condensate photo</v>
      </c>
      <c r="G774" s="106">
        <f>B70_TR_Assessment!$E$74</f>
        <v>0</v>
      </c>
      <c r="H774" s="106" t="str">
        <f>B70_TR_Assessment!$F$74</f>
        <v>Paul</v>
      </c>
      <c r="I774" s="106">
        <f>B70_TR_Assessment!$G$74</f>
        <v>0</v>
      </c>
      <c r="J774" s="106" t="str">
        <f>B70_TR_Assessment!$H$74</f>
        <v>B70-R1/B70-R5</v>
      </c>
      <c r="K774" s="106" t="str">
        <f>B70_TR_Assessment!$I$74</f>
        <v>Closed</v>
      </c>
      <c r="L774" s="106">
        <f>B70_TR_Assessment!$J$74</f>
        <v>0</v>
      </c>
    </row>
    <row r="775" spans="1:12" ht="97.5" customHeight="1">
      <c r="A775" s="106">
        <f>B78_Assessment!$B$2</f>
        <v>78</v>
      </c>
      <c r="B775" s="106" t="str">
        <f t="shared" si="82"/>
        <v>B70_TR_Assessment</v>
      </c>
      <c r="C775" s="106" t="str">
        <f>B78_Assessment!$A$102</f>
        <v>B78-P001</v>
      </c>
      <c r="D775" s="142" t="str">
        <f>B78_Assessment!$B$102</f>
        <v>B30</v>
      </c>
      <c r="E775" s="142" t="str">
        <f>B78_Assessment!$C$102</f>
        <v>Existing Condition</v>
      </c>
      <c r="F775" s="106" t="str">
        <f>B78_Assessment!$D$102</f>
        <v>Basement RM B30 walls, ceiling/deck, floor, door, racks/future rack, power, HVAC, cable tray and penetrations</v>
      </c>
      <c r="G775" s="106">
        <f>B78_Assessment!$E$102</f>
        <v>0</v>
      </c>
      <c r="H775" s="106" t="str">
        <f>B78_Assessment!$F$102</f>
        <v>Paul</v>
      </c>
      <c r="I775" s="106">
        <f>B78_Assessment!$G$102</f>
        <v>0</v>
      </c>
      <c r="J775" s="106" t="str">
        <f>B78_Assessment!$H$102</f>
        <v>B78-R1/B78-R6</v>
      </c>
      <c r="K775" s="106" t="str">
        <f>B78_Assessment!$I$102</f>
        <v>Closed</v>
      </c>
      <c r="L775" s="106">
        <f>B78_Assessment!$J$102</f>
        <v>0</v>
      </c>
    </row>
    <row r="776" spans="1:12" ht="97.5" customHeight="1">
      <c r="A776" s="106">
        <f>B78_Assessment!$B$2</f>
        <v>78</v>
      </c>
      <c r="B776" s="106" t="str">
        <f t="shared" si="82"/>
        <v>B70_TR_Assessment</v>
      </c>
      <c r="C776" s="106" t="str">
        <f>B78_Assessment!$A$103</f>
        <v>B78-P002</v>
      </c>
      <c r="D776" s="142" t="str">
        <f>B78_Assessment!$B$103</f>
        <v>B35</v>
      </c>
      <c r="E776" s="142" t="str">
        <f>B78_Assessment!$C$103</f>
        <v>Existing Condition</v>
      </c>
      <c r="F776" s="106" t="str">
        <f>B78_Assessment!$D$103</f>
        <v>Basement RM B35 and relationship to existing telecom room 15E; rack/equipment, pathway, power, HVAC and penetrations</v>
      </c>
      <c r="G776" s="106">
        <f>B78_Assessment!$E$103</f>
        <v>0</v>
      </c>
      <c r="H776" s="106" t="str">
        <f>B78_Assessment!$F$103</f>
        <v>Paul</v>
      </c>
      <c r="I776" s="106">
        <f>B78_Assessment!$G$103</f>
        <v>0</v>
      </c>
      <c r="J776" s="106" t="str">
        <f>B78_Assessment!$H$103</f>
        <v>B78-R1/B78-R3</v>
      </c>
      <c r="K776" s="106" t="str">
        <f>B78_Assessment!$I$103</f>
        <v>Closed</v>
      </c>
      <c r="L776" s="106">
        <f>B78_Assessment!$J$103</f>
        <v>0</v>
      </c>
    </row>
    <row r="777" spans="1:12" ht="97.5" customHeight="1">
      <c r="A777" s="106">
        <f>B78_Assessment!$B$2</f>
        <v>78</v>
      </c>
      <c r="B777" s="106" t="str">
        <f t="shared" si="82"/>
        <v>B70_TR_Assessment</v>
      </c>
      <c r="C777" s="106" t="str">
        <f>B78_Assessment!$A$104</f>
        <v>B78-P003</v>
      </c>
      <c r="D777" s="142" t="str">
        <f>B78_Assessment!$B$104</f>
        <v>1232 / 1234</v>
      </c>
      <c r="E777" s="142" t="str">
        <f>B78_Assessment!$C$104</f>
        <v>Existing Condition</v>
      </c>
      <c r="F777" s="106" t="str">
        <f>B78_Assessment!$D$104</f>
        <v>First-level RM 1232/new TR and existing telecom room 1234 photo reference, active equipment, cable paths and rack transfer scope</v>
      </c>
      <c r="G777" s="106">
        <f>B78_Assessment!$E$104</f>
        <v>0</v>
      </c>
      <c r="H777" s="106" t="str">
        <f>B78_Assessment!$F$104</f>
        <v>Paul</v>
      </c>
      <c r="I777" s="106">
        <f>B78_Assessment!$G$104</f>
        <v>0</v>
      </c>
      <c r="J777" s="106" t="str">
        <f>B78_Assessment!$H$104</f>
        <v>B78-R1/B78-R3</v>
      </c>
      <c r="K777" s="106" t="str">
        <f>B78_Assessment!$I$104</f>
        <v>Closed</v>
      </c>
      <c r="L777" s="106">
        <f>B78_Assessment!$J$104</f>
        <v>0</v>
      </c>
    </row>
    <row r="778" spans="1:12" ht="97.5" customHeight="1">
      <c r="A778" s="106">
        <f>B78_Assessment!$B$2</f>
        <v>78</v>
      </c>
      <c r="B778" s="106" t="str">
        <f t="shared" si="82"/>
        <v>B70_TR_Assessment</v>
      </c>
      <c r="C778" s="106" t="str">
        <f>B78_Assessment!$A$105</f>
        <v>B78-P004</v>
      </c>
      <c r="D778" s="142" t="str">
        <f>B78_Assessment!$B$105</f>
        <v>227A / 1234</v>
      </c>
      <c r="E778" s="142" t="str">
        <f>B78_Assessment!$C$105</f>
        <v>Existing Condition</v>
      </c>
      <c r="F778" s="106" t="str">
        <f>B78_Assessment!$D$105</f>
        <v>Second-level RM 227A/new TR and existing telecom room 1234 photo reference, active equipment, cable paths and rack transfer scope</v>
      </c>
      <c r="G778" s="106">
        <f>B78_Assessment!$E$105</f>
        <v>0</v>
      </c>
      <c r="H778" s="106" t="str">
        <f>B78_Assessment!$F$105</f>
        <v>Paul</v>
      </c>
      <c r="I778" s="106">
        <f>B78_Assessment!$G$105</f>
        <v>0</v>
      </c>
      <c r="J778" s="106" t="str">
        <f>B78_Assessment!$H$105</f>
        <v>B78-R1/B78-R3</v>
      </c>
      <c r="K778" s="106" t="str">
        <f>B78_Assessment!$I$105</f>
        <v>Closed</v>
      </c>
      <c r="L778" s="106">
        <f>B78_Assessment!$J$105</f>
        <v>0</v>
      </c>
    </row>
    <row r="779" spans="1:12" ht="97.5" customHeight="1">
      <c r="A779" s="106">
        <f>B78_Assessment!$B$2</f>
        <v>78</v>
      </c>
      <c r="B779" s="106" t="str">
        <f t="shared" si="82"/>
        <v>B70_TR_Assessment</v>
      </c>
      <c r="C779" s="106" t="str">
        <f>B78_Assessment!$A$106</f>
        <v>B78-P005</v>
      </c>
      <c r="D779" s="142" t="str">
        <f>B78_Assessment!$B$106</f>
        <v>342 / 353</v>
      </c>
      <c r="E779" s="142" t="str">
        <f>B78_Assessment!$C$106</f>
        <v>Existing Condition</v>
      </c>
      <c r="F779" s="106" t="str">
        <f>B78_Assessment!$D$106</f>
        <v>Third-level RM 342/new TR and existing telecom room 353 photo reference, active equipment, cable paths and rack transfer scope</v>
      </c>
      <c r="G779" s="106">
        <f>B78_Assessment!$E$106</f>
        <v>0</v>
      </c>
      <c r="H779" s="106" t="str">
        <f>B78_Assessment!$F$106</f>
        <v>Paul</v>
      </c>
      <c r="I779" s="106">
        <f>B78_Assessment!$G$106</f>
        <v>0</v>
      </c>
      <c r="J779" s="106" t="str">
        <f>B78_Assessment!$H$106</f>
        <v>B78-R1/B78-R3</v>
      </c>
      <c r="K779" s="106" t="str">
        <f>B78_Assessment!$I$106</f>
        <v>Closed</v>
      </c>
      <c r="L779" s="106">
        <f>B78_Assessment!$J$106</f>
        <v>0</v>
      </c>
    </row>
    <row r="780" spans="1:12" ht="97.5" customHeight="1">
      <c r="A780" s="106">
        <f>B78_Assessment!$B$2</f>
        <v>78</v>
      </c>
      <c r="B780" s="106" t="str">
        <f t="shared" ref="B780:B787" si="83">"B78_Assessment"</f>
        <v>B78_Assessment</v>
      </c>
      <c r="C780" s="106" t="str">
        <f>B78_Assessment!$A$107</f>
        <v>B78-P006</v>
      </c>
      <c r="D780" s="142" t="str">
        <f>B78_Assessment!$B$107</f>
        <v>401 / 308A / 408A</v>
      </c>
      <c r="E780" s="142" t="str">
        <f>B78_Assessment!$C$107</f>
        <v>Existing Condition</v>
      </c>
      <c r="F780" s="106" t="str">
        <f>B78_Assessment!$D$107</f>
        <v>Fourth-level RM 401 and existing telecom rooms 308A/408A photo references, active equipment, cable paths and transfer scope</v>
      </c>
      <c r="G780" s="106">
        <f>B78_Assessment!$E$107</f>
        <v>0</v>
      </c>
      <c r="H780" s="106" t="str">
        <f>B78_Assessment!$F$107</f>
        <v>Paul</v>
      </c>
      <c r="I780" s="106">
        <f>B78_Assessment!$G$107</f>
        <v>0</v>
      </c>
      <c r="J780" s="106" t="str">
        <f>B78_Assessment!$H$107</f>
        <v>B78-R1/B78-R3</v>
      </c>
      <c r="K780" s="106" t="str">
        <f>B78_Assessment!$I$107</f>
        <v>Closed</v>
      </c>
      <c r="L780" s="106">
        <f>B78_Assessment!$J$107</f>
        <v>0</v>
      </c>
    </row>
    <row r="781" spans="1:12" ht="97.5" customHeight="1">
      <c r="A781" s="106">
        <f>B78_Assessment!$B$2</f>
        <v>78</v>
      </c>
      <c r="B781" s="106" t="str">
        <f t="shared" si="83"/>
        <v>B78_Assessment</v>
      </c>
      <c r="C781" s="106" t="str">
        <f>B78_Assessment!$A$108</f>
        <v>B78-P007</v>
      </c>
      <c r="D781" s="142" t="str">
        <f>B78_Assessment!$B$108</f>
        <v>All</v>
      </c>
      <c r="E781" s="142" t="str">
        <f>B78_Assessment!$C$108</f>
        <v>Cable Tray / Firestop</v>
      </c>
      <c r="F781" s="106" t="str">
        <f>B78_Assessment!$D$108</f>
        <v>Basement through fourth-level cable tray routes, supports, seismic bracing, penetrations and before/after firestopping</v>
      </c>
      <c r="G781" s="106">
        <f>B78_Assessment!$E$108</f>
        <v>0</v>
      </c>
      <c r="H781" s="106" t="str">
        <f>B78_Assessment!$F$108</f>
        <v>Paul</v>
      </c>
      <c r="I781" s="106">
        <f>B78_Assessment!$G$108</f>
        <v>0</v>
      </c>
      <c r="J781" s="106" t="str">
        <f>B78_Assessment!$H$108</f>
        <v>B78-R6</v>
      </c>
      <c r="K781" s="106" t="str">
        <f>B78_Assessment!$I$108</f>
        <v>Closed</v>
      </c>
      <c r="L781" s="106">
        <f>B78_Assessment!$J$108</f>
        <v>0</v>
      </c>
    </row>
    <row r="782" spans="1:12" ht="97.5" customHeight="1">
      <c r="A782" s="106">
        <f>B78_Assessment!$B$2</f>
        <v>78</v>
      </c>
      <c r="B782" s="106" t="str">
        <f t="shared" si="83"/>
        <v>B78_Assessment</v>
      </c>
      <c r="C782" s="106" t="str">
        <f>B78_Assessment!$A$109</f>
        <v>B78-P008</v>
      </c>
      <c r="D782" s="142" t="str">
        <f>B78_Assessment!$B$109</f>
        <v>All</v>
      </c>
      <c r="E782" s="142" t="str">
        <f>B78_Assessment!$C$109</f>
        <v>Telecom / Security / HVAC</v>
      </c>
      <c r="F782" s="106" t="str">
        <f>B78_Assessment!$D$109</f>
        <v>Racks, Fiber LIU, Cat6A, patch panels, UPS/PDU, labels/test records, CCTV, PACS, HVAC units and existing transfer work</v>
      </c>
      <c r="G782" s="106">
        <f>B78_Assessment!$E$109</f>
        <v>0</v>
      </c>
      <c r="H782" s="106" t="str">
        <f>B78_Assessment!$F$109</f>
        <v>Paul</v>
      </c>
      <c r="I782" s="106">
        <f>B78_Assessment!$G$109</f>
        <v>0</v>
      </c>
      <c r="J782" s="106" t="str">
        <f>B78_Assessment!$H$109</f>
        <v>B78-R4/B78-R7/B78-R8</v>
      </c>
      <c r="K782" s="106" t="str">
        <f>B78_Assessment!$I$109</f>
        <v>Closed</v>
      </c>
      <c r="L782" s="106">
        <f>B78_Assessment!$J$109</f>
        <v>0</v>
      </c>
    </row>
    <row r="783" spans="1:12" ht="97.5" customHeight="1">
      <c r="A783" s="106" t="str">
        <f>B80_Assessment!$B$2</f>
        <v>80</v>
      </c>
      <c r="B783" s="106" t="str">
        <f t="shared" si="83"/>
        <v>B78_Assessment</v>
      </c>
      <c r="C783" s="106" t="str">
        <f>B80_Assessment!$A$67</f>
        <v>B80-P001</v>
      </c>
      <c r="D783" s="142" t="str">
        <f>B80_Assessment!$B$67</f>
        <v>102</v>
      </c>
      <c r="E783" s="142" t="str">
        <f>B80_Assessment!$C$67</f>
        <v>Existing Condition</v>
      </c>
      <c r="F783" s="106" t="str">
        <f>B80_Assessment!$D$67</f>
        <v>Room 102 walls, ceiling/deck, floor, door, rack/future rack, power, HVAC, fiber path A/B, cable tray and penetrations</v>
      </c>
      <c r="G783" s="106">
        <f>B80_Assessment!$E$67</f>
        <v>0</v>
      </c>
      <c r="H783" s="106" t="str">
        <f>B80_Assessment!$F$67</f>
        <v>Paul</v>
      </c>
      <c r="I783" s="106">
        <f>B80_Assessment!$G$67</f>
        <v>0</v>
      </c>
      <c r="J783" s="106" t="str">
        <f>B80_Assessment!$H$67</f>
        <v>B80-R1/B80-R4</v>
      </c>
      <c r="K783" s="106" t="str">
        <f>B80_Assessment!$I$67</f>
        <v>Closed</v>
      </c>
      <c r="L783" s="106">
        <f>B80_Assessment!$J$67</f>
        <v>0</v>
      </c>
    </row>
    <row r="784" spans="1:12" ht="97.5" customHeight="1">
      <c r="A784" s="106" t="str">
        <f>B80_Assessment!$B$2</f>
        <v>80</v>
      </c>
      <c r="B784" s="106" t="str">
        <f t="shared" si="83"/>
        <v>B78_Assessment</v>
      </c>
      <c r="C784" s="106" t="str">
        <f>B80_Assessment!$A$68</f>
        <v>B80-P002</v>
      </c>
      <c r="D784" s="142" t="str">
        <f>B80_Assessment!$B$68</f>
        <v>127A / 126</v>
      </c>
      <c r="E784" s="142" t="str">
        <f>B80_Assessment!$C$68</f>
        <v>Existing Condition</v>
      </c>
      <c r="F784" s="106" t="str">
        <f>B80_Assessment!$D$68</f>
        <v>Existing Tel Closet/telecom room with plywood backboard, ground bar, patch panel, equipment box, two-post rack/wall TE and cable entries</v>
      </c>
      <c r="G784" s="106">
        <f>B80_Assessment!$E$68</f>
        <v>0</v>
      </c>
      <c r="H784" s="106" t="str">
        <f>B80_Assessment!$F$68</f>
        <v>Paul</v>
      </c>
      <c r="I784" s="106">
        <f>B80_Assessment!$G$68</f>
        <v>0</v>
      </c>
      <c r="J784" s="106" t="str">
        <f>B80_Assessment!$H$68</f>
        <v>B80-R1/B80-R2</v>
      </c>
      <c r="K784" s="106" t="str">
        <f>B80_Assessment!$I$68</f>
        <v>Closed</v>
      </c>
      <c r="L784" s="106">
        <f>B80_Assessment!$J$68</f>
        <v>0</v>
      </c>
    </row>
    <row r="785" spans="1:12" ht="97.5" customHeight="1">
      <c r="A785" s="106" t="str">
        <f>B80_Assessment!$B$2</f>
        <v>80</v>
      </c>
      <c r="B785" s="106" t="str">
        <f t="shared" si="83"/>
        <v>B78_Assessment</v>
      </c>
      <c r="C785" s="106" t="str">
        <f>B80_Assessment!$A$69</f>
        <v>B80-P003</v>
      </c>
      <c r="D785" s="142" t="str">
        <f>B80_Assessment!$B$69</f>
        <v>127A / 126</v>
      </c>
      <c r="E785" s="142" t="str">
        <f>B80_Assessment!$C$69</f>
        <v>Existing Equipment</v>
      </c>
      <c r="F785" s="106" t="str">
        <f>B80_Assessment!$D$69</f>
        <v>Cisco switches, legacy Fiber LIU, Ortronics patch panels, Cat5e patch panel, APC floor UPS and active service labels</v>
      </c>
      <c r="G785" s="106">
        <f>B80_Assessment!$E$69</f>
        <v>0</v>
      </c>
      <c r="H785" s="106" t="str">
        <f>B80_Assessment!$F$69</f>
        <v>Paul</v>
      </c>
      <c r="I785" s="106">
        <f>B80_Assessment!$G$69</f>
        <v>0</v>
      </c>
      <c r="J785" s="106" t="str">
        <f>B80_Assessment!$H$69</f>
        <v>B80-R2/B80-R3</v>
      </c>
      <c r="K785" s="106" t="str">
        <f>B80_Assessment!$I$69</f>
        <v>Closed</v>
      </c>
      <c r="L785" s="106">
        <f>B80_Assessment!$J$69</f>
        <v>0</v>
      </c>
    </row>
    <row r="786" spans="1:12" ht="97.5" customHeight="1">
      <c r="A786" s="106" t="str">
        <f>B80_Assessment!$B$2</f>
        <v>80</v>
      </c>
      <c r="B786" s="106" t="str">
        <f t="shared" si="83"/>
        <v>B78_Assessment</v>
      </c>
      <c r="C786" s="106" t="str">
        <f>B80_Assessment!$A$70</f>
        <v>B80-P004</v>
      </c>
      <c r="D786" s="142" t="str">
        <f>B80_Assessment!$B$70</f>
        <v>102</v>
      </c>
      <c r="E786" s="142" t="str">
        <f>B80_Assessment!$C$70</f>
        <v>HVAC</v>
      </c>
      <c r="F786" s="106" t="str">
        <f>B80_Assessment!$D$70</f>
        <v>IU-1-01/CU-1-01, condensate, thermostat, BACnet adapter, disconnects, high-temp alarm and power source</v>
      </c>
      <c r="G786" s="106">
        <f>B80_Assessment!$E$70</f>
        <v>0</v>
      </c>
      <c r="H786" s="106" t="str">
        <f>B80_Assessment!$F$70</f>
        <v>Paul</v>
      </c>
      <c r="I786" s="106">
        <f>B80_Assessment!$G$70</f>
        <v>0</v>
      </c>
      <c r="J786" s="106" t="str">
        <f>B80_Assessment!$H$70</f>
        <v>B80-R4</v>
      </c>
      <c r="K786" s="106" t="str">
        <f>B80_Assessment!$I$70</f>
        <v>Closed</v>
      </c>
      <c r="L786" s="106">
        <f>B80_Assessment!$J$70</f>
        <v>0</v>
      </c>
    </row>
    <row r="787" spans="1:12" ht="97.5" customHeight="1">
      <c r="A787" s="106" t="str">
        <f>B80_Assessment!$B$2</f>
        <v>80</v>
      </c>
      <c r="B787" s="106" t="str">
        <f t="shared" si="83"/>
        <v>B78_Assessment</v>
      </c>
      <c r="C787" s="106" t="str">
        <f>B80_Assessment!$A$71</f>
        <v>B80-P005</v>
      </c>
      <c r="D787" s="142" t="str">
        <f>B80_Assessment!$B$71</f>
        <v>102</v>
      </c>
      <c r="E787" s="142" t="str">
        <f>B80_Assessment!$C$71</f>
        <v>Electrical</v>
      </c>
      <c r="F787" s="106" t="str">
        <f>B80_Assessment!$D$71</f>
        <v>B80-TR102A/B panels, rack receptacles, breakers, SPD, access controller, lighting, CU-1-01 and labels</v>
      </c>
      <c r="G787" s="106">
        <f>B80_Assessment!$E$71</f>
        <v>0</v>
      </c>
      <c r="H787" s="106" t="str">
        <f>B80_Assessment!$F$71</f>
        <v>Paul</v>
      </c>
      <c r="I787" s="106">
        <f>B80_Assessment!$G$71</f>
        <v>0</v>
      </c>
      <c r="J787" s="106" t="str">
        <f>B80_Assessment!$H$71</f>
        <v>B80-R5</v>
      </c>
      <c r="K787" s="106" t="str">
        <f>B80_Assessment!$I$71</f>
        <v>Closed</v>
      </c>
      <c r="L787" s="106">
        <f>B80_Assessment!$J$71</f>
        <v>0</v>
      </c>
    </row>
    <row r="788" spans="1:12" ht="97.5" customHeight="1">
      <c r="A788" s="106" t="str">
        <f>B80_Assessment!$B$2</f>
        <v>80</v>
      </c>
      <c r="B788" s="106" t="str">
        <f t="shared" ref="B788:B795" si="84">"B80_Assessment"</f>
        <v>B80_Assessment</v>
      </c>
      <c r="C788" s="106" t="str">
        <f>B80_Assessment!$A$72</f>
        <v>B80-P006</v>
      </c>
      <c r="D788" s="142" t="str">
        <f>B80_Assessment!$B$72</f>
        <v>All</v>
      </c>
      <c r="E788" s="142" t="str">
        <f>B80_Assessment!$C$72</f>
        <v>Cable Tray / Firestop</v>
      </c>
      <c r="F788" s="106" t="str">
        <f>B80_Assessment!$D$72</f>
        <v>Basement and first-level cable tray route, supports, seismic bracing, 40% fill, penetrations and before/after firestopping</v>
      </c>
      <c r="G788" s="106">
        <f>B80_Assessment!$E$72</f>
        <v>0</v>
      </c>
      <c r="H788" s="106" t="str">
        <f>B80_Assessment!$F$72</f>
        <v>Paul</v>
      </c>
      <c r="I788" s="106">
        <f>B80_Assessment!$G$72</f>
        <v>0</v>
      </c>
      <c r="J788" s="106" t="str">
        <f>B80_Assessment!$H$72</f>
        <v>B80-R6</v>
      </c>
      <c r="K788" s="106" t="str">
        <f>B80_Assessment!$I$72</f>
        <v>Closed</v>
      </c>
      <c r="L788" s="106">
        <f>B80_Assessment!$J$72</f>
        <v>0</v>
      </c>
    </row>
    <row r="789" spans="1:12" ht="97.5" customHeight="1">
      <c r="A789" s="106" t="str">
        <f>B80_Assessment!$B$2</f>
        <v>80</v>
      </c>
      <c r="B789" s="106" t="str">
        <f t="shared" si="84"/>
        <v>B80_Assessment</v>
      </c>
      <c r="C789" s="106" t="str">
        <f>B80_Assessment!$A$73</f>
        <v>B80-P007</v>
      </c>
      <c r="D789" s="142" t="str">
        <f>B80_Assessment!$B$73</f>
        <v>102 / 127A</v>
      </c>
      <c r="E789" s="142" t="str">
        <f>B80_Assessment!$C$73</f>
        <v>Telecom</v>
      </c>
      <c r="F789" s="106" t="str">
        <f>B80_Assessment!$D$73</f>
        <v>New rack/future rack, Fiber LIU, Cat6A, patch panels, labels/test records and existing rack transfer work</v>
      </c>
      <c r="G789" s="106">
        <f>B80_Assessment!$E$73</f>
        <v>0</v>
      </c>
      <c r="H789" s="106" t="str">
        <f>B80_Assessment!$F$73</f>
        <v>Paul</v>
      </c>
      <c r="I789" s="106">
        <f>B80_Assessment!$G$73</f>
        <v>0</v>
      </c>
      <c r="J789" s="106" t="str">
        <f>B80_Assessment!$H$73</f>
        <v>B80-R7</v>
      </c>
      <c r="K789" s="106" t="str">
        <f>B80_Assessment!$I$73</f>
        <v>Closed</v>
      </c>
      <c r="L789" s="106">
        <f>B80_Assessment!$J$73</f>
        <v>0</v>
      </c>
    </row>
    <row r="790" spans="1:12" ht="97.5" customHeight="1">
      <c r="A790" s="106" t="str">
        <f>B80_Assessment!$B$2</f>
        <v>80</v>
      </c>
      <c r="B790" s="106" t="str">
        <f t="shared" si="84"/>
        <v>B80_Assessment</v>
      </c>
      <c r="C790" s="106" t="str">
        <f>B80_Assessment!$A$74</f>
        <v>B80-P008</v>
      </c>
      <c r="D790" s="142" t="str">
        <f>B80_Assessment!$B$74</f>
        <v>102</v>
      </c>
      <c r="E790" s="142" t="str">
        <f>B80_Assessment!$C$74</f>
        <v>Security</v>
      </c>
      <c r="F790" s="106" t="str">
        <f>B80_Assessment!$D$74</f>
        <v>102-CAM-1, card reader, electric strike, door position, motion sensor, existing security devices and VMS/PACS integration</v>
      </c>
      <c r="G790" s="106">
        <f>B80_Assessment!$E$74</f>
        <v>0</v>
      </c>
      <c r="H790" s="106" t="str">
        <f>B80_Assessment!$F$74</f>
        <v>Paul</v>
      </c>
      <c r="I790" s="106">
        <f>B80_Assessment!$G$74</f>
        <v>0</v>
      </c>
      <c r="J790" s="106" t="str">
        <f>B80_Assessment!$H$74</f>
        <v>B80-R8</v>
      </c>
      <c r="K790" s="106" t="str">
        <f>B80_Assessment!$I$74</f>
        <v>Closed</v>
      </c>
      <c r="L790" s="106">
        <f>B80_Assessment!$J$74</f>
        <v>0</v>
      </c>
    </row>
    <row r="791" spans="1:12" ht="97.5" customHeight="1">
      <c r="A791" s="106" t="str">
        <f>B82_Assessment!$B$2</f>
        <v>82</v>
      </c>
      <c r="B791" s="106" t="str">
        <f t="shared" si="84"/>
        <v>B80_Assessment</v>
      </c>
      <c r="C791" s="106" t="str">
        <f>B82_Assessment!$A$67</f>
        <v>B82-P001</v>
      </c>
      <c r="D791" s="142" t="str">
        <f>B82_Assessment!$B$67</f>
        <v>102</v>
      </c>
      <c r="E791" s="142" t="str">
        <f>B82_Assessment!$C$67</f>
        <v>Existing Condition</v>
      </c>
      <c r="F791" s="106" t="str">
        <f>B82_Assessment!$D$67</f>
        <v>Room 102 wall location, wall backing, clearances, ceiling, power source, cable path, fiber path A/B and new TE enclosure location</v>
      </c>
      <c r="G791" s="106">
        <f>B82_Assessment!$E$67</f>
        <v>0</v>
      </c>
      <c r="H791" s="106" t="str">
        <f>B82_Assessment!$F$67</f>
        <v>Paul</v>
      </c>
      <c r="I791" s="106">
        <f>B82_Assessment!$G$67</f>
        <v>0</v>
      </c>
      <c r="J791" s="106" t="str">
        <f>B82_Assessment!$H$67</f>
        <v>B82-R1/B82-R3</v>
      </c>
      <c r="K791" s="106" t="str">
        <f>B82_Assessment!$I$67</f>
        <v>Closed</v>
      </c>
      <c r="L791" s="106">
        <f>B82_Assessment!$J$67</f>
        <v>0</v>
      </c>
    </row>
    <row r="792" spans="1:12" ht="97.5" customHeight="1">
      <c r="A792" s="106" t="str">
        <f>B82_Assessment!$B$2</f>
        <v>82</v>
      </c>
      <c r="B792" s="106" t="str">
        <f t="shared" si="84"/>
        <v>B80_Assessment</v>
      </c>
      <c r="C792" s="106" t="str">
        <f>B82_Assessment!$A$68</f>
        <v>B82-P002</v>
      </c>
      <c r="D792" s="142" t="str">
        <f>B82_Assessment!$B$68</f>
        <v>B01-A</v>
      </c>
      <c r="E792" s="142" t="str">
        <f>B82_Assessment!$C$68</f>
        <v>Existing Condition</v>
      </c>
      <c r="F792" s="106" t="str">
        <f>B82_Assessment!$D$68</f>
        <v>Existing first-level telecom room B01-A wall rack, Cisco switches, cable management, Ortronics patch panels, APC floor UPS and cable entries</v>
      </c>
      <c r="G792" s="106">
        <f>B82_Assessment!$E$68</f>
        <v>0</v>
      </c>
      <c r="H792" s="106" t="str">
        <f>B82_Assessment!$F$68</f>
        <v>Paul</v>
      </c>
      <c r="I792" s="106">
        <f>B82_Assessment!$G$68</f>
        <v>0</v>
      </c>
      <c r="J792" s="106" t="str">
        <f>B82_Assessment!$H$68</f>
        <v>B82-R1/B82-R2</v>
      </c>
      <c r="K792" s="106" t="str">
        <f>B82_Assessment!$I$68</f>
        <v>Closed</v>
      </c>
      <c r="L792" s="106">
        <f>B82_Assessment!$J$68</f>
        <v>0</v>
      </c>
    </row>
    <row r="793" spans="1:12" ht="97.5" customHeight="1">
      <c r="A793" s="106" t="str">
        <f>B82_Assessment!$B$2</f>
        <v>82</v>
      </c>
      <c r="B793" s="106" t="str">
        <f t="shared" si="84"/>
        <v>B80_Assessment</v>
      </c>
      <c r="C793" s="106" t="str">
        <f>B82_Assessment!$A$69</f>
        <v>B82-P003</v>
      </c>
      <c r="D793" s="142" t="str">
        <f>B82_Assessment!$B$69</f>
        <v>102 / B01-A</v>
      </c>
      <c r="E793" s="142" t="str">
        <f>B82_Assessment!$C$69</f>
        <v>Pathway</v>
      </c>
      <c r="F793" s="106" t="str">
        <f>B82_Assessment!$D$69</f>
        <v>278 ft first-level cable tray route, 4-inch sleeve, wall/floor penetrations, support points, light/HVAC conflicts and 40% fill concerns</v>
      </c>
      <c r="G793" s="106">
        <f>B82_Assessment!$E$69</f>
        <v>0</v>
      </c>
      <c r="H793" s="106" t="str">
        <f>B82_Assessment!$F$69</f>
        <v>Paul</v>
      </c>
      <c r="I793" s="106">
        <f>B82_Assessment!$G$69</f>
        <v>0</v>
      </c>
      <c r="J793" s="106" t="str">
        <f>B82_Assessment!$H$69</f>
        <v>B82-R6/B82-R7</v>
      </c>
      <c r="K793" s="106" t="str">
        <f>B82_Assessment!$I$69</f>
        <v>Closed</v>
      </c>
      <c r="L793" s="106">
        <f>B82_Assessment!$J$69</f>
        <v>0</v>
      </c>
    </row>
    <row r="794" spans="1:12" ht="97.5" customHeight="1">
      <c r="A794" s="106" t="str">
        <f>B82_Assessment!$B$2</f>
        <v>82</v>
      </c>
      <c r="B794" s="106" t="str">
        <f t="shared" si="84"/>
        <v>B80_Assessment</v>
      </c>
      <c r="C794" s="106" t="str">
        <f>B82_Assessment!$A$70</f>
        <v>B82-P004</v>
      </c>
      <c r="D794" s="142" t="str">
        <f>B82_Assessment!$B$70</f>
        <v>102</v>
      </c>
      <c r="E794" s="142" t="str">
        <f>B82_Assessment!$C$70</f>
        <v>HVAC</v>
      </c>
      <c r="F794" s="106" t="str">
        <f>B82_Assessment!$D$70</f>
        <v>IU-1-01/CU-1-01, condensate pump/path, thermostat, BACnet adapter, disconnects, high-temp alarm and power source</v>
      </c>
      <c r="G794" s="106">
        <f>B82_Assessment!$E$70</f>
        <v>0</v>
      </c>
      <c r="H794" s="106" t="str">
        <f>B82_Assessment!$F$70</f>
        <v>Paul</v>
      </c>
      <c r="I794" s="106">
        <f>B82_Assessment!$G$70</f>
        <v>0</v>
      </c>
      <c r="J794" s="106" t="str">
        <f>B82_Assessment!$H$70</f>
        <v>B82-R4</v>
      </c>
      <c r="K794" s="106" t="str">
        <f>B82_Assessment!$I$70</f>
        <v>Closed</v>
      </c>
      <c r="L794" s="106">
        <f>B82_Assessment!$J$70</f>
        <v>0</v>
      </c>
    </row>
    <row r="795" spans="1:12" ht="97.5" customHeight="1">
      <c r="A795" s="106" t="str">
        <f>B82_Assessment!$B$2</f>
        <v>82</v>
      </c>
      <c r="B795" s="106" t="str">
        <f t="shared" si="84"/>
        <v>B80_Assessment</v>
      </c>
      <c r="C795" s="106" t="str">
        <f>B82_Assessment!$A$71</f>
        <v>B82-P005</v>
      </c>
      <c r="D795" s="142" t="str">
        <f>B82_Assessment!$B$71</f>
        <v>102</v>
      </c>
      <c r="E795" s="142" t="str">
        <f>B82_Assessment!$C$71</f>
        <v>Electrical</v>
      </c>
      <c r="F795" s="106" t="str">
        <f>B82_Assessment!$D$71</f>
        <v>New TE enclosure UPS/PDU receptacles, circuit source, B82-MDP/B82-P-EMER connections, grounding/bonding, SPD, labels and access</v>
      </c>
      <c r="G795" s="106">
        <f>B82_Assessment!$E$71</f>
        <v>0</v>
      </c>
      <c r="H795" s="106" t="str">
        <f>B82_Assessment!$F$71</f>
        <v>Paul</v>
      </c>
      <c r="I795" s="106">
        <f>B82_Assessment!$G$71</f>
        <v>0</v>
      </c>
      <c r="J795" s="106" t="str">
        <f>B82_Assessment!$H$71</f>
        <v>B82-R5</v>
      </c>
      <c r="K795" s="106" t="str">
        <f>B82_Assessment!$I$71</f>
        <v>Closed</v>
      </c>
      <c r="L795" s="106">
        <f>B82_Assessment!$J$71</f>
        <v>0</v>
      </c>
    </row>
    <row r="796" spans="1:12" ht="97.5" customHeight="1">
      <c r="A796" s="106" t="str">
        <f>B82_Assessment!$B$2</f>
        <v>82</v>
      </c>
      <c r="B796" s="106" t="str">
        <f t="shared" ref="B796:B803" si="85">"B82_Assessment"</f>
        <v>B82_Assessment</v>
      </c>
      <c r="C796" s="106" t="str">
        <f>B82_Assessment!$A$72</f>
        <v>B82-P006</v>
      </c>
      <c r="D796" s="142" t="str">
        <f>B82_Assessment!$B$72</f>
        <v>102 / B01-A</v>
      </c>
      <c r="E796" s="142" t="str">
        <f>B82_Assessment!$C$72</f>
        <v>Telecom</v>
      </c>
      <c r="F796" s="106" t="str">
        <f>B82_Assessment!$D$72</f>
        <v>TR01-102-01 enclosure, cross-connect/cutover cabling, Fiber LIU, patch panels, labels, test results and existing equipment transfer</v>
      </c>
      <c r="G796" s="106">
        <f>B82_Assessment!$E$72</f>
        <v>0</v>
      </c>
      <c r="H796" s="106" t="str">
        <f>B82_Assessment!$F$72</f>
        <v>Paul</v>
      </c>
      <c r="I796" s="106">
        <f>B82_Assessment!$G$72</f>
        <v>0</v>
      </c>
      <c r="J796" s="106" t="str">
        <f>B82_Assessment!$H$72</f>
        <v>B82-R2/B82-R8</v>
      </c>
      <c r="K796" s="106" t="str">
        <f>B82_Assessment!$I$72</f>
        <v>Closed</v>
      </c>
      <c r="L796" s="106">
        <f>B82_Assessment!$J$72</f>
        <v>0</v>
      </c>
    </row>
    <row r="797" spans="1:12" ht="97.5" customHeight="1">
      <c r="A797" s="106" t="str">
        <f>B82_Assessment!$B$2</f>
        <v>82</v>
      </c>
      <c r="B797" s="106" t="str">
        <f t="shared" si="85"/>
        <v>B82_Assessment</v>
      </c>
      <c r="C797" s="106" t="str">
        <f>B82_Assessment!$A$73</f>
        <v>B82-P007</v>
      </c>
      <c r="D797" s="142" t="str">
        <f>B82_Assessment!$B$73</f>
        <v>All</v>
      </c>
      <c r="E797" s="142" t="str">
        <f>B82_Assessment!$C$73</f>
        <v>Firestop</v>
      </c>
      <c r="F797" s="106" t="str">
        <f>B82_Assessment!$D$73</f>
        <v>4-inch speed sleeve, wall/floor penetrations and fire caulk before/after photos</v>
      </c>
      <c r="G797" s="106">
        <f>B82_Assessment!$E$73</f>
        <v>0</v>
      </c>
      <c r="H797" s="106" t="str">
        <f>B82_Assessment!$F$73</f>
        <v>Paul</v>
      </c>
      <c r="I797" s="106">
        <f>B82_Assessment!$G$73</f>
        <v>0</v>
      </c>
      <c r="J797" s="106" t="str">
        <f>B82_Assessment!$H$73</f>
        <v>B82-R7</v>
      </c>
      <c r="K797" s="106" t="str">
        <f>B82_Assessment!$I$73</f>
        <v>Closed</v>
      </c>
      <c r="L797" s="106">
        <f>B82_Assessment!$J$73</f>
        <v>0</v>
      </c>
    </row>
    <row r="798" spans="1:12" ht="97.5" customHeight="1">
      <c r="A798" s="106" t="str">
        <f>B82_Assessment!$B$2</f>
        <v>82</v>
      </c>
      <c r="B798" s="106" t="str">
        <f t="shared" si="85"/>
        <v>B82_Assessment</v>
      </c>
      <c r="C798" s="106" t="str">
        <f>B82_Assessment!$A$74</f>
        <v>B82-P008</v>
      </c>
      <c r="D798" s="142" t="str">
        <f>B82_Assessment!$B$74</f>
        <v>All</v>
      </c>
      <c r="E798" s="142" t="str">
        <f>B82_Assessment!$C$74</f>
        <v>Security / Existing Devices</v>
      </c>
      <c r="F798" s="106" t="str">
        <f>B82_Assessment!$D$74</f>
        <v>Existing cameras/security devices to remain, protection-in-place and final operating condition</v>
      </c>
      <c r="G798" s="106">
        <f>B82_Assessment!$E$74</f>
        <v>0</v>
      </c>
      <c r="H798" s="106" t="str">
        <f>B82_Assessment!$F$74</f>
        <v>Paul</v>
      </c>
      <c r="I798" s="106">
        <f>B82_Assessment!$G$74</f>
        <v>0</v>
      </c>
      <c r="J798" s="106" t="str">
        <f>B82_Assessment!$H$74</f>
        <v>B82-R8</v>
      </c>
      <c r="K798" s="106" t="str">
        <f>B82_Assessment!$I$74</f>
        <v>Closed</v>
      </c>
      <c r="L798" s="106">
        <f>B82_Assessment!$J$74</f>
        <v>0</v>
      </c>
    </row>
    <row r="799" spans="1:12" ht="97.5" customHeight="1">
      <c r="A799" s="106" t="str">
        <f>BCH_Assessment!$B$2</f>
        <v>BCH</v>
      </c>
      <c r="B799" s="106" t="str">
        <f t="shared" si="85"/>
        <v>B82_Assessment</v>
      </c>
      <c r="C799" s="106" t="str">
        <f>BCH_Assessment!$A$67</f>
        <v>BCH-P001</v>
      </c>
      <c r="D799" s="142" t="str">
        <f>BCH_Assessment!$B$67</f>
        <v>107</v>
      </c>
      <c r="E799" s="142" t="str">
        <f>BCH_Assessment!$C$67</f>
        <v>Existing Condition</v>
      </c>
      <c r="F799" s="106" t="str">
        <f>BCH_Assessment!$D$67</f>
        <v>Room 107 walls, ceiling, floor, wall backing, clearances, existing devices, power source, cable path, and proposed TE/rack location</v>
      </c>
      <c r="G799" s="106">
        <f>BCH_Assessment!$E$67</f>
        <v>0</v>
      </c>
      <c r="H799" s="106" t="str">
        <f>BCH_Assessment!$F$67</f>
        <v>Paul</v>
      </c>
      <c r="I799" s="106">
        <f>BCH_Assessment!$G$67</f>
        <v>0</v>
      </c>
      <c r="J799" s="106" t="str">
        <f>BCH_Assessment!$H$67</f>
        <v>BCH-R1/BCH-R3</v>
      </c>
      <c r="K799" s="106" t="str">
        <f>BCH_Assessment!$I$67</f>
        <v>Closed</v>
      </c>
      <c r="L799" s="106">
        <f>BCH_Assessment!$J$67</f>
        <v>0</v>
      </c>
    </row>
    <row r="800" spans="1:12" ht="97.5" customHeight="1">
      <c r="A800" s="106" t="str">
        <f>BCH_Assessment!$B$2</f>
        <v>BCH</v>
      </c>
      <c r="B800" s="106" t="str">
        <f t="shared" si="85"/>
        <v>B82_Assessment</v>
      </c>
      <c r="C800" s="106" t="str">
        <f>BCH_Assessment!$A$68</f>
        <v>BCH-P002</v>
      </c>
      <c r="D800" s="142" t="str">
        <f>BCH_Assessment!$B$68</f>
        <v>107</v>
      </c>
      <c r="E800" s="142" t="str">
        <f>BCH_Assessment!$C$68</f>
        <v>Electrical</v>
      </c>
      <c r="F800" s="106" t="str">
        <f>BCH_Assessment!$D$68</f>
        <v>Panel/source, receptacles, UPS/PDU location, grounding/bonding bar, labels and access clearance</v>
      </c>
      <c r="G800" s="106">
        <f>BCH_Assessment!$E$68</f>
        <v>0</v>
      </c>
      <c r="H800" s="106" t="str">
        <f>BCH_Assessment!$F$68</f>
        <v>Paul</v>
      </c>
      <c r="I800" s="106">
        <f>BCH_Assessment!$G$68</f>
        <v>0</v>
      </c>
      <c r="J800" s="106" t="str">
        <f>BCH_Assessment!$H$68</f>
        <v>BCH-R5</v>
      </c>
      <c r="K800" s="106" t="str">
        <f>BCH_Assessment!$I$68</f>
        <v>Closed</v>
      </c>
      <c r="L800" s="106">
        <f>BCH_Assessment!$J$68</f>
        <v>0</v>
      </c>
    </row>
    <row r="801" spans="1:12" ht="97.5" customHeight="1">
      <c r="A801" s="106" t="str">
        <f>BCH_Assessment!$B$2</f>
        <v>BCH</v>
      </c>
      <c r="B801" s="106" t="str">
        <f t="shared" si="85"/>
        <v>B82_Assessment</v>
      </c>
      <c r="C801" s="106" t="str">
        <f>BCH_Assessment!$A$69</f>
        <v>BCH-P003</v>
      </c>
      <c r="D801" s="142" t="str">
        <f>BCH_Assessment!$B$69</f>
        <v>107</v>
      </c>
      <c r="E801" s="142" t="str">
        <f>BCH_Assessment!$C$69</f>
        <v>Telecom</v>
      </c>
      <c r="F801" s="106" t="str">
        <f>BCH_Assessment!$D$69</f>
        <v>12RU enclosure or rack location, Fiber LIU, patch panel, network switch, Cat6A terminations, labels and test records</v>
      </c>
      <c r="G801" s="106">
        <f>BCH_Assessment!$E$69</f>
        <v>0</v>
      </c>
      <c r="H801" s="106" t="str">
        <f>BCH_Assessment!$F$69</f>
        <v>Paul</v>
      </c>
      <c r="I801" s="106">
        <f>BCH_Assessment!$G$69</f>
        <v>0</v>
      </c>
      <c r="J801" s="106" t="str">
        <f>BCH_Assessment!$H$69</f>
        <v>BCH-R3/BCH-R8</v>
      </c>
      <c r="K801" s="106" t="str">
        <f>BCH_Assessment!$I$69</f>
        <v>Closed</v>
      </c>
      <c r="L801" s="106">
        <f>BCH_Assessment!$J$69</f>
        <v>0</v>
      </c>
    </row>
    <row r="802" spans="1:12" ht="97.5" customHeight="1">
      <c r="A802" s="106" t="str">
        <f>BCH_Assessment!$B$2</f>
        <v>BCH</v>
      </c>
      <c r="B802" s="106" t="str">
        <f t="shared" si="85"/>
        <v>B82_Assessment</v>
      </c>
      <c r="C802" s="106" t="str">
        <f>BCH_Assessment!$A$70</f>
        <v>BCH-P004</v>
      </c>
      <c r="D802" s="142" t="str">
        <f>BCH_Assessment!$B$70</f>
        <v>107</v>
      </c>
      <c r="E802" s="142" t="str">
        <f>BCH_Assessment!$C$70</f>
        <v>Pathway</v>
      </c>
      <c r="F802" s="106" t="str">
        <f>BCH_Assessment!$D$70</f>
        <v>Cable tray route, 4-inch sleeves, wall/floor penetrations, support points and 40% fill concerns</v>
      </c>
      <c r="G802" s="106">
        <f>BCH_Assessment!$E$70</f>
        <v>0</v>
      </c>
      <c r="H802" s="106" t="str">
        <f>BCH_Assessment!$F$70</f>
        <v>Paul</v>
      </c>
      <c r="I802" s="106">
        <f>BCH_Assessment!$G$70</f>
        <v>0</v>
      </c>
      <c r="J802" s="106" t="str">
        <f>BCH_Assessment!$H$70</f>
        <v>BCH-R6/BCH-R7</v>
      </c>
      <c r="K802" s="106" t="str">
        <f>BCH_Assessment!$I$70</f>
        <v>Closed</v>
      </c>
      <c r="L802" s="106">
        <f>BCH_Assessment!$J$70</f>
        <v>0</v>
      </c>
    </row>
    <row r="803" spans="1:12" ht="97.5" customHeight="1">
      <c r="A803" s="106" t="str">
        <f>BCH_Assessment!$B$2</f>
        <v>BCH</v>
      </c>
      <c r="B803" s="106" t="str">
        <f t="shared" si="85"/>
        <v>B82_Assessment</v>
      </c>
      <c r="C803" s="106" t="str">
        <f>BCH_Assessment!$A$71</f>
        <v>BCH-P005</v>
      </c>
      <c r="D803" s="142" t="str">
        <f>BCH_Assessment!$B$71</f>
        <v>107</v>
      </c>
      <c r="E803" s="142" t="str">
        <f>BCH_Assessment!$C$71</f>
        <v>Firestop</v>
      </c>
      <c r="F803" s="106" t="str">
        <f>BCH_Assessment!$D$71</f>
        <v>Rated penetrations, fire caulk and temporary/final firestopping before/after photos</v>
      </c>
      <c r="G803" s="106">
        <f>BCH_Assessment!$E$71</f>
        <v>0</v>
      </c>
      <c r="H803" s="106" t="str">
        <f>BCH_Assessment!$F$71</f>
        <v>Paul</v>
      </c>
      <c r="I803" s="106">
        <f>BCH_Assessment!$G$71</f>
        <v>0</v>
      </c>
      <c r="J803" s="106" t="str">
        <f>BCH_Assessment!$H$71</f>
        <v>BCH-R7</v>
      </c>
      <c r="K803" s="106" t="str">
        <f>BCH_Assessment!$I$71</f>
        <v>Closed</v>
      </c>
      <c r="L803" s="106">
        <f>BCH_Assessment!$J$71</f>
        <v>0</v>
      </c>
    </row>
    <row r="804" spans="1:12" ht="97.5" customHeight="1">
      <c r="A804" s="106" t="str">
        <f>BCH_Assessment!$B$2</f>
        <v>BCH</v>
      </c>
      <c r="B804" s="106" t="str">
        <f t="shared" ref="B804:B811" si="86">"BCH_Assessment"</f>
        <v>BCH_Assessment</v>
      </c>
      <c r="C804" s="106" t="str">
        <f>BCH_Assessment!$A$72</f>
        <v>BCH-P006</v>
      </c>
      <c r="D804" s="142" t="str">
        <f>BCH_Assessment!$B$72</f>
        <v>107</v>
      </c>
      <c r="E804" s="142" t="str">
        <f>BCH_Assessment!$C$72</f>
        <v>HVAC / Existing Environment</v>
      </c>
      <c r="F804" s="106" t="str">
        <f>BCH_Assessment!$D$72</f>
        <v>Existing room cooling/ventilation and ambient condition for TE equipment</v>
      </c>
      <c r="G804" s="106">
        <f>BCH_Assessment!$E$72</f>
        <v>0</v>
      </c>
      <c r="H804" s="106" t="str">
        <f>BCH_Assessment!$F$72</f>
        <v>Paul</v>
      </c>
      <c r="I804" s="106">
        <f>BCH_Assessment!$G$72</f>
        <v>0</v>
      </c>
      <c r="J804" s="106" t="str">
        <f>BCH_Assessment!$H$72</f>
        <v>BCH-R2/BCH-R5</v>
      </c>
      <c r="K804" s="106" t="str">
        <f>BCH_Assessment!$I$72</f>
        <v>Closed</v>
      </c>
      <c r="L804" s="106">
        <f>BCH_Assessment!$J$72</f>
        <v>0</v>
      </c>
    </row>
    <row r="805" spans="1:12" ht="97.5" customHeight="1">
      <c r="A805" s="106" t="str">
        <f>BCH_Assessment!$B$2</f>
        <v>BCH</v>
      </c>
      <c r="B805" s="106" t="str">
        <f t="shared" si="86"/>
        <v>BCH_Assessment</v>
      </c>
      <c r="C805" s="106" t="str">
        <f>BCH_Assessment!$A$73</f>
        <v>BCH-P007</v>
      </c>
      <c r="D805" s="142" t="str">
        <f>BCH_Assessment!$B$73</f>
        <v>107</v>
      </c>
      <c r="E805" s="142" t="str">
        <f>BCH_Assessment!$C$73</f>
        <v>Security / CCTV</v>
      </c>
      <c r="F805" s="106" t="str">
        <f>BCH_Assessment!$D$73</f>
        <v>Camera location, existing/security devices, VMS integration, access conditions and protection-in-place</v>
      </c>
      <c r="G805" s="106">
        <f>BCH_Assessment!$E$73</f>
        <v>0</v>
      </c>
      <c r="H805" s="106" t="str">
        <f>BCH_Assessment!$F$73</f>
        <v>Paul</v>
      </c>
      <c r="I805" s="106">
        <f>BCH_Assessment!$G$73</f>
        <v>0</v>
      </c>
      <c r="J805" s="106" t="str">
        <f>BCH_Assessment!$H$73</f>
        <v>BCH-R8</v>
      </c>
      <c r="K805" s="106" t="str">
        <f>BCH_Assessment!$I$73</f>
        <v>Closed</v>
      </c>
      <c r="L805" s="106">
        <f>BCH_Assessment!$J$73</f>
        <v>0</v>
      </c>
    </row>
    <row r="806" spans="1:12" ht="97.5" customHeight="1">
      <c r="A806" s="106" t="str">
        <f>BCH_Assessment!$B$2</f>
        <v>BCH</v>
      </c>
      <c r="B806" s="106" t="str">
        <f t="shared" si="86"/>
        <v>BCH_Assessment</v>
      </c>
      <c r="C806" s="106" t="str">
        <f>BCH_Assessment!$A$74</f>
        <v>BCH-P008</v>
      </c>
      <c r="D806" s="142" t="str">
        <f>BCH_Assessment!$B$74</f>
        <v>All</v>
      </c>
      <c r="E806" s="142" t="str">
        <f>BCH_Assessment!$C$74</f>
        <v>Off-site Coordination</v>
      </c>
      <c r="F806" s="106" t="str">
        <f>BCH_Assessment!$D$74</f>
        <v>Site access, staging, ICRA/dust control, work area barriers and temporary service conditions</v>
      </c>
      <c r="G806" s="106">
        <f>BCH_Assessment!$E$74</f>
        <v>0</v>
      </c>
      <c r="H806" s="106" t="str">
        <f>BCH_Assessment!$F$74</f>
        <v>Paul</v>
      </c>
      <c r="I806" s="106">
        <f>BCH_Assessment!$G$74</f>
        <v>0</v>
      </c>
      <c r="J806" s="106" t="str">
        <f>BCH_Assessment!$H$74</f>
        <v>BCH-R1/BCH-R4</v>
      </c>
      <c r="K806" s="106" t="str">
        <f>BCH_Assessment!$I$74</f>
        <v>Closed</v>
      </c>
      <c r="L806" s="106">
        <f>BCH_Assessment!$J$74</f>
        <v>0</v>
      </c>
    </row>
    <row r="807" spans="1:12" ht="97.5" customHeight="1">
      <c r="A807" s="106" t="str">
        <f>MCR_Assessment!$B$2</f>
        <v>MCR</v>
      </c>
      <c r="B807" s="106" t="str">
        <f t="shared" si="86"/>
        <v>BCH_Assessment</v>
      </c>
      <c r="C807" s="106" t="str">
        <f>MCR_Assessment!$A$90</f>
        <v>MCR-P001</v>
      </c>
      <c r="D807" s="142" t="str">
        <f>MCR_Assessment!$B$90</f>
        <v>MCR 107</v>
      </c>
      <c r="E807" s="142" t="str">
        <f>MCR_Assessment!$C$90</f>
        <v>Existing / New Condition</v>
      </c>
      <c r="F807" s="106" t="str">
        <f>MCR_Assessment!$D$90</f>
        <v>Full room envelope, doors, rated walls, ceiling/roof, floors, row layout, UPS-A/B, MDA/HDA, access points and cameras</v>
      </c>
      <c r="G807" s="106">
        <f>MCR_Assessment!$E$90</f>
        <v>0</v>
      </c>
      <c r="H807" s="106" t="str">
        <f>MCR_Assessment!$F$90</f>
        <v>Paul</v>
      </c>
      <c r="I807" s="106">
        <f>MCR_Assessment!$G$90</f>
        <v>0</v>
      </c>
      <c r="J807" s="106" t="str">
        <f>MCR_Assessment!$H$90</f>
        <v>MCR-R1/MCR-R6</v>
      </c>
      <c r="K807" s="106" t="str">
        <f>MCR_Assessment!$I$90</f>
        <v>Closed</v>
      </c>
      <c r="L807" s="106">
        <f>MCR_Assessment!$J$90</f>
        <v>0</v>
      </c>
    </row>
    <row r="808" spans="1:12" ht="97.5" customHeight="1">
      <c r="A808" s="106" t="str">
        <f>MCR_Assessment!$B$2</f>
        <v>MCR</v>
      </c>
      <c r="B808" s="106" t="str">
        <f t="shared" si="86"/>
        <v>BCH_Assessment</v>
      </c>
      <c r="C808" s="106" t="str">
        <f>MCR_Assessment!$A$91</f>
        <v>MCR-P002</v>
      </c>
      <c r="D808" s="142" t="str">
        <f>MCR_Assessment!$B$91</f>
        <v>031</v>
      </c>
      <c r="E808" s="142" t="str">
        <f>MCR_Assessment!$C$91</f>
        <v>Fiber Entrance</v>
      </c>
      <c r="F808" s="106" t="str">
        <f>MCR_Assessment!$D$91</f>
        <v>Fiber Entrance Room 1, outlet locations 31-A/B/C/D, rack/cabinet location, sleeve/firestop and service entrance pathways</v>
      </c>
      <c r="G808" s="106">
        <f>MCR_Assessment!$E$91</f>
        <v>0</v>
      </c>
      <c r="H808" s="106" t="str">
        <f>MCR_Assessment!$F$91</f>
        <v>Paul</v>
      </c>
      <c r="I808" s="106">
        <f>MCR_Assessment!$G$91</f>
        <v>0</v>
      </c>
      <c r="J808" s="106" t="str">
        <f>MCR_Assessment!$H$91</f>
        <v>MCR-R3</v>
      </c>
      <c r="K808" s="106" t="str">
        <f>MCR_Assessment!$I$91</f>
        <v>Closed</v>
      </c>
      <c r="L808" s="106">
        <f>MCR_Assessment!$J$91</f>
        <v>0</v>
      </c>
    </row>
    <row r="809" spans="1:12" ht="97.5" customHeight="1">
      <c r="A809" s="106" t="str">
        <f>MCR_Assessment!$B$2</f>
        <v>MCR</v>
      </c>
      <c r="B809" s="106" t="str">
        <f t="shared" si="86"/>
        <v>BCH_Assessment</v>
      </c>
      <c r="C809" s="106" t="str">
        <f>MCR_Assessment!$A$92</f>
        <v>MCR-P003</v>
      </c>
      <c r="D809" s="142" t="str">
        <f>MCR_Assessment!$B$92</f>
        <v>MDA-A/B</v>
      </c>
      <c r="E809" s="142" t="str">
        <f>MCR_Assessment!$C$92</f>
        <v>Rack / Fiber</v>
      </c>
      <c r="F809" s="106" t="str">
        <f>MCR_Assessment!$D$92</f>
        <v>MDA-A1/A2/A3 and MDA-B1/B2/B3 rack fronts/rears, LIUs, hybrid FOC, Cat6A to HDA, grounding and cable management</v>
      </c>
      <c r="G809" s="106">
        <f>MCR_Assessment!$E$92</f>
        <v>0</v>
      </c>
      <c r="H809" s="106" t="str">
        <f>MCR_Assessment!$F$92</f>
        <v>Paul</v>
      </c>
      <c r="I809" s="106">
        <f>MCR_Assessment!$G$92</f>
        <v>0</v>
      </c>
      <c r="J809" s="106" t="str">
        <f>MCR_Assessment!$H$92</f>
        <v>MCR-R3/MCR-R4</v>
      </c>
      <c r="K809" s="106" t="str">
        <f>MCR_Assessment!$I$92</f>
        <v>Closed</v>
      </c>
      <c r="L809" s="106">
        <f>MCR_Assessment!$J$92</f>
        <v>0</v>
      </c>
    </row>
    <row r="810" spans="1:12" ht="97.5" customHeight="1">
      <c r="A810" s="106" t="str">
        <f>MCR_Assessment!$B$2</f>
        <v>MCR</v>
      </c>
      <c r="B810" s="106" t="str">
        <f t="shared" si="86"/>
        <v>BCH_Assessment</v>
      </c>
      <c r="C810" s="106" t="str">
        <f>MCR_Assessment!$A$93</f>
        <v>MCR-P004</v>
      </c>
      <c r="D810" s="142" t="str">
        <f>MCR_Assessment!$B$93</f>
        <v>HDA-A/B</v>
      </c>
      <c r="E810" s="142" t="str">
        <f>MCR_Assessment!$C$93</f>
        <v>Rack / Server Cabinets</v>
      </c>
      <c r="F810" s="106" t="str">
        <f>MCR_Assessment!$D$93</f>
        <v>HDA-A1/HDA-B1 front/rear, patch panels, HD LIUs, cabinet blanking panels, server cabinet airflow and labels</v>
      </c>
      <c r="G810" s="106">
        <f>MCR_Assessment!$E$93</f>
        <v>0</v>
      </c>
      <c r="H810" s="106" t="str">
        <f>MCR_Assessment!$F$93</f>
        <v>Paul</v>
      </c>
      <c r="I810" s="106">
        <f>MCR_Assessment!$G$93</f>
        <v>0</v>
      </c>
      <c r="J810" s="106" t="str">
        <f>MCR_Assessment!$H$93</f>
        <v>MCR-R3/MCR-R5</v>
      </c>
      <c r="K810" s="106" t="str">
        <f>MCR_Assessment!$I$93</f>
        <v>Closed</v>
      </c>
      <c r="L810" s="106">
        <f>MCR_Assessment!$J$93</f>
        <v>0</v>
      </c>
    </row>
    <row r="811" spans="1:12" ht="97.5" customHeight="1">
      <c r="A811" s="106" t="str">
        <f>MCR_Assessment!$B$2</f>
        <v>MCR</v>
      </c>
      <c r="B811" s="106" t="str">
        <f t="shared" si="86"/>
        <v>BCH_Assessment</v>
      </c>
      <c r="C811" s="106" t="str">
        <f>MCR_Assessment!$A$94</f>
        <v>MCR-P005</v>
      </c>
      <c r="D811" s="142" t="str">
        <f>MCR_Assessment!$B$94</f>
        <v>Existing 107/137</v>
      </c>
      <c r="E811" s="142" t="str">
        <f>MCR_Assessment!$C$94</f>
        <v>Existing Equipment</v>
      </c>
      <c r="F811" s="106" t="str">
        <f>MCR_Assessment!$D$94</f>
        <v>Existing rows 1-3 and B61 server cabinet transfer equipment, Cisco core, WAN aggregation, NetScout, Canoga, Ortronics, LIUs, UPS/PDU labels</v>
      </c>
      <c r="G811" s="106">
        <f>MCR_Assessment!$E$94</f>
        <v>0</v>
      </c>
      <c r="H811" s="106" t="str">
        <f>MCR_Assessment!$F$94</f>
        <v>Paul</v>
      </c>
      <c r="I811" s="106">
        <f>MCR_Assessment!$G$94</f>
        <v>0</v>
      </c>
      <c r="J811" s="106" t="str">
        <f>MCR_Assessment!$H$94</f>
        <v>MCR-R2</v>
      </c>
      <c r="K811" s="106" t="str">
        <f>MCR_Assessment!$I$94</f>
        <v>Closed</v>
      </c>
      <c r="L811" s="106">
        <f>MCR_Assessment!$J$94</f>
        <v>0</v>
      </c>
    </row>
    <row r="812" spans="1:12" ht="97.5" customHeight="1">
      <c r="A812" s="106" t="str">
        <f>MCR_Assessment!$B$2</f>
        <v>MCR</v>
      </c>
      <c r="B812" s="106" t="str">
        <f t="shared" ref="B812:B819" si="87">"MCR_Assessment"</f>
        <v>MCR_Assessment</v>
      </c>
      <c r="C812" s="106" t="str">
        <f>MCR_Assessment!$A$95</f>
        <v>MCR-P006</v>
      </c>
      <c r="D812" s="142" t="str">
        <f>MCR_Assessment!$B$95</f>
        <v>MCR / Electrical</v>
      </c>
      <c r="E812" s="142" t="str">
        <f>MCR_Assessment!$C$95</f>
        <v>Electrical / UPS</v>
      </c>
      <c r="F812" s="106" t="str">
        <f>MCR_Assessment!$D$95</f>
        <v>UPS-A/B, switchboards, panels, ATS, generator tie, PDUs, rack receptacles, grounding, SPDs and load measurement labels</v>
      </c>
      <c r="G812" s="106">
        <f>MCR_Assessment!$E$95</f>
        <v>0</v>
      </c>
      <c r="H812" s="106" t="str">
        <f>MCR_Assessment!$F$95</f>
        <v>Paul</v>
      </c>
      <c r="I812" s="106">
        <f>MCR_Assessment!$G$95</f>
        <v>0</v>
      </c>
      <c r="J812" s="106" t="str">
        <f>MCR_Assessment!$H$95</f>
        <v>MCR-R4</v>
      </c>
      <c r="K812" s="106" t="str">
        <f>MCR_Assessment!$I$95</f>
        <v>Closed</v>
      </c>
      <c r="L812" s="106">
        <f>MCR_Assessment!$J$95</f>
        <v>0</v>
      </c>
    </row>
    <row r="813" spans="1:12" ht="97.5" customHeight="1">
      <c r="A813" s="106" t="str">
        <f>MCR_Assessment!$B$2</f>
        <v>MCR</v>
      </c>
      <c r="B813" s="106" t="str">
        <f t="shared" si="87"/>
        <v>MCR_Assessment</v>
      </c>
      <c r="C813" s="106" t="str">
        <f>MCR_Assessment!$A$96</f>
        <v>MCR-P007</v>
      </c>
      <c r="D813" s="142" t="str">
        <f>MCR_Assessment!$B$96</f>
        <v>MCR / Mechanical</v>
      </c>
      <c r="E813" s="142" t="str">
        <f>MCR_Assessment!$C$96</f>
        <v>HVAC / Controls</v>
      </c>
      <c r="F813" s="106" t="str">
        <f>MCR_Assessment!$D$96</f>
        <v>CRAC units, condensate, controls/BACnet/BMS/FMS points, alarms, environmental monitoring and emergency power source</v>
      </c>
      <c r="G813" s="106">
        <f>MCR_Assessment!$E$96</f>
        <v>0</v>
      </c>
      <c r="H813" s="106" t="str">
        <f>MCR_Assessment!$F$96</f>
        <v>Paul</v>
      </c>
      <c r="I813" s="106">
        <f>MCR_Assessment!$G$96</f>
        <v>0</v>
      </c>
      <c r="J813" s="106" t="str">
        <f>MCR_Assessment!$H$96</f>
        <v>MCR-R5</v>
      </c>
      <c r="K813" s="106" t="str">
        <f>MCR_Assessment!$I$96</f>
        <v>Closed</v>
      </c>
      <c r="L813" s="106">
        <f>MCR_Assessment!$J$96</f>
        <v>0</v>
      </c>
    </row>
    <row r="814" spans="1:12" ht="97.5" customHeight="1">
      <c r="A814" s="106" t="str">
        <f>MCR_Assessment!$B$2</f>
        <v>MCR</v>
      </c>
      <c r="B814" s="106" t="str">
        <f t="shared" si="87"/>
        <v>MCR_Assessment</v>
      </c>
      <c r="C814" s="106" t="str">
        <f>MCR_Assessment!$A$97</f>
        <v>MCR-P008</v>
      </c>
      <c r="D814" s="142" t="str">
        <f>MCR_Assessment!$B$97</f>
        <v>MCR / Life Safety</v>
      </c>
      <c r="E814" s="142" t="str">
        <f>MCR_Assessment!$C$97</f>
        <v>Fire / Security</v>
      </c>
      <c r="F814" s="106" t="str">
        <f>MCR_Assessment!$D$97</f>
        <v>Clean-agent cylinders/piping/nozzles, preaction/sprinkler, fire alarm, release/abort devices, cameras 07-CAM series, PACS/controller and door hardware</v>
      </c>
      <c r="G814" s="106">
        <f>MCR_Assessment!$E$97</f>
        <v>0</v>
      </c>
      <c r="H814" s="106" t="str">
        <f>MCR_Assessment!$F$97</f>
        <v>Paul</v>
      </c>
      <c r="I814" s="106">
        <f>MCR_Assessment!$G$97</f>
        <v>0</v>
      </c>
      <c r="J814" s="106" t="str">
        <f>MCR_Assessment!$H$97</f>
        <v>MCR-R6/MCR-R8</v>
      </c>
      <c r="K814" s="106" t="str">
        <f>MCR_Assessment!$I$97</f>
        <v>Closed</v>
      </c>
      <c r="L814" s="106">
        <f>MCR_Assessment!$J$97</f>
        <v>0</v>
      </c>
    </row>
    <row r="815" spans="1:12" ht="97.5" customHeight="1">
      <c r="A815" s="106" t="str">
        <f>SITE_Assesment!$B$2</f>
        <v>SITE</v>
      </c>
      <c r="B815" s="106" t="str">
        <f t="shared" si="87"/>
        <v>MCR_Assessment</v>
      </c>
      <c r="C815" s="106" t="str">
        <f>SITE_Assesment!$A$88</f>
        <v>SITE-P001</v>
      </c>
      <c r="D815" s="142" t="str">
        <f>SITE_Assesment!$B$88</f>
        <v>Overall Site</v>
      </c>
      <c r="E815" s="142" t="str">
        <f>SITE_Assesment!$C$88</f>
        <v>Existing Conditions</v>
      </c>
      <c r="F815" s="106" t="str">
        <f>SITE_Assesment!$D$88</f>
        <v>Campus-wide route photos before excavation, including pavement, sidewalks, landscaping, parking, fire lanes and building entry areas</v>
      </c>
      <c r="G815" s="106">
        <f>SITE_Assesment!$E$88</f>
        <v>0</v>
      </c>
      <c r="H815" s="106">
        <f>SITE_Assesment!$F$88</f>
        <v>0</v>
      </c>
      <c r="I815" s="106">
        <f>SITE_Assesment!$G$88</f>
        <v>0</v>
      </c>
      <c r="J815" s="106" t="str">
        <f>SITE_Assesment!$H$88</f>
        <v>SITE-R1/SITE-R5</v>
      </c>
      <c r="K815" s="106" t="str">
        <f>SITE_Assesment!$I$88</f>
        <v>Closed</v>
      </c>
      <c r="L815" s="106">
        <f>SITE_Assesment!$J$88</f>
        <v>0</v>
      </c>
    </row>
    <row r="816" spans="1:12" ht="97.5" customHeight="1">
      <c r="A816" s="106" t="str">
        <f>SITE_Assesment!$B$2</f>
        <v>SITE</v>
      </c>
      <c r="B816" s="106" t="str">
        <f t="shared" si="87"/>
        <v>MCR_Assessment</v>
      </c>
      <c r="C816" s="106" t="str">
        <f>SITE_Assesment!$A$89</f>
        <v>SITE-P002</v>
      </c>
      <c r="D816" s="142" t="str">
        <f>SITE_Assesment!$B$89</f>
        <v>THH #1-#19</v>
      </c>
      <c r="E816" s="142" t="str">
        <f>SITE_Assesment!$C$89</f>
        <v>Structures</v>
      </c>
      <c r="F816" s="106" t="str">
        <f>SITE_Assesment!$D$89</f>
        <v>Each handhole/manhole/pullbox location, cover, label, depth, drainage, conduit entry, and final installed condition</v>
      </c>
      <c r="G816" s="106">
        <f>SITE_Assesment!$E$89</f>
        <v>0</v>
      </c>
      <c r="H816" s="106">
        <f>SITE_Assesment!$F$89</f>
        <v>0</v>
      </c>
      <c r="I816" s="106">
        <f>SITE_Assesment!$G$89</f>
        <v>0</v>
      </c>
      <c r="J816" s="106" t="str">
        <f>SITE_Assesment!$H$89</f>
        <v>SITE-R2/SITE-R8</v>
      </c>
      <c r="K816" s="106" t="str">
        <f>SITE_Assesment!$I$89</f>
        <v>Closed</v>
      </c>
      <c r="L816" s="106">
        <f>SITE_Assesment!$J$89</f>
        <v>0</v>
      </c>
    </row>
    <row r="817" spans="1:12" ht="97.5" customHeight="1">
      <c r="A817" s="106" t="str">
        <f>SITE_Assesment!$B$2</f>
        <v>SITE</v>
      </c>
      <c r="B817" s="106" t="str">
        <f t="shared" si="87"/>
        <v>MCR_Assessment</v>
      </c>
      <c r="C817" s="106" t="str">
        <f>SITE_Assesment!$A$90</f>
        <v>SITE-P003</v>
      </c>
      <c r="D817" s="142" t="str">
        <f>SITE_Assesment!$B$90</f>
        <v>Ductbank</v>
      </c>
      <c r="E817" s="142" t="str">
        <f>SITE_Assesment!$C$90</f>
        <v>Pre-pour Inspection</v>
      </c>
      <c r="F817" s="106" t="str">
        <f>SITE_Assesment!$D$90</f>
        <v>Conduit count, separation, supports/spacers, depth, utility crossings, warning tape, pull strings and concrete encasement before pour</v>
      </c>
      <c r="G817" s="106">
        <f>SITE_Assesment!$E$90</f>
        <v>0</v>
      </c>
      <c r="H817" s="106">
        <f>SITE_Assesment!$F$90</f>
        <v>0</v>
      </c>
      <c r="I817" s="106">
        <f>SITE_Assesment!$G$90</f>
        <v>0</v>
      </c>
      <c r="J817" s="106" t="str">
        <f>SITE_Assesment!$H$90</f>
        <v>SITE-R1/SITE-R3</v>
      </c>
      <c r="K817" s="106" t="str">
        <f>SITE_Assesment!$I$90</f>
        <v>Closed</v>
      </c>
      <c r="L817" s="106">
        <f>SITE_Assesment!$J$90</f>
        <v>0</v>
      </c>
    </row>
    <row r="818" spans="1:12" ht="97.5" customHeight="1">
      <c r="A818" s="106" t="str">
        <f>SITE_Assesment!$B$2</f>
        <v>SITE</v>
      </c>
      <c r="B818" s="106" t="str">
        <f t="shared" si="87"/>
        <v>MCR_Assessment</v>
      </c>
      <c r="C818" s="106" t="str">
        <f>SITE_Assesment!$A$91</f>
        <v>SITE-P004</v>
      </c>
      <c r="D818" s="142" t="str">
        <f>SITE_Assesment!$B$91</f>
        <v>Utility Crossings</v>
      </c>
      <c r="E818" s="142" t="str">
        <f>SITE_Assesment!$C$91</f>
        <v>Existing Utilities</v>
      </c>
      <c r="F818" s="106" t="str">
        <f>SITE_Assesment!$D$91</f>
        <v>Potholing/hand-dig photos showing electric, storm, sanitary, water, gas/unknown utilities and clearance to new ductbank</v>
      </c>
      <c r="G818" s="106">
        <f>SITE_Assesment!$E$91</f>
        <v>0</v>
      </c>
      <c r="H818" s="106">
        <f>SITE_Assesment!$F$91</f>
        <v>0</v>
      </c>
      <c r="I818" s="106">
        <f>SITE_Assesment!$G$91</f>
        <v>0</v>
      </c>
      <c r="J818" s="106" t="str">
        <f>SITE_Assesment!$H$91</f>
        <v>SITE-R1</v>
      </c>
      <c r="K818" s="106" t="str">
        <f>SITE_Assesment!$I$91</f>
        <v>Closed</v>
      </c>
      <c r="L818" s="106">
        <f>SITE_Assesment!$J$91</f>
        <v>0</v>
      </c>
    </row>
    <row r="819" spans="1:12" ht="97.5" customHeight="1">
      <c r="A819" s="106" t="str">
        <f>SITE_Assesment!$B$2</f>
        <v>SITE</v>
      </c>
      <c r="B819" s="106" t="str">
        <f t="shared" si="87"/>
        <v>MCR_Assessment</v>
      </c>
      <c r="C819" s="106" t="str">
        <f>SITE_Assesment!$A$92</f>
        <v>SITE-P005</v>
      </c>
      <c r="D819" s="142" t="str">
        <f>SITE_Assesment!$B$92</f>
        <v>Building Tie-ins</v>
      </c>
      <c r="E819" s="142" t="str">
        <f>SITE_Assesment!$C$92</f>
        <v>Penetrations / Firestop</v>
      </c>
      <c r="F819" s="106" t="str">
        <f>SITE_Assesment!$D$92</f>
        <v>Exterior entry points, wall/floor penetrations, sleeves, firestop, weatherproofing and interior continuation to building TR/TE</v>
      </c>
      <c r="G819" s="106">
        <f>SITE_Assesment!$E$92</f>
        <v>0</v>
      </c>
      <c r="H819" s="106">
        <f>SITE_Assesment!$F$92</f>
        <v>0</v>
      </c>
      <c r="I819" s="106">
        <f>SITE_Assesment!$G$92</f>
        <v>0</v>
      </c>
      <c r="J819" s="106" t="str">
        <f>SITE_Assesment!$H$92</f>
        <v>SITE-R6</v>
      </c>
      <c r="K819" s="106" t="str">
        <f>SITE_Assesment!$I$92</f>
        <v>Closed</v>
      </c>
      <c r="L819" s="106">
        <f>SITE_Assesment!$J$92</f>
        <v>0</v>
      </c>
    </row>
    <row r="820" spans="1:12" ht="97.5" customHeight="1">
      <c r="A820" s="106" t="str">
        <f>SITE_Assesment!$B$2</f>
        <v>SITE</v>
      </c>
      <c r="B820" s="106" t="str">
        <f>"SITE_Assesment"</f>
        <v>SITE_Assesment</v>
      </c>
      <c r="C820" s="106" t="str">
        <f>SITE_Assesment!$A$93</f>
        <v>SITE-P006</v>
      </c>
      <c r="D820" s="106" t="str">
        <f>SITE_Assesment!$B$93</f>
        <v>Fiber Pull / Testing</v>
      </c>
      <c r="E820" s="106" t="str">
        <f>SITE_Assesment!$C$93</f>
        <v>Telecom</v>
      </c>
      <c r="F820" s="106" t="str">
        <f>SITE_Assesment!$D$93</f>
        <v>Fiber reels, pull setup, mandrel/rope, splice/termination points, labels, OTDR/power meter screenshots and OIT acceptance</v>
      </c>
      <c r="G820" s="106">
        <f>SITE_Assesment!$E$93</f>
        <v>0</v>
      </c>
      <c r="H820" s="106">
        <f>SITE_Assesment!$F$93</f>
        <v>0</v>
      </c>
      <c r="I820" s="106">
        <f>SITE_Assesment!$G$93</f>
        <v>0</v>
      </c>
      <c r="J820" s="106" t="str">
        <f>SITE_Assesment!$H$93</f>
        <v>SITE-R8</v>
      </c>
      <c r="K820" s="106" t="str">
        <f>SITE_Assesment!$I$93</f>
        <v>Closed</v>
      </c>
      <c r="L820" s="106">
        <f>SITE_Assesment!$J$93</f>
        <v>0</v>
      </c>
    </row>
    <row r="821" spans="1:12" ht="97.5" customHeight="1">
      <c r="A821" s="106" t="str">
        <f>SITE_Assesment!$B$2</f>
        <v>SITE</v>
      </c>
      <c r="B821" s="106" t="str">
        <f>"SITE_Assesment"</f>
        <v>SITE_Assesment</v>
      </c>
      <c r="C821" s="106" t="str">
        <f>SITE_Assesment!$A$94</f>
        <v>SITE-P007</v>
      </c>
      <c r="D821" s="106" t="str">
        <f>SITE_Assesment!$B$94</f>
        <v>Restoration</v>
      </c>
      <c r="E821" s="106" t="str">
        <f>SITE_Assesment!$C$94</f>
        <v>Civil</v>
      </c>
      <c r="F821" s="106" t="str">
        <f>SITE_Assesment!$D$94</f>
        <v>Asphalt/concrete trench patches, sidewalk panels, landscaping, turf, drainage, curb/edge details and final cleanup</v>
      </c>
      <c r="G821" s="106">
        <f>SITE_Assesment!$E$94</f>
        <v>0</v>
      </c>
      <c r="H821" s="106">
        <f>SITE_Assesment!$F$94</f>
        <v>0</v>
      </c>
      <c r="I821" s="106">
        <f>SITE_Assesment!$G$94</f>
        <v>0</v>
      </c>
      <c r="J821" s="106" t="str">
        <f>SITE_Assesment!$H$94</f>
        <v>SITE-R5/SITE-R7</v>
      </c>
      <c r="K821" s="106" t="str">
        <f>SITE_Assesment!$I$94</f>
        <v>Closed</v>
      </c>
      <c r="L821" s="106">
        <f>SITE_Assesment!$J$94</f>
        <v>0</v>
      </c>
    </row>
    <row r="822" spans="1:12" ht="97.5" customHeight="1">
      <c r="A822" s="106" t="str">
        <f>SITE_Assesment!$B$2</f>
        <v>SITE</v>
      </c>
      <c r="B822" s="106" t="str">
        <f>"SITE_Assesment"</f>
        <v>SITE_Assesment</v>
      </c>
      <c r="C822" s="106" t="str">
        <f>SITE_Assesment!$A$95</f>
        <v>SITE-P008</v>
      </c>
      <c r="D822" s="106" t="str">
        <f>SITE_Assesment!$B$95</f>
        <v>MCR / Provider Entrance</v>
      </c>
      <c r="E822" s="106" t="str">
        <f>SITE_Assesment!$C$95</f>
        <v>Critical Cutover</v>
      </c>
      <c r="F822" s="106" t="str">
        <f>SITE_Assesment!$D$95</f>
        <v>Provider handoff, WAN fiber route, temporary fiber, Path A/B into MCR and activation/cutover coordination photos</v>
      </c>
      <c r="G822" s="106">
        <f>SITE_Assesment!$E$95</f>
        <v>0</v>
      </c>
      <c r="H822" s="106">
        <f>SITE_Assesment!$F$95</f>
        <v>0</v>
      </c>
      <c r="I822" s="106">
        <f>SITE_Assesment!$G$95</f>
        <v>0</v>
      </c>
      <c r="J822" s="106" t="str">
        <f>SITE_Assesment!$H$95</f>
        <v>SITE-R4/SITE-R8</v>
      </c>
      <c r="K822" s="106" t="str">
        <f>SITE_Assesment!$I$95</f>
        <v>Closed</v>
      </c>
      <c r="L822" s="106">
        <f>SITE_Assesment!$J$95</f>
        <v>0</v>
      </c>
    </row>
    <row r="823" spans="1:12" ht="97.5" customHeight="1">
      <c r="A823" s="19"/>
      <c r="D823" s="144"/>
      <c r="E823" s="144"/>
      <c r="F823" s="19"/>
      <c r="G823" s="19"/>
      <c r="H823" s="19"/>
      <c r="I823" s="19"/>
      <c r="J823" s="19"/>
      <c r="K823" s="19"/>
      <c r="L823" s="19"/>
    </row>
    <row r="824" spans="1:12" ht="97.5" customHeight="1">
      <c r="A824" s="146"/>
      <c r="B824" s="146"/>
      <c r="C824" s="146"/>
      <c r="D824" s="147"/>
      <c r="E824" s="147"/>
      <c r="F824" s="146"/>
      <c r="G824" s="146"/>
      <c r="H824" s="146"/>
      <c r="I824" s="146"/>
      <c r="J824" s="146"/>
      <c r="K824" s="146"/>
      <c r="L824" s="146"/>
    </row>
    <row r="825" spans="1:12" ht="97.5" customHeight="1">
      <c r="A825" s="106"/>
      <c r="B825" s="106"/>
      <c r="C825" s="106"/>
      <c r="D825" s="142"/>
      <c r="E825" s="142"/>
      <c r="F825" s="106"/>
      <c r="G825" s="106"/>
      <c r="H825" s="106"/>
      <c r="I825" s="106"/>
      <c r="J825" s="106"/>
      <c r="K825" s="106"/>
      <c r="L825" s="106"/>
    </row>
    <row r="826" spans="1:12" ht="97.5" customHeight="1">
      <c r="A826" s="19" t="s">
        <v>894</v>
      </c>
      <c r="B826" s="19"/>
      <c r="C826" s="19"/>
      <c r="D826" s="144"/>
      <c r="E826" s="144"/>
      <c r="F826" s="19"/>
      <c r="G826" s="19"/>
      <c r="H826" s="19"/>
      <c r="I826" s="19"/>
      <c r="J826" s="19"/>
      <c r="K826" s="19"/>
      <c r="L826" s="19"/>
    </row>
    <row r="827" spans="1:12" ht="97.5" customHeight="1">
      <c r="A827" s="146" t="s">
        <v>142</v>
      </c>
      <c r="B827" s="146" t="s">
        <v>173</v>
      </c>
      <c r="C827" s="146" t="s">
        <v>275</v>
      </c>
      <c r="D827" s="147" t="s">
        <v>895</v>
      </c>
      <c r="E827" s="147" t="s">
        <v>896</v>
      </c>
      <c r="F827" s="146" t="s">
        <v>148</v>
      </c>
      <c r="G827" s="146" t="s">
        <v>153</v>
      </c>
      <c r="H827" s="146" t="s">
        <v>155</v>
      </c>
      <c r="I827" s="146" t="s">
        <v>491</v>
      </c>
      <c r="J827" s="146" t="s">
        <v>897</v>
      </c>
      <c r="K827" s="146" t="s">
        <v>174</v>
      </c>
      <c r="L827" s="146" t="s">
        <v>11</v>
      </c>
    </row>
    <row r="828" spans="1:12" ht="97.5" customHeight="1">
      <c r="A828" s="106" t="str">
        <f>B01_Assessment!$B$2</f>
        <v>01</v>
      </c>
      <c r="B828" s="106" t="str">
        <f>"B01_Assessment"</f>
        <v>B01_Assessment</v>
      </c>
      <c r="C828" s="106" t="str">
        <f>B01_Assessment!$A$92</f>
        <v>107</v>
      </c>
      <c r="D828" s="142">
        <f>B01_Assessment!$B$92</f>
        <v>0.5</v>
      </c>
      <c r="E828" s="142">
        <f>B01_Assessment!$C$92</f>
        <v>0.5</v>
      </c>
      <c r="F828" s="106">
        <f>B01_Assessment!$D$92</f>
        <v>0.5</v>
      </c>
      <c r="G828" s="106">
        <f>B01_Assessment!$E$92</f>
        <v>0.5</v>
      </c>
      <c r="H828" s="106">
        <f>B01_Assessment!$F$92</f>
        <v>0.5</v>
      </c>
      <c r="I828" s="106" t="str">
        <f>B01_Assessment!$G$92</f>
        <v>Verify</v>
      </c>
      <c r="J828" s="106">
        <f>B01_Assessment!$H$92</f>
        <v>0.5</v>
      </c>
      <c r="K828" s="106" t="str">
        <f>B01_Assessment!$I$92</f>
        <v>Partial / Green</v>
      </c>
      <c r="L828" s="106" t="str">
        <f>B01_Assessment!$J$92</f>
        <v>New first-level TR with 161 total ports including allowance, dedicated cooling, UPS/PDU, B01-TR107A/B panels, cable tray, PACS/CCTV and fire/life-safety scope.</v>
      </c>
    </row>
    <row r="829" spans="1:12" ht="97.5" customHeight="1">
      <c r="A829" s="106" t="str">
        <f>B01_Assessment!$B$2</f>
        <v>01</v>
      </c>
      <c r="B829" s="106" t="str">
        <f>"B01_Assessment"</f>
        <v>B01_Assessment</v>
      </c>
      <c r="C829" s="106" t="str">
        <f>B01_Assessment!$A$93</f>
        <v>B02</v>
      </c>
      <c r="D829" s="142">
        <f>B01_Assessment!$B$93</f>
        <v>0.5</v>
      </c>
      <c r="E829" s="142">
        <f>B01_Assessment!$C$93</f>
        <v>0.5</v>
      </c>
      <c r="F829" s="106">
        <f>B01_Assessment!$D$93</f>
        <v>0.5</v>
      </c>
      <c r="G829" s="106">
        <f>B01_Assessment!$E$93</f>
        <v>0.5</v>
      </c>
      <c r="H829" s="106">
        <f>B01_Assessment!$F$93</f>
        <v>0.5</v>
      </c>
      <c r="I829" s="106" t="str">
        <f>B01_Assessment!$G$93</f>
        <v>Verify</v>
      </c>
      <c r="J829" s="106">
        <f>B01_Assessment!$H$93</f>
        <v>0.5</v>
      </c>
      <c r="K829" s="106" t="str">
        <f>B01_Assessment!$I$93</f>
        <v>Partial / Green</v>
      </c>
      <c r="L829" s="106" t="str">
        <f>B01_Assessment!$J$93</f>
        <v>Existing basement telecom transition point; protect active services until transfer/cutover complete.</v>
      </c>
    </row>
    <row r="830" spans="1:12" ht="97.5" customHeight="1">
      <c r="A830" s="106" t="str">
        <f>B01_Assessment!$B$2</f>
        <v>01</v>
      </c>
      <c r="B830" s="106" t="str">
        <f>"B01_Assessment"</f>
        <v>B01_Assessment</v>
      </c>
      <c r="C830" s="106" t="str">
        <f>B01_Assessment!$A$94</f>
        <v>138</v>
      </c>
      <c r="D830" s="142">
        <f>B01_Assessment!$B$94</f>
        <v>0.5</v>
      </c>
      <c r="E830" s="142">
        <f>B01_Assessment!$C$94</f>
        <v>0.5</v>
      </c>
      <c r="F830" s="106">
        <f>B01_Assessment!$D$94</f>
        <v>0.5</v>
      </c>
      <c r="G830" s="106">
        <f>B01_Assessment!$E$94</f>
        <v>0.5</v>
      </c>
      <c r="H830" s="106">
        <f>B01_Assessment!$F$94</f>
        <v>0.5</v>
      </c>
      <c r="I830" s="106" t="str">
        <f>B01_Assessment!$G$94</f>
        <v>Verify</v>
      </c>
      <c r="J830" s="106">
        <f>B01_Assessment!$H$94</f>
        <v>0.5</v>
      </c>
      <c r="K830" s="106" t="str">
        <f>B01_Assessment!$I$94</f>
        <v>Partial / Green</v>
      </c>
      <c r="L830" s="106" t="str">
        <f>B01_Assessment!$J$94</f>
        <v>Existing first-level telecom transition point; protect active services and verify final condition.</v>
      </c>
    </row>
    <row r="831" spans="1:12" ht="97.5" customHeight="1">
      <c r="A831" s="106" t="str">
        <f>B01_Assessment!$B$2</f>
        <v>01</v>
      </c>
      <c r="B831" s="106" t="str">
        <f>"B01_Assessment"</f>
        <v>B01_Assessment</v>
      </c>
      <c r="C831" s="106" t="str">
        <f>B01_Assessment!$A$95</f>
        <v>282</v>
      </c>
      <c r="D831" s="142">
        <f>B01_Assessment!$B$95</f>
        <v>0.5</v>
      </c>
      <c r="E831" s="142">
        <f>B01_Assessment!$C$95</f>
        <v>0.5</v>
      </c>
      <c r="F831" s="106">
        <f>B01_Assessment!$D$95</f>
        <v>0.5</v>
      </c>
      <c r="G831" s="106">
        <f>B01_Assessment!$E$95</f>
        <v>0.5</v>
      </c>
      <c r="H831" s="106">
        <f>B01_Assessment!$F$95</f>
        <v>0.5</v>
      </c>
      <c r="I831" s="106" t="str">
        <f>B01_Assessment!$G$95</f>
        <v>Verify</v>
      </c>
      <c r="J831" s="106">
        <f>B01_Assessment!$H$95</f>
        <v>0.5</v>
      </c>
      <c r="K831" s="106" t="str">
        <f>B01_Assessment!$I$95</f>
        <v>Partial / Green</v>
      </c>
      <c r="L831" s="106" t="str">
        <f>B01_Assessment!$J$95</f>
        <v>Existing second-level telecom transition point; protect active services and verify final condition.</v>
      </c>
    </row>
    <row r="832" spans="1:12" ht="97.5" customHeight="1">
      <c r="A832" s="106" t="str">
        <f>B02_Assessment!$B$2</f>
        <v>02</v>
      </c>
      <c r="B832" s="106" t="str">
        <f>"B02_Assessment"</f>
        <v>B02_Assessment</v>
      </c>
      <c r="C832" s="106" t="str">
        <f>B02_Assessment!$A$93</f>
        <v>141</v>
      </c>
      <c r="D832" s="142">
        <f>B02_Assessment!$B$93</f>
        <v>0.5</v>
      </c>
      <c r="E832" s="142">
        <f>B02_Assessment!$C$93</f>
        <v>0.5</v>
      </c>
      <c r="F832" s="106">
        <f>B02_Assessment!$D$93</f>
        <v>0.5</v>
      </c>
      <c r="G832" s="106">
        <f>B02_Assessment!$E$93</f>
        <v>0.5</v>
      </c>
      <c r="H832" s="106">
        <f>B02_Assessment!$F$93</f>
        <v>0.5</v>
      </c>
      <c r="I832" s="106" t="str">
        <f>B02_Assessment!$G$93</f>
        <v>Verify</v>
      </c>
      <c r="J832" s="106">
        <f>B02_Assessment!$H$93</f>
        <v>0.5</v>
      </c>
      <c r="K832" s="106" t="str">
        <f>B02_Assessment!$I$93</f>
        <v>Partial / Yellow</v>
      </c>
      <c r="L832" s="106" t="str">
        <f>B02_Assessment!$J$93</f>
        <v>First-level TR with 354 total ports including allowance, 2 rack IDs, B02-TR141A/B panels, high cable tray volume and existing room transfer scope.</v>
      </c>
    </row>
    <row r="833" spans="1:12" ht="97.5" customHeight="1">
      <c r="A833" s="106" t="str">
        <f>B02_Assessment!$B$2</f>
        <v>02</v>
      </c>
      <c r="B833" s="106" t="str">
        <f>"B02_Assessment"</f>
        <v>B02_Assessment</v>
      </c>
      <c r="C833" s="106" t="str">
        <f>B02_Assessment!$A$94</f>
        <v>236</v>
      </c>
      <c r="D833" s="142">
        <f>B02_Assessment!$B$94</f>
        <v>0.5</v>
      </c>
      <c r="E833" s="142">
        <f>B02_Assessment!$C$94</f>
        <v>0.5</v>
      </c>
      <c r="F833" s="106">
        <f>B02_Assessment!$D$94</f>
        <v>0.5</v>
      </c>
      <c r="G833" s="106">
        <f>B02_Assessment!$E$94</f>
        <v>0.5</v>
      </c>
      <c r="H833" s="106">
        <f>B02_Assessment!$F$94</f>
        <v>0.5</v>
      </c>
      <c r="I833" s="106" t="str">
        <f>B02_Assessment!$G$94</f>
        <v>Verify</v>
      </c>
      <c r="J833" s="106">
        <f>B02_Assessment!$H$94</f>
        <v>0.5</v>
      </c>
      <c r="K833" s="106" t="str">
        <f>B02_Assessment!$I$94</f>
        <v>Partial / Yellow</v>
      </c>
      <c r="L833" s="106" t="str">
        <f>B02_Assessment!$J$94</f>
        <v>Second-level TR with approx. 345 total ports including allowance, B02-TR236A/B panels, camera/PACS and existing transition scope.</v>
      </c>
    </row>
    <row r="834" spans="1:12" ht="97.5" customHeight="1">
      <c r="A834" s="106" t="str">
        <f>B02_Assessment!$B$2</f>
        <v>02</v>
      </c>
      <c r="B834" s="106" t="str">
        <f>"B02_Assessment"</f>
        <v>B02_Assessment</v>
      </c>
      <c r="C834" s="106" t="str">
        <f>B02_Assessment!$A$95</f>
        <v>342</v>
      </c>
      <c r="D834" s="142">
        <f>B02_Assessment!$B$95</f>
        <v>0.5</v>
      </c>
      <c r="E834" s="142">
        <f>B02_Assessment!$C$95</f>
        <v>0.5</v>
      </c>
      <c r="F834" s="106">
        <f>B02_Assessment!$D$95</f>
        <v>0.5</v>
      </c>
      <c r="G834" s="106">
        <f>B02_Assessment!$E$95</f>
        <v>0.5</v>
      </c>
      <c r="H834" s="106">
        <f>B02_Assessment!$F$95</f>
        <v>0.5</v>
      </c>
      <c r="I834" s="106" t="str">
        <f>B02_Assessment!$G$95</f>
        <v>Verify</v>
      </c>
      <c r="J834" s="106">
        <f>B02_Assessment!$H$95</f>
        <v>0.5</v>
      </c>
      <c r="K834" s="106" t="str">
        <f>B02_Assessment!$I$95</f>
        <v>Partial / Yellow</v>
      </c>
      <c r="L834" s="106" t="str">
        <f>B02_Assessment!$J$95</f>
        <v>Third-level TR with 388 total ports including allowance, B02-TR342A/B panels, camera/security and high WAO count.</v>
      </c>
    </row>
    <row r="835" spans="1:12" ht="97.5" customHeight="1">
      <c r="A835" s="106" t="str">
        <f>B02_Assessment!$B$2</f>
        <v>02</v>
      </c>
      <c r="B835" s="106" t="str">
        <f>"B02_Assessment"</f>
        <v>B02_Assessment</v>
      </c>
      <c r="C835" s="106" t="str">
        <f>B02_Assessment!$A$96</f>
        <v>B-06 / existing rooms</v>
      </c>
      <c r="D835" s="142">
        <f>B02_Assessment!$B$96</f>
        <v>0.5</v>
      </c>
      <c r="E835" s="142">
        <f>B02_Assessment!$C$96</f>
        <v>0.5</v>
      </c>
      <c r="F835" s="106">
        <f>B02_Assessment!$D$96</f>
        <v>0.5</v>
      </c>
      <c r="G835" s="106">
        <f>B02_Assessment!$E$96</f>
        <v>0.5</v>
      </c>
      <c r="H835" s="106">
        <f>B02_Assessment!$F$96</f>
        <v>0.5</v>
      </c>
      <c r="I835" s="106" t="str">
        <f>B02_Assessment!$G$96</f>
        <v>Verify</v>
      </c>
      <c r="J835" s="106">
        <f>B02_Assessment!$H$96</f>
        <v>0.5</v>
      </c>
      <c r="K835" s="106" t="str">
        <f>B02_Assessment!$I$96</f>
        <v>Partial / Yellow</v>
      </c>
      <c r="L835" s="106" t="str">
        <f>B02_Assessment!$J$96</f>
        <v>Existing telecom transition points; protect active services until transfer/cutover complete.</v>
      </c>
    </row>
    <row r="836" spans="1:12" ht="97.5" customHeight="1">
      <c r="A836" s="106" t="str">
        <f>B03_Assessment!$B$2</f>
        <v>03</v>
      </c>
      <c r="B836" s="106" t="str">
        <f>"B03_Assessment"</f>
        <v>B03_Assessment</v>
      </c>
      <c r="C836" s="106" t="str">
        <f>B03_Assessment!$A$92</f>
        <v>101E</v>
      </c>
      <c r="D836" s="142">
        <f>B03_Assessment!$B$92</f>
        <v>0.5</v>
      </c>
      <c r="E836" s="142">
        <f>B03_Assessment!$C$92</f>
        <v>0.5</v>
      </c>
      <c r="F836" s="106">
        <f>B03_Assessment!$D$92</f>
        <v>0.5</v>
      </c>
      <c r="G836" s="106">
        <f>B03_Assessment!$E$92</f>
        <v>0.5</v>
      </c>
      <c r="H836" s="106">
        <f>B03_Assessment!$F$92</f>
        <v>0.5</v>
      </c>
      <c r="I836" s="106" t="str">
        <f>B03_Assessment!$G$92</f>
        <v>Verify</v>
      </c>
      <c r="J836" s="106">
        <f>B03_Assessment!$H$92</f>
        <v>0.5</v>
      </c>
      <c r="K836" s="106" t="str">
        <f>B03_Assessment!$I$92</f>
        <v>Partial / Yellow</v>
      </c>
      <c r="L836" s="106" t="str">
        <f>B03_Assessment!$J$92</f>
        <v>Primary first-level TR with 206 total ports including allowance, two rack IDs, B03-TR101CA/B panels, CU-01, 961 ft cable tray and existing 107/101C transfer scope.</v>
      </c>
    </row>
    <row r="837" spans="1:12" ht="97.5" customHeight="1">
      <c r="A837" s="106" t="str">
        <f>B03_Assessment!$B$2</f>
        <v>03</v>
      </c>
      <c r="B837" s="106" t="str">
        <f>"B03_Assessment"</f>
        <v>B03_Assessment</v>
      </c>
      <c r="C837" s="106" t="str">
        <f>B03_Assessment!$A$93</f>
        <v>107</v>
      </c>
      <c r="D837" s="142">
        <f>B03_Assessment!$B$93</f>
        <v>0.5</v>
      </c>
      <c r="E837" s="142">
        <f>B03_Assessment!$C$93</f>
        <v>0.5</v>
      </c>
      <c r="F837" s="106">
        <f>B03_Assessment!$D$93</f>
        <v>0.5</v>
      </c>
      <c r="G837" s="106">
        <f>B03_Assessment!$E$93</f>
        <v>0.5</v>
      </c>
      <c r="H837" s="106">
        <f>B03_Assessment!$F$93</f>
        <v>0.5</v>
      </c>
      <c r="I837" s="106" t="str">
        <f>B03_Assessment!$G$93</f>
        <v>Verify</v>
      </c>
      <c r="J837" s="106">
        <f>B03_Assessment!$H$93</f>
        <v>0.5</v>
      </c>
      <c r="K837" s="106" t="str">
        <f>B03_Assessment!$I$93</f>
        <v>Partial / Yellow</v>
      </c>
      <c r="L837" s="106" t="str">
        <f>B03_Assessment!$J$93</f>
        <v>Existing basement telecom transition point; protect active services until transfer/cutover complete.</v>
      </c>
    </row>
    <row r="838" spans="1:12" ht="97.5" customHeight="1">
      <c r="A838" s="106" t="str">
        <f>B03_Assessment!$B$2</f>
        <v>03</v>
      </c>
      <c r="B838" s="106" t="str">
        <f>"B03_Assessment"</f>
        <v>B03_Assessment</v>
      </c>
      <c r="C838" s="106" t="str">
        <f>B03_Assessment!$A$94</f>
        <v>101C</v>
      </c>
      <c r="D838" s="142">
        <f>B03_Assessment!$B$94</f>
        <v>0.5</v>
      </c>
      <c r="E838" s="142">
        <f>B03_Assessment!$C$94</f>
        <v>0.5</v>
      </c>
      <c r="F838" s="106">
        <f>B03_Assessment!$D$94</f>
        <v>0.5</v>
      </c>
      <c r="G838" s="106">
        <f>B03_Assessment!$E$94</f>
        <v>0.5</v>
      </c>
      <c r="H838" s="106">
        <f>B03_Assessment!$F$94</f>
        <v>0.5</v>
      </c>
      <c r="I838" s="106" t="str">
        <f>B03_Assessment!$G$94</f>
        <v>Verify</v>
      </c>
      <c r="J838" s="106">
        <f>B03_Assessment!$H$94</f>
        <v>0.5</v>
      </c>
      <c r="K838" s="106" t="str">
        <f>B03_Assessment!$I$94</f>
        <v>Partial / Yellow</v>
      </c>
      <c r="L838" s="106" t="str">
        <f>B03_Assessment!$J$94</f>
        <v>Existing first-floor DMARC/telecom transition point; protect provider/fiber/active services and verify final condition.</v>
      </c>
    </row>
    <row r="839" spans="1:12" ht="97.5" customHeight="1">
      <c r="A839" s="106" t="str">
        <f>B03_Assessment!$B$2</f>
        <v>03</v>
      </c>
      <c r="B839" s="106" t="str">
        <f>"B03_Assessment"</f>
        <v>B03_Assessment</v>
      </c>
      <c r="C839" s="106" t="str">
        <f>B03_Assessment!$A$95</f>
        <v>WAO Areas</v>
      </c>
      <c r="D839" s="142">
        <f>B03_Assessment!$B$95</f>
        <v>0.5</v>
      </c>
      <c r="E839" s="142">
        <f>B03_Assessment!$C$95</f>
        <v>0.5</v>
      </c>
      <c r="F839" s="106" t="str">
        <f>B03_Assessment!$D$95</f>
        <v>N/A</v>
      </c>
      <c r="G839" s="106">
        <f>B03_Assessment!$E$95</f>
        <v>0.5</v>
      </c>
      <c r="H839" s="106">
        <f>B03_Assessment!$F$95</f>
        <v>0.5</v>
      </c>
      <c r="I839" s="106" t="str">
        <f>B03_Assessment!$G$95</f>
        <v>Verify</v>
      </c>
      <c r="J839" s="106">
        <f>B03_Assessment!$H$95</f>
        <v>0.5</v>
      </c>
      <c r="K839" s="106" t="str">
        <f>B03_Assessment!$I$95</f>
        <v>Partial / Yellow</v>
      </c>
      <c r="L839" s="106" t="str">
        <f>B03_Assessment!$J$95</f>
        <v>Basement and first-level WAO/WAP/camera recabling served from Room 101E.</v>
      </c>
    </row>
    <row r="840" spans="1:12" ht="97.5" customHeight="1">
      <c r="A840" s="106" t="str">
        <f>B04_Assessment!$B$2</f>
        <v>04</v>
      </c>
      <c r="B840" s="106" t="str">
        <f>"B04_Assessment"</f>
        <v>B04_Assessment</v>
      </c>
      <c r="C840" s="106" t="str">
        <f>B04_Assessment!$A$85</f>
        <v>B05</v>
      </c>
      <c r="D840" s="142">
        <f>B04_Assessment!$B$85</f>
        <v>0.5</v>
      </c>
      <c r="E840" s="142">
        <f>B04_Assessment!$C$85</f>
        <v>0.5</v>
      </c>
      <c r="F840" s="106">
        <f>B04_Assessment!$D$85</f>
        <v>0.5</v>
      </c>
      <c r="G840" s="106">
        <f>B04_Assessment!$E$85</f>
        <v>0.5</v>
      </c>
      <c r="H840" s="106">
        <f>B04_Assessment!$F$85</f>
        <v>0.5</v>
      </c>
      <c r="I840" s="106" t="str">
        <f>B04_Assessment!$G$85</f>
        <v>Verify</v>
      </c>
      <c r="J840" s="106">
        <f>B04_Assessment!$H$85</f>
        <v>0.5</v>
      </c>
      <c r="K840" s="106" t="str">
        <f>B04_Assessment!$I$85</f>
        <v>Partial / Yellow</v>
      </c>
      <c r="L840" s="106" t="str">
        <f>B04_Assessment!$J$85</f>
        <v>Two-rack basement TR; full field verification required.</v>
      </c>
    </row>
    <row r="841" spans="1:12" ht="97.5" customHeight="1">
      <c r="A841" s="106" t="str">
        <f>B04_Assessment!$B$2</f>
        <v>04</v>
      </c>
      <c r="B841" s="106" t="str">
        <f>"B04_Assessment"</f>
        <v>B04_Assessment</v>
      </c>
      <c r="C841" s="106" t="str">
        <f>B04_Assessment!$A$86</f>
        <v>141</v>
      </c>
      <c r="D841" s="142">
        <f>B04_Assessment!$B$86</f>
        <v>0.5</v>
      </c>
      <c r="E841" s="142">
        <f>B04_Assessment!$C$86</f>
        <v>0.5</v>
      </c>
      <c r="F841" s="106">
        <f>B04_Assessment!$D$86</f>
        <v>0.5</v>
      </c>
      <c r="G841" s="106">
        <f>B04_Assessment!$E$86</f>
        <v>0.5</v>
      </c>
      <c r="H841" s="106">
        <f>B04_Assessment!$F$86</f>
        <v>0.5</v>
      </c>
      <c r="I841" s="106" t="str">
        <f>B04_Assessment!$G$86</f>
        <v>Verify</v>
      </c>
      <c r="J841" s="106">
        <f>B04_Assessment!$H$86</f>
        <v>0.5</v>
      </c>
      <c r="K841" s="106" t="str">
        <f>B04_Assessment!$I$86</f>
        <v>Partial / Yellow</v>
      </c>
      <c r="L841" s="106" t="str">
        <f>B04_Assessment!$J$86</f>
        <v>First-floor TR with rated wall/door and future rack.</v>
      </c>
    </row>
    <row r="842" spans="1:12" ht="97.5" customHeight="1">
      <c r="A842" s="106" t="str">
        <f>B04_Assessment!$B$2</f>
        <v>04</v>
      </c>
      <c r="B842" s="106" t="str">
        <f>"B04_Assessment"</f>
        <v>B04_Assessment</v>
      </c>
      <c r="C842" s="106" t="str">
        <f>B04_Assessment!$A$87</f>
        <v>244A</v>
      </c>
      <c r="D842" s="142">
        <f>B04_Assessment!$B$87</f>
        <v>0.5</v>
      </c>
      <c r="E842" s="142">
        <f>B04_Assessment!$C$87</f>
        <v>0.5</v>
      </c>
      <c r="F842" s="106">
        <f>B04_Assessment!$D$87</f>
        <v>0.5</v>
      </c>
      <c r="G842" s="106">
        <f>B04_Assessment!$E$87</f>
        <v>0.5</v>
      </c>
      <c r="H842" s="106">
        <f>B04_Assessment!$F$87</f>
        <v>0.5</v>
      </c>
      <c r="I842" s="106" t="str">
        <f>B04_Assessment!$G$87</f>
        <v>Verify</v>
      </c>
      <c r="J842" s="106">
        <f>B04_Assessment!$H$87</f>
        <v>0.5</v>
      </c>
      <c r="K842" s="106" t="str">
        <f>B04_Assessment!$I$87</f>
        <v>Partial / Yellow</v>
      </c>
      <c r="L842" s="106" t="str">
        <f>B04_Assessment!$J$87</f>
        <v>Second-floor TR/panel scope; verify rack/equipment locations.</v>
      </c>
    </row>
    <row r="843" spans="1:12" ht="97.5" customHeight="1">
      <c r="A843" s="106" t="str">
        <f>B05_Assessment!$B$2</f>
        <v>05</v>
      </c>
      <c r="B843" s="106" t="str">
        <f>"B05_Assessment"</f>
        <v>B05_Assessment</v>
      </c>
      <c r="C843" s="106" t="str">
        <f>B05_Assessment!$A$73</f>
        <v>150</v>
      </c>
      <c r="D843" s="142">
        <f>B05_Assessment!$B$73</f>
        <v>0.5</v>
      </c>
      <c r="E843" s="142">
        <f>B05_Assessment!$C$73</f>
        <v>0.5</v>
      </c>
      <c r="F843" s="106" t="str">
        <f>B05_Assessment!$D$73</f>
        <v>N/A</v>
      </c>
      <c r="G843" s="106">
        <f>B05_Assessment!$E$73</f>
        <v>0.5</v>
      </c>
      <c r="H843" s="106">
        <f>B05_Assessment!$F$73</f>
        <v>0.5</v>
      </c>
      <c r="I843" s="106" t="str">
        <f>B05_Assessment!$G$73</f>
        <v>Verify</v>
      </c>
      <c r="J843" s="106">
        <f>B05_Assessment!$H$73</f>
        <v>0.5</v>
      </c>
      <c r="K843" s="106" t="str">
        <f>B05_Assessment!$I$73</f>
        <v>Partial / Yellow</v>
      </c>
      <c r="L843" s="106" t="str">
        <f>B05_Assessment!$J$73</f>
        <v>New 12RU TE; field verification required.</v>
      </c>
    </row>
    <row r="844" spans="1:12" ht="97.5" customHeight="1">
      <c r="A844" s="106" t="str">
        <f>B05_Assessment!$B$2</f>
        <v>05</v>
      </c>
      <c r="B844" s="106" t="str">
        <f>"B05_Assessment"</f>
        <v>B05_Assessment</v>
      </c>
      <c r="C844" s="106" t="str">
        <f>B05_Assessment!$A$74</f>
        <v>153-A</v>
      </c>
      <c r="D844" s="142">
        <f>B05_Assessment!$B$74</f>
        <v>0.5</v>
      </c>
      <c r="E844" s="142">
        <f>B05_Assessment!$C$74</f>
        <v>0.5</v>
      </c>
      <c r="F844" s="106" t="str">
        <f>B05_Assessment!$D$74</f>
        <v>N/A</v>
      </c>
      <c r="G844" s="106">
        <f>B05_Assessment!$E$74</f>
        <v>0.5</v>
      </c>
      <c r="H844" s="106">
        <f>B05_Assessment!$F$74</f>
        <v>0.5</v>
      </c>
      <c r="I844" s="106" t="str">
        <f>B05_Assessment!$G$74</f>
        <v>Verify</v>
      </c>
      <c r="J844" s="106">
        <f>B05_Assessment!$H$74</f>
        <v>0.5</v>
      </c>
      <c r="K844" s="106" t="str">
        <f>B05_Assessment!$I$74</f>
        <v>Partial / Yellow</v>
      </c>
      <c r="L844" s="106" t="str">
        <f>B05_Assessment!$J$74</f>
        <v>Existing TE/legacy equipment transition point.</v>
      </c>
    </row>
    <row r="845" spans="1:12" ht="97.5" customHeight="1">
      <c r="A845" s="106" t="str">
        <f>B06_Assessment!$B$2</f>
        <v>06</v>
      </c>
      <c r="B845" s="106" t="str">
        <f>"B06_Assessment"</f>
        <v>B06_Assessment</v>
      </c>
      <c r="C845" s="106" t="str">
        <f>B06_Assessment!$A$85</f>
        <v>B-01</v>
      </c>
      <c r="D845" s="142">
        <f>B06_Assessment!$B$85</f>
        <v>0.5</v>
      </c>
      <c r="E845" s="142">
        <f>B06_Assessment!$C$85</f>
        <v>0.5</v>
      </c>
      <c r="F845" s="106">
        <f>B06_Assessment!$D$85</f>
        <v>0.5</v>
      </c>
      <c r="G845" s="106">
        <f>B06_Assessment!$E$85</f>
        <v>0.5</v>
      </c>
      <c r="H845" s="106">
        <f>B06_Assessment!$F$85</f>
        <v>0.5</v>
      </c>
      <c r="I845" s="106" t="str">
        <f>B06_Assessment!$G$85</f>
        <v>Verify</v>
      </c>
      <c r="J845" s="106">
        <f>B06_Assessment!$H$85</f>
        <v>0.5</v>
      </c>
      <c r="K845" s="106" t="str">
        <f>B06_Assessment!$I$85</f>
        <v>Partial / Yellow</v>
      </c>
      <c r="L845" s="106" t="str">
        <f>B06_Assessment!$J$85</f>
        <v>Existing equipment transition point; protect active services.</v>
      </c>
    </row>
    <row r="846" spans="1:12" ht="97.5" customHeight="1">
      <c r="A846" s="106" t="str">
        <f>B06_Assessment!$B$2</f>
        <v>06</v>
      </c>
      <c r="B846" s="106" t="str">
        <f>"B06_Assessment"</f>
        <v>B06_Assessment</v>
      </c>
      <c r="C846" s="106" t="str">
        <f>B06_Assessment!$A$86</f>
        <v>178</v>
      </c>
      <c r="D846" s="142">
        <f>B06_Assessment!$B$86</f>
        <v>0.5</v>
      </c>
      <c r="E846" s="142">
        <f>B06_Assessment!$C$86</f>
        <v>0.5</v>
      </c>
      <c r="F846" s="106">
        <f>B06_Assessment!$D$86</f>
        <v>0.5</v>
      </c>
      <c r="G846" s="106">
        <f>B06_Assessment!$E$86</f>
        <v>0.5</v>
      </c>
      <c r="H846" s="106">
        <f>B06_Assessment!$F$86</f>
        <v>0.5</v>
      </c>
      <c r="I846" s="106" t="str">
        <f>B06_Assessment!$G$86</f>
        <v>Verify</v>
      </c>
      <c r="J846" s="106">
        <f>B06_Assessment!$H$86</f>
        <v>0.5</v>
      </c>
      <c r="K846" s="106" t="str">
        <f>B06_Assessment!$I$86</f>
        <v>Partial / Yellow</v>
      </c>
      <c r="L846" s="106" t="str">
        <f>B06_Assessment!$J$86</f>
        <v>First-floor TR with new cooling and electrical scope.</v>
      </c>
    </row>
    <row r="847" spans="1:12" ht="97.5" customHeight="1">
      <c r="A847" s="106" t="str">
        <f>B06_Assessment!$B$2</f>
        <v>06</v>
      </c>
      <c r="B847" s="106" t="str">
        <f>"B06_Assessment"</f>
        <v>B06_Assessment</v>
      </c>
      <c r="C847" s="106" t="str">
        <f>B06_Assessment!$A$87</f>
        <v>233</v>
      </c>
      <c r="D847" s="142">
        <f>B06_Assessment!$B$87</f>
        <v>0.5</v>
      </c>
      <c r="E847" s="142">
        <f>B06_Assessment!$C$87</f>
        <v>0.5</v>
      </c>
      <c r="F847" s="106">
        <f>B06_Assessment!$D$87</f>
        <v>0.5</v>
      </c>
      <c r="G847" s="106">
        <f>B06_Assessment!$E$87</f>
        <v>0.5</v>
      </c>
      <c r="H847" s="106">
        <f>B06_Assessment!$F$87</f>
        <v>0.5</v>
      </c>
      <c r="I847" s="106" t="str">
        <f>B06_Assessment!$G$87</f>
        <v>Verify</v>
      </c>
      <c r="J847" s="106">
        <f>B06_Assessment!$H$87</f>
        <v>0.5</v>
      </c>
      <c r="K847" s="106" t="str">
        <f>B06_Assessment!$I$87</f>
        <v>Partial / Yellow</v>
      </c>
      <c r="L847" s="106" t="str">
        <f>B06_Assessment!$J$87</f>
        <v>Second-floor TR/Data Closet with rated construction and future rack scope.</v>
      </c>
    </row>
    <row r="848" spans="1:12" ht="97.5" customHeight="1">
      <c r="A848" s="106" t="str">
        <f>B07_Assessment!$B$2</f>
        <v>07</v>
      </c>
      <c r="B848" s="106" t="str">
        <f>"B07_Assessment"</f>
        <v>B07_Assessment</v>
      </c>
      <c r="C848" s="106" t="str">
        <f>B07_Assessment!$A$77</f>
        <v>B-18</v>
      </c>
      <c r="D848" s="142">
        <f>B07_Assessment!$B$77</f>
        <v>0.5</v>
      </c>
      <c r="E848" s="142">
        <f>B07_Assessment!$C$77</f>
        <v>0.5</v>
      </c>
      <c r="F848" s="106">
        <f>B07_Assessment!$D$77</f>
        <v>0.5</v>
      </c>
      <c r="G848" s="106">
        <f>B07_Assessment!$E$77</f>
        <v>0.5</v>
      </c>
      <c r="H848" s="106">
        <f>B07_Assessment!$F$77</f>
        <v>0.5</v>
      </c>
      <c r="I848" s="106" t="str">
        <f>B07_Assessment!$G$77</f>
        <v>Verify</v>
      </c>
      <c r="J848" s="106">
        <f>B07_Assessment!$H$77</f>
        <v>0.5</v>
      </c>
      <c r="K848" s="106" t="str">
        <f>B07_Assessment!$I$77</f>
        <v>Partial / Yellow</v>
      </c>
      <c r="L848" s="106" t="str">
        <f>B07_Assessment!$J$77</f>
        <v>Basement TR; field verification required.</v>
      </c>
    </row>
    <row r="849" spans="1:12" ht="97.5" customHeight="1">
      <c r="A849" s="106" t="str">
        <f>B07_Assessment!$B$2</f>
        <v>07</v>
      </c>
      <c r="B849" s="106" t="str">
        <f>"B07_Assessment"</f>
        <v>B07_Assessment</v>
      </c>
      <c r="C849" s="106" t="str">
        <f>B07_Assessment!$A$78</f>
        <v>228A</v>
      </c>
      <c r="D849" s="142">
        <f>B07_Assessment!$B$78</f>
        <v>0.5</v>
      </c>
      <c r="E849" s="142">
        <f>B07_Assessment!$C$78</f>
        <v>0.5</v>
      </c>
      <c r="F849" s="106">
        <f>B07_Assessment!$D$78</f>
        <v>0.5</v>
      </c>
      <c r="G849" s="106">
        <f>B07_Assessment!$E$78</f>
        <v>0.5</v>
      </c>
      <c r="H849" s="106">
        <f>B07_Assessment!$F$78</f>
        <v>0.5</v>
      </c>
      <c r="I849" s="106" t="str">
        <f>B07_Assessment!$G$78</f>
        <v>Verify</v>
      </c>
      <c r="J849" s="106">
        <f>B07_Assessment!$H$78</f>
        <v>0.5</v>
      </c>
      <c r="K849" s="106" t="str">
        <f>B07_Assessment!$I$78</f>
        <v>Partial / Yellow</v>
      </c>
      <c r="L849" s="106" t="str">
        <f>B07_Assessment!$J$78</f>
        <v>Second-floor TR; rated wall/door and cooling coordination required.</v>
      </c>
    </row>
    <row r="850" spans="1:12" ht="97.5" customHeight="1">
      <c r="A850" s="106" t="str">
        <f>B08_Assessment!$B$2</f>
        <v>08</v>
      </c>
      <c r="B850" s="106" t="str">
        <f>"B08_Assessment"</f>
        <v>B08_Assessment</v>
      </c>
      <c r="C850" s="106" t="str">
        <f>B08_Assessment!$A$85</f>
        <v>B-15</v>
      </c>
      <c r="D850" s="142">
        <f>B08_Assessment!$B$85</f>
        <v>0.5</v>
      </c>
      <c r="E850" s="142">
        <f>B08_Assessment!$C$85</f>
        <v>0.5</v>
      </c>
      <c r="F850" s="106">
        <f>B08_Assessment!$D$85</f>
        <v>0.5</v>
      </c>
      <c r="G850" s="106">
        <f>B08_Assessment!$E$85</f>
        <v>0.5</v>
      </c>
      <c r="H850" s="106">
        <f>B08_Assessment!$F$85</f>
        <v>0.5</v>
      </c>
      <c r="I850" s="106" t="str">
        <f>B08_Assessment!$G$85</f>
        <v>Verify</v>
      </c>
      <c r="J850" s="106">
        <f>B08_Assessment!$H$85</f>
        <v>0.5</v>
      </c>
      <c r="K850" s="106" t="str">
        <f>B08_Assessment!$I$85</f>
        <v>Partial / Yellow</v>
      </c>
      <c r="L850" s="106" t="str">
        <f>B08_Assessment!$J$85</f>
        <v>Existing equipment transition point; protect active services.</v>
      </c>
    </row>
    <row r="851" spans="1:12" ht="97.5" customHeight="1">
      <c r="A851" s="106" t="str">
        <f>B08_Assessment!$B$2</f>
        <v>08</v>
      </c>
      <c r="B851" s="106" t="str">
        <f>"B08_Assessment"</f>
        <v>B08_Assessment</v>
      </c>
      <c r="C851" s="106" t="str">
        <f>B08_Assessment!$A$86</f>
        <v>B12B</v>
      </c>
      <c r="D851" s="142">
        <f>B08_Assessment!$B$86</f>
        <v>0.5</v>
      </c>
      <c r="E851" s="142">
        <f>B08_Assessment!$C$86</f>
        <v>0.5</v>
      </c>
      <c r="F851" s="106">
        <f>B08_Assessment!$D$86</f>
        <v>0.5</v>
      </c>
      <c r="G851" s="106">
        <f>B08_Assessment!$E$86</f>
        <v>0.5</v>
      </c>
      <c r="H851" s="106">
        <f>B08_Assessment!$F$86</f>
        <v>0.5</v>
      </c>
      <c r="I851" s="106" t="str">
        <f>B08_Assessment!$G$86</f>
        <v>Verify</v>
      </c>
      <c r="J851" s="106">
        <f>B08_Assessment!$H$86</f>
        <v>0.5</v>
      </c>
      <c r="K851" s="106" t="str">
        <f>B08_Assessment!$I$86</f>
        <v>Partial / Yellow</v>
      </c>
      <c r="L851" s="106" t="str">
        <f>B08_Assessment!$J$86</f>
        <v>Basement office/TE ambiguity requires field verification.</v>
      </c>
    </row>
    <row r="852" spans="1:12" ht="97.5" customHeight="1">
      <c r="A852" s="106" t="str">
        <f>B08_Assessment!$B$2</f>
        <v>08</v>
      </c>
      <c r="B852" s="106" t="str">
        <f>"B08_Assessment"</f>
        <v>B08_Assessment</v>
      </c>
      <c r="C852" s="106" t="str">
        <f>B08_Assessment!$A$87</f>
        <v>2065A</v>
      </c>
      <c r="D852" s="142">
        <f>B08_Assessment!$B$87</f>
        <v>0.5</v>
      </c>
      <c r="E852" s="142">
        <f>B08_Assessment!$C$87</f>
        <v>0.5</v>
      </c>
      <c r="F852" s="106">
        <f>B08_Assessment!$D$87</f>
        <v>0.5</v>
      </c>
      <c r="G852" s="106">
        <f>B08_Assessment!$E$87</f>
        <v>0.5</v>
      </c>
      <c r="H852" s="106">
        <f>B08_Assessment!$F$87</f>
        <v>0.5</v>
      </c>
      <c r="I852" s="106" t="str">
        <f>B08_Assessment!$G$87</f>
        <v>Verify</v>
      </c>
      <c r="J852" s="106">
        <f>B08_Assessment!$H$87</f>
        <v>0.5</v>
      </c>
      <c r="K852" s="106" t="str">
        <f>B08_Assessment!$I$87</f>
        <v>Partial / Yellow</v>
      </c>
      <c r="L852" s="106" t="str">
        <f>B08_Assessment!$J$87</f>
        <v>New second-floor TR with two racks, cooling, rated work and possible abatement.</v>
      </c>
    </row>
    <row r="853" spans="1:12" ht="97.5" customHeight="1">
      <c r="A853" s="106" t="str">
        <f>B09_Assessment!$B$2</f>
        <v>09</v>
      </c>
      <c r="B853" s="106" t="str">
        <f>"B09_Assessment"</f>
        <v>B09_Assessment</v>
      </c>
      <c r="C853" s="106" t="str">
        <f>B09_Assessment!$A$85</f>
        <v>B01</v>
      </c>
      <c r="D853" s="142">
        <f>B09_Assessment!$B$85</f>
        <v>0.5</v>
      </c>
      <c r="E853" s="142">
        <f>B09_Assessment!$C$85</f>
        <v>0.5</v>
      </c>
      <c r="F853" s="106">
        <f>B09_Assessment!$D$85</f>
        <v>0.5</v>
      </c>
      <c r="G853" s="106">
        <f>B09_Assessment!$E$85</f>
        <v>0.5</v>
      </c>
      <c r="H853" s="106">
        <f>B09_Assessment!$F$85</f>
        <v>0.5</v>
      </c>
      <c r="I853" s="106" t="str">
        <f>B09_Assessment!$G$85</f>
        <v>Verify</v>
      </c>
      <c r="J853" s="106">
        <f>B09_Assessment!$H$85</f>
        <v>0.5</v>
      </c>
      <c r="K853" s="106" t="str">
        <f>B09_Assessment!$I$85</f>
        <v>Partial / Yellow</v>
      </c>
      <c r="L853" s="106" t="str">
        <f>B09_Assessment!$J$85</f>
        <v>Basement TR with existing equipment and multiple panel/cooling dependencies.</v>
      </c>
    </row>
    <row r="854" spans="1:12" ht="97.5" customHeight="1">
      <c r="A854" s="106" t="str">
        <f>B09_Assessment!$B$2</f>
        <v>09</v>
      </c>
      <c r="B854" s="106" t="str">
        <f>"B09_Assessment"</f>
        <v>B09_Assessment</v>
      </c>
      <c r="C854" s="106" t="str">
        <f>B09_Assessment!$A$86</f>
        <v>104B</v>
      </c>
      <c r="D854" s="142">
        <f>B09_Assessment!$B$86</f>
        <v>0.5</v>
      </c>
      <c r="E854" s="142">
        <f>B09_Assessment!$C$86</f>
        <v>0.5</v>
      </c>
      <c r="F854" s="106">
        <f>B09_Assessment!$D$86</f>
        <v>0.5</v>
      </c>
      <c r="G854" s="106">
        <f>B09_Assessment!$E$86</f>
        <v>0.5</v>
      </c>
      <c r="H854" s="106">
        <f>B09_Assessment!$F$86</f>
        <v>0.5</v>
      </c>
      <c r="I854" s="106" t="str">
        <f>B09_Assessment!$G$86</f>
        <v>Verify</v>
      </c>
      <c r="J854" s="106">
        <f>B09_Assessment!$H$86</f>
        <v>0.5</v>
      </c>
      <c r="K854" s="106" t="str">
        <f>B09_Assessment!$I$86</f>
        <v>Partial / Yellow</v>
      </c>
      <c r="L854" s="106" t="str">
        <f>B09_Assessment!$J$86</f>
        <v>First-level TR with security/access control, cooling and rated wall/door coordination.</v>
      </c>
    </row>
    <row r="855" spans="1:12" ht="97.5" customHeight="1">
      <c r="A855" s="106" t="str">
        <f>B09_Assessment!$B$2</f>
        <v>09</v>
      </c>
      <c r="B855" s="106" t="str">
        <f>"B09_Assessment"</f>
        <v>B09_Assessment</v>
      </c>
      <c r="C855" s="106" t="str">
        <f>B09_Assessment!$A$87</f>
        <v>206A</v>
      </c>
      <c r="D855" s="142">
        <f>B09_Assessment!$B$87</f>
        <v>0.5</v>
      </c>
      <c r="E855" s="142">
        <f>B09_Assessment!$C$87</f>
        <v>0.5</v>
      </c>
      <c r="F855" s="106">
        <f>B09_Assessment!$D$87</f>
        <v>0.5</v>
      </c>
      <c r="G855" s="106">
        <f>B09_Assessment!$E$87</f>
        <v>0.5</v>
      </c>
      <c r="H855" s="106">
        <f>B09_Assessment!$F$87</f>
        <v>0.5</v>
      </c>
      <c r="I855" s="106" t="str">
        <f>B09_Assessment!$G$87</f>
        <v>Verify</v>
      </c>
      <c r="J855" s="106">
        <f>B09_Assessment!$H$87</f>
        <v>0.5</v>
      </c>
      <c r="K855" s="106" t="str">
        <f>B09_Assessment!$I$87</f>
        <v>Partial / Yellow</v>
      </c>
      <c r="L855" s="106" t="str">
        <f>B09_Assessment!$J$87</f>
        <v>Second-level TR adjacent to Nursing Service with cooling, electrical and fire/life-safety coordination.</v>
      </c>
    </row>
    <row r="856" spans="1:12" ht="97.5" customHeight="1">
      <c r="A856" s="106" t="str">
        <f>B10_Assessment!$B$2</f>
        <v>10</v>
      </c>
      <c r="B856" s="106" t="str">
        <f>"B10_Assessment"</f>
        <v>B10_Assessment</v>
      </c>
      <c r="C856" s="106" t="str">
        <f>B10_Assessment!$A$85</f>
        <v>200A</v>
      </c>
      <c r="D856" s="142">
        <f>B10_Assessment!$B$85</f>
        <v>0.5</v>
      </c>
      <c r="E856" s="142">
        <f>B10_Assessment!$C$85</f>
        <v>0.5</v>
      </c>
      <c r="F856" s="106">
        <f>B10_Assessment!$D$85</f>
        <v>0.5</v>
      </c>
      <c r="G856" s="106">
        <f>B10_Assessment!$E$85</f>
        <v>0.5</v>
      </c>
      <c r="H856" s="106">
        <f>B10_Assessment!$F$85</f>
        <v>0.5</v>
      </c>
      <c r="I856" s="106" t="str">
        <f>B10_Assessment!$G$85</f>
        <v>Verify</v>
      </c>
      <c r="J856" s="106">
        <f>B10_Assessment!$H$85</f>
        <v>0.5</v>
      </c>
      <c r="K856" s="106" t="str">
        <f>B10_Assessment!$I$85</f>
        <v>Partial / Yellow</v>
      </c>
      <c r="L856" s="106" t="str">
        <f>B10_Assessment!$J$85</f>
        <v>Attic TR with rack/equipment, cooling, electrical, fire/life-safety and abatement coordination.</v>
      </c>
    </row>
    <row r="857" spans="1:12" ht="97.5" customHeight="1">
      <c r="A857" s="106" t="str">
        <f>B10_Assessment!$B$2</f>
        <v>10</v>
      </c>
      <c r="B857" s="106" t="str">
        <f>"B10_Assessment"</f>
        <v>B10_Assessment</v>
      </c>
      <c r="C857" s="106" t="str">
        <f>B10_Assessment!$A$86</f>
        <v>B24</v>
      </c>
      <c r="D857" s="142">
        <f>B10_Assessment!$B$86</f>
        <v>0.5</v>
      </c>
      <c r="E857" s="142">
        <f>B10_Assessment!$C$86</f>
        <v>0.5</v>
      </c>
      <c r="F857" s="106" t="str">
        <f>B10_Assessment!$D$86</f>
        <v>N/A</v>
      </c>
      <c r="G857" s="106">
        <f>B10_Assessment!$E$86</f>
        <v>0.5</v>
      </c>
      <c r="H857" s="106" t="str">
        <f>B10_Assessment!$F$86</f>
        <v>N/A</v>
      </c>
      <c r="I857" s="106" t="str">
        <f>B10_Assessment!$G$86</f>
        <v>Verify</v>
      </c>
      <c r="J857" s="106">
        <f>B10_Assessment!$H$86</f>
        <v>0.5</v>
      </c>
      <c r="K857" s="106" t="str">
        <f>B10_Assessment!$I$86</f>
        <v>Partial / Yellow</v>
      </c>
      <c r="L857" s="106" t="str">
        <f>B10_Assessment!$J$86</f>
        <v>Normal electrical source coordination only.</v>
      </c>
    </row>
    <row r="858" spans="1:12" ht="97.5" customHeight="1">
      <c r="A858" s="106" t="str">
        <f>B10_Assessment!$B$2</f>
        <v>10</v>
      </c>
      <c r="B858" s="106" t="str">
        <f>"B10_Assessment"</f>
        <v>B10_Assessment</v>
      </c>
      <c r="C858" s="106" t="str">
        <f>B10_Assessment!$A$87</f>
        <v>B25</v>
      </c>
      <c r="D858" s="142">
        <f>B10_Assessment!$B$87</f>
        <v>0.5</v>
      </c>
      <c r="E858" s="142">
        <f>B10_Assessment!$C$87</f>
        <v>0.5</v>
      </c>
      <c r="F858" s="106" t="str">
        <f>B10_Assessment!$D$87</f>
        <v>N/A</v>
      </c>
      <c r="G858" s="106">
        <f>B10_Assessment!$E$87</f>
        <v>0.5</v>
      </c>
      <c r="H858" s="106" t="str">
        <f>B10_Assessment!$F$87</f>
        <v>N/A</v>
      </c>
      <c r="I858" s="106" t="str">
        <f>B10_Assessment!$G$87</f>
        <v>Verify</v>
      </c>
      <c r="J858" s="106">
        <f>B10_Assessment!$H$87</f>
        <v>0.5</v>
      </c>
      <c r="K858" s="106" t="str">
        <f>B10_Assessment!$I$87</f>
        <v>Partial / Yellow</v>
      </c>
      <c r="L858" s="106" t="str">
        <f>B10_Assessment!$J$87</f>
        <v>Emergency electrical source coordination only.</v>
      </c>
    </row>
    <row r="859" spans="1:12" ht="97.5" customHeight="1">
      <c r="A859" s="106" t="str">
        <f>B12_Assessment!$B$2</f>
        <v>12</v>
      </c>
      <c r="B859" s="106" t="str">
        <f>"B12_Assessment"</f>
        <v>B12_Assessment</v>
      </c>
      <c r="C859" s="106" t="str">
        <f>B12_Assessment!$A$72</f>
        <v>Fiber path B/1/2</v>
      </c>
      <c r="D859" s="142">
        <f>B12_Assessment!$B$72</f>
        <v>0.6</v>
      </c>
      <c r="E859" s="142">
        <f>B12_Assessment!$C$72</f>
        <v>0.5</v>
      </c>
      <c r="F859" s="106" t="str">
        <f>B12_Assessment!$D$72</f>
        <v>N/A</v>
      </c>
      <c r="G859" s="106" t="str">
        <f>B12_Assessment!$E$72</f>
        <v>N/A</v>
      </c>
      <c r="H859" s="106">
        <f>B12_Assessment!$F$72</f>
        <v>0.6</v>
      </c>
      <c r="I859" s="106" t="str">
        <f>B12_Assessment!$G$72</f>
        <v>Verify</v>
      </c>
      <c r="J859" s="106">
        <f>B12_Assessment!$H$72</f>
        <v>0.55000000000000004</v>
      </c>
      <c r="K859" s="106" t="str">
        <f>B12_Assessment!$I$72</f>
        <v>Partial / Yellow</v>
      </c>
      <c r="L859" s="106" t="str">
        <f>B12_Assessment!$J$72</f>
        <v>Fiber-only pathway and cutover must be field verified.</v>
      </c>
    </row>
    <row r="860" spans="1:12" ht="97.5" customHeight="1">
      <c r="A860" s="106" t="str">
        <f>B12_Assessment!$B$2</f>
        <v>12</v>
      </c>
      <c r="B860" s="106" t="str">
        <f>"B12_Assessment"</f>
        <v>B12_Assessment</v>
      </c>
      <c r="C860" s="106" t="str">
        <f>B12_Assessment!$A$73</f>
        <v>Existing rack/demarc - field verify</v>
      </c>
      <c r="D860" s="142">
        <f>B12_Assessment!$B$73</f>
        <v>0.5</v>
      </c>
      <c r="E860" s="142">
        <f>B12_Assessment!$C$73</f>
        <v>0.5</v>
      </c>
      <c r="F860" s="106" t="str">
        <f>B12_Assessment!$D$73</f>
        <v>N/A</v>
      </c>
      <c r="G860" s="106" t="str">
        <f>B12_Assessment!$E$73</f>
        <v>N/A</v>
      </c>
      <c r="H860" s="106">
        <f>B12_Assessment!$F$73</f>
        <v>0.6</v>
      </c>
      <c r="I860" s="106" t="str">
        <f>B12_Assessment!$G$73</f>
        <v>Verify</v>
      </c>
      <c r="J860" s="106">
        <f>B12_Assessment!$H$73</f>
        <v>0.53</v>
      </c>
      <c r="K860" s="106" t="str">
        <f>B12_Assessment!$I$73</f>
        <v>Partial / Yellow</v>
      </c>
      <c r="L860" s="106" t="str">
        <f>B12_Assessment!$J$73</f>
        <v>Existing service point/termination requires field confirmation.</v>
      </c>
    </row>
    <row r="861" spans="1:12" ht="97.5" customHeight="1">
      <c r="A861" s="106" t="str">
        <f>B13_Assessment!$B$2</f>
        <v>13</v>
      </c>
      <c r="B861" s="106" t="str">
        <f>"B13_Assessment"</f>
        <v>B13_Assessment</v>
      </c>
      <c r="C861" s="106" t="str">
        <f>B13_Assessment!$A$78</f>
        <v>124</v>
      </c>
      <c r="D861" s="142">
        <f>B13_Assessment!$B$78</f>
        <v>0.5</v>
      </c>
      <c r="E861" s="142">
        <f>B13_Assessment!$C$78</f>
        <v>0.5</v>
      </c>
      <c r="F861" s="106">
        <f>B13_Assessment!$D$78</f>
        <v>0.5</v>
      </c>
      <c r="G861" s="106">
        <f>B13_Assessment!$E$78</f>
        <v>0.5</v>
      </c>
      <c r="H861" s="106">
        <f>B13_Assessment!$F$78</f>
        <v>0.5</v>
      </c>
      <c r="I861" s="106" t="str">
        <f>B13_Assessment!$G$78</f>
        <v>Verify</v>
      </c>
      <c r="J861" s="106">
        <f>B13_Assessment!$H$78</f>
        <v>0.5</v>
      </c>
      <c r="K861" s="106" t="str">
        <f>B13_Assessment!$I$78</f>
        <v>Partial / Yellow</v>
      </c>
      <c r="L861" s="106" t="str">
        <f>B13_Assessment!$J$78</f>
        <v>New first-level TR with two racks, future rack, 240V UPS, cooling, access control and fire/life-safety coordination.</v>
      </c>
    </row>
    <row r="862" spans="1:12" ht="97.5" customHeight="1">
      <c r="A862" s="106" t="str">
        <f>B13_Assessment!$B$2</f>
        <v>13</v>
      </c>
      <c r="B862" s="106" t="str">
        <f>"B13_Assessment"</f>
        <v>B13_Assessment</v>
      </c>
      <c r="C862" s="106" t="str">
        <f>B13_Assessment!$A$79</f>
        <v>222</v>
      </c>
      <c r="D862" s="142">
        <f>B13_Assessment!$B$79</f>
        <v>0.5</v>
      </c>
      <c r="E862" s="142">
        <f>B13_Assessment!$C$79</f>
        <v>0.5</v>
      </c>
      <c r="F862" s="106">
        <f>B13_Assessment!$D$79</f>
        <v>0.5</v>
      </c>
      <c r="G862" s="106">
        <f>B13_Assessment!$E$79</f>
        <v>0.5</v>
      </c>
      <c r="H862" s="106">
        <f>B13_Assessment!$F$79</f>
        <v>0.5</v>
      </c>
      <c r="I862" s="106" t="str">
        <f>B13_Assessment!$G$79</f>
        <v>Verify</v>
      </c>
      <c r="J862" s="106">
        <f>B13_Assessment!$H$79</f>
        <v>0.5</v>
      </c>
      <c r="K862" s="106" t="str">
        <f>B13_Assessment!$I$79</f>
        <v>Partial / Yellow</v>
      </c>
      <c r="L862" s="106" t="str">
        <f>B13_Assessment!$J$79</f>
        <v>Existing second-level tel room and transition point; protect active services until cutover complete.</v>
      </c>
    </row>
    <row r="863" spans="1:12" ht="97.5" customHeight="1">
      <c r="A863" s="106" t="str">
        <f>B14_Assessment!$B$2</f>
        <v>14</v>
      </c>
      <c r="B863" s="106" t="str">
        <f>"B14_Assessment"</f>
        <v>B14_Assessment</v>
      </c>
      <c r="C863" s="106" t="str">
        <f>B14_Assessment!$A$85</f>
        <v>119</v>
      </c>
      <c r="D863" s="142">
        <f>B14_Assessment!$B$85</f>
        <v>0.5</v>
      </c>
      <c r="E863" s="142">
        <f>B14_Assessment!$C$85</f>
        <v>0.5</v>
      </c>
      <c r="F863" s="106">
        <f>B14_Assessment!$D$85</f>
        <v>0.5</v>
      </c>
      <c r="G863" s="106">
        <f>B14_Assessment!$E$85</f>
        <v>0.5</v>
      </c>
      <c r="H863" s="106">
        <f>B14_Assessment!$F$85</f>
        <v>0.5</v>
      </c>
      <c r="I863" s="106" t="str">
        <f>B14_Assessment!$G$85</f>
        <v>Verify</v>
      </c>
      <c r="J863" s="106">
        <f>B14_Assessment!$H$85</f>
        <v>0.5</v>
      </c>
      <c r="K863" s="106" t="str">
        <f>B14_Assessment!$I$85</f>
        <v>Partial / Yellow</v>
      </c>
      <c r="L863" s="106" t="str">
        <f>B14_Assessment!$J$85</f>
        <v>New first-level TR with one rack plus future rack, 240V UPS, cooling, access control, cable tray and fire/life-safety coordination.</v>
      </c>
    </row>
    <row r="864" spans="1:12" ht="97.5" customHeight="1">
      <c r="A864" s="106" t="str">
        <f>B14_Assessment!$B$2</f>
        <v>14</v>
      </c>
      <c r="B864" s="106" t="str">
        <f>"B14_Assessment"</f>
        <v>B14_Assessment</v>
      </c>
      <c r="C864" s="106" t="str">
        <f>B14_Assessment!$A$86</f>
        <v>B.01</v>
      </c>
      <c r="D864" s="142">
        <f>B14_Assessment!$B$86</f>
        <v>0.5</v>
      </c>
      <c r="E864" s="142">
        <f>B14_Assessment!$C$86</f>
        <v>0.5</v>
      </c>
      <c r="F864" s="106">
        <f>B14_Assessment!$D$86</f>
        <v>0.5</v>
      </c>
      <c r="G864" s="106">
        <f>B14_Assessment!$E$86</f>
        <v>0.5</v>
      </c>
      <c r="H864" s="106">
        <f>B14_Assessment!$F$86</f>
        <v>0.5</v>
      </c>
      <c r="I864" s="106" t="str">
        <f>B14_Assessment!$G$86</f>
        <v>Verify</v>
      </c>
      <c r="J864" s="106">
        <f>B14_Assessment!$H$86</f>
        <v>0.5</v>
      </c>
      <c r="K864" s="106" t="str">
        <f>B14_Assessment!$I$86</f>
        <v>Partial / Yellow</v>
      </c>
      <c r="L864" s="106" t="str">
        <f>B14_Assessment!$J$86</f>
        <v>Existing basement tel/fiber panel room and transition point; protect active services until cutover complete.</v>
      </c>
    </row>
    <row r="865" spans="1:12" ht="97.5" customHeight="1">
      <c r="A865" s="106" t="str">
        <f>B14_Assessment!$B$2</f>
        <v>14</v>
      </c>
      <c r="B865" s="106" t="str">
        <f>"B14_Assessment"</f>
        <v>B14_Assessment</v>
      </c>
      <c r="C865" s="106" t="str">
        <f>B14_Assessment!$A$87</f>
        <v>B2</v>
      </c>
      <c r="D865" s="142">
        <f>B14_Assessment!$B$87</f>
        <v>0.5</v>
      </c>
      <c r="E865" s="142">
        <f>B14_Assessment!$C$87</f>
        <v>0.5</v>
      </c>
      <c r="F865" s="106">
        <f>B14_Assessment!$D$87</f>
        <v>0.5</v>
      </c>
      <c r="G865" s="106">
        <f>B14_Assessment!$E$87</f>
        <v>0.5</v>
      </c>
      <c r="H865" s="106">
        <f>B14_Assessment!$F$87</f>
        <v>0.5</v>
      </c>
      <c r="I865" s="106" t="str">
        <f>B14_Assessment!$G$87</f>
        <v>Verify</v>
      </c>
      <c r="J865" s="106">
        <f>B14_Assessment!$H$87</f>
        <v>0.5</v>
      </c>
      <c r="K865" s="106" t="str">
        <f>B14_Assessment!$I$87</f>
        <v>Partial / Yellow</v>
      </c>
      <c r="L865" s="106" t="str">
        <f>B14_Assessment!$J$87</f>
        <v>Existing basement telecom room reference; field verify scope and active status.</v>
      </c>
    </row>
    <row r="866" spans="1:12" ht="97.5" customHeight="1">
      <c r="A866" s="106" t="str">
        <f>B15_Assessment!$B$2</f>
        <v>15</v>
      </c>
      <c r="B866" s="106" t="str">
        <f>"B15_Assessment"</f>
        <v>B15_Assessment</v>
      </c>
      <c r="C866" s="106" t="str">
        <f>B15_Assessment!$A$85</f>
        <v>124A</v>
      </c>
      <c r="D866" s="142">
        <f>B15_Assessment!$B$85</f>
        <v>0.5</v>
      </c>
      <c r="E866" s="142">
        <f>B15_Assessment!$C$85</f>
        <v>0.5</v>
      </c>
      <c r="F866" s="106">
        <f>B15_Assessment!$D$85</f>
        <v>0.5</v>
      </c>
      <c r="G866" s="106">
        <f>B15_Assessment!$E$85</f>
        <v>0.5</v>
      </c>
      <c r="H866" s="106">
        <f>B15_Assessment!$F$85</f>
        <v>0.5</v>
      </c>
      <c r="I866" s="106" t="str">
        <f>B15_Assessment!$G$85</f>
        <v>Verify</v>
      </c>
      <c r="J866" s="106">
        <f>B15_Assessment!$H$85</f>
        <v>0.5</v>
      </c>
      <c r="K866" s="106" t="str">
        <f>B15_Assessment!$I$85</f>
        <v>Partial / Yellow</v>
      </c>
      <c r="L866" s="106" t="str">
        <f>B15_Assessment!$J$85</f>
        <v>New first-level TR with one rack plus future rack, 240V UPS, heat-pump cooling, access control, cable tray and fire/life-safety coordination.</v>
      </c>
    </row>
    <row r="867" spans="1:12" ht="97.5" customHeight="1">
      <c r="A867" s="106" t="str">
        <f>B15_Assessment!$B$2</f>
        <v>15</v>
      </c>
      <c r="B867" s="106" t="str">
        <f>"B15_Assessment"</f>
        <v>B15_Assessment</v>
      </c>
      <c r="C867" s="106" t="str">
        <f>B15_Assessment!$A$86</f>
        <v>222</v>
      </c>
      <c r="D867" s="142">
        <f>B15_Assessment!$B$86</f>
        <v>0.5</v>
      </c>
      <c r="E867" s="142">
        <f>B15_Assessment!$C$86</f>
        <v>0.5</v>
      </c>
      <c r="F867" s="106">
        <f>B15_Assessment!$D$86</f>
        <v>0.5</v>
      </c>
      <c r="G867" s="106">
        <f>B15_Assessment!$E$86</f>
        <v>0.5</v>
      </c>
      <c r="H867" s="106">
        <f>B15_Assessment!$F$86</f>
        <v>0.5</v>
      </c>
      <c r="I867" s="106" t="str">
        <f>B15_Assessment!$G$86</f>
        <v>Verify</v>
      </c>
      <c r="J867" s="106">
        <f>B15_Assessment!$H$86</f>
        <v>0.5</v>
      </c>
      <c r="K867" s="106" t="str">
        <f>B15_Assessment!$I$86</f>
        <v>Partial / Yellow</v>
      </c>
      <c r="L867" s="106" t="str">
        <f>B15_Assessment!$J$86</f>
        <v>Existing second-level tel room and transition point; protect active services until cutover complete.</v>
      </c>
    </row>
    <row r="868" spans="1:12" ht="97.5" customHeight="1">
      <c r="A868" s="106" t="str">
        <f>B15_Assessment!$B$2</f>
        <v>15</v>
      </c>
      <c r="B868" s="106" t="str">
        <f>"B15_Assessment"</f>
        <v>B15_Assessment</v>
      </c>
      <c r="C868" s="106" t="str">
        <f>B15_Assessment!$A$87</f>
        <v>B01</v>
      </c>
      <c r="D868" s="142">
        <f>B15_Assessment!$B$87</f>
        <v>0.5</v>
      </c>
      <c r="E868" s="142">
        <f>B15_Assessment!$C$87</f>
        <v>0.5</v>
      </c>
      <c r="F868" s="106">
        <f>B15_Assessment!$D$87</f>
        <v>0.5</v>
      </c>
      <c r="G868" s="106">
        <f>B15_Assessment!$E$87</f>
        <v>0.5</v>
      </c>
      <c r="H868" s="106">
        <f>B15_Assessment!$F$87</f>
        <v>0.5</v>
      </c>
      <c r="I868" s="106" t="str">
        <f>B15_Assessment!$G$87</f>
        <v>Verify</v>
      </c>
      <c r="J868" s="106">
        <f>B15_Assessment!$H$87</f>
        <v>0.5</v>
      </c>
      <c r="K868" s="106" t="str">
        <f>B15_Assessment!$I$87</f>
        <v>Partial / Yellow</v>
      </c>
      <c r="L868" s="106" t="str">
        <f>B15_Assessment!$J$87</f>
        <v>Existing basement telecom/crossover room; field verify scope and active status.</v>
      </c>
    </row>
    <row r="869" spans="1:12" ht="97.5" customHeight="1">
      <c r="A869" s="106" t="str">
        <f>B16_Assessment!$B$2</f>
        <v>16</v>
      </c>
      <c r="B869" s="106" t="str">
        <f>"B16_Assessment"</f>
        <v>B16_Assessment</v>
      </c>
      <c r="C869" s="106" t="str">
        <f>B16_Assessment!$A$78</f>
        <v>015</v>
      </c>
      <c r="D869" s="142">
        <f>B16_Assessment!$B$78</f>
        <v>0.5</v>
      </c>
      <c r="E869" s="142">
        <f>B16_Assessment!$C$78</f>
        <v>0.5</v>
      </c>
      <c r="F869" s="106">
        <f>B16_Assessment!$D$78</f>
        <v>0.5</v>
      </c>
      <c r="G869" s="106">
        <f>B16_Assessment!$E$78</f>
        <v>0.5</v>
      </c>
      <c r="H869" s="106">
        <f>B16_Assessment!$F$78</f>
        <v>0.5</v>
      </c>
      <c r="I869" s="106" t="str">
        <f>B16_Assessment!$G$78</f>
        <v>Verify</v>
      </c>
      <c r="J869" s="106">
        <f>B16_Assessment!$H$78</f>
        <v>0.5</v>
      </c>
      <c r="K869" s="106" t="str">
        <f>B16_Assessment!$I$78</f>
        <v>Partial / Yellow</v>
      </c>
      <c r="L869" s="106" t="str">
        <f>B16_Assessment!$J$78</f>
        <v>New basement TR with one rack plus future rack, 240V UPS, cooling, access control, cable tray and fire/life-safety coordination.</v>
      </c>
    </row>
    <row r="870" spans="1:12" ht="97.5" customHeight="1">
      <c r="A870" s="106" t="str">
        <f>B16_Assessment!$B$2</f>
        <v>16</v>
      </c>
      <c r="B870" s="106" t="str">
        <f>"B16_Assessment"</f>
        <v>B16_Assessment</v>
      </c>
      <c r="C870" s="106" t="str">
        <f>B16_Assessment!$A$79</f>
        <v>014</v>
      </c>
      <c r="D870" s="142">
        <f>B16_Assessment!$B$79</f>
        <v>0.5</v>
      </c>
      <c r="E870" s="142">
        <f>B16_Assessment!$C$79</f>
        <v>0.5</v>
      </c>
      <c r="F870" s="106">
        <f>B16_Assessment!$D$79</f>
        <v>0.5</v>
      </c>
      <c r="G870" s="106">
        <f>B16_Assessment!$E$79</f>
        <v>0.5</v>
      </c>
      <c r="H870" s="106">
        <f>B16_Assessment!$F$79</f>
        <v>0.5</v>
      </c>
      <c r="I870" s="106" t="str">
        <f>B16_Assessment!$G$79</f>
        <v>Verify</v>
      </c>
      <c r="J870" s="106">
        <f>B16_Assessment!$H$79</f>
        <v>0.5</v>
      </c>
      <c r="K870" s="106" t="str">
        <f>B16_Assessment!$I$79</f>
        <v>Partial / Yellow</v>
      </c>
      <c r="L870" s="106" t="str">
        <f>B16_Assessment!$J$79</f>
        <v>Existing basement telecom room and transition point; protect active services until cutover complete.</v>
      </c>
    </row>
    <row r="871" spans="1:12" ht="97.5" customHeight="1">
      <c r="A871" s="106" t="str">
        <f>B17_Assessment!$B$2</f>
        <v>17</v>
      </c>
      <c r="B871" s="106" t="str">
        <f>"B17_Assessment"</f>
        <v>B17_Assessment</v>
      </c>
      <c r="C871" s="106" t="str">
        <f>B17_Assessment!$A$85</f>
        <v>118</v>
      </c>
      <c r="D871" s="142">
        <f>B17_Assessment!$B$85</f>
        <v>0.5</v>
      </c>
      <c r="E871" s="142">
        <f>B17_Assessment!$C$85</f>
        <v>0.5</v>
      </c>
      <c r="F871" s="106">
        <f>B17_Assessment!$D$85</f>
        <v>0.5</v>
      </c>
      <c r="G871" s="106">
        <f>B17_Assessment!$E$85</f>
        <v>0.5</v>
      </c>
      <c r="H871" s="106">
        <f>B17_Assessment!$F$85</f>
        <v>0.5</v>
      </c>
      <c r="I871" s="106" t="str">
        <f>B17_Assessment!$G$85</f>
        <v>Verify</v>
      </c>
      <c r="J871" s="106">
        <f>B17_Assessment!$H$85</f>
        <v>0.5</v>
      </c>
      <c r="K871" s="106" t="str">
        <f>B17_Assessment!$I$85</f>
        <v>Partial / Yellow</v>
      </c>
      <c r="L871" s="106" t="str">
        <f>B17_Assessment!$J$85</f>
        <v>New first-level TR with one rack plus future rack, 208V UPS, cooling, access control, 517 ft cable tray and B29 service coordination.</v>
      </c>
    </row>
    <row r="872" spans="1:12" ht="97.5" customHeight="1">
      <c r="A872" s="106" t="str">
        <f>B17_Assessment!$B$2</f>
        <v>17</v>
      </c>
      <c r="B872" s="106" t="str">
        <f>"B17_Assessment"</f>
        <v>B17_Assessment</v>
      </c>
      <c r="C872" s="106" t="str">
        <f>B17_Assessment!$A$86</f>
        <v>B35A</v>
      </c>
      <c r="D872" s="142">
        <f>B17_Assessment!$B$86</f>
        <v>0.5</v>
      </c>
      <c r="E872" s="142">
        <f>B17_Assessment!$C$86</f>
        <v>0.5</v>
      </c>
      <c r="F872" s="106">
        <f>B17_Assessment!$D$86</f>
        <v>0.5</v>
      </c>
      <c r="G872" s="106">
        <f>B17_Assessment!$E$86</f>
        <v>0.5</v>
      </c>
      <c r="H872" s="106">
        <f>B17_Assessment!$F$86</f>
        <v>0.5</v>
      </c>
      <c r="I872" s="106" t="str">
        <f>B17_Assessment!$G$86</f>
        <v>Verify</v>
      </c>
      <c r="J872" s="106">
        <f>B17_Assessment!$H$86</f>
        <v>0.5</v>
      </c>
      <c r="K872" s="106" t="str">
        <f>B17_Assessment!$I$86</f>
        <v>Partial / Yellow</v>
      </c>
      <c r="L872" s="106" t="str">
        <f>B17_Assessment!$J$86</f>
        <v>Existing basement telecom closet and transition point; protect active services until cutover complete.</v>
      </c>
    </row>
    <row r="873" spans="1:12" ht="97.5" customHeight="1">
      <c r="A873" s="106" t="str">
        <f>B17_Assessment!$B$2</f>
        <v>17</v>
      </c>
      <c r="B873" s="106" t="str">
        <f>"B17_Assessment"</f>
        <v>B17_Assessment</v>
      </c>
      <c r="C873" s="106" t="str">
        <f>B17_Assessment!$A$87</f>
        <v>B29 Path</v>
      </c>
      <c r="D873" s="142">
        <f>B17_Assessment!$B$87</f>
        <v>0.5</v>
      </c>
      <c r="E873" s="142">
        <f>B17_Assessment!$C$87</f>
        <v>0.5</v>
      </c>
      <c r="F873" s="106" t="str">
        <f>B17_Assessment!$D$87</f>
        <v>N/A</v>
      </c>
      <c r="G873" s="106">
        <f>B17_Assessment!$E$87</f>
        <v>0.5</v>
      </c>
      <c r="H873" s="106">
        <f>B17_Assessment!$F$87</f>
        <v>0.5</v>
      </c>
      <c r="I873" s="106" t="str">
        <f>B17_Assessment!$G$87</f>
        <v>Verify</v>
      </c>
      <c r="J873" s="106">
        <f>B17_Assessment!$H$87</f>
        <v>0.5</v>
      </c>
      <c r="K873" s="106" t="str">
        <f>B17_Assessment!$I$87</f>
        <v>Partial / Yellow</v>
      </c>
      <c r="L873" s="106" t="str">
        <f>B17_Assessment!$J$87</f>
        <v>Building 29 served from B17; verify pathway, fiber, labeling, test records and PMIS mapping.</v>
      </c>
    </row>
    <row r="874" spans="1:12" ht="97.5" customHeight="1">
      <c r="A874" s="106" t="str">
        <f>B18_Assessment!$B$2</f>
        <v>18</v>
      </c>
      <c r="B874" s="106" t="str">
        <f>"B18_Assessment"</f>
        <v>B18_Assessment</v>
      </c>
      <c r="C874" s="106" t="str">
        <f>B18_Assessment!$A$85</f>
        <v>110</v>
      </c>
      <c r="D874" s="142">
        <f>B18_Assessment!$B$85</f>
        <v>0.5</v>
      </c>
      <c r="E874" s="142">
        <f>B18_Assessment!$C$85</f>
        <v>0.5</v>
      </c>
      <c r="F874" s="106">
        <f>B18_Assessment!$D$85</f>
        <v>0.5</v>
      </c>
      <c r="G874" s="106">
        <f>B18_Assessment!$E$85</f>
        <v>0.5</v>
      </c>
      <c r="H874" s="106">
        <f>B18_Assessment!$F$85</f>
        <v>0.5</v>
      </c>
      <c r="I874" s="106" t="str">
        <f>B18_Assessment!$G$85</f>
        <v>Verify</v>
      </c>
      <c r="J874" s="106">
        <f>B18_Assessment!$H$85</f>
        <v>0.5</v>
      </c>
      <c r="K874" s="106" t="str">
        <f>B18_Assessment!$I$85</f>
        <v>Partial / Yellow</v>
      </c>
      <c r="L874" s="106" t="str">
        <f>B18_Assessment!$J$85</f>
        <v>New first-level TR with one rack plus future rack, 208V UPS, cooling, access control, 315 ft cable tray and fire/life-safety coordination.</v>
      </c>
    </row>
    <row r="875" spans="1:12" ht="97.5" customHeight="1">
      <c r="A875" s="106" t="str">
        <f>B18_Assessment!$B$2</f>
        <v>18</v>
      </c>
      <c r="B875" s="106" t="str">
        <f>"B18_Assessment"</f>
        <v>B18_Assessment</v>
      </c>
      <c r="C875" s="106" t="str">
        <f>B18_Assessment!$A$86</f>
        <v>111B</v>
      </c>
      <c r="D875" s="142">
        <f>B18_Assessment!$B$86</f>
        <v>0.5</v>
      </c>
      <c r="E875" s="142">
        <f>B18_Assessment!$C$86</f>
        <v>0.5</v>
      </c>
      <c r="F875" s="106">
        <f>B18_Assessment!$D$86</f>
        <v>0.5</v>
      </c>
      <c r="G875" s="106">
        <f>B18_Assessment!$E$86</f>
        <v>0.5</v>
      </c>
      <c r="H875" s="106">
        <f>B18_Assessment!$F$86</f>
        <v>0.5</v>
      </c>
      <c r="I875" s="106" t="str">
        <f>B18_Assessment!$G$86</f>
        <v>Verify</v>
      </c>
      <c r="J875" s="106">
        <f>B18_Assessment!$H$86</f>
        <v>0.5</v>
      </c>
      <c r="K875" s="106" t="str">
        <f>B18_Assessment!$I$86</f>
        <v>Partial / Yellow</v>
      </c>
      <c r="L875" s="106" t="str">
        <f>B18_Assessment!$J$86</f>
        <v>Existing first-level TE and transition point; protect active services until cutover complete.</v>
      </c>
    </row>
    <row r="876" spans="1:12" ht="97.5" customHeight="1">
      <c r="A876" s="106" t="str">
        <f>B18_Assessment!$B$2</f>
        <v>18</v>
      </c>
      <c r="B876" s="106" t="str">
        <f>"B18_Assessment"</f>
        <v>B18_Assessment</v>
      </c>
      <c r="C876" s="106" t="str">
        <f>B18_Assessment!$A$87</f>
        <v>213</v>
      </c>
      <c r="D876" s="142">
        <f>B18_Assessment!$B$87</f>
        <v>0.5</v>
      </c>
      <c r="E876" s="142">
        <f>B18_Assessment!$C$87</f>
        <v>0.5</v>
      </c>
      <c r="F876" s="106">
        <f>B18_Assessment!$D$87</f>
        <v>0.5</v>
      </c>
      <c r="G876" s="106">
        <f>B18_Assessment!$E$87</f>
        <v>0.5</v>
      </c>
      <c r="H876" s="106">
        <f>B18_Assessment!$F$87</f>
        <v>0.5</v>
      </c>
      <c r="I876" s="106" t="str">
        <f>B18_Assessment!$G$87</f>
        <v>Verify</v>
      </c>
      <c r="J876" s="106">
        <f>B18_Assessment!$H$87</f>
        <v>0.5</v>
      </c>
      <c r="K876" s="106" t="str">
        <f>B18_Assessment!$I$87</f>
        <v>Partial / Yellow</v>
      </c>
      <c r="L876" s="106" t="str">
        <f>B18_Assessment!$J$87</f>
        <v>Existing second-level telecom closet and transition point; protect active services until cutover complete.</v>
      </c>
    </row>
    <row r="877" spans="1:12" ht="97.5" customHeight="1">
      <c r="A877" s="106" t="str">
        <f>B20_Assessment!$B$2</f>
        <v>20</v>
      </c>
      <c r="B877" s="106" t="str">
        <f>"B20_Assessment"</f>
        <v>B20_Assessment</v>
      </c>
      <c r="C877" s="106" t="str">
        <f>B20_Assessment!$A$78</f>
        <v>1B</v>
      </c>
      <c r="D877" s="142">
        <f>B20_Assessment!$B$78</f>
        <v>0.5</v>
      </c>
      <c r="E877" s="142">
        <f>B20_Assessment!$C$78</f>
        <v>0.5</v>
      </c>
      <c r="F877" s="106" t="str">
        <f>B20_Assessment!$D$78</f>
        <v>N/A / Verify</v>
      </c>
      <c r="G877" s="106">
        <f>B20_Assessment!$E$78</f>
        <v>0.5</v>
      </c>
      <c r="H877" s="106">
        <f>B20_Assessment!$F$78</f>
        <v>0.5</v>
      </c>
      <c r="I877" s="106" t="str">
        <f>B20_Assessment!$G$78</f>
        <v>Verify</v>
      </c>
      <c r="J877" s="106">
        <f>B20_Assessment!$H$78</f>
        <v>0.5</v>
      </c>
      <c r="K877" s="106" t="str">
        <f>B20_Assessment!$I$78</f>
        <v>Partial / Yellow</v>
      </c>
      <c r="L877" s="106" t="str">
        <f>B20_Assessment!$J$78</f>
        <v>New first-level Office TE with 12RU wall enclosure, UPS/PDU, 459 ft cable tray, fiber/copper cutover and no dedicated mechanical/FP scope.</v>
      </c>
    </row>
    <row r="878" spans="1:12" ht="97.5" customHeight="1">
      <c r="A878" s="106" t="str">
        <f>B20_Assessment!$B$2</f>
        <v>20</v>
      </c>
      <c r="B878" s="106" t="str">
        <f>"B20_Assessment"</f>
        <v>B20_Assessment</v>
      </c>
      <c r="C878" s="106" t="str">
        <f>B20_Assessment!$A$79</f>
        <v>8A</v>
      </c>
      <c r="D878" s="142">
        <f>B20_Assessment!$B$79</f>
        <v>0.5</v>
      </c>
      <c r="E878" s="142">
        <f>B20_Assessment!$C$79</f>
        <v>0.5</v>
      </c>
      <c r="F878" s="106">
        <f>B20_Assessment!$D$79</f>
        <v>0.5</v>
      </c>
      <c r="G878" s="106">
        <f>B20_Assessment!$E$79</f>
        <v>0.5</v>
      </c>
      <c r="H878" s="106">
        <f>B20_Assessment!$F$79</f>
        <v>0.5</v>
      </c>
      <c r="I878" s="106" t="str">
        <f>B20_Assessment!$G$79</f>
        <v>Verify</v>
      </c>
      <c r="J878" s="106">
        <f>B20_Assessment!$H$79</f>
        <v>0.5</v>
      </c>
      <c r="K878" s="106" t="str">
        <f>B20_Assessment!$I$79</f>
        <v>Partial / Yellow</v>
      </c>
      <c r="L878" s="106" t="str">
        <f>B20_Assessment!$J$79</f>
        <v>Existing Tel/Data Closet and transition point; protect active services until cutover complete.</v>
      </c>
    </row>
    <row r="879" spans="1:12" ht="97.5" customHeight="1">
      <c r="A879" s="106" t="str">
        <f>B21_Assessment!$B$2</f>
        <v>21</v>
      </c>
      <c r="B879" s="106" t="str">
        <f>"B21_Assessment"</f>
        <v>B21_Assessment</v>
      </c>
      <c r="C879" s="106" t="str">
        <f>B21_Assessment!$A$85</f>
        <v>100A</v>
      </c>
      <c r="D879" s="142">
        <f>B21_Assessment!$B$85</f>
        <v>0.5</v>
      </c>
      <c r="E879" s="142">
        <f>B21_Assessment!$C$85</f>
        <v>0.5</v>
      </c>
      <c r="F879" s="106">
        <f>B21_Assessment!$D$85</f>
        <v>0.5</v>
      </c>
      <c r="G879" s="106">
        <f>B21_Assessment!$E$85</f>
        <v>0.5</v>
      </c>
      <c r="H879" s="106">
        <f>B21_Assessment!$F$85</f>
        <v>0.5</v>
      </c>
      <c r="I879" s="106" t="str">
        <f>B21_Assessment!$G$85</f>
        <v>Verify</v>
      </c>
      <c r="J879" s="106">
        <f>B21_Assessment!$H$85</f>
        <v>0.5</v>
      </c>
      <c r="K879" s="106" t="str">
        <f>B21_Assessment!$I$85</f>
        <v>Partial / Yellow</v>
      </c>
      <c r="L879" s="106" t="str">
        <f>B21_Assessment!$J$85</f>
        <v>New first-level TE with 12RU wall enclosure, UPS/PDU, 659 ft cable tray, fiber/copper cutover and B19/B21 room naming coordination.</v>
      </c>
    </row>
    <row r="880" spans="1:12" ht="97.5" customHeight="1">
      <c r="A880" s="106" t="str">
        <f>B21_Assessment!$B$2</f>
        <v>21</v>
      </c>
      <c r="B880" s="106" t="str">
        <f>"B21_Assessment"</f>
        <v>B21_Assessment</v>
      </c>
      <c r="C880" s="106" t="str">
        <f>B21_Assessment!$A$86</f>
        <v>B1.TR</v>
      </c>
      <c r="D880" s="142">
        <f>B21_Assessment!$B$86</f>
        <v>0.5</v>
      </c>
      <c r="E880" s="142">
        <f>B21_Assessment!$C$86</f>
        <v>0.5</v>
      </c>
      <c r="F880" s="106">
        <f>B21_Assessment!$D$86</f>
        <v>0.5</v>
      </c>
      <c r="G880" s="106">
        <f>B21_Assessment!$E$86</f>
        <v>0.5</v>
      </c>
      <c r="H880" s="106">
        <f>B21_Assessment!$F$86</f>
        <v>0.5</v>
      </c>
      <c r="I880" s="106" t="str">
        <f>B21_Assessment!$G$86</f>
        <v>Verify</v>
      </c>
      <c r="J880" s="106">
        <f>B21_Assessment!$H$86</f>
        <v>0.5</v>
      </c>
      <c r="K880" s="106" t="str">
        <f>B21_Assessment!$I$86</f>
        <v>Partial / Yellow</v>
      </c>
      <c r="L880" s="106" t="str">
        <f>B21_Assessment!$J$86</f>
        <v>Existing Building 21 basement telecom transition point; protect active services until cutover complete.</v>
      </c>
    </row>
    <row r="881" spans="1:12" ht="97.5" customHeight="1">
      <c r="A881" s="106" t="str">
        <f>B21_Assessment!$B$2</f>
        <v>21</v>
      </c>
      <c r="B881" s="106" t="str">
        <f>"B21_Assessment"</f>
        <v>B21_Assessment</v>
      </c>
      <c r="C881" s="106" t="str">
        <f>B21_Assessment!$A$87</f>
        <v>B05TR</v>
      </c>
      <c r="D881" s="142">
        <f>B21_Assessment!$B$87</f>
        <v>0.5</v>
      </c>
      <c r="E881" s="142">
        <f>B21_Assessment!$C$87</f>
        <v>0.5</v>
      </c>
      <c r="F881" s="106">
        <f>B21_Assessment!$D$87</f>
        <v>0.5</v>
      </c>
      <c r="G881" s="106">
        <f>B21_Assessment!$E$87</f>
        <v>0.5</v>
      </c>
      <c r="H881" s="106">
        <f>B21_Assessment!$F$87</f>
        <v>0.5</v>
      </c>
      <c r="I881" s="106" t="str">
        <f>B21_Assessment!$G$87</f>
        <v>Verify</v>
      </c>
      <c r="J881" s="106">
        <f>B21_Assessment!$H$87</f>
        <v>0.5</v>
      </c>
      <c r="K881" s="106" t="str">
        <f>B21_Assessment!$I$87</f>
        <v>Partial / Yellow</v>
      </c>
      <c r="L881" s="106" t="str">
        <f>B21_Assessment!$J$87</f>
        <v>Existing Building 19 telecom transition point tied into Building 21 scope; confirm shared service boundary.</v>
      </c>
    </row>
    <row r="882" spans="1:12" ht="97.5" customHeight="1">
      <c r="A882" s="106" t="str">
        <f>B22_Assessment!$B$2</f>
        <v>22</v>
      </c>
      <c r="B882" s="106" t="str">
        <f>"B22_Assessment"</f>
        <v>B22_Assessment</v>
      </c>
      <c r="C882" s="106" t="str">
        <f>B22_Assessment!$A$78</f>
        <v>102</v>
      </c>
      <c r="D882" s="142">
        <f>B22_Assessment!$B$78</f>
        <v>0.5</v>
      </c>
      <c r="E882" s="142">
        <f>B22_Assessment!$C$78</f>
        <v>0.5</v>
      </c>
      <c r="F882" s="106" t="str">
        <f>B22_Assessment!$D$78</f>
        <v>N/A / Verify</v>
      </c>
      <c r="G882" s="106">
        <f>B22_Assessment!$E$78</f>
        <v>0.5</v>
      </c>
      <c r="H882" s="106">
        <f>B22_Assessment!$F$78</f>
        <v>0.5</v>
      </c>
      <c r="I882" s="106" t="str">
        <f>B22_Assessment!$G$78</f>
        <v>Verify</v>
      </c>
      <c r="J882" s="106">
        <f>B22_Assessment!$H$78</f>
        <v>0.5</v>
      </c>
      <c r="K882" s="106" t="str">
        <f>B22_Assessment!$I$78</f>
        <v>Partial / Yellow</v>
      </c>
      <c r="L882" s="106" t="str">
        <f>B22_Assessment!$J$78</f>
        <v>New first-level Break Room TE with 12RU wall enclosure, UPS/PDU, 139 ft cable tray, fiber/copper cutover and no dedicated mechanical/FP scope.</v>
      </c>
    </row>
    <row r="883" spans="1:12" ht="97.5" customHeight="1">
      <c r="A883" s="106" t="str">
        <f>B22_Assessment!$B$2</f>
        <v>22</v>
      </c>
      <c r="B883" s="106" t="str">
        <f>"B22_Assessment"</f>
        <v>B22_Assessment</v>
      </c>
      <c r="C883" s="106" t="str">
        <f>B22_Assessment!$A$79</f>
        <v>103</v>
      </c>
      <c r="D883" s="142">
        <f>B22_Assessment!$B$79</f>
        <v>0.5</v>
      </c>
      <c r="E883" s="142">
        <f>B22_Assessment!$C$79</f>
        <v>0.5</v>
      </c>
      <c r="F883" s="106">
        <f>B22_Assessment!$D$79</f>
        <v>0.5</v>
      </c>
      <c r="G883" s="106">
        <f>B22_Assessment!$E$79</f>
        <v>0.5</v>
      </c>
      <c r="H883" s="106">
        <f>B22_Assessment!$F$79</f>
        <v>0.5</v>
      </c>
      <c r="I883" s="106" t="str">
        <f>B22_Assessment!$G$79</f>
        <v>Verify</v>
      </c>
      <c r="J883" s="106">
        <f>B22_Assessment!$H$79</f>
        <v>0.5</v>
      </c>
      <c r="K883" s="106" t="str">
        <f>B22_Assessment!$I$79</f>
        <v>Partial / Yellow</v>
      </c>
      <c r="L883" s="106" t="str">
        <f>B22_Assessment!$J$79</f>
        <v>Existing wall/wall-mount TE and transition point; protect active services until cutover complete.</v>
      </c>
    </row>
    <row r="884" spans="1:12" ht="97.5" customHeight="1">
      <c r="A884" s="106" t="str">
        <f>B33_Assessment!$B$2</f>
        <v>33</v>
      </c>
      <c r="B884" s="106" t="str">
        <f>"B33_Assessment"</f>
        <v>B33_Assessment</v>
      </c>
      <c r="C884" s="106" t="str">
        <f>B33_Assessment!$A$78</f>
        <v>B23</v>
      </c>
      <c r="D884" s="142">
        <f>B33_Assessment!$B$78</f>
        <v>0.5</v>
      </c>
      <c r="E884" s="142">
        <f>B33_Assessment!$C$78</f>
        <v>0.5</v>
      </c>
      <c r="F884" s="106" t="str">
        <f>B33_Assessment!$D$78</f>
        <v>N/A / Verify</v>
      </c>
      <c r="G884" s="106">
        <f>B33_Assessment!$E$78</f>
        <v>0.5</v>
      </c>
      <c r="H884" s="106">
        <f>B33_Assessment!$F$78</f>
        <v>0.5</v>
      </c>
      <c r="I884" s="106" t="str">
        <f>B33_Assessment!$G$78</f>
        <v>Verify</v>
      </c>
      <c r="J884" s="106">
        <f>B33_Assessment!$H$78</f>
        <v>0.5</v>
      </c>
      <c r="K884" s="106" t="str">
        <f>B33_Assessment!$I$78</f>
        <v>Partial / Yellow</v>
      </c>
      <c r="L884" s="106" t="str">
        <f>B33_Assessment!$J$78</f>
        <v>New basement office TE with 12RU wall enclosure, UPS/PDU, 102 ft cable tray, fiber/copper cutover and no dedicated mechanical/FP scope.</v>
      </c>
    </row>
    <row r="885" spans="1:12" ht="97.5" customHeight="1">
      <c r="A885" s="106" t="str">
        <f>B33_Assessment!$B$2</f>
        <v>33</v>
      </c>
      <c r="B885" s="106" t="str">
        <f>"B33_Assessment"</f>
        <v>B33_Assessment</v>
      </c>
      <c r="C885" s="106" t="str">
        <f>B33_Assessment!$A$79</f>
        <v>B17</v>
      </c>
      <c r="D885" s="142">
        <f>B33_Assessment!$B$79</f>
        <v>0.5</v>
      </c>
      <c r="E885" s="142">
        <f>B33_Assessment!$C$79</f>
        <v>0.5</v>
      </c>
      <c r="F885" s="106">
        <f>B33_Assessment!$D$79</f>
        <v>0.5</v>
      </c>
      <c r="G885" s="106">
        <f>B33_Assessment!$E$79</f>
        <v>0.5</v>
      </c>
      <c r="H885" s="106">
        <f>B33_Assessment!$F$79</f>
        <v>0.5</v>
      </c>
      <c r="I885" s="106" t="str">
        <f>B33_Assessment!$G$79</f>
        <v>Verify</v>
      </c>
      <c r="J885" s="106">
        <f>B33_Assessment!$H$79</f>
        <v>0.5</v>
      </c>
      <c r="K885" s="106" t="str">
        <f>B33_Assessment!$I$79</f>
        <v>Partial / Yellow</v>
      </c>
      <c r="L885" s="106" t="str">
        <f>B33_Assessment!$J$79</f>
        <v>Existing Tel Closet and transition point; protect active services until cutover complete.</v>
      </c>
    </row>
    <row r="886" spans="1:12" ht="97.5" customHeight="1">
      <c r="A886" s="106" t="str">
        <f>B61_Assessment!$B$2</f>
        <v>61</v>
      </c>
      <c r="B886" s="106" t="str">
        <f>"B61_Assessment"</f>
        <v>B61_Assessment</v>
      </c>
      <c r="C886" s="106" t="str">
        <f>B61_Assessment!$A$92</f>
        <v>B13H-A</v>
      </c>
      <c r="D886" s="142">
        <f>B61_Assessment!$B$92</f>
        <v>0.5</v>
      </c>
      <c r="E886" s="142">
        <f>B61_Assessment!$C$92</f>
        <v>0.5</v>
      </c>
      <c r="F886" s="106">
        <f>B61_Assessment!$D$92</f>
        <v>0.5</v>
      </c>
      <c r="G886" s="106">
        <f>B61_Assessment!$E$92</f>
        <v>0.5</v>
      </c>
      <c r="H886" s="106">
        <f>B61_Assessment!$F$92</f>
        <v>0.5</v>
      </c>
      <c r="I886" s="106" t="str">
        <f>B61_Assessment!$G$92</f>
        <v>Verify</v>
      </c>
      <c r="J886" s="106">
        <f>B61_Assessment!$H$92</f>
        <v>0.5</v>
      </c>
      <c r="K886" s="106" t="str">
        <f>B61_Assessment!$I$92</f>
        <v>Partial / Yellow</v>
      </c>
      <c r="L886" s="106" t="str">
        <f>B61_Assessment!$J$92</f>
        <v>Basement TR with 142 total ports including allowance, dedicated cooling, UPS/PDU, cable tray and fire/life-safety scope.</v>
      </c>
    </row>
    <row r="887" spans="1:12" ht="97.5" customHeight="1">
      <c r="A887" s="106" t="str">
        <f>B61_Assessment!$B$2</f>
        <v>61</v>
      </c>
      <c r="B887" s="106" t="str">
        <f>"B61_Assessment"</f>
        <v>B61_Assessment</v>
      </c>
      <c r="C887" s="106" t="str">
        <f>B61_Assessment!$A$93</f>
        <v>124</v>
      </c>
      <c r="D887" s="142">
        <f>B61_Assessment!$B$93</f>
        <v>0.5</v>
      </c>
      <c r="E887" s="142">
        <f>B61_Assessment!$C$93</f>
        <v>0.5</v>
      </c>
      <c r="F887" s="106">
        <f>B61_Assessment!$D$93</f>
        <v>0.5</v>
      </c>
      <c r="G887" s="106">
        <f>B61_Assessment!$E$93</f>
        <v>0.5</v>
      </c>
      <c r="H887" s="106">
        <f>B61_Assessment!$F$93</f>
        <v>0.5</v>
      </c>
      <c r="I887" s="106" t="str">
        <f>B61_Assessment!$G$93</f>
        <v>Verify</v>
      </c>
      <c r="J887" s="106">
        <f>B61_Assessment!$H$93</f>
        <v>0.5</v>
      </c>
      <c r="K887" s="106" t="str">
        <f>B61_Assessment!$I$93</f>
        <v>Partial / Yellow</v>
      </c>
      <c r="L887" s="106" t="str">
        <f>B61_Assessment!$J$93</f>
        <v>First-level TR with dedicated cooling, UPS/PDU, cable tray and potential electrical room-name mapping issue.</v>
      </c>
    </row>
    <row r="888" spans="1:12" ht="97.5" customHeight="1">
      <c r="A888" s="106" t="str">
        <f>B61_Assessment!$B$2</f>
        <v>61</v>
      </c>
      <c r="B888" s="106" t="str">
        <f>"B61_Assessment"</f>
        <v>B61_Assessment</v>
      </c>
      <c r="C888" s="106" t="str">
        <f>B61_Assessment!$A$94</f>
        <v>226</v>
      </c>
      <c r="D888" s="142">
        <f>B61_Assessment!$B$94</f>
        <v>0.5</v>
      </c>
      <c r="E888" s="142">
        <f>B61_Assessment!$C$94</f>
        <v>0.5</v>
      </c>
      <c r="F888" s="106">
        <f>B61_Assessment!$D$94</f>
        <v>0.5</v>
      </c>
      <c r="G888" s="106">
        <f>B61_Assessment!$E$94</f>
        <v>0.5</v>
      </c>
      <c r="H888" s="106">
        <f>B61_Assessment!$F$94</f>
        <v>0.5</v>
      </c>
      <c r="I888" s="106" t="str">
        <f>B61_Assessment!$G$94</f>
        <v>Verify</v>
      </c>
      <c r="J888" s="106">
        <f>B61_Assessment!$H$94</f>
        <v>0.5</v>
      </c>
      <c r="K888" s="106" t="str">
        <f>B61_Assessment!$I$94</f>
        <v>Partial / Yellow</v>
      </c>
      <c r="L888" s="106" t="str">
        <f>B61_Assessment!$J$94</f>
        <v>Second-level TR with 172 total ports including allowance, dedicated cooling, UPS/PDU and riser/firestop coordination.</v>
      </c>
    </row>
    <row r="889" spans="1:12" ht="97.5" customHeight="1">
      <c r="A889" s="106" t="str">
        <f>B61_Assessment!$B$2</f>
        <v>61</v>
      </c>
      <c r="B889" s="106" t="str">
        <f>"B61_Assessment"</f>
        <v>B61_Assessment</v>
      </c>
      <c r="C889" s="106" t="str">
        <f>B61_Assessment!$A$95</f>
        <v>137 / 137A</v>
      </c>
      <c r="D889" s="142">
        <f>B61_Assessment!$B$95</f>
        <v>0.5</v>
      </c>
      <c r="E889" s="142">
        <f>B61_Assessment!$C$95</f>
        <v>0.5</v>
      </c>
      <c r="F889" s="106">
        <f>B61_Assessment!$D$95</f>
        <v>0.5</v>
      </c>
      <c r="G889" s="106">
        <f>B61_Assessment!$E$95</f>
        <v>0.5</v>
      </c>
      <c r="H889" s="106">
        <f>B61_Assessment!$F$95</f>
        <v>0.5</v>
      </c>
      <c r="I889" s="106" t="str">
        <f>B61_Assessment!$G$95</f>
        <v>Verify</v>
      </c>
      <c r="J889" s="106">
        <f>B61_Assessment!$H$95</f>
        <v>0.5</v>
      </c>
      <c r="K889" s="106" t="str">
        <f>B61_Assessment!$I$95</f>
        <v>Partial / Yellow</v>
      </c>
      <c r="L889" s="106" t="str">
        <f>B61_Assessment!$J$95</f>
        <v>Existing demarc/server room inventory; protect active services until cutover and acceptance complete.</v>
      </c>
    </row>
    <row r="890" spans="1:12" ht="97.5" customHeight="1">
      <c r="A890" s="106">
        <f>B62_TR_Assessment!$B$2</f>
        <v>62</v>
      </c>
      <c r="B890" s="106" t="str">
        <f t="shared" ref="B890:B921" si="88">"B62_TR_Assessment"</f>
        <v>B62_TR_Assessment</v>
      </c>
      <c r="C890" s="106" t="str">
        <f>B62_TR_Assessment!$A$76</f>
        <v>B24A</v>
      </c>
      <c r="D890" s="142">
        <f>B62_TR_Assessment!$B$76</f>
        <v>0.5</v>
      </c>
      <c r="E890" s="142">
        <f>B62_TR_Assessment!$C$76</f>
        <v>0.5</v>
      </c>
      <c r="F890" s="142">
        <f>B62_TR_Assessment!$D$76</f>
        <v>0.5</v>
      </c>
      <c r="G890" s="142">
        <f>B62_TR_Assessment!$E$76</f>
        <v>0.5</v>
      </c>
      <c r="H890" s="142">
        <f>B62_TR_Assessment!$F$76</f>
        <v>0.5</v>
      </c>
      <c r="I890" s="106" t="str">
        <f>B62_TR_Assessment!$G$76</f>
        <v>Verify</v>
      </c>
      <c r="J890" s="142">
        <f>B62_TR_Assessment!$H$76</f>
        <v>0.5</v>
      </c>
      <c r="K890" s="106" t="str">
        <f>B62_TR_Assessment!$I$76</f>
        <v>Partial / Yellow</v>
      </c>
      <c r="L890" s="106">
        <f>B62_TR_Assessment!$J$76</f>
        <v>0</v>
      </c>
    </row>
    <row r="891" spans="1:12" ht="97.5" customHeight="1">
      <c r="A891" s="106">
        <f>B62_TR_Assessment!$B$2</f>
        <v>62</v>
      </c>
      <c r="B891" s="106" t="str">
        <f t="shared" si="88"/>
        <v>B62_TR_Assessment</v>
      </c>
      <c r="C891" s="106" t="str">
        <f>B62_TR_Assessment!$A$77</f>
        <v>125</v>
      </c>
      <c r="D891" s="142">
        <f>B62_TR_Assessment!$B$77</f>
        <v>0.5</v>
      </c>
      <c r="E891" s="142">
        <f>B62_TR_Assessment!$C$77</f>
        <v>0.5</v>
      </c>
      <c r="F891" s="142">
        <f>B62_TR_Assessment!$D$77</f>
        <v>0.5</v>
      </c>
      <c r="G891" s="142">
        <f>B62_TR_Assessment!$E$77</f>
        <v>0.5</v>
      </c>
      <c r="H891" s="142">
        <f>B62_TR_Assessment!$F$77</f>
        <v>0.5</v>
      </c>
      <c r="I891" s="106" t="str">
        <f>B62_TR_Assessment!$G$77</f>
        <v>Verify</v>
      </c>
      <c r="J891" s="142">
        <f>B62_TR_Assessment!$H$77</f>
        <v>0.5</v>
      </c>
      <c r="K891" s="106" t="str">
        <f>B62_TR_Assessment!$I$77</f>
        <v>Partial / Yellow</v>
      </c>
      <c r="L891" s="106">
        <f>B62_TR_Assessment!$J$77</f>
        <v>0</v>
      </c>
    </row>
    <row r="892" spans="1:12" ht="97.5" customHeight="1">
      <c r="A892" s="106">
        <f>B62_TR_Assessment!$B$2</f>
        <v>62</v>
      </c>
      <c r="B892" s="106" t="str">
        <f t="shared" si="88"/>
        <v>B62_TR_Assessment</v>
      </c>
      <c r="C892" s="106" t="str">
        <f>B62_TR_Assessment!$A$78</f>
        <v>225</v>
      </c>
      <c r="D892" s="142">
        <f>B62_TR_Assessment!$B$78</f>
        <v>0.5</v>
      </c>
      <c r="E892" s="142">
        <f>B62_TR_Assessment!$C$78</f>
        <v>0.5</v>
      </c>
      <c r="F892" s="142">
        <f>B62_TR_Assessment!$D$78</f>
        <v>0.5</v>
      </c>
      <c r="G892" s="142">
        <f>B62_TR_Assessment!$E$78</f>
        <v>0.5</v>
      </c>
      <c r="H892" s="142">
        <f>B62_TR_Assessment!$F$78</f>
        <v>0.5</v>
      </c>
      <c r="I892" s="106" t="str">
        <f>B62_TR_Assessment!$G$78</f>
        <v>Verify</v>
      </c>
      <c r="J892" s="142">
        <f>B62_TR_Assessment!$H$78</f>
        <v>0.5</v>
      </c>
      <c r="K892" s="106" t="str">
        <f>B62_TR_Assessment!$I$78</f>
        <v>Partial / Yellow</v>
      </c>
      <c r="L892" s="106">
        <f>B62_TR_Assessment!$J$78</f>
        <v>0</v>
      </c>
    </row>
    <row r="893" spans="1:12" ht="97.5" customHeight="1">
      <c r="A893" s="106">
        <f>B70_TR_Assessment!$B$2</f>
        <v>70</v>
      </c>
      <c r="B893" s="106" t="str">
        <f t="shared" si="88"/>
        <v>B62_TR_Assessment</v>
      </c>
      <c r="C893" s="106" t="str">
        <f>B70_TR_Assessment!$A$79</f>
        <v>B27</v>
      </c>
      <c r="D893" s="142">
        <f>B70_TR_Assessment!$B$79</f>
        <v>0.5</v>
      </c>
      <c r="E893" s="142">
        <f>B70_TR_Assessment!$C$79</f>
        <v>0.5</v>
      </c>
      <c r="F893" s="142">
        <f>B70_TR_Assessment!$D$79</f>
        <v>0.5</v>
      </c>
      <c r="G893" s="142">
        <f>B70_TR_Assessment!$E$79</f>
        <v>0.5</v>
      </c>
      <c r="H893" s="142">
        <f>B70_TR_Assessment!$F$79</f>
        <v>0.5</v>
      </c>
      <c r="I893" s="106" t="str">
        <f>B70_TR_Assessment!$G$79</f>
        <v>Verify</v>
      </c>
      <c r="J893" s="142">
        <f>B70_TR_Assessment!$H$79</f>
        <v>0.5</v>
      </c>
      <c r="K893" s="106" t="str">
        <f>B70_TR_Assessment!$I$79</f>
        <v>Partial / Yellow</v>
      </c>
      <c r="L893" s="106">
        <f>B70_TR_Assessment!$J$79</f>
        <v>0</v>
      </c>
    </row>
    <row r="894" spans="1:12" ht="97.5" customHeight="1">
      <c r="A894" s="106">
        <f>B70_TR_Assessment!$B$2</f>
        <v>70</v>
      </c>
      <c r="B894" s="106" t="str">
        <f t="shared" si="88"/>
        <v>B62_TR_Assessment</v>
      </c>
      <c r="C894" s="106" t="str">
        <f>B70_TR_Assessment!$A$80</f>
        <v>125A</v>
      </c>
      <c r="D894" s="142">
        <f>B70_TR_Assessment!$B$80</f>
        <v>0.5</v>
      </c>
      <c r="E894" s="142">
        <f>B70_TR_Assessment!$C$80</f>
        <v>0.5</v>
      </c>
      <c r="F894" s="142">
        <f>B70_TR_Assessment!$D$80</f>
        <v>0.5</v>
      </c>
      <c r="G894" s="142">
        <f>B70_TR_Assessment!$E$80</f>
        <v>0.5</v>
      </c>
      <c r="H894" s="142">
        <f>B70_TR_Assessment!$F$80</f>
        <v>0.5</v>
      </c>
      <c r="I894" s="106" t="str">
        <f>B70_TR_Assessment!$G$80</f>
        <v>Verify</v>
      </c>
      <c r="J894" s="142">
        <f>B70_TR_Assessment!$H$80</f>
        <v>0.5</v>
      </c>
      <c r="K894" s="106" t="str">
        <f>B70_TR_Assessment!$I$80</f>
        <v>Partial / Yellow</v>
      </c>
      <c r="L894" s="106">
        <f>B70_TR_Assessment!$J$80</f>
        <v>0</v>
      </c>
    </row>
    <row r="895" spans="1:12" ht="97.5" customHeight="1">
      <c r="A895" s="106">
        <f>B70_TR_Assessment!$B$2</f>
        <v>70</v>
      </c>
      <c r="B895" s="106" t="str">
        <f t="shared" si="88"/>
        <v>B62_TR_Assessment</v>
      </c>
      <c r="C895" s="106" t="str">
        <f>B70_TR_Assessment!$A$81</f>
        <v>262A</v>
      </c>
      <c r="D895" s="142">
        <f>B70_TR_Assessment!$B$81</f>
        <v>0.5</v>
      </c>
      <c r="E895" s="142">
        <f>B70_TR_Assessment!$C$81</f>
        <v>0.5</v>
      </c>
      <c r="F895" s="142">
        <f>B70_TR_Assessment!$D$81</f>
        <v>0.5</v>
      </c>
      <c r="G895" s="142">
        <f>B70_TR_Assessment!$E$81</f>
        <v>0.5</v>
      </c>
      <c r="H895" s="142">
        <f>B70_TR_Assessment!$F$81</f>
        <v>0.5</v>
      </c>
      <c r="I895" s="106" t="str">
        <f>B70_TR_Assessment!$G$81</f>
        <v>Verify</v>
      </c>
      <c r="J895" s="142">
        <f>B70_TR_Assessment!$H$81</f>
        <v>0.5</v>
      </c>
      <c r="K895" s="106" t="str">
        <f>B70_TR_Assessment!$I$81</f>
        <v>Partial / Yellow</v>
      </c>
      <c r="L895" s="106">
        <f>B70_TR_Assessment!$J$81</f>
        <v>0</v>
      </c>
    </row>
    <row r="896" spans="1:12" ht="97.5" customHeight="1">
      <c r="A896" s="106">
        <f>B70_TR_Assessment!$B$2</f>
        <v>70</v>
      </c>
      <c r="B896" s="106" t="str">
        <f t="shared" si="88"/>
        <v>B62_TR_Assessment</v>
      </c>
      <c r="C896" s="106" t="str">
        <f>B70_TR_Assessment!$A$226</f>
        <v>SOURCE / DRAWING REVIEW NOTES</v>
      </c>
      <c r="D896" s="142">
        <f>B70_TR_Assessment!$B$226</f>
        <v>0</v>
      </c>
      <c r="E896" s="142">
        <f>B70_TR_Assessment!$C$226</f>
        <v>0</v>
      </c>
      <c r="F896" s="106">
        <f>B70_TR_Assessment!$D$226</f>
        <v>0</v>
      </c>
      <c r="G896" s="106">
        <f>B70_TR_Assessment!$E$226</f>
        <v>0</v>
      </c>
      <c r="H896" s="106">
        <f>B70_TR_Assessment!$F$226</f>
        <v>0</v>
      </c>
      <c r="I896" s="106">
        <f>B70_TR_Assessment!$G$226</f>
        <v>0</v>
      </c>
      <c r="J896" s="106">
        <f>B70_TR_Assessment!$H$226</f>
        <v>0</v>
      </c>
      <c r="K896" s="106">
        <f>B70_TR_Assessment!$I$226</f>
        <v>0</v>
      </c>
      <c r="L896" s="106">
        <f>B70_TR_Assessment!$J$226</f>
        <v>0</v>
      </c>
    </row>
    <row r="897" spans="1:12" ht="97.5" customHeight="1">
      <c r="A897" s="106">
        <f>B70_TR_Assessment!$B$2</f>
        <v>70</v>
      </c>
      <c r="B897" s="106" t="str">
        <f t="shared" si="88"/>
        <v>B62_TR_Assessment</v>
      </c>
      <c r="C897" s="106" t="str">
        <f>B70_TR_Assessment!$A$227</f>
        <v>Source package</v>
      </c>
      <c r="D897" s="142" t="str">
        <f>B70_TR_Assessment!$B$227</f>
        <v>518-22-700.Bedford.EHRM.IFC.B70.20260316.pdf</v>
      </c>
      <c r="E897" s="142">
        <f>B70_TR_Assessment!$C$227</f>
        <v>0</v>
      </c>
      <c r="F897" s="106">
        <f>B70_TR_Assessment!$D$227</f>
        <v>0</v>
      </c>
      <c r="G897" s="106">
        <f>B70_TR_Assessment!$E$227</f>
        <v>0</v>
      </c>
      <c r="H897" s="106">
        <f>B70_TR_Assessment!$F$227</f>
        <v>0</v>
      </c>
      <c r="I897" s="106">
        <f>B70_TR_Assessment!$G$227</f>
        <v>0</v>
      </c>
      <c r="J897" s="106">
        <f>B70_TR_Assessment!$H$227</f>
        <v>0</v>
      </c>
      <c r="K897" s="106">
        <f>B70_TR_Assessment!$I$227</f>
        <v>0</v>
      </c>
      <c r="L897" s="106">
        <f>B70_TR_Assessment!$J$227</f>
        <v>0</v>
      </c>
    </row>
    <row r="898" spans="1:12" ht="97.5" customHeight="1">
      <c r="A898" s="106">
        <f>B70_TR_Assessment!$B$2</f>
        <v>70</v>
      </c>
      <c r="B898" s="106" t="str">
        <f t="shared" si="88"/>
        <v>B62_TR_Assessment</v>
      </c>
      <c r="C898" s="106" t="str">
        <f>B70_TR_Assessment!$A$228</f>
        <v>TR locations identified</v>
      </c>
      <c r="D898" s="142" t="str">
        <f>B70_TR_Assessment!$B$228</f>
        <v>B27 basement, 125A first floor, 262A second floor based on architectural, fire protection, mechanical, and telecom drawing references.</v>
      </c>
      <c r="E898" s="142">
        <f>B70_TR_Assessment!$C$228</f>
        <v>0</v>
      </c>
      <c r="F898" s="106">
        <f>B70_TR_Assessment!$D$228</f>
        <v>0</v>
      </c>
      <c r="G898" s="106">
        <f>B70_TR_Assessment!$E$228</f>
        <v>0</v>
      </c>
      <c r="H898" s="106">
        <f>B70_TR_Assessment!$F$228</f>
        <v>0</v>
      </c>
      <c r="I898" s="106">
        <f>B70_TR_Assessment!$G$228</f>
        <v>0</v>
      </c>
      <c r="J898" s="106">
        <f>B70_TR_Assessment!$H$228</f>
        <v>0</v>
      </c>
      <c r="K898" s="106">
        <f>B70_TR_Assessment!$I$228</f>
        <v>0</v>
      </c>
      <c r="L898" s="106">
        <f>B70_TR_Assessment!$J$228</f>
        <v>0</v>
      </c>
    </row>
    <row r="899" spans="1:12" ht="97.5" customHeight="1">
      <c r="A899" s="106">
        <f>B70_TR_Assessment!$B$2</f>
        <v>70</v>
      </c>
      <c r="B899" s="106" t="str">
        <f t="shared" si="88"/>
        <v>B62_TR_Assessment</v>
      </c>
      <c r="C899" s="106" t="str">
        <f>B70_TR_Assessment!$A$229</f>
        <v>Fire protection basis</v>
      </c>
      <c r="D899" s="142" t="str">
        <f>B70_TR_Assessment!$B$229</f>
        <v>Building 70 is fully sprinklered. TRs require sprinkler modifications, fire alarm devices, extinguisher coverage within 75 feet, and firestopping at penetrations.</v>
      </c>
      <c r="E899" s="142">
        <f>B70_TR_Assessment!$C$229</f>
        <v>0</v>
      </c>
      <c r="F899" s="106">
        <f>B70_TR_Assessment!$D$229</f>
        <v>0</v>
      </c>
      <c r="G899" s="106">
        <f>B70_TR_Assessment!$E$229</f>
        <v>0</v>
      </c>
      <c r="H899" s="106">
        <f>B70_TR_Assessment!$F$229</f>
        <v>0</v>
      </c>
      <c r="I899" s="106">
        <f>B70_TR_Assessment!$G$229</f>
        <v>0</v>
      </c>
      <c r="J899" s="106">
        <f>B70_TR_Assessment!$H$229</f>
        <v>0</v>
      </c>
      <c r="K899" s="106">
        <f>B70_TR_Assessment!$I$229</f>
        <v>0</v>
      </c>
      <c r="L899" s="106">
        <f>B70_TR_Assessment!$J$229</f>
        <v>0</v>
      </c>
    </row>
    <row r="900" spans="1:12" ht="97.5" customHeight="1">
      <c r="A900" s="106">
        <f>B70_TR_Assessment!$B$2</f>
        <v>70</v>
      </c>
      <c r="B900" s="106" t="str">
        <f t="shared" si="88"/>
        <v>B62_TR_Assessment</v>
      </c>
      <c r="C900" s="106" t="str">
        <f>B70_TR_Assessment!$A$230</f>
        <v>HVAC basis</v>
      </c>
      <c r="D900" s="142" t="str">
        <f>B70_TR_Assessment!$B$230</f>
        <v>New indoor units, condensate routing, thermostat, and BACnet adapter are noted for TR spaces; emergency power and operational continuity should be field verified.</v>
      </c>
      <c r="E900" s="142">
        <f>B70_TR_Assessment!$C$230</f>
        <v>0</v>
      </c>
      <c r="F900" s="106">
        <f>B70_TR_Assessment!$D$230</f>
        <v>0</v>
      </c>
      <c r="G900" s="106">
        <f>B70_TR_Assessment!$E$230</f>
        <v>0</v>
      </c>
      <c r="H900" s="106">
        <f>B70_TR_Assessment!$F$230</f>
        <v>0</v>
      </c>
      <c r="I900" s="106">
        <f>B70_TR_Assessment!$G$230</f>
        <v>0</v>
      </c>
      <c r="J900" s="106">
        <f>B70_TR_Assessment!$H$230</f>
        <v>0</v>
      </c>
      <c r="K900" s="106">
        <f>B70_TR_Assessment!$I$230</f>
        <v>0</v>
      </c>
      <c r="L900" s="106">
        <f>B70_TR_Assessment!$J$230</f>
        <v>0</v>
      </c>
    </row>
    <row r="901" spans="1:12" ht="97.5" customHeight="1">
      <c r="A901" s="106">
        <f>B70_TR_Assessment!$B$2</f>
        <v>70</v>
      </c>
      <c r="B901" s="106" t="str">
        <f t="shared" si="88"/>
        <v>B62_TR_Assessment</v>
      </c>
      <c r="C901" s="106" t="str">
        <f>B70_TR_Assessment!$A$231</f>
        <v>Telecom basis</v>
      </c>
      <c r="D901" s="142" t="str">
        <f>B70_TR_Assessment!$B$231</f>
        <v>TR rack elevations show 1 rack plus future rack at B-27, 125-A, and 262-A with UPS/PDU/cable management/grounding requirements.</v>
      </c>
      <c r="E901" s="142">
        <f>B70_TR_Assessment!$C$231</f>
        <v>0</v>
      </c>
      <c r="F901" s="106">
        <f>B70_TR_Assessment!$D$231</f>
        <v>0</v>
      </c>
      <c r="G901" s="106">
        <f>B70_TR_Assessment!$E$231</f>
        <v>0</v>
      </c>
      <c r="H901" s="106">
        <f>B70_TR_Assessment!$F$231</f>
        <v>0</v>
      </c>
      <c r="I901" s="106">
        <f>B70_TR_Assessment!$G$231</f>
        <v>0</v>
      </c>
      <c r="J901" s="106">
        <f>B70_TR_Assessment!$H$231</f>
        <v>0</v>
      </c>
      <c r="K901" s="106">
        <f>B70_TR_Assessment!$I$231</f>
        <v>0</v>
      </c>
      <c r="L901" s="106">
        <f>B70_TR_Assessment!$J$231</f>
        <v>0</v>
      </c>
    </row>
    <row r="902" spans="1:12" ht="97.5" customHeight="1">
      <c r="A902" s="106">
        <f>B70_TR_Assessment!$B$2</f>
        <v>70</v>
      </c>
      <c r="B902" s="106" t="str">
        <f t="shared" si="88"/>
        <v>B62_TR_Assessment</v>
      </c>
      <c r="C902" s="106" t="str">
        <f>B70_TR_Assessment!$A$235</f>
        <v xml:space="preserve">Based on the Building 70 IFC review, the telecom scope is very similar to Building 62, but Building 70 appears to have three TRs (B27, 125A, and 262A) instead of a single room. The project introduces new racks, UPS equipment, dedicated cooling, fire alarm modifications, sprinkler modifications, grounding, cable management, and access control while maintaining hospital operations. </v>
      </c>
      <c r="D902" s="142" t="str">
        <f>B70_TR_Assessment!$A$86</f>
        <v>Telecom Room Build</v>
      </c>
      <c r="E902" s="142" t="str">
        <f>B70_TR_Assessment!$B$86</f>
        <v>Not Started</v>
      </c>
      <c r="F902" s="106">
        <f>B70_TR_Assessment!$C$86</f>
        <v>0</v>
      </c>
      <c r="G902" s="106">
        <f>B70_TR_Assessment!$D$86</f>
        <v>0</v>
      </c>
      <c r="H902" s="106" t="str">
        <f>B70_TR_Assessment!$E$86</f>
        <v>🟡</v>
      </c>
      <c r="I902" s="106">
        <f>B70_TR_Assessment!$F$86</f>
        <v>0</v>
      </c>
      <c r="J902" s="106">
        <f>B70_TR_Assessment!$G$86</f>
        <v>0</v>
      </c>
      <c r="K902" s="106">
        <f>B70_TR_Assessment!$H$86</f>
        <v>0</v>
      </c>
      <c r="L902" s="106">
        <f>B70_TR_Assessment!$I$86</f>
        <v>0</v>
      </c>
    </row>
    <row r="903" spans="1:12" ht="97.5" customHeight="1">
      <c r="A903" s="106">
        <f>B70_TR_Assessment!$B$2</f>
        <v>70</v>
      </c>
      <c r="B903" s="106" t="str">
        <f t="shared" si="88"/>
        <v>B62_TR_Assessment</v>
      </c>
      <c r="C903" s="106" t="str">
        <f>B70_TR_Assessment!$A$237</f>
        <v>Building 70 – Telecom Room Infrastructure Scope</v>
      </c>
      <c r="D903" s="142" t="str">
        <f>B70_TR_Assessment!$A$88</f>
        <v>UPS Installation</v>
      </c>
      <c r="E903" s="142" t="str">
        <f>B70_TR_Assessment!$B$88</f>
        <v>Not Started</v>
      </c>
      <c r="F903" s="106">
        <f>B70_TR_Assessment!$C$88</f>
        <v>1</v>
      </c>
      <c r="G903" s="106">
        <f>B70_TR_Assessment!$D$88</f>
        <v>0</v>
      </c>
      <c r="H903" s="106" t="str">
        <f>B70_TR_Assessment!$E$88</f>
        <v>🟢</v>
      </c>
      <c r="I903" s="106">
        <f>B70_TR_Assessment!$F$88</f>
        <v>-1</v>
      </c>
      <c r="J903" s="106">
        <f>B70_TR_Assessment!$G$88</f>
        <v>0</v>
      </c>
      <c r="K903" s="106">
        <f>B70_TR_Assessment!$H$88</f>
        <v>0</v>
      </c>
      <c r="L903" s="106">
        <f>B70_TR_Assessment!$I$88</f>
        <v>0</v>
      </c>
    </row>
    <row r="904" spans="1:12" ht="97.5" customHeight="1">
      <c r="A904" s="106">
        <f>B70_TR_Assessment!$B$2</f>
        <v>70</v>
      </c>
      <c r="B904" s="106" t="str">
        <f t="shared" si="88"/>
        <v>B62_TR_Assessment</v>
      </c>
      <c r="C904" s="106" t="str">
        <f>B70_TR_Assessment!$A$239</f>
        <v>Existing Conditions Survey</v>
      </c>
      <c r="D904" s="142" t="str">
        <f>B70_TR_Assessment!$A$90</f>
        <v>Firestopping</v>
      </c>
      <c r="E904" s="142" t="str">
        <f>B70_TR_Assessment!$B$90</f>
        <v>Not Started</v>
      </c>
      <c r="F904" s="106">
        <f>B70_TR_Assessment!$C$90</f>
        <v>1</v>
      </c>
      <c r="G904" s="106">
        <f>B70_TR_Assessment!$D$90</f>
        <v>0</v>
      </c>
      <c r="H904" s="106" t="str">
        <f>B70_TR_Assessment!$E$90</f>
        <v>🟢</v>
      </c>
      <c r="I904" s="106">
        <f>B70_TR_Assessment!$F$90</f>
        <v>-1</v>
      </c>
      <c r="J904" s="106">
        <f>B70_TR_Assessment!$G$90</f>
        <v>0</v>
      </c>
      <c r="K904" s="106">
        <f>B70_TR_Assessment!$H$90</f>
        <v>0</v>
      </c>
      <c r="L904" s="106">
        <f>B70_TR_Assessment!$I$90</f>
        <v>0</v>
      </c>
    </row>
    <row r="905" spans="1:12" ht="97.5" customHeight="1">
      <c r="A905" s="106">
        <f>B70_TR_Assessment!$B$2</f>
        <v>70</v>
      </c>
      <c r="B905" s="106" t="str">
        <f t="shared" si="88"/>
        <v>B62_TR_Assessment</v>
      </c>
      <c r="C905" s="106" t="str">
        <f>B70_TR_Assessment!$A$241</f>
        <v>Verify existing conditions of TR-B27, TR-125A, and TR-262A.</v>
      </c>
      <c r="D905" s="142">
        <f>B70_TR_Assessment!$A$92</f>
        <v>0</v>
      </c>
      <c r="E905" s="142">
        <f>B70_TR_Assessment!$B$92</f>
        <v>0</v>
      </c>
      <c r="F905" s="106">
        <f>B70_TR_Assessment!$C$92</f>
        <v>0</v>
      </c>
      <c r="G905" s="106">
        <f>B70_TR_Assessment!$D$92</f>
        <v>0</v>
      </c>
      <c r="H905" s="106">
        <f>B70_TR_Assessment!$E$92</f>
        <v>0</v>
      </c>
      <c r="I905" s="106">
        <f>B70_TR_Assessment!$F$92</f>
        <v>0</v>
      </c>
      <c r="J905" s="106">
        <f>B70_TR_Assessment!$G$92</f>
        <v>0</v>
      </c>
      <c r="K905" s="106">
        <f>B70_TR_Assessment!$H$92</f>
        <v>0</v>
      </c>
      <c r="L905" s="106">
        <f>B70_TR_Assessment!$I$92</f>
        <v>0</v>
      </c>
    </row>
    <row r="906" spans="1:12" ht="97.5" customHeight="1">
      <c r="A906" s="106">
        <f>B70_TR_Assessment!$B$2</f>
        <v>70</v>
      </c>
      <c r="B906" s="106" t="str">
        <f t="shared" si="88"/>
        <v>B62_TR_Assessment</v>
      </c>
      <c r="C906" s="106" t="str">
        <f>B70_TR_Assessment!$A$242</f>
        <v>Document existing racks, power, HVAC, fire protection, grounding, and pathway systems.</v>
      </c>
      <c r="D906" s="142" t="str">
        <f>B70_TR_Assessment!$A$93</f>
        <v>13. OIT ACTIVATION READINESS</v>
      </c>
      <c r="E906" s="142">
        <f>B70_TR_Assessment!$B$93</f>
        <v>0</v>
      </c>
      <c r="F906" s="106">
        <f>B70_TR_Assessment!$C$93</f>
        <v>0</v>
      </c>
      <c r="G906" s="106">
        <f>B70_TR_Assessment!$D$93</f>
        <v>0</v>
      </c>
      <c r="H906" s="106">
        <f>B70_TR_Assessment!$E$93</f>
        <v>0</v>
      </c>
      <c r="I906" s="106">
        <f>B70_TR_Assessment!$F$93</f>
        <v>0</v>
      </c>
      <c r="J906" s="106">
        <f>B70_TR_Assessment!$G$93</f>
        <v>0</v>
      </c>
      <c r="K906" s="106">
        <f>B70_TR_Assessment!$H$93</f>
        <v>0</v>
      </c>
      <c r="L906" s="106">
        <f>B70_TR_Assessment!$I$93</f>
        <v>0</v>
      </c>
    </row>
    <row r="907" spans="1:12" ht="97.5" customHeight="1">
      <c r="A907" s="106">
        <f>B70_TR_Assessment!$B$2</f>
        <v>70</v>
      </c>
      <c r="B907" s="106" t="str">
        <f t="shared" si="88"/>
        <v>B62_TR_Assessment</v>
      </c>
      <c r="C907" s="106" t="str">
        <f>B70_TR_Assessment!$A$243</f>
        <v>Photograph all existing conditions.</v>
      </c>
      <c r="D907" s="142" t="str">
        <f>B70_TR_Assessment!$A$94</f>
        <v>Requirement</v>
      </c>
      <c r="E907" s="142" t="str">
        <f>B70_TR_Assessment!$B$94</f>
        <v>Status</v>
      </c>
      <c r="F907" s="106" t="str">
        <f>B70_TR_Assessment!$C$94</f>
        <v>Verified</v>
      </c>
      <c r="G907" s="106" t="str">
        <f>B70_TR_Assessment!$D$94</f>
        <v>Complete</v>
      </c>
      <c r="H907" s="106" t="str">
        <f>B70_TR_Assessment!$E$94</f>
        <v>Score</v>
      </c>
      <c r="I907" s="106" t="str">
        <f>B70_TR_Assessment!$F$94</f>
        <v>Risk / Comments</v>
      </c>
      <c r="J907" s="106" t="str">
        <f>B70_TR_Assessment!$G$94</f>
        <v>Evidence Ref.</v>
      </c>
      <c r="K907" s="106">
        <f>B70_TR_Assessment!$H$94</f>
        <v>0</v>
      </c>
      <c r="L907" s="106">
        <f>B70_TR_Assessment!$I$94</f>
        <v>0</v>
      </c>
    </row>
    <row r="908" spans="1:12" ht="97.5" customHeight="1">
      <c r="A908" s="106">
        <f>B70_TR_Assessment!$B$2</f>
        <v>70</v>
      </c>
      <c r="B908" s="106" t="str">
        <f t="shared" si="88"/>
        <v>B62_TR_Assessment</v>
      </c>
      <c r="C908" s="106" t="str">
        <f>B70_TR_Assessment!$A$244</f>
        <v>Verify existing active services and identify systems requiring uninterrupted operation.</v>
      </c>
      <c r="D908" s="142" t="str">
        <f>B70_TR_Assessment!$A$95</f>
        <v>Telecom Room Complete</v>
      </c>
      <c r="E908" s="142" t="str">
        <f>B70_TR_Assessment!$B$95</f>
        <v>Not Started</v>
      </c>
      <c r="F908" s="106" t="str">
        <f>B70_TR_Assessment!$C$95</f>
        <v>N/A</v>
      </c>
      <c r="G908" s="106" t="str">
        <f>B70_TR_Assessment!$D$95</f>
        <v>N/A</v>
      </c>
      <c r="H908" s="106">
        <f>B70_TR_Assessment!$E$95</f>
        <v>0</v>
      </c>
      <c r="I908" s="106">
        <f>B70_TR_Assessment!$F$95</f>
        <v>0</v>
      </c>
      <c r="J908" s="106">
        <f>B70_TR_Assessment!$G$95</f>
        <v>0</v>
      </c>
      <c r="K908" s="106">
        <f>B70_TR_Assessment!$H$95</f>
        <v>0</v>
      </c>
      <c r="L908" s="106">
        <f>B70_TR_Assessment!$I$95</f>
        <v>0</v>
      </c>
    </row>
    <row r="909" spans="1:12" ht="97.5" customHeight="1">
      <c r="A909" s="106">
        <f>B70_TR_Assessment!$B$2</f>
        <v>70</v>
      </c>
      <c r="B909" s="106" t="str">
        <f t="shared" si="88"/>
        <v>B62_TR_Assessment</v>
      </c>
      <c r="C909" s="106" t="str">
        <f>B70_TR_Assessment!$A$245</f>
        <v>Verify room dimensions and equipment clearances.</v>
      </c>
      <c r="D909" s="142" t="str">
        <f>B70_TR_Assessment!$A$96</f>
        <v>Rack Installed</v>
      </c>
      <c r="E909" s="142" t="str">
        <f>B70_TR_Assessment!$B$96</f>
        <v>Not Started</v>
      </c>
      <c r="F909" s="106" t="str">
        <f>B70_TR_Assessment!$C$96</f>
        <v>N/A</v>
      </c>
      <c r="G909" s="106" t="str">
        <f>B70_TR_Assessment!$D$96</f>
        <v>N/A</v>
      </c>
      <c r="H909" s="106">
        <f>B70_TR_Assessment!$E$96</f>
        <v>0</v>
      </c>
      <c r="I909" s="106">
        <f>B70_TR_Assessment!$F$96</f>
        <v>0</v>
      </c>
      <c r="J909" s="106">
        <f>B70_TR_Assessment!$G$96</f>
        <v>0</v>
      </c>
      <c r="K909" s="106">
        <f>B70_TR_Assessment!$H$96</f>
        <v>0</v>
      </c>
      <c r="L909" s="106">
        <f>B70_TR_Assessment!$I$96</f>
        <v>0</v>
      </c>
    </row>
    <row r="910" spans="1:12" ht="97.5" customHeight="1">
      <c r="A910" s="106">
        <f>B70_TR_Assessment!$B$2</f>
        <v>70</v>
      </c>
      <c r="B910" s="106" t="str">
        <f t="shared" si="88"/>
        <v>B62_TR_Assessment</v>
      </c>
      <c r="C910" s="106" t="str">
        <f>B70_TR_Assessment!$A$247</f>
        <v>Architectural</v>
      </c>
      <c r="D910" s="142" t="str">
        <f>B70_TR_Assessment!$A$98</f>
        <v>UPS Operational</v>
      </c>
      <c r="E910" s="142" t="str">
        <f>B70_TR_Assessment!$B$98</f>
        <v>Not Started</v>
      </c>
      <c r="F910" s="106" t="str">
        <f>B70_TR_Assessment!$C$98</f>
        <v>N/A</v>
      </c>
      <c r="G910" s="106" t="str">
        <f>B70_TR_Assessment!$D$98</f>
        <v>N/A</v>
      </c>
      <c r="H910" s="106">
        <f>B70_TR_Assessment!$E$98</f>
        <v>0</v>
      </c>
      <c r="I910" s="106">
        <f>B70_TR_Assessment!$F$98</f>
        <v>0</v>
      </c>
      <c r="J910" s="106">
        <f>B70_TR_Assessment!$G$98</f>
        <v>0</v>
      </c>
      <c r="K910" s="106">
        <f>B70_TR_Assessment!$H$98</f>
        <v>0</v>
      </c>
      <c r="L910" s="106">
        <f>B70_TR_Assessment!$I$98</f>
        <v>0</v>
      </c>
    </row>
    <row r="911" spans="1:12" ht="97.5" customHeight="1">
      <c r="A911" s="106">
        <f>B70_TR_Assessment!$B$2</f>
        <v>70</v>
      </c>
      <c r="B911" s="106" t="str">
        <f t="shared" si="88"/>
        <v>B62_TR_Assessment</v>
      </c>
      <c r="C911" s="106" t="str">
        <f>B70_TR_Assessment!$A$249</f>
        <v>Prepare rooms for new telecom infrastructure.</v>
      </c>
      <c r="D911" s="142" t="str">
        <f>B70_TR_Assessment!$A$100</f>
        <v>National OIT Approval</v>
      </c>
      <c r="E911" s="142" t="str">
        <f>B70_TR_Assessment!$B$100</f>
        <v>Not Started</v>
      </c>
      <c r="F911" s="106" t="str">
        <f>B70_TR_Assessment!$C$100</f>
        <v>N/A</v>
      </c>
      <c r="G911" s="106" t="str">
        <f>B70_TR_Assessment!$D$100</f>
        <v>N/A</v>
      </c>
      <c r="H911" s="106">
        <f>B70_TR_Assessment!$E$100</f>
        <v>0</v>
      </c>
      <c r="I911" s="106">
        <f>B70_TR_Assessment!$F$100</f>
        <v>0</v>
      </c>
      <c r="J911" s="106">
        <f>B70_TR_Assessment!$G$100</f>
        <v>0</v>
      </c>
      <c r="K911" s="106">
        <f>B70_TR_Assessment!$H$100</f>
        <v>0</v>
      </c>
      <c r="L911" s="106">
        <f>B70_TR_Assessment!$I$100</f>
        <v>0</v>
      </c>
    </row>
    <row r="912" spans="1:12" ht="97.5" customHeight="1">
      <c r="A912" s="106">
        <f>B70_TR_Assessment!$B$2</f>
        <v>70</v>
      </c>
      <c r="B912" s="106" t="str">
        <f t="shared" si="88"/>
        <v>B62_TR_Assessment</v>
      </c>
      <c r="C912" s="106" t="str">
        <f>B70_TR_Assessment!$A$250</f>
        <v>Patch and repair walls, ceilings, and penetrations as required.</v>
      </c>
      <c r="D912" s="142" t="str">
        <f>B70_TR_Assessment!$A$101</f>
        <v>Local OIT Ready</v>
      </c>
      <c r="E912" s="142" t="str">
        <f>B70_TR_Assessment!$B$101</f>
        <v>Not Started</v>
      </c>
      <c r="F912" s="106" t="str">
        <f>B70_TR_Assessment!$C$101</f>
        <v>N/A</v>
      </c>
      <c r="G912" s="106" t="str">
        <f>B70_TR_Assessment!$D$101</f>
        <v>N/A</v>
      </c>
      <c r="H912" s="106">
        <f>B70_TR_Assessment!$E$101</f>
        <v>0</v>
      </c>
      <c r="I912" s="106">
        <f>B70_TR_Assessment!$F$101</f>
        <v>0</v>
      </c>
      <c r="J912" s="106">
        <f>B70_TR_Assessment!$G$101</f>
        <v>0</v>
      </c>
      <c r="K912" s="106">
        <f>B70_TR_Assessment!$H$101</f>
        <v>0</v>
      </c>
      <c r="L912" s="106">
        <f>B70_TR_Assessment!$I$101</f>
        <v>0</v>
      </c>
    </row>
    <row r="913" spans="1:12" ht="97.5" customHeight="1">
      <c r="A913" s="106">
        <f>B70_TR_Assessment!$B$2</f>
        <v>70</v>
      </c>
      <c r="B913" s="106" t="str">
        <f t="shared" si="88"/>
        <v>B62_TR_Assessment</v>
      </c>
      <c r="C913" s="106" t="str">
        <f>B70_TR_Assessment!$A$251</f>
        <v>Maintain or restore all fire-rated assemblies.</v>
      </c>
      <c r="D913" s="142" t="str">
        <f>B70_TR_Assessment!$A$102</f>
        <v>Activation Scheduled</v>
      </c>
      <c r="E913" s="142" t="str">
        <f>B70_TR_Assessment!$B$102</f>
        <v>Not Started</v>
      </c>
      <c r="F913" s="106" t="str">
        <f>B70_TR_Assessment!$C$102</f>
        <v>N/A</v>
      </c>
      <c r="G913" s="106" t="str">
        <f>B70_TR_Assessment!$D$102</f>
        <v>N/A</v>
      </c>
      <c r="H913" s="106">
        <f>B70_TR_Assessment!$E$102</f>
        <v>0</v>
      </c>
      <c r="I913" s="106">
        <f>B70_TR_Assessment!$F$102</f>
        <v>0</v>
      </c>
      <c r="J913" s="106">
        <f>B70_TR_Assessment!$G$102</f>
        <v>0</v>
      </c>
      <c r="K913" s="106">
        <f>B70_TR_Assessment!$H$102</f>
        <v>0</v>
      </c>
      <c r="L913" s="106">
        <f>B70_TR_Assessment!$I$102</f>
        <v>0</v>
      </c>
    </row>
    <row r="914" spans="1:12" ht="97.5" customHeight="1">
      <c r="A914" s="106">
        <f>B70_TR_Assessment!$B$2</f>
        <v>70</v>
      </c>
      <c r="B914" s="106" t="str">
        <f t="shared" si="88"/>
        <v>B62_TR_Assessment</v>
      </c>
      <c r="C914" s="106" t="str">
        <f>B70_TR_Assessment!$A$252</f>
        <v>Verify door hardware, access control, and room security.</v>
      </c>
      <c r="D914" s="142" t="str">
        <f>B70_TR_Assessment!$A$103</f>
        <v>OIT Readiness</v>
      </c>
      <c r="E914" s="142">
        <f>B70_TR_Assessment!$B$103</f>
        <v>0</v>
      </c>
      <c r="F914" s="106" t="str">
        <f>B70_TR_Assessment!$C$103</f>
        <v/>
      </c>
      <c r="G914" s="106">
        <f>B70_TR_Assessment!$D$103</f>
        <v>0</v>
      </c>
      <c r="H914" s="106" t="str">
        <f>B70_TR_Assessment!$E$103</f>
        <v>Success: Required OIT activation prerequisites are complete or formally coordinated.</v>
      </c>
      <c r="I914" s="106">
        <f>B70_TR_Assessment!$F$103</f>
        <v>0</v>
      </c>
      <c r="J914" s="106">
        <f>B70_TR_Assessment!$G$103</f>
        <v>0</v>
      </c>
      <c r="K914" s="106">
        <f>B70_TR_Assessment!$H$103</f>
        <v>0</v>
      </c>
      <c r="L914" s="106">
        <f>B70_TR_Assessment!$I$103</f>
        <v>0</v>
      </c>
    </row>
    <row r="915" spans="1:12" ht="97.5" customHeight="1">
      <c r="A915" s="106">
        <f>B70_TR_Assessment!$B$2</f>
        <v>70</v>
      </c>
      <c r="B915" s="106" t="str">
        <f t="shared" si="88"/>
        <v>B62_TR_Assessment</v>
      </c>
      <c r="C915" s="106" t="str">
        <f>B70_TR_Assessment!$A$253</f>
        <v>Label rooms and equipment per VA standards.</v>
      </c>
      <c r="D915" s="142">
        <f>B70_TR_Assessment!$A$104</f>
        <v>0</v>
      </c>
      <c r="E915" s="142">
        <f>B70_TR_Assessment!$B$104</f>
        <v>0</v>
      </c>
      <c r="F915" s="106">
        <f>B70_TR_Assessment!$C$104</f>
        <v>0</v>
      </c>
      <c r="G915" s="106">
        <f>B70_TR_Assessment!$D$104</f>
        <v>0</v>
      </c>
      <c r="H915" s="106">
        <f>B70_TR_Assessment!$E$104</f>
        <v>0</v>
      </c>
      <c r="I915" s="106">
        <f>B70_TR_Assessment!$F$104</f>
        <v>0</v>
      </c>
      <c r="J915" s="106">
        <f>B70_TR_Assessment!$G$104</f>
        <v>0</v>
      </c>
      <c r="K915" s="106">
        <f>B70_TR_Assessment!$H$104</f>
        <v>0</v>
      </c>
      <c r="L915" s="106">
        <f>B70_TR_Assessment!$I$104</f>
        <v>0</v>
      </c>
    </row>
    <row r="916" spans="1:12" ht="97.5" customHeight="1">
      <c r="A916" s="106">
        <f>B70_TR_Assessment!$B$2</f>
        <v>70</v>
      </c>
      <c r="B916" s="106" t="str">
        <f t="shared" si="88"/>
        <v>B62_TR_Assessment</v>
      </c>
      <c r="C916" s="106" t="str">
        <f>B70_TR_Assessment!$A$255</f>
        <v>Fire Protection</v>
      </c>
      <c r="D916" s="142" t="str">
        <f>B70_TR_Assessment!$A$106</f>
        <v>Spec / Item</v>
      </c>
      <c r="E916" s="142" t="str">
        <f>B70_TR_Assessment!$B$106</f>
        <v>Status</v>
      </c>
      <c r="F916" s="106" t="str">
        <f>B70_TR_Assessment!$C$106</f>
        <v>Approved</v>
      </c>
      <c r="G916" s="106" t="str">
        <f>B70_TR_Assessment!$D$106</f>
        <v>Installed</v>
      </c>
      <c r="H916" s="106" t="str">
        <f>B70_TR_Assessment!$E$106</f>
        <v>Match</v>
      </c>
      <c r="I916" s="106" t="str">
        <f>B70_TR_Assessment!$F$106</f>
        <v>QA Result</v>
      </c>
      <c r="J916" s="106" t="str">
        <f>B70_TR_Assessment!$G$106</f>
        <v>Comments / Evidence</v>
      </c>
      <c r="K916" s="106">
        <f>B70_TR_Assessment!$H$106</f>
        <v>0</v>
      </c>
      <c r="L916" s="106">
        <f>B70_TR_Assessment!$I$106</f>
        <v>0</v>
      </c>
    </row>
    <row r="917" spans="1:12" ht="97.5" customHeight="1">
      <c r="A917" s="106">
        <f>B70_TR_Assessment!$B$2</f>
        <v>70</v>
      </c>
      <c r="B917" s="106" t="str">
        <f t="shared" si="88"/>
        <v>B62_TR_Assessment</v>
      </c>
      <c r="C917" s="106" t="str">
        <f>B70_TR_Assessment!$A$257</f>
        <v>Verify sprinkler coverage within each TR.</v>
      </c>
      <c r="D917" s="142" t="str">
        <f>B70_TR_Assessment!$A$108</f>
        <v>Cable Tray</v>
      </c>
      <c r="E917" s="142" t="str">
        <f>B70_TR_Assessment!$B$108</f>
        <v>Not Started</v>
      </c>
      <c r="F917" s="106" t="str">
        <f>B70_TR_Assessment!$C$108</f>
        <v>No</v>
      </c>
      <c r="G917" s="106" t="str">
        <f>B70_TR_Assessment!$D$108</f>
        <v>No</v>
      </c>
      <c r="H917" s="106" t="str">
        <f>B70_TR_Assessment!$E$108</f>
        <v>No</v>
      </c>
      <c r="I917" s="106" t="str">
        <f>B70_TR_Assessment!$F$108</f>
        <v>Pending</v>
      </c>
      <c r="J917" s="106">
        <f>B70_TR_Assessment!$G$108</f>
        <v>0</v>
      </c>
      <c r="K917" s="106">
        <f>B70_TR_Assessment!$H$108</f>
        <v>0</v>
      </c>
      <c r="L917" s="106">
        <f>B70_TR_Assessment!$I$108</f>
        <v>0</v>
      </c>
    </row>
    <row r="918" spans="1:12" ht="97.5" customHeight="1">
      <c r="A918" s="106">
        <f>B70_TR_Assessment!$B$2</f>
        <v>70</v>
      </c>
      <c r="B918" s="106" t="str">
        <f t="shared" si="88"/>
        <v>B62_TR_Assessment</v>
      </c>
      <c r="C918" s="106" t="str">
        <f>B70_TR_Assessment!$A$258</f>
        <v>Reconfigure sprinkler piping and heads where required.</v>
      </c>
      <c r="D918" s="142" t="str">
        <f>B70_TR_Assessment!$A$109</f>
        <v>Firestop System</v>
      </c>
      <c r="E918" s="142" t="str">
        <f>B70_TR_Assessment!$B$109</f>
        <v>Not Started</v>
      </c>
      <c r="F918" s="106" t="str">
        <f>B70_TR_Assessment!$C$109</f>
        <v>No</v>
      </c>
      <c r="G918" s="106" t="str">
        <f>B70_TR_Assessment!$D$109</f>
        <v>No</v>
      </c>
      <c r="H918" s="106" t="str">
        <f>B70_TR_Assessment!$E$109</f>
        <v>No</v>
      </c>
      <c r="I918" s="106" t="str">
        <f>B70_TR_Assessment!$F$109</f>
        <v>Pending</v>
      </c>
      <c r="J918" s="106">
        <f>B70_TR_Assessment!$G$109</f>
        <v>0</v>
      </c>
      <c r="K918" s="106">
        <f>B70_TR_Assessment!$H$109</f>
        <v>0</v>
      </c>
      <c r="L918" s="106">
        <f>B70_TR_Assessment!$I$109</f>
        <v>0</v>
      </c>
    </row>
    <row r="919" spans="1:12" ht="97.5" customHeight="1">
      <c r="A919" s="106">
        <f>B70_TR_Assessment!$B$2</f>
        <v>70</v>
      </c>
      <c r="B919" s="106" t="str">
        <f t="shared" si="88"/>
        <v>B62_TR_Assessment</v>
      </c>
      <c r="C919" s="106" t="str">
        <f>B70_TR_Assessment!$A$259</f>
        <v>Verify no obstructions to sprinkler discharge.</v>
      </c>
      <c r="D919" s="142" t="str">
        <f>B70_TR_Assessment!$A$110</f>
        <v>HVAC Equipment</v>
      </c>
      <c r="E919" s="142" t="str">
        <f>B70_TR_Assessment!$B$110</f>
        <v>Not Started</v>
      </c>
      <c r="F919" s="106" t="str">
        <f>B70_TR_Assessment!$C$110</f>
        <v>No</v>
      </c>
      <c r="G919" s="106" t="str">
        <f>B70_TR_Assessment!$D$110</f>
        <v>No</v>
      </c>
      <c r="H919" s="106" t="str">
        <f>B70_TR_Assessment!$E$110</f>
        <v>No</v>
      </c>
      <c r="I919" s="106" t="str">
        <f>B70_TR_Assessment!$F$110</f>
        <v>Pending</v>
      </c>
      <c r="J919" s="106">
        <f>B70_TR_Assessment!$G$110</f>
        <v>0</v>
      </c>
      <c r="K919" s="106">
        <f>B70_TR_Assessment!$H$110</f>
        <v>0</v>
      </c>
      <c r="L919" s="106">
        <f>B70_TR_Assessment!$I$110</f>
        <v>0</v>
      </c>
    </row>
    <row r="920" spans="1:12" ht="97.5" customHeight="1">
      <c r="A920" s="106">
        <f>B70_TR_Assessment!$B$2</f>
        <v>70</v>
      </c>
      <c r="B920" s="106" t="str">
        <f t="shared" si="88"/>
        <v>B62_TR_Assessment</v>
      </c>
      <c r="C920" s="106" t="str">
        <f>B70_TR_Assessment!$A$260</f>
        <v>Provide fire extinguisher cabinet and clean-agent or CO₂ extinguisher within 75 feet of each TR.</v>
      </c>
      <c r="D920" s="142" t="str">
        <f>B70_TR_Assessment!$A$111</f>
        <v>Electrical Equipment</v>
      </c>
      <c r="E920" s="142" t="str">
        <f>B70_TR_Assessment!$B$111</f>
        <v>Not Started</v>
      </c>
      <c r="F920" s="106" t="str">
        <f>B70_TR_Assessment!$C$111</f>
        <v>No</v>
      </c>
      <c r="G920" s="106" t="str">
        <f>B70_TR_Assessment!$D$111</f>
        <v>No</v>
      </c>
      <c r="H920" s="106" t="str">
        <f>B70_TR_Assessment!$E$111</f>
        <v>No</v>
      </c>
      <c r="I920" s="106" t="str">
        <f>B70_TR_Assessment!$F$111</f>
        <v>Pending</v>
      </c>
      <c r="J920" s="106">
        <f>B70_TR_Assessment!$G$111</f>
        <v>0</v>
      </c>
      <c r="K920" s="106">
        <f>B70_TR_Assessment!$H$111</f>
        <v>0</v>
      </c>
      <c r="L920" s="106">
        <f>B70_TR_Assessment!$I$111</f>
        <v>0</v>
      </c>
    </row>
    <row r="921" spans="1:12" ht="97.5" customHeight="1">
      <c r="A921" s="106">
        <f>B70_TR_Assessment!$B$2</f>
        <v>70</v>
      </c>
      <c r="B921" s="106" t="str">
        <f t="shared" si="88"/>
        <v>B62_TR_Assessment</v>
      </c>
      <c r="C921" s="106" t="str">
        <f>B70_TR_Assessment!$A$261</f>
        <v>Firestop all penetrations through rated assemblies.</v>
      </c>
      <c r="D921" s="142" t="str">
        <f>B70_TR_Assessment!$A$112</f>
        <v>Inspection Compliance</v>
      </c>
      <c r="E921" s="142">
        <f>B70_TR_Assessment!$B$112</f>
        <v>0</v>
      </c>
      <c r="F921" s="106">
        <f>B70_TR_Assessment!$C$112</f>
        <v>0</v>
      </c>
      <c r="G921" s="106">
        <f>B70_TR_Assessment!$D$112</f>
        <v>0</v>
      </c>
      <c r="H921" s="106" t="str">
        <f>B70_TR_Assessment!$E$112</f>
        <v>Success: Installed materials match approved submittals and deficiencies are documented.</v>
      </c>
      <c r="I921" s="106">
        <f>B70_TR_Assessment!$F$112</f>
        <v>0</v>
      </c>
      <c r="J921" s="106">
        <f>B70_TR_Assessment!$G$112</f>
        <v>0</v>
      </c>
      <c r="K921" s="106">
        <f>B70_TR_Assessment!$H$112</f>
        <v>0</v>
      </c>
      <c r="L921" s="106">
        <f>B70_TR_Assessment!$I$112</f>
        <v>0</v>
      </c>
    </row>
    <row r="922" spans="1:12" ht="97.5" customHeight="1">
      <c r="A922" s="106">
        <f>B70_TR_Assessment!$B$2</f>
        <v>70</v>
      </c>
      <c r="B922" s="106" t="str">
        <f t="shared" ref="B922:B953" si="89">"B62_TR_Assessment"</f>
        <v>B62_TR_Assessment</v>
      </c>
      <c r="C922" s="106" t="str">
        <f>B70_TR_Assessment!$A$262</f>
        <v>Verify compliance with NFPA 13 and VA Fire Protection Design Manual requirements.</v>
      </c>
      <c r="D922" s="142">
        <f>B70_TR_Assessment!$A$113</f>
        <v>0</v>
      </c>
      <c r="E922" s="142">
        <f>B70_TR_Assessment!$B$113</f>
        <v>0</v>
      </c>
      <c r="F922" s="106">
        <f>B70_TR_Assessment!$C$113</f>
        <v>0</v>
      </c>
      <c r="G922" s="106">
        <f>B70_TR_Assessment!$D$113</f>
        <v>0</v>
      </c>
      <c r="H922" s="106">
        <f>B70_TR_Assessment!$E$113</f>
        <v>0</v>
      </c>
      <c r="I922" s="106">
        <f>B70_TR_Assessment!$F$113</f>
        <v>0</v>
      </c>
      <c r="J922" s="106">
        <f>B70_TR_Assessment!$G$113</f>
        <v>0</v>
      </c>
      <c r="K922" s="106">
        <f>B70_TR_Assessment!$H$113</f>
        <v>0</v>
      </c>
      <c r="L922" s="106">
        <f>B70_TR_Assessment!$I$113</f>
        <v>0</v>
      </c>
    </row>
    <row r="923" spans="1:12" ht="97.5" customHeight="1">
      <c r="A923" s="106">
        <f>B70_TR_Assessment!$B$2</f>
        <v>70</v>
      </c>
      <c r="B923" s="106" t="str">
        <f t="shared" si="89"/>
        <v>B62_TR_Assessment</v>
      </c>
      <c r="C923" s="106" t="str">
        <f>B70_TR_Assessment!$A$264</f>
        <v>Fire Alarm</v>
      </c>
      <c r="D923" s="142" t="str">
        <f>B70_TR_Assessment!$A$115</f>
        <v>Trade</v>
      </c>
      <c r="E923" s="142" t="str">
        <f>B70_TR_Assessment!$B$115</f>
        <v>Status</v>
      </c>
      <c r="F923" s="106" t="str">
        <f>B70_TR_Assessment!$C$115</f>
        <v>Planned</v>
      </c>
      <c r="G923" s="106" t="str">
        <f>B70_TR_Assessment!$D$115</f>
        <v>Actual</v>
      </c>
      <c r="H923" s="106" t="str">
        <f>B70_TR_Assessment!$E$115</f>
        <v>Crew</v>
      </c>
      <c r="I923" s="106" t="str">
        <f>B70_TR_Assessment!$F$115</f>
        <v>Productivity</v>
      </c>
      <c r="J923" s="106" t="str">
        <f>B70_TR_Assessment!$G$115</f>
        <v>Work Observed / Delay Cause</v>
      </c>
      <c r="K923" s="106">
        <f>B70_TR_Assessment!$H$115</f>
        <v>0</v>
      </c>
      <c r="L923" s="106">
        <f>B70_TR_Assessment!$I$115</f>
        <v>0</v>
      </c>
    </row>
    <row r="924" spans="1:12" ht="97.5" customHeight="1">
      <c r="A924" s="106">
        <f>B70_TR_Assessment!$B$2</f>
        <v>70</v>
      </c>
      <c r="B924" s="106" t="str">
        <f t="shared" si="89"/>
        <v>B62_TR_Assessment</v>
      </c>
      <c r="C924" s="106" t="str">
        <f>B70_TR_Assessment!$A$266</f>
        <v>Verify smoke detection coverage.</v>
      </c>
      <c r="D924" s="142" t="str">
        <f>B70_TR_Assessment!$A$117</f>
        <v>Telecom</v>
      </c>
      <c r="E924" s="142" t="str">
        <f>B70_TR_Assessment!$B$117</f>
        <v>Not Started</v>
      </c>
      <c r="F924" s="106">
        <f>B70_TR_Assessment!$C$117</f>
        <v>0</v>
      </c>
      <c r="G924" s="106">
        <f>B70_TR_Assessment!$D$117</f>
        <v>0</v>
      </c>
      <c r="H924" s="106">
        <f>B70_TR_Assessment!$E$117</f>
        <v>0</v>
      </c>
      <c r="I924" s="106" t="str">
        <f>B70_TR_Assessment!$F$117</f>
        <v/>
      </c>
      <c r="J924" s="106">
        <f>B70_TR_Assessment!$G$117</f>
        <v>0</v>
      </c>
      <c r="K924" s="106">
        <f>B70_TR_Assessment!$H$117</f>
        <v>0</v>
      </c>
      <c r="L924" s="106">
        <f>B70_TR_Assessment!$I$117</f>
        <v>0</v>
      </c>
    </row>
    <row r="925" spans="1:12" ht="97.5" customHeight="1">
      <c r="A925" s="106">
        <f>B70_TR_Assessment!$B$2</f>
        <v>70</v>
      </c>
      <c r="B925" s="106" t="str">
        <f t="shared" si="89"/>
        <v>B62_TR_Assessment</v>
      </c>
      <c r="C925" s="106" t="str">
        <f>B70_TR_Assessment!$A$267</f>
        <v>Verify horn/strobe coverage.</v>
      </c>
      <c r="D925" s="142" t="str">
        <f>B70_TR_Assessment!$A$118</f>
        <v>Mechanical</v>
      </c>
      <c r="E925" s="142" t="str">
        <f>B70_TR_Assessment!$B$118</f>
        <v>Not Started</v>
      </c>
      <c r="F925" s="106">
        <f>B70_TR_Assessment!$C$118</f>
        <v>0</v>
      </c>
      <c r="G925" s="106">
        <f>B70_TR_Assessment!$D$118</f>
        <v>0</v>
      </c>
      <c r="H925" s="106">
        <f>B70_TR_Assessment!$E$118</f>
        <v>0</v>
      </c>
      <c r="I925" s="106" t="str">
        <f>B70_TR_Assessment!$F$118</f>
        <v/>
      </c>
      <c r="J925" s="106">
        <f>B70_TR_Assessment!$G$118</f>
        <v>0</v>
      </c>
      <c r="K925" s="106">
        <f>B70_TR_Assessment!$H$118</f>
        <v>0</v>
      </c>
      <c r="L925" s="106">
        <f>B70_TR_Assessment!$I$118</f>
        <v>0</v>
      </c>
    </row>
    <row r="926" spans="1:12" ht="97.5" customHeight="1">
      <c r="A926" s="106">
        <f>B70_TR_Assessment!$B$2</f>
        <v>70</v>
      </c>
      <c r="B926" s="106" t="str">
        <f t="shared" si="89"/>
        <v>B62_TR_Assessment</v>
      </c>
      <c r="C926" s="106" t="str">
        <f>B70_TR_Assessment!$A$268</f>
        <v>Coordinate relocation or addition of devices as required.</v>
      </c>
      <c r="D926" s="142" t="str">
        <f>B70_TR_Assessment!$A$119</f>
        <v>Firestop</v>
      </c>
      <c r="E926" s="142" t="str">
        <f>B70_TR_Assessment!$B$119</f>
        <v>Not Started</v>
      </c>
      <c r="F926" s="106">
        <f>B70_TR_Assessment!$C$119</f>
        <v>0</v>
      </c>
      <c r="G926" s="106">
        <f>B70_TR_Assessment!$D$119</f>
        <v>0</v>
      </c>
      <c r="H926" s="106">
        <f>B70_TR_Assessment!$E$119</f>
        <v>0</v>
      </c>
      <c r="I926" s="106" t="str">
        <f>B70_TR_Assessment!$F$119</f>
        <v/>
      </c>
      <c r="J926" s="106">
        <f>B70_TR_Assessment!$G$119</f>
        <v>0</v>
      </c>
      <c r="K926" s="106">
        <f>B70_TR_Assessment!$H$119</f>
        <v>0</v>
      </c>
      <c r="L926" s="106">
        <f>B70_TR_Assessment!$I$119</f>
        <v>0</v>
      </c>
    </row>
    <row r="927" spans="1:12" ht="97.5" customHeight="1">
      <c r="A927" s="106">
        <f>B70_TR_Assessment!$B$2</f>
        <v>70</v>
      </c>
      <c r="B927" s="106" t="str">
        <f t="shared" si="89"/>
        <v>B62_TR_Assessment</v>
      </c>
      <c r="C927" s="106" t="str">
        <f>B70_TR_Assessment!$A$269</f>
        <v>Verify monitoring and reporting through existing fire alarm systems.</v>
      </c>
      <c r="D927" s="142" t="str">
        <f>B70_TR_Assessment!$A$120</f>
        <v>Contractor Performance</v>
      </c>
      <c r="E927" s="142">
        <f>B70_TR_Assessment!$B$120</f>
        <v>0</v>
      </c>
      <c r="F927" s="106">
        <f>B70_TR_Assessment!$C$120</f>
        <v>0</v>
      </c>
      <c r="G927" s="106">
        <f>B70_TR_Assessment!$D$120</f>
        <v>0</v>
      </c>
      <c r="H927" s="106" t="str">
        <f>B70_TR_Assessment!$E$120</f>
        <v>Success: Actual production is on or above baseline, or delay cause is documented.</v>
      </c>
      <c r="I927" s="106">
        <f>B70_TR_Assessment!$F$120</f>
        <v>0</v>
      </c>
      <c r="J927" s="106">
        <f>B70_TR_Assessment!$G$120</f>
        <v>0</v>
      </c>
      <c r="K927" s="106">
        <f>B70_TR_Assessment!$H$120</f>
        <v>0</v>
      </c>
      <c r="L927" s="106">
        <f>B70_TR_Assessment!$I$120</f>
        <v>0</v>
      </c>
    </row>
    <row r="928" spans="1:12" ht="97.5" customHeight="1">
      <c r="A928" s="106">
        <f>B70_TR_Assessment!$B$2</f>
        <v>70</v>
      </c>
      <c r="B928" s="106" t="str">
        <f t="shared" si="89"/>
        <v>B62_TR_Assessment</v>
      </c>
      <c r="C928" s="106" t="str">
        <f>B70_TR_Assessment!$A$270</f>
        <v>Test and document final operation.</v>
      </c>
      <c r="D928" s="142">
        <f>B70_TR_Assessment!$A$121</f>
        <v>0</v>
      </c>
      <c r="E928" s="142">
        <f>B70_TR_Assessment!$B$121</f>
        <v>0</v>
      </c>
      <c r="F928" s="106">
        <f>B70_TR_Assessment!$C$121</f>
        <v>0</v>
      </c>
      <c r="G928" s="106">
        <f>B70_TR_Assessment!$D$121</f>
        <v>0</v>
      </c>
      <c r="H928" s="106">
        <f>B70_TR_Assessment!$E$121</f>
        <v>0</v>
      </c>
      <c r="I928" s="106">
        <f>B70_TR_Assessment!$F$121</f>
        <v>0</v>
      </c>
      <c r="J928" s="106">
        <f>B70_TR_Assessment!$G$121</f>
        <v>0</v>
      </c>
      <c r="K928" s="106">
        <f>B70_TR_Assessment!$H$121</f>
        <v>0</v>
      </c>
      <c r="L928" s="106">
        <f>B70_TR_Assessment!$I$121</f>
        <v>0</v>
      </c>
    </row>
    <row r="929" spans="1:12" ht="97.5" customHeight="1">
      <c r="A929" s="106">
        <f>B70_TR_Assessment!$B$2</f>
        <v>70</v>
      </c>
      <c r="B929" s="106" t="str">
        <f t="shared" si="89"/>
        <v>B62_TR_Assessment</v>
      </c>
      <c r="C929" s="106" t="str">
        <f>B70_TR_Assessment!$A$272</f>
        <v>Mechanical / HVAC</v>
      </c>
      <c r="D929" s="142" t="str">
        <f>B70_TR_Assessment!$A$123</f>
        <v>Requirement</v>
      </c>
      <c r="E929" s="142" t="str">
        <f>B70_TR_Assessment!$B$123</f>
        <v>Status</v>
      </c>
      <c r="F929" s="106" t="str">
        <f>B70_TR_Assessment!$C$123</f>
        <v>Required</v>
      </c>
      <c r="G929" s="106" t="str">
        <f>B70_TR_Assessment!$D$123</f>
        <v>Complete</v>
      </c>
      <c r="H929" s="106" t="str">
        <f>B70_TR_Assessment!$E$123</f>
        <v>Score</v>
      </c>
      <c r="I929" s="106" t="str">
        <f>B70_TR_Assessment!$F$123</f>
        <v>Comments</v>
      </c>
      <c r="J929" s="106" t="str">
        <f>B70_TR_Assessment!$G$123</f>
        <v>Evidence Ref.</v>
      </c>
      <c r="K929" s="106">
        <f>B70_TR_Assessment!$H$123</f>
        <v>0</v>
      </c>
      <c r="L929" s="106">
        <f>B70_TR_Assessment!$I$123</f>
        <v>0</v>
      </c>
    </row>
    <row r="930" spans="1:12" ht="97.5" customHeight="1">
      <c r="A930" s="106">
        <f>B70_TR_Assessment!$B$2</f>
        <v>70</v>
      </c>
      <c r="B930" s="106" t="str">
        <f t="shared" si="89"/>
        <v>B62_TR_Assessment</v>
      </c>
      <c r="C930" s="106" t="str">
        <f>B70_TR_Assessment!$A$274</f>
        <v>Verify dedicated cooling units serving each telecom room.</v>
      </c>
      <c r="D930" s="142" t="str">
        <f>B70_TR_Assessment!$A$125</f>
        <v>QA/QC Complete</v>
      </c>
      <c r="E930" s="142" t="str">
        <f>B70_TR_Assessment!$B$125</f>
        <v>Not Started</v>
      </c>
      <c r="F930" s="106" t="str">
        <f>B70_TR_Assessment!$C$125</f>
        <v>Yes</v>
      </c>
      <c r="G930" s="106" t="str">
        <f>B70_TR_Assessment!$D$125</f>
        <v>No</v>
      </c>
      <c r="H930" s="106">
        <f>B70_TR_Assessment!$E$125</f>
        <v>0</v>
      </c>
      <c r="I930" s="106">
        <f>B70_TR_Assessment!$F$125</f>
        <v>0</v>
      </c>
      <c r="J930" s="106">
        <f>B70_TR_Assessment!$G$125</f>
        <v>0</v>
      </c>
      <c r="K930" s="106">
        <f>B70_TR_Assessment!$H$125</f>
        <v>0</v>
      </c>
      <c r="L930" s="106">
        <f>B70_TR_Assessment!$I$125</f>
        <v>0</v>
      </c>
    </row>
    <row r="931" spans="1:12" ht="97.5" customHeight="1">
      <c r="A931" s="106">
        <f>B70_TR_Assessment!$B$2</f>
        <v>70</v>
      </c>
      <c r="B931" s="106" t="str">
        <f t="shared" si="89"/>
        <v>B62_TR_Assessment</v>
      </c>
      <c r="C931" s="106" t="str">
        <f>B70_TR_Assessment!$A$275</f>
        <v>Verify thermostat installation.</v>
      </c>
      <c r="D931" s="142" t="str">
        <f>B70_TR_Assessment!$A$126</f>
        <v>Deficiencies Closed</v>
      </c>
      <c r="E931" s="142" t="str">
        <f>B70_TR_Assessment!$B$126</f>
        <v>Not Started</v>
      </c>
      <c r="F931" s="106" t="str">
        <f>B70_TR_Assessment!$C$126</f>
        <v>Yes</v>
      </c>
      <c r="G931" s="106" t="str">
        <f>B70_TR_Assessment!$D$126</f>
        <v>No</v>
      </c>
      <c r="H931" s="106">
        <f>B70_TR_Assessment!$E$126</f>
        <v>0</v>
      </c>
      <c r="I931" s="106">
        <f>B70_TR_Assessment!$F$126</f>
        <v>0</v>
      </c>
      <c r="J931" s="106">
        <f>B70_TR_Assessment!$G$126</f>
        <v>0</v>
      </c>
      <c r="K931" s="106">
        <f>B70_TR_Assessment!$H$126</f>
        <v>0</v>
      </c>
      <c r="L931" s="106">
        <f>B70_TR_Assessment!$I$126</f>
        <v>0</v>
      </c>
    </row>
    <row r="932" spans="1:12" ht="97.5" customHeight="1">
      <c r="A932" s="106">
        <f>B70_TR_Assessment!$B$2</f>
        <v>70</v>
      </c>
      <c r="B932" s="106" t="str">
        <f t="shared" si="89"/>
        <v>B62_TR_Assessment</v>
      </c>
      <c r="C932" s="106" t="str">
        <f>B70_TR_Assessment!$A$276</f>
        <v>Verify BACnet integration and controls.</v>
      </c>
      <c r="D932" s="142" t="str">
        <f>B70_TR_Assessment!$A$127</f>
        <v>OIT Ready</v>
      </c>
      <c r="E932" s="142" t="str">
        <f>B70_TR_Assessment!$B$127</f>
        <v>Not Started</v>
      </c>
      <c r="F932" s="106" t="str">
        <f>B70_TR_Assessment!$C$127</f>
        <v>Yes</v>
      </c>
      <c r="G932" s="106" t="str">
        <f>B70_TR_Assessment!$D$127</f>
        <v>No</v>
      </c>
      <c r="H932" s="106">
        <f>B70_TR_Assessment!$E$127</f>
        <v>0</v>
      </c>
      <c r="I932" s="106">
        <f>B70_TR_Assessment!$F$127</f>
        <v>0</v>
      </c>
      <c r="J932" s="106">
        <f>B70_TR_Assessment!$G$127</f>
        <v>0</v>
      </c>
      <c r="K932" s="106">
        <f>B70_TR_Assessment!$H$127</f>
        <v>0</v>
      </c>
      <c r="L932" s="106">
        <f>B70_TR_Assessment!$I$127</f>
        <v>0</v>
      </c>
    </row>
    <row r="933" spans="1:12" ht="97.5" customHeight="1">
      <c r="A933" s="106">
        <f>B70_TR_Assessment!$B$2</f>
        <v>70</v>
      </c>
      <c r="B933" s="106" t="str">
        <f t="shared" si="89"/>
        <v>B62_TR_Assessment</v>
      </c>
      <c r="C933" s="106" t="str">
        <f>B70_TR_Assessment!$A$277</f>
        <v>Verify condensate routing and drainage.</v>
      </c>
      <c r="D933" s="142" t="str">
        <f>B70_TR_Assessment!$A$128</f>
        <v>Documentation Complete</v>
      </c>
      <c r="E933" s="142" t="str">
        <f>B70_TR_Assessment!$B$128</f>
        <v>Not Started</v>
      </c>
      <c r="F933" s="106" t="str">
        <f>B70_TR_Assessment!$C$128</f>
        <v>Yes</v>
      </c>
      <c r="G933" s="106" t="str">
        <f>B70_TR_Assessment!$D$128</f>
        <v>No</v>
      </c>
      <c r="H933" s="106">
        <f>B70_TR_Assessment!$E$128</f>
        <v>0</v>
      </c>
      <c r="I933" s="106">
        <f>B70_TR_Assessment!$F$128</f>
        <v>0</v>
      </c>
      <c r="J933" s="106">
        <f>B70_TR_Assessment!$G$128</f>
        <v>0</v>
      </c>
      <c r="K933" s="106">
        <f>B70_TR_Assessment!$H$128</f>
        <v>0</v>
      </c>
      <c r="L933" s="106">
        <f>B70_TR_Assessment!$I$128</f>
        <v>0</v>
      </c>
    </row>
    <row r="934" spans="1:12" ht="97.5" customHeight="1">
      <c r="A934" s="106">
        <f>B70_TR_Assessment!$B$2</f>
        <v>70</v>
      </c>
      <c r="B934" s="106" t="str">
        <f t="shared" si="89"/>
        <v>B62_TR_Assessment</v>
      </c>
      <c r="C934" s="106" t="str">
        <f>B70_TR_Assessment!$A$278</f>
        <v>Verify emergency power requirements for cooling equipment.</v>
      </c>
      <c r="D934" s="142" t="str">
        <f>B70_TR_Assessment!$A$129</f>
        <v>Recommended for Acceptance</v>
      </c>
      <c r="E934" s="142" t="str">
        <f>B70_TR_Assessment!$B$129</f>
        <v>Not Started</v>
      </c>
      <c r="F934" s="106" t="str">
        <f>B70_TR_Assessment!$C$129</f>
        <v>Yes</v>
      </c>
      <c r="G934" s="106" t="str">
        <f>B70_TR_Assessment!$D$129</f>
        <v>No</v>
      </c>
      <c r="H934" s="106">
        <f>B70_TR_Assessment!$E$129</f>
        <v>0</v>
      </c>
      <c r="I934" s="106">
        <f>B70_TR_Assessment!$F$129</f>
        <v>0</v>
      </c>
      <c r="J934" s="106">
        <f>B70_TR_Assessment!$G$129</f>
        <v>0</v>
      </c>
      <c r="K934" s="106">
        <f>B70_TR_Assessment!$H$129</f>
        <v>0</v>
      </c>
      <c r="L934" s="106">
        <f>B70_TR_Assessment!$I$129</f>
        <v>0</v>
      </c>
    </row>
    <row r="935" spans="1:12" ht="97.5" customHeight="1">
      <c r="A935" s="106">
        <f>B70_TR_Assessment!$B$2</f>
        <v>70</v>
      </c>
      <c r="B935" s="106" t="str">
        <f t="shared" si="89"/>
        <v>B62_TR_Assessment</v>
      </c>
      <c r="C935" s="106" t="str">
        <f>B70_TR_Assessment!$A$279</f>
        <v>Verify continuous cooling capability during hospital operations.</v>
      </c>
      <c r="D935" s="142" t="str">
        <f>B70_TR_Assessment!$A$130</f>
        <v>Acceptance Readiness</v>
      </c>
      <c r="E935" s="142">
        <f>B70_TR_Assessment!$B$130</f>
        <v>0</v>
      </c>
      <c r="F935" s="106">
        <f>B70_TR_Assessment!$C$130</f>
        <v>0</v>
      </c>
      <c r="G935" s="106">
        <f>B70_TR_Assessment!$D$130</f>
        <v>0</v>
      </c>
      <c r="H935" s="106" t="str">
        <f>B70_TR_Assessment!$E$130</f>
        <v>Success: Building is ready for turnover when all required gates are complete.</v>
      </c>
      <c r="I935" s="106">
        <f>B70_TR_Assessment!$F$130</f>
        <v>0</v>
      </c>
      <c r="J935" s="106">
        <f>B70_TR_Assessment!$G$130</f>
        <v>0</v>
      </c>
      <c r="K935" s="106">
        <f>B70_TR_Assessment!$H$130</f>
        <v>0</v>
      </c>
      <c r="L935" s="106">
        <f>B70_TR_Assessment!$I$130</f>
        <v>0</v>
      </c>
    </row>
    <row r="936" spans="1:12" ht="97.5" customHeight="1">
      <c r="A936" s="106">
        <f>B70_TR_Assessment!$B$2</f>
        <v>70</v>
      </c>
      <c r="B936" s="106" t="str">
        <f t="shared" si="89"/>
        <v>B62_TR_Assessment</v>
      </c>
      <c r="C936" s="106" t="str">
        <f>B70_TR_Assessment!$A$280</f>
        <v>Perform startup and commissioning.</v>
      </c>
      <c r="D936" s="142">
        <f>B70_TR_Assessment!$A$131</f>
        <v>0</v>
      </c>
      <c r="E936" s="142">
        <f>B70_TR_Assessment!$B$131</f>
        <v>0</v>
      </c>
      <c r="F936" s="106">
        <f>B70_TR_Assessment!$C$131</f>
        <v>0</v>
      </c>
      <c r="G936" s="106">
        <f>B70_TR_Assessment!$D$131</f>
        <v>0</v>
      </c>
      <c r="H936" s="106">
        <f>B70_TR_Assessment!$E$131</f>
        <v>0</v>
      </c>
      <c r="I936" s="106">
        <f>B70_TR_Assessment!$F$131</f>
        <v>0</v>
      </c>
      <c r="J936" s="106">
        <f>B70_TR_Assessment!$G$131</f>
        <v>0</v>
      </c>
      <c r="K936" s="106">
        <f>B70_TR_Assessment!$H$131</f>
        <v>0</v>
      </c>
      <c r="L936" s="106">
        <f>B70_TR_Assessment!$I$131</f>
        <v>0</v>
      </c>
    </row>
    <row r="937" spans="1:12" ht="97.5" customHeight="1">
      <c r="A937" s="106">
        <f>B70_TR_Assessment!$B$2</f>
        <v>70</v>
      </c>
      <c r="B937" s="106" t="str">
        <f t="shared" si="89"/>
        <v>B62_TR_Assessment</v>
      </c>
      <c r="C937" s="106" t="str">
        <f>B70_TR_Assessment!$A$282</f>
        <v>Electrical</v>
      </c>
      <c r="D937" s="142" t="str">
        <f>B70_TR_Assessment!$A$133</f>
        <v>Source Package</v>
      </c>
      <c r="E937" s="142" t="str">
        <f>B70_TR_Assessment!$B$133</f>
        <v>518-22-700.Bedford.EHRM.IFC.B61.20260316.pdf</v>
      </c>
      <c r="F937" s="106">
        <f>B70_TR_Assessment!$C$133</f>
        <v>0</v>
      </c>
      <c r="G937" s="106">
        <f>B70_TR_Assessment!$D$133</f>
        <v>0</v>
      </c>
      <c r="H937" s="106">
        <f>B70_TR_Assessment!$E$133</f>
        <v>0</v>
      </c>
      <c r="I937" s="106">
        <f>B70_TR_Assessment!$F$133</f>
        <v>0</v>
      </c>
      <c r="J937" s="106">
        <f>B70_TR_Assessment!$G$133</f>
        <v>0</v>
      </c>
      <c r="K937" s="106">
        <f>B70_TR_Assessment!$H$133</f>
        <v>0</v>
      </c>
      <c r="L937" s="106">
        <f>B70_TR_Assessment!$I$133</f>
        <v>0</v>
      </c>
    </row>
    <row r="938" spans="1:12" ht="97.5" customHeight="1">
      <c r="A938" s="106">
        <f>B70_TR_Assessment!$B$2</f>
        <v>70</v>
      </c>
      <c r="B938" s="106" t="str">
        <f t="shared" si="89"/>
        <v>B62_TR_Assessment</v>
      </c>
      <c r="C938" s="106" t="str">
        <f>B70_TR_Assessment!$A$284</f>
        <v>Verify new electrical distribution serving telecom equipment.</v>
      </c>
      <c r="D938" s="142" t="str">
        <f>B70_TR_Assessment!$A$135</f>
        <v>Architectural / Hazardous Basis</v>
      </c>
      <c r="E938" s="142" t="str">
        <f>B70_TR_Assessment!$B$135</f>
        <v>Drawing index includes 61H-101 first-level and 61H-102 second-level hazardous material abatement plans plus architectural enlarged views 61A-400/401 for basement, first and second levels.</v>
      </c>
      <c r="F938" s="106">
        <f>B70_TR_Assessment!$C$135</f>
        <v>0</v>
      </c>
      <c r="G938" s="106">
        <f>B70_TR_Assessment!$D$135</f>
        <v>0</v>
      </c>
      <c r="H938" s="106">
        <f>B70_TR_Assessment!$E$135</f>
        <v>0</v>
      </c>
      <c r="I938" s="106">
        <f>B70_TR_Assessment!$F$135</f>
        <v>0</v>
      </c>
      <c r="J938" s="106">
        <f>B70_TR_Assessment!$G$135</f>
        <v>0</v>
      </c>
      <c r="K938" s="106">
        <f>B70_TR_Assessment!$H$135</f>
        <v>0</v>
      </c>
      <c r="L938" s="106">
        <f>B70_TR_Assessment!$I$135</f>
        <v>0</v>
      </c>
    </row>
    <row r="939" spans="1:12" ht="97.5" customHeight="1">
      <c r="A939" s="106">
        <f>B70_TR_Assessment!$B$2</f>
        <v>70</v>
      </c>
      <c r="B939" s="106" t="str">
        <f t="shared" si="89"/>
        <v>B62_TR_Assessment</v>
      </c>
      <c r="C939" s="106" t="str">
        <f>B70_TR_Assessment!$A$285</f>
        <v>Verify dedicated panel assignments.</v>
      </c>
      <c r="D939" s="142" t="str">
        <f>B70_TR_Assessment!$A$136</f>
        <v>Mechanical Basis</v>
      </c>
      <c r="E939" s="142" t="str">
        <f>B70_TR_Assessment!$B$136</f>
        <v>61M sheets identify dedicated split-system cooling for telecom rooms using IU-0-01/IU-1-01/IU-2-01 and CU-0-01/CU-1-01/CU-2-01, with BACnet adapter mounted adjacent to unit in telecom room; verify emergency power, condensate and alarms.</v>
      </c>
      <c r="F939" s="106">
        <f>B70_TR_Assessment!$C$136</f>
        <v>0</v>
      </c>
      <c r="G939" s="106">
        <f>B70_TR_Assessment!$D$136</f>
        <v>0</v>
      </c>
      <c r="H939" s="106">
        <f>B70_TR_Assessment!$E$136</f>
        <v>0</v>
      </c>
      <c r="I939" s="106">
        <f>B70_TR_Assessment!$F$136</f>
        <v>0</v>
      </c>
      <c r="J939" s="106">
        <f>B70_TR_Assessment!$G$136</f>
        <v>0</v>
      </c>
      <c r="K939" s="106">
        <f>B70_TR_Assessment!$H$136</f>
        <v>0</v>
      </c>
      <c r="L939" s="106">
        <f>B70_TR_Assessment!$I$136</f>
        <v>0</v>
      </c>
    </row>
    <row r="940" spans="1:12" ht="97.5" customHeight="1">
      <c r="A940" s="106">
        <f>B70_TR_Assessment!$B$2</f>
        <v>70</v>
      </c>
      <c r="B940" s="106" t="str">
        <f t="shared" si="89"/>
        <v>B62_TR_Assessment</v>
      </c>
      <c r="C940" s="106" t="str">
        <f>B70_TR_Assessment!$A$286</f>
        <v>Verify UPS installation and ratings.</v>
      </c>
      <c r="D940" s="142" t="str">
        <f>B70_TR_Assessment!$A$137</f>
        <v>Electrical Basis</v>
      </c>
      <c r="E940" s="142" t="str">
        <f>B70_TR_Assessment!$B$137</f>
        <v>61E-401/402/601/701/702/703 identify B61 telecom panelboards and PD panels including B61-TRB13A/B, B61-TR124A/B, B61-TR226A/B, B61-TR137AA/AB, rack receptacles, SPDs, UPS/PDU and cooling equipment circuits.</v>
      </c>
      <c r="F940" s="106">
        <f>B70_TR_Assessment!$C$137</f>
        <v>0</v>
      </c>
      <c r="G940" s="106">
        <f>B70_TR_Assessment!$D$137</f>
        <v>0</v>
      </c>
      <c r="H940" s="106">
        <f>B70_TR_Assessment!$E$137</f>
        <v>0</v>
      </c>
      <c r="I940" s="106">
        <f>B70_TR_Assessment!$F$137</f>
        <v>0</v>
      </c>
      <c r="J940" s="106">
        <f>B70_TR_Assessment!$G$137</f>
        <v>0</v>
      </c>
      <c r="K940" s="106">
        <f>B70_TR_Assessment!$H$137</f>
        <v>0</v>
      </c>
      <c r="L940" s="106">
        <f>B70_TR_Assessment!$I$137</f>
        <v>0</v>
      </c>
    </row>
    <row r="941" spans="1:12" ht="97.5" customHeight="1">
      <c r="A941" s="106">
        <f>B70_TR_Assessment!$B$2</f>
        <v>70</v>
      </c>
      <c r="B941" s="106" t="str">
        <f t="shared" si="89"/>
        <v>B62_TR_Assessment</v>
      </c>
      <c r="C941" s="106" t="str">
        <f>B70_TR_Assessment!$A$287</f>
        <v>Verify rack power distribution units.</v>
      </c>
      <c r="D941" s="142" t="str">
        <f>B70_TR_Assessment!$A$138</f>
        <v>Telecom Basis</v>
      </c>
      <c r="E941" s="142" t="str">
        <f>B70_TR_Assessment!$B$138</f>
        <v>61T-701/702 identify B13H-A: 88 WAO, 74 active, 129 scheduled, 142 with allowance; 226: 109 WAO, 126 active, 156 scheduled, 172 with allowance. Cable tray schedule totals 1,966 ft: basement 890 ft, first 499 ft, second 578 ft.</v>
      </c>
      <c r="F941" s="106">
        <f>B70_TR_Assessment!$C$138</f>
        <v>0</v>
      </c>
      <c r="G941" s="106">
        <f>B70_TR_Assessment!$D$138</f>
        <v>0</v>
      </c>
      <c r="H941" s="106">
        <f>B70_TR_Assessment!$E$138</f>
        <v>0</v>
      </c>
      <c r="I941" s="106">
        <f>B70_TR_Assessment!$F$138</f>
        <v>0</v>
      </c>
      <c r="J941" s="106">
        <f>B70_TR_Assessment!$G$138</f>
        <v>0</v>
      </c>
      <c r="K941" s="106">
        <f>B70_TR_Assessment!$H$138</f>
        <v>0</v>
      </c>
      <c r="L941" s="106">
        <f>B70_TR_Assessment!$I$138</f>
        <v>0</v>
      </c>
    </row>
    <row r="942" spans="1:12" ht="97.5" customHeight="1">
      <c r="A942" s="106">
        <f>B70_TR_Assessment!$B$2</f>
        <v>70</v>
      </c>
      <c r="B942" s="106" t="str">
        <f t="shared" si="89"/>
        <v>B62_TR_Assessment</v>
      </c>
      <c r="C942" s="106" t="str">
        <f>B70_TR_Assessment!$A$288</f>
        <v>Verify emergency power source.</v>
      </c>
      <c r="D942" s="142" t="str">
        <f>B70_TR_Assessment!$A$139</f>
        <v>Server / Demarc Basis</v>
      </c>
      <c r="E942" s="142" t="str">
        <f>B70_TR_Assessment!$B$139</f>
        <v>61T-402/606/607 and 61R-900 reference Room 137/137A existing telecom/server/demarc racks, APC UPS/PDU, Fujitsu equipment, wall-mounted patch panels and active systems requiring protection-in-place and cutover coordination.</v>
      </c>
      <c r="F942" s="106">
        <f>B70_TR_Assessment!$C$139</f>
        <v>0</v>
      </c>
      <c r="G942" s="106">
        <f>B70_TR_Assessment!$D$139</f>
        <v>0</v>
      </c>
      <c r="H942" s="106">
        <f>B70_TR_Assessment!$E$139</f>
        <v>0</v>
      </c>
      <c r="I942" s="106">
        <f>B70_TR_Assessment!$F$139</f>
        <v>0</v>
      </c>
      <c r="J942" s="106">
        <f>B70_TR_Assessment!$G$139</f>
        <v>0</v>
      </c>
      <c r="K942" s="106">
        <f>B70_TR_Assessment!$H$139</f>
        <v>0</v>
      </c>
      <c r="L942" s="106">
        <f>B70_TR_Assessment!$I$139</f>
        <v>0</v>
      </c>
    </row>
    <row r="943" spans="1:12" ht="97.5" customHeight="1">
      <c r="A943" s="106">
        <f>B70_TR_Assessment!$B$2</f>
        <v>70</v>
      </c>
      <c r="B943" s="106" t="str">
        <f t="shared" si="89"/>
        <v>B62_TR_Assessment</v>
      </c>
      <c r="C943" s="106" t="str">
        <f>B70_TR_Assessment!$A$289</f>
        <v>Verify grounding and bonding requirements.</v>
      </c>
      <c r="D943" s="142" t="str">
        <f>B70_TR_Assessment!$A$140</f>
        <v>Operational Basis</v>
      </c>
      <c r="E943" s="142" t="str">
        <f>B70_TR_Assessment!$B$140</f>
        <v>Cover/general notes require existing ports replaced, conduit reuse where possible, 10% data-port allowance, coordination drawings, third-party inspections, commissioning/recommissioning, VA acceptance before active connections, and shutdowns limited one at a time.</v>
      </c>
      <c r="F943" s="106">
        <f>B70_TR_Assessment!$C$140</f>
        <v>0</v>
      </c>
      <c r="G943" s="106">
        <f>B70_TR_Assessment!$D$140</f>
        <v>0</v>
      </c>
      <c r="H943" s="106">
        <f>B70_TR_Assessment!$E$140</f>
        <v>0</v>
      </c>
      <c r="I943" s="106">
        <f>B70_TR_Assessment!$F$140</f>
        <v>0</v>
      </c>
      <c r="J943" s="106">
        <f>B70_TR_Assessment!$G$140</f>
        <v>0</v>
      </c>
      <c r="K943" s="106">
        <f>B70_TR_Assessment!$H$140</f>
        <v>0</v>
      </c>
      <c r="L943" s="106">
        <f>B70_TR_Assessment!$I$140</f>
        <v>0</v>
      </c>
    </row>
    <row r="944" spans="1:12" ht="97.5" customHeight="1">
      <c r="A944" s="106">
        <f>B70_TR_Assessment!$B$2</f>
        <v>70</v>
      </c>
      <c r="B944" s="106" t="str">
        <f t="shared" si="89"/>
        <v>B62_TR_Assessment</v>
      </c>
      <c r="C944" s="106" t="str">
        <f>B70_TR_Assessment!$A$290</f>
        <v>Verify circuit identification and labeling.</v>
      </c>
      <c r="D944" s="142">
        <f>B70_TR_Assessment!$A$141</f>
        <v>0</v>
      </c>
      <c r="E944" s="142">
        <f>B70_TR_Assessment!$B$141</f>
        <v>0</v>
      </c>
      <c r="F944" s="106">
        <f>B70_TR_Assessment!$C$141</f>
        <v>0</v>
      </c>
      <c r="G944" s="106">
        <f>B70_TR_Assessment!$D$141</f>
        <v>0</v>
      </c>
      <c r="H944" s="106">
        <f>B70_TR_Assessment!$E$141</f>
        <v>0</v>
      </c>
      <c r="I944" s="106">
        <f>B70_TR_Assessment!$F$141</f>
        <v>0</v>
      </c>
      <c r="J944" s="106">
        <f>B70_TR_Assessment!$G$141</f>
        <v>0</v>
      </c>
      <c r="K944" s="106">
        <f>B70_TR_Assessment!$H$141</f>
        <v>0</v>
      </c>
      <c r="L944" s="106">
        <f>B70_TR_Assessment!$I$141</f>
        <v>0</v>
      </c>
    </row>
    <row r="945" spans="1:12" ht="97.5" customHeight="1">
      <c r="A945" s="106">
        <f>B70_TR_Assessment!$B$2</f>
        <v>70</v>
      </c>
      <c r="B945" s="106" t="str">
        <f t="shared" si="89"/>
        <v>B62_TR_Assessment</v>
      </c>
      <c r="C945" s="106" t="str">
        <f>B70_TR_Assessment!$A$292</f>
        <v>Telecommunications</v>
      </c>
      <c r="D945" s="142" t="str">
        <f>B70_TR_Assessment!$A$143</f>
        <v>Purpose</v>
      </c>
      <c r="E945" s="142" t="str">
        <f>B70_TR_Assessment!$B$143</f>
        <v>Use this as the objective completion gate for pilot turnover. A building/pilot stays YELLOW until all eight gates are complete.</v>
      </c>
      <c r="F945" s="106">
        <f>B70_TR_Assessment!$C$143</f>
        <v>0</v>
      </c>
      <c r="G945" s="106">
        <f>B70_TR_Assessment!$D$143</f>
        <v>0</v>
      </c>
      <c r="H945" s="106">
        <f>B70_TR_Assessment!$E$143</f>
        <v>0</v>
      </c>
      <c r="I945" s="106">
        <f>B70_TR_Assessment!$F$143</f>
        <v>0</v>
      </c>
      <c r="J945" s="106">
        <f>B70_TR_Assessment!$G$143</f>
        <v>0</v>
      </c>
      <c r="K945" s="106">
        <f>B70_TR_Assessment!$H$143</f>
        <v>0</v>
      </c>
      <c r="L945" s="106">
        <f>B70_TR_Assessment!$I$143</f>
        <v>0</v>
      </c>
    </row>
    <row r="946" spans="1:12" ht="97.5" customHeight="1">
      <c r="A946" s="106">
        <f>B70_TR_Assessment!$B$2</f>
        <v>70</v>
      </c>
      <c r="B946" s="106" t="str">
        <f t="shared" si="89"/>
        <v>B62_TR_Assessment</v>
      </c>
      <c r="C946" s="106" t="str">
        <f>B70_TR_Assessment!$A$294</f>
        <v>Install and/or verify new equipment racks.</v>
      </c>
      <c r="D946" s="142">
        <f>B70_TR_Assessment!$A$145</f>
        <v>0</v>
      </c>
      <c r="E946" s="142">
        <f>B70_TR_Assessment!$B$145</f>
        <v>0</v>
      </c>
      <c r="F946" s="106">
        <f>B70_TR_Assessment!$C$145</f>
        <v>0</v>
      </c>
      <c r="G946" s="106">
        <f>B70_TR_Assessment!$D$145</f>
        <v>0</v>
      </c>
      <c r="H946" s="106">
        <f>B70_TR_Assessment!$E$145</f>
        <v>0</v>
      </c>
      <c r="I946" s="106">
        <f>B70_TR_Assessment!$F$145</f>
        <v>0</v>
      </c>
      <c r="J946" s="106">
        <f>B70_TR_Assessment!$G$145</f>
        <v>0</v>
      </c>
      <c r="K946" s="106">
        <f>B70_TR_Assessment!$H$145</f>
        <v>0</v>
      </c>
      <c r="L946" s="106">
        <f>B70_TR_Assessment!$I$145</f>
        <v>0</v>
      </c>
    </row>
    <row r="947" spans="1:12" ht="97.5" customHeight="1">
      <c r="A947" s="106">
        <f>B70_TR_Assessment!$B$2</f>
        <v>70</v>
      </c>
      <c r="B947" s="106" t="str">
        <f t="shared" si="89"/>
        <v>B62_TR_Assessment</v>
      </c>
      <c r="C947" s="106" t="str">
        <f>B70_TR_Assessment!$A$295</f>
        <v>Install vertical and horizontal cable management.</v>
      </c>
      <c r="D947" s="142" t="str">
        <f>B70_TR_Assessment!$A$146</f>
        <v>Requirement</v>
      </c>
      <c r="E947" s="142" t="str">
        <f>B70_TR_Assessment!$B$146</f>
        <v>Status</v>
      </c>
      <c r="F947" s="106" t="str">
        <f>B70_TR_Assessment!$C$146</f>
        <v>Evidence / Link</v>
      </c>
      <c r="G947" s="106" t="str">
        <f>B70_TR_Assessment!$D$146</f>
        <v>Date</v>
      </c>
      <c r="H947" s="106" t="str">
        <f>B70_TR_Assessment!$E$146</f>
        <v>Owner</v>
      </c>
      <c r="I947" s="106" t="str">
        <f>B70_TR_Assessment!$F$146</f>
        <v>QC Notes</v>
      </c>
      <c r="J947" s="106" t="str">
        <f>B70_TR_Assessment!$G$146</f>
        <v>Gate Met?</v>
      </c>
      <c r="K947" s="106" t="str">
        <f>B70_TR_Assessment!$H$146</f>
        <v>Dashboard Signal</v>
      </c>
      <c r="L947" s="106">
        <f>B70_TR_Assessment!$I$146</f>
        <v>0</v>
      </c>
    </row>
    <row r="948" spans="1:12" ht="97.5" customHeight="1">
      <c r="A948" s="106">
        <f>B70_TR_Assessment!$B$2</f>
        <v>70</v>
      </c>
      <c r="B948" s="106" t="str">
        <f t="shared" si="89"/>
        <v>B62_TR_Assessment</v>
      </c>
      <c r="C948" s="106" t="str">
        <f>B70_TR_Assessment!$A$296</f>
        <v>Install grounding busbars.</v>
      </c>
      <c r="D948" s="142" t="str">
        <f>B70_TR_Assessment!$A$147</f>
        <v>Approved Submittals</v>
      </c>
      <c r="E948" s="142" t="str">
        <f>B70_TR_Assessment!$B$147</f>
        <v>No</v>
      </c>
      <c r="F948" s="106">
        <f>B70_TR_Assessment!$C$147</f>
        <v>0</v>
      </c>
      <c r="G948" s="106">
        <f>B70_TR_Assessment!$D$147</f>
        <v>0</v>
      </c>
      <c r="H948" s="106">
        <f>B70_TR_Assessment!$E$147</f>
        <v>0</v>
      </c>
      <c r="I948" s="106">
        <f>B70_TR_Assessment!$F$147</f>
        <v>0</v>
      </c>
      <c r="J948" s="106" t="str">
        <f>B70_TR_Assessment!$G$147</f>
        <v>🟡</v>
      </c>
      <c r="K948" s="106">
        <f>B70_TR_Assessment!$H$147</f>
        <v>0</v>
      </c>
      <c r="L948" s="106">
        <f>B70_TR_Assessment!$I$147</f>
        <v>0</v>
      </c>
    </row>
    <row r="949" spans="1:12" ht="97.5" customHeight="1">
      <c r="A949" s="106">
        <f>B70_TR_Assessment!$B$2</f>
        <v>70</v>
      </c>
      <c r="B949" s="106" t="str">
        <f t="shared" si="89"/>
        <v>B62_TR_Assessment</v>
      </c>
      <c r="C949" s="106" t="str">
        <f>B70_TR_Assessment!$A$297</f>
        <v>Install fiber termination shelves.</v>
      </c>
      <c r="D949" s="142" t="str">
        <f>B70_TR_Assessment!$A$148</f>
        <v>ICRA / PCRA</v>
      </c>
      <c r="E949" s="142" t="str">
        <f>B70_TR_Assessment!$B$148</f>
        <v>No</v>
      </c>
      <c r="F949" s="106">
        <f>B70_TR_Assessment!$C$148</f>
        <v>0</v>
      </c>
      <c r="G949" s="106">
        <f>B70_TR_Assessment!$D$148</f>
        <v>0</v>
      </c>
      <c r="H949" s="106">
        <f>B70_TR_Assessment!$E$148</f>
        <v>0</v>
      </c>
      <c r="I949" s="106">
        <f>B70_TR_Assessment!$F$148</f>
        <v>0</v>
      </c>
      <c r="J949" s="106" t="str">
        <f>B70_TR_Assessment!$G$148</f>
        <v>🟡</v>
      </c>
      <c r="K949" s="106">
        <f>B70_TR_Assessment!$H$148</f>
        <v>0</v>
      </c>
      <c r="L949" s="106">
        <f>B70_TR_Assessment!$I$148</f>
        <v>0</v>
      </c>
    </row>
    <row r="950" spans="1:12" ht="97.5" customHeight="1">
      <c r="A950" s="106">
        <f>B70_TR_Assessment!$B$2</f>
        <v>70</v>
      </c>
      <c r="B950" s="106" t="str">
        <f t="shared" si="89"/>
        <v>B62_TR_Assessment</v>
      </c>
      <c r="C950" s="106" t="str">
        <f>B70_TR_Assessment!$A$298</f>
        <v>Install patch panels.</v>
      </c>
      <c r="D950" s="142" t="str">
        <f>B70_TR_Assessment!$A$149</f>
        <v>QA/QC Reports</v>
      </c>
      <c r="E950" s="142" t="str">
        <f>B70_TR_Assessment!$B$149</f>
        <v>No</v>
      </c>
      <c r="F950" s="106">
        <f>B70_TR_Assessment!$C$149</f>
        <v>0</v>
      </c>
      <c r="G950" s="106">
        <f>B70_TR_Assessment!$D$149</f>
        <v>0</v>
      </c>
      <c r="H950" s="106">
        <f>B70_TR_Assessment!$E$149</f>
        <v>0</v>
      </c>
      <c r="I950" s="106">
        <f>B70_TR_Assessment!$F$149</f>
        <v>0</v>
      </c>
      <c r="J950" s="106" t="str">
        <f>B70_TR_Assessment!$G$149</f>
        <v>🟡</v>
      </c>
      <c r="K950" s="106">
        <f>B70_TR_Assessment!$H$149</f>
        <v>0</v>
      </c>
      <c r="L950" s="106">
        <f>B70_TR_Assessment!$I$149</f>
        <v>0</v>
      </c>
    </row>
    <row r="951" spans="1:12" ht="97.5" customHeight="1">
      <c r="A951" s="106">
        <f>B70_TR_Assessment!$B$2</f>
        <v>70</v>
      </c>
      <c r="B951" s="106" t="str">
        <f t="shared" si="89"/>
        <v>B62_TR_Assessment</v>
      </c>
      <c r="C951" s="106" t="str">
        <f>B70_TR_Assessment!$A$299</f>
        <v>Verify Cat6A and fiber terminations.</v>
      </c>
      <c r="D951" s="142" t="str">
        <f>B70_TR_Assessment!$A$150</f>
        <v>Firestopping</v>
      </c>
      <c r="E951" s="142" t="str">
        <f>B70_TR_Assessment!$B$150</f>
        <v>No</v>
      </c>
      <c r="F951" s="106">
        <f>B70_TR_Assessment!$C$150</f>
        <v>0</v>
      </c>
      <c r="G951" s="106">
        <f>B70_TR_Assessment!$D$150</f>
        <v>0</v>
      </c>
      <c r="H951" s="106">
        <f>B70_TR_Assessment!$E$150</f>
        <v>0</v>
      </c>
      <c r="I951" s="106">
        <f>B70_TR_Assessment!$F$150</f>
        <v>0</v>
      </c>
      <c r="J951" s="106" t="str">
        <f>B70_TR_Assessment!$G$150</f>
        <v>🟡</v>
      </c>
      <c r="K951" s="106">
        <f>B70_TR_Assessment!$H$150</f>
        <v>0</v>
      </c>
      <c r="L951" s="106">
        <f>B70_TR_Assessment!$I$150</f>
        <v>0</v>
      </c>
    </row>
    <row r="952" spans="1:12" ht="97.5" customHeight="1">
      <c r="A952" s="106">
        <f>B70_TR_Assessment!$B$2</f>
        <v>70</v>
      </c>
      <c r="B952" s="106" t="str">
        <f t="shared" si="89"/>
        <v>B62_TR_Assessment</v>
      </c>
      <c r="C952" s="106" t="str">
        <f>B70_TR_Assessment!$A$300</f>
        <v>Verify cable labeling.</v>
      </c>
      <c r="D952" s="142" t="str">
        <f>B70_TR_Assessment!$A$151</f>
        <v>Cable Tests</v>
      </c>
      <c r="E952" s="142" t="str">
        <f>B70_TR_Assessment!$B$151</f>
        <v>No</v>
      </c>
      <c r="F952" s="106">
        <f>B70_TR_Assessment!$C$151</f>
        <v>0</v>
      </c>
      <c r="G952" s="106">
        <f>B70_TR_Assessment!$D$151</f>
        <v>0</v>
      </c>
      <c r="H952" s="106">
        <f>B70_TR_Assessment!$E$151</f>
        <v>0</v>
      </c>
      <c r="I952" s="106">
        <f>B70_TR_Assessment!$F$151</f>
        <v>0</v>
      </c>
      <c r="J952" s="106" t="str">
        <f>B70_TR_Assessment!$G$151</f>
        <v>🟡</v>
      </c>
      <c r="K952" s="106">
        <f>B70_TR_Assessment!$H$151</f>
        <v>0</v>
      </c>
      <c r="L952" s="106">
        <f>B70_TR_Assessment!$I$151</f>
        <v>0</v>
      </c>
    </row>
    <row r="953" spans="1:12" ht="97.5" customHeight="1">
      <c r="A953" s="106">
        <f>B70_TR_Assessment!$B$2</f>
        <v>70</v>
      </c>
      <c r="B953" s="106" t="str">
        <f t="shared" si="89"/>
        <v>B62_TR_Assessment</v>
      </c>
      <c r="C953" s="106" t="str">
        <f>B70_TR_Assessment!$A$301</f>
        <v>Test and certify all copper and fiber cabling.</v>
      </c>
      <c r="D953" s="142" t="str">
        <f>B70_TR_Assessment!$A$152</f>
        <v>OIT Acceptance</v>
      </c>
      <c r="E953" s="142" t="str">
        <f>B70_TR_Assessment!$B$152</f>
        <v>No</v>
      </c>
      <c r="F953" s="106">
        <f>B70_TR_Assessment!$C$152</f>
        <v>0</v>
      </c>
      <c r="G953" s="106">
        <f>B70_TR_Assessment!$D$152</f>
        <v>0</v>
      </c>
      <c r="H953" s="106">
        <f>B70_TR_Assessment!$E$152</f>
        <v>0</v>
      </c>
      <c r="I953" s="106">
        <f>B70_TR_Assessment!$F$152</f>
        <v>0</v>
      </c>
      <c r="J953" s="106" t="str">
        <f>B70_TR_Assessment!$G$152</f>
        <v>🟡</v>
      </c>
      <c r="K953" s="106">
        <f>B70_TR_Assessment!$H$152</f>
        <v>0</v>
      </c>
      <c r="L953" s="106">
        <f>B70_TR_Assessment!$I$152</f>
        <v>0</v>
      </c>
    </row>
    <row r="954" spans="1:12" ht="97.5" customHeight="1">
      <c r="A954" s="106">
        <f>B70_TR_Assessment!$B$2</f>
        <v>70</v>
      </c>
      <c r="B954" s="106" t="str">
        <f t="shared" ref="B954:B981" si="90">"B70_TR_Assessment"</f>
        <v>B70_TR_Assessment</v>
      </c>
      <c r="C954" s="106" t="str">
        <f>B70_TR_Assessment!$A$302</f>
        <v>Verify compliance with OIT standards.</v>
      </c>
      <c r="D954" s="142" t="str">
        <f>B70_TR_Assessment!$A$153</f>
        <v>Photos</v>
      </c>
      <c r="E954" s="142" t="str">
        <f>B70_TR_Assessment!$B$153</f>
        <v>No</v>
      </c>
      <c r="F954" s="106">
        <f>B70_TR_Assessment!$C$153</f>
        <v>0</v>
      </c>
      <c r="G954" s="106">
        <f>B70_TR_Assessment!$D$153</f>
        <v>0</v>
      </c>
      <c r="H954" s="106">
        <f>B70_TR_Assessment!$E$153</f>
        <v>0</v>
      </c>
      <c r="I954" s="106">
        <f>B70_TR_Assessment!$F$153</f>
        <v>0</v>
      </c>
      <c r="J954" s="106" t="str">
        <f>B70_TR_Assessment!$G$153</f>
        <v>🟡</v>
      </c>
      <c r="K954" s="106">
        <f>B70_TR_Assessment!$H$153</f>
        <v>0</v>
      </c>
      <c r="L954" s="106">
        <f>B70_TR_Assessment!$I$153</f>
        <v>0</v>
      </c>
    </row>
    <row r="955" spans="1:12" ht="97.5" customHeight="1">
      <c r="A955" s="106">
        <f>B70_TR_Assessment!$B$2</f>
        <v>70</v>
      </c>
      <c r="B955" s="106" t="str">
        <f t="shared" si="90"/>
        <v>B70_TR_Assessment</v>
      </c>
      <c r="C955" s="106" t="str">
        <f>B70_TR_Assessment!$A$304</f>
        <v>Security</v>
      </c>
      <c r="D955" s="142" t="str">
        <f>B70_TR_Assessment!$A$155</f>
        <v>Requirement</v>
      </c>
      <c r="E955" s="142" t="str">
        <f>B70_TR_Assessment!$B$155</f>
        <v>What it Means</v>
      </c>
      <c r="F955" s="106">
        <f>B70_TR_Assessment!$C$155</f>
        <v>0</v>
      </c>
      <c r="G955" s="106">
        <f>B70_TR_Assessment!$D$155</f>
        <v>0</v>
      </c>
      <c r="H955" s="106" t="str">
        <f>B70_TR_Assessment!$E$155</f>
        <v>Verification</v>
      </c>
      <c r="I955" s="106">
        <f>B70_TR_Assessment!$F$155</f>
        <v>0</v>
      </c>
      <c r="J955" s="106">
        <f>B70_TR_Assessment!$G$155</f>
        <v>0</v>
      </c>
      <c r="K955" s="106">
        <f>B70_TR_Assessment!$H$155</f>
        <v>0</v>
      </c>
      <c r="L955" s="106">
        <f>B70_TR_Assessment!$I$155</f>
        <v>0</v>
      </c>
    </row>
    <row r="956" spans="1:12" ht="97.5" customHeight="1">
      <c r="A956" s="106">
        <f>B70_TR_Assessment!$B$2</f>
        <v>70</v>
      </c>
      <c r="B956" s="106" t="str">
        <f t="shared" si="90"/>
        <v>B70_TR_Assessment</v>
      </c>
      <c r="C956" s="106" t="str">
        <f>B70_TR_Assessment!$A$306</f>
        <v>Verify PACS access control for all TR doors.</v>
      </c>
      <c r="D956" s="142" t="str">
        <f>B70_TR_Assessment!$A$157</f>
        <v>ICRA / PCRA</v>
      </c>
      <c r="E956" s="142" t="str">
        <f>B70_TR_Assessment!$B$157</f>
        <v>The required Infection Control Risk Assessment and Pre-Construction Risk Assessment were approved, implemented, and maintained throughout construction.</v>
      </c>
      <c r="F956" s="106">
        <f>B70_TR_Assessment!$C$157</f>
        <v>0</v>
      </c>
      <c r="G956" s="106">
        <f>B70_TR_Assessment!$D$157</f>
        <v>0</v>
      </c>
      <c r="H956" s="106" t="str">
        <f>B70_TR_Assessment!$E$157</f>
        <v>Confirm approved plans, barrier inspections, negative air documentation (if applicable), housekeeping, and final removal procedures.</v>
      </c>
      <c r="I956" s="106">
        <f>B70_TR_Assessment!$F$157</f>
        <v>0</v>
      </c>
      <c r="J956" s="106">
        <f>B70_TR_Assessment!$G$157</f>
        <v>0</v>
      </c>
      <c r="K956" s="106">
        <f>B70_TR_Assessment!$H$157</f>
        <v>0</v>
      </c>
      <c r="L956" s="106">
        <f>B70_TR_Assessment!$I$157</f>
        <v>0</v>
      </c>
    </row>
    <row r="957" spans="1:12" ht="97.5" customHeight="1">
      <c r="A957" s="106">
        <f>B70_TR_Assessment!$B$2</f>
        <v>70</v>
      </c>
      <c r="B957" s="106" t="str">
        <f t="shared" si="90"/>
        <v>B70_TR_Assessment</v>
      </c>
      <c r="C957" s="106" t="str">
        <f>B70_TR_Assessment!$A$307</f>
        <v>Verify card reader operation.</v>
      </c>
      <c r="D957" s="142" t="str">
        <f>B70_TR_Assessment!$A$158</f>
        <v>QA/QC Reports</v>
      </c>
      <c r="E957" s="142" t="str">
        <f>B70_TR_Assessment!$B$158</f>
        <v>Contractor quality inspections have been completed and documented.</v>
      </c>
      <c r="F957" s="106">
        <f>B70_TR_Assessment!$C$158</f>
        <v>0</v>
      </c>
      <c r="G957" s="106">
        <f>B70_TR_Assessment!$D$158</f>
        <v>0</v>
      </c>
      <c r="H957" s="106" t="str">
        <f>B70_TR_Assessment!$E$158</f>
        <v>Review QC reports, inspection checklists, deficiency logs, corrective actions, and daily QC documentation.</v>
      </c>
      <c r="I957" s="106">
        <f>B70_TR_Assessment!$F$158</f>
        <v>0</v>
      </c>
      <c r="J957" s="106">
        <f>B70_TR_Assessment!$G$158</f>
        <v>0</v>
      </c>
      <c r="K957" s="106">
        <f>B70_TR_Assessment!$H$158</f>
        <v>0</v>
      </c>
      <c r="L957" s="106">
        <f>B70_TR_Assessment!$I$158</f>
        <v>0</v>
      </c>
    </row>
    <row r="958" spans="1:12" ht="97.5" customHeight="1">
      <c r="A958" s="106">
        <f>B70_TR_Assessment!$B$2</f>
        <v>70</v>
      </c>
      <c r="B958" s="106" t="str">
        <f t="shared" si="90"/>
        <v>B70_TR_Assessment</v>
      </c>
      <c r="C958" s="106" t="str">
        <f>B70_TR_Assessment!$A$308</f>
        <v>Verify door position monitoring.</v>
      </c>
      <c r="D958" s="142" t="str">
        <f>B70_TR_Assessment!$A$159</f>
        <v>Firestopping</v>
      </c>
      <c r="E958" s="142" t="str">
        <f>B70_TR_Assessment!$B$159</f>
        <v>Every penetration through rated walls, floors, and ceilings has been properly firestopped with approved systems.</v>
      </c>
      <c r="F958" s="106">
        <f>B70_TR_Assessment!$C$159</f>
        <v>0</v>
      </c>
      <c r="G958" s="106">
        <f>B70_TR_Assessment!$D$159</f>
        <v>0</v>
      </c>
      <c r="H958" s="106" t="str">
        <f>B70_TR_Assessment!$E$159</f>
        <v>Inspect penetrations, verify UL systems, labels, installation quality, and documentation/photos.</v>
      </c>
      <c r="I958" s="106">
        <f>B70_TR_Assessment!$F$159</f>
        <v>0</v>
      </c>
      <c r="J958" s="106">
        <f>B70_TR_Assessment!$G$159</f>
        <v>0</v>
      </c>
      <c r="K958" s="106">
        <f>B70_TR_Assessment!$H$159</f>
        <v>0</v>
      </c>
      <c r="L958" s="106">
        <f>B70_TR_Assessment!$I$159</f>
        <v>0</v>
      </c>
    </row>
    <row r="959" spans="1:12" ht="97.5" customHeight="1">
      <c r="A959" s="106">
        <f>B70_TR_Assessment!$B$2</f>
        <v>70</v>
      </c>
      <c r="B959" s="106" t="str">
        <f t="shared" si="90"/>
        <v>B70_TR_Assessment</v>
      </c>
      <c r="C959" s="106" t="str">
        <f>B70_TR_Assessment!$A$309</f>
        <v>Verify camera coverage where required.</v>
      </c>
      <c r="D959" s="142" t="str">
        <f>B70_TR_Assessment!$A$160</f>
        <v>Cable Tests</v>
      </c>
      <c r="E959" s="142" t="str">
        <f>B70_TR_Assessment!$B$160</f>
        <v>All network, fiber, and communication cabling has passed required testing.</v>
      </c>
      <c r="F959" s="106">
        <f>B70_TR_Assessment!$C$160</f>
        <v>0</v>
      </c>
      <c r="G959" s="106">
        <f>B70_TR_Assessment!$D$160</f>
        <v>0</v>
      </c>
      <c r="H959" s="106" t="str">
        <f>B70_TR_Assessment!$E$160</f>
        <v>Verify copper certification reports, fiber OTDR/power meter results, labeling, and test documentation.</v>
      </c>
      <c r="I959" s="106">
        <f>B70_TR_Assessment!$F$160</f>
        <v>0</v>
      </c>
      <c r="J959" s="106">
        <f>B70_TR_Assessment!$G$160</f>
        <v>0</v>
      </c>
      <c r="K959" s="106">
        <f>B70_TR_Assessment!$H$160</f>
        <v>0</v>
      </c>
      <c r="L959" s="106">
        <f>B70_TR_Assessment!$I$160</f>
        <v>0</v>
      </c>
    </row>
    <row r="960" spans="1:12" ht="97.5" customHeight="1">
      <c r="A960" s="106">
        <f>B70_TR_Assessment!$B$2</f>
        <v>70</v>
      </c>
      <c r="B960" s="106" t="str">
        <f t="shared" si="90"/>
        <v>B70_TR_Assessment</v>
      </c>
      <c r="C960" s="106" t="str">
        <f>B70_TR_Assessment!$A$310</f>
        <v>Verify integration with existing VA security systems.</v>
      </c>
      <c r="D960" s="142" t="str">
        <f>B70_TR_Assessment!$A$161</f>
        <v>OIT Acceptance</v>
      </c>
      <c r="E960" s="142" t="str">
        <f>B70_TR_Assessment!$B$161</f>
        <v>VA Office of Information &amp; Technology has inspected and accepted the installed IT infrastructure.</v>
      </c>
      <c r="F960" s="106">
        <f>B70_TR_Assessment!$C$161</f>
        <v>0</v>
      </c>
      <c r="G960" s="106">
        <f>B70_TR_Assessment!$D$161</f>
        <v>0</v>
      </c>
      <c r="H960" s="106" t="str">
        <f>B70_TR_Assessment!$E$161</f>
        <v>Obtain written acceptance or signoff from OIT confirming systems are operational and acceptable.</v>
      </c>
      <c r="I960" s="106">
        <f>B70_TR_Assessment!$F$161</f>
        <v>0</v>
      </c>
      <c r="J960" s="106">
        <f>B70_TR_Assessment!$G$161</f>
        <v>0</v>
      </c>
      <c r="K960" s="106">
        <f>B70_TR_Assessment!$H$161</f>
        <v>0</v>
      </c>
      <c r="L960" s="106">
        <f>B70_TR_Assessment!$I$161</f>
        <v>0</v>
      </c>
    </row>
    <row r="961" spans="1:12" ht="97.5" customHeight="1">
      <c r="A961" s="106">
        <f>B70_TR_Assessment!$B$2</f>
        <v>70</v>
      </c>
      <c r="B961" s="106" t="str">
        <f t="shared" si="90"/>
        <v>B70_TR_Assessment</v>
      </c>
      <c r="C961" s="106" t="str">
        <f>B70_TR_Assessment!$A$312</f>
        <v>Operational Risk Review</v>
      </c>
      <c r="D961" s="142" t="str">
        <f>B70_TR_Assessment!$A$163</f>
        <v>Zero Critical Punch Items</v>
      </c>
      <c r="E961" s="142" t="str">
        <f>B70_TR_Assessment!$B$163</f>
        <v>No life safety, code, operational, or mission-critical deficiencies remain. Minor cosmetic items may remain only if allowed by contract.</v>
      </c>
      <c r="F961" s="106">
        <f>B70_TR_Assessment!$C$163</f>
        <v>0</v>
      </c>
      <c r="G961" s="106">
        <f>B70_TR_Assessment!$D$163</f>
        <v>0</v>
      </c>
      <c r="H961" s="106" t="str">
        <f>B70_TR_Assessment!$E$163</f>
        <v>Walk the space and confirm all critical deficiencies have been corrected prior to turnover.</v>
      </c>
      <c r="I961" s="106">
        <f>B70_TR_Assessment!$F$163</f>
        <v>0</v>
      </c>
      <c r="J961" s="106">
        <f>B70_TR_Assessment!$G$163</f>
        <v>0</v>
      </c>
      <c r="K961" s="106">
        <f>B70_TR_Assessment!$H$163</f>
        <v>0</v>
      </c>
      <c r="L961" s="106">
        <f>B70_TR_Assessment!$I$163</f>
        <v>0</v>
      </c>
    </row>
    <row r="962" spans="1:12" ht="97.5" customHeight="1">
      <c r="A962" s="106">
        <f>B70_TR_Assessment!$B$2</f>
        <v>70</v>
      </c>
      <c r="B962" s="106" t="str">
        <f t="shared" si="90"/>
        <v>B70_TR_Assessment</v>
      </c>
      <c r="C962" s="106" t="str">
        <f>B70_TR_Assessment!$A$314</f>
        <v>Identify systems requiring uninterrupted operation.</v>
      </c>
      <c r="D962" s="142" t="str">
        <f>B70_TR_Assessment!$A$165</f>
        <v>Open Gate Count</v>
      </c>
      <c r="E962" s="142">
        <f>B70_TR_Assessment!$B$165</f>
        <v>8</v>
      </c>
      <c r="F962" s="106">
        <f>B70_TR_Assessment!$C$165</f>
        <v>0</v>
      </c>
      <c r="G962" s="106">
        <f>B70_TR_Assessment!$D$165</f>
        <v>0</v>
      </c>
      <c r="H962" s="106">
        <f>B70_TR_Assessment!$E$165</f>
        <v>0</v>
      </c>
      <c r="I962" s="106">
        <f>B70_TR_Assessment!$F$165</f>
        <v>0</v>
      </c>
      <c r="J962" s="106">
        <f>B70_TR_Assessment!$G$165</f>
        <v>0</v>
      </c>
      <c r="K962" s="106">
        <f>B70_TR_Assessment!$H$165</f>
        <v>0</v>
      </c>
      <c r="L962" s="106">
        <f>B70_TR_Assessment!$I$165</f>
        <v>0</v>
      </c>
    </row>
    <row r="963" spans="1:12" ht="97.5" customHeight="1">
      <c r="A963" s="106">
        <f>B70_TR_Assessment!$B$2</f>
        <v>70</v>
      </c>
      <c r="B963" s="106" t="str">
        <f t="shared" si="90"/>
        <v>B70_TR_Assessment</v>
      </c>
      <c r="C963" s="106" t="str">
        <f>B70_TR_Assessment!$A$315</f>
        <v>Develop cutover strategy.</v>
      </c>
      <c r="D963" s="142" t="str">
        <f>B70_TR_Assessment!$A$166</f>
        <v>Gate Completion</v>
      </c>
      <c r="E963" s="142" t="str">
        <f>B70_TR_Assessment!$B$166</f>
        <v>0 / 8 Complete</v>
      </c>
      <c r="F963" s="106">
        <f>B70_TR_Assessment!$C$166</f>
        <v>0</v>
      </c>
      <c r="G963" s="106">
        <f>B70_TR_Assessment!$D$166</f>
        <v>0</v>
      </c>
      <c r="H963" s="106">
        <f>B70_TR_Assessment!$E$166</f>
        <v>0</v>
      </c>
      <c r="I963" s="106">
        <f>B70_TR_Assessment!$F$166</f>
        <v>0</v>
      </c>
      <c r="J963" s="106">
        <f>B70_TR_Assessment!$G$166</f>
        <v>0</v>
      </c>
      <c r="K963" s="106">
        <f>B70_TR_Assessment!$H$166</f>
        <v>0</v>
      </c>
      <c r="L963" s="106">
        <f>B70_TR_Assessment!$I$166</f>
        <v>0</v>
      </c>
    </row>
    <row r="964" spans="1:12" ht="97.5" customHeight="1">
      <c r="A964" s="106">
        <f>B70_TR_Assessment!$B$2</f>
        <v>70</v>
      </c>
      <c r="B964" s="106" t="str">
        <f t="shared" si="90"/>
        <v>B70_TR_Assessment</v>
      </c>
      <c r="C964" s="106" t="str">
        <f>B70_TR_Assessment!$A$316</f>
        <v>Review outage requirements with VA OIT.</v>
      </c>
      <c r="D964" s="142" t="str">
        <f>B70_TR_Assessment!$A$167</f>
        <v>Command Center Rule</v>
      </c>
      <c r="E964" s="142" t="str">
        <f>B70_TR_Assessment!$B$167</f>
        <v>Tile remains YELLOW until B15 returns "🟢 PILOT COMPLETE / ACCEPTANCE READY"; then tile may turn GREEN.</v>
      </c>
      <c r="F964" s="106">
        <f>B70_TR_Assessment!$C$167</f>
        <v>0</v>
      </c>
      <c r="G964" s="106">
        <f>B70_TR_Assessment!$D$167</f>
        <v>0</v>
      </c>
      <c r="H964" s="106">
        <f>B70_TR_Assessment!$E$167</f>
        <v>0</v>
      </c>
      <c r="I964" s="106">
        <f>B70_TR_Assessment!$F$167</f>
        <v>0</v>
      </c>
      <c r="J964" s="106">
        <f>B70_TR_Assessment!$G$167</f>
        <v>0</v>
      </c>
      <c r="K964" s="106">
        <f>B70_TR_Assessment!$H$167</f>
        <v>0</v>
      </c>
      <c r="L964" s="106">
        <f>B70_TR_Assessment!$I$167</f>
        <v>0</v>
      </c>
    </row>
    <row r="965" spans="1:12" ht="97.5" customHeight="1">
      <c r="A965" s="106">
        <f>B70_TR_Assessment!$B$2</f>
        <v>70</v>
      </c>
      <c r="B965" s="106" t="str">
        <f t="shared" si="90"/>
        <v>B70_TR_Assessment</v>
      </c>
      <c r="C965" s="106" t="str">
        <f>B70_TR_Assessment!$A$317</f>
        <v>Review shutdown requirements with facilities staff.</v>
      </c>
      <c r="D965" s="142">
        <f>B70_TR_Assessment!$A$168</f>
        <v>0</v>
      </c>
      <c r="E965" s="142">
        <f>B70_TR_Assessment!$B$168</f>
        <v>0</v>
      </c>
      <c r="F965" s="106">
        <f>B70_TR_Assessment!$C$168</f>
        <v>0</v>
      </c>
      <c r="G965" s="106">
        <f>B70_TR_Assessment!$D$168</f>
        <v>0</v>
      </c>
      <c r="H965" s="106">
        <f>B70_TR_Assessment!$E$168</f>
        <v>0</v>
      </c>
      <c r="I965" s="106">
        <f>B70_TR_Assessment!$F$168</f>
        <v>0</v>
      </c>
      <c r="J965" s="106">
        <f>B70_TR_Assessment!$G$168</f>
        <v>0</v>
      </c>
      <c r="K965" s="106">
        <f>B70_TR_Assessment!$H$168</f>
        <v>0</v>
      </c>
      <c r="L965" s="106">
        <f>B70_TR_Assessment!$I$168</f>
        <v>0</v>
      </c>
    </row>
    <row r="966" spans="1:12" ht="97.5" customHeight="1">
      <c r="A966" s="106">
        <f>B70_TR_Assessment!$B$2</f>
        <v>70</v>
      </c>
      <c r="B966" s="106" t="str">
        <f t="shared" si="90"/>
        <v>B70_TR_Assessment</v>
      </c>
      <c r="C966" s="106" t="str">
        <f>B70_TR_Assessment!$A$318</f>
        <v>Verify no active services are removed before migration.</v>
      </c>
      <c r="D966" s="142" t="str">
        <f>B70_TR_Assessment!$A$169</f>
        <v>Suggested Building Tile Logic</v>
      </c>
      <c r="E966" s="142" t="str">
        <f>B70_TR_Assessment!$B$169</f>
        <v>Example only: =IF(COUNTIF(&lt;building_gate_status_range&gt;,"No")=0,"GREEN","YELLOW")</v>
      </c>
      <c r="F966" s="106">
        <f>B70_TR_Assessment!$C$169</f>
        <v>0</v>
      </c>
      <c r="G966" s="106">
        <f>B70_TR_Assessment!$D$169</f>
        <v>0</v>
      </c>
      <c r="H966" s="106">
        <f>B70_TR_Assessment!$E$169</f>
        <v>0</v>
      </c>
      <c r="I966" s="106">
        <f>B70_TR_Assessment!$F$169</f>
        <v>0</v>
      </c>
      <c r="J966" s="106">
        <f>B70_TR_Assessment!$G$169</f>
        <v>0</v>
      </c>
      <c r="K966" s="106">
        <f>B70_TR_Assessment!$H$169</f>
        <v>0</v>
      </c>
      <c r="L966" s="106">
        <f>B70_TR_Assessment!$I$169</f>
        <v>0</v>
      </c>
    </row>
    <row r="967" spans="1:12" ht="97.5" customHeight="1">
      <c r="A967" s="106">
        <f>B70_TR_Assessment!$B$2</f>
        <v>70</v>
      </c>
      <c r="B967" s="106" t="str">
        <f t="shared" si="90"/>
        <v>B70_TR_Assessment</v>
      </c>
      <c r="C967" s="106" t="str">
        <f>B70_TR_Assessment!$A$320</f>
        <v>Commissioning &amp; Acceptance</v>
      </c>
      <c r="D967" s="142" t="str">
        <f>B70_TR_Assessment!$A$171</f>
        <v>Recommended Payment</v>
      </c>
      <c r="E967" s="142">
        <f>B70_TR_Assessment!$B$171</f>
        <v>0</v>
      </c>
      <c r="F967" s="106">
        <f>B70_TR_Assessment!$C$171</f>
        <v>0</v>
      </c>
      <c r="G967" s="106">
        <f>B70_TR_Assessment!$D$171</f>
        <v>0</v>
      </c>
      <c r="H967" s="106">
        <f>B70_TR_Assessment!$E$171</f>
        <v>0</v>
      </c>
      <c r="I967" s="106">
        <f>B70_TR_Assessment!$F$171</f>
        <v>0</v>
      </c>
      <c r="J967" s="106">
        <f>B70_TR_Assessment!$G$171</f>
        <v>0</v>
      </c>
      <c r="K967" s="106">
        <f>B70_TR_Assessment!$H$171</f>
        <v>0</v>
      </c>
      <c r="L967" s="106">
        <f>B70_TR_Assessment!$I$171</f>
        <v>0</v>
      </c>
    </row>
    <row r="968" spans="1:12" ht="97.5" customHeight="1">
      <c r="A968" s="106">
        <f>B70_TR_Assessment!$B$2</f>
        <v>70</v>
      </c>
      <c r="B968" s="106" t="str">
        <f t="shared" si="90"/>
        <v>B70_TR_Assessment</v>
      </c>
      <c r="C968" s="106" t="str">
        <f>B70_TR_Assessment!$A$322</f>
        <v>HVAC commissioning.</v>
      </c>
      <c r="D968" s="142" t="str">
        <f>B70_TR_Assessment!$A$173</f>
        <v>☐ Full</v>
      </c>
      <c r="E968" s="142">
        <f>B70_TR_Assessment!$B$173</f>
        <v>0</v>
      </c>
      <c r="F968" s="106">
        <f>B70_TR_Assessment!$C$173</f>
        <v>0</v>
      </c>
      <c r="G968" s="106">
        <f>B70_TR_Assessment!$D$173</f>
        <v>0</v>
      </c>
      <c r="H968" s="106">
        <f>B70_TR_Assessment!$E$173</f>
        <v>0</v>
      </c>
      <c r="I968" s="106">
        <f>B70_TR_Assessment!$F$173</f>
        <v>0</v>
      </c>
      <c r="J968" s="106">
        <f>B70_TR_Assessment!$G$173</f>
        <v>0</v>
      </c>
      <c r="K968" s="106">
        <f>B70_TR_Assessment!$H$173</f>
        <v>0</v>
      </c>
      <c r="L968" s="106">
        <f>B70_TR_Assessment!$I$173</f>
        <v>0</v>
      </c>
    </row>
    <row r="969" spans="1:12" ht="97.5" customHeight="1">
      <c r="A969" s="106">
        <f>B70_TR_Assessment!$B$2</f>
        <v>70</v>
      </c>
      <c r="B969" s="106" t="str">
        <f t="shared" si="90"/>
        <v>B70_TR_Assessment</v>
      </c>
      <c r="C969" s="106" t="str">
        <f>B70_TR_Assessment!$A$323</f>
        <v>Electrical commissioning.</v>
      </c>
      <c r="D969" s="142">
        <f>B70_TR_Assessment!$A$174</f>
        <v>0</v>
      </c>
      <c r="E969" s="142">
        <f>B70_TR_Assessment!$B$174</f>
        <v>0</v>
      </c>
      <c r="F969" s="106">
        <f>B70_TR_Assessment!$C$174</f>
        <v>0</v>
      </c>
      <c r="G969" s="106">
        <f>B70_TR_Assessment!$D$174</f>
        <v>0</v>
      </c>
      <c r="H969" s="106">
        <f>B70_TR_Assessment!$E$174</f>
        <v>0</v>
      </c>
      <c r="I969" s="106">
        <f>B70_TR_Assessment!$F$174</f>
        <v>0</v>
      </c>
      <c r="J969" s="106">
        <f>B70_TR_Assessment!$G$174</f>
        <v>0</v>
      </c>
      <c r="K969" s="106">
        <f>B70_TR_Assessment!$H$174</f>
        <v>0</v>
      </c>
      <c r="L969" s="106">
        <f>B70_TR_Assessment!$I$174</f>
        <v>0</v>
      </c>
    </row>
    <row r="970" spans="1:12" ht="97.5" customHeight="1">
      <c r="A970" s="106">
        <f>B70_TR_Assessment!$B$2</f>
        <v>70</v>
      </c>
      <c r="B970" s="106" t="str">
        <f t="shared" si="90"/>
        <v>B70_TR_Assessment</v>
      </c>
      <c r="C970" s="106" t="str">
        <f>B70_TR_Assessment!$A$324</f>
        <v>Telecom testing and certification.</v>
      </c>
      <c r="D970" s="142" t="str">
        <f>B70_TR_Assessment!$A$175</f>
        <v>☐ Partial</v>
      </c>
      <c r="E970" s="142">
        <f>B70_TR_Assessment!$B$175</f>
        <v>0</v>
      </c>
      <c r="F970" s="106">
        <f>B70_TR_Assessment!$C$175</f>
        <v>0</v>
      </c>
      <c r="G970" s="106">
        <f>B70_TR_Assessment!$D$175</f>
        <v>0</v>
      </c>
      <c r="H970" s="106">
        <f>B70_TR_Assessment!$E$175</f>
        <v>0</v>
      </c>
      <c r="I970" s="106">
        <f>B70_TR_Assessment!$F$175</f>
        <v>0</v>
      </c>
      <c r="J970" s="106">
        <f>B70_TR_Assessment!$G$175</f>
        <v>0</v>
      </c>
      <c r="K970" s="106">
        <f>B70_TR_Assessment!$H$175</f>
        <v>0</v>
      </c>
      <c r="L970" s="106">
        <f>B70_TR_Assessment!$I$175</f>
        <v>0</v>
      </c>
    </row>
    <row r="971" spans="1:12" ht="97.5" customHeight="1">
      <c r="A971" s="106">
        <f>B70_TR_Assessment!$B$2</f>
        <v>70</v>
      </c>
      <c r="B971" s="106" t="str">
        <f t="shared" si="90"/>
        <v>B70_TR_Assessment</v>
      </c>
      <c r="C971" s="106" t="str">
        <f>B70_TR_Assessment!$A$325</f>
        <v>Fire alarm testing.</v>
      </c>
      <c r="D971" s="142">
        <f>B70_TR_Assessment!$A$176</f>
        <v>0</v>
      </c>
      <c r="E971" s="142">
        <f>B70_TR_Assessment!$B$176</f>
        <v>0</v>
      </c>
      <c r="F971" s="106">
        <f>B70_TR_Assessment!$C$176</f>
        <v>0</v>
      </c>
      <c r="G971" s="106">
        <f>B70_TR_Assessment!$D$176</f>
        <v>0</v>
      </c>
      <c r="H971" s="106">
        <f>B70_TR_Assessment!$E$176</f>
        <v>0</v>
      </c>
      <c r="I971" s="106">
        <f>B70_TR_Assessment!$F$176</f>
        <v>0</v>
      </c>
      <c r="J971" s="106">
        <f>B70_TR_Assessment!$G$176</f>
        <v>0</v>
      </c>
      <c r="K971" s="106">
        <f>B70_TR_Assessment!$H$176</f>
        <v>0</v>
      </c>
      <c r="L971" s="106">
        <f>B70_TR_Assessment!$I$176</f>
        <v>0</v>
      </c>
    </row>
    <row r="972" spans="1:12" ht="97.5" customHeight="1">
      <c r="A972" s="106">
        <f>B70_TR_Assessment!$B$2</f>
        <v>70</v>
      </c>
      <c r="B972" s="106" t="str">
        <f t="shared" si="90"/>
        <v>B70_TR_Assessment</v>
      </c>
      <c r="C972" s="106" t="str">
        <f>B70_TR_Assessment!$A$326</f>
        <v>Fire protection testing.</v>
      </c>
      <c r="D972" s="142" t="str">
        <f>B70_TR_Assessment!$A$177</f>
        <v>☐ Withhold</v>
      </c>
      <c r="E972" s="142">
        <f>B70_TR_Assessment!$B$177</f>
        <v>0</v>
      </c>
      <c r="F972" s="106">
        <f>B70_TR_Assessment!$C$177</f>
        <v>0</v>
      </c>
      <c r="G972" s="106">
        <f>B70_TR_Assessment!$D$177</f>
        <v>0</v>
      </c>
      <c r="H972" s="106">
        <f>B70_TR_Assessment!$E$177</f>
        <v>0</v>
      </c>
      <c r="I972" s="106">
        <f>B70_TR_Assessment!$F$177</f>
        <v>0</v>
      </c>
      <c r="J972" s="106">
        <f>B70_TR_Assessment!$G$177</f>
        <v>0</v>
      </c>
      <c r="K972" s="106">
        <f>B70_TR_Assessment!$H$177</f>
        <v>0</v>
      </c>
      <c r="L972" s="106">
        <f>B70_TR_Assessment!$I$177</f>
        <v>0</v>
      </c>
    </row>
    <row r="973" spans="1:12" ht="97.5" customHeight="1">
      <c r="A973" s="106">
        <f>B70_TR_Assessment!$B$2</f>
        <v>70</v>
      </c>
      <c r="B973" s="106" t="str">
        <f t="shared" si="90"/>
        <v>B70_TR_Assessment</v>
      </c>
      <c r="C973" s="106" t="str">
        <f>B70_TR_Assessment!$A$327</f>
        <v>Security testing.</v>
      </c>
      <c r="D973" s="142">
        <f>B70_TR_Assessment!$A$178</f>
        <v>0</v>
      </c>
      <c r="E973" s="142">
        <f>B70_TR_Assessment!$B$178</f>
        <v>0</v>
      </c>
      <c r="F973" s="106">
        <f>B70_TR_Assessment!$C$178</f>
        <v>0</v>
      </c>
      <c r="G973" s="106">
        <f>B70_TR_Assessment!$D$178</f>
        <v>0</v>
      </c>
      <c r="H973" s="106">
        <f>B70_TR_Assessment!$E$178</f>
        <v>0</v>
      </c>
      <c r="I973" s="106">
        <f>B70_TR_Assessment!$F$178</f>
        <v>0</v>
      </c>
      <c r="J973" s="106">
        <f>B70_TR_Assessment!$G$178</f>
        <v>0</v>
      </c>
      <c r="K973" s="106">
        <f>B70_TR_Assessment!$H$178</f>
        <v>0</v>
      </c>
      <c r="L973" s="106">
        <f>B70_TR_Assessment!$I$178</f>
        <v>0</v>
      </c>
    </row>
    <row r="974" spans="1:12" ht="97.5" customHeight="1">
      <c r="A974" s="106">
        <f>B70_TR_Assessment!$B$2</f>
        <v>70</v>
      </c>
      <c r="B974" s="106" t="str">
        <f t="shared" si="90"/>
        <v>B70_TR_Assessment</v>
      </c>
      <c r="C974" s="106" t="str">
        <f>B70_TR_Assessment!$A$328</f>
        <v>Final owner acceptance walkthrough.</v>
      </c>
      <c r="D974" s="142">
        <f>B70_TR_Assessment!$A$179</f>
        <v>0</v>
      </c>
      <c r="E974" s="142">
        <f>B70_TR_Assessment!$B$179</f>
        <v>0</v>
      </c>
      <c r="F974" s="106">
        <f>B70_TR_Assessment!$C$179</f>
        <v>0</v>
      </c>
      <c r="G974" s="106">
        <f>B70_TR_Assessment!$D$179</f>
        <v>0</v>
      </c>
      <c r="H974" s="106">
        <f>B70_TR_Assessment!$E$179</f>
        <v>0</v>
      </c>
      <c r="I974" s="106">
        <f>B70_TR_Assessment!$F$179</f>
        <v>0</v>
      </c>
      <c r="J974" s="106">
        <f>B70_TR_Assessment!$G$179</f>
        <v>0</v>
      </c>
      <c r="K974" s="106">
        <f>B70_TR_Assessment!$H$179</f>
        <v>0</v>
      </c>
      <c r="L974" s="106">
        <f>B70_TR_Assessment!$I$179</f>
        <v>0</v>
      </c>
    </row>
    <row r="975" spans="1:12" ht="97.5" customHeight="1">
      <c r="A975" s="106">
        <f>B70_TR_Assessment!$B$2</f>
        <v>70</v>
      </c>
      <c r="B975" s="106" t="str">
        <f t="shared" si="90"/>
        <v>B70_TR_Assessment</v>
      </c>
      <c r="C975" s="106" t="str">
        <f>B70_TR_Assessment!$A$329</f>
        <v>Turnover documentation.</v>
      </c>
      <c r="D975" s="142">
        <f>B70_TR_Assessment!$A$180</f>
        <v>0</v>
      </c>
      <c r="E975" s="142">
        <f>B70_TR_Assessment!$B$180</f>
        <v>0</v>
      </c>
      <c r="F975" s="106">
        <f>B70_TR_Assessment!$C$180</f>
        <v>0</v>
      </c>
      <c r="G975" s="106">
        <f>B70_TR_Assessment!$D$180</f>
        <v>0</v>
      </c>
      <c r="H975" s="106">
        <f>B70_TR_Assessment!$E$180</f>
        <v>0</v>
      </c>
      <c r="I975" s="106">
        <f>B70_TR_Assessment!$F$180</f>
        <v>0</v>
      </c>
      <c r="J975" s="106">
        <f>B70_TR_Assessment!$G$180</f>
        <v>0</v>
      </c>
      <c r="K975" s="106">
        <f>B70_TR_Assessment!$H$180</f>
        <v>0</v>
      </c>
      <c r="L975" s="106">
        <f>B70_TR_Assessment!$I$180</f>
        <v>0</v>
      </c>
    </row>
    <row r="976" spans="1:12" ht="97.5" customHeight="1">
      <c r="A976" s="106">
        <f>B70_TR_Assessment!$B$2</f>
        <v>70</v>
      </c>
      <c r="B976" s="106" t="str">
        <f t="shared" si="90"/>
        <v>B70_TR_Assessment</v>
      </c>
      <c r="C976" s="106" t="str">
        <f>B70_TR_Assessment!$A$331</f>
        <v>Owner Risks Identified</v>
      </c>
      <c r="D976" s="142">
        <f>B70_TR_Assessment!$A$182</f>
        <v>0</v>
      </c>
      <c r="E976" s="142">
        <f>B70_TR_Assessment!$B$182</f>
        <v>0</v>
      </c>
      <c r="F976" s="106">
        <f>B70_TR_Assessment!$C$182</f>
        <v>0</v>
      </c>
      <c r="G976" s="106">
        <f>B70_TR_Assessment!$D$182</f>
        <v>0</v>
      </c>
      <c r="H976" s="106">
        <f>B70_TR_Assessment!$E$182</f>
        <v>0</v>
      </c>
      <c r="I976" s="106">
        <f>B70_TR_Assessment!$F$182</f>
        <v>0</v>
      </c>
      <c r="J976" s="106">
        <f>B70_TR_Assessment!$G$182</f>
        <v>0</v>
      </c>
      <c r="K976" s="106">
        <f>B70_TR_Assessment!$H$182</f>
        <v>0</v>
      </c>
      <c r="L976" s="106">
        <f>B70_TR_Assessment!$I$182</f>
        <v>0</v>
      </c>
    </row>
    <row r="977" spans="1:12" ht="97.5" customHeight="1">
      <c r="A977" s="106">
        <f>B70_TR_Assessment!$B$2</f>
        <v>70</v>
      </c>
      <c r="B977" s="106" t="str">
        <f t="shared" si="90"/>
        <v>B70_TR_Assessment</v>
      </c>
      <c r="C977" s="106" t="str">
        <f>B70_TR_Assessment!$A$333</f>
        <v>High Risk</v>
      </c>
      <c r="D977" s="142">
        <f>B70_TR_Assessment!$A$184</f>
        <v>0</v>
      </c>
      <c r="E977" s="142">
        <f>B70_TR_Assessment!$B$184</f>
        <v>0</v>
      </c>
      <c r="F977" s="106">
        <f>B70_TR_Assessment!$C$184</f>
        <v>0</v>
      </c>
      <c r="G977" s="106">
        <f>B70_TR_Assessment!$D$184</f>
        <v>0</v>
      </c>
      <c r="H977" s="106">
        <f>B70_TR_Assessment!$E$184</f>
        <v>0</v>
      </c>
      <c r="I977" s="106">
        <f>B70_TR_Assessment!$F$184</f>
        <v>0</v>
      </c>
      <c r="J977" s="106">
        <f>B70_TR_Assessment!$G$184</f>
        <v>0</v>
      </c>
      <c r="K977" s="106">
        <f>B70_TR_Assessment!$H$184</f>
        <v>0</v>
      </c>
      <c r="L977" s="106">
        <f>B70_TR_Assessment!$I$184</f>
        <v>0</v>
      </c>
    </row>
    <row r="978" spans="1:12" ht="97.5" customHeight="1">
      <c r="A978" s="106">
        <f>B78_Assessment!$B$2</f>
        <v>78</v>
      </c>
      <c r="B978" s="106" t="str">
        <f t="shared" si="90"/>
        <v>B70_TR_Assessment</v>
      </c>
      <c r="C978" s="106" t="str">
        <f>B78_Assessment!$A$113</f>
        <v>B30</v>
      </c>
      <c r="D978" s="142">
        <f>B78_Assessment!$B$113</f>
        <v>0.5</v>
      </c>
      <c r="E978" s="142">
        <f>B78_Assessment!$C$113</f>
        <v>0.5</v>
      </c>
      <c r="F978" s="106">
        <f>B78_Assessment!$D$113</f>
        <v>0.5</v>
      </c>
      <c r="G978" s="106">
        <f>B78_Assessment!$E$113</f>
        <v>0.5</v>
      </c>
      <c r="H978" s="106">
        <f>B78_Assessment!$F$113</f>
        <v>0.5</v>
      </c>
      <c r="I978" s="106" t="str">
        <f>B78_Assessment!$G$113</f>
        <v>Verify</v>
      </c>
      <c r="J978" s="106">
        <f>B78_Assessment!$H$113</f>
        <v>0.5</v>
      </c>
      <c r="K978" s="106" t="str">
        <f>B78_Assessment!$I$113</f>
        <v>Partial / Yellow</v>
      </c>
      <c r="L978" s="106" t="str">
        <f>B78_Assessment!$J$113</f>
        <v>Basement TR with 342 total ports including allowance, dedicated cooling, UPS/PDU and 1,702 ft basement cable tray scope.</v>
      </c>
    </row>
    <row r="979" spans="1:12" ht="97.5" customHeight="1">
      <c r="A979" s="106">
        <f>B78_Assessment!$B$2</f>
        <v>78</v>
      </c>
      <c r="B979" s="106" t="str">
        <f t="shared" si="90"/>
        <v>B70_TR_Assessment</v>
      </c>
      <c r="C979" s="106" t="str">
        <f>B78_Assessment!$A$114</f>
        <v>B35</v>
      </c>
      <c r="D979" s="142">
        <f>B78_Assessment!$B$114</f>
        <v>0.5</v>
      </c>
      <c r="E979" s="142">
        <f>B78_Assessment!$C$114</f>
        <v>0.5</v>
      </c>
      <c r="F979" s="106">
        <f>B78_Assessment!$D$114</f>
        <v>0.5</v>
      </c>
      <c r="G979" s="106">
        <f>B78_Assessment!$E$114</f>
        <v>0.5</v>
      </c>
      <c r="H979" s="106">
        <f>B78_Assessment!$F$114</f>
        <v>0.5</v>
      </c>
      <c r="I979" s="106" t="str">
        <f>B78_Assessment!$G$114</f>
        <v>Verify</v>
      </c>
      <c r="J979" s="106">
        <f>B78_Assessment!$H$114</f>
        <v>0.5</v>
      </c>
      <c r="K979" s="106" t="str">
        <f>B78_Assessment!$I$114</f>
        <v>Partial / Yellow</v>
      </c>
      <c r="L979" s="106" t="str">
        <f>B78_Assessment!$J$114</f>
        <v>Basement TR/closet with 70 total ports including allowance and active transition scope.</v>
      </c>
    </row>
    <row r="980" spans="1:12" ht="97.5" customHeight="1">
      <c r="A980" s="106">
        <f>B78_Assessment!$B$2</f>
        <v>78</v>
      </c>
      <c r="B980" s="106" t="str">
        <f t="shared" si="90"/>
        <v>B70_TR_Assessment</v>
      </c>
      <c r="C980" s="106" t="str">
        <f>B78_Assessment!$A$115</f>
        <v>1232</v>
      </c>
      <c r="D980" s="142">
        <f>B78_Assessment!$B$115</f>
        <v>0.5</v>
      </c>
      <c r="E980" s="142">
        <f>B78_Assessment!$C$115</f>
        <v>0.5</v>
      </c>
      <c r="F980" s="106">
        <f>B78_Assessment!$D$115</f>
        <v>0.5</v>
      </c>
      <c r="G980" s="106">
        <f>B78_Assessment!$E$115</f>
        <v>0.5</v>
      </c>
      <c r="H980" s="106">
        <f>B78_Assessment!$F$115</f>
        <v>0.5</v>
      </c>
      <c r="I980" s="106" t="str">
        <f>B78_Assessment!$G$115</f>
        <v>Verify</v>
      </c>
      <c r="J980" s="106">
        <f>B78_Assessment!$H$115</f>
        <v>0.5</v>
      </c>
      <c r="K980" s="106" t="str">
        <f>B78_Assessment!$I$115</f>
        <v>Partial / Yellow</v>
      </c>
      <c r="L980" s="106" t="str">
        <f>B78_Assessment!$J$115</f>
        <v>First-level TR with 444 total ports including allowance and high active port count.</v>
      </c>
    </row>
    <row r="981" spans="1:12" ht="97.5" customHeight="1">
      <c r="A981" s="106">
        <f>B78_Assessment!$B$2</f>
        <v>78</v>
      </c>
      <c r="B981" s="106" t="str">
        <f t="shared" si="90"/>
        <v>B70_TR_Assessment</v>
      </c>
      <c r="C981" s="106" t="str">
        <f>B78_Assessment!$A$116</f>
        <v>227A</v>
      </c>
      <c r="D981" s="142">
        <f>B78_Assessment!$B$116</f>
        <v>0.5</v>
      </c>
      <c r="E981" s="142">
        <f>B78_Assessment!$C$116</f>
        <v>0.5</v>
      </c>
      <c r="F981" s="106">
        <f>B78_Assessment!$D$116</f>
        <v>0.5</v>
      </c>
      <c r="G981" s="106">
        <f>B78_Assessment!$E$116</f>
        <v>0.5</v>
      </c>
      <c r="H981" s="106">
        <f>B78_Assessment!$F$116</f>
        <v>0.5</v>
      </c>
      <c r="I981" s="106" t="str">
        <f>B78_Assessment!$G$116</f>
        <v>Verify</v>
      </c>
      <c r="J981" s="106">
        <f>B78_Assessment!$H$116</f>
        <v>0.5</v>
      </c>
      <c r="K981" s="106" t="str">
        <f>B78_Assessment!$I$116</f>
        <v>Partial / Yellow</v>
      </c>
      <c r="L981" s="106" t="str">
        <f>B78_Assessment!$J$116</f>
        <v>Second-level TR with 383 total ports including allowance and riser/firestop coordination.</v>
      </c>
    </row>
    <row r="982" spans="1:12" ht="97.5" customHeight="1">
      <c r="A982" s="106">
        <f>B78_Assessment!$B$2</f>
        <v>78</v>
      </c>
      <c r="B982" s="106" t="str">
        <f>"B78_Assessment"</f>
        <v>B78_Assessment</v>
      </c>
      <c r="C982" s="106" t="str">
        <f>B78_Assessment!$A$117</f>
        <v>342</v>
      </c>
      <c r="D982" s="142">
        <f>B78_Assessment!$B$117</f>
        <v>0.5</v>
      </c>
      <c r="E982" s="142">
        <f>B78_Assessment!$C$117</f>
        <v>0.5</v>
      </c>
      <c r="F982" s="106">
        <f>B78_Assessment!$D$117</f>
        <v>0.5</v>
      </c>
      <c r="G982" s="106">
        <f>B78_Assessment!$E$117</f>
        <v>0.5</v>
      </c>
      <c r="H982" s="106">
        <f>B78_Assessment!$F$117</f>
        <v>0.5</v>
      </c>
      <c r="I982" s="106" t="str">
        <f>B78_Assessment!$G$117</f>
        <v>Verify</v>
      </c>
      <c r="J982" s="106">
        <f>B78_Assessment!$H$117</f>
        <v>0.5</v>
      </c>
      <c r="K982" s="106" t="str">
        <f>B78_Assessment!$I$117</f>
        <v>Partial / Yellow</v>
      </c>
      <c r="L982" s="106" t="str">
        <f>B78_Assessment!$J$117</f>
        <v>Third-level TR with 318 total ports including allowance and two-rack configuration.</v>
      </c>
    </row>
    <row r="983" spans="1:12" ht="97.5" customHeight="1">
      <c r="A983" s="106">
        <f>B78_Assessment!$B$2</f>
        <v>78</v>
      </c>
      <c r="B983" s="106" t="str">
        <f>"B78_Assessment"</f>
        <v>B78_Assessment</v>
      </c>
      <c r="C983" s="106" t="str">
        <f>B78_Assessment!$A$118</f>
        <v>401</v>
      </c>
      <c r="D983" s="142">
        <f>B78_Assessment!$B$118</f>
        <v>0.5</v>
      </c>
      <c r="E983" s="142">
        <f>B78_Assessment!$C$118</f>
        <v>0.5</v>
      </c>
      <c r="F983" s="106">
        <f>B78_Assessment!$D$118</f>
        <v>0.5</v>
      </c>
      <c r="G983" s="106">
        <f>B78_Assessment!$E$118</f>
        <v>0.5</v>
      </c>
      <c r="H983" s="106">
        <f>B78_Assessment!$F$118</f>
        <v>0.5</v>
      </c>
      <c r="I983" s="106" t="str">
        <f>B78_Assessment!$G$118</f>
        <v>Verify</v>
      </c>
      <c r="J983" s="106">
        <f>B78_Assessment!$H$118</f>
        <v>0.5</v>
      </c>
      <c r="K983" s="106" t="str">
        <f>B78_Assessment!$I$118</f>
        <v>Partial / Yellow</v>
      </c>
      <c r="L983" s="106" t="str">
        <f>B78_Assessment!$J$118</f>
        <v>Fourth-level TR with 135 total ports including allowance and existing 308A/408A transition points.</v>
      </c>
    </row>
    <row r="984" spans="1:12" ht="97.5" customHeight="1">
      <c r="A984" s="106">
        <f>B78_Assessment!$B$2</f>
        <v>78</v>
      </c>
      <c r="B984" s="106" t="str">
        <f>"B78_Assessment"</f>
        <v>B78_Assessment</v>
      </c>
      <c r="C984" s="106" t="str">
        <f>B78_Assessment!$A$119</f>
        <v>Existing rooms</v>
      </c>
      <c r="D984" s="142">
        <f>B78_Assessment!$B$119</f>
        <v>0.5</v>
      </c>
      <c r="E984" s="142">
        <f>B78_Assessment!$C$119</f>
        <v>0.5</v>
      </c>
      <c r="F984" s="106">
        <f>B78_Assessment!$D$119</f>
        <v>0.5</v>
      </c>
      <c r="G984" s="106">
        <f>B78_Assessment!$E$119</f>
        <v>0.5</v>
      </c>
      <c r="H984" s="106">
        <f>B78_Assessment!$F$119</f>
        <v>0.5</v>
      </c>
      <c r="I984" s="106" t="str">
        <f>B78_Assessment!$G$119</f>
        <v>Verify</v>
      </c>
      <c r="J984" s="106">
        <f>B78_Assessment!$H$119</f>
        <v>0.5</v>
      </c>
      <c r="K984" s="106" t="str">
        <f>B78_Assessment!$I$119</f>
        <v>Partial / Yellow</v>
      </c>
      <c r="L984" s="106" t="str">
        <f>B78_Assessment!$J$119</f>
        <v>Existing telecom room inventory; protect active services until cutover and acceptance complete.</v>
      </c>
    </row>
    <row r="985" spans="1:12" ht="97.5" customHeight="1">
      <c r="A985" s="106" t="str">
        <f>B80_Assessment!$B$2</f>
        <v>80</v>
      </c>
      <c r="B985" s="106" t="str">
        <f>"B80_Assessment"</f>
        <v>B80_Assessment</v>
      </c>
      <c r="C985" s="106" t="str">
        <f>B80_Assessment!$A$78</f>
        <v>102</v>
      </c>
      <c r="D985" s="142">
        <f>B80_Assessment!$B$78</f>
        <v>0.5</v>
      </c>
      <c r="E985" s="142">
        <f>B80_Assessment!$C$78</f>
        <v>0.5</v>
      </c>
      <c r="F985" s="106">
        <f>B80_Assessment!$D$78</f>
        <v>0.5</v>
      </c>
      <c r="G985" s="106">
        <f>B80_Assessment!$E$78</f>
        <v>0.5</v>
      </c>
      <c r="H985" s="106">
        <f>B80_Assessment!$F$78</f>
        <v>0.5</v>
      </c>
      <c r="I985" s="106" t="str">
        <f>B80_Assessment!$G$78</f>
        <v>Verify</v>
      </c>
      <c r="J985" s="106">
        <f>B80_Assessment!$H$78</f>
        <v>0.5</v>
      </c>
      <c r="K985" s="106" t="str">
        <f>B80_Assessment!$I$78</f>
        <v>Partial / Yellow</v>
      </c>
      <c r="L985" s="106" t="str">
        <f>B80_Assessment!$J$78</f>
        <v>New first-level TR with 215 total ports including allowance, dedicated cooling, UPS/PDU, cable tray, PACS/CCTV and fire/life-safety scope.</v>
      </c>
    </row>
    <row r="986" spans="1:12" ht="97.5" customHeight="1">
      <c r="A986" s="106" t="str">
        <f>B80_Assessment!$B$2</f>
        <v>80</v>
      </c>
      <c r="B986" s="106" t="str">
        <f>"B80_Assessment"</f>
        <v>B80_Assessment</v>
      </c>
      <c r="C986" s="106" t="str">
        <f>B80_Assessment!$A$79</f>
        <v>127A / 126</v>
      </c>
      <c r="D986" s="142">
        <f>B80_Assessment!$B$79</f>
        <v>0.5</v>
      </c>
      <c r="E986" s="142">
        <f>B80_Assessment!$C$79</f>
        <v>0.5</v>
      </c>
      <c r="F986" s="106">
        <f>B80_Assessment!$D$79</f>
        <v>0.5</v>
      </c>
      <c r="G986" s="106">
        <f>B80_Assessment!$E$79</f>
        <v>0.5</v>
      </c>
      <c r="H986" s="106">
        <f>B80_Assessment!$F$79</f>
        <v>0.5</v>
      </c>
      <c r="I986" s="106" t="str">
        <f>B80_Assessment!$G$79</f>
        <v>Verify</v>
      </c>
      <c r="J986" s="106">
        <f>B80_Assessment!$H$79</f>
        <v>0.5</v>
      </c>
      <c r="K986" s="106" t="str">
        <f>B80_Assessment!$I$79</f>
        <v>Partial / Yellow</v>
      </c>
      <c r="L986" s="106" t="str">
        <f>B80_Assessment!$J$79</f>
        <v>Existing telecom transition point; protect active services until cutover complete and confirm room-number mapping.</v>
      </c>
    </row>
    <row r="987" spans="1:12" ht="97.5" customHeight="1">
      <c r="A987" s="106" t="str">
        <f>B82_Assessment!$B$2</f>
        <v>82</v>
      </c>
      <c r="B987" s="106" t="str">
        <f>"B82_Assessment"</f>
        <v>B82_Assessment</v>
      </c>
      <c r="C987" s="106" t="str">
        <f>B82_Assessment!$A$78</f>
        <v>102</v>
      </c>
      <c r="D987" s="142">
        <f>B82_Assessment!$B$78</f>
        <v>0.5</v>
      </c>
      <c r="E987" s="142">
        <f>B82_Assessment!$C$78</f>
        <v>0.5</v>
      </c>
      <c r="F987" s="106">
        <f>B82_Assessment!$D$78</f>
        <v>0.5</v>
      </c>
      <c r="G987" s="106">
        <f>B82_Assessment!$E$78</f>
        <v>0.5</v>
      </c>
      <c r="H987" s="106">
        <f>B82_Assessment!$F$78</f>
        <v>0.5</v>
      </c>
      <c r="I987" s="106" t="str">
        <f>B82_Assessment!$G$78</f>
        <v>Verify</v>
      </c>
      <c r="J987" s="106">
        <f>B82_Assessment!$H$78</f>
        <v>0.5</v>
      </c>
      <c r="K987" s="106" t="str">
        <f>B82_Assessment!$I$78</f>
        <v>Partial / Yellow</v>
      </c>
      <c r="L987" s="106" t="str">
        <f>B82_Assessment!$J$78</f>
        <v>New first-level TE/telecom room with 12RU wall enclosure, UPS/PDU, dedicated cooling shown, 278 ft cable tray and 40 total ports including allowance.</v>
      </c>
    </row>
    <row r="988" spans="1:12" ht="97.5" customHeight="1">
      <c r="A988" s="106" t="str">
        <f>B82_Assessment!$B$2</f>
        <v>82</v>
      </c>
      <c r="B988" s="106" t="str">
        <f>"B82_Assessment"</f>
        <v>B82_Assessment</v>
      </c>
      <c r="C988" s="106" t="str">
        <f>B82_Assessment!$A$79</f>
        <v>B01-A</v>
      </c>
      <c r="D988" s="142">
        <f>B82_Assessment!$B$79</f>
        <v>0.5</v>
      </c>
      <c r="E988" s="142">
        <f>B82_Assessment!$C$79</f>
        <v>0.5</v>
      </c>
      <c r="F988" s="106">
        <f>B82_Assessment!$D$79</f>
        <v>0.5</v>
      </c>
      <c r="G988" s="106">
        <f>B82_Assessment!$E$79</f>
        <v>0.5</v>
      </c>
      <c r="H988" s="106">
        <f>B82_Assessment!$F$79</f>
        <v>0.5</v>
      </c>
      <c r="I988" s="106" t="str">
        <f>B82_Assessment!$G$79</f>
        <v>Verify</v>
      </c>
      <c r="J988" s="106">
        <f>B82_Assessment!$H$79</f>
        <v>0.5</v>
      </c>
      <c r="K988" s="106" t="str">
        <f>B82_Assessment!$I$79</f>
        <v>Partial / Yellow</v>
      </c>
      <c r="L988" s="106" t="str">
        <f>B82_Assessment!$J$79</f>
        <v>Existing first-level telecom room and transition point; protect active services until cutover complete.</v>
      </c>
    </row>
    <row r="989" spans="1:12" ht="97.5" customHeight="1">
      <c r="A989" s="106" t="str">
        <f>BCH_Assessment!$B$2</f>
        <v>BCH</v>
      </c>
      <c r="B989" s="106" t="str">
        <f>"BCH_Assessment"</f>
        <v>BCH_Assessment</v>
      </c>
      <c r="C989" s="106" t="str">
        <f>BCH_Assessment!$A$78</f>
        <v>107</v>
      </c>
      <c r="D989" s="142">
        <f>BCH_Assessment!$B$78</f>
        <v>0.5</v>
      </c>
      <c r="E989" s="142">
        <f>BCH_Assessment!$C$78</f>
        <v>0.5</v>
      </c>
      <c r="F989" s="106" t="str">
        <f>BCH_Assessment!$D$78</f>
        <v>N/A / Verify</v>
      </c>
      <c r="G989" s="106">
        <f>BCH_Assessment!$E$78</f>
        <v>0.5</v>
      </c>
      <c r="H989" s="106">
        <f>BCH_Assessment!$F$78</f>
        <v>0.5</v>
      </c>
      <c r="I989" s="106" t="str">
        <f>BCH_Assessment!$G$78</f>
        <v>Verify</v>
      </c>
      <c r="J989" s="106">
        <f>BCH_Assessment!$H$78</f>
        <v>0.5</v>
      </c>
      <c r="K989" s="106" t="str">
        <f>BCH_Assessment!$I$78</f>
        <v>Partial / Yellow</v>
      </c>
      <c r="L989" s="106" t="str">
        <f>BCH_Assessment!$J$78</f>
        <v>BCH first-level Room 107 telecom scope; verify final TE versus telecom room configuration, power, pathway, firestopping and active service transition.</v>
      </c>
    </row>
    <row r="990" spans="1:12" ht="97.5" customHeight="1">
      <c r="A990" s="106" t="str">
        <f>BCH_Assessment!$B$2</f>
        <v>BCH</v>
      </c>
      <c r="B990" s="106" t="str">
        <f>"BCH_Assessment"</f>
        <v>BCH_Assessment</v>
      </c>
      <c r="C990" s="106" t="str">
        <f>BCH_Assessment!$A$79</f>
        <v>00 / 107</v>
      </c>
      <c r="D990" s="142">
        <f>BCH_Assessment!$B$79</f>
        <v>0.5</v>
      </c>
      <c r="E990" s="142">
        <f>BCH_Assessment!$C$79</f>
        <v>0.5</v>
      </c>
      <c r="F990" s="106" t="str">
        <f>BCH_Assessment!$D$79</f>
        <v>N/A / Verify</v>
      </c>
      <c r="G990" s="106">
        <f>BCH_Assessment!$E$79</f>
        <v>0.5</v>
      </c>
      <c r="H990" s="106">
        <f>BCH_Assessment!$F$79</f>
        <v>0.5</v>
      </c>
      <c r="I990" s="106" t="str">
        <f>BCH_Assessment!$G$79</f>
        <v>Verify</v>
      </c>
      <c r="J990" s="106">
        <f>BCH_Assessment!$H$79</f>
        <v>0.5</v>
      </c>
      <c r="K990" s="106" t="str">
        <f>BCH_Assessment!$I$79</f>
        <v>Partial / Yellow</v>
      </c>
      <c r="L990" s="106" t="str">
        <f>BCH_Assessment!$J$79</f>
        <v>Rack/elevation reference requiring confirmation before turnover and PMIS import.</v>
      </c>
    </row>
    <row r="991" spans="1:12" ht="97.5" customHeight="1">
      <c r="A991" s="106" t="str">
        <f>MCR_Assessment!$B$2</f>
        <v>MCR</v>
      </c>
      <c r="B991" s="106" t="str">
        <f>"MCR_Assessment"</f>
        <v>MCR_Assessment</v>
      </c>
      <c r="C991" s="106" t="str">
        <f>MCR_Assessment!$A$101</f>
        <v>107 / MCR</v>
      </c>
      <c r="D991" s="142">
        <f>MCR_Assessment!$B$101</f>
        <v>0.5</v>
      </c>
      <c r="E991" s="142">
        <f>MCR_Assessment!$C$101</f>
        <v>0.5</v>
      </c>
      <c r="F991" s="106">
        <f>MCR_Assessment!$D$101</f>
        <v>0.5</v>
      </c>
      <c r="G991" s="106">
        <f>MCR_Assessment!$E$101</f>
        <v>0.5</v>
      </c>
      <c r="H991" s="106">
        <f>MCR_Assessment!$F$101</f>
        <v>0.5</v>
      </c>
      <c r="I991" s="106" t="str">
        <f>MCR_Assessment!$G$101</f>
        <v>Verify</v>
      </c>
      <c r="J991" s="106">
        <f>MCR_Assessment!$H$101</f>
        <v>0.5</v>
      </c>
      <c r="K991" s="106" t="str">
        <f>MCR_Assessment!$I$101</f>
        <v>Partial / Yellow</v>
      </c>
      <c r="L991" s="106" t="str">
        <f>MCR_Assessment!$J$101</f>
        <v>New critical MCR facility with full architectural/civil/structural/MEP/FP/telecom/security scope; not construction-ready until coordination and commissioning plan are verified.</v>
      </c>
    </row>
    <row r="992" spans="1:12" ht="97.5" customHeight="1">
      <c r="A992" s="106" t="str">
        <f>MCR_Assessment!$B$2</f>
        <v>MCR</v>
      </c>
      <c r="B992" s="106" t="str">
        <f>"MCR_Assessment"</f>
        <v>MCR_Assessment</v>
      </c>
      <c r="C992" s="106" t="str">
        <f>MCR_Assessment!$A$102</f>
        <v>031</v>
      </c>
      <c r="D992" s="142">
        <f>MCR_Assessment!$B$102</f>
        <v>0.5</v>
      </c>
      <c r="E992" s="142">
        <f>MCR_Assessment!$C$102</f>
        <v>0.5</v>
      </c>
      <c r="F992" s="106">
        <f>MCR_Assessment!$D$102</f>
        <v>0.5</v>
      </c>
      <c r="G992" s="106">
        <f>MCR_Assessment!$E$102</f>
        <v>0.5</v>
      </c>
      <c r="H992" s="106">
        <f>MCR_Assessment!$F$102</f>
        <v>0.5</v>
      </c>
      <c r="I992" s="106" t="str">
        <f>MCR_Assessment!$G$102</f>
        <v>Verify</v>
      </c>
      <c r="J992" s="106">
        <f>MCR_Assessment!$H$102</f>
        <v>0.5</v>
      </c>
      <c r="K992" s="106" t="str">
        <f>MCR_Assessment!$I$102</f>
        <v>Partial / Yellow</v>
      </c>
      <c r="L992" s="106" t="str">
        <f>MCR_Assessment!$J$102</f>
        <v>Fiber Entrance Room 1 schedule and camera/data points require field verification and firestop/pathway coordination.</v>
      </c>
    </row>
    <row r="993" spans="1:12" ht="97.5" customHeight="1">
      <c r="A993" s="106" t="str">
        <f>MCR_Assessment!$B$2</f>
        <v>MCR</v>
      </c>
      <c r="B993" s="106" t="str">
        <f>"MCR_Assessment"</f>
        <v>MCR_Assessment</v>
      </c>
      <c r="C993" s="106" t="str">
        <f>MCR_Assessment!$A$103</f>
        <v>MDA-A/B</v>
      </c>
      <c r="D993" s="142">
        <f>MCR_Assessment!$B$103</f>
        <v>0.5</v>
      </c>
      <c r="E993" s="142">
        <f>MCR_Assessment!$C$103</f>
        <v>0.5</v>
      </c>
      <c r="F993" s="106">
        <f>MCR_Assessment!$D$103</f>
        <v>0.5</v>
      </c>
      <c r="G993" s="106">
        <f>MCR_Assessment!$E$103</f>
        <v>0.5</v>
      </c>
      <c r="H993" s="106">
        <f>MCR_Assessment!$F$103</f>
        <v>0.5</v>
      </c>
      <c r="I993" s="106" t="str">
        <f>MCR_Assessment!$G$103</f>
        <v>Verify</v>
      </c>
      <c r="J993" s="106">
        <f>MCR_Assessment!$H$103</f>
        <v>0.5</v>
      </c>
      <c r="K993" s="106" t="str">
        <f>MCR_Assessment!$I$103</f>
        <v>Partial / Yellow</v>
      </c>
      <c r="L993" s="106" t="str">
        <f>MCR_Assessment!$J$103</f>
        <v>New main distribution rows; A/B fiber diversity and rack/PDU mapping are critical.</v>
      </c>
    </row>
    <row r="994" spans="1:12" ht="97.5" customHeight="1">
      <c r="A994" s="106" t="str">
        <f>MCR_Assessment!$B$2</f>
        <v>MCR</v>
      </c>
      <c r="B994" s="106" t="str">
        <f>"MCR_Assessment"</f>
        <v>MCR_Assessment</v>
      </c>
      <c r="C994" s="106" t="str">
        <f>MCR_Assessment!$A$104</f>
        <v>HDA-A/B</v>
      </c>
      <c r="D994" s="142">
        <f>MCR_Assessment!$B$104</f>
        <v>0.5</v>
      </c>
      <c r="E994" s="142">
        <f>MCR_Assessment!$C$104</f>
        <v>0.5</v>
      </c>
      <c r="F994" s="106">
        <f>MCR_Assessment!$D$104</f>
        <v>0.5</v>
      </c>
      <c r="G994" s="106">
        <f>MCR_Assessment!$E$104</f>
        <v>0.5</v>
      </c>
      <c r="H994" s="106">
        <f>MCR_Assessment!$F$104</f>
        <v>0.5</v>
      </c>
      <c r="I994" s="106" t="str">
        <f>MCR_Assessment!$G$104</f>
        <v>Verify</v>
      </c>
      <c r="J994" s="106">
        <f>MCR_Assessment!$H$104</f>
        <v>0.5</v>
      </c>
      <c r="K994" s="106" t="str">
        <f>MCR_Assessment!$I$104</f>
        <v>Partial / Yellow</v>
      </c>
      <c r="L994" s="106" t="str">
        <f>MCR_Assessment!$J$104</f>
        <v>New horizontal distribution/server cabinet rows; airflow, patching, labeling and redundancy must be validated.</v>
      </c>
    </row>
    <row r="995" spans="1:12" ht="97.5" customHeight="1">
      <c r="A995" s="106" t="str">
        <f>MCR_Assessment!$B$2</f>
        <v>MCR</v>
      </c>
      <c r="B995" s="106" t="str">
        <f>"MCR_Assessment"</f>
        <v>MCR_Assessment</v>
      </c>
      <c r="C995" s="106" t="str">
        <f>MCR_Assessment!$A$105</f>
        <v>Existing 107/137</v>
      </c>
      <c r="D995" s="142">
        <f>MCR_Assessment!$B$105</f>
        <v>0.5</v>
      </c>
      <c r="E995" s="142">
        <f>MCR_Assessment!$C$105</f>
        <v>0.5</v>
      </c>
      <c r="F995" s="106">
        <f>MCR_Assessment!$D$105</f>
        <v>0.5</v>
      </c>
      <c r="G995" s="106">
        <f>MCR_Assessment!$E$105</f>
        <v>0.5</v>
      </c>
      <c r="H995" s="106">
        <f>MCR_Assessment!$F$105</f>
        <v>0.5</v>
      </c>
      <c r="I995" s="106" t="str">
        <f>MCR_Assessment!$G$105</f>
        <v>Verify</v>
      </c>
      <c r="J995" s="106">
        <f>MCR_Assessment!$H$105</f>
        <v>0.5</v>
      </c>
      <c r="K995" s="106" t="str">
        <f>MCR_Assessment!$I$105</f>
        <v>Partial / Yellow</v>
      </c>
      <c r="L995" s="106" t="str">
        <f>MCR_Assessment!$J$105</f>
        <v>Existing MCR/server equipment transition point; protect active service until final activation.</v>
      </c>
    </row>
    <row r="996" spans="1:12" ht="97.5" customHeight="1">
      <c r="A996" s="106" t="str">
        <f>SITE_Assesment!$B$2</f>
        <v>SITE</v>
      </c>
      <c r="B996" s="106" t="str">
        <f>"SITE_Assesment"</f>
        <v>SITE_Assesment</v>
      </c>
      <c r="C996" s="106" t="str">
        <f>SITE_Assesment!$A$99</f>
        <v>Overall Site</v>
      </c>
      <c r="D996" s="142">
        <f>SITE_Assesment!$B$99</f>
        <v>0.5</v>
      </c>
      <c r="E996" s="142">
        <f>SITE_Assesment!$C$99</f>
        <v>0.5</v>
      </c>
      <c r="F996" s="106">
        <f>SITE_Assesment!$D$99</f>
        <v>0.5</v>
      </c>
      <c r="G996" s="106">
        <f>SITE_Assesment!$E$99</f>
        <v>0.5</v>
      </c>
      <c r="H996" s="106">
        <f>SITE_Assesment!$F$99</f>
        <v>0.5</v>
      </c>
      <c r="I996" s="106" t="str">
        <f>SITE_Assesment!$G$99</f>
        <v>Verify</v>
      </c>
      <c r="J996" s="106">
        <f>SITE_Assesment!$H$99</f>
        <v>0.5</v>
      </c>
      <c r="K996" s="106" t="str">
        <f>SITE_Assesment!$I$99</f>
        <v>Partial / Yellow</v>
      </c>
      <c r="L996" s="106" t="str">
        <f>SITE_Assesment!$J$99</f>
        <v>Campus-wide fiber backbone is not construction-ready until utility locates, path routing, inspection holds and phasing plan are confirmed.</v>
      </c>
    </row>
    <row r="997" spans="1:12" ht="97.5" customHeight="1">
      <c r="A997" s="106" t="str">
        <f>SITE_Assesment!$B$2</f>
        <v>SITE</v>
      </c>
      <c r="B997" s="106" t="str">
        <f>"SITE_Assesment"</f>
        <v>SITE_Assesment</v>
      </c>
      <c r="C997" s="106" t="str">
        <f>SITE_Assesment!$A$100</f>
        <v>Path A/B Backbone</v>
      </c>
      <c r="D997" s="142">
        <f>SITE_Assesment!$B$100</f>
        <v>0.5</v>
      </c>
      <c r="E997" s="142">
        <f>SITE_Assesment!$C$100</f>
        <v>0.5</v>
      </c>
      <c r="F997" s="106">
        <f>SITE_Assesment!$D$100</f>
        <v>0.5</v>
      </c>
      <c r="G997" s="106">
        <f>SITE_Assesment!$E$100</f>
        <v>0.5</v>
      </c>
      <c r="H997" s="106">
        <f>SITE_Assesment!$F$100</f>
        <v>0.5</v>
      </c>
      <c r="I997" s="106" t="str">
        <f>SITE_Assesment!$G$100</f>
        <v>Verify</v>
      </c>
      <c r="J997" s="106">
        <f>SITE_Assesment!$H$100</f>
        <v>0.5</v>
      </c>
      <c r="K997" s="106" t="str">
        <f>SITE_Assesment!$I$100</f>
        <v>Partial / Yellow</v>
      </c>
      <c r="L997" s="106" t="str">
        <f>SITE_Assesment!$J$100</f>
        <v>Redundant A/B path separation, conduit counts and T-601 one-line coordination require field verification.</v>
      </c>
    </row>
    <row r="998" spans="1:12" ht="97.5" customHeight="1">
      <c r="A998" s="106" t="str">
        <f>SITE_Assesment!$B$2</f>
        <v>SITE</v>
      </c>
      <c r="B998" s="106" t="str">
        <f>"SITE_Assesment"</f>
        <v>SITE_Assesment</v>
      </c>
      <c r="C998" s="106" t="str">
        <f>SITE_Assesment!$A$101</f>
        <v>THH / Manholes</v>
      </c>
      <c r="D998" s="106">
        <f>SITE_Assesment!$B$101</f>
        <v>0.5</v>
      </c>
      <c r="E998" s="106">
        <f>SITE_Assesment!$C$101</f>
        <v>0.5</v>
      </c>
      <c r="F998" s="106">
        <f>SITE_Assesment!$D$101</f>
        <v>0.5</v>
      </c>
      <c r="G998" s="106">
        <f>SITE_Assesment!$E$101</f>
        <v>0.5</v>
      </c>
      <c r="H998" s="106">
        <f>SITE_Assesment!$F$101</f>
        <v>0.5</v>
      </c>
      <c r="I998" s="106" t="str">
        <f>SITE_Assesment!$G$101</f>
        <v>Verify</v>
      </c>
      <c r="J998" s="106">
        <f>SITE_Assesment!$H$101</f>
        <v>0.5</v>
      </c>
      <c r="K998" s="106" t="str">
        <f>SITE_Assesment!$I$101</f>
        <v>Partial / Yellow</v>
      </c>
      <c r="L998" s="106" t="str">
        <f>SITE_Assesment!$J$101</f>
        <v>THH #1-#19 and locking manholes/pullboxes need inventory, labels, photos and acceptance.</v>
      </c>
    </row>
    <row r="999" spans="1:12" ht="97.5" customHeight="1">
      <c r="A999" s="106" t="str">
        <f>SITE_Assesment!$B$2</f>
        <v>SITE</v>
      </c>
      <c r="B999" s="106" t="str">
        <f>"SITE_Assesment"</f>
        <v>SITE_Assesment</v>
      </c>
      <c r="C999" s="106" t="str">
        <f>SITE_Assesment!$A$102</f>
        <v>Building Tie-ins</v>
      </c>
      <c r="D999" s="106">
        <f>SITE_Assesment!$B$102</f>
        <v>0.5</v>
      </c>
      <c r="E999" s="106">
        <f>SITE_Assesment!$C$102</f>
        <v>0.5</v>
      </c>
      <c r="F999" s="106">
        <f>SITE_Assesment!$D$102</f>
        <v>0.5</v>
      </c>
      <c r="G999" s="106">
        <f>SITE_Assesment!$E$102</f>
        <v>0.5</v>
      </c>
      <c r="H999" s="106">
        <f>SITE_Assesment!$F$102</f>
        <v>0.5</v>
      </c>
      <c r="I999" s="106" t="str">
        <f>SITE_Assesment!$G$102</f>
        <v>Verify</v>
      </c>
      <c r="J999" s="106">
        <f>SITE_Assesment!$H$102</f>
        <v>0.5</v>
      </c>
      <c r="K999" s="106" t="str">
        <f>SITE_Assesment!$I$102</f>
        <v>Partial / Yellow</v>
      </c>
      <c r="L999" s="106" t="str">
        <f>SITE_Assesment!$J$102</f>
        <v>Building T-101 continuation, penetration/firestop and fiber acceptance must match each building assessment.</v>
      </c>
    </row>
    <row r="1000" spans="1:12" ht="97.5" customHeight="1">
      <c r="A1000" s="106" t="str">
        <f>SITE_Assesment!$B$2</f>
        <v>SITE</v>
      </c>
      <c r="B1000" s="106" t="str">
        <f>"SITE_Assesment"</f>
        <v>SITE_Assesment</v>
      </c>
      <c r="C1000" s="106" t="str">
        <f>SITE_Assesment!$A$103</f>
        <v>MCR / Provider Entrance</v>
      </c>
      <c r="D1000" s="106">
        <f>SITE_Assesment!$B$103</f>
        <v>0.5</v>
      </c>
      <c r="E1000" s="106">
        <f>SITE_Assesment!$C$103</f>
        <v>0.5</v>
      </c>
      <c r="F1000" s="106">
        <f>SITE_Assesment!$D$103</f>
        <v>0.5</v>
      </c>
      <c r="G1000" s="106">
        <f>SITE_Assesment!$E$103</f>
        <v>0.5</v>
      </c>
      <c r="H1000" s="106">
        <f>SITE_Assesment!$F$103</f>
        <v>0.5</v>
      </c>
      <c r="I1000" s="106" t="str">
        <f>SITE_Assesment!$G$103</f>
        <v>Verify</v>
      </c>
      <c r="J1000" s="106">
        <f>SITE_Assesment!$H$103</f>
        <v>0.5</v>
      </c>
      <c r="K1000" s="106" t="str">
        <f>SITE_Assesment!$I$103</f>
        <v>Partial / Yellow</v>
      </c>
      <c r="L1000" s="106" t="str">
        <f>SITE_Assesment!$J$103</f>
        <v>Provider fiber, temporary fiber and new MCR activation sequence are critical path items.</v>
      </c>
    </row>
    <row r="1001" spans="1:12" ht="97.5" customHeight="1">
      <c r="A1001" s="19"/>
      <c r="D1001" s="144"/>
      <c r="E1001" s="144"/>
      <c r="F1001" s="19"/>
    </row>
    <row r="1002" spans="1:12" ht="97.5" customHeight="1">
      <c r="A1002" s="146"/>
      <c r="B1002" s="146"/>
      <c r="C1002" s="146"/>
      <c r="D1002" s="147"/>
      <c r="E1002" s="147"/>
      <c r="F1002" s="146"/>
    </row>
    <row r="1003" spans="1:12" ht="97.5" customHeight="1">
      <c r="A1003" s="106"/>
      <c r="B1003" s="106" t="str">
        <f t="shared" ref="B1003:B1042" si="91">"B01_Assessment"</f>
        <v>B01_Assessment</v>
      </c>
      <c r="C1003" s="106"/>
      <c r="D1003" s="142"/>
      <c r="E1003" s="142"/>
      <c r="F1003" s="106"/>
    </row>
    <row r="1004" spans="1:12" ht="97.5" customHeight="1">
      <c r="A1004" s="19" t="s">
        <v>898</v>
      </c>
      <c r="B1004" s="19" t="str">
        <f t="shared" si="91"/>
        <v>B01_Assessment</v>
      </c>
      <c r="C1004" s="19"/>
      <c r="D1004" s="144"/>
      <c r="E1004" s="144"/>
      <c r="F1004" s="19"/>
      <c r="G1004" s="19"/>
    </row>
    <row r="1005" spans="1:12" ht="97.5" customHeight="1">
      <c r="A1005" s="146" t="s">
        <v>142</v>
      </c>
      <c r="B1005" s="146" t="str">
        <f t="shared" si="91"/>
        <v>B01_Assessment</v>
      </c>
      <c r="C1005" s="146" t="s">
        <v>284</v>
      </c>
      <c r="D1005" s="147" t="s">
        <v>275</v>
      </c>
      <c r="E1005" s="147" t="s">
        <v>899</v>
      </c>
      <c r="F1005" s="146" t="s">
        <v>11</v>
      </c>
      <c r="G1005" s="146" t="s">
        <v>900</v>
      </c>
    </row>
    <row r="1006" spans="1:12" ht="97.5" customHeight="1">
      <c r="A1006" s="106" t="str">
        <f>B01_Assessment!$B$2</f>
        <v>01</v>
      </c>
      <c r="B1006" s="106" t="str">
        <f t="shared" si="91"/>
        <v>B01_Assessment</v>
      </c>
      <c r="C1006" s="106" t="str">
        <f>"Fire"</f>
        <v>Fire</v>
      </c>
      <c r="D1006" s="142" t="str">
        <f>B01_Assessment!$A$24</f>
        <v>107</v>
      </c>
      <c r="E1006" s="142" t="str">
        <f>B01_Assessment!$I$24</f>
        <v>Verify</v>
      </c>
      <c r="F1006" s="106" t="str">
        <f>B01_Assessment!$J$24</f>
        <v>Full fire protection scope included. Verify sprinkler head modifications, fire alarm devices, clean-agent/CO2 2A:10B:C FEC within 75 ft, rated wall/floor penetrations, temporary firestopping and final UL firestop systems.</v>
      </c>
      <c r="G1006" s="106" t="str">
        <f>"B01_Assessment!A24:J24"</f>
        <v>B01_Assessment!A24:J24</v>
      </c>
    </row>
    <row r="1007" spans="1:12" ht="97.5" customHeight="1">
      <c r="A1007" s="106" t="str">
        <f>B01_Assessment!$B$2</f>
        <v>01</v>
      </c>
      <c r="B1007" s="106" t="str">
        <f t="shared" si="91"/>
        <v>B01_Assessment</v>
      </c>
      <c r="C1007" s="106" t="str">
        <f>"Fire"</f>
        <v>Fire</v>
      </c>
      <c r="D1007" s="142" t="str">
        <f>B01_Assessment!$A$25</f>
        <v>B02</v>
      </c>
      <c r="E1007" s="142" t="str">
        <f>B01_Assessment!$I$25</f>
        <v>Verify</v>
      </c>
      <c r="F1007" s="106" t="str">
        <f>B01_Assessment!$J$25</f>
        <v>Existing telecom room; verify FP/FA protection-in-place and seal penetrations after cable removal/reuse.</v>
      </c>
      <c r="G1007" s="106" t="str">
        <f>"B01_Assessment!A25:J25"</f>
        <v>B01_Assessment!A25:J25</v>
      </c>
    </row>
    <row r="1008" spans="1:12" ht="97.5" customHeight="1">
      <c r="A1008" s="106" t="str">
        <f>B01_Assessment!$B$2</f>
        <v>01</v>
      </c>
      <c r="B1008" s="106" t="str">
        <f t="shared" si="91"/>
        <v>B01_Assessment</v>
      </c>
      <c r="C1008" s="106" t="str">
        <f>"Fire"</f>
        <v>Fire</v>
      </c>
      <c r="D1008" s="142" t="str">
        <f>B01_Assessment!$A$26</f>
        <v>138</v>
      </c>
      <c r="E1008" s="142" t="str">
        <f>B01_Assessment!$I$26</f>
        <v>Verify</v>
      </c>
      <c r="F1008" s="106" t="str">
        <f>B01_Assessment!$J$26</f>
        <v>Existing telecom room; verify fire alarm/sprinkler impacts, protection-in-place and final firestop at cable changes.</v>
      </c>
      <c r="G1008" s="106" t="str">
        <f>"B01_Assessment!A26:J26"</f>
        <v>B01_Assessment!A26:J26</v>
      </c>
    </row>
    <row r="1009" spans="1:7" ht="97.5" customHeight="1">
      <c r="A1009" s="106" t="str">
        <f>B01_Assessment!$B$2</f>
        <v>01</v>
      </c>
      <c r="B1009" s="106" t="str">
        <f t="shared" si="91"/>
        <v>B01_Assessment</v>
      </c>
      <c r="C1009" s="106" t="str">
        <f>"Fire"</f>
        <v>Fire</v>
      </c>
      <c r="D1009" s="142" t="str">
        <f>B01_Assessment!$A$27</f>
        <v>282</v>
      </c>
      <c r="E1009" s="142" t="str">
        <f>B01_Assessment!$I$27</f>
        <v>Verify</v>
      </c>
      <c r="F1009" s="106" t="str">
        <f>B01_Assessment!$J$27</f>
        <v>Existing second-level telecom room; verify riser penetrations, firestopping and protection-in-place.</v>
      </c>
      <c r="G1009" s="106" t="str">
        <f>"B01_Assessment!A27:J27"</f>
        <v>B01_Assessment!A27:J27</v>
      </c>
    </row>
    <row r="1010" spans="1:7" ht="97.5" customHeight="1">
      <c r="A1010" s="106" t="str">
        <f>B01_Assessment!$B$2</f>
        <v>01</v>
      </c>
      <c r="B1010" s="106" t="str">
        <f t="shared" si="91"/>
        <v>B01_Assessment</v>
      </c>
      <c r="C1010" s="106" t="str">
        <f>"HVAC"</f>
        <v>HVAC</v>
      </c>
      <c r="D1010" s="142" t="str">
        <f>B01_Assessment!$A$31</f>
        <v>107</v>
      </c>
      <c r="E1010" s="142" t="str">
        <f>B01_Assessment!$I$31</f>
        <v>Verify</v>
      </c>
      <c r="F1010" s="106" t="str">
        <f>B01_Assessment!$J$31</f>
        <v>Mechanical drawings show IU-1-01 split-system indoor unit and CU-1-01 outdoor unit for Room 107. Notes call for condensate pump, pumped condensate line, BACnet adapter adjacent to unit, FMS integration, room temperature/humidity points and alarms. Confirm capacity, emergency source, condensate path, controls and startup.</v>
      </c>
      <c r="G1010" s="106" t="str">
        <f>"B01_Assessment!A31:J31"</f>
        <v>B01_Assessment!A31:J31</v>
      </c>
    </row>
    <row r="1011" spans="1:7" ht="97.5" customHeight="1">
      <c r="A1011" s="106" t="str">
        <f>B01_Assessment!$B$2</f>
        <v>01</v>
      </c>
      <c r="B1011" s="106" t="str">
        <f t="shared" si="91"/>
        <v>B01_Assessment</v>
      </c>
      <c r="C1011" s="106" t="str">
        <f>"HVAC"</f>
        <v>HVAC</v>
      </c>
      <c r="D1011" s="142" t="str">
        <f>B01_Assessment!$A$32</f>
        <v>B02</v>
      </c>
      <c r="E1011" s="142" t="str">
        <f>B01_Assessment!$I$32</f>
        <v>Verify</v>
      </c>
      <c r="F1011" s="106" t="str">
        <f>B01_Assessment!$J$32</f>
        <v>Existing basement telecom equipment may remain active during cutover. Verify environmental conditions and whether active equipment remains after migration.</v>
      </c>
      <c r="G1011" s="106" t="str">
        <f>"B01_Assessment!A32:J32"</f>
        <v>B01_Assessment!A32:J32</v>
      </c>
    </row>
    <row r="1012" spans="1:7" ht="97.5" customHeight="1">
      <c r="A1012" s="106" t="str">
        <f>B01_Assessment!$B$2</f>
        <v>01</v>
      </c>
      <c r="B1012" s="106" t="str">
        <f t="shared" si="91"/>
        <v>B01_Assessment</v>
      </c>
      <c r="C1012" s="106" t="str">
        <f>"HVAC"</f>
        <v>HVAC</v>
      </c>
      <c r="D1012" s="142" t="str">
        <f>B01_Assessment!$A$33</f>
        <v>138</v>
      </c>
      <c r="E1012" s="142" t="str">
        <f>B01_Assessment!$I$33</f>
        <v>Verify</v>
      </c>
      <c r="F1012" s="106" t="str">
        <f>B01_Assessment!$J$33</f>
        <v>Existing first-level equipment may remain active during transfer; verify temperature, ventilation and protection of active gear.</v>
      </c>
      <c r="G1012" s="106" t="str">
        <f>"B01_Assessment!A33:J33"</f>
        <v>B01_Assessment!A33:J33</v>
      </c>
    </row>
    <row r="1013" spans="1:7" ht="97.5" customHeight="1">
      <c r="A1013" s="106" t="str">
        <f>B01_Assessment!$B$2</f>
        <v>01</v>
      </c>
      <c r="B1013" s="106" t="str">
        <f t="shared" si="91"/>
        <v>B01_Assessment</v>
      </c>
      <c r="C1013" s="106" t="str">
        <f>"HVAC"</f>
        <v>HVAC</v>
      </c>
      <c r="D1013" s="142" t="str">
        <f>B01_Assessment!$A$34</f>
        <v>282</v>
      </c>
      <c r="E1013" s="142" t="str">
        <f>B01_Assessment!$I$34</f>
        <v>Verify</v>
      </c>
      <c r="F1013" s="106" t="str">
        <f>B01_Assessment!$J$34</f>
        <v>Existing second-level equipment may remain active until cutover; verify existing cooling/ambient conditions and no overheating.</v>
      </c>
      <c r="G1013" s="106" t="str">
        <f>"B01_Assessment!A34:J34"</f>
        <v>B01_Assessment!A34:J34</v>
      </c>
    </row>
    <row r="1014" spans="1:7" ht="97.5" customHeight="1">
      <c r="A1014" s="106" t="str">
        <f>B01_Assessment!$B$2</f>
        <v>01</v>
      </c>
      <c r="B1014" s="106" t="str">
        <f t="shared" si="91"/>
        <v>B01_Assessment</v>
      </c>
      <c r="C1014" s="106" t="str">
        <f>"Electrical"</f>
        <v>Electrical</v>
      </c>
      <c r="D1014" s="142" t="str">
        <f>B01_Assessment!$A$38</f>
        <v>107</v>
      </c>
      <c r="E1014" s="142" t="str">
        <f>B01_Assessment!$I$38</f>
        <v>Verify</v>
      </c>
      <c r="F1014" s="106" t="str">
        <f>B01_Assessment!$J$38</f>
        <v>Electrical plans/schedules identify B01-TR107A and B01-TR107B, rack receptacles, normal/emergency receptacles, redundant vertical PDUs, CU-1-01, access controller, lighting/receptacle circuits, SPDs integral to new telecom panels, and 30-day load measurement requirements before panel renovation.</v>
      </c>
      <c r="G1014" s="106" t="str">
        <f>"B01_Assessment!A38:J38"</f>
        <v>B01_Assessment!A38:J38</v>
      </c>
    </row>
    <row r="1015" spans="1:7" ht="97.5" customHeight="1">
      <c r="A1015" s="106" t="str">
        <f>B01_Assessment!$B$2</f>
        <v>01</v>
      </c>
      <c r="B1015" s="106" t="str">
        <f t="shared" si="91"/>
        <v>B01_Assessment</v>
      </c>
      <c r="C1015" s="106" t="str">
        <f>"Electrical"</f>
        <v>Electrical</v>
      </c>
      <c r="D1015" s="142" t="str">
        <f>B01_Assessment!$A$39</f>
        <v>B02</v>
      </c>
      <c r="E1015" s="142" t="str">
        <f>B01_Assessment!$I$39</f>
        <v>Verify</v>
      </c>
      <c r="F1015" s="106" t="str">
        <f>B01_Assessment!$J$39</f>
        <v>Existing B02 rack elevations show UPS on floor and Tripp Lite Smart Pro UPS; verify active source circuits and transfer requirements.</v>
      </c>
      <c r="G1015" s="106" t="str">
        <f>"B01_Assessment!A39:J39"</f>
        <v>B01_Assessment!A39:J39</v>
      </c>
    </row>
    <row r="1016" spans="1:7" ht="97.5" customHeight="1">
      <c r="A1016" s="106" t="str">
        <f>B01_Assessment!$B$2</f>
        <v>01</v>
      </c>
      <c r="B1016" s="106" t="str">
        <f t="shared" si="91"/>
        <v>B01_Assessment</v>
      </c>
      <c r="C1016" s="106" t="str">
        <f>"Electrical"</f>
        <v>Electrical</v>
      </c>
      <c r="D1016" s="142" t="str">
        <f>B01_Assessment!$A$40</f>
        <v>138</v>
      </c>
      <c r="E1016" s="142" t="str">
        <f>B01_Assessment!$I$40</f>
        <v>Verify</v>
      </c>
      <c r="F1016" s="106" t="str">
        <f>B01_Assessment!$J$40</f>
        <v>Existing 138 rack elevation shows APC UPS floor and patch panels; verify active source circuits and transition.</v>
      </c>
      <c r="G1016" s="106" t="str">
        <f>"B01_Assessment!A40:J40"</f>
        <v>B01_Assessment!A40:J40</v>
      </c>
    </row>
    <row r="1017" spans="1:7" ht="97.5" customHeight="1">
      <c r="A1017" s="106" t="str">
        <f>B01_Assessment!$B$2</f>
        <v>01</v>
      </c>
      <c r="B1017" s="106" t="str">
        <f t="shared" si="91"/>
        <v>B01_Assessment</v>
      </c>
      <c r="C1017" s="106" t="str">
        <f>"Electrical"</f>
        <v>Electrical</v>
      </c>
      <c r="D1017" s="142" t="str">
        <f>B01_Assessment!$A$41</f>
        <v>282</v>
      </c>
      <c r="E1017" s="142" t="str">
        <f>B01_Assessment!$I$41</f>
        <v>Verify</v>
      </c>
      <c r="F1017" s="106" t="str">
        <f>B01_Assessment!$J$41</f>
        <v>Existing Room 282 equipment includes active rack gear and patch panels; verify source circuits, UPS/PDU condition and final decommission/retain scope.</v>
      </c>
      <c r="G1017" s="106" t="str">
        <f>"B01_Assessment!A41:J41"</f>
        <v>B01_Assessment!A41:J41</v>
      </c>
    </row>
    <row r="1018" spans="1:7" ht="97.5" customHeight="1">
      <c r="A1018" s="106" t="str">
        <f>B01_Assessment!$B$2</f>
        <v>01</v>
      </c>
      <c r="B1018" s="106" t="str">
        <f t="shared" si="91"/>
        <v>B01_Assessment</v>
      </c>
      <c r="C1018" s="106" t="str">
        <f>"Telecom"</f>
        <v>Telecom</v>
      </c>
      <c r="D1018" s="142" t="str">
        <f>B01_Assessment!$A$45</f>
        <v>107</v>
      </c>
      <c r="E1018" s="142" t="str">
        <f>B01_Assessment!$I$45</f>
        <v>Verify</v>
      </c>
      <c r="F1018" s="106" t="str">
        <f>B01_Assessment!$J$45</f>
        <v>01T-701 identifies RM107 with 96 WAO total, 88 active ports per survey, 146 total ports per schedule, and 161 total ports with 10% allowance. Cable tray schedule totals 394 ft: 58 ft basement, 212 ft first level and 124 ft second level. Rack ID TR01-107-1.</v>
      </c>
      <c r="G1018" s="106" t="str">
        <f>"B01_Assessment!A45:J45"</f>
        <v>B01_Assessment!A45:J45</v>
      </c>
    </row>
    <row r="1019" spans="1:7" ht="97.5" customHeight="1">
      <c r="A1019" s="106" t="str">
        <f>B01_Assessment!$B$2</f>
        <v>01</v>
      </c>
      <c r="B1019" s="106" t="str">
        <f t="shared" si="91"/>
        <v>B01_Assessment</v>
      </c>
      <c r="C1019" s="106" t="str">
        <f>"Telecom"</f>
        <v>Telecom</v>
      </c>
      <c r="D1019" s="142" t="str">
        <f>B01_Assessment!$A$46</f>
        <v>B02</v>
      </c>
      <c r="E1019" s="142" t="str">
        <f>B01_Assessment!$I$46</f>
        <v>Verify</v>
      </c>
      <c r="F1019" s="106" t="str">
        <f>B01_Assessment!$J$46</f>
        <v>Existing B02 racks/TE support active services and legacy equipment. Contractor must field verify equipment to be demolished or transferred and provide phasing plan.</v>
      </c>
      <c r="G1019" s="106" t="str">
        <f>"B01_Assessment!A46:J46"</f>
        <v>B01_Assessment!A46:J46</v>
      </c>
    </row>
    <row r="1020" spans="1:7" ht="97.5" customHeight="1">
      <c r="A1020" s="106" t="str">
        <f>B01_Assessment!$B$2</f>
        <v>01</v>
      </c>
      <c r="B1020" s="106" t="str">
        <f t="shared" si="91"/>
        <v>B01_Assessment</v>
      </c>
      <c r="C1020" s="106" t="str">
        <f>"Telecom"</f>
        <v>Telecom</v>
      </c>
      <c r="D1020" s="142" t="str">
        <f>B01_Assessment!$A$47</f>
        <v>138</v>
      </c>
      <c r="E1020" s="142" t="str">
        <f>B01_Assessment!$I$47</f>
        <v>Verify</v>
      </c>
      <c r="F1020" s="106" t="str">
        <f>B01_Assessment!$J$47</f>
        <v>Existing Room 138 racks and patch panels act as transition/legacy equipment point. Verify active service labels and transfer sequence.</v>
      </c>
      <c r="G1020" s="106" t="str">
        <f>"B01_Assessment!A47:J47"</f>
        <v>B01_Assessment!A47:J47</v>
      </c>
    </row>
    <row r="1021" spans="1:7" ht="97.5" customHeight="1">
      <c r="A1021" s="106" t="str">
        <f>B01_Assessment!$B$2</f>
        <v>01</v>
      </c>
      <c r="B1021" s="106" t="str">
        <f t="shared" si="91"/>
        <v>B01_Assessment</v>
      </c>
      <c r="C1021" s="106" t="str">
        <f>"Telecom"</f>
        <v>Telecom</v>
      </c>
      <c r="D1021" s="142" t="str">
        <f>B01_Assessment!$A$48</f>
        <v>282</v>
      </c>
      <c r="E1021" s="142" t="str">
        <f>B01_Assessment!$I$48</f>
        <v>Verify</v>
      </c>
      <c r="F1021" s="106" t="str">
        <f>B01_Assessment!$J$48</f>
        <v>Existing Room 282 racks and patch panels act as second-level transition point. Verify all active services, WAP/camera cabling, and riser pathway.</v>
      </c>
      <c r="G1021" s="106" t="str">
        <f>"B01_Assessment!A48:J48"</f>
        <v>B01_Assessment!A48:J48</v>
      </c>
    </row>
    <row r="1022" spans="1:7" ht="97.5" customHeight="1">
      <c r="A1022" s="106" t="str">
        <f>B01_Assessment!$B$2</f>
        <v>01</v>
      </c>
      <c r="B1022" s="106" t="str">
        <f t="shared" si="91"/>
        <v>B01_Assessment</v>
      </c>
      <c r="C1022" s="106" t="str">
        <f>"Security"</f>
        <v>Security</v>
      </c>
      <c r="D1022" s="142" t="str">
        <f>B01_Assessment!$A$52</f>
        <v>107</v>
      </c>
      <c r="E1022" s="142" t="str">
        <f>B01_Assessment!$I$52</f>
        <v>Verify</v>
      </c>
      <c r="F1022" s="106" t="str">
        <f>B01_Assessment!$J$52</f>
        <v>Electrical/telecom plans show new access control, power supply/battery backup for PACS, HDP12/FIPS-compliant PIV-ready card reader with PIN pad, and camera 107-CAM-1. Verify CR/RX/DC/ES/MD devices, controller, camera/VMS integration and door hardware coordination.</v>
      </c>
      <c r="G1022" s="106" t="str">
        <f>"B01_Assessment!A52:J52"</f>
        <v>B01_Assessment!A52:J52</v>
      </c>
    </row>
    <row r="1023" spans="1:7" ht="97.5" customHeight="1">
      <c r="A1023" s="106" t="str">
        <f>B01_Assessment!$B$2</f>
        <v>01</v>
      </c>
      <c r="B1023" s="106" t="str">
        <f t="shared" si="91"/>
        <v>B01_Assessment</v>
      </c>
      <c r="C1023" s="106" t="str">
        <f>"Security"</f>
        <v>Security</v>
      </c>
      <c r="D1023" s="142" t="str">
        <f>B01_Assessment!$A$53</f>
        <v>B02</v>
      </c>
      <c r="E1023" s="142" t="str">
        <f>B01_Assessment!$I$53</f>
        <v>Verify</v>
      </c>
      <c r="F1023" s="106" t="str">
        <f>B01_Assessment!$J$53</f>
        <v>Verify existing security/CCTV equipment and any retained cameras. Maintain camera angles where existing security cameras are recabled.</v>
      </c>
      <c r="G1023" s="106" t="str">
        <f>"B01_Assessment!A53:J53"</f>
        <v>B01_Assessment!A53:J53</v>
      </c>
    </row>
    <row r="1024" spans="1:7" ht="97.5" customHeight="1">
      <c r="A1024" s="106" t="str">
        <f>B01_Assessment!$B$2</f>
        <v>01</v>
      </c>
      <c r="B1024" s="106" t="str">
        <f t="shared" si="91"/>
        <v>B01_Assessment</v>
      </c>
      <c r="C1024" s="106" t="str">
        <f>"Security"</f>
        <v>Security</v>
      </c>
      <c r="D1024" s="142" t="str">
        <f>B01_Assessment!$A$54</f>
        <v>138</v>
      </c>
      <c r="E1024" s="142" t="str">
        <f>B01_Assessment!$I$54</f>
        <v>Verify</v>
      </c>
      <c r="F1024" s="106" t="str">
        <f>B01_Assessment!$J$54</f>
        <v>Verify existing security/access conditions and protection-in-place during rack transfer.</v>
      </c>
      <c r="G1024" s="106" t="str">
        <f>"B01_Assessment!A54:J54"</f>
        <v>B01_Assessment!A54:J54</v>
      </c>
    </row>
    <row r="1025" spans="1:7" ht="97.5" customHeight="1">
      <c r="A1025" s="106" t="str">
        <f>B01_Assessment!$B$2</f>
        <v>01</v>
      </c>
      <c r="B1025" s="106" t="str">
        <f t="shared" si="91"/>
        <v>B01_Assessment</v>
      </c>
      <c r="C1025" s="106" t="str">
        <f>"Security"</f>
        <v>Security</v>
      </c>
      <c r="D1025" s="142" t="str">
        <f>B01_Assessment!$A$55</f>
        <v>282</v>
      </c>
      <c r="E1025" s="142" t="str">
        <f>B01_Assessment!$I$55</f>
        <v>Verify</v>
      </c>
      <c r="F1025" s="106" t="str">
        <f>B01_Assessment!$J$55</f>
        <v>Verify second-level existing security/CCTV impacts during cabling and equipment transfer.</v>
      </c>
      <c r="G1025" s="106" t="str">
        <f>"B01_Assessment!A55:J55"</f>
        <v>B01_Assessment!A55:J55</v>
      </c>
    </row>
    <row r="1026" spans="1:7" ht="97.5" customHeight="1">
      <c r="A1026" s="106" t="str">
        <f>B02_Assessment!$B$2</f>
        <v>02</v>
      </c>
      <c r="B1026" s="106" t="str">
        <f t="shared" si="91"/>
        <v>B01_Assessment</v>
      </c>
      <c r="C1026" s="106" t="str">
        <f>"Fire"</f>
        <v>Fire</v>
      </c>
      <c r="D1026" s="142" t="str">
        <f>B02_Assessment!$A$25</f>
        <v>141</v>
      </c>
      <c r="E1026" s="142" t="str">
        <f>B02_Assessment!$I$25</f>
        <v>Verify</v>
      </c>
      <c r="F1026" s="106" t="str">
        <f>B02_Assessment!$J$25</f>
        <v>Full fire protection scope included. Verify sprinkler modifications, fire alarm devices, clean-agent/CO2 2A:10B:C FEC within 75 ft, rated wall/floor penetrations, temporary firestopping and final UL systems.</v>
      </c>
      <c r="G1026" s="106" t="str">
        <f>"B02_Assessment!A25:J25"</f>
        <v>B02_Assessment!A25:J25</v>
      </c>
    </row>
    <row r="1027" spans="1:7" ht="97.5" customHeight="1">
      <c r="A1027" s="106" t="str">
        <f>B02_Assessment!$B$2</f>
        <v>02</v>
      </c>
      <c r="B1027" s="106" t="str">
        <f t="shared" si="91"/>
        <v>B01_Assessment</v>
      </c>
      <c r="C1027" s="106" t="str">
        <f>"Fire"</f>
        <v>Fire</v>
      </c>
      <c r="D1027" s="142" t="str">
        <f>B02_Assessment!$A$26</f>
        <v>236</v>
      </c>
      <c r="E1027" s="142" t="str">
        <f>B02_Assessment!$I$26</f>
        <v>Verify</v>
      </c>
      <c r="F1027" s="106" t="str">
        <f>B02_Assessment!$J$26</f>
        <v>Verify second-level TR sprinkler/fire alarm modifications, FEC location, cable tray penetrations, and temporary/final firestopping.</v>
      </c>
      <c r="G1027" s="106" t="str">
        <f>"B02_Assessment!A26:J26"</f>
        <v>B02_Assessment!A26:J26</v>
      </c>
    </row>
    <row r="1028" spans="1:7" ht="97.5" customHeight="1">
      <c r="A1028" s="106" t="str">
        <f>B02_Assessment!$B$2</f>
        <v>02</v>
      </c>
      <c r="B1028" s="106" t="str">
        <f t="shared" si="91"/>
        <v>B01_Assessment</v>
      </c>
      <c r="C1028" s="106" t="str">
        <f>"Fire"</f>
        <v>Fire</v>
      </c>
      <c r="D1028" s="142" t="str">
        <f>B02_Assessment!$A$27</f>
        <v>342</v>
      </c>
      <c r="E1028" s="142" t="str">
        <f>B02_Assessment!$I$27</f>
        <v>Verify</v>
      </c>
      <c r="F1028" s="106" t="str">
        <f>B02_Assessment!$J$27</f>
        <v>Verify third-level TR sprinkler/fire alarm modifications, FEC location, riser penetrations and firestopping.</v>
      </c>
      <c r="G1028" s="106" t="str">
        <f>"B02_Assessment!A27:J27"</f>
        <v>B02_Assessment!A27:J27</v>
      </c>
    </row>
    <row r="1029" spans="1:7" ht="97.5" customHeight="1">
      <c r="A1029" s="106" t="str">
        <f>B02_Assessment!$B$2</f>
        <v>02</v>
      </c>
      <c r="B1029" s="106" t="str">
        <f t="shared" si="91"/>
        <v>B01_Assessment</v>
      </c>
      <c r="C1029" s="106" t="str">
        <f>"Fire"</f>
        <v>Fire</v>
      </c>
      <c r="D1029" s="142" t="str">
        <f>B02_Assessment!$A$28</f>
        <v>B-06 / existing rooms</v>
      </c>
      <c r="E1029" s="142" t="str">
        <f>B02_Assessment!$I$28</f>
        <v>Verify</v>
      </c>
      <c r="F1029" s="106" t="str">
        <f>B02_Assessment!$J$28</f>
        <v>Existing telecom rooms; verify FP/FA protection-in-place and seal penetrations after cable removal/reuse.</v>
      </c>
      <c r="G1029" s="106" t="str">
        <f>"B02_Assessment!A28:J28"</f>
        <v>B02_Assessment!A28:J28</v>
      </c>
    </row>
    <row r="1030" spans="1:7" ht="97.5" customHeight="1">
      <c r="A1030" s="106" t="str">
        <f>B02_Assessment!$B$2</f>
        <v>02</v>
      </c>
      <c r="B1030" s="106" t="str">
        <f t="shared" si="91"/>
        <v>B01_Assessment</v>
      </c>
      <c r="C1030" s="106" t="str">
        <f>"HVAC"</f>
        <v>HVAC</v>
      </c>
      <c r="D1030" s="142" t="str">
        <f>B02_Assessment!$A$32</f>
        <v>141</v>
      </c>
      <c r="E1030" s="142" t="str">
        <f>B02_Assessment!$I$32</f>
        <v>Verify</v>
      </c>
      <c r="F1030" s="106" t="str">
        <f>B02_Assessment!$J$32</f>
        <v>Electrical schedule references CU-1-01, CU-2-01 and CU-3-01 on B02-TR141B; mechanical sheets include dedicated TR cooling. Confirm which indoor/outdoor unit serves Room 141, capacity, emergency power, condensate, controls/BACnet and alarms.</v>
      </c>
      <c r="G1030" s="106" t="str">
        <f>"B02_Assessment!A32:J32"</f>
        <v>B02_Assessment!A32:J32</v>
      </c>
    </row>
    <row r="1031" spans="1:7" ht="97.5" customHeight="1">
      <c r="A1031" s="106" t="str">
        <f>B02_Assessment!$B$2</f>
        <v>02</v>
      </c>
      <c r="B1031" s="106" t="str">
        <f t="shared" si="91"/>
        <v>B01_Assessment</v>
      </c>
      <c r="C1031" s="106" t="str">
        <f>"HVAC"</f>
        <v>HVAC</v>
      </c>
      <c r="D1031" s="142" t="str">
        <f>B02_Assessment!$A$33</f>
        <v>236</v>
      </c>
      <c r="E1031" s="142" t="str">
        <f>B02_Assessment!$I$33</f>
        <v>Verify</v>
      </c>
      <c r="F1031" s="106" t="str">
        <f>B02_Assessment!$J$33</f>
        <v>Confirm dedicated cooling equipment serving Room 236, condensate route, 24/7 operation, emergency source and FMS/BACnet high-temperature alarm.</v>
      </c>
      <c r="G1031" s="106" t="str">
        <f>"B02_Assessment!A33:J33"</f>
        <v>B02_Assessment!A33:J33</v>
      </c>
    </row>
    <row r="1032" spans="1:7" ht="97.5" customHeight="1">
      <c r="A1032" s="106" t="str">
        <f>B02_Assessment!$B$2</f>
        <v>02</v>
      </c>
      <c r="B1032" s="106" t="str">
        <f t="shared" si="91"/>
        <v>B01_Assessment</v>
      </c>
      <c r="C1032" s="106" t="str">
        <f>"HVAC"</f>
        <v>HVAC</v>
      </c>
      <c r="D1032" s="142" t="str">
        <f>B02_Assessment!$A$34</f>
        <v>342</v>
      </c>
      <c r="E1032" s="142" t="str">
        <f>B02_Assessment!$I$34</f>
        <v>Verify</v>
      </c>
      <c r="F1032" s="106" t="str">
        <f>B02_Assessment!$J$34</f>
        <v>Confirm dedicated cooling equipment serving Room 342, condensate route, controls, emergency source and alarm integration.</v>
      </c>
      <c r="G1032" s="106" t="str">
        <f>"B02_Assessment!A34:J34"</f>
        <v>B02_Assessment!A34:J34</v>
      </c>
    </row>
    <row r="1033" spans="1:7" ht="97.5" customHeight="1">
      <c r="A1033" s="106" t="str">
        <f>B02_Assessment!$B$2</f>
        <v>02</v>
      </c>
      <c r="B1033" s="106" t="str">
        <f t="shared" si="91"/>
        <v>B01_Assessment</v>
      </c>
      <c r="C1033" s="106" t="str">
        <f>"HVAC"</f>
        <v>HVAC</v>
      </c>
      <c r="D1033" s="142" t="str">
        <f>B02_Assessment!$A$35</f>
        <v>B-06 / existing rooms</v>
      </c>
      <c r="E1033" s="142" t="str">
        <f>B02_Assessment!$I$35</f>
        <v>Verify</v>
      </c>
      <c r="F1033" s="106" t="str">
        <f>B02_Assessment!$J$35</f>
        <v>Existing telecom equipment may remain active during cutover. Verify ambient temperature/cooling protection until migration complete.</v>
      </c>
      <c r="G1033" s="106" t="str">
        <f>"B02_Assessment!A35:J35"</f>
        <v>B02_Assessment!A35:J35</v>
      </c>
    </row>
    <row r="1034" spans="1:7" ht="97.5" customHeight="1">
      <c r="A1034" s="106" t="str">
        <f>B02_Assessment!$B$2</f>
        <v>02</v>
      </c>
      <c r="B1034" s="106" t="str">
        <f t="shared" si="91"/>
        <v>B01_Assessment</v>
      </c>
      <c r="C1034" s="106" t="str">
        <f>"Electrical"</f>
        <v>Electrical</v>
      </c>
      <c r="D1034" s="142" t="str">
        <f>B02_Assessment!$A$39</f>
        <v>141</v>
      </c>
      <c r="E1034" s="142" t="str">
        <f>B02_Assessment!$I$39</f>
        <v>Verify</v>
      </c>
      <c r="F1034" s="106" t="str">
        <f>B02_Assessment!$J$39</f>
        <v>Electrical one-line/schedules identify B02-TR141A/B with rack receptacles, lighting/receptacles, SPDs integral to new telecom panelboards and cooling equipment references. Verify source, 30-day load measurement, LOTO and labels.</v>
      </c>
      <c r="G1034" s="106" t="str">
        <f>"B02_Assessment!A39:J39"</f>
        <v>B02_Assessment!A39:J39</v>
      </c>
    </row>
    <row r="1035" spans="1:7" ht="97.5" customHeight="1">
      <c r="A1035" s="106" t="str">
        <f>B02_Assessment!$B$2</f>
        <v>02</v>
      </c>
      <c r="B1035" s="106" t="str">
        <f t="shared" si="91"/>
        <v>B01_Assessment</v>
      </c>
      <c r="C1035" s="106" t="str">
        <f>"Electrical"</f>
        <v>Electrical</v>
      </c>
      <c r="D1035" s="142" t="str">
        <f>B02_Assessment!$A$40</f>
        <v>236</v>
      </c>
      <c r="E1035" s="142" t="str">
        <f>B02_Assessment!$I$40</f>
        <v>Verify</v>
      </c>
      <c r="F1035" s="106" t="str">
        <f>B02_Assessment!$J$40</f>
        <v>Electrical one-line/schedules identify B02-TR236A/B with rack receptacles, lighting/receptacles, SPDs and normal/emergency power requirements. Verify source and rack PDU mapping.</v>
      </c>
      <c r="G1035" s="106" t="str">
        <f>"B02_Assessment!A40:J40"</f>
        <v>B02_Assessment!A40:J40</v>
      </c>
    </row>
    <row r="1036" spans="1:7" ht="97.5" customHeight="1">
      <c r="A1036" s="106" t="str">
        <f>B02_Assessment!$B$2</f>
        <v>02</v>
      </c>
      <c r="B1036" s="106" t="str">
        <f t="shared" si="91"/>
        <v>B01_Assessment</v>
      </c>
      <c r="C1036" s="106" t="str">
        <f>"Electrical"</f>
        <v>Electrical</v>
      </c>
      <c r="D1036" s="142" t="str">
        <f>B02_Assessment!$A$41</f>
        <v>342</v>
      </c>
      <c r="E1036" s="142" t="str">
        <f>B02_Assessment!$I$41</f>
        <v>Verify</v>
      </c>
      <c r="F1036" s="106" t="str">
        <f>B02_Assessment!$J$41</f>
        <v>Electrical one-line/schedules identify B02-TR342A/B with rack receptacles, lighting/receptacles and SPDs. Verify source panels and UPS/PDU circuits.</v>
      </c>
      <c r="G1036" s="106" t="str">
        <f>"B02_Assessment!A41:J41"</f>
        <v>B02_Assessment!A41:J41</v>
      </c>
    </row>
    <row r="1037" spans="1:7" ht="97.5" customHeight="1">
      <c r="A1037" s="106" t="str">
        <f>B02_Assessment!$B$2</f>
        <v>02</v>
      </c>
      <c r="B1037" s="106" t="str">
        <f t="shared" si="91"/>
        <v>B01_Assessment</v>
      </c>
      <c r="C1037" s="106" t="str">
        <f>"Electrical"</f>
        <v>Electrical</v>
      </c>
      <c r="D1037" s="142" t="str">
        <f>B02_Assessment!$A$42</f>
        <v>B-06 / existing rooms</v>
      </c>
      <c r="E1037" s="142" t="str">
        <f>B02_Assessment!$I$42</f>
        <v>Verify</v>
      </c>
      <c r="F1037" s="106" t="str">
        <f>B02_Assessment!$J$42</f>
        <v>Existing racks/panels remain active during transfer; verify power source, UPS status and temporary power needs.</v>
      </c>
      <c r="G1037" s="106" t="str">
        <f>"B02_Assessment!A42:J42"</f>
        <v>B02_Assessment!A42:J42</v>
      </c>
    </row>
    <row r="1038" spans="1:7" ht="97.5" customHeight="1">
      <c r="A1038" s="106" t="str">
        <f>B02_Assessment!$B$2</f>
        <v>02</v>
      </c>
      <c r="B1038" s="106" t="str">
        <f t="shared" si="91"/>
        <v>B01_Assessment</v>
      </c>
      <c r="C1038" s="106" t="str">
        <f>"Telecom"</f>
        <v>Telecom</v>
      </c>
      <c r="D1038" s="142" t="str">
        <f>B02_Assessment!$A$46</f>
        <v>141</v>
      </c>
      <c r="E1038" s="142" t="str">
        <f>B02_Assessment!$I$46</f>
        <v>Verify</v>
      </c>
      <c r="F1038" s="106" t="str">
        <f>B02_Assessment!$J$46</f>
        <v>02T-701 identifies RM141 with 211 WAO total, 215 active ports, 322 scheduled ports, 354 ports with allowance. Rack IDs TR01-141-01/02. Cable tray schedule total includes 1,069 ft first-level cable tray.</v>
      </c>
      <c r="G1038" s="106" t="str">
        <f>"B02_Assessment!A46:J46"</f>
        <v>B02_Assessment!A46:J46</v>
      </c>
    </row>
    <row r="1039" spans="1:7" ht="97.5" customHeight="1">
      <c r="A1039" s="106" t="str">
        <f>B02_Assessment!$B$2</f>
        <v>02</v>
      </c>
      <c r="B1039" s="106" t="str">
        <f t="shared" si="91"/>
        <v>B01_Assessment</v>
      </c>
      <c r="C1039" s="106" t="str">
        <f>"Telecom"</f>
        <v>Telecom</v>
      </c>
      <c r="D1039" s="142" t="str">
        <f>B02_Assessment!$A$47</f>
        <v>236</v>
      </c>
      <c r="E1039" s="142" t="str">
        <f>B02_Assessment!$I$47</f>
        <v>Verify</v>
      </c>
      <c r="F1039" s="106" t="str">
        <f>B02_Assessment!$J$47</f>
        <v>02T-702 identifies RM236 with 179 WAO total, 178 active ports, 314 scheduled ports and approx. 345 with allowance. Rack IDs TR01-236-01/02. Verify second-level cable tray, riser and cutover from existing 282/236 scope.</v>
      </c>
      <c r="G1039" s="106" t="str">
        <f>"B02_Assessment!A47:J47"</f>
        <v>B02_Assessment!A47:J47</v>
      </c>
    </row>
    <row r="1040" spans="1:7" ht="97.5" customHeight="1">
      <c r="A1040" s="106" t="str">
        <f>B02_Assessment!$B$2</f>
        <v>02</v>
      </c>
      <c r="B1040" s="106" t="str">
        <f t="shared" si="91"/>
        <v>B01_Assessment</v>
      </c>
      <c r="C1040" s="106" t="str">
        <f>"Telecom"</f>
        <v>Telecom</v>
      </c>
      <c r="D1040" s="142" t="str">
        <f>B02_Assessment!$A$48</f>
        <v>342</v>
      </c>
      <c r="E1040" s="142" t="str">
        <f>B02_Assessment!$I$48</f>
        <v>Verify</v>
      </c>
      <c r="F1040" s="106" t="str">
        <f>B02_Assessment!$J$48</f>
        <v>02T-703 identifies RM342 with 274 WAO total, 96 active ports, 353 scheduled ports, 388 with allowance. Rack IDs TR01-342-01/02. Verify third-level cable tray and high outlet count.</v>
      </c>
      <c r="G1040" s="106" t="str">
        <f>"B02_Assessment!A48:J48"</f>
        <v>B02_Assessment!A48:J48</v>
      </c>
    </row>
    <row r="1041" spans="1:7" ht="97.5" customHeight="1">
      <c r="A1041" s="106" t="str">
        <f>B02_Assessment!$B$2</f>
        <v>02</v>
      </c>
      <c r="B1041" s="106" t="str">
        <f t="shared" si="91"/>
        <v>B01_Assessment</v>
      </c>
      <c r="C1041" s="106" t="str">
        <f>"Telecom"</f>
        <v>Telecom</v>
      </c>
      <c r="D1041" s="142" t="str">
        <f>B02_Assessment!$A$49</f>
        <v>B-06 / existing rooms</v>
      </c>
      <c r="E1041" s="142" t="str">
        <f>B02_Assessment!$I$49</f>
        <v>Verify</v>
      </c>
      <c r="F1041" s="106" t="str">
        <f>B02_Assessment!$J$49</f>
        <v>Existing B-06/141/236 racks support legacy services. Field verify all active circuits, existing patch panels, labels, and transfer plan before cutover.</v>
      </c>
      <c r="G1041" s="106" t="str">
        <f>"B02_Assessment!A49:J49"</f>
        <v>B02_Assessment!A49:J49</v>
      </c>
    </row>
    <row r="1042" spans="1:7" ht="97.5" customHeight="1">
      <c r="A1042" s="106" t="str">
        <f>B02_Assessment!$B$2</f>
        <v>02</v>
      </c>
      <c r="B1042" s="106" t="str">
        <f t="shared" si="91"/>
        <v>B01_Assessment</v>
      </c>
      <c r="C1042" s="106" t="str">
        <f>"Security"</f>
        <v>Security</v>
      </c>
      <c r="D1042" s="142" t="str">
        <f>B02_Assessment!$A$53</f>
        <v>141</v>
      </c>
      <c r="E1042" s="142" t="str">
        <f>B02_Assessment!$I$53</f>
        <v>Verify</v>
      </c>
      <c r="F1042" s="106" t="str">
        <f>B02_Assessment!$J$53</f>
        <v>Plans show 174-CAM-01 associated with the first-level TR area and PACS/security requirements. Verify camera/VMS integration, access controller/power supply, CR/RX/DC/ES/MD and door hardware.</v>
      </c>
      <c r="G1042" s="106" t="str">
        <f>"B02_Assessment!A53:J53"</f>
        <v>B02_Assessment!A53:J53</v>
      </c>
    </row>
    <row r="1043" spans="1:7" ht="97.5" customHeight="1">
      <c r="A1043" s="106" t="str">
        <f>B02_Assessment!$B$2</f>
        <v>02</v>
      </c>
      <c r="B1043" s="106" t="str">
        <f t="shared" ref="B1043:B1062" si="92">"B02_Assessment"</f>
        <v>B02_Assessment</v>
      </c>
      <c r="C1043" s="106" t="str">
        <f>"Security"</f>
        <v>Security</v>
      </c>
      <c r="D1043" s="142" t="str">
        <f>B02_Assessment!$A$54</f>
        <v>236</v>
      </c>
      <c r="E1043" s="142" t="str">
        <f>B02_Assessment!$I$54</f>
        <v>Verify</v>
      </c>
      <c r="F1043" s="106" t="str">
        <f>B02_Assessment!$J$54</f>
        <v>Plans show 236-CAM-01. Verify camera/VMS integration, access control, door hardware, motion/detection devices and power.</v>
      </c>
      <c r="G1043" s="106" t="str">
        <f>"B02_Assessment!A54:J54"</f>
        <v>B02_Assessment!A54:J54</v>
      </c>
    </row>
    <row r="1044" spans="1:7" ht="97.5" customHeight="1">
      <c r="A1044" s="106" t="str">
        <f>B02_Assessment!$B$2</f>
        <v>02</v>
      </c>
      <c r="B1044" s="106" t="str">
        <f t="shared" si="92"/>
        <v>B02_Assessment</v>
      </c>
      <c r="C1044" s="106" t="str">
        <f>"Security"</f>
        <v>Security</v>
      </c>
      <c r="D1044" s="142" t="str">
        <f>B02_Assessment!$A$55</f>
        <v>342</v>
      </c>
      <c r="E1044" s="142" t="str">
        <f>B02_Assessment!$I$55</f>
        <v>Verify</v>
      </c>
      <c r="F1044" s="106" t="str">
        <f>B02_Assessment!$J$55</f>
        <v>Plans show 342-CAM-01 and 342A-CK-A. Verify camera/VMS integration and access control/security rough-in.</v>
      </c>
      <c r="G1044" s="106" t="str">
        <f>"B02_Assessment!A55:J55"</f>
        <v>B02_Assessment!A55:J55</v>
      </c>
    </row>
    <row r="1045" spans="1:7" ht="97.5" customHeight="1">
      <c r="A1045" s="106" t="str">
        <f>B02_Assessment!$B$2</f>
        <v>02</v>
      </c>
      <c r="B1045" s="106" t="str">
        <f t="shared" si="92"/>
        <v>B02_Assessment</v>
      </c>
      <c r="C1045" s="106" t="str">
        <f>"Security"</f>
        <v>Security</v>
      </c>
      <c r="D1045" s="142" t="str">
        <f>B02_Assessment!$A$56</f>
        <v>B-06 / existing rooms</v>
      </c>
      <c r="E1045" s="142" t="str">
        <f>B02_Assessment!$I$56</f>
        <v>Verify</v>
      </c>
      <c r="F1045" s="106" t="str">
        <f>B02_Assessment!$J$56</f>
        <v>Maintain existing camera angles when re-cabling and protect existing PACS/equipment racks during transfer.</v>
      </c>
      <c r="G1045" s="106" t="str">
        <f>"B02_Assessment!A56:J56"</f>
        <v>B02_Assessment!A56:J56</v>
      </c>
    </row>
    <row r="1046" spans="1:7" ht="97.5" customHeight="1">
      <c r="A1046" s="106" t="str">
        <f>B03_Assessment!$B$2</f>
        <v>03</v>
      </c>
      <c r="B1046" s="106" t="str">
        <f t="shared" si="92"/>
        <v>B02_Assessment</v>
      </c>
      <c r="C1046" s="106" t="str">
        <f>"Fire"</f>
        <v>Fire</v>
      </c>
      <c r="D1046" s="142" t="str">
        <f>B03_Assessment!$A$24</f>
        <v>101E</v>
      </c>
      <c r="E1046" s="142" t="str">
        <f>B03_Assessment!$I$24</f>
        <v>Verify</v>
      </c>
      <c r="F1046" s="106" t="str">
        <f>B03_Assessment!$J$24</f>
        <v>Full fire protection scope included. Verify sprinkler modifications, fire alarm devices, clean-agent/CO2 2A:10B:C FEC within 75 ft, rated wall/floor penetrations, temporary firestopping and final UL systems.</v>
      </c>
      <c r="G1046" s="106" t="str">
        <f>"B03_Assessment!A24:J24"</f>
        <v>B03_Assessment!A24:J24</v>
      </c>
    </row>
    <row r="1047" spans="1:7" ht="97.5" customHeight="1">
      <c r="A1047" s="106" t="str">
        <f>B03_Assessment!$B$2</f>
        <v>03</v>
      </c>
      <c r="B1047" s="106" t="str">
        <f t="shared" si="92"/>
        <v>B02_Assessment</v>
      </c>
      <c r="C1047" s="106" t="str">
        <f>"Fire"</f>
        <v>Fire</v>
      </c>
      <c r="D1047" s="142" t="str">
        <f>B03_Assessment!$A$25</f>
        <v>107</v>
      </c>
      <c r="E1047" s="142" t="str">
        <f>B03_Assessment!$I$25</f>
        <v>Verify</v>
      </c>
      <c r="F1047" s="106" t="str">
        <f>B03_Assessment!$J$25</f>
        <v>Existing telecom room; verify fire alarm/sprinkler protection-in-place and seal penetrations after fiber/cable transfer or reuse.</v>
      </c>
      <c r="G1047" s="106" t="str">
        <f>"B03_Assessment!A25:J25"</f>
        <v>B03_Assessment!A25:J25</v>
      </c>
    </row>
    <row r="1048" spans="1:7" ht="97.5" customHeight="1">
      <c r="A1048" s="106" t="str">
        <f>B03_Assessment!$B$2</f>
        <v>03</v>
      </c>
      <c r="B1048" s="106" t="str">
        <f t="shared" si="92"/>
        <v>B02_Assessment</v>
      </c>
      <c r="C1048" s="106" t="str">
        <f>"Fire"</f>
        <v>Fire</v>
      </c>
      <c r="D1048" s="142" t="str">
        <f>B03_Assessment!$A$26</f>
        <v>101C</v>
      </c>
      <c r="E1048" s="142" t="str">
        <f>B03_Assessment!$I$26</f>
        <v>Verify</v>
      </c>
      <c r="F1048" s="106" t="str">
        <f>B03_Assessment!$J$26</f>
        <v>Existing DMARC/telecom room; fire alarm/sprinkler and firestopping must remain in service during transfer.</v>
      </c>
      <c r="G1048" s="106" t="str">
        <f>"B03_Assessment!A26:J26"</f>
        <v>B03_Assessment!A26:J26</v>
      </c>
    </row>
    <row r="1049" spans="1:7" ht="97.5" customHeight="1">
      <c r="A1049" s="106" t="str">
        <f>B03_Assessment!$B$2</f>
        <v>03</v>
      </c>
      <c r="B1049" s="106" t="str">
        <f t="shared" si="92"/>
        <v>B02_Assessment</v>
      </c>
      <c r="C1049" s="106" t="str">
        <f>"Fire"</f>
        <v>Fire</v>
      </c>
      <c r="D1049" s="142" t="str">
        <f>B03_Assessment!$A$27</f>
        <v>WAO Areas</v>
      </c>
      <c r="E1049" s="142" t="str">
        <f>B03_Assessment!$I$27</f>
        <v>Verify</v>
      </c>
      <c r="F1049" s="106" t="str">
        <f>B03_Assessment!$J$27</f>
        <v>Coordinate ceiling removal, temporary barriers/upright sprinklers if ceiling tiles remain open, and firestopping at all rated penetrations.</v>
      </c>
      <c r="G1049" s="106" t="str">
        <f>"B03_Assessment!A27:J27"</f>
        <v>B03_Assessment!A27:J27</v>
      </c>
    </row>
    <row r="1050" spans="1:7" ht="97.5" customHeight="1">
      <c r="A1050" s="106" t="str">
        <f>B03_Assessment!$B$2</f>
        <v>03</v>
      </c>
      <c r="B1050" s="106" t="str">
        <f t="shared" si="92"/>
        <v>B02_Assessment</v>
      </c>
      <c r="C1050" s="106" t="str">
        <f>"HVAC"</f>
        <v>HVAC</v>
      </c>
      <c r="D1050" s="142" t="str">
        <f>B03_Assessment!$A$31</f>
        <v>101E</v>
      </c>
      <c r="E1050" s="142" t="str">
        <f>B03_Assessment!$I$31</f>
        <v>Verify</v>
      </c>
      <c r="F1050" s="106" t="str">
        <f>B03_Assessment!$J$31</f>
        <v>Electrical schedule references CU-01 on B03-TR101CB and mechanical package includes dedicated TR cooling. Confirm indoor/outdoor unit serving Room 101E, capacity, emergency source, condensate route, controls/BACnet and high-temperature alarm.</v>
      </c>
      <c r="G1050" s="106" t="str">
        <f>"B03_Assessment!A31:J31"</f>
        <v>B03_Assessment!A31:J31</v>
      </c>
    </row>
    <row r="1051" spans="1:7" ht="97.5" customHeight="1">
      <c r="A1051" s="106" t="str">
        <f>B03_Assessment!$B$2</f>
        <v>03</v>
      </c>
      <c r="B1051" s="106" t="str">
        <f t="shared" si="92"/>
        <v>B02_Assessment</v>
      </c>
      <c r="C1051" s="106" t="str">
        <f>"HVAC"</f>
        <v>HVAC</v>
      </c>
      <c r="D1051" s="142" t="str">
        <f>B03_Assessment!$A$32</f>
        <v>107</v>
      </c>
      <c r="E1051" s="142" t="str">
        <f>B03_Assessment!$I$32</f>
        <v>Verify</v>
      </c>
      <c r="F1051" s="106" t="str">
        <f>B03_Assessment!$J$32</f>
        <v>Existing basement telecom equipment may remain active during transfer. Verify ambient temperature/cooling protection until migration is complete.</v>
      </c>
      <c r="G1051" s="106" t="str">
        <f>"B03_Assessment!A32:J32"</f>
        <v>B03_Assessment!A32:J32</v>
      </c>
    </row>
    <row r="1052" spans="1:7" ht="97.5" customHeight="1">
      <c r="A1052" s="106" t="str">
        <f>B03_Assessment!$B$2</f>
        <v>03</v>
      </c>
      <c r="B1052" s="106" t="str">
        <f t="shared" si="92"/>
        <v>B02_Assessment</v>
      </c>
      <c r="C1052" s="106" t="str">
        <f>"HVAC"</f>
        <v>HVAC</v>
      </c>
      <c r="D1052" s="142" t="str">
        <f>B03_Assessment!$A$33</f>
        <v>101C</v>
      </c>
      <c r="E1052" s="142" t="str">
        <f>B03_Assessment!$I$33</f>
        <v>Verify</v>
      </c>
      <c r="F1052" s="106" t="str">
        <f>B03_Assessment!$J$33</f>
        <v>Existing DMARC/fiber services may remain active during cutover; verify existing environmental conditions and heat load if equipment remains.</v>
      </c>
      <c r="G1052" s="106" t="str">
        <f>"B03_Assessment!A33:J33"</f>
        <v>B03_Assessment!A33:J33</v>
      </c>
    </row>
    <row r="1053" spans="1:7" ht="97.5" customHeight="1">
      <c r="A1053" s="106" t="str">
        <f>B03_Assessment!$B$2</f>
        <v>03</v>
      </c>
      <c r="B1053" s="106" t="str">
        <f t="shared" si="92"/>
        <v>B02_Assessment</v>
      </c>
      <c r="C1053" s="106" t="str">
        <f>"HVAC"</f>
        <v>HVAC</v>
      </c>
      <c r="D1053" s="142" t="str">
        <f>B03_Assessment!$A$34</f>
        <v>WAO Areas</v>
      </c>
      <c r="E1053" s="142" t="str">
        <f>B03_Assessment!$I$34</f>
        <v>N/A</v>
      </c>
      <c r="F1053" s="106" t="str">
        <f>B03_Assessment!$J$34</f>
        <v>No dedicated HVAC for WAO areas; maintain infection control/IAQ and ceiling restoration requirements.</v>
      </c>
      <c r="G1053" s="106" t="str">
        <f>"B03_Assessment!A34:J34"</f>
        <v>B03_Assessment!A34:J34</v>
      </c>
    </row>
    <row r="1054" spans="1:7" ht="97.5" customHeight="1">
      <c r="A1054" s="106" t="str">
        <f>B03_Assessment!$B$2</f>
        <v>03</v>
      </c>
      <c r="B1054" s="106" t="str">
        <f t="shared" si="92"/>
        <v>B02_Assessment</v>
      </c>
      <c r="C1054" s="106" t="str">
        <f>"Electrical"</f>
        <v>Electrical</v>
      </c>
      <c r="D1054" s="142" t="str">
        <f>B03_Assessment!$A$38</f>
        <v>101E</v>
      </c>
      <c r="E1054" s="142" t="str">
        <f>B03_Assessment!$I$38</f>
        <v>Verify</v>
      </c>
      <c r="F1054" s="106" t="str">
        <f>B03_Assessment!$J$38</f>
        <v>Electrical one-line/schedules identify B03-TR101CA/B with rack receptacles, TR receptacles, access controller, CU-01 on B03-TR101CB, SPDs integral to telecom panels, PXR20 trip units, and 30-day load measurement requirements.</v>
      </c>
      <c r="G1054" s="106" t="str">
        <f>"B03_Assessment!A38:J38"</f>
        <v>B03_Assessment!A38:J38</v>
      </c>
    </row>
    <row r="1055" spans="1:7" ht="97.5" customHeight="1">
      <c r="A1055" s="106" t="str">
        <f>B03_Assessment!$B$2</f>
        <v>03</v>
      </c>
      <c r="B1055" s="106" t="str">
        <f t="shared" si="92"/>
        <v>B02_Assessment</v>
      </c>
      <c r="C1055" s="106" t="str">
        <f>"Electrical"</f>
        <v>Electrical</v>
      </c>
      <c r="D1055" s="142" t="str">
        <f>B03_Assessment!$A$39</f>
        <v>107</v>
      </c>
      <c r="E1055" s="142" t="str">
        <f>B03_Assessment!$I$39</f>
        <v>Verify</v>
      </c>
      <c r="F1055" s="106" t="str">
        <f>B03_Assessment!$J$39</f>
        <v>Existing Room 107 rack elevation shows UPS on floor and legacy telecom equipment. Verify active source circuits and transfer requirements.</v>
      </c>
      <c r="G1055" s="106" t="str">
        <f>"B03_Assessment!A39:J39"</f>
        <v>B03_Assessment!A39:J39</v>
      </c>
    </row>
    <row r="1056" spans="1:7" ht="97.5" customHeight="1">
      <c r="A1056" s="106" t="str">
        <f>B03_Assessment!$B$2</f>
        <v>03</v>
      </c>
      <c r="B1056" s="106" t="str">
        <f t="shared" si="92"/>
        <v>B02_Assessment</v>
      </c>
      <c r="C1056" s="106" t="str">
        <f>"Electrical"</f>
        <v>Electrical</v>
      </c>
      <c r="D1056" s="142" t="str">
        <f>B03_Assessment!$A$40</f>
        <v>101C</v>
      </c>
      <c r="E1056" s="142" t="str">
        <f>B03_Assessment!$I$40</f>
        <v>Verify</v>
      </c>
      <c r="F1056" s="106" t="str">
        <f>B03_Assessment!$J$40</f>
        <v>Existing DMARC plan shows existing branch panel and patch panel removal/relocation scope. Verify source circuits before demolition or transfer.</v>
      </c>
      <c r="G1056" s="106" t="str">
        <f>"B03_Assessment!A40:J40"</f>
        <v>B03_Assessment!A40:J40</v>
      </c>
    </row>
    <row r="1057" spans="1:7" ht="97.5" customHeight="1">
      <c r="A1057" s="106" t="str">
        <f>B03_Assessment!$B$2</f>
        <v>03</v>
      </c>
      <c r="B1057" s="106" t="str">
        <f t="shared" si="92"/>
        <v>B02_Assessment</v>
      </c>
      <c r="C1057" s="106" t="str">
        <f>"Electrical"</f>
        <v>Electrical</v>
      </c>
      <c r="D1057" s="142" t="str">
        <f>B03_Assessment!$A$41</f>
        <v>WAO Areas</v>
      </c>
      <c r="E1057" s="142" t="str">
        <f>B03_Assessment!$I$41</f>
        <v>Verify</v>
      </c>
      <c r="F1057" s="106" t="str">
        <f>B03_Assessment!$J$41</f>
        <v>Verify power/data coordination at outlets, cameras, WAPs, Centrak/clock devices and hard-lid ceiling locations.</v>
      </c>
      <c r="G1057" s="106" t="str">
        <f>"B03_Assessment!A41:J41"</f>
        <v>B03_Assessment!A41:J41</v>
      </c>
    </row>
    <row r="1058" spans="1:7" ht="97.5" customHeight="1">
      <c r="A1058" s="106" t="str">
        <f>B03_Assessment!$B$2</f>
        <v>03</v>
      </c>
      <c r="B1058" s="106" t="str">
        <f t="shared" si="92"/>
        <v>B02_Assessment</v>
      </c>
      <c r="C1058" s="106" t="str">
        <f>"Telecom"</f>
        <v>Telecom</v>
      </c>
      <c r="D1058" s="142" t="str">
        <f>B03_Assessment!$A$45</f>
        <v>101E</v>
      </c>
      <c r="E1058" s="142" t="str">
        <f>B03_Assessment!$I$45</f>
        <v>Verify</v>
      </c>
      <c r="F1058" s="106" t="str">
        <f>B03_Assessment!$J$45</f>
        <v>03T-701 identifies RM101E with 143 WAO total, 213 active ports, 187 scheduled ports and 206 total ports with 10% allowance. Cable tray schedule totals 961 ft: 615 ft basement level and 346 ft first level. Rack IDs TR01-101E-1 and TR01-101E-2.</v>
      </c>
      <c r="G1058" s="106" t="str">
        <f>"B03_Assessment!A45:J45"</f>
        <v>B03_Assessment!A45:J45</v>
      </c>
    </row>
    <row r="1059" spans="1:7" ht="97.5" customHeight="1">
      <c r="A1059" s="106" t="str">
        <f>B03_Assessment!$B$2</f>
        <v>03</v>
      </c>
      <c r="B1059" s="106" t="str">
        <f t="shared" si="92"/>
        <v>B02_Assessment</v>
      </c>
      <c r="C1059" s="106" t="str">
        <f>"Telecom"</f>
        <v>Telecom</v>
      </c>
      <c r="D1059" s="142" t="str">
        <f>B03_Assessment!$A$46</f>
        <v>107</v>
      </c>
      <c r="E1059" s="142" t="str">
        <f>B03_Assessment!$I$46</f>
        <v>Verify</v>
      </c>
      <c r="F1059" s="106" t="str">
        <f>B03_Assessment!$J$46</f>
        <v>Existing Room 107 rack supports legacy active services; verify B3-LB-B13-TC-FIBER equipment inventory, fiber LIU, patch panels, Cisco switch and UPS before cutover.</v>
      </c>
      <c r="G1059" s="106" t="str">
        <f>"B03_Assessment!A46:J46"</f>
        <v>B03_Assessment!A46:J46</v>
      </c>
    </row>
    <row r="1060" spans="1:7" ht="97.5" customHeight="1">
      <c r="A1060" s="106" t="str">
        <f>B03_Assessment!$B$2</f>
        <v>03</v>
      </c>
      <c r="B1060" s="106" t="str">
        <f t="shared" si="92"/>
        <v>B02_Assessment</v>
      </c>
      <c r="C1060" s="106" t="str">
        <f>"Telecom"</f>
        <v>Telecom</v>
      </c>
      <c r="D1060" s="142" t="str">
        <f>B03_Assessment!$A$47</f>
        <v>101C</v>
      </c>
      <c r="E1060" s="142" t="str">
        <f>B03_Assessment!$I$47</f>
        <v>Verify</v>
      </c>
      <c r="F1060" s="106" t="str">
        <f>B03_Assessment!$J$47</f>
        <v>Existing DMARC/telecom room 101C includes patch panels/cabinet/branch panel and 101C-CAM-01; protect active provider/fiber/DMARC services until new fiber/rack work is accepted.</v>
      </c>
      <c r="G1060" s="106" t="str">
        <f>"B03_Assessment!A47:J47"</f>
        <v>B03_Assessment!A47:J47</v>
      </c>
    </row>
    <row r="1061" spans="1:7" ht="97.5" customHeight="1">
      <c r="A1061" s="106" t="str">
        <f>B03_Assessment!$B$2</f>
        <v>03</v>
      </c>
      <c r="B1061" s="106" t="str">
        <f t="shared" si="92"/>
        <v>B02_Assessment</v>
      </c>
      <c r="C1061" s="106" t="str">
        <f>"Telecom"</f>
        <v>Telecom</v>
      </c>
      <c r="D1061" s="142" t="str">
        <f>B03_Assessment!$A$48</f>
        <v>WAO Areas</v>
      </c>
      <c r="E1061" s="142" t="str">
        <f>B03_Assessment!$I$48</f>
        <v>Verify</v>
      </c>
      <c r="F1061" s="106" t="str">
        <f>B03_Assessment!$J$48</f>
        <v>Existing ports replaced; 3- and 4-port outlets reduced to two Cat6A ports where coordinated. WAPs remain protected in place while cabling/faceplate/jack are replaced.</v>
      </c>
      <c r="G1061" s="106" t="str">
        <f>"B03_Assessment!A48:J48"</f>
        <v>B03_Assessment!A48:J48</v>
      </c>
    </row>
    <row r="1062" spans="1:7" ht="97.5" customHeight="1">
      <c r="A1062" s="106" t="str">
        <f>B03_Assessment!$B$2</f>
        <v>03</v>
      </c>
      <c r="B1062" s="106" t="str">
        <f t="shared" si="92"/>
        <v>B02_Assessment</v>
      </c>
      <c r="C1062" s="106" t="str">
        <f>"Security"</f>
        <v>Security</v>
      </c>
      <c r="D1062" s="142" t="str">
        <f>B03_Assessment!$A$52</f>
        <v>101E</v>
      </c>
      <c r="E1062" s="142" t="str">
        <f>B03_Assessment!$I$52</f>
        <v>Verify</v>
      </c>
      <c r="F1062" s="106" t="str">
        <f>B03_Assessment!$J$52</f>
        <v>Plans require PACS for TR doors and electrical details include access-controlled door rough-in. Verify access controller, power supply/battery backup, CR/RX/DC/ES/MD devices, reader, strike and door hardware coordination.</v>
      </c>
      <c r="G1062" s="106" t="str">
        <f>"B03_Assessment!A52:J52"</f>
        <v>B03_Assessment!A52:J52</v>
      </c>
    </row>
    <row r="1063" spans="1:7" ht="97.5" customHeight="1">
      <c r="A1063" s="106" t="str">
        <f>B03_Assessment!$B$2</f>
        <v>03</v>
      </c>
      <c r="B1063" s="106" t="str">
        <f t="shared" ref="B1063:B1077" si="93">"B03_Assessment"</f>
        <v>B03_Assessment</v>
      </c>
      <c r="C1063" s="106" t="str">
        <f>"Security"</f>
        <v>Security</v>
      </c>
      <c r="D1063" s="142" t="str">
        <f>B03_Assessment!$A$53</f>
        <v>101C</v>
      </c>
      <c r="E1063" s="142" t="str">
        <f>B03_Assessment!$I$53</f>
        <v>Verify</v>
      </c>
      <c r="F1063" s="106" t="str">
        <f>B03_Assessment!$J$53</f>
        <v>Enlarged plan and schedule identify 101C-CAM-01 and 101C-CK-A. Verify camera/VMS integration, existing camera angles and protection-in-place.</v>
      </c>
      <c r="G1063" s="106" t="str">
        <f>"B03_Assessment!A53:J53"</f>
        <v>B03_Assessment!A53:J53</v>
      </c>
    </row>
    <row r="1064" spans="1:7" ht="97.5" customHeight="1">
      <c r="A1064" s="106" t="str">
        <f>B03_Assessment!$B$2</f>
        <v>03</v>
      </c>
      <c r="B1064" s="106" t="str">
        <f t="shared" si="93"/>
        <v>B03_Assessment</v>
      </c>
      <c r="C1064" s="106" t="str">
        <f>"Security"</f>
        <v>Security</v>
      </c>
      <c r="D1064" s="142" t="str">
        <f>B03_Assessment!$A$54</f>
        <v>107</v>
      </c>
      <c r="E1064" s="142" t="str">
        <f>B03_Assessment!$I$54</f>
        <v>Verify</v>
      </c>
      <c r="F1064" s="106" t="str">
        <f>B03_Assessment!$J$54</f>
        <v>Verify existing security/CCTV/PACS impacts during basement telecom room transfer.</v>
      </c>
      <c r="G1064" s="106" t="str">
        <f>"B03_Assessment!A54:J54"</f>
        <v>B03_Assessment!A54:J54</v>
      </c>
    </row>
    <row r="1065" spans="1:7" ht="97.5" customHeight="1">
      <c r="A1065" s="106" t="str">
        <f>B03_Assessment!$B$2</f>
        <v>03</v>
      </c>
      <c r="B1065" s="106" t="str">
        <f t="shared" si="93"/>
        <v>B03_Assessment</v>
      </c>
      <c r="C1065" s="106" t="str">
        <f>"Security"</f>
        <v>Security</v>
      </c>
      <c r="D1065" s="142" t="str">
        <f>B03_Assessment!$A$55</f>
        <v>WAO Areas</v>
      </c>
      <c r="E1065" s="142" t="str">
        <f>B03_Assessment!$I$55</f>
        <v>Verify</v>
      </c>
      <c r="F1065" s="106" t="str">
        <f>B03_Assessment!$J$55</f>
        <v>Maintain existing camera angles when re-cabling; verify WAP/security/clock/Centrak devices are relabeled and tested.</v>
      </c>
      <c r="G1065" s="106" t="str">
        <f>"B03_Assessment!A55:J55"</f>
        <v>B03_Assessment!A55:J55</v>
      </c>
    </row>
    <row r="1066" spans="1:7" ht="97.5" customHeight="1">
      <c r="A1066" s="106" t="str">
        <f>B04_Assessment!$B$2</f>
        <v>04</v>
      </c>
      <c r="B1066" s="106" t="str">
        <f t="shared" si="93"/>
        <v>B03_Assessment</v>
      </c>
      <c r="C1066" s="106" t="str">
        <f>"Fire"</f>
        <v>Fire</v>
      </c>
      <c r="D1066" s="142" t="str">
        <f>B04_Assessment!$A$22</f>
        <v>B05</v>
      </c>
      <c r="E1066" s="142" t="str">
        <f>B04_Assessment!$I$22</f>
        <v>Verify</v>
      </c>
      <c r="F1066" s="106" t="str">
        <f>B04_Assessment!$J$22</f>
        <v>Fully sprinklered building; basement TR requires verification of sprinkler coverage and impairment planning.</v>
      </c>
      <c r="G1066" s="106" t="str">
        <f>"B04_Assessment!A22:J22"</f>
        <v>B04_Assessment!A22:J22</v>
      </c>
    </row>
    <row r="1067" spans="1:7" ht="97.5" customHeight="1">
      <c r="A1067" s="106" t="str">
        <f>B04_Assessment!$B$2</f>
        <v>04</v>
      </c>
      <c r="B1067" s="106" t="str">
        <f t="shared" si="93"/>
        <v>B03_Assessment</v>
      </c>
      <c r="C1067" s="106" t="str">
        <f>"Fire"</f>
        <v>Fire</v>
      </c>
      <c r="D1067" s="142" t="str">
        <f>B04_Assessment!$A$23</f>
        <v>141</v>
      </c>
      <c r="E1067" s="142" t="str">
        <f>B04_Assessment!$I$23</f>
        <v>Verify</v>
      </c>
      <c r="F1067" s="106" t="str">
        <f>B04_Assessment!$J$23</f>
        <v>FEC with clean-agent 2A:10B:C extinguisher within 75 ft; TR open to deck; maintain rated assemblies.</v>
      </c>
      <c r="G1067" s="106" t="str">
        <f>"B04_Assessment!A23:J23"</f>
        <v>B04_Assessment!A23:J23</v>
      </c>
    </row>
    <row r="1068" spans="1:7" ht="97.5" customHeight="1">
      <c r="A1068" s="106" t="str">
        <f>B04_Assessment!$B$2</f>
        <v>04</v>
      </c>
      <c r="B1068" s="106" t="str">
        <f t="shared" si="93"/>
        <v>B03_Assessment</v>
      </c>
      <c r="C1068" s="106" t="str">
        <f>"Fire"</f>
        <v>Fire</v>
      </c>
      <c r="D1068" s="142" t="str">
        <f>B04_Assessment!$A$24</f>
        <v>244A</v>
      </c>
      <c r="E1068" s="142" t="str">
        <f>B04_Assessment!$I$24</f>
        <v>Verify</v>
      </c>
      <c r="F1068" s="106" t="str">
        <f>B04_Assessment!$J$24</f>
        <v>Verify sprinkler/fire alarm device locations and firestop for riser/pathway penetrations.</v>
      </c>
      <c r="G1068" s="106" t="str">
        <f>"B04_Assessment!A24:J24"</f>
        <v>B04_Assessment!A24:J24</v>
      </c>
    </row>
    <row r="1069" spans="1:7" ht="97.5" customHeight="1">
      <c r="A1069" s="106" t="str">
        <f>B04_Assessment!$B$2</f>
        <v>04</v>
      </c>
      <c r="B1069" s="106" t="str">
        <f t="shared" si="93"/>
        <v>B03_Assessment</v>
      </c>
      <c r="C1069" s="106" t="str">
        <f>"HVAC"</f>
        <v>HVAC</v>
      </c>
      <c r="D1069" s="142" t="str">
        <f>B04_Assessment!$A$28</f>
        <v>B05</v>
      </c>
      <c r="E1069" s="142" t="str">
        <f>B04_Assessment!$I$28</f>
        <v>Verify</v>
      </c>
      <c r="F1069" s="106" t="str">
        <f>B04_Assessment!$J$28</f>
        <v>Verify dedicated cooling for two-rack basement TR and whether unit/controls/condensate are backed up.</v>
      </c>
      <c r="G1069" s="106" t="str">
        <f>"B04_Assessment!A28:J28"</f>
        <v>B04_Assessment!A28:J28</v>
      </c>
    </row>
    <row r="1070" spans="1:7" ht="97.5" customHeight="1">
      <c r="A1070" s="106" t="str">
        <f>B04_Assessment!$B$2</f>
        <v>04</v>
      </c>
      <c r="B1070" s="106" t="str">
        <f t="shared" si="93"/>
        <v>B03_Assessment</v>
      </c>
      <c r="C1070" s="106" t="str">
        <f>"HVAC"</f>
        <v>HVAC</v>
      </c>
      <c r="D1070" s="142" t="str">
        <f>B04_Assessment!$A$29</f>
        <v>141</v>
      </c>
      <c r="E1070" s="142" t="str">
        <f>B04_Assessment!$I$29</f>
        <v>Verify</v>
      </c>
      <c r="F1070" s="106" t="str">
        <f>B04_Assessment!$J$29</f>
        <v>Verify dedicated cooling and coordination with open-to-deck room, racks, cable tray, and access control.</v>
      </c>
      <c r="G1070" s="106" t="str">
        <f>"B04_Assessment!A29:J29"</f>
        <v>B04_Assessment!A29:J29</v>
      </c>
    </row>
    <row r="1071" spans="1:7" ht="97.5" customHeight="1">
      <c r="A1071" s="106" t="str">
        <f>B04_Assessment!$B$2</f>
        <v>04</v>
      </c>
      <c r="B1071" s="106" t="str">
        <f t="shared" si="93"/>
        <v>B03_Assessment</v>
      </c>
      <c r="C1071" s="106" t="str">
        <f>"HVAC"</f>
        <v>HVAC</v>
      </c>
      <c r="D1071" s="142" t="str">
        <f>B04_Assessment!$A$30</f>
        <v>244A</v>
      </c>
      <c r="E1071" s="142" t="str">
        <f>B04_Assessment!$I$30</f>
        <v>Verify</v>
      </c>
      <c r="F1071" s="106" t="str">
        <f>B04_Assessment!$J$30</f>
        <v>Verify cooling unit, routing, condensate, controls, and emergency/backup power path.</v>
      </c>
      <c r="G1071" s="106" t="str">
        <f>"B04_Assessment!A30:J30"</f>
        <v>B04_Assessment!A30:J30</v>
      </c>
    </row>
    <row r="1072" spans="1:7" ht="97.5" customHeight="1">
      <c r="A1072" s="106" t="str">
        <f>B04_Assessment!$B$2</f>
        <v>04</v>
      </c>
      <c r="B1072" s="106" t="str">
        <f t="shared" si="93"/>
        <v>B03_Assessment</v>
      </c>
      <c r="C1072" s="106" t="str">
        <f>"Electrical"</f>
        <v>Electrical</v>
      </c>
      <c r="D1072" s="142" t="str">
        <f>B04_Assessment!$A$34</f>
        <v>B05</v>
      </c>
      <c r="E1072" s="142" t="str">
        <f>B04_Assessment!$I$34</f>
        <v>Verify</v>
      </c>
      <c r="F1072" s="106" t="str">
        <f>B04_Assessment!$J$34</f>
        <v>Panel schedule shows B04-NPA-TR in Telecom Room B05, feeding B04-TRB05A/B; TRB05A includes rack receptacle and branch circuits.</v>
      </c>
      <c r="G1072" s="106" t="str">
        <f>"B04_Assessment!A34:J34"</f>
        <v>B04_Assessment!A34:J34</v>
      </c>
    </row>
    <row r="1073" spans="1:7" ht="97.5" customHeight="1">
      <c r="A1073" s="106" t="str">
        <f>B04_Assessment!$B$2</f>
        <v>04</v>
      </c>
      <c r="B1073" s="106" t="str">
        <f t="shared" si="93"/>
        <v>B03_Assessment</v>
      </c>
      <c r="C1073" s="106" t="str">
        <f>"Electrical"</f>
        <v>Electrical</v>
      </c>
      <c r="D1073" s="142" t="str">
        <f>B04_Assessment!$A$35</f>
        <v>141</v>
      </c>
      <c r="E1073" s="142" t="str">
        <f>B04_Assessment!$I$35</f>
        <v>Verify</v>
      </c>
      <c r="F1073" s="106" t="str">
        <f>B04_Assessment!$J$35</f>
        <v>Panel schedule identifies B04-TR141A 60A 3-pole load; verify rack/UPS/PDU circuiting.</v>
      </c>
      <c r="G1073" s="106" t="str">
        <f>"B04_Assessment!A35:J35"</f>
        <v>B04_Assessment!A35:J35</v>
      </c>
    </row>
    <row r="1074" spans="1:7" ht="97.5" customHeight="1">
      <c r="A1074" s="106" t="str">
        <f>B04_Assessment!$B$2</f>
        <v>04</v>
      </c>
      <c r="B1074" s="106" t="str">
        <f t="shared" si="93"/>
        <v>B03_Assessment</v>
      </c>
      <c r="C1074" s="106" t="str">
        <f>"Electrical"</f>
        <v>Electrical</v>
      </c>
      <c r="D1074" s="142" t="str">
        <f>B04_Assessment!$A$36</f>
        <v>244A</v>
      </c>
      <c r="E1074" s="142" t="str">
        <f>B04_Assessment!$I$36</f>
        <v>Verify</v>
      </c>
      <c r="F1074" s="106" t="str">
        <f>B04_Assessment!$J$36</f>
        <v>Panel schedule identifies B04-TR244A 60A 3-pole load; confirm panel/circuit locations and source.</v>
      </c>
      <c r="G1074" s="106" t="str">
        <f>"B04_Assessment!A36:J36"</f>
        <v>B04_Assessment!A36:J36</v>
      </c>
    </row>
    <row r="1075" spans="1:7" ht="97.5" customHeight="1">
      <c r="A1075" s="106" t="str">
        <f>B04_Assessment!$B$2</f>
        <v>04</v>
      </c>
      <c r="B1075" s="106" t="str">
        <f t="shared" si="93"/>
        <v>B03_Assessment</v>
      </c>
      <c r="C1075" s="106" t="str">
        <f>"Telecom"</f>
        <v>Telecom</v>
      </c>
      <c r="D1075" s="142" t="str">
        <f>B04_Assessment!$A$40</f>
        <v>B05</v>
      </c>
      <c r="E1075" s="142" t="str">
        <f>B04_Assessment!$I$40</f>
        <v>Verify</v>
      </c>
      <c r="F1075" s="106" t="str">
        <f>B04_Assessment!$J$40</f>
        <v>New rack elevations show two 4-post floor racks with UPS, Zone PDU, cable managers, network switches, Cat6A patch panels, Cat5E patch panel, and Fiber LIU.</v>
      </c>
      <c r="G1075" s="106" t="str">
        <f>"B04_Assessment!A40:J40"</f>
        <v>B04_Assessment!A40:J40</v>
      </c>
    </row>
    <row r="1076" spans="1:7" ht="97.5" customHeight="1">
      <c r="A1076" s="106" t="str">
        <f>B04_Assessment!$B$2</f>
        <v>04</v>
      </c>
      <c r="B1076" s="106" t="str">
        <f t="shared" si="93"/>
        <v>B03_Assessment</v>
      </c>
      <c r="C1076" s="106" t="str">
        <f>"Telecom"</f>
        <v>Telecom</v>
      </c>
      <c r="D1076" s="142" t="str">
        <f>B04_Assessment!$A$41</f>
        <v>141</v>
      </c>
      <c r="E1076" s="142" t="str">
        <f>B04_Assessment!$I$41</f>
        <v>Verify</v>
      </c>
      <c r="F1076" s="106" t="str">
        <f>B04_Assessment!$J$41</f>
        <v>New rack elevation shows one 4-post rack plus future rack; includes UPS, future Zone PDU, switches, cable managers, Cat6A patch panels, Cat5E patch panel, and Fiber LIU.</v>
      </c>
      <c r="G1076" s="106" t="str">
        <f>"B04_Assessment!A41:J41"</f>
        <v>B04_Assessment!A41:J41</v>
      </c>
    </row>
    <row r="1077" spans="1:7" ht="97.5" customHeight="1">
      <c r="A1077" s="106" t="str">
        <f>B04_Assessment!$B$2</f>
        <v>04</v>
      </c>
      <c r="B1077" s="106" t="str">
        <f t="shared" si="93"/>
        <v>B03_Assessment</v>
      </c>
      <c r="C1077" s="106" t="str">
        <f>"Telecom"</f>
        <v>Telecom</v>
      </c>
      <c r="D1077" s="142" t="str">
        <f>B04_Assessment!$A$42</f>
        <v>244A</v>
      </c>
      <c r="E1077" s="142" t="str">
        <f>B04_Assessment!$I$42</f>
        <v>Verify</v>
      </c>
      <c r="F1077" s="106" t="str">
        <f>B04_Assessment!$J$42</f>
        <v>TR/panel identified; verify rack elevation and pathway details against 04T sheets.</v>
      </c>
      <c r="G1077" s="106" t="str">
        <f>"B04_Assessment!A42:J42"</f>
        <v>B04_Assessment!A42:J42</v>
      </c>
    </row>
    <row r="1078" spans="1:7" ht="97.5" customHeight="1">
      <c r="A1078" s="106" t="str">
        <f>B04_Assessment!$B$2</f>
        <v>04</v>
      </c>
      <c r="B1078" s="106" t="str">
        <f t="shared" ref="B1078:B1087" si="94">"B04_Assessment"</f>
        <v>B04_Assessment</v>
      </c>
      <c r="C1078" s="106" t="str">
        <f>"Security"</f>
        <v>Security</v>
      </c>
      <c r="D1078" s="142" t="str">
        <f>B04_Assessment!$A$46</f>
        <v>B05</v>
      </c>
      <c r="E1078" s="142" t="str">
        <f>B04_Assessment!$I$46</f>
        <v>Verify</v>
      </c>
      <c r="F1078" s="106" t="str">
        <f>B04_Assessment!$J$46</f>
        <v>Verify access-controlled TR door, camera, and VMS/PACS integration.</v>
      </c>
      <c r="G1078" s="106" t="str">
        <f>"B04_Assessment!A46:J46"</f>
        <v>B04_Assessment!A46:J46</v>
      </c>
    </row>
    <row r="1079" spans="1:7" ht="97.5" customHeight="1">
      <c r="A1079" s="106" t="str">
        <f>B04_Assessment!$B$2</f>
        <v>04</v>
      </c>
      <c r="B1079" s="106" t="str">
        <f t="shared" si="94"/>
        <v>B04_Assessment</v>
      </c>
      <c r="C1079" s="106" t="str">
        <f>"Security"</f>
        <v>Security</v>
      </c>
      <c r="D1079" s="142" t="str">
        <f>B04_Assessment!$A$47</f>
        <v>141</v>
      </c>
      <c r="E1079" s="142" t="str">
        <f>B04_Assessment!$I$47</f>
        <v>Verify</v>
      </c>
      <c r="F1079" s="106" t="str">
        <f>B04_Assessment!$J$47</f>
        <v>Architectural notes require door/access control coordination; verify card reader/electric strike rough-in.</v>
      </c>
      <c r="G1079" s="106" t="str">
        <f>"B04_Assessment!A47:J47"</f>
        <v>B04_Assessment!A47:J47</v>
      </c>
    </row>
    <row r="1080" spans="1:7" ht="97.5" customHeight="1">
      <c r="A1080" s="106" t="str">
        <f>B04_Assessment!$B$2</f>
        <v>04</v>
      </c>
      <c r="B1080" s="106" t="str">
        <f t="shared" si="94"/>
        <v>B04_Assessment</v>
      </c>
      <c r="C1080" s="106" t="str">
        <f>"Security"</f>
        <v>Security</v>
      </c>
      <c r="D1080" s="142" t="str">
        <f>B04_Assessment!$A$48</f>
        <v>244A</v>
      </c>
      <c r="E1080" s="142" t="str">
        <f>B04_Assessment!$I$48</f>
        <v>Verify</v>
      </c>
      <c r="F1080" s="106" t="str">
        <f>B04_Assessment!$J$48</f>
        <v>Verify room security details and device integration with VA systems.</v>
      </c>
      <c r="G1080" s="106" t="str">
        <f>"B04_Assessment!A48:J48"</f>
        <v>B04_Assessment!A48:J48</v>
      </c>
    </row>
    <row r="1081" spans="1:7" ht="97.5" customHeight="1">
      <c r="A1081" s="106" t="str">
        <f>B05_Assessment!$B$2</f>
        <v>05</v>
      </c>
      <c r="B1081" s="106" t="str">
        <f t="shared" si="94"/>
        <v>B04_Assessment</v>
      </c>
      <c r="C1081" s="106" t="str">
        <f>"Fire"</f>
        <v>Fire</v>
      </c>
      <c r="D1081" s="142" t="str">
        <f>B05_Assessment!$A$20</f>
        <v>150</v>
      </c>
      <c r="E1081" s="142" t="str">
        <f>B05_Assessment!$I$20</f>
        <v>Verify</v>
      </c>
      <c r="F1081" s="106" t="str">
        <f>B05_Assessment!$J$20</f>
        <v>Cover sheet note states mechanical and fire protection scope excluded; still verify firestopping and existing fire alarm/life safety impacts.</v>
      </c>
      <c r="G1081" s="106" t="str">
        <f>"B05_Assessment!A20:J20"</f>
        <v>B05_Assessment!A20:J20</v>
      </c>
    </row>
    <row r="1082" spans="1:7" ht="97.5" customHeight="1">
      <c r="A1082" s="106" t="str">
        <f>B05_Assessment!$B$2</f>
        <v>05</v>
      </c>
      <c r="B1082" s="106" t="str">
        <f t="shared" si="94"/>
        <v>B04_Assessment</v>
      </c>
      <c r="C1082" s="106" t="str">
        <f>"Fire"</f>
        <v>Fire</v>
      </c>
      <c r="D1082" s="142" t="str">
        <f>B05_Assessment!$A$21</f>
        <v>153-A</v>
      </c>
      <c r="E1082" s="142" t="str">
        <f>B05_Assessment!$I$21</f>
        <v>Verify</v>
      </c>
      <c r="F1082" s="106" t="str">
        <f>B05_Assessment!$J$21</f>
        <v>Existing conditions only; verify protection-in-place and no unsealed penetrations after cabling.</v>
      </c>
      <c r="G1082" s="106" t="str">
        <f>"B05_Assessment!A21:J21"</f>
        <v>B05_Assessment!A21:J21</v>
      </c>
    </row>
    <row r="1083" spans="1:7" ht="97.5" customHeight="1">
      <c r="A1083" s="106" t="str">
        <f>B05_Assessment!$B$2</f>
        <v>05</v>
      </c>
      <c r="B1083" s="106" t="str">
        <f t="shared" si="94"/>
        <v>B04_Assessment</v>
      </c>
      <c r="C1083" s="106" t="str">
        <f>"HVAC"</f>
        <v>HVAC</v>
      </c>
      <c r="D1083" s="142" t="str">
        <f>B05_Assessment!$A$25</f>
        <v>150</v>
      </c>
      <c r="E1083" s="142" t="str">
        <f>B05_Assessment!$I$25</f>
        <v>N/A</v>
      </c>
      <c r="F1083" s="106" t="str">
        <f>B05_Assessment!$J$25</f>
        <v>Mechanical scope is excluded for Building 05; verify TE heat load is acceptable in existing space and does not require added cooling.</v>
      </c>
      <c r="G1083" s="106" t="str">
        <f>"B05_Assessment!A25:J25"</f>
        <v>B05_Assessment!A25:J25</v>
      </c>
    </row>
    <row r="1084" spans="1:7" ht="97.5" customHeight="1">
      <c r="A1084" s="106" t="str">
        <f>B05_Assessment!$B$2</f>
        <v>05</v>
      </c>
      <c r="B1084" s="106" t="str">
        <f t="shared" si="94"/>
        <v>B04_Assessment</v>
      </c>
      <c r="C1084" s="106" t="str">
        <f>"HVAC"</f>
        <v>HVAC</v>
      </c>
      <c r="D1084" s="142" t="str">
        <f>B05_Assessment!$A$26</f>
        <v>153-A</v>
      </c>
      <c r="E1084" s="142" t="str">
        <f>B05_Assessment!$I$26</f>
        <v>N/A</v>
      </c>
      <c r="F1084" s="106" t="str">
        <f>B05_Assessment!$J$26</f>
        <v>Existing wall/wall-mount TE area; verify existing environmental conditions during field survey.</v>
      </c>
      <c r="G1084" s="106" t="str">
        <f>"B05_Assessment!A26:J26"</f>
        <v>B05_Assessment!A26:J26</v>
      </c>
    </row>
    <row r="1085" spans="1:7" ht="97.5" customHeight="1">
      <c r="A1085" s="106" t="str">
        <f>B05_Assessment!$B$2</f>
        <v>05</v>
      </c>
      <c r="B1085" s="106" t="str">
        <f t="shared" si="94"/>
        <v>B04_Assessment</v>
      </c>
      <c r="C1085" s="106" t="str">
        <f>"Electrical"</f>
        <v>Electrical</v>
      </c>
      <c r="D1085" s="142" t="str">
        <f>B05_Assessment!$A$30</f>
        <v>150</v>
      </c>
      <c r="E1085" s="142" t="str">
        <f>B05_Assessment!$I$30</f>
        <v>Verify</v>
      </c>
      <c r="F1085" s="106" t="str">
        <f>B05_Assessment!$J$30</f>
        <v>05T-604 shows APC UPS, two PDU L-530 input / NEMA 5-20 output units, 1200V outlet UPS, and 1200V outlet PDU; verify actual electrical schedule/panel/circuit source.</v>
      </c>
      <c r="G1085" s="106" t="str">
        <f>"B05_Assessment!A30:J30"</f>
        <v>B05_Assessment!A30:J30</v>
      </c>
    </row>
    <row r="1086" spans="1:7" ht="97.5" customHeight="1">
      <c r="A1086" s="106" t="str">
        <f>B05_Assessment!$B$2</f>
        <v>05</v>
      </c>
      <c r="B1086" s="106" t="str">
        <f t="shared" si="94"/>
        <v>B04_Assessment</v>
      </c>
      <c r="C1086" s="106" t="str">
        <f>"Electrical"</f>
        <v>Electrical</v>
      </c>
      <c r="D1086" s="142" t="str">
        <f>B05_Assessment!$A$31</f>
        <v>153-A</v>
      </c>
      <c r="E1086" s="142" t="str">
        <f>B05_Assessment!$I$31</f>
        <v>Verify</v>
      </c>
      <c r="F1086" s="106" t="str">
        <f>B05_Assessment!$J$31</f>
        <v>Existing elevation shows floor UPS and legacy wall-mounted TE equipment; protect active equipment until cutover.</v>
      </c>
      <c r="G1086" s="106" t="str">
        <f>"B05_Assessment!A31:J31"</f>
        <v>B05_Assessment!A31:J31</v>
      </c>
    </row>
    <row r="1087" spans="1:7" ht="97.5" customHeight="1">
      <c r="A1087" s="106" t="str">
        <f>B05_Assessment!$B$2</f>
        <v>05</v>
      </c>
      <c r="B1087" s="106" t="str">
        <f t="shared" si="94"/>
        <v>B04_Assessment</v>
      </c>
      <c r="C1087" s="106" t="str">
        <f>"Telecom"</f>
        <v>Telecom</v>
      </c>
      <c r="D1087" s="142" t="str">
        <f>B05_Assessment!$A$35</f>
        <v>150</v>
      </c>
      <c r="E1087" s="142" t="str">
        <f>B05_Assessment!$I$35</f>
        <v>Verify</v>
      </c>
      <c r="F1087" s="106" t="str">
        <f>B05_Assessment!$J$35</f>
        <v>New Room 150 Telecom Enclosure: 12RU TE with APC UPS, PDUs, cable managers, 48-port angled patch panels, 48-port Cat6A patch panel, and Fiber LIU.</v>
      </c>
      <c r="G1087" s="106" t="str">
        <f>"B05_Assessment!A35:J35"</f>
        <v>B05_Assessment!A35:J35</v>
      </c>
    </row>
    <row r="1088" spans="1:7" ht="97.5" customHeight="1">
      <c r="A1088" s="106" t="str">
        <f>B05_Assessment!$B$2</f>
        <v>05</v>
      </c>
      <c r="B1088" s="106" t="str">
        <f t="shared" ref="B1088:B1102" si="95">"B05_Assessment"</f>
        <v>B05_Assessment</v>
      </c>
      <c r="C1088" s="106" t="str">
        <f>"Telecom"</f>
        <v>Telecom</v>
      </c>
      <c r="D1088" s="142" t="str">
        <f>B05_Assessment!$A$36</f>
        <v>153-A</v>
      </c>
      <c r="E1088" s="142" t="str">
        <f>B05_Assessment!$I$36</f>
        <v>Verify</v>
      </c>
      <c r="F1088" s="106" t="str">
        <f>B05_Assessment!$J$36</f>
        <v>Existing Room 153-A wall/wall-mount TE contains Cisco switches and legacy 24-port patch panels; confirm cutover, reuse, demo, and records.</v>
      </c>
      <c r="G1088" s="106" t="str">
        <f>"B05_Assessment!A36:J36"</f>
        <v>B05_Assessment!A36:J36</v>
      </c>
    </row>
    <row r="1089" spans="1:7" ht="97.5" customHeight="1">
      <c r="A1089" s="106" t="str">
        <f>B05_Assessment!$B$2</f>
        <v>05</v>
      </c>
      <c r="B1089" s="106" t="str">
        <f t="shared" si="95"/>
        <v>B05_Assessment</v>
      </c>
      <c r="C1089" s="106" t="str">
        <f>"Security"</f>
        <v>Security</v>
      </c>
      <c r="D1089" s="142" t="str">
        <f>B05_Assessment!$A$40</f>
        <v>150</v>
      </c>
      <c r="E1089" s="142" t="str">
        <f>B05_Assessment!$I$40</f>
        <v>Verify</v>
      </c>
      <c r="F1089" s="106" t="str">
        <f>B05_Assessment!$J$40</f>
        <v>Project general scope includes CCTV and PACS for telecom spaces; verify whether TE location receives camera/access control or is served by existing room controls.</v>
      </c>
      <c r="G1089" s="106" t="str">
        <f>"B05_Assessment!A40:J40"</f>
        <v>B05_Assessment!A40:J40</v>
      </c>
    </row>
    <row r="1090" spans="1:7" ht="97.5" customHeight="1">
      <c r="A1090" s="106" t="str">
        <f>B05_Assessment!$B$2</f>
        <v>05</v>
      </c>
      <c r="B1090" s="106" t="str">
        <f t="shared" si="95"/>
        <v>B05_Assessment</v>
      </c>
      <c r="C1090" s="106" t="str">
        <f>"Security"</f>
        <v>Security</v>
      </c>
      <c r="D1090" s="142" t="str">
        <f>B05_Assessment!$A$41</f>
        <v>153-A</v>
      </c>
      <c r="E1090" s="142" t="str">
        <f>B05_Assessment!$I$41</f>
        <v>Verify</v>
      </c>
      <c r="F1090" s="106" t="str">
        <f>B05_Assessment!$J$41</f>
        <v>Verify existing security protection and whether access-control work is needed for existing TE area.</v>
      </c>
      <c r="G1090" s="106" t="str">
        <f>"B05_Assessment!A41:J41"</f>
        <v>B05_Assessment!A41:J41</v>
      </c>
    </row>
    <row r="1091" spans="1:7" ht="97.5" customHeight="1">
      <c r="A1091" s="106" t="str">
        <f>B06_Assessment!$B$2</f>
        <v>06</v>
      </c>
      <c r="B1091" s="106" t="str">
        <f t="shared" si="95"/>
        <v>B05_Assessment</v>
      </c>
      <c r="C1091" s="106" t="str">
        <f>"Fire"</f>
        <v>Fire</v>
      </c>
      <c r="D1091" s="142" t="str">
        <f>B06_Assessment!$A$22</f>
        <v>B-01</v>
      </c>
      <c r="E1091" s="142" t="str">
        <f>B06_Assessment!$I$22</f>
        <v>Verify</v>
      </c>
      <c r="F1091" s="106" t="str">
        <f>B06_Assessment!$J$22</f>
        <v>Existing equipment area; verify no cabling penetrations are left unsealed.</v>
      </c>
      <c r="G1091" s="106" t="str">
        <f>"B06_Assessment!A22:J22"</f>
        <v>B06_Assessment!A22:J22</v>
      </c>
    </row>
    <row r="1092" spans="1:7" ht="97.5" customHeight="1">
      <c r="A1092" s="106" t="str">
        <f>B06_Assessment!$B$2</f>
        <v>06</v>
      </c>
      <c r="B1092" s="106" t="str">
        <f t="shared" si="95"/>
        <v>B05_Assessment</v>
      </c>
      <c r="C1092" s="106" t="str">
        <f>"Fire"</f>
        <v>Fire</v>
      </c>
      <c r="D1092" s="142" t="str">
        <f>B06_Assessment!$A$23</f>
        <v>178</v>
      </c>
      <c r="E1092" s="142" t="str">
        <f>B06_Assessment!$I$23</f>
        <v>Verify</v>
      </c>
      <c r="F1092" s="106" t="str">
        <f>B06_Assessment!$J$23</f>
        <v>Fully sprinklered building; verify sprinkler modifications, fire alarm devices, FEC location, and impairment/fire watch needs.</v>
      </c>
      <c r="G1092" s="106" t="str">
        <f>"B06_Assessment!A23:J23"</f>
        <v>B06_Assessment!A23:J23</v>
      </c>
    </row>
    <row r="1093" spans="1:7" ht="97.5" customHeight="1">
      <c r="A1093" s="106" t="str">
        <f>B06_Assessment!$B$2</f>
        <v>06</v>
      </c>
      <c r="B1093" s="106" t="str">
        <f t="shared" si="95"/>
        <v>B05_Assessment</v>
      </c>
      <c r="C1093" s="106" t="str">
        <f>"Fire"</f>
        <v>Fire</v>
      </c>
      <c r="D1093" s="142" t="str">
        <f>B06_Assessment!$A$24</f>
        <v>233</v>
      </c>
      <c r="E1093" s="142" t="str">
        <f>B06_Assessment!$I$24</f>
        <v>Verify</v>
      </c>
      <c r="F1093" s="106" t="str">
        <f>B06_Assessment!$J$24</f>
        <v>Architectural enlarged views call for 1-hour fire/smoke-rated walls, 45-minute door/frame, and FEC within 75 ft.</v>
      </c>
      <c r="G1093" s="106" t="str">
        <f>"B06_Assessment!A24:J24"</f>
        <v>B06_Assessment!A24:J24</v>
      </c>
    </row>
    <row r="1094" spans="1:7" ht="97.5" customHeight="1">
      <c r="A1094" s="106" t="str">
        <f>B06_Assessment!$B$2</f>
        <v>06</v>
      </c>
      <c r="B1094" s="106" t="str">
        <f t="shared" si="95"/>
        <v>B05_Assessment</v>
      </c>
      <c r="C1094" s="106" t="str">
        <f>"HVAC"</f>
        <v>HVAC</v>
      </c>
      <c r="D1094" s="142" t="str">
        <f>B06_Assessment!$A$28</f>
        <v>B-01</v>
      </c>
      <c r="E1094" s="142" t="str">
        <f>B06_Assessment!$I$28</f>
        <v>Verify</v>
      </c>
      <c r="F1094" s="106" t="str">
        <f>B06_Assessment!$J$28</f>
        <v>Verify basement equipment environmental condition and any heat/load issues during cutover.</v>
      </c>
      <c r="G1094" s="106" t="str">
        <f>"B06_Assessment!A28:J28"</f>
        <v>B06_Assessment!A28:J28</v>
      </c>
    </row>
    <row r="1095" spans="1:7" ht="97.5" customHeight="1">
      <c r="A1095" s="106" t="str">
        <f>B06_Assessment!$B$2</f>
        <v>06</v>
      </c>
      <c r="B1095" s="106" t="str">
        <f t="shared" si="95"/>
        <v>B05_Assessment</v>
      </c>
      <c r="C1095" s="106" t="str">
        <f>"HVAC"</f>
        <v>HVAC</v>
      </c>
      <c r="D1095" s="142" t="str">
        <f>B06_Assessment!$A$29</f>
        <v>178</v>
      </c>
      <c r="E1095" s="142" t="str">
        <f>B06_Assessment!$I$29</f>
        <v>Verify</v>
      </c>
      <c r="F1095" s="106" t="str">
        <f>B06_Assessment!$J$29</f>
        <v>Mechanical enlarged plan shows new indoor unit IU-1-01 and outdoor CU-1-01; confirm 208V emergency power, BACnet adapter, thermostat, condensate route.</v>
      </c>
      <c r="G1095" s="106" t="str">
        <f>"B06_Assessment!A29:J29"</f>
        <v>B06_Assessment!A29:J29</v>
      </c>
    </row>
    <row r="1096" spans="1:7" ht="97.5" customHeight="1">
      <c r="A1096" s="106" t="str">
        <f>B06_Assessment!$B$2</f>
        <v>06</v>
      </c>
      <c r="B1096" s="106" t="str">
        <f t="shared" si="95"/>
        <v>B05_Assessment</v>
      </c>
      <c r="C1096" s="106" t="str">
        <f>"HVAC"</f>
        <v>HVAC</v>
      </c>
      <c r="D1096" s="142" t="str">
        <f>B06_Assessment!$A$30</f>
        <v>233</v>
      </c>
      <c r="E1096" s="142" t="str">
        <f>B06_Assessment!$I$30</f>
        <v>Verify</v>
      </c>
      <c r="F1096" s="106" t="str">
        <f>B06_Assessment!$J$30</f>
        <v>Mechanical enlarged plan shows new indoor unit IU-2-01 and outdoor CU-2-01; confirm 208V emergency power, condensate and controls.</v>
      </c>
      <c r="G1096" s="106" t="str">
        <f>"B06_Assessment!A30:J30"</f>
        <v>B06_Assessment!A30:J30</v>
      </c>
    </row>
    <row r="1097" spans="1:7" ht="97.5" customHeight="1">
      <c r="A1097" s="106" t="str">
        <f>B06_Assessment!$B$2</f>
        <v>06</v>
      </c>
      <c r="B1097" s="106" t="str">
        <f t="shared" si="95"/>
        <v>B05_Assessment</v>
      </c>
      <c r="C1097" s="106" t="str">
        <f>"Electrical"</f>
        <v>Electrical</v>
      </c>
      <c r="D1097" s="142" t="str">
        <f>B06_Assessment!$A$34</f>
        <v>B-01</v>
      </c>
      <c r="E1097" s="142" t="str">
        <f>B06_Assessment!$I$34</f>
        <v>Verify</v>
      </c>
      <c r="F1097" s="106" t="str">
        <f>B06_Assessment!$J$34</f>
        <v>Existing UPS on floor shown at B-01; protect active service and confirm any transition/demo requirements.</v>
      </c>
      <c r="G1097" s="106" t="str">
        <f>"B06_Assessment!A34:J34"</f>
        <v>B06_Assessment!A34:J34</v>
      </c>
    </row>
    <row r="1098" spans="1:7" ht="97.5" customHeight="1">
      <c r="A1098" s="106" t="str">
        <f>B06_Assessment!$B$2</f>
        <v>06</v>
      </c>
      <c r="B1098" s="106" t="str">
        <f t="shared" si="95"/>
        <v>B05_Assessment</v>
      </c>
      <c r="C1098" s="106" t="str">
        <f>"Electrical"</f>
        <v>Electrical</v>
      </c>
      <c r="D1098" s="142" t="str">
        <f>B06_Assessment!$A$35</f>
        <v>178</v>
      </c>
      <c r="E1098" s="142" t="str">
        <f>B06_Assessment!$I$35</f>
        <v>Verify</v>
      </c>
      <c r="F1098" s="106" t="str">
        <f>B06_Assessment!$J$35</f>
        <v>Panel schedule shows B06-EP-TR in Telecom Room 178; B06-TR178A/B panels and SPD requirements; load measurement required prior to panel renovation.</v>
      </c>
      <c r="G1098" s="106" t="str">
        <f>"B06_Assessment!A35:J35"</f>
        <v>B06_Assessment!A35:J35</v>
      </c>
    </row>
    <row r="1099" spans="1:7" ht="97.5" customHeight="1">
      <c r="A1099" s="106" t="str">
        <f>B06_Assessment!$B$2</f>
        <v>06</v>
      </c>
      <c r="B1099" s="106" t="str">
        <f t="shared" si="95"/>
        <v>B05_Assessment</v>
      </c>
      <c r="C1099" s="106" t="str">
        <f>"Electrical"</f>
        <v>Electrical</v>
      </c>
      <c r="D1099" s="142" t="str">
        <f>B06_Assessment!$A$36</f>
        <v>233</v>
      </c>
      <c r="E1099" s="142" t="str">
        <f>B06_Assessment!$I$36</f>
        <v>Verify</v>
      </c>
      <c r="F1099" s="106" t="str">
        <f>B06_Assessment!$J$36</f>
        <v>Panel schedule identifies B06-TR233A/B in Telecom Room 233; verify source, circuits, rack receptacles and emergency power.</v>
      </c>
      <c r="G1099" s="106" t="str">
        <f>"B06_Assessment!A36:J36"</f>
        <v>B06_Assessment!A36:J36</v>
      </c>
    </row>
    <row r="1100" spans="1:7" ht="97.5" customHeight="1">
      <c r="A1100" s="106" t="str">
        <f>B06_Assessment!$B$2</f>
        <v>06</v>
      </c>
      <c r="B1100" s="106" t="str">
        <f t="shared" si="95"/>
        <v>B05_Assessment</v>
      </c>
      <c r="C1100" s="106" t="str">
        <f>"Telecom"</f>
        <v>Telecom</v>
      </c>
      <c r="D1100" s="142" t="str">
        <f>B06_Assessment!$A$40</f>
        <v>B-01</v>
      </c>
      <c r="E1100" s="142" t="str">
        <f>B06_Assessment!$I$40</f>
        <v>Verify</v>
      </c>
      <c r="F1100" s="106" t="str">
        <f>B06_Assessment!$J$40</f>
        <v>Existing Cisco switches, legacy 48-port patch panels, wall/wall-mount TE and floor UPS.</v>
      </c>
      <c r="G1100" s="106" t="str">
        <f>"B06_Assessment!A40:J40"</f>
        <v>B06_Assessment!A40:J40</v>
      </c>
    </row>
    <row r="1101" spans="1:7" ht="97.5" customHeight="1">
      <c r="A1101" s="106" t="str">
        <f>B06_Assessment!$B$2</f>
        <v>06</v>
      </c>
      <c r="B1101" s="106" t="str">
        <f t="shared" si="95"/>
        <v>B05_Assessment</v>
      </c>
      <c r="C1101" s="106" t="str">
        <f>"Telecom"</f>
        <v>Telecom</v>
      </c>
      <c r="D1101" s="142" t="str">
        <f>B06_Assessment!$A$41</f>
        <v>178</v>
      </c>
      <c r="E1101" s="142" t="str">
        <f>B06_Assessment!$I$41</f>
        <v>Verify</v>
      </c>
      <c r="F1101" s="106" t="str">
        <f>B06_Assessment!$J$41</f>
        <v>Existing Room 178 rack elevations show multiple existing 2-post racks; new electrical, cable path, grounding and cutover require verification.</v>
      </c>
      <c r="G1101" s="106" t="str">
        <f>"B06_Assessment!A41:J41"</f>
        <v>B06_Assessment!A41:J41</v>
      </c>
    </row>
    <row r="1102" spans="1:7" ht="97.5" customHeight="1">
      <c r="A1102" s="106" t="str">
        <f>B06_Assessment!$B$2</f>
        <v>06</v>
      </c>
      <c r="B1102" s="106" t="str">
        <f t="shared" si="95"/>
        <v>B05_Assessment</v>
      </c>
      <c r="C1102" s="106" t="str">
        <f>"Telecom"</f>
        <v>Telecom</v>
      </c>
      <c r="D1102" s="142" t="str">
        <f>B06_Assessment!$A$42</f>
        <v>233</v>
      </c>
      <c r="E1102" s="142" t="str">
        <f>B06_Assessment!$I$42</f>
        <v>Verify</v>
      </c>
      <c r="F1102" s="106" t="str">
        <f>B06_Assessment!$J$42</f>
        <v>Room 233 future new rack elevation shows UPS, network switches, cable managers, Cat6A patch panels, Cat5E patch panel and Fiber LIU.</v>
      </c>
      <c r="G1102" s="106" t="str">
        <f>"B06_Assessment!A42:J42"</f>
        <v>B06_Assessment!A42:J42</v>
      </c>
    </row>
    <row r="1103" spans="1:7" ht="97.5" customHeight="1">
      <c r="A1103" s="106" t="str">
        <f>B06_Assessment!$B$2</f>
        <v>06</v>
      </c>
      <c r="B1103" s="106" t="str">
        <f t="shared" ref="B1103:B1112" si="96">"B06_Assessment"</f>
        <v>B06_Assessment</v>
      </c>
      <c r="C1103" s="106" t="str">
        <f>"Security"</f>
        <v>Security</v>
      </c>
      <c r="D1103" s="142" t="str">
        <f>B06_Assessment!$A$46</f>
        <v>B-01</v>
      </c>
      <c r="E1103" s="142" t="str">
        <f>B06_Assessment!$I$46</f>
        <v>Verify</v>
      </c>
      <c r="F1103" s="106" t="str">
        <f>B06_Assessment!$J$46</f>
        <v>Verify existing basement access/security while protecting active equipment.</v>
      </c>
      <c r="G1103" s="106" t="str">
        <f>"B06_Assessment!A46:J46"</f>
        <v>B06_Assessment!A46:J46</v>
      </c>
    </row>
    <row r="1104" spans="1:7" ht="97.5" customHeight="1">
      <c r="A1104" s="106" t="str">
        <f>B06_Assessment!$B$2</f>
        <v>06</v>
      </c>
      <c r="B1104" s="106" t="str">
        <f t="shared" si="96"/>
        <v>B06_Assessment</v>
      </c>
      <c r="C1104" s="106" t="str">
        <f>"Security"</f>
        <v>Security</v>
      </c>
      <c r="D1104" s="142" t="str">
        <f>B06_Assessment!$A$47</f>
        <v>178</v>
      </c>
      <c r="E1104" s="142" t="str">
        <f>B06_Assessment!$I$47</f>
        <v>Verify</v>
      </c>
      <c r="F1104" s="106" t="str">
        <f>B06_Assessment!$J$47</f>
        <v>Electrical enlarged plan references existing card reader to remain/protect in place and new tri-tech motion sensor; verify PACS/CCTV integration.</v>
      </c>
      <c r="G1104" s="106" t="str">
        <f>"B06_Assessment!A47:J47"</f>
        <v>B06_Assessment!A47:J47</v>
      </c>
    </row>
    <row r="1105" spans="1:7" ht="97.5" customHeight="1">
      <c r="A1105" s="106" t="str">
        <f>B06_Assessment!$B$2</f>
        <v>06</v>
      </c>
      <c r="B1105" s="106" t="str">
        <f t="shared" si="96"/>
        <v>B06_Assessment</v>
      </c>
      <c r="C1105" s="106" t="str">
        <f>"Security"</f>
        <v>Security</v>
      </c>
      <c r="D1105" s="142" t="str">
        <f>B06_Assessment!$A$48</f>
        <v>233</v>
      </c>
      <c r="E1105" s="142" t="str">
        <f>B06_Assessment!$I$48</f>
        <v>Verify</v>
      </c>
      <c r="F1105" s="106" t="str">
        <f>B06_Assessment!$J$48</f>
        <v>Verify door hardware/access control, motion sensor, camera, and VA security integration.</v>
      </c>
      <c r="G1105" s="106" t="str">
        <f>"B06_Assessment!A48:J48"</f>
        <v>B06_Assessment!A48:J48</v>
      </c>
    </row>
    <row r="1106" spans="1:7" ht="97.5" customHeight="1">
      <c r="A1106" s="106" t="str">
        <f>B07_Assessment!$B$2</f>
        <v>07</v>
      </c>
      <c r="B1106" s="106" t="str">
        <f t="shared" si="96"/>
        <v>B06_Assessment</v>
      </c>
      <c r="C1106" s="106" t="str">
        <f>"Fire"</f>
        <v>Fire</v>
      </c>
      <c r="D1106" s="142" t="str">
        <f>B07_Assessment!$A$20</f>
        <v>B-18</v>
      </c>
      <c r="E1106" s="142" t="str">
        <f>B07_Assessment!$I$20</f>
        <v>Verify</v>
      </c>
      <c r="F1106" s="106" t="str">
        <f>B07_Assessment!$J$20</f>
        <v>Fully sprinklered building; basement TR requires sprinkler coverage verification, firestop at cabling/sleeves and impairment coordination.</v>
      </c>
      <c r="G1106" s="106" t="str">
        <f>"B07_Assessment!A20:J20"</f>
        <v>B07_Assessment!A20:J20</v>
      </c>
    </row>
    <row r="1107" spans="1:7" ht="97.5" customHeight="1">
      <c r="A1107" s="106" t="str">
        <f>B07_Assessment!$B$2</f>
        <v>07</v>
      </c>
      <c r="B1107" s="106" t="str">
        <f t="shared" si="96"/>
        <v>B06_Assessment</v>
      </c>
      <c r="C1107" s="106" t="str">
        <f>"Fire"</f>
        <v>Fire</v>
      </c>
      <c r="D1107" s="142" t="str">
        <f>B07_Assessment!$A$21</f>
        <v>228A</v>
      </c>
      <c r="E1107" s="142" t="str">
        <f>B07_Assessment!$I$21</f>
        <v>Verify</v>
      </c>
      <c r="F1107" s="106" t="str">
        <f>B07_Assessment!$J$21</f>
        <v>Architectural notes require clean-agent 2A:10B:C extinguisher within 75 ft, 45-minute rated door/frame and rated wall construction; verify FA/FP modifications.</v>
      </c>
      <c r="G1107" s="106" t="str">
        <f>"B07_Assessment!A21:J21"</f>
        <v>B07_Assessment!A21:J21</v>
      </c>
    </row>
    <row r="1108" spans="1:7" ht="97.5" customHeight="1">
      <c r="A1108" s="106" t="str">
        <f>B07_Assessment!$B$2</f>
        <v>07</v>
      </c>
      <c r="B1108" s="106" t="str">
        <f t="shared" si="96"/>
        <v>B06_Assessment</v>
      </c>
      <c r="C1108" s="106" t="str">
        <f>"HVAC"</f>
        <v>HVAC</v>
      </c>
      <c r="D1108" s="142" t="str">
        <f>B07_Assessment!$A$25</f>
        <v>B-18</v>
      </c>
      <c r="E1108" s="142" t="str">
        <f>B07_Assessment!$I$25</f>
        <v>Verify</v>
      </c>
      <c r="F1108" s="106" t="str">
        <f>B07_Assessment!$J$25</f>
        <v>Mechanical schedule lists 18,000 BTUH wall-mounted IU-0-01 and CU-0-01; verify exact room assignment, emergency power, condensate, controls and high-temp alarm.</v>
      </c>
      <c r="G1108" s="106" t="str">
        <f>"B07_Assessment!A25:J25"</f>
        <v>B07_Assessment!A25:J25</v>
      </c>
    </row>
    <row r="1109" spans="1:7" ht="97.5" customHeight="1">
      <c r="A1109" s="106" t="str">
        <f>B07_Assessment!$B$2</f>
        <v>07</v>
      </c>
      <c r="B1109" s="106" t="str">
        <f t="shared" si="96"/>
        <v>B06_Assessment</v>
      </c>
      <c r="C1109" s="106" t="str">
        <f>"HVAC"</f>
        <v>HVAC</v>
      </c>
      <c r="D1109" s="142" t="str">
        <f>B07_Assessment!$A$26</f>
        <v>228A</v>
      </c>
      <c r="E1109" s="142" t="str">
        <f>B07_Assessment!$I$26</f>
        <v>Verify</v>
      </c>
      <c r="F1109" s="106" t="str">
        <f>B07_Assessment!$J$26</f>
        <v>Mechanical schedule lists 36,000 BTUH wall-mounted IU-2-01 and CU-2-01; electrical enlarged plan shows IU-2-01 at TR 228A; verify emergency power and condensate route.</v>
      </c>
      <c r="G1109" s="106" t="str">
        <f>"B07_Assessment!A26:J26"</f>
        <v>B07_Assessment!A26:J26</v>
      </c>
    </row>
    <row r="1110" spans="1:7" ht="97.5" customHeight="1">
      <c r="A1110" s="106" t="str">
        <f>B07_Assessment!$B$2</f>
        <v>07</v>
      </c>
      <c r="B1110" s="106" t="str">
        <f t="shared" si="96"/>
        <v>B06_Assessment</v>
      </c>
      <c r="C1110" s="106" t="str">
        <f>"Electrical"</f>
        <v>Electrical</v>
      </c>
      <c r="D1110" s="142" t="str">
        <f>B07_Assessment!$A$30</f>
        <v>B-18</v>
      </c>
      <c r="E1110" s="142" t="str">
        <f>B07_Assessment!$I$30</f>
        <v>Verify</v>
      </c>
      <c r="F1110" s="106" t="str">
        <f>B07_Assessment!$J$30</f>
        <v>Electrical enlarged plans identify B07-TRB18A/B circuits serving basement TR equipment; verify panel source, receptacles, SPD, emergency source and load measurement.</v>
      </c>
      <c r="G1110" s="106" t="str">
        <f>"B07_Assessment!A30:J30"</f>
        <v>B07_Assessment!A30:J30</v>
      </c>
    </row>
    <row r="1111" spans="1:7" ht="97.5" customHeight="1">
      <c r="A1111" s="106" t="str">
        <f>B07_Assessment!$B$2</f>
        <v>07</v>
      </c>
      <c r="B1111" s="106" t="str">
        <f t="shared" si="96"/>
        <v>B06_Assessment</v>
      </c>
      <c r="C1111" s="106" t="str">
        <f>"Electrical"</f>
        <v>Electrical</v>
      </c>
      <c r="D1111" s="142" t="str">
        <f>B07_Assessment!$A$31</f>
        <v>228A</v>
      </c>
      <c r="E1111" s="142" t="str">
        <f>B07_Assessment!$I$31</f>
        <v>Verify</v>
      </c>
      <c r="F1111" s="106" t="str">
        <f>B07_Assessment!$J$31</f>
        <v>Electrical enlarged plans identify B07-TR228A/B circuits serving TR 228A equipment and IU-2-01; verify rack receptacles, cooling power, SPD and labels.</v>
      </c>
      <c r="G1111" s="106" t="str">
        <f>"B07_Assessment!A31:J31"</f>
        <v>B07_Assessment!A31:J31</v>
      </c>
    </row>
    <row r="1112" spans="1:7" ht="97.5" customHeight="1">
      <c r="A1112" s="106" t="str">
        <f>B07_Assessment!$B$2</f>
        <v>07</v>
      </c>
      <c r="B1112" s="106" t="str">
        <f t="shared" si="96"/>
        <v>B06_Assessment</v>
      </c>
      <c r="C1112" s="106" t="str">
        <f>"Telecom"</f>
        <v>Telecom</v>
      </c>
      <c r="D1112" s="142" t="str">
        <f>B07_Assessment!$A$35</f>
        <v>B-18</v>
      </c>
      <c r="E1112" s="142" t="str">
        <f>B07_Assessment!$I$35</f>
        <v>Verify</v>
      </c>
      <c r="F1112" s="106" t="str">
        <f>B07_Assessment!$J$35</f>
        <v>07T-604 rack elevation: 1 rack plus future; includes UPS, future Zone PDU, cable managers, network switches, three 48-port Cat6A angled patch panels, 24-port Cat5E patch panel and Fiber LIU.</v>
      </c>
      <c r="G1112" s="106" t="str">
        <f>"B07_Assessment!A35:J35"</f>
        <v>B07_Assessment!A35:J35</v>
      </c>
    </row>
    <row r="1113" spans="1:7" ht="97.5" customHeight="1">
      <c r="A1113" s="106" t="str">
        <f>B07_Assessment!$B$2</f>
        <v>07</v>
      </c>
      <c r="B1113" s="106" t="str">
        <f t="shared" ref="B1113:B1127" si="97">"B07_Assessment"</f>
        <v>B07_Assessment</v>
      </c>
      <c r="C1113" s="106" t="str">
        <f>"Telecom"</f>
        <v>Telecom</v>
      </c>
      <c r="D1113" s="142" t="str">
        <f>B07_Assessment!$A$36</f>
        <v>228A</v>
      </c>
      <c r="E1113" s="142" t="str">
        <f>B07_Assessment!$I$36</f>
        <v>Verify</v>
      </c>
      <c r="F1113" s="106" t="str">
        <f>B07_Assessment!$J$36</f>
        <v>TR 228A is shown on second-level telecom/electrical enlarged plans; verify rack elevation, fiber paths, Cat6A replacement, labeling/testing and VA acceptance before cutover.</v>
      </c>
      <c r="G1113" s="106" t="str">
        <f>"B07_Assessment!A36:J36"</f>
        <v>B07_Assessment!A36:J36</v>
      </c>
    </row>
    <row r="1114" spans="1:7" ht="97.5" customHeight="1">
      <c r="A1114" s="106" t="str">
        <f>B07_Assessment!$B$2</f>
        <v>07</v>
      </c>
      <c r="B1114" s="106" t="str">
        <f t="shared" si="97"/>
        <v>B07_Assessment</v>
      </c>
      <c r="C1114" s="106" t="str">
        <f>"Security"</f>
        <v>Security</v>
      </c>
      <c r="D1114" s="142" t="str">
        <f>B07_Assessment!$A$40</f>
        <v>B-18</v>
      </c>
      <c r="E1114" s="142" t="str">
        <f>B07_Assessment!$I$40</f>
        <v>Verify</v>
      </c>
      <c r="F1114" s="106" t="str">
        <f>B07_Assessment!$J$40</f>
        <v>Verify access control, door hardware and CCTV/PACS integration for basement TR.</v>
      </c>
      <c r="G1114" s="106" t="str">
        <f>"B07_Assessment!A40:J40"</f>
        <v>B07_Assessment!A40:J40</v>
      </c>
    </row>
    <row r="1115" spans="1:7" ht="97.5" customHeight="1">
      <c r="A1115" s="106" t="str">
        <f>B07_Assessment!$B$2</f>
        <v>07</v>
      </c>
      <c r="B1115" s="106" t="str">
        <f t="shared" si="97"/>
        <v>B07_Assessment</v>
      </c>
      <c r="C1115" s="106" t="str">
        <f>"Security"</f>
        <v>Security</v>
      </c>
      <c r="D1115" s="142" t="str">
        <f>B07_Assessment!$A$41</f>
        <v>228A</v>
      </c>
      <c r="E1115" s="142" t="str">
        <f>B07_Assessment!$I$41</f>
        <v>Verify</v>
      </c>
      <c r="F1115" s="106" t="str">
        <f>B07_Assessment!$J$41</f>
        <v>Architectural notes require access control hardware modifications at new rated door; verify card reader, electric strike, door position switch, motion sensor and camera.</v>
      </c>
      <c r="G1115" s="106" t="str">
        <f>"B07_Assessment!A41:J41"</f>
        <v>B07_Assessment!A41:J41</v>
      </c>
    </row>
    <row r="1116" spans="1:7" ht="97.5" customHeight="1">
      <c r="A1116" s="106" t="str">
        <f>B08_Assessment!$B$2</f>
        <v>08</v>
      </c>
      <c r="B1116" s="106" t="str">
        <f t="shared" si="97"/>
        <v>B07_Assessment</v>
      </c>
      <c r="C1116" s="106" t="str">
        <f>"Fire"</f>
        <v>Fire</v>
      </c>
      <c r="D1116" s="142" t="str">
        <f>B08_Assessment!$A$22</f>
        <v>B-15</v>
      </c>
      <c r="E1116" s="142" t="str">
        <f>B08_Assessment!$I$22</f>
        <v>Verify</v>
      </c>
      <c r="F1116" s="106" t="str">
        <f>B08_Assessment!$J$22</f>
        <v>Existing equipment area; verify no new penetrations are left unsealed and active systems remain protected.</v>
      </c>
      <c r="G1116" s="106" t="str">
        <f>"B08_Assessment!A22:J22"</f>
        <v>B08_Assessment!A22:J22</v>
      </c>
    </row>
    <row r="1117" spans="1:7" ht="97.5" customHeight="1">
      <c r="A1117" s="106" t="str">
        <f>B08_Assessment!$B$2</f>
        <v>08</v>
      </c>
      <c r="B1117" s="106" t="str">
        <f t="shared" si="97"/>
        <v>B07_Assessment</v>
      </c>
      <c r="C1117" s="106" t="str">
        <f>"Fire"</f>
        <v>Fire</v>
      </c>
      <c r="D1117" s="142" t="str">
        <f>B08_Assessment!$A$23</f>
        <v>B12B</v>
      </c>
      <c r="E1117" s="142" t="str">
        <f>B08_Assessment!$I$23</f>
        <v>Verify</v>
      </c>
      <c r="F1117" s="106" t="str">
        <f>B08_Assessment!$J$23</f>
        <v>Door schedule shows 45-minute door; verify fire/smoke requirements, FEC requirement applicability, firestopping and temporary barriers.</v>
      </c>
      <c r="G1117" s="106" t="str">
        <f>"B08_Assessment!A23:J23"</f>
        <v>B08_Assessment!A23:J23</v>
      </c>
    </row>
    <row r="1118" spans="1:7" ht="97.5" customHeight="1">
      <c r="A1118" s="106" t="str">
        <f>B08_Assessment!$B$2</f>
        <v>08</v>
      </c>
      <c r="B1118" s="106" t="str">
        <f t="shared" si="97"/>
        <v>B07_Assessment</v>
      </c>
      <c r="C1118" s="106" t="str">
        <f>"Fire"</f>
        <v>Fire</v>
      </c>
      <c r="D1118" s="142" t="str">
        <f>B08_Assessment!$A$24</f>
        <v>2065A</v>
      </c>
      <c r="E1118" s="142" t="str">
        <f>B08_Assessment!$I$24</f>
        <v>Verify</v>
      </c>
      <c r="F1118" s="106" t="str">
        <f>B08_Assessment!$J$24</f>
        <v>Architectural notes require new 45-minute door, clean-agent 2A:10B:C extinguisher within 75 ft, open-to-deck telecom room and 1-hour fire/smoke-rated existing wall upgrades.</v>
      </c>
      <c r="G1118" s="106" t="str">
        <f>"B08_Assessment!A24:J24"</f>
        <v>B08_Assessment!A24:J24</v>
      </c>
    </row>
    <row r="1119" spans="1:7" ht="97.5" customHeight="1">
      <c r="A1119" s="106" t="str">
        <f>B08_Assessment!$B$2</f>
        <v>08</v>
      </c>
      <c r="B1119" s="106" t="str">
        <f t="shared" si="97"/>
        <v>B07_Assessment</v>
      </c>
      <c r="C1119" s="106" t="str">
        <f>"HVAC"</f>
        <v>HVAC</v>
      </c>
      <c r="D1119" s="142" t="str">
        <f>B08_Assessment!$A$28</f>
        <v>B-15</v>
      </c>
      <c r="E1119" s="142" t="str">
        <f>B08_Assessment!$I$28</f>
        <v>Verify</v>
      </c>
      <c r="F1119" s="106" t="str">
        <f>B08_Assessment!$J$28</f>
        <v>Verify existing environmental conditions and whether active legacy equipment remains during cutover.</v>
      </c>
      <c r="G1119" s="106" t="str">
        <f>"B08_Assessment!A28:J28"</f>
        <v>B08_Assessment!A28:J28</v>
      </c>
    </row>
    <row r="1120" spans="1:7" ht="97.5" customHeight="1">
      <c r="A1120" s="106" t="str">
        <f>B08_Assessment!$B$2</f>
        <v>08</v>
      </c>
      <c r="B1120" s="106" t="str">
        <f t="shared" si="97"/>
        <v>B07_Assessment</v>
      </c>
      <c r="C1120" s="106" t="str">
        <f>"HVAC"</f>
        <v>HVAC</v>
      </c>
      <c r="D1120" s="142" t="str">
        <f>B08_Assessment!$A$29</f>
        <v>B12B</v>
      </c>
      <c r="E1120" s="142" t="str">
        <f>B08_Assessment!$I$29</f>
        <v>Verify</v>
      </c>
      <c r="F1120" s="106" t="str">
        <f>B08_Assessment!$J$29</f>
        <v>Field verify whether TE equipment load requires cooling or if served by existing building HVAC.</v>
      </c>
      <c r="G1120" s="106" t="str">
        <f>"B08_Assessment!A29:J29"</f>
        <v>B08_Assessment!A29:J29</v>
      </c>
    </row>
    <row r="1121" spans="1:7" ht="97.5" customHeight="1">
      <c r="A1121" s="106" t="str">
        <f>B08_Assessment!$B$2</f>
        <v>08</v>
      </c>
      <c r="B1121" s="106" t="str">
        <f t="shared" si="97"/>
        <v>B07_Assessment</v>
      </c>
      <c r="C1121" s="106" t="str">
        <f>"HVAC"</f>
        <v>HVAC</v>
      </c>
      <c r="D1121" s="142" t="str">
        <f>B08_Assessment!$A$30</f>
        <v>2065A</v>
      </c>
      <c r="E1121" s="142" t="str">
        <f>B08_Assessment!$I$30</f>
        <v>Verify</v>
      </c>
      <c r="F1121" s="106" t="str">
        <f>B08_Assessment!$J$30</f>
        <v>Mechanical schedule lists IU-2-01/CU-2-01 at 36,000 BTUH; verify room assignment, emergency power, condensate pump/route, BACnet controller and controls.</v>
      </c>
      <c r="G1121" s="106" t="str">
        <f>"B08_Assessment!A30:J30"</f>
        <v>B08_Assessment!A30:J30</v>
      </c>
    </row>
    <row r="1122" spans="1:7" ht="97.5" customHeight="1">
      <c r="A1122" s="106" t="str">
        <f>B08_Assessment!$B$2</f>
        <v>08</v>
      </c>
      <c r="B1122" s="106" t="str">
        <f t="shared" si="97"/>
        <v>B07_Assessment</v>
      </c>
      <c r="C1122" s="106" t="str">
        <f>"Electrical"</f>
        <v>Electrical</v>
      </c>
      <c r="D1122" s="142" t="str">
        <f>B08_Assessment!$A$34</f>
        <v>B-15</v>
      </c>
      <c r="E1122" s="142" t="str">
        <f>B08_Assessment!$I$34</f>
        <v>Verify</v>
      </c>
      <c r="F1122" s="106" t="str">
        <f>B08_Assessment!$J$34</f>
        <v>Existing rack elevation shows floor UPS and legacy equipment; protect active service and verify transition/demo requirements.</v>
      </c>
      <c r="G1122" s="106" t="str">
        <f>"B08_Assessment!A34:J34"</f>
        <v>B08_Assessment!A34:J34</v>
      </c>
    </row>
    <row r="1123" spans="1:7" ht="97.5" customHeight="1">
      <c r="A1123" s="106" t="str">
        <f>B08_Assessment!$B$2</f>
        <v>08</v>
      </c>
      <c r="B1123" s="106" t="str">
        <f t="shared" si="97"/>
        <v>B07_Assessment</v>
      </c>
      <c r="C1123" s="106" t="str">
        <f>"Electrical"</f>
        <v>Electrical</v>
      </c>
      <c r="D1123" s="142" t="str">
        <f>B08_Assessment!$A$35</f>
        <v>B12B</v>
      </c>
      <c r="E1123" s="142" t="str">
        <f>B08_Assessment!$I$35</f>
        <v>Verify</v>
      </c>
      <c r="F1123" s="106" t="str">
        <f>B08_Assessment!$J$35</f>
        <v>Electrical schedule includes TE receptacle Room B12B; confirm panel/circuit source and if B12B is served from telecom panel.</v>
      </c>
      <c r="G1123" s="106" t="str">
        <f>"B08_Assessment!A35:J35"</f>
        <v>B08_Assessment!A35:J35</v>
      </c>
    </row>
    <row r="1124" spans="1:7" ht="97.5" customHeight="1">
      <c r="A1124" s="106" t="str">
        <f>B08_Assessment!$B$2</f>
        <v>08</v>
      </c>
      <c r="B1124" s="106" t="str">
        <f t="shared" si="97"/>
        <v>B07_Assessment</v>
      </c>
      <c r="C1124" s="106" t="str">
        <f>"Electrical"</f>
        <v>Electrical</v>
      </c>
      <c r="D1124" s="142" t="str">
        <f>B08_Assessment!$A$36</f>
        <v>2065A</v>
      </c>
      <c r="E1124" s="142" t="str">
        <f>B08_Assessment!$I$36</f>
        <v>Verify</v>
      </c>
      <c r="F1124" s="106" t="str">
        <f>B08_Assessment!$J$36</f>
        <v>Electrical schedule identifies B08-TR2065AB in Telecom Room 2065A with TR receptacles, rack receptacles, lighting, access controller, CU-2-01 and SPD notes; verify B08-TR2065AA source/scope.</v>
      </c>
      <c r="G1124" s="106" t="str">
        <f>"B08_Assessment!A36:J36"</f>
        <v>B08_Assessment!A36:J36</v>
      </c>
    </row>
    <row r="1125" spans="1:7" ht="97.5" customHeight="1">
      <c r="A1125" s="106" t="str">
        <f>B08_Assessment!$B$2</f>
        <v>08</v>
      </c>
      <c r="B1125" s="106" t="str">
        <f t="shared" si="97"/>
        <v>B07_Assessment</v>
      </c>
      <c r="C1125" s="106" t="str">
        <f>"Telecom"</f>
        <v>Telecom</v>
      </c>
      <c r="D1125" s="142" t="str">
        <f>B08_Assessment!$A$40</f>
        <v>B-15</v>
      </c>
      <c r="E1125" s="142" t="str">
        <f>B08_Assessment!$I$40</f>
        <v>Verify</v>
      </c>
      <c r="F1125" s="106" t="str">
        <f>B08_Assessment!$J$40</f>
        <v>Existing Room B-15 rack elevations show wall/wall-mounted TE, legacy 24/48-port patch panels, legacy Fiber LIU and UPS.</v>
      </c>
      <c r="G1125" s="106" t="str">
        <f>"B08_Assessment!A40:J40"</f>
        <v>B08_Assessment!A40:J40</v>
      </c>
    </row>
    <row r="1126" spans="1:7" ht="97.5" customHeight="1">
      <c r="A1126" s="106" t="str">
        <f>B08_Assessment!$B$2</f>
        <v>08</v>
      </c>
      <c r="B1126" s="106" t="str">
        <f t="shared" si="97"/>
        <v>B07_Assessment</v>
      </c>
      <c r="C1126" s="106" t="str">
        <f>"Telecom"</f>
        <v>Telecom</v>
      </c>
      <c r="D1126" s="142" t="str">
        <f>B08_Assessment!$A$41</f>
        <v>B12B</v>
      </c>
      <c r="E1126" s="142" t="str">
        <f>B08_Assessment!$I$41</f>
        <v>Verify</v>
      </c>
      <c r="F1126" s="106" t="str">
        <f>B08_Assessment!$J$41</f>
        <v>Telecom schedule uses Rack ID TE01-B12B-1; 80 WAO total, 159 active ports per survey, 116 total ports per schedule, and 128 total ports with 10% allowance.</v>
      </c>
      <c r="G1126" s="106" t="str">
        <f>"B08_Assessment!A41:J41"</f>
        <v>B08_Assessment!A41:J41</v>
      </c>
    </row>
    <row r="1127" spans="1:7" ht="97.5" customHeight="1">
      <c r="A1127" s="106" t="str">
        <f>B08_Assessment!$B$2</f>
        <v>08</v>
      </c>
      <c r="B1127" s="106" t="str">
        <f t="shared" si="97"/>
        <v>B07_Assessment</v>
      </c>
      <c r="C1127" s="106" t="str">
        <f>"Telecom"</f>
        <v>Telecom</v>
      </c>
      <c r="D1127" s="142" t="str">
        <f>B08_Assessment!$A$42</f>
        <v>2065A</v>
      </c>
      <c r="E1127" s="142" t="str">
        <f>B08_Assessment!$I$42</f>
        <v>Verify</v>
      </c>
      <c r="F1127" s="106" t="str">
        <f>B08_Assessment!$J$42</f>
        <v>New Room 2065A rack elevations show two 4-post floor racks; Rack 1 includes Fiber LIU, 24-port Cat5E patch panel, four 48-port Cat6A patch panels, network switches, Zone PDU and UPS; Rack 2 includes future switches and UPS.</v>
      </c>
      <c r="G1127" s="106" t="str">
        <f>"B08_Assessment!A42:J42"</f>
        <v>B08_Assessment!A42:J42</v>
      </c>
    </row>
    <row r="1128" spans="1:7" ht="97.5" customHeight="1">
      <c r="A1128" s="106" t="str">
        <f>B08_Assessment!$B$2</f>
        <v>08</v>
      </c>
      <c r="B1128" s="106" t="str">
        <f t="shared" ref="B1128:B1142" si="98">"B08_Assessment"</f>
        <v>B08_Assessment</v>
      </c>
      <c r="C1128" s="106" t="str">
        <f>"Security"</f>
        <v>Security</v>
      </c>
      <c r="D1128" s="142" t="str">
        <f>B08_Assessment!$A$46</f>
        <v>B-15</v>
      </c>
      <c r="E1128" s="142" t="str">
        <f>B08_Assessment!$I$46</f>
        <v>Verify</v>
      </c>
      <c r="F1128" s="106" t="str">
        <f>B08_Assessment!$J$46</f>
        <v>Verify existing basement access/security while protecting active equipment.</v>
      </c>
      <c r="G1128" s="106" t="str">
        <f>"B08_Assessment!A46:J46"</f>
        <v>B08_Assessment!A46:J46</v>
      </c>
    </row>
    <row r="1129" spans="1:7" ht="97.5" customHeight="1">
      <c r="A1129" s="106" t="str">
        <f>B08_Assessment!$B$2</f>
        <v>08</v>
      </c>
      <c r="B1129" s="106" t="str">
        <f t="shared" si="98"/>
        <v>B08_Assessment</v>
      </c>
      <c r="C1129" s="106" t="str">
        <f>"Security"</f>
        <v>Security</v>
      </c>
      <c r="D1129" s="142" t="str">
        <f>B08_Assessment!$A$47</f>
        <v>B12B</v>
      </c>
      <c r="E1129" s="142" t="str">
        <f>B08_Assessment!$I$47</f>
        <v>Verify</v>
      </c>
      <c r="F1129" s="106" t="str">
        <f>B08_Assessment!$J$47</f>
        <v>45-minute door shown; verify access-control hardware applicability and whether TE is secured.</v>
      </c>
      <c r="G1129" s="106" t="str">
        <f>"B08_Assessment!A47:J47"</f>
        <v>B08_Assessment!A47:J47</v>
      </c>
    </row>
    <row r="1130" spans="1:7" ht="97.5" customHeight="1">
      <c r="A1130" s="106" t="str">
        <f>B08_Assessment!$B$2</f>
        <v>08</v>
      </c>
      <c r="B1130" s="106" t="str">
        <f t="shared" si="98"/>
        <v>B08_Assessment</v>
      </c>
      <c r="C1130" s="106" t="str">
        <f>"Security"</f>
        <v>Security</v>
      </c>
      <c r="D1130" s="142" t="str">
        <f>B08_Assessment!$A$48</f>
        <v>2065A</v>
      </c>
      <c r="E1130" s="142" t="str">
        <f>B08_Assessment!$I$48</f>
        <v>Verify</v>
      </c>
      <c r="F1130" s="106" t="str">
        <f>B08_Assessment!$J$48</f>
        <v>Door schedule/hardware note requires coordination with electrical/access control; verify card reader, electric strike, door position, motion sensor, camera and VA integration.</v>
      </c>
      <c r="G1130" s="106" t="str">
        <f>"B08_Assessment!A48:J48"</f>
        <v>B08_Assessment!A48:J48</v>
      </c>
    </row>
    <row r="1131" spans="1:7" ht="97.5" customHeight="1">
      <c r="A1131" s="106" t="str">
        <f>B09_Assessment!$B$2</f>
        <v>09</v>
      </c>
      <c r="B1131" s="106" t="str">
        <f t="shared" si="98"/>
        <v>B08_Assessment</v>
      </c>
      <c r="C1131" s="106" t="str">
        <f>"Fire"</f>
        <v>Fire</v>
      </c>
      <c r="D1131" s="142" t="str">
        <f>B09_Assessment!$A$22</f>
        <v>B01</v>
      </c>
      <c r="E1131" s="142" t="str">
        <f>B09_Assessment!$I$22</f>
        <v>Verify</v>
      </c>
      <c r="F1131" s="106" t="str">
        <f>B09_Assessment!$J$22</f>
        <v>Fully sprinklered building; verify sprinkler head coverage, rated penetrations, temporary firestopping, and FEC location for basement TR.</v>
      </c>
      <c r="G1131" s="106" t="str">
        <f>"B09_Assessment!A22:J22"</f>
        <v>B09_Assessment!A22:J22</v>
      </c>
    </row>
    <row r="1132" spans="1:7" ht="97.5" customHeight="1">
      <c r="A1132" s="106" t="str">
        <f>B09_Assessment!$B$2</f>
        <v>09</v>
      </c>
      <c r="B1132" s="106" t="str">
        <f t="shared" si="98"/>
        <v>B08_Assessment</v>
      </c>
      <c r="C1132" s="106" t="str">
        <f>"Fire"</f>
        <v>Fire</v>
      </c>
      <c r="D1132" s="142" t="str">
        <f>B09_Assessment!$A$23</f>
        <v>104B</v>
      </c>
      <c r="E1132" s="142" t="str">
        <f>B09_Assessment!$I$23</f>
        <v>Verify</v>
      </c>
      <c r="F1132" s="106" t="str">
        <f>B09_Assessment!$J$23</f>
        <v>Fire protection enlarged plan shows Telecom Room 104B and rated wall legend; verify sprinkler/fire alarm modifications and clean-agent extinguisher within 75 ft.</v>
      </c>
      <c r="G1132" s="106" t="str">
        <f>"B09_Assessment!A23:J23"</f>
        <v>B09_Assessment!A23:J23</v>
      </c>
    </row>
    <row r="1133" spans="1:7" ht="97.5" customHeight="1">
      <c r="A1133" s="106" t="str">
        <f>B09_Assessment!$B$2</f>
        <v>09</v>
      </c>
      <c r="B1133" s="106" t="str">
        <f t="shared" si="98"/>
        <v>B08_Assessment</v>
      </c>
      <c r="C1133" s="106" t="str">
        <f>"Fire"</f>
        <v>Fire</v>
      </c>
      <c r="D1133" s="142" t="str">
        <f>B09_Assessment!$A$24</f>
        <v>206A</v>
      </c>
      <c r="E1133" s="142" t="str">
        <f>B09_Assessment!$I$24</f>
        <v>Verify</v>
      </c>
      <c r="F1133" s="106" t="str">
        <f>B09_Assessment!$J$24</f>
        <v>Fire protection enlarged plan shows Telecom Room 206A; verify sprinkler cage/coverage, fire alarm device relocation/additions, and rated penetrations.</v>
      </c>
      <c r="G1133" s="106" t="str">
        <f>"B09_Assessment!A24:J24"</f>
        <v>B09_Assessment!A24:J24</v>
      </c>
    </row>
    <row r="1134" spans="1:7" ht="97.5" customHeight="1">
      <c r="A1134" s="106" t="str">
        <f>B09_Assessment!$B$2</f>
        <v>09</v>
      </c>
      <c r="B1134" s="106" t="str">
        <f t="shared" si="98"/>
        <v>B08_Assessment</v>
      </c>
      <c r="C1134" s="106" t="str">
        <f>"HVAC"</f>
        <v>HVAC</v>
      </c>
      <c r="D1134" s="142" t="str">
        <f>B09_Assessment!$A$28</f>
        <v>B01</v>
      </c>
      <c r="E1134" s="142" t="str">
        <f>B09_Assessment!$I$28</f>
        <v>Verify</v>
      </c>
      <c r="F1134" s="106" t="str">
        <f>B09_Assessment!$J$28</f>
        <v>Electrical enlarged/panel data identifies CU-0-1 serving basement work; verify mechanical schedule, emergency source, condensate, controls and alarms.</v>
      </c>
      <c r="G1134" s="106" t="str">
        <f>"B09_Assessment!A28:J28"</f>
        <v>B09_Assessment!A28:J28</v>
      </c>
    </row>
    <row r="1135" spans="1:7" ht="97.5" customHeight="1">
      <c r="A1135" s="106" t="str">
        <f>B09_Assessment!$B$2</f>
        <v>09</v>
      </c>
      <c r="B1135" s="106" t="str">
        <f t="shared" si="98"/>
        <v>B08_Assessment</v>
      </c>
      <c r="C1135" s="106" t="str">
        <f>"HVAC"</f>
        <v>HVAC</v>
      </c>
      <c r="D1135" s="142" t="str">
        <f>B09_Assessment!$A$29</f>
        <v>104B</v>
      </c>
      <c r="E1135" s="142" t="str">
        <f>B09_Assessment!$I$29</f>
        <v>Verify</v>
      </c>
      <c r="F1135" s="106" t="str">
        <f>B09_Assessment!$J$29</f>
        <v>Electrical enlarged plan identifies IU-1-01 in Telecom Room 104B and CU-1-1; verify dedicated 24/7 cooling and emergency power.</v>
      </c>
      <c r="G1135" s="106" t="str">
        <f>"B09_Assessment!A29:J29"</f>
        <v>B09_Assessment!A29:J29</v>
      </c>
    </row>
    <row r="1136" spans="1:7" ht="97.5" customHeight="1">
      <c r="A1136" s="106" t="str">
        <f>B09_Assessment!$B$2</f>
        <v>09</v>
      </c>
      <c r="B1136" s="106" t="str">
        <f t="shared" si="98"/>
        <v>B08_Assessment</v>
      </c>
      <c r="C1136" s="106" t="str">
        <f>"HVAC"</f>
        <v>HVAC</v>
      </c>
      <c r="D1136" s="142" t="str">
        <f>B09_Assessment!$A$30</f>
        <v>206A</v>
      </c>
      <c r="E1136" s="142" t="str">
        <f>B09_Assessment!$I$30</f>
        <v>Verify</v>
      </c>
      <c r="F1136" s="106" t="str">
        <f>B09_Assessment!$J$30</f>
        <v>Electrical enlarged plan identifies IU-2-01 in Telecom Room 206A and CU-2-1; verify dedicated 24/7 cooling and emergency power.</v>
      </c>
      <c r="G1136" s="106" t="str">
        <f>"B09_Assessment!A30:J30"</f>
        <v>B09_Assessment!A30:J30</v>
      </c>
    </row>
    <row r="1137" spans="1:7" ht="97.5" customHeight="1">
      <c r="A1137" s="106" t="str">
        <f>B09_Assessment!$B$2</f>
        <v>09</v>
      </c>
      <c r="B1137" s="106" t="str">
        <f t="shared" si="98"/>
        <v>B08_Assessment</v>
      </c>
      <c r="C1137" s="106" t="str">
        <f>"Electrical"</f>
        <v>Electrical</v>
      </c>
      <c r="D1137" s="142" t="str">
        <f>B09_Assessment!$A$34</f>
        <v>B01</v>
      </c>
      <c r="E1137" s="142" t="str">
        <f>B09_Assessment!$I$34</f>
        <v>Verify</v>
      </c>
      <c r="F1137" s="106" t="str">
        <f>B09_Assessment!$J$34</f>
        <v>Panel schedule lists B09-TRB01A/B in Telecom Room B01 with 208Y/120V panels, rack receptacles, access controller, mechanical equipment, lighting and SPD notes.</v>
      </c>
      <c r="G1137" s="106" t="str">
        <f>"B09_Assessment!A34:J34"</f>
        <v>B09_Assessment!A34:J34</v>
      </c>
    </row>
    <row r="1138" spans="1:7" ht="97.5" customHeight="1">
      <c r="A1138" s="106" t="str">
        <f>B09_Assessment!$B$2</f>
        <v>09</v>
      </c>
      <c r="B1138" s="106" t="str">
        <f t="shared" si="98"/>
        <v>B08_Assessment</v>
      </c>
      <c r="C1138" s="106" t="str">
        <f>"Electrical"</f>
        <v>Electrical</v>
      </c>
      <c r="D1138" s="142" t="str">
        <f>B09_Assessment!$A$35</f>
        <v>104B</v>
      </c>
      <c r="E1138" s="142" t="str">
        <f>B09_Assessment!$I$35</f>
        <v>Verify</v>
      </c>
      <c r="F1138" s="106" t="str">
        <f>B09_Assessment!$J$35</f>
        <v>Electrical enlarged plan shows panel references B09-TR104BA/B, IU-1-01, security devices, lighting and receptacle/rack circuits.</v>
      </c>
      <c r="G1138" s="106" t="str">
        <f>"B09_Assessment!A35:J35"</f>
        <v>B09_Assessment!A35:J35</v>
      </c>
    </row>
    <row r="1139" spans="1:7" ht="97.5" customHeight="1">
      <c r="A1139" s="106" t="str">
        <f>B09_Assessment!$B$2</f>
        <v>09</v>
      </c>
      <c r="B1139" s="106" t="str">
        <f t="shared" si="98"/>
        <v>B08_Assessment</v>
      </c>
      <c r="C1139" s="106" t="str">
        <f>"Electrical"</f>
        <v>Electrical</v>
      </c>
      <c r="D1139" s="142" t="str">
        <f>B09_Assessment!$A$36</f>
        <v>206A</v>
      </c>
      <c r="E1139" s="142" t="str">
        <f>B09_Assessment!$I$36</f>
        <v>Verify</v>
      </c>
      <c r="F1139" s="106" t="str">
        <f>B09_Assessment!$J$36</f>
        <v>Electrical enlarged plan shows panel references B09-TR206AA/B, IU-2-01, security devices, lighting and receptacle/rack circuits.</v>
      </c>
      <c r="G1139" s="106" t="str">
        <f>"B09_Assessment!A36:J36"</f>
        <v>B09_Assessment!A36:J36</v>
      </c>
    </row>
    <row r="1140" spans="1:7" ht="97.5" customHeight="1">
      <c r="A1140" s="106" t="str">
        <f>B09_Assessment!$B$2</f>
        <v>09</v>
      </c>
      <c r="B1140" s="106" t="str">
        <f t="shared" si="98"/>
        <v>B08_Assessment</v>
      </c>
      <c r="C1140" s="106" t="str">
        <f>"Telecom"</f>
        <v>Telecom</v>
      </c>
      <c r="D1140" s="142" t="str">
        <f>B09_Assessment!$A$40</f>
        <v>B01</v>
      </c>
      <c r="E1140" s="142" t="str">
        <f>B09_Assessment!$I$40</f>
        <v>Verify</v>
      </c>
      <c r="F1140" s="106" t="str">
        <f>B09_Assessment!$J$40</f>
        <v>Fiber riser identifies Building 09 basement B01 with two-rack TR; verify rack elevations, fiber Path A/B, Cat6A replacement, LIU, bonding and cutover.</v>
      </c>
      <c r="G1140" s="106" t="str">
        <f>"B09_Assessment!A40:J40"</f>
        <v>B09_Assessment!A40:J40</v>
      </c>
    </row>
    <row r="1141" spans="1:7" ht="97.5" customHeight="1">
      <c r="A1141" s="106" t="str">
        <f>B09_Assessment!$B$2</f>
        <v>09</v>
      </c>
      <c r="B1141" s="106" t="str">
        <f t="shared" si="98"/>
        <v>B08_Assessment</v>
      </c>
      <c r="C1141" s="106" t="str">
        <f>"Telecom"</f>
        <v>Telecom</v>
      </c>
      <c r="D1141" s="142" t="str">
        <f>B09_Assessment!$A$41</f>
        <v>104B</v>
      </c>
      <c r="E1141" s="142" t="str">
        <f>B09_Assessment!$I$41</f>
        <v>Verify</v>
      </c>
      <c r="F1141" s="106" t="str">
        <f>B09_Assessment!$J$41</f>
        <v>Fiber riser identifies first-level Room 104B with two-rack TR; verify rack elevation details, patch panels, UPS/PDU, fiber LIU, grounding and test records.</v>
      </c>
      <c r="G1141" s="106" t="str">
        <f>"B09_Assessment!A41:J41"</f>
        <v>B09_Assessment!A41:J41</v>
      </c>
    </row>
    <row r="1142" spans="1:7" ht="97.5" customHeight="1">
      <c r="A1142" s="106" t="str">
        <f>B09_Assessment!$B$2</f>
        <v>09</v>
      </c>
      <c r="B1142" s="106" t="str">
        <f t="shared" si="98"/>
        <v>B08_Assessment</v>
      </c>
      <c r="C1142" s="106" t="str">
        <f>"Telecom"</f>
        <v>Telecom</v>
      </c>
      <c r="D1142" s="142" t="str">
        <f>B09_Assessment!$A$42</f>
        <v>206A</v>
      </c>
      <c r="E1142" s="142" t="str">
        <f>B09_Assessment!$I$42</f>
        <v>Verify</v>
      </c>
      <c r="F1142" s="106" t="str">
        <f>B09_Assessment!$J$42</f>
        <v>Fiber riser identifies second-level Room 206A with two-rack TR; verify rack elevation details, patch panels, UPS/PDU, fiber LIU, grounding and test records.</v>
      </c>
      <c r="G1142" s="106" t="str">
        <f>"B09_Assessment!A42:J42"</f>
        <v>B09_Assessment!A42:J42</v>
      </c>
    </row>
    <row r="1143" spans="1:7" ht="97.5" customHeight="1">
      <c r="A1143" s="106" t="str">
        <f>B09_Assessment!$B$2</f>
        <v>09</v>
      </c>
      <c r="B1143" s="106" t="str">
        <f t="shared" ref="B1143:B1157" si="99">"B09_Assessment"</f>
        <v>B09_Assessment</v>
      </c>
      <c r="C1143" s="106" t="str">
        <f>"Security"</f>
        <v>Security</v>
      </c>
      <c r="D1143" s="142" t="str">
        <f>B09_Assessment!$A$46</f>
        <v>B01</v>
      </c>
      <c r="E1143" s="142" t="str">
        <f>B09_Assessment!$I$46</f>
        <v>Verify</v>
      </c>
      <c r="F1143" s="106" t="str">
        <f>B09_Assessment!$J$46</f>
        <v>Enlarged plans show existing/new security boxes, network door controller, camera/security scope; verify PACS/CCTV integration and protection of active security systems.</v>
      </c>
      <c r="G1143" s="106" t="str">
        <f>"B09_Assessment!A46:J46"</f>
        <v>B09_Assessment!A46:J46</v>
      </c>
    </row>
    <row r="1144" spans="1:7" ht="97.5" customHeight="1">
      <c r="A1144" s="106" t="str">
        <f>B09_Assessment!$B$2</f>
        <v>09</v>
      </c>
      <c r="B1144" s="106" t="str">
        <f t="shared" si="99"/>
        <v>B09_Assessment</v>
      </c>
      <c r="C1144" s="106" t="str">
        <f>"Security"</f>
        <v>Security</v>
      </c>
      <c r="D1144" s="142" t="str">
        <f>B09_Assessment!$A$47</f>
        <v>104B</v>
      </c>
      <c r="E1144" s="142" t="str">
        <f>B09_Assessment!$I$47</f>
        <v>Verify</v>
      </c>
      <c r="F1144" s="106" t="str">
        <f>B09_Assessment!$J$47</f>
        <v>First-level enlarged plan shows CR/RX/DC/ES/MD-type device symbols and 104B camera designation; verify card reader, electric strike, door contact, motion and camera.</v>
      </c>
      <c r="G1144" s="106" t="str">
        <f>"B09_Assessment!A47:J47"</f>
        <v>B09_Assessment!A47:J47</v>
      </c>
    </row>
    <row r="1145" spans="1:7" ht="97.5" customHeight="1">
      <c r="A1145" s="106" t="str">
        <f>B09_Assessment!$B$2</f>
        <v>09</v>
      </c>
      <c r="B1145" s="106" t="str">
        <f t="shared" si="99"/>
        <v>B09_Assessment</v>
      </c>
      <c r="C1145" s="106" t="str">
        <f>"Security"</f>
        <v>Security</v>
      </c>
      <c r="D1145" s="142" t="str">
        <f>B09_Assessment!$A$48</f>
        <v>206A</v>
      </c>
      <c r="E1145" s="142" t="str">
        <f>B09_Assessment!$I$48</f>
        <v>Verify</v>
      </c>
      <c r="F1145" s="106" t="str">
        <f>B09_Assessment!$J$48</f>
        <v>Second-level enlarged plan shows CR/RX/DC/ES/MD-type device symbols and 206A camera designation; verify PACS/VMS integration and commissioning.</v>
      </c>
      <c r="G1145" s="106" t="str">
        <f>"B09_Assessment!A48:J48"</f>
        <v>B09_Assessment!A48:J48</v>
      </c>
    </row>
    <row r="1146" spans="1:7" ht="97.5" customHeight="1">
      <c r="A1146" s="106" t="str">
        <f>B10_Assessment!$B$2</f>
        <v>10</v>
      </c>
      <c r="B1146" s="106" t="str">
        <f t="shared" si="99"/>
        <v>B09_Assessment</v>
      </c>
      <c r="C1146" s="106" t="str">
        <f>"Fire"</f>
        <v>Fire</v>
      </c>
      <c r="D1146" s="142" t="str">
        <f>B10_Assessment!$A$22</f>
        <v>200A</v>
      </c>
      <c r="E1146" s="142" t="str">
        <f>B10_Assessment!$I$22</f>
        <v>Verify</v>
      </c>
      <c r="F1146" s="106" t="str">
        <f>B10_Assessment!$J$22</f>
        <v>Attic-level TR requires verification of sprinkler/fire alarm modifications, clean-agent 2A:10B:C FEC within 75 ft, rated penetrations and temporary firestopping.</v>
      </c>
      <c r="G1146" s="106" t="str">
        <f>"B10_Assessment!A22:J22"</f>
        <v>B10_Assessment!A22:J22</v>
      </c>
    </row>
    <row r="1147" spans="1:7" ht="97.5" customHeight="1">
      <c r="A1147" s="106" t="str">
        <f>B10_Assessment!$B$2</f>
        <v>10</v>
      </c>
      <c r="B1147" s="106" t="str">
        <f t="shared" si="99"/>
        <v>B09_Assessment</v>
      </c>
      <c r="C1147" s="106" t="str">
        <f>"Fire"</f>
        <v>Fire</v>
      </c>
      <c r="D1147" s="142" t="str">
        <f>B10_Assessment!$A$23</f>
        <v>B24</v>
      </c>
      <c r="E1147" s="142" t="str">
        <f>B10_Assessment!$I$23</f>
        <v>Verify</v>
      </c>
      <c r="F1147" s="106" t="str">
        <f>B10_Assessment!$J$23</f>
        <v>Electrical work may require penetrations or shutdowns; verify firestopping and protection-in-place.</v>
      </c>
      <c r="G1147" s="106" t="str">
        <f>"B10_Assessment!A23:J23"</f>
        <v>B10_Assessment!A23:J23</v>
      </c>
    </row>
    <row r="1148" spans="1:7" ht="97.5" customHeight="1">
      <c r="A1148" s="106" t="str">
        <f>B10_Assessment!$B$2</f>
        <v>10</v>
      </c>
      <c r="B1148" s="106" t="str">
        <f t="shared" si="99"/>
        <v>B09_Assessment</v>
      </c>
      <c r="C1148" s="106" t="str">
        <f>"Fire"</f>
        <v>Fire</v>
      </c>
      <c r="D1148" s="142" t="str">
        <f>B10_Assessment!$A$24</f>
        <v>B25</v>
      </c>
      <c r="E1148" s="142" t="str">
        <f>B10_Assessment!$I$24</f>
        <v>Verify</v>
      </c>
      <c r="F1148" s="106" t="str">
        <f>B10_Assessment!$J$24</f>
        <v>Emergency electrical room coordination; verify no unsealed penetrations or life-safety impairment.</v>
      </c>
      <c r="G1148" s="106" t="str">
        <f>"B10_Assessment!A24:J24"</f>
        <v>B10_Assessment!A24:J24</v>
      </c>
    </row>
    <row r="1149" spans="1:7" ht="97.5" customHeight="1">
      <c r="A1149" s="106" t="str">
        <f>B10_Assessment!$B$2</f>
        <v>10</v>
      </c>
      <c r="B1149" s="106" t="str">
        <f t="shared" si="99"/>
        <v>B09_Assessment</v>
      </c>
      <c r="C1149" s="106" t="str">
        <f>"HVAC"</f>
        <v>HVAC</v>
      </c>
      <c r="D1149" s="142" t="str">
        <f>B10_Assessment!$A$28</f>
        <v>200A</v>
      </c>
      <c r="E1149" s="142" t="str">
        <f>B10_Assessment!$I$28</f>
        <v>Verify</v>
      </c>
      <c r="F1149" s="106" t="str">
        <f>B10_Assessment!$J$28</f>
        <v>Mechanical/electrical drawings identify IU-1-01 in Telecom Room 200A and CU-1-01 outdoor unit; verify capacity, emergency power, condensate route, BACnet adapter and high-temp alarm.</v>
      </c>
      <c r="G1149" s="106" t="str">
        <f>"B10_Assessment!A28:J28"</f>
        <v>B10_Assessment!A28:J28</v>
      </c>
    </row>
    <row r="1150" spans="1:7" ht="97.5" customHeight="1">
      <c r="A1150" s="106" t="str">
        <f>B10_Assessment!$B$2</f>
        <v>10</v>
      </c>
      <c r="B1150" s="106" t="str">
        <f t="shared" si="99"/>
        <v>B09_Assessment</v>
      </c>
      <c r="C1150" s="106" t="str">
        <f>"HVAC"</f>
        <v>HVAC</v>
      </c>
      <c r="D1150" s="142" t="str">
        <f>B10_Assessment!$A$29</f>
        <v>B24</v>
      </c>
      <c r="E1150" s="142" t="str">
        <f>B10_Assessment!$I$29</f>
        <v>N/A</v>
      </c>
      <c r="F1150" s="106" t="str">
        <f>B10_Assessment!$J$29</f>
        <v>No dedicated TR cooling scope; verify electrical room ventilation is not impacted by new work.</v>
      </c>
      <c r="G1150" s="106" t="str">
        <f>"B10_Assessment!A29:J29"</f>
        <v>B10_Assessment!A29:J29</v>
      </c>
    </row>
    <row r="1151" spans="1:7" ht="97.5" customHeight="1">
      <c r="A1151" s="106" t="str">
        <f>B10_Assessment!$B$2</f>
        <v>10</v>
      </c>
      <c r="B1151" s="106" t="str">
        <f t="shared" si="99"/>
        <v>B09_Assessment</v>
      </c>
      <c r="C1151" s="106" t="str">
        <f>"HVAC"</f>
        <v>HVAC</v>
      </c>
      <c r="D1151" s="142" t="str">
        <f>B10_Assessment!$A$30</f>
        <v>B25</v>
      </c>
      <c r="E1151" s="142" t="str">
        <f>B10_Assessment!$I$30</f>
        <v>N/A</v>
      </c>
      <c r="F1151" s="106" t="str">
        <f>B10_Assessment!$J$30</f>
        <v>No dedicated TR cooling scope; verify emergency electrical room ventilation is not impacted.</v>
      </c>
      <c r="G1151" s="106" t="str">
        <f>"B10_Assessment!A30:J30"</f>
        <v>B10_Assessment!A30:J30</v>
      </c>
    </row>
    <row r="1152" spans="1:7" ht="97.5" customHeight="1">
      <c r="A1152" s="106" t="str">
        <f>B10_Assessment!$B$2</f>
        <v>10</v>
      </c>
      <c r="B1152" s="106" t="str">
        <f t="shared" si="99"/>
        <v>B09_Assessment</v>
      </c>
      <c r="C1152" s="106" t="str">
        <f>"Electrical"</f>
        <v>Electrical</v>
      </c>
      <c r="D1152" s="142" t="str">
        <f>B10_Assessment!$A$34</f>
        <v>200A</v>
      </c>
      <c r="E1152" s="142" t="str">
        <f>B10_Assessment!$I$34</f>
        <v>Verify</v>
      </c>
      <c r="F1152" s="106" t="str">
        <f>B10_Assessment!$J$34</f>
        <v>Electrical schedule identifies B10-TR200AA/AB in Telecom Room 200A with rack receptacles, TR receptacles, lighting, access controller, CU-1-01 and SPD requirements; verify source and labels.</v>
      </c>
      <c r="G1152" s="106" t="str">
        <f>"B10_Assessment!A34:J34"</f>
        <v>B10_Assessment!A34:J34</v>
      </c>
    </row>
    <row r="1153" spans="1:7" ht="97.5" customHeight="1">
      <c r="A1153" s="106" t="str">
        <f>B10_Assessment!$B$2</f>
        <v>10</v>
      </c>
      <c r="B1153" s="106" t="str">
        <f t="shared" si="99"/>
        <v>B09_Assessment</v>
      </c>
      <c r="C1153" s="106" t="str">
        <f>"Electrical"</f>
        <v>Electrical</v>
      </c>
      <c r="D1153" s="142" t="str">
        <f>B10_Assessment!$A$35</f>
        <v>B24</v>
      </c>
      <c r="E1153" s="142" t="str">
        <f>B10_Assessment!$I$35</f>
        <v>Verify</v>
      </c>
      <c r="F1153" s="106" t="str">
        <f>B10_Assessment!$J$35</f>
        <v>Basement normal electrical source; verify load measurement, new breakers/feeders, panel access, LOTO and shutdown sequencing.</v>
      </c>
      <c r="G1153" s="106" t="str">
        <f>"B10_Assessment!A35:J35"</f>
        <v>B10_Assessment!A35:J35</v>
      </c>
    </row>
    <row r="1154" spans="1:7" ht="97.5" customHeight="1">
      <c r="A1154" s="106" t="str">
        <f>B10_Assessment!$B$2</f>
        <v>10</v>
      </c>
      <c r="B1154" s="106" t="str">
        <f t="shared" si="99"/>
        <v>B09_Assessment</v>
      </c>
      <c r="C1154" s="106" t="str">
        <f>"Electrical"</f>
        <v>Electrical</v>
      </c>
      <c r="D1154" s="142" t="str">
        <f>B10_Assessment!$A$36</f>
        <v>B25</v>
      </c>
      <c r="E1154" s="142" t="str">
        <f>B10_Assessment!$I$36</f>
        <v>Verify</v>
      </c>
      <c r="F1154" s="106" t="str">
        <f>B10_Assessment!$J$36</f>
        <v>Emergency source coordination; verify generator/ATS feed to TR critical loads and cooling where required.</v>
      </c>
      <c r="G1154" s="106" t="str">
        <f>"B10_Assessment!A36:J36"</f>
        <v>B10_Assessment!A36:J36</v>
      </c>
    </row>
    <row r="1155" spans="1:7" ht="97.5" customHeight="1">
      <c r="A1155" s="106" t="str">
        <f>B10_Assessment!$B$2</f>
        <v>10</v>
      </c>
      <c r="B1155" s="106" t="str">
        <f t="shared" si="99"/>
        <v>B09_Assessment</v>
      </c>
      <c r="C1155" s="106" t="str">
        <f>"Telecom"</f>
        <v>Telecom</v>
      </c>
      <c r="D1155" s="142" t="str">
        <f>B10_Assessment!$A$40</f>
        <v>200A</v>
      </c>
      <c r="E1155" s="142" t="str">
        <f>B10_Assessment!$I$40</f>
        <v>Verify</v>
      </c>
      <c r="F1155" s="106" t="str">
        <f>B10_Assessment!$J$40</f>
        <v>10T sheets show attic telecom plan/rack elevations; provide 4-post racks, UPS, redundant PDUs, switches, Cat6A patch panels, Fiber LIU, bonding/grounding, labeling, testing and VA acceptance before cutover.</v>
      </c>
      <c r="G1155" s="106" t="str">
        <f>"B10_Assessment!A40:J40"</f>
        <v>B10_Assessment!A40:J40</v>
      </c>
    </row>
    <row r="1156" spans="1:7" ht="97.5" customHeight="1">
      <c r="A1156" s="106" t="str">
        <f>B10_Assessment!$B$2</f>
        <v>10</v>
      </c>
      <c r="B1156" s="106" t="str">
        <f t="shared" si="99"/>
        <v>B09_Assessment</v>
      </c>
      <c r="C1156" s="106" t="str">
        <f>"Telecom"</f>
        <v>Telecom</v>
      </c>
      <c r="D1156" s="142" t="str">
        <f>B10_Assessment!$A$41</f>
        <v>B24</v>
      </c>
      <c r="E1156" s="142" t="str">
        <f>B10_Assessment!$I$41</f>
        <v>Verify</v>
      </c>
      <c r="F1156" s="106" t="str">
        <f>B10_Assessment!$J$41</f>
        <v>Coordinate telecom power pathways through/source from basement electrical room if applicable.</v>
      </c>
      <c r="G1156" s="106" t="str">
        <f>"B10_Assessment!A41:J41"</f>
        <v>B10_Assessment!A41:J41</v>
      </c>
    </row>
    <row r="1157" spans="1:7" ht="97.5" customHeight="1">
      <c r="A1157" s="106" t="str">
        <f>B10_Assessment!$B$2</f>
        <v>10</v>
      </c>
      <c r="B1157" s="106" t="str">
        <f t="shared" si="99"/>
        <v>B09_Assessment</v>
      </c>
      <c r="C1157" s="106" t="str">
        <f>"Telecom"</f>
        <v>Telecom</v>
      </c>
      <c r="D1157" s="142" t="str">
        <f>B10_Assessment!$A$42</f>
        <v>B25</v>
      </c>
      <c r="E1157" s="142" t="str">
        <f>B10_Assessment!$I$42</f>
        <v>Verify</v>
      </c>
      <c r="F1157" s="106" t="str">
        <f>B10_Assessment!$J$42</f>
        <v>Coordinate emergency source/backup power pathways for telecom equipment and cooling.</v>
      </c>
      <c r="G1157" s="106" t="str">
        <f>"B10_Assessment!A42:J42"</f>
        <v>B10_Assessment!A42:J42</v>
      </c>
    </row>
    <row r="1158" spans="1:7" ht="97.5" customHeight="1">
      <c r="A1158" s="106" t="str">
        <f>B10_Assessment!$B$2</f>
        <v>10</v>
      </c>
      <c r="B1158" s="106" t="str">
        <f t="shared" ref="B1158:B1167" si="100">"B10_Assessment"</f>
        <v>B10_Assessment</v>
      </c>
      <c r="C1158" s="106" t="str">
        <f>"Security"</f>
        <v>Security</v>
      </c>
      <c r="D1158" s="142" t="str">
        <f>B10_Assessment!$A$46</f>
        <v>200A</v>
      </c>
      <c r="E1158" s="142" t="str">
        <f>B10_Assessment!$I$46</f>
        <v>Verify</v>
      </c>
      <c r="F1158" s="106" t="str">
        <f>B10_Assessment!$J$46</f>
        <v>General scope requires PACS/CCTV for TR doors; verify door hardware, access controller, camera/VMS integration and any existing attic access/security constraints.</v>
      </c>
      <c r="G1158" s="106" t="str">
        <f>"B10_Assessment!A46:J46"</f>
        <v>B10_Assessment!A46:J46</v>
      </c>
    </row>
    <row r="1159" spans="1:7" ht="97.5" customHeight="1">
      <c r="A1159" s="106" t="str">
        <f>B10_Assessment!$B$2</f>
        <v>10</v>
      </c>
      <c r="B1159" s="106" t="str">
        <f t="shared" si="100"/>
        <v>B10_Assessment</v>
      </c>
      <c r="C1159" s="106" t="str">
        <f>"Security"</f>
        <v>Security</v>
      </c>
      <c r="D1159" s="142" t="str">
        <f>B10_Assessment!$A$47</f>
        <v>B24</v>
      </c>
      <c r="E1159" s="142" t="str">
        <f>B10_Assessment!$I$47</f>
        <v>Verify</v>
      </c>
      <c r="F1159" s="106" t="str">
        <f>B10_Assessment!$J$47</f>
        <v>Verify security impact only if electrical source room access or devices are modified.</v>
      </c>
      <c r="G1159" s="106" t="str">
        <f>"B10_Assessment!A47:J47"</f>
        <v>B10_Assessment!A47:J47</v>
      </c>
    </row>
    <row r="1160" spans="1:7" ht="97.5" customHeight="1">
      <c r="A1160" s="106" t="str">
        <f>B10_Assessment!$B$2</f>
        <v>10</v>
      </c>
      <c r="B1160" s="106" t="str">
        <f t="shared" si="100"/>
        <v>B10_Assessment</v>
      </c>
      <c r="C1160" s="106" t="str">
        <f>"Security"</f>
        <v>Security</v>
      </c>
      <c r="D1160" s="142" t="str">
        <f>B10_Assessment!$A$48</f>
        <v>B25</v>
      </c>
      <c r="E1160" s="142" t="str">
        <f>B10_Assessment!$I$48</f>
        <v>Verify</v>
      </c>
      <c r="F1160" s="106" t="str">
        <f>B10_Assessment!$J$48</f>
        <v>Verify emergency electrical room security impact if work requires access control changes.</v>
      </c>
      <c r="G1160" s="106" t="str">
        <f>"B10_Assessment!A48:J48"</f>
        <v>B10_Assessment!A48:J48</v>
      </c>
    </row>
    <row r="1161" spans="1:7" ht="97.5" customHeight="1">
      <c r="A1161" s="106" t="str">
        <f>B12_Assessment!$B$2</f>
        <v>12</v>
      </c>
      <c r="B1161" s="106" t="str">
        <f t="shared" si="100"/>
        <v>B10_Assessment</v>
      </c>
      <c r="C1161" s="106" t="str">
        <f>"Fire"</f>
        <v>Fire</v>
      </c>
      <c r="D1161" s="142" t="str">
        <f>B12_Assessment!$A$20</f>
        <v>Fiber path B/1/2</v>
      </c>
      <c r="E1161" s="142" t="str">
        <f>B12_Assessment!$I$20</f>
        <v>Verify</v>
      </c>
      <c r="F1161" s="106" t="str">
        <f>B12_Assessment!$J$20</f>
        <v>No fire protection drawing package beyond general notes; verify penetrations/firestopping for fiber pull-through route.</v>
      </c>
      <c r="G1161" s="106" t="str">
        <f>"B12_Assessment!A20:J20"</f>
        <v>B12_Assessment!A20:J20</v>
      </c>
    </row>
    <row r="1162" spans="1:7" ht="97.5" customHeight="1">
      <c r="A1162" s="106" t="str">
        <f>B12_Assessment!$B$2</f>
        <v>12</v>
      </c>
      <c r="B1162" s="106" t="str">
        <f t="shared" si="100"/>
        <v>B10_Assessment</v>
      </c>
      <c r="C1162" s="106" t="str">
        <f>"Fire"</f>
        <v>Fire</v>
      </c>
      <c r="D1162" s="142" t="str">
        <f>B12_Assessment!$A$21</f>
        <v>Existing rack/demarc - field verify</v>
      </c>
      <c r="E1162" s="142" t="str">
        <f>B12_Assessment!$I$21</f>
        <v>Verify</v>
      </c>
      <c r="F1162" s="106" t="str">
        <f>B12_Assessment!$J$21</f>
        <v>No new TR/FEC shown; verify no rated assemblies are compromised by fiber pathway work.</v>
      </c>
      <c r="G1162" s="106" t="str">
        <f>"B12_Assessment!A21:J21"</f>
        <v>B12_Assessment!A21:J21</v>
      </c>
    </row>
    <row r="1163" spans="1:7" ht="97.5" customHeight="1">
      <c r="A1163" s="106" t="str">
        <f>B12_Assessment!$B$2</f>
        <v>12</v>
      </c>
      <c r="B1163" s="106" t="str">
        <f t="shared" si="100"/>
        <v>B10_Assessment</v>
      </c>
      <c r="C1163" s="106" t="str">
        <f>"HVAC"</f>
        <v>HVAC</v>
      </c>
      <c r="D1163" s="142" t="str">
        <f>B12_Assessment!$A$25</f>
        <v>Fiber path B/1/2</v>
      </c>
      <c r="E1163" s="142" t="str">
        <f>B12_Assessment!$I$25</f>
        <v>N/A</v>
      </c>
      <c r="F1163" s="106" t="str">
        <f>B12_Assessment!$J$25</f>
        <v>No HVAC drawing package for Building 12; fiber-only scope does not indicate new cooling equipment.</v>
      </c>
      <c r="G1163" s="106" t="str">
        <f>"B12_Assessment!A25:J25"</f>
        <v>B12_Assessment!A25:J25</v>
      </c>
    </row>
    <row r="1164" spans="1:7" ht="97.5" customHeight="1">
      <c r="A1164" s="106" t="str">
        <f>B12_Assessment!$B$2</f>
        <v>12</v>
      </c>
      <c r="B1164" s="106" t="str">
        <f t="shared" si="100"/>
        <v>B10_Assessment</v>
      </c>
      <c r="C1164" s="106" t="str">
        <f>"HVAC"</f>
        <v>HVAC</v>
      </c>
      <c r="D1164" s="142" t="str">
        <f>B12_Assessment!$A$26</f>
        <v>Existing rack/demarc - field verify</v>
      </c>
      <c r="E1164" s="142" t="str">
        <f>B12_Assessment!$I$26</f>
        <v>N/A</v>
      </c>
      <c r="F1164" s="106" t="str">
        <f>B12_Assessment!$J$26</f>
        <v>Field verify existing environmental conditions only if existing service point/equipment is accessed.</v>
      </c>
      <c r="G1164" s="106" t="str">
        <f>"B12_Assessment!A26:J26"</f>
        <v>B12_Assessment!A26:J26</v>
      </c>
    </row>
    <row r="1165" spans="1:7" ht="97.5" customHeight="1">
      <c r="A1165" s="106" t="str">
        <f>B12_Assessment!$B$2</f>
        <v>12</v>
      </c>
      <c r="B1165" s="106" t="str">
        <f t="shared" si="100"/>
        <v>B10_Assessment</v>
      </c>
      <c r="C1165" s="106" t="str">
        <f>"Electrical"</f>
        <v>Electrical</v>
      </c>
      <c r="D1165" s="142" t="str">
        <f>B12_Assessment!$A$30</f>
        <v>Fiber path B/1/2</v>
      </c>
      <c r="E1165" s="142" t="str">
        <f>B12_Assessment!$I$30</f>
        <v>Verify</v>
      </c>
      <c r="F1165" s="106" t="str">
        <f>B12_Assessment!$J$30</f>
        <v>No electrical drawing package for Building 12; no new panel/UPS/PDU/rack receptacle scope shown.</v>
      </c>
      <c r="G1165" s="106" t="str">
        <f>"B12_Assessment!A30:J30"</f>
        <v>B12_Assessment!A30:J30</v>
      </c>
    </row>
    <row r="1166" spans="1:7" ht="97.5" customHeight="1">
      <c r="A1166" s="106" t="str">
        <f>B12_Assessment!$B$2</f>
        <v>12</v>
      </c>
      <c r="B1166" s="106" t="str">
        <f t="shared" si="100"/>
        <v>B10_Assessment</v>
      </c>
      <c r="C1166" s="106" t="str">
        <f>"Electrical"</f>
        <v>Electrical</v>
      </c>
      <c r="D1166" s="142" t="str">
        <f>B12_Assessment!$A$31</f>
        <v>Existing rack/demarc - field verify</v>
      </c>
      <c r="E1166" s="142" t="str">
        <f>B12_Assessment!$I$31</f>
        <v>Verify</v>
      </c>
      <c r="F1166" s="106" t="str">
        <f>B12_Assessment!$J$31</f>
        <v>Confirm whether any existing equipment is touched. Scope appears limited to fiber pull-through and testing/labeling.</v>
      </c>
      <c r="G1166" s="106" t="str">
        <f>"B12_Assessment!A31:J31"</f>
        <v>B12_Assessment!A31:J31</v>
      </c>
    </row>
    <row r="1167" spans="1:7" ht="97.5" customHeight="1">
      <c r="A1167" s="106" t="str">
        <f>B12_Assessment!$B$2</f>
        <v>12</v>
      </c>
      <c r="B1167" s="106" t="str">
        <f t="shared" si="100"/>
        <v>B10_Assessment</v>
      </c>
      <c r="C1167" s="106" t="str">
        <f>"Telecom"</f>
        <v>Telecom</v>
      </c>
      <c r="D1167" s="142" t="str">
        <f>B12_Assessment!$A$35</f>
        <v>Fiber path B/1/2</v>
      </c>
      <c r="E1167" s="142" t="str">
        <f>B12_Assessment!$I$35</f>
        <v>Verify</v>
      </c>
      <c r="F1167" s="106" t="str">
        <f>B12_Assessment!$J$35</f>
        <v>Building 12 receives fiber only. Verify pull-through path on basement/first/second telecom plans, redundant Path A/B fiber, pathway capacity, grounding/bonding where applicable, labeling and testing.</v>
      </c>
      <c r="G1167" s="106" t="str">
        <f>"B12_Assessment!A35:J35"</f>
        <v>B12_Assessment!A35:J35</v>
      </c>
    </row>
    <row r="1168" spans="1:7" ht="97.5" customHeight="1">
      <c r="A1168" s="106" t="str">
        <f>B12_Assessment!$B$2</f>
        <v>12</v>
      </c>
      <c r="B1168" s="106" t="str">
        <f t="shared" ref="B1168:B1177" si="101">"B12_Assessment"</f>
        <v>B12_Assessment</v>
      </c>
      <c r="C1168" s="106" t="str">
        <f>"Telecom"</f>
        <v>Telecom</v>
      </c>
      <c r="D1168" s="142" t="str">
        <f>B12_Assessment!$A$36</f>
        <v>Existing rack/demarc - field verify</v>
      </c>
      <c r="E1168" s="142" t="str">
        <f>B12_Assessment!$I$36</f>
        <v>Verify</v>
      </c>
      <c r="F1168" s="106" t="str">
        <f>B12_Assessment!$J$36</f>
        <v>12T-604 shows rack number 00/room 00 and notes fiber-only with no mounting type; verify existing service/termination point and whether fiber passes through only.</v>
      </c>
      <c r="G1168" s="106" t="str">
        <f>"B12_Assessment!A36:J36"</f>
        <v>B12_Assessment!A36:J36</v>
      </c>
    </row>
    <row r="1169" spans="1:7" ht="97.5" customHeight="1">
      <c r="A1169" s="106" t="str">
        <f>B12_Assessment!$B$2</f>
        <v>12</v>
      </c>
      <c r="B1169" s="106" t="str">
        <f t="shared" si="101"/>
        <v>B12_Assessment</v>
      </c>
      <c r="C1169" s="106" t="str">
        <f>"Security"</f>
        <v>Security</v>
      </c>
      <c r="D1169" s="142" t="str">
        <f>B12_Assessment!$A$40</f>
        <v>Fiber path B/1/2</v>
      </c>
      <c r="E1169" s="142" t="str">
        <f>B12_Assessment!$I$40</f>
        <v>N/A / Verify</v>
      </c>
      <c r="F1169" s="106" t="str">
        <f>B12_Assessment!$J$40</f>
        <v>No new TR door or PACS/CCTV package shown for Building 12; verify security access only for work areas and existing equipment rooms.</v>
      </c>
      <c r="G1169" s="106" t="str">
        <f>"B12_Assessment!A40:J40"</f>
        <v>B12_Assessment!A40:J40</v>
      </c>
    </row>
    <row r="1170" spans="1:7" ht="97.5" customHeight="1">
      <c r="A1170" s="106" t="str">
        <f>B12_Assessment!$B$2</f>
        <v>12</v>
      </c>
      <c r="B1170" s="106" t="str">
        <f t="shared" si="101"/>
        <v>B12_Assessment</v>
      </c>
      <c r="C1170" s="106" t="str">
        <f>"Security"</f>
        <v>Security</v>
      </c>
      <c r="D1170" s="142" t="str">
        <f>B12_Assessment!$A$41</f>
        <v>Existing rack/demarc - field verify</v>
      </c>
      <c r="E1170" s="142" t="str">
        <f>B12_Assessment!$I$41</f>
        <v>N/A / Verify</v>
      </c>
      <c r="F1170" s="106" t="str">
        <f>B12_Assessment!$J$41</f>
        <v>Confirm access requirements to existing closet/demarc while protecting active operations.</v>
      </c>
      <c r="G1170" s="106" t="str">
        <f>"B12_Assessment!A41:J41"</f>
        <v>B12_Assessment!A41:J41</v>
      </c>
    </row>
    <row r="1171" spans="1:7" ht="97.5" customHeight="1">
      <c r="A1171" s="106" t="str">
        <f>B13_Assessment!$B$2</f>
        <v>13</v>
      </c>
      <c r="B1171" s="106" t="str">
        <f t="shared" si="101"/>
        <v>B12_Assessment</v>
      </c>
      <c r="C1171" s="106" t="str">
        <f>"Fire"</f>
        <v>Fire</v>
      </c>
      <c r="D1171" s="142" t="str">
        <f>B13_Assessment!$A$20</f>
        <v>124</v>
      </c>
      <c r="E1171" s="142" t="str">
        <f>B13_Assessment!$I$20</f>
        <v>Verify</v>
      </c>
      <c r="F1171" s="106" t="str">
        <f>B13_Assessment!$J$20</f>
        <v>Fully sprinklered building; confirm sprinkler/fire alarm modifications, clean-agent 2A:10B:C extinguisher within 75 ft, rated wall/ceiling penetrations, and temporary firestopping during cable pulls.</v>
      </c>
      <c r="G1171" s="106" t="str">
        <f>"B13_Assessment!A20:J20"</f>
        <v>B13_Assessment!A20:J20</v>
      </c>
    </row>
    <row r="1172" spans="1:7" ht="97.5" customHeight="1">
      <c r="A1172" s="106" t="str">
        <f>B13_Assessment!$B$2</f>
        <v>13</v>
      </c>
      <c r="B1172" s="106" t="str">
        <f t="shared" si="101"/>
        <v>B12_Assessment</v>
      </c>
      <c r="C1172" s="106" t="str">
        <f>"Fire"</f>
        <v>Fire</v>
      </c>
      <c r="D1172" s="142" t="str">
        <f>B13_Assessment!$A$21</f>
        <v>222</v>
      </c>
      <c r="E1172" s="142" t="str">
        <f>B13_Assessment!$I$21</f>
        <v>Verify</v>
      </c>
      <c r="F1172" s="106" t="str">
        <f>B13_Assessment!$J$21</f>
        <v>Existing tel room; verify fire alarm/sprinkler protection-in-place and seal any removed/reused penetration after cutover.</v>
      </c>
      <c r="G1172" s="106" t="str">
        <f>"B13_Assessment!A21:J21"</f>
        <v>B13_Assessment!A21:J21</v>
      </c>
    </row>
    <row r="1173" spans="1:7" ht="97.5" customHeight="1">
      <c r="A1173" s="106" t="str">
        <f>B13_Assessment!$B$2</f>
        <v>13</v>
      </c>
      <c r="B1173" s="106" t="str">
        <f t="shared" si="101"/>
        <v>B12_Assessment</v>
      </c>
      <c r="C1173" s="106" t="str">
        <f>"HVAC"</f>
        <v>HVAC</v>
      </c>
      <c r="D1173" s="142" t="str">
        <f>B13_Assessment!$A$25</f>
        <v>124</v>
      </c>
      <c r="E1173" s="142" t="str">
        <f>B13_Assessment!$I$25</f>
        <v>Verify</v>
      </c>
      <c r="F1173" s="106" t="str">
        <f>B13_Assessment!$J$25</f>
        <v>Mechanical/electrical drawings show IU-1-01 in Telecom Room 124 and CU-1-01 outdoor unit. Confirm capacity, emergency/standby source, BACnet adapter, thermostat/control point, condensate path, disconnects, and high-temperature alarm.</v>
      </c>
      <c r="G1173" s="106" t="str">
        <f>"B13_Assessment!A25:J25"</f>
        <v>B13_Assessment!A25:J25</v>
      </c>
    </row>
    <row r="1174" spans="1:7" ht="97.5" customHeight="1">
      <c r="A1174" s="106" t="str">
        <f>B13_Assessment!$B$2</f>
        <v>13</v>
      </c>
      <c r="B1174" s="106" t="str">
        <f t="shared" si="101"/>
        <v>B12_Assessment</v>
      </c>
      <c r="C1174" s="106" t="str">
        <f>"HVAC"</f>
        <v>HVAC</v>
      </c>
      <c r="D1174" s="142" t="str">
        <f>B13_Assessment!$A$26</f>
        <v>222</v>
      </c>
      <c r="E1174" s="142" t="str">
        <f>B13_Assessment!$I$26</f>
        <v>Verify</v>
      </c>
      <c r="F1174" s="106" t="str">
        <f>B13_Assessment!$J$26</f>
        <v>Existing Tel Room 222 photo/reference notes show existing indoor AC unit; verify whether it remains active, is abandoned, or needs protection during cutover.</v>
      </c>
      <c r="G1174" s="106" t="str">
        <f>"B13_Assessment!A26:J26"</f>
        <v>B13_Assessment!A26:J26</v>
      </c>
    </row>
    <row r="1175" spans="1:7" ht="97.5" customHeight="1">
      <c r="A1175" s="106" t="str">
        <f>B13_Assessment!$B$2</f>
        <v>13</v>
      </c>
      <c r="B1175" s="106" t="str">
        <f t="shared" si="101"/>
        <v>B12_Assessment</v>
      </c>
      <c r="C1175" s="106" t="str">
        <f>"Electrical"</f>
        <v>Electrical</v>
      </c>
      <c r="D1175" s="142" t="str">
        <f>B13_Assessment!$A$30</f>
        <v>124</v>
      </c>
      <c r="E1175" s="142" t="str">
        <f>B13_Assessment!$I$30</f>
        <v>Verify</v>
      </c>
      <c r="F1175" s="106" t="str">
        <f>B13_Assessment!$J$30</f>
        <v>Electrical enlarged plans and schedules identify B13-TR124AA/AB, 240V 1-phase UPS circuits, normal/emergency rack power, rack receptacles, TR receptacles, access/security devices, lighting, CU-1-01, and SPD requirements.</v>
      </c>
      <c r="G1175" s="106" t="str">
        <f>"B13_Assessment!A30:J30"</f>
        <v>B13_Assessment!A30:J30</v>
      </c>
    </row>
    <row r="1176" spans="1:7" ht="97.5" customHeight="1">
      <c r="A1176" s="106" t="str">
        <f>B13_Assessment!$B$2</f>
        <v>13</v>
      </c>
      <c r="B1176" s="106" t="str">
        <f t="shared" si="101"/>
        <v>B12_Assessment</v>
      </c>
      <c r="C1176" s="106" t="str">
        <f>"Electrical"</f>
        <v>Electrical</v>
      </c>
      <c r="D1176" s="142" t="str">
        <f>B13_Assessment!$A$31</f>
        <v>222</v>
      </c>
      <c r="E1176" s="142" t="str">
        <f>B13_Assessment!$I$31</f>
        <v>Verify</v>
      </c>
      <c r="F1176" s="106" t="str">
        <f>B13_Assessment!$J$31</f>
        <v>Existing rack/equipment area; verify power source, active equipment, UPS status, and transition requirements before disconnect or removal.</v>
      </c>
      <c r="G1176" s="106" t="str">
        <f>"B13_Assessment!A31:J31"</f>
        <v>B13_Assessment!A31:J31</v>
      </c>
    </row>
    <row r="1177" spans="1:7" ht="97.5" customHeight="1">
      <c r="A1177" s="106" t="str">
        <f>B13_Assessment!$B$2</f>
        <v>13</v>
      </c>
      <c r="B1177" s="106" t="str">
        <f t="shared" si="101"/>
        <v>B12_Assessment</v>
      </c>
      <c r="C1177" s="106" t="str">
        <f>"Telecom"</f>
        <v>Telecom</v>
      </c>
      <c r="D1177" s="142" t="str">
        <f>B13_Assessment!$A$35</f>
        <v>124</v>
      </c>
      <c r="E1177" s="142" t="str">
        <f>B13_Assessment!$I$35</f>
        <v>Verify</v>
      </c>
      <c r="F1177" s="106" t="str">
        <f>B13_Assessment!$J$35</f>
        <v>13T-701 identifies Room 124 schedule: 58 WAO total, 65 active ports per survey, 91 total ports per schedule, and 100 total ports with 10% allowance. New Rack ID TR01-124-1 serves first and second level outlets with Fiber Path A/B.</v>
      </c>
      <c r="G1177" s="106" t="str">
        <f>"B13_Assessment!A35:J35"</f>
        <v>B13_Assessment!A35:J35</v>
      </c>
    </row>
    <row r="1178" spans="1:7" ht="97.5" customHeight="1">
      <c r="A1178" s="106" t="str">
        <f>B13_Assessment!$B$2</f>
        <v>13</v>
      </c>
      <c r="B1178" s="106" t="str">
        <f t="shared" ref="B1178:B1192" si="102">"B13_Assessment"</f>
        <v>B13_Assessment</v>
      </c>
      <c r="C1178" s="106" t="str">
        <f>"Telecom"</f>
        <v>Telecom</v>
      </c>
      <c r="D1178" s="142" t="str">
        <f>B13_Assessment!$A$36</f>
        <v>222</v>
      </c>
      <c r="E1178" s="142" t="str">
        <f>B13_Assessment!$I$36</f>
        <v>Verify</v>
      </c>
      <c r="F1178" s="106" t="str">
        <f>B13_Assessment!$J$36</f>
        <v>Existing Room 222 equipment includes wall-mounted rack, telco patch, plywood backboard, patch panel, security cabinet, and existing AC; verify active services and transfer plan to Room 124.</v>
      </c>
      <c r="G1178" s="106" t="str">
        <f>"B13_Assessment!A36:J36"</f>
        <v>B13_Assessment!A36:J36</v>
      </c>
    </row>
    <row r="1179" spans="1:7" ht="97.5" customHeight="1">
      <c r="A1179" s="106" t="str">
        <f>B13_Assessment!$B$2</f>
        <v>13</v>
      </c>
      <c r="B1179" s="106" t="str">
        <f t="shared" si="102"/>
        <v>B13_Assessment</v>
      </c>
      <c r="C1179" s="106" t="str">
        <f>"Security"</f>
        <v>Security</v>
      </c>
      <c r="D1179" s="142" t="str">
        <f>B13_Assessment!$A$40</f>
        <v>124</v>
      </c>
      <c r="E1179" s="142" t="str">
        <f>B13_Assessment!$I$40</f>
        <v>Verify</v>
      </c>
      <c r="F1179" s="106" t="str">
        <f>B13_Assessment!$J$40</f>
        <v>Electrical enlarged plan shows security/access-control device callouts at Room 124 and 124-CAM-01 camera designation; verify CR/RX/DC/ES/MD devices, controller, camera/VMS integration, and door hardware coordination.</v>
      </c>
      <c r="G1179" s="106" t="str">
        <f>"B13_Assessment!A40:J40"</f>
        <v>B13_Assessment!A40:J40</v>
      </c>
    </row>
    <row r="1180" spans="1:7" ht="97.5" customHeight="1">
      <c r="A1180" s="106" t="str">
        <f>B13_Assessment!$B$2</f>
        <v>13</v>
      </c>
      <c r="B1180" s="106" t="str">
        <f t="shared" si="102"/>
        <v>B13_Assessment</v>
      </c>
      <c r="C1180" s="106" t="str">
        <f>"Security"</f>
        <v>Security</v>
      </c>
      <c r="D1180" s="142" t="str">
        <f>B13_Assessment!$A$41</f>
        <v>222</v>
      </c>
      <c r="E1180" s="142" t="str">
        <f>B13_Assessment!$I$41</f>
        <v>Verify</v>
      </c>
      <c r="F1180" s="106" t="str">
        <f>B13_Assessment!$J$41</f>
        <v>Existing security cabinet shown in Tel Room 222; verify whether security equipment remains, is relocated, or requires temporary protection during cutover.</v>
      </c>
      <c r="G1180" s="106" t="str">
        <f>"B13_Assessment!A41:J41"</f>
        <v>B13_Assessment!A41:J41</v>
      </c>
    </row>
    <row r="1181" spans="1:7" ht="97.5" customHeight="1">
      <c r="A1181" s="106" t="str">
        <f>B14_Assessment!$B$2</f>
        <v>14</v>
      </c>
      <c r="B1181" s="106" t="str">
        <f t="shared" si="102"/>
        <v>B13_Assessment</v>
      </c>
      <c r="C1181" s="106" t="str">
        <f>"Fire"</f>
        <v>Fire</v>
      </c>
      <c r="D1181" s="142" t="str">
        <f>B14_Assessment!$A$22</f>
        <v>119</v>
      </c>
      <c r="E1181" s="142" t="str">
        <f>B14_Assessment!$I$22</f>
        <v>Verify</v>
      </c>
      <c r="F1181" s="106" t="str">
        <f>B14_Assessment!$J$22</f>
        <v>Fully sprinklered building; confirm sprinkler/fire alarm modifications, clean-agent 2A:10B:C extinguisher within 75 ft, rated wall/ceiling penetrations, and temporary firestopping during cable pulls.</v>
      </c>
      <c r="G1181" s="106" t="str">
        <f>"B14_Assessment!A22:J22"</f>
        <v>B14_Assessment!A22:J22</v>
      </c>
    </row>
    <row r="1182" spans="1:7" ht="97.5" customHeight="1">
      <c r="A1182" s="106" t="str">
        <f>B14_Assessment!$B$2</f>
        <v>14</v>
      </c>
      <c r="B1182" s="106" t="str">
        <f t="shared" si="102"/>
        <v>B13_Assessment</v>
      </c>
      <c r="C1182" s="106" t="str">
        <f>"Fire"</f>
        <v>Fire</v>
      </c>
      <c r="D1182" s="142" t="str">
        <f>B14_Assessment!$A$23</f>
        <v>B.01</v>
      </c>
      <c r="E1182" s="142" t="str">
        <f>B14_Assessment!$I$23</f>
        <v>Verify</v>
      </c>
      <c r="F1182" s="106" t="str">
        <f>B14_Assessment!$J$23</f>
        <v>Existing basement tel room; verify fire alarm/sprinkler protection-in-place and seal any removed/reused penetration after cutover.</v>
      </c>
      <c r="G1182" s="106" t="str">
        <f>"B14_Assessment!A23:J23"</f>
        <v>B14_Assessment!A23:J23</v>
      </c>
    </row>
    <row r="1183" spans="1:7" ht="97.5" customHeight="1">
      <c r="A1183" s="106" t="str">
        <f>B14_Assessment!$B$2</f>
        <v>14</v>
      </c>
      <c r="B1183" s="106" t="str">
        <f t="shared" si="102"/>
        <v>B13_Assessment</v>
      </c>
      <c r="C1183" s="106" t="str">
        <f>"Fire"</f>
        <v>Fire</v>
      </c>
      <c r="D1183" s="142" t="str">
        <f>B14_Assessment!$A$24</f>
        <v>B2</v>
      </c>
      <c r="E1183" s="142" t="str">
        <f>B14_Assessment!$I$24</f>
        <v>Verify</v>
      </c>
      <c r="F1183" s="106" t="str">
        <f>B14_Assessment!$J$24</f>
        <v>Existing basement telecom room; verify no unsealed penetrations remain after cable transfer or reuse.</v>
      </c>
      <c r="G1183" s="106" t="str">
        <f>"B14_Assessment!A24:J24"</f>
        <v>B14_Assessment!A24:J24</v>
      </c>
    </row>
    <row r="1184" spans="1:7" ht="97.5" customHeight="1">
      <c r="A1184" s="106" t="str">
        <f>B14_Assessment!$B$2</f>
        <v>14</v>
      </c>
      <c r="B1184" s="106" t="str">
        <f t="shared" si="102"/>
        <v>B13_Assessment</v>
      </c>
      <c r="C1184" s="106" t="str">
        <f>"HVAC"</f>
        <v>HVAC</v>
      </c>
      <c r="D1184" s="142" t="str">
        <f>B14_Assessment!$A$28</f>
        <v>119</v>
      </c>
      <c r="E1184" s="142" t="str">
        <f>B14_Assessment!$I$28</f>
        <v>Verify</v>
      </c>
      <c r="F1184" s="106" t="str">
        <f>B14_Assessment!$J$28</f>
        <v>Mechanical/electrical drawings show IU-1-01 in Telecom Room 119 and CU-1-01 outdoor unit. Confirm capacity, emergency/standby source, BACnet adapter, thermostat/control point, condensate path, disconnects, and high-temperature alarm.</v>
      </c>
      <c r="G1184" s="106" t="str">
        <f>"B14_Assessment!A28:J28"</f>
        <v>B14_Assessment!A28:J28</v>
      </c>
    </row>
    <row r="1185" spans="1:7" ht="97.5" customHeight="1">
      <c r="A1185" s="106" t="str">
        <f>B14_Assessment!$B$2</f>
        <v>14</v>
      </c>
      <c r="B1185" s="106" t="str">
        <f t="shared" si="102"/>
        <v>B13_Assessment</v>
      </c>
      <c r="C1185" s="106" t="str">
        <f>"HVAC"</f>
        <v>HVAC</v>
      </c>
      <c r="D1185" s="142" t="str">
        <f>B14_Assessment!$A$29</f>
        <v>B.01</v>
      </c>
      <c r="E1185" s="142" t="str">
        <f>B14_Assessment!$I$29</f>
        <v>Verify</v>
      </c>
      <c r="F1185" s="106" t="str">
        <f>B14_Assessment!$J$29</f>
        <v>Existing Tel/F Panel room; verify existing environmental conditions during cutover and whether legacy equipment remains active.</v>
      </c>
      <c r="G1185" s="106" t="str">
        <f>"B14_Assessment!A29:J29"</f>
        <v>B14_Assessment!A29:J29</v>
      </c>
    </row>
    <row r="1186" spans="1:7" ht="97.5" customHeight="1">
      <c r="A1186" s="106" t="str">
        <f>B14_Assessment!$B$2</f>
        <v>14</v>
      </c>
      <c r="B1186" s="106" t="str">
        <f t="shared" si="102"/>
        <v>B13_Assessment</v>
      </c>
      <c r="C1186" s="106" t="str">
        <f>"HVAC"</f>
        <v>HVAC</v>
      </c>
      <c r="D1186" s="142" t="str">
        <f>B14_Assessment!$A$30</f>
        <v>B2</v>
      </c>
      <c r="E1186" s="142" t="str">
        <f>B14_Assessment!$I$30</f>
        <v>Verify</v>
      </c>
      <c r="F1186" s="106" t="str">
        <f>B14_Assessment!$J$30</f>
        <v>Existing telecom room reference; field verify cooling/ventilation and active equipment condition.</v>
      </c>
      <c r="G1186" s="106" t="str">
        <f>"B14_Assessment!A30:J30"</f>
        <v>B14_Assessment!A30:J30</v>
      </c>
    </row>
    <row r="1187" spans="1:7" ht="97.5" customHeight="1">
      <c r="A1187" s="106" t="str">
        <f>B14_Assessment!$B$2</f>
        <v>14</v>
      </c>
      <c r="B1187" s="106" t="str">
        <f t="shared" si="102"/>
        <v>B13_Assessment</v>
      </c>
      <c r="C1187" s="106" t="str">
        <f>"Electrical"</f>
        <v>Electrical</v>
      </c>
      <c r="D1187" s="142" t="str">
        <f>B14_Assessment!$A$34</f>
        <v>119</v>
      </c>
      <c r="E1187" s="142" t="str">
        <f>B14_Assessment!$I$34</f>
        <v>Verify</v>
      </c>
      <c r="F1187" s="106" t="str">
        <f>B14_Assessment!$J$34</f>
        <v>Electrical plan/schedules identify B14-TR119A/B, 240V rack UPS requirements, normal/emergency rack power, rack receptacles, TR receptacles, lighting, CU-1-01, SPD requirements, and panel load measurement requirements.</v>
      </c>
      <c r="G1187" s="106" t="str">
        <f>"B14_Assessment!A34:J34"</f>
        <v>B14_Assessment!A34:J34</v>
      </c>
    </row>
    <row r="1188" spans="1:7" ht="97.5" customHeight="1">
      <c r="A1188" s="106" t="str">
        <f>B14_Assessment!$B$2</f>
        <v>14</v>
      </c>
      <c r="B1188" s="106" t="str">
        <f t="shared" si="102"/>
        <v>B13_Assessment</v>
      </c>
      <c r="C1188" s="106" t="str">
        <f>"Electrical"</f>
        <v>Electrical</v>
      </c>
      <c r="D1188" s="142" t="str">
        <f>B14_Assessment!$A$35</f>
        <v>B.01</v>
      </c>
      <c r="E1188" s="142" t="str">
        <f>B14_Assessment!$I$35</f>
        <v>Verify</v>
      </c>
      <c r="F1188" s="106" t="str">
        <f>B14_Assessment!$J$35</f>
        <v>Existing basement wall-mounted TE/equipment area; verify power source, active equipment, UPS/PDU status, and transition requirements before disconnect or removal.</v>
      </c>
      <c r="G1188" s="106" t="str">
        <f>"B14_Assessment!A35:J35"</f>
        <v>B14_Assessment!A35:J35</v>
      </c>
    </row>
    <row r="1189" spans="1:7" ht="97.5" customHeight="1">
      <c r="A1189" s="106" t="str">
        <f>B14_Assessment!$B$2</f>
        <v>14</v>
      </c>
      <c r="B1189" s="106" t="str">
        <f t="shared" si="102"/>
        <v>B13_Assessment</v>
      </c>
      <c r="C1189" s="106" t="str">
        <f>"Electrical"</f>
        <v>Electrical</v>
      </c>
      <c r="D1189" s="142" t="str">
        <f>B14_Assessment!$A$36</f>
        <v>B2</v>
      </c>
      <c r="E1189" s="142" t="str">
        <f>B14_Assessment!$I$36</f>
        <v>Verify</v>
      </c>
      <c r="F1189" s="106" t="str">
        <f>B14_Assessment!$J$36</f>
        <v>Existing telecom room photo reference; confirm power sources and any cutover requirements.</v>
      </c>
      <c r="G1189" s="106" t="str">
        <f>"B14_Assessment!A36:J36"</f>
        <v>B14_Assessment!A36:J36</v>
      </c>
    </row>
    <row r="1190" spans="1:7" ht="97.5" customHeight="1">
      <c r="A1190" s="106" t="str">
        <f>B14_Assessment!$B$2</f>
        <v>14</v>
      </c>
      <c r="B1190" s="106" t="str">
        <f t="shared" si="102"/>
        <v>B13_Assessment</v>
      </c>
      <c r="C1190" s="106" t="str">
        <f>"Telecom"</f>
        <v>Telecom</v>
      </c>
      <c r="D1190" s="142" t="str">
        <f>B14_Assessment!$A$40</f>
        <v>119</v>
      </c>
      <c r="E1190" s="142" t="str">
        <f>B14_Assessment!$I$40</f>
        <v>Verify</v>
      </c>
      <c r="F1190" s="106" t="str">
        <f>B14_Assessment!$J$40</f>
        <v>14T-701 identifies Room 119 schedule: 44 WAO total, 29 active ports per survey, 76 total ports per schedule, and 84 total ports with 10% allowance. New Rack ID TR01-119-1 serves first and second level outlets with Fiber Path A/B.</v>
      </c>
      <c r="G1190" s="106" t="str">
        <f>"B14_Assessment!A40:J40"</f>
        <v>B14_Assessment!A40:J40</v>
      </c>
    </row>
    <row r="1191" spans="1:7" ht="97.5" customHeight="1">
      <c r="A1191" s="106" t="str">
        <f>B14_Assessment!$B$2</f>
        <v>14</v>
      </c>
      <c r="B1191" s="106" t="str">
        <f t="shared" si="102"/>
        <v>B13_Assessment</v>
      </c>
      <c r="C1191" s="106" t="str">
        <f>"Telecom"</f>
        <v>Telecom</v>
      </c>
      <c r="D1191" s="142" t="str">
        <f>B14_Assessment!$A$41</f>
        <v>B.01</v>
      </c>
      <c r="E1191" s="142" t="str">
        <f>B14_Assessment!$I$41</f>
        <v>Verify</v>
      </c>
      <c r="F1191" s="106" t="str">
        <f>B14_Assessment!$J$41</f>
        <v>Existing Room B.01 equipment includes wall-mounted TE, Cisco switch/legacy patch panel, telco patch, plywood backboards, and legacy Fiber LIU; verify active services and transfer plan to Room 119.</v>
      </c>
      <c r="G1191" s="106" t="str">
        <f>"B14_Assessment!A41:J41"</f>
        <v>B14_Assessment!A41:J41</v>
      </c>
    </row>
    <row r="1192" spans="1:7" ht="97.5" customHeight="1">
      <c r="A1192" s="106" t="str">
        <f>B14_Assessment!$B$2</f>
        <v>14</v>
      </c>
      <c r="B1192" s="106" t="str">
        <f t="shared" si="102"/>
        <v>B13_Assessment</v>
      </c>
      <c r="C1192" s="106" t="str">
        <f>"Telecom"</f>
        <v>Telecom</v>
      </c>
      <c r="D1192" s="142" t="str">
        <f>B14_Assessment!$A$42</f>
        <v>B2</v>
      </c>
      <c r="E1192" s="142" t="str">
        <f>B14_Assessment!$I$42</f>
        <v>Verify</v>
      </c>
      <c r="F1192" s="106" t="str">
        <f>B14_Assessment!$J$42</f>
        <v>Existing basement telecom room B2 is identified by photo reference; verify active devices, routing, and relation to B.01.</v>
      </c>
      <c r="G1192" s="106" t="str">
        <f>"B14_Assessment!A42:J42"</f>
        <v>B14_Assessment!A42:J42</v>
      </c>
    </row>
    <row r="1193" spans="1:7" ht="97.5" customHeight="1">
      <c r="A1193" s="106" t="str">
        <f>B14_Assessment!$B$2</f>
        <v>14</v>
      </c>
      <c r="B1193" s="106" t="str">
        <f t="shared" ref="B1193:B1207" si="103">"B14_Assessment"</f>
        <v>B14_Assessment</v>
      </c>
      <c r="C1193" s="106" t="str">
        <f>"Security"</f>
        <v>Security</v>
      </c>
      <c r="D1193" s="142" t="str">
        <f>B14_Assessment!$A$46</f>
        <v>119</v>
      </c>
      <c r="E1193" s="142" t="str">
        <f>B14_Assessment!$I$46</f>
        <v>Verify</v>
      </c>
      <c r="F1193" s="106" t="str">
        <f>B14_Assessment!$J$46</f>
        <v>Telecom/electrical plans show 119-CAM-01 and security/access-control scope for Room 119; verify CR/RX/DC/ES/MD devices, controller, camera/VMS integration, and door hardware coordination.</v>
      </c>
      <c r="G1193" s="106" t="str">
        <f>"B14_Assessment!A46:J46"</f>
        <v>B14_Assessment!A46:J46</v>
      </c>
    </row>
    <row r="1194" spans="1:7" ht="97.5" customHeight="1">
      <c r="A1194" s="106" t="str">
        <f>B14_Assessment!$B$2</f>
        <v>14</v>
      </c>
      <c r="B1194" s="106" t="str">
        <f t="shared" si="103"/>
        <v>B14_Assessment</v>
      </c>
      <c r="C1194" s="106" t="str">
        <f>"Security"</f>
        <v>Security</v>
      </c>
      <c r="D1194" s="142" t="str">
        <f>B14_Assessment!$A$47</f>
        <v>B.01</v>
      </c>
      <c r="E1194" s="142" t="str">
        <f>B14_Assessment!$I$47</f>
        <v>Verify</v>
      </c>
      <c r="F1194" s="106" t="str">
        <f>B14_Assessment!$J$47</f>
        <v>Verify whether existing security equipment remains, is relocated, or requires temporary protection during cutover.</v>
      </c>
      <c r="G1194" s="106" t="str">
        <f>"B14_Assessment!A47:J47"</f>
        <v>B14_Assessment!A47:J47</v>
      </c>
    </row>
    <row r="1195" spans="1:7" ht="97.5" customHeight="1">
      <c r="A1195" s="106" t="str">
        <f>B14_Assessment!$B$2</f>
        <v>14</v>
      </c>
      <c r="B1195" s="106" t="str">
        <f t="shared" si="103"/>
        <v>B14_Assessment</v>
      </c>
      <c r="C1195" s="106" t="str">
        <f>"Security"</f>
        <v>Security</v>
      </c>
      <c r="D1195" s="142" t="str">
        <f>B14_Assessment!$A$48</f>
        <v>B2</v>
      </c>
      <c r="E1195" s="142" t="str">
        <f>B14_Assessment!$I$48</f>
        <v>Verify</v>
      </c>
      <c r="F1195" s="106" t="str">
        <f>B14_Assessment!$J$48</f>
        <v>Verify security/access conditions and whether any legacy security equipment is present.</v>
      </c>
      <c r="G1195" s="106" t="str">
        <f>"B14_Assessment!A48:J48"</f>
        <v>B14_Assessment!A48:J48</v>
      </c>
    </row>
    <row r="1196" spans="1:7" ht="97.5" customHeight="1">
      <c r="A1196" s="106" t="str">
        <f>B15_Assessment!$B$2</f>
        <v>15</v>
      </c>
      <c r="B1196" s="106" t="str">
        <f t="shared" si="103"/>
        <v>B14_Assessment</v>
      </c>
      <c r="C1196" s="106" t="str">
        <f>"Fire"</f>
        <v>Fire</v>
      </c>
      <c r="D1196" s="142" t="str">
        <f>B15_Assessment!$A$22</f>
        <v>124A</v>
      </c>
      <c r="E1196" s="142" t="str">
        <f>B15_Assessment!$I$22</f>
        <v>Verify</v>
      </c>
      <c r="F1196" s="106" t="str">
        <f>B15_Assessment!$J$22</f>
        <v>Fully sprinklered building; confirm sprinkler/fire alarm modifications, clean-agent 2A:10B:C extinguisher within 75 ft, rated wall/ceiling penetrations, and temporary firestopping during cable pulls.</v>
      </c>
      <c r="G1196" s="106" t="str">
        <f>"B15_Assessment!A22:J22"</f>
        <v>B15_Assessment!A22:J22</v>
      </c>
    </row>
    <row r="1197" spans="1:7" ht="97.5" customHeight="1">
      <c r="A1197" s="106" t="str">
        <f>B15_Assessment!$B$2</f>
        <v>15</v>
      </c>
      <c r="B1197" s="106" t="str">
        <f t="shared" si="103"/>
        <v>B14_Assessment</v>
      </c>
      <c r="C1197" s="106" t="str">
        <f>"Fire"</f>
        <v>Fire</v>
      </c>
      <c r="D1197" s="142" t="str">
        <f>B15_Assessment!$A$23</f>
        <v>222</v>
      </c>
      <c r="E1197" s="142" t="str">
        <f>B15_Assessment!$I$23</f>
        <v>Verify</v>
      </c>
      <c r="F1197" s="106" t="str">
        <f>B15_Assessment!$J$23</f>
        <v>Existing tel room; verify fire alarm/sprinkler protection-in-place and seal any removed/reused penetration after cutover.</v>
      </c>
      <c r="G1197" s="106" t="str">
        <f>"B15_Assessment!A23:J23"</f>
        <v>B15_Assessment!A23:J23</v>
      </c>
    </row>
    <row r="1198" spans="1:7" ht="97.5" customHeight="1">
      <c r="A1198" s="106" t="str">
        <f>B15_Assessment!$B$2</f>
        <v>15</v>
      </c>
      <c r="B1198" s="106" t="str">
        <f t="shared" si="103"/>
        <v>B14_Assessment</v>
      </c>
      <c r="C1198" s="106" t="str">
        <f>"Fire"</f>
        <v>Fire</v>
      </c>
      <c r="D1198" s="142" t="str">
        <f>B15_Assessment!$A$24</f>
        <v>B01</v>
      </c>
      <c r="E1198" s="142" t="str">
        <f>B15_Assessment!$I$24</f>
        <v>Verify</v>
      </c>
      <c r="F1198" s="106" t="str">
        <f>B15_Assessment!$J$24</f>
        <v>Existing basement telecom/crossover room; verify no unsealed penetrations remain after cable transfer or reuse.</v>
      </c>
      <c r="G1198" s="106" t="str">
        <f>"B15_Assessment!A24:J24"</f>
        <v>B15_Assessment!A24:J24</v>
      </c>
    </row>
    <row r="1199" spans="1:7" ht="97.5" customHeight="1">
      <c r="A1199" s="106" t="str">
        <f>B15_Assessment!$B$2</f>
        <v>15</v>
      </c>
      <c r="B1199" s="106" t="str">
        <f t="shared" si="103"/>
        <v>B14_Assessment</v>
      </c>
      <c r="C1199" s="106" t="str">
        <f>"HVAC"</f>
        <v>HVAC</v>
      </c>
      <c r="D1199" s="142" t="str">
        <f>B15_Assessment!$A$28</f>
        <v>124A</v>
      </c>
      <c r="E1199" s="142" t="str">
        <f>B15_Assessment!$I$28</f>
        <v>Verify</v>
      </c>
      <c r="F1199" s="106" t="str">
        <f>B15_Assessment!$J$28</f>
        <v>Mechanical/electrical drawings show IU-1-01 in Telecom Room 124A and CU-1-01 outdoor heat-pump/A/C unit. Confirm capacity, emergency/standby source, BACnet adapter, thermostat/control point, condensate path, disconnects, and high-temperature alarm.</v>
      </c>
      <c r="G1199" s="106" t="str">
        <f>"B15_Assessment!A28:J28"</f>
        <v>B15_Assessment!A28:J28</v>
      </c>
    </row>
    <row r="1200" spans="1:7" ht="97.5" customHeight="1">
      <c r="A1200" s="106" t="str">
        <f>B15_Assessment!$B$2</f>
        <v>15</v>
      </c>
      <c r="B1200" s="106" t="str">
        <f t="shared" si="103"/>
        <v>B14_Assessment</v>
      </c>
      <c r="C1200" s="106" t="str">
        <f>"HVAC"</f>
        <v>HVAC</v>
      </c>
      <c r="D1200" s="142" t="str">
        <f>B15_Assessment!$A$29</f>
        <v>222</v>
      </c>
      <c r="E1200" s="142" t="str">
        <f>B15_Assessment!$I$29</f>
        <v>Verify</v>
      </c>
      <c r="F1200" s="106" t="str">
        <f>B15_Assessment!$J$29</f>
        <v>Existing Tel Room 222 is shown with existing/remain indoor AC unit; verify whether it remains active, is abandoned, or needs protection during cutover.</v>
      </c>
      <c r="G1200" s="106" t="str">
        <f>"B15_Assessment!A29:J29"</f>
        <v>B15_Assessment!A29:J29</v>
      </c>
    </row>
    <row r="1201" spans="1:7" ht="97.5" customHeight="1">
      <c r="A1201" s="106" t="str">
        <f>B15_Assessment!$B$2</f>
        <v>15</v>
      </c>
      <c r="B1201" s="106" t="str">
        <f t="shared" si="103"/>
        <v>B14_Assessment</v>
      </c>
      <c r="C1201" s="106" t="str">
        <f>"HVAC"</f>
        <v>HVAC</v>
      </c>
      <c r="D1201" s="142" t="str">
        <f>B15_Assessment!$A$30</f>
        <v>B01</v>
      </c>
      <c r="E1201" s="142" t="str">
        <f>B15_Assessment!$I$30</f>
        <v>Verify</v>
      </c>
      <c r="F1201" s="106" t="str">
        <f>B15_Assessment!$J$30</f>
        <v>Existing basement telecom/crossover space; verify environmental conditions and whether active equipment remains during cutover.</v>
      </c>
      <c r="G1201" s="106" t="str">
        <f>"B15_Assessment!A30:J30"</f>
        <v>B15_Assessment!A30:J30</v>
      </c>
    </row>
    <row r="1202" spans="1:7" ht="97.5" customHeight="1">
      <c r="A1202" s="106" t="str">
        <f>B15_Assessment!$B$2</f>
        <v>15</v>
      </c>
      <c r="B1202" s="106" t="str">
        <f t="shared" si="103"/>
        <v>B14_Assessment</v>
      </c>
      <c r="C1202" s="106" t="str">
        <f>"Electrical"</f>
        <v>Electrical</v>
      </c>
      <c r="D1202" s="142" t="str">
        <f>B15_Assessment!$A$34</f>
        <v>124A</v>
      </c>
      <c r="E1202" s="142" t="str">
        <f>B15_Assessment!$I$34</f>
        <v>Verify</v>
      </c>
      <c r="F1202" s="106" t="str">
        <f>B15_Assessment!$J$34</f>
        <v>Electrical enlarged plans and schedules identify B15-TR124AA/AB, 240V rack UPS requirements, normal/emergency rack power, rack receptacles, TR receptacles, lighting, CU-1-01, SPD requirements, and 30-day load measurement requirements.</v>
      </c>
      <c r="G1202" s="106" t="str">
        <f>"B15_Assessment!A34:J34"</f>
        <v>B15_Assessment!A34:J34</v>
      </c>
    </row>
    <row r="1203" spans="1:7" ht="97.5" customHeight="1">
      <c r="A1203" s="106" t="str">
        <f>B15_Assessment!$B$2</f>
        <v>15</v>
      </c>
      <c r="B1203" s="106" t="str">
        <f t="shared" si="103"/>
        <v>B14_Assessment</v>
      </c>
      <c r="C1203" s="106" t="str">
        <f>"Electrical"</f>
        <v>Electrical</v>
      </c>
      <c r="D1203" s="142" t="str">
        <f>B15_Assessment!$A$35</f>
        <v>222</v>
      </c>
      <c r="E1203" s="142" t="str">
        <f>B15_Assessment!$I$35</f>
        <v>Verify</v>
      </c>
      <c r="F1203" s="106" t="str">
        <f>B15_Assessment!$J$35</f>
        <v>Existing rack/equipment area; verify power source, active equipment, APC floor UPS status, and transition requirements before disconnect or removal.</v>
      </c>
      <c r="G1203" s="106" t="str">
        <f>"B15_Assessment!A35:J35"</f>
        <v>B15_Assessment!A35:J35</v>
      </c>
    </row>
    <row r="1204" spans="1:7" ht="97.5" customHeight="1">
      <c r="A1204" s="106" t="str">
        <f>B15_Assessment!$B$2</f>
        <v>15</v>
      </c>
      <c r="B1204" s="106" t="str">
        <f t="shared" si="103"/>
        <v>B14_Assessment</v>
      </c>
      <c r="C1204" s="106" t="str">
        <f>"Electrical"</f>
        <v>Electrical</v>
      </c>
      <c r="D1204" s="142" t="str">
        <f>B15_Assessment!$A$36</f>
        <v>B01</v>
      </c>
      <c r="E1204" s="142" t="str">
        <f>B15_Assessment!$I$36</f>
        <v>Verify</v>
      </c>
      <c r="F1204" s="106" t="str">
        <f>B15_Assessment!$J$36</f>
        <v>Existing B-01 crossover; verify power sources and cutover needs for legacy patch panel/crossover.</v>
      </c>
      <c r="G1204" s="106" t="str">
        <f>"B15_Assessment!A36:J36"</f>
        <v>B15_Assessment!A36:J36</v>
      </c>
    </row>
    <row r="1205" spans="1:7" ht="97.5" customHeight="1">
      <c r="A1205" s="106" t="str">
        <f>B15_Assessment!$B$2</f>
        <v>15</v>
      </c>
      <c r="B1205" s="106" t="str">
        <f t="shared" si="103"/>
        <v>B14_Assessment</v>
      </c>
      <c r="C1205" s="106" t="str">
        <f>"Telecom"</f>
        <v>Telecom</v>
      </c>
      <c r="D1205" s="142" t="str">
        <f>B15_Assessment!$A$40</f>
        <v>124A</v>
      </c>
      <c r="E1205" s="142" t="str">
        <f>B15_Assessment!$I$40</f>
        <v>Verify</v>
      </c>
      <c r="F1205" s="106" t="str">
        <f>B15_Assessment!$J$40</f>
        <v>15T-701 identifies Room 109A schedule but field plan/electrical room callouts identify Telecom Room 124A; schedule has 62 WAO total, 76 active ports per survey, 101 total ports per schedule, and 111 total ports with 10% allowance. New Rack ID TR15-109A-01 serves basement, first and second level outlets.</v>
      </c>
      <c r="G1205" s="106" t="str">
        <f>"B15_Assessment!A40:J40"</f>
        <v>B15_Assessment!A40:J40</v>
      </c>
    </row>
    <row r="1206" spans="1:7" ht="97.5" customHeight="1">
      <c r="A1206" s="106" t="str">
        <f>B15_Assessment!$B$2</f>
        <v>15</v>
      </c>
      <c r="B1206" s="106" t="str">
        <f t="shared" si="103"/>
        <v>B14_Assessment</v>
      </c>
      <c r="C1206" s="106" t="str">
        <f>"Telecom"</f>
        <v>Telecom</v>
      </c>
      <c r="D1206" s="142" t="str">
        <f>B15_Assessment!$A$41</f>
        <v>222</v>
      </c>
      <c r="E1206" s="142" t="str">
        <f>B15_Assessment!$I$41</f>
        <v>Verify</v>
      </c>
      <c r="F1206" s="106" t="str">
        <f>B15_Assessment!$J$41</f>
        <v>Existing Room 222 equipment includes wall/wall-mounted TE, Cisco switches, legacy 48-port patch panels, ground bar, plywood backboard, security cabinet, and floor UPS; verify active services and transfer plan to Room 124A.</v>
      </c>
      <c r="G1206" s="106" t="str">
        <f>"B15_Assessment!A41:J41"</f>
        <v>B15_Assessment!A41:J41</v>
      </c>
    </row>
    <row r="1207" spans="1:7" ht="97.5" customHeight="1">
      <c r="A1207" s="106" t="str">
        <f>B15_Assessment!$B$2</f>
        <v>15</v>
      </c>
      <c r="B1207" s="106" t="str">
        <f t="shared" si="103"/>
        <v>B14_Assessment</v>
      </c>
      <c r="C1207" s="106" t="str">
        <f>"Telecom"</f>
        <v>Telecom</v>
      </c>
      <c r="D1207" s="142" t="str">
        <f>B15_Assessment!$A$42</f>
        <v>B01</v>
      </c>
      <c r="E1207" s="142" t="str">
        <f>B15_Assessment!$I$42</f>
        <v>Verify</v>
      </c>
      <c r="F1207" s="106" t="str">
        <f>B15_Assessment!$J$42</f>
        <v>Existing B-01 crossover includes legacy 24-port patch panel; verify active devices, routing, and relation to Room 222 and Room 124A.</v>
      </c>
      <c r="G1207" s="106" t="str">
        <f>"B15_Assessment!A42:J42"</f>
        <v>B15_Assessment!A42:J42</v>
      </c>
    </row>
    <row r="1208" spans="1:7" ht="97.5" customHeight="1">
      <c r="A1208" s="106" t="str">
        <f>B15_Assessment!$B$2</f>
        <v>15</v>
      </c>
      <c r="B1208" s="106" t="str">
        <f t="shared" ref="B1208:B1217" si="104">"B15_Assessment"</f>
        <v>B15_Assessment</v>
      </c>
      <c r="C1208" s="106" t="str">
        <f>"Security"</f>
        <v>Security</v>
      </c>
      <c r="D1208" s="142" t="str">
        <f>B15_Assessment!$A$46</f>
        <v>124A</v>
      </c>
      <c r="E1208" s="142" t="str">
        <f>B15_Assessment!$I$46</f>
        <v>Verify</v>
      </c>
      <c r="F1208" s="106" t="str">
        <f>B15_Assessment!$J$46</f>
        <v>Telecom/electrical plans show 124A-CAM-1 and security/access-control scope for Room 124A; verify CR/RX/DC/ES/MD devices, controller, camera/VMS integration, and door hardware coordination.</v>
      </c>
      <c r="G1208" s="106" t="str">
        <f>"B15_Assessment!A46:J46"</f>
        <v>B15_Assessment!A46:J46</v>
      </c>
    </row>
    <row r="1209" spans="1:7" ht="97.5" customHeight="1">
      <c r="A1209" s="106" t="str">
        <f>B15_Assessment!$B$2</f>
        <v>15</v>
      </c>
      <c r="B1209" s="106" t="str">
        <f t="shared" si="104"/>
        <v>B15_Assessment</v>
      </c>
      <c r="C1209" s="106" t="str">
        <f>"Security"</f>
        <v>Security</v>
      </c>
      <c r="D1209" s="142" t="str">
        <f>B15_Assessment!$A$47</f>
        <v>222</v>
      </c>
      <c r="E1209" s="142" t="str">
        <f>B15_Assessment!$I$47</f>
        <v>Verify</v>
      </c>
      <c r="F1209" s="106" t="str">
        <f>B15_Assessment!$J$47</f>
        <v>Existing security cabinet shown in Tel Room 222; verify whether security equipment remains, is relocated, or requires temporary protection during cutover.</v>
      </c>
      <c r="G1209" s="106" t="str">
        <f>"B15_Assessment!A47:J47"</f>
        <v>B15_Assessment!A47:J47</v>
      </c>
    </row>
    <row r="1210" spans="1:7" ht="97.5" customHeight="1">
      <c r="A1210" s="106" t="str">
        <f>B15_Assessment!$B$2</f>
        <v>15</v>
      </c>
      <c r="B1210" s="106" t="str">
        <f t="shared" si="104"/>
        <v>B15_Assessment</v>
      </c>
      <c r="C1210" s="106" t="str">
        <f>"Security"</f>
        <v>Security</v>
      </c>
      <c r="D1210" s="142" t="str">
        <f>B15_Assessment!$A$48</f>
        <v>B01</v>
      </c>
      <c r="E1210" s="142" t="str">
        <f>B15_Assessment!$I$48</f>
        <v>Verify</v>
      </c>
      <c r="F1210" s="106" t="str">
        <f>B15_Assessment!$J$48</f>
        <v>Verify security/access conditions and whether any legacy security equipment is present.</v>
      </c>
      <c r="G1210" s="106" t="str">
        <f>"B15_Assessment!A48:J48"</f>
        <v>B15_Assessment!A48:J48</v>
      </c>
    </row>
    <row r="1211" spans="1:7" ht="97.5" customHeight="1">
      <c r="A1211" s="106" t="str">
        <f>B16_Assessment!$B$2</f>
        <v>16</v>
      </c>
      <c r="B1211" s="106" t="str">
        <f t="shared" si="104"/>
        <v>B15_Assessment</v>
      </c>
      <c r="C1211" s="106" t="str">
        <f>"Fire"</f>
        <v>Fire</v>
      </c>
      <c r="D1211" s="142" t="str">
        <f>B16_Assessment!$A$20</f>
        <v>015</v>
      </c>
      <c r="E1211" s="142" t="str">
        <f>B16_Assessment!$I$20</f>
        <v>Verify</v>
      </c>
      <c r="F1211" s="106" t="str">
        <f>B16_Assessment!$J$20</f>
        <v>Fully sprinklered building; confirm sprinkler/fire alarm modifications, clean-agent 2A:10B:C extinguisher within 75 ft, rated wall/ceiling/floor penetrations, and temporary firestopping during cable pulls.</v>
      </c>
      <c r="G1211" s="106" t="str">
        <f>"B16_Assessment!A20:J20"</f>
        <v>B16_Assessment!A20:J20</v>
      </c>
    </row>
    <row r="1212" spans="1:7" ht="97.5" customHeight="1">
      <c r="A1212" s="106" t="str">
        <f>B16_Assessment!$B$2</f>
        <v>16</v>
      </c>
      <c r="B1212" s="106" t="str">
        <f t="shared" si="104"/>
        <v>B15_Assessment</v>
      </c>
      <c r="C1212" s="106" t="str">
        <f>"Fire"</f>
        <v>Fire</v>
      </c>
      <c r="D1212" s="142" t="str">
        <f>B16_Assessment!$A$21</f>
        <v>014</v>
      </c>
      <c r="E1212" s="142" t="str">
        <f>B16_Assessment!$I$21</f>
        <v>Verify</v>
      </c>
      <c r="F1212" s="106" t="str">
        <f>B16_Assessment!$J$21</f>
        <v>Existing telecom room; verify fire alarm/sprinkler protection-in-place and seal any removed/reused penetration after cutover.</v>
      </c>
      <c r="G1212" s="106" t="str">
        <f>"B16_Assessment!A21:J21"</f>
        <v>B16_Assessment!A21:J21</v>
      </c>
    </row>
    <row r="1213" spans="1:7" ht="97.5" customHeight="1">
      <c r="A1213" s="106" t="str">
        <f>B16_Assessment!$B$2</f>
        <v>16</v>
      </c>
      <c r="B1213" s="106" t="str">
        <f t="shared" si="104"/>
        <v>B15_Assessment</v>
      </c>
      <c r="C1213" s="106" t="str">
        <f>"HVAC"</f>
        <v>HVAC</v>
      </c>
      <c r="D1213" s="142" t="str">
        <f>B16_Assessment!$A$25</f>
        <v>015</v>
      </c>
      <c r="E1213" s="142" t="str">
        <f>B16_Assessment!$I$25</f>
        <v>Verify</v>
      </c>
      <c r="F1213" s="106" t="str">
        <f>B16_Assessment!$J$25</f>
        <v>Mechanical/electrical drawings show IU-1-01 in Telecom Room 015 and CU-1-01 outdoor unit. Confirm capacity, emergency/standby source, BACnet adapter, thermostat/control point, condensate path, disconnects, and high-temperature alarm.</v>
      </c>
      <c r="G1213" s="106" t="str">
        <f>"B16_Assessment!A25:J25"</f>
        <v>B16_Assessment!A25:J25</v>
      </c>
    </row>
    <row r="1214" spans="1:7" ht="97.5" customHeight="1">
      <c r="A1214" s="106" t="str">
        <f>B16_Assessment!$B$2</f>
        <v>16</v>
      </c>
      <c r="B1214" s="106" t="str">
        <f t="shared" si="104"/>
        <v>B15_Assessment</v>
      </c>
      <c r="C1214" s="106" t="str">
        <f>"HVAC"</f>
        <v>HVAC</v>
      </c>
      <c r="D1214" s="142" t="str">
        <f>B16_Assessment!$A$26</f>
        <v>014</v>
      </c>
      <c r="E1214" s="142" t="str">
        <f>B16_Assessment!$I$26</f>
        <v>Verify</v>
      </c>
      <c r="F1214" s="106" t="str">
        <f>B16_Assessment!$J$26</f>
        <v>Existing Telecom Room 014; verify existing environmental conditions during cutover and whether legacy equipment remains active.</v>
      </c>
      <c r="G1214" s="106" t="str">
        <f>"B16_Assessment!A26:J26"</f>
        <v>B16_Assessment!A26:J26</v>
      </c>
    </row>
    <row r="1215" spans="1:7" ht="97.5" customHeight="1">
      <c r="A1215" s="106" t="str">
        <f>B16_Assessment!$B$2</f>
        <v>16</v>
      </c>
      <c r="B1215" s="106" t="str">
        <f t="shared" si="104"/>
        <v>B15_Assessment</v>
      </c>
      <c r="C1215" s="106" t="str">
        <f>"Electrical"</f>
        <v>Electrical</v>
      </c>
      <c r="D1215" s="142" t="str">
        <f>B16_Assessment!$A$30</f>
        <v>015</v>
      </c>
      <c r="E1215" s="142" t="str">
        <f>B16_Assessment!$I$30</f>
        <v>Verify</v>
      </c>
      <c r="F1215" s="106" t="str">
        <f>B16_Assessment!$J$30</f>
        <v>Electrical plans/schedules identify B16-TR015A/B, 240V rack UPS requirements, rack receptacles, TR receptacles, lighting, access controller, CU-1-01, SPD requirements, existing panel demolition/replacement, and 30-day load measurement requirements.</v>
      </c>
      <c r="G1215" s="106" t="str">
        <f>"B16_Assessment!A30:J30"</f>
        <v>B16_Assessment!A30:J30</v>
      </c>
    </row>
    <row r="1216" spans="1:7" ht="97.5" customHeight="1">
      <c r="A1216" s="106" t="str">
        <f>B16_Assessment!$B$2</f>
        <v>16</v>
      </c>
      <c r="B1216" s="106" t="str">
        <f t="shared" si="104"/>
        <v>B15_Assessment</v>
      </c>
      <c r="C1216" s="106" t="str">
        <f>"Electrical"</f>
        <v>Electrical</v>
      </c>
      <c r="D1216" s="142" t="str">
        <f>B16_Assessment!$A$31</f>
        <v>014</v>
      </c>
      <c r="E1216" s="142" t="str">
        <f>B16_Assessment!$I$31</f>
        <v>Verify</v>
      </c>
      <c r="F1216" s="106" t="str">
        <f>B16_Assessment!$J$31</f>
        <v>Existing rack/equipment area; verify power source, active equipment, UPS status, and transition requirements before disconnect or removal.</v>
      </c>
      <c r="G1216" s="106" t="str">
        <f>"B16_Assessment!A31:J31"</f>
        <v>B16_Assessment!A31:J31</v>
      </c>
    </row>
    <row r="1217" spans="1:7" ht="97.5" customHeight="1">
      <c r="A1217" s="106" t="str">
        <f>B16_Assessment!$B$2</f>
        <v>16</v>
      </c>
      <c r="B1217" s="106" t="str">
        <f t="shared" si="104"/>
        <v>B15_Assessment</v>
      </c>
      <c r="C1217" s="106" t="str">
        <f>"Telecom"</f>
        <v>Telecom</v>
      </c>
      <c r="D1217" s="142" t="str">
        <f>B16_Assessment!$A$35</f>
        <v>015</v>
      </c>
      <c r="E1217" s="142" t="str">
        <f>B16_Assessment!$I$35</f>
        <v>Verify</v>
      </c>
      <c r="F1217" s="106" t="str">
        <f>B16_Assessment!$J$35</f>
        <v>16T-701 identifies Room 015-A schedule: 25 WAO total, 25 active ports per survey, 36 total ports per schedule, and 40 total ports with 10% allowance. New Rack ID TR01-015-A-1 serves basement, first, second and attic level outlets.</v>
      </c>
      <c r="G1217" s="106" t="str">
        <f>"B16_Assessment!A35:J35"</f>
        <v>B16_Assessment!A35:J35</v>
      </c>
    </row>
    <row r="1218" spans="1:7" ht="97.5" customHeight="1">
      <c r="A1218" s="106" t="str">
        <f>B16_Assessment!$B$2</f>
        <v>16</v>
      </c>
      <c r="B1218" s="106" t="str">
        <f t="shared" ref="B1218:B1232" si="105">"B16_Assessment"</f>
        <v>B16_Assessment</v>
      </c>
      <c r="C1218" s="106" t="str">
        <f>"Telecom"</f>
        <v>Telecom</v>
      </c>
      <c r="D1218" s="142" t="str">
        <f>B16_Assessment!$A$36</f>
        <v>014</v>
      </c>
      <c r="E1218" s="142" t="str">
        <f>B16_Assessment!$I$36</f>
        <v>Verify</v>
      </c>
      <c r="F1218" s="106" t="str">
        <f>B16_Assessment!$J$36</f>
        <v>Existing Room 014 equipment includes wall/TE rack, floor-mounted UPS, Cisco switch, legacy 12-port modular patch panel and Fiber LIU; verify active services and transfer plan to Room 015.</v>
      </c>
      <c r="G1218" s="106" t="str">
        <f>"B16_Assessment!A36:J36"</f>
        <v>B16_Assessment!A36:J36</v>
      </c>
    </row>
    <row r="1219" spans="1:7" ht="97.5" customHeight="1">
      <c r="A1219" s="106" t="str">
        <f>B16_Assessment!$B$2</f>
        <v>16</v>
      </c>
      <c r="B1219" s="106" t="str">
        <f t="shared" si="105"/>
        <v>B16_Assessment</v>
      </c>
      <c r="C1219" s="106" t="str">
        <f>"Security"</f>
        <v>Security</v>
      </c>
      <c r="D1219" s="142" t="str">
        <f>B16_Assessment!$A$40</f>
        <v>015</v>
      </c>
      <c r="E1219" s="142" t="str">
        <f>B16_Assessment!$I$40</f>
        <v>Verify</v>
      </c>
      <c r="F1219" s="106" t="str">
        <f>B16_Assessment!$J$40</f>
        <v>Telecom/electrical plans show 015-CAM-1 and security/access-control scope for Room 015; verify CR/RX/DC/ES/MD devices, controller, camera/VMS integration, and door hardware coordination.</v>
      </c>
      <c r="G1219" s="106" t="str">
        <f>"B16_Assessment!A40:J40"</f>
        <v>B16_Assessment!A40:J40</v>
      </c>
    </row>
    <row r="1220" spans="1:7" ht="97.5" customHeight="1">
      <c r="A1220" s="106" t="str">
        <f>B16_Assessment!$B$2</f>
        <v>16</v>
      </c>
      <c r="B1220" s="106" t="str">
        <f t="shared" si="105"/>
        <v>B16_Assessment</v>
      </c>
      <c r="C1220" s="106" t="str">
        <f>"Security"</f>
        <v>Security</v>
      </c>
      <c r="D1220" s="142" t="str">
        <f>B16_Assessment!$A$41</f>
        <v>014</v>
      </c>
      <c r="E1220" s="142" t="str">
        <f>B16_Assessment!$I$41</f>
        <v>Verify</v>
      </c>
      <c r="F1220" s="106" t="str">
        <f>B16_Assessment!$J$41</f>
        <v>Existing security cabinet shown in Room 014; verify whether security equipment remains, is relocated, or requires temporary protection during cutover.</v>
      </c>
      <c r="G1220" s="106" t="str">
        <f>"B16_Assessment!A41:J41"</f>
        <v>B16_Assessment!A41:J41</v>
      </c>
    </row>
    <row r="1221" spans="1:7" ht="97.5" customHeight="1">
      <c r="A1221" s="106" t="str">
        <f>B17_Assessment!$B$2</f>
        <v>17</v>
      </c>
      <c r="B1221" s="106" t="str">
        <f t="shared" si="105"/>
        <v>B16_Assessment</v>
      </c>
      <c r="C1221" s="106" t="str">
        <f>"Fire"</f>
        <v>Fire</v>
      </c>
      <c r="D1221" s="142" t="str">
        <f>B17_Assessment!$A$22</f>
        <v>118</v>
      </c>
      <c r="E1221" s="142" t="str">
        <f>B17_Assessment!$I$22</f>
        <v>Verify</v>
      </c>
      <c r="F1221" s="106" t="str">
        <f>B17_Assessment!$J$22</f>
        <v>Fully sprinklered building; confirm sprinkler/fire alarm modifications, clean-agent 2A:10B:C extinguisher within 75 ft, rated wall/ceiling/floor penetrations, and temporary firestopping during cable pulls.</v>
      </c>
      <c r="G1221" s="106" t="str">
        <f>"B17_Assessment!A22:J22"</f>
        <v>B17_Assessment!A22:J22</v>
      </c>
    </row>
    <row r="1222" spans="1:7" ht="97.5" customHeight="1">
      <c r="A1222" s="106" t="str">
        <f>B17_Assessment!$B$2</f>
        <v>17</v>
      </c>
      <c r="B1222" s="106" t="str">
        <f t="shared" si="105"/>
        <v>B16_Assessment</v>
      </c>
      <c r="C1222" s="106" t="str">
        <f>"Fire"</f>
        <v>Fire</v>
      </c>
      <c r="D1222" s="142" t="str">
        <f>B17_Assessment!$A$23</f>
        <v>B35A</v>
      </c>
      <c r="E1222" s="142" t="str">
        <f>B17_Assessment!$I$23</f>
        <v>Verify</v>
      </c>
      <c r="F1222" s="106" t="str">
        <f>B17_Assessment!$J$23</f>
        <v>Existing telecom closet; verify fire alarm/sprinkler protection-in-place and seal any removed/reused penetration after cutover.</v>
      </c>
      <c r="G1222" s="106" t="str">
        <f>"B17_Assessment!A23:J23"</f>
        <v>B17_Assessment!A23:J23</v>
      </c>
    </row>
    <row r="1223" spans="1:7" ht="97.5" customHeight="1">
      <c r="A1223" s="106" t="str">
        <f>B17_Assessment!$B$2</f>
        <v>17</v>
      </c>
      <c r="B1223" s="106" t="str">
        <f t="shared" si="105"/>
        <v>B16_Assessment</v>
      </c>
      <c r="C1223" s="106" t="str">
        <f>"Fire"</f>
        <v>Fire</v>
      </c>
      <c r="D1223" s="142" t="str">
        <f>B17_Assessment!$A$24</f>
        <v>B29 Path</v>
      </c>
      <c r="E1223" s="142" t="str">
        <f>B17_Assessment!$I$24</f>
        <v>Verify</v>
      </c>
      <c r="F1223" s="106" t="str">
        <f>B17_Assessment!$J$24</f>
        <v>Verify firestopping at pathway penetrations between Building 17 and Building 29 and any rated floor/wall assemblies.</v>
      </c>
      <c r="G1223" s="106" t="str">
        <f>"B17_Assessment!A24:J24"</f>
        <v>B17_Assessment!A24:J24</v>
      </c>
    </row>
    <row r="1224" spans="1:7" ht="97.5" customHeight="1">
      <c r="A1224" s="106" t="str">
        <f>B17_Assessment!$B$2</f>
        <v>17</v>
      </c>
      <c r="B1224" s="106" t="str">
        <f t="shared" si="105"/>
        <v>B16_Assessment</v>
      </c>
      <c r="C1224" s="106" t="str">
        <f>"HVAC"</f>
        <v>HVAC</v>
      </c>
      <c r="D1224" s="142" t="str">
        <f>B17_Assessment!$A$28</f>
        <v>118</v>
      </c>
      <c r="E1224" s="142" t="str">
        <f>B17_Assessment!$I$28</f>
        <v>Verify</v>
      </c>
      <c r="F1224" s="106" t="str">
        <f>B17_Assessment!$J$28</f>
        <v>Mechanical/electrical drawings show IU-1-01 in Telecom Room 118 and CU-1-01 outdoor unit. Confirm capacity, emergency/standby source, BACnet adapter, thermostat/control point, condensate path, disconnects, and high-temperature alarm.</v>
      </c>
      <c r="G1224" s="106" t="str">
        <f>"B17_Assessment!A28:J28"</f>
        <v>B17_Assessment!A28:J28</v>
      </c>
    </row>
    <row r="1225" spans="1:7" ht="97.5" customHeight="1">
      <c r="A1225" s="106" t="str">
        <f>B17_Assessment!$B$2</f>
        <v>17</v>
      </c>
      <c r="B1225" s="106" t="str">
        <f t="shared" si="105"/>
        <v>B16_Assessment</v>
      </c>
      <c r="C1225" s="106" t="str">
        <f>"HVAC"</f>
        <v>HVAC</v>
      </c>
      <c r="D1225" s="142" t="str">
        <f>B17_Assessment!$A$29</f>
        <v>B35A</v>
      </c>
      <c r="E1225" s="142" t="str">
        <f>B17_Assessment!$I$29</f>
        <v>Verify</v>
      </c>
      <c r="F1225" s="106" t="str">
        <f>B17_Assessment!$J$29</f>
        <v>Existing B35A is shown with existing indoor AC unit; verify whether it remains active, is abandoned, or needs temporary protection during cutover.</v>
      </c>
      <c r="G1225" s="106" t="str">
        <f>"B17_Assessment!A29:J29"</f>
        <v>B17_Assessment!A29:J29</v>
      </c>
    </row>
    <row r="1226" spans="1:7" ht="97.5" customHeight="1">
      <c r="A1226" s="106" t="str">
        <f>B17_Assessment!$B$2</f>
        <v>17</v>
      </c>
      <c r="B1226" s="106" t="str">
        <f t="shared" si="105"/>
        <v>B16_Assessment</v>
      </c>
      <c r="C1226" s="106" t="str">
        <f>"HVAC"</f>
        <v>HVAC</v>
      </c>
      <c r="D1226" s="142" t="str">
        <f>B17_Assessment!$A$30</f>
        <v>B29 Path</v>
      </c>
      <c r="E1226" s="142" t="str">
        <f>B17_Assessment!$I$30</f>
        <v>N/A</v>
      </c>
      <c r="F1226" s="106" t="str">
        <f>B17_Assessment!$J$30</f>
        <v>No dedicated cooling expected for pathway; verify any equipment cabinets or active service locations in Building 29 if applicable.</v>
      </c>
      <c r="G1226" s="106" t="str">
        <f>"B17_Assessment!A30:J30"</f>
        <v>B17_Assessment!A30:J30</v>
      </c>
    </row>
    <row r="1227" spans="1:7" ht="97.5" customHeight="1">
      <c r="A1227" s="106" t="str">
        <f>B17_Assessment!$B$2</f>
        <v>17</v>
      </c>
      <c r="B1227" s="106" t="str">
        <f t="shared" si="105"/>
        <v>B16_Assessment</v>
      </c>
      <c r="C1227" s="106" t="str">
        <f>"Electrical"</f>
        <v>Electrical</v>
      </c>
      <c r="D1227" s="142" t="str">
        <f>B17_Assessment!$A$34</f>
        <v>118</v>
      </c>
      <c r="E1227" s="142" t="str">
        <f>B17_Assessment!$I$34</f>
        <v>Verify</v>
      </c>
      <c r="F1227" s="106" t="str">
        <f>B17_Assessment!$J$34</f>
        <v>Electrical plans/schedules identify B17-TR118A fed from BUS-B17-NPB1-R and B17-TR118B fed from BUS-B17-EQDP, with TR RM118 rack receptacles, 208V UPS/PDU equipment, CU-1-01, SPD requirements, and 30-day load measurement requirements.</v>
      </c>
      <c r="G1227" s="106" t="str">
        <f>"B17_Assessment!A34:J34"</f>
        <v>B17_Assessment!A34:J34</v>
      </c>
    </row>
    <row r="1228" spans="1:7" ht="97.5" customHeight="1">
      <c r="A1228" s="106" t="str">
        <f>B17_Assessment!$B$2</f>
        <v>17</v>
      </c>
      <c r="B1228" s="106" t="str">
        <f t="shared" si="105"/>
        <v>B16_Assessment</v>
      </c>
      <c r="C1228" s="106" t="str">
        <f>"Electrical"</f>
        <v>Electrical</v>
      </c>
      <c r="D1228" s="142" t="str">
        <f>B17_Assessment!$A$35</f>
        <v>B35A</v>
      </c>
      <c r="E1228" s="142" t="str">
        <f>B17_Assessment!$I$35</f>
        <v>Verify</v>
      </c>
      <c r="F1228" s="106" t="str">
        <f>B17_Assessment!$J$35</f>
        <v>Existing rack/equipment area; verify active equipment, floor UPS status, source circuits, and transfer requirements before disconnect/removal.</v>
      </c>
      <c r="G1228" s="106" t="str">
        <f>"B17_Assessment!A35:J35"</f>
        <v>B17_Assessment!A35:J35</v>
      </c>
    </row>
    <row r="1229" spans="1:7" ht="97.5" customHeight="1">
      <c r="A1229" s="106" t="str">
        <f>B17_Assessment!$B$2</f>
        <v>17</v>
      </c>
      <c r="B1229" s="106" t="str">
        <f t="shared" si="105"/>
        <v>B16_Assessment</v>
      </c>
      <c r="C1229" s="106" t="str">
        <f>"Electrical"</f>
        <v>Electrical</v>
      </c>
      <c r="D1229" s="142" t="str">
        <f>B17_Assessment!$A$36</f>
        <v>B29 Path</v>
      </c>
      <c r="E1229" s="142" t="str">
        <f>B17_Assessment!$I$36</f>
        <v>Verify</v>
      </c>
      <c r="F1229" s="106" t="str">
        <f>B17_Assessment!$J$36</f>
        <v>Verify whether any Building 29 equipment or extension path requires power, grounding, bonding, or labeling tied back to B17 TR 118.</v>
      </c>
      <c r="G1229" s="106" t="str">
        <f>"B17_Assessment!A36:J36"</f>
        <v>B17_Assessment!A36:J36</v>
      </c>
    </row>
    <row r="1230" spans="1:7" ht="97.5" customHeight="1">
      <c r="A1230" s="106" t="str">
        <f>B17_Assessment!$B$2</f>
        <v>17</v>
      </c>
      <c r="B1230" s="106" t="str">
        <f t="shared" si="105"/>
        <v>B16_Assessment</v>
      </c>
      <c r="C1230" s="106" t="str">
        <f>"Telecom"</f>
        <v>Telecom</v>
      </c>
      <c r="D1230" s="142" t="str">
        <f>B17_Assessment!$A$40</f>
        <v>118</v>
      </c>
      <c r="E1230" s="142" t="str">
        <f>B17_Assessment!$I$40</f>
        <v>Verify</v>
      </c>
      <c r="F1230" s="106" t="str">
        <f>B17_Assessment!$J$40</f>
        <v>17_29T-701 identifies Room 118 schedule: 113 WAO total, 67 active ports per survey, 154 total ports per schedule, and 169 total ports with 10% allowance. Rack ID TR17-118-1 serves basement, first, second-level outlets and Building 29 path.</v>
      </c>
      <c r="G1230" s="106" t="str">
        <f>"B17_Assessment!A40:J40"</f>
        <v>B17_Assessment!A40:J40</v>
      </c>
    </row>
    <row r="1231" spans="1:7" ht="97.5" customHeight="1">
      <c r="A1231" s="106" t="str">
        <f>B17_Assessment!$B$2</f>
        <v>17</v>
      </c>
      <c r="B1231" s="106" t="str">
        <f t="shared" si="105"/>
        <v>B16_Assessment</v>
      </c>
      <c r="C1231" s="106" t="str">
        <f>"Telecom"</f>
        <v>Telecom</v>
      </c>
      <c r="D1231" s="142" t="str">
        <f>B17_Assessment!$A$41</f>
        <v>B35A</v>
      </c>
      <c r="E1231" s="142" t="str">
        <f>B17_Assessment!$I$41</f>
        <v>Verify</v>
      </c>
      <c r="F1231" s="106" t="str">
        <f>B17_Assessment!$J$41</f>
        <v>Existing Room B35A equipment includes SERTEX utility service ports, legacy Ortronics patch panels, Cisco switches, wall-mounted TE, Fiber/legacy equipment, security cabinet, and floor UPS; verify active services and transfer plan to Room 118.</v>
      </c>
      <c r="G1231" s="106" t="str">
        <f>"B17_Assessment!A41:J41"</f>
        <v>B17_Assessment!A41:J41</v>
      </c>
    </row>
    <row r="1232" spans="1:7" ht="97.5" customHeight="1">
      <c r="A1232" s="106" t="str">
        <f>B17_Assessment!$B$2</f>
        <v>17</v>
      </c>
      <c r="B1232" s="106" t="str">
        <f t="shared" si="105"/>
        <v>B16_Assessment</v>
      </c>
      <c r="C1232" s="106" t="str">
        <f>"Telecom"</f>
        <v>Telecom</v>
      </c>
      <c r="D1232" s="142" t="str">
        <f>B17_Assessment!$A$42</f>
        <v>B29 Path</v>
      </c>
      <c r="E1232" s="142" t="str">
        <f>B17_Assessment!$I$42</f>
        <v>Verify</v>
      </c>
      <c r="F1232" s="106" t="str">
        <f>B17_Assessment!$J$42</f>
        <v>Building 29 is shown served from B17; verify fiber from Building 17 to Building 29, path to B29 4-inch PVC, outlet labels, test records and as-builts.</v>
      </c>
      <c r="G1232" s="106" t="str">
        <f>"B17_Assessment!A42:J42"</f>
        <v>B17_Assessment!A42:J42</v>
      </c>
    </row>
    <row r="1233" spans="1:7" ht="97.5" customHeight="1">
      <c r="A1233" s="106" t="str">
        <f>B17_Assessment!$B$2</f>
        <v>17</v>
      </c>
      <c r="B1233" s="106" t="str">
        <f t="shared" ref="B1233:B1247" si="106">"B17_Assessment"</f>
        <v>B17_Assessment</v>
      </c>
      <c r="C1233" s="106" t="str">
        <f>"Security"</f>
        <v>Security</v>
      </c>
      <c r="D1233" s="142" t="str">
        <f>B17_Assessment!$A$46</f>
        <v>118</v>
      </c>
      <c r="E1233" s="142" t="str">
        <f>B17_Assessment!$I$46</f>
        <v>Verify</v>
      </c>
      <c r="F1233" s="106" t="str">
        <f>B17_Assessment!$J$46</f>
        <v>Telecom/electrical plans show 118-CAM-01 and security/access-control scope for Room 118; verify CR/RX/DC/ES/MD devices, controller, camera/VMS integration, and door hardware coordination.</v>
      </c>
      <c r="G1233" s="106" t="str">
        <f>"B17_Assessment!A46:J46"</f>
        <v>B17_Assessment!A46:J46</v>
      </c>
    </row>
    <row r="1234" spans="1:7" ht="97.5" customHeight="1">
      <c r="A1234" s="106" t="str">
        <f>B17_Assessment!$B$2</f>
        <v>17</v>
      </c>
      <c r="B1234" s="106" t="str">
        <f t="shared" si="106"/>
        <v>B17_Assessment</v>
      </c>
      <c r="C1234" s="106" t="str">
        <f>"Security"</f>
        <v>Security</v>
      </c>
      <c r="D1234" s="142" t="str">
        <f>B17_Assessment!$A$47</f>
        <v>B35A</v>
      </c>
      <c r="E1234" s="142" t="str">
        <f>B17_Assessment!$I$47</f>
        <v>Verify</v>
      </c>
      <c r="F1234" s="106" t="str">
        <f>B17_Assessment!$J$47</f>
        <v>Existing security cabinet shown in B35A; verify whether security equipment remains, is relocated, or requires temporary protection during cutover.</v>
      </c>
      <c r="G1234" s="106" t="str">
        <f>"B17_Assessment!A47:J47"</f>
        <v>B17_Assessment!A47:J47</v>
      </c>
    </row>
    <row r="1235" spans="1:7" ht="97.5" customHeight="1">
      <c r="A1235" s="106" t="str">
        <f>B17_Assessment!$B$2</f>
        <v>17</v>
      </c>
      <c r="B1235" s="106" t="str">
        <f t="shared" si="106"/>
        <v>B17_Assessment</v>
      </c>
      <c r="C1235" s="106" t="str">
        <f>"Security"</f>
        <v>Security</v>
      </c>
      <c r="D1235" s="142" t="str">
        <f>B17_Assessment!$A$48</f>
        <v>B29 Path</v>
      </c>
      <c r="E1235" s="142" t="str">
        <f>B17_Assessment!$I$48</f>
        <v>Verify</v>
      </c>
      <c r="F1235" s="106" t="str">
        <f>B17_Assessment!$J$48</f>
        <v>Verify Building 29 pathway and any security scope tied into B17 TR 118/VMS/PACS.</v>
      </c>
      <c r="G1235" s="106" t="str">
        <f>"B17_Assessment!A48:J48"</f>
        <v>B17_Assessment!A48:J48</v>
      </c>
    </row>
    <row r="1236" spans="1:7" ht="97.5" customHeight="1">
      <c r="A1236" s="106" t="str">
        <f>B18_Assessment!$B$2</f>
        <v>18</v>
      </c>
      <c r="B1236" s="106" t="str">
        <f t="shared" si="106"/>
        <v>B17_Assessment</v>
      </c>
      <c r="C1236" s="106" t="str">
        <f>"Fire"</f>
        <v>Fire</v>
      </c>
      <c r="D1236" s="142" t="str">
        <f>B18_Assessment!$A$22</f>
        <v>110</v>
      </c>
      <c r="E1236" s="142" t="str">
        <f>B18_Assessment!$I$22</f>
        <v>Verify</v>
      </c>
      <c r="F1236" s="106" t="str">
        <f>B18_Assessment!$J$22</f>
        <v>Fully sprinklered building; confirm sprinkler/fire alarm modifications, clean-agent 2A:10B:C extinguisher within 75 ft, rated wall/ceiling/floor penetrations, and temporary firestopping during cable pulls.</v>
      </c>
      <c r="G1236" s="106" t="str">
        <f>"B18_Assessment!A22:J22"</f>
        <v>B18_Assessment!A22:J22</v>
      </c>
    </row>
    <row r="1237" spans="1:7" ht="97.5" customHeight="1">
      <c r="A1237" s="106" t="str">
        <f>B18_Assessment!$B$2</f>
        <v>18</v>
      </c>
      <c r="B1237" s="106" t="str">
        <f t="shared" si="106"/>
        <v>B17_Assessment</v>
      </c>
      <c r="C1237" s="106" t="str">
        <f>"Fire"</f>
        <v>Fire</v>
      </c>
      <c r="D1237" s="142" t="str">
        <f>B18_Assessment!$A$23</f>
        <v>111B</v>
      </c>
      <c r="E1237" s="142" t="str">
        <f>B18_Assessment!$I$23</f>
        <v>Verify</v>
      </c>
      <c r="F1237" s="106" t="str">
        <f>B18_Assessment!$J$23</f>
        <v>Existing TE room; verify fire alarm/sprinkler protection-in-place and seal removed/reused penetrations after cutover.</v>
      </c>
      <c r="G1237" s="106" t="str">
        <f>"B18_Assessment!A23:J23"</f>
        <v>B18_Assessment!A23:J23</v>
      </c>
    </row>
    <row r="1238" spans="1:7" ht="97.5" customHeight="1">
      <c r="A1238" s="106" t="str">
        <f>B18_Assessment!$B$2</f>
        <v>18</v>
      </c>
      <c r="B1238" s="106" t="str">
        <f t="shared" si="106"/>
        <v>B17_Assessment</v>
      </c>
      <c r="C1238" s="106" t="str">
        <f>"Fire"</f>
        <v>Fire</v>
      </c>
      <c r="D1238" s="142" t="str">
        <f>B18_Assessment!$A$24</f>
        <v>213</v>
      </c>
      <c r="E1238" s="142" t="str">
        <f>B18_Assessment!$I$24</f>
        <v>Verify</v>
      </c>
      <c r="F1238" s="106" t="str">
        <f>B18_Assessment!$J$24</f>
        <v>Existing second-level closet; verify protection-in-place and firestopping after transfer or abandonment.</v>
      </c>
      <c r="G1238" s="106" t="str">
        <f>"B18_Assessment!A24:J24"</f>
        <v>B18_Assessment!A24:J24</v>
      </c>
    </row>
    <row r="1239" spans="1:7" ht="97.5" customHeight="1">
      <c r="A1239" s="106" t="str">
        <f>B18_Assessment!$B$2</f>
        <v>18</v>
      </c>
      <c r="B1239" s="106" t="str">
        <f t="shared" si="106"/>
        <v>B17_Assessment</v>
      </c>
      <c r="C1239" s="106" t="str">
        <f>"HVAC"</f>
        <v>HVAC</v>
      </c>
      <c r="D1239" s="142" t="str">
        <f>B18_Assessment!$A$28</f>
        <v>110</v>
      </c>
      <c r="E1239" s="142" t="str">
        <f>B18_Assessment!$I$28</f>
        <v>Verify</v>
      </c>
      <c r="F1239" s="106" t="str">
        <f>B18_Assessment!$J$28</f>
        <v>Mechanical/electrical drawings show IU-1-01 in Telecom Room 110 and CU-1-01 outdoor unit. Confirm capacity, emergency/standby source, BACnet adapter, thermostat/control point, condensate path, disconnects, and high-temperature alarm.</v>
      </c>
      <c r="G1239" s="106" t="str">
        <f>"B18_Assessment!A28:J28"</f>
        <v>B18_Assessment!A28:J28</v>
      </c>
    </row>
    <row r="1240" spans="1:7" ht="97.5" customHeight="1">
      <c r="A1240" s="106" t="str">
        <f>B18_Assessment!$B$2</f>
        <v>18</v>
      </c>
      <c r="B1240" s="106" t="str">
        <f t="shared" si="106"/>
        <v>B17_Assessment</v>
      </c>
      <c r="C1240" s="106" t="str">
        <f>"HVAC"</f>
        <v>HVAC</v>
      </c>
      <c r="D1240" s="142" t="str">
        <f>B18_Assessment!$A$29</f>
        <v>111B</v>
      </c>
      <c r="E1240" s="142" t="str">
        <f>B18_Assessment!$I$29</f>
        <v>Verify</v>
      </c>
      <c r="F1240" s="106" t="str">
        <f>B18_Assessment!$J$29</f>
        <v>Existing TE 111B; verify existing environmental conditions during cutover and whether legacy equipment remains active.</v>
      </c>
      <c r="G1240" s="106" t="str">
        <f>"B18_Assessment!A29:J29"</f>
        <v>B18_Assessment!A29:J29</v>
      </c>
    </row>
    <row r="1241" spans="1:7" ht="97.5" customHeight="1">
      <c r="A1241" s="106" t="str">
        <f>B18_Assessment!$B$2</f>
        <v>18</v>
      </c>
      <c r="B1241" s="106" t="str">
        <f t="shared" si="106"/>
        <v>B17_Assessment</v>
      </c>
      <c r="C1241" s="106" t="str">
        <f>"HVAC"</f>
        <v>HVAC</v>
      </c>
      <c r="D1241" s="142" t="str">
        <f>B18_Assessment!$A$30</f>
        <v>213</v>
      </c>
      <c r="E1241" s="142" t="str">
        <f>B18_Assessment!$I$30</f>
        <v>Verify</v>
      </c>
      <c r="F1241" s="106" t="str">
        <f>B18_Assessment!$J$30</f>
        <v>Existing Closet 213; verify existing environmental conditions during cutover and whether legacy equipment remains active.</v>
      </c>
      <c r="G1241" s="106" t="str">
        <f>"B18_Assessment!A30:J30"</f>
        <v>B18_Assessment!A30:J30</v>
      </c>
    </row>
    <row r="1242" spans="1:7" ht="97.5" customHeight="1">
      <c r="A1242" s="106" t="str">
        <f>B18_Assessment!$B$2</f>
        <v>18</v>
      </c>
      <c r="B1242" s="106" t="str">
        <f t="shared" si="106"/>
        <v>B17_Assessment</v>
      </c>
      <c r="C1242" s="106" t="str">
        <f>"Electrical"</f>
        <v>Electrical</v>
      </c>
      <c r="D1242" s="142" t="str">
        <f>B18_Assessment!$A$34</f>
        <v>110</v>
      </c>
      <c r="E1242" s="142" t="str">
        <f>B18_Assessment!$I$34</f>
        <v>Verify</v>
      </c>
      <c r="F1242" s="106" t="str">
        <f>B18_Assessment!$J$34</f>
        <v>Electrical plans/schedules identify B18-TR110A/B, 208V rack UPS requirements, rack receptacles, TR receptacles, lighting, CU-1-01, SPD requirements, and telecom panelboard schedule requirements.</v>
      </c>
      <c r="G1242" s="106" t="str">
        <f>"B18_Assessment!A34:J34"</f>
        <v>B18_Assessment!A34:J34</v>
      </c>
    </row>
    <row r="1243" spans="1:7" ht="97.5" customHeight="1">
      <c r="A1243" s="106" t="str">
        <f>B18_Assessment!$B$2</f>
        <v>18</v>
      </c>
      <c r="B1243" s="106" t="str">
        <f t="shared" si="106"/>
        <v>B17_Assessment</v>
      </c>
      <c r="C1243" s="106" t="str">
        <f>"Electrical"</f>
        <v>Electrical</v>
      </c>
      <c r="D1243" s="142" t="str">
        <f>B18_Assessment!$A$35</f>
        <v>111B</v>
      </c>
      <c r="E1243" s="142" t="str">
        <f>B18_Assessment!$I$35</f>
        <v>Verify</v>
      </c>
      <c r="F1243" s="106" t="str">
        <f>B18_Assessment!$J$35</f>
        <v>Existing rack/equipment area; verify active equipment, floor UPS status, source circuits, and transfer requirements before disconnect/removal.</v>
      </c>
      <c r="G1243" s="106" t="str">
        <f>"B18_Assessment!A35:J35"</f>
        <v>B18_Assessment!A35:J35</v>
      </c>
    </row>
    <row r="1244" spans="1:7" ht="97.5" customHeight="1">
      <c r="A1244" s="106" t="str">
        <f>B18_Assessment!$B$2</f>
        <v>18</v>
      </c>
      <c r="B1244" s="106" t="str">
        <f t="shared" si="106"/>
        <v>B17_Assessment</v>
      </c>
      <c r="C1244" s="106" t="str">
        <f>"Electrical"</f>
        <v>Electrical</v>
      </c>
      <c r="D1244" s="142" t="str">
        <f>B18_Assessment!$A$36</f>
        <v>213</v>
      </c>
      <c r="E1244" s="142" t="str">
        <f>B18_Assessment!$I$36</f>
        <v>Verify</v>
      </c>
      <c r="F1244" s="106" t="str">
        <f>B18_Assessment!$J$36</f>
        <v>Existing rack/equipment area; verify active equipment, APC UPS status, source circuits, SERTEX utility service and transfer requirements before disconnect/removal.</v>
      </c>
      <c r="G1244" s="106" t="str">
        <f>"B18_Assessment!A36:J36"</f>
        <v>B18_Assessment!A36:J36</v>
      </c>
    </row>
    <row r="1245" spans="1:7" ht="97.5" customHeight="1">
      <c r="A1245" s="106" t="str">
        <f>B18_Assessment!$B$2</f>
        <v>18</v>
      </c>
      <c r="B1245" s="106" t="str">
        <f t="shared" si="106"/>
        <v>B17_Assessment</v>
      </c>
      <c r="C1245" s="106" t="str">
        <f>"Telecom"</f>
        <v>Telecom</v>
      </c>
      <c r="D1245" s="142" t="str">
        <f>B18_Assessment!$A$40</f>
        <v>110</v>
      </c>
      <c r="E1245" s="142" t="str">
        <f>B18_Assessment!$I$40</f>
        <v>Verify</v>
      </c>
      <c r="F1245" s="106" t="str">
        <f>B18_Assessment!$J$40</f>
        <v>18T-701 identifies RM 111A schedule: 86 WAO total, 61 active ports per survey, 122 ports per schedule, and 134 total ports with 10% allowance. New rack elevation is Room 110, 1 rack plus future, with UPS, Future Zone PDU, switches, Cat6A patch panels, Cat5E patch panel and Fiber LIU.</v>
      </c>
      <c r="G1245" s="106" t="str">
        <f>"B18_Assessment!A40:J40"</f>
        <v>B18_Assessment!A40:J40</v>
      </c>
    </row>
    <row r="1246" spans="1:7" ht="97.5" customHeight="1">
      <c r="A1246" s="106" t="str">
        <f>B18_Assessment!$B$2</f>
        <v>18</v>
      </c>
      <c r="B1246" s="106" t="str">
        <f t="shared" si="106"/>
        <v>B17_Assessment</v>
      </c>
      <c r="C1246" s="106" t="str">
        <f>"Telecom"</f>
        <v>Telecom</v>
      </c>
      <c r="D1246" s="142" t="str">
        <f>B18_Assessment!$A$41</f>
        <v>111B</v>
      </c>
      <c r="E1246" s="142" t="str">
        <f>B18_Assessment!$I$41</f>
        <v>Verify</v>
      </c>
      <c r="F1246" s="106" t="str">
        <f>B18_Assessment!$J$41</f>
        <v>Existing Room 111B equipment includes wall-mounted rack, plywood backboard, patch panel, security cabinet, floor UPS and 5RU fiber optic housing; verify active services and transfer plan to Room 110.</v>
      </c>
      <c r="G1246" s="106" t="str">
        <f>"B18_Assessment!A41:J41"</f>
        <v>B18_Assessment!A41:J41</v>
      </c>
    </row>
    <row r="1247" spans="1:7" ht="97.5" customHeight="1">
      <c r="A1247" s="106" t="str">
        <f>B18_Assessment!$B$2</f>
        <v>18</v>
      </c>
      <c r="B1247" s="106" t="str">
        <f t="shared" si="106"/>
        <v>B17_Assessment</v>
      </c>
      <c r="C1247" s="106" t="str">
        <f>"Telecom"</f>
        <v>Telecom</v>
      </c>
      <c r="D1247" s="142" t="str">
        <f>B18_Assessment!$A$42</f>
        <v>213</v>
      </c>
      <c r="E1247" s="142" t="str">
        <f>B18_Assessment!$I$42</f>
        <v>Verify</v>
      </c>
      <c r="F1247" s="106" t="str">
        <f>B18_Assessment!$J$42</f>
        <v>Existing Room 213 equipment includes SERTEX utility service ports, Cisco switch, multiple legacy Ortronics patch panels, wall/wall-mount TE and APC floor UPS; verify active services and transfer plan to Room 110.</v>
      </c>
      <c r="G1247" s="106" t="str">
        <f>"B18_Assessment!A42:J42"</f>
        <v>B18_Assessment!A42:J42</v>
      </c>
    </row>
    <row r="1248" spans="1:7" ht="97.5" customHeight="1">
      <c r="A1248" s="106" t="str">
        <f>B18_Assessment!$B$2</f>
        <v>18</v>
      </c>
      <c r="B1248" s="106" t="str">
        <f t="shared" ref="B1248:B1257" si="107">"B18_Assessment"</f>
        <v>B18_Assessment</v>
      </c>
      <c r="C1248" s="106" t="str">
        <f>"Security"</f>
        <v>Security</v>
      </c>
      <c r="D1248" s="142" t="str">
        <f>B18_Assessment!$A$46</f>
        <v>110</v>
      </c>
      <c r="E1248" s="142" t="str">
        <f>B18_Assessment!$I$46</f>
        <v>Verify</v>
      </c>
      <c r="F1248" s="106" t="str">
        <f>B18_Assessment!$J$46</f>
        <v>Telecom/electrical plans show 111A-CAM-01 and security/access-control scope for the new TR area; verify room naming, CR/RX/DC/ES/MD devices, controller, camera/VMS integration, and door hardware coordination.</v>
      </c>
      <c r="G1248" s="106" t="str">
        <f>"B18_Assessment!A46:J46"</f>
        <v>B18_Assessment!A46:J46</v>
      </c>
    </row>
    <row r="1249" spans="1:7" ht="97.5" customHeight="1">
      <c r="A1249" s="106" t="str">
        <f>B18_Assessment!$B$2</f>
        <v>18</v>
      </c>
      <c r="B1249" s="106" t="str">
        <f t="shared" si="107"/>
        <v>B18_Assessment</v>
      </c>
      <c r="C1249" s="106" t="str">
        <f>"Security"</f>
        <v>Security</v>
      </c>
      <c r="D1249" s="142" t="str">
        <f>B18_Assessment!$A$47</f>
        <v>111B</v>
      </c>
      <c r="E1249" s="142" t="str">
        <f>B18_Assessment!$I$47</f>
        <v>Verify</v>
      </c>
      <c r="F1249" s="106" t="str">
        <f>B18_Assessment!$J$47</f>
        <v>Existing security cabinet shown in 111B; verify whether security equipment remains, is relocated, or requires temporary protection during cutover.</v>
      </c>
      <c r="G1249" s="106" t="str">
        <f>"B18_Assessment!A47:J47"</f>
        <v>B18_Assessment!A47:J47</v>
      </c>
    </row>
    <row r="1250" spans="1:7" ht="97.5" customHeight="1">
      <c r="A1250" s="106" t="str">
        <f>B18_Assessment!$B$2</f>
        <v>18</v>
      </c>
      <c r="B1250" s="106" t="str">
        <f t="shared" si="107"/>
        <v>B18_Assessment</v>
      </c>
      <c r="C1250" s="106" t="str">
        <f>"Security"</f>
        <v>Security</v>
      </c>
      <c r="D1250" s="142" t="str">
        <f>B18_Assessment!$A$48</f>
        <v>213</v>
      </c>
      <c r="E1250" s="142" t="str">
        <f>B18_Assessment!$I$48</f>
        <v>Verify</v>
      </c>
      <c r="F1250" s="106" t="str">
        <f>B18_Assessment!$J$48</f>
        <v>Existing security cabinet shown in 213; verify whether security equipment remains, is relocated, or requires temporary protection during cutover.</v>
      </c>
      <c r="G1250" s="106" t="str">
        <f>"B18_Assessment!A48:J48"</f>
        <v>B18_Assessment!A48:J48</v>
      </c>
    </row>
    <row r="1251" spans="1:7" ht="97.5" customHeight="1">
      <c r="A1251" s="106" t="str">
        <f>B20_Assessment!$B$2</f>
        <v>20</v>
      </c>
      <c r="B1251" s="106" t="str">
        <f t="shared" si="107"/>
        <v>B18_Assessment</v>
      </c>
      <c r="C1251" s="106" t="str">
        <f>"Fire"</f>
        <v>Fire</v>
      </c>
      <c r="D1251" s="142" t="str">
        <f>B20_Assessment!$A$20</f>
        <v>1B</v>
      </c>
      <c r="E1251" s="142" t="str">
        <f>B20_Assessment!$I$20</f>
        <v>Verify</v>
      </c>
      <c r="F1251" s="106" t="str">
        <f>B20_Assessment!$J$20</f>
        <v>Cover sheet states Building 20 receives a Telecom Enclosure and mechanical/fire protection scope is excluded. Still verify firestopping of rated penetrations, 4-inch sleeve, wall/floor openings, and any life-safety device impacts.</v>
      </c>
      <c r="G1251" s="106" t="str">
        <f>"B20_Assessment!A20:J20"</f>
        <v>B20_Assessment!A20:J20</v>
      </c>
    </row>
    <row r="1252" spans="1:7" ht="97.5" customHeight="1">
      <c r="A1252" s="106" t="str">
        <f>B20_Assessment!$B$2</f>
        <v>20</v>
      </c>
      <c r="B1252" s="106" t="str">
        <f t="shared" si="107"/>
        <v>B18_Assessment</v>
      </c>
      <c r="C1252" s="106" t="str">
        <f>"Fire"</f>
        <v>Fire</v>
      </c>
      <c r="D1252" s="142" t="str">
        <f>B20_Assessment!$A$21</f>
        <v>8A</v>
      </c>
      <c r="E1252" s="142" t="str">
        <f>B20_Assessment!$I$21</f>
        <v>Verify</v>
      </c>
      <c r="F1252" s="106" t="str">
        <f>B20_Assessment!$J$21</f>
        <v>Existing closet; verify protection-in-place and firestopping after cable transfer or reuse.</v>
      </c>
      <c r="G1252" s="106" t="str">
        <f>"B20_Assessment!A21:J21"</f>
        <v>B20_Assessment!A21:J21</v>
      </c>
    </row>
    <row r="1253" spans="1:7" ht="97.5" customHeight="1">
      <c r="A1253" s="106" t="str">
        <f>B20_Assessment!$B$2</f>
        <v>20</v>
      </c>
      <c r="B1253" s="106" t="str">
        <f t="shared" si="107"/>
        <v>B18_Assessment</v>
      </c>
      <c r="C1253" s="106" t="str">
        <f>"HVAC"</f>
        <v>HVAC</v>
      </c>
      <c r="D1253" s="142" t="str">
        <f>B20_Assessment!$A$25</f>
        <v>1B</v>
      </c>
      <c r="E1253" s="142" t="str">
        <f>B20_Assessment!$I$25</f>
        <v>N/A</v>
      </c>
      <c r="F1253" s="106" t="str">
        <f>B20_Assessment!$J$25</f>
        <v>Cover sheet states mechanical scope is excluded. Verify whether Office 1B ambient conditions are acceptable for wall-mount TE/UPS/PDU/network equipment.</v>
      </c>
      <c r="G1253" s="106" t="str">
        <f>"B20_Assessment!A25:J25"</f>
        <v>B20_Assessment!A25:J25</v>
      </c>
    </row>
    <row r="1254" spans="1:7" ht="97.5" customHeight="1">
      <c r="A1254" s="106" t="str">
        <f>B20_Assessment!$B$2</f>
        <v>20</v>
      </c>
      <c r="B1254" s="106" t="str">
        <f t="shared" si="107"/>
        <v>B18_Assessment</v>
      </c>
      <c r="C1254" s="106" t="str">
        <f>"HVAC"</f>
        <v>HVAC</v>
      </c>
      <c r="D1254" s="142" t="str">
        <f>B20_Assessment!$A$26</f>
        <v>8A</v>
      </c>
      <c r="E1254" s="142" t="str">
        <f>B20_Assessment!$I$26</f>
        <v>Verify</v>
      </c>
      <c r="F1254" s="106" t="str">
        <f>B20_Assessment!$J$26</f>
        <v>Existing Tel/Data Closet 8A includes indoor AC unit to remain/protect in place; verify operation during cutover and whether equipment remains after transition.</v>
      </c>
      <c r="G1254" s="106" t="str">
        <f>"B20_Assessment!A26:J26"</f>
        <v>B20_Assessment!A26:J26</v>
      </c>
    </row>
    <row r="1255" spans="1:7" ht="97.5" customHeight="1">
      <c r="A1255" s="106" t="str">
        <f>B20_Assessment!$B$2</f>
        <v>20</v>
      </c>
      <c r="B1255" s="106" t="str">
        <f t="shared" si="107"/>
        <v>B18_Assessment</v>
      </c>
      <c r="C1255" s="106" t="str">
        <f>"Electrical"</f>
        <v>Electrical</v>
      </c>
      <c r="D1255" s="142" t="str">
        <f>B20_Assessment!$A$30</f>
        <v>1B</v>
      </c>
      <c r="E1255" s="142" t="str">
        <f>B20_Assessment!$I$30</f>
        <v>Verify</v>
      </c>
      <c r="F1255" s="106" t="str">
        <f>B20_Assessment!$J$30</f>
        <v>20T-701 new enclosure elevation shows APC UPS, two PDU L5-30 input / NEMA 5-20 output units, 120V outlet UPS, 120V outlet PDU, network switch, 48-port Cat6A patch panel and Fiber LIU. Verify circuit source, receptacle type, grounding/bonding and labels.</v>
      </c>
      <c r="G1255" s="106" t="str">
        <f>"B20_Assessment!A30:J30"</f>
        <v>B20_Assessment!A30:J30</v>
      </c>
    </row>
    <row r="1256" spans="1:7" ht="97.5" customHeight="1">
      <c r="A1256" s="106" t="str">
        <f>B20_Assessment!$B$2</f>
        <v>20</v>
      </c>
      <c r="B1256" s="106" t="str">
        <f t="shared" si="107"/>
        <v>B18_Assessment</v>
      </c>
      <c r="C1256" s="106" t="str">
        <f>"Electrical"</f>
        <v>Electrical</v>
      </c>
      <c r="D1256" s="142" t="str">
        <f>B20_Assessment!$A$31</f>
        <v>8A</v>
      </c>
      <c r="E1256" s="142" t="str">
        <f>B20_Assessment!$I$31</f>
        <v>Verify</v>
      </c>
      <c r="F1256" s="106" t="str">
        <f>B20_Assessment!$J$31</f>
        <v>Existing 8A elevation shows UPS on ground, legacy patch equipment and Fiber LIU on wall; verify source circuits, UPS status, and transition requirements before disconnect/removal.</v>
      </c>
      <c r="G1256" s="106" t="str">
        <f>"B20_Assessment!A31:J31"</f>
        <v>B20_Assessment!A31:J31</v>
      </c>
    </row>
    <row r="1257" spans="1:7" ht="97.5" customHeight="1">
      <c r="A1257" s="106" t="str">
        <f>B20_Assessment!$B$2</f>
        <v>20</v>
      </c>
      <c r="B1257" s="106" t="str">
        <f t="shared" si="107"/>
        <v>B18_Assessment</v>
      </c>
      <c r="C1257" s="106" t="str">
        <f>"Telecom"</f>
        <v>Telecom</v>
      </c>
      <c r="D1257" s="142" t="str">
        <f>B20_Assessment!$A$35</f>
        <v>1B</v>
      </c>
      <c r="E1257" s="142" t="str">
        <f>B20_Assessment!$I$35</f>
        <v>Verify</v>
      </c>
      <c r="F1257" s="106" t="str">
        <f>B20_Assessment!$J$35</f>
        <v>20T-701 identifies TE01-1B-1: 21 WAO total, 24 active ports per survey, 30 ports per schedule, 33 total ports with 10% allowance. Provide new wall-mount TE cabinet and 10 new Cat6A cross-connect cables from existing TE to new TE location.</v>
      </c>
      <c r="G1257" s="106" t="str">
        <f>"B20_Assessment!A35:J35"</f>
        <v>B20_Assessment!A35:J35</v>
      </c>
    </row>
    <row r="1258" spans="1:7" ht="97.5" customHeight="1">
      <c r="A1258" s="106" t="str">
        <f>B20_Assessment!$B$2</f>
        <v>20</v>
      </c>
      <c r="B1258" s="106" t="str">
        <f t="shared" ref="B1258:B1272" si="108">"B20_Assessment"</f>
        <v>B20_Assessment</v>
      </c>
      <c r="C1258" s="106" t="str">
        <f>"Telecom"</f>
        <v>Telecom</v>
      </c>
      <c r="D1258" s="142" t="str">
        <f>B20_Assessment!$A$36</f>
        <v>8A</v>
      </c>
      <c r="E1258" s="142" t="str">
        <f>B20_Assessment!$I$36</f>
        <v>Verify</v>
      </c>
      <c r="F1258" s="106" t="str">
        <f>B20_Assessment!$J$36</f>
        <v>Existing Tel/Data Closet 8A contains open TE cabinet, ground bar, patch panel, equipment box, indoor AC unit, plywood backboard, BIX blocks, Cisco switch, legacy 48-port patch panel and Fiber LIU. Field verify all active services.</v>
      </c>
      <c r="G1258" s="106" t="str">
        <f>"B20_Assessment!A36:J36"</f>
        <v>B20_Assessment!A36:J36</v>
      </c>
    </row>
    <row r="1259" spans="1:7" ht="97.5" customHeight="1">
      <c r="A1259" s="106" t="str">
        <f>B20_Assessment!$B$2</f>
        <v>20</v>
      </c>
      <c r="B1259" s="106" t="str">
        <f t="shared" si="108"/>
        <v>B20_Assessment</v>
      </c>
      <c r="C1259" s="106" t="str">
        <f>"Security"</f>
        <v>Security</v>
      </c>
      <c r="D1259" s="142" t="str">
        <f>B20_Assessment!$A$40</f>
        <v>1B</v>
      </c>
      <c r="E1259" s="142" t="str">
        <f>B20_Assessment!$I$40</f>
        <v>Verify</v>
      </c>
      <c r="F1259" s="106" t="str">
        <f>B20_Assessment!$J$40</f>
        <v>Building 20 does not appear to create a new TR door/PACS package. Verify any existing cameras/security devices in Office 1B and ensure no camera angle or VMS integration is disrupted.</v>
      </c>
      <c r="G1259" s="106" t="str">
        <f>"B20_Assessment!A40:J40"</f>
        <v>B20_Assessment!A40:J40</v>
      </c>
    </row>
    <row r="1260" spans="1:7" ht="97.5" customHeight="1">
      <c r="A1260" s="106" t="str">
        <f>B20_Assessment!$B$2</f>
        <v>20</v>
      </c>
      <c r="B1260" s="106" t="str">
        <f t="shared" si="108"/>
        <v>B20_Assessment</v>
      </c>
      <c r="C1260" s="106" t="str">
        <f>"Security"</f>
        <v>Security</v>
      </c>
      <c r="D1260" s="142" t="str">
        <f>B20_Assessment!$A$41</f>
        <v>8A</v>
      </c>
      <c r="E1260" s="142" t="str">
        <f>B20_Assessment!$I$41</f>
        <v>Verify</v>
      </c>
      <c r="F1260" s="106" t="str">
        <f>B20_Assessment!$J$41</f>
        <v>Keynotes indicate existing cameras are to be retained and re-used/protected in place; verify existing security equipment and cabinet impacts during cutover.</v>
      </c>
      <c r="G1260" s="106" t="str">
        <f>"B20_Assessment!A41:J41"</f>
        <v>B20_Assessment!A41:J41</v>
      </c>
    </row>
    <row r="1261" spans="1:7" ht="97.5" customHeight="1">
      <c r="A1261" s="106" t="str">
        <f>B21_Assessment!$B$2</f>
        <v>21</v>
      </c>
      <c r="B1261" s="106" t="str">
        <f t="shared" si="108"/>
        <v>B20_Assessment</v>
      </c>
      <c r="C1261" s="106" t="str">
        <f>"Fire"</f>
        <v>Fire</v>
      </c>
      <c r="D1261" s="142" t="str">
        <f>B21_Assessment!$A$22</f>
        <v>100A</v>
      </c>
      <c r="E1261" s="142" t="str">
        <f>B21_Assessment!$I$22</f>
        <v>Verify</v>
      </c>
      <c r="F1261" s="106" t="str">
        <f>B21_Assessment!$J$22</f>
        <v>Cover sheet states Building 21_19 receives a Telecom Enclosure and fire protection scope is excluded. Still verify firestopping of rated penetrations, 4-inch sleeve, wall/floor openings, and any life-safety device impacts.</v>
      </c>
      <c r="G1261" s="106" t="str">
        <f>"B21_Assessment!A22:J22"</f>
        <v>B21_Assessment!A22:J22</v>
      </c>
    </row>
    <row r="1262" spans="1:7" ht="97.5" customHeight="1">
      <c r="A1262" s="106" t="str">
        <f>B21_Assessment!$B$2</f>
        <v>21</v>
      </c>
      <c r="B1262" s="106" t="str">
        <f t="shared" si="108"/>
        <v>B20_Assessment</v>
      </c>
      <c r="C1262" s="106" t="str">
        <f>"Fire"</f>
        <v>Fire</v>
      </c>
      <c r="D1262" s="142" t="str">
        <f>B21_Assessment!$A$23</f>
        <v>B1.TR</v>
      </c>
      <c r="E1262" s="142" t="str">
        <f>B21_Assessment!$I$23</f>
        <v>Verify</v>
      </c>
      <c r="F1262" s="106" t="str">
        <f>B21_Assessment!$J$23</f>
        <v>Existing B21 basement TR; verify protection-in-place and firestopping after cable transfer or reuse.</v>
      </c>
      <c r="G1262" s="106" t="str">
        <f>"B21_Assessment!A23:J23"</f>
        <v>B21_Assessment!A23:J23</v>
      </c>
    </row>
    <row r="1263" spans="1:7" ht="97.5" customHeight="1">
      <c r="A1263" s="106" t="str">
        <f>B21_Assessment!$B$2</f>
        <v>21</v>
      </c>
      <c r="B1263" s="106" t="str">
        <f t="shared" si="108"/>
        <v>B20_Assessment</v>
      </c>
      <c r="C1263" s="106" t="str">
        <f>"Fire"</f>
        <v>Fire</v>
      </c>
      <c r="D1263" s="142" t="str">
        <f>B21_Assessment!$A$24</f>
        <v>B05TR</v>
      </c>
      <c r="E1263" s="142" t="str">
        <f>B21_Assessment!$I$24</f>
        <v>Verify</v>
      </c>
      <c r="F1263" s="106" t="str">
        <f>B21_Assessment!$J$24</f>
        <v>Existing B19 B05TR; verify protection-in-place and firestopping after cable transfer or reuse.</v>
      </c>
      <c r="G1263" s="106" t="str">
        <f>"B21_Assessment!A24:J24"</f>
        <v>B21_Assessment!A24:J24</v>
      </c>
    </row>
    <row r="1264" spans="1:7" ht="97.5" customHeight="1">
      <c r="A1264" s="106" t="str">
        <f>B21_Assessment!$B$2</f>
        <v>21</v>
      </c>
      <c r="B1264" s="106" t="str">
        <f t="shared" si="108"/>
        <v>B20_Assessment</v>
      </c>
      <c r="C1264" s="106" t="str">
        <f>"HVAC"</f>
        <v>HVAC</v>
      </c>
      <c r="D1264" s="142" t="str">
        <f>B21_Assessment!$A$28</f>
        <v>100A</v>
      </c>
      <c r="E1264" s="142" t="str">
        <f>B21_Assessment!$I$28</f>
        <v>Verify</v>
      </c>
      <c r="F1264" s="106" t="str">
        <f>B21_Assessment!$J$28</f>
        <v>Mechanical sheets exist in index. Verify whether new TE heat load in Office 100A is supported by existing/new HVAC and whether any mechanical scope applies despite TE designation.</v>
      </c>
      <c r="G1264" s="106" t="str">
        <f>"B21_Assessment!A28:J28"</f>
        <v>B21_Assessment!A28:J28</v>
      </c>
    </row>
    <row r="1265" spans="1:7" ht="97.5" customHeight="1">
      <c r="A1265" s="106" t="str">
        <f>B21_Assessment!$B$2</f>
        <v>21</v>
      </c>
      <c r="B1265" s="106" t="str">
        <f t="shared" si="108"/>
        <v>B20_Assessment</v>
      </c>
      <c r="C1265" s="106" t="str">
        <f>"HVAC"</f>
        <v>HVAC</v>
      </c>
      <c r="D1265" s="142" t="str">
        <f>B21_Assessment!$A$29</f>
        <v>B1.TR</v>
      </c>
      <c r="E1265" s="142" t="str">
        <f>B21_Assessment!$I$29</f>
        <v>Verify</v>
      </c>
      <c r="F1265" s="106" t="str">
        <f>B21_Assessment!$J$29</f>
        <v>Existing B21 B1.TR; verify environmental conditions during cutover and whether legacy equipment remains active.</v>
      </c>
      <c r="G1265" s="106" t="str">
        <f>"B21_Assessment!A29:J29"</f>
        <v>B21_Assessment!A29:J29</v>
      </c>
    </row>
    <row r="1266" spans="1:7" ht="97.5" customHeight="1">
      <c r="A1266" s="106" t="str">
        <f>B21_Assessment!$B$2</f>
        <v>21</v>
      </c>
      <c r="B1266" s="106" t="str">
        <f t="shared" si="108"/>
        <v>B20_Assessment</v>
      </c>
      <c r="C1266" s="106" t="str">
        <f>"HVAC"</f>
        <v>HVAC</v>
      </c>
      <c r="D1266" s="142" t="str">
        <f>B21_Assessment!$A$30</f>
        <v>B05TR</v>
      </c>
      <c r="E1266" s="142" t="str">
        <f>B21_Assessment!$I$30</f>
        <v>Verify</v>
      </c>
      <c r="F1266" s="106" t="str">
        <f>B21_Assessment!$J$30</f>
        <v>Existing B19 B05TR; verify environmental conditions and whether equipment remains active during/after Building 21 transfer.</v>
      </c>
      <c r="G1266" s="106" t="str">
        <f>"B21_Assessment!A30:J30"</f>
        <v>B21_Assessment!A30:J30</v>
      </c>
    </row>
    <row r="1267" spans="1:7" ht="97.5" customHeight="1">
      <c r="A1267" s="106" t="str">
        <f>B21_Assessment!$B$2</f>
        <v>21</v>
      </c>
      <c r="B1267" s="106" t="str">
        <f t="shared" si="108"/>
        <v>B20_Assessment</v>
      </c>
      <c r="C1267" s="106" t="str">
        <f>"Electrical"</f>
        <v>Electrical</v>
      </c>
      <c r="D1267" s="142" t="str">
        <f>B21_Assessment!$A$34</f>
        <v>100A</v>
      </c>
      <c r="E1267" s="142" t="str">
        <f>B21_Assessment!$I$34</f>
        <v>Verify</v>
      </c>
      <c r="F1267" s="106" t="str">
        <f>B21_Assessment!$J$34</f>
        <v>21_19T-604 new enclosure elevation shows APC UPS, two PDU L5-30 input / NEMA 5-20 output units, 120V outlet UPS, 120V outlet PDU, network switches, 48-port Cat6A patch panel and Fiber LIU. Verify circuit source, receptacle type, grounding/bonding and labels.</v>
      </c>
      <c r="G1267" s="106" t="str">
        <f>"B21_Assessment!A34:J34"</f>
        <v>B21_Assessment!A34:J34</v>
      </c>
    </row>
    <row r="1268" spans="1:7" ht="97.5" customHeight="1">
      <c r="A1268" s="106" t="str">
        <f>B21_Assessment!$B$2</f>
        <v>21</v>
      </c>
      <c r="B1268" s="106" t="str">
        <f t="shared" si="108"/>
        <v>B20_Assessment</v>
      </c>
      <c r="C1268" s="106" t="str">
        <f>"Electrical"</f>
        <v>Electrical</v>
      </c>
      <c r="D1268" s="142" t="str">
        <f>B21_Assessment!$A$35</f>
        <v>B1.TR</v>
      </c>
      <c r="E1268" s="142" t="str">
        <f>B21_Assessment!$I$35</f>
        <v>Verify</v>
      </c>
      <c r="F1268" s="106" t="str">
        <f>B21_Assessment!$J$35</f>
        <v>Existing B21 B1.TR elevation shows UPS on ground, Cisco switch, legacy patch panels and Fiber LIU; verify source circuits, UPS status, and transition requirements.</v>
      </c>
      <c r="G1268" s="106" t="str">
        <f>"B21_Assessment!A35:J35"</f>
        <v>B21_Assessment!A35:J35</v>
      </c>
    </row>
    <row r="1269" spans="1:7" ht="97.5" customHeight="1">
      <c r="A1269" s="106" t="str">
        <f>B21_Assessment!$B$2</f>
        <v>21</v>
      </c>
      <c r="B1269" s="106" t="str">
        <f t="shared" si="108"/>
        <v>B20_Assessment</v>
      </c>
      <c r="C1269" s="106" t="str">
        <f>"Electrical"</f>
        <v>Electrical</v>
      </c>
      <c r="D1269" s="142" t="str">
        <f>B21_Assessment!$A$36</f>
        <v>B05TR</v>
      </c>
      <c r="E1269" s="142" t="str">
        <f>B21_Assessment!$I$36</f>
        <v>Verify</v>
      </c>
      <c r="F1269" s="106" t="str">
        <f>B21_Assessment!$J$36</f>
        <v>Existing B19 B05TR elevations show APC floor UPS, legacy patch panels, Cisco switch and Fiber LIU; verify power source, active equipment and transfer/retention requirements.</v>
      </c>
      <c r="G1269" s="106" t="str">
        <f>"B21_Assessment!A36:J36"</f>
        <v>B21_Assessment!A36:J36</v>
      </c>
    </row>
    <row r="1270" spans="1:7" ht="97.5" customHeight="1">
      <c r="A1270" s="106" t="str">
        <f>B21_Assessment!$B$2</f>
        <v>21</v>
      </c>
      <c r="B1270" s="106" t="str">
        <f t="shared" si="108"/>
        <v>B20_Assessment</v>
      </c>
      <c r="C1270" s="106" t="str">
        <f>"Telecom"</f>
        <v>Telecom</v>
      </c>
      <c r="D1270" s="142" t="str">
        <f>B21_Assessment!$A$40</f>
        <v>100A</v>
      </c>
      <c r="E1270" s="142" t="str">
        <f>B21_Assessment!$I$40</f>
        <v>Verify</v>
      </c>
      <c r="F1270" s="106" t="str">
        <f>B21_Assessment!$J$40</f>
        <v>21_19T-701 identifies RM 104 schedule: 90 WAO total, 67 active ports per survey, 119 ports per schedule, and 131 total ports with 10% allowance. 659 ft cable tray total: 63 ft basement and 596 ft first level.</v>
      </c>
      <c r="G1270" s="106" t="str">
        <f>"B21_Assessment!A40:J40"</f>
        <v>B21_Assessment!A40:J40</v>
      </c>
    </row>
    <row r="1271" spans="1:7" ht="97.5" customHeight="1">
      <c r="A1271" s="106" t="str">
        <f>B21_Assessment!$B$2</f>
        <v>21</v>
      </c>
      <c r="B1271" s="106" t="str">
        <f t="shared" si="108"/>
        <v>B20_Assessment</v>
      </c>
      <c r="C1271" s="106" t="str">
        <f>"Telecom"</f>
        <v>Telecom</v>
      </c>
      <c r="D1271" s="142" t="str">
        <f>B21_Assessment!$A$41</f>
        <v>B1.TR</v>
      </c>
      <c r="E1271" s="142" t="str">
        <f>B21_Assessment!$I$41</f>
        <v>Verify</v>
      </c>
      <c r="F1271" s="106" t="str">
        <f>B21_Assessment!$J$41</f>
        <v>Existing B21 B1.TR equipment includes multiple legacy patch panels, Cisco switch, UPS on ground, Fiber LIU and APC floor UPS; verify active services and transfer plan to new TE.</v>
      </c>
      <c r="G1271" s="106" t="str">
        <f>"B21_Assessment!A41:J41"</f>
        <v>B21_Assessment!A41:J41</v>
      </c>
    </row>
    <row r="1272" spans="1:7" ht="97.5" customHeight="1">
      <c r="A1272" s="106" t="str">
        <f>B21_Assessment!$B$2</f>
        <v>21</v>
      </c>
      <c r="B1272" s="106" t="str">
        <f t="shared" si="108"/>
        <v>B20_Assessment</v>
      </c>
      <c r="C1272" s="106" t="str">
        <f>"Telecom"</f>
        <v>Telecom</v>
      </c>
      <c r="D1272" s="142" t="str">
        <f>B21_Assessment!$A$42</f>
        <v>B05TR</v>
      </c>
      <c r="E1272" s="142" t="str">
        <f>B21_Assessment!$I$42</f>
        <v>Verify</v>
      </c>
      <c r="F1272" s="106" t="str">
        <f>B21_Assessment!$J$42</f>
        <v>Existing B19 B05TR equipment includes legacy Ortronics patch panels, Cisco switch, Fiber LIU and APC floor UPS; verify active services and whether B19/B21 devices are served from new enclosure.</v>
      </c>
      <c r="G1272" s="106" t="str">
        <f>"B21_Assessment!A42:J42"</f>
        <v>B21_Assessment!A42:J42</v>
      </c>
    </row>
    <row r="1273" spans="1:7" ht="97.5" customHeight="1">
      <c r="A1273" s="106" t="str">
        <f>B21_Assessment!$B$2</f>
        <v>21</v>
      </c>
      <c r="B1273" s="106" t="str">
        <f t="shared" ref="B1273:B1282" si="109">"B21_Assessment"</f>
        <v>B21_Assessment</v>
      </c>
      <c r="C1273" s="106" t="str">
        <f>"Security"</f>
        <v>Security</v>
      </c>
      <c r="D1273" s="142" t="str">
        <f>B21_Assessment!$A$46</f>
        <v>100A</v>
      </c>
      <c r="E1273" s="142" t="str">
        <f>B21_Assessment!$I$46</f>
        <v>Verify</v>
      </c>
      <c r="F1273" s="106" t="str">
        <f>B21_Assessment!$J$46</f>
        <v>Building 21_19 appears to create a TE enclosure rather than a full TR door/PACS package. Verify any existing cameras/security devices in Room 100A and ensure no camera angle or VMS integration is disrupted.</v>
      </c>
      <c r="G1273" s="106" t="str">
        <f>"B21_Assessment!A46:J46"</f>
        <v>B21_Assessment!A46:J46</v>
      </c>
    </row>
    <row r="1274" spans="1:7" ht="97.5" customHeight="1">
      <c r="A1274" s="106" t="str">
        <f>B21_Assessment!$B$2</f>
        <v>21</v>
      </c>
      <c r="B1274" s="106" t="str">
        <f t="shared" si="109"/>
        <v>B21_Assessment</v>
      </c>
      <c r="C1274" s="106" t="str">
        <f>"Security"</f>
        <v>Security</v>
      </c>
      <c r="D1274" s="142" t="str">
        <f>B21_Assessment!$A$47</f>
        <v>B1.TR</v>
      </c>
      <c r="E1274" s="142" t="str">
        <f>B21_Assessment!$I$47</f>
        <v>Verify</v>
      </c>
      <c r="F1274" s="106" t="str">
        <f>B21_Assessment!$J$47</f>
        <v>Verify any existing security device/cabinet impacts during cutover.</v>
      </c>
      <c r="G1274" s="106" t="str">
        <f>"B21_Assessment!A47:J47"</f>
        <v>B21_Assessment!A47:J47</v>
      </c>
    </row>
    <row r="1275" spans="1:7" ht="97.5" customHeight="1">
      <c r="A1275" s="106" t="str">
        <f>B21_Assessment!$B$2</f>
        <v>21</v>
      </c>
      <c r="B1275" s="106" t="str">
        <f t="shared" si="109"/>
        <v>B21_Assessment</v>
      </c>
      <c r="C1275" s="106" t="str">
        <f>"Security"</f>
        <v>Security</v>
      </c>
      <c r="D1275" s="142" t="str">
        <f>B21_Assessment!$A$48</f>
        <v>B05TR</v>
      </c>
      <c r="E1275" s="142" t="str">
        <f>B21_Assessment!$I$48</f>
        <v>Verify</v>
      </c>
      <c r="F1275" s="106" t="str">
        <f>B21_Assessment!$J$48</f>
        <v>Verify existing security/camera protection-in-place and any impact from B19/B21 shared telecom equipment.</v>
      </c>
      <c r="G1275" s="106" t="str">
        <f>"B21_Assessment!A48:J48"</f>
        <v>B21_Assessment!A48:J48</v>
      </c>
    </row>
    <row r="1276" spans="1:7" ht="97.5" customHeight="1">
      <c r="A1276" s="106" t="str">
        <f>B22_Assessment!$B$2</f>
        <v>22</v>
      </c>
      <c r="B1276" s="106" t="str">
        <f t="shared" si="109"/>
        <v>B21_Assessment</v>
      </c>
      <c r="C1276" s="106" t="str">
        <f>"Fire"</f>
        <v>Fire</v>
      </c>
      <c r="D1276" s="142" t="str">
        <f>B22_Assessment!$A$20</f>
        <v>102</v>
      </c>
      <c r="E1276" s="142" t="str">
        <f>B22_Assessment!$I$20</f>
        <v>Verify</v>
      </c>
      <c r="F1276" s="106" t="str">
        <f>B22_Assessment!$J$20</f>
        <v>Cover sheet states Building 22 receives a Telecom Enclosure and mechanical/fire protection scope is excluded. Still verify firestopping of rated penetrations, 4-inch sleeve, wall/floor openings, and life-safety device impacts.</v>
      </c>
      <c r="G1276" s="106" t="str">
        <f>"B22_Assessment!A20:J20"</f>
        <v>B22_Assessment!A20:J20</v>
      </c>
    </row>
    <row r="1277" spans="1:7" ht="97.5" customHeight="1">
      <c r="A1277" s="106" t="str">
        <f>B22_Assessment!$B$2</f>
        <v>22</v>
      </c>
      <c r="B1277" s="106" t="str">
        <f t="shared" si="109"/>
        <v>B21_Assessment</v>
      </c>
      <c r="C1277" s="106" t="str">
        <f>"Fire"</f>
        <v>Fire</v>
      </c>
      <c r="D1277" s="142" t="str">
        <f>B22_Assessment!$A$21</f>
        <v>103</v>
      </c>
      <c r="E1277" s="142" t="str">
        <f>B22_Assessment!$I$21</f>
        <v>Verify</v>
      </c>
      <c r="F1277" s="106" t="str">
        <f>B22_Assessment!$J$21</f>
        <v>Existing TE room; verify protection-in-place and firestopping after cable transfer or reuse.</v>
      </c>
      <c r="G1277" s="106" t="str">
        <f>"B22_Assessment!A21:J21"</f>
        <v>B22_Assessment!A21:J21</v>
      </c>
    </row>
    <row r="1278" spans="1:7" ht="97.5" customHeight="1">
      <c r="A1278" s="106" t="str">
        <f>B22_Assessment!$B$2</f>
        <v>22</v>
      </c>
      <c r="B1278" s="106" t="str">
        <f t="shared" si="109"/>
        <v>B21_Assessment</v>
      </c>
      <c r="C1278" s="106" t="str">
        <f>"HVAC"</f>
        <v>HVAC</v>
      </c>
      <c r="D1278" s="142" t="str">
        <f>B22_Assessment!$A$25</f>
        <v>102</v>
      </c>
      <c r="E1278" s="142" t="str">
        <f>B22_Assessment!$I$25</f>
        <v>N/A</v>
      </c>
      <c r="F1278" s="106" t="str">
        <f>B22_Assessment!$J$25</f>
        <v>Cover sheet states mechanical scope is excluded. Verify whether Break Room 102 ambient conditions are acceptable for wall-mount TE/UPS/PDU/network equipment.</v>
      </c>
      <c r="G1278" s="106" t="str">
        <f>"B22_Assessment!A25:J25"</f>
        <v>B22_Assessment!A25:J25</v>
      </c>
    </row>
    <row r="1279" spans="1:7" ht="97.5" customHeight="1">
      <c r="A1279" s="106" t="str">
        <f>B22_Assessment!$B$2</f>
        <v>22</v>
      </c>
      <c r="B1279" s="106" t="str">
        <f t="shared" si="109"/>
        <v>B21_Assessment</v>
      </c>
      <c r="C1279" s="106" t="str">
        <f>"HVAC"</f>
        <v>HVAC</v>
      </c>
      <c r="D1279" s="142" t="str">
        <f>B22_Assessment!$A$26</f>
        <v>103</v>
      </c>
      <c r="E1279" s="142" t="str">
        <f>B22_Assessment!$I$26</f>
        <v>Verify</v>
      </c>
      <c r="F1279" s="106" t="str">
        <f>B22_Assessment!$J$26</f>
        <v>Existing Room 103 equipment area; verify existing environmental conditions during cutover and whether legacy equipment remains active.</v>
      </c>
      <c r="G1279" s="106" t="str">
        <f>"B22_Assessment!A26:J26"</f>
        <v>B22_Assessment!A26:J26</v>
      </c>
    </row>
    <row r="1280" spans="1:7" ht="97.5" customHeight="1">
      <c r="A1280" s="106" t="str">
        <f>B22_Assessment!$B$2</f>
        <v>22</v>
      </c>
      <c r="B1280" s="106" t="str">
        <f t="shared" si="109"/>
        <v>B21_Assessment</v>
      </c>
      <c r="C1280" s="106" t="str">
        <f>"Electrical"</f>
        <v>Electrical</v>
      </c>
      <c r="D1280" s="142" t="str">
        <f>B22_Assessment!$A$30</f>
        <v>102</v>
      </c>
      <c r="E1280" s="142" t="str">
        <f>B22_Assessment!$I$30</f>
        <v>Verify</v>
      </c>
      <c r="F1280" s="106" t="str">
        <f>B22_Assessment!$J$30</f>
        <v>22T-701 new enclosure elevation shows APC UPS, two PDU L5-30 input / NEMA 5-20 output units, 120V outlet UPS, 120V outlet PDU, network switch, 48-port Cat6A patch panel and Fiber LIU. Verify circuit source, receptacle type, grounding/bonding and labels.</v>
      </c>
      <c r="G1280" s="106" t="str">
        <f>"B22_Assessment!A30:J30"</f>
        <v>B22_Assessment!A30:J30</v>
      </c>
    </row>
    <row r="1281" spans="1:7" ht="97.5" customHeight="1">
      <c r="A1281" s="106" t="str">
        <f>B22_Assessment!$B$2</f>
        <v>22</v>
      </c>
      <c r="B1281" s="106" t="str">
        <f t="shared" si="109"/>
        <v>B21_Assessment</v>
      </c>
      <c r="C1281" s="106" t="str">
        <f>"Electrical"</f>
        <v>Electrical</v>
      </c>
      <c r="D1281" s="142" t="str">
        <f>B22_Assessment!$A$31</f>
        <v>103</v>
      </c>
      <c r="E1281" s="142" t="str">
        <f>B22_Assessment!$I$31</f>
        <v>Verify</v>
      </c>
      <c r="F1281" s="106" t="str">
        <f>B22_Assessment!$J$31</f>
        <v>Existing 103 elevation shows APC UPS, Cisco switch, SERTEX utility service, legacy patch equipment and Fiber LIU on wall; verify source circuits, UPS status, and transition requirements before disconnect/removal.</v>
      </c>
      <c r="G1281" s="106" t="str">
        <f>"B22_Assessment!A31:J31"</f>
        <v>B22_Assessment!A31:J31</v>
      </c>
    </row>
    <row r="1282" spans="1:7" ht="97.5" customHeight="1">
      <c r="A1282" s="106" t="str">
        <f>B22_Assessment!$B$2</f>
        <v>22</v>
      </c>
      <c r="B1282" s="106" t="str">
        <f t="shared" si="109"/>
        <v>B21_Assessment</v>
      </c>
      <c r="C1282" s="106" t="str">
        <f>"Telecom"</f>
        <v>Telecom</v>
      </c>
      <c r="D1282" s="142" t="str">
        <f>B22_Assessment!$A$35</f>
        <v>102</v>
      </c>
      <c r="E1282" s="142" t="str">
        <f>B22_Assessment!$I$35</f>
        <v>Verify</v>
      </c>
      <c r="F1282" s="106" t="str">
        <f>B22_Assessment!$J$35</f>
        <v>22T-701 identifies TR01-102-1: 6 WAO total, 96 WAO available, 93% expansion capacity, 7 total port quantities, and 8 total ports with 10% allowance. Provide new wall-mount 12RU TE cabinet and 10 new Cat6A cross-connect cables from existing TE to new TE location.</v>
      </c>
      <c r="G1282" s="106" t="str">
        <f>"B22_Assessment!A35:J35"</f>
        <v>B22_Assessment!A35:J35</v>
      </c>
    </row>
    <row r="1283" spans="1:7" ht="97.5" customHeight="1">
      <c r="A1283" s="106" t="str">
        <f>B22_Assessment!$B$2</f>
        <v>22</v>
      </c>
      <c r="B1283" s="106" t="str">
        <f t="shared" ref="B1283:B1292" si="110">"B22_Assessment"</f>
        <v>B22_Assessment</v>
      </c>
      <c r="C1283" s="106" t="str">
        <f>"Telecom"</f>
        <v>Telecom</v>
      </c>
      <c r="D1283" s="142" t="str">
        <f>B22_Assessment!$A$36</f>
        <v>103</v>
      </c>
      <c r="E1283" s="142" t="str">
        <f>B22_Assessment!$I$36</f>
        <v>Verify</v>
      </c>
      <c r="F1283" s="106" t="str">
        <f>B22_Assessment!$J$36</f>
        <v>Existing Room 103 contains APC UPS, Cisco switch, SERTEX utility service, legacy Ortronics 24-port patch panel, Fiber LIU on wall and ports 1-24 to Bldg 19 ports 73-96. Field verify all active services and B19 handoff.</v>
      </c>
      <c r="G1283" s="106" t="str">
        <f>"B22_Assessment!A36:J36"</f>
        <v>B22_Assessment!A36:J36</v>
      </c>
    </row>
    <row r="1284" spans="1:7" ht="97.5" customHeight="1">
      <c r="A1284" s="106" t="str">
        <f>B22_Assessment!$B$2</f>
        <v>22</v>
      </c>
      <c r="B1284" s="106" t="str">
        <f t="shared" si="110"/>
        <v>B22_Assessment</v>
      </c>
      <c r="C1284" s="106" t="str">
        <f>"Security"</f>
        <v>Security</v>
      </c>
      <c r="D1284" s="142" t="str">
        <f>B22_Assessment!$A$40</f>
        <v>102</v>
      </c>
      <c r="E1284" s="142" t="str">
        <f>B22_Assessment!$I$40</f>
        <v>Verify</v>
      </c>
      <c r="F1284" s="106" t="str">
        <f>B22_Assessment!$J$40</f>
        <v>Building 22 does not appear to create a new full TR door/PACS package. Verify any existing cameras/security devices in Break Room 102 and ensure no camera angle or VMS integration is disrupted.</v>
      </c>
      <c r="G1284" s="106" t="str">
        <f>"B22_Assessment!A40:J40"</f>
        <v>B22_Assessment!A40:J40</v>
      </c>
    </row>
    <row r="1285" spans="1:7" ht="97.5" customHeight="1">
      <c r="A1285" s="106" t="str">
        <f>B22_Assessment!$B$2</f>
        <v>22</v>
      </c>
      <c r="B1285" s="106" t="str">
        <f t="shared" si="110"/>
        <v>B22_Assessment</v>
      </c>
      <c r="C1285" s="106" t="str">
        <f>"Security"</f>
        <v>Security</v>
      </c>
      <c r="D1285" s="142" t="str">
        <f>B22_Assessment!$A$41</f>
        <v>103</v>
      </c>
      <c r="E1285" s="142" t="str">
        <f>B22_Assessment!$I$41</f>
        <v>Verify</v>
      </c>
      <c r="F1285" s="106" t="str">
        <f>B22_Assessment!$J$41</f>
        <v>Verify security/access conditions and whether any legacy security equipment is present at existing TE location.</v>
      </c>
      <c r="G1285" s="106" t="str">
        <f>"B22_Assessment!A41:J41"</f>
        <v>B22_Assessment!A41:J41</v>
      </c>
    </row>
    <row r="1286" spans="1:7" ht="97.5" customHeight="1">
      <c r="A1286" s="106" t="str">
        <f>B33_Assessment!$B$2</f>
        <v>33</v>
      </c>
      <c r="B1286" s="106" t="str">
        <f t="shared" si="110"/>
        <v>B22_Assessment</v>
      </c>
      <c r="C1286" s="106" t="str">
        <f>"Fire"</f>
        <v>Fire</v>
      </c>
      <c r="D1286" s="142" t="str">
        <f>B33_Assessment!$A$20</f>
        <v>B23</v>
      </c>
      <c r="E1286" s="142" t="str">
        <f>B33_Assessment!$I$20</f>
        <v>Verify</v>
      </c>
      <c r="F1286" s="106" t="str">
        <f>B33_Assessment!$J$20</f>
        <v>Cover sheet states Building 33 receives a Telecom Enclosure and mechanical/fire protection scope is excluded. Still verify firestopping of rated penetrations, 4-inch sleeve, wall/floor openings, and life-safety device impacts.</v>
      </c>
      <c r="G1286" s="106" t="str">
        <f>"B33_Assessment!A20:J20"</f>
        <v>B33_Assessment!A20:J20</v>
      </c>
    </row>
    <row r="1287" spans="1:7" ht="97.5" customHeight="1">
      <c r="A1287" s="106" t="str">
        <f>B33_Assessment!$B$2</f>
        <v>33</v>
      </c>
      <c r="B1287" s="106" t="str">
        <f t="shared" si="110"/>
        <v>B22_Assessment</v>
      </c>
      <c r="C1287" s="106" t="str">
        <f>"Fire"</f>
        <v>Fire</v>
      </c>
      <c r="D1287" s="142" t="str">
        <f>B33_Assessment!$A$21</f>
        <v>B17</v>
      </c>
      <c r="E1287" s="142" t="str">
        <f>B33_Assessment!$I$21</f>
        <v>Verify</v>
      </c>
      <c r="F1287" s="106" t="str">
        <f>B33_Assessment!$J$21</f>
        <v>Existing Tel Closet; verify protection-in-place and firestopping after cable transfer or reuse.</v>
      </c>
      <c r="G1287" s="106" t="str">
        <f>"B33_Assessment!A21:J21"</f>
        <v>B33_Assessment!A21:J21</v>
      </c>
    </row>
    <row r="1288" spans="1:7" ht="97.5" customHeight="1">
      <c r="A1288" s="106" t="str">
        <f>B33_Assessment!$B$2</f>
        <v>33</v>
      </c>
      <c r="B1288" s="106" t="str">
        <f t="shared" si="110"/>
        <v>B22_Assessment</v>
      </c>
      <c r="C1288" s="106" t="str">
        <f>"HVAC"</f>
        <v>HVAC</v>
      </c>
      <c r="D1288" s="142" t="str">
        <f>B33_Assessment!$A$25</f>
        <v>B23</v>
      </c>
      <c r="E1288" s="142" t="str">
        <f>B33_Assessment!$I$25</f>
        <v>N/A</v>
      </c>
      <c r="F1288" s="106" t="str">
        <f>B33_Assessment!$J$25</f>
        <v>Cover sheet states mechanical scope is excluded. Verify whether Office B23 ambient conditions are acceptable for wall-mount TE/UPS/PDU/network equipment.</v>
      </c>
      <c r="G1288" s="106" t="str">
        <f>"B33_Assessment!A25:J25"</f>
        <v>B33_Assessment!A25:J25</v>
      </c>
    </row>
    <row r="1289" spans="1:7" ht="97.5" customHeight="1">
      <c r="A1289" s="106" t="str">
        <f>B33_Assessment!$B$2</f>
        <v>33</v>
      </c>
      <c r="B1289" s="106" t="str">
        <f t="shared" si="110"/>
        <v>B22_Assessment</v>
      </c>
      <c r="C1289" s="106" t="str">
        <f>"HVAC"</f>
        <v>HVAC</v>
      </c>
      <c r="D1289" s="142" t="str">
        <f>B33_Assessment!$A$26</f>
        <v>B17</v>
      </c>
      <c r="E1289" s="142" t="str">
        <f>B33_Assessment!$I$26</f>
        <v>Verify</v>
      </c>
      <c r="F1289" s="106" t="str">
        <f>B33_Assessment!$J$26</f>
        <v>Existing B17 enlarged plan identifies an existing indoor AC unit. Verify operation during cutover and determine whether active legacy equipment remains after transfer to B23.</v>
      </c>
      <c r="G1289" s="106" t="str">
        <f>"B33_Assessment!A26:J26"</f>
        <v>B33_Assessment!A26:J26</v>
      </c>
    </row>
    <row r="1290" spans="1:7" ht="97.5" customHeight="1">
      <c r="A1290" s="106" t="str">
        <f>B33_Assessment!$B$2</f>
        <v>33</v>
      </c>
      <c r="B1290" s="106" t="str">
        <f t="shared" si="110"/>
        <v>B22_Assessment</v>
      </c>
      <c r="C1290" s="106" t="str">
        <f>"Electrical"</f>
        <v>Electrical</v>
      </c>
      <c r="D1290" s="142" t="str">
        <f>B33_Assessment!$A$30</f>
        <v>B23</v>
      </c>
      <c r="E1290" s="142" t="str">
        <f>B33_Assessment!$I$30</f>
        <v>Verify</v>
      </c>
      <c r="F1290" s="106" t="str">
        <f>B33_Assessment!$J$30</f>
        <v>33T-604 new enclosure elevation shows APC UPS, two PDU L5-30 input / NEMA 5-20 output units, 120V outlet UPS, 120V outlet PDU, network switch, 48-port Cat6A patch panel and Fiber LIU. Verify circuit source, receptacle type, grounding/bonding and labels.</v>
      </c>
      <c r="G1290" s="106" t="str">
        <f>"B33_Assessment!A30:J30"</f>
        <v>B33_Assessment!A30:J30</v>
      </c>
    </row>
    <row r="1291" spans="1:7" ht="97.5" customHeight="1">
      <c r="A1291" s="106" t="str">
        <f>B33_Assessment!$B$2</f>
        <v>33</v>
      </c>
      <c r="B1291" s="106" t="str">
        <f t="shared" si="110"/>
        <v>B22_Assessment</v>
      </c>
      <c r="C1291" s="106" t="str">
        <f>"Electrical"</f>
        <v>Electrical</v>
      </c>
      <c r="D1291" s="142" t="str">
        <f>B33_Assessment!$A$31</f>
        <v>B17</v>
      </c>
      <c r="E1291" s="142" t="str">
        <f>B33_Assessment!$I$31</f>
        <v>Verify</v>
      </c>
      <c r="F1291" s="106" t="str">
        <f>B33_Assessment!$J$31</f>
        <v>Existing B17 elevations show UPS on floor, Cisco switches, SERTEX utility service, legacy patch panels and Fiber LIU; verify source circuits, UPS status, and transition requirements before disconnect/removal.</v>
      </c>
      <c r="G1291" s="106" t="str">
        <f>"B33_Assessment!A31:J31"</f>
        <v>B33_Assessment!A31:J31</v>
      </c>
    </row>
    <row r="1292" spans="1:7" ht="97.5" customHeight="1">
      <c r="A1292" s="106" t="str">
        <f>B33_Assessment!$B$2</f>
        <v>33</v>
      </c>
      <c r="B1292" s="106" t="str">
        <f t="shared" si="110"/>
        <v>B22_Assessment</v>
      </c>
      <c r="C1292" s="106" t="str">
        <f>"Telecom"</f>
        <v>Telecom</v>
      </c>
      <c r="D1292" s="142" t="str">
        <f>B33_Assessment!$A$35</f>
        <v>B23</v>
      </c>
      <c r="E1292" s="142" t="str">
        <f>B33_Assessment!$I$35</f>
        <v>Verify</v>
      </c>
      <c r="F1292" s="106" t="str">
        <f>B33_Assessment!$J$35</f>
        <v>33T-701 identifies TE01-B23-1: 55 WAO total, 34 active ports per survey, 88 total ports per schedule, and 97 total ports with 10% allowance. Basement cable tray schedule totals 102 ft. Provide 10 new Cat6A cross-connect cables from existing TE to new TE location.</v>
      </c>
      <c r="G1292" s="106" t="str">
        <f>"B33_Assessment!A35:J35"</f>
        <v>B33_Assessment!A35:J35</v>
      </c>
    </row>
    <row r="1293" spans="1:7" ht="97.5" customHeight="1">
      <c r="A1293" s="106" t="str">
        <f>B33_Assessment!$B$2</f>
        <v>33</v>
      </c>
      <c r="B1293" s="106" t="str">
        <f t="shared" ref="B1293:B1312" si="111">"B33_Assessment"</f>
        <v>B33_Assessment</v>
      </c>
      <c r="C1293" s="106" t="str">
        <f>"Telecom"</f>
        <v>Telecom</v>
      </c>
      <c r="D1293" s="142" t="str">
        <f>B33_Assessment!$A$36</f>
        <v>B17</v>
      </c>
      <c r="E1293" s="142" t="str">
        <f>B33_Assessment!$I$36</f>
        <v>Verify</v>
      </c>
      <c r="F1293" s="106" t="str">
        <f>B33_Assessment!$J$36</f>
        <v>Existing B17 rack elevations include Cisco switches, legacy 24/48-port patch panels, SERTEX utility service, legacy Fiber LIU, passive Fiber LIU/wall mount, UPS on floor and cross-building port references to Bldgs 3, 80 and 82.</v>
      </c>
      <c r="G1293" s="106" t="str">
        <f>"B33_Assessment!A36:J36"</f>
        <v>B33_Assessment!A36:J36</v>
      </c>
    </row>
    <row r="1294" spans="1:7" ht="97.5" customHeight="1">
      <c r="A1294" s="106" t="str">
        <f>B33_Assessment!$B$2</f>
        <v>33</v>
      </c>
      <c r="B1294" s="106" t="str">
        <f t="shared" si="111"/>
        <v>B33_Assessment</v>
      </c>
      <c r="C1294" s="106" t="str">
        <f>"Security"</f>
        <v>Security</v>
      </c>
      <c r="D1294" s="142" t="str">
        <f>B33_Assessment!$A$40</f>
        <v>B23</v>
      </c>
      <c r="E1294" s="142" t="str">
        <f>B33_Assessment!$I$40</f>
        <v>Verify</v>
      </c>
      <c r="F1294" s="106" t="str">
        <f>B33_Assessment!$J$40</f>
        <v>Building 33 does not appear to create a new full TR door/PACS package. Verify existing cameras/security devices in B23 and ensure no camera angle or VMS integration is disrupted.</v>
      </c>
      <c r="G1294" s="106" t="str">
        <f>"B33_Assessment!A40:J40"</f>
        <v>B33_Assessment!A40:J40</v>
      </c>
    </row>
    <row r="1295" spans="1:7" ht="97.5" customHeight="1">
      <c r="A1295" s="106" t="str">
        <f>B33_Assessment!$B$2</f>
        <v>33</v>
      </c>
      <c r="B1295" s="106" t="str">
        <f t="shared" si="111"/>
        <v>B33_Assessment</v>
      </c>
      <c r="C1295" s="106" t="str">
        <f>"Security"</f>
        <v>Security</v>
      </c>
      <c r="D1295" s="142" t="str">
        <f>B33_Assessment!$A$41</f>
        <v>B17</v>
      </c>
      <c r="E1295" s="142" t="str">
        <f>B33_Assessment!$I$41</f>
        <v>Verify</v>
      </c>
      <c r="F1295" s="106" t="str">
        <f>B33_Assessment!$J$41</f>
        <v>Existing B17 enlarged plan identifies network door controller, keypad and equipment box; verify protection-in-place and whether any security equipment is relocated or recabled.</v>
      </c>
      <c r="G1295" s="106" t="str">
        <f>"B33_Assessment!A41:J41"</f>
        <v>B33_Assessment!A41:J41</v>
      </c>
    </row>
    <row r="1296" spans="1:7" ht="97.5" customHeight="1">
      <c r="A1296" s="106" t="str">
        <f>B61_Assessment!$B$2</f>
        <v>61</v>
      </c>
      <c r="B1296" s="106" t="str">
        <f t="shared" si="111"/>
        <v>B33_Assessment</v>
      </c>
      <c r="C1296" s="106" t="str">
        <f>"Fire"</f>
        <v>Fire</v>
      </c>
      <c r="D1296" s="142" t="str">
        <f>B61_Assessment!$A$24</f>
        <v>B13H-A</v>
      </c>
      <c r="E1296" s="142" t="str">
        <f>B61_Assessment!$I$24</f>
        <v>Verify</v>
      </c>
      <c r="F1296" s="106" t="str">
        <f>B61_Assessment!$J$24</f>
        <v>Dedicated TR scope includes fire protection drawings. Verify sprinkler modifications, fire alarm devices, clean-agent 2A:10B:C FEC within 75 ft, rated penetrations, and temporary firestopping.</v>
      </c>
      <c r="G1296" s="106" t="str">
        <f>"B61_Assessment!A24:J24"</f>
        <v>B61_Assessment!A24:J24</v>
      </c>
    </row>
    <row r="1297" spans="1:7" ht="97.5" customHeight="1">
      <c r="A1297" s="106" t="str">
        <f>B61_Assessment!$B$2</f>
        <v>61</v>
      </c>
      <c r="B1297" s="106" t="str">
        <f t="shared" si="111"/>
        <v>B33_Assessment</v>
      </c>
      <c r="C1297" s="106" t="str">
        <f>"Fire"</f>
        <v>Fire</v>
      </c>
      <c r="D1297" s="142" t="str">
        <f>B61_Assessment!$A$25</f>
        <v>124</v>
      </c>
      <c r="E1297" s="142" t="str">
        <f>B61_Assessment!$I$25</f>
        <v>Verify</v>
      </c>
      <c r="F1297" s="106" t="str">
        <f>B61_Assessment!$J$25</f>
        <v>Verify sprinkler/fire alarm modifications, clean-agent FEC location, penetrations, cable tray/riser openings, and final UL firestop systems.</v>
      </c>
      <c r="G1297" s="106" t="str">
        <f>"B61_Assessment!A25:J25"</f>
        <v>B61_Assessment!A25:J25</v>
      </c>
    </row>
    <row r="1298" spans="1:7" ht="97.5" customHeight="1">
      <c r="A1298" s="106" t="str">
        <f>B61_Assessment!$B$2</f>
        <v>61</v>
      </c>
      <c r="B1298" s="106" t="str">
        <f t="shared" si="111"/>
        <v>B33_Assessment</v>
      </c>
      <c r="C1298" s="106" t="str">
        <f>"Fire"</f>
        <v>Fire</v>
      </c>
      <c r="D1298" s="142" t="str">
        <f>B61_Assessment!$A$26</f>
        <v>226</v>
      </c>
      <c r="E1298" s="142" t="str">
        <f>B61_Assessment!$I$26</f>
        <v>Verify</v>
      </c>
      <c r="F1298" s="106" t="str">
        <f>B61_Assessment!$J$26</f>
        <v>Verify second-level TR sprinkler/fire alarm modifications, clean-agent FEC location, vertical riser penetrations, and firestopping.</v>
      </c>
      <c r="G1298" s="106" t="str">
        <f>"B61_Assessment!A26:J26"</f>
        <v>B61_Assessment!A26:J26</v>
      </c>
    </row>
    <row r="1299" spans="1:7" ht="97.5" customHeight="1">
      <c r="A1299" s="106" t="str">
        <f>B61_Assessment!$B$2</f>
        <v>61</v>
      </c>
      <c r="B1299" s="106" t="str">
        <f t="shared" si="111"/>
        <v>B33_Assessment</v>
      </c>
      <c r="C1299" s="106" t="str">
        <f>"Fire"</f>
        <v>Fire</v>
      </c>
      <c r="D1299" s="142" t="str">
        <f>B61_Assessment!$A$27</f>
        <v>137 / 137A</v>
      </c>
      <c r="E1299" s="142" t="str">
        <f>B61_Assessment!$I$27</f>
        <v>Verify</v>
      </c>
      <c r="F1299" s="106" t="str">
        <f>B61_Assessment!$J$27</f>
        <v>Existing demarc/server rooms may remain active; verify protection-in-place, FA/FP continuity, and no unsealed penetrations after cabling work.</v>
      </c>
      <c r="G1299" s="106" t="str">
        <f>"B61_Assessment!A27:J27"</f>
        <v>B61_Assessment!A27:J27</v>
      </c>
    </row>
    <row r="1300" spans="1:7" ht="97.5" customHeight="1">
      <c r="A1300" s="106" t="str">
        <f>B61_Assessment!$B$2</f>
        <v>61</v>
      </c>
      <c r="B1300" s="106" t="str">
        <f t="shared" si="111"/>
        <v>B33_Assessment</v>
      </c>
      <c r="C1300" s="106" t="str">
        <f>"HVAC"</f>
        <v>HVAC</v>
      </c>
      <c r="D1300" s="142" t="str">
        <f>B61_Assessment!$A$31</f>
        <v>B13H-A</v>
      </c>
      <c r="E1300" s="142" t="str">
        <f>B61_Assessment!$I$31</f>
        <v>Verify</v>
      </c>
      <c r="F1300" s="106" t="str">
        <f>B61_Assessment!$J$31</f>
        <v>Mechanical sheets identify dedicated split-system cooling with BACnet adapter mounted adjacent to unit in telecom room. Confirm capacity, emergency source, condensate, disconnect, controls, and alarms.</v>
      </c>
      <c r="G1300" s="106" t="str">
        <f>"B61_Assessment!A31:J31"</f>
        <v>B61_Assessment!A31:J31</v>
      </c>
    </row>
    <row r="1301" spans="1:7" ht="97.5" customHeight="1">
      <c r="A1301" s="106" t="str">
        <f>B61_Assessment!$B$2</f>
        <v>61</v>
      </c>
      <c r="B1301" s="106" t="str">
        <f t="shared" si="111"/>
        <v>B33_Assessment</v>
      </c>
      <c r="C1301" s="106" t="str">
        <f>"HVAC"</f>
        <v>HVAC</v>
      </c>
      <c r="D1301" s="142" t="str">
        <f>B61_Assessment!$A$32</f>
        <v>124</v>
      </c>
      <c r="E1301" s="142" t="str">
        <f>B61_Assessment!$I$32</f>
        <v>Verify</v>
      </c>
      <c r="F1301" s="106" t="str">
        <f>B61_Assessment!$J$32</f>
        <v>Mechanical/electrical plans identify IU-1-01/CU-1-01 for first-level TR. Confirm 24/7 operation, emergency/standby source and high-temp alarm.</v>
      </c>
      <c r="G1301" s="106" t="str">
        <f>"B61_Assessment!A32:J32"</f>
        <v>B61_Assessment!A32:J32</v>
      </c>
    </row>
    <row r="1302" spans="1:7" ht="97.5" customHeight="1">
      <c r="A1302" s="106" t="str">
        <f>B61_Assessment!$B$2</f>
        <v>61</v>
      </c>
      <c r="B1302" s="106" t="str">
        <f t="shared" si="111"/>
        <v>B33_Assessment</v>
      </c>
      <c r="C1302" s="106" t="str">
        <f>"HVAC"</f>
        <v>HVAC</v>
      </c>
      <c r="D1302" s="142" t="str">
        <f>B61_Assessment!$A$33</f>
        <v>226</v>
      </c>
      <c r="E1302" s="142" t="str">
        <f>B61_Assessment!$I$33</f>
        <v>Verify</v>
      </c>
      <c r="F1302" s="106" t="str">
        <f>B61_Assessment!$J$33</f>
        <v>Mechanical/electrical plans identify IU-2-01/CU-2-01 for second-level TR. Confirm refrigerant route, condensate route, controls and alarm tie-in.</v>
      </c>
      <c r="G1302" s="106" t="str">
        <f>"B61_Assessment!A33:J33"</f>
        <v>B61_Assessment!A33:J33</v>
      </c>
    </row>
    <row r="1303" spans="1:7" ht="97.5" customHeight="1">
      <c r="A1303" s="106" t="str">
        <f>B61_Assessment!$B$2</f>
        <v>61</v>
      </c>
      <c r="B1303" s="106" t="str">
        <f t="shared" si="111"/>
        <v>B33_Assessment</v>
      </c>
      <c r="C1303" s="106" t="str">
        <f>"HVAC"</f>
        <v>HVAC</v>
      </c>
      <c r="D1303" s="142" t="str">
        <f>B61_Assessment!$A$34</f>
        <v>137 / 137A</v>
      </c>
      <c r="E1303" s="142" t="str">
        <f>B61_Assessment!$I$34</f>
        <v>Verify</v>
      </c>
      <c r="F1303" s="106" t="str">
        <f>B61_Assessment!$J$34</f>
        <v>Existing demarc/server equipment likely has existing cooling dependencies. Verify active equipment heat load, airflow, operational temperatures and whether any existing cooling is modified or protected.</v>
      </c>
      <c r="G1303" s="106" t="str">
        <f>"B61_Assessment!A34:J34"</f>
        <v>B61_Assessment!A34:J34</v>
      </c>
    </row>
    <row r="1304" spans="1:7" ht="97.5" customHeight="1">
      <c r="A1304" s="106" t="str">
        <f>B61_Assessment!$B$2</f>
        <v>61</v>
      </c>
      <c r="B1304" s="106" t="str">
        <f t="shared" si="111"/>
        <v>B33_Assessment</v>
      </c>
      <c r="C1304" s="106" t="str">
        <f>"Electrical"</f>
        <v>Electrical</v>
      </c>
      <c r="D1304" s="142" t="str">
        <f>B61_Assessment!$A$38</f>
        <v>B13H-A</v>
      </c>
      <c r="E1304" s="142" t="str">
        <f>B61_Assessment!$I$38</f>
        <v>Verify</v>
      </c>
      <c r="F1304" s="106" t="str">
        <f>B61_Assessment!$J$38</f>
        <v>Electrical enlarged plans and schedules identify rack receptacles, UPS circuits, PDUs, panelboards, SPD devices and dedicated cooling power for B13H-A. Verify B61-TRB13A/B source, LOTO and labels.</v>
      </c>
      <c r="G1304" s="106" t="str">
        <f>"B61_Assessment!A38:J38"</f>
        <v>B61_Assessment!A38:J38</v>
      </c>
    </row>
    <row r="1305" spans="1:7" ht="97.5" customHeight="1">
      <c r="A1305" s="106" t="str">
        <f>B61_Assessment!$B$2</f>
        <v>61</v>
      </c>
      <c r="B1305" s="106" t="str">
        <f t="shared" si="111"/>
        <v>B33_Assessment</v>
      </c>
      <c r="C1305" s="106" t="str">
        <f>"Electrical"</f>
        <v>Electrical</v>
      </c>
      <c r="D1305" s="142" t="str">
        <f>B61_Assessment!$A$39</f>
        <v>124</v>
      </c>
      <c r="E1305" s="142" t="str">
        <f>B61_Assessment!$I$39</f>
        <v>Verify</v>
      </c>
      <c r="F1305" s="106" t="str">
        <f>B61_Assessment!$J$39</f>
        <v>Electrical schedules identify B61-TR124A/B and rack receptacles. Verify apparent room-name mismatch with RM137B rack receptacles in schedules.</v>
      </c>
      <c r="G1305" s="106" t="str">
        <f>"B61_Assessment!A39:J39"</f>
        <v>B61_Assessment!A39:J39</v>
      </c>
    </row>
    <row r="1306" spans="1:7" ht="97.5" customHeight="1">
      <c r="A1306" s="106" t="str">
        <f>B61_Assessment!$B$2</f>
        <v>61</v>
      </c>
      <c r="B1306" s="106" t="str">
        <f t="shared" si="111"/>
        <v>B33_Assessment</v>
      </c>
      <c r="C1306" s="106" t="str">
        <f>"Electrical"</f>
        <v>Electrical</v>
      </c>
      <c r="D1306" s="142" t="str">
        <f>B61_Assessment!$A$40</f>
        <v>226</v>
      </c>
      <c r="E1306" s="142" t="str">
        <f>B61_Assessment!$I$40</f>
        <v>Verify</v>
      </c>
      <c r="F1306" s="106" t="str">
        <f>B61_Assessment!$J$40</f>
        <v>Electrical schedules identify B61-TR226A/B, rack receptacles, CU-2-01 and SPD requirements. Verify source circuits and labels.</v>
      </c>
      <c r="G1306" s="106" t="str">
        <f>"B61_Assessment!A40:J40"</f>
        <v>B61_Assessment!A40:J40</v>
      </c>
    </row>
    <row r="1307" spans="1:7" ht="97.5" customHeight="1">
      <c r="A1307" s="106" t="str">
        <f>B61_Assessment!$B$2</f>
        <v>61</v>
      </c>
      <c r="B1307" s="106" t="str">
        <f t="shared" si="111"/>
        <v>B33_Assessment</v>
      </c>
      <c r="C1307" s="106" t="str">
        <f>"Electrical"</f>
        <v>Electrical</v>
      </c>
      <c r="D1307" s="142" t="str">
        <f>B61_Assessment!$A$41</f>
        <v>137 / 137A</v>
      </c>
      <c r="E1307" s="142" t="str">
        <f>B61_Assessment!$I$41</f>
        <v>Verify</v>
      </c>
      <c r="F1307" s="106" t="str">
        <f>B61_Assessment!$J$41</f>
        <v>Existing rack inventory includes APC UPS/PDU and server/demarc equipment. Electrical one-line/schedules list B61-TR137AA/AB and PD-B61-TR137 panels; verify active sources and transition impact.</v>
      </c>
      <c r="G1307" s="106" t="str">
        <f>"B61_Assessment!A41:J41"</f>
        <v>B61_Assessment!A41:J41</v>
      </c>
    </row>
    <row r="1308" spans="1:7" ht="97.5" customHeight="1">
      <c r="A1308" s="106" t="str">
        <f>B61_Assessment!$B$2</f>
        <v>61</v>
      </c>
      <c r="B1308" s="106" t="str">
        <f t="shared" si="111"/>
        <v>B33_Assessment</v>
      </c>
      <c r="C1308" s="106" t="str">
        <f>"Telecom"</f>
        <v>Telecom</v>
      </c>
      <c r="D1308" s="142" t="str">
        <f>B61_Assessment!$A$45</f>
        <v>B13H-A</v>
      </c>
      <c r="E1308" s="142" t="str">
        <f>B61_Assessment!$I$45</f>
        <v>Verify</v>
      </c>
      <c r="F1308" s="106" t="str">
        <f>B61_Assessment!$J$45</f>
        <v>61T-701: 88 WAO total, 74 active ports, 129 scheduled ports, 142 with 10% allowance. Rack ID TR01-B13H-A-1. Basement cable tray included in 890 ft basement total.</v>
      </c>
      <c r="G1308" s="106" t="str">
        <f>"B61_Assessment!A45:J45"</f>
        <v>B61_Assessment!A45:J45</v>
      </c>
    </row>
    <row r="1309" spans="1:7" ht="97.5" customHeight="1">
      <c r="A1309" s="106" t="str">
        <f>B61_Assessment!$B$2</f>
        <v>61</v>
      </c>
      <c r="B1309" s="106" t="str">
        <f t="shared" si="111"/>
        <v>B33_Assessment</v>
      </c>
      <c r="C1309" s="106" t="str">
        <f>"Telecom"</f>
        <v>Telecom</v>
      </c>
      <c r="D1309" s="142" t="str">
        <f>B61_Assessment!$A$46</f>
        <v>124</v>
      </c>
      <c r="E1309" s="142" t="str">
        <f>B61_Assessment!$I$46</f>
        <v>Verify</v>
      </c>
      <c r="F1309" s="106" t="str">
        <f>B61_Assessment!$J$46</f>
        <v>61T-701: first-level Room 124 / Rack ID TR01-124-1. Schedule data runs across first-level outlets. Include labels, Fiber LIU, Cat6A patch panels, UPS/PDU and VA/OIT acceptance.</v>
      </c>
      <c r="G1309" s="106" t="str">
        <f>"B61_Assessment!A46:J46"</f>
        <v>B61_Assessment!A46:J46</v>
      </c>
    </row>
    <row r="1310" spans="1:7" ht="97.5" customHeight="1">
      <c r="A1310" s="106" t="str">
        <f>B61_Assessment!$B$2</f>
        <v>61</v>
      </c>
      <c r="B1310" s="106" t="str">
        <f t="shared" si="111"/>
        <v>B33_Assessment</v>
      </c>
      <c r="C1310" s="106" t="str">
        <f>"Telecom"</f>
        <v>Telecom</v>
      </c>
      <c r="D1310" s="142" t="str">
        <f>B61_Assessment!$A$47</f>
        <v>226</v>
      </c>
      <c r="E1310" s="142" t="str">
        <f>B61_Assessment!$I$47</f>
        <v>Verify</v>
      </c>
      <c r="F1310" s="106" t="str">
        <f>B61_Assessment!$J$47</f>
        <v>61T-702: 109 WAO total, 126 active ports, 156 scheduled ports, 172 with 10% allowance. Rack ID TR01-226-1. Verify second-level cable tray and riser penetrations.</v>
      </c>
      <c r="G1310" s="106" t="str">
        <f>"B61_Assessment!A47:J47"</f>
        <v>B61_Assessment!A47:J47</v>
      </c>
    </row>
    <row r="1311" spans="1:7" ht="97.5" customHeight="1">
      <c r="A1311" s="106" t="str">
        <f>B61_Assessment!$B$2</f>
        <v>61</v>
      </c>
      <c r="B1311" s="106" t="str">
        <f t="shared" si="111"/>
        <v>B33_Assessment</v>
      </c>
      <c r="C1311" s="106" t="str">
        <f>"Telecom"</f>
        <v>Telecom</v>
      </c>
      <c r="D1311" s="142" t="str">
        <f>B61_Assessment!$A$48</f>
        <v>137 / 137A</v>
      </c>
      <c r="E1311" s="142" t="str">
        <f>B61_Assessment!$I$48</f>
        <v>Verify</v>
      </c>
      <c r="F1311" s="106" t="str">
        <f>B61_Assessment!$J$48</f>
        <v>61T-402/606/607 inventory existing demarc/server racks and equipment. Protect active systems, coordinate cutover, preserve labels, document equipment remaining in service.</v>
      </c>
      <c r="G1311" s="106" t="str">
        <f>"B61_Assessment!A48:J48"</f>
        <v>B61_Assessment!A48:J48</v>
      </c>
    </row>
    <row r="1312" spans="1:7" ht="97.5" customHeight="1">
      <c r="A1312" s="106" t="str">
        <f>B61_Assessment!$B$2</f>
        <v>61</v>
      </c>
      <c r="B1312" s="106" t="str">
        <f t="shared" si="111"/>
        <v>B33_Assessment</v>
      </c>
      <c r="C1312" s="106" t="str">
        <f>"Security"</f>
        <v>Security</v>
      </c>
      <c r="D1312" s="142" t="str">
        <f>B61_Assessment!$A$52</f>
        <v>B13H-A</v>
      </c>
      <c r="E1312" s="142" t="str">
        <f>B61_Assessment!$I$52</f>
        <v>Verify</v>
      </c>
      <c r="F1312" s="106" t="str">
        <f>B61_Assessment!$J$52</f>
        <v>Telecom plans call for wall-mounted CCTV at TRs and PACS for TR doors. Verify camera, controller, CR/RX/DC/ES/MD, and VMS/PACS integration.</v>
      </c>
      <c r="G1312" s="106" t="str">
        <f>"B61_Assessment!A52:J52"</f>
        <v>B61_Assessment!A52:J52</v>
      </c>
    </row>
    <row r="1313" spans="1:7" ht="97.5" customHeight="1">
      <c r="A1313" s="106" t="str">
        <f>B61_Assessment!$B$2</f>
        <v>61</v>
      </c>
      <c r="B1313" s="106" t="str">
        <f t="shared" ref="B1313:B1321" si="112">"B61_Assessment"</f>
        <v>B61_Assessment</v>
      </c>
      <c r="C1313" s="106" t="str">
        <f>"Security"</f>
        <v>Security</v>
      </c>
      <c r="D1313" s="142" t="str">
        <f>B61_Assessment!$A$53</f>
        <v>124</v>
      </c>
      <c r="E1313" s="142" t="str">
        <f>B61_Assessment!$I$53</f>
        <v>Verify</v>
      </c>
      <c r="F1313" s="106" t="str">
        <f>B61_Assessment!$J$53</f>
        <v>Verify TR door hardware and access control, CCTV camera, network door controller and integration.</v>
      </c>
      <c r="G1313" s="106" t="str">
        <f>"B61_Assessment!A53:J53"</f>
        <v>B61_Assessment!A53:J53</v>
      </c>
    </row>
    <row r="1314" spans="1:7" ht="97.5" customHeight="1">
      <c r="A1314" s="106" t="str">
        <f>B61_Assessment!$B$2</f>
        <v>61</v>
      </c>
      <c r="B1314" s="106" t="str">
        <f t="shared" si="112"/>
        <v>B61_Assessment</v>
      </c>
      <c r="C1314" s="106" t="str">
        <f>"Security"</f>
        <v>Security</v>
      </c>
      <c r="D1314" s="142" t="str">
        <f>B61_Assessment!$A$54</f>
        <v>226</v>
      </c>
      <c r="E1314" s="142" t="str">
        <f>B61_Assessment!$I$54</f>
        <v>Verify</v>
      </c>
      <c r="F1314" s="106" t="str">
        <f>B61_Assessment!$J$54</f>
        <v>Verify second-level TR access control, CCTV camera, door hardware, and VMS/PACS integration.</v>
      </c>
      <c r="G1314" s="106" t="str">
        <f>"B61_Assessment!A54:J54"</f>
        <v>B61_Assessment!A54:J54</v>
      </c>
    </row>
    <row r="1315" spans="1:7" ht="97.5" customHeight="1">
      <c r="A1315" s="106" t="str">
        <f>B61_Assessment!$B$2</f>
        <v>61</v>
      </c>
      <c r="B1315" s="106" t="str">
        <f t="shared" si="112"/>
        <v>B61_Assessment</v>
      </c>
      <c r="C1315" s="106" t="str">
        <f>"Security"</f>
        <v>Security</v>
      </c>
      <c r="D1315" s="142" t="str">
        <f>B61_Assessment!$A$55</f>
        <v>137 / 137A</v>
      </c>
      <c r="E1315" s="142" t="str">
        <f>B61_Assessment!$I$55</f>
        <v>Verify</v>
      </c>
      <c r="F1315" s="106" t="str">
        <f>B61_Assessment!$J$55</f>
        <v>Existing PACS/equipment racks are referenced. Verify existing security devices protected-in-place and any new recabling or integration scope.</v>
      </c>
      <c r="G1315" s="106" t="str">
        <f>"B61_Assessment!A55:J55"</f>
        <v>B61_Assessment!A55:J55</v>
      </c>
    </row>
    <row r="1316" spans="1:7" ht="97.5" customHeight="1">
      <c r="A1316" s="106">
        <f>B62_TR_Assessment!$B$2</f>
        <v>62</v>
      </c>
      <c r="B1316" s="106" t="str">
        <f t="shared" si="112"/>
        <v>B61_Assessment</v>
      </c>
      <c r="C1316" s="106" t="str">
        <f>"Fire"</f>
        <v>Fire</v>
      </c>
      <c r="D1316" s="142" t="str">
        <f>B62_TR_Assessment!$A$24</f>
        <v>B24A</v>
      </c>
      <c r="E1316" s="142" t="str">
        <f>B62_TR_Assessment!$I$24</f>
        <v>Verify</v>
      </c>
      <c r="F1316" s="106">
        <f>B62_TR_Assessment!$J$24</f>
        <v>0</v>
      </c>
      <c r="G1316" s="106" t="str">
        <f>"B62_TR_Assessment!A24:J24"</f>
        <v>B62_TR_Assessment!A24:J24</v>
      </c>
    </row>
    <row r="1317" spans="1:7" ht="97.5" customHeight="1">
      <c r="A1317" s="106">
        <f>B62_TR_Assessment!$B$2</f>
        <v>62</v>
      </c>
      <c r="B1317" s="106" t="str">
        <f t="shared" si="112"/>
        <v>B61_Assessment</v>
      </c>
      <c r="C1317" s="106" t="str">
        <f>"Fire"</f>
        <v>Fire</v>
      </c>
      <c r="D1317" s="142" t="str">
        <f>B62_TR_Assessment!$A$25</f>
        <v>125</v>
      </c>
      <c r="E1317" s="142" t="str">
        <f>B62_TR_Assessment!$I$25</f>
        <v>Verify</v>
      </c>
      <c r="F1317" s="106">
        <f>B62_TR_Assessment!$J$25</f>
        <v>0</v>
      </c>
      <c r="G1317" s="106" t="str">
        <f>"B62_TR_Assessment!A25:J25"</f>
        <v>B62_TR_Assessment!A25:J25</v>
      </c>
    </row>
    <row r="1318" spans="1:7" ht="97.5" customHeight="1">
      <c r="A1318" s="106">
        <f>B62_TR_Assessment!$B$2</f>
        <v>62</v>
      </c>
      <c r="B1318" s="106" t="str">
        <f t="shared" si="112"/>
        <v>B61_Assessment</v>
      </c>
      <c r="C1318" s="106" t="str">
        <f>"Fire"</f>
        <v>Fire</v>
      </c>
      <c r="D1318" s="142" t="str">
        <f>B62_TR_Assessment!$A$26</f>
        <v>225</v>
      </c>
      <c r="E1318" s="142" t="str">
        <f>B62_TR_Assessment!$I$26</f>
        <v>Verify</v>
      </c>
      <c r="F1318" s="106">
        <f>B62_TR_Assessment!$J$26</f>
        <v>0</v>
      </c>
      <c r="G1318" s="106" t="str">
        <f>"B62_TR_Assessment!A26:J26"</f>
        <v>B62_TR_Assessment!A26:J26</v>
      </c>
    </row>
    <row r="1319" spans="1:7" ht="97.5" customHeight="1">
      <c r="A1319" s="106">
        <f>B62_TR_Assessment!$B$2</f>
        <v>62</v>
      </c>
      <c r="B1319" s="106" t="str">
        <f t="shared" si="112"/>
        <v>B61_Assessment</v>
      </c>
      <c r="C1319" s="106" t="str">
        <f>"HVAC"</f>
        <v>HVAC</v>
      </c>
      <c r="D1319" s="142" t="str">
        <f>B62_TR_Assessment!$A$31</f>
        <v>B24A</v>
      </c>
      <c r="E1319" s="142" t="str">
        <f>B62_TR_Assessment!$I$31</f>
        <v>Verify</v>
      </c>
      <c r="F1319" s="106">
        <f>B62_TR_Assessment!$J$31</f>
        <v>0</v>
      </c>
      <c r="G1319" s="106" t="str">
        <f>"B62_TR_Assessment!A31:J31"</f>
        <v>B62_TR_Assessment!A31:J31</v>
      </c>
    </row>
    <row r="1320" spans="1:7" ht="97.5" customHeight="1">
      <c r="A1320" s="106">
        <f>B62_TR_Assessment!$B$2</f>
        <v>62</v>
      </c>
      <c r="B1320" s="106" t="str">
        <f t="shared" si="112"/>
        <v>B61_Assessment</v>
      </c>
      <c r="C1320" s="106" t="str">
        <f>"HVAC"</f>
        <v>HVAC</v>
      </c>
      <c r="D1320" s="142" t="str">
        <f>B62_TR_Assessment!$A$32</f>
        <v>125</v>
      </c>
      <c r="E1320" s="142" t="str">
        <f>B62_TR_Assessment!$I$32</f>
        <v>Verify</v>
      </c>
      <c r="F1320" s="106">
        <f>B62_TR_Assessment!$J$32</f>
        <v>0</v>
      </c>
      <c r="G1320" s="106" t="str">
        <f>"B62_TR_Assessment!A32:J32"</f>
        <v>B62_TR_Assessment!A32:J32</v>
      </c>
    </row>
    <row r="1321" spans="1:7" ht="97.5" customHeight="1">
      <c r="A1321" s="106">
        <f>B62_TR_Assessment!$B$2</f>
        <v>62</v>
      </c>
      <c r="B1321" s="106" t="str">
        <f t="shared" si="112"/>
        <v>B61_Assessment</v>
      </c>
      <c r="C1321" s="106" t="str">
        <f>"HVAC"</f>
        <v>HVAC</v>
      </c>
      <c r="D1321" s="142" t="str">
        <f>B62_TR_Assessment!$A$33</f>
        <v>225</v>
      </c>
      <c r="E1321" s="142" t="str">
        <f>B62_TR_Assessment!$I$33</f>
        <v>Verify</v>
      </c>
      <c r="F1321" s="106">
        <f>B62_TR_Assessment!$J$33</f>
        <v>0</v>
      </c>
      <c r="G1321" s="106" t="str">
        <f>"B62_TR_Assessment!A33:J33"</f>
        <v>B62_TR_Assessment!A33:J33</v>
      </c>
    </row>
    <row r="1322" spans="1:7" ht="97.5" customHeight="1">
      <c r="A1322" s="106">
        <f>B62_TR_Assessment!$B$2</f>
        <v>62</v>
      </c>
      <c r="B1322" s="106" t="str">
        <f t="shared" ref="B1322:B1330" si="113">"B62_TR_Assessment"</f>
        <v>B62_TR_Assessment</v>
      </c>
      <c r="C1322" s="106" t="str">
        <f>"Electrical"</f>
        <v>Electrical</v>
      </c>
      <c r="D1322" s="142" t="str">
        <f>B62_TR_Assessment!$A$38</f>
        <v>B24A</v>
      </c>
      <c r="E1322" s="142" t="str">
        <f>B62_TR_Assessment!$I$38</f>
        <v>Verify</v>
      </c>
      <c r="F1322" s="106">
        <f>B62_TR_Assessment!$J$38</f>
        <v>0</v>
      </c>
      <c r="G1322" s="106" t="str">
        <f>"B62_TR_Assessment!A38:J38"</f>
        <v>B62_TR_Assessment!A38:J38</v>
      </c>
    </row>
    <row r="1323" spans="1:7" ht="97.5" customHeight="1">
      <c r="A1323" s="106">
        <f>B62_TR_Assessment!$B$2</f>
        <v>62</v>
      </c>
      <c r="B1323" s="106" t="str">
        <f t="shared" si="113"/>
        <v>B62_TR_Assessment</v>
      </c>
      <c r="C1323" s="106" t="str">
        <f>"Electrical"</f>
        <v>Electrical</v>
      </c>
      <c r="D1323" s="142" t="str">
        <f>B62_TR_Assessment!$A$39</f>
        <v>125</v>
      </c>
      <c r="E1323" s="142" t="str">
        <f>B62_TR_Assessment!$I$39</f>
        <v>Verify</v>
      </c>
      <c r="F1323" s="106">
        <f>B62_TR_Assessment!$J$39</f>
        <v>0</v>
      </c>
      <c r="G1323" s="106" t="str">
        <f>"B62_TR_Assessment!A39:J39"</f>
        <v>B62_TR_Assessment!A39:J39</v>
      </c>
    </row>
    <row r="1324" spans="1:7" ht="97.5" customHeight="1">
      <c r="A1324" s="106">
        <f>B62_TR_Assessment!$B$2</f>
        <v>62</v>
      </c>
      <c r="B1324" s="106" t="str">
        <f t="shared" si="113"/>
        <v>B62_TR_Assessment</v>
      </c>
      <c r="C1324" s="106" t="str">
        <f>"Electrical"</f>
        <v>Electrical</v>
      </c>
      <c r="D1324" s="142" t="str">
        <f>B62_TR_Assessment!$A$40</f>
        <v>225</v>
      </c>
      <c r="E1324" s="142" t="str">
        <f>B62_TR_Assessment!$I$40</f>
        <v>Verify</v>
      </c>
      <c r="F1324" s="106">
        <f>B62_TR_Assessment!$J$40</f>
        <v>0</v>
      </c>
      <c r="G1324" s="106" t="str">
        <f>"B62_TR_Assessment!A40:J40"</f>
        <v>B62_TR_Assessment!A40:J40</v>
      </c>
    </row>
    <row r="1325" spans="1:7" ht="97.5" customHeight="1">
      <c r="A1325" s="106">
        <f>B70_TR_Assessment!$B$2</f>
        <v>70</v>
      </c>
      <c r="B1325" s="106" t="str">
        <f t="shared" si="113"/>
        <v>B62_TR_Assessment</v>
      </c>
      <c r="C1325" s="106" t="str">
        <f>"Fire"</f>
        <v>Fire</v>
      </c>
      <c r="D1325" s="142" t="str">
        <f>B70_TR_Assessment!$A$24</f>
        <v>B27</v>
      </c>
      <c r="E1325" s="142" t="str">
        <f>B70_TR_Assessment!$I$24</f>
        <v>Verify</v>
      </c>
      <c r="F1325" s="106">
        <f>B70_TR_Assessment!$J$24</f>
        <v>0</v>
      </c>
      <c r="G1325" s="106" t="str">
        <f>"B70_TR_Assessment!A24:J24"</f>
        <v>B70_TR_Assessment!A24:J24</v>
      </c>
    </row>
    <row r="1326" spans="1:7" ht="97.5" customHeight="1">
      <c r="A1326" s="106">
        <f>B70_TR_Assessment!$B$2</f>
        <v>70</v>
      </c>
      <c r="B1326" s="106" t="str">
        <f t="shared" si="113"/>
        <v>B62_TR_Assessment</v>
      </c>
      <c r="C1326" s="106" t="str">
        <f>"Fire"</f>
        <v>Fire</v>
      </c>
      <c r="D1326" s="142" t="str">
        <f>B70_TR_Assessment!$A$25</f>
        <v>125A</v>
      </c>
      <c r="E1326" s="142" t="str">
        <f>B70_TR_Assessment!$I$25</f>
        <v>Verify</v>
      </c>
      <c r="F1326" s="106">
        <f>B70_TR_Assessment!$J$25</f>
        <v>0</v>
      </c>
      <c r="G1326" s="106" t="str">
        <f>"B70_TR_Assessment!A25:J25"</f>
        <v>B70_TR_Assessment!A25:J25</v>
      </c>
    </row>
    <row r="1327" spans="1:7" ht="97.5" customHeight="1">
      <c r="A1327" s="106">
        <f>B70_TR_Assessment!$B$2</f>
        <v>70</v>
      </c>
      <c r="B1327" s="106" t="str">
        <f t="shared" si="113"/>
        <v>B62_TR_Assessment</v>
      </c>
      <c r="C1327" s="106" t="str">
        <f>"Fire"</f>
        <v>Fire</v>
      </c>
      <c r="D1327" s="142" t="str">
        <f>B70_TR_Assessment!$A$26</f>
        <v>262A</v>
      </c>
      <c r="E1327" s="142" t="str">
        <f>B70_TR_Assessment!$I$26</f>
        <v>Verify</v>
      </c>
      <c r="F1327" s="106">
        <f>B70_TR_Assessment!$J$26</f>
        <v>0</v>
      </c>
      <c r="G1327" s="106" t="str">
        <f>"B70_TR_Assessment!A26:J26"</f>
        <v>B70_TR_Assessment!A26:J26</v>
      </c>
    </row>
    <row r="1328" spans="1:7" ht="97.5" customHeight="1">
      <c r="A1328" s="106">
        <f>B70_TR_Assessment!$B$2</f>
        <v>70</v>
      </c>
      <c r="B1328" s="106" t="str">
        <f t="shared" si="113"/>
        <v>B62_TR_Assessment</v>
      </c>
      <c r="C1328" s="106" t="str">
        <f>"HVAC"</f>
        <v>HVAC</v>
      </c>
      <c r="D1328" s="142" t="str">
        <f>B70_TR_Assessment!$A$31</f>
        <v>B27</v>
      </c>
      <c r="E1328" s="142" t="str">
        <f>B70_TR_Assessment!$I$31</f>
        <v>Verify</v>
      </c>
      <c r="F1328" s="106">
        <f>B70_TR_Assessment!$J$31</f>
        <v>0</v>
      </c>
      <c r="G1328" s="106" t="str">
        <f>"B70_TR_Assessment!A31:J31"</f>
        <v>B70_TR_Assessment!A31:J31</v>
      </c>
    </row>
    <row r="1329" spans="1:7" ht="97.5" customHeight="1">
      <c r="A1329" s="106">
        <f>B70_TR_Assessment!$B$2</f>
        <v>70</v>
      </c>
      <c r="B1329" s="106" t="str">
        <f t="shared" si="113"/>
        <v>B62_TR_Assessment</v>
      </c>
      <c r="C1329" s="106" t="str">
        <f>"HVAC"</f>
        <v>HVAC</v>
      </c>
      <c r="D1329" s="142" t="str">
        <f>B70_TR_Assessment!$A$32</f>
        <v>125A</v>
      </c>
      <c r="E1329" s="142" t="str">
        <f>B70_TR_Assessment!$I$32</f>
        <v>Verify</v>
      </c>
      <c r="F1329" s="106">
        <f>B70_TR_Assessment!$J$32</f>
        <v>0</v>
      </c>
      <c r="G1329" s="106" t="str">
        <f>"B70_TR_Assessment!A32:J32"</f>
        <v>B70_TR_Assessment!A32:J32</v>
      </c>
    </row>
    <row r="1330" spans="1:7" ht="97.5" customHeight="1">
      <c r="A1330" s="106">
        <f>B70_TR_Assessment!$B$2</f>
        <v>70</v>
      </c>
      <c r="B1330" s="106" t="str">
        <f t="shared" si="113"/>
        <v>B62_TR_Assessment</v>
      </c>
      <c r="C1330" s="106" t="str">
        <f>"HVAC"</f>
        <v>HVAC</v>
      </c>
      <c r="D1330" s="142" t="str">
        <f>B70_TR_Assessment!$A$33</f>
        <v>262A</v>
      </c>
      <c r="E1330" s="142" t="str">
        <f>B70_TR_Assessment!$I$33</f>
        <v>Verify</v>
      </c>
      <c r="F1330" s="106">
        <f>B70_TR_Assessment!$J$33</f>
        <v>0</v>
      </c>
      <c r="G1330" s="106" t="str">
        <f>"B70_TR_Assessment!A33:J33"</f>
        <v>B70_TR_Assessment!A33:J33</v>
      </c>
    </row>
    <row r="1331" spans="1:7" ht="97.5" customHeight="1">
      <c r="A1331" s="106">
        <f>B70_TR_Assessment!$B$2</f>
        <v>70</v>
      </c>
      <c r="B1331" s="106" t="str">
        <f t="shared" ref="B1331:B1365" si="114">"B70_TR_Assessment"</f>
        <v>B70_TR_Assessment</v>
      </c>
      <c r="C1331" s="106" t="str">
        <f t="shared" ref="C1331:C1337" si="115">"Electrical"</f>
        <v>Electrical</v>
      </c>
      <c r="D1331" s="142" t="str">
        <f>B70_TR_Assessment!$A$38</f>
        <v>B27</v>
      </c>
      <c r="E1331" s="142" t="str">
        <f>B70_TR_Assessment!$I$38</f>
        <v>Verify</v>
      </c>
      <c r="F1331" s="106">
        <f>B70_TR_Assessment!$J$38</f>
        <v>0</v>
      </c>
      <c r="G1331" s="106" t="str">
        <f>"B70_TR_Assessment!A38:J38"</f>
        <v>B70_TR_Assessment!A38:J38</v>
      </c>
    </row>
    <row r="1332" spans="1:7" ht="97.5" customHeight="1">
      <c r="A1332" s="106">
        <f>B70_TR_Assessment!$B$2</f>
        <v>70</v>
      </c>
      <c r="B1332" s="106" t="str">
        <f t="shared" si="114"/>
        <v>B70_TR_Assessment</v>
      </c>
      <c r="C1332" s="106" t="str">
        <f t="shared" si="115"/>
        <v>Electrical</v>
      </c>
      <c r="D1332" s="142" t="str">
        <f>B70_TR_Assessment!$A$39</f>
        <v>125A</v>
      </c>
      <c r="E1332" s="142" t="str">
        <f>B70_TR_Assessment!$I$39</f>
        <v>Verify</v>
      </c>
      <c r="F1332" s="106">
        <f>B70_TR_Assessment!$J$39</f>
        <v>0</v>
      </c>
      <c r="G1332" s="106" t="str">
        <f>"B70_TR_Assessment!A39:J39"</f>
        <v>B70_TR_Assessment!A39:J39</v>
      </c>
    </row>
    <row r="1333" spans="1:7" ht="97.5" customHeight="1">
      <c r="A1333" s="106">
        <f>B70_TR_Assessment!$B$2</f>
        <v>70</v>
      </c>
      <c r="B1333" s="106" t="str">
        <f t="shared" si="114"/>
        <v>B70_TR_Assessment</v>
      </c>
      <c r="C1333" s="106" t="str">
        <f t="shared" si="115"/>
        <v>Electrical</v>
      </c>
      <c r="D1333" s="142" t="str">
        <f>B70_TR_Assessment!$A$40</f>
        <v>262A</v>
      </c>
      <c r="E1333" s="142" t="str">
        <f>B70_TR_Assessment!$I$40</f>
        <v>Verify</v>
      </c>
      <c r="F1333" s="106">
        <f>B70_TR_Assessment!$J$40</f>
        <v>0</v>
      </c>
      <c r="G1333" s="106" t="str">
        <f>"B70_TR_Assessment!A40:J40"</f>
        <v>B70_TR_Assessment!A40:J40</v>
      </c>
    </row>
    <row r="1334" spans="1:7" ht="97.5" customHeight="1">
      <c r="A1334" s="106">
        <f>B78_Assessment!$B$2</f>
        <v>78</v>
      </c>
      <c r="B1334" s="106" t="str">
        <f t="shared" si="114"/>
        <v>B70_TR_Assessment</v>
      </c>
      <c r="C1334" s="106" t="str">
        <f t="shared" si="115"/>
        <v>Electrical</v>
      </c>
      <c r="D1334" s="142" t="str">
        <f>B78_Assessment!$A$30</f>
        <v>B30</v>
      </c>
      <c r="E1334" s="142" t="str">
        <f>B78_Assessment!$I$30</f>
        <v>Verify</v>
      </c>
      <c r="F1334" s="106" t="str">
        <f>B78_Assessment!$J$30</f>
        <v>Full fire protection scope included. Verify sprinkler modifications, fire alarm devices, clean-agent 2A:10B:C FEC within 75 ft, and rated penetrations.</v>
      </c>
      <c r="G1334" s="106" t="str">
        <f>"B78_Assessment!A30:J30"</f>
        <v>B78_Assessment!A30:J30</v>
      </c>
    </row>
    <row r="1335" spans="1:7" ht="97.5" customHeight="1">
      <c r="A1335" s="106">
        <f>B78_Assessment!$B$2</f>
        <v>78</v>
      </c>
      <c r="B1335" s="106" t="str">
        <f t="shared" si="114"/>
        <v>B70_TR_Assessment</v>
      </c>
      <c r="C1335" s="106" t="str">
        <f t="shared" si="115"/>
        <v>Electrical</v>
      </c>
      <c r="D1335" s="142" t="str">
        <f>B78_Assessment!$A$31</f>
        <v>B35</v>
      </c>
      <c r="E1335" s="142" t="str">
        <f>B78_Assessment!$I$31</f>
        <v>Verify</v>
      </c>
      <c r="F1335" s="106" t="str">
        <f>B78_Assessment!$J$31</f>
        <v>Verify FP/FA modifications, FEC location, temporary firestopping and final UL systems.</v>
      </c>
      <c r="G1335" s="106" t="str">
        <f>"B78_Assessment!A31:J31"</f>
        <v>B78_Assessment!A31:J31</v>
      </c>
    </row>
    <row r="1336" spans="1:7" ht="97.5" customHeight="1">
      <c r="A1336" s="106">
        <f>B78_Assessment!$B$2</f>
        <v>78</v>
      </c>
      <c r="B1336" s="106" t="str">
        <f t="shared" si="114"/>
        <v>B70_TR_Assessment</v>
      </c>
      <c r="C1336" s="106" t="str">
        <f t="shared" si="115"/>
        <v>Electrical</v>
      </c>
      <c r="D1336" s="142" t="str">
        <f>B78_Assessment!$A$32</f>
        <v>1232</v>
      </c>
      <c r="E1336" s="142" t="str">
        <f>B78_Assessment!$I$32</f>
        <v>Verify</v>
      </c>
      <c r="F1336" s="106" t="str">
        <f>B78_Assessment!$J$32</f>
        <v>Verify first-level TR sprinkler/FA work, FEC location and cable tray penetrations.</v>
      </c>
      <c r="G1336" s="106" t="str">
        <f>"B78_Assessment!A32:J32"</f>
        <v>B78_Assessment!A32:J32</v>
      </c>
    </row>
    <row r="1337" spans="1:7" ht="97.5" customHeight="1">
      <c r="A1337" s="106">
        <f>B78_Assessment!$B$2</f>
        <v>78</v>
      </c>
      <c r="B1337" s="106" t="str">
        <f t="shared" si="114"/>
        <v>B70_TR_Assessment</v>
      </c>
      <c r="C1337" s="106" t="str">
        <f t="shared" si="115"/>
        <v>Electrical</v>
      </c>
      <c r="D1337" s="142" t="str">
        <f>B78_Assessment!$A$33</f>
        <v>227A</v>
      </c>
      <c r="E1337" s="142" t="str">
        <f>B78_Assessment!$I$33</f>
        <v>Verify</v>
      </c>
      <c r="F1337" s="106" t="str">
        <f>B78_Assessment!$J$33</f>
        <v>Verify second-level TR sprinkler/FA work, FEC location, vertical riser penetrations and firestopping.</v>
      </c>
      <c r="G1337" s="106" t="str">
        <f>"B78_Assessment!A33:J33"</f>
        <v>B78_Assessment!A33:J33</v>
      </c>
    </row>
    <row r="1338" spans="1:7" ht="97.5" customHeight="1">
      <c r="A1338" s="106">
        <f>B78_Assessment!$B$2</f>
        <v>78</v>
      </c>
      <c r="B1338" s="106" t="str">
        <f t="shared" si="114"/>
        <v>B70_TR_Assessment</v>
      </c>
      <c r="C1338" s="106" t="str">
        <f t="shared" ref="C1338:C1344" si="116">"Fire"</f>
        <v>Fire</v>
      </c>
      <c r="D1338" s="142" t="str">
        <f>B78_Assessment!$A$34</f>
        <v>342</v>
      </c>
      <c r="E1338" s="142" t="str">
        <f>B78_Assessment!$I$34</f>
        <v>Verify</v>
      </c>
      <c r="F1338" s="106" t="str">
        <f>B78_Assessment!$J$34</f>
        <v>Verify third-level TR fire protection/fire alarm coordination and firestop work.</v>
      </c>
      <c r="G1338" s="106" t="str">
        <f>"B78_Assessment!A34:J34"</f>
        <v>B78_Assessment!A34:J34</v>
      </c>
    </row>
    <row r="1339" spans="1:7" ht="97.5" customHeight="1">
      <c r="A1339" s="106">
        <f>B78_Assessment!$B$2</f>
        <v>78</v>
      </c>
      <c r="B1339" s="106" t="str">
        <f t="shared" si="114"/>
        <v>B70_TR_Assessment</v>
      </c>
      <c r="C1339" s="106" t="str">
        <f t="shared" si="116"/>
        <v>Fire</v>
      </c>
      <c r="D1339" s="142" t="str">
        <f>B78_Assessment!$A$35</f>
        <v>401</v>
      </c>
      <c r="E1339" s="142" t="str">
        <f>B78_Assessment!$I$35</f>
        <v>Verify</v>
      </c>
      <c r="F1339" s="106" t="str">
        <f>B78_Assessment!$J$35</f>
        <v>Verify fourth-level TR fire protection/fire alarm coordination and firestop work.</v>
      </c>
      <c r="G1339" s="106" t="str">
        <f>"B78_Assessment!A35:J35"</f>
        <v>B78_Assessment!A35:J35</v>
      </c>
    </row>
    <row r="1340" spans="1:7" ht="97.5" customHeight="1">
      <c r="A1340" s="106">
        <f>B78_Assessment!$B$2</f>
        <v>78</v>
      </c>
      <c r="B1340" s="106" t="str">
        <f t="shared" si="114"/>
        <v>B70_TR_Assessment</v>
      </c>
      <c r="C1340" s="106" t="str">
        <f t="shared" si="116"/>
        <v>Fire</v>
      </c>
      <c r="D1340" s="142" t="str">
        <f>B78_Assessment!$A$36</f>
        <v>Existing rooms</v>
      </c>
      <c r="E1340" s="142" t="str">
        <f>B78_Assessment!$I$36</f>
        <v>Verify</v>
      </c>
      <c r="F1340" s="106" t="str">
        <f>B78_Assessment!$J$36</f>
        <v>Verify existing rooms remain protected during cutover and no unsealed penetrations remain.</v>
      </c>
      <c r="G1340" s="106" t="str">
        <f>"B78_Assessment!A36:J36"</f>
        <v>B78_Assessment!A36:J36</v>
      </c>
    </row>
    <row r="1341" spans="1:7" ht="97.5" customHeight="1">
      <c r="A1341" s="106">
        <f>B78_Assessment!$B$2</f>
        <v>78</v>
      </c>
      <c r="B1341" s="106" t="str">
        <f t="shared" si="114"/>
        <v>B70_TR_Assessment</v>
      </c>
      <c r="C1341" s="106" t="str">
        <f t="shared" si="116"/>
        <v>Fire</v>
      </c>
      <c r="D1341" s="142" t="str">
        <f>B78_Assessment!$A$40</f>
        <v>B30</v>
      </c>
      <c r="E1341" s="142" t="str">
        <f>B78_Assessment!$I$40</f>
        <v>Verify</v>
      </c>
      <c r="F1341" s="106" t="str">
        <f>B78_Assessment!$J$40</f>
        <v>Mechanical sheets included for basement. Verify dedicated cooling equipment, capacity, condensate, emergency source, controls/BACnet and high-temperature alarm.</v>
      </c>
      <c r="G1341" s="106" t="str">
        <f>"B78_Assessment!A40:J40"</f>
        <v>B78_Assessment!A40:J40</v>
      </c>
    </row>
    <row r="1342" spans="1:7" ht="97.5" customHeight="1">
      <c r="A1342" s="106">
        <f>B78_Assessment!$B$2</f>
        <v>78</v>
      </c>
      <c r="B1342" s="106" t="str">
        <f t="shared" si="114"/>
        <v>B70_TR_Assessment</v>
      </c>
      <c r="C1342" s="106" t="str">
        <f t="shared" si="116"/>
        <v>Fire</v>
      </c>
      <c r="D1342" s="142" t="str">
        <f>B78_Assessment!$A$41</f>
        <v>B35</v>
      </c>
      <c r="E1342" s="142" t="str">
        <f>B78_Assessment!$I$41</f>
        <v>Verify</v>
      </c>
      <c r="F1342" s="106" t="str">
        <f>B78_Assessment!$J$41</f>
        <v>Verify dedicated cooling and relationship to B30/B35 telecom buildout.</v>
      </c>
      <c r="G1342" s="106" t="str">
        <f>"B78_Assessment!A41:J41"</f>
        <v>B78_Assessment!A41:J41</v>
      </c>
    </row>
    <row r="1343" spans="1:7" ht="97.5" customHeight="1">
      <c r="A1343" s="106">
        <f>B78_Assessment!$B$2</f>
        <v>78</v>
      </c>
      <c r="B1343" s="106" t="str">
        <f t="shared" si="114"/>
        <v>B70_TR_Assessment</v>
      </c>
      <c r="C1343" s="106" t="str">
        <f t="shared" si="116"/>
        <v>Fire</v>
      </c>
      <c r="D1343" s="142" t="str">
        <f>B78_Assessment!$A$42</f>
        <v>1232</v>
      </c>
      <c r="E1343" s="142" t="str">
        <f>B78_Assessment!$I$42</f>
        <v>Verify</v>
      </c>
      <c r="F1343" s="106" t="str">
        <f>B78_Assessment!$J$42</f>
        <v>Verify first-level TR cooling, controls, emergency power and alarm tie-in.</v>
      </c>
      <c r="G1343" s="106" t="str">
        <f>"B78_Assessment!A42:J42"</f>
        <v>B78_Assessment!A42:J42</v>
      </c>
    </row>
    <row r="1344" spans="1:7" ht="97.5" customHeight="1">
      <c r="A1344" s="106">
        <f>B78_Assessment!$B$2</f>
        <v>78</v>
      </c>
      <c r="B1344" s="106" t="str">
        <f t="shared" si="114"/>
        <v>B70_TR_Assessment</v>
      </c>
      <c r="C1344" s="106" t="str">
        <f t="shared" si="116"/>
        <v>Fire</v>
      </c>
      <c r="D1344" s="142" t="str">
        <f>B78_Assessment!$A$43</f>
        <v>227A</v>
      </c>
      <c r="E1344" s="142" t="str">
        <f>B78_Assessment!$I$43</f>
        <v>Verify</v>
      </c>
      <c r="F1344" s="106" t="str">
        <f>B78_Assessment!$J$43</f>
        <v>Verify second-level TR cooling, condensate route and 24/7 operation.</v>
      </c>
      <c r="G1344" s="106" t="str">
        <f>"B78_Assessment!A43:J43"</f>
        <v>B78_Assessment!A43:J43</v>
      </c>
    </row>
    <row r="1345" spans="1:7" ht="97.5" customHeight="1">
      <c r="A1345" s="106">
        <f>B78_Assessment!$B$2</f>
        <v>78</v>
      </c>
      <c r="B1345" s="106" t="str">
        <f t="shared" si="114"/>
        <v>B70_TR_Assessment</v>
      </c>
      <c r="C1345" s="106" t="str">
        <f t="shared" ref="C1345:C1351" si="117">"HVAC"</f>
        <v>HVAC</v>
      </c>
      <c r="D1345" s="142" t="str">
        <f>B78_Assessment!$A$44</f>
        <v>342</v>
      </c>
      <c r="E1345" s="142" t="str">
        <f>B78_Assessment!$I$44</f>
        <v>Verify</v>
      </c>
      <c r="F1345" s="106" t="str">
        <f>B78_Assessment!$J$44</f>
        <v>Verify third-level TR cooling and control/alarm integration.</v>
      </c>
      <c r="G1345" s="106" t="str">
        <f>"B78_Assessment!A44:J44"</f>
        <v>B78_Assessment!A44:J44</v>
      </c>
    </row>
    <row r="1346" spans="1:7" ht="97.5" customHeight="1">
      <c r="A1346" s="106">
        <f>B78_Assessment!$B$2</f>
        <v>78</v>
      </c>
      <c r="B1346" s="106" t="str">
        <f t="shared" si="114"/>
        <v>B70_TR_Assessment</v>
      </c>
      <c r="C1346" s="106" t="str">
        <f t="shared" si="117"/>
        <v>HVAC</v>
      </c>
      <c r="D1346" s="142" t="str">
        <f>B78_Assessment!$A$45</f>
        <v>401</v>
      </c>
      <c r="E1346" s="142" t="str">
        <f>B78_Assessment!$I$45</f>
        <v>Verify</v>
      </c>
      <c r="F1346" s="106" t="str">
        <f>B78_Assessment!$J$45</f>
        <v>Verify fourth-level TR cooling and control/alarm integration.</v>
      </c>
      <c r="G1346" s="106" t="str">
        <f>"B78_Assessment!A45:J45"</f>
        <v>B78_Assessment!A45:J45</v>
      </c>
    </row>
    <row r="1347" spans="1:7" ht="97.5" customHeight="1">
      <c r="A1347" s="106">
        <f>B78_Assessment!$B$2</f>
        <v>78</v>
      </c>
      <c r="B1347" s="106" t="str">
        <f t="shared" si="114"/>
        <v>B70_TR_Assessment</v>
      </c>
      <c r="C1347" s="106" t="str">
        <f t="shared" si="117"/>
        <v>HVAC</v>
      </c>
      <c r="D1347" s="142" t="str">
        <f>B78_Assessment!$A$46</f>
        <v>Existing rooms</v>
      </c>
      <c r="E1347" s="142" t="str">
        <f>B78_Assessment!$I$46</f>
        <v>Verify</v>
      </c>
      <c r="F1347" s="106" t="str">
        <f>B78_Assessment!$J$46</f>
        <v>Existing telecom rooms likely have legacy cooling dependencies. Verify active equipment temperature and any protect-in-place cooling requirements.</v>
      </c>
      <c r="G1347" s="106" t="str">
        <f>"B78_Assessment!A46:J46"</f>
        <v>B78_Assessment!A46:J46</v>
      </c>
    </row>
    <row r="1348" spans="1:7" ht="97.5" customHeight="1">
      <c r="A1348" s="106">
        <f>B78_Assessment!$B$2</f>
        <v>78</v>
      </c>
      <c r="B1348" s="106" t="str">
        <f t="shared" si="114"/>
        <v>B70_TR_Assessment</v>
      </c>
      <c r="C1348" s="106" t="str">
        <f t="shared" si="117"/>
        <v>HVAC</v>
      </c>
      <c r="D1348" s="142" t="str">
        <f>B78_Assessment!$A$50</f>
        <v>B30</v>
      </c>
      <c r="E1348" s="142" t="str">
        <f>B78_Assessment!$I$50</f>
        <v>Verify</v>
      </c>
      <c r="F1348" s="106" t="str">
        <f>B78_Assessment!$J$50</f>
        <v>Rack elevations identify new rack UPS/PDU and future rack. Verify panelboard/source, SPD, rack receptacles, PDU feeds, labels, load measurement and LOTO.</v>
      </c>
      <c r="G1348" s="106" t="str">
        <f>"B78_Assessment!A50:J50"</f>
        <v>B78_Assessment!A50:J50</v>
      </c>
    </row>
    <row r="1349" spans="1:7" ht="97.5" customHeight="1">
      <c r="A1349" s="106">
        <f>B78_Assessment!$B$2</f>
        <v>78</v>
      </c>
      <c r="B1349" s="106" t="str">
        <f t="shared" si="114"/>
        <v>B70_TR_Assessment</v>
      </c>
      <c r="C1349" s="106" t="str">
        <f t="shared" si="117"/>
        <v>HVAC</v>
      </c>
      <c r="D1349" s="142" t="str">
        <f>B78_Assessment!$A$51</f>
        <v>B35</v>
      </c>
      <c r="E1349" s="142" t="str">
        <f>B78_Assessment!$I$51</f>
        <v>Verify</v>
      </c>
      <c r="F1349" s="106" t="str">
        <f>B78_Assessment!$J$51</f>
        <v>Verify rack UPS/PDU source, spare/future rack provisions and grounding/bonding.</v>
      </c>
      <c r="G1349" s="106" t="str">
        <f>"B78_Assessment!A51:J51"</f>
        <v>B78_Assessment!A51:J51</v>
      </c>
    </row>
    <row r="1350" spans="1:7" ht="97.5" customHeight="1">
      <c r="A1350" s="106">
        <f>B78_Assessment!$B$2</f>
        <v>78</v>
      </c>
      <c r="B1350" s="106" t="str">
        <f t="shared" si="114"/>
        <v>B70_TR_Assessment</v>
      </c>
      <c r="C1350" s="106" t="str">
        <f t="shared" si="117"/>
        <v>HVAC</v>
      </c>
      <c r="D1350" s="142" t="str">
        <f>B78_Assessment!$A$52</f>
        <v>1232</v>
      </c>
      <c r="E1350" s="142" t="str">
        <f>B78_Assessment!$I$52</f>
        <v>Verify</v>
      </c>
      <c r="F1350" s="106" t="str">
        <f>B78_Assessment!$J$52</f>
        <v>Verify first-level rack receptacles, UPS/PDU, panel sources, SPDs and labeling.</v>
      </c>
      <c r="G1350" s="106" t="str">
        <f>"B78_Assessment!A52:J52"</f>
        <v>B78_Assessment!A52:J52</v>
      </c>
    </row>
    <row r="1351" spans="1:7" ht="97.5" customHeight="1">
      <c r="A1351" s="106">
        <f>B78_Assessment!$B$2</f>
        <v>78</v>
      </c>
      <c r="B1351" s="106" t="str">
        <f t="shared" si="114"/>
        <v>B70_TR_Assessment</v>
      </c>
      <c r="C1351" s="106" t="str">
        <f t="shared" si="117"/>
        <v>HVAC</v>
      </c>
      <c r="D1351" s="142" t="str">
        <f>B78_Assessment!$A$53</f>
        <v>227A</v>
      </c>
      <c r="E1351" s="142" t="str">
        <f>B78_Assessment!$I$53</f>
        <v>Verify</v>
      </c>
      <c r="F1351" s="106" t="str">
        <f>B78_Assessment!$J$53</f>
        <v>Verify second-level rack receptacles, UPS/PDU, panel sources, SPDs and labeling.</v>
      </c>
      <c r="G1351" s="106" t="str">
        <f>"B78_Assessment!A53:J53"</f>
        <v>B78_Assessment!A53:J53</v>
      </c>
    </row>
    <row r="1352" spans="1:7" ht="97.5" customHeight="1">
      <c r="A1352" s="106">
        <f>B78_Assessment!$B$2</f>
        <v>78</v>
      </c>
      <c r="B1352" s="106" t="str">
        <f t="shared" si="114"/>
        <v>B70_TR_Assessment</v>
      </c>
      <c r="C1352" s="106" t="str">
        <f t="shared" ref="C1352:C1358" si="118">"Electrical"</f>
        <v>Electrical</v>
      </c>
      <c r="D1352" s="142" t="str">
        <f>B78_Assessment!$A$54</f>
        <v>342</v>
      </c>
      <c r="E1352" s="142" t="str">
        <f>B78_Assessment!$I$54</f>
        <v>Verify</v>
      </c>
      <c r="F1352" s="106" t="str">
        <f>B78_Assessment!$J$54</f>
        <v>Verify third-level rack receptacles for two racks, UPS/PDU, panel sources and labels.</v>
      </c>
      <c r="G1352" s="106" t="str">
        <f>"B78_Assessment!A54:J54"</f>
        <v>B78_Assessment!A54:J54</v>
      </c>
    </row>
    <row r="1353" spans="1:7" ht="97.5" customHeight="1">
      <c r="A1353" s="106">
        <f>B78_Assessment!$B$2</f>
        <v>78</v>
      </c>
      <c r="B1353" s="106" t="str">
        <f t="shared" si="114"/>
        <v>B70_TR_Assessment</v>
      </c>
      <c r="C1353" s="106" t="str">
        <f t="shared" si="118"/>
        <v>Electrical</v>
      </c>
      <c r="D1353" s="142" t="str">
        <f>B78_Assessment!$A$55</f>
        <v>401</v>
      </c>
      <c r="E1353" s="142" t="str">
        <f>B78_Assessment!$I$55</f>
        <v>Verify</v>
      </c>
      <c r="F1353" s="106" t="str">
        <f>B78_Assessment!$J$55</f>
        <v>Verify fourth-level rack receptacles, UPS/PDU, panel sources and labels.</v>
      </c>
      <c r="G1353" s="106" t="str">
        <f>"B78_Assessment!A55:J55"</f>
        <v>B78_Assessment!A55:J55</v>
      </c>
    </row>
    <row r="1354" spans="1:7" ht="97.5" customHeight="1">
      <c r="A1354" s="106">
        <f>B78_Assessment!$B$2</f>
        <v>78</v>
      </c>
      <c r="B1354" s="106" t="str">
        <f t="shared" si="114"/>
        <v>B70_TR_Assessment</v>
      </c>
      <c r="C1354" s="106" t="str">
        <f t="shared" si="118"/>
        <v>Electrical</v>
      </c>
      <c r="D1354" s="142" t="str">
        <f>B78_Assessment!$A$56</f>
        <v>Existing rooms</v>
      </c>
      <c r="E1354" s="142" t="str">
        <f>B78_Assessment!$I$56</f>
        <v>Verify</v>
      </c>
      <c r="F1354" s="106" t="str">
        <f>B78_Assessment!$J$56</f>
        <v>Existing rack elevations show wall-mounted racks/2-post racks, existing UPS/PDU and demarc/fiber equipment. Confirm active power and transfer needs.</v>
      </c>
      <c r="G1354" s="106" t="str">
        <f>"B78_Assessment!A56:J56"</f>
        <v>B78_Assessment!A56:J56</v>
      </c>
    </row>
    <row r="1355" spans="1:7" ht="97.5" customHeight="1">
      <c r="A1355" s="106">
        <f>B78_Assessment!$B$2</f>
        <v>78</v>
      </c>
      <c r="B1355" s="106" t="str">
        <f t="shared" si="114"/>
        <v>B70_TR_Assessment</v>
      </c>
      <c r="C1355" s="106" t="str">
        <f t="shared" si="118"/>
        <v>Electrical</v>
      </c>
      <c r="D1355" s="142" t="str">
        <f>B78_Assessment!$A$60</f>
        <v>B30</v>
      </c>
      <c r="E1355" s="142" t="str">
        <f>B78_Assessment!$I$60</f>
        <v>Verify</v>
      </c>
      <c r="F1355" s="106" t="str">
        <f>B78_Assessment!$J$60</f>
        <v>78_78AT-701: 210 WAO total, 23 active ports, 311 scheduled ports, 342 with allowance; rack IDs TR01-B30-1/-2. Basement cable tray total 1,702 ft.</v>
      </c>
      <c r="G1355" s="106" t="str">
        <f>"B78_Assessment!A60:J60"</f>
        <v>B78_Assessment!A60:J60</v>
      </c>
    </row>
    <row r="1356" spans="1:7" ht="97.5" customHeight="1">
      <c r="A1356" s="106">
        <f>B78_Assessment!$B$2</f>
        <v>78</v>
      </c>
      <c r="B1356" s="106" t="str">
        <f t="shared" si="114"/>
        <v>B70_TR_Assessment</v>
      </c>
      <c r="C1356" s="106" t="str">
        <f t="shared" si="118"/>
        <v>Electrical</v>
      </c>
      <c r="D1356" s="142" t="str">
        <f>B78_Assessment!$A$61</f>
        <v>B35</v>
      </c>
      <c r="E1356" s="142" t="str">
        <f>B78_Assessment!$I$61</f>
        <v>Verify</v>
      </c>
      <c r="F1356" s="106" t="str">
        <f>B78_Assessment!$J$61</f>
        <v>78_78AT-702: 53 WAO total, 23 active ports, 64 scheduled ports, 70 with allowance. Confirm rack ID/room relation and active services.</v>
      </c>
      <c r="G1356" s="106" t="str">
        <f>"B78_Assessment!A61:J61"</f>
        <v>B78_Assessment!A61:J61</v>
      </c>
    </row>
    <row r="1357" spans="1:7" ht="97.5" customHeight="1">
      <c r="A1357" s="106">
        <f>B78_Assessment!$B$2</f>
        <v>78</v>
      </c>
      <c r="B1357" s="106" t="str">
        <f t="shared" si="114"/>
        <v>B70_TR_Assessment</v>
      </c>
      <c r="C1357" s="106" t="str">
        <f t="shared" si="118"/>
        <v>Electrical</v>
      </c>
      <c r="D1357" s="142" t="str">
        <f>B78_Assessment!$A$62</f>
        <v>1232</v>
      </c>
      <c r="E1357" s="142" t="str">
        <f>B78_Assessment!$I$62</f>
        <v>Verify</v>
      </c>
      <c r="F1357" s="106" t="str">
        <f>B78_Assessment!$J$62</f>
        <v>78_78AT-702/703: 301 WAO total, 388 active ports, 404 scheduled ports, 444 with allowance. Large active port count; high cutover risk.</v>
      </c>
      <c r="G1357" s="106" t="str">
        <f>"B78_Assessment!A62:J62"</f>
        <v>B78_Assessment!A62:J62</v>
      </c>
    </row>
    <row r="1358" spans="1:7" ht="97.5" customHeight="1">
      <c r="A1358" s="106">
        <f>B78_Assessment!$B$2</f>
        <v>78</v>
      </c>
      <c r="B1358" s="106" t="str">
        <f t="shared" si="114"/>
        <v>B70_TR_Assessment</v>
      </c>
      <c r="C1358" s="106" t="str">
        <f t="shared" si="118"/>
        <v>Electrical</v>
      </c>
      <c r="D1358" s="142" t="str">
        <f>B78_Assessment!$A$63</f>
        <v>227A</v>
      </c>
      <c r="E1358" s="142" t="str">
        <f>B78_Assessment!$I$63</f>
        <v>Verify</v>
      </c>
      <c r="F1358" s="106" t="str">
        <f>B78_Assessment!$J$63</f>
        <v>78_78AT-703/704: 256 WAO total, 153 active ports, 348 scheduled ports, 383 with allowance. Verify second-level test records and riser labels.</v>
      </c>
      <c r="G1358" s="106" t="str">
        <f>"B78_Assessment!A63:J63"</f>
        <v>B78_Assessment!A63:J63</v>
      </c>
    </row>
    <row r="1359" spans="1:7" ht="97.5" customHeight="1">
      <c r="A1359" s="106">
        <f>B78_Assessment!$B$2</f>
        <v>78</v>
      </c>
      <c r="B1359" s="106" t="str">
        <f t="shared" si="114"/>
        <v>B70_TR_Assessment</v>
      </c>
      <c r="C1359" s="106" t="str">
        <f t="shared" ref="C1359:C1365" si="119">"Telecom"</f>
        <v>Telecom</v>
      </c>
      <c r="D1359" s="142" t="str">
        <f>B78_Assessment!$A$64</f>
        <v>342</v>
      </c>
      <c r="E1359" s="142" t="str">
        <f>B78_Assessment!$I$64</f>
        <v>Verify</v>
      </c>
      <c r="F1359" s="106" t="str">
        <f>B78_Assessment!$J$64</f>
        <v>78_78AT-704: 158 WAO total, 163 active ports, 289 scheduled ports, 318 with allowance. Rack IDs TR01-342-1/-2.</v>
      </c>
      <c r="G1359" s="106" t="str">
        <f>"B78_Assessment!A64:J64"</f>
        <v>B78_Assessment!A64:J64</v>
      </c>
    </row>
    <row r="1360" spans="1:7" ht="97.5" customHeight="1">
      <c r="A1360" s="106">
        <f>B78_Assessment!$B$2</f>
        <v>78</v>
      </c>
      <c r="B1360" s="106" t="str">
        <f t="shared" si="114"/>
        <v>B70_TR_Assessment</v>
      </c>
      <c r="C1360" s="106" t="str">
        <f t="shared" si="119"/>
        <v>Telecom</v>
      </c>
      <c r="D1360" s="142" t="str">
        <f>B78_Assessment!$A$65</f>
        <v>401</v>
      </c>
      <c r="E1360" s="142" t="str">
        <f>B78_Assessment!$I$65</f>
        <v>Verify</v>
      </c>
      <c r="F1360" s="106" t="str">
        <f>B78_Assessment!$J$65</f>
        <v>78_78AT-705: 89 WAO total, 65 active ports, 123 scheduled ports, 135 with allowance.</v>
      </c>
      <c r="G1360" s="106" t="str">
        <f>"B78_Assessment!A65:J65"</f>
        <v>B78_Assessment!A65:J65</v>
      </c>
    </row>
    <row r="1361" spans="1:7" ht="97.5" customHeight="1">
      <c r="A1361" s="106">
        <f>B78_Assessment!$B$2</f>
        <v>78</v>
      </c>
      <c r="B1361" s="106" t="str">
        <f t="shared" si="114"/>
        <v>B70_TR_Assessment</v>
      </c>
      <c r="C1361" s="106" t="str">
        <f t="shared" si="119"/>
        <v>Telecom</v>
      </c>
      <c r="D1361" s="142" t="str">
        <f>B78_Assessment!$A$66</f>
        <v>Existing rooms</v>
      </c>
      <c r="E1361" s="142" t="str">
        <f>B78_Assessment!$I$66</f>
        <v>Verify</v>
      </c>
      <c r="F1361" s="106" t="str">
        <f>B78_Assessment!$J$66</f>
        <v>Photo references identify existing telecom rooms 15E, 1234, 353, 308A and 408A; verify all active services and transfer plan.</v>
      </c>
      <c r="G1361" s="106" t="str">
        <f>"B78_Assessment!A66:J66"</f>
        <v>B78_Assessment!A66:J66</v>
      </c>
    </row>
    <row r="1362" spans="1:7" ht="97.5" customHeight="1">
      <c r="A1362" s="106">
        <f>B78_Assessment!$B$2</f>
        <v>78</v>
      </c>
      <c r="B1362" s="106" t="str">
        <f t="shared" si="114"/>
        <v>B70_TR_Assessment</v>
      </c>
      <c r="C1362" s="106" t="str">
        <f t="shared" si="119"/>
        <v>Telecom</v>
      </c>
      <c r="D1362" s="142" t="str">
        <f>B78_Assessment!$A$70</f>
        <v>B30</v>
      </c>
      <c r="E1362" s="142" t="str">
        <f>B78_Assessment!$I$70</f>
        <v>Verify</v>
      </c>
      <c r="F1362" s="106" t="str">
        <f>B78_Assessment!$J$70</f>
        <v>TR scope includes wall-mounted CCTV cameras and PACS for TR doors. Verify CR/RX/DC/ES/MD, controller and VMS integration.</v>
      </c>
      <c r="G1362" s="106" t="str">
        <f>"B78_Assessment!A70:J70"</f>
        <v>B78_Assessment!A70:J70</v>
      </c>
    </row>
    <row r="1363" spans="1:7" ht="97.5" customHeight="1">
      <c r="A1363" s="106">
        <f>B78_Assessment!$B$2</f>
        <v>78</v>
      </c>
      <c r="B1363" s="106" t="str">
        <f t="shared" si="114"/>
        <v>B70_TR_Assessment</v>
      </c>
      <c r="C1363" s="106" t="str">
        <f t="shared" si="119"/>
        <v>Telecom</v>
      </c>
      <c r="D1363" s="142" t="str">
        <f>B78_Assessment!$A$71</f>
        <v>B35</v>
      </c>
      <c r="E1363" s="142" t="str">
        <f>B78_Assessment!$I$71</f>
        <v>Verify</v>
      </c>
      <c r="F1363" s="106" t="str">
        <f>B78_Assessment!$J$71</f>
        <v>Verify PACS/CCTV integration and door hardware coordination.</v>
      </c>
      <c r="G1363" s="106" t="str">
        <f>"B78_Assessment!A71:J71"</f>
        <v>B78_Assessment!A71:J71</v>
      </c>
    </row>
    <row r="1364" spans="1:7" ht="97.5" customHeight="1">
      <c r="A1364" s="106">
        <f>B78_Assessment!$B$2</f>
        <v>78</v>
      </c>
      <c r="B1364" s="106" t="str">
        <f t="shared" si="114"/>
        <v>B70_TR_Assessment</v>
      </c>
      <c r="C1364" s="106" t="str">
        <f t="shared" si="119"/>
        <v>Telecom</v>
      </c>
      <c r="D1364" s="142" t="str">
        <f>B78_Assessment!$A$72</f>
        <v>1232</v>
      </c>
      <c r="E1364" s="142" t="str">
        <f>B78_Assessment!$I$72</f>
        <v>Verify</v>
      </c>
      <c r="F1364" s="106" t="str">
        <f>B78_Assessment!$J$72</f>
        <v>Verify first-level TR PACS/CCTV and VMS integration.</v>
      </c>
      <c r="G1364" s="106" t="str">
        <f>"B78_Assessment!A72:J72"</f>
        <v>B78_Assessment!A72:J72</v>
      </c>
    </row>
    <row r="1365" spans="1:7" ht="97.5" customHeight="1">
      <c r="A1365" s="106">
        <f>B78_Assessment!$B$2</f>
        <v>78</v>
      </c>
      <c r="B1365" s="106" t="str">
        <f t="shared" si="114"/>
        <v>B70_TR_Assessment</v>
      </c>
      <c r="C1365" s="106" t="str">
        <f t="shared" si="119"/>
        <v>Telecom</v>
      </c>
      <c r="D1365" s="142" t="str">
        <f>B78_Assessment!$A$73</f>
        <v>227A</v>
      </c>
      <c r="E1365" s="142" t="str">
        <f>B78_Assessment!$I$73</f>
        <v>Verify</v>
      </c>
      <c r="F1365" s="106" t="str">
        <f>B78_Assessment!$J$73</f>
        <v>Verify second-level TR PACS/CCTV and VMS integration.</v>
      </c>
      <c r="G1365" s="106" t="str">
        <f>"B78_Assessment!A73:J73"</f>
        <v>B78_Assessment!A73:J73</v>
      </c>
    </row>
    <row r="1366" spans="1:7" ht="97.5" customHeight="1">
      <c r="A1366" s="106">
        <f>B78_Assessment!$B$2</f>
        <v>78</v>
      </c>
      <c r="B1366" s="106" t="str">
        <f t="shared" ref="B1366:B1375" si="120">"B78_Assessment"</f>
        <v>B78_Assessment</v>
      </c>
      <c r="C1366" s="106" t="str">
        <f>"Security"</f>
        <v>Security</v>
      </c>
      <c r="D1366" s="142" t="str">
        <f>B78_Assessment!$A$74</f>
        <v>342</v>
      </c>
      <c r="E1366" s="142" t="str">
        <f>B78_Assessment!$I$74</f>
        <v>Verify</v>
      </c>
      <c r="F1366" s="106" t="str">
        <f>B78_Assessment!$J$74</f>
        <v>Verify third-level TR PACS/CCTV and VMS integration.</v>
      </c>
      <c r="G1366" s="106" t="str">
        <f>"B78_Assessment!A74:J74"</f>
        <v>B78_Assessment!A74:J74</v>
      </c>
    </row>
    <row r="1367" spans="1:7" ht="97.5" customHeight="1">
      <c r="A1367" s="106">
        <f>B78_Assessment!$B$2</f>
        <v>78</v>
      </c>
      <c r="B1367" s="106" t="str">
        <f t="shared" si="120"/>
        <v>B78_Assessment</v>
      </c>
      <c r="C1367" s="106" t="str">
        <f>"Security"</f>
        <v>Security</v>
      </c>
      <c r="D1367" s="142" t="str">
        <f>B78_Assessment!$A$75</f>
        <v>401</v>
      </c>
      <c r="E1367" s="142" t="str">
        <f>B78_Assessment!$I$75</f>
        <v>Verify</v>
      </c>
      <c r="F1367" s="106" t="str">
        <f>B78_Assessment!$J$75</f>
        <v>Verify fourth-level TR PACS/CCTV and VMS integration.</v>
      </c>
      <c r="G1367" s="106" t="str">
        <f>"B78_Assessment!A75:J75"</f>
        <v>B78_Assessment!A75:J75</v>
      </c>
    </row>
    <row r="1368" spans="1:7" ht="97.5" customHeight="1">
      <c r="A1368" s="106">
        <f>B78_Assessment!$B$2</f>
        <v>78</v>
      </c>
      <c r="B1368" s="106" t="str">
        <f t="shared" si="120"/>
        <v>B78_Assessment</v>
      </c>
      <c r="C1368" s="106" t="str">
        <f>"Security"</f>
        <v>Security</v>
      </c>
      <c r="D1368" s="142" t="str">
        <f>B78_Assessment!$A$76</f>
        <v>Existing rooms</v>
      </c>
      <c r="E1368" s="142" t="str">
        <f>B78_Assessment!$I$76</f>
        <v>Verify</v>
      </c>
      <c r="F1368" s="106" t="str">
        <f>B78_Assessment!$J$76</f>
        <v>Verify existing PACS/security devices are protected-in-place or recabled without VMS/PACS disruption.</v>
      </c>
      <c r="G1368" s="106" t="str">
        <f>"B78_Assessment!A76:J76"</f>
        <v>B78_Assessment!A76:J76</v>
      </c>
    </row>
    <row r="1369" spans="1:7" ht="97.5" customHeight="1">
      <c r="A1369" s="106" t="str">
        <f>B80_Assessment!$B$2</f>
        <v>80</v>
      </c>
      <c r="B1369" s="106" t="str">
        <f t="shared" si="120"/>
        <v>B78_Assessment</v>
      </c>
      <c r="C1369" s="106" t="str">
        <f>"Fire"</f>
        <v>Fire</v>
      </c>
      <c r="D1369" s="142" t="str">
        <f>B80_Assessment!$A$20</f>
        <v>102</v>
      </c>
      <c r="E1369" s="142" t="str">
        <f>B80_Assessment!$I$20</f>
        <v>Verify</v>
      </c>
      <c r="F1369" s="106" t="str">
        <f>B80_Assessment!$J$20</f>
        <v>Full fire protection scope included. Verify sprinkler modifications, fire alarm devices, clean-agent 2A:10B:C FEC within 75 ft, rated wall/floor penetrations, and temporary firestopping during cable pulls.</v>
      </c>
      <c r="G1369" s="106" t="str">
        <f>"B80_Assessment!A20:J20"</f>
        <v>B80_Assessment!A20:J20</v>
      </c>
    </row>
    <row r="1370" spans="1:7" ht="97.5" customHeight="1">
      <c r="A1370" s="106" t="str">
        <f>B80_Assessment!$B$2</f>
        <v>80</v>
      </c>
      <c r="B1370" s="106" t="str">
        <f t="shared" si="120"/>
        <v>B78_Assessment</v>
      </c>
      <c r="C1370" s="106" t="str">
        <f>"Fire"</f>
        <v>Fire</v>
      </c>
      <c r="D1370" s="142" t="str">
        <f>B80_Assessment!$A$21</f>
        <v>127A / 126</v>
      </c>
      <c r="E1370" s="142" t="str">
        <f>B80_Assessment!$I$21</f>
        <v>Verify</v>
      </c>
      <c r="F1370" s="106" t="str">
        <f>B80_Assessment!$J$21</f>
        <v>Existing telecom closet/room; verify fire alarm/sprinkler protection-in-place and seal removed/reused penetrations after cutover.</v>
      </c>
      <c r="G1370" s="106" t="str">
        <f>"B80_Assessment!A21:J21"</f>
        <v>B80_Assessment!A21:J21</v>
      </c>
    </row>
    <row r="1371" spans="1:7" ht="97.5" customHeight="1">
      <c r="A1371" s="106" t="str">
        <f>B80_Assessment!$B$2</f>
        <v>80</v>
      </c>
      <c r="B1371" s="106" t="str">
        <f t="shared" si="120"/>
        <v>B78_Assessment</v>
      </c>
      <c r="C1371" s="106" t="str">
        <f>"HVAC"</f>
        <v>HVAC</v>
      </c>
      <c r="D1371" s="142" t="str">
        <f>B80_Assessment!$A$25</f>
        <v>102</v>
      </c>
      <c r="E1371" s="142" t="str">
        <f>B80_Assessment!$I$25</f>
        <v>Verify</v>
      </c>
      <c r="F1371" s="106" t="str">
        <f>B80_Assessment!$J$25</f>
        <v>Mechanical/electrical drawings show IU-1-01 in Telecom Room 102 and CU-1-01 outdoor unit. Confirm capacity, emergency/standby source, BACnet interface, thermostat/control point, condensate pump/path, disconnects, and high-temperature alarm.</v>
      </c>
      <c r="G1371" s="106" t="str">
        <f>"B80_Assessment!A25:J25"</f>
        <v>B80_Assessment!A25:J25</v>
      </c>
    </row>
    <row r="1372" spans="1:7" ht="97.5" customHeight="1">
      <c r="A1372" s="106" t="str">
        <f>B80_Assessment!$B$2</f>
        <v>80</v>
      </c>
      <c r="B1372" s="106" t="str">
        <f t="shared" si="120"/>
        <v>B78_Assessment</v>
      </c>
      <c r="C1372" s="106" t="str">
        <f>"HVAC"</f>
        <v>HVAC</v>
      </c>
      <c r="D1372" s="142" t="str">
        <f>B80_Assessment!$A$26</f>
        <v>127A / 126</v>
      </c>
      <c r="E1372" s="142" t="str">
        <f>B80_Assessment!$I$26</f>
        <v>Verify</v>
      </c>
      <c r="F1372" s="106" t="str">
        <f>B80_Assessment!$J$26</f>
        <v>Existing telecom room/closet may remain active during cutover. Verify existing environmental condition and whether any active equipment remains after migration to Room 102.</v>
      </c>
      <c r="G1372" s="106" t="str">
        <f>"B80_Assessment!A26:J26"</f>
        <v>B80_Assessment!A26:J26</v>
      </c>
    </row>
    <row r="1373" spans="1:7" ht="97.5" customHeight="1">
      <c r="A1373" s="106" t="str">
        <f>B80_Assessment!$B$2</f>
        <v>80</v>
      </c>
      <c r="B1373" s="106" t="str">
        <f t="shared" si="120"/>
        <v>B78_Assessment</v>
      </c>
      <c r="C1373" s="106" t="str">
        <f>"Electrical"</f>
        <v>Electrical</v>
      </c>
      <c r="D1373" s="142" t="str">
        <f>B80_Assessment!$A$30</f>
        <v>102</v>
      </c>
      <c r="E1373" s="142" t="str">
        <f>B80_Assessment!$I$30</f>
        <v>Verify</v>
      </c>
      <c r="F1373" s="106" t="str">
        <f>B80_Assessment!$J$30</f>
        <v>Electrical plans/schedules identify B80-TR102A fed from BUS-B80-MDP and B80-TR102B fed from BUS-B80-E1, with rack receptacles, normal/emergency circuits, CU-1-01, SPD requirements and 30-day load measurement requirements.</v>
      </c>
      <c r="G1373" s="106" t="str">
        <f>"B80_Assessment!A30:J30"</f>
        <v>B80_Assessment!A30:J30</v>
      </c>
    </row>
    <row r="1374" spans="1:7" ht="97.5" customHeight="1">
      <c r="A1374" s="106" t="str">
        <f>B80_Assessment!$B$2</f>
        <v>80</v>
      </c>
      <c r="B1374" s="106" t="str">
        <f t="shared" si="120"/>
        <v>B78_Assessment</v>
      </c>
      <c r="C1374" s="106" t="str">
        <f>"Electrical"</f>
        <v>Electrical</v>
      </c>
      <c r="D1374" s="142" t="str">
        <f>B80_Assessment!$A$31</f>
        <v>127A / 126</v>
      </c>
      <c r="E1374" s="142" t="str">
        <f>B80_Assessment!$I$31</f>
        <v>Verify</v>
      </c>
      <c r="F1374" s="106" t="str">
        <f>B80_Assessment!$J$31</f>
        <v>Existing rack/equipment area includes APC floor UPS and legacy telecom power. Verify source circuits, active equipment, UPS status, and transfer requirements before disconnect/removal.</v>
      </c>
      <c r="G1374" s="106" t="str">
        <f>"B80_Assessment!A31:J31"</f>
        <v>B80_Assessment!A31:J31</v>
      </c>
    </row>
    <row r="1375" spans="1:7" ht="97.5" customHeight="1">
      <c r="A1375" s="106" t="str">
        <f>B80_Assessment!$B$2</f>
        <v>80</v>
      </c>
      <c r="B1375" s="106" t="str">
        <f t="shared" si="120"/>
        <v>B78_Assessment</v>
      </c>
      <c r="C1375" s="106" t="str">
        <f>"Telecom"</f>
        <v>Telecom</v>
      </c>
      <c r="D1375" s="142" t="str">
        <f>B80_Assessment!$A$35</f>
        <v>102</v>
      </c>
      <c r="E1375" s="142" t="str">
        <f>B80_Assessment!$I$35</f>
        <v>Verify</v>
      </c>
      <c r="F1375" s="106" t="str">
        <f>B80_Assessment!$J$35</f>
        <v>80T-701 identifies RM102 with 117 WAO total, 98 active ports per survey, 195 total ports per schedule, and 215 total ports with 10% allowance. Rack IDs include TR01-102-1 and TR01-102-2; rack elevation shows 1 new rack plus future rack with switches, Cat6A patch panels, Cat5e patch panel, Fiber LIU, UPS and PDU.</v>
      </c>
      <c r="G1375" s="106" t="str">
        <f>"B80_Assessment!A35:J35"</f>
        <v>B80_Assessment!A35:J35</v>
      </c>
    </row>
    <row r="1376" spans="1:7" ht="97.5" customHeight="1">
      <c r="A1376" s="106" t="str">
        <f>B80_Assessment!$B$2</f>
        <v>80</v>
      </c>
      <c r="B1376" s="106" t="str">
        <f t="shared" ref="B1376:B1385" si="121">"B80_Assessment"</f>
        <v>B80_Assessment</v>
      </c>
      <c r="C1376" s="106" t="str">
        <f>"Telecom"</f>
        <v>Telecom</v>
      </c>
      <c r="D1376" s="142" t="str">
        <f>B80_Assessment!$A$36</f>
        <v>127A / 126</v>
      </c>
      <c r="E1376" s="142" t="str">
        <f>B80_Assessment!$I$36</f>
        <v>Verify</v>
      </c>
      <c r="F1376" s="106" t="str">
        <f>B80_Assessment!$J$36</f>
        <v>Existing rack elevation shows Cisco switches, legacy optical Fiber LIU on wall, multiple legacy Ortronics 24/48-port patch panels, legacy Cat5e 24-port patch panel, and APC floor UPS. Contractor must transfer existing devices to new rack and protect active services.</v>
      </c>
      <c r="G1376" s="106" t="str">
        <f>"B80_Assessment!A36:J36"</f>
        <v>B80_Assessment!A36:J36</v>
      </c>
    </row>
    <row r="1377" spans="1:7" ht="97.5" customHeight="1">
      <c r="A1377" s="106" t="str">
        <f>B80_Assessment!$B$2</f>
        <v>80</v>
      </c>
      <c r="B1377" s="106" t="str">
        <f t="shared" si="121"/>
        <v>B80_Assessment</v>
      </c>
      <c r="C1377" s="106" t="str">
        <f>"Security"</f>
        <v>Security</v>
      </c>
      <c r="D1377" s="142" t="str">
        <f>B80_Assessment!$A$40</f>
        <v>102</v>
      </c>
      <c r="E1377" s="142" t="str">
        <f>B80_Assessment!$I$40</f>
        <v>Verify</v>
      </c>
      <c r="F1377" s="106" t="str">
        <f>B80_Assessment!$J$40</f>
        <v>Electrical/telecom plans show access-control scope and camera 102-CAM-1. Verify CR/RX/DC/ES/MD devices, controller, electric strike, camera/VMS integration, and door hardware coordination.</v>
      </c>
      <c r="G1377" s="106" t="str">
        <f>"B80_Assessment!A40:J40"</f>
        <v>B80_Assessment!A40:J40</v>
      </c>
    </row>
    <row r="1378" spans="1:7" ht="97.5" customHeight="1">
      <c r="A1378" s="106" t="str">
        <f>B80_Assessment!$B$2</f>
        <v>80</v>
      </c>
      <c r="B1378" s="106" t="str">
        <f t="shared" si="121"/>
        <v>B80_Assessment</v>
      </c>
      <c r="C1378" s="106" t="str">
        <f>"Security"</f>
        <v>Security</v>
      </c>
      <c r="D1378" s="142" t="str">
        <f>B80_Assessment!$A$41</f>
        <v>127A / 126</v>
      </c>
      <c r="E1378" s="142" t="str">
        <f>B80_Assessment!$I$41</f>
        <v>Verify</v>
      </c>
      <c r="F1378" s="106" t="str">
        <f>B80_Assessment!$J$41</f>
        <v>Verify existing security/PACS equipment conditions and whether any existing camera/security device is protected, recabled, or removed during cutover.</v>
      </c>
      <c r="G1378" s="106" t="str">
        <f>"B80_Assessment!A41:J41"</f>
        <v>B80_Assessment!A41:J41</v>
      </c>
    </row>
    <row r="1379" spans="1:7" ht="97.5" customHeight="1">
      <c r="A1379" s="106" t="str">
        <f>B82_Assessment!$B$2</f>
        <v>82</v>
      </c>
      <c r="B1379" s="106" t="str">
        <f t="shared" si="121"/>
        <v>B80_Assessment</v>
      </c>
      <c r="C1379" s="106" t="str">
        <f>"Fire"</f>
        <v>Fire</v>
      </c>
      <c r="D1379" s="142" t="str">
        <f>B82_Assessment!$A$20</f>
        <v>102</v>
      </c>
      <c r="E1379" s="142" t="str">
        <f>B82_Assessment!$I$20</f>
        <v>Verify</v>
      </c>
      <c r="F1379" s="106" t="str">
        <f>B82_Assessment!$J$20</f>
        <v>Cover sheet states Building 82 receives a Telecom Enclosure and fire protection scope is excluded. Still verify rated penetrations, 4-inch sleeve, wall/floor openings, temporary firestopping, and life-safety device impacts.</v>
      </c>
      <c r="G1379" s="106" t="str">
        <f>"B82_Assessment!A20:J20"</f>
        <v>B82_Assessment!A20:J20</v>
      </c>
    </row>
    <row r="1380" spans="1:7" ht="97.5" customHeight="1">
      <c r="A1380" s="106" t="str">
        <f>B82_Assessment!$B$2</f>
        <v>82</v>
      </c>
      <c r="B1380" s="106" t="str">
        <f t="shared" si="121"/>
        <v>B80_Assessment</v>
      </c>
      <c r="C1380" s="106" t="str">
        <f>"Fire"</f>
        <v>Fire</v>
      </c>
      <c r="D1380" s="142" t="str">
        <f>B82_Assessment!$A$21</f>
        <v>B01-A</v>
      </c>
      <c r="E1380" s="142" t="str">
        <f>B82_Assessment!$I$21</f>
        <v>Verify</v>
      </c>
      <c r="F1380" s="106" t="str">
        <f>B82_Assessment!$J$21</f>
        <v>Existing telecom room; verify protection-in-place and firestopping after cable transfer or reuse.</v>
      </c>
      <c r="G1380" s="106" t="str">
        <f>"B82_Assessment!A21:J21"</f>
        <v>B82_Assessment!A21:J21</v>
      </c>
    </row>
    <row r="1381" spans="1:7" ht="97.5" customHeight="1">
      <c r="A1381" s="106" t="str">
        <f>B82_Assessment!$B$2</f>
        <v>82</v>
      </c>
      <c r="B1381" s="106" t="str">
        <f t="shared" si="121"/>
        <v>B80_Assessment</v>
      </c>
      <c r="C1381" s="106" t="str">
        <f>"HVAC"</f>
        <v>HVAC</v>
      </c>
      <c r="D1381" s="142" t="str">
        <f>B82_Assessment!$A$25</f>
        <v>102</v>
      </c>
      <c r="E1381" s="142" t="str">
        <f>B82_Assessment!$I$25</f>
        <v>Verify</v>
      </c>
      <c r="F1381" s="106" t="str">
        <f>B82_Assessment!$J$25</f>
        <v>Mechanical and electrical drawings show IU-1-01 in/near Telecom Room 102 and CU-1-01 outdoor unit. Mechanical notes call for BACnet adapter mounted adjacent to unit in telecom room. Confirm capacity, emergency/standby source, condensate pump/path, disconnects, controls, and high-temp alarm.</v>
      </c>
      <c r="G1381" s="106" t="str">
        <f>"B82_Assessment!A25:J25"</f>
        <v>B82_Assessment!A25:J25</v>
      </c>
    </row>
    <row r="1382" spans="1:7" ht="97.5" customHeight="1">
      <c r="A1382" s="106" t="str">
        <f>B82_Assessment!$B$2</f>
        <v>82</v>
      </c>
      <c r="B1382" s="106" t="str">
        <f t="shared" si="121"/>
        <v>B80_Assessment</v>
      </c>
      <c r="C1382" s="106" t="str">
        <f>"HVAC"</f>
        <v>HVAC</v>
      </c>
      <c r="D1382" s="142" t="str">
        <f>B82_Assessment!$A$26</f>
        <v>B01-A</v>
      </c>
      <c r="E1382" s="142" t="str">
        <f>B82_Assessment!$I$26</f>
        <v>Verify</v>
      </c>
      <c r="F1382" s="106" t="str">
        <f>B82_Assessment!$J$26</f>
        <v>Existing telecom room may remain active during cutover. Verify existing environmental conditions and whether active equipment remains after transfer to Room 102.</v>
      </c>
      <c r="G1382" s="106" t="str">
        <f>"B82_Assessment!A26:J26"</f>
        <v>B82_Assessment!A26:J26</v>
      </c>
    </row>
    <row r="1383" spans="1:7" ht="97.5" customHeight="1">
      <c r="A1383" s="106" t="str">
        <f>B82_Assessment!$B$2</f>
        <v>82</v>
      </c>
      <c r="B1383" s="106" t="str">
        <f t="shared" si="121"/>
        <v>B80_Assessment</v>
      </c>
      <c r="C1383" s="106" t="str">
        <f>"Electrical"</f>
        <v>Electrical</v>
      </c>
      <c r="D1383" s="142" t="str">
        <f>B82_Assessment!$A$30</f>
        <v>102</v>
      </c>
      <c r="E1383" s="142" t="str">
        <f>B82_Assessment!$I$30</f>
        <v>Verify</v>
      </c>
      <c r="F1383" s="106" t="str">
        <f>B82_Assessment!$J$30</f>
        <v>Electrical plans/schedules identify TE receptacle, CU-1-01, B82-MDP and B82-P-EMER sources, with SPD devices integral to new telecom panelboards. Verify receptacle type, grounding/bonding, emergency source, labels, and circuit loading.</v>
      </c>
      <c r="G1383" s="106" t="str">
        <f>"B82_Assessment!A30:J30"</f>
        <v>B82_Assessment!A30:J30</v>
      </c>
    </row>
    <row r="1384" spans="1:7" ht="97.5" customHeight="1">
      <c r="A1384" s="106" t="str">
        <f>B82_Assessment!$B$2</f>
        <v>82</v>
      </c>
      <c r="B1384" s="106" t="str">
        <f t="shared" si="121"/>
        <v>B80_Assessment</v>
      </c>
      <c r="C1384" s="106" t="str">
        <f>"Electrical"</f>
        <v>Electrical</v>
      </c>
      <c r="D1384" s="142" t="str">
        <f>B82_Assessment!$A$31</f>
        <v>B01-A</v>
      </c>
      <c r="E1384" s="142" t="str">
        <f>B82_Assessment!$I$31</f>
        <v>Verify</v>
      </c>
      <c r="F1384" s="106" t="str">
        <f>B82_Assessment!$J$31</f>
        <v>Existing rack/equipment area includes APC floor UPS and legacy telecom power. Verify source circuits, active equipment, UPS status, and transfer requirements before disconnect/removal.</v>
      </c>
      <c r="G1384" s="106" t="str">
        <f>"B82_Assessment!A31:J31"</f>
        <v>B82_Assessment!A31:J31</v>
      </c>
    </row>
    <row r="1385" spans="1:7" ht="97.5" customHeight="1">
      <c r="A1385" s="106" t="str">
        <f>B82_Assessment!$B$2</f>
        <v>82</v>
      </c>
      <c r="B1385" s="106" t="str">
        <f t="shared" si="121"/>
        <v>B80_Assessment</v>
      </c>
      <c r="C1385" s="106" t="str">
        <f>"Telecom"</f>
        <v>Telecom</v>
      </c>
      <c r="D1385" s="142" t="str">
        <f>B82_Assessment!$A$35</f>
        <v>102</v>
      </c>
      <c r="E1385" s="142" t="str">
        <f>B82_Assessment!$I$35</f>
        <v>Verify</v>
      </c>
      <c r="F1385" s="106" t="str">
        <f>B82_Assessment!$J$35</f>
        <v>82T-701 identifies RM102 with 26 WAO total, 31 active ports per survey, 36 total ports per schedule, and 40 total ports with 10% allowance. Rack ID TR01-102-01. Cable tray schedule totals 278 ft on first level. New enclosure includes APC UPS, two PDUs, network switch, Cat6A patch panel and Fiber LIU.</v>
      </c>
      <c r="G1385" s="106" t="str">
        <f>"B82_Assessment!A35:J35"</f>
        <v>B82_Assessment!A35:J35</v>
      </c>
    </row>
    <row r="1386" spans="1:7" ht="97.5" customHeight="1">
      <c r="A1386" s="106" t="str">
        <f>B82_Assessment!$B$2</f>
        <v>82</v>
      </c>
      <c r="B1386" s="106" t="str">
        <f t="shared" ref="B1386:B1395" si="122">"B82_Assessment"</f>
        <v>B82_Assessment</v>
      </c>
      <c r="C1386" s="106" t="str">
        <f>"Telecom"</f>
        <v>Telecom</v>
      </c>
      <c r="D1386" s="142" t="str">
        <f>B82_Assessment!$A$36</f>
        <v>B01-A</v>
      </c>
      <c r="E1386" s="142" t="str">
        <f>B82_Assessment!$I$36</f>
        <v>Verify</v>
      </c>
      <c r="F1386" s="106" t="str">
        <f>B82_Assessment!$J$36</f>
        <v>Existing B01-A elevations identify Cisco switches, cable management, two Ortronics 24-port patch panels with 11 and 6 used, existing patch panels and APC floor UPS. Field verify active services and transfer plan to new TE.</v>
      </c>
      <c r="G1386" s="106" t="str">
        <f>"B82_Assessment!A36:J36"</f>
        <v>B82_Assessment!A36:J36</v>
      </c>
    </row>
    <row r="1387" spans="1:7" ht="97.5" customHeight="1">
      <c r="A1387" s="106" t="str">
        <f>B82_Assessment!$B$2</f>
        <v>82</v>
      </c>
      <c r="B1387" s="106" t="str">
        <f t="shared" si="122"/>
        <v>B82_Assessment</v>
      </c>
      <c r="C1387" s="106" t="str">
        <f>"Security"</f>
        <v>Security</v>
      </c>
      <c r="D1387" s="142" t="str">
        <f>B82_Assessment!$A$40</f>
        <v>102</v>
      </c>
      <c r="E1387" s="142" t="str">
        <f>B82_Assessment!$I$40</f>
        <v>Verify</v>
      </c>
      <c r="F1387" s="106" t="str">
        <f>B82_Assessment!$J$40</f>
        <v>Building 82 appears to create a TE enclosure rather than a full TR door/PACS package. Verify existing cameras/security devices in Room 102 and ensure no camera angle or VMS integration is disrupted.</v>
      </c>
      <c r="G1387" s="106" t="str">
        <f>"B82_Assessment!A40:J40"</f>
        <v>B82_Assessment!A40:J40</v>
      </c>
    </row>
    <row r="1388" spans="1:7" ht="97.5" customHeight="1">
      <c r="A1388" s="106" t="str">
        <f>B82_Assessment!$B$2</f>
        <v>82</v>
      </c>
      <c r="B1388" s="106" t="str">
        <f t="shared" si="122"/>
        <v>B82_Assessment</v>
      </c>
      <c r="C1388" s="106" t="str">
        <f>"Security"</f>
        <v>Security</v>
      </c>
      <c r="D1388" s="142" t="str">
        <f>B82_Assessment!$A$41</f>
        <v>B01-A</v>
      </c>
      <c r="E1388" s="142" t="str">
        <f>B82_Assessment!$I$41</f>
        <v>Verify</v>
      </c>
      <c r="F1388" s="106" t="str">
        <f>B82_Assessment!$J$41</f>
        <v>Keynotes indicate existing cameras are to be retained and re-used. Verify security/access conditions and whether any legacy security equipment is present at existing telecom room.</v>
      </c>
      <c r="G1388" s="106" t="str">
        <f>"B82_Assessment!A41:J41"</f>
        <v>B82_Assessment!A41:J41</v>
      </c>
    </row>
    <row r="1389" spans="1:7" ht="97.5" customHeight="1">
      <c r="A1389" s="106" t="str">
        <f>BCH_Assessment!$B$2</f>
        <v>BCH</v>
      </c>
      <c r="B1389" s="106" t="str">
        <f t="shared" si="122"/>
        <v>B82_Assessment</v>
      </c>
      <c r="C1389" s="106" t="str">
        <f>"Fire"</f>
        <v>Fire</v>
      </c>
      <c r="D1389" s="142" t="str">
        <f>BCH_Assessment!$A$20</f>
        <v>107</v>
      </c>
      <c r="E1389" s="142" t="str">
        <f>BCH_Assessment!$I$20</f>
        <v>Verify</v>
      </c>
      <c r="F1389" s="106" t="str">
        <f>BCH_Assessment!$J$20</f>
        <v>Cover sheet states BCH receives a Telecom Enclosure and mechanical/fire protection scope has been excluded. Still verify existing life-safety protection, rated penetrations, 4-inch sleeve fire caulk, temporary firestopping and abandoned penetration patching.</v>
      </c>
      <c r="G1389" s="106" t="str">
        <f>"BCH_Assessment!A20:J20"</f>
        <v>BCH_Assessment!A20:J20</v>
      </c>
    </row>
    <row r="1390" spans="1:7" ht="97.5" customHeight="1">
      <c r="A1390" s="106" t="str">
        <f>BCH_Assessment!$B$2</f>
        <v>BCH</v>
      </c>
      <c r="B1390" s="106" t="str">
        <f t="shared" si="122"/>
        <v>B82_Assessment</v>
      </c>
      <c r="C1390" s="106" t="str">
        <f>"Fire"</f>
        <v>Fire</v>
      </c>
      <c r="D1390" s="142" t="str">
        <f>BCH_Assessment!$A$21</f>
        <v>00 / 107</v>
      </c>
      <c r="E1390" s="142" t="str">
        <f>BCH_Assessment!$I$21</f>
        <v>Verify</v>
      </c>
      <c r="F1390" s="106" t="str">
        <f>BCH_Assessment!$J$21</f>
        <v>TE-only scope does not appear to require new FEC/fire sprinkler work, but all wall/floor/ceiling penetrations must be sealed and rated assemblies maintained.</v>
      </c>
      <c r="G1390" s="106" t="str">
        <f>"BCH_Assessment!A21:J21"</f>
        <v>BCH_Assessment!A21:J21</v>
      </c>
    </row>
    <row r="1391" spans="1:7" ht="97.5" customHeight="1">
      <c r="A1391" s="106" t="str">
        <f>BCH_Assessment!$B$2</f>
        <v>BCH</v>
      </c>
      <c r="B1391" s="106" t="str">
        <f t="shared" si="122"/>
        <v>B82_Assessment</v>
      </c>
      <c r="C1391" s="106" t="str">
        <f>"HVAC"</f>
        <v>HVAC</v>
      </c>
      <c r="D1391" s="142" t="str">
        <f>BCH_Assessment!$A$25</f>
        <v>107</v>
      </c>
      <c r="E1391" s="142" t="str">
        <f>BCH_Assessment!$I$25</f>
        <v>N/A</v>
      </c>
      <c r="F1391" s="106" t="str">
        <f>BCH_Assessment!$J$25</f>
        <v>Cover sheet explicitly excludes mechanical scope. Verify existing room ambient conditions are acceptable for TE equipment and that no active network equipment will overheat.</v>
      </c>
      <c r="G1391" s="106" t="str">
        <f>"BCH_Assessment!A25:J25"</f>
        <v>BCH_Assessment!A25:J25</v>
      </c>
    </row>
    <row r="1392" spans="1:7" ht="97.5" customHeight="1">
      <c r="A1392" s="106" t="str">
        <f>BCH_Assessment!$B$2</f>
        <v>BCH</v>
      </c>
      <c r="B1392" s="106" t="str">
        <f t="shared" si="122"/>
        <v>B82_Assessment</v>
      </c>
      <c r="C1392" s="106" t="str">
        <f>"HVAC"</f>
        <v>HVAC</v>
      </c>
      <c r="D1392" s="142" t="str">
        <f>BCH_Assessment!$A$26</f>
        <v>00 / 107</v>
      </c>
      <c r="E1392" s="142" t="str">
        <f>BCH_Assessment!$I$26</f>
        <v>N/A</v>
      </c>
      <c r="F1392" s="106" t="str">
        <f>BCH_Assessment!$J$26</f>
        <v>If the final scope is a 45RU new telecom room rather than a small TE, HVAC exclusion should be confirmed with VA/AE because telecom-room heat load may differ from TE assumptions.</v>
      </c>
      <c r="G1392" s="106" t="str">
        <f>"BCH_Assessment!A26:J26"</f>
        <v>BCH_Assessment!A26:J26</v>
      </c>
    </row>
    <row r="1393" spans="1:7" ht="97.5" customHeight="1">
      <c r="A1393" s="106" t="str">
        <f>BCH_Assessment!$B$2</f>
        <v>BCH</v>
      </c>
      <c r="B1393" s="106" t="str">
        <f t="shared" si="122"/>
        <v>B82_Assessment</v>
      </c>
      <c r="C1393" s="106" t="str">
        <f>"Electrical"</f>
        <v>Electrical</v>
      </c>
      <c r="D1393" s="142" t="str">
        <f>BCH_Assessment!$A$30</f>
        <v>107</v>
      </c>
      <c r="E1393" s="142" t="str">
        <f>BCH_Assessment!$I$30</f>
        <v>Verify</v>
      </c>
      <c r="F1393" s="106" t="str">
        <f>BCH_Assessment!$J$30</f>
        <v>Electrical plan includes first-level electrical work and notes for new wall-mount telecom enclosure, grounding/bonding and camera. Verify circuit source, receptacle type, UPS/PDU load, emergency source if required, grounding/bonding and labels.</v>
      </c>
      <c r="G1393" s="106" t="str">
        <f>"BCH_Assessment!A30:J30"</f>
        <v>BCH_Assessment!A30:J30</v>
      </c>
    </row>
    <row r="1394" spans="1:7" ht="97.5" customHeight="1">
      <c r="A1394" s="106" t="str">
        <f>BCH_Assessment!$B$2</f>
        <v>BCH</v>
      </c>
      <c r="B1394" s="106" t="str">
        <f t="shared" si="122"/>
        <v>B82_Assessment</v>
      </c>
      <c r="C1394" s="106" t="str">
        <f>"Electrical"</f>
        <v>Electrical</v>
      </c>
      <c r="D1394" s="142" t="str">
        <f>BCH_Assessment!$A$31</f>
        <v>00 / 107</v>
      </c>
      <c r="E1394" s="142" t="str">
        <f>BCH_Assessment!$I$31</f>
        <v>Verify</v>
      </c>
      <c r="F1394" s="106" t="str">
        <f>BCH_Assessment!$J$31</f>
        <v>BCHT-604 shows 12RU TE equipment with APC UPS and PDUs and also a BCH 45RU new telecom room elevation. Confirm exact UPS/PDU/rack power requirement before acceptance.</v>
      </c>
      <c r="G1394" s="106" t="str">
        <f>"BCH_Assessment!A31:J31"</f>
        <v>BCH_Assessment!A31:J31</v>
      </c>
    </row>
    <row r="1395" spans="1:7" ht="97.5" customHeight="1">
      <c r="A1395" s="106" t="str">
        <f>BCH_Assessment!$B$2</f>
        <v>BCH</v>
      </c>
      <c r="B1395" s="106" t="str">
        <f t="shared" si="122"/>
        <v>B82_Assessment</v>
      </c>
      <c r="C1395" s="106" t="str">
        <f>"Telecom"</f>
        <v>Telecom</v>
      </c>
      <c r="D1395" s="142" t="str">
        <f>BCH_Assessment!$A$35</f>
        <v>107</v>
      </c>
      <c r="E1395" s="142" t="str">
        <f>BCH_Assessment!$I$35</f>
        <v>Verify</v>
      </c>
      <c r="F1395" s="106" t="str">
        <f>BCH_Assessment!$J$35</f>
        <v>BCHT-101 identifies telecom plan first level and enlarged Room 107. BCHT-604 identifies new telecom room/no existing elevations. There is no BCHT-701 schedule in the drawing index, so WAO/cable-tray totals must be field verified from plans and contractor coordination drawings.</v>
      </c>
      <c r="G1395" s="106" t="str">
        <f>"BCH_Assessment!A35:J35"</f>
        <v>BCH_Assessment!A35:J35</v>
      </c>
    </row>
    <row r="1396" spans="1:7" ht="97.5" customHeight="1">
      <c r="A1396" s="106" t="str">
        <f>BCH_Assessment!$B$2</f>
        <v>BCH</v>
      </c>
      <c r="B1396" s="106" t="str">
        <f t="shared" ref="B1396:B1420" si="123">"BCH_Assessment"</f>
        <v>BCH_Assessment</v>
      </c>
      <c r="C1396" s="106" t="str">
        <f>"Telecom"</f>
        <v>Telecom</v>
      </c>
      <c r="D1396" s="142" t="str">
        <f>BCH_Assessment!$A$36</f>
        <v>00 / 107</v>
      </c>
      <c r="E1396" s="142" t="str">
        <f>BCH_Assessment!$I$36</f>
        <v>Verify</v>
      </c>
      <c r="F1396" s="106" t="str">
        <f>BCH_Assessment!$J$36</f>
        <v>BCHT-604 identifies a 12RU TE elevation: APC UPS, two PDUs, network switch, 48-port Cat6A patch panel and Fiber LIU. Also shows BCH Crescent House Room 107 new telecom room elevation. Confirm governing rack/enclosure and labeling.</v>
      </c>
      <c r="G1396" s="106" t="str">
        <f>"BCH_Assessment!A36:J36"</f>
        <v>BCH_Assessment!A36:J36</v>
      </c>
    </row>
    <row r="1397" spans="1:7" ht="97.5" customHeight="1">
      <c r="A1397" s="106" t="str">
        <f>BCH_Assessment!$B$2</f>
        <v>BCH</v>
      </c>
      <c r="B1397" s="106" t="str">
        <f t="shared" si="123"/>
        <v>BCH_Assessment</v>
      </c>
      <c r="C1397" s="106" t="str">
        <f>"Security"</f>
        <v>Security</v>
      </c>
      <c r="D1397" s="142" t="str">
        <f>BCH_Assessment!$A$40</f>
        <v>107</v>
      </c>
      <c r="E1397" s="142" t="str">
        <f>BCH_Assessment!$I$40</f>
        <v>Verify</v>
      </c>
      <c r="F1397" s="106" t="str">
        <f>BCH_Assessment!$J$40</f>
        <v>Telecom/electrical notes reference new IP-addressable camera with wall mount at 8'-6" A.F.F. and VMS integration. Verify whether PACS applies; TE buildings typically do not create full TR door/PACS scope.</v>
      </c>
      <c r="G1397" s="106" t="str">
        <f>"BCH_Assessment!A40:J40"</f>
        <v>BCH_Assessment!A40:J40</v>
      </c>
    </row>
    <row r="1398" spans="1:7" ht="97.5" customHeight="1">
      <c r="A1398" s="106" t="str">
        <f>BCH_Assessment!$B$2</f>
        <v>BCH</v>
      </c>
      <c r="B1398" s="106" t="str">
        <f t="shared" si="123"/>
        <v>BCH_Assessment</v>
      </c>
      <c r="C1398" s="106" t="str">
        <f>"Security"</f>
        <v>Security</v>
      </c>
      <c r="D1398" s="142" t="str">
        <f>BCH_Assessment!$A$41</f>
        <v>00 / 107</v>
      </c>
      <c r="E1398" s="142" t="str">
        <f>BCH_Assessment!$I$41</f>
        <v>Verify</v>
      </c>
      <c r="F1398" s="106" t="str">
        <f>BCH_Assessment!$J$41</f>
        <v>Verify existing camera/security conditions, protection-in-place, and any recabling or VMS integration required.</v>
      </c>
      <c r="G1398" s="106" t="str">
        <f>"BCH_Assessment!A41:J41"</f>
        <v>BCH_Assessment!A41:J41</v>
      </c>
    </row>
    <row r="1399" spans="1:7" ht="97.5" customHeight="1">
      <c r="A1399" s="106" t="str">
        <f>MCR_Assessment!$B$2</f>
        <v>MCR</v>
      </c>
      <c r="B1399" s="106" t="str">
        <f t="shared" si="123"/>
        <v>BCH_Assessment</v>
      </c>
      <c r="C1399" s="106" t="str">
        <f>"Fire"</f>
        <v>Fire</v>
      </c>
      <c r="D1399" s="142" t="str">
        <f>MCR_Assessment!$A$28</f>
        <v>107 / MCR</v>
      </c>
      <c r="E1399" s="142" t="str">
        <f>MCR_Assessment!$I$28</f>
        <v>Verify</v>
      </c>
      <c r="F1399" s="106" t="str">
        <f>MCR_Assessment!$J$28</f>
        <v>MCR has full fire protection scope including wet pipe and clean-agent fire suppression system. Verify preaction/clean-agent design, agent release interface, fire alarm matrix, detection, abort/release stations, room integrity and acceptance testing.</v>
      </c>
      <c r="G1399" s="106" t="str">
        <f>"MCR_Assessment!A28:J28"</f>
        <v>MCR_Assessment!A28:J28</v>
      </c>
    </row>
    <row r="1400" spans="1:7" ht="97.5" customHeight="1">
      <c r="A1400" s="106" t="str">
        <f>MCR_Assessment!$B$2</f>
        <v>MCR</v>
      </c>
      <c r="B1400" s="106" t="str">
        <f t="shared" si="123"/>
        <v>BCH_Assessment</v>
      </c>
      <c r="C1400" s="106" t="str">
        <f>"Fire"</f>
        <v>Fire</v>
      </c>
      <c r="D1400" s="142" t="str">
        <f>MCR_Assessment!$A$29</f>
        <v>031</v>
      </c>
      <c r="E1400" s="142" t="str">
        <f>MCR_Assessment!$I$29</f>
        <v>Verify</v>
      </c>
      <c r="F1400" s="106" t="str">
        <f>MCR_Assessment!$J$29</f>
        <v>Verify fiber entrance room protection, rated penetrations, firestopping, detector/strobe coverage and no gaps after cable tray installation.</v>
      </c>
      <c r="G1400" s="106" t="str">
        <f>"MCR_Assessment!A29:J29"</f>
        <v>MCR_Assessment!A29:J29</v>
      </c>
    </row>
    <row r="1401" spans="1:7" ht="97.5" customHeight="1">
      <c r="A1401" s="106" t="str">
        <f>MCR_Assessment!$B$2</f>
        <v>MCR</v>
      </c>
      <c r="B1401" s="106" t="str">
        <f t="shared" si="123"/>
        <v>BCH_Assessment</v>
      </c>
      <c r="C1401" s="106" t="str">
        <f>"Fire"</f>
        <v>Fire</v>
      </c>
      <c r="D1401" s="142" t="str">
        <f>MCR_Assessment!$A$30</f>
        <v>MDA-A/B</v>
      </c>
      <c r="E1401" s="142" t="str">
        <f>MCR_Assessment!$I$30</f>
        <v>Verify</v>
      </c>
      <c r="F1401" s="106" t="str">
        <f>MCR_Assessment!$J$30</f>
        <v>Verify sprinkler/clean-agent coverage around MDA equipment, fire alarm devices, rack clearance and final firestop assemblies.</v>
      </c>
      <c r="G1401" s="106" t="str">
        <f>"MCR_Assessment!A30:J30"</f>
        <v>MCR_Assessment!A30:J30</v>
      </c>
    </row>
    <row r="1402" spans="1:7" ht="97.5" customHeight="1">
      <c r="A1402" s="106" t="str">
        <f>MCR_Assessment!$B$2</f>
        <v>MCR</v>
      </c>
      <c r="B1402" s="106" t="str">
        <f t="shared" si="123"/>
        <v>BCH_Assessment</v>
      </c>
      <c r="C1402" s="106" t="str">
        <f>"Fire"</f>
        <v>Fire</v>
      </c>
      <c r="D1402" s="142" t="str">
        <f>MCR_Assessment!$A$31</f>
        <v>HDA-A/B</v>
      </c>
      <c r="E1402" s="142" t="str">
        <f>MCR_Assessment!$I$31</f>
        <v>Verify</v>
      </c>
      <c r="F1402" s="106" t="str">
        <f>MCR_Assessment!$J$31</f>
        <v>Verify clean-agent coverage, detector placement, alarm interfaces, and open cabinet airflow protection.</v>
      </c>
      <c r="G1402" s="106" t="str">
        <f>"MCR_Assessment!A31:J31"</f>
        <v>MCR_Assessment!A31:J31</v>
      </c>
    </row>
    <row r="1403" spans="1:7" ht="97.5" customHeight="1">
      <c r="A1403" s="106" t="str">
        <f>MCR_Assessment!$B$2</f>
        <v>MCR</v>
      </c>
      <c r="B1403" s="106" t="str">
        <f t="shared" si="123"/>
        <v>BCH_Assessment</v>
      </c>
      <c r="C1403" s="106" t="str">
        <f>"Fire"</f>
        <v>Fire</v>
      </c>
      <c r="D1403" s="142" t="str">
        <f>MCR_Assessment!$A$32</f>
        <v>Existing 107/137</v>
      </c>
      <c r="E1403" s="142" t="str">
        <f>MCR_Assessment!$I$32</f>
        <v>Verify</v>
      </c>
      <c r="F1403" s="106" t="str">
        <f>MCR_Assessment!$J$32</f>
        <v>Existing systems must remain protected during temporary fiber, umbilical cord and core relocation work. Verify no impairment without approved fire watch/impairment plan.</v>
      </c>
      <c r="G1403" s="106" t="str">
        <f>"MCR_Assessment!A32:J32"</f>
        <v>MCR_Assessment!A32:J32</v>
      </c>
    </row>
    <row r="1404" spans="1:7" ht="97.5" customHeight="1">
      <c r="A1404" s="106" t="str">
        <f>MCR_Assessment!$B$2</f>
        <v>MCR</v>
      </c>
      <c r="B1404" s="106" t="str">
        <f t="shared" si="123"/>
        <v>BCH_Assessment</v>
      </c>
      <c r="C1404" s="106" t="str">
        <f>"HVAC"</f>
        <v>HVAC</v>
      </c>
      <c r="D1404" s="142" t="str">
        <f>MCR_Assessment!$A$36</f>
        <v>107 / MCR</v>
      </c>
      <c r="E1404" s="142" t="str">
        <f>MCR_Assessment!$I$36</f>
        <v>Verify</v>
      </c>
      <c r="F1404" s="106" t="str">
        <f>MCR_Assessment!$J$36</f>
        <v>Telecom notes call for indoor computer room air conditioner (CRAC) units tied to building management system. Mechanical sheets included; verify redundant capacity, setpoints, humidity, condensate, controls, alarms and emergency power.</v>
      </c>
      <c r="G1404" s="106" t="str">
        <f>"MCR_Assessment!A36:J36"</f>
        <v>MCR_Assessment!A36:J36</v>
      </c>
    </row>
    <row r="1405" spans="1:7" ht="97.5" customHeight="1">
      <c r="A1405" s="106" t="str">
        <f>MCR_Assessment!$B$2</f>
        <v>MCR</v>
      </c>
      <c r="B1405" s="106" t="str">
        <f t="shared" si="123"/>
        <v>BCH_Assessment</v>
      </c>
      <c r="C1405" s="106" t="str">
        <f>"HVAC"</f>
        <v>HVAC</v>
      </c>
      <c r="D1405" s="142" t="str">
        <f>MCR_Assessment!$A$37</f>
        <v>UPS-A / UPS-B</v>
      </c>
      <c r="E1405" s="142" t="str">
        <f>MCR_Assessment!$I$37</f>
        <v>Verify</v>
      </c>
      <c r="F1405" s="106" t="str">
        <f>MCR_Assessment!$J$37</f>
        <v>UPS rooms/equipment require thermal load validation, ventilation, emergency power and alarm integration. Verify battery/UPS environmental requirements.</v>
      </c>
      <c r="G1405" s="106" t="str">
        <f>"MCR_Assessment!A37:J37"</f>
        <v>MCR_Assessment!A37:J37</v>
      </c>
    </row>
    <row r="1406" spans="1:7" ht="97.5" customHeight="1">
      <c r="A1406" s="106" t="str">
        <f>MCR_Assessment!$B$2</f>
        <v>MCR</v>
      </c>
      <c r="B1406" s="106" t="str">
        <f t="shared" si="123"/>
        <v>BCH_Assessment</v>
      </c>
      <c r="C1406" s="106" t="str">
        <f>"HVAC"</f>
        <v>HVAC</v>
      </c>
      <c r="D1406" s="142" t="str">
        <f>MCR_Assessment!$A$38</f>
        <v>MDA-A/B</v>
      </c>
      <c r="E1406" s="142" t="str">
        <f>MCR_Assessment!$I$38</f>
        <v>Verify</v>
      </c>
      <c r="F1406" s="106" t="str">
        <f>MCR_Assessment!$J$38</f>
        <v>Verify airflow/cold aisle/hot aisle assumptions, blanking panels, floor/ceiling distribution and temperature monitoring.</v>
      </c>
      <c r="G1406" s="106" t="str">
        <f>"MCR_Assessment!A38:J38"</f>
        <v>MCR_Assessment!A38:J38</v>
      </c>
    </row>
    <row r="1407" spans="1:7" ht="97.5" customHeight="1">
      <c r="A1407" s="106" t="str">
        <f>MCR_Assessment!$B$2</f>
        <v>MCR</v>
      </c>
      <c r="B1407" s="106" t="str">
        <f t="shared" si="123"/>
        <v>BCH_Assessment</v>
      </c>
      <c r="C1407" s="106" t="str">
        <f>"HVAC"</f>
        <v>HVAC</v>
      </c>
      <c r="D1407" s="142" t="str">
        <f>MCR_Assessment!$A$39</f>
        <v>HDA-A/B</v>
      </c>
      <c r="E1407" s="142" t="str">
        <f>MCR_Assessment!$I$39</f>
        <v>Verify</v>
      </c>
      <c r="F1407" s="106" t="str">
        <f>MCR_Assessment!$J$39</f>
        <v>Server cabinets and patch fields require stable 24/7 cooling and monitoring. Confirm no local hot spots at dense LIU/patch panel zones.</v>
      </c>
      <c r="G1407" s="106" t="str">
        <f>"MCR_Assessment!A39:J39"</f>
        <v>MCR_Assessment!A39:J39</v>
      </c>
    </row>
    <row r="1408" spans="1:7" ht="97.5" customHeight="1">
      <c r="A1408" s="106" t="str">
        <f>MCR_Assessment!$B$2</f>
        <v>MCR</v>
      </c>
      <c r="B1408" s="106" t="str">
        <f t="shared" si="123"/>
        <v>BCH_Assessment</v>
      </c>
      <c r="C1408" s="106" t="str">
        <f>"HVAC"</f>
        <v>HVAC</v>
      </c>
      <c r="D1408" s="142" t="str">
        <f>MCR_Assessment!$A$40</f>
        <v>Existing 107/137</v>
      </c>
      <c r="E1408" s="142" t="str">
        <f>MCR_Assessment!$I$40</f>
        <v>Verify</v>
      </c>
      <c r="F1408" s="106" t="str">
        <f>MCR_Assessment!$J$40</f>
        <v>During split-core temporary phase, existing MCR/server equipment remains active. Verify existing cooling remains in service until cutover and decommissioning are complete.</v>
      </c>
      <c r="G1408" s="106" t="str">
        <f>"MCR_Assessment!A40:J40"</f>
        <v>MCR_Assessment!A40:J40</v>
      </c>
    </row>
    <row r="1409" spans="1:7" ht="97.5" customHeight="1">
      <c r="A1409" s="106" t="str">
        <f>MCR_Assessment!$B$2</f>
        <v>MCR</v>
      </c>
      <c r="B1409" s="106" t="str">
        <f t="shared" si="123"/>
        <v>BCH_Assessment</v>
      </c>
      <c r="C1409" s="106" t="str">
        <f>"Electrical"</f>
        <v>Electrical</v>
      </c>
      <c r="D1409" s="142" t="str">
        <f>MCR_Assessment!$A$44</f>
        <v>107 / MCR</v>
      </c>
      <c r="E1409" s="142" t="str">
        <f>MCR_Assessment!$I$44</f>
        <v>Verify</v>
      </c>
      <c r="F1409" s="106" t="str">
        <f>MCR_Assessment!$J$44</f>
        <v>Electrical set includes site plan, enlarged MCR plans, one-lines and schedules. Verify switchboard/service, ATS/generator integration, normal/emergency/UPS distribution, grounding, lightning protection, SPD, load measurements and commissioning.</v>
      </c>
      <c r="G1409" s="106" t="str">
        <f>"MCR_Assessment!A44:J44"</f>
        <v>MCR_Assessment!A44:J44</v>
      </c>
    </row>
    <row r="1410" spans="1:7" ht="97.5" customHeight="1">
      <c r="A1410" s="106" t="str">
        <f>MCR_Assessment!$B$2</f>
        <v>MCR</v>
      </c>
      <c r="B1410" s="106" t="str">
        <f t="shared" si="123"/>
        <v>BCH_Assessment</v>
      </c>
      <c r="C1410" s="106" t="str">
        <f>"Electrical"</f>
        <v>Electrical</v>
      </c>
      <c r="D1410" s="142" t="str">
        <f>MCR_Assessment!$A$45</f>
        <v>MDA-A/B</v>
      </c>
      <c r="E1410" s="142" t="str">
        <f>MCR_Assessment!$I$45</f>
        <v>Verify</v>
      </c>
      <c r="F1410" s="106" t="str">
        <f>MCR_Assessment!$J$45</f>
        <v>MDA rack elevations include new 4-post floor cabinets, LIUs and network elements. Verify redundant A/B power feeds and PDU arrangements.</v>
      </c>
      <c r="G1410" s="106" t="str">
        <f>"MCR_Assessment!A45:J45"</f>
        <v>MCR_Assessment!A45:J45</v>
      </c>
    </row>
    <row r="1411" spans="1:7" ht="97.5" customHeight="1">
      <c r="A1411" s="106" t="str">
        <f>MCR_Assessment!$B$2</f>
        <v>MCR</v>
      </c>
      <c r="B1411" s="106" t="str">
        <f t="shared" si="123"/>
        <v>BCH_Assessment</v>
      </c>
      <c r="C1411" s="106" t="str">
        <f>"Electrical"</f>
        <v>Electrical</v>
      </c>
      <c r="D1411" s="142" t="str">
        <f>MCR_Assessment!$A$46</f>
        <v>HDA-A/B</v>
      </c>
      <c r="E1411" s="142" t="str">
        <f>MCR_Assessment!$I$46</f>
        <v>Verify</v>
      </c>
      <c r="F1411" s="106" t="str">
        <f>MCR_Assessment!$J$46</f>
        <v>HDA cabinets include server cabinet front/rear elevations with patch panels and active equipment. Confirm A/B feed separation, PDU mounting, load capacity and labels.</v>
      </c>
      <c r="G1411" s="106" t="str">
        <f>"MCR_Assessment!A46:J46"</f>
        <v>MCR_Assessment!A46:J46</v>
      </c>
    </row>
    <row r="1412" spans="1:7" ht="97.5" customHeight="1">
      <c r="A1412" s="106" t="str">
        <f>MCR_Assessment!$B$2</f>
        <v>MCR</v>
      </c>
      <c r="B1412" s="106" t="str">
        <f t="shared" si="123"/>
        <v>BCH_Assessment</v>
      </c>
      <c r="C1412" s="106" t="str">
        <f>"Electrical"</f>
        <v>Electrical</v>
      </c>
      <c r="D1412" s="142" t="str">
        <f>MCR_Assessment!$A$47</f>
        <v>Existing 107/137</v>
      </c>
      <c r="E1412" s="142" t="str">
        <f>MCR_Assessment!$I$47</f>
        <v>Verify</v>
      </c>
      <c r="F1412" s="106" t="str">
        <f>MCR_Assessment!$J$47</f>
        <v>Existing rack elevations identify multiple APC/Chatsworth/HP PDUs, APC Smart UPS and Eaton 9PX units. Verify what transfers, what stays, and temporary power during migration.</v>
      </c>
      <c r="G1412" s="106" t="str">
        <f>"MCR_Assessment!A47:J47"</f>
        <v>MCR_Assessment!A47:J47</v>
      </c>
    </row>
    <row r="1413" spans="1:7" ht="97.5" customHeight="1">
      <c r="A1413" s="106" t="str">
        <f>MCR_Assessment!$B$2</f>
        <v>MCR</v>
      </c>
      <c r="B1413" s="106" t="str">
        <f t="shared" si="123"/>
        <v>BCH_Assessment</v>
      </c>
      <c r="C1413" s="106" t="str">
        <f>"Electrical"</f>
        <v>Electrical</v>
      </c>
      <c r="D1413" s="142" t="str">
        <f>MCR_Assessment!$A$48</f>
        <v>Site / Utility</v>
      </c>
      <c r="E1413" s="142" t="str">
        <f>MCR_Assessment!$I$48</f>
        <v>Verify</v>
      </c>
      <c r="F1413" s="106" t="str">
        <f>MCR_Assessment!$J$48</f>
        <v>New MCR is standalone critical infrastructure. Verify utility service, generator/ATS paths, emergency distribution, grounding electrode and ductbank/site electrical coordination.</v>
      </c>
      <c r="G1413" s="106" t="str">
        <f>"MCR_Assessment!A48:J48"</f>
        <v>MCR_Assessment!A48:J48</v>
      </c>
    </row>
    <row r="1414" spans="1:7" ht="97.5" customHeight="1">
      <c r="A1414" s="106" t="str">
        <f>MCR_Assessment!$B$2</f>
        <v>MCR</v>
      </c>
      <c r="B1414" s="106" t="str">
        <f t="shared" si="123"/>
        <v>BCH_Assessment</v>
      </c>
      <c r="C1414" s="106" t="str">
        <f>"Telecom"</f>
        <v>Telecom</v>
      </c>
      <c r="D1414" s="142" t="str">
        <f>MCR_Assessment!$A$52</f>
        <v>107 / MCR</v>
      </c>
      <c r="E1414" s="142" t="str">
        <f>MCR_Assessment!$I$52</f>
        <v>Verify</v>
      </c>
      <c r="F1414" s="106" t="str">
        <f>MCR_Assessment!$J$52</f>
        <v>MCRT-101 shows new MCR with MDA-A/B, HDA-A/B, UPS-A/B, cameras and fiber path legend. MCRT-701 shows 10 WAO total, 720 WAO available, 98.1% expansion capacity, 10 total ports with 20% allowance and 359 ft cable tray.</v>
      </c>
      <c r="G1414" s="106" t="str">
        <f>"MCR_Assessment!A52:J52"</f>
        <v>MCR_Assessment!A52:J52</v>
      </c>
    </row>
    <row r="1415" spans="1:7" ht="97.5" customHeight="1">
      <c r="A1415" s="106" t="str">
        <f>MCR_Assessment!$B$2</f>
        <v>MCR</v>
      </c>
      <c r="B1415" s="106" t="str">
        <f t="shared" si="123"/>
        <v>BCH_Assessment</v>
      </c>
      <c r="C1415" s="106" t="str">
        <f>"Telecom"</f>
        <v>Telecom</v>
      </c>
      <c r="D1415" s="142" t="str">
        <f>MCR_Assessment!$A$53</f>
        <v>031</v>
      </c>
      <c r="E1415" s="142" t="str">
        <f>MCR_Assessment!$I$53</f>
        <v>Verify</v>
      </c>
      <c r="F1415" s="106" t="str">
        <f>MCR_Assessment!$J$53</f>
        <v>MCRT-701 Data Device and Circuit Schedule - Fiber Entrance Room 1: outlets 31-A/B/C/D plus security devices 07-CAM-03/04/07/08/11; Rack ID TR01-031-1.</v>
      </c>
      <c r="G1415" s="106" t="str">
        <f>"MCR_Assessment!A53:J53"</f>
        <v>MCR_Assessment!A53:J53</v>
      </c>
    </row>
    <row r="1416" spans="1:7" ht="97.5" customHeight="1">
      <c r="A1416" s="106" t="str">
        <f>MCR_Assessment!$B$2</f>
        <v>MCR</v>
      </c>
      <c r="B1416" s="106" t="str">
        <f t="shared" si="123"/>
        <v>BCH_Assessment</v>
      </c>
      <c r="C1416" s="106" t="str">
        <f>"Telecom"</f>
        <v>Telecom</v>
      </c>
      <c r="D1416" s="142" t="str">
        <f>MCR_Assessment!$A$54</f>
        <v>MDA-A/B</v>
      </c>
      <c r="E1416" s="142" t="str">
        <f>MCR_Assessment!$I$54</f>
        <v>Verify</v>
      </c>
      <c r="F1416" s="106" t="str">
        <f>MCR_Assessment!$J$54</f>
        <v>MCRT-607: MDA A/B racks contain horizontal distribution LIUs, hybrid FOC, 48x Cat6A to HDA, and reserved LAN/spine/aggregation elements. Maintain A/B path separation.</v>
      </c>
      <c r="G1416" s="106" t="str">
        <f>"MCR_Assessment!A54:J54"</f>
        <v>MCR_Assessment!A54:J54</v>
      </c>
    </row>
    <row r="1417" spans="1:7" ht="97.5" customHeight="1">
      <c r="A1417" s="106" t="str">
        <f>MCR_Assessment!$B$2</f>
        <v>MCR</v>
      </c>
      <c r="B1417" s="106" t="str">
        <f t="shared" si="123"/>
        <v>BCH_Assessment</v>
      </c>
      <c r="C1417" s="106" t="str">
        <f>"Telecom"</f>
        <v>Telecom</v>
      </c>
      <c r="D1417" s="142" t="str">
        <f>MCR_Assessment!$A$55</f>
        <v>HDA-A/B</v>
      </c>
      <c r="E1417" s="142" t="str">
        <f>MCR_Assessment!$I$55</f>
        <v>Verify</v>
      </c>
      <c r="F1417" s="106" t="str">
        <f>MCR_Assessment!$J$55</f>
        <v>MCRT-608/609: HDA A/B include 48-port Cat6A patch panels, HD fiber LIUs, backbone side A/B LIU and server cabinet arrangements.</v>
      </c>
      <c r="G1417" s="106" t="str">
        <f>"MCR_Assessment!A55:J55"</f>
        <v>MCR_Assessment!A55:J55</v>
      </c>
    </row>
    <row r="1418" spans="1:7" ht="97.5" customHeight="1">
      <c r="A1418" s="106" t="str">
        <f>MCR_Assessment!$B$2</f>
        <v>MCR</v>
      </c>
      <c r="B1418" s="106" t="str">
        <f t="shared" si="123"/>
        <v>BCH_Assessment</v>
      </c>
      <c r="C1418" s="106" t="str">
        <f>"Telecom"</f>
        <v>Telecom</v>
      </c>
      <c r="D1418" s="142" t="str">
        <f>MCR_Assessment!$A$56</f>
        <v>Existing 107/137</v>
      </c>
      <c r="E1418" s="142" t="str">
        <f>MCR_Assessment!$I$56</f>
        <v>Verify</v>
      </c>
      <c r="F1418" s="106" t="str">
        <f>MCR_Assessment!$J$56</f>
        <v>Existing MCR rows 1-3 and B61 server cabinet transfer references are extensive. Maintain service using temporary fiber/umbilical cords and phased core relocation.</v>
      </c>
      <c r="G1418" s="106" t="str">
        <f>"MCR_Assessment!A56:J56"</f>
        <v>MCR_Assessment!A56:J56</v>
      </c>
    </row>
    <row r="1419" spans="1:7" ht="97.5" customHeight="1">
      <c r="A1419" s="106" t="str">
        <f>MCR_Assessment!$B$2</f>
        <v>MCR</v>
      </c>
      <c r="B1419" s="106" t="str">
        <f t="shared" si="123"/>
        <v>BCH_Assessment</v>
      </c>
      <c r="C1419" s="106" t="str">
        <f>"Security"</f>
        <v>Security</v>
      </c>
      <c r="D1419" s="142" t="str">
        <f>MCR_Assessment!$A$60</f>
        <v>107 / MCR</v>
      </c>
      <c r="E1419" s="142" t="str">
        <f>MCR_Assessment!$I$60</f>
        <v>Verify</v>
      </c>
      <c r="F1419" s="106" t="str">
        <f>MCR_Assessment!$J$60</f>
        <v>MCRT-101 identifies cameras 07-CAM-01 through 07-CAM-12 around the MCR. Telecom notes call for IP-addressable network cameras integrated into existing VMS and PACS/access-control systems including iSTAR Edge/Avigilon ACM controller.</v>
      </c>
      <c r="G1419" s="106" t="str">
        <f>"MCR_Assessment!A60:J60"</f>
        <v>MCR_Assessment!A60:J60</v>
      </c>
    </row>
    <row r="1420" spans="1:7" ht="97.5" customHeight="1">
      <c r="A1420" s="106" t="str">
        <f>MCR_Assessment!$B$2</f>
        <v>MCR</v>
      </c>
      <c r="B1420" s="106" t="str">
        <f t="shared" si="123"/>
        <v>BCH_Assessment</v>
      </c>
      <c r="C1420" s="106" t="str">
        <f>"Security"</f>
        <v>Security</v>
      </c>
      <c r="D1420" s="142" t="str">
        <f>MCR_Assessment!$A$61</f>
        <v>031</v>
      </c>
      <c r="E1420" s="142" t="str">
        <f>MCR_Assessment!$I$61</f>
        <v>Verify</v>
      </c>
      <c r="F1420" s="106" t="str">
        <f>MCR_Assessment!$J$61</f>
        <v>MCRT-701 includes security camera/data devices assigned to TR01-031-1. Confirm camera IDs, mounting, cabling, and VMS commissioning.</v>
      </c>
      <c r="G1420" s="106" t="str">
        <f>"MCR_Assessment!A61:J61"</f>
        <v>MCR_Assessment!A61:J61</v>
      </c>
    </row>
    <row r="1421" spans="1:7" ht="97.5" customHeight="1">
      <c r="A1421" s="106" t="str">
        <f>MCR_Assessment!$B$2</f>
        <v>MCR</v>
      </c>
      <c r="B1421" s="106" t="str">
        <f t="shared" ref="B1421:B1431" si="124">"MCR_Assessment"</f>
        <v>MCR_Assessment</v>
      </c>
      <c r="C1421" s="106" t="str">
        <f>"Security"</f>
        <v>Security</v>
      </c>
      <c r="D1421" s="142" t="str">
        <f>MCR_Assessment!$A$62</f>
        <v>MDA-A/B</v>
      </c>
      <c r="E1421" s="142" t="str">
        <f>MCR_Assessment!$I$62</f>
        <v>Verify</v>
      </c>
      <c r="F1421" s="106" t="str">
        <f>MCR_Assessment!$J$62</f>
        <v>Verify camera coverage, door/access points, VMS monitoring and access control zones for critical equipment.</v>
      </c>
      <c r="G1421" s="106" t="str">
        <f>"MCR_Assessment!A62:J62"</f>
        <v>MCR_Assessment!A62:J62</v>
      </c>
    </row>
    <row r="1422" spans="1:7" ht="97.5" customHeight="1">
      <c r="A1422" s="106" t="str">
        <f>MCR_Assessment!$B$2</f>
        <v>MCR</v>
      </c>
      <c r="B1422" s="106" t="str">
        <f t="shared" si="124"/>
        <v>MCR_Assessment</v>
      </c>
      <c r="C1422" s="106" t="str">
        <f>"Security"</f>
        <v>Security</v>
      </c>
      <c r="D1422" s="142" t="str">
        <f>MCR_Assessment!$A$63</f>
        <v>HDA-A/B</v>
      </c>
      <c r="E1422" s="142" t="str">
        <f>MCR_Assessment!$I$63</f>
        <v>Verify</v>
      </c>
      <c r="F1422" s="106" t="str">
        <f>MCR_Assessment!$J$63</f>
        <v>Verify coverage of HDA cabinets, doors, motion detection and any lockable cabinet/security requirements.</v>
      </c>
      <c r="G1422" s="106" t="str">
        <f>"MCR_Assessment!A63:J63"</f>
        <v>MCR_Assessment!A63:J63</v>
      </c>
    </row>
    <row r="1423" spans="1:7" ht="97.5" customHeight="1">
      <c r="A1423" s="106" t="str">
        <f>MCR_Assessment!$B$2</f>
        <v>MCR</v>
      </c>
      <c r="B1423" s="106" t="str">
        <f t="shared" si="124"/>
        <v>MCR_Assessment</v>
      </c>
      <c r="C1423" s="106" t="str">
        <f>"Security"</f>
        <v>Security</v>
      </c>
      <c r="D1423" s="142" t="str">
        <f>MCR_Assessment!$A$64</f>
        <v>Existing 107/137</v>
      </c>
      <c r="E1423" s="142" t="str">
        <f>MCR_Assessment!$I$64</f>
        <v>Verify</v>
      </c>
      <c r="F1423" s="106" t="str">
        <f>MCR_Assessment!$J$64</f>
        <v>Existing security systems must remain functional during transition; protect existing camera angles and access controls until final turnover.</v>
      </c>
      <c r="G1423" s="106" t="str">
        <f>"MCR_Assessment!A64:J64"</f>
        <v>MCR_Assessment!A64:J64</v>
      </c>
    </row>
    <row r="1424" spans="1:7" ht="97.5" customHeight="1">
      <c r="A1424" s="106" t="str">
        <f>SITE_Assesment!$B$2</f>
        <v>SITE</v>
      </c>
      <c r="B1424" s="106" t="str">
        <f t="shared" si="124"/>
        <v>MCR_Assessment</v>
      </c>
      <c r="C1424" s="106" t="str">
        <f>"Electrical"</f>
        <v>Electrical</v>
      </c>
      <c r="D1424" s="142" t="str">
        <f>SITE_Assesment!$A$46</f>
        <v>Overall Site</v>
      </c>
      <c r="E1424" s="142" t="str">
        <f>SITE_Assesment!$I$46</f>
        <v>Verify</v>
      </c>
      <c r="F1424" s="106" t="str">
        <f>SITE_Assesment!$J$46</f>
        <v>Electrical site plans ES101/ES401 are included. Existing utility locations are approximate; coordinate electrical vaults, underground electrical, storm drain manholes and sanitary manholes.</v>
      </c>
      <c r="G1424" s="106" t="str">
        <f>"SITE_Assesment!A46:J46"</f>
        <v>SITE_Assesment!A46:J46</v>
      </c>
    </row>
    <row r="1425" spans="1:7" ht="97.5" customHeight="1">
      <c r="A1425" s="106" t="str">
        <f>SITE_Assesment!$B$2</f>
        <v>SITE</v>
      </c>
      <c r="B1425" s="106" t="str">
        <f t="shared" si="124"/>
        <v>MCR_Assessment</v>
      </c>
      <c r="C1425" s="106" t="str">
        <f>"Electrical"</f>
        <v>Electrical</v>
      </c>
      <c r="D1425" s="142" t="str">
        <f>SITE_Assesment!$A$47</f>
        <v>THH / Manholes</v>
      </c>
      <c r="E1425" s="142" t="str">
        <f>SITE_Assesment!$I$47</f>
        <v>Verify</v>
      </c>
      <c r="F1425" s="106" t="str">
        <f>SITE_Assesment!$J$47</f>
        <v>Locking covers and handhole/manhole locations must be field verified. Confirm bonding/grounding requirements where metallic components are present.</v>
      </c>
      <c r="G1425" s="106" t="str">
        <f>"SITE_Assesment!A47:J47"</f>
        <v>SITE_Assesment!A47:J47</v>
      </c>
    </row>
    <row r="1426" spans="1:7" ht="97.5" customHeight="1">
      <c r="A1426" s="106" t="str">
        <f>SITE_Assesment!$B$2</f>
        <v>SITE</v>
      </c>
      <c r="B1426" s="106" t="str">
        <f t="shared" si="124"/>
        <v>MCR_Assessment</v>
      </c>
      <c r="C1426" s="106" t="str">
        <f>"Electrical"</f>
        <v>Electrical</v>
      </c>
      <c r="D1426" s="142" t="str">
        <f>SITE_Assesment!$A$48</f>
        <v>MCR / Provider Entrance</v>
      </c>
      <c r="E1426" s="142" t="str">
        <f>SITE_Assesment!$I$48</f>
        <v>Verify</v>
      </c>
      <c r="F1426" s="106" t="str">
        <f>SITE_Assesment!$J$48</f>
        <v>T-601 shows WAN/provider fiber entrances and new fiber Path A/B to the MCR. Coordinate with Century Link/service provider and MCR activation.</v>
      </c>
      <c r="G1426" s="106" t="str">
        <f>"SITE_Assesment!A48:J48"</f>
        <v>SITE_Assesment!A48:J48</v>
      </c>
    </row>
    <row r="1427" spans="1:7" ht="97.5" customHeight="1">
      <c r="A1427" s="106" t="str">
        <f>SITE_Assesment!$B$2</f>
        <v>SITE</v>
      </c>
      <c r="B1427" s="106" t="str">
        <f t="shared" si="124"/>
        <v>MCR_Assessment</v>
      </c>
      <c r="C1427" s="106" t="str">
        <f>"Electrical"</f>
        <v>Electrical</v>
      </c>
      <c r="D1427" s="142" t="str">
        <f>SITE_Assesment!$A$49</f>
        <v>Building Tie-ins</v>
      </c>
      <c r="E1427" s="142" t="str">
        <f>SITE_Assesment!$I$49</f>
        <v>Verify</v>
      </c>
      <c r="F1427" s="106" t="str">
        <f>SITE_Assesment!$J$49</f>
        <v>Coordinate conduit penetrations with building electrical/telecom/firestop scope and avoid conflicts with existing services.</v>
      </c>
      <c r="G1427" s="106" t="str">
        <f>"SITE_Assesment!A49:J49"</f>
        <v>SITE_Assesment!A49:J49</v>
      </c>
    </row>
    <row r="1428" spans="1:7" ht="97.5" customHeight="1">
      <c r="A1428" s="106" t="str">
        <f>SITE_Assesment!$B$2</f>
        <v>SITE</v>
      </c>
      <c r="B1428" s="106" t="str">
        <f t="shared" si="124"/>
        <v>MCR_Assessment</v>
      </c>
      <c r="C1428" s="106" t="str">
        <f>"Telecom"</f>
        <v>Telecom</v>
      </c>
      <c r="D1428" s="142" t="str">
        <f>SITE_Assesment!$A$53</f>
        <v>Campus Backbone</v>
      </c>
      <c r="E1428" s="142" t="str">
        <f>SITE_Assesment!$I$53</f>
        <v>Verify</v>
      </c>
      <c r="F1428" s="106" t="str">
        <f>SITE_Assesment!$J$53</f>
        <v>Legend identifies new fiber in A route, B route, and A+B routes in separate conduits. Confirm no cross-connect gaps at THHs/manholes.</v>
      </c>
      <c r="G1428" s="106" t="str">
        <f>"SITE_Assesment!A53:J53"</f>
        <v>SITE_Assesment!A53:J53</v>
      </c>
    </row>
    <row r="1429" spans="1:7" ht="97.5" customHeight="1">
      <c r="A1429" s="106" t="str">
        <f>SITE_Assesment!$B$2</f>
        <v>SITE</v>
      </c>
      <c r="B1429" s="106" t="str">
        <f t="shared" si="124"/>
        <v>MCR_Assessment</v>
      </c>
      <c r="C1429" s="106" t="str">
        <f>"Telecom"</f>
        <v>Telecom</v>
      </c>
      <c r="D1429" s="142" t="str">
        <f>SITE_Assesment!$A$54</f>
        <v>MCR Provider / WAN</v>
      </c>
      <c r="E1429" s="142" t="str">
        <f>SITE_Assesment!$I$54</f>
        <v>Verify</v>
      </c>
      <c r="F1429" s="106" t="str">
        <f>SITE_Assesment!$J$54</f>
        <v>Site one-line shows WAN fiber from service provider and temporary/provider extension pathways. Coordinate with MCR activation and OIT.</v>
      </c>
      <c r="G1429" s="106" t="str">
        <f>"SITE_Assesment!A54:J54"</f>
        <v>SITE_Assesment!A54:J54</v>
      </c>
    </row>
    <row r="1430" spans="1:7" ht="97.5" customHeight="1">
      <c r="A1430" s="106" t="str">
        <f>SITE_Assesment!$B$2</f>
        <v>SITE</v>
      </c>
      <c r="B1430" s="106" t="str">
        <f t="shared" si="124"/>
        <v>MCR_Assessment</v>
      </c>
      <c r="C1430" s="106" t="str">
        <f>"Telecom"</f>
        <v>Telecom</v>
      </c>
      <c r="D1430" s="142" t="str">
        <f>SITE_Assesment!$A$55</f>
        <v>Building Drops</v>
      </c>
      <c r="E1430" s="142" t="str">
        <f>SITE_Assesment!$I$55</f>
        <v>Verify</v>
      </c>
      <c r="F1430" s="106" t="str">
        <f>SITE_Assesment!$J$55</f>
        <v>Each building tie-in must be tested, labeled, and accepted before connection to active operations.</v>
      </c>
      <c r="G1430" s="106" t="str">
        <f>"SITE_Assesment!A55:J55"</f>
        <v>SITE_Assesment!A55:J55</v>
      </c>
    </row>
    <row r="1431" spans="1:7" ht="97.5" customHeight="1">
      <c r="A1431" s="106" t="str">
        <f>SITE_Assesment!$B$2</f>
        <v>SITE</v>
      </c>
      <c r="B1431" s="106" t="str">
        <f t="shared" si="124"/>
        <v>MCR_Assessment</v>
      </c>
      <c r="C1431" s="106" t="str">
        <f>"Telecom"</f>
        <v>Telecom</v>
      </c>
      <c r="D1431" s="142" t="str">
        <f>SITE_Assesment!$A$56</f>
        <v>THH Network</v>
      </c>
      <c r="E1431" s="142" t="str">
        <f>SITE_Assesment!$I$56</f>
        <v>Verify</v>
      </c>
      <c r="F1431" s="106" t="str">
        <f>SITE_Assesment!$J$56</f>
        <v>T-601 one-line lists THH #1-#19 and path counts such as 6 Path A + 4 Path B, 6 Path A + 6 Path B, 7 Path A + 7 Path B, 5 Path A + 4 Path B, and 9 Path A + 7 Path B.</v>
      </c>
      <c r="G1431" s="106" t="str">
        <f>"SITE_Assesment!A56:J56"</f>
        <v>SITE_Assesment!A56:J56</v>
      </c>
    </row>
    <row r="1432" spans="1:7" ht="97.5" customHeight="1">
      <c r="A1432" s="106" t="str">
        <f>SITE_Assesment!$B$2</f>
        <v>SITE</v>
      </c>
      <c r="B1432" s="106" t="str">
        <f>"SITE_Assesment"</f>
        <v>SITE_Assesment</v>
      </c>
      <c r="C1432" s="106" t="str">
        <f>"Security"</f>
        <v>Security</v>
      </c>
      <c r="D1432" s="106" t="str">
        <f>SITE_Assesment!$A$60</f>
        <v>Campus Site Work</v>
      </c>
      <c r="E1432" s="106" t="str">
        <f>SITE_Assesment!$I$60</f>
        <v>Verify</v>
      </c>
      <c r="F1432" s="106" t="str">
        <f>SITE_Assesment!$J$60</f>
        <v>Coordinate staging, access, material storage, noisy work, utility interruption, trench barricades and public access with owner.</v>
      </c>
      <c r="G1432" s="106" t="str">
        <f>"SITE_Assesment!A60:J60"</f>
        <v>SITE_Assesment!A60:J60</v>
      </c>
    </row>
    <row r="1433" spans="1:7" ht="97.5" customHeight="1">
      <c r="A1433" s="106" t="str">
        <f>SITE_Assesment!$B$2</f>
        <v>SITE</v>
      </c>
      <c r="B1433" s="106" t="str">
        <f>"SITE_Assesment"</f>
        <v>SITE_Assesment</v>
      </c>
      <c r="C1433" s="106" t="str">
        <f>"Security"</f>
        <v>Security</v>
      </c>
      <c r="D1433" s="106" t="str">
        <f>SITE_Assesment!$A$61</f>
        <v>Road / Parking Impacts</v>
      </c>
      <c r="E1433" s="106" t="str">
        <f>SITE_Assesment!$I$61</f>
        <v>Verify</v>
      </c>
      <c r="F1433" s="106" t="str">
        <f>SITE_Assesment!$J$61</f>
        <v>General notes specifically identify accessible parking and public right-of-way impacts; temporary barricades must prevent injury and protect parking signage.</v>
      </c>
      <c r="G1433" s="106" t="str">
        <f>"SITE_Assesment!A61:J61"</f>
        <v>SITE_Assesment!A61:J61</v>
      </c>
    </row>
    <row r="1434" spans="1:7" ht="97.5" customHeight="1">
      <c r="A1434" s="106" t="str">
        <f>SITE_Assesment!$B$2</f>
        <v>SITE</v>
      </c>
      <c r="B1434" s="106" t="str">
        <f>"SITE_Assesment"</f>
        <v>SITE_Assesment</v>
      </c>
      <c r="C1434" s="106" t="str">
        <f>"Security"</f>
        <v>Security</v>
      </c>
      <c r="D1434" s="106" t="str">
        <f>SITE_Assesment!$A$62</f>
        <v>Critical Utility Crossings</v>
      </c>
      <c r="E1434" s="106" t="str">
        <f>SITE_Assesment!$I$62</f>
        <v>Verify</v>
      </c>
      <c r="F1434" s="106" t="str">
        <f>SITE_Assesment!$J$62</f>
        <v>Hand digging at existing utility crossings is in base bid. Confirm permits, Dig Safe, VA utility locate and escort requirements before excavation.</v>
      </c>
      <c r="G1434" s="106" t="str">
        <f>"SITE_Assesment!A62:J62"</f>
        <v>SITE_Assesment!A62:J62</v>
      </c>
    </row>
  </sheetData>
  <mergeCells count="3">
    <mergeCell ref="A1:P1"/>
    <mergeCell ref="Q1:X1"/>
    <mergeCell ref="Y1:AT1"/>
  </mergeCells>
  <conditionalFormatting sqref="D3:D32">
    <cfRule type="colorScale" priority="36">
      <colorScale>
        <cfvo type="num" val="0"/>
        <cfvo type="num" val="0.65"/>
        <cfvo type="num" val="0.9"/>
        <color rgb="FFFEE2E2"/>
        <color rgb="FFFEF3C7"/>
        <color rgb="FFDCFCE7"/>
      </colorScale>
    </cfRule>
  </conditionalFormatting>
  <conditionalFormatting sqref="Q3:Q32">
    <cfRule type="cellIs" dxfId="1435" priority="37" operator="greaterThan">
      <formula>0</formula>
    </cfRule>
  </conditionalFormatting>
  <conditionalFormatting sqref="Z3:Z32">
    <cfRule type="colorScale" priority="1">
      <colorScale>
        <cfvo type="min"/>
        <cfvo type="percentile" val="50"/>
        <cfvo type="max"/>
        <color rgb="FFF4CCCC"/>
        <color rgb="FFFFF2CC"/>
        <color rgb="FFD9EAD3"/>
      </colorScale>
    </cfRule>
  </conditionalFormatting>
  <conditionalFormatting sqref="AB3:AB32">
    <cfRule type="colorScale" priority="2">
      <colorScale>
        <cfvo type="min"/>
        <cfvo type="percentile" val="50"/>
        <cfvo type="max"/>
        <color rgb="FFF4CCCC"/>
        <color rgb="FFFFF2CC"/>
        <color rgb="FFD9EAD3"/>
      </colorScale>
    </cfRule>
  </conditionalFormatting>
  <conditionalFormatting sqref="AE3:AE32">
    <cfRule type="colorScale" priority="3">
      <colorScale>
        <cfvo type="min"/>
        <cfvo type="percentile" val="50"/>
        <cfvo type="max"/>
        <color rgb="FFF4CCCC"/>
        <color rgb="FFFFF2CC"/>
        <color rgb="FFD9EAD3"/>
      </colorScale>
    </cfRule>
  </conditionalFormatting>
  <conditionalFormatting sqref="AG3:AG32">
    <cfRule type="colorScale" priority="4">
      <colorScale>
        <cfvo type="min"/>
        <cfvo type="percentile" val="50"/>
        <cfvo type="max"/>
        <color rgb="FFF4CCCC"/>
        <color rgb="FFFFF2CC"/>
        <color rgb="FFD9EAD3"/>
      </colorScale>
    </cfRule>
  </conditionalFormatting>
  <conditionalFormatting sqref="AI3:AI32">
    <cfRule type="colorScale" priority="5">
      <colorScale>
        <cfvo type="min"/>
        <cfvo type="percentile" val="50"/>
        <cfvo type="max"/>
        <color rgb="FFF4CCCC"/>
        <color rgb="FFFFF2CC"/>
        <color rgb="FFD9EAD3"/>
      </colorScale>
    </cfRule>
  </conditionalFormatting>
  <conditionalFormatting sqref="AK3:AK32">
    <cfRule type="colorScale" priority="6">
      <colorScale>
        <cfvo type="min"/>
        <cfvo type="percentile" val="50"/>
        <cfvo type="max"/>
        <color rgb="FFF4CCCC"/>
        <color rgb="FFFFF2CC"/>
        <color rgb="FFD9EAD3"/>
      </colorScale>
    </cfRule>
  </conditionalFormatting>
  <conditionalFormatting sqref="AN3:AN32">
    <cfRule type="expression" dxfId="1434" priority="8">
      <formula>ISNUMBER(SEARCH("ATTENTION",AN3))</formula>
    </cfRule>
    <cfRule type="expression" dxfId="1433" priority="9">
      <formula>ISNUMBER(SEARCH("WATCH",AN3))</formula>
    </cfRule>
    <cfRule type="expression" dxfId="1432" priority="10">
      <formula>ISNUMBER(SEARCH("READY",AN3))</formula>
    </cfRule>
  </conditionalFormatting>
  <conditionalFormatting sqref="AO3:AO32">
    <cfRule type="colorScale" priority="7">
      <colorScale>
        <cfvo type="min"/>
        <cfvo type="percentile" val="50"/>
        <cfvo type="max"/>
        <color rgb="FFF4CCCC"/>
        <color rgb="FFFFF2CC"/>
        <color rgb="FFD9EAD3"/>
      </colorScale>
    </cfRule>
  </conditionalFormatting>
  <dataValidations disablePrompts="1" count="1">
    <dataValidation type="list" sqref="E1003:E1431 F263:F493 K593:K819 K33:K257" xr:uid="{00000000-0002-0000-2300-000000000000}">
      <formula1>"Open,Closed,Verify,Pass,Fail,N/A,Partial / Yellow"</formula1>
      <formula2>0</formula2>
    </dataValidation>
  </dataValidations>
  <pageMargins left="0.7" right="0.7" top="0.75" bottom="0.75" header="0.3" footer="0.3"/>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15C12-2AAB-492C-8EA4-E6A9A3D6E0E9}">
  <dimension ref="A1:J237"/>
  <sheetViews>
    <sheetView showGridLines="0" topLeftCell="A15" workbookViewId="0">
      <selection activeCell="B4" sqref="B4"/>
    </sheetView>
  </sheetViews>
  <sheetFormatPr defaultColWidth="8.6640625" defaultRowHeight="14.4"/>
  <cols>
    <col min="1" max="1" width="26" style="8" customWidth="1"/>
    <col min="2" max="2" width="18" style="8" customWidth="1"/>
    <col min="3" max="3" width="20" style="8" customWidth="1"/>
    <col min="4" max="6" width="18" style="8" customWidth="1"/>
    <col min="7" max="7" width="20" style="8" customWidth="1"/>
    <col min="8" max="8" width="31.6640625" style="8" customWidth="1"/>
    <col min="9" max="9" width="14.33203125" style="8" customWidth="1"/>
    <col min="10" max="10" width="34" style="8" customWidth="1"/>
    <col min="11" max="12" width="8.6640625" style="8" customWidth="1"/>
    <col min="13" max="16384" width="8.6640625" style="8"/>
  </cols>
  <sheetData>
    <row r="1" spans="1:10">
      <c r="A1" s="851" t="s">
        <v>901</v>
      </c>
      <c r="B1" s="839"/>
      <c r="C1" s="839"/>
      <c r="D1" s="839"/>
      <c r="E1" s="839"/>
      <c r="F1" s="839"/>
      <c r="G1" s="839"/>
      <c r="H1" s="839"/>
      <c r="I1" s="839"/>
      <c r="J1" s="839"/>
    </row>
    <row r="2" spans="1:10" s="227" customFormat="1" ht="16.95" customHeight="1">
      <c r="A2" s="223" t="s">
        <v>142</v>
      </c>
      <c r="B2" s="224" t="s">
        <v>143</v>
      </c>
      <c r="C2" s="223" t="s">
        <v>902</v>
      </c>
      <c r="D2" s="224" t="s">
        <v>503</v>
      </c>
      <c r="E2" s="223" t="s">
        <v>151</v>
      </c>
      <c r="F2" s="224" t="s">
        <v>1095</v>
      </c>
      <c r="G2" s="223" t="s">
        <v>174</v>
      </c>
      <c r="H2" s="225">
        <v>0.5</v>
      </c>
      <c r="I2" s="264" t="s">
        <v>154</v>
      </c>
      <c r="J2" s="226" t="s">
        <v>1096</v>
      </c>
    </row>
    <row r="3" spans="1:10" s="231" customFormat="1" ht="33" customHeight="1">
      <c r="A3" s="223" t="s">
        <v>903</v>
      </c>
      <c r="B3" s="228">
        <v>46199.559382141197</v>
      </c>
      <c r="C3" s="229" t="s">
        <v>904</v>
      </c>
      <c r="D3" s="230" t="s">
        <v>721</v>
      </c>
      <c r="E3" s="223" t="s">
        <v>905</v>
      </c>
      <c r="F3" s="230" t="s">
        <v>906</v>
      </c>
      <c r="G3" s="223" t="s">
        <v>907</v>
      </c>
      <c r="H3" s="230" t="s">
        <v>908</v>
      </c>
      <c r="I3" s="223" t="s">
        <v>551</v>
      </c>
      <c r="J3" s="230" t="s">
        <v>909</v>
      </c>
    </row>
    <row r="4" spans="1:10" s="231" customFormat="1" ht="266.39999999999998" customHeight="1">
      <c r="A4" s="223" t="s">
        <v>161</v>
      </c>
      <c r="B4" s="230">
        <v>0</v>
      </c>
      <c r="C4" s="223" t="s">
        <v>199</v>
      </c>
      <c r="D4" s="230">
        <v>0</v>
      </c>
      <c r="E4" s="223" t="s">
        <v>179</v>
      </c>
      <c r="F4" s="230">
        <v>0</v>
      </c>
      <c r="G4" s="223" t="s">
        <v>870</v>
      </c>
      <c r="H4" s="232" t="s">
        <v>910</v>
      </c>
      <c r="I4" s="233"/>
      <c r="J4" s="233"/>
    </row>
    <row r="5" spans="1:10" s="231" customFormat="1" ht="27.6">
      <c r="A5" s="234" t="s">
        <v>911</v>
      </c>
      <c r="B5" s="225" t="s">
        <v>484</v>
      </c>
      <c r="C5" s="235" t="s">
        <v>912</v>
      </c>
      <c r="D5" s="225" t="s">
        <v>484</v>
      </c>
      <c r="E5" s="236" t="s">
        <v>913</v>
      </c>
      <c r="F5" s="225" t="s">
        <v>484</v>
      </c>
      <c r="G5" s="237" t="s">
        <v>914</v>
      </c>
      <c r="H5" s="225" t="s">
        <v>484</v>
      </c>
      <c r="I5" s="237" t="s">
        <v>915</v>
      </c>
      <c r="J5" s="225" t="s">
        <v>484</v>
      </c>
    </row>
    <row r="6" spans="1:10" s="231" customFormat="1" ht="48" customHeight="1">
      <c r="A6" s="238" t="s">
        <v>916</v>
      </c>
      <c r="B6" s="225" t="s">
        <v>484</v>
      </c>
      <c r="C6" s="239" t="s">
        <v>869</v>
      </c>
      <c r="D6" s="854" t="s">
        <v>917</v>
      </c>
      <c r="E6" s="853"/>
      <c r="F6" s="853"/>
      <c r="G6" s="853"/>
      <c r="H6" s="853"/>
      <c r="I6" s="853"/>
      <c r="J6" s="853"/>
    </row>
    <row r="7" spans="1:10" ht="7.35" customHeight="1">
      <c r="A7" s="13"/>
      <c r="B7" s="13"/>
      <c r="C7" s="13"/>
      <c r="D7" s="13"/>
      <c r="E7" s="13"/>
      <c r="F7" s="13"/>
      <c r="G7" s="13"/>
      <c r="H7" s="13"/>
      <c r="I7" s="13"/>
      <c r="J7" s="13"/>
    </row>
    <row r="8" spans="1:10">
      <c r="A8" s="842" t="s">
        <v>918</v>
      </c>
      <c r="B8" s="839"/>
      <c r="C8" s="839"/>
      <c r="D8" s="85"/>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124.2">
      <c r="A10" s="13" t="s">
        <v>143</v>
      </c>
      <c r="B10" s="13" t="s">
        <v>591</v>
      </c>
      <c r="C10" s="13" t="s">
        <v>919</v>
      </c>
      <c r="D10" s="13" t="s">
        <v>920</v>
      </c>
      <c r="E10" s="13" t="s">
        <v>356</v>
      </c>
      <c r="F10" s="13">
        <v>1</v>
      </c>
      <c r="G10" s="13">
        <v>1</v>
      </c>
      <c r="H10" s="13" t="s">
        <v>677</v>
      </c>
      <c r="I10" s="13" t="s">
        <v>921</v>
      </c>
      <c r="J10" s="13" t="s">
        <v>922</v>
      </c>
    </row>
    <row r="11" spans="1:10" ht="124.2">
      <c r="A11" s="13" t="s">
        <v>143</v>
      </c>
      <c r="B11" s="13" t="s">
        <v>14</v>
      </c>
      <c r="C11" s="13" t="s">
        <v>923</v>
      </c>
      <c r="D11" s="13" t="s">
        <v>924</v>
      </c>
      <c r="E11" s="13" t="s">
        <v>925</v>
      </c>
      <c r="F11" s="13">
        <v>3</v>
      </c>
      <c r="G11" s="13">
        <v>0</v>
      </c>
      <c r="H11" s="13" t="s">
        <v>677</v>
      </c>
      <c r="I11" s="13" t="s">
        <v>926</v>
      </c>
      <c r="J11" s="13" t="s">
        <v>927</v>
      </c>
    </row>
    <row r="12" spans="1:10" ht="82.8">
      <c r="A12" s="13" t="s">
        <v>143</v>
      </c>
      <c r="B12" s="13" t="s">
        <v>928</v>
      </c>
      <c r="C12" s="13" t="s">
        <v>919</v>
      </c>
      <c r="D12" s="13" t="s">
        <v>929</v>
      </c>
      <c r="E12" s="13" t="s">
        <v>925</v>
      </c>
      <c r="F12" s="13">
        <v>3</v>
      </c>
      <c r="G12" s="13">
        <v>0</v>
      </c>
      <c r="H12" s="13" t="s">
        <v>677</v>
      </c>
      <c r="I12" s="13" t="s">
        <v>930</v>
      </c>
      <c r="J12" s="13" t="s">
        <v>931</v>
      </c>
    </row>
    <row r="13" spans="1:10" ht="96.6">
      <c r="A13" s="13" t="s">
        <v>143</v>
      </c>
      <c r="B13" s="13" t="s">
        <v>932</v>
      </c>
      <c r="C13" s="13" t="s">
        <v>933</v>
      </c>
      <c r="D13" s="13" t="s">
        <v>924</v>
      </c>
      <c r="E13" s="13" t="s">
        <v>925</v>
      </c>
      <c r="F13" s="13">
        <v>2</v>
      </c>
      <c r="G13" s="13">
        <v>0</v>
      </c>
      <c r="H13" s="13" t="s">
        <v>677</v>
      </c>
      <c r="I13" s="13" t="s">
        <v>934</v>
      </c>
      <c r="J13" s="13" t="s">
        <v>935</v>
      </c>
    </row>
    <row r="14" spans="1:10">
      <c r="A14" s="13"/>
      <c r="B14" s="13"/>
      <c r="C14" s="13"/>
      <c r="D14" s="13"/>
      <c r="E14" s="13"/>
      <c r="F14" s="13"/>
      <c r="G14" s="13"/>
      <c r="H14" s="13"/>
      <c r="I14" s="13"/>
      <c r="J14" s="13"/>
    </row>
    <row r="15" spans="1:10">
      <c r="A15" s="842" t="s">
        <v>936</v>
      </c>
      <c r="B15" s="839"/>
      <c r="C15" s="839"/>
      <c r="D15" s="85"/>
      <c r="E15" s="85"/>
      <c r="F15" s="85"/>
      <c r="G15" s="85"/>
      <c r="H15" s="85"/>
      <c r="I15" s="85"/>
      <c r="J15" s="85"/>
    </row>
    <row r="16" spans="1:10">
      <c r="A16" s="50" t="s">
        <v>275</v>
      </c>
      <c r="B16" s="50" t="s">
        <v>937</v>
      </c>
      <c r="C16" s="50" t="s">
        <v>938</v>
      </c>
      <c r="D16" s="50" t="s">
        <v>939</v>
      </c>
      <c r="E16" s="50" t="s">
        <v>940</v>
      </c>
      <c r="F16" s="50" t="s">
        <v>941</v>
      </c>
      <c r="G16" s="50" t="s">
        <v>942</v>
      </c>
      <c r="H16" s="50" t="s">
        <v>943</v>
      </c>
      <c r="I16" s="50" t="s">
        <v>899</v>
      </c>
      <c r="J16" s="50" t="s">
        <v>944</v>
      </c>
    </row>
    <row r="17" spans="1:10" ht="82.8">
      <c r="A17" s="13" t="s">
        <v>591</v>
      </c>
      <c r="B17" s="13" t="s">
        <v>677</v>
      </c>
      <c r="C17" s="13" t="s">
        <v>677</v>
      </c>
      <c r="D17" s="13" t="s">
        <v>677</v>
      </c>
      <c r="E17" s="13" t="s">
        <v>677</v>
      </c>
      <c r="F17" s="13" t="s">
        <v>677</v>
      </c>
      <c r="G17" s="13" t="s">
        <v>677</v>
      </c>
      <c r="H17" s="13" t="s">
        <v>677</v>
      </c>
      <c r="I17" s="13" t="s">
        <v>677</v>
      </c>
      <c r="J17" s="13" t="s">
        <v>945</v>
      </c>
    </row>
    <row r="18" spans="1:10" ht="55.2">
      <c r="A18" s="13" t="s">
        <v>14</v>
      </c>
      <c r="B18" s="13" t="s">
        <v>946</v>
      </c>
      <c r="C18" s="13" t="s">
        <v>946</v>
      </c>
      <c r="D18" s="13" t="s">
        <v>946</v>
      </c>
      <c r="E18" s="13" t="s">
        <v>677</v>
      </c>
      <c r="F18" s="13" t="s">
        <v>947</v>
      </c>
      <c r="G18" s="13" t="s">
        <v>677</v>
      </c>
      <c r="H18" s="13" t="s">
        <v>677</v>
      </c>
      <c r="I18" s="13" t="s">
        <v>677</v>
      </c>
      <c r="J18" s="13" t="s">
        <v>948</v>
      </c>
    </row>
    <row r="19" spans="1:10" ht="55.2">
      <c r="A19" s="13" t="s">
        <v>928</v>
      </c>
      <c r="B19" s="13" t="s">
        <v>946</v>
      </c>
      <c r="C19" s="13" t="s">
        <v>946</v>
      </c>
      <c r="D19" s="13" t="s">
        <v>946</v>
      </c>
      <c r="E19" s="13" t="s">
        <v>677</v>
      </c>
      <c r="F19" s="13" t="s">
        <v>947</v>
      </c>
      <c r="G19" s="13" t="s">
        <v>677</v>
      </c>
      <c r="H19" s="13" t="s">
        <v>677</v>
      </c>
      <c r="I19" s="13" t="s">
        <v>677</v>
      </c>
      <c r="J19" s="13" t="s">
        <v>949</v>
      </c>
    </row>
    <row r="20" spans="1:10" ht="55.2">
      <c r="A20" s="13" t="s">
        <v>932</v>
      </c>
      <c r="B20" s="13" t="s">
        <v>946</v>
      </c>
      <c r="C20" s="13" t="s">
        <v>946</v>
      </c>
      <c r="D20" s="13" t="s">
        <v>946</v>
      </c>
      <c r="E20" s="13" t="s">
        <v>677</v>
      </c>
      <c r="F20" s="13" t="s">
        <v>947</v>
      </c>
      <c r="G20" s="13" t="s">
        <v>677</v>
      </c>
      <c r="H20" s="13" t="s">
        <v>677</v>
      </c>
      <c r="I20" s="13" t="s">
        <v>677</v>
      </c>
      <c r="J20" s="13" t="s">
        <v>950</v>
      </c>
    </row>
    <row r="21" spans="1:10">
      <c r="A21" s="13"/>
      <c r="B21" s="13"/>
      <c r="C21" s="13"/>
      <c r="D21" s="13"/>
      <c r="E21" s="13"/>
      <c r="F21" s="13"/>
      <c r="G21" s="13"/>
      <c r="H21" s="13"/>
      <c r="I21" s="13"/>
      <c r="J21" s="13"/>
    </row>
    <row r="22" spans="1:10">
      <c r="A22" s="842" t="s">
        <v>951</v>
      </c>
      <c r="B22" s="839"/>
      <c r="C22" s="839"/>
      <c r="D22" s="85"/>
      <c r="E22" s="85"/>
      <c r="F22" s="85"/>
      <c r="G22" s="85"/>
      <c r="H22" s="85"/>
      <c r="I22" s="85"/>
      <c r="J22" s="85"/>
    </row>
    <row r="23" spans="1:10">
      <c r="A23" s="50" t="s">
        <v>275</v>
      </c>
      <c r="B23" s="50" t="s">
        <v>952</v>
      </c>
      <c r="C23" s="50" t="s">
        <v>953</v>
      </c>
      <c r="D23" s="50" t="s">
        <v>954</v>
      </c>
      <c r="E23" s="50" t="s">
        <v>955</v>
      </c>
      <c r="F23" s="50" t="s">
        <v>956</v>
      </c>
      <c r="G23" s="50" t="s">
        <v>957</v>
      </c>
      <c r="H23" s="50" t="s">
        <v>958</v>
      </c>
      <c r="I23" s="50" t="s">
        <v>899</v>
      </c>
      <c r="J23" s="50" t="s">
        <v>959</v>
      </c>
    </row>
    <row r="24" spans="1:10" ht="82.8">
      <c r="A24" s="13" t="s">
        <v>591</v>
      </c>
      <c r="B24" s="13" t="s">
        <v>677</v>
      </c>
      <c r="C24" s="13" t="s">
        <v>677</v>
      </c>
      <c r="D24" s="13" t="s">
        <v>677</v>
      </c>
      <c r="E24" s="13" t="s">
        <v>677</v>
      </c>
      <c r="F24" s="13" t="s">
        <v>677</v>
      </c>
      <c r="G24" s="13" t="s">
        <v>677</v>
      </c>
      <c r="H24" s="13" t="s">
        <v>677</v>
      </c>
      <c r="I24" s="13" t="s">
        <v>677</v>
      </c>
      <c r="J24" s="13" t="s">
        <v>960</v>
      </c>
    </row>
    <row r="25" spans="1:10" ht="41.4">
      <c r="A25" s="13" t="s">
        <v>14</v>
      </c>
      <c r="B25" s="13" t="s">
        <v>946</v>
      </c>
      <c r="C25" s="13" t="s">
        <v>679</v>
      </c>
      <c r="D25" s="13" t="s">
        <v>947</v>
      </c>
      <c r="E25" s="13" t="s">
        <v>947</v>
      </c>
      <c r="F25" s="13" t="s">
        <v>677</v>
      </c>
      <c r="G25" s="13" t="s">
        <v>677</v>
      </c>
      <c r="H25" s="13" t="s">
        <v>677</v>
      </c>
      <c r="I25" s="13" t="s">
        <v>677</v>
      </c>
      <c r="J25" s="13" t="s">
        <v>961</v>
      </c>
    </row>
    <row r="26" spans="1:10" ht="41.4">
      <c r="A26" s="13" t="s">
        <v>928</v>
      </c>
      <c r="B26" s="13" t="s">
        <v>946</v>
      </c>
      <c r="C26" s="13" t="s">
        <v>679</v>
      </c>
      <c r="D26" s="13" t="s">
        <v>947</v>
      </c>
      <c r="E26" s="13" t="s">
        <v>947</v>
      </c>
      <c r="F26" s="13" t="s">
        <v>677</v>
      </c>
      <c r="G26" s="13" t="s">
        <v>677</v>
      </c>
      <c r="H26" s="13" t="s">
        <v>677</v>
      </c>
      <c r="I26" s="13" t="s">
        <v>677</v>
      </c>
      <c r="J26" s="13" t="s">
        <v>962</v>
      </c>
    </row>
    <row r="27" spans="1:10" ht="41.4">
      <c r="A27" s="13" t="s">
        <v>932</v>
      </c>
      <c r="B27" s="13" t="s">
        <v>946</v>
      </c>
      <c r="C27" s="13" t="s">
        <v>679</v>
      </c>
      <c r="D27" s="13" t="s">
        <v>947</v>
      </c>
      <c r="E27" s="13" t="s">
        <v>947</v>
      </c>
      <c r="F27" s="13" t="s">
        <v>677</v>
      </c>
      <c r="G27" s="13" t="s">
        <v>677</v>
      </c>
      <c r="H27" s="13" t="s">
        <v>677</v>
      </c>
      <c r="I27" s="13" t="s">
        <v>677</v>
      </c>
      <c r="J27" s="13" t="s">
        <v>963</v>
      </c>
    </row>
    <row r="28" spans="1:10">
      <c r="A28" s="13"/>
      <c r="B28" s="13"/>
      <c r="C28" s="13"/>
      <c r="D28" s="13"/>
      <c r="E28" s="13"/>
      <c r="F28" s="13"/>
      <c r="G28" s="13"/>
      <c r="H28" s="13"/>
      <c r="I28" s="13"/>
      <c r="J28" s="13"/>
    </row>
    <row r="29" spans="1:10">
      <c r="A29" s="842" t="s">
        <v>964</v>
      </c>
      <c r="B29" s="839"/>
      <c r="C29" s="839"/>
      <c r="D29" s="85"/>
      <c r="E29" s="85"/>
      <c r="F29" s="85"/>
      <c r="G29" s="85"/>
      <c r="H29" s="85"/>
      <c r="I29" s="85"/>
      <c r="J29" s="85"/>
    </row>
    <row r="30" spans="1:10">
      <c r="A30" s="50" t="s">
        <v>275</v>
      </c>
      <c r="B30" s="50" t="s">
        <v>965</v>
      </c>
      <c r="C30" s="50" t="s">
        <v>966</v>
      </c>
      <c r="D30" s="50" t="s">
        <v>967</v>
      </c>
      <c r="E30" s="50" t="s">
        <v>968</v>
      </c>
      <c r="F30" s="50" t="s">
        <v>969</v>
      </c>
      <c r="G30" s="50" t="s">
        <v>970</v>
      </c>
      <c r="H30" s="50" t="s">
        <v>971</v>
      </c>
      <c r="I30" s="50" t="s">
        <v>899</v>
      </c>
      <c r="J30" s="50" t="s">
        <v>959</v>
      </c>
    </row>
    <row r="31" spans="1:10" ht="138">
      <c r="A31" s="13" t="s">
        <v>591</v>
      </c>
      <c r="B31" s="13" t="s">
        <v>972</v>
      </c>
      <c r="C31" s="13" t="s">
        <v>677</v>
      </c>
      <c r="D31" s="13" t="s">
        <v>677</v>
      </c>
      <c r="E31" s="13" t="s">
        <v>677</v>
      </c>
      <c r="F31" s="13" t="s">
        <v>677</v>
      </c>
      <c r="G31" s="13" t="s">
        <v>677</v>
      </c>
      <c r="H31" s="13" t="s">
        <v>677</v>
      </c>
      <c r="I31" s="13" t="s">
        <v>677</v>
      </c>
      <c r="J31" s="13" t="s">
        <v>973</v>
      </c>
    </row>
    <row r="32" spans="1:10" ht="69">
      <c r="A32" s="13" t="s">
        <v>14</v>
      </c>
      <c r="B32" s="13" t="s">
        <v>946</v>
      </c>
      <c r="C32" s="13" t="s">
        <v>677</v>
      </c>
      <c r="D32" s="13" t="s">
        <v>677</v>
      </c>
      <c r="E32" s="13" t="s">
        <v>677</v>
      </c>
      <c r="F32" s="13" t="s">
        <v>677</v>
      </c>
      <c r="G32" s="13" t="s">
        <v>677</v>
      </c>
      <c r="H32" s="13" t="s">
        <v>677</v>
      </c>
      <c r="I32" s="13" t="s">
        <v>677</v>
      </c>
      <c r="J32" s="13" t="s">
        <v>974</v>
      </c>
    </row>
    <row r="33" spans="1:10" ht="55.2">
      <c r="A33" s="13" t="s">
        <v>928</v>
      </c>
      <c r="B33" s="13" t="s">
        <v>946</v>
      </c>
      <c r="C33" s="13" t="s">
        <v>677</v>
      </c>
      <c r="D33" s="13" t="s">
        <v>677</v>
      </c>
      <c r="E33" s="13" t="s">
        <v>677</v>
      </c>
      <c r="F33" s="13" t="s">
        <v>677</v>
      </c>
      <c r="G33" s="13" t="s">
        <v>677</v>
      </c>
      <c r="H33" s="13" t="s">
        <v>677</v>
      </c>
      <c r="I33" s="13" t="s">
        <v>677</v>
      </c>
      <c r="J33" s="13" t="s">
        <v>975</v>
      </c>
    </row>
    <row r="34" spans="1:10" ht="55.2">
      <c r="A34" s="13" t="s">
        <v>932</v>
      </c>
      <c r="B34" s="13" t="s">
        <v>946</v>
      </c>
      <c r="C34" s="13" t="s">
        <v>677</v>
      </c>
      <c r="D34" s="13" t="s">
        <v>677</v>
      </c>
      <c r="E34" s="13" t="s">
        <v>677</v>
      </c>
      <c r="F34" s="13" t="s">
        <v>677</v>
      </c>
      <c r="G34" s="13" t="s">
        <v>677</v>
      </c>
      <c r="H34" s="13" t="s">
        <v>677</v>
      </c>
      <c r="I34" s="13" t="s">
        <v>677</v>
      </c>
      <c r="J34" s="13" t="s">
        <v>976</v>
      </c>
    </row>
    <row r="35" spans="1:10">
      <c r="A35" s="13"/>
      <c r="B35" s="13"/>
      <c r="C35" s="13"/>
      <c r="D35" s="13"/>
      <c r="E35" s="13"/>
      <c r="F35" s="13"/>
      <c r="G35" s="13"/>
      <c r="H35" s="13"/>
      <c r="I35" s="13"/>
      <c r="J35" s="13"/>
    </row>
    <row r="36" spans="1:10">
      <c r="A36" s="842" t="s">
        <v>977</v>
      </c>
      <c r="B36" s="839"/>
      <c r="C36" s="839"/>
      <c r="D36" s="85"/>
      <c r="E36" s="85"/>
      <c r="F36" s="85"/>
      <c r="G36" s="85"/>
      <c r="H36" s="85"/>
      <c r="I36" s="85"/>
      <c r="J36" s="85"/>
    </row>
    <row r="37" spans="1:10">
      <c r="A37" s="50" t="s">
        <v>275</v>
      </c>
      <c r="B37" s="50" t="s">
        <v>978</v>
      </c>
      <c r="C37" s="50" t="s">
        <v>979</v>
      </c>
      <c r="D37" s="50" t="s">
        <v>980</v>
      </c>
      <c r="E37" s="50" t="s">
        <v>981</v>
      </c>
      <c r="F37" s="50" t="s">
        <v>982</v>
      </c>
      <c r="G37" s="50" t="s">
        <v>983</v>
      </c>
      <c r="H37" s="50" t="s">
        <v>984</v>
      </c>
      <c r="I37" s="50" t="s">
        <v>899</v>
      </c>
      <c r="J37" s="50" t="s">
        <v>11</v>
      </c>
    </row>
    <row r="38" spans="1:10" ht="124.2">
      <c r="A38" s="13" t="s">
        <v>591</v>
      </c>
      <c r="B38" s="13" t="s">
        <v>677</v>
      </c>
      <c r="C38" s="13" t="s">
        <v>985</v>
      </c>
      <c r="D38" s="13" t="s">
        <v>677</v>
      </c>
      <c r="E38" s="13" t="s">
        <v>677</v>
      </c>
      <c r="F38" s="13" t="s">
        <v>986</v>
      </c>
      <c r="G38" s="13" t="s">
        <v>677</v>
      </c>
      <c r="H38" s="13" t="s">
        <v>677</v>
      </c>
      <c r="I38" s="13" t="s">
        <v>677</v>
      </c>
      <c r="J38" s="13" t="s">
        <v>987</v>
      </c>
    </row>
    <row r="39" spans="1:10" ht="55.2">
      <c r="A39" s="13" t="s">
        <v>14</v>
      </c>
      <c r="B39" s="13" t="s">
        <v>988</v>
      </c>
      <c r="C39" s="13" t="s">
        <v>989</v>
      </c>
      <c r="D39" s="13" t="s">
        <v>946</v>
      </c>
      <c r="E39" s="13" t="s">
        <v>677</v>
      </c>
      <c r="F39" s="13" t="s">
        <v>946</v>
      </c>
      <c r="G39" s="13" t="s">
        <v>677</v>
      </c>
      <c r="H39" s="13" t="s">
        <v>677</v>
      </c>
      <c r="I39" s="13" t="s">
        <v>677</v>
      </c>
      <c r="J39" s="13" t="s">
        <v>990</v>
      </c>
    </row>
    <row r="40" spans="1:10" ht="41.4">
      <c r="A40" s="13" t="s">
        <v>928</v>
      </c>
      <c r="B40" s="13" t="s">
        <v>988</v>
      </c>
      <c r="C40" s="13" t="s">
        <v>991</v>
      </c>
      <c r="D40" s="13" t="s">
        <v>946</v>
      </c>
      <c r="E40" s="13" t="s">
        <v>677</v>
      </c>
      <c r="F40" s="13" t="s">
        <v>946</v>
      </c>
      <c r="G40" s="13" t="s">
        <v>677</v>
      </c>
      <c r="H40" s="13" t="s">
        <v>677</v>
      </c>
      <c r="I40" s="13" t="s">
        <v>677</v>
      </c>
      <c r="J40" s="13" t="s">
        <v>992</v>
      </c>
    </row>
    <row r="41" spans="1:10" ht="55.2">
      <c r="A41" s="13" t="s">
        <v>932</v>
      </c>
      <c r="B41" s="13" t="s">
        <v>988</v>
      </c>
      <c r="C41" s="13" t="s">
        <v>946</v>
      </c>
      <c r="D41" s="13" t="s">
        <v>946</v>
      </c>
      <c r="E41" s="13" t="s">
        <v>677</v>
      </c>
      <c r="F41" s="13" t="s">
        <v>946</v>
      </c>
      <c r="G41" s="13" t="s">
        <v>677</v>
      </c>
      <c r="H41" s="13" t="s">
        <v>677</v>
      </c>
      <c r="I41" s="13" t="s">
        <v>677</v>
      </c>
      <c r="J41" s="13" t="s">
        <v>993</v>
      </c>
    </row>
    <row r="42" spans="1:10">
      <c r="A42" s="13"/>
      <c r="B42" s="13"/>
      <c r="C42" s="13"/>
      <c r="D42" s="13"/>
      <c r="E42" s="13"/>
      <c r="F42" s="13"/>
      <c r="G42" s="13"/>
      <c r="H42" s="13"/>
      <c r="I42" s="13"/>
      <c r="J42" s="13"/>
    </row>
    <row r="43" spans="1:10">
      <c r="A43" s="842" t="s">
        <v>994</v>
      </c>
      <c r="B43" s="839"/>
      <c r="C43" s="839"/>
      <c r="D43" s="85"/>
      <c r="E43" s="85"/>
      <c r="F43" s="85"/>
      <c r="G43" s="85"/>
      <c r="H43" s="85"/>
      <c r="I43" s="85"/>
      <c r="J43" s="85"/>
    </row>
    <row r="44" spans="1:10">
      <c r="A44" s="50" t="s">
        <v>275</v>
      </c>
      <c r="B44" s="50" t="s">
        <v>995</v>
      </c>
      <c r="C44" s="50" t="s">
        <v>996</v>
      </c>
      <c r="D44" s="50" t="s">
        <v>997</v>
      </c>
      <c r="E44" s="50" t="s">
        <v>998</v>
      </c>
      <c r="F44" s="50" t="s">
        <v>999</v>
      </c>
      <c r="G44" s="50" t="s">
        <v>1000</v>
      </c>
      <c r="H44" s="50" t="s">
        <v>1001</v>
      </c>
      <c r="I44" s="50" t="s">
        <v>899</v>
      </c>
      <c r="J44" s="50" t="s">
        <v>11</v>
      </c>
    </row>
    <row r="45" spans="1:10" ht="96.6">
      <c r="A45" s="13" t="s">
        <v>591</v>
      </c>
      <c r="B45" s="13" t="s">
        <v>677</v>
      </c>
      <c r="C45" s="13" t="s">
        <v>677</v>
      </c>
      <c r="D45" s="13" t="s">
        <v>677</v>
      </c>
      <c r="E45" s="13" t="s">
        <v>677</v>
      </c>
      <c r="F45" s="13" t="s">
        <v>677</v>
      </c>
      <c r="G45" s="13" t="s">
        <v>677</v>
      </c>
      <c r="H45" s="13" t="s">
        <v>677</v>
      </c>
      <c r="I45" s="13" t="s">
        <v>677</v>
      </c>
      <c r="J45" s="13" t="s">
        <v>1002</v>
      </c>
    </row>
    <row r="46" spans="1:10" ht="69">
      <c r="A46" s="13" t="s">
        <v>14</v>
      </c>
      <c r="B46" s="13" t="s">
        <v>1003</v>
      </c>
      <c r="C46" s="13" t="s">
        <v>988</v>
      </c>
      <c r="D46" s="13" t="s">
        <v>988</v>
      </c>
      <c r="E46" s="13" t="s">
        <v>677</v>
      </c>
      <c r="F46" s="13" t="s">
        <v>677</v>
      </c>
      <c r="G46" s="13" t="s">
        <v>677</v>
      </c>
      <c r="H46" s="13" t="s">
        <v>677</v>
      </c>
      <c r="I46" s="13" t="s">
        <v>677</v>
      </c>
      <c r="J46" s="13" t="s">
        <v>1004</v>
      </c>
    </row>
    <row r="47" spans="1:10" ht="55.2">
      <c r="A47" s="13" t="s">
        <v>928</v>
      </c>
      <c r="B47" s="13" t="s">
        <v>1003</v>
      </c>
      <c r="C47" s="13" t="s">
        <v>988</v>
      </c>
      <c r="D47" s="13" t="s">
        <v>988</v>
      </c>
      <c r="E47" s="13" t="s">
        <v>677</v>
      </c>
      <c r="F47" s="13" t="s">
        <v>677</v>
      </c>
      <c r="G47" s="13" t="s">
        <v>677</v>
      </c>
      <c r="H47" s="13" t="s">
        <v>677</v>
      </c>
      <c r="I47" s="13" t="s">
        <v>677</v>
      </c>
      <c r="J47" s="13" t="s">
        <v>1005</v>
      </c>
    </row>
    <row r="48" spans="1:10" ht="55.2">
      <c r="A48" s="13" t="s">
        <v>932</v>
      </c>
      <c r="B48" s="13" t="s">
        <v>1003</v>
      </c>
      <c r="C48" s="13" t="s">
        <v>988</v>
      </c>
      <c r="D48" s="13" t="s">
        <v>988</v>
      </c>
      <c r="E48" s="13" t="s">
        <v>677</v>
      </c>
      <c r="F48" s="13" t="s">
        <v>677</v>
      </c>
      <c r="G48" s="13" t="s">
        <v>677</v>
      </c>
      <c r="H48" s="13" t="s">
        <v>677</v>
      </c>
      <c r="I48" s="13" t="s">
        <v>677</v>
      </c>
      <c r="J48" s="13" t="s">
        <v>1006</v>
      </c>
    </row>
    <row r="49" spans="1:10">
      <c r="A49" s="13"/>
      <c r="B49" s="13"/>
      <c r="C49" s="13"/>
      <c r="D49" s="13"/>
      <c r="E49" s="13"/>
      <c r="F49" s="13"/>
      <c r="G49" s="13"/>
      <c r="H49" s="13"/>
      <c r="I49" s="13"/>
      <c r="J49" s="13"/>
    </row>
    <row r="50" spans="1:10">
      <c r="A50" s="842" t="s">
        <v>1007</v>
      </c>
      <c r="B50" s="839"/>
      <c r="C50" s="839"/>
      <c r="D50" s="85"/>
      <c r="E50" s="85"/>
      <c r="F50" s="85"/>
      <c r="G50" s="85"/>
      <c r="H50" s="85"/>
      <c r="I50" s="85"/>
      <c r="J50" s="85"/>
    </row>
    <row r="51" spans="1:10">
      <c r="A51" s="50" t="s">
        <v>275</v>
      </c>
      <c r="B51" s="50" t="s">
        <v>1008</v>
      </c>
      <c r="C51" s="50" t="s">
        <v>1009</v>
      </c>
      <c r="D51" s="50" t="s">
        <v>1010</v>
      </c>
      <c r="E51" s="50" t="s">
        <v>1011</v>
      </c>
      <c r="F51" s="50" t="s">
        <v>1012</v>
      </c>
      <c r="G51" s="50" t="s">
        <v>1013</v>
      </c>
      <c r="H51" s="50" t="s">
        <v>1014</v>
      </c>
      <c r="I51" s="50" t="s">
        <v>899</v>
      </c>
      <c r="J51" s="50" t="s">
        <v>11</v>
      </c>
    </row>
    <row r="52" spans="1:10" ht="110.4">
      <c r="A52" s="13" t="s">
        <v>591</v>
      </c>
      <c r="B52" s="13" t="s">
        <v>677</v>
      </c>
      <c r="C52" s="13" t="s">
        <v>677</v>
      </c>
      <c r="D52" s="13" t="s">
        <v>677</v>
      </c>
      <c r="E52" s="13" t="s">
        <v>677</v>
      </c>
      <c r="F52" s="13" t="s">
        <v>677</v>
      </c>
      <c r="G52" s="13" t="s">
        <v>677</v>
      </c>
      <c r="H52" s="13" t="s">
        <v>677</v>
      </c>
      <c r="I52" s="13" t="s">
        <v>677</v>
      </c>
      <c r="J52" s="13" t="s">
        <v>1015</v>
      </c>
    </row>
    <row r="53" spans="1:10" ht="55.2">
      <c r="A53" s="13" t="s">
        <v>14</v>
      </c>
      <c r="B53" s="13" t="s">
        <v>946</v>
      </c>
      <c r="C53" s="13" t="s">
        <v>946</v>
      </c>
      <c r="D53" s="13" t="s">
        <v>946</v>
      </c>
      <c r="E53" s="13" t="s">
        <v>946</v>
      </c>
      <c r="F53" s="13" t="s">
        <v>947</v>
      </c>
      <c r="G53" s="13" t="s">
        <v>947</v>
      </c>
      <c r="H53" s="13" t="s">
        <v>677</v>
      </c>
      <c r="I53" s="13" t="s">
        <v>677</v>
      </c>
      <c r="J53" s="13" t="s">
        <v>1016</v>
      </c>
    </row>
    <row r="54" spans="1:10" ht="41.4">
      <c r="A54" s="13" t="s">
        <v>928</v>
      </c>
      <c r="B54" s="13" t="s">
        <v>946</v>
      </c>
      <c r="C54" s="13" t="s">
        <v>946</v>
      </c>
      <c r="D54" s="13" t="s">
        <v>946</v>
      </c>
      <c r="E54" s="13" t="s">
        <v>946</v>
      </c>
      <c r="F54" s="13" t="s">
        <v>947</v>
      </c>
      <c r="G54" s="13" t="s">
        <v>947</v>
      </c>
      <c r="H54" s="13" t="s">
        <v>677</v>
      </c>
      <c r="I54" s="13" t="s">
        <v>677</v>
      </c>
      <c r="J54" s="13" t="s">
        <v>1017</v>
      </c>
    </row>
    <row r="55" spans="1:10" ht="41.4">
      <c r="A55" s="13" t="s">
        <v>932</v>
      </c>
      <c r="B55" s="13" t="s">
        <v>946</v>
      </c>
      <c r="C55" s="13" t="s">
        <v>946</v>
      </c>
      <c r="D55" s="13" t="s">
        <v>946</v>
      </c>
      <c r="E55" s="13" t="s">
        <v>946</v>
      </c>
      <c r="F55" s="13" t="s">
        <v>947</v>
      </c>
      <c r="G55" s="13" t="s">
        <v>947</v>
      </c>
      <c r="H55" s="13" t="s">
        <v>677</v>
      </c>
      <c r="I55" s="13" t="s">
        <v>677</v>
      </c>
      <c r="J55" s="13" t="s">
        <v>1018</v>
      </c>
    </row>
    <row r="56" spans="1:10">
      <c r="A56" s="13"/>
      <c r="B56" s="13"/>
      <c r="C56" s="13"/>
      <c r="D56" s="13"/>
      <c r="E56" s="13"/>
      <c r="F56" s="13"/>
      <c r="G56" s="13"/>
      <c r="H56" s="13"/>
      <c r="I56" s="13"/>
      <c r="J56" s="13"/>
    </row>
    <row r="57" spans="1:10">
      <c r="A57" s="842" t="s">
        <v>1019</v>
      </c>
      <c r="B57" s="839"/>
      <c r="C57" s="839"/>
      <c r="D57" s="85"/>
      <c r="E57" s="85"/>
      <c r="F57" s="85"/>
      <c r="G57" s="85"/>
      <c r="H57" s="85"/>
      <c r="I57" s="85"/>
      <c r="J57" s="85"/>
    </row>
    <row r="58" spans="1:10">
      <c r="A58" s="50" t="s">
        <v>213</v>
      </c>
      <c r="B58" s="50" t="s">
        <v>275</v>
      </c>
      <c r="C58" s="50" t="s">
        <v>573</v>
      </c>
      <c r="D58" s="50" t="s">
        <v>215</v>
      </c>
      <c r="E58" s="50" t="s">
        <v>257</v>
      </c>
      <c r="F58" s="50" t="s">
        <v>572</v>
      </c>
      <c r="G58" s="50" t="s">
        <v>259</v>
      </c>
      <c r="H58" s="50" t="s">
        <v>216</v>
      </c>
      <c r="I58" s="50" t="s">
        <v>77</v>
      </c>
      <c r="J58" s="50" t="s">
        <v>11</v>
      </c>
    </row>
    <row r="59" spans="1:10" ht="69">
      <c r="A59" s="13" t="s">
        <v>1020</v>
      </c>
      <c r="B59" s="13" t="s">
        <v>575</v>
      </c>
      <c r="C59" s="13" t="s">
        <v>1021</v>
      </c>
      <c r="D59" s="13" t="s">
        <v>391</v>
      </c>
      <c r="E59" s="13" t="s">
        <v>488</v>
      </c>
      <c r="F59" s="13">
        <v>6</v>
      </c>
      <c r="G59" s="13" t="s">
        <v>1022</v>
      </c>
      <c r="H59" s="13" t="s">
        <v>1023</v>
      </c>
      <c r="I59" s="13" t="s">
        <v>502</v>
      </c>
      <c r="J59" s="13" t="s">
        <v>1024</v>
      </c>
    </row>
    <row r="60" spans="1:10" ht="82.8">
      <c r="A60" s="13" t="s">
        <v>582</v>
      </c>
      <c r="B60" s="13" t="s">
        <v>583</v>
      </c>
      <c r="C60" s="13" t="s">
        <v>585</v>
      </c>
      <c r="D60" s="13" t="s">
        <v>492</v>
      </c>
      <c r="E60" s="13" t="s">
        <v>488</v>
      </c>
      <c r="F60" s="13">
        <v>8</v>
      </c>
      <c r="G60" s="13" t="s">
        <v>1025</v>
      </c>
      <c r="H60" s="13" t="s">
        <v>584</v>
      </c>
      <c r="I60" s="13" t="s">
        <v>502</v>
      </c>
      <c r="J60" s="13" t="s">
        <v>1026</v>
      </c>
    </row>
    <row r="61" spans="1:10" ht="96.6">
      <c r="A61" s="13" t="s">
        <v>590</v>
      </c>
      <c r="B61" s="13" t="s">
        <v>591</v>
      </c>
      <c r="C61" s="13" t="s">
        <v>593</v>
      </c>
      <c r="D61" s="13" t="s">
        <v>492</v>
      </c>
      <c r="E61" s="13" t="s">
        <v>488</v>
      </c>
      <c r="F61" s="13">
        <v>8</v>
      </c>
      <c r="G61" s="13" t="s">
        <v>1027</v>
      </c>
      <c r="H61" s="13" t="s">
        <v>592</v>
      </c>
      <c r="I61" s="13" t="s">
        <v>502</v>
      </c>
      <c r="J61" s="13" t="s">
        <v>1028</v>
      </c>
    </row>
    <row r="62" spans="1:10" ht="69">
      <c r="A62" s="13" t="s">
        <v>1029</v>
      </c>
      <c r="B62" s="13" t="s">
        <v>591</v>
      </c>
      <c r="C62" s="13" t="s">
        <v>1030</v>
      </c>
      <c r="D62" s="13" t="s">
        <v>391</v>
      </c>
      <c r="E62" s="13" t="s">
        <v>488</v>
      </c>
      <c r="F62" s="13">
        <v>6</v>
      </c>
      <c r="G62" s="13" t="s">
        <v>1031</v>
      </c>
      <c r="H62" s="13" t="s">
        <v>1032</v>
      </c>
      <c r="I62" s="13" t="s">
        <v>502</v>
      </c>
      <c r="J62" s="13" t="s">
        <v>1033</v>
      </c>
    </row>
    <row r="63" spans="1:10" ht="69">
      <c r="A63" s="13" t="s">
        <v>1034</v>
      </c>
      <c r="B63" s="13" t="s">
        <v>575</v>
      </c>
      <c r="C63" s="13" t="s">
        <v>1035</v>
      </c>
      <c r="D63" s="13" t="s">
        <v>391</v>
      </c>
      <c r="E63" s="13" t="s">
        <v>488</v>
      </c>
      <c r="F63" s="13">
        <v>6</v>
      </c>
      <c r="G63" s="13" t="s">
        <v>1036</v>
      </c>
      <c r="H63" s="13" t="s">
        <v>1037</v>
      </c>
      <c r="I63" s="13" t="s">
        <v>502</v>
      </c>
      <c r="J63" s="13" t="s">
        <v>1038</v>
      </c>
    </row>
    <row r="64" spans="1:10" ht="82.8">
      <c r="A64" s="13" t="s">
        <v>598</v>
      </c>
      <c r="B64" s="13" t="s">
        <v>575</v>
      </c>
      <c r="C64" s="13" t="s">
        <v>599</v>
      </c>
      <c r="D64" s="13" t="s">
        <v>492</v>
      </c>
      <c r="E64" s="13" t="s">
        <v>488</v>
      </c>
      <c r="F64" s="13">
        <v>8</v>
      </c>
      <c r="G64" s="13" t="s">
        <v>1039</v>
      </c>
      <c r="H64" s="13" t="s">
        <v>584</v>
      </c>
      <c r="I64" s="13" t="s">
        <v>502</v>
      </c>
      <c r="J64" s="13" t="s">
        <v>1040</v>
      </c>
    </row>
    <row r="65" spans="1:10" ht="96.6">
      <c r="A65" s="13" t="s">
        <v>1041</v>
      </c>
      <c r="B65" s="13" t="s">
        <v>591</v>
      </c>
      <c r="C65" s="13" t="s">
        <v>1042</v>
      </c>
      <c r="D65" s="13" t="s">
        <v>391</v>
      </c>
      <c r="E65" s="13" t="s">
        <v>488</v>
      </c>
      <c r="F65" s="13">
        <v>6</v>
      </c>
      <c r="G65" s="13" t="s">
        <v>1043</v>
      </c>
      <c r="H65" s="13" t="s">
        <v>1044</v>
      </c>
      <c r="I65" s="13" t="s">
        <v>502</v>
      </c>
      <c r="J65" s="13" t="s">
        <v>1045</v>
      </c>
    </row>
    <row r="66" spans="1:10" ht="82.8">
      <c r="A66" s="13" t="s">
        <v>1046</v>
      </c>
      <c r="B66" s="13" t="s">
        <v>575</v>
      </c>
      <c r="C66" s="13" t="s">
        <v>1047</v>
      </c>
      <c r="D66" s="13" t="s">
        <v>391</v>
      </c>
      <c r="E66" s="13" t="s">
        <v>488</v>
      </c>
      <c r="F66" s="13">
        <v>6</v>
      </c>
      <c r="G66" s="13" t="s">
        <v>1048</v>
      </c>
      <c r="H66" s="13" t="s">
        <v>1049</v>
      </c>
      <c r="I66" s="13" t="s">
        <v>502</v>
      </c>
      <c r="J66" s="13" t="s">
        <v>1050</v>
      </c>
    </row>
    <row r="67" spans="1:10">
      <c r="A67" s="13"/>
      <c r="B67" s="13"/>
      <c r="C67" s="13"/>
      <c r="D67" s="13"/>
      <c r="E67" s="13"/>
      <c r="F67" s="13"/>
      <c r="G67" s="13"/>
      <c r="H67" s="13"/>
      <c r="I67" s="13"/>
      <c r="J67" s="13"/>
    </row>
    <row r="68" spans="1:10">
      <c r="A68" s="842" t="s">
        <v>1051</v>
      </c>
      <c r="B68" s="839"/>
      <c r="C68" s="839"/>
      <c r="D68" s="85"/>
      <c r="E68" s="85"/>
      <c r="F68" s="85"/>
      <c r="G68" s="85"/>
      <c r="H68" s="85"/>
      <c r="I68" s="85"/>
      <c r="J68" s="85"/>
    </row>
    <row r="69" spans="1:10">
      <c r="A69" s="50" t="s">
        <v>221</v>
      </c>
      <c r="B69" s="50" t="s">
        <v>222</v>
      </c>
      <c r="C69" s="50" t="s">
        <v>265</v>
      </c>
      <c r="D69" s="50" t="s">
        <v>77</v>
      </c>
      <c r="E69" s="50" t="s">
        <v>878</v>
      </c>
      <c r="F69" s="50" t="s">
        <v>879</v>
      </c>
      <c r="G69" s="50" t="s">
        <v>880</v>
      </c>
      <c r="H69" s="50" t="s">
        <v>494</v>
      </c>
      <c r="I69" s="50" t="s">
        <v>881</v>
      </c>
      <c r="J69" s="50" t="s">
        <v>11</v>
      </c>
    </row>
    <row r="70" spans="1:10" ht="96.6">
      <c r="A70" s="13" t="s">
        <v>578</v>
      </c>
      <c r="B70" s="13" t="s">
        <v>581</v>
      </c>
      <c r="C70" s="13" t="s">
        <v>579</v>
      </c>
      <c r="D70" s="13" t="s">
        <v>502</v>
      </c>
      <c r="E70" s="13"/>
      <c r="F70" s="13"/>
      <c r="G70" s="13" t="s">
        <v>580</v>
      </c>
      <c r="H70" s="13"/>
      <c r="I70" s="13"/>
      <c r="J70" s="13"/>
    </row>
    <row r="71" spans="1:10" ht="55.2">
      <c r="A71" s="13" t="s">
        <v>586</v>
      </c>
      <c r="B71" s="13" t="s">
        <v>589</v>
      </c>
      <c r="C71" s="13" t="s">
        <v>587</v>
      </c>
      <c r="D71" s="13" t="s">
        <v>502</v>
      </c>
      <c r="E71" s="13"/>
      <c r="F71" s="13"/>
      <c r="G71" s="13" t="s">
        <v>588</v>
      </c>
      <c r="H71" s="13"/>
      <c r="I71" s="13"/>
      <c r="J71" s="13"/>
    </row>
    <row r="72" spans="1:10" ht="82.8">
      <c r="A72" s="13" t="s">
        <v>594</v>
      </c>
      <c r="B72" s="13" t="s">
        <v>597</v>
      </c>
      <c r="C72" s="13" t="s">
        <v>595</v>
      </c>
      <c r="D72" s="13" t="s">
        <v>502</v>
      </c>
      <c r="E72" s="13"/>
      <c r="F72" s="13"/>
      <c r="G72" s="13" t="s">
        <v>596</v>
      </c>
      <c r="H72" s="13"/>
      <c r="I72" s="13"/>
      <c r="J72" s="13"/>
    </row>
    <row r="73" spans="1:10" ht="69">
      <c r="A73" s="13" t="s">
        <v>600</v>
      </c>
      <c r="B73" s="13" t="s">
        <v>603</v>
      </c>
      <c r="C73" s="13" t="s">
        <v>601</v>
      </c>
      <c r="D73" s="13" t="s">
        <v>502</v>
      </c>
      <c r="E73" s="13"/>
      <c r="F73" s="13"/>
      <c r="G73" s="13" t="s">
        <v>602</v>
      </c>
      <c r="H73" s="13"/>
      <c r="I73" s="13"/>
      <c r="J73" s="13"/>
    </row>
    <row r="74" spans="1:10" ht="69">
      <c r="A74" s="13" t="s">
        <v>608</v>
      </c>
      <c r="B74" s="13" t="s">
        <v>611</v>
      </c>
      <c r="C74" s="13" t="s">
        <v>609</v>
      </c>
      <c r="D74" s="13" t="s">
        <v>502</v>
      </c>
      <c r="E74" s="13"/>
      <c r="F74" s="13"/>
      <c r="G74" s="13" t="s">
        <v>610</v>
      </c>
      <c r="H74" s="13"/>
      <c r="I74" s="13"/>
      <c r="J74" s="13"/>
    </row>
    <row r="75" spans="1:10" ht="82.8">
      <c r="A75" s="13" t="s">
        <v>615</v>
      </c>
      <c r="B75" s="13" t="s">
        <v>618</v>
      </c>
      <c r="C75" s="13" t="s">
        <v>616</v>
      </c>
      <c r="D75" s="13" t="s">
        <v>502</v>
      </c>
      <c r="E75" s="13"/>
      <c r="F75" s="13"/>
      <c r="G75" s="13" t="s">
        <v>617</v>
      </c>
      <c r="H75" s="13"/>
      <c r="I75" s="13"/>
      <c r="J75" s="13"/>
    </row>
    <row r="76" spans="1:10" ht="96.6">
      <c r="A76" s="13" t="s">
        <v>621</v>
      </c>
      <c r="B76" s="13" t="s">
        <v>624</v>
      </c>
      <c r="C76" s="13" t="s">
        <v>622</v>
      </c>
      <c r="D76" s="13" t="s">
        <v>502</v>
      </c>
      <c r="E76" s="13"/>
      <c r="F76" s="13"/>
      <c r="G76" s="13" t="s">
        <v>623</v>
      </c>
      <c r="H76" s="13"/>
      <c r="I76" s="13"/>
      <c r="J76" s="13"/>
    </row>
    <row r="77" spans="1:10" ht="82.8">
      <c r="A77" s="13" t="s">
        <v>629</v>
      </c>
      <c r="B77" s="13" t="s">
        <v>632</v>
      </c>
      <c r="C77" s="13" t="s">
        <v>630</v>
      </c>
      <c r="D77" s="13" t="s">
        <v>502</v>
      </c>
      <c r="E77" s="13"/>
      <c r="F77" s="13"/>
      <c r="G77" s="13" t="s">
        <v>631</v>
      </c>
      <c r="H77" s="13"/>
      <c r="I77" s="13"/>
      <c r="J77" s="13"/>
    </row>
    <row r="78" spans="1:10">
      <c r="A78" s="13"/>
      <c r="B78" s="13"/>
      <c r="C78" s="13"/>
      <c r="D78" s="13"/>
      <c r="E78" s="13"/>
      <c r="F78" s="13"/>
      <c r="G78" s="13"/>
      <c r="H78" s="13"/>
      <c r="I78" s="13"/>
      <c r="J78" s="13"/>
    </row>
    <row r="79" spans="1:10">
      <c r="A79" s="842" t="s">
        <v>1052</v>
      </c>
      <c r="B79" s="839"/>
      <c r="C79" s="839"/>
      <c r="D79" s="85"/>
      <c r="E79" s="85"/>
      <c r="F79" s="85"/>
      <c r="G79" s="85"/>
      <c r="H79" s="85"/>
      <c r="I79" s="85"/>
      <c r="J79" s="85"/>
    </row>
    <row r="80" spans="1:10">
      <c r="A80" s="50" t="s">
        <v>291</v>
      </c>
      <c r="B80" s="50" t="s">
        <v>275</v>
      </c>
      <c r="C80" s="50" t="s">
        <v>493</v>
      </c>
      <c r="D80" s="50" t="s">
        <v>214</v>
      </c>
      <c r="E80" s="50" t="s">
        <v>263</v>
      </c>
      <c r="F80" s="50" t="s">
        <v>891</v>
      </c>
      <c r="G80" s="50" t="s">
        <v>892</v>
      </c>
      <c r="H80" s="50" t="s">
        <v>893</v>
      </c>
      <c r="I80" s="50" t="s">
        <v>77</v>
      </c>
      <c r="J80" s="50" t="s">
        <v>11</v>
      </c>
    </row>
    <row r="81" spans="1:10" ht="96.6">
      <c r="A81" s="13" t="s">
        <v>1053</v>
      </c>
      <c r="B81" s="13" t="s">
        <v>591</v>
      </c>
      <c r="C81" s="13" t="s">
        <v>1054</v>
      </c>
      <c r="D81" s="13" t="s">
        <v>1055</v>
      </c>
      <c r="E81" s="13"/>
      <c r="F81" s="13" t="s">
        <v>229</v>
      </c>
      <c r="G81" s="13"/>
      <c r="H81" s="13" t="s">
        <v>1056</v>
      </c>
      <c r="I81" s="13" t="s">
        <v>502</v>
      </c>
      <c r="J81" s="13"/>
    </row>
    <row r="82" spans="1:10" ht="96.6">
      <c r="A82" s="13" t="s">
        <v>1057</v>
      </c>
      <c r="B82" s="13" t="s">
        <v>14</v>
      </c>
      <c r="C82" s="13" t="s">
        <v>1058</v>
      </c>
      <c r="D82" s="13" t="s">
        <v>1059</v>
      </c>
      <c r="E82" s="13"/>
      <c r="F82" s="13" t="s">
        <v>229</v>
      </c>
      <c r="G82" s="13"/>
      <c r="H82" s="13" t="s">
        <v>1060</v>
      </c>
      <c r="I82" s="13" t="s">
        <v>502</v>
      </c>
      <c r="J82" s="13"/>
    </row>
    <row r="83" spans="1:10" ht="82.8">
      <c r="A83" s="13" t="s">
        <v>1061</v>
      </c>
      <c r="B83" s="13" t="s">
        <v>928</v>
      </c>
      <c r="C83" s="13" t="s">
        <v>1058</v>
      </c>
      <c r="D83" s="13" t="s">
        <v>1062</v>
      </c>
      <c r="E83" s="13"/>
      <c r="F83" s="13" t="s">
        <v>229</v>
      </c>
      <c r="G83" s="13"/>
      <c r="H83" s="13" t="s">
        <v>1063</v>
      </c>
      <c r="I83" s="13" t="s">
        <v>502</v>
      </c>
      <c r="J83" s="13"/>
    </row>
    <row r="84" spans="1:10" ht="96.6">
      <c r="A84" s="13" t="s">
        <v>1064</v>
      </c>
      <c r="B84" s="13" t="s">
        <v>932</v>
      </c>
      <c r="C84" s="13" t="s">
        <v>1058</v>
      </c>
      <c r="D84" s="13" t="s">
        <v>1065</v>
      </c>
      <c r="E84" s="13"/>
      <c r="F84" s="13" t="s">
        <v>229</v>
      </c>
      <c r="G84" s="13"/>
      <c r="H84" s="13" t="s">
        <v>1063</v>
      </c>
      <c r="I84" s="13" t="s">
        <v>502</v>
      </c>
      <c r="J84" s="13"/>
    </row>
    <row r="85" spans="1:10" ht="110.4">
      <c r="A85" s="13" t="s">
        <v>1066</v>
      </c>
      <c r="B85" s="13" t="s">
        <v>591</v>
      </c>
      <c r="C85" s="13" t="s">
        <v>148</v>
      </c>
      <c r="D85" s="13" t="s">
        <v>1067</v>
      </c>
      <c r="E85" s="13"/>
      <c r="F85" s="13" t="s">
        <v>229</v>
      </c>
      <c r="G85" s="13"/>
      <c r="H85" s="13" t="s">
        <v>590</v>
      </c>
      <c r="I85" s="13" t="s">
        <v>502</v>
      </c>
      <c r="J85" s="13"/>
    </row>
    <row r="86" spans="1:10" ht="96.6">
      <c r="A86" s="13" t="s">
        <v>1068</v>
      </c>
      <c r="B86" s="13" t="s">
        <v>591</v>
      </c>
      <c r="C86" s="13" t="s">
        <v>153</v>
      </c>
      <c r="D86" s="13" t="s">
        <v>1069</v>
      </c>
      <c r="E86" s="13"/>
      <c r="F86" s="13" t="s">
        <v>229</v>
      </c>
      <c r="G86" s="13"/>
      <c r="H86" s="13" t="s">
        <v>1070</v>
      </c>
      <c r="I86" s="13" t="s">
        <v>502</v>
      </c>
      <c r="J86" s="13"/>
    </row>
    <row r="87" spans="1:10" ht="96.6">
      <c r="A87" s="13" t="s">
        <v>1071</v>
      </c>
      <c r="B87" s="13" t="s">
        <v>575</v>
      </c>
      <c r="C87" s="13" t="s">
        <v>1072</v>
      </c>
      <c r="D87" s="13" t="s">
        <v>1073</v>
      </c>
      <c r="E87" s="13"/>
      <c r="F87" s="13" t="s">
        <v>229</v>
      </c>
      <c r="G87" s="13"/>
      <c r="H87" s="13" t="s">
        <v>1034</v>
      </c>
      <c r="I87" s="13" t="s">
        <v>502</v>
      </c>
      <c r="J87" s="13"/>
    </row>
    <row r="88" spans="1:10" ht="96.6">
      <c r="A88" s="13" t="s">
        <v>1074</v>
      </c>
      <c r="B88" s="13" t="s">
        <v>1075</v>
      </c>
      <c r="C88" s="13" t="s">
        <v>1076</v>
      </c>
      <c r="D88" s="13" t="s">
        <v>1077</v>
      </c>
      <c r="E88" s="13"/>
      <c r="F88" s="13" t="s">
        <v>229</v>
      </c>
      <c r="G88" s="13"/>
      <c r="H88" s="13" t="s">
        <v>1078</v>
      </c>
      <c r="I88" s="13" t="s">
        <v>502</v>
      </c>
      <c r="J88" s="13"/>
    </row>
    <row r="89" spans="1:10">
      <c r="A89" s="13"/>
      <c r="B89" s="13"/>
      <c r="C89" s="13"/>
      <c r="D89" s="13"/>
      <c r="E89" s="13"/>
      <c r="F89" s="13"/>
      <c r="G89" s="13"/>
      <c r="H89" s="13"/>
      <c r="I89" s="13"/>
      <c r="J89" s="13"/>
    </row>
    <row r="90" spans="1:10">
      <c r="A90" s="842" t="s">
        <v>1079</v>
      </c>
      <c r="B90" s="839"/>
      <c r="C90" s="839"/>
      <c r="D90" s="85"/>
      <c r="E90" s="85"/>
      <c r="F90" s="85"/>
      <c r="G90" s="85"/>
      <c r="H90" s="85"/>
      <c r="I90" s="85"/>
      <c r="J90" s="85"/>
    </row>
    <row r="91" spans="1:10">
      <c r="A91" s="50" t="s">
        <v>275</v>
      </c>
      <c r="B91" s="50" t="s">
        <v>895</v>
      </c>
      <c r="C91" s="50" t="s">
        <v>896</v>
      </c>
      <c r="D91" s="50" t="s">
        <v>148</v>
      </c>
      <c r="E91" s="50" t="s">
        <v>153</v>
      </c>
      <c r="F91" s="50" t="s">
        <v>155</v>
      </c>
      <c r="G91" s="50" t="s">
        <v>491</v>
      </c>
      <c r="H91" s="50" t="s">
        <v>897</v>
      </c>
      <c r="I91" s="50" t="s">
        <v>174</v>
      </c>
      <c r="J91" s="50" t="s">
        <v>11</v>
      </c>
    </row>
    <row r="92" spans="1:10" ht="69">
      <c r="A92" s="13" t="s">
        <v>591</v>
      </c>
      <c r="B92" s="126">
        <v>0.5</v>
      </c>
      <c r="C92" s="126">
        <v>0.5</v>
      </c>
      <c r="D92" s="126">
        <v>0.5</v>
      </c>
      <c r="E92" s="126">
        <v>0.5</v>
      </c>
      <c r="F92" s="126">
        <v>0.5</v>
      </c>
      <c r="G92" s="13" t="s">
        <v>677</v>
      </c>
      <c r="H92" s="126">
        <v>0.5</v>
      </c>
      <c r="I92" s="13" t="s">
        <v>1080</v>
      </c>
      <c r="J92" s="13" t="s">
        <v>1081</v>
      </c>
    </row>
    <row r="93" spans="1:10" ht="41.4">
      <c r="A93" s="13" t="s">
        <v>14</v>
      </c>
      <c r="B93" s="126">
        <v>0.5</v>
      </c>
      <c r="C93" s="126">
        <v>0.5</v>
      </c>
      <c r="D93" s="126">
        <v>0.5</v>
      </c>
      <c r="E93" s="126">
        <v>0.5</v>
      </c>
      <c r="F93" s="126">
        <v>0.5</v>
      </c>
      <c r="G93" s="13" t="s">
        <v>677</v>
      </c>
      <c r="H93" s="126">
        <v>0.5</v>
      </c>
      <c r="I93" s="13" t="s">
        <v>1080</v>
      </c>
      <c r="J93" s="13" t="s">
        <v>1082</v>
      </c>
    </row>
    <row r="94" spans="1:10" ht="41.4">
      <c r="A94" s="13" t="s">
        <v>928</v>
      </c>
      <c r="B94" s="126">
        <v>0.5</v>
      </c>
      <c r="C94" s="126">
        <v>0.5</v>
      </c>
      <c r="D94" s="126">
        <v>0.5</v>
      </c>
      <c r="E94" s="126">
        <v>0.5</v>
      </c>
      <c r="F94" s="126">
        <v>0.5</v>
      </c>
      <c r="G94" s="13" t="s">
        <v>677</v>
      </c>
      <c r="H94" s="126">
        <v>0.5</v>
      </c>
      <c r="I94" s="13" t="s">
        <v>1080</v>
      </c>
      <c r="J94" s="13" t="s">
        <v>1083</v>
      </c>
    </row>
    <row r="95" spans="1:10" ht="42" thickBot="1">
      <c r="A95" s="13" t="s">
        <v>932</v>
      </c>
      <c r="B95" s="126">
        <v>0.5</v>
      </c>
      <c r="C95" s="126">
        <v>0.5</v>
      </c>
      <c r="D95" s="126">
        <v>0.5</v>
      </c>
      <c r="E95" s="126">
        <v>0.5</v>
      </c>
      <c r="F95" s="126">
        <v>0.5</v>
      </c>
      <c r="G95" s="13" t="s">
        <v>677</v>
      </c>
      <c r="H95" s="126">
        <v>0.5</v>
      </c>
      <c r="I95" s="13" t="s">
        <v>1080</v>
      </c>
      <c r="J95" s="13" t="s">
        <v>1084</v>
      </c>
    </row>
    <row r="96" spans="1:10" ht="15" customHeight="1">
      <c r="A96" s="855" t="s">
        <v>5875</v>
      </c>
      <c r="B96" s="856"/>
      <c r="C96" s="856"/>
      <c r="D96" s="857"/>
      <c r="E96" s="856"/>
      <c r="F96" s="856"/>
      <c r="G96" s="857"/>
      <c r="H96" s="857"/>
      <c r="I96" s="857"/>
      <c r="J96" s="858"/>
    </row>
    <row r="97" spans="1:10" ht="30" customHeight="1">
      <c r="A97" s="325" t="s">
        <v>5817</v>
      </c>
      <c r="B97" s="326" t="s">
        <v>77</v>
      </c>
      <c r="C97" s="326" t="s">
        <v>5818</v>
      </c>
      <c r="D97" s="326" t="s">
        <v>5819</v>
      </c>
      <c r="E97" s="326" t="s">
        <v>5841</v>
      </c>
      <c r="F97" s="326" t="s">
        <v>5808</v>
      </c>
      <c r="G97" s="859" t="s">
        <v>5842</v>
      </c>
      <c r="H97" s="859"/>
      <c r="I97" s="859"/>
      <c r="J97" s="860"/>
    </row>
    <row r="98" spans="1:10" ht="25.5" customHeight="1">
      <c r="A98" s="327" t="s">
        <v>5820</v>
      </c>
      <c r="B98" s="337" t="s">
        <v>484</v>
      </c>
      <c r="C98" s="329">
        <v>0</v>
      </c>
      <c r="D98" s="329">
        <v>0</v>
      </c>
      <c r="E98" s="196" t="s">
        <v>5881</v>
      </c>
      <c r="F98" s="329">
        <f>IF(AND(C98&lt;&gt;"",D98&lt;&gt;""),D98-C98,"")</f>
        <v>0</v>
      </c>
      <c r="G98" s="861"/>
      <c r="H98" s="861"/>
      <c r="I98" s="861"/>
      <c r="J98" s="862"/>
    </row>
    <row r="99" spans="1:10" ht="25.5" customHeight="1">
      <c r="A99" s="330" t="s">
        <v>5821</v>
      </c>
      <c r="B99" s="337" t="s">
        <v>484</v>
      </c>
      <c r="C99" s="331">
        <v>1</v>
      </c>
      <c r="D99" s="331">
        <v>0</v>
      </c>
      <c r="E99" s="314" t="s">
        <v>5882</v>
      </c>
      <c r="F99" s="331">
        <f>IF(AND(C99&lt;&gt;"",D99&lt;&gt;""),D99-C99,"")</f>
        <v>-1</v>
      </c>
      <c r="G99" s="863"/>
      <c r="H99" s="863"/>
      <c r="I99" s="863"/>
      <c r="J99" s="864"/>
    </row>
    <row r="100" spans="1:10" ht="15" customHeight="1">
      <c r="A100" s="327" t="s">
        <v>5822</v>
      </c>
      <c r="B100" s="337" t="s">
        <v>484</v>
      </c>
      <c r="C100" s="331">
        <v>1</v>
      </c>
      <c r="D100" s="331">
        <v>0</v>
      </c>
      <c r="E100" s="314" t="s">
        <v>5882</v>
      </c>
      <c r="F100" s="329">
        <f>IF(AND(C100&lt;&gt;"",D100&lt;&gt;""),D100-C100,"")</f>
        <v>-1</v>
      </c>
      <c r="G100" s="332"/>
      <c r="H100" s="231"/>
      <c r="I100" s="231"/>
      <c r="J100" s="333"/>
    </row>
    <row r="101" spans="1:10" ht="15" customHeight="1">
      <c r="A101" s="330" t="s">
        <v>5823</v>
      </c>
      <c r="B101" s="337" t="s">
        <v>484</v>
      </c>
      <c r="C101" s="331">
        <v>1</v>
      </c>
      <c r="D101" s="331">
        <v>0</v>
      </c>
      <c r="E101" s="314" t="s">
        <v>5882</v>
      </c>
      <c r="F101" s="331">
        <f>IF(AND(C101&lt;&gt;"",D101&lt;&gt;""),D101-C101,"")</f>
        <v>-1</v>
      </c>
      <c r="G101" s="863"/>
      <c r="H101" s="863"/>
      <c r="I101" s="863"/>
      <c r="J101" s="864"/>
    </row>
    <row r="102" spans="1:10" ht="15" customHeight="1">
      <c r="A102" s="327" t="s">
        <v>5168</v>
      </c>
      <c r="B102" s="337" t="s">
        <v>484</v>
      </c>
      <c r="C102" s="331">
        <v>1</v>
      </c>
      <c r="D102" s="331">
        <v>0</v>
      </c>
      <c r="E102" s="314" t="s">
        <v>5882</v>
      </c>
      <c r="F102" s="329">
        <f>IF(AND(C102&lt;&gt;"",D102&lt;&gt;""),D102-C102,"")</f>
        <v>-1</v>
      </c>
      <c r="G102" s="332"/>
      <c r="H102" s="231"/>
      <c r="I102" s="231"/>
      <c r="J102" s="333"/>
    </row>
    <row r="103" spans="1:10" ht="15.75" customHeight="1">
      <c r="A103" s="865" t="s">
        <v>5843</v>
      </c>
      <c r="B103" s="713"/>
      <c r="C103" s="334">
        <f>IFERROR(AVERAGE(C98:C102),"")</f>
        <v>0.8</v>
      </c>
      <c r="D103" s="334">
        <f>IFERROR(AVERAGE(D98:D102),"")</f>
        <v>0</v>
      </c>
      <c r="E103" s="866" t="s">
        <v>5844</v>
      </c>
      <c r="F103" s="866"/>
      <c r="G103" s="866"/>
      <c r="H103" s="866"/>
      <c r="I103" s="866"/>
      <c r="J103" s="867"/>
    </row>
    <row r="104" spans="1:10" ht="20.25" customHeight="1">
      <c r="A104" s="335"/>
      <c r="B104" s="320"/>
      <c r="C104" s="320"/>
      <c r="D104" s="320"/>
      <c r="E104" s="320"/>
      <c r="F104" s="320"/>
      <c r="G104" s="320"/>
      <c r="H104" s="231"/>
      <c r="I104" s="231"/>
      <c r="J104" s="333"/>
    </row>
    <row r="105" spans="1:10">
      <c r="A105" s="876" t="s">
        <v>5876</v>
      </c>
      <c r="B105" s="853"/>
      <c r="C105" s="853"/>
      <c r="D105" s="842"/>
      <c r="E105" s="853"/>
      <c r="F105" s="853"/>
      <c r="G105" s="842"/>
      <c r="H105" s="842"/>
      <c r="I105" s="842"/>
      <c r="J105" s="868"/>
    </row>
    <row r="106" spans="1:10">
      <c r="A106" s="325" t="s">
        <v>4946</v>
      </c>
      <c r="B106" s="326" t="s">
        <v>77</v>
      </c>
      <c r="C106" s="326" t="s">
        <v>5883</v>
      </c>
      <c r="D106" s="326" t="s">
        <v>482</v>
      </c>
      <c r="E106" s="326" t="s">
        <v>572</v>
      </c>
      <c r="F106" s="326" t="s">
        <v>5846</v>
      </c>
      <c r="G106" s="859" t="s">
        <v>5847</v>
      </c>
      <c r="H106" s="859"/>
      <c r="I106" s="859"/>
      <c r="J106" s="860"/>
    </row>
    <row r="107" spans="1:10" ht="31.5" customHeight="1">
      <c r="A107" s="330" t="s">
        <v>5809</v>
      </c>
      <c r="B107" s="337" t="s">
        <v>484</v>
      </c>
      <c r="C107" s="336" t="s">
        <v>679</v>
      </c>
      <c r="D107" s="328" t="s">
        <v>679</v>
      </c>
      <c r="E107" s="336">
        <f>IF(D107="Yes",1,0)</f>
        <v>0</v>
      </c>
      <c r="F107" s="877"/>
      <c r="G107" s="877"/>
      <c r="H107" s="877"/>
      <c r="I107" s="877"/>
      <c r="J107" s="878"/>
    </row>
    <row r="108" spans="1:10" ht="20.25" customHeight="1">
      <c r="A108" s="327" t="s">
        <v>995</v>
      </c>
      <c r="B108" s="337" t="s">
        <v>484</v>
      </c>
      <c r="C108" s="336" t="s">
        <v>679</v>
      </c>
      <c r="D108" s="328" t="s">
        <v>679</v>
      </c>
      <c r="E108" s="328">
        <f t="shared" ref="E108:E114" si="0">IF(D108="Yes",1,0)</f>
        <v>0</v>
      </c>
      <c r="F108" s="877"/>
      <c r="G108" s="877"/>
      <c r="H108" s="877"/>
      <c r="I108" s="877"/>
      <c r="J108" s="878"/>
    </row>
    <row r="109" spans="1:10" ht="24.75" customHeight="1">
      <c r="A109" s="330" t="s">
        <v>5810</v>
      </c>
      <c r="B109" s="337" t="s">
        <v>484</v>
      </c>
      <c r="C109" s="336" t="s">
        <v>679</v>
      </c>
      <c r="D109" s="328" t="s">
        <v>679</v>
      </c>
      <c r="E109" s="336">
        <f t="shared" si="0"/>
        <v>0</v>
      </c>
      <c r="F109" s="877"/>
      <c r="G109" s="877"/>
      <c r="H109" s="877"/>
      <c r="I109" s="877"/>
      <c r="J109" s="878"/>
    </row>
    <row r="110" spans="1:10">
      <c r="A110" s="327" t="s">
        <v>5824</v>
      </c>
      <c r="B110" s="337" t="s">
        <v>484</v>
      </c>
      <c r="C110" s="336" t="s">
        <v>679</v>
      </c>
      <c r="D110" s="328" t="s">
        <v>679</v>
      </c>
      <c r="E110" s="328">
        <f t="shared" si="0"/>
        <v>0</v>
      </c>
      <c r="F110" s="877"/>
      <c r="G110" s="877"/>
      <c r="H110" s="877"/>
      <c r="I110" s="877"/>
      <c r="J110" s="878"/>
    </row>
    <row r="111" spans="1:10">
      <c r="A111" s="330" t="s">
        <v>5825</v>
      </c>
      <c r="B111" s="337" t="s">
        <v>484</v>
      </c>
      <c r="C111" s="336" t="s">
        <v>679</v>
      </c>
      <c r="D111" s="328" t="s">
        <v>679</v>
      </c>
      <c r="E111" s="336">
        <f t="shared" si="0"/>
        <v>0</v>
      </c>
      <c r="F111" s="877"/>
      <c r="G111" s="877"/>
      <c r="H111" s="877"/>
      <c r="I111" s="877"/>
      <c r="J111" s="878"/>
    </row>
    <row r="112" spans="1:10">
      <c r="A112" s="327" t="s">
        <v>5826</v>
      </c>
      <c r="B112" s="337" t="s">
        <v>484</v>
      </c>
      <c r="C112" s="336" t="s">
        <v>679</v>
      </c>
      <c r="D112" s="328" t="s">
        <v>679</v>
      </c>
      <c r="E112" s="328">
        <f t="shared" si="0"/>
        <v>0</v>
      </c>
      <c r="F112" s="877"/>
      <c r="G112" s="877"/>
      <c r="H112" s="877"/>
      <c r="I112" s="877"/>
      <c r="J112" s="878"/>
    </row>
    <row r="113" spans="1:10" ht="18.75" customHeight="1">
      <c r="A113" s="330" t="s">
        <v>5811</v>
      </c>
      <c r="B113" s="337" t="s">
        <v>484</v>
      </c>
      <c r="C113" s="336" t="s">
        <v>679</v>
      </c>
      <c r="D113" s="328" t="s">
        <v>679</v>
      </c>
      <c r="E113" s="336">
        <f t="shared" si="0"/>
        <v>0</v>
      </c>
      <c r="F113" s="877"/>
      <c r="G113" s="877"/>
      <c r="H113" s="877"/>
      <c r="I113" s="877"/>
      <c r="J113" s="878"/>
    </row>
    <row r="114" spans="1:10">
      <c r="A114" s="327" t="s">
        <v>5812</v>
      </c>
      <c r="B114" s="337" t="s">
        <v>484</v>
      </c>
      <c r="C114" s="336" t="s">
        <v>679</v>
      </c>
      <c r="D114" s="328" t="s">
        <v>679</v>
      </c>
      <c r="E114" s="328">
        <f t="shared" si="0"/>
        <v>0</v>
      </c>
      <c r="F114" s="877"/>
      <c r="G114" s="877"/>
      <c r="H114" s="877"/>
      <c r="I114" s="877"/>
      <c r="J114" s="878"/>
    </row>
    <row r="115" spans="1:10" ht="28.5" customHeight="1">
      <c r="A115" s="865" t="s">
        <v>5848</v>
      </c>
      <c r="B115" s="713"/>
      <c r="C115" s="871" t="str">
        <f>IFERROR(SUM(E107:E114)/COUNTIF(C107:C114,"Yes"),"")</f>
        <v/>
      </c>
      <c r="D115" s="872"/>
      <c r="E115" s="866" t="s">
        <v>5849</v>
      </c>
      <c r="F115" s="866"/>
      <c r="G115" s="866"/>
      <c r="H115" s="866"/>
      <c r="I115" s="866"/>
      <c r="J115" s="867"/>
    </row>
    <row r="116" spans="1:10" ht="20.25" customHeight="1">
      <c r="A116" s="335"/>
      <c r="B116" s="320"/>
      <c r="C116" s="320"/>
      <c r="D116" s="320"/>
      <c r="E116" s="320"/>
      <c r="F116" s="320"/>
      <c r="G116" s="320"/>
      <c r="H116" s="231"/>
      <c r="I116" s="231"/>
      <c r="J116" s="333"/>
    </row>
    <row r="117" spans="1:10">
      <c r="A117" s="876" t="s">
        <v>5877</v>
      </c>
      <c r="B117" s="853"/>
      <c r="C117" s="853"/>
      <c r="D117" s="842"/>
      <c r="E117" s="853"/>
      <c r="F117" s="853"/>
      <c r="G117" s="842"/>
      <c r="H117" s="842"/>
      <c r="I117" s="842"/>
      <c r="J117" s="868"/>
    </row>
    <row r="118" spans="1:10" ht="30" customHeight="1">
      <c r="A118" s="325" t="s">
        <v>5850</v>
      </c>
      <c r="B118" s="326" t="s">
        <v>77</v>
      </c>
      <c r="C118" s="326" t="s">
        <v>5827</v>
      </c>
      <c r="D118" s="326" t="s">
        <v>5828</v>
      </c>
      <c r="E118" s="326" t="s">
        <v>5829</v>
      </c>
      <c r="F118" s="326" t="s">
        <v>5851</v>
      </c>
      <c r="G118" s="859" t="s">
        <v>5852</v>
      </c>
      <c r="H118" s="859"/>
      <c r="I118" s="859"/>
      <c r="J118" s="860"/>
    </row>
    <row r="119" spans="1:10">
      <c r="A119" s="330" t="s">
        <v>5830</v>
      </c>
      <c r="B119" s="336" t="s">
        <v>484</v>
      </c>
      <c r="C119" s="336" t="s">
        <v>1096</v>
      </c>
      <c r="D119" s="336" t="s">
        <v>1096</v>
      </c>
      <c r="E119" s="336" t="s">
        <v>1096</v>
      </c>
      <c r="F119" s="336" t="s">
        <v>348</v>
      </c>
      <c r="G119" s="869"/>
      <c r="H119" s="869"/>
      <c r="I119" s="869"/>
      <c r="J119" s="870"/>
    </row>
    <row r="120" spans="1:10" ht="53.4" customHeight="1">
      <c r="A120" s="327" t="s">
        <v>5831</v>
      </c>
      <c r="B120" s="336" t="s">
        <v>484</v>
      </c>
      <c r="C120" s="336" t="s">
        <v>1096</v>
      </c>
      <c r="D120" s="336" t="s">
        <v>1096</v>
      </c>
      <c r="E120" s="336" t="s">
        <v>1096</v>
      </c>
      <c r="F120" s="336" t="s">
        <v>348</v>
      </c>
      <c r="G120" s="869"/>
      <c r="H120" s="869"/>
      <c r="I120" s="869"/>
      <c r="J120" s="870"/>
    </row>
    <row r="121" spans="1:10" ht="53.4" customHeight="1">
      <c r="A121" s="330" t="s">
        <v>5853</v>
      </c>
      <c r="B121" s="336" t="s">
        <v>484</v>
      </c>
      <c r="C121" s="336" t="s">
        <v>1096</v>
      </c>
      <c r="D121" s="336" t="s">
        <v>1096</v>
      </c>
      <c r="E121" s="336" t="s">
        <v>1096</v>
      </c>
      <c r="F121" s="336" t="s">
        <v>348</v>
      </c>
      <c r="G121" s="869"/>
      <c r="H121" s="869"/>
      <c r="I121" s="869"/>
      <c r="J121" s="870"/>
    </row>
    <row r="122" spans="1:10" ht="53.4" customHeight="1">
      <c r="A122" s="327" t="s">
        <v>5832</v>
      </c>
      <c r="B122" s="336" t="s">
        <v>484</v>
      </c>
      <c r="C122" s="336" t="s">
        <v>1096</v>
      </c>
      <c r="D122" s="336" t="s">
        <v>1096</v>
      </c>
      <c r="E122" s="336" t="s">
        <v>1096</v>
      </c>
      <c r="F122" s="336" t="s">
        <v>348</v>
      </c>
      <c r="G122" s="869"/>
      <c r="H122" s="869"/>
      <c r="I122" s="869"/>
      <c r="J122" s="870"/>
    </row>
    <row r="123" spans="1:10" ht="53.4" customHeight="1">
      <c r="A123" s="330" t="s">
        <v>5833</v>
      </c>
      <c r="B123" s="336" t="s">
        <v>484</v>
      </c>
      <c r="C123" s="336" t="s">
        <v>1096</v>
      </c>
      <c r="D123" s="336" t="s">
        <v>1096</v>
      </c>
      <c r="E123" s="336" t="s">
        <v>1096</v>
      </c>
      <c r="F123" s="336" t="s">
        <v>348</v>
      </c>
      <c r="G123" s="869"/>
      <c r="H123" s="869"/>
      <c r="I123" s="869"/>
      <c r="J123" s="870"/>
    </row>
    <row r="124" spans="1:10" ht="53.4" customHeight="1">
      <c r="A124" s="865" t="s">
        <v>5884</v>
      </c>
      <c r="B124" s="713"/>
      <c r="C124" s="871">
        <f>IFERROR(COUNTIF(E119:E123,"Yes")/COUNTA(A119:A123),"")</f>
        <v>0</v>
      </c>
      <c r="D124" s="872"/>
      <c r="E124" s="866" t="s">
        <v>5855</v>
      </c>
      <c r="F124" s="866"/>
      <c r="G124" s="866"/>
      <c r="H124" s="866"/>
      <c r="I124" s="866"/>
      <c r="J124" s="867"/>
    </row>
    <row r="125" spans="1:10" ht="20.25" customHeight="1">
      <c r="A125" s="335"/>
      <c r="B125" s="320"/>
      <c r="C125" s="320"/>
      <c r="D125" s="320"/>
      <c r="E125" s="320"/>
      <c r="F125" s="320"/>
      <c r="G125" s="874"/>
      <c r="H125" s="874"/>
      <c r="I125" s="874"/>
      <c r="J125" s="875"/>
    </row>
    <row r="126" spans="1:10" ht="53.4" customHeight="1">
      <c r="A126" s="876" t="s">
        <v>5878</v>
      </c>
      <c r="B126" s="853"/>
      <c r="C126" s="853"/>
      <c r="D126" s="842"/>
      <c r="E126" s="853"/>
      <c r="F126" s="853"/>
      <c r="G126" s="842"/>
      <c r="H126" s="842"/>
      <c r="I126" s="842"/>
      <c r="J126" s="868"/>
    </row>
    <row r="127" spans="1:10" ht="53.4" customHeight="1">
      <c r="A127" s="326" t="s">
        <v>5813</v>
      </c>
      <c r="B127" s="326" t="s">
        <v>77</v>
      </c>
      <c r="C127" s="326" t="s">
        <v>5834</v>
      </c>
      <c r="D127" s="326" t="s">
        <v>5835</v>
      </c>
      <c r="E127" s="326" t="s">
        <v>5836</v>
      </c>
      <c r="F127" s="326" t="s">
        <v>5837</v>
      </c>
      <c r="G127" s="859" t="s">
        <v>5885</v>
      </c>
      <c r="H127" s="859"/>
      <c r="I127" s="859"/>
      <c r="J127" s="859"/>
    </row>
    <row r="128" spans="1:10">
      <c r="A128" s="332" t="s">
        <v>153</v>
      </c>
      <c r="B128" s="328" t="s">
        <v>484</v>
      </c>
      <c r="C128" s="328"/>
      <c r="D128" s="328"/>
      <c r="E128" s="328"/>
      <c r="F128" s="329" t="str">
        <f>IFERROR(D128/C128,"")</f>
        <v/>
      </c>
      <c r="G128" s="873"/>
      <c r="H128" s="873"/>
      <c r="I128" s="873"/>
      <c r="J128" s="873"/>
    </row>
    <row r="129" spans="1:10">
      <c r="A129" s="339" t="s">
        <v>155</v>
      </c>
      <c r="B129" s="336" t="s">
        <v>484</v>
      </c>
      <c r="C129" s="336"/>
      <c r="D129" s="336"/>
      <c r="E129" s="336"/>
      <c r="F129" s="331" t="str">
        <f>IFERROR(D129/C129,"")</f>
        <v/>
      </c>
      <c r="G129" s="873"/>
      <c r="H129" s="873"/>
      <c r="I129" s="873"/>
      <c r="J129" s="873"/>
    </row>
    <row r="130" spans="1:10">
      <c r="A130" s="332" t="s">
        <v>4821</v>
      </c>
      <c r="B130" s="328" t="s">
        <v>484</v>
      </c>
      <c r="C130" s="328"/>
      <c r="D130" s="328"/>
      <c r="E130" s="328"/>
      <c r="F130" s="329" t="str">
        <f>IFERROR(D130/C130,"")</f>
        <v/>
      </c>
      <c r="G130" s="873"/>
      <c r="H130" s="873"/>
      <c r="I130" s="873"/>
      <c r="J130" s="873"/>
    </row>
    <row r="131" spans="1:10">
      <c r="A131" s="339" t="s">
        <v>957</v>
      </c>
      <c r="B131" s="336" t="s">
        <v>484</v>
      </c>
      <c r="C131" s="336"/>
      <c r="D131" s="336"/>
      <c r="E131" s="336"/>
      <c r="F131" s="331" t="str">
        <f>IFERROR(D131/C131,"")</f>
        <v/>
      </c>
      <c r="G131" s="873"/>
      <c r="H131" s="873"/>
      <c r="I131" s="873"/>
      <c r="J131" s="873"/>
    </row>
    <row r="132" spans="1:10">
      <c r="A132" s="879" t="s">
        <v>5856</v>
      </c>
      <c r="B132" s="879"/>
      <c r="C132" s="879"/>
      <c r="D132" s="879"/>
      <c r="E132" s="866" t="s">
        <v>5857</v>
      </c>
      <c r="F132" s="866"/>
      <c r="G132" s="866"/>
      <c r="H132" s="866"/>
      <c r="I132" s="866"/>
      <c r="J132" s="866"/>
    </row>
    <row r="133" spans="1:10">
      <c r="A133" s="879"/>
      <c r="B133" s="879"/>
      <c r="C133" s="879"/>
      <c r="D133" s="879"/>
      <c r="E133" s="866"/>
      <c r="F133" s="866"/>
      <c r="G133" s="866"/>
      <c r="H133" s="866"/>
      <c r="I133" s="866"/>
      <c r="J133" s="866"/>
    </row>
    <row r="134" spans="1:10">
      <c r="A134" s="842" t="s">
        <v>5879</v>
      </c>
      <c r="B134" s="842"/>
      <c r="C134" s="842"/>
      <c r="D134" s="842"/>
      <c r="E134" s="842"/>
      <c r="F134" s="842"/>
      <c r="G134" s="842"/>
      <c r="H134" s="842"/>
      <c r="I134" s="842"/>
      <c r="J134" s="842"/>
    </row>
    <row r="135" spans="1:10">
      <c r="A135" s="326" t="s">
        <v>4946</v>
      </c>
      <c r="B135" s="326" t="s">
        <v>77</v>
      </c>
      <c r="C135" s="326" t="s">
        <v>5845</v>
      </c>
      <c r="D135" s="326" t="s">
        <v>482</v>
      </c>
      <c r="E135" s="326" t="s">
        <v>572</v>
      </c>
      <c r="F135" s="326" t="s">
        <v>944</v>
      </c>
      <c r="G135" s="859" t="s">
        <v>5847</v>
      </c>
      <c r="H135" s="859"/>
      <c r="I135" s="859"/>
      <c r="J135" s="859"/>
    </row>
    <row r="136" spans="1:10">
      <c r="A136" s="332" t="s">
        <v>5814</v>
      </c>
      <c r="B136" s="328" t="s">
        <v>484</v>
      </c>
      <c r="C136" s="328" t="s">
        <v>392</v>
      </c>
      <c r="D136" s="328" t="s">
        <v>1096</v>
      </c>
      <c r="E136" s="328">
        <f t="shared" ref="E136:E141" si="1">IF(D136="Yes",1,0)</f>
        <v>0</v>
      </c>
      <c r="F136" s="328"/>
      <c r="G136" s="873"/>
      <c r="H136" s="873"/>
      <c r="I136" s="873"/>
      <c r="J136" s="873"/>
    </row>
    <row r="137" spans="1:10">
      <c r="A137" s="339" t="s">
        <v>5815</v>
      </c>
      <c r="B137" s="328" t="s">
        <v>484</v>
      </c>
      <c r="C137" s="336" t="s">
        <v>392</v>
      </c>
      <c r="D137" s="328" t="s">
        <v>1096</v>
      </c>
      <c r="E137" s="336">
        <f t="shared" si="1"/>
        <v>0</v>
      </c>
      <c r="F137" s="336"/>
      <c r="G137" s="873"/>
      <c r="H137" s="873"/>
      <c r="I137" s="873"/>
      <c r="J137" s="873"/>
    </row>
    <row r="138" spans="1:10">
      <c r="A138" s="332" t="s">
        <v>5816</v>
      </c>
      <c r="B138" s="328" t="s">
        <v>484</v>
      </c>
      <c r="C138" s="328" t="s">
        <v>392</v>
      </c>
      <c r="D138" s="328" t="s">
        <v>1096</v>
      </c>
      <c r="E138" s="328">
        <f t="shared" si="1"/>
        <v>0</v>
      </c>
      <c r="F138" s="328"/>
      <c r="G138" s="873"/>
      <c r="H138" s="873"/>
      <c r="I138" s="873"/>
      <c r="J138" s="873"/>
    </row>
    <row r="139" spans="1:10">
      <c r="A139" s="339" t="s">
        <v>5838</v>
      </c>
      <c r="B139" s="328" t="s">
        <v>484</v>
      </c>
      <c r="C139" s="336" t="s">
        <v>392</v>
      </c>
      <c r="D139" s="328" t="s">
        <v>1096</v>
      </c>
      <c r="E139" s="336">
        <f t="shared" si="1"/>
        <v>0</v>
      </c>
      <c r="F139" s="336"/>
      <c r="G139" s="873"/>
      <c r="H139" s="873"/>
      <c r="I139" s="873"/>
      <c r="J139" s="873"/>
    </row>
    <row r="140" spans="1:10" ht="27.75" customHeight="1">
      <c r="A140" s="332" t="s">
        <v>5839</v>
      </c>
      <c r="B140" s="328" t="s">
        <v>484</v>
      </c>
      <c r="C140" s="328" t="s">
        <v>392</v>
      </c>
      <c r="D140" s="328" t="s">
        <v>1096</v>
      </c>
      <c r="E140" s="328">
        <f t="shared" si="1"/>
        <v>0</v>
      </c>
      <c r="F140" s="328"/>
      <c r="G140" s="873"/>
      <c r="H140" s="873"/>
      <c r="I140" s="873"/>
      <c r="J140" s="873"/>
    </row>
    <row r="141" spans="1:10" ht="29.25" customHeight="1">
      <c r="A141" s="339" t="s">
        <v>5840</v>
      </c>
      <c r="B141" s="328" t="s">
        <v>484</v>
      </c>
      <c r="C141" s="336" t="s">
        <v>392</v>
      </c>
      <c r="D141" s="336" t="s">
        <v>1096</v>
      </c>
      <c r="E141" s="336">
        <f t="shared" si="1"/>
        <v>0</v>
      </c>
      <c r="F141" s="336"/>
      <c r="G141" s="873"/>
      <c r="H141" s="873"/>
      <c r="I141" s="873"/>
      <c r="J141" s="873"/>
    </row>
    <row r="142" spans="1:10" ht="15.6">
      <c r="A142" s="880" t="s">
        <v>5858</v>
      </c>
      <c r="B142" s="713"/>
      <c r="C142" s="871">
        <f>IFERROR(SUM(E136:E141)/COUNTIF(C136:C141,"Yes"),"")</f>
        <v>0</v>
      </c>
      <c r="D142" s="872"/>
      <c r="E142" s="866" t="s">
        <v>5859</v>
      </c>
      <c r="F142" s="866"/>
      <c r="G142" s="866"/>
      <c r="H142" s="866"/>
      <c r="I142" s="866"/>
      <c r="J142" s="866"/>
    </row>
    <row r="143" spans="1:10" ht="20.25" customHeight="1">
      <c r="A143" s="196"/>
      <c r="B143" s="196"/>
      <c r="C143" s="196"/>
      <c r="D143" s="196"/>
      <c r="E143" s="196"/>
      <c r="F143" s="196"/>
      <c r="G143" s="196"/>
      <c r="H143" s="196"/>
      <c r="I143" s="196"/>
      <c r="J143" s="196"/>
    </row>
    <row r="144" spans="1:10">
      <c r="A144" s="842" t="s">
        <v>5880</v>
      </c>
      <c r="B144" s="853"/>
      <c r="C144" s="853"/>
      <c r="D144" s="321"/>
      <c r="E144" s="321"/>
      <c r="F144" s="321"/>
      <c r="G144" s="321"/>
      <c r="H144" s="321"/>
      <c r="I144" s="321"/>
      <c r="J144" s="321"/>
    </row>
    <row r="145" spans="1:10" ht="55.2">
      <c r="A145" s="322" t="s">
        <v>905</v>
      </c>
      <c r="B145" s="322" t="s">
        <v>830</v>
      </c>
      <c r="C145" s="322"/>
      <c r="D145" s="322"/>
      <c r="E145" s="322"/>
      <c r="F145" s="322"/>
      <c r="G145" s="322"/>
      <c r="H145" s="322"/>
      <c r="I145" s="322"/>
      <c r="J145" s="322"/>
    </row>
    <row r="146" spans="1:10">
      <c r="A146" s="319" t="s">
        <v>1086</v>
      </c>
      <c r="B146" s="852" t="s">
        <v>3292</v>
      </c>
      <c r="C146" s="853"/>
      <c r="D146" s="853"/>
      <c r="E146" s="853"/>
      <c r="F146" s="853"/>
      <c r="G146" s="853"/>
      <c r="H146" s="853"/>
      <c r="I146" s="853"/>
      <c r="J146" s="853"/>
    </row>
    <row r="147" spans="1:10">
      <c r="A147" s="319" t="s">
        <v>2090</v>
      </c>
      <c r="B147" s="852" t="s">
        <v>3293</v>
      </c>
      <c r="C147" s="853"/>
      <c r="D147" s="853"/>
      <c r="E147" s="853"/>
      <c r="F147" s="853"/>
      <c r="G147" s="853"/>
      <c r="H147" s="853"/>
      <c r="I147" s="853"/>
      <c r="J147" s="853"/>
    </row>
    <row r="148" spans="1:10">
      <c r="A148" s="319" t="s">
        <v>1089</v>
      </c>
      <c r="B148" s="852" t="s">
        <v>3294</v>
      </c>
      <c r="C148" s="853"/>
      <c r="D148" s="853"/>
      <c r="E148" s="853"/>
      <c r="F148" s="853"/>
      <c r="G148" s="853"/>
      <c r="H148" s="853"/>
      <c r="I148" s="853"/>
      <c r="J148" s="853"/>
    </row>
    <row r="149" spans="1:10">
      <c r="A149" s="319" t="s">
        <v>1090</v>
      </c>
      <c r="B149" s="852" t="s">
        <v>3295</v>
      </c>
      <c r="C149" s="853"/>
      <c r="D149" s="853"/>
      <c r="E149" s="853"/>
      <c r="F149" s="853"/>
      <c r="G149" s="853"/>
      <c r="H149" s="853"/>
      <c r="I149" s="853"/>
      <c r="J149" s="853"/>
    </row>
    <row r="150" spans="1:10">
      <c r="A150" s="319" t="s">
        <v>1088</v>
      </c>
      <c r="B150" s="852" t="s">
        <v>3296</v>
      </c>
      <c r="C150" s="853"/>
      <c r="D150" s="853"/>
      <c r="E150" s="853"/>
      <c r="F150" s="853"/>
      <c r="G150" s="853"/>
      <c r="H150" s="853"/>
      <c r="I150" s="853"/>
      <c r="J150" s="853"/>
    </row>
    <row r="151" spans="1:10">
      <c r="A151" s="319" t="s">
        <v>3297</v>
      </c>
      <c r="B151" s="852" t="s">
        <v>3298</v>
      </c>
      <c r="C151" s="853"/>
      <c r="D151" s="853"/>
      <c r="E151" s="853"/>
      <c r="F151" s="853"/>
      <c r="G151" s="853"/>
      <c r="H151" s="853"/>
      <c r="I151" s="853"/>
      <c r="J151" s="853"/>
    </row>
    <row r="152" spans="1:10">
      <c r="A152" s="319" t="s">
        <v>1563</v>
      </c>
      <c r="B152" s="852" t="s">
        <v>1776</v>
      </c>
      <c r="C152" s="853"/>
      <c r="D152" s="853"/>
      <c r="E152" s="853"/>
      <c r="F152" s="853"/>
      <c r="G152" s="853"/>
      <c r="H152" s="853"/>
      <c r="I152" s="853"/>
      <c r="J152" s="853"/>
    </row>
    <row r="153" spans="1:10">
      <c r="A153" s="231"/>
      <c r="B153" s="231"/>
      <c r="C153" s="231"/>
      <c r="D153" s="231"/>
      <c r="E153" s="231"/>
      <c r="F153" s="231"/>
      <c r="G153" s="231"/>
      <c r="H153" s="231"/>
      <c r="I153" s="231"/>
      <c r="J153" s="231"/>
    </row>
    <row r="154" spans="1:10" ht="17.399999999999999" hidden="1">
      <c r="A154" s="827" t="s">
        <v>5769</v>
      </c>
      <c r="B154" s="827"/>
      <c r="C154" s="827"/>
      <c r="D154" s="827"/>
      <c r="E154" s="827"/>
      <c r="F154" s="827"/>
      <c r="G154" s="827"/>
      <c r="H154" s="827"/>
      <c r="I154" s="231"/>
      <c r="J154" s="231"/>
    </row>
    <row r="155" spans="1:10" hidden="1">
      <c r="A155" s="276" t="s">
        <v>2</v>
      </c>
      <c r="B155" s="828" t="s">
        <v>5770</v>
      </c>
      <c r="C155" s="828"/>
      <c r="D155" s="828"/>
      <c r="E155" s="828"/>
      <c r="F155" s="828"/>
      <c r="G155" s="828"/>
      <c r="H155" s="828"/>
      <c r="I155" s="231"/>
      <c r="J155" s="231"/>
    </row>
    <row r="156" spans="1:10" hidden="1">
      <c r="A156" s="276" t="s">
        <v>5771</v>
      </c>
      <c r="B156" s="828" t="s">
        <v>5772</v>
      </c>
      <c r="C156" s="828"/>
      <c r="D156" s="828"/>
      <c r="E156" s="828"/>
      <c r="F156" s="828"/>
      <c r="G156" s="828"/>
      <c r="H156" s="828"/>
      <c r="I156" s="231"/>
      <c r="J156" s="231"/>
    </row>
    <row r="157" spans="1:10" hidden="1">
      <c r="A157" s="196"/>
      <c r="B157" s="196"/>
      <c r="C157" s="196"/>
      <c r="D157" s="196"/>
      <c r="E157" s="196"/>
      <c r="F157" s="196"/>
      <c r="G157" s="196"/>
      <c r="H157" s="196"/>
      <c r="I157" s="231"/>
      <c r="J157" s="231"/>
    </row>
    <row r="158" spans="1:10" hidden="1">
      <c r="A158" s="323" t="s">
        <v>4946</v>
      </c>
      <c r="B158" s="323" t="s">
        <v>77</v>
      </c>
      <c r="C158" s="323" t="s">
        <v>5773</v>
      </c>
      <c r="D158" s="323" t="s">
        <v>263</v>
      </c>
      <c r="E158" s="323" t="s">
        <v>216</v>
      </c>
      <c r="F158" s="323" t="s">
        <v>5774</v>
      </c>
      <c r="G158" s="323" t="s">
        <v>5775</v>
      </c>
      <c r="H158" s="323" t="s">
        <v>5776</v>
      </c>
      <c r="I158" s="231"/>
      <c r="J158" s="231"/>
    </row>
    <row r="159" spans="1:10" hidden="1">
      <c r="A159" s="277" t="s">
        <v>5777</v>
      </c>
      <c r="B159" s="278" t="s">
        <v>1096</v>
      </c>
      <c r="C159" s="277"/>
      <c r="D159" s="277"/>
      <c r="E159" s="277"/>
      <c r="F159" s="277"/>
      <c r="G159" s="279" t="str">
        <f t="shared" ref="G159:G166" si="2">IF(OR(B159="Yes",B159="N/A"),"🟢","🟡")</f>
        <v>🟡</v>
      </c>
      <c r="H159" s="277"/>
      <c r="I159" s="231"/>
      <c r="J159" s="231"/>
    </row>
    <row r="160" spans="1:10" hidden="1">
      <c r="A160" s="277" t="s">
        <v>5778</v>
      </c>
      <c r="B160" s="278" t="s">
        <v>1096</v>
      </c>
      <c r="C160" s="277"/>
      <c r="D160" s="277"/>
      <c r="E160" s="277"/>
      <c r="F160" s="277"/>
      <c r="G160" s="279" t="str">
        <f t="shared" si="2"/>
        <v>🟡</v>
      </c>
      <c r="H160" s="277"/>
      <c r="I160" s="231"/>
      <c r="J160" s="231"/>
    </row>
    <row r="161" spans="1:10" hidden="1">
      <c r="A161" s="277" t="s">
        <v>5779</v>
      </c>
      <c r="B161" s="278" t="s">
        <v>1096</v>
      </c>
      <c r="C161" s="277"/>
      <c r="D161" s="277"/>
      <c r="E161" s="277"/>
      <c r="F161" s="277"/>
      <c r="G161" s="279" t="str">
        <f t="shared" si="2"/>
        <v>🟡</v>
      </c>
      <c r="H161" s="277"/>
      <c r="I161" s="231"/>
      <c r="J161" s="231"/>
    </row>
    <row r="162" spans="1:10" hidden="1">
      <c r="A162" s="277" t="s">
        <v>5168</v>
      </c>
      <c r="B162" s="278" t="s">
        <v>1096</v>
      </c>
      <c r="C162" s="277"/>
      <c r="D162" s="277"/>
      <c r="E162" s="277"/>
      <c r="F162" s="277"/>
      <c r="G162" s="279" t="str">
        <f t="shared" si="2"/>
        <v>🟡</v>
      </c>
      <c r="H162" s="277"/>
      <c r="I162" s="231"/>
      <c r="J162" s="231"/>
    </row>
    <row r="163" spans="1:10" hidden="1">
      <c r="A163" s="277" t="s">
        <v>5780</v>
      </c>
      <c r="B163" s="278" t="s">
        <v>1096</v>
      </c>
      <c r="C163" s="277"/>
      <c r="D163" s="277"/>
      <c r="E163" s="277"/>
      <c r="F163" s="277"/>
      <c r="G163" s="279" t="str">
        <f t="shared" si="2"/>
        <v>🟡</v>
      </c>
      <c r="H163" s="277"/>
      <c r="I163" s="231"/>
      <c r="J163" s="231"/>
    </row>
    <row r="164" spans="1:10" hidden="1">
      <c r="A164" s="277" t="s">
        <v>5781</v>
      </c>
      <c r="B164" s="278" t="s">
        <v>1096</v>
      </c>
      <c r="C164" s="277"/>
      <c r="D164" s="277"/>
      <c r="E164" s="277"/>
      <c r="F164" s="277"/>
      <c r="G164" s="279" t="str">
        <f t="shared" si="2"/>
        <v>🟡</v>
      </c>
      <c r="H164" s="277"/>
      <c r="I164" s="231"/>
      <c r="J164" s="231"/>
    </row>
    <row r="165" spans="1:10" hidden="1">
      <c r="A165" s="277" t="s">
        <v>178</v>
      </c>
      <c r="B165" s="278" t="s">
        <v>1096</v>
      </c>
      <c r="C165" s="277"/>
      <c r="D165" s="277"/>
      <c r="E165" s="277"/>
      <c r="F165" s="277"/>
      <c r="G165" s="279" t="str">
        <f t="shared" si="2"/>
        <v>🟡</v>
      </c>
      <c r="H165" s="277"/>
      <c r="I165" s="231"/>
      <c r="J165" s="231"/>
    </row>
    <row r="166" spans="1:10" hidden="1">
      <c r="A166" s="277" t="s">
        <v>5782</v>
      </c>
      <c r="B166" s="278" t="s">
        <v>1096</v>
      </c>
      <c r="C166" s="277"/>
      <c r="D166" s="277"/>
      <c r="E166" s="277"/>
      <c r="F166" s="277"/>
      <c r="G166" s="279" t="str">
        <f t="shared" si="2"/>
        <v>🟡</v>
      </c>
      <c r="H166" s="277"/>
      <c r="I166" s="231"/>
      <c r="J166" s="231"/>
    </row>
    <row r="167" spans="1:10" ht="42" hidden="1" customHeight="1">
      <c r="A167" s="324" t="s">
        <v>4946</v>
      </c>
      <c r="B167" s="324" t="s">
        <v>5790</v>
      </c>
      <c r="C167" s="196"/>
      <c r="D167" s="196"/>
      <c r="E167" s="324" t="s">
        <v>5791</v>
      </c>
      <c r="F167" s="196"/>
      <c r="G167" s="196"/>
      <c r="H167" s="196"/>
      <c r="I167" s="231"/>
      <c r="J167" s="231"/>
    </row>
    <row r="168" spans="1:10" ht="42" hidden="1" customHeight="1">
      <c r="A168" s="291" t="s">
        <v>5777</v>
      </c>
      <c r="B168" s="768" t="s">
        <v>5792</v>
      </c>
      <c r="C168" s="768"/>
      <c r="D168" s="768"/>
      <c r="E168" s="768" t="s">
        <v>5793</v>
      </c>
      <c r="F168" s="768"/>
      <c r="G168" s="768"/>
      <c r="H168" s="196"/>
      <c r="I168" s="231"/>
      <c r="J168" s="231"/>
    </row>
    <row r="169" spans="1:10" ht="42" hidden="1" customHeight="1">
      <c r="A169" s="291" t="s">
        <v>5778</v>
      </c>
      <c r="B169" s="768" t="s">
        <v>5794</v>
      </c>
      <c r="C169" s="768"/>
      <c r="D169" s="768"/>
      <c r="E169" s="768" t="s">
        <v>5795</v>
      </c>
      <c r="F169" s="768"/>
      <c r="G169" s="768"/>
      <c r="H169" s="196"/>
      <c r="I169" s="231"/>
      <c r="J169" s="231"/>
    </row>
    <row r="170" spans="1:10" ht="42" hidden="1" customHeight="1">
      <c r="A170" s="291" t="s">
        <v>5779</v>
      </c>
      <c r="B170" s="768" t="s">
        <v>5796</v>
      </c>
      <c r="C170" s="768"/>
      <c r="D170" s="768"/>
      <c r="E170" s="768" t="s">
        <v>5797</v>
      </c>
      <c r="F170" s="768"/>
      <c r="G170" s="768"/>
      <c r="H170" s="196"/>
      <c r="I170" s="231"/>
      <c r="J170" s="231"/>
    </row>
    <row r="171" spans="1:10" ht="42" hidden="1" customHeight="1">
      <c r="A171" s="291" t="s">
        <v>5168</v>
      </c>
      <c r="B171" s="768" t="s">
        <v>5798</v>
      </c>
      <c r="C171" s="768"/>
      <c r="D171" s="768"/>
      <c r="E171" s="768" t="s">
        <v>5799</v>
      </c>
      <c r="F171" s="768"/>
      <c r="G171" s="768"/>
      <c r="H171" s="196"/>
      <c r="I171" s="231"/>
      <c r="J171" s="231"/>
    </row>
    <row r="172" spans="1:10" ht="42" hidden="1" customHeight="1">
      <c r="A172" s="291" t="s">
        <v>5780</v>
      </c>
      <c r="B172" s="768" t="s">
        <v>5800</v>
      </c>
      <c r="C172" s="768"/>
      <c r="D172" s="768"/>
      <c r="E172" s="768" t="s">
        <v>5801</v>
      </c>
      <c r="F172" s="768"/>
      <c r="G172" s="768"/>
      <c r="H172" s="196"/>
      <c r="I172" s="231"/>
      <c r="J172" s="231"/>
    </row>
    <row r="173" spans="1:10" ht="42" hidden="1" customHeight="1">
      <c r="A173" s="291" t="s">
        <v>5781</v>
      </c>
      <c r="B173" s="768" t="s">
        <v>5802</v>
      </c>
      <c r="C173" s="768"/>
      <c r="D173" s="768"/>
      <c r="E173" s="768" t="s">
        <v>5803</v>
      </c>
      <c r="F173" s="768"/>
      <c r="G173" s="768"/>
      <c r="H173" s="196"/>
      <c r="I173" s="231"/>
      <c r="J173" s="231"/>
    </row>
    <row r="174" spans="1:10" ht="42" hidden="1" customHeight="1">
      <c r="A174" s="291" t="s">
        <v>178</v>
      </c>
      <c r="B174" s="768" t="s">
        <v>5804</v>
      </c>
      <c r="C174" s="768"/>
      <c r="D174" s="768"/>
      <c r="E174" s="768" t="s">
        <v>5805</v>
      </c>
      <c r="F174" s="768"/>
      <c r="G174" s="768"/>
      <c r="H174" s="196"/>
      <c r="I174" s="231"/>
      <c r="J174" s="231"/>
    </row>
    <row r="175" spans="1:10" ht="42" hidden="1" customHeight="1">
      <c r="A175" s="291" t="s">
        <v>5782</v>
      </c>
      <c r="B175" s="768" t="s">
        <v>5806</v>
      </c>
      <c r="C175" s="768"/>
      <c r="D175" s="768"/>
      <c r="E175" s="768" t="s">
        <v>5807</v>
      </c>
      <c r="F175" s="768"/>
      <c r="G175" s="768"/>
      <c r="H175" s="196"/>
      <c r="I175" s="231"/>
      <c r="J175" s="231"/>
    </row>
    <row r="176" spans="1:10" hidden="1">
      <c r="A176" s="276" t="s">
        <v>5783</v>
      </c>
      <c r="B176" s="280" t="str">
        <f>IF(COUNTIF(B159:B166,"No")=0,"🟢 PILOT COMPLETE / ACCEPTANCE READY","🟡 NOT COMPLETE — ACCEPTANCE GATES OPEN")</f>
        <v>🟡 NOT COMPLETE — ACCEPTANCE GATES OPEN</v>
      </c>
      <c r="C176" s="280"/>
      <c r="D176" s="280"/>
      <c r="E176" s="280"/>
      <c r="F176" s="280"/>
      <c r="G176" s="280"/>
      <c r="H176" s="280"/>
    </row>
    <row r="177" spans="1:10" hidden="1">
      <c r="A177" s="276" t="s">
        <v>5784</v>
      </c>
      <c r="B177" s="280">
        <f>COUNTIF(B159:B166,"No")</f>
        <v>8</v>
      </c>
      <c r="C177" s="280"/>
      <c r="D177" s="280"/>
      <c r="E177" s="280"/>
      <c r="F177" s="280"/>
      <c r="G177" s="280"/>
      <c r="H177" s="280"/>
    </row>
    <row r="178" spans="1:10" hidden="1">
      <c r="A178" s="276" t="s">
        <v>5785</v>
      </c>
      <c r="B178" s="280" t="str">
        <f>COUNTIF(B159:B166,"Yes")&amp;" / 8 Complete"</f>
        <v>0 / 8 Complete</v>
      </c>
      <c r="C178" s="280"/>
      <c r="D178" s="280"/>
      <c r="E178" s="280"/>
      <c r="F178" s="280"/>
      <c r="G178" s="280"/>
      <c r="H178" s="280"/>
    </row>
    <row r="179" spans="1:10" ht="93" hidden="1">
      <c r="A179" s="281" t="s">
        <v>5786</v>
      </c>
      <c r="B179" s="282" t="s">
        <v>5787</v>
      </c>
      <c r="C179" s="282"/>
      <c r="D179" s="282"/>
      <c r="E179" s="282"/>
      <c r="F179" s="282"/>
      <c r="G179" s="282"/>
      <c r="H179" s="282"/>
    </row>
    <row r="180" spans="1:10" hidden="1">
      <c r="A180" s="281"/>
      <c r="B180" s="282"/>
      <c r="C180" s="282"/>
      <c r="D180" s="282"/>
      <c r="E180" s="282"/>
      <c r="F180" s="282"/>
      <c r="G180" s="282"/>
      <c r="H180" s="282"/>
    </row>
    <row r="181" spans="1:10" ht="66.599999999999994" hidden="1">
      <c r="A181" s="281" t="s">
        <v>5788</v>
      </c>
      <c r="B181" s="282" t="s">
        <v>5789</v>
      </c>
      <c r="C181" s="282"/>
      <c r="D181" s="282"/>
      <c r="E181" s="282"/>
      <c r="F181" s="282"/>
      <c r="G181" s="282"/>
      <c r="H181" s="282"/>
    </row>
    <row r="182" spans="1:10">
      <c r="A182" s="842" t="s">
        <v>5901</v>
      </c>
      <c r="B182" s="842"/>
      <c r="C182" s="842"/>
      <c r="D182" s="842"/>
      <c r="E182" s="842"/>
      <c r="F182" s="842"/>
      <c r="G182" s="842"/>
      <c r="H182" s="842"/>
      <c r="I182" s="842"/>
      <c r="J182" s="842"/>
    </row>
    <row r="183" spans="1:10">
      <c r="A183" s="340" t="s">
        <v>5886</v>
      </c>
      <c r="B183" s="196"/>
      <c r="C183" s="196"/>
      <c r="D183" s="196"/>
      <c r="E183" s="196"/>
      <c r="F183" s="196"/>
      <c r="G183" s="196"/>
      <c r="H183" s="196"/>
      <c r="I183" s="196"/>
      <c r="J183" s="196"/>
    </row>
    <row r="184" spans="1:10">
      <c r="A184" s="196"/>
      <c r="B184" s="196"/>
      <c r="C184" s="196"/>
      <c r="D184" s="196"/>
      <c r="E184" s="196"/>
      <c r="F184" s="196"/>
      <c r="G184" s="196"/>
      <c r="H184" s="196"/>
      <c r="I184" s="196"/>
      <c r="J184" s="196"/>
    </row>
    <row r="185" spans="1:10">
      <c r="A185" s="196" t="s">
        <v>5887</v>
      </c>
      <c r="B185" s="196"/>
      <c r="C185" s="196"/>
      <c r="D185" s="196"/>
      <c r="E185" s="196"/>
      <c r="F185" s="196"/>
      <c r="G185" s="196"/>
      <c r="H185" s="196"/>
      <c r="I185" s="196"/>
      <c r="J185" s="196"/>
    </row>
    <row r="186" spans="1:10">
      <c r="A186" s="196"/>
      <c r="B186" s="196"/>
      <c r="C186" s="196"/>
      <c r="D186" s="196"/>
      <c r="E186" s="196"/>
      <c r="F186" s="196"/>
      <c r="G186" s="196"/>
      <c r="H186" s="196"/>
      <c r="I186" s="196"/>
      <c r="J186" s="196"/>
    </row>
    <row r="187" spans="1:10">
      <c r="A187" s="196" t="s">
        <v>5888</v>
      </c>
      <c r="B187" s="196"/>
      <c r="C187" s="196"/>
      <c r="D187" s="196"/>
      <c r="E187" s="196"/>
      <c r="F187" s="196"/>
      <c r="G187" s="196"/>
      <c r="H187" s="196"/>
      <c r="I187" s="196"/>
      <c r="J187" s="196"/>
    </row>
    <row r="188" spans="1:10">
      <c r="A188" s="196"/>
      <c r="B188" s="196"/>
      <c r="C188" s="196"/>
      <c r="D188" s="196"/>
      <c r="E188" s="196"/>
      <c r="F188" s="196"/>
      <c r="G188" s="196"/>
      <c r="H188" s="196"/>
      <c r="I188" s="196"/>
      <c r="J188" s="196"/>
    </row>
    <row r="189" spans="1:10">
      <c r="A189" s="196" t="s">
        <v>5889</v>
      </c>
      <c r="B189" s="196"/>
      <c r="C189" s="196"/>
      <c r="D189" s="196"/>
      <c r="E189" s="196"/>
      <c r="F189" s="196"/>
      <c r="G189" s="196"/>
      <c r="H189" s="196"/>
      <c r="I189" s="196"/>
      <c r="J189" s="196"/>
    </row>
    <row r="190" spans="1:10">
      <c r="A190" s="196"/>
      <c r="B190" s="196"/>
      <c r="C190" s="196"/>
      <c r="D190" s="196"/>
      <c r="E190" s="196"/>
      <c r="F190" s="196"/>
      <c r="G190" s="196"/>
      <c r="H190" s="196"/>
      <c r="I190" s="196"/>
      <c r="J190" s="196"/>
    </row>
    <row r="191" spans="1:10">
      <c r="A191" s="196"/>
      <c r="B191" s="196"/>
      <c r="C191" s="196"/>
      <c r="D191" s="196"/>
      <c r="E191" s="196"/>
      <c r="F191" s="196"/>
      <c r="G191" s="196"/>
      <c r="H191" s="196"/>
      <c r="I191" s="196"/>
      <c r="J191" s="196"/>
    </row>
    <row r="192" spans="1:10">
      <c r="A192" s="196"/>
      <c r="B192" s="196"/>
      <c r="C192" s="196"/>
      <c r="D192" s="196"/>
      <c r="E192" s="196"/>
      <c r="F192" s="196"/>
      <c r="G192" s="196"/>
      <c r="H192" s="196"/>
      <c r="I192" s="196"/>
      <c r="J192" s="196"/>
    </row>
    <row r="193" spans="1:10">
      <c r="A193" s="842" t="s">
        <v>5902</v>
      </c>
      <c r="B193" s="842"/>
      <c r="C193" s="842"/>
      <c r="D193" s="842"/>
      <c r="E193" s="842"/>
      <c r="F193" s="842"/>
      <c r="G193" s="842"/>
      <c r="H193" s="842"/>
      <c r="I193" s="842"/>
      <c r="J193" s="842"/>
    </row>
    <row r="194" spans="1:10">
      <c r="A194" s="196"/>
      <c r="B194" s="196"/>
      <c r="C194" s="196"/>
      <c r="D194" s="196"/>
      <c r="E194" s="196"/>
      <c r="F194" s="196"/>
      <c r="G194" s="196"/>
      <c r="H194" s="196"/>
      <c r="I194" s="196"/>
      <c r="J194" s="196"/>
    </row>
    <row r="195" spans="1:10">
      <c r="A195" s="196" t="s">
        <v>5890</v>
      </c>
      <c r="B195" s="196"/>
      <c r="C195" s="196"/>
      <c r="D195" s="196"/>
      <c r="E195" s="196"/>
      <c r="F195" s="196"/>
      <c r="G195" s="196"/>
      <c r="H195" s="196"/>
      <c r="I195" s="196"/>
      <c r="J195" s="196"/>
    </row>
    <row r="196" spans="1:10">
      <c r="A196" s="196"/>
      <c r="B196" s="196"/>
      <c r="C196" s="196"/>
      <c r="D196" s="196"/>
      <c r="E196" s="196"/>
      <c r="F196" s="196"/>
      <c r="G196" s="196"/>
      <c r="H196" s="196"/>
      <c r="I196" s="196"/>
      <c r="J196" s="196"/>
    </row>
    <row r="197" spans="1:10">
      <c r="A197" s="196" t="s">
        <v>5891</v>
      </c>
      <c r="B197" s="196"/>
      <c r="C197" s="196"/>
      <c r="D197" s="196"/>
      <c r="E197" s="196"/>
      <c r="F197" s="196"/>
      <c r="G197" s="196"/>
      <c r="H197" s="196"/>
      <c r="I197" s="196"/>
      <c r="J197" s="196"/>
    </row>
    <row r="198" spans="1:10">
      <c r="A198" s="196"/>
      <c r="B198" s="196"/>
      <c r="C198" s="196"/>
      <c r="D198" s="196"/>
      <c r="E198" s="196"/>
      <c r="F198" s="196"/>
      <c r="G198" s="196"/>
      <c r="H198" s="196"/>
      <c r="I198" s="196"/>
      <c r="J198" s="196"/>
    </row>
    <row r="199" spans="1:10">
      <c r="A199" s="196" t="s">
        <v>5892</v>
      </c>
      <c r="B199" s="196"/>
      <c r="C199" s="196"/>
      <c r="D199" s="196"/>
      <c r="E199" s="196"/>
      <c r="F199" s="196"/>
      <c r="G199" s="196"/>
      <c r="H199" s="196"/>
      <c r="I199" s="196"/>
      <c r="J199" s="196"/>
    </row>
    <row r="200" spans="1:10">
      <c r="A200" s="196"/>
      <c r="B200" s="196"/>
      <c r="C200" s="196"/>
      <c r="D200" s="196"/>
      <c r="E200" s="196"/>
      <c r="F200" s="196"/>
      <c r="G200" s="196"/>
      <c r="H200" s="196"/>
      <c r="I200" s="196"/>
      <c r="J200" s="196"/>
    </row>
    <row r="201" spans="1:10">
      <c r="A201" s="196"/>
      <c r="B201" s="196"/>
      <c r="C201" s="196"/>
      <c r="D201" s="196"/>
      <c r="E201" s="196"/>
      <c r="F201" s="196"/>
      <c r="G201" s="196"/>
      <c r="H201" s="196"/>
      <c r="I201" s="196"/>
      <c r="J201" s="196"/>
    </row>
    <row r="202" spans="1:10">
      <c r="A202" s="196"/>
      <c r="B202" s="196"/>
      <c r="C202" s="196"/>
      <c r="D202" s="196"/>
      <c r="E202" s="196"/>
      <c r="F202" s="196"/>
      <c r="G202" s="196"/>
      <c r="H202" s="196"/>
      <c r="I202" s="196"/>
      <c r="J202" s="196"/>
    </row>
    <row r="203" spans="1:10">
      <c r="A203" s="842" t="s">
        <v>5903</v>
      </c>
      <c r="B203" s="842"/>
      <c r="C203" s="842"/>
      <c r="D203" s="842"/>
      <c r="E203" s="842"/>
      <c r="F203" s="842"/>
      <c r="G203" s="842"/>
      <c r="H203" s="842"/>
      <c r="I203" s="842"/>
      <c r="J203" s="842"/>
    </row>
    <row r="204" spans="1:10">
      <c r="A204" s="196"/>
      <c r="B204" s="196"/>
      <c r="C204" s="196"/>
      <c r="D204" s="196"/>
      <c r="E204" s="196"/>
      <c r="F204" s="196"/>
      <c r="G204" s="196"/>
      <c r="H204" s="196"/>
      <c r="I204" s="196"/>
      <c r="J204" s="196"/>
    </row>
    <row r="205" spans="1:10">
      <c r="A205" s="196" t="s">
        <v>5893</v>
      </c>
      <c r="B205" s="196"/>
      <c r="C205" s="196"/>
      <c r="D205" s="196"/>
      <c r="E205" s="196"/>
      <c r="F205" s="196"/>
      <c r="G205" s="196"/>
      <c r="H205" s="196"/>
      <c r="I205" s="196"/>
      <c r="J205" s="196"/>
    </row>
    <row r="206" spans="1:10">
      <c r="A206" s="196"/>
      <c r="B206" s="196"/>
      <c r="C206" s="196"/>
      <c r="D206" s="196"/>
      <c r="E206" s="196"/>
      <c r="F206" s="196"/>
      <c r="G206" s="196"/>
      <c r="H206" s="196"/>
      <c r="I206" s="196"/>
      <c r="J206" s="196"/>
    </row>
    <row r="207" spans="1:10">
      <c r="A207" s="196" t="s">
        <v>5894</v>
      </c>
      <c r="B207" s="196"/>
      <c r="C207" s="196"/>
      <c r="D207" s="196"/>
      <c r="E207" s="196"/>
      <c r="F207" s="196"/>
      <c r="G207" s="196"/>
      <c r="H207" s="196"/>
      <c r="I207" s="196"/>
      <c r="J207" s="196"/>
    </row>
    <row r="208" spans="1:10">
      <c r="A208" s="196"/>
      <c r="B208" s="196"/>
      <c r="C208" s="196"/>
      <c r="D208" s="196"/>
      <c r="E208" s="196"/>
      <c r="F208" s="196"/>
      <c r="G208" s="196"/>
      <c r="H208" s="196"/>
      <c r="I208" s="196"/>
      <c r="J208" s="196"/>
    </row>
    <row r="209" spans="1:10">
      <c r="A209" s="196" t="s">
        <v>5895</v>
      </c>
      <c r="B209" s="196"/>
      <c r="C209" s="196"/>
      <c r="D209" s="196"/>
      <c r="E209" s="196"/>
      <c r="F209" s="196"/>
      <c r="G209" s="196"/>
      <c r="H209" s="196"/>
      <c r="I209" s="196"/>
      <c r="J209" s="196"/>
    </row>
    <row r="210" spans="1:10">
      <c r="A210" s="196"/>
      <c r="B210" s="196"/>
      <c r="C210" s="196"/>
      <c r="D210" s="196"/>
      <c r="E210" s="196"/>
      <c r="F210" s="196"/>
      <c r="G210" s="196"/>
      <c r="H210" s="196"/>
      <c r="I210" s="196"/>
      <c r="J210" s="196"/>
    </row>
    <row r="211" spans="1:10">
      <c r="A211" s="196" t="s">
        <v>5896</v>
      </c>
      <c r="B211" s="196"/>
      <c r="C211" s="196"/>
      <c r="D211" s="196"/>
      <c r="E211" s="196"/>
      <c r="F211" s="196"/>
      <c r="G211" s="196"/>
      <c r="H211" s="196"/>
      <c r="I211" s="196"/>
      <c r="J211" s="196"/>
    </row>
    <row r="212" spans="1:10">
      <c r="A212" s="196"/>
      <c r="B212" s="196"/>
      <c r="C212" s="196"/>
      <c r="D212" s="196"/>
      <c r="E212" s="196"/>
      <c r="F212" s="196"/>
      <c r="G212" s="196"/>
      <c r="H212" s="196"/>
      <c r="I212" s="196"/>
      <c r="J212" s="196"/>
    </row>
    <row r="213" spans="1:10">
      <c r="A213" s="196"/>
      <c r="B213" s="196"/>
      <c r="C213" s="196"/>
      <c r="D213" s="196"/>
      <c r="E213" s="196"/>
      <c r="F213" s="196"/>
      <c r="G213" s="196"/>
      <c r="H213" s="196"/>
      <c r="I213" s="196"/>
      <c r="J213" s="196"/>
    </row>
    <row r="214" spans="1:10">
      <c r="A214" s="196"/>
      <c r="B214" s="196"/>
      <c r="C214" s="196"/>
      <c r="D214" s="196"/>
      <c r="E214" s="196"/>
      <c r="F214" s="196"/>
      <c r="G214" s="196"/>
      <c r="H214" s="196"/>
      <c r="I214" s="196"/>
      <c r="J214" s="196"/>
    </row>
    <row r="215" spans="1:10">
      <c r="A215" s="842" t="s">
        <v>5904</v>
      </c>
      <c r="B215" s="842"/>
      <c r="C215" s="842"/>
      <c r="D215" s="842"/>
      <c r="E215" s="842"/>
      <c r="F215" s="842"/>
      <c r="G215" s="842"/>
      <c r="H215" s="842"/>
      <c r="I215" s="842"/>
      <c r="J215" s="842"/>
    </row>
    <row r="216" spans="1:10">
      <c r="A216" s="196"/>
      <c r="B216" s="196"/>
      <c r="C216" s="196"/>
      <c r="D216" s="196"/>
      <c r="E216" s="196"/>
      <c r="F216" s="196"/>
      <c r="G216" s="196"/>
      <c r="H216" s="196"/>
      <c r="I216" s="196"/>
      <c r="J216" s="196"/>
    </row>
    <row r="217" spans="1:10">
      <c r="A217" s="196" t="s">
        <v>5897</v>
      </c>
      <c r="B217" s="196"/>
      <c r="C217" s="196"/>
      <c r="D217" s="196"/>
      <c r="E217" s="196"/>
      <c r="F217" s="196"/>
      <c r="G217" s="196"/>
      <c r="H217" s="196"/>
      <c r="I217" s="196"/>
      <c r="J217" s="196"/>
    </row>
    <row r="218" spans="1:10">
      <c r="A218" s="196"/>
      <c r="B218" s="196"/>
      <c r="C218" s="196"/>
      <c r="D218" s="196"/>
      <c r="E218" s="196"/>
      <c r="F218" s="196"/>
      <c r="G218" s="196"/>
      <c r="H218" s="196"/>
      <c r="I218" s="196"/>
      <c r="J218" s="196"/>
    </row>
    <row r="219" spans="1:10">
      <c r="A219" s="196" t="s">
        <v>5898</v>
      </c>
      <c r="B219" s="196"/>
      <c r="C219" s="196"/>
      <c r="D219" s="196"/>
      <c r="E219" s="196"/>
      <c r="F219" s="196"/>
      <c r="G219" s="196"/>
      <c r="H219" s="196"/>
      <c r="I219" s="196"/>
      <c r="J219" s="196"/>
    </row>
    <row r="220" spans="1:10">
      <c r="A220" s="196"/>
      <c r="B220" s="196"/>
      <c r="C220" s="196"/>
      <c r="D220" s="196"/>
      <c r="E220" s="196"/>
      <c r="F220" s="196"/>
      <c r="G220" s="196"/>
      <c r="H220" s="196"/>
      <c r="I220" s="196"/>
      <c r="J220" s="196"/>
    </row>
    <row r="221" spans="1:10">
      <c r="A221" s="196" t="s">
        <v>5899</v>
      </c>
      <c r="B221" s="196"/>
      <c r="C221" s="196"/>
      <c r="D221" s="196"/>
      <c r="E221" s="196"/>
      <c r="F221" s="196"/>
      <c r="G221" s="196"/>
      <c r="H221" s="196"/>
      <c r="I221" s="196"/>
      <c r="J221" s="196"/>
    </row>
    <row r="222" spans="1:10">
      <c r="A222" s="196"/>
      <c r="B222" s="196"/>
      <c r="C222" s="196"/>
      <c r="D222" s="196"/>
      <c r="E222" s="196"/>
      <c r="F222" s="196"/>
      <c r="G222" s="196"/>
      <c r="H222" s="196"/>
      <c r="I222" s="196"/>
      <c r="J222" s="196"/>
    </row>
    <row r="223" spans="1:10">
      <c r="A223" s="196"/>
      <c r="B223" s="196"/>
      <c r="C223" s="196"/>
      <c r="D223" s="196"/>
      <c r="E223" s="196"/>
      <c r="F223" s="196"/>
      <c r="G223" s="196"/>
      <c r="H223" s="196"/>
      <c r="I223" s="196"/>
      <c r="J223" s="196"/>
    </row>
    <row r="224" spans="1:10">
      <c r="A224" s="196"/>
      <c r="B224" s="196"/>
      <c r="C224" s="196"/>
      <c r="D224" s="196"/>
      <c r="E224" s="196"/>
      <c r="F224" s="196"/>
      <c r="G224" s="196"/>
      <c r="H224" s="196"/>
      <c r="I224" s="196"/>
      <c r="J224" s="196"/>
    </row>
    <row r="225" spans="1:10">
      <c r="A225" s="196" t="s">
        <v>5900</v>
      </c>
      <c r="B225" s="196"/>
      <c r="C225" s="196"/>
      <c r="D225" s="196"/>
      <c r="E225" s="196"/>
      <c r="F225" s="196"/>
      <c r="G225" s="196"/>
      <c r="H225" s="196"/>
      <c r="I225" s="196"/>
      <c r="J225" s="196"/>
    </row>
    <row r="226" spans="1:10">
      <c r="A226" s="196"/>
      <c r="B226" s="196"/>
      <c r="C226" s="196"/>
      <c r="D226" s="196"/>
      <c r="E226" s="196"/>
      <c r="F226" s="196"/>
      <c r="G226" s="196"/>
      <c r="H226" s="196"/>
      <c r="I226" s="196"/>
      <c r="J226" s="196"/>
    </row>
    <row r="227" spans="1:10">
      <c r="A227" s="341"/>
      <c r="B227" s="341"/>
      <c r="C227" s="341"/>
      <c r="D227" s="341"/>
      <c r="E227" s="341"/>
      <c r="F227" s="341"/>
      <c r="G227" s="341"/>
      <c r="H227" s="341"/>
      <c r="I227" s="341"/>
      <c r="J227" s="341"/>
    </row>
    <row r="228" spans="1:10">
      <c r="A228" s="341"/>
      <c r="B228" s="341"/>
      <c r="C228" s="341"/>
      <c r="D228" s="341"/>
      <c r="E228" s="341"/>
      <c r="F228" s="341"/>
      <c r="G228" s="341"/>
      <c r="H228" s="341"/>
      <c r="I228" s="341"/>
      <c r="J228" s="341"/>
    </row>
    <row r="229" spans="1:10">
      <c r="A229" s="341"/>
      <c r="B229" s="341"/>
      <c r="C229" s="341"/>
      <c r="D229" s="341"/>
      <c r="E229" s="341"/>
      <c r="F229" s="341"/>
      <c r="G229" s="341"/>
      <c r="H229" s="341"/>
      <c r="I229" s="341"/>
      <c r="J229" s="341"/>
    </row>
    <row r="230" spans="1:10">
      <c r="A230" s="341"/>
      <c r="B230" s="341"/>
      <c r="C230" s="341"/>
      <c r="D230" s="341"/>
      <c r="E230" s="341"/>
      <c r="F230" s="341"/>
      <c r="G230" s="341"/>
      <c r="H230" s="341"/>
      <c r="I230" s="341"/>
      <c r="J230" s="341"/>
    </row>
    <row r="231" spans="1:10">
      <c r="A231" s="341"/>
      <c r="B231" s="341"/>
      <c r="C231" s="341"/>
      <c r="D231" s="341"/>
      <c r="E231" s="341"/>
      <c r="F231" s="341"/>
      <c r="G231" s="341"/>
      <c r="H231" s="341"/>
      <c r="I231" s="341"/>
      <c r="J231" s="341"/>
    </row>
    <row r="232" spans="1:10">
      <c r="A232" s="341"/>
      <c r="B232" s="341"/>
      <c r="C232" s="341"/>
      <c r="D232" s="341"/>
      <c r="E232" s="341"/>
      <c r="F232" s="341"/>
      <c r="G232" s="341"/>
      <c r="H232" s="341"/>
      <c r="I232" s="341"/>
      <c r="J232" s="341"/>
    </row>
    <row r="233" spans="1:10">
      <c r="A233" s="341"/>
      <c r="B233" s="341"/>
      <c r="C233" s="341"/>
      <c r="D233" s="341"/>
      <c r="E233" s="341"/>
      <c r="F233" s="341"/>
      <c r="G233" s="341"/>
      <c r="H233" s="341"/>
      <c r="I233" s="341"/>
      <c r="J233" s="341"/>
    </row>
    <row r="234" spans="1:10">
      <c r="A234" s="341"/>
      <c r="B234" s="341"/>
      <c r="C234" s="341"/>
      <c r="D234" s="341"/>
      <c r="E234" s="341"/>
      <c r="F234" s="341"/>
      <c r="G234" s="341"/>
      <c r="H234" s="341"/>
      <c r="I234" s="341"/>
      <c r="J234" s="341"/>
    </row>
    <row r="235" spans="1:10">
      <c r="A235" s="341"/>
      <c r="B235" s="341"/>
      <c r="C235" s="341"/>
      <c r="D235" s="341"/>
      <c r="E235" s="341"/>
      <c r="F235" s="341"/>
      <c r="G235" s="341"/>
      <c r="H235" s="341"/>
      <c r="I235" s="341"/>
      <c r="J235" s="341"/>
    </row>
    <row r="236" spans="1:10">
      <c r="A236" s="196"/>
      <c r="B236" s="196"/>
      <c r="C236" s="196"/>
      <c r="D236" s="196"/>
      <c r="E236" s="196"/>
      <c r="F236" s="196"/>
      <c r="G236" s="196"/>
      <c r="H236" s="196"/>
      <c r="I236" s="196"/>
      <c r="J236" s="196"/>
    </row>
    <row r="237" spans="1:10">
      <c r="A237" s="320"/>
      <c r="B237" s="320"/>
      <c r="C237" s="320"/>
      <c r="D237" s="320"/>
      <c r="E237" s="320"/>
      <c r="F237" s="320"/>
      <c r="G237" s="874"/>
      <c r="H237" s="874"/>
      <c r="I237" s="874"/>
      <c r="J237" s="874"/>
    </row>
  </sheetData>
  <mergeCells count="113">
    <mergeCell ref="A90:C90"/>
    <mergeCell ref="A96:C96"/>
    <mergeCell ref="D96:F96"/>
    <mergeCell ref="G105:J105"/>
    <mergeCell ref="A124:B124"/>
    <mergeCell ref="C124:D124"/>
    <mergeCell ref="A126:C126"/>
    <mergeCell ref="G118:J118"/>
    <mergeCell ref="G119:J119"/>
    <mergeCell ref="G120:J120"/>
    <mergeCell ref="F110:J110"/>
    <mergeCell ref="F111:J111"/>
    <mergeCell ref="F112:J112"/>
    <mergeCell ref="F113:J113"/>
    <mergeCell ref="F114:J114"/>
    <mergeCell ref="D117:F117"/>
    <mergeCell ref="C115:D115"/>
    <mergeCell ref="A117:C117"/>
    <mergeCell ref="E115:J115"/>
    <mergeCell ref="G117:J117"/>
    <mergeCell ref="A115:B115"/>
    <mergeCell ref="G126:J126"/>
    <mergeCell ref="G106:J106"/>
    <mergeCell ref="F107:J107"/>
    <mergeCell ref="A1:J1"/>
    <mergeCell ref="A68:C68"/>
    <mergeCell ref="D6:J6"/>
    <mergeCell ref="A15:C15"/>
    <mergeCell ref="A36:C36"/>
    <mergeCell ref="A79:C79"/>
    <mergeCell ref="A8:C8"/>
    <mergeCell ref="A22:C22"/>
    <mergeCell ref="A29:C29"/>
    <mergeCell ref="A43:C43"/>
    <mergeCell ref="A50:C50"/>
    <mergeCell ref="A57:C57"/>
    <mergeCell ref="A105:C105"/>
    <mergeCell ref="G96:J96"/>
    <mergeCell ref="G97:J97"/>
    <mergeCell ref="G98:J98"/>
    <mergeCell ref="G99:J99"/>
    <mergeCell ref="G101:J101"/>
    <mergeCell ref="E103:J103"/>
    <mergeCell ref="G127:J127"/>
    <mergeCell ref="G128:J128"/>
    <mergeCell ref="A103:B103"/>
    <mergeCell ref="F108:J108"/>
    <mergeCell ref="F109:J109"/>
    <mergeCell ref="D105:F105"/>
    <mergeCell ref="G129:J129"/>
    <mergeCell ref="G130:J130"/>
    <mergeCell ref="G121:J121"/>
    <mergeCell ref="G122:J122"/>
    <mergeCell ref="G123:J123"/>
    <mergeCell ref="E124:J124"/>
    <mergeCell ref="G125:J125"/>
    <mergeCell ref="D126:F126"/>
    <mergeCell ref="A144:C144"/>
    <mergeCell ref="B146:J146"/>
    <mergeCell ref="B147:J147"/>
    <mergeCell ref="B148:J148"/>
    <mergeCell ref="B149:J149"/>
    <mergeCell ref="G131:J131"/>
    <mergeCell ref="A132:D133"/>
    <mergeCell ref="E132:J133"/>
    <mergeCell ref="G134:J134"/>
    <mergeCell ref="G135:J135"/>
    <mergeCell ref="A142:B142"/>
    <mergeCell ref="C142:D142"/>
    <mergeCell ref="A134:C134"/>
    <mergeCell ref="D134:F134"/>
    <mergeCell ref="G136:J136"/>
    <mergeCell ref="G137:J137"/>
    <mergeCell ref="G138:J138"/>
    <mergeCell ref="G139:J139"/>
    <mergeCell ref="G140:J140"/>
    <mergeCell ref="G141:J141"/>
    <mergeCell ref="E142:J142"/>
    <mergeCell ref="B156:H156"/>
    <mergeCell ref="B168:D168"/>
    <mergeCell ref="E168:G168"/>
    <mergeCell ref="B169:D169"/>
    <mergeCell ref="E169:G169"/>
    <mergeCell ref="B150:J150"/>
    <mergeCell ref="B151:J151"/>
    <mergeCell ref="B152:J152"/>
    <mergeCell ref="A154:H154"/>
    <mergeCell ref="B155:H155"/>
    <mergeCell ref="B173:D173"/>
    <mergeCell ref="E173:G173"/>
    <mergeCell ref="B174:D174"/>
    <mergeCell ref="E174:G174"/>
    <mergeCell ref="B175:D175"/>
    <mergeCell ref="E175:G175"/>
    <mergeCell ref="B170:D170"/>
    <mergeCell ref="E170:G170"/>
    <mergeCell ref="B171:D171"/>
    <mergeCell ref="E171:G171"/>
    <mergeCell ref="B172:D172"/>
    <mergeCell ref="E172:G172"/>
    <mergeCell ref="G237:J237"/>
    <mergeCell ref="A203:C203"/>
    <mergeCell ref="D203:F203"/>
    <mergeCell ref="G203:J203"/>
    <mergeCell ref="A215:C215"/>
    <mergeCell ref="D215:F215"/>
    <mergeCell ref="G215:J215"/>
    <mergeCell ref="A182:C182"/>
    <mergeCell ref="D182:F182"/>
    <mergeCell ref="G182:J182"/>
    <mergeCell ref="A193:C193"/>
    <mergeCell ref="D193:F193"/>
    <mergeCell ref="G193:J193"/>
  </mergeCells>
  <conditionalFormatting sqref="B98:B102">
    <cfRule type="expression" dxfId="1431" priority="21">
      <formula>B98="Complete"</formula>
    </cfRule>
    <cfRule type="expression" dxfId="1430" priority="22">
      <formula>B98="In Progress"</formula>
    </cfRule>
    <cfRule type="expression" dxfId="1429" priority="23">
      <formula>B98="At Risk"</formula>
    </cfRule>
    <cfRule type="expression" dxfId="1428" priority="24">
      <formula>B98="Blocked"</formula>
    </cfRule>
    <cfRule type="expression" dxfId="1427" priority="25">
      <formula>B98="Not Started"</formula>
    </cfRule>
  </conditionalFormatting>
  <conditionalFormatting sqref="B107:B114">
    <cfRule type="expression" dxfId="1426" priority="1">
      <formula>B107="Complete"</formula>
    </cfRule>
    <cfRule type="expression" dxfId="1425" priority="2">
      <formula>B107="In Progress"</formula>
    </cfRule>
    <cfRule type="expression" dxfId="1424" priority="3">
      <formula>B107="At Risk"</formula>
    </cfRule>
    <cfRule type="expression" dxfId="1423" priority="4">
      <formula>B107="Blocked"</formula>
    </cfRule>
    <cfRule type="expression" dxfId="1422" priority="5">
      <formula>B107="Not Started"</formula>
    </cfRule>
  </conditionalFormatting>
  <conditionalFormatting sqref="B119:B123">
    <cfRule type="expression" dxfId="1421" priority="31">
      <formula>B119="Complete"</formula>
    </cfRule>
    <cfRule type="expression" dxfId="1420" priority="32">
      <formula>B119="In Progress"</formula>
    </cfRule>
    <cfRule type="expression" dxfId="1419" priority="33">
      <formula>B119="At Risk"</formula>
    </cfRule>
    <cfRule type="expression" dxfId="1418" priority="34">
      <formula>B119="Blocked"</formula>
    </cfRule>
    <cfRule type="expression" dxfId="1417" priority="35">
      <formula>B119="Not Started"</formula>
    </cfRule>
  </conditionalFormatting>
  <conditionalFormatting sqref="B128:B131">
    <cfRule type="expression" dxfId="1416" priority="6">
      <formula>B128="Complete"</formula>
    </cfRule>
    <cfRule type="expression" dxfId="1415" priority="7">
      <formula>B128="In Progress"</formula>
    </cfRule>
    <cfRule type="expression" dxfId="1414" priority="8">
      <formula>B128="At Risk"</formula>
    </cfRule>
    <cfRule type="expression" dxfId="1413" priority="9">
      <formula>B128="Blocked"</formula>
    </cfRule>
    <cfRule type="expression" dxfId="1412" priority="10">
      <formula>B128="Not Started"</formula>
    </cfRule>
  </conditionalFormatting>
  <conditionalFormatting sqref="B136:B141">
    <cfRule type="expression" dxfId="1411" priority="11">
      <formula>B136="Complete"</formula>
    </cfRule>
    <cfRule type="expression" dxfId="1410" priority="12">
      <formula>B136="In Progress"</formula>
    </cfRule>
    <cfRule type="expression" dxfId="1409" priority="13">
      <formula>B136="At Risk"</formula>
    </cfRule>
    <cfRule type="expression" dxfId="1408" priority="14">
      <formula>B136="Blocked"</formula>
    </cfRule>
    <cfRule type="expression" dxfId="1407" priority="15">
      <formula>B136="Not Started"</formula>
    </cfRule>
  </conditionalFormatting>
  <conditionalFormatting sqref="B159:B166">
    <cfRule type="expression" dxfId="1406" priority="48">
      <formula>B159="Yes"</formula>
    </cfRule>
    <cfRule type="expression" dxfId="1405" priority="49">
      <formula>B159="N/A"</formula>
    </cfRule>
    <cfRule type="expression" dxfId="1404" priority="50">
      <formula>B159="No"</formula>
    </cfRule>
  </conditionalFormatting>
  <conditionalFormatting sqref="B176:H176">
    <cfRule type="expression" dxfId="1403" priority="51">
      <formula>COUNTIF($B$6:$B$13,"No")=0</formula>
    </cfRule>
    <cfRule type="expression" dxfId="1402" priority="52">
      <formula>COUNTIF($B$6:$B$13,"No")&gt;0</formula>
    </cfRule>
  </conditionalFormatting>
  <conditionalFormatting sqref="C103:D103">
    <cfRule type="dataBar" priority="45">
      <dataBar>
        <cfvo type="num" val="0"/>
        <cfvo type="num" val="1"/>
        <color rgb="FF5B9BD5"/>
      </dataBar>
    </cfRule>
  </conditionalFormatting>
  <conditionalFormatting sqref="C107:D114">
    <cfRule type="expression" dxfId="1401" priority="36">
      <formula>C107="Yes"</formula>
    </cfRule>
    <cfRule type="expression" dxfId="1400" priority="37">
      <formula>C107="No"</formula>
    </cfRule>
    <cfRule type="expression" dxfId="1399" priority="38">
      <formula>C107="N/A"</formula>
    </cfRule>
  </conditionalFormatting>
  <conditionalFormatting sqref="C115:D115">
    <cfRule type="dataBar" priority="46">
      <dataBar>
        <cfvo type="num" val="0"/>
        <cfvo type="num" val="1"/>
        <color rgb="FF5B9BD5"/>
      </dataBar>
    </cfRule>
  </conditionalFormatting>
  <conditionalFormatting sqref="C124:D124">
    <cfRule type="dataBar" priority="47">
      <dataBar>
        <cfvo type="num" val="0"/>
        <cfvo type="num" val="1"/>
        <color rgb="FF5B9BD5"/>
      </dataBar>
    </cfRule>
  </conditionalFormatting>
  <conditionalFormatting sqref="C136:D141">
    <cfRule type="expression" dxfId="1398" priority="16">
      <formula>C136="Yes"</formula>
    </cfRule>
    <cfRule type="expression" dxfId="1397" priority="17">
      <formula>C136="No"</formula>
    </cfRule>
    <cfRule type="expression" dxfId="1396" priority="18">
      <formula>C136="N/A"</formula>
    </cfRule>
  </conditionalFormatting>
  <conditionalFormatting sqref="C142:D142">
    <cfRule type="dataBar" priority="20">
      <dataBar>
        <cfvo type="num" val="0"/>
        <cfvo type="num" val="1"/>
        <color rgb="FF5B9BD5"/>
      </dataBar>
    </cfRule>
  </conditionalFormatting>
  <conditionalFormatting sqref="E5 G5 I5">
    <cfRule type="expression" dxfId="1395" priority="96">
      <formula>E5="Pass"</formula>
    </cfRule>
    <cfRule type="expression" dxfId="1394" priority="97">
      <formula>E5="Verify"</formula>
    </cfRule>
    <cfRule type="expression" dxfId="1393" priority="98">
      <formula>E5="Fail"</formula>
    </cfRule>
    <cfRule type="expression" dxfId="1392" priority="99">
      <formula>E5="Not Started"</formula>
    </cfRule>
  </conditionalFormatting>
  <conditionalFormatting sqref="F3">
    <cfRule type="expression" dxfId="1391" priority="100">
      <formula>F3="Yes"</formula>
    </cfRule>
    <cfRule type="expression" dxfId="1390" priority="101">
      <formula>F3="No"</formula>
    </cfRule>
  </conditionalFormatting>
  <conditionalFormatting sqref="F119:F123">
    <cfRule type="expression" dxfId="1389" priority="42">
      <formula>F119="Pass"</formula>
    </cfRule>
    <cfRule type="expression" dxfId="1388" priority="43">
      <formula>F119="Fail"</formula>
    </cfRule>
    <cfRule type="expression" dxfId="1387" priority="44">
      <formula>F119="Pending"</formula>
    </cfRule>
  </conditionalFormatting>
  <conditionalFormatting sqref="F128:F131">
    <cfRule type="dataBar" priority="19">
      <dataBar>
        <cfvo type="num" val="0"/>
        <cfvo type="num" val="1"/>
        <color rgb="FF5B9BD5"/>
      </dataBar>
    </cfRule>
  </conditionalFormatting>
  <dataValidations count="5">
    <dataValidation type="list" sqref="B5:B6 D5 D70:D77 F5 H5 J5 H10:H20 H144:I145 I16:I20 B17:F17 G17:G20 E18:E20 H147:I152 H21:I95" xr:uid="{00000000-0002-0000-2400-000000000000}">
      <formula1>"Not Started,Verify,Pass,Fail,N/A,Open,Closed,Partial / Yellow"</formula1>
      <formula2>0</formula2>
    </dataValidation>
    <dataValidation type="list" allowBlank="1" sqref="F119:F123" xr:uid="{1A2A0884-B637-4AE1-946D-6944EB04946C}">
      <formula1>"Pending,Pass,Fail,N/A"</formula1>
    </dataValidation>
    <dataValidation type="list" allowBlank="1" sqref="C107:D114 C136:D141" xr:uid="{36C922AE-7223-40A0-AA9B-3621D88CE699}">
      <formula1>"Yes,No,N/A"</formula1>
    </dataValidation>
    <dataValidation type="list" allowBlank="1" sqref="B128:B131 B119:B123" xr:uid="{8140DFF5-F57E-45C4-8A0D-7B1BEA314490}">
      <formula1>"Not Started,In Progress,Complete,At Risk,Blocked"</formula1>
    </dataValidation>
    <dataValidation type="list" sqref="B159:B166" xr:uid="{78BABFD6-104C-42D1-B9DA-4F3B0B5C57F2}">
      <formula1>"No,Yes,N/A"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E3BC61D2-E963-411E-A4C9-EF70BB5C912A}">
          <x14:formula1>
            <xm:f>Lookup_Lists!$A$36:$A$42</xm:f>
          </x14:formula1>
          <xm:sqref>B98:B102 B107:B114 B136:B141</xm:sqref>
        </x14:dataValidation>
        <x14:dataValidation type="list" allowBlank="1" showInputMessage="1" showErrorMessage="1" xr:uid="{1AD243F0-3E77-4989-BFD7-B2A650CB6A79}">
          <x14:formula1>
            <xm:f>Lookup_Lists!$L$37:$L$39</xm:f>
          </x14:formula1>
          <xm:sqref>C119:E123 J2</xm:sqref>
        </x14:dataValidation>
      </x14:dataValidations>
    </ext>
  </extLst>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C0D2A9-5049-4A8D-9406-AF7ED2AB4297}">
  <dimension ref="A1:J249"/>
  <sheetViews>
    <sheetView workbookViewId="0">
      <selection activeCell="D4" sqref="D4"/>
    </sheetView>
  </sheetViews>
  <sheetFormatPr defaultColWidth="8.6640625" defaultRowHeight="14.4"/>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6640625" style="8" customWidth="1"/>
    <col min="13" max="16384" width="8.6640625" style="8"/>
  </cols>
  <sheetData>
    <row r="1" spans="1:10">
      <c r="A1" s="851" t="s">
        <v>1093</v>
      </c>
      <c r="B1" s="839"/>
      <c r="C1" s="839"/>
      <c r="D1" s="839"/>
      <c r="E1" s="839"/>
      <c r="F1" s="839"/>
      <c r="G1" s="839"/>
      <c r="H1" s="839"/>
      <c r="I1" s="839"/>
      <c r="J1" s="839"/>
    </row>
    <row r="2" spans="1:10" s="227" customFormat="1">
      <c r="A2" s="223" t="s">
        <v>142</v>
      </c>
      <c r="B2" s="224" t="s">
        <v>604</v>
      </c>
      <c r="C2" s="223" t="s">
        <v>902</v>
      </c>
      <c r="D2" s="224" t="s">
        <v>1094</v>
      </c>
      <c r="E2" s="223" t="s">
        <v>151</v>
      </c>
      <c r="F2" s="224" t="s">
        <v>1095</v>
      </c>
      <c r="G2" s="223" t="s">
        <v>174</v>
      </c>
      <c r="H2" s="225">
        <v>0.5</v>
      </c>
      <c r="I2" s="223" t="s">
        <v>154</v>
      </c>
      <c r="J2" s="226" t="s">
        <v>1096</v>
      </c>
    </row>
    <row r="3" spans="1:10" s="231" customFormat="1" ht="27.6">
      <c r="A3" s="223" t="s">
        <v>903</v>
      </c>
      <c r="B3" s="228">
        <v>46199.573885648148</v>
      </c>
      <c r="C3" s="229" t="s">
        <v>904</v>
      </c>
      <c r="D3" s="230" t="s">
        <v>721</v>
      </c>
      <c r="E3" s="223" t="s">
        <v>905</v>
      </c>
      <c r="F3" s="230" t="s">
        <v>1097</v>
      </c>
      <c r="G3" s="223" t="s">
        <v>907</v>
      </c>
      <c r="H3" s="230" t="s">
        <v>908</v>
      </c>
      <c r="I3" s="223" t="s">
        <v>551</v>
      </c>
      <c r="J3" s="230" t="s">
        <v>1098</v>
      </c>
    </row>
    <row r="4" spans="1:10" s="231" customFormat="1" ht="358.8">
      <c r="A4" s="223" t="s">
        <v>161</v>
      </c>
      <c r="B4" s="230">
        <v>0</v>
      </c>
      <c r="C4" s="223" t="s">
        <v>199</v>
      </c>
      <c r="D4" s="230">
        <v>0</v>
      </c>
      <c r="E4" s="223" t="s">
        <v>179</v>
      </c>
      <c r="F4" s="230">
        <v>0</v>
      </c>
      <c r="G4" s="223" t="s">
        <v>870</v>
      </c>
      <c r="H4" s="232" t="s">
        <v>1099</v>
      </c>
      <c r="I4" s="233"/>
      <c r="J4" s="233"/>
    </row>
    <row r="5" spans="1:10" s="231" customFormat="1">
      <c r="A5" s="234" t="s">
        <v>911</v>
      </c>
      <c r="B5" s="225" t="s">
        <v>484</v>
      </c>
      <c r="C5" s="235" t="s">
        <v>912</v>
      </c>
      <c r="D5" s="225" t="s">
        <v>484</v>
      </c>
      <c r="E5" s="236" t="s">
        <v>913</v>
      </c>
      <c r="F5" s="225" t="s">
        <v>484</v>
      </c>
      <c r="G5" s="237" t="s">
        <v>914</v>
      </c>
      <c r="H5" s="225" t="s">
        <v>484</v>
      </c>
      <c r="I5" s="237" t="s">
        <v>915</v>
      </c>
      <c r="J5" s="225" t="s">
        <v>484</v>
      </c>
    </row>
    <row r="6" spans="1:10" s="231" customFormat="1" ht="35.25" customHeight="1">
      <c r="A6" s="238" t="s">
        <v>916</v>
      </c>
      <c r="B6" s="225" t="s">
        <v>484</v>
      </c>
      <c r="C6" s="239" t="s">
        <v>869</v>
      </c>
      <c r="D6" s="854" t="s">
        <v>1100</v>
      </c>
      <c r="E6" s="854"/>
      <c r="F6" s="854"/>
      <c r="G6" s="854"/>
      <c r="H6" s="854"/>
      <c r="I6" s="854"/>
      <c r="J6" s="854"/>
    </row>
    <row r="7" spans="1:10">
      <c r="A7" s="13"/>
      <c r="B7" s="13"/>
      <c r="C7" s="13"/>
      <c r="D7" s="13"/>
      <c r="E7" s="13"/>
      <c r="F7" s="13"/>
      <c r="G7" s="13"/>
      <c r="H7" s="13"/>
      <c r="I7" s="13"/>
      <c r="J7" s="13"/>
    </row>
    <row r="8" spans="1:10">
      <c r="A8" s="842" t="s">
        <v>918</v>
      </c>
      <c r="B8" s="839"/>
      <c r="C8" s="839"/>
      <c r="D8" s="85"/>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124.2">
      <c r="A10" s="13" t="s">
        <v>604</v>
      </c>
      <c r="B10" s="13" t="s">
        <v>682</v>
      </c>
      <c r="C10" s="13" t="s">
        <v>919</v>
      </c>
      <c r="D10" s="13" t="s">
        <v>1101</v>
      </c>
      <c r="E10" s="13" t="s">
        <v>356</v>
      </c>
      <c r="F10" s="13">
        <v>2</v>
      </c>
      <c r="G10" s="13">
        <v>1</v>
      </c>
      <c r="H10" s="13" t="s">
        <v>677</v>
      </c>
      <c r="I10" s="13" t="s">
        <v>1102</v>
      </c>
      <c r="J10" s="13" t="s">
        <v>1103</v>
      </c>
    </row>
    <row r="11" spans="1:10" ht="110.4">
      <c r="A11" s="13" t="s">
        <v>604</v>
      </c>
      <c r="B11" s="13" t="s">
        <v>683</v>
      </c>
      <c r="C11" s="13" t="s">
        <v>933</v>
      </c>
      <c r="D11" s="13" t="s">
        <v>1104</v>
      </c>
      <c r="E11" s="13" t="s">
        <v>356</v>
      </c>
      <c r="F11" s="13">
        <v>2</v>
      </c>
      <c r="G11" s="13">
        <v>1</v>
      </c>
      <c r="H11" s="13" t="s">
        <v>677</v>
      </c>
      <c r="I11" s="13" t="s">
        <v>1105</v>
      </c>
      <c r="J11" s="13" t="s">
        <v>1106</v>
      </c>
    </row>
    <row r="12" spans="1:10" ht="82.8">
      <c r="A12" s="13" t="s">
        <v>604</v>
      </c>
      <c r="B12" s="13" t="s">
        <v>684</v>
      </c>
      <c r="C12" s="13" t="s">
        <v>1107</v>
      </c>
      <c r="D12" s="13" t="s">
        <v>1108</v>
      </c>
      <c r="E12" s="13" t="s">
        <v>356</v>
      </c>
      <c r="F12" s="13">
        <v>2</v>
      </c>
      <c r="G12" s="13">
        <v>1</v>
      </c>
      <c r="H12" s="13" t="s">
        <v>677</v>
      </c>
      <c r="I12" s="13" t="s">
        <v>1109</v>
      </c>
      <c r="J12" s="13" t="s">
        <v>1110</v>
      </c>
    </row>
    <row r="13" spans="1:10" ht="82.8">
      <c r="A13" s="13" t="s">
        <v>604</v>
      </c>
      <c r="B13" s="13" t="s">
        <v>1111</v>
      </c>
      <c r="C13" s="13" t="s">
        <v>923</v>
      </c>
      <c r="D13" s="13" t="s">
        <v>1112</v>
      </c>
      <c r="E13" s="13" t="s">
        <v>925</v>
      </c>
      <c r="F13" s="13">
        <v>1</v>
      </c>
      <c r="G13" s="13">
        <v>0</v>
      </c>
      <c r="H13" s="13" t="s">
        <v>677</v>
      </c>
      <c r="I13" s="13" t="s">
        <v>1113</v>
      </c>
      <c r="J13" s="13" t="s">
        <v>1114</v>
      </c>
    </row>
    <row r="14" spans="1:10" ht="69">
      <c r="A14" s="13" t="s">
        <v>604</v>
      </c>
      <c r="B14" s="13" t="s">
        <v>1115</v>
      </c>
      <c r="C14" s="13" t="s">
        <v>1116</v>
      </c>
      <c r="D14" s="13" t="s">
        <v>1117</v>
      </c>
      <c r="E14" s="13" t="s">
        <v>1118</v>
      </c>
      <c r="F14" s="13">
        <v>4</v>
      </c>
      <c r="G14" s="13">
        <v>0</v>
      </c>
      <c r="H14" s="13" t="s">
        <v>677</v>
      </c>
      <c r="I14" s="13" t="s">
        <v>1119</v>
      </c>
      <c r="J14" s="13" t="s">
        <v>1120</v>
      </c>
    </row>
    <row r="15" spans="1:10">
      <c r="A15" s="13"/>
      <c r="B15" s="13"/>
      <c r="C15" s="13"/>
      <c r="D15" s="13"/>
      <c r="E15" s="13"/>
      <c r="F15" s="13"/>
      <c r="G15" s="13"/>
      <c r="H15" s="13"/>
      <c r="I15" s="13"/>
      <c r="J15" s="13"/>
    </row>
    <row r="16" spans="1:10">
      <c r="A16" s="842" t="s">
        <v>936</v>
      </c>
      <c r="B16" s="839"/>
      <c r="C16" s="839"/>
      <c r="D16" s="85"/>
      <c r="E16" s="85"/>
      <c r="F16" s="85"/>
      <c r="G16" s="85"/>
      <c r="H16" s="85"/>
      <c r="I16" s="85"/>
      <c r="J16" s="85"/>
    </row>
    <row r="17" spans="1:10">
      <c r="A17" s="50" t="s">
        <v>275</v>
      </c>
      <c r="B17" s="50" t="s">
        <v>937</v>
      </c>
      <c r="C17" s="50" t="s">
        <v>938</v>
      </c>
      <c r="D17" s="50" t="s">
        <v>939</v>
      </c>
      <c r="E17" s="50" t="s">
        <v>940</v>
      </c>
      <c r="F17" s="50" t="s">
        <v>941</v>
      </c>
      <c r="G17" s="50" t="s">
        <v>942</v>
      </c>
      <c r="H17" s="50" t="s">
        <v>943</v>
      </c>
      <c r="I17" s="50" t="s">
        <v>899</v>
      </c>
      <c r="J17" s="50" t="s">
        <v>944</v>
      </c>
    </row>
    <row r="18" spans="1:10" ht="82.8">
      <c r="A18" s="13" t="s">
        <v>682</v>
      </c>
      <c r="B18" s="13" t="s">
        <v>677</v>
      </c>
      <c r="C18" s="13" t="s">
        <v>677</v>
      </c>
      <c r="D18" s="13" t="s">
        <v>677</v>
      </c>
      <c r="E18" s="13" t="s">
        <v>677</v>
      </c>
      <c r="F18" s="13" t="s">
        <v>677</v>
      </c>
      <c r="G18" s="13" t="s">
        <v>677</v>
      </c>
      <c r="H18" s="13" t="s">
        <v>677</v>
      </c>
      <c r="I18" s="13" t="s">
        <v>677</v>
      </c>
      <c r="J18" s="13" t="s">
        <v>1121</v>
      </c>
    </row>
    <row r="19" spans="1:10" ht="69">
      <c r="A19" s="13" t="s">
        <v>683</v>
      </c>
      <c r="B19" s="13" t="s">
        <v>677</v>
      </c>
      <c r="C19" s="13" t="s">
        <v>677</v>
      </c>
      <c r="D19" s="13" t="s">
        <v>677</v>
      </c>
      <c r="E19" s="13" t="s">
        <v>677</v>
      </c>
      <c r="F19" s="13" t="s">
        <v>677</v>
      </c>
      <c r="G19" s="13" t="s">
        <v>677</v>
      </c>
      <c r="H19" s="13" t="s">
        <v>677</v>
      </c>
      <c r="I19" s="13" t="s">
        <v>677</v>
      </c>
      <c r="J19" s="13" t="s">
        <v>1122</v>
      </c>
    </row>
    <row r="20" spans="1:10" ht="55.2">
      <c r="A20" s="13" t="s">
        <v>684</v>
      </c>
      <c r="B20" s="13" t="s">
        <v>677</v>
      </c>
      <c r="C20" s="13" t="s">
        <v>677</v>
      </c>
      <c r="D20" s="13" t="s">
        <v>677</v>
      </c>
      <c r="E20" s="13" t="s">
        <v>677</v>
      </c>
      <c r="F20" s="13" t="s">
        <v>677</v>
      </c>
      <c r="G20" s="13" t="s">
        <v>677</v>
      </c>
      <c r="H20" s="13" t="s">
        <v>677</v>
      </c>
      <c r="I20" s="13" t="s">
        <v>677</v>
      </c>
      <c r="J20" s="13" t="s">
        <v>1123</v>
      </c>
    </row>
    <row r="21" spans="1:10" ht="69">
      <c r="A21" s="13" t="s">
        <v>1124</v>
      </c>
      <c r="B21" s="13" t="s">
        <v>946</v>
      </c>
      <c r="C21" s="13" t="s">
        <v>946</v>
      </c>
      <c r="D21" s="13" t="s">
        <v>946</v>
      </c>
      <c r="E21" s="13" t="s">
        <v>677</v>
      </c>
      <c r="F21" s="13" t="s">
        <v>947</v>
      </c>
      <c r="G21" s="13" t="s">
        <v>677</v>
      </c>
      <c r="H21" s="13" t="s">
        <v>677</v>
      </c>
      <c r="I21" s="13" t="s">
        <v>677</v>
      </c>
      <c r="J21" s="13" t="s">
        <v>1125</v>
      </c>
    </row>
    <row r="22" spans="1:10">
      <c r="A22" s="13"/>
      <c r="B22" s="13"/>
      <c r="C22" s="13"/>
      <c r="D22" s="13"/>
      <c r="E22" s="13"/>
      <c r="F22" s="13"/>
      <c r="G22" s="13"/>
      <c r="H22" s="13"/>
      <c r="I22" s="13"/>
      <c r="J22" s="13"/>
    </row>
    <row r="23" spans="1:10">
      <c r="A23" s="842" t="s">
        <v>951</v>
      </c>
      <c r="B23" s="839"/>
      <c r="C23" s="839"/>
      <c r="D23" s="85"/>
      <c r="E23" s="85"/>
      <c r="F23" s="85"/>
      <c r="G23" s="85"/>
      <c r="H23" s="85"/>
      <c r="I23" s="85"/>
      <c r="J23" s="85"/>
    </row>
    <row r="24" spans="1:10">
      <c r="A24" s="50" t="s">
        <v>275</v>
      </c>
      <c r="B24" s="50" t="s">
        <v>952</v>
      </c>
      <c r="C24" s="50" t="s">
        <v>953</v>
      </c>
      <c r="D24" s="50" t="s">
        <v>954</v>
      </c>
      <c r="E24" s="50" t="s">
        <v>955</v>
      </c>
      <c r="F24" s="50" t="s">
        <v>956</v>
      </c>
      <c r="G24" s="50" t="s">
        <v>957</v>
      </c>
      <c r="H24" s="50" t="s">
        <v>958</v>
      </c>
      <c r="I24" s="50" t="s">
        <v>899</v>
      </c>
      <c r="J24" s="50" t="s">
        <v>959</v>
      </c>
    </row>
    <row r="25" spans="1:10" ht="82.8">
      <c r="A25" s="13" t="s">
        <v>682</v>
      </c>
      <c r="B25" s="13" t="s">
        <v>677</v>
      </c>
      <c r="C25" s="13" t="s">
        <v>677</v>
      </c>
      <c r="D25" s="13" t="s">
        <v>677</v>
      </c>
      <c r="E25" s="13" t="s">
        <v>677</v>
      </c>
      <c r="F25" s="13" t="s">
        <v>677</v>
      </c>
      <c r="G25" s="13" t="s">
        <v>677</v>
      </c>
      <c r="H25" s="13" t="s">
        <v>677</v>
      </c>
      <c r="I25" s="13" t="s">
        <v>677</v>
      </c>
      <c r="J25" s="13" t="s">
        <v>1126</v>
      </c>
    </row>
    <row r="26" spans="1:10" ht="55.2">
      <c r="A26" s="13" t="s">
        <v>683</v>
      </c>
      <c r="B26" s="13" t="s">
        <v>677</v>
      </c>
      <c r="C26" s="13" t="s">
        <v>677</v>
      </c>
      <c r="D26" s="13" t="s">
        <v>677</v>
      </c>
      <c r="E26" s="13" t="s">
        <v>677</v>
      </c>
      <c r="F26" s="13" t="s">
        <v>677</v>
      </c>
      <c r="G26" s="13" t="s">
        <v>677</v>
      </c>
      <c r="H26" s="13" t="s">
        <v>677</v>
      </c>
      <c r="I26" s="13" t="s">
        <v>677</v>
      </c>
      <c r="J26" s="13" t="s">
        <v>1127</v>
      </c>
    </row>
    <row r="27" spans="1:10" ht="41.4">
      <c r="A27" s="13" t="s">
        <v>684</v>
      </c>
      <c r="B27" s="13" t="s">
        <v>677</v>
      </c>
      <c r="C27" s="13" t="s">
        <v>677</v>
      </c>
      <c r="D27" s="13" t="s">
        <v>677</v>
      </c>
      <c r="E27" s="13" t="s">
        <v>677</v>
      </c>
      <c r="F27" s="13" t="s">
        <v>677</v>
      </c>
      <c r="G27" s="13" t="s">
        <v>677</v>
      </c>
      <c r="H27" s="13" t="s">
        <v>677</v>
      </c>
      <c r="I27" s="13" t="s">
        <v>677</v>
      </c>
      <c r="J27" s="13" t="s">
        <v>1128</v>
      </c>
    </row>
    <row r="28" spans="1:10" ht="41.4">
      <c r="A28" s="13" t="s">
        <v>1124</v>
      </c>
      <c r="B28" s="13" t="s">
        <v>946</v>
      </c>
      <c r="C28" s="13" t="s">
        <v>679</v>
      </c>
      <c r="D28" s="13" t="s">
        <v>947</v>
      </c>
      <c r="E28" s="13" t="s">
        <v>947</v>
      </c>
      <c r="F28" s="13" t="s">
        <v>677</v>
      </c>
      <c r="G28" s="13" t="s">
        <v>677</v>
      </c>
      <c r="H28" s="13" t="s">
        <v>677</v>
      </c>
      <c r="I28" s="13" t="s">
        <v>677</v>
      </c>
      <c r="J28" s="13" t="s">
        <v>1129</v>
      </c>
    </row>
    <row r="29" spans="1:10">
      <c r="A29" s="13"/>
      <c r="B29" s="13"/>
      <c r="C29" s="13"/>
      <c r="D29" s="13"/>
      <c r="E29" s="13"/>
      <c r="F29" s="13"/>
      <c r="G29" s="13"/>
      <c r="H29" s="13"/>
      <c r="I29" s="13"/>
      <c r="J29" s="13"/>
    </row>
    <row r="30" spans="1:10">
      <c r="A30" s="842" t="s">
        <v>964</v>
      </c>
      <c r="B30" s="839"/>
      <c r="C30" s="839"/>
      <c r="D30" s="85"/>
      <c r="E30" s="85"/>
      <c r="F30" s="85"/>
      <c r="G30" s="85"/>
      <c r="H30" s="85"/>
      <c r="I30" s="85"/>
      <c r="J30" s="85"/>
    </row>
    <row r="31" spans="1:10">
      <c r="A31" s="50" t="s">
        <v>275</v>
      </c>
      <c r="B31" s="50" t="s">
        <v>965</v>
      </c>
      <c r="C31" s="50" t="s">
        <v>966</v>
      </c>
      <c r="D31" s="50" t="s">
        <v>967</v>
      </c>
      <c r="E31" s="50" t="s">
        <v>968</v>
      </c>
      <c r="F31" s="50" t="s">
        <v>969</v>
      </c>
      <c r="G31" s="50" t="s">
        <v>970</v>
      </c>
      <c r="H31" s="50" t="s">
        <v>971</v>
      </c>
      <c r="I31" s="50" t="s">
        <v>899</v>
      </c>
      <c r="J31" s="50" t="s">
        <v>959</v>
      </c>
    </row>
    <row r="32" spans="1:10" ht="96.6">
      <c r="A32" s="13" t="s">
        <v>682</v>
      </c>
      <c r="B32" s="13" t="s">
        <v>1130</v>
      </c>
      <c r="C32" s="13" t="s">
        <v>677</v>
      </c>
      <c r="D32" s="13" t="s">
        <v>677</v>
      </c>
      <c r="E32" s="13" t="s">
        <v>677</v>
      </c>
      <c r="F32" s="13" t="s">
        <v>677</v>
      </c>
      <c r="G32" s="13" t="s">
        <v>677</v>
      </c>
      <c r="H32" s="13" t="s">
        <v>677</v>
      </c>
      <c r="I32" s="13" t="s">
        <v>677</v>
      </c>
      <c r="J32" s="13" t="s">
        <v>1131</v>
      </c>
    </row>
    <row r="33" spans="1:10" ht="55.2">
      <c r="A33" s="13" t="s">
        <v>683</v>
      </c>
      <c r="B33" s="13" t="s">
        <v>1132</v>
      </c>
      <c r="C33" s="13" t="s">
        <v>677</v>
      </c>
      <c r="D33" s="13" t="s">
        <v>677</v>
      </c>
      <c r="E33" s="13" t="s">
        <v>677</v>
      </c>
      <c r="F33" s="13" t="s">
        <v>677</v>
      </c>
      <c r="G33" s="13" t="s">
        <v>677</v>
      </c>
      <c r="H33" s="13" t="s">
        <v>677</v>
      </c>
      <c r="I33" s="13" t="s">
        <v>677</v>
      </c>
      <c r="J33" s="13" t="s">
        <v>1133</v>
      </c>
    </row>
    <row r="34" spans="1:10" ht="55.2">
      <c r="A34" s="13" t="s">
        <v>684</v>
      </c>
      <c r="B34" s="13" t="s">
        <v>1134</v>
      </c>
      <c r="C34" s="13" t="s">
        <v>677</v>
      </c>
      <c r="D34" s="13" t="s">
        <v>677</v>
      </c>
      <c r="E34" s="13" t="s">
        <v>677</v>
      </c>
      <c r="F34" s="13" t="s">
        <v>677</v>
      </c>
      <c r="G34" s="13" t="s">
        <v>677</v>
      </c>
      <c r="H34" s="13" t="s">
        <v>677</v>
      </c>
      <c r="I34" s="13" t="s">
        <v>677</v>
      </c>
      <c r="J34" s="13" t="s">
        <v>1135</v>
      </c>
    </row>
    <row r="35" spans="1:10" ht="55.2">
      <c r="A35" s="13" t="s">
        <v>1124</v>
      </c>
      <c r="B35" s="13" t="s">
        <v>946</v>
      </c>
      <c r="C35" s="13" t="s">
        <v>677</v>
      </c>
      <c r="D35" s="13" t="s">
        <v>677</v>
      </c>
      <c r="E35" s="13" t="s">
        <v>677</v>
      </c>
      <c r="F35" s="13" t="s">
        <v>677</v>
      </c>
      <c r="G35" s="13" t="s">
        <v>677</v>
      </c>
      <c r="H35" s="13" t="s">
        <v>677</v>
      </c>
      <c r="I35" s="13" t="s">
        <v>677</v>
      </c>
      <c r="J35" s="13" t="s">
        <v>1136</v>
      </c>
    </row>
    <row r="36" spans="1:10">
      <c r="A36" s="13"/>
      <c r="B36" s="13"/>
      <c r="C36" s="13"/>
      <c r="D36" s="13"/>
      <c r="E36" s="13"/>
      <c r="F36" s="13"/>
      <c r="G36" s="13"/>
      <c r="H36" s="13"/>
      <c r="I36" s="13"/>
      <c r="J36" s="13"/>
    </row>
    <row r="37" spans="1:10">
      <c r="A37" s="842" t="s">
        <v>977</v>
      </c>
      <c r="B37" s="839"/>
      <c r="C37" s="839"/>
      <c r="D37" s="85"/>
      <c r="E37" s="85"/>
      <c r="F37" s="85"/>
      <c r="G37" s="85"/>
      <c r="H37" s="85"/>
      <c r="I37" s="85"/>
      <c r="J37" s="85"/>
    </row>
    <row r="38" spans="1:10">
      <c r="A38" s="50" t="s">
        <v>275</v>
      </c>
      <c r="B38" s="50" t="s">
        <v>978</v>
      </c>
      <c r="C38" s="50" t="s">
        <v>979</v>
      </c>
      <c r="D38" s="50" t="s">
        <v>980</v>
      </c>
      <c r="E38" s="50" t="s">
        <v>981</v>
      </c>
      <c r="F38" s="50" t="s">
        <v>982</v>
      </c>
      <c r="G38" s="50" t="s">
        <v>983</v>
      </c>
      <c r="H38" s="50" t="s">
        <v>984</v>
      </c>
      <c r="I38" s="50" t="s">
        <v>899</v>
      </c>
      <c r="J38" s="50" t="s">
        <v>11</v>
      </c>
    </row>
    <row r="39" spans="1:10" ht="82.8">
      <c r="A39" s="13" t="s">
        <v>682</v>
      </c>
      <c r="B39" s="13" t="s">
        <v>677</v>
      </c>
      <c r="C39" s="13" t="s">
        <v>985</v>
      </c>
      <c r="D39" s="13" t="s">
        <v>677</v>
      </c>
      <c r="E39" s="13" t="s">
        <v>677</v>
      </c>
      <c r="F39" s="13" t="s">
        <v>1137</v>
      </c>
      <c r="G39" s="13" t="s">
        <v>677</v>
      </c>
      <c r="H39" s="13" t="s">
        <v>677</v>
      </c>
      <c r="I39" s="13" t="s">
        <v>677</v>
      </c>
      <c r="J39" s="13" t="s">
        <v>1138</v>
      </c>
    </row>
    <row r="40" spans="1:10" ht="69">
      <c r="A40" s="13" t="s">
        <v>683</v>
      </c>
      <c r="B40" s="13" t="s">
        <v>677</v>
      </c>
      <c r="C40" s="13" t="s">
        <v>985</v>
      </c>
      <c r="D40" s="13" t="s">
        <v>677</v>
      </c>
      <c r="E40" s="13" t="s">
        <v>677</v>
      </c>
      <c r="F40" s="13" t="s">
        <v>1139</v>
      </c>
      <c r="G40" s="13" t="s">
        <v>677</v>
      </c>
      <c r="H40" s="13" t="s">
        <v>677</v>
      </c>
      <c r="I40" s="13" t="s">
        <v>677</v>
      </c>
      <c r="J40" s="13" t="s">
        <v>1140</v>
      </c>
    </row>
    <row r="41" spans="1:10" ht="55.2">
      <c r="A41" s="13" t="s">
        <v>684</v>
      </c>
      <c r="B41" s="13" t="s">
        <v>677</v>
      </c>
      <c r="C41" s="13" t="s">
        <v>985</v>
      </c>
      <c r="D41" s="13" t="s">
        <v>677</v>
      </c>
      <c r="E41" s="13" t="s">
        <v>677</v>
      </c>
      <c r="F41" s="13" t="s">
        <v>1141</v>
      </c>
      <c r="G41" s="13" t="s">
        <v>677</v>
      </c>
      <c r="H41" s="13" t="s">
        <v>677</v>
      </c>
      <c r="I41" s="13" t="s">
        <v>677</v>
      </c>
      <c r="J41" s="13" t="s">
        <v>1142</v>
      </c>
    </row>
    <row r="42" spans="1:10" ht="41.4">
      <c r="A42" s="13" t="s">
        <v>1124</v>
      </c>
      <c r="B42" s="13" t="s">
        <v>946</v>
      </c>
      <c r="C42" s="13" t="s">
        <v>946</v>
      </c>
      <c r="D42" s="13" t="s">
        <v>946</v>
      </c>
      <c r="E42" s="13" t="s">
        <v>677</v>
      </c>
      <c r="F42" s="13" t="s">
        <v>946</v>
      </c>
      <c r="G42" s="13" t="s">
        <v>677</v>
      </c>
      <c r="H42" s="13" t="s">
        <v>677</v>
      </c>
      <c r="I42" s="13" t="s">
        <v>677</v>
      </c>
      <c r="J42" s="13" t="s">
        <v>1143</v>
      </c>
    </row>
    <row r="43" spans="1:10">
      <c r="A43" s="13"/>
      <c r="B43" s="13"/>
      <c r="C43" s="13"/>
      <c r="D43" s="13"/>
      <c r="E43" s="13"/>
      <c r="F43" s="13"/>
      <c r="G43" s="13"/>
      <c r="H43" s="13"/>
      <c r="I43" s="13"/>
      <c r="J43" s="13"/>
    </row>
    <row r="44" spans="1:10">
      <c r="A44" s="842" t="s">
        <v>994</v>
      </c>
      <c r="B44" s="839"/>
      <c r="C44" s="839"/>
      <c r="D44" s="85"/>
      <c r="E44" s="85"/>
      <c r="F44" s="85"/>
      <c r="G44" s="85"/>
      <c r="H44" s="85"/>
      <c r="I44" s="85"/>
      <c r="J44" s="85"/>
    </row>
    <row r="45" spans="1:10">
      <c r="A45" s="50" t="s">
        <v>275</v>
      </c>
      <c r="B45" s="50" t="s">
        <v>995</v>
      </c>
      <c r="C45" s="50" t="s">
        <v>996</v>
      </c>
      <c r="D45" s="50" t="s">
        <v>997</v>
      </c>
      <c r="E45" s="50" t="s">
        <v>998</v>
      </c>
      <c r="F45" s="50" t="s">
        <v>999</v>
      </c>
      <c r="G45" s="50" t="s">
        <v>1000</v>
      </c>
      <c r="H45" s="50" t="s">
        <v>1001</v>
      </c>
      <c r="I45" s="50" t="s">
        <v>899</v>
      </c>
      <c r="J45" s="50" t="s">
        <v>11</v>
      </c>
    </row>
    <row r="46" spans="1:10" ht="82.8">
      <c r="A46" s="13" t="s">
        <v>682</v>
      </c>
      <c r="B46" s="13" t="s">
        <v>677</v>
      </c>
      <c r="C46" s="13" t="s">
        <v>677</v>
      </c>
      <c r="D46" s="13" t="s">
        <v>677</v>
      </c>
      <c r="E46" s="13" t="s">
        <v>677</v>
      </c>
      <c r="F46" s="13" t="s">
        <v>677</v>
      </c>
      <c r="G46" s="13" t="s">
        <v>677</v>
      </c>
      <c r="H46" s="13" t="s">
        <v>677</v>
      </c>
      <c r="I46" s="13" t="s">
        <v>677</v>
      </c>
      <c r="J46" s="13" t="s">
        <v>1144</v>
      </c>
    </row>
    <row r="47" spans="1:10" ht="82.8">
      <c r="A47" s="13" t="s">
        <v>683</v>
      </c>
      <c r="B47" s="13" t="s">
        <v>677</v>
      </c>
      <c r="C47" s="13" t="s">
        <v>677</v>
      </c>
      <c r="D47" s="13" t="s">
        <v>677</v>
      </c>
      <c r="E47" s="13" t="s">
        <v>677</v>
      </c>
      <c r="F47" s="13" t="s">
        <v>677</v>
      </c>
      <c r="G47" s="13" t="s">
        <v>677</v>
      </c>
      <c r="H47" s="13" t="s">
        <v>677</v>
      </c>
      <c r="I47" s="13" t="s">
        <v>677</v>
      </c>
      <c r="J47" s="13" t="s">
        <v>1145</v>
      </c>
    </row>
    <row r="48" spans="1:10" ht="69">
      <c r="A48" s="13" t="s">
        <v>684</v>
      </c>
      <c r="B48" s="13" t="s">
        <v>677</v>
      </c>
      <c r="C48" s="13" t="s">
        <v>677</v>
      </c>
      <c r="D48" s="13" t="s">
        <v>677</v>
      </c>
      <c r="E48" s="13" t="s">
        <v>677</v>
      </c>
      <c r="F48" s="13" t="s">
        <v>677</v>
      </c>
      <c r="G48" s="13" t="s">
        <v>677</v>
      </c>
      <c r="H48" s="13" t="s">
        <v>677</v>
      </c>
      <c r="I48" s="13" t="s">
        <v>677</v>
      </c>
      <c r="J48" s="13" t="s">
        <v>1146</v>
      </c>
    </row>
    <row r="49" spans="1:10" ht="55.2">
      <c r="A49" s="13" t="s">
        <v>1124</v>
      </c>
      <c r="B49" s="13" t="s">
        <v>1003</v>
      </c>
      <c r="C49" s="13" t="s">
        <v>988</v>
      </c>
      <c r="D49" s="13" t="s">
        <v>988</v>
      </c>
      <c r="E49" s="13" t="s">
        <v>677</v>
      </c>
      <c r="F49" s="13" t="s">
        <v>677</v>
      </c>
      <c r="G49" s="13" t="s">
        <v>677</v>
      </c>
      <c r="H49" s="13" t="s">
        <v>677</v>
      </c>
      <c r="I49" s="13" t="s">
        <v>677</v>
      </c>
      <c r="J49" s="13" t="s">
        <v>1147</v>
      </c>
    </row>
    <row r="50" spans="1:10">
      <c r="A50" s="13"/>
      <c r="B50" s="13"/>
      <c r="C50" s="13"/>
      <c r="D50" s="13"/>
      <c r="E50" s="13"/>
      <c r="F50" s="13"/>
      <c r="G50" s="13"/>
      <c r="H50" s="13"/>
      <c r="I50" s="13"/>
      <c r="J50" s="13"/>
    </row>
    <row r="51" spans="1:10">
      <c r="A51" s="842" t="s">
        <v>1007</v>
      </c>
      <c r="B51" s="839"/>
      <c r="C51" s="839"/>
      <c r="D51" s="85"/>
      <c r="E51" s="85"/>
      <c r="F51" s="85"/>
      <c r="G51" s="85"/>
      <c r="H51" s="85"/>
      <c r="I51" s="85"/>
      <c r="J51" s="85"/>
    </row>
    <row r="52" spans="1:10">
      <c r="A52" s="50" t="s">
        <v>275</v>
      </c>
      <c r="B52" s="50" t="s">
        <v>1008</v>
      </c>
      <c r="C52" s="50" t="s">
        <v>1009</v>
      </c>
      <c r="D52" s="50" t="s">
        <v>1010</v>
      </c>
      <c r="E52" s="50" t="s">
        <v>1011</v>
      </c>
      <c r="F52" s="50" t="s">
        <v>1012</v>
      </c>
      <c r="G52" s="50" t="s">
        <v>1013</v>
      </c>
      <c r="H52" s="50" t="s">
        <v>1014</v>
      </c>
      <c r="I52" s="50" t="s">
        <v>899</v>
      </c>
      <c r="J52" s="50" t="s">
        <v>11</v>
      </c>
    </row>
    <row r="53" spans="1:10" ht="82.8">
      <c r="A53" s="13" t="s">
        <v>682</v>
      </c>
      <c r="B53" s="13" t="s">
        <v>677</v>
      </c>
      <c r="C53" s="13" t="s">
        <v>677</v>
      </c>
      <c r="D53" s="13" t="s">
        <v>677</v>
      </c>
      <c r="E53" s="13" t="s">
        <v>677</v>
      </c>
      <c r="F53" s="13" t="s">
        <v>677</v>
      </c>
      <c r="G53" s="13" t="s">
        <v>677</v>
      </c>
      <c r="H53" s="13" t="s">
        <v>677</v>
      </c>
      <c r="I53" s="13" t="s">
        <v>677</v>
      </c>
      <c r="J53" s="13" t="s">
        <v>1148</v>
      </c>
    </row>
    <row r="54" spans="1:10" ht="55.2">
      <c r="A54" s="13" t="s">
        <v>683</v>
      </c>
      <c r="B54" s="13" t="s">
        <v>677</v>
      </c>
      <c r="C54" s="13" t="s">
        <v>677</v>
      </c>
      <c r="D54" s="13" t="s">
        <v>677</v>
      </c>
      <c r="E54" s="13" t="s">
        <v>677</v>
      </c>
      <c r="F54" s="13" t="s">
        <v>677</v>
      </c>
      <c r="G54" s="13" t="s">
        <v>677</v>
      </c>
      <c r="H54" s="13" t="s">
        <v>677</v>
      </c>
      <c r="I54" s="13" t="s">
        <v>677</v>
      </c>
      <c r="J54" s="13" t="s">
        <v>1149</v>
      </c>
    </row>
    <row r="55" spans="1:10" ht="41.4">
      <c r="A55" s="13" t="s">
        <v>684</v>
      </c>
      <c r="B55" s="13" t="s">
        <v>677</v>
      </c>
      <c r="C55" s="13" t="s">
        <v>677</v>
      </c>
      <c r="D55" s="13" t="s">
        <v>677</v>
      </c>
      <c r="E55" s="13" t="s">
        <v>677</v>
      </c>
      <c r="F55" s="13" t="s">
        <v>677</v>
      </c>
      <c r="G55" s="13" t="s">
        <v>677</v>
      </c>
      <c r="H55" s="13" t="s">
        <v>677</v>
      </c>
      <c r="I55" s="13" t="s">
        <v>677</v>
      </c>
      <c r="J55" s="13" t="s">
        <v>1150</v>
      </c>
    </row>
    <row r="56" spans="1:10" ht="41.4">
      <c r="A56" s="13" t="s">
        <v>1124</v>
      </c>
      <c r="B56" s="13" t="s">
        <v>946</v>
      </c>
      <c r="C56" s="13" t="s">
        <v>946</v>
      </c>
      <c r="D56" s="13" t="s">
        <v>946</v>
      </c>
      <c r="E56" s="13" t="s">
        <v>946</v>
      </c>
      <c r="F56" s="13" t="s">
        <v>947</v>
      </c>
      <c r="G56" s="13" t="s">
        <v>947</v>
      </c>
      <c r="H56" s="13" t="s">
        <v>677</v>
      </c>
      <c r="I56" s="13" t="s">
        <v>677</v>
      </c>
      <c r="J56" s="13" t="s">
        <v>1151</v>
      </c>
    </row>
    <row r="57" spans="1:10">
      <c r="A57" s="13"/>
      <c r="B57" s="13"/>
      <c r="C57" s="13"/>
      <c r="D57" s="13"/>
      <c r="E57" s="13"/>
      <c r="F57" s="13"/>
      <c r="G57" s="13"/>
      <c r="H57" s="13"/>
      <c r="I57" s="13"/>
      <c r="J57" s="13"/>
    </row>
    <row r="58" spans="1:10">
      <c r="A58" s="842" t="s">
        <v>1019</v>
      </c>
      <c r="B58" s="839"/>
      <c r="C58" s="839"/>
      <c r="D58" s="85"/>
      <c r="E58" s="85"/>
      <c r="F58" s="85"/>
      <c r="G58" s="85"/>
      <c r="H58" s="85"/>
      <c r="I58" s="85"/>
      <c r="J58" s="85"/>
    </row>
    <row r="59" spans="1:10">
      <c r="A59" s="50" t="s">
        <v>213</v>
      </c>
      <c r="B59" s="50" t="s">
        <v>275</v>
      </c>
      <c r="C59" s="50" t="s">
        <v>573</v>
      </c>
      <c r="D59" s="50" t="s">
        <v>215</v>
      </c>
      <c r="E59" s="50" t="s">
        <v>257</v>
      </c>
      <c r="F59" s="50" t="s">
        <v>572</v>
      </c>
      <c r="G59" s="50" t="s">
        <v>259</v>
      </c>
      <c r="H59" s="50" t="s">
        <v>216</v>
      </c>
      <c r="I59" s="50" t="s">
        <v>77</v>
      </c>
      <c r="J59" s="50" t="s">
        <v>11</v>
      </c>
    </row>
    <row r="60" spans="1:10" ht="69">
      <c r="A60" s="13" t="s">
        <v>1152</v>
      </c>
      <c r="B60" s="13" t="s">
        <v>575</v>
      </c>
      <c r="C60" s="13" t="s">
        <v>1153</v>
      </c>
      <c r="D60" s="13" t="s">
        <v>391</v>
      </c>
      <c r="E60" s="13" t="s">
        <v>488</v>
      </c>
      <c r="F60" s="13">
        <v>6</v>
      </c>
      <c r="G60" s="13" t="s">
        <v>1022</v>
      </c>
      <c r="H60" s="13" t="s">
        <v>1023</v>
      </c>
      <c r="I60" s="13" t="s">
        <v>502</v>
      </c>
      <c r="J60" s="13" t="s">
        <v>1154</v>
      </c>
    </row>
    <row r="61" spans="1:10" ht="82.8">
      <c r="A61" s="13" t="s">
        <v>605</v>
      </c>
      <c r="B61" s="13" t="s">
        <v>606</v>
      </c>
      <c r="C61" s="13" t="s">
        <v>607</v>
      </c>
      <c r="D61" s="13" t="s">
        <v>492</v>
      </c>
      <c r="E61" s="13" t="s">
        <v>488</v>
      </c>
      <c r="F61" s="13">
        <v>8</v>
      </c>
      <c r="G61" s="13" t="s">
        <v>1025</v>
      </c>
      <c r="H61" s="13" t="s">
        <v>584</v>
      </c>
      <c r="I61" s="13" t="s">
        <v>502</v>
      </c>
      <c r="J61" s="13" t="s">
        <v>1155</v>
      </c>
    </row>
    <row r="62" spans="1:10" ht="82.8">
      <c r="A62" s="13" t="s">
        <v>612</v>
      </c>
      <c r="B62" s="13" t="s">
        <v>613</v>
      </c>
      <c r="C62" s="13" t="s">
        <v>614</v>
      </c>
      <c r="D62" s="13" t="s">
        <v>492</v>
      </c>
      <c r="E62" s="13" t="s">
        <v>488</v>
      </c>
      <c r="F62" s="13">
        <v>8</v>
      </c>
      <c r="G62" s="13" t="s">
        <v>1156</v>
      </c>
      <c r="H62" s="13" t="s">
        <v>592</v>
      </c>
      <c r="I62" s="13" t="s">
        <v>502</v>
      </c>
      <c r="J62" s="13" t="s">
        <v>1157</v>
      </c>
    </row>
    <row r="63" spans="1:10" ht="69">
      <c r="A63" s="13" t="s">
        <v>1158</v>
      </c>
      <c r="B63" s="13" t="s">
        <v>1159</v>
      </c>
      <c r="C63" s="13" t="s">
        <v>1160</v>
      </c>
      <c r="D63" s="13" t="s">
        <v>391</v>
      </c>
      <c r="E63" s="13" t="s">
        <v>488</v>
      </c>
      <c r="F63" s="13">
        <v>6</v>
      </c>
      <c r="G63" s="13" t="s">
        <v>1161</v>
      </c>
      <c r="H63" s="13" t="s">
        <v>1032</v>
      </c>
      <c r="I63" s="13" t="s">
        <v>502</v>
      </c>
      <c r="J63" s="13" t="s">
        <v>1162</v>
      </c>
    </row>
    <row r="64" spans="1:10" ht="69">
      <c r="A64" s="13" t="s">
        <v>1163</v>
      </c>
      <c r="B64" s="13" t="s">
        <v>575</v>
      </c>
      <c r="C64" s="13" t="s">
        <v>1164</v>
      </c>
      <c r="D64" s="13" t="s">
        <v>391</v>
      </c>
      <c r="E64" s="13" t="s">
        <v>488</v>
      </c>
      <c r="F64" s="13">
        <v>6</v>
      </c>
      <c r="G64" s="13" t="s">
        <v>1036</v>
      </c>
      <c r="H64" s="13" t="s">
        <v>1037</v>
      </c>
      <c r="I64" s="13" t="s">
        <v>502</v>
      </c>
      <c r="J64" s="13" t="s">
        <v>1165</v>
      </c>
    </row>
    <row r="65" spans="1:10" ht="82.8">
      <c r="A65" s="13" t="s">
        <v>619</v>
      </c>
      <c r="B65" s="13" t="s">
        <v>575</v>
      </c>
      <c r="C65" s="13" t="s">
        <v>620</v>
      </c>
      <c r="D65" s="13" t="s">
        <v>492</v>
      </c>
      <c r="E65" s="13" t="s">
        <v>488</v>
      </c>
      <c r="F65" s="13">
        <v>8</v>
      </c>
      <c r="G65" s="13" t="s">
        <v>1039</v>
      </c>
      <c r="H65" s="13" t="s">
        <v>584</v>
      </c>
      <c r="I65" s="13" t="s">
        <v>502</v>
      </c>
      <c r="J65" s="13" t="s">
        <v>1166</v>
      </c>
    </row>
    <row r="66" spans="1:10" ht="82.8">
      <c r="A66" s="13" t="s">
        <v>1167</v>
      </c>
      <c r="B66" s="13" t="s">
        <v>613</v>
      </c>
      <c r="C66" s="13" t="s">
        <v>1042</v>
      </c>
      <c r="D66" s="13" t="s">
        <v>391</v>
      </c>
      <c r="E66" s="13" t="s">
        <v>488</v>
      </c>
      <c r="F66" s="13">
        <v>6</v>
      </c>
      <c r="G66" s="13" t="s">
        <v>1168</v>
      </c>
      <c r="H66" s="13" t="s">
        <v>1044</v>
      </c>
      <c r="I66" s="13" t="s">
        <v>502</v>
      </c>
      <c r="J66" s="13" t="s">
        <v>1169</v>
      </c>
    </row>
    <row r="67" spans="1:10" ht="82.8">
      <c r="A67" s="13" t="s">
        <v>1170</v>
      </c>
      <c r="B67" s="13" t="s">
        <v>575</v>
      </c>
      <c r="C67" s="13" t="s">
        <v>1047</v>
      </c>
      <c r="D67" s="13" t="s">
        <v>391</v>
      </c>
      <c r="E67" s="13" t="s">
        <v>488</v>
      </c>
      <c r="F67" s="13">
        <v>6</v>
      </c>
      <c r="G67" s="13" t="s">
        <v>1048</v>
      </c>
      <c r="H67" s="13" t="s">
        <v>1049</v>
      </c>
      <c r="I67" s="13" t="s">
        <v>502</v>
      </c>
      <c r="J67" s="13" t="s">
        <v>1171</v>
      </c>
    </row>
    <row r="68" spans="1:10">
      <c r="A68" s="13"/>
      <c r="B68" s="13"/>
      <c r="C68" s="13"/>
      <c r="D68" s="13"/>
      <c r="E68" s="13"/>
      <c r="F68" s="13"/>
      <c r="G68" s="13"/>
      <c r="H68" s="13"/>
      <c r="I68" s="13"/>
      <c r="J68" s="13"/>
    </row>
    <row r="69" spans="1:10">
      <c r="A69" s="842" t="s">
        <v>1051</v>
      </c>
      <c r="B69" s="839"/>
      <c r="C69" s="839"/>
      <c r="D69" s="85"/>
      <c r="E69" s="85"/>
      <c r="F69" s="85"/>
      <c r="G69" s="85"/>
      <c r="H69" s="85"/>
      <c r="I69" s="85"/>
      <c r="J69" s="85"/>
    </row>
    <row r="70" spans="1:10">
      <c r="A70" s="50" t="s">
        <v>221</v>
      </c>
      <c r="B70" s="50" t="s">
        <v>222</v>
      </c>
      <c r="C70" s="50" t="s">
        <v>265</v>
      </c>
      <c r="D70" s="50" t="s">
        <v>77</v>
      </c>
      <c r="E70" s="50" t="s">
        <v>878</v>
      </c>
      <c r="F70" s="50" t="s">
        <v>879</v>
      </c>
      <c r="G70" s="50" t="s">
        <v>880</v>
      </c>
      <c r="H70" s="50" t="s">
        <v>494</v>
      </c>
      <c r="I70" s="50" t="s">
        <v>881</v>
      </c>
      <c r="J70" s="50" t="s">
        <v>11</v>
      </c>
    </row>
    <row r="71" spans="1:10" ht="82.8">
      <c r="A71" s="13" t="s">
        <v>635</v>
      </c>
      <c r="B71" s="13" t="s">
        <v>636</v>
      </c>
      <c r="C71" s="13" t="s">
        <v>579</v>
      </c>
      <c r="D71" s="13" t="s">
        <v>502</v>
      </c>
      <c r="E71" s="13"/>
      <c r="F71" s="13"/>
      <c r="G71" s="13" t="s">
        <v>580</v>
      </c>
      <c r="H71" s="13"/>
      <c r="I71" s="13"/>
      <c r="J71" s="13"/>
    </row>
    <row r="72" spans="1:10" ht="55.2">
      <c r="A72" s="13" t="s">
        <v>639</v>
      </c>
      <c r="B72" s="13" t="s">
        <v>640</v>
      </c>
      <c r="C72" s="13" t="s">
        <v>587</v>
      </c>
      <c r="D72" s="13" t="s">
        <v>502</v>
      </c>
      <c r="E72" s="13"/>
      <c r="F72" s="13"/>
      <c r="G72" s="13" t="s">
        <v>588</v>
      </c>
      <c r="H72" s="13"/>
      <c r="I72" s="13"/>
      <c r="J72" s="13"/>
    </row>
    <row r="73" spans="1:10" ht="82.8">
      <c r="A73" s="13" t="s">
        <v>645</v>
      </c>
      <c r="B73" s="13" t="s">
        <v>646</v>
      </c>
      <c r="C73" s="13" t="s">
        <v>595</v>
      </c>
      <c r="D73" s="13" t="s">
        <v>502</v>
      </c>
      <c r="E73" s="13"/>
      <c r="F73" s="13"/>
      <c r="G73" s="13" t="s">
        <v>596</v>
      </c>
      <c r="H73" s="13"/>
      <c r="I73" s="13"/>
      <c r="J73" s="13"/>
    </row>
    <row r="74" spans="1:10" ht="69">
      <c r="A74" s="13" t="s">
        <v>650</v>
      </c>
      <c r="B74" s="13" t="s">
        <v>651</v>
      </c>
      <c r="C74" s="13" t="s">
        <v>601</v>
      </c>
      <c r="D74" s="13" t="s">
        <v>502</v>
      </c>
      <c r="E74" s="13"/>
      <c r="F74" s="13"/>
      <c r="G74" s="13" t="s">
        <v>602</v>
      </c>
      <c r="H74" s="13"/>
      <c r="I74" s="13"/>
      <c r="J74" s="13"/>
    </row>
    <row r="75" spans="1:10" ht="96.6">
      <c r="A75" s="13" t="s">
        <v>1172</v>
      </c>
      <c r="B75" s="13" t="s">
        <v>1173</v>
      </c>
      <c r="C75" s="13" t="s">
        <v>609</v>
      </c>
      <c r="D75" s="13" t="s">
        <v>502</v>
      </c>
      <c r="E75" s="13"/>
      <c r="F75" s="13"/>
      <c r="G75" s="13" t="s">
        <v>610</v>
      </c>
      <c r="H75" s="13"/>
      <c r="I75" s="13"/>
      <c r="J75" s="13"/>
    </row>
    <row r="76" spans="1:10" ht="96.6">
      <c r="A76" s="13" t="s">
        <v>1174</v>
      </c>
      <c r="B76" s="13" t="s">
        <v>1175</v>
      </c>
      <c r="C76" s="13" t="s">
        <v>616</v>
      </c>
      <c r="D76" s="13" t="s">
        <v>502</v>
      </c>
      <c r="E76" s="13"/>
      <c r="F76" s="13"/>
      <c r="G76" s="13" t="s">
        <v>617</v>
      </c>
      <c r="H76" s="13"/>
      <c r="I76" s="13"/>
      <c r="J76" s="13"/>
    </row>
    <row r="77" spans="1:10" ht="96.6">
      <c r="A77" s="13" t="s">
        <v>1176</v>
      </c>
      <c r="B77" s="13" t="s">
        <v>624</v>
      </c>
      <c r="C77" s="13" t="s">
        <v>622</v>
      </c>
      <c r="D77" s="13" t="s">
        <v>502</v>
      </c>
      <c r="E77" s="13"/>
      <c r="F77" s="13"/>
      <c r="G77" s="13" t="s">
        <v>623</v>
      </c>
      <c r="H77" s="13"/>
      <c r="I77" s="13"/>
      <c r="J77" s="13"/>
    </row>
    <row r="78" spans="1:10" ht="82.8">
      <c r="A78" s="13" t="s">
        <v>1177</v>
      </c>
      <c r="B78" s="13" t="s">
        <v>632</v>
      </c>
      <c r="C78" s="13" t="s">
        <v>630</v>
      </c>
      <c r="D78" s="13" t="s">
        <v>502</v>
      </c>
      <c r="E78" s="13"/>
      <c r="F78" s="13"/>
      <c r="G78" s="13" t="s">
        <v>631</v>
      </c>
      <c r="H78" s="13"/>
      <c r="I78" s="13"/>
      <c r="J78" s="13"/>
    </row>
    <row r="79" spans="1:10">
      <c r="A79" s="13"/>
      <c r="B79" s="13"/>
      <c r="C79" s="13"/>
      <c r="D79" s="13"/>
      <c r="E79" s="13"/>
      <c r="F79" s="13"/>
      <c r="G79" s="13"/>
      <c r="H79" s="13"/>
      <c r="I79" s="13"/>
      <c r="J79" s="13"/>
    </row>
    <row r="80" spans="1:10">
      <c r="A80" s="842" t="s">
        <v>1052</v>
      </c>
      <c r="B80" s="839"/>
      <c r="C80" s="839"/>
      <c r="D80" s="85"/>
      <c r="E80" s="85"/>
      <c r="F80" s="85"/>
      <c r="G80" s="85"/>
      <c r="H80" s="85"/>
      <c r="I80" s="85"/>
      <c r="J80" s="85"/>
    </row>
    <row r="81" spans="1:10">
      <c r="A81" s="50" t="s">
        <v>291</v>
      </c>
      <c r="B81" s="50" t="s">
        <v>275</v>
      </c>
      <c r="C81" s="50" t="s">
        <v>493</v>
      </c>
      <c r="D81" s="50" t="s">
        <v>214</v>
      </c>
      <c r="E81" s="50" t="s">
        <v>263</v>
      </c>
      <c r="F81" s="50" t="s">
        <v>891</v>
      </c>
      <c r="G81" s="50" t="s">
        <v>892</v>
      </c>
      <c r="H81" s="50" t="s">
        <v>893</v>
      </c>
      <c r="I81" s="50" t="s">
        <v>77</v>
      </c>
      <c r="J81" s="50" t="s">
        <v>11</v>
      </c>
    </row>
    <row r="82" spans="1:10" ht="110.4">
      <c r="A82" s="13" t="s">
        <v>1178</v>
      </c>
      <c r="B82" s="13" t="s">
        <v>682</v>
      </c>
      <c r="C82" s="13" t="s">
        <v>1054</v>
      </c>
      <c r="D82" s="13" t="s">
        <v>1179</v>
      </c>
      <c r="E82" s="13"/>
      <c r="F82" s="13" t="s">
        <v>229</v>
      </c>
      <c r="G82" s="13"/>
      <c r="H82" s="13" t="s">
        <v>1180</v>
      </c>
      <c r="I82" s="13" t="s">
        <v>502</v>
      </c>
      <c r="J82" s="13"/>
    </row>
    <row r="83" spans="1:10" ht="110.4">
      <c r="A83" s="13" t="s">
        <v>1181</v>
      </c>
      <c r="B83" s="13" t="s">
        <v>683</v>
      </c>
      <c r="C83" s="13" t="s">
        <v>1054</v>
      </c>
      <c r="D83" s="13" t="s">
        <v>1182</v>
      </c>
      <c r="E83" s="13"/>
      <c r="F83" s="13" t="s">
        <v>229</v>
      </c>
      <c r="G83" s="13"/>
      <c r="H83" s="13" t="s">
        <v>1183</v>
      </c>
      <c r="I83" s="13" t="s">
        <v>502</v>
      </c>
      <c r="J83" s="13"/>
    </row>
    <row r="84" spans="1:10" ht="96.6">
      <c r="A84" s="13" t="s">
        <v>1184</v>
      </c>
      <c r="B84" s="13" t="s">
        <v>684</v>
      </c>
      <c r="C84" s="13" t="s">
        <v>1054</v>
      </c>
      <c r="D84" s="13" t="s">
        <v>1185</v>
      </c>
      <c r="E84" s="13"/>
      <c r="F84" s="13" t="s">
        <v>229</v>
      </c>
      <c r="G84" s="13"/>
      <c r="H84" s="13" t="s">
        <v>1186</v>
      </c>
      <c r="I84" s="13" t="s">
        <v>502</v>
      </c>
      <c r="J84" s="13"/>
    </row>
    <row r="85" spans="1:10" ht="82.8">
      <c r="A85" s="13" t="s">
        <v>1187</v>
      </c>
      <c r="B85" s="13" t="s">
        <v>1111</v>
      </c>
      <c r="C85" s="13" t="s">
        <v>1058</v>
      </c>
      <c r="D85" s="13" t="s">
        <v>1188</v>
      </c>
      <c r="E85" s="13"/>
      <c r="F85" s="13" t="s">
        <v>229</v>
      </c>
      <c r="G85" s="13"/>
      <c r="H85" s="13" t="s">
        <v>605</v>
      </c>
      <c r="I85" s="13" t="s">
        <v>502</v>
      </c>
      <c r="J85" s="13"/>
    </row>
    <row r="86" spans="1:10" ht="124.2">
      <c r="A86" s="13" t="s">
        <v>1189</v>
      </c>
      <c r="B86" s="13" t="s">
        <v>1115</v>
      </c>
      <c r="C86" s="13" t="s">
        <v>1058</v>
      </c>
      <c r="D86" s="13" t="s">
        <v>1190</v>
      </c>
      <c r="E86" s="13"/>
      <c r="F86" s="13" t="s">
        <v>229</v>
      </c>
      <c r="G86" s="13"/>
      <c r="H86" s="13" t="s">
        <v>1191</v>
      </c>
      <c r="I86" s="13" t="s">
        <v>502</v>
      </c>
      <c r="J86" s="13"/>
    </row>
    <row r="87" spans="1:10" ht="124.2">
      <c r="A87" s="13" t="s">
        <v>1192</v>
      </c>
      <c r="B87" s="13" t="s">
        <v>1159</v>
      </c>
      <c r="C87" s="13" t="s">
        <v>1193</v>
      </c>
      <c r="D87" s="13" t="s">
        <v>1194</v>
      </c>
      <c r="E87" s="13"/>
      <c r="F87" s="13" t="s">
        <v>229</v>
      </c>
      <c r="G87" s="13"/>
      <c r="H87" s="13" t="s">
        <v>1195</v>
      </c>
      <c r="I87" s="13" t="s">
        <v>502</v>
      </c>
      <c r="J87" s="13"/>
    </row>
    <row r="88" spans="1:10" ht="110.4">
      <c r="A88" s="13" t="s">
        <v>1196</v>
      </c>
      <c r="B88" s="13" t="s">
        <v>575</v>
      </c>
      <c r="C88" s="13" t="s">
        <v>1072</v>
      </c>
      <c r="D88" s="13" t="s">
        <v>1197</v>
      </c>
      <c r="E88" s="13"/>
      <c r="F88" s="13" t="s">
        <v>229</v>
      </c>
      <c r="G88" s="13"/>
      <c r="H88" s="13" t="s">
        <v>1163</v>
      </c>
      <c r="I88" s="13" t="s">
        <v>502</v>
      </c>
      <c r="J88" s="13"/>
    </row>
    <row r="89" spans="1:10" ht="82.8">
      <c r="A89" s="13" t="s">
        <v>1198</v>
      </c>
      <c r="B89" s="13" t="s">
        <v>1159</v>
      </c>
      <c r="C89" s="13" t="s">
        <v>1076</v>
      </c>
      <c r="D89" s="13" t="s">
        <v>1199</v>
      </c>
      <c r="E89" s="13"/>
      <c r="F89" s="13" t="s">
        <v>229</v>
      </c>
      <c r="G89" s="13"/>
      <c r="H89" s="13" t="s">
        <v>1200</v>
      </c>
      <c r="I89" s="13" t="s">
        <v>502</v>
      </c>
      <c r="J89" s="13"/>
    </row>
    <row r="90" spans="1:10">
      <c r="A90" s="13"/>
      <c r="B90" s="13"/>
      <c r="C90" s="13"/>
      <c r="D90" s="13"/>
      <c r="E90" s="13"/>
      <c r="F90" s="13"/>
      <c r="G90" s="13"/>
      <c r="H90" s="13"/>
      <c r="I90" s="13"/>
      <c r="J90" s="13"/>
    </row>
    <row r="91" spans="1:10">
      <c r="A91" s="842" t="s">
        <v>1079</v>
      </c>
      <c r="B91" s="839"/>
      <c r="C91" s="839"/>
      <c r="D91" s="85"/>
      <c r="E91" s="85"/>
      <c r="F91" s="85"/>
      <c r="G91" s="85"/>
      <c r="H91" s="85"/>
      <c r="I91" s="85"/>
      <c r="J91" s="85"/>
    </row>
    <row r="92" spans="1:10">
      <c r="A92" s="50" t="s">
        <v>275</v>
      </c>
      <c r="B92" s="50" t="s">
        <v>895</v>
      </c>
      <c r="C92" s="50" t="s">
        <v>896</v>
      </c>
      <c r="D92" s="50" t="s">
        <v>148</v>
      </c>
      <c r="E92" s="50" t="s">
        <v>153</v>
      </c>
      <c r="F92" s="50" t="s">
        <v>155</v>
      </c>
      <c r="G92" s="50" t="s">
        <v>491</v>
      </c>
      <c r="H92" s="50" t="s">
        <v>897</v>
      </c>
      <c r="I92" s="50" t="s">
        <v>174</v>
      </c>
      <c r="J92" s="50" t="s">
        <v>11</v>
      </c>
    </row>
    <row r="93" spans="1:10" ht="55.2">
      <c r="A93" s="13" t="s">
        <v>682</v>
      </c>
      <c r="B93" s="13">
        <v>0.5</v>
      </c>
      <c r="C93" s="13">
        <v>0.5</v>
      </c>
      <c r="D93" s="13">
        <v>0.5</v>
      </c>
      <c r="E93" s="13">
        <v>0.5</v>
      </c>
      <c r="F93" s="13">
        <v>0.5</v>
      </c>
      <c r="G93" s="13" t="s">
        <v>677</v>
      </c>
      <c r="H93" s="13">
        <v>0.5</v>
      </c>
      <c r="I93" s="13" t="s">
        <v>1201</v>
      </c>
      <c r="J93" s="13" t="s">
        <v>1202</v>
      </c>
    </row>
    <row r="94" spans="1:10" ht="55.2">
      <c r="A94" s="13" t="s">
        <v>683</v>
      </c>
      <c r="B94" s="13">
        <v>0.5</v>
      </c>
      <c r="C94" s="13">
        <v>0.5</v>
      </c>
      <c r="D94" s="13">
        <v>0.5</v>
      </c>
      <c r="E94" s="13">
        <v>0.5</v>
      </c>
      <c r="F94" s="13">
        <v>0.5</v>
      </c>
      <c r="G94" s="13" t="s">
        <v>677</v>
      </c>
      <c r="H94" s="13">
        <v>0.5</v>
      </c>
      <c r="I94" s="13" t="s">
        <v>1201</v>
      </c>
      <c r="J94" s="13" t="s">
        <v>1203</v>
      </c>
    </row>
    <row r="95" spans="1:10" ht="55.2">
      <c r="A95" s="13" t="s">
        <v>684</v>
      </c>
      <c r="B95" s="13">
        <v>0.5</v>
      </c>
      <c r="C95" s="13">
        <v>0.5</v>
      </c>
      <c r="D95" s="13">
        <v>0.5</v>
      </c>
      <c r="E95" s="13">
        <v>0.5</v>
      </c>
      <c r="F95" s="13">
        <v>0.5</v>
      </c>
      <c r="G95" s="13" t="s">
        <v>677</v>
      </c>
      <c r="H95" s="13">
        <v>0.5</v>
      </c>
      <c r="I95" s="13" t="s">
        <v>1201</v>
      </c>
      <c r="J95" s="13" t="s">
        <v>1204</v>
      </c>
    </row>
    <row r="96" spans="1:10" ht="41.4">
      <c r="A96" s="13" t="s">
        <v>1124</v>
      </c>
      <c r="B96" s="13">
        <v>0.5</v>
      </c>
      <c r="C96" s="13">
        <v>0.5</v>
      </c>
      <c r="D96" s="13">
        <v>0.5</v>
      </c>
      <c r="E96" s="13">
        <v>0.5</v>
      </c>
      <c r="F96" s="13">
        <v>0.5</v>
      </c>
      <c r="G96" s="13" t="s">
        <v>677</v>
      </c>
      <c r="H96" s="13">
        <v>0.5</v>
      </c>
      <c r="I96" s="13" t="s">
        <v>1201</v>
      </c>
      <c r="J96" s="13" t="s">
        <v>1205</v>
      </c>
    </row>
    <row r="97" spans="1:10">
      <c r="A97" s="13"/>
      <c r="B97" s="13"/>
      <c r="C97" s="13"/>
      <c r="D97" s="13"/>
      <c r="E97" s="13"/>
      <c r="F97" s="13"/>
      <c r="G97" s="13"/>
      <c r="H97" s="13"/>
      <c r="I97" s="13"/>
      <c r="J97" s="13"/>
    </row>
    <row r="98" spans="1:10">
      <c r="A98" s="842" t="s">
        <v>1085</v>
      </c>
      <c r="B98" s="839"/>
      <c r="C98" s="839"/>
      <c r="D98" s="85"/>
      <c r="E98" s="85"/>
      <c r="F98" s="85"/>
      <c r="G98" s="85"/>
      <c r="H98" s="85"/>
      <c r="I98" s="85"/>
      <c r="J98" s="85"/>
    </row>
    <row r="99" spans="1:10" ht="55.2">
      <c r="A99" s="50" t="s">
        <v>905</v>
      </c>
      <c r="B99" s="50" t="s">
        <v>1206</v>
      </c>
      <c r="C99" s="50"/>
      <c r="D99" s="50"/>
      <c r="E99" s="50"/>
      <c r="F99" s="50"/>
      <c r="G99" s="50"/>
      <c r="H99" s="50"/>
      <c r="I99" s="50"/>
      <c r="J99" s="50"/>
    </row>
    <row r="100" spans="1:10">
      <c r="A100" s="13" t="s">
        <v>1086</v>
      </c>
      <c r="B100" s="852" t="s">
        <v>1207</v>
      </c>
      <c r="C100" s="839"/>
      <c r="D100" s="839"/>
      <c r="E100" s="839"/>
      <c r="F100" s="839"/>
      <c r="G100" s="839"/>
      <c r="H100" s="839"/>
      <c r="I100" s="839"/>
      <c r="J100" s="839"/>
    </row>
    <row r="101" spans="1:10" ht="27.6">
      <c r="A101" s="13" t="s">
        <v>1087</v>
      </c>
      <c r="B101" s="852" t="s">
        <v>1208</v>
      </c>
      <c r="C101" s="839"/>
      <c r="D101" s="839"/>
      <c r="E101" s="839"/>
      <c r="F101" s="839"/>
      <c r="G101" s="839"/>
      <c r="H101" s="839"/>
      <c r="I101" s="839"/>
      <c r="J101" s="839"/>
    </row>
    <row r="102" spans="1:10">
      <c r="A102" s="13" t="s">
        <v>1088</v>
      </c>
      <c r="B102" s="852" t="s">
        <v>1209</v>
      </c>
      <c r="C102" s="839"/>
      <c r="D102" s="839"/>
      <c r="E102" s="839"/>
      <c r="F102" s="839"/>
      <c r="G102" s="839"/>
      <c r="H102" s="839"/>
      <c r="I102" s="839"/>
      <c r="J102" s="839"/>
    </row>
    <row r="103" spans="1:10">
      <c r="A103" s="13" t="s">
        <v>1210</v>
      </c>
      <c r="B103" s="852" t="s">
        <v>1211</v>
      </c>
      <c r="C103" s="839"/>
      <c r="D103" s="839"/>
      <c r="E103" s="839"/>
      <c r="F103" s="839"/>
      <c r="G103" s="839"/>
      <c r="H103" s="839"/>
      <c r="I103" s="839"/>
      <c r="J103" s="839"/>
    </row>
    <row r="104" spans="1:10">
      <c r="A104" s="13" t="s">
        <v>1090</v>
      </c>
      <c r="B104" s="852" t="s">
        <v>1212</v>
      </c>
      <c r="C104" s="839"/>
      <c r="D104" s="839"/>
      <c r="E104" s="839"/>
      <c r="F104" s="839"/>
      <c r="G104" s="839"/>
      <c r="H104" s="839"/>
      <c r="I104" s="839"/>
      <c r="J104" s="839"/>
    </row>
    <row r="105" spans="1:10" ht="27.6">
      <c r="A105" s="13" t="s">
        <v>1091</v>
      </c>
      <c r="B105" s="852" t="s">
        <v>1213</v>
      </c>
      <c r="C105" s="839"/>
      <c r="D105" s="839"/>
      <c r="E105" s="839"/>
      <c r="F105" s="839"/>
      <c r="G105" s="839"/>
      <c r="H105" s="839"/>
      <c r="I105" s="839"/>
      <c r="J105" s="839"/>
    </row>
    <row r="106" spans="1:10">
      <c r="A106" s="13" t="s">
        <v>1092</v>
      </c>
      <c r="B106" s="852" t="s">
        <v>1214</v>
      </c>
      <c r="C106" s="839"/>
      <c r="D106" s="839"/>
      <c r="E106" s="839"/>
      <c r="F106" s="839"/>
      <c r="G106" s="839"/>
      <c r="H106" s="839"/>
      <c r="I106" s="839"/>
      <c r="J106" s="839"/>
    </row>
    <row r="107" spans="1:10" ht="15" thickBot="1"/>
    <row r="108" spans="1:10" ht="15" customHeight="1">
      <c r="A108" s="855" t="s">
        <v>5875</v>
      </c>
      <c r="B108" s="856"/>
      <c r="C108" s="856"/>
      <c r="D108" s="857"/>
      <c r="E108" s="856"/>
      <c r="F108" s="856"/>
      <c r="G108" s="857"/>
      <c r="H108" s="857"/>
      <c r="I108" s="857"/>
      <c r="J108" s="858"/>
    </row>
    <row r="109" spans="1:10" ht="30" customHeight="1">
      <c r="A109" s="325" t="s">
        <v>5817</v>
      </c>
      <c r="B109" s="326" t="s">
        <v>77</v>
      </c>
      <c r="C109" s="326" t="s">
        <v>5818</v>
      </c>
      <c r="D109" s="326" t="s">
        <v>5819</v>
      </c>
      <c r="E109" s="326" t="s">
        <v>5841</v>
      </c>
      <c r="F109" s="326" t="s">
        <v>5808</v>
      </c>
      <c r="G109" s="859" t="s">
        <v>5842</v>
      </c>
      <c r="H109" s="859"/>
      <c r="I109" s="859"/>
      <c r="J109" s="860"/>
    </row>
    <row r="110" spans="1:10" ht="25.5" customHeight="1">
      <c r="A110" s="327" t="s">
        <v>5820</v>
      </c>
      <c r="B110" s="337" t="s">
        <v>484</v>
      </c>
      <c r="C110" s="329">
        <v>0</v>
      </c>
      <c r="D110" s="329">
        <v>0</v>
      </c>
      <c r="E110" s="196" t="s">
        <v>5881</v>
      </c>
      <c r="F110" s="329">
        <f>IF(AND(C110&lt;&gt;"",D110&lt;&gt;""),D110-C110,"")</f>
        <v>0</v>
      </c>
      <c r="G110" s="861"/>
      <c r="H110" s="861"/>
      <c r="I110" s="861"/>
      <c r="J110" s="862"/>
    </row>
    <row r="111" spans="1:10" ht="25.5" customHeight="1">
      <c r="A111" s="330" t="s">
        <v>5821</v>
      </c>
      <c r="B111" s="337" t="s">
        <v>484</v>
      </c>
      <c r="C111" s="331">
        <v>1</v>
      </c>
      <c r="D111" s="331">
        <v>0</v>
      </c>
      <c r="E111" s="314" t="s">
        <v>5882</v>
      </c>
      <c r="F111" s="331">
        <f>IF(AND(C111&lt;&gt;"",D111&lt;&gt;""),D111-C111,"")</f>
        <v>-1</v>
      </c>
      <c r="G111" s="863"/>
      <c r="H111" s="863"/>
      <c r="I111" s="863"/>
      <c r="J111" s="864"/>
    </row>
    <row r="112" spans="1:10" ht="15" customHeight="1">
      <c r="A112" s="327" t="s">
        <v>5822</v>
      </c>
      <c r="B112" s="337" t="s">
        <v>484</v>
      </c>
      <c r="C112" s="331">
        <v>1</v>
      </c>
      <c r="D112" s="331">
        <v>0</v>
      </c>
      <c r="E112" s="314" t="s">
        <v>5882</v>
      </c>
      <c r="F112" s="329">
        <f>IF(AND(C112&lt;&gt;"",D112&lt;&gt;""),D112-C112,"")</f>
        <v>-1</v>
      </c>
      <c r="G112" s="332"/>
      <c r="H112" s="231"/>
      <c r="I112" s="231"/>
      <c r="J112" s="333"/>
    </row>
    <row r="113" spans="1:10" ht="15" customHeight="1">
      <c r="A113" s="330" t="s">
        <v>5823</v>
      </c>
      <c r="B113" s="337" t="s">
        <v>484</v>
      </c>
      <c r="C113" s="331">
        <v>1</v>
      </c>
      <c r="D113" s="331">
        <v>0</v>
      </c>
      <c r="E113" s="314" t="s">
        <v>5882</v>
      </c>
      <c r="F113" s="331">
        <f>IF(AND(C113&lt;&gt;"",D113&lt;&gt;""),D113-C113,"")</f>
        <v>-1</v>
      </c>
      <c r="G113" s="863"/>
      <c r="H113" s="863"/>
      <c r="I113" s="863"/>
      <c r="J113" s="864"/>
    </row>
    <row r="114" spans="1:10" ht="15" customHeight="1">
      <c r="A114" s="327" t="s">
        <v>5168</v>
      </c>
      <c r="B114" s="337" t="s">
        <v>484</v>
      </c>
      <c r="C114" s="331">
        <v>1</v>
      </c>
      <c r="D114" s="331">
        <v>0</v>
      </c>
      <c r="E114" s="314" t="s">
        <v>5882</v>
      </c>
      <c r="F114" s="329">
        <f>IF(AND(C114&lt;&gt;"",D114&lt;&gt;""),D114-C114,"")</f>
        <v>-1</v>
      </c>
      <c r="G114" s="332"/>
      <c r="H114" s="231"/>
      <c r="I114" s="231"/>
      <c r="J114" s="333"/>
    </row>
    <row r="115" spans="1:10" ht="15.75" customHeight="1">
      <c r="A115" s="865" t="s">
        <v>5843</v>
      </c>
      <c r="B115" s="713"/>
      <c r="C115" s="334">
        <f>IFERROR(AVERAGE(C110:C114),"")</f>
        <v>0.8</v>
      </c>
      <c r="D115" s="334">
        <f>IFERROR(AVERAGE(D110:D114),"")</f>
        <v>0</v>
      </c>
      <c r="E115" s="866" t="s">
        <v>5844</v>
      </c>
      <c r="F115" s="866"/>
      <c r="G115" s="866"/>
      <c r="H115" s="866"/>
      <c r="I115" s="866"/>
      <c r="J115" s="867"/>
    </row>
    <row r="116" spans="1:10" ht="20.25" customHeight="1">
      <c r="A116" s="335"/>
      <c r="B116" s="320"/>
      <c r="C116" s="320"/>
      <c r="D116" s="320"/>
      <c r="E116" s="320"/>
      <c r="F116" s="320"/>
      <c r="G116" s="320"/>
      <c r="H116" s="231"/>
      <c r="I116" s="231"/>
      <c r="J116" s="333"/>
    </row>
    <row r="117" spans="1:10">
      <c r="A117" s="876" t="s">
        <v>5876</v>
      </c>
      <c r="B117" s="853"/>
      <c r="C117" s="853"/>
      <c r="D117" s="842"/>
      <c r="E117" s="853"/>
      <c r="F117" s="853"/>
      <c r="G117" s="842"/>
      <c r="H117" s="842"/>
      <c r="I117" s="842"/>
      <c r="J117" s="868"/>
    </row>
    <row r="118" spans="1:10">
      <c r="A118" s="325" t="s">
        <v>4946</v>
      </c>
      <c r="B118" s="326" t="s">
        <v>77</v>
      </c>
      <c r="C118" s="326" t="s">
        <v>5883</v>
      </c>
      <c r="D118" s="326" t="s">
        <v>482</v>
      </c>
      <c r="E118" s="326" t="s">
        <v>572</v>
      </c>
      <c r="F118" s="326" t="s">
        <v>5846</v>
      </c>
      <c r="G118" s="859" t="s">
        <v>5847</v>
      </c>
      <c r="H118" s="859"/>
      <c r="I118" s="859"/>
      <c r="J118" s="860"/>
    </row>
    <row r="119" spans="1:10" ht="31.5" customHeight="1">
      <c r="A119" s="330" t="s">
        <v>5809</v>
      </c>
      <c r="B119" s="337" t="s">
        <v>484</v>
      </c>
      <c r="C119" s="336" t="s">
        <v>679</v>
      </c>
      <c r="D119" s="328" t="s">
        <v>679</v>
      </c>
      <c r="E119" s="336">
        <f>IF(D119="Yes",1,0)</f>
        <v>0</v>
      </c>
      <c r="F119" s="877"/>
      <c r="G119" s="877"/>
      <c r="H119" s="877"/>
      <c r="I119" s="877"/>
      <c r="J119" s="878"/>
    </row>
    <row r="120" spans="1:10" ht="20.25" customHeight="1">
      <c r="A120" s="327" t="s">
        <v>995</v>
      </c>
      <c r="B120" s="337" t="s">
        <v>484</v>
      </c>
      <c r="C120" s="336" t="s">
        <v>679</v>
      </c>
      <c r="D120" s="328" t="s">
        <v>679</v>
      </c>
      <c r="E120" s="328">
        <f t="shared" ref="E120:E126" si="0">IF(D120="Yes",1,0)</f>
        <v>0</v>
      </c>
      <c r="F120" s="877"/>
      <c r="G120" s="877"/>
      <c r="H120" s="877"/>
      <c r="I120" s="877"/>
      <c r="J120" s="878"/>
    </row>
    <row r="121" spans="1:10" ht="24.75" customHeight="1">
      <c r="A121" s="330" t="s">
        <v>5810</v>
      </c>
      <c r="B121" s="337" t="s">
        <v>484</v>
      </c>
      <c r="C121" s="336" t="s">
        <v>679</v>
      </c>
      <c r="D121" s="328" t="s">
        <v>679</v>
      </c>
      <c r="E121" s="336">
        <f t="shared" si="0"/>
        <v>0</v>
      </c>
      <c r="F121" s="877"/>
      <c r="G121" s="877"/>
      <c r="H121" s="877"/>
      <c r="I121" s="877"/>
      <c r="J121" s="878"/>
    </row>
    <row r="122" spans="1:10">
      <c r="A122" s="327" t="s">
        <v>5824</v>
      </c>
      <c r="B122" s="337" t="s">
        <v>484</v>
      </c>
      <c r="C122" s="336" t="s">
        <v>679</v>
      </c>
      <c r="D122" s="328" t="s">
        <v>679</v>
      </c>
      <c r="E122" s="328">
        <f t="shared" si="0"/>
        <v>0</v>
      </c>
      <c r="F122" s="877"/>
      <c r="G122" s="877"/>
      <c r="H122" s="877"/>
      <c r="I122" s="877"/>
      <c r="J122" s="878"/>
    </row>
    <row r="123" spans="1:10" ht="39.6">
      <c r="A123" s="330" t="s">
        <v>5825</v>
      </c>
      <c r="B123" s="337" t="s">
        <v>484</v>
      </c>
      <c r="C123" s="336" t="s">
        <v>679</v>
      </c>
      <c r="D123" s="328" t="s">
        <v>679</v>
      </c>
      <c r="E123" s="336">
        <f t="shared" si="0"/>
        <v>0</v>
      </c>
      <c r="F123" s="877"/>
      <c r="G123" s="877"/>
      <c r="H123" s="877"/>
      <c r="I123" s="877"/>
      <c r="J123" s="878"/>
    </row>
    <row r="124" spans="1:10" ht="26.4">
      <c r="A124" s="327" t="s">
        <v>5826</v>
      </c>
      <c r="B124" s="337" t="s">
        <v>484</v>
      </c>
      <c r="C124" s="336" t="s">
        <v>679</v>
      </c>
      <c r="D124" s="328" t="s">
        <v>679</v>
      </c>
      <c r="E124" s="328">
        <f t="shared" si="0"/>
        <v>0</v>
      </c>
      <c r="F124" s="877"/>
      <c r="G124" s="877"/>
      <c r="H124" s="877"/>
      <c r="I124" s="877"/>
      <c r="J124" s="878"/>
    </row>
    <row r="125" spans="1:10" ht="18.75" customHeight="1">
      <c r="A125" s="330" t="s">
        <v>5811</v>
      </c>
      <c r="B125" s="337" t="s">
        <v>484</v>
      </c>
      <c r="C125" s="336" t="s">
        <v>679</v>
      </c>
      <c r="D125" s="328" t="s">
        <v>679</v>
      </c>
      <c r="E125" s="336">
        <f t="shared" si="0"/>
        <v>0</v>
      </c>
      <c r="F125" s="877"/>
      <c r="G125" s="877"/>
      <c r="H125" s="877"/>
      <c r="I125" s="877"/>
      <c r="J125" s="878"/>
    </row>
    <row r="126" spans="1:10" ht="26.4">
      <c r="A126" s="327" t="s">
        <v>5812</v>
      </c>
      <c r="B126" s="337" t="s">
        <v>484</v>
      </c>
      <c r="C126" s="336" t="s">
        <v>679</v>
      </c>
      <c r="D126" s="328" t="s">
        <v>679</v>
      </c>
      <c r="E126" s="328">
        <f t="shared" si="0"/>
        <v>0</v>
      </c>
      <c r="F126" s="877"/>
      <c r="G126" s="877"/>
      <c r="H126" s="877"/>
      <c r="I126" s="877"/>
      <c r="J126" s="878"/>
    </row>
    <row r="127" spans="1:10" ht="28.5" customHeight="1">
      <c r="A127" s="865" t="s">
        <v>5848</v>
      </c>
      <c r="B127" s="713"/>
      <c r="C127" s="871" t="str">
        <f>IFERROR(SUM(E119:E126)/COUNTIF(C119:C126,"Yes"),"")</f>
        <v/>
      </c>
      <c r="D127" s="872"/>
      <c r="E127" s="866" t="s">
        <v>5849</v>
      </c>
      <c r="F127" s="866"/>
      <c r="G127" s="866"/>
      <c r="H127" s="866"/>
      <c r="I127" s="866"/>
      <c r="J127" s="867"/>
    </row>
    <row r="128" spans="1:10" ht="20.25" customHeight="1">
      <c r="A128" s="335"/>
      <c r="B128" s="320"/>
      <c r="C128" s="320"/>
      <c r="D128" s="320"/>
      <c r="E128" s="320"/>
      <c r="F128" s="320"/>
      <c r="G128" s="320"/>
      <c r="H128" s="231"/>
      <c r="I128" s="231"/>
      <c r="J128" s="333"/>
    </row>
    <row r="129" spans="1:10">
      <c r="A129" s="876" t="s">
        <v>5877</v>
      </c>
      <c r="B129" s="853"/>
      <c r="C129" s="853"/>
      <c r="D129" s="842"/>
      <c r="E129" s="853"/>
      <c r="F129" s="853"/>
      <c r="G129" s="842"/>
      <c r="H129" s="842"/>
      <c r="I129" s="842"/>
      <c r="J129" s="868"/>
    </row>
    <row r="130" spans="1:10" ht="30" customHeight="1">
      <c r="A130" s="325" t="s">
        <v>5850</v>
      </c>
      <c r="B130" s="326" t="s">
        <v>77</v>
      </c>
      <c r="C130" s="326" t="s">
        <v>5827</v>
      </c>
      <c r="D130" s="326" t="s">
        <v>5828</v>
      </c>
      <c r="E130" s="326" t="s">
        <v>5829</v>
      </c>
      <c r="F130" s="326" t="s">
        <v>5851</v>
      </c>
      <c r="G130" s="859" t="s">
        <v>5852</v>
      </c>
      <c r="H130" s="859"/>
      <c r="I130" s="859"/>
      <c r="J130" s="860"/>
    </row>
    <row r="131" spans="1:10" ht="26.4">
      <c r="A131" s="330" t="s">
        <v>5830</v>
      </c>
      <c r="B131" s="336" t="s">
        <v>484</v>
      </c>
      <c r="C131" s="336" t="s">
        <v>1096</v>
      </c>
      <c r="D131" s="336" t="s">
        <v>1096</v>
      </c>
      <c r="E131" s="336" t="s">
        <v>1096</v>
      </c>
      <c r="F131" s="336" t="s">
        <v>348</v>
      </c>
      <c r="G131" s="869"/>
      <c r="H131" s="869"/>
      <c r="I131" s="869"/>
      <c r="J131" s="870"/>
    </row>
    <row r="132" spans="1:10" ht="53.4" customHeight="1">
      <c r="A132" s="327" t="s">
        <v>5831</v>
      </c>
      <c r="B132" s="336" t="s">
        <v>484</v>
      </c>
      <c r="C132" s="336" t="s">
        <v>1096</v>
      </c>
      <c r="D132" s="336" t="s">
        <v>1096</v>
      </c>
      <c r="E132" s="336" t="s">
        <v>1096</v>
      </c>
      <c r="F132" s="336" t="s">
        <v>348</v>
      </c>
      <c r="G132" s="869"/>
      <c r="H132" s="869"/>
      <c r="I132" s="869"/>
      <c r="J132" s="870"/>
    </row>
    <row r="133" spans="1:10" ht="53.4" customHeight="1">
      <c r="A133" s="330" t="s">
        <v>5853</v>
      </c>
      <c r="B133" s="336" t="s">
        <v>484</v>
      </c>
      <c r="C133" s="336" t="s">
        <v>1096</v>
      </c>
      <c r="D133" s="336" t="s">
        <v>1096</v>
      </c>
      <c r="E133" s="336" t="s">
        <v>1096</v>
      </c>
      <c r="F133" s="336" t="s">
        <v>348</v>
      </c>
      <c r="G133" s="869"/>
      <c r="H133" s="869"/>
      <c r="I133" s="869"/>
      <c r="J133" s="870"/>
    </row>
    <row r="134" spans="1:10" ht="53.4" customHeight="1">
      <c r="A134" s="327" t="s">
        <v>5832</v>
      </c>
      <c r="B134" s="336" t="s">
        <v>484</v>
      </c>
      <c r="C134" s="336" t="s">
        <v>1096</v>
      </c>
      <c r="D134" s="336" t="s">
        <v>1096</v>
      </c>
      <c r="E134" s="336" t="s">
        <v>1096</v>
      </c>
      <c r="F134" s="336" t="s">
        <v>348</v>
      </c>
      <c r="G134" s="869"/>
      <c r="H134" s="869"/>
      <c r="I134" s="869"/>
      <c r="J134" s="870"/>
    </row>
    <row r="135" spans="1:10" ht="53.4" customHeight="1">
      <c r="A135" s="330" t="s">
        <v>5833</v>
      </c>
      <c r="B135" s="336" t="s">
        <v>484</v>
      </c>
      <c r="C135" s="336" t="s">
        <v>1096</v>
      </c>
      <c r="D135" s="336" t="s">
        <v>1096</v>
      </c>
      <c r="E135" s="336" t="s">
        <v>1096</v>
      </c>
      <c r="F135" s="336" t="s">
        <v>348</v>
      </c>
      <c r="G135" s="869"/>
      <c r="H135" s="869"/>
      <c r="I135" s="869"/>
      <c r="J135" s="870"/>
    </row>
    <row r="136" spans="1:10" ht="53.4" customHeight="1">
      <c r="A136" s="865" t="s">
        <v>5884</v>
      </c>
      <c r="B136" s="713"/>
      <c r="C136" s="871">
        <f>IFERROR(COUNTIF(E131:E135,"Yes")/COUNTA(A131:A135),"")</f>
        <v>0</v>
      </c>
      <c r="D136" s="872"/>
      <c r="E136" s="866" t="s">
        <v>5855</v>
      </c>
      <c r="F136" s="866"/>
      <c r="G136" s="866"/>
      <c r="H136" s="866"/>
      <c r="I136" s="866"/>
      <c r="J136" s="867"/>
    </row>
    <row r="137" spans="1:10" ht="20.25" customHeight="1">
      <c r="A137" s="335"/>
      <c r="B137" s="320"/>
      <c r="C137" s="320"/>
      <c r="D137" s="320"/>
      <c r="E137" s="320"/>
      <c r="F137" s="320"/>
      <c r="G137" s="874"/>
      <c r="H137" s="874"/>
      <c r="I137" s="874"/>
      <c r="J137" s="875"/>
    </row>
    <row r="138" spans="1:10" ht="53.4" customHeight="1">
      <c r="A138" s="876" t="s">
        <v>5878</v>
      </c>
      <c r="B138" s="853"/>
      <c r="C138" s="853"/>
      <c r="D138" s="842"/>
      <c r="E138" s="853"/>
      <c r="F138" s="853"/>
      <c r="G138" s="842"/>
      <c r="H138" s="842"/>
      <c r="I138" s="842"/>
      <c r="J138" s="868"/>
    </row>
    <row r="139" spans="1:10" ht="53.4" customHeight="1">
      <c r="A139" s="326" t="s">
        <v>5813</v>
      </c>
      <c r="B139" s="326" t="s">
        <v>77</v>
      </c>
      <c r="C139" s="326" t="s">
        <v>5834</v>
      </c>
      <c r="D139" s="326" t="s">
        <v>5835</v>
      </c>
      <c r="E139" s="326" t="s">
        <v>5836</v>
      </c>
      <c r="F139" s="326" t="s">
        <v>5837</v>
      </c>
      <c r="G139" s="859" t="s">
        <v>5885</v>
      </c>
      <c r="H139" s="859"/>
      <c r="I139" s="859"/>
      <c r="J139" s="859"/>
    </row>
    <row r="140" spans="1:10">
      <c r="A140" s="332" t="s">
        <v>153</v>
      </c>
      <c r="B140" s="328" t="s">
        <v>484</v>
      </c>
      <c r="C140" s="328"/>
      <c r="D140" s="328"/>
      <c r="E140" s="328"/>
      <c r="F140" s="329" t="str">
        <f>IFERROR(D140/C140,"")</f>
        <v/>
      </c>
      <c r="G140" s="873"/>
      <c r="H140" s="873"/>
      <c r="I140" s="873"/>
      <c r="J140" s="873"/>
    </row>
    <row r="141" spans="1:10">
      <c r="A141" s="339" t="s">
        <v>155</v>
      </c>
      <c r="B141" s="336" t="s">
        <v>484</v>
      </c>
      <c r="C141" s="336"/>
      <c r="D141" s="336"/>
      <c r="E141" s="336"/>
      <c r="F141" s="331" t="str">
        <f>IFERROR(D141/C141,"")</f>
        <v/>
      </c>
      <c r="G141" s="873"/>
      <c r="H141" s="873"/>
      <c r="I141" s="873"/>
      <c r="J141" s="873"/>
    </row>
    <row r="142" spans="1:10">
      <c r="A142" s="332" t="s">
        <v>4821</v>
      </c>
      <c r="B142" s="328" t="s">
        <v>484</v>
      </c>
      <c r="C142" s="328"/>
      <c r="D142" s="328"/>
      <c r="E142" s="328"/>
      <c r="F142" s="329" t="str">
        <f>IFERROR(D142/C142,"")</f>
        <v/>
      </c>
      <c r="G142" s="873"/>
      <c r="H142" s="873"/>
      <c r="I142" s="873"/>
      <c r="J142" s="873"/>
    </row>
    <row r="143" spans="1:10">
      <c r="A143" s="339" t="s">
        <v>957</v>
      </c>
      <c r="B143" s="336" t="s">
        <v>484</v>
      </c>
      <c r="C143" s="336"/>
      <c r="D143" s="336"/>
      <c r="E143" s="336"/>
      <c r="F143" s="331" t="str">
        <f>IFERROR(D143/C143,"")</f>
        <v/>
      </c>
      <c r="G143" s="873"/>
      <c r="H143" s="873"/>
      <c r="I143" s="873"/>
      <c r="J143" s="873"/>
    </row>
    <row r="144" spans="1:10">
      <c r="A144" s="879" t="s">
        <v>5856</v>
      </c>
      <c r="B144" s="879"/>
      <c r="C144" s="879"/>
      <c r="D144" s="879"/>
      <c r="E144" s="866" t="s">
        <v>5857</v>
      </c>
      <c r="F144" s="866"/>
      <c r="G144" s="866"/>
      <c r="H144" s="866"/>
      <c r="I144" s="866"/>
      <c r="J144" s="866"/>
    </row>
    <row r="145" spans="1:10">
      <c r="A145" s="879"/>
      <c r="B145" s="879"/>
      <c r="C145" s="879"/>
      <c r="D145" s="879"/>
      <c r="E145" s="866"/>
      <c r="F145" s="866"/>
      <c r="G145" s="866"/>
      <c r="H145" s="866"/>
      <c r="I145" s="866"/>
      <c r="J145" s="866"/>
    </row>
    <row r="146" spans="1:10">
      <c r="A146" s="842" t="s">
        <v>5879</v>
      </c>
      <c r="B146" s="842"/>
      <c r="C146" s="842"/>
      <c r="D146" s="842"/>
      <c r="E146" s="842"/>
      <c r="F146" s="842"/>
      <c r="G146" s="842"/>
      <c r="H146" s="842"/>
      <c r="I146" s="842"/>
      <c r="J146" s="842"/>
    </row>
    <row r="147" spans="1:10">
      <c r="A147" s="326" t="s">
        <v>4946</v>
      </c>
      <c r="B147" s="326" t="s">
        <v>77</v>
      </c>
      <c r="C147" s="326" t="s">
        <v>5845</v>
      </c>
      <c r="D147" s="326" t="s">
        <v>482</v>
      </c>
      <c r="E147" s="326" t="s">
        <v>572</v>
      </c>
      <c r="F147" s="326" t="s">
        <v>944</v>
      </c>
      <c r="G147" s="859" t="s">
        <v>5847</v>
      </c>
      <c r="H147" s="859"/>
      <c r="I147" s="859"/>
      <c r="J147" s="859"/>
    </row>
    <row r="148" spans="1:10" ht="26.4">
      <c r="A148" s="332" t="s">
        <v>5814</v>
      </c>
      <c r="B148" s="328" t="s">
        <v>484</v>
      </c>
      <c r="C148" s="328" t="s">
        <v>392</v>
      </c>
      <c r="D148" s="328" t="s">
        <v>1096</v>
      </c>
      <c r="E148" s="328">
        <f t="shared" ref="E148:E153" si="1">IF(D148="Yes",1,0)</f>
        <v>0</v>
      </c>
      <c r="F148" s="328"/>
      <c r="G148" s="873"/>
      <c r="H148" s="873"/>
      <c r="I148" s="873"/>
      <c r="J148" s="873"/>
    </row>
    <row r="149" spans="1:10">
      <c r="A149" s="339" t="s">
        <v>5815</v>
      </c>
      <c r="B149" s="328" t="s">
        <v>484</v>
      </c>
      <c r="C149" s="336" t="s">
        <v>392</v>
      </c>
      <c r="D149" s="328" t="s">
        <v>1096</v>
      </c>
      <c r="E149" s="336">
        <f t="shared" si="1"/>
        <v>0</v>
      </c>
      <c r="F149" s="336"/>
      <c r="G149" s="873"/>
      <c r="H149" s="873"/>
      <c r="I149" s="873"/>
      <c r="J149" s="873"/>
    </row>
    <row r="150" spans="1:10" ht="26.4">
      <c r="A150" s="332" t="s">
        <v>5816</v>
      </c>
      <c r="B150" s="328" t="s">
        <v>484</v>
      </c>
      <c r="C150" s="328" t="s">
        <v>392</v>
      </c>
      <c r="D150" s="328" t="s">
        <v>1096</v>
      </c>
      <c r="E150" s="328">
        <f t="shared" si="1"/>
        <v>0</v>
      </c>
      <c r="F150" s="328"/>
      <c r="G150" s="873"/>
      <c r="H150" s="873"/>
      <c r="I150" s="873"/>
      <c r="J150" s="873"/>
    </row>
    <row r="151" spans="1:10">
      <c r="A151" s="339" t="s">
        <v>5838</v>
      </c>
      <c r="B151" s="328" t="s">
        <v>484</v>
      </c>
      <c r="C151" s="336" t="s">
        <v>392</v>
      </c>
      <c r="D151" s="328" t="s">
        <v>1096</v>
      </c>
      <c r="E151" s="336">
        <f t="shared" si="1"/>
        <v>0</v>
      </c>
      <c r="F151" s="336"/>
      <c r="G151" s="873"/>
      <c r="H151" s="873"/>
      <c r="I151" s="873"/>
      <c r="J151" s="873"/>
    </row>
    <row r="152" spans="1:10" ht="27.75" customHeight="1">
      <c r="A152" s="332" t="s">
        <v>5839</v>
      </c>
      <c r="B152" s="328" t="s">
        <v>484</v>
      </c>
      <c r="C152" s="328" t="s">
        <v>392</v>
      </c>
      <c r="D152" s="328" t="s">
        <v>1096</v>
      </c>
      <c r="E152" s="328">
        <f t="shared" si="1"/>
        <v>0</v>
      </c>
      <c r="F152" s="328"/>
      <c r="G152" s="873"/>
      <c r="H152" s="873"/>
      <c r="I152" s="873"/>
      <c r="J152" s="873"/>
    </row>
    <row r="153" spans="1:10" ht="29.25" customHeight="1">
      <c r="A153" s="339" t="s">
        <v>5840</v>
      </c>
      <c r="B153" s="328" t="s">
        <v>484</v>
      </c>
      <c r="C153" s="336" t="s">
        <v>392</v>
      </c>
      <c r="D153" s="336" t="s">
        <v>1096</v>
      </c>
      <c r="E153" s="336">
        <f t="shared" si="1"/>
        <v>0</v>
      </c>
      <c r="F153" s="336"/>
      <c r="G153" s="873"/>
      <c r="H153" s="873"/>
      <c r="I153" s="873"/>
      <c r="J153" s="873"/>
    </row>
    <row r="154" spans="1:10" ht="15.6">
      <c r="A154" s="880" t="s">
        <v>5858</v>
      </c>
      <c r="B154" s="713"/>
      <c r="C154" s="871">
        <f>IFERROR(SUM(E148:E153)/COUNTIF(C148:C153,"Yes"),"")</f>
        <v>0</v>
      </c>
      <c r="D154" s="872"/>
      <c r="E154" s="866" t="s">
        <v>5859</v>
      </c>
      <c r="F154" s="866"/>
      <c r="G154" s="866"/>
      <c r="H154" s="866"/>
      <c r="I154" s="866"/>
      <c r="J154" s="866"/>
    </row>
    <row r="155" spans="1:10" ht="20.25" customHeight="1">
      <c r="A155" s="196"/>
      <c r="B155" s="196"/>
      <c r="C155" s="196"/>
      <c r="D155" s="196"/>
      <c r="E155" s="196"/>
      <c r="F155" s="196"/>
      <c r="G155" s="196"/>
      <c r="H155" s="196"/>
      <c r="I155" s="196"/>
      <c r="J155" s="196"/>
    </row>
    <row r="156" spans="1:10">
      <c r="A156" s="842" t="s">
        <v>5880</v>
      </c>
      <c r="B156" s="853"/>
      <c r="C156" s="853"/>
      <c r="D156" s="321"/>
      <c r="E156" s="321"/>
      <c r="F156" s="321"/>
      <c r="G156" s="321"/>
      <c r="H156" s="321"/>
      <c r="I156" s="321"/>
      <c r="J156" s="321"/>
    </row>
    <row r="157" spans="1:10" ht="55.2">
      <c r="A157" s="322" t="s">
        <v>905</v>
      </c>
      <c r="B157" s="322" t="s">
        <v>830</v>
      </c>
      <c r="C157" s="322"/>
      <c r="D157" s="322"/>
      <c r="E157" s="322"/>
      <c r="F157" s="322"/>
      <c r="G157" s="322"/>
      <c r="H157" s="322"/>
      <c r="I157" s="322"/>
      <c r="J157" s="322"/>
    </row>
    <row r="158" spans="1:10">
      <c r="A158" s="319" t="s">
        <v>1086</v>
      </c>
      <c r="B158" s="852" t="s">
        <v>3292</v>
      </c>
      <c r="C158" s="853"/>
      <c r="D158" s="853"/>
      <c r="E158" s="853"/>
      <c r="F158" s="853"/>
      <c r="G158" s="853"/>
      <c r="H158" s="853"/>
      <c r="I158" s="853"/>
      <c r="J158" s="853"/>
    </row>
    <row r="159" spans="1:10" ht="27.6">
      <c r="A159" s="319" t="s">
        <v>2090</v>
      </c>
      <c r="B159" s="852" t="s">
        <v>3293</v>
      </c>
      <c r="C159" s="853"/>
      <c r="D159" s="853"/>
      <c r="E159" s="853"/>
      <c r="F159" s="853"/>
      <c r="G159" s="853"/>
      <c r="H159" s="853"/>
      <c r="I159" s="853"/>
      <c r="J159" s="853"/>
    </row>
    <row r="160" spans="1:10">
      <c r="A160" s="319" t="s">
        <v>1089</v>
      </c>
      <c r="B160" s="852" t="s">
        <v>3294</v>
      </c>
      <c r="C160" s="853"/>
      <c r="D160" s="853"/>
      <c r="E160" s="853"/>
      <c r="F160" s="853"/>
      <c r="G160" s="853"/>
      <c r="H160" s="853"/>
      <c r="I160" s="853"/>
      <c r="J160" s="853"/>
    </row>
    <row r="161" spans="1:10">
      <c r="A161" s="319" t="s">
        <v>1090</v>
      </c>
      <c r="B161" s="852" t="s">
        <v>3295</v>
      </c>
      <c r="C161" s="853"/>
      <c r="D161" s="853"/>
      <c r="E161" s="853"/>
      <c r="F161" s="853"/>
      <c r="G161" s="853"/>
      <c r="H161" s="853"/>
      <c r="I161" s="853"/>
      <c r="J161" s="853"/>
    </row>
    <row r="162" spans="1:10">
      <c r="A162" s="319" t="s">
        <v>1088</v>
      </c>
      <c r="B162" s="852" t="s">
        <v>3296</v>
      </c>
      <c r="C162" s="853"/>
      <c r="D162" s="853"/>
      <c r="E162" s="853"/>
      <c r="F162" s="853"/>
      <c r="G162" s="853"/>
      <c r="H162" s="853"/>
      <c r="I162" s="853"/>
      <c r="J162" s="853"/>
    </row>
    <row r="163" spans="1:10" ht="27.6">
      <c r="A163" s="319" t="s">
        <v>3297</v>
      </c>
      <c r="B163" s="852" t="s">
        <v>3298</v>
      </c>
      <c r="C163" s="853"/>
      <c r="D163" s="853"/>
      <c r="E163" s="853"/>
      <c r="F163" s="853"/>
      <c r="G163" s="853"/>
      <c r="H163" s="853"/>
      <c r="I163" s="853"/>
      <c r="J163" s="853"/>
    </row>
    <row r="164" spans="1:10">
      <c r="A164" s="319" t="s">
        <v>1563</v>
      </c>
      <c r="B164" s="852" t="s">
        <v>1776</v>
      </c>
      <c r="C164" s="853"/>
      <c r="D164" s="853"/>
      <c r="E164" s="853"/>
      <c r="F164" s="853"/>
      <c r="G164" s="853"/>
      <c r="H164" s="853"/>
      <c r="I164" s="853"/>
      <c r="J164" s="853"/>
    </row>
    <row r="165" spans="1:10">
      <c r="A165" s="231"/>
      <c r="B165" s="231"/>
      <c r="C165" s="231"/>
      <c r="D165" s="231"/>
      <c r="E165" s="231"/>
      <c r="F165" s="231"/>
      <c r="G165" s="231"/>
      <c r="H165" s="231"/>
      <c r="I165" s="231"/>
      <c r="J165" s="231"/>
    </row>
    <row r="166" spans="1:10" ht="17.399999999999999">
      <c r="A166" s="827" t="s">
        <v>5769</v>
      </c>
      <c r="B166" s="827"/>
      <c r="C166" s="827"/>
      <c r="D166" s="827"/>
      <c r="E166" s="827"/>
      <c r="F166" s="827"/>
      <c r="G166" s="827"/>
      <c r="H166" s="827"/>
      <c r="I166" s="231"/>
      <c r="J166" s="231"/>
    </row>
    <row r="167" spans="1:10">
      <c r="A167" s="276" t="s">
        <v>2</v>
      </c>
      <c r="B167" s="828" t="s">
        <v>5770</v>
      </c>
      <c r="C167" s="828"/>
      <c r="D167" s="828"/>
      <c r="E167" s="828"/>
      <c r="F167" s="828"/>
      <c r="G167" s="828"/>
      <c r="H167" s="828"/>
      <c r="I167" s="231"/>
      <c r="J167" s="231"/>
    </row>
    <row r="168" spans="1:10">
      <c r="A168" s="276" t="s">
        <v>5771</v>
      </c>
      <c r="B168" s="828" t="s">
        <v>5772</v>
      </c>
      <c r="C168" s="828"/>
      <c r="D168" s="828"/>
      <c r="E168" s="828"/>
      <c r="F168" s="828"/>
      <c r="G168" s="828"/>
      <c r="H168" s="828"/>
      <c r="I168" s="231"/>
      <c r="J168" s="231"/>
    </row>
    <row r="169" spans="1:10">
      <c r="A169" s="196"/>
      <c r="B169" s="196"/>
      <c r="C169" s="196"/>
      <c r="D169" s="196"/>
      <c r="E169" s="196"/>
      <c r="F169" s="196"/>
      <c r="G169" s="196"/>
      <c r="H169" s="196"/>
      <c r="I169" s="231"/>
      <c r="J169" s="231"/>
    </row>
    <row r="170" spans="1:10">
      <c r="A170" s="323" t="s">
        <v>4946</v>
      </c>
      <c r="B170" s="323" t="s">
        <v>77</v>
      </c>
      <c r="C170" s="323" t="s">
        <v>5773</v>
      </c>
      <c r="D170" s="323" t="s">
        <v>263</v>
      </c>
      <c r="E170" s="323" t="s">
        <v>216</v>
      </c>
      <c r="F170" s="323" t="s">
        <v>5774</v>
      </c>
      <c r="G170" s="323" t="s">
        <v>5775</v>
      </c>
      <c r="H170" s="323" t="s">
        <v>5776</v>
      </c>
      <c r="I170" s="231"/>
      <c r="J170" s="231"/>
    </row>
    <row r="171" spans="1:10" ht="26.4">
      <c r="A171" s="277" t="s">
        <v>5777</v>
      </c>
      <c r="B171" s="278" t="s">
        <v>1096</v>
      </c>
      <c r="C171" s="277"/>
      <c r="D171" s="277"/>
      <c r="E171" s="277"/>
      <c r="F171" s="277"/>
      <c r="G171" s="279" t="str">
        <f t="shared" ref="G171:G178" si="2">IF(OR(B171="Yes",B171="N/A"),"🟢","🟡")</f>
        <v>🟡</v>
      </c>
      <c r="H171" s="277"/>
      <c r="I171" s="231"/>
      <c r="J171" s="231"/>
    </row>
    <row r="172" spans="1:10">
      <c r="A172" s="277" t="s">
        <v>5778</v>
      </c>
      <c r="B172" s="278" t="s">
        <v>1096</v>
      </c>
      <c r="C172" s="277"/>
      <c r="D172" s="277"/>
      <c r="E172" s="277"/>
      <c r="F172" s="277"/>
      <c r="G172" s="279" t="str">
        <f t="shared" si="2"/>
        <v>🟡</v>
      </c>
      <c r="H172" s="277"/>
      <c r="I172" s="231"/>
      <c r="J172" s="231"/>
    </row>
    <row r="173" spans="1:10">
      <c r="A173" s="277" t="s">
        <v>5779</v>
      </c>
      <c r="B173" s="278" t="s">
        <v>1096</v>
      </c>
      <c r="C173" s="277"/>
      <c r="D173" s="277"/>
      <c r="E173" s="277"/>
      <c r="F173" s="277"/>
      <c r="G173" s="279" t="str">
        <f t="shared" si="2"/>
        <v>🟡</v>
      </c>
      <c r="H173" s="277"/>
      <c r="I173" s="231"/>
      <c r="J173" s="231"/>
    </row>
    <row r="174" spans="1:10">
      <c r="A174" s="277" t="s">
        <v>5168</v>
      </c>
      <c r="B174" s="278" t="s">
        <v>1096</v>
      </c>
      <c r="C174" s="277"/>
      <c r="D174" s="277"/>
      <c r="E174" s="277"/>
      <c r="F174" s="277"/>
      <c r="G174" s="279" t="str">
        <f t="shared" si="2"/>
        <v>🟡</v>
      </c>
      <c r="H174" s="277"/>
      <c r="I174" s="231"/>
      <c r="J174" s="231"/>
    </row>
    <row r="175" spans="1:10">
      <c r="A175" s="277" t="s">
        <v>5780</v>
      </c>
      <c r="B175" s="278" t="s">
        <v>1096</v>
      </c>
      <c r="C175" s="277"/>
      <c r="D175" s="277"/>
      <c r="E175" s="277"/>
      <c r="F175" s="277"/>
      <c r="G175" s="279" t="str">
        <f t="shared" si="2"/>
        <v>🟡</v>
      </c>
      <c r="H175" s="277"/>
      <c r="I175" s="231"/>
      <c r="J175" s="231"/>
    </row>
    <row r="176" spans="1:10">
      <c r="A176" s="277" t="s">
        <v>5781</v>
      </c>
      <c r="B176" s="278" t="s">
        <v>1096</v>
      </c>
      <c r="C176" s="277"/>
      <c r="D176" s="277"/>
      <c r="E176" s="277"/>
      <c r="F176" s="277"/>
      <c r="G176" s="279" t="str">
        <f t="shared" si="2"/>
        <v>🟡</v>
      </c>
      <c r="H176" s="277"/>
      <c r="I176" s="231"/>
      <c r="J176" s="231"/>
    </row>
    <row r="177" spans="1:10">
      <c r="A177" s="277" t="s">
        <v>178</v>
      </c>
      <c r="B177" s="278" t="s">
        <v>1096</v>
      </c>
      <c r="C177" s="277"/>
      <c r="D177" s="277"/>
      <c r="E177" s="277"/>
      <c r="F177" s="277"/>
      <c r="G177" s="279" t="str">
        <f t="shared" si="2"/>
        <v>🟡</v>
      </c>
      <c r="H177" s="277"/>
      <c r="I177" s="231"/>
      <c r="J177" s="231"/>
    </row>
    <row r="178" spans="1:10" ht="26.4">
      <c r="A178" s="277" t="s">
        <v>5782</v>
      </c>
      <c r="B178" s="278" t="s">
        <v>1096</v>
      </c>
      <c r="C178" s="277"/>
      <c r="D178" s="277"/>
      <c r="E178" s="277"/>
      <c r="F178" s="277"/>
      <c r="G178" s="279" t="str">
        <f t="shared" si="2"/>
        <v>🟡</v>
      </c>
      <c r="H178" s="277"/>
      <c r="I178" s="231"/>
      <c r="J178" s="231"/>
    </row>
    <row r="179" spans="1:10">
      <c r="A179" s="324" t="s">
        <v>4946</v>
      </c>
      <c r="B179" s="324" t="s">
        <v>5790</v>
      </c>
      <c r="C179" s="196"/>
      <c r="D179" s="196"/>
      <c r="E179" s="324" t="s">
        <v>5791</v>
      </c>
      <c r="F179" s="196"/>
      <c r="G179" s="196"/>
      <c r="H179" s="196"/>
      <c r="I179" s="231"/>
      <c r="J179" s="231"/>
    </row>
    <row r="180" spans="1:10" ht="26.4">
      <c r="A180" s="291" t="s">
        <v>5777</v>
      </c>
      <c r="B180" s="768" t="s">
        <v>5792</v>
      </c>
      <c r="C180" s="768"/>
      <c r="D180" s="768"/>
      <c r="E180" s="768" t="s">
        <v>5793</v>
      </c>
      <c r="F180" s="768"/>
      <c r="G180" s="768"/>
      <c r="H180" s="196"/>
      <c r="I180" s="231"/>
      <c r="J180" s="231"/>
    </row>
    <row r="181" spans="1:10">
      <c r="A181" s="291" t="s">
        <v>5778</v>
      </c>
      <c r="B181" s="768" t="s">
        <v>5794</v>
      </c>
      <c r="C181" s="768"/>
      <c r="D181" s="768"/>
      <c r="E181" s="768" t="s">
        <v>5795</v>
      </c>
      <c r="F181" s="768"/>
      <c r="G181" s="768"/>
      <c r="H181" s="196"/>
      <c r="I181" s="231"/>
      <c r="J181" s="231"/>
    </row>
    <row r="182" spans="1:10">
      <c r="A182" s="291" t="s">
        <v>5779</v>
      </c>
      <c r="B182" s="768" t="s">
        <v>5796</v>
      </c>
      <c r="C182" s="768"/>
      <c r="D182" s="768"/>
      <c r="E182" s="768" t="s">
        <v>5797</v>
      </c>
      <c r="F182" s="768"/>
      <c r="G182" s="768"/>
      <c r="H182" s="196"/>
      <c r="I182" s="231"/>
      <c r="J182" s="231"/>
    </row>
    <row r="183" spans="1:10">
      <c r="A183" s="291" t="s">
        <v>5168</v>
      </c>
      <c r="B183" s="768" t="s">
        <v>5798</v>
      </c>
      <c r="C183" s="768"/>
      <c r="D183" s="768"/>
      <c r="E183" s="768" t="s">
        <v>5799</v>
      </c>
      <c r="F183" s="768"/>
      <c r="G183" s="768"/>
      <c r="H183" s="196"/>
      <c r="I183" s="231"/>
      <c r="J183" s="231"/>
    </row>
    <row r="184" spans="1:10">
      <c r="A184" s="291" t="s">
        <v>5780</v>
      </c>
      <c r="B184" s="768" t="s">
        <v>5800</v>
      </c>
      <c r="C184" s="768"/>
      <c r="D184" s="768"/>
      <c r="E184" s="768" t="s">
        <v>5801</v>
      </c>
      <c r="F184" s="768"/>
      <c r="G184" s="768"/>
      <c r="H184" s="196"/>
      <c r="I184" s="231"/>
      <c r="J184" s="231"/>
    </row>
    <row r="185" spans="1:10">
      <c r="A185" s="291" t="s">
        <v>5781</v>
      </c>
      <c r="B185" s="768" t="s">
        <v>5802</v>
      </c>
      <c r="C185" s="768"/>
      <c r="D185" s="768"/>
      <c r="E185" s="768" t="s">
        <v>5803</v>
      </c>
      <c r="F185" s="768"/>
      <c r="G185" s="768"/>
      <c r="H185" s="196"/>
      <c r="I185" s="231"/>
      <c r="J185" s="231"/>
    </row>
    <row r="186" spans="1:10">
      <c r="A186" s="291" t="s">
        <v>178</v>
      </c>
      <c r="B186" s="768" t="s">
        <v>5804</v>
      </c>
      <c r="C186" s="768"/>
      <c r="D186" s="768"/>
      <c r="E186" s="768" t="s">
        <v>5805</v>
      </c>
      <c r="F186" s="768"/>
      <c r="G186" s="768"/>
      <c r="H186" s="196"/>
      <c r="I186" s="231"/>
      <c r="J186" s="231"/>
    </row>
    <row r="187" spans="1:10" ht="26.4">
      <c r="A187" s="291" t="s">
        <v>5782</v>
      </c>
      <c r="B187" s="768" t="s">
        <v>5806</v>
      </c>
      <c r="C187" s="768"/>
      <c r="D187" s="768"/>
      <c r="E187" s="768" t="s">
        <v>5807</v>
      </c>
      <c r="F187" s="768"/>
      <c r="G187" s="768"/>
      <c r="H187" s="196"/>
      <c r="I187" s="231"/>
      <c r="J187" s="231"/>
    </row>
    <row r="188" spans="1:10">
      <c r="A188" s="276" t="s">
        <v>5783</v>
      </c>
      <c r="B188" s="280" t="str">
        <f>IF(COUNTIF(B171:B178,"No")=0,"🟢 PILOT COMPLETE / ACCEPTANCE READY","🟡 NOT COMPLETE — ACCEPTANCE GATES OPEN")</f>
        <v>🟡 NOT COMPLETE — ACCEPTANCE GATES OPEN</v>
      </c>
      <c r="C188" s="280"/>
      <c r="D188" s="280"/>
      <c r="E188" s="280"/>
      <c r="F188" s="280"/>
      <c r="G188" s="280"/>
      <c r="H188" s="280"/>
    </row>
    <row r="189" spans="1:10">
      <c r="A189" s="276" t="s">
        <v>5784</v>
      </c>
      <c r="B189" s="280">
        <f>COUNTIF(B171:B178,"No")</f>
        <v>8</v>
      </c>
      <c r="C189" s="280"/>
      <c r="D189" s="280"/>
      <c r="E189" s="280"/>
      <c r="F189" s="280"/>
      <c r="G189" s="280"/>
      <c r="H189" s="280"/>
    </row>
    <row r="190" spans="1:10">
      <c r="A190" s="276" t="s">
        <v>5785</v>
      </c>
      <c r="B190" s="280" t="str">
        <f>COUNTIF(B171:B178,"Yes")&amp;" / 8 Complete"</f>
        <v>0 / 8 Complete</v>
      </c>
      <c r="C190" s="280"/>
      <c r="D190" s="280"/>
      <c r="E190" s="280"/>
      <c r="F190" s="280"/>
      <c r="G190" s="280"/>
      <c r="H190" s="280"/>
    </row>
    <row r="191" spans="1:10" ht="93">
      <c r="A191" s="281" t="s">
        <v>5786</v>
      </c>
      <c r="B191" s="282" t="s">
        <v>5787</v>
      </c>
      <c r="C191" s="282"/>
      <c r="D191" s="282"/>
      <c r="E191" s="282"/>
      <c r="F191" s="282"/>
      <c r="G191" s="282"/>
      <c r="H191" s="282"/>
    </row>
    <row r="192" spans="1:10">
      <c r="A192" s="281"/>
      <c r="B192" s="282"/>
      <c r="C192" s="282"/>
      <c r="D192" s="282"/>
      <c r="E192" s="282"/>
      <c r="F192" s="282"/>
      <c r="G192" s="282"/>
      <c r="H192" s="282"/>
    </row>
    <row r="193" spans="1:10" ht="66.599999999999994">
      <c r="A193" s="281" t="s">
        <v>5788</v>
      </c>
      <c r="B193" s="282" t="s">
        <v>5789</v>
      </c>
      <c r="C193" s="282"/>
      <c r="D193" s="282"/>
      <c r="E193" s="282"/>
      <c r="F193" s="282"/>
      <c r="G193" s="282"/>
      <c r="H193" s="282"/>
    </row>
    <row r="194" spans="1:10">
      <c r="A194" s="842" t="s">
        <v>5901</v>
      </c>
      <c r="B194" s="842"/>
      <c r="C194" s="842"/>
      <c r="D194" s="842"/>
      <c r="E194" s="842"/>
      <c r="F194" s="842"/>
      <c r="G194" s="842"/>
      <c r="H194" s="842"/>
      <c r="I194" s="842"/>
      <c r="J194" s="842"/>
    </row>
    <row r="195" spans="1:10">
      <c r="A195" s="340" t="s">
        <v>5886</v>
      </c>
      <c r="B195" s="196"/>
      <c r="C195" s="196"/>
      <c r="D195" s="196"/>
      <c r="E195" s="196"/>
      <c r="F195" s="196"/>
      <c r="G195" s="196"/>
      <c r="H195" s="196"/>
      <c r="I195" s="196"/>
      <c r="J195" s="196"/>
    </row>
    <row r="196" spans="1:10">
      <c r="A196" s="196"/>
      <c r="B196" s="196"/>
      <c r="C196" s="196"/>
      <c r="D196" s="196"/>
      <c r="E196" s="196"/>
      <c r="F196" s="196"/>
      <c r="G196" s="196"/>
      <c r="H196" s="196"/>
      <c r="I196" s="196"/>
      <c r="J196" s="196"/>
    </row>
    <row r="197" spans="1:10">
      <c r="A197" s="196" t="s">
        <v>5887</v>
      </c>
      <c r="B197" s="196"/>
      <c r="C197" s="196"/>
      <c r="D197" s="196"/>
      <c r="E197" s="196"/>
      <c r="F197" s="196"/>
      <c r="G197" s="196"/>
      <c r="H197" s="196"/>
      <c r="I197" s="196"/>
      <c r="J197" s="196"/>
    </row>
    <row r="198" spans="1:10">
      <c r="A198" s="196"/>
      <c r="B198" s="196"/>
      <c r="C198" s="196"/>
      <c r="D198" s="196"/>
      <c r="E198" s="196"/>
      <c r="F198" s="196"/>
      <c r="G198" s="196"/>
      <c r="H198" s="196"/>
      <c r="I198" s="196"/>
      <c r="J198" s="196"/>
    </row>
    <row r="199" spans="1:10">
      <c r="A199" s="196" t="s">
        <v>5888</v>
      </c>
      <c r="B199" s="196"/>
      <c r="C199" s="196"/>
      <c r="D199" s="196"/>
      <c r="E199" s="196"/>
      <c r="F199" s="196"/>
      <c r="G199" s="196"/>
      <c r="H199" s="196"/>
      <c r="I199" s="196"/>
      <c r="J199" s="196"/>
    </row>
    <row r="200" spans="1:10">
      <c r="A200" s="196"/>
      <c r="B200" s="196"/>
      <c r="C200" s="196"/>
      <c r="D200" s="196"/>
      <c r="E200" s="196"/>
      <c r="F200" s="196"/>
      <c r="G200" s="196"/>
      <c r="H200" s="196"/>
      <c r="I200" s="196"/>
      <c r="J200" s="196"/>
    </row>
    <row r="201" spans="1:10">
      <c r="A201" s="196" t="s">
        <v>5889</v>
      </c>
      <c r="B201" s="196"/>
      <c r="C201" s="196"/>
      <c r="D201" s="196"/>
      <c r="E201" s="196"/>
      <c r="F201" s="196"/>
      <c r="G201" s="196"/>
      <c r="H201" s="196"/>
      <c r="I201" s="196"/>
      <c r="J201" s="196"/>
    </row>
    <row r="202" spans="1:10">
      <c r="A202" s="196"/>
      <c r="B202" s="196"/>
      <c r="C202" s="196"/>
      <c r="D202" s="196"/>
      <c r="E202" s="196"/>
      <c r="F202" s="196"/>
      <c r="G202" s="196"/>
      <c r="H202" s="196"/>
      <c r="I202" s="196"/>
      <c r="J202" s="196"/>
    </row>
    <row r="203" spans="1:10">
      <c r="A203" s="196"/>
      <c r="B203" s="196"/>
      <c r="C203" s="196"/>
      <c r="D203" s="196"/>
      <c r="E203" s="196"/>
      <c r="F203" s="196"/>
      <c r="G203" s="196"/>
      <c r="H203" s="196"/>
      <c r="I203" s="196"/>
      <c r="J203" s="196"/>
    </row>
    <row r="204" spans="1:10">
      <c r="A204" s="196"/>
      <c r="B204" s="196"/>
      <c r="C204" s="196"/>
      <c r="D204" s="196"/>
      <c r="E204" s="196"/>
      <c r="F204" s="196"/>
      <c r="G204" s="196"/>
      <c r="H204" s="196"/>
      <c r="I204" s="196"/>
      <c r="J204" s="196"/>
    </row>
    <row r="205" spans="1:10">
      <c r="A205" s="842" t="s">
        <v>5902</v>
      </c>
      <c r="B205" s="842"/>
      <c r="C205" s="842"/>
      <c r="D205" s="842"/>
      <c r="E205" s="842"/>
      <c r="F205" s="842"/>
      <c r="G205" s="842"/>
      <c r="H205" s="842"/>
      <c r="I205" s="842"/>
      <c r="J205" s="842"/>
    </row>
    <row r="206" spans="1:10">
      <c r="A206" s="196"/>
      <c r="B206" s="196"/>
      <c r="C206" s="196"/>
      <c r="D206" s="196"/>
      <c r="E206" s="196"/>
      <c r="F206" s="196"/>
      <c r="G206" s="196"/>
      <c r="H206" s="196"/>
      <c r="I206" s="196"/>
      <c r="J206" s="196"/>
    </row>
    <row r="207" spans="1:10">
      <c r="A207" s="196" t="s">
        <v>5890</v>
      </c>
      <c r="B207" s="196"/>
      <c r="C207" s="196"/>
      <c r="D207" s="196"/>
      <c r="E207" s="196"/>
      <c r="F207" s="196"/>
      <c r="G207" s="196"/>
      <c r="H207" s="196"/>
      <c r="I207" s="196"/>
      <c r="J207" s="196"/>
    </row>
    <row r="208" spans="1:10">
      <c r="A208" s="196"/>
      <c r="B208" s="196"/>
      <c r="C208" s="196"/>
      <c r="D208" s="196"/>
      <c r="E208" s="196"/>
      <c r="F208" s="196"/>
      <c r="G208" s="196"/>
      <c r="H208" s="196"/>
      <c r="I208" s="196"/>
      <c r="J208" s="196"/>
    </row>
    <row r="209" spans="1:10">
      <c r="A209" s="196" t="s">
        <v>5891</v>
      </c>
      <c r="B209" s="196"/>
      <c r="C209" s="196"/>
      <c r="D209" s="196"/>
      <c r="E209" s="196"/>
      <c r="F209" s="196"/>
      <c r="G209" s="196"/>
      <c r="H209" s="196"/>
      <c r="I209" s="196"/>
      <c r="J209" s="196"/>
    </row>
    <row r="210" spans="1:10">
      <c r="A210" s="196"/>
      <c r="B210" s="196"/>
      <c r="C210" s="196"/>
      <c r="D210" s="196"/>
      <c r="E210" s="196"/>
      <c r="F210" s="196"/>
      <c r="G210" s="196"/>
      <c r="H210" s="196"/>
      <c r="I210" s="196"/>
      <c r="J210" s="196"/>
    </row>
    <row r="211" spans="1:10">
      <c r="A211" s="196" t="s">
        <v>5892</v>
      </c>
      <c r="B211" s="196"/>
      <c r="C211" s="196"/>
      <c r="D211" s="196"/>
      <c r="E211" s="196"/>
      <c r="F211" s="196"/>
      <c r="G211" s="196"/>
      <c r="H211" s="196"/>
      <c r="I211" s="196"/>
      <c r="J211" s="196"/>
    </row>
    <row r="212" spans="1:10">
      <c r="A212" s="196"/>
      <c r="B212" s="196"/>
      <c r="C212" s="196"/>
      <c r="D212" s="196"/>
      <c r="E212" s="196"/>
      <c r="F212" s="196"/>
      <c r="G212" s="196"/>
      <c r="H212" s="196"/>
      <c r="I212" s="196"/>
      <c r="J212" s="196"/>
    </row>
    <row r="213" spans="1:10">
      <c r="A213" s="196"/>
      <c r="B213" s="196"/>
      <c r="C213" s="196"/>
      <c r="D213" s="196"/>
      <c r="E213" s="196"/>
      <c r="F213" s="196"/>
      <c r="G213" s="196"/>
      <c r="H213" s="196"/>
      <c r="I213" s="196"/>
      <c r="J213" s="196"/>
    </row>
    <row r="214" spans="1:10">
      <c r="A214" s="196"/>
      <c r="B214" s="196"/>
      <c r="C214" s="196"/>
      <c r="D214" s="196"/>
      <c r="E214" s="196"/>
      <c r="F214" s="196"/>
      <c r="G214" s="196"/>
      <c r="H214" s="196"/>
      <c r="I214" s="196"/>
      <c r="J214" s="196"/>
    </row>
    <row r="215" spans="1:10">
      <c r="A215" s="842" t="s">
        <v>5903</v>
      </c>
      <c r="B215" s="842"/>
      <c r="C215" s="842"/>
      <c r="D215" s="842"/>
      <c r="E215" s="842"/>
      <c r="F215" s="842"/>
      <c r="G215" s="842"/>
      <c r="H215" s="842"/>
      <c r="I215" s="842"/>
      <c r="J215" s="842"/>
    </row>
    <row r="216" spans="1:10">
      <c r="A216" s="196"/>
      <c r="B216" s="196"/>
      <c r="C216" s="196"/>
      <c r="D216" s="196"/>
      <c r="E216" s="196"/>
      <c r="F216" s="196"/>
      <c r="G216" s="196"/>
      <c r="H216" s="196"/>
      <c r="I216" s="196"/>
      <c r="J216" s="196"/>
    </row>
    <row r="217" spans="1:10">
      <c r="A217" s="196" t="s">
        <v>5893</v>
      </c>
      <c r="B217" s="196"/>
      <c r="C217" s="196"/>
      <c r="D217" s="196"/>
      <c r="E217" s="196"/>
      <c r="F217" s="196"/>
      <c r="G217" s="196"/>
      <c r="H217" s="196"/>
      <c r="I217" s="196"/>
      <c r="J217" s="196"/>
    </row>
    <row r="218" spans="1:10">
      <c r="A218" s="196"/>
      <c r="B218" s="196"/>
      <c r="C218" s="196"/>
      <c r="D218" s="196"/>
      <c r="E218" s="196"/>
      <c r="F218" s="196"/>
      <c r="G218" s="196"/>
      <c r="H218" s="196"/>
      <c r="I218" s="196"/>
      <c r="J218" s="196"/>
    </row>
    <row r="219" spans="1:10">
      <c r="A219" s="196" t="s">
        <v>5894</v>
      </c>
      <c r="B219" s="196"/>
      <c r="C219" s="196"/>
      <c r="D219" s="196"/>
      <c r="E219" s="196"/>
      <c r="F219" s="196"/>
      <c r="G219" s="196"/>
      <c r="H219" s="196"/>
      <c r="I219" s="196"/>
      <c r="J219" s="196"/>
    </row>
    <row r="220" spans="1:10">
      <c r="A220" s="196"/>
      <c r="B220" s="196"/>
      <c r="C220" s="196"/>
      <c r="D220" s="196"/>
      <c r="E220" s="196"/>
      <c r="F220" s="196"/>
      <c r="G220" s="196"/>
      <c r="H220" s="196"/>
      <c r="I220" s="196"/>
      <c r="J220" s="196"/>
    </row>
    <row r="221" spans="1:10">
      <c r="A221" s="196" t="s">
        <v>5895</v>
      </c>
      <c r="B221" s="196"/>
      <c r="C221" s="196"/>
      <c r="D221" s="196"/>
      <c r="E221" s="196"/>
      <c r="F221" s="196"/>
      <c r="G221" s="196"/>
      <c r="H221" s="196"/>
      <c r="I221" s="196"/>
      <c r="J221" s="196"/>
    </row>
    <row r="222" spans="1:10">
      <c r="A222" s="196"/>
      <c r="B222" s="196"/>
      <c r="C222" s="196"/>
      <c r="D222" s="196"/>
      <c r="E222" s="196"/>
      <c r="F222" s="196"/>
      <c r="G222" s="196"/>
      <c r="H222" s="196"/>
      <c r="I222" s="196"/>
      <c r="J222" s="196"/>
    </row>
    <row r="223" spans="1:10">
      <c r="A223" s="196" t="s">
        <v>5896</v>
      </c>
      <c r="B223" s="196"/>
      <c r="C223" s="196"/>
      <c r="D223" s="196"/>
      <c r="E223" s="196"/>
      <c r="F223" s="196"/>
      <c r="G223" s="196"/>
      <c r="H223" s="196"/>
      <c r="I223" s="196"/>
      <c r="J223" s="196"/>
    </row>
    <row r="224" spans="1:10">
      <c r="A224" s="196"/>
      <c r="B224" s="196"/>
      <c r="C224" s="196"/>
      <c r="D224" s="196"/>
      <c r="E224" s="196"/>
      <c r="F224" s="196"/>
      <c r="G224" s="196"/>
      <c r="H224" s="196"/>
      <c r="I224" s="196"/>
      <c r="J224" s="196"/>
    </row>
    <row r="225" spans="1:10">
      <c r="A225" s="196"/>
      <c r="B225" s="196"/>
      <c r="C225" s="196"/>
      <c r="D225" s="196"/>
      <c r="E225" s="196"/>
      <c r="F225" s="196"/>
      <c r="G225" s="196"/>
      <c r="H225" s="196"/>
      <c r="I225" s="196"/>
      <c r="J225" s="196"/>
    </row>
    <row r="226" spans="1:10">
      <c r="A226" s="196"/>
      <c r="B226" s="196"/>
      <c r="C226" s="196"/>
      <c r="D226" s="196"/>
      <c r="E226" s="196"/>
      <c r="F226" s="196"/>
      <c r="G226" s="196"/>
      <c r="H226" s="196"/>
      <c r="I226" s="196"/>
      <c r="J226" s="196"/>
    </row>
    <row r="227" spans="1:10">
      <c r="A227" s="842" t="s">
        <v>5904</v>
      </c>
      <c r="B227" s="842"/>
      <c r="C227" s="842"/>
      <c r="D227" s="842"/>
      <c r="E227" s="842"/>
      <c r="F227" s="842"/>
      <c r="G227" s="842"/>
      <c r="H227" s="842"/>
      <c r="I227" s="842"/>
      <c r="J227" s="842"/>
    </row>
    <row r="228" spans="1:10">
      <c r="A228" s="196"/>
      <c r="B228" s="196"/>
      <c r="C228" s="196"/>
      <c r="D228" s="196"/>
      <c r="E228" s="196"/>
      <c r="F228" s="196"/>
      <c r="G228" s="196"/>
      <c r="H228" s="196"/>
      <c r="I228" s="196"/>
      <c r="J228" s="196"/>
    </row>
    <row r="229" spans="1:10">
      <c r="A229" s="196" t="s">
        <v>5897</v>
      </c>
      <c r="B229" s="196"/>
      <c r="C229" s="196"/>
      <c r="D229" s="196"/>
      <c r="E229" s="196"/>
      <c r="F229" s="196"/>
      <c r="G229" s="196"/>
      <c r="H229" s="196"/>
      <c r="I229" s="196"/>
      <c r="J229" s="196"/>
    </row>
    <row r="230" spans="1:10">
      <c r="A230" s="196"/>
      <c r="B230" s="196"/>
      <c r="C230" s="196"/>
      <c r="D230" s="196"/>
      <c r="E230" s="196"/>
      <c r="F230" s="196"/>
      <c r="G230" s="196"/>
      <c r="H230" s="196"/>
      <c r="I230" s="196"/>
      <c r="J230" s="196"/>
    </row>
    <row r="231" spans="1:10">
      <c r="A231" s="196" t="s">
        <v>5898</v>
      </c>
      <c r="B231" s="196"/>
      <c r="C231" s="196"/>
      <c r="D231" s="196"/>
      <c r="E231" s="196"/>
      <c r="F231" s="196"/>
      <c r="G231" s="196"/>
      <c r="H231" s="196"/>
      <c r="I231" s="196"/>
      <c r="J231" s="196"/>
    </row>
    <row r="232" spans="1:10">
      <c r="A232" s="196"/>
      <c r="B232" s="196"/>
      <c r="C232" s="196"/>
      <c r="D232" s="196"/>
      <c r="E232" s="196"/>
      <c r="F232" s="196"/>
      <c r="G232" s="196"/>
      <c r="H232" s="196"/>
      <c r="I232" s="196"/>
      <c r="J232" s="196"/>
    </row>
    <row r="233" spans="1:10">
      <c r="A233" s="196" t="s">
        <v>5899</v>
      </c>
      <c r="B233" s="196"/>
      <c r="C233" s="196"/>
      <c r="D233" s="196"/>
      <c r="E233" s="196"/>
      <c r="F233" s="196"/>
      <c r="G233" s="196"/>
      <c r="H233" s="196"/>
      <c r="I233" s="196"/>
      <c r="J233" s="196"/>
    </row>
    <row r="234" spans="1:10">
      <c r="A234" s="196"/>
      <c r="B234" s="196"/>
      <c r="C234" s="196"/>
      <c r="D234" s="196"/>
      <c r="E234" s="196"/>
      <c r="F234" s="196"/>
      <c r="G234" s="196"/>
      <c r="H234" s="196"/>
      <c r="I234" s="196"/>
      <c r="J234" s="196"/>
    </row>
    <row r="235" spans="1:10">
      <c r="A235" s="196"/>
      <c r="B235" s="196"/>
      <c r="C235" s="196"/>
      <c r="D235" s="196"/>
      <c r="E235" s="196"/>
      <c r="F235" s="196"/>
      <c r="G235" s="196"/>
      <c r="H235" s="196"/>
      <c r="I235" s="196"/>
      <c r="J235" s="196"/>
    </row>
    <row r="236" spans="1:10">
      <c r="A236" s="196"/>
      <c r="B236" s="196"/>
      <c r="C236" s="196"/>
      <c r="D236" s="196"/>
      <c r="E236" s="196"/>
      <c r="F236" s="196"/>
      <c r="G236" s="196"/>
      <c r="H236" s="196"/>
      <c r="I236" s="196"/>
      <c r="J236" s="196"/>
    </row>
    <row r="237" spans="1:10">
      <c r="A237" s="196" t="s">
        <v>5900</v>
      </c>
      <c r="B237" s="196"/>
      <c r="C237" s="196"/>
      <c r="D237" s="196"/>
      <c r="E237" s="196"/>
      <c r="F237" s="196"/>
      <c r="G237" s="196"/>
      <c r="H237" s="196"/>
      <c r="I237" s="196"/>
      <c r="J237" s="196"/>
    </row>
    <row r="238" spans="1:10">
      <c r="A238" s="196"/>
      <c r="B238" s="196"/>
      <c r="C238" s="196"/>
      <c r="D238" s="196"/>
      <c r="E238" s="196"/>
      <c r="F238" s="196"/>
      <c r="G238" s="196"/>
      <c r="H238" s="196"/>
      <c r="I238" s="196"/>
      <c r="J238" s="196"/>
    </row>
    <row r="239" spans="1:10">
      <c r="A239" s="341"/>
      <c r="B239" s="341"/>
      <c r="C239" s="341"/>
      <c r="D239" s="341"/>
      <c r="E239" s="341"/>
      <c r="F239" s="341"/>
      <c r="G239" s="341"/>
      <c r="H239" s="341"/>
      <c r="I239" s="341"/>
      <c r="J239" s="341"/>
    </row>
    <row r="240" spans="1:10">
      <c r="A240" s="341"/>
      <c r="B240" s="341"/>
      <c r="C240" s="341"/>
      <c r="D240" s="341"/>
      <c r="E240" s="341"/>
      <c r="F240" s="341"/>
      <c r="G240" s="341"/>
      <c r="H240" s="341"/>
      <c r="I240" s="341"/>
      <c r="J240" s="341"/>
    </row>
    <row r="241" spans="1:10">
      <c r="A241" s="341"/>
      <c r="B241" s="341"/>
      <c r="C241" s="341"/>
      <c r="D241" s="341"/>
      <c r="E241" s="341"/>
      <c r="F241" s="341"/>
      <c r="G241" s="341"/>
      <c r="H241" s="341"/>
      <c r="I241" s="341"/>
      <c r="J241" s="341"/>
    </row>
    <row r="242" spans="1:10">
      <c r="A242" s="341"/>
      <c r="B242" s="341"/>
      <c r="C242" s="341"/>
      <c r="D242" s="341"/>
      <c r="E242" s="341"/>
      <c r="F242" s="341"/>
      <c r="G242" s="341"/>
      <c r="H242" s="341"/>
      <c r="I242" s="341"/>
      <c r="J242" s="341"/>
    </row>
    <row r="243" spans="1:10">
      <c r="A243" s="341"/>
      <c r="B243" s="341"/>
      <c r="C243" s="341"/>
      <c r="D243" s="341"/>
      <c r="E243" s="341"/>
      <c r="F243" s="341"/>
      <c r="G243" s="341"/>
      <c r="H243" s="341"/>
      <c r="I243" s="341"/>
      <c r="J243" s="341"/>
    </row>
    <row r="244" spans="1:10">
      <c r="A244" s="341"/>
      <c r="B244" s="341"/>
      <c r="C244" s="341"/>
      <c r="D244" s="341"/>
      <c r="E244" s="341"/>
      <c r="F244" s="341"/>
      <c r="G244" s="341"/>
      <c r="H244" s="341"/>
      <c r="I244" s="341"/>
      <c r="J244" s="341"/>
    </row>
    <row r="245" spans="1:10">
      <c r="A245" s="341"/>
      <c r="B245" s="341"/>
      <c r="C245" s="341"/>
      <c r="D245" s="341"/>
      <c r="E245" s="341"/>
      <c r="F245" s="341"/>
      <c r="G245" s="341"/>
      <c r="H245" s="341"/>
      <c r="I245" s="341"/>
      <c r="J245" s="341"/>
    </row>
    <row r="246" spans="1:10">
      <c r="A246" s="341"/>
      <c r="B246" s="341"/>
      <c r="C246" s="341"/>
      <c r="D246" s="341"/>
      <c r="E246" s="341"/>
      <c r="F246" s="341"/>
      <c r="G246" s="341"/>
      <c r="H246" s="341"/>
      <c r="I246" s="341"/>
      <c r="J246" s="341"/>
    </row>
    <row r="247" spans="1:10">
      <c r="A247" s="341"/>
      <c r="B247" s="341"/>
      <c r="C247" s="341"/>
      <c r="D247" s="341"/>
      <c r="E247" s="341"/>
      <c r="F247" s="341"/>
      <c r="G247" s="341"/>
      <c r="H247" s="341"/>
      <c r="I247" s="341"/>
      <c r="J247" s="341"/>
    </row>
    <row r="248" spans="1:10">
      <c r="A248" s="196"/>
      <c r="B248" s="196"/>
      <c r="C248" s="196"/>
      <c r="D248" s="196"/>
      <c r="E248" s="196"/>
      <c r="F248" s="196"/>
      <c r="G248" s="196"/>
      <c r="H248" s="196"/>
      <c r="I248" s="196"/>
      <c r="J248" s="196"/>
    </row>
    <row r="249" spans="1:10">
      <c r="A249" s="320"/>
      <c r="B249" s="320"/>
      <c r="C249" s="320"/>
      <c r="D249" s="320"/>
      <c r="E249" s="320"/>
      <c r="F249" s="320"/>
      <c r="G249" s="874"/>
      <c r="H249" s="874"/>
      <c r="I249" s="874"/>
      <c r="J249" s="874"/>
    </row>
  </sheetData>
  <mergeCells count="121">
    <mergeCell ref="A1:J1"/>
    <mergeCell ref="B104:J104"/>
    <mergeCell ref="A44:C44"/>
    <mergeCell ref="A58:C58"/>
    <mergeCell ref="D6:J6"/>
    <mergeCell ref="A30:C30"/>
    <mergeCell ref="A16:C16"/>
    <mergeCell ref="A80:C80"/>
    <mergeCell ref="A37:C37"/>
    <mergeCell ref="B101:J101"/>
    <mergeCell ref="B103:J103"/>
    <mergeCell ref="A23:C23"/>
    <mergeCell ref="B106:J106"/>
    <mergeCell ref="B100:J100"/>
    <mergeCell ref="A51:C51"/>
    <mergeCell ref="A98:C98"/>
    <mergeCell ref="B102:J102"/>
    <mergeCell ref="B105:J105"/>
    <mergeCell ref="A69:C69"/>
    <mergeCell ref="A8:C8"/>
    <mergeCell ref="A91:C91"/>
    <mergeCell ref="G111:J111"/>
    <mergeCell ref="G113:J113"/>
    <mergeCell ref="A115:B115"/>
    <mergeCell ref="E115:J115"/>
    <mergeCell ref="A117:C117"/>
    <mergeCell ref="D117:F117"/>
    <mergeCell ref="G117:J117"/>
    <mergeCell ref="A108:C108"/>
    <mergeCell ref="D108:F108"/>
    <mergeCell ref="G108:J108"/>
    <mergeCell ref="G109:J109"/>
    <mergeCell ref="G110:J110"/>
    <mergeCell ref="F123:J123"/>
    <mergeCell ref="F124:J124"/>
    <mergeCell ref="F125:J125"/>
    <mergeCell ref="F126:J126"/>
    <mergeCell ref="A127:B127"/>
    <mergeCell ref="C127:D127"/>
    <mergeCell ref="E127:J127"/>
    <mergeCell ref="G118:J118"/>
    <mergeCell ref="F119:J119"/>
    <mergeCell ref="F120:J120"/>
    <mergeCell ref="F121:J121"/>
    <mergeCell ref="F122:J122"/>
    <mergeCell ref="G132:J132"/>
    <mergeCell ref="G133:J133"/>
    <mergeCell ref="G134:J134"/>
    <mergeCell ref="G135:J135"/>
    <mergeCell ref="A136:B136"/>
    <mergeCell ref="C136:D136"/>
    <mergeCell ref="E136:J136"/>
    <mergeCell ref="A129:C129"/>
    <mergeCell ref="D129:F129"/>
    <mergeCell ref="G129:J129"/>
    <mergeCell ref="G130:J130"/>
    <mergeCell ref="G131:J131"/>
    <mergeCell ref="G140:J140"/>
    <mergeCell ref="G141:J141"/>
    <mergeCell ref="G142:J142"/>
    <mergeCell ref="G143:J143"/>
    <mergeCell ref="A144:D145"/>
    <mergeCell ref="E144:J145"/>
    <mergeCell ref="G137:J137"/>
    <mergeCell ref="A138:C138"/>
    <mergeCell ref="D138:F138"/>
    <mergeCell ref="G138:J138"/>
    <mergeCell ref="G139:J139"/>
    <mergeCell ref="G149:J149"/>
    <mergeCell ref="G150:J150"/>
    <mergeCell ref="G151:J151"/>
    <mergeCell ref="G152:J152"/>
    <mergeCell ref="G153:J153"/>
    <mergeCell ref="A146:C146"/>
    <mergeCell ref="D146:F146"/>
    <mergeCell ref="G146:J146"/>
    <mergeCell ref="G147:J147"/>
    <mergeCell ref="G148:J148"/>
    <mergeCell ref="B159:J159"/>
    <mergeCell ref="B160:J160"/>
    <mergeCell ref="B161:J161"/>
    <mergeCell ref="B162:J162"/>
    <mergeCell ref="B163:J163"/>
    <mergeCell ref="A154:B154"/>
    <mergeCell ref="C154:D154"/>
    <mergeCell ref="E154:J154"/>
    <mergeCell ref="A156:C156"/>
    <mergeCell ref="B158:J158"/>
    <mergeCell ref="B181:D181"/>
    <mergeCell ref="E181:G181"/>
    <mergeCell ref="B182:D182"/>
    <mergeCell ref="E182:G182"/>
    <mergeCell ref="B183:D183"/>
    <mergeCell ref="E183:G183"/>
    <mergeCell ref="B164:J164"/>
    <mergeCell ref="A166:H166"/>
    <mergeCell ref="B167:H167"/>
    <mergeCell ref="B168:H168"/>
    <mergeCell ref="B180:D180"/>
    <mergeCell ref="E180:G180"/>
    <mergeCell ref="B187:D187"/>
    <mergeCell ref="E187:G187"/>
    <mergeCell ref="A194:C194"/>
    <mergeCell ref="D194:F194"/>
    <mergeCell ref="G194:J194"/>
    <mergeCell ref="B184:D184"/>
    <mergeCell ref="E184:G184"/>
    <mergeCell ref="B185:D185"/>
    <mergeCell ref="E185:G185"/>
    <mergeCell ref="B186:D186"/>
    <mergeCell ref="E186:G186"/>
    <mergeCell ref="A227:C227"/>
    <mergeCell ref="D227:F227"/>
    <mergeCell ref="G227:J227"/>
    <mergeCell ref="G249:J249"/>
    <mergeCell ref="A205:C205"/>
    <mergeCell ref="D205:F205"/>
    <mergeCell ref="G205:J205"/>
    <mergeCell ref="A215:C215"/>
    <mergeCell ref="D215:F215"/>
    <mergeCell ref="G215:J215"/>
  </mergeCells>
  <conditionalFormatting sqref="B110:B114">
    <cfRule type="expression" dxfId="1386" priority="21">
      <formula>B110="Complete"</formula>
    </cfRule>
    <cfRule type="expression" dxfId="1385" priority="22">
      <formula>B110="In Progress"</formula>
    </cfRule>
    <cfRule type="expression" dxfId="1384" priority="23">
      <formula>B110="At Risk"</formula>
    </cfRule>
    <cfRule type="expression" dxfId="1383" priority="24">
      <formula>B110="Blocked"</formula>
    </cfRule>
    <cfRule type="expression" dxfId="1382" priority="25">
      <formula>B110="Not Started"</formula>
    </cfRule>
  </conditionalFormatting>
  <conditionalFormatting sqref="B119:B126">
    <cfRule type="expression" dxfId="1381" priority="1">
      <formula>B119="Complete"</formula>
    </cfRule>
    <cfRule type="expression" dxfId="1380" priority="2">
      <formula>B119="In Progress"</formula>
    </cfRule>
    <cfRule type="expression" dxfId="1379" priority="3">
      <formula>B119="At Risk"</formula>
    </cfRule>
    <cfRule type="expression" dxfId="1378" priority="4">
      <formula>B119="Blocked"</formula>
    </cfRule>
    <cfRule type="expression" dxfId="1377" priority="5">
      <formula>B119="Not Started"</formula>
    </cfRule>
  </conditionalFormatting>
  <conditionalFormatting sqref="B131:B135">
    <cfRule type="expression" dxfId="1376" priority="26">
      <formula>B131="Complete"</formula>
    </cfRule>
    <cfRule type="expression" dxfId="1375" priority="27">
      <formula>B131="In Progress"</formula>
    </cfRule>
    <cfRule type="expression" dxfId="1374" priority="28">
      <formula>B131="At Risk"</formula>
    </cfRule>
    <cfRule type="expression" dxfId="1373" priority="29">
      <formula>B131="Blocked"</formula>
    </cfRule>
    <cfRule type="expression" dxfId="1372" priority="30">
      <formula>B131="Not Started"</formula>
    </cfRule>
  </conditionalFormatting>
  <conditionalFormatting sqref="B140:B143">
    <cfRule type="expression" dxfId="1371" priority="6">
      <formula>B140="Complete"</formula>
    </cfRule>
    <cfRule type="expression" dxfId="1370" priority="7">
      <formula>B140="In Progress"</formula>
    </cfRule>
    <cfRule type="expression" dxfId="1369" priority="8">
      <formula>B140="At Risk"</formula>
    </cfRule>
    <cfRule type="expression" dxfId="1368" priority="9">
      <formula>B140="Blocked"</formula>
    </cfRule>
    <cfRule type="expression" dxfId="1367" priority="10">
      <formula>B140="Not Started"</formula>
    </cfRule>
  </conditionalFormatting>
  <conditionalFormatting sqref="B148:B153">
    <cfRule type="expression" dxfId="1366" priority="11">
      <formula>B148="Complete"</formula>
    </cfRule>
    <cfRule type="expression" dxfId="1365" priority="12">
      <formula>B148="In Progress"</formula>
    </cfRule>
    <cfRule type="expression" dxfId="1364" priority="13">
      <formula>B148="At Risk"</formula>
    </cfRule>
    <cfRule type="expression" dxfId="1363" priority="14">
      <formula>B148="Blocked"</formula>
    </cfRule>
    <cfRule type="expression" dxfId="1362" priority="15">
      <formula>B148="Not Started"</formula>
    </cfRule>
  </conditionalFormatting>
  <conditionalFormatting sqref="B171:B178">
    <cfRule type="expression" dxfId="1361" priority="109">
      <formula>B171="Yes"</formula>
    </cfRule>
    <cfRule type="expression" dxfId="1360" priority="110">
      <formula>B171="N/A"</formula>
    </cfRule>
    <cfRule type="expression" dxfId="1359" priority="111">
      <formula>B171="No"</formula>
    </cfRule>
  </conditionalFormatting>
  <conditionalFormatting sqref="B188:H188">
    <cfRule type="expression" dxfId="1358" priority="112">
      <formula>COUNTIF($B$6:$B$13,"No")=0</formula>
    </cfRule>
    <cfRule type="expression" dxfId="1357" priority="113">
      <formula>COUNTIF($B$6:$B$13,"No")&gt;0</formula>
    </cfRule>
  </conditionalFormatting>
  <conditionalFormatting sqref="C115:D115">
    <cfRule type="dataBar" priority="37">
      <dataBar>
        <cfvo type="num" val="0"/>
        <cfvo type="num" val="1"/>
        <color rgb="FF5B9BD5"/>
      </dataBar>
    </cfRule>
  </conditionalFormatting>
  <conditionalFormatting sqref="C119:D126">
    <cfRule type="expression" dxfId="1356" priority="31">
      <formula>C119="Yes"</formula>
    </cfRule>
    <cfRule type="expression" dxfId="1355" priority="32">
      <formula>C119="No"</formula>
    </cfRule>
    <cfRule type="expression" dxfId="1354" priority="33">
      <formula>C119="N/A"</formula>
    </cfRule>
  </conditionalFormatting>
  <conditionalFormatting sqref="C127:D127">
    <cfRule type="dataBar" priority="38">
      <dataBar>
        <cfvo type="num" val="0"/>
        <cfvo type="num" val="1"/>
        <color rgb="FF5B9BD5"/>
      </dataBar>
    </cfRule>
  </conditionalFormatting>
  <conditionalFormatting sqref="C136:D136">
    <cfRule type="dataBar" priority="39">
      <dataBar>
        <cfvo type="num" val="0"/>
        <cfvo type="num" val="1"/>
        <color rgb="FF5B9BD5"/>
      </dataBar>
    </cfRule>
  </conditionalFormatting>
  <conditionalFormatting sqref="C148:D153">
    <cfRule type="expression" dxfId="1353" priority="16">
      <formula>C148="Yes"</formula>
    </cfRule>
    <cfRule type="expression" dxfId="1352" priority="17">
      <formula>C148="No"</formula>
    </cfRule>
    <cfRule type="expression" dxfId="1351" priority="18">
      <formula>C148="N/A"</formula>
    </cfRule>
  </conditionalFormatting>
  <conditionalFormatting sqref="C154:D154">
    <cfRule type="dataBar" priority="20">
      <dataBar>
        <cfvo type="num" val="0"/>
        <cfvo type="num" val="1"/>
        <color rgb="FF5B9BD5"/>
      </dataBar>
    </cfRule>
  </conditionalFormatting>
  <conditionalFormatting sqref="E5 G5 I5">
    <cfRule type="expression" dxfId="1350" priority="114">
      <formula>E5="Pass"</formula>
    </cfRule>
    <cfRule type="expression" dxfId="1349" priority="115">
      <formula>E5="Verify"</formula>
    </cfRule>
    <cfRule type="expression" dxfId="1348" priority="116">
      <formula>E5="Fail"</formula>
    </cfRule>
    <cfRule type="expression" dxfId="1347" priority="117">
      <formula>E5="Not Started"</formula>
    </cfRule>
  </conditionalFormatting>
  <conditionalFormatting sqref="F3">
    <cfRule type="expression" dxfId="1346" priority="118">
      <formula>F3="Yes"</formula>
    </cfRule>
    <cfRule type="expression" dxfId="1345" priority="119">
      <formula>F3="No"</formula>
    </cfRule>
  </conditionalFormatting>
  <conditionalFormatting sqref="F131:F135">
    <cfRule type="expression" dxfId="1344" priority="34">
      <formula>F131="Pass"</formula>
    </cfRule>
    <cfRule type="expression" dxfId="1343" priority="35">
      <formula>F131="Fail"</formula>
    </cfRule>
    <cfRule type="expression" dxfId="1342" priority="36">
      <formula>F131="Pending"</formula>
    </cfRule>
  </conditionalFormatting>
  <conditionalFormatting sqref="F140:F143">
    <cfRule type="dataBar" priority="19">
      <dataBar>
        <cfvo type="num" val="0"/>
        <cfvo type="num" val="1"/>
        <color rgb="FF5B9BD5"/>
      </dataBar>
    </cfRule>
  </conditionalFormatting>
  <dataValidations count="5">
    <dataValidation type="list" sqref="B5:B6 D5 F5 H5 H10:H15 J5 H101:I106 H156:I157 H159:I164 H16:I99 D71:D78" xr:uid="{00000000-0002-0000-2500-000000000000}">
      <formula1>"Not Started,Verify,Pass,Fail,N/A,Open,Closed,Partial / Yellow"</formula1>
      <formula2>0</formula2>
    </dataValidation>
    <dataValidation type="list" allowBlank="1" sqref="F131:F135" xr:uid="{1B268BFF-A70B-4225-9188-CE26BF6A2A95}">
      <formula1>"Pending,Pass,Fail,N/A"</formula1>
    </dataValidation>
    <dataValidation type="list" allowBlank="1" sqref="C119:D126 C148:D153" xr:uid="{4046D188-BDA2-4BC2-9AAE-AACFB2BC5C51}">
      <formula1>"Yes,No,N/A"</formula1>
    </dataValidation>
    <dataValidation type="list" allowBlank="1" sqref="B140:B143 B131:B135" xr:uid="{8806FB7E-24F6-450A-A51F-64696EAC456E}">
      <formula1>"Not Started,In Progress,Complete,At Risk,Blocked"</formula1>
    </dataValidation>
    <dataValidation type="list" sqref="B171:B178" xr:uid="{DE882251-7AE0-4FAF-BBF9-427D179A790C}">
      <formula1>"No,Yes,N/A"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80EF0077-3E03-49FF-A1E0-6CAA7F394476}">
          <x14:formula1>
            <xm:f>Lookup_Lists!$A$36:$A$42</xm:f>
          </x14:formula1>
          <xm:sqref>B110:B114 B119:B126 B148:B153</xm:sqref>
        </x14:dataValidation>
        <x14:dataValidation type="list" allowBlank="1" showInputMessage="1" showErrorMessage="1" xr:uid="{077C15E5-758D-424B-A70F-DF0828A8CA92}">
          <x14:formula1>
            <xm:f>Lookup_Lists!$L$37:$L$39</xm:f>
          </x14:formula1>
          <xm:sqref>C131:E135 J2</xm:sqref>
        </x14:dataValidation>
      </x14:dataValidations>
    </ext>
  </extLst>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27D60-21A9-4941-9B10-2B03E38573EF}">
  <dimension ref="A1:J248"/>
  <sheetViews>
    <sheetView workbookViewId="0">
      <selection activeCell="D4" sqref="D4"/>
    </sheetView>
  </sheetViews>
  <sheetFormatPr defaultColWidth="8.6640625" defaultRowHeight="14.4"/>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6640625" style="8" customWidth="1"/>
    <col min="13" max="16384" width="8.6640625" style="8"/>
  </cols>
  <sheetData>
    <row r="1" spans="1:10">
      <c r="A1" s="851" t="s">
        <v>1215</v>
      </c>
      <c r="B1" s="839"/>
      <c r="C1" s="839"/>
      <c r="D1" s="839"/>
      <c r="E1" s="839"/>
      <c r="F1" s="839"/>
      <c r="G1" s="839"/>
      <c r="H1" s="839"/>
      <c r="I1" s="839"/>
      <c r="J1" s="839"/>
    </row>
    <row r="2" spans="1:10" s="227" customFormat="1">
      <c r="A2" s="223" t="s">
        <v>142</v>
      </c>
      <c r="B2" s="224" t="s">
        <v>625</v>
      </c>
      <c r="C2" s="223" t="s">
        <v>902</v>
      </c>
      <c r="D2" s="224" t="s">
        <v>1094</v>
      </c>
      <c r="E2" s="223" t="s">
        <v>151</v>
      </c>
      <c r="F2" s="224" t="s">
        <v>1095</v>
      </c>
      <c r="G2" s="223" t="s">
        <v>174</v>
      </c>
      <c r="H2" s="225">
        <v>0.5</v>
      </c>
      <c r="I2" s="223" t="s">
        <v>154</v>
      </c>
      <c r="J2" s="226" t="s">
        <v>1096</v>
      </c>
    </row>
    <row r="3" spans="1:10" s="231" customFormat="1" ht="27.6">
      <c r="A3" s="223" t="s">
        <v>903</v>
      </c>
      <c r="B3" s="228">
        <v>46199.632157418979</v>
      </c>
      <c r="C3" s="229" t="s">
        <v>904</v>
      </c>
      <c r="D3" s="230" t="s">
        <v>721</v>
      </c>
      <c r="E3" s="223" t="s">
        <v>905</v>
      </c>
      <c r="F3" s="230" t="s">
        <v>1216</v>
      </c>
      <c r="G3" s="223" t="s">
        <v>907</v>
      </c>
      <c r="H3" s="230" t="s">
        <v>908</v>
      </c>
      <c r="I3" s="223" t="s">
        <v>551</v>
      </c>
      <c r="J3" s="230" t="s">
        <v>1217</v>
      </c>
    </row>
    <row r="4" spans="1:10" s="231" customFormat="1" ht="400.2">
      <c r="A4" s="223" t="s">
        <v>161</v>
      </c>
      <c r="B4" s="230">
        <v>0</v>
      </c>
      <c r="C4" s="223" t="s">
        <v>199</v>
      </c>
      <c r="D4" s="230">
        <v>0</v>
      </c>
      <c r="E4" s="223" t="s">
        <v>179</v>
      </c>
      <c r="F4" s="230">
        <v>0</v>
      </c>
      <c r="G4" s="223" t="s">
        <v>870</v>
      </c>
      <c r="H4" s="232" t="s">
        <v>1218</v>
      </c>
      <c r="I4" s="233"/>
      <c r="J4" s="233"/>
    </row>
    <row r="5" spans="1:10" s="231" customFormat="1">
      <c r="A5" s="234" t="s">
        <v>911</v>
      </c>
      <c r="B5" s="225" t="s">
        <v>484</v>
      </c>
      <c r="C5" s="235" t="s">
        <v>912</v>
      </c>
      <c r="D5" s="225" t="s">
        <v>484</v>
      </c>
      <c r="E5" s="236" t="s">
        <v>913</v>
      </c>
      <c r="F5" s="225" t="s">
        <v>484</v>
      </c>
      <c r="G5" s="237" t="s">
        <v>914</v>
      </c>
      <c r="H5" s="225" t="s">
        <v>484</v>
      </c>
      <c r="I5" s="237" t="s">
        <v>915</v>
      </c>
      <c r="J5" s="225" t="s">
        <v>484</v>
      </c>
    </row>
    <row r="6" spans="1:10" s="231" customFormat="1" ht="33" customHeight="1">
      <c r="A6" s="238" t="s">
        <v>916</v>
      </c>
      <c r="B6" s="225" t="s">
        <v>484</v>
      </c>
      <c r="C6" s="239" t="s">
        <v>869</v>
      </c>
      <c r="D6" s="854" t="s">
        <v>1219</v>
      </c>
      <c r="E6" s="853"/>
      <c r="F6" s="853"/>
      <c r="G6" s="853"/>
      <c r="H6" s="853"/>
      <c r="I6" s="853"/>
      <c r="J6" s="853"/>
    </row>
    <row r="7" spans="1:10">
      <c r="A7" s="13"/>
      <c r="B7" s="13"/>
      <c r="C7" s="13"/>
      <c r="D7" s="13"/>
      <c r="E7" s="13"/>
      <c r="F7" s="13"/>
      <c r="G7" s="13"/>
      <c r="H7" s="13"/>
      <c r="I7" s="13"/>
      <c r="J7" s="13"/>
    </row>
    <row r="8" spans="1:10">
      <c r="A8" s="842" t="s">
        <v>918</v>
      </c>
      <c r="B8" s="839"/>
      <c r="C8" s="839"/>
      <c r="D8" s="85"/>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110.4">
      <c r="A10" s="13" t="s">
        <v>625</v>
      </c>
      <c r="B10" s="13" t="s">
        <v>634</v>
      </c>
      <c r="C10" s="13" t="s">
        <v>919</v>
      </c>
      <c r="D10" s="13" t="s">
        <v>1220</v>
      </c>
      <c r="E10" s="13" t="s">
        <v>356</v>
      </c>
      <c r="F10" s="13">
        <v>2</v>
      </c>
      <c r="G10" s="13">
        <v>1</v>
      </c>
      <c r="H10" s="13" t="s">
        <v>677</v>
      </c>
      <c r="I10" s="13" t="s">
        <v>1221</v>
      </c>
      <c r="J10" s="13" t="s">
        <v>1222</v>
      </c>
    </row>
    <row r="11" spans="1:10" ht="96.6">
      <c r="A11" s="13" t="s">
        <v>625</v>
      </c>
      <c r="B11" s="13" t="s">
        <v>591</v>
      </c>
      <c r="C11" s="13" t="s">
        <v>923</v>
      </c>
      <c r="D11" s="13" t="s">
        <v>1112</v>
      </c>
      <c r="E11" s="13" t="s">
        <v>925</v>
      </c>
      <c r="F11" s="13">
        <v>1</v>
      </c>
      <c r="G11" s="13">
        <v>0</v>
      </c>
      <c r="H11" s="13" t="s">
        <v>677</v>
      </c>
      <c r="I11" s="13" t="s">
        <v>1223</v>
      </c>
      <c r="J11" s="13" t="s">
        <v>1224</v>
      </c>
    </row>
    <row r="12" spans="1:10" ht="110.4">
      <c r="A12" s="13" t="s">
        <v>625</v>
      </c>
      <c r="B12" s="13" t="s">
        <v>386</v>
      </c>
      <c r="C12" s="13" t="s">
        <v>919</v>
      </c>
      <c r="D12" s="13" t="s">
        <v>1225</v>
      </c>
      <c r="E12" s="13" t="s">
        <v>1226</v>
      </c>
      <c r="F12" s="13">
        <v>1</v>
      </c>
      <c r="G12" s="13">
        <v>0</v>
      </c>
      <c r="H12" s="13" t="s">
        <v>677</v>
      </c>
      <c r="I12" s="13" t="s">
        <v>1227</v>
      </c>
      <c r="J12" s="13" t="s">
        <v>1228</v>
      </c>
    </row>
    <row r="13" spans="1:10" ht="69">
      <c r="A13" s="13" t="s">
        <v>625</v>
      </c>
      <c r="B13" s="13" t="s">
        <v>1229</v>
      </c>
      <c r="C13" s="13" t="s">
        <v>919</v>
      </c>
      <c r="D13" s="13" t="s">
        <v>1230</v>
      </c>
      <c r="E13" s="13" t="s">
        <v>1231</v>
      </c>
      <c r="F13" s="13">
        <v>0</v>
      </c>
      <c r="G13" s="13">
        <v>0</v>
      </c>
      <c r="H13" s="13" t="s">
        <v>677</v>
      </c>
      <c r="I13" s="13" t="s">
        <v>1232</v>
      </c>
      <c r="J13" s="13" t="s">
        <v>1233</v>
      </c>
    </row>
    <row r="14" spans="1:10">
      <c r="A14" s="13"/>
      <c r="B14" s="13"/>
      <c r="C14" s="13"/>
      <c r="D14" s="13"/>
      <c r="E14" s="13"/>
      <c r="F14" s="13"/>
      <c r="G14" s="13"/>
      <c r="H14" s="13"/>
      <c r="I14" s="13"/>
      <c r="J14" s="13"/>
    </row>
    <row r="15" spans="1:10">
      <c r="A15" s="842" t="s">
        <v>936</v>
      </c>
      <c r="B15" s="839"/>
      <c r="C15" s="839"/>
      <c r="D15" s="85"/>
      <c r="E15" s="85"/>
      <c r="F15" s="85"/>
      <c r="G15" s="85"/>
      <c r="H15" s="85"/>
      <c r="I15" s="85"/>
      <c r="J15" s="85"/>
    </row>
    <row r="16" spans="1:10">
      <c r="A16" s="50" t="s">
        <v>275</v>
      </c>
      <c r="B16" s="50" t="s">
        <v>937</v>
      </c>
      <c r="C16" s="50" t="s">
        <v>938</v>
      </c>
      <c r="D16" s="50" t="s">
        <v>939</v>
      </c>
      <c r="E16" s="50" t="s">
        <v>940</v>
      </c>
      <c r="F16" s="50" t="s">
        <v>941</v>
      </c>
      <c r="G16" s="50" t="s">
        <v>942</v>
      </c>
      <c r="H16" s="50" t="s">
        <v>943</v>
      </c>
      <c r="I16" s="50" t="s">
        <v>899</v>
      </c>
      <c r="J16" s="50" t="s">
        <v>944</v>
      </c>
    </row>
    <row r="17" spans="1:10" ht="96.6">
      <c r="A17" s="13" t="s">
        <v>634</v>
      </c>
      <c r="B17" s="13" t="s">
        <v>677</v>
      </c>
      <c r="C17" s="13" t="s">
        <v>677</v>
      </c>
      <c r="D17" s="13" t="s">
        <v>677</v>
      </c>
      <c r="E17" s="13" t="s">
        <v>677</v>
      </c>
      <c r="F17" s="13" t="s">
        <v>677</v>
      </c>
      <c r="G17" s="13" t="s">
        <v>677</v>
      </c>
      <c r="H17" s="13" t="s">
        <v>677</v>
      </c>
      <c r="I17" s="13" t="s">
        <v>677</v>
      </c>
      <c r="J17" s="13" t="s">
        <v>1234</v>
      </c>
    </row>
    <row r="18" spans="1:10" ht="69">
      <c r="A18" s="13" t="s">
        <v>591</v>
      </c>
      <c r="B18" s="13" t="s">
        <v>946</v>
      </c>
      <c r="C18" s="13" t="s">
        <v>946</v>
      </c>
      <c r="D18" s="13" t="s">
        <v>946</v>
      </c>
      <c r="E18" s="13" t="s">
        <v>677</v>
      </c>
      <c r="F18" s="13" t="s">
        <v>947</v>
      </c>
      <c r="G18" s="13" t="s">
        <v>677</v>
      </c>
      <c r="H18" s="13" t="s">
        <v>677</v>
      </c>
      <c r="I18" s="13" t="s">
        <v>677</v>
      </c>
      <c r="J18" s="13" t="s">
        <v>1235</v>
      </c>
    </row>
    <row r="19" spans="1:10" ht="69">
      <c r="A19" s="13" t="s">
        <v>386</v>
      </c>
      <c r="B19" s="13" t="s">
        <v>946</v>
      </c>
      <c r="C19" s="13" t="s">
        <v>946</v>
      </c>
      <c r="D19" s="13" t="s">
        <v>946</v>
      </c>
      <c r="E19" s="13" t="s">
        <v>677</v>
      </c>
      <c r="F19" s="13" t="s">
        <v>947</v>
      </c>
      <c r="G19" s="13" t="s">
        <v>677</v>
      </c>
      <c r="H19" s="13" t="s">
        <v>677</v>
      </c>
      <c r="I19" s="13" t="s">
        <v>677</v>
      </c>
      <c r="J19" s="13" t="s">
        <v>1236</v>
      </c>
    </row>
    <row r="20" spans="1:10" ht="55.2">
      <c r="A20" s="13" t="s">
        <v>1237</v>
      </c>
      <c r="B20" s="13" t="s">
        <v>946</v>
      </c>
      <c r="C20" s="13" t="s">
        <v>946</v>
      </c>
      <c r="D20" s="13" t="s">
        <v>946</v>
      </c>
      <c r="E20" s="13" t="s">
        <v>677</v>
      </c>
      <c r="F20" s="13" t="s">
        <v>1238</v>
      </c>
      <c r="G20" s="13" t="s">
        <v>677</v>
      </c>
      <c r="H20" s="13" t="s">
        <v>677</v>
      </c>
      <c r="I20" s="13" t="s">
        <v>677</v>
      </c>
      <c r="J20" s="13" t="s">
        <v>1239</v>
      </c>
    </row>
    <row r="21" spans="1:10">
      <c r="A21" s="13"/>
      <c r="B21" s="13"/>
      <c r="C21" s="13"/>
      <c r="D21" s="13"/>
      <c r="E21" s="13"/>
      <c r="F21" s="13"/>
      <c r="G21" s="13"/>
      <c r="H21" s="13"/>
      <c r="I21" s="13"/>
      <c r="J21" s="13"/>
    </row>
    <row r="22" spans="1:10">
      <c r="A22" s="842" t="s">
        <v>951</v>
      </c>
      <c r="B22" s="839"/>
      <c r="C22" s="839"/>
      <c r="D22" s="85"/>
      <c r="E22" s="85"/>
      <c r="F22" s="85"/>
      <c r="G22" s="85"/>
      <c r="H22" s="85"/>
      <c r="I22" s="85"/>
      <c r="J22" s="85"/>
    </row>
    <row r="23" spans="1:10">
      <c r="A23" s="50" t="s">
        <v>275</v>
      </c>
      <c r="B23" s="50" t="s">
        <v>952</v>
      </c>
      <c r="C23" s="50" t="s">
        <v>953</v>
      </c>
      <c r="D23" s="50" t="s">
        <v>954</v>
      </c>
      <c r="E23" s="50" t="s">
        <v>955</v>
      </c>
      <c r="F23" s="50" t="s">
        <v>956</v>
      </c>
      <c r="G23" s="50" t="s">
        <v>957</v>
      </c>
      <c r="H23" s="50" t="s">
        <v>958</v>
      </c>
      <c r="I23" s="50" t="s">
        <v>899</v>
      </c>
      <c r="J23" s="50" t="s">
        <v>959</v>
      </c>
    </row>
    <row r="24" spans="1:10" ht="82.8">
      <c r="A24" s="13" t="s">
        <v>634</v>
      </c>
      <c r="B24" s="13" t="s">
        <v>677</v>
      </c>
      <c r="C24" s="13" t="s">
        <v>677</v>
      </c>
      <c r="D24" s="13" t="s">
        <v>677</v>
      </c>
      <c r="E24" s="13" t="s">
        <v>677</v>
      </c>
      <c r="F24" s="13" t="s">
        <v>677</v>
      </c>
      <c r="G24" s="13" t="s">
        <v>677</v>
      </c>
      <c r="H24" s="13" t="s">
        <v>677</v>
      </c>
      <c r="I24" s="13" t="s">
        <v>677</v>
      </c>
      <c r="J24" s="13" t="s">
        <v>1126</v>
      </c>
    </row>
    <row r="25" spans="1:10" ht="55.2">
      <c r="A25" s="13" t="s">
        <v>591</v>
      </c>
      <c r="B25" s="13" t="s">
        <v>946</v>
      </c>
      <c r="C25" s="13" t="s">
        <v>679</v>
      </c>
      <c r="D25" s="13" t="s">
        <v>947</v>
      </c>
      <c r="E25" s="13" t="s">
        <v>947</v>
      </c>
      <c r="F25" s="13" t="s">
        <v>677</v>
      </c>
      <c r="G25" s="13" t="s">
        <v>677</v>
      </c>
      <c r="H25" s="13" t="s">
        <v>677</v>
      </c>
      <c r="I25" s="13" t="s">
        <v>677</v>
      </c>
      <c r="J25" s="13" t="s">
        <v>1240</v>
      </c>
    </row>
    <row r="26" spans="1:10" ht="41.4">
      <c r="A26" s="13" t="s">
        <v>386</v>
      </c>
      <c r="B26" s="13" t="s">
        <v>946</v>
      </c>
      <c r="C26" s="13" t="s">
        <v>679</v>
      </c>
      <c r="D26" s="13" t="s">
        <v>947</v>
      </c>
      <c r="E26" s="13" t="s">
        <v>947</v>
      </c>
      <c r="F26" s="13" t="s">
        <v>677</v>
      </c>
      <c r="G26" s="13" t="s">
        <v>677</v>
      </c>
      <c r="H26" s="13" t="s">
        <v>677</v>
      </c>
      <c r="I26" s="13" t="s">
        <v>677</v>
      </c>
      <c r="J26" s="13" t="s">
        <v>1241</v>
      </c>
    </row>
    <row r="27" spans="1:10" ht="55.2">
      <c r="A27" s="13" t="s">
        <v>1237</v>
      </c>
      <c r="B27" s="13" t="s">
        <v>946</v>
      </c>
      <c r="C27" s="13" t="s">
        <v>679</v>
      </c>
      <c r="D27" s="13" t="s">
        <v>947</v>
      </c>
      <c r="E27" s="13" t="s">
        <v>947</v>
      </c>
      <c r="F27" s="13" t="s">
        <v>679</v>
      </c>
      <c r="G27" s="13" t="s">
        <v>677</v>
      </c>
      <c r="H27" s="13" t="s">
        <v>677</v>
      </c>
      <c r="I27" s="13" t="s">
        <v>677</v>
      </c>
      <c r="J27" s="13" t="s">
        <v>1242</v>
      </c>
    </row>
    <row r="28" spans="1:10">
      <c r="A28" s="13"/>
      <c r="B28" s="13"/>
      <c r="C28" s="13"/>
      <c r="D28" s="13"/>
      <c r="E28" s="13"/>
      <c r="F28" s="13"/>
      <c r="G28" s="13"/>
      <c r="H28" s="13"/>
      <c r="I28" s="13"/>
      <c r="J28" s="13"/>
    </row>
    <row r="29" spans="1:10">
      <c r="A29" s="842" t="s">
        <v>964</v>
      </c>
      <c r="B29" s="839"/>
      <c r="C29" s="839"/>
      <c r="D29" s="85"/>
      <c r="E29" s="85"/>
      <c r="F29" s="85"/>
      <c r="G29" s="85"/>
      <c r="H29" s="85"/>
      <c r="I29" s="85"/>
      <c r="J29" s="85"/>
    </row>
    <row r="30" spans="1:10">
      <c r="A30" s="50" t="s">
        <v>275</v>
      </c>
      <c r="B30" s="50" t="s">
        <v>965</v>
      </c>
      <c r="C30" s="50" t="s">
        <v>966</v>
      </c>
      <c r="D30" s="50" t="s">
        <v>967</v>
      </c>
      <c r="E30" s="50" t="s">
        <v>968</v>
      </c>
      <c r="F30" s="50" t="s">
        <v>969</v>
      </c>
      <c r="G30" s="50" t="s">
        <v>970</v>
      </c>
      <c r="H30" s="50" t="s">
        <v>971</v>
      </c>
      <c r="I30" s="50" t="s">
        <v>899</v>
      </c>
      <c r="J30" s="50" t="s">
        <v>959</v>
      </c>
    </row>
    <row r="31" spans="1:10" ht="96.6">
      <c r="A31" s="13" t="s">
        <v>634</v>
      </c>
      <c r="B31" s="13" t="s">
        <v>1243</v>
      </c>
      <c r="C31" s="13" t="s">
        <v>677</v>
      </c>
      <c r="D31" s="13" t="s">
        <v>677</v>
      </c>
      <c r="E31" s="13" t="s">
        <v>677</v>
      </c>
      <c r="F31" s="13" t="s">
        <v>677</v>
      </c>
      <c r="G31" s="13" t="s">
        <v>677</v>
      </c>
      <c r="H31" s="13" t="s">
        <v>677</v>
      </c>
      <c r="I31" s="13" t="s">
        <v>677</v>
      </c>
      <c r="J31" s="13" t="s">
        <v>1244</v>
      </c>
    </row>
    <row r="32" spans="1:10" ht="55.2">
      <c r="A32" s="13" t="s">
        <v>591</v>
      </c>
      <c r="B32" s="13" t="s">
        <v>946</v>
      </c>
      <c r="C32" s="13" t="s">
        <v>677</v>
      </c>
      <c r="D32" s="13" t="s">
        <v>677</v>
      </c>
      <c r="E32" s="13" t="s">
        <v>677</v>
      </c>
      <c r="F32" s="13" t="s">
        <v>677</v>
      </c>
      <c r="G32" s="13" t="s">
        <v>677</v>
      </c>
      <c r="H32" s="13" t="s">
        <v>677</v>
      </c>
      <c r="I32" s="13" t="s">
        <v>677</v>
      </c>
      <c r="J32" s="13" t="s">
        <v>1245</v>
      </c>
    </row>
    <row r="33" spans="1:10" ht="55.2">
      <c r="A33" s="13" t="s">
        <v>386</v>
      </c>
      <c r="B33" s="13" t="s">
        <v>946</v>
      </c>
      <c r="C33" s="13" t="s">
        <v>677</v>
      </c>
      <c r="D33" s="13" t="s">
        <v>677</v>
      </c>
      <c r="E33" s="13" t="s">
        <v>677</v>
      </c>
      <c r="F33" s="13" t="s">
        <v>677</v>
      </c>
      <c r="G33" s="13" t="s">
        <v>677</v>
      </c>
      <c r="H33" s="13" t="s">
        <v>677</v>
      </c>
      <c r="I33" s="13" t="s">
        <v>677</v>
      </c>
      <c r="J33" s="13" t="s">
        <v>1246</v>
      </c>
    </row>
    <row r="34" spans="1:10" ht="41.4">
      <c r="A34" s="13" t="s">
        <v>1237</v>
      </c>
      <c r="B34" s="13" t="s">
        <v>679</v>
      </c>
      <c r="C34" s="13" t="s">
        <v>679</v>
      </c>
      <c r="D34" s="13" t="s">
        <v>679</v>
      </c>
      <c r="E34" s="13" t="s">
        <v>679</v>
      </c>
      <c r="F34" s="13" t="s">
        <v>679</v>
      </c>
      <c r="G34" s="13" t="s">
        <v>679</v>
      </c>
      <c r="H34" s="13" t="s">
        <v>679</v>
      </c>
      <c r="I34" s="13" t="s">
        <v>679</v>
      </c>
      <c r="J34" s="13" t="s">
        <v>1247</v>
      </c>
    </row>
    <row r="35" spans="1:10">
      <c r="A35" s="13"/>
      <c r="B35" s="13"/>
      <c r="C35" s="13"/>
      <c r="D35" s="13"/>
      <c r="E35" s="13"/>
      <c r="F35" s="13"/>
      <c r="G35" s="13"/>
      <c r="H35" s="13"/>
      <c r="I35" s="13"/>
      <c r="J35" s="13"/>
    </row>
    <row r="36" spans="1:10">
      <c r="A36" s="842" t="s">
        <v>977</v>
      </c>
      <c r="B36" s="839"/>
      <c r="C36" s="839"/>
      <c r="D36" s="85"/>
      <c r="E36" s="85"/>
      <c r="F36" s="85"/>
      <c r="G36" s="85"/>
      <c r="H36" s="85"/>
      <c r="I36" s="85"/>
      <c r="J36" s="85"/>
    </row>
    <row r="37" spans="1:10">
      <c r="A37" s="50" t="s">
        <v>275</v>
      </c>
      <c r="B37" s="50" t="s">
        <v>978</v>
      </c>
      <c r="C37" s="50" t="s">
        <v>979</v>
      </c>
      <c r="D37" s="50" t="s">
        <v>980</v>
      </c>
      <c r="E37" s="50" t="s">
        <v>981</v>
      </c>
      <c r="F37" s="50" t="s">
        <v>982</v>
      </c>
      <c r="G37" s="50" t="s">
        <v>983</v>
      </c>
      <c r="H37" s="50" t="s">
        <v>984</v>
      </c>
      <c r="I37" s="50" t="s">
        <v>899</v>
      </c>
      <c r="J37" s="50" t="s">
        <v>11</v>
      </c>
    </row>
    <row r="38" spans="1:10" ht="82.8">
      <c r="A38" s="13" t="s">
        <v>634</v>
      </c>
      <c r="B38" s="13" t="s">
        <v>677</v>
      </c>
      <c r="C38" s="13" t="s">
        <v>985</v>
      </c>
      <c r="D38" s="13" t="s">
        <v>677</v>
      </c>
      <c r="E38" s="13" t="s">
        <v>677</v>
      </c>
      <c r="F38" s="13" t="s">
        <v>1248</v>
      </c>
      <c r="G38" s="13" t="s">
        <v>677</v>
      </c>
      <c r="H38" s="13" t="s">
        <v>677</v>
      </c>
      <c r="I38" s="13" t="s">
        <v>677</v>
      </c>
      <c r="J38" s="13" t="s">
        <v>1249</v>
      </c>
    </row>
    <row r="39" spans="1:10" ht="55.2">
      <c r="A39" s="13" t="s">
        <v>591</v>
      </c>
      <c r="B39" s="13" t="s">
        <v>988</v>
      </c>
      <c r="C39" s="13" t="s">
        <v>1250</v>
      </c>
      <c r="D39" s="13" t="s">
        <v>946</v>
      </c>
      <c r="E39" s="13" t="s">
        <v>677</v>
      </c>
      <c r="F39" s="13" t="s">
        <v>946</v>
      </c>
      <c r="G39" s="13" t="s">
        <v>677</v>
      </c>
      <c r="H39" s="13" t="s">
        <v>677</v>
      </c>
      <c r="I39" s="13" t="s">
        <v>677</v>
      </c>
      <c r="J39" s="13" t="s">
        <v>1251</v>
      </c>
    </row>
    <row r="40" spans="1:10" ht="55.2">
      <c r="A40" s="13" t="s">
        <v>386</v>
      </c>
      <c r="B40" s="13" t="s">
        <v>946</v>
      </c>
      <c r="C40" s="13" t="s">
        <v>946</v>
      </c>
      <c r="D40" s="13" t="s">
        <v>946</v>
      </c>
      <c r="E40" s="13" t="s">
        <v>677</v>
      </c>
      <c r="F40" s="13" t="s">
        <v>1252</v>
      </c>
      <c r="G40" s="13" t="s">
        <v>677</v>
      </c>
      <c r="H40" s="13" t="s">
        <v>677</v>
      </c>
      <c r="I40" s="13" t="s">
        <v>677</v>
      </c>
      <c r="J40" s="13" t="s">
        <v>1253</v>
      </c>
    </row>
    <row r="41" spans="1:10" ht="41.4">
      <c r="A41" s="13" t="s">
        <v>1237</v>
      </c>
      <c r="B41" s="13" t="s">
        <v>679</v>
      </c>
      <c r="C41" s="13" t="s">
        <v>679</v>
      </c>
      <c r="D41" s="13" t="s">
        <v>679</v>
      </c>
      <c r="E41" s="13" t="s">
        <v>679</v>
      </c>
      <c r="F41" s="13" t="s">
        <v>1254</v>
      </c>
      <c r="G41" s="13" t="s">
        <v>679</v>
      </c>
      <c r="H41" s="13" t="s">
        <v>1255</v>
      </c>
      <c r="I41" s="13" t="s">
        <v>677</v>
      </c>
      <c r="J41" s="13" t="s">
        <v>1256</v>
      </c>
    </row>
    <row r="42" spans="1:10">
      <c r="A42" s="13"/>
      <c r="B42" s="13"/>
      <c r="C42" s="13"/>
      <c r="D42" s="13"/>
      <c r="E42" s="13"/>
      <c r="F42" s="13"/>
      <c r="G42" s="13"/>
      <c r="H42" s="13"/>
      <c r="I42" s="13"/>
      <c r="J42" s="13"/>
    </row>
    <row r="43" spans="1:10">
      <c r="A43" s="842" t="s">
        <v>994</v>
      </c>
      <c r="B43" s="839"/>
      <c r="C43" s="839"/>
      <c r="D43" s="85"/>
      <c r="E43" s="85"/>
      <c r="F43" s="85"/>
      <c r="G43" s="85"/>
      <c r="H43" s="85"/>
      <c r="I43" s="85"/>
      <c r="J43" s="85"/>
    </row>
    <row r="44" spans="1:10">
      <c r="A44" s="50" t="s">
        <v>275</v>
      </c>
      <c r="B44" s="50" t="s">
        <v>995</v>
      </c>
      <c r="C44" s="50" t="s">
        <v>996</v>
      </c>
      <c r="D44" s="50" t="s">
        <v>997</v>
      </c>
      <c r="E44" s="50" t="s">
        <v>998</v>
      </c>
      <c r="F44" s="50" t="s">
        <v>999</v>
      </c>
      <c r="G44" s="50" t="s">
        <v>1000</v>
      </c>
      <c r="H44" s="50" t="s">
        <v>1001</v>
      </c>
      <c r="I44" s="50" t="s">
        <v>899</v>
      </c>
      <c r="J44" s="50" t="s">
        <v>11</v>
      </c>
    </row>
    <row r="45" spans="1:10" ht="96.6">
      <c r="A45" s="13" t="s">
        <v>634</v>
      </c>
      <c r="B45" s="13" t="s">
        <v>677</v>
      </c>
      <c r="C45" s="13" t="s">
        <v>677</v>
      </c>
      <c r="D45" s="13" t="s">
        <v>677</v>
      </c>
      <c r="E45" s="13" t="s">
        <v>677</v>
      </c>
      <c r="F45" s="13" t="s">
        <v>677</v>
      </c>
      <c r="G45" s="13" t="s">
        <v>677</v>
      </c>
      <c r="H45" s="13" t="s">
        <v>677</v>
      </c>
      <c r="I45" s="13" t="s">
        <v>677</v>
      </c>
      <c r="J45" s="13" t="s">
        <v>1257</v>
      </c>
    </row>
    <row r="46" spans="1:10" ht="69">
      <c r="A46" s="13" t="s">
        <v>591</v>
      </c>
      <c r="B46" s="13" t="s">
        <v>1003</v>
      </c>
      <c r="C46" s="13" t="s">
        <v>988</v>
      </c>
      <c r="D46" s="13" t="s">
        <v>988</v>
      </c>
      <c r="E46" s="13" t="s">
        <v>677</v>
      </c>
      <c r="F46" s="13" t="s">
        <v>677</v>
      </c>
      <c r="G46" s="13" t="s">
        <v>677</v>
      </c>
      <c r="H46" s="13" t="s">
        <v>677</v>
      </c>
      <c r="I46" s="13" t="s">
        <v>677</v>
      </c>
      <c r="J46" s="13" t="s">
        <v>1258</v>
      </c>
    </row>
    <row r="47" spans="1:10" ht="69">
      <c r="A47" s="13" t="s">
        <v>386</v>
      </c>
      <c r="B47" s="13" t="s">
        <v>1003</v>
      </c>
      <c r="C47" s="13" t="s">
        <v>988</v>
      </c>
      <c r="D47" s="13" t="s">
        <v>988</v>
      </c>
      <c r="E47" s="13" t="s">
        <v>677</v>
      </c>
      <c r="F47" s="13" t="s">
        <v>677</v>
      </c>
      <c r="G47" s="13" t="s">
        <v>677</v>
      </c>
      <c r="H47" s="13" t="s">
        <v>677</v>
      </c>
      <c r="I47" s="13" t="s">
        <v>677</v>
      </c>
      <c r="J47" s="13" t="s">
        <v>1259</v>
      </c>
    </row>
    <row r="48" spans="1:10" ht="69">
      <c r="A48" s="13" t="s">
        <v>1237</v>
      </c>
      <c r="B48" s="13" t="s">
        <v>679</v>
      </c>
      <c r="C48" s="13" t="s">
        <v>1260</v>
      </c>
      <c r="D48" s="13" t="s">
        <v>679</v>
      </c>
      <c r="E48" s="13" t="s">
        <v>679</v>
      </c>
      <c r="F48" s="13" t="s">
        <v>677</v>
      </c>
      <c r="G48" s="13" t="s">
        <v>677</v>
      </c>
      <c r="H48" s="13" t="s">
        <v>677</v>
      </c>
      <c r="I48" s="13" t="s">
        <v>677</v>
      </c>
      <c r="J48" s="13" t="s">
        <v>1261</v>
      </c>
    </row>
    <row r="49" spans="1:10">
      <c r="A49" s="13"/>
      <c r="B49" s="13"/>
      <c r="C49" s="13"/>
      <c r="D49" s="13"/>
      <c r="E49" s="13"/>
      <c r="F49" s="13"/>
      <c r="G49" s="13"/>
      <c r="H49" s="13"/>
      <c r="I49" s="13"/>
      <c r="J49" s="13"/>
    </row>
    <row r="50" spans="1:10">
      <c r="A50" s="842" t="s">
        <v>1007</v>
      </c>
      <c r="B50" s="839"/>
      <c r="C50" s="839"/>
      <c r="D50" s="85"/>
      <c r="E50" s="85"/>
      <c r="F50" s="85"/>
      <c r="G50" s="85"/>
      <c r="H50" s="85"/>
      <c r="I50" s="85"/>
      <c r="J50" s="85"/>
    </row>
    <row r="51" spans="1:10">
      <c r="A51" s="50" t="s">
        <v>275</v>
      </c>
      <c r="B51" s="50" t="s">
        <v>1008</v>
      </c>
      <c r="C51" s="50" t="s">
        <v>1009</v>
      </c>
      <c r="D51" s="50" t="s">
        <v>1010</v>
      </c>
      <c r="E51" s="50" t="s">
        <v>1011</v>
      </c>
      <c r="F51" s="50" t="s">
        <v>1012</v>
      </c>
      <c r="G51" s="50" t="s">
        <v>1013</v>
      </c>
      <c r="H51" s="50" t="s">
        <v>1014</v>
      </c>
      <c r="I51" s="50" t="s">
        <v>899</v>
      </c>
      <c r="J51" s="50" t="s">
        <v>11</v>
      </c>
    </row>
    <row r="52" spans="1:10" ht="96.6">
      <c r="A52" s="13" t="s">
        <v>634</v>
      </c>
      <c r="B52" s="13" t="s">
        <v>677</v>
      </c>
      <c r="C52" s="13" t="s">
        <v>677</v>
      </c>
      <c r="D52" s="13" t="s">
        <v>677</v>
      </c>
      <c r="E52" s="13" t="s">
        <v>677</v>
      </c>
      <c r="F52" s="13" t="s">
        <v>677</v>
      </c>
      <c r="G52" s="13" t="s">
        <v>677</v>
      </c>
      <c r="H52" s="13" t="s">
        <v>677</v>
      </c>
      <c r="I52" s="13" t="s">
        <v>677</v>
      </c>
      <c r="J52" s="13" t="s">
        <v>1262</v>
      </c>
    </row>
    <row r="53" spans="1:10" ht="55.2">
      <c r="A53" s="13" t="s">
        <v>386</v>
      </c>
      <c r="B53" s="13" t="s">
        <v>946</v>
      </c>
      <c r="C53" s="13" t="s">
        <v>946</v>
      </c>
      <c r="D53" s="13" t="s">
        <v>946</v>
      </c>
      <c r="E53" s="13" t="s">
        <v>946</v>
      </c>
      <c r="F53" s="13" t="s">
        <v>1263</v>
      </c>
      <c r="G53" s="13" t="s">
        <v>677</v>
      </c>
      <c r="H53" s="13" t="s">
        <v>677</v>
      </c>
      <c r="I53" s="13" t="s">
        <v>677</v>
      </c>
      <c r="J53" s="13" t="s">
        <v>1264</v>
      </c>
    </row>
    <row r="54" spans="1:10" ht="41.4">
      <c r="A54" s="13" t="s">
        <v>591</v>
      </c>
      <c r="B54" s="13" t="s">
        <v>946</v>
      </c>
      <c r="C54" s="13" t="s">
        <v>946</v>
      </c>
      <c r="D54" s="13" t="s">
        <v>946</v>
      </c>
      <c r="E54" s="13" t="s">
        <v>946</v>
      </c>
      <c r="F54" s="13" t="s">
        <v>947</v>
      </c>
      <c r="G54" s="13" t="s">
        <v>947</v>
      </c>
      <c r="H54" s="13" t="s">
        <v>677</v>
      </c>
      <c r="I54" s="13" t="s">
        <v>677</v>
      </c>
      <c r="J54" s="13" t="s">
        <v>1265</v>
      </c>
    </row>
    <row r="55" spans="1:10" ht="55.2">
      <c r="A55" s="13" t="s">
        <v>1237</v>
      </c>
      <c r="B55" s="13" t="s">
        <v>1238</v>
      </c>
      <c r="C55" s="13" t="s">
        <v>1238</v>
      </c>
      <c r="D55" s="13" t="s">
        <v>1238</v>
      </c>
      <c r="E55" s="13" t="s">
        <v>1238</v>
      </c>
      <c r="F55" s="13" t="s">
        <v>947</v>
      </c>
      <c r="G55" s="13" t="s">
        <v>947</v>
      </c>
      <c r="H55" s="13" t="s">
        <v>677</v>
      </c>
      <c r="I55" s="13" t="s">
        <v>677</v>
      </c>
      <c r="J55" s="13" t="s">
        <v>1266</v>
      </c>
    </row>
    <row r="56" spans="1:10">
      <c r="A56" s="13"/>
      <c r="B56" s="13"/>
      <c r="C56" s="13"/>
      <c r="D56" s="13"/>
      <c r="E56" s="13"/>
      <c r="F56" s="13"/>
      <c r="G56" s="13"/>
      <c r="H56" s="13"/>
      <c r="I56" s="13"/>
      <c r="J56" s="13"/>
    </row>
    <row r="57" spans="1:10">
      <c r="A57" s="842" t="s">
        <v>1019</v>
      </c>
      <c r="B57" s="839"/>
      <c r="C57" s="839"/>
      <c r="D57" s="85"/>
      <c r="E57" s="85"/>
      <c r="F57" s="85"/>
      <c r="G57" s="85"/>
      <c r="H57" s="85"/>
      <c r="I57" s="85"/>
      <c r="J57" s="85"/>
    </row>
    <row r="58" spans="1:10">
      <c r="A58" s="50" t="s">
        <v>213</v>
      </c>
      <c r="B58" s="50" t="s">
        <v>275</v>
      </c>
      <c r="C58" s="50" t="s">
        <v>573</v>
      </c>
      <c r="D58" s="50" t="s">
        <v>215</v>
      </c>
      <c r="E58" s="50" t="s">
        <v>257</v>
      </c>
      <c r="F58" s="50" t="s">
        <v>572</v>
      </c>
      <c r="G58" s="50" t="s">
        <v>259</v>
      </c>
      <c r="H58" s="50" t="s">
        <v>216</v>
      </c>
      <c r="I58" s="50" t="s">
        <v>77</v>
      </c>
      <c r="J58" s="50" t="s">
        <v>11</v>
      </c>
    </row>
    <row r="59" spans="1:10" ht="69">
      <c r="A59" s="13" t="s">
        <v>1267</v>
      </c>
      <c r="B59" s="13" t="s">
        <v>575</v>
      </c>
      <c r="C59" s="13" t="s">
        <v>1268</v>
      </c>
      <c r="D59" s="13" t="s">
        <v>391</v>
      </c>
      <c r="E59" s="13" t="s">
        <v>488</v>
      </c>
      <c r="F59" s="13">
        <v>6</v>
      </c>
      <c r="G59" s="13" t="s">
        <v>1022</v>
      </c>
      <c r="H59" s="13" t="s">
        <v>1023</v>
      </c>
      <c r="I59" s="13" t="s">
        <v>502</v>
      </c>
      <c r="J59" s="13" t="s">
        <v>1269</v>
      </c>
    </row>
    <row r="60" spans="1:10" ht="96.6">
      <c r="A60" s="13" t="s">
        <v>626</v>
      </c>
      <c r="B60" s="13" t="s">
        <v>627</v>
      </c>
      <c r="C60" s="13" t="s">
        <v>628</v>
      </c>
      <c r="D60" s="13" t="s">
        <v>492</v>
      </c>
      <c r="E60" s="13" t="s">
        <v>488</v>
      </c>
      <c r="F60" s="13">
        <v>8</v>
      </c>
      <c r="G60" s="13" t="s">
        <v>1270</v>
      </c>
      <c r="H60" s="13" t="s">
        <v>584</v>
      </c>
      <c r="I60" s="13" t="s">
        <v>502</v>
      </c>
      <c r="J60" s="13" t="s">
        <v>1271</v>
      </c>
    </row>
    <row r="61" spans="1:10" ht="82.8">
      <c r="A61" s="13" t="s">
        <v>633</v>
      </c>
      <c r="B61" s="13" t="s">
        <v>634</v>
      </c>
      <c r="C61" s="13" t="s">
        <v>614</v>
      </c>
      <c r="D61" s="13" t="s">
        <v>492</v>
      </c>
      <c r="E61" s="13" t="s">
        <v>488</v>
      </c>
      <c r="F61" s="13">
        <v>8</v>
      </c>
      <c r="G61" s="13" t="s">
        <v>1272</v>
      </c>
      <c r="H61" s="13" t="s">
        <v>592</v>
      </c>
      <c r="I61" s="13" t="s">
        <v>502</v>
      </c>
      <c r="J61" s="13" t="s">
        <v>1273</v>
      </c>
    </row>
    <row r="62" spans="1:10" ht="82.8">
      <c r="A62" s="13" t="s">
        <v>1274</v>
      </c>
      <c r="B62" s="13" t="s">
        <v>634</v>
      </c>
      <c r="C62" s="13" t="s">
        <v>1275</v>
      </c>
      <c r="D62" s="13" t="s">
        <v>391</v>
      </c>
      <c r="E62" s="13" t="s">
        <v>488</v>
      </c>
      <c r="F62" s="13">
        <v>6</v>
      </c>
      <c r="G62" s="13" t="s">
        <v>1276</v>
      </c>
      <c r="H62" s="13" t="s">
        <v>1032</v>
      </c>
      <c r="I62" s="13" t="s">
        <v>502</v>
      </c>
      <c r="J62" s="13" t="s">
        <v>1277</v>
      </c>
    </row>
    <row r="63" spans="1:10" ht="69">
      <c r="A63" s="13" t="s">
        <v>1278</v>
      </c>
      <c r="B63" s="13" t="s">
        <v>575</v>
      </c>
      <c r="C63" s="13" t="s">
        <v>1279</v>
      </c>
      <c r="D63" s="13" t="s">
        <v>391</v>
      </c>
      <c r="E63" s="13" t="s">
        <v>488</v>
      </c>
      <c r="F63" s="13">
        <v>6</v>
      </c>
      <c r="G63" s="13" t="s">
        <v>1036</v>
      </c>
      <c r="H63" s="13" t="s">
        <v>1037</v>
      </c>
      <c r="I63" s="13" t="s">
        <v>502</v>
      </c>
      <c r="J63" s="13" t="s">
        <v>1280</v>
      </c>
    </row>
    <row r="64" spans="1:10" ht="82.8">
      <c r="A64" s="13" t="s">
        <v>637</v>
      </c>
      <c r="B64" s="13" t="s">
        <v>575</v>
      </c>
      <c r="C64" s="13" t="s">
        <v>638</v>
      </c>
      <c r="D64" s="13" t="s">
        <v>492</v>
      </c>
      <c r="E64" s="13" t="s">
        <v>488</v>
      </c>
      <c r="F64" s="13">
        <v>8</v>
      </c>
      <c r="G64" s="13" t="s">
        <v>1281</v>
      </c>
      <c r="H64" s="13" t="s">
        <v>584</v>
      </c>
      <c r="I64" s="13" t="s">
        <v>502</v>
      </c>
      <c r="J64" s="13" t="s">
        <v>1282</v>
      </c>
    </row>
    <row r="65" spans="1:10" ht="96.6">
      <c r="A65" s="13" t="s">
        <v>1283</v>
      </c>
      <c r="B65" s="13" t="s">
        <v>1284</v>
      </c>
      <c r="C65" s="13" t="s">
        <v>1042</v>
      </c>
      <c r="D65" s="13" t="s">
        <v>391</v>
      </c>
      <c r="E65" s="13" t="s">
        <v>488</v>
      </c>
      <c r="F65" s="13">
        <v>6</v>
      </c>
      <c r="G65" s="13" t="s">
        <v>1285</v>
      </c>
      <c r="H65" s="13" t="s">
        <v>1044</v>
      </c>
      <c r="I65" s="13" t="s">
        <v>502</v>
      </c>
      <c r="J65" s="13" t="s">
        <v>1286</v>
      </c>
    </row>
    <row r="66" spans="1:10" ht="82.8">
      <c r="A66" s="13" t="s">
        <v>1287</v>
      </c>
      <c r="B66" s="13" t="s">
        <v>575</v>
      </c>
      <c r="C66" s="13" t="s">
        <v>1047</v>
      </c>
      <c r="D66" s="13" t="s">
        <v>391</v>
      </c>
      <c r="E66" s="13" t="s">
        <v>488</v>
      </c>
      <c r="F66" s="13">
        <v>6</v>
      </c>
      <c r="G66" s="13" t="s">
        <v>1048</v>
      </c>
      <c r="H66" s="13" t="s">
        <v>1049</v>
      </c>
      <c r="I66" s="13" t="s">
        <v>502</v>
      </c>
      <c r="J66" s="13" t="s">
        <v>1288</v>
      </c>
    </row>
    <row r="67" spans="1:10">
      <c r="A67" s="13"/>
      <c r="B67" s="13"/>
      <c r="C67" s="13"/>
      <c r="D67" s="13"/>
      <c r="E67" s="13"/>
      <c r="F67" s="13"/>
      <c r="G67" s="13"/>
      <c r="H67" s="13"/>
      <c r="I67" s="13"/>
      <c r="J67" s="13"/>
    </row>
    <row r="68" spans="1:10">
      <c r="A68" s="842" t="s">
        <v>1051</v>
      </c>
      <c r="B68" s="839"/>
      <c r="C68" s="839"/>
      <c r="D68" s="85"/>
      <c r="E68" s="85"/>
      <c r="F68" s="85"/>
      <c r="G68" s="85"/>
      <c r="H68" s="85"/>
      <c r="I68" s="85"/>
      <c r="J68" s="85"/>
    </row>
    <row r="69" spans="1:10">
      <c r="A69" s="50" t="s">
        <v>221</v>
      </c>
      <c r="B69" s="50" t="s">
        <v>222</v>
      </c>
      <c r="C69" s="50" t="s">
        <v>265</v>
      </c>
      <c r="D69" s="50" t="s">
        <v>77</v>
      </c>
      <c r="E69" s="50" t="s">
        <v>878</v>
      </c>
      <c r="F69" s="50" t="s">
        <v>879</v>
      </c>
      <c r="G69" s="50" t="s">
        <v>880</v>
      </c>
      <c r="H69" s="50" t="s">
        <v>494</v>
      </c>
      <c r="I69" s="50" t="s">
        <v>881</v>
      </c>
      <c r="J69" s="50" t="s">
        <v>11</v>
      </c>
    </row>
    <row r="70" spans="1:10" ht="110.4">
      <c r="A70" s="13" t="s">
        <v>1289</v>
      </c>
      <c r="B70" s="13" t="s">
        <v>1290</v>
      </c>
      <c r="C70" s="13" t="s">
        <v>579</v>
      </c>
      <c r="D70" s="13" t="s">
        <v>502</v>
      </c>
      <c r="E70" s="13"/>
      <c r="F70" s="13"/>
      <c r="G70" s="13" t="s">
        <v>580</v>
      </c>
      <c r="H70" s="13"/>
      <c r="I70" s="13"/>
      <c r="J70" s="13"/>
    </row>
    <row r="71" spans="1:10" ht="69">
      <c r="A71" s="13" t="s">
        <v>1291</v>
      </c>
      <c r="B71" s="13" t="s">
        <v>1292</v>
      </c>
      <c r="C71" s="13" t="s">
        <v>1293</v>
      </c>
      <c r="D71" s="13" t="s">
        <v>502</v>
      </c>
      <c r="E71" s="13"/>
      <c r="F71" s="13"/>
      <c r="G71" s="13" t="s">
        <v>1294</v>
      </c>
      <c r="H71" s="13"/>
      <c r="I71" s="13"/>
      <c r="J71" s="13"/>
    </row>
    <row r="72" spans="1:10" ht="82.8">
      <c r="A72" s="13" t="s">
        <v>1295</v>
      </c>
      <c r="B72" s="13" t="s">
        <v>1296</v>
      </c>
      <c r="C72" s="13" t="s">
        <v>595</v>
      </c>
      <c r="D72" s="13" t="s">
        <v>502</v>
      </c>
      <c r="E72" s="13"/>
      <c r="F72" s="13"/>
      <c r="G72" s="13" t="s">
        <v>596</v>
      </c>
      <c r="H72" s="13"/>
      <c r="I72" s="13"/>
      <c r="J72" s="13"/>
    </row>
    <row r="73" spans="1:10" ht="69">
      <c r="A73" s="13" t="s">
        <v>1297</v>
      </c>
      <c r="B73" s="13" t="s">
        <v>1298</v>
      </c>
      <c r="C73" s="13" t="s">
        <v>601</v>
      </c>
      <c r="D73" s="13" t="s">
        <v>502</v>
      </c>
      <c r="E73" s="13"/>
      <c r="F73" s="13"/>
      <c r="G73" s="13" t="s">
        <v>602</v>
      </c>
      <c r="H73" s="13"/>
      <c r="I73" s="13"/>
      <c r="J73" s="13"/>
    </row>
    <row r="74" spans="1:10" ht="69">
      <c r="A74" s="13" t="s">
        <v>1299</v>
      </c>
      <c r="B74" s="13" t="s">
        <v>1300</v>
      </c>
      <c r="C74" s="13" t="s">
        <v>609</v>
      </c>
      <c r="D74" s="13" t="s">
        <v>502</v>
      </c>
      <c r="E74" s="13"/>
      <c r="F74" s="13"/>
      <c r="G74" s="13" t="s">
        <v>610</v>
      </c>
      <c r="H74" s="13"/>
      <c r="I74" s="13"/>
      <c r="J74" s="13"/>
    </row>
    <row r="75" spans="1:10" ht="82.8">
      <c r="A75" s="13" t="s">
        <v>1301</v>
      </c>
      <c r="B75" s="13" t="s">
        <v>1302</v>
      </c>
      <c r="C75" s="13" t="s">
        <v>616</v>
      </c>
      <c r="D75" s="13" t="s">
        <v>502</v>
      </c>
      <c r="E75" s="13"/>
      <c r="F75" s="13"/>
      <c r="G75" s="13" t="s">
        <v>617</v>
      </c>
      <c r="H75" s="13"/>
      <c r="I75" s="13"/>
      <c r="J75" s="13"/>
    </row>
    <row r="76" spans="1:10" ht="96.6">
      <c r="A76" s="13" t="s">
        <v>1303</v>
      </c>
      <c r="B76" s="13" t="s">
        <v>624</v>
      </c>
      <c r="C76" s="13" t="s">
        <v>622</v>
      </c>
      <c r="D76" s="13" t="s">
        <v>502</v>
      </c>
      <c r="E76" s="13"/>
      <c r="F76" s="13"/>
      <c r="G76" s="13" t="s">
        <v>623</v>
      </c>
      <c r="H76" s="13"/>
      <c r="I76" s="13"/>
      <c r="J76" s="13"/>
    </row>
    <row r="77" spans="1:10" ht="82.8">
      <c r="A77" s="13" t="s">
        <v>1304</v>
      </c>
      <c r="B77" s="13" t="s">
        <v>632</v>
      </c>
      <c r="C77" s="13" t="s">
        <v>630</v>
      </c>
      <c r="D77" s="13" t="s">
        <v>502</v>
      </c>
      <c r="E77" s="13"/>
      <c r="F77" s="13"/>
      <c r="G77" s="13" t="s">
        <v>631</v>
      </c>
      <c r="H77" s="13"/>
      <c r="I77" s="13"/>
      <c r="J77" s="13"/>
    </row>
    <row r="78" spans="1:10">
      <c r="A78" s="13"/>
      <c r="B78" s="13"/>
      <c r="C78" s="13"/>
      <c r="D78" s="13"/>
      <c r="E78" s="13"/>
      <c r="F78" s="13"/>
      <c r="G78" s="13"/>
      <c r="H78" s="13"/>
      <c r="I78" s="13"/>
      <c r="J78" s="13"/>
    </row>
    <row r="79" spans="1:10">
      <c r="A79" s="842" t="s">
        <v>1052</v>
      </c>
      <c r="B79" s="839"/>
      <c r="C79" s="839"/>
      <c r="D79" s="85"/>
      <c r="E79" s="85"/>
      <c r="F79" s="85"/>
      <c r="G79" s="85"/>
      <c r="H79" s="85"/>
      <c r="I79" s="85"/>
      <c r="J79" s="85"/>
    </row>
    <row r="80" spans="1:10">
      <c r="A80" s="50" t="s">
        <v>291</v>
      </c>
      <c r="B80" s="50" t="s">
        <v>275</v>
      </c>
      <c r="C80" s="50" t="s">
        <v>493</v>
      </c>
      <c r="D80" s="50" t="s">
        <v>214</v>
      </c>
      <c r="E80" s="50" t="s">
        <v>263</v>
      </c>
      <c r="F80" s="50" t="s">
        <v>891</v>
      </c>
      <c r="G80" s="50" t="s">
        <v>892</v>
      </c>
      <c r="H80" s="50" t="s">
        <v>893</v>
      </c>
      <c r="I80" s="50" t="s">
        <v>77</v>
      </c>
      <c r="J80" s="50" t="s">
        <v>11</v>
      </c>
    </row>
    <row r="81" spans="1:10" ht="96.6">
      <c r="A81" s="13" t="s">
        <v>1305</v>
      </c>
      <c r="B81" s="13" t="s">
        <v>634</v>
      </c>
      <c r="C81" s="13" t="s">
        <v>1054</v>
      </c>
      <c r="D81" s="13" t="s">
        <v>1306</v>
      </c>
      <c r="E81" s="13"/>
      <c r="F81" s="13" t="s">
        <v>229</v>
      </c>
      <c r="G81" s="13"/>
      <c r="H81" s="13" t="s">
        <v>1307</v>
      </c>
      <c r="I81" s="13" t="s">
        <v>502</v>
      </c>
      <c r="J81" s="13"/>
    </row>
    <row r="82" spans="1:10" ht="110.4">
      <c r="A82" s="13" t="s">
        <v>1308</v>
      </c>
      <c r="B82" s="13" t="s">
        <v>591</v>
      </c>
      <c r="C82" s="13" t="s">
        <v>1058</v>
      </c>
      <c r="D82" s="13" t="s">
        <v>1309</v>
      </c>
      <c r="E82" s="13"/>
      <c r="F82" s="13" t="s">
        <v>229</v>
      </c>
      <c r="G82" s="13"/>
      <c r="H82" s="13" t="s">
        <v>1310</v>
      </c>
      <c r="I82" s="13" t="s">
        <v>502</v>
      </c>
      <c r="J82" s="13"/>
    </row>
    <row r="83" spans="1:10" ht="124.2">
      <c r="A83" s="13" t="s">
        <v>1311</v>
      </c>
      <c r="B83" s="13" t="s">
        <v>386</v>
      </c>
      <c r="C83" s="13" t="s">
        <v>1312</v>
      </c>
      <c r="D83" s="13" t="s">
        <v>1313</v>
      </c>
      <c r="E83" s="13"/>
      <c r="F83" s="13" t="s">
        <v>229</v>
      </c>
      <c r="G83" s="13"/>
      <c r="H83" s="13" t="s">
        <v>1314</v>
      </c>
      <c r="I83" s="13" t="s">
        <v>502</v>
      </c>
      <c r="J83" s="13"/>
    </row>
    <row r="84" spans="1:10" ht="110.4">
      <c r="A84" s="13" t="s">
        <v>1315</v>
      </c>
      <c r="B84" s="13" t="s">
        <v>1284</v>
      </c>
      <c r="C84" s="13" t="s">
        <v>1316</v>
      </c>
      <c r="D84" s="13" t="s">
        <v>1317</v>
      </c>
      <c r="E84" s="13"/>
      <c r="F84" s="13" t="s">
        <v>229</v>
      </c>
      <c r="G84" s="13"/>
      <c r="H84" s="13" t="s">
        <v>1318</v>
      </c>
      <c r="I84" s="13" t="s">
        <v>502</v>
      </c>
      <c r="J84" s="13"/>
    </row>
    <row r="85" spans="1:10" ht="110.4">
      <c r="A85" s="13" t="s">
        <v>1319</v>
      </c>
      <c r="B85" s="13" t="s">
        <v>634</v>
      </c>
      <c r="C85" s="13" t="s">
        <v>148</v>
      </c>
      <c r="D85" s="13" t="s">
        <v>1320</v>
      </c>
      <c r="E85" s="13"/>
      <c r="F85" s="13" t="s">
        <v>229</v>
      </c>
      <c r="G85" s="13"/>
      <c r="H85" s="13" t="s">
        <v>633</v>
      </c>
      <c r="I85" s="13" t="s">
        <v>502</v>
      </c>
      <c r="J85" s="13"/>
    </row>
    <row r="86" spans="1:10" ht="96.6">
      <c r="A86" s="13" t="s">
        <v>1321</v>
      </c>
      <c r="B86" s="13" t="s">
        <v>575</v>
      </c>
      <c r="C86" s="13" t="s">
        <v>1072</v>
      </c>
      <c r="D86" s="13" t="s">
        <v>1322</v>
      </c>
      <c r="E86" s="13"/>
      <c r="F86" s="13" t="s">
        <v>229</v>
      </c>
      <c r="G86" s="13"/>
      <c r="H86" s="13" t="s">
        <v>1278</v>
      </c>
      <c r="I86" s="13" t="s">
        <v>502</v>
      </c>
      <c r="J86" s="13"/>
    </row>
    <row r="87" spans="1:10" ht="110.4">
      <c r="A87" s="13" t="s">
        <v>1323</v>
      </c>
      <c r="B87" s="13" t="s">
        <v>1237</v>
      </c>
      <c r="C87" s="13" t="s">
        <v>1324</v>
      </c>
      <c r="D87" s="13" t="s">
        <v>1325</v>
      </c>
      <c r="E87" s="13"/>
      <c r="F87" s="13" t="s">
        <v>229</v>
      </c>
      <c r="G87" s="13"/>
      <c r="H87" s="13" t="s">
        <v>637</v>
      </c>
      <c r="I87" s="13" t="s">
        <v>502</v>
      </c>
      <c r="J87" s="13"/>
    </row>
    <row r="88" spans="1:10" ht="82.8">
      <c r="A88" s="13" t="s">
        <v>1326</v>
      </c>
      <c r="B88" s="13" t="s">
        <v>1327</v>
      </c>
      <c r="C88" s="13" t="s">
        <v>1328</v>
      </c>
      <c r="D88" s="13" t="s">
        <v>1329</v>
      </c>
      <c r="E88" s="13"/>
      <c r="F88" s="13" t="s">
        <v>229</v>
      </c>
      <c r="G88" s="13"/>
      <c r="H88" s="13" t="s">
        <v>1330</v>
      </c>
      <c r="I88" s="13" t="s">
        <v>502</v>
      </c>
      <c r="J88" s="13"/>
    </row>
    <row r="89" spans="1:10">
      <c r="A89" s="13"/>
      <c r="B89" s="13"/>
      <c r="C89" s="13"/>
      <c r="D89" s="13"/>
      <c r="E89" s="13"/>
      <c r="F89" s="13"/>
      <c r="G89" s="13"/>
      <c r="H89" s="13"/>
      <c r="I89" s="13"/>
      <c r="J89" s="13"/>
    </row>
    <row r="90" spans="1:10">
      <c r="A90" s="842" t="s">
        <v>1079</v>
      </c>
      <c r="B90" s="839"/>
      <c r="C90" s="839"/>
      <c r="D90" s="85"/>
      <c r="E90" s="85"/>
      <c r="F90" s="85"/>
      <c r="G90" s="85"/>
      <c r="H90" s="85"/>
      <c r="I90" s="85"/>
      <c r="J90" s="85"/>
    </row>
    <row r="91" spans="1:10">
      <c r="A91" s="50" t="s">
        <v>275</v>
      </c>
      <c r="B91" s="50" t="s">
        <v>895</v>
      </c>
      <c r="C91" s="50" t="s">
        <v>896</v>
      </c>
      <c r="D91" s="50" t="s">
        <v>148</v>
      </c>
      <c r="E91" s="50" t="s">
        <v>153</v>
      </c>
      <c r="F91" s="50" t="s">
        <v>155</v>
      </c>
      <c r="G91" s="50" t="s">
        <v>491</v>
      </c>
      <c r="H91" s="50" t="s">
        <v>897</v>
      </c>
      <c r="I91" s="50" t="s">
        <v>174</v>
      </c>
      <c r="J91" s="50" t="s">
        <v>11</v>
      </c>
    </row>
    <row r="92" spans="1:10" ht="69">
      <c r="A92" s="13" t="s">
        <v>634</v>
      </c>
      <c r="B92" s="13">
        <v>0.5</v>
      </c>
      <c r="C92" s="13">
        <v>0.5</v>
      </c>
      <c r="D92" s="13">
        <v>0.5</v>
      </c>
      <c r="E92" s="13">
        <v>0.5</v>
      </c>
      <c r="F92" s="13">
        <v>0.5</v>
      </c>
      <c r="G92" s="13" t="s">
        <v>677</v>
      </c>
      <c r="H92" s="13">
        <v>0.5</v>
      </c>
      <c r="I92" s="13" t="s">
        <v>1201</v>
      </c>
      <c r="J92" s="13" t="s">
        <v>1331</v>
      </c>
    </row>
    <row r="93" spans="1:10" ht="41.4">
      <c r="A93" s="13" t="s">
        <v>591</v>
      </c>
      <c r="B93" s="13">
        <v>0.5</v>
      </c>
      <c r="C93" s="13">
        <v>0.5</v>
      </c>
      <c r="D93" s="13">
        <v>0.5</v>
      </c>
      <c r="E93" s="13">
        <v>0.5</v>
      </c>
      <c r="F93" s="13">
        <v>0.5</v>
      </c>
      <c r="G93" s="13" t="s">
        <v>677</v>
      </c>
      <c r="H93" s="13">
        <v>0.5</v>
      </c>
      <c r="I93" s="13" t="s">
        <v>1201</v>
      </c>
      <c r="J93" s="13" t="s">
        <v>1082</v>
      </c>
    </row>
    <row r="94" spans="1:10" ht="55.2">
      <c r="A94" s="13" t="s">
        <v>386</v>
      </c>
      <c r="B94" s="13">
        <v>0.5</v>
      </c>
      <c r="C94" s="13">
        <v>0.5</v>
      </c>
      <c r="D94" s="13">
        <v>0.5</v>
      </c>
      <c r="E94" s="13">
        <v>0.5</v>
      </c>
      <c r="F94" s="13">
        <v>0.5</v>
      </c>
      <c r="G94" s="13" t="s">
        <v>677</v>
      </c>
      <c r="H94" s="13">
        <v>0.5</v>
      </c>
      <c r="I94" s="13" t="s">
        <v>1201</v>
      </c>
      <c r="J94" s="13" t="s">
        <v>1332</v>
      </c>
    </row>
    <row r="95" spans="1:10" ht="41.4">
      <c r="A95" s="13" t="s">
        <v>1237</v>
      </c>
      <c r="B95" s="13">
        <v>0.5</v>
      </c>
      <c r="C95" s="13">
        <v>0.5</v>
      </c>
      <c r="D95" s="13" t="s">
        <v>679</v>
      </c>
      <c r="E95" s="13">
        <v>0.5</v>
      </c>
      <c r="F95" s="13">
        <v>0.5</v>
      </c>
      <c r="G95" s="13" t="s">
        <v>677</v>
      </c>
      <c r="H95" s="13">
        <v>0.5</v>
      </c>
      <c r="I95" s="13" t="s">
        <v>1201</v>
      </c>
      <c r="J95" s="13" t="s">
        <v>1333</v>
      </c>
    </row>
    <row r="96" spans="1:10">
      <c r="A96" s="13"/>
      <c r="B96" s="13"/>
      <c r="C96" s="13"/>
      <c r="D96" s="13"/>
      <c r="E96" s="13"/>
      <c r="F96" s="13"/>
      <c r="G96" s="13"/>
      <c r="H96" s="13"/>
      <c r="I96" s="13"/>
      <c r="J96" s="13"/>
    </row>
    <row r="97" spans="1:10">
      <c r="A97" s="842" t="s">
        <v>1085</v>
      </c>
      <c r="B97" s="839"/>
      <c r="C97" s="839"/>
      <c r="D97" s="85"/>
      <c r="E97" s="85"/>
      <c r="F97" s="85"/>
      <c r="G97" s="85"/>
      <c r="H97" s="85"/>
      <c r="I97" s="85"/>
      <c r="J97" s="85"/>
    </row>
    <row r="98" spans="1:10" ht="55.2">
      <c r="A98" s="50" t="s">
        <v>905</v>
      </c>
      <c r="B98" s="50" t="s">
        <v>1334</v>
      </c>
      <c r="C98" s="50"/>
      <c r="D98" s="50"/>
      <c r="E98" s="50"/>
      <c r="F98" s="50"/>
      <c r="G98" s="50"/>
      <c r="H98" s="50"/>
      <c r="I98" s="50"/>
      <c r="J98" s="50"/>
    </row>
    <row r="99" spans="1:10">
      <c r="A99" s="13" t="s">
        <v>1086</v>
      </c>
      <c r="B99" s="852" t="s">
        <v>1335</v>
      </c>
      <c r="C99" s="839"/>
      <c r="D99" s="839"/>
      <c r="E99" s="839"/>
      <c r="F99" s="839"/>
      <c r="G99" s="839"/>
      <c r="H99" s="839"/>
      <c r="I99" s="839"/>
      <c r="J99" s="839"/>
    </row>
    <row r="100" spans="1:10" ht="27.6">
      <c r="A100" s="13" t="s">
        <v>1087</v>
      </c>
      <c r="B100" s="852" t="s">
        <v>1336</v>
      </c>
      <c r="C100" s="839"/>
      <c r="D100" s="839"/>
      <c r="E100" s="839"/>
      <c r="F100" s="839"/>
      <c r="G100" s="839"/>
      <c r="H100" s="839"/>
      <c r="I100" s="839"/>
      <c r="J100" s="839"/>
    </row>
    <row r="101" spans="1:10">
      <c r="A101" s="13" t="s">
        <v>1088</v>
      </c>
      <c r="B101" s="852" t="s">
        <v>1337</v>
      </c>
      <c r="C101" s="839"/>
      <c r="D101" s="839"/>
      <c r="E101" s="839"/>
      <c r="F101" s="839"/>
      <c r="G101" s="839"/>
      <c r="H101" s="839"/>
      <c r="I101" s="839"/>
      <c r="J101" s="839"/>
    </row>
    <row r="102" spans="1:10">
      <c r="A102" s="13" t="s">
        <v>1210</v>
      </c>
      <c r="B102" s="852" t="s">
        <v>1338</v>
      </c>
      <c r="C102" s="839"/>
      <c r="D102" s="839"/>
      <c r="E102" s="839"/>
      <c r="F102" s="839"/>
      <c r="G102" s="839"/>
      <c r="H102" s="839"/>
      <c r="I102" s="839"/>
      <c r="J102" s="839"/>
    </row>
    <row r="103" spans="1:10">
      <c r="A103" s="13" t="s">
        <v>1090</v>
      </c>
      <c r="B103" s="852" t="s">
        <v>1339</v>
      </c>
      <c r="C103" s="839"/>
      <c r="D103" s="839"/>
      <c r="E103" s="839"/>
      <c r="F103" s="839"/>
      <c r="G103" s="839"/>
      <c r="H103" s="839"/>
      <c r="I103" s="839"/>
      <c r="J103" s="839"/>
    </row>
    <row r="104" spans="1:10" ht="27.6">
      <c r="A104" s="13" t="s">
        <v>1091</v>
      </c>
      <c r="B104" s="852" t="s">
        <v>1340</v>
      </c>
      <c r="C104" s="839"/>
      <c r="D104" s="839"/>
      <c r="E104" s="839"/>
      <c r="F104" s="839"/>
      <c r="G104" s="839"/>
      <c r="H104" s="839"/>
      <c r="I104" s="839"/>
      <c r="J104" s="839"/>
    </row>
    <row r="105" spans="1:10">
      <c r="A105" s="13" t="s">
        <v>1092</v>
      </c>
      <c r="B105" s="852" t="s">
        <v>1341</v>
      </c>
      <c r="C105" s="839"/>
      <c r="D105" s="839"/>
      <c r="E105" s="839"/>
      <c r="F105" s="839"/>
      <c r="G105" s="839"/>
      <c r="H105" s="839"/>
      <c r="I105" s="839"/>
      <c r="J105" s="839"/>
    </row>
    <row r="106" spans="1:10" ht="15" thickBot="1"/>
    <row r="107" spans="1:10">
      <c r="A107" s="855" t="s">
        <v>5875</v>
      </c>
      <c r="B107" s="856"/>
      <c r="C107" s="856"/>
      <c r="D107" s="857"/>
      <c r="E107" s="856"/>
      <c r="F107" s="856"/>
      <c r="G107" s="857"/>
      <c r="H107" s="857"/>
      <c r="I107" s="857"/>
      <c r="J107" s="858"/>
    </row>
    <row r="108" spans="1:10">
      <c r="A108" s="325" t="s">
        <v>5817</v>
      </c>
      <c r="B108" s="326" t="s">
        <v>77</v>
      </c>
      <c r="C108" s="326" t="s">
        <v>5818</v>
      </c>
      <c r="D108" s="326" t="s">
        <v>5819</v>
      </c>
      <c r="E108" s="326" t="s">
        <v>5841</v>
      </c>
      <c r="F108" s="326" t="s">
        <v>5808</v>
      </c>
      <c r="G108" s="859" t="s">
        <v>5842</v>
      </c>
      <c r="H108" s="859"/>
      <c r="I108" s="859"/>
      <c r="J108" s="860"/>
    </row>
    <row r="109" spans="1:10" ht="26.4">
      <c r="A109" s="327" t="s">
        <v>5820</v>
      </c>
      <c r="B109" s="337" t="s">
        <v>484</v>
      </c>
      <c r="C109" s="329">
        <v>0</v>
      </c>
      <c r="D109" s="329">
        <v>0</v>
      </c>
      <c r="E109" s="196" t="s">
        <v>5881</v>
      </c>
      <c r="F109" s="329">
        <f>IF(AND(C109&lt;&gt;"",D109&lt;&gt;""),D109-C109,"")</f>
        <v>0</v>
      </c>
      <c r="G109" s="861"/>
      <c r="H109" s="861"/>
      <c r="I109" s="861"/>
      <c r="J109" s="862"/>
    </row>
    <row r="110" spans="1:10" ht="26.4">
      <c r="A110" s="330" t="s">
        <v>5821</v>
      </c>
      <c r="B110" s="337" t="s">
        <v>484</v>
      </c>
      <c r="C110" s="331">
        <v>1</v>
      </c>
      <c r="D110" s="331">
        <v>0</v>
      </c>
      <c r="E110" s="314" t="s">
        <v>5882</v>
      </c>
      <c r="F110" s="331">
        <f>IF(AND(C110&lt;&gt;"",D110&lt;&gt;""),D110-C110,"")</f>
        <v>-1</v>
      </c>
      <c r="G110" s="863"/>
      <c r="H110" s="863"/>
      <c r="I110" s="863"/>
      <c r="J110" s="864"/>
    </row>
    <row r="111" spans="1:10">
      <c r="A111" s="327" t="s">
        <v>5822</v>
      </c>
      <c r="B111" s="337" t="s">
        <v>484</v>
      </c>
      <c r="C111" s="331">
        <v>1</v>
      </c>
      <c r="D111" s="331">
        <v>0</v>
      </c>
      <c r="E111" s="314" t="s">
        <v>5882</v>
      </c>
      <c r="F111" s="329">
        <f>IF(AND(C111&lt;&gt;"",D111&lt;&gt;""),D111-C111,"")</f>
        <v>-1</v>
      </c>
      <c r="G111" s="332"/>
      <c r="H111" s="231"/>
      <c r="I111" s="231"/>
      <c r="J111" s="333"/>
    </row>
    <row r="112" spans="1:10">
      <c r="A112" s="330" t="s">
        <v>5823</v>
      </c>
      <c r="B112" s="337" t="s">
        <v>484</v>
      </c>
      <c r="C112" s="331">
        <v>1</v>
      </c>
      <c r="D112" s="331">
        <v>0</v>
      </c>
      <c r="E112" s="314" t="s">
        <v>5882</v>
      </c>
      <c r="F112" s="331">
        <f>IF(AND(C112&lt;&gt;"",D112&lt;&gt;""),D112-C112,"")</f>
        <v>-1</v>
      </c>
      <c r="G112" s="863"/>
      <c r="H112" s="863"/>
      <c r="I112" s="863"/>
      <c r="J112" s="864"/>
    </row>
    <row r="113" spans="1:10">
      <c r="A113" s="327" t="s">
        <v>5168</v>
      </c>
      <c r="B113" s="337" t="s">
        <v>484</v>
      </c>
      <c r="C113" s="331">
        <v>1</v>
      </c>
      <c r="D113" s="331">
        <v>0</v>
      </c>
      <c r="E113" s="314" t="s">
        <v>5882</v>
      </c>
      <c r="F113" s="329">
        <f>IF(AND(C113&lt;&gt;"",D113&lt;&gt;""),D113-C113,"")</f>
        <v>-1</v>
      </c>
      <c r="G113" s="332"/>
      <c r="H113" s="231"/>
      <c r="I113" s="231"/>
      <c r="J113" s="333"/>
    </row>
    <row r="114" spans="1:10" ht="15.6">
      <c r="A114" s="865" t="s">
        <v>5843</v>
      </c>
      <c r="B114" s="713"/>
      <c r="C114" s="334">
        <f>IFERROR(AVERAGE(C109:C113),"")</f>
        <v>0.8</v>
      </c>
      <c r="D114" s="334">
        <f>IFERROR(AVERAGE(D109:D113),"")</f>
        <v>0</v>
      </c>
      <c r="E114" s="866" t="s">
        <v>5844</v>
      </c>
      <c r="F114" s="866"/>
      <c r="G114" s="866"/>
      <c r="H114" s="866"/>
      <c r="I114" s="866"/>
      <c r="J114" s="867"/>
    </row>
    <row r="115" spans="1:10">
      <c r="A115" s="335"/>
      <c r="B115" s="320"/>
      <c r="C115" s="320"/>
      <c r="D115" s="320"/>
      <c r="E115" s="320"/>
      <c r="F115" s="320"/>
      <c r="G115" s="320"/>
      <c r="H115" s="231"/>
      <c r="I115" s="231"/>
      <c r="J115" s="333"/>
    </row>
    <row r="116" spans="1:10">
      <c r="A116" s="876" t="s">
        <v>5876</v>
      </c>
      <c r="B116" s="853"/>
      <c r="C116" s="853"/>
      <c r="D116" s="842"/>
      <c r="E116" s="853"/>
      <c r="F116" s="853"/>
      <c r="G116" s="842"/>
      <c r="H116" s="842"/>
      <c r="I116" s="842"/>
      <c r="J116" s="868"/>
    </row>
    <row r="117" spans="1:10">
      <c r="A117" s="325" t="s">
        <v>4946</v>
      </c>
      <c r="B117" s="326" t="s">
        <v>77</v>
      </c>
      <c r="C117" s="326" t="s">
        <v>5883</v>
      </c>
      <c r="D117" s="326" t="s">
        <v>482</v>
      </c>
      <c r="E117" s="326" t="s">
        <v>572</v>
      </c>
      <c r="F117" s="326" t="s">
        <v>5846</v>
      </c>
      <c r="G117" s="859" t="s">
        <v>5847</v>
      </c>
      <c r="H117" s="859"/>
      <c r="I117" s="859"/>
      <c r="J117" s="860"/>
    </row>
    <row r="118" spans="1:10" ht="26.4">
      <c r="A118" s="330" t="s">
        <v>5809</v>
      </c>
      <c r="B118" s="337" t="s">
        <v>484</v>
      </c>
      <c r="C118" s="336" t="s">
        <v>679</v>
      </c>
      <c r="D118" s="328" t="s">
        <v>679</v>
      </c>
      <c r="E118" s="336">
        <f>IF(D118="Yes",1,0)</f>
        <v>0</v>
      </c>
      <c r="F118" s="877"/>
      <c r="G118" s="877"/>
      <c r="H118" s="877"/>
      <c r="I118" s="877"/>
      <c r="J118" s="878"/>
    </row>
    <row r="119" spans="1:10">
      <c r="A119" s="327" t="s">
        <v>995</v>
      </c>
      <c r="B119" s="337" t="s">
        <v>484</v>
      </c>
      <c r="C119" s="336" t="s">
        <v>679</v>
      </c>
      <c r="D119" s="328" t="s">
        <v>679</v>
      </c>
      <c r="E119" s="328">
        <f t="shared" ref="E119:E125" si="0">IF(D119="Yes",1,0)</f>
        <v>0</v>
      </c>
      <c r="F119" s="877"/>
      <c r="G119" s="877"/>
      <c r="H119" s="877"/>
      <c r="I119" s="877"/>
      <c r="J119" s="878"/>
    </row>
    <row r="120" spans="1:10">
      <c r="A120" s="330" t="s">
        <v>5810</v>
      </c>
      <c r="B120" s="337" t="s">
        <v>484</v>
      </c>
      <c r="C120" s="336" t="s">
        <v>679</v>
      </c>
      <c r="D120" s="328" t="s">
        <v>679</v>
      </c>
      <c r="E120" s="336">
        <f t="shared" si="0"/>
        <v>0</v>
      </c>
      <c r="F120" s="877"/>
      <c r="G120" s="877"/>
      <c r="H120" s="877"/>
      <c r="I120" s="877"/>
      <c r="J120" s="878"/>
    </row>
    <row r="121" spans="1:10">
      <c r="A121" s="327" t="s">
        <v>5824</v>
      </c>
      <c r="B121" s="337" t="s">
        <v>484</v>
      </c>
      <c r="C121" s="336" t="s">
        <v>679</v>
      </c>
      <c r="D121" s="328" t="s">
        <v>679</v>
      </c>
      <c r="E121" s="328">
        <f t="shared" si="0"/>
        <v>0</v>
      </c>
      <c r="F121" s="877"/>
      <c r="G121" s="877"/>
      <c r="H121" s="877"/>
      <c r="I121" s="877"/>
      <c r="J121" s="878"/>
    </row>
    <row r="122" spans="1:10" ht="39.6">
      <c r="A122" s="330" t="s">
        <v>5825</v>
      </c>
      <c r="B122" s="337" t="s">
        <v>484</v>
      </c>
      <c r="C122" s="336" t="s">
        <v>679</v>
      </c>
      <c r="D122" s="328" t="s">
        <v>679</v>
      </c>
      <c r="E122" s="336">
        <f t="shared" si="0"/>
        <v>0</v>
      </c>
      <c r="F122" s="877"/>
      <c r="G122" s="877"/>
      <c r="H122" s="877"/>
      <c r="I122" s="877"/>
      <c r="J122" s="878"/>
    </row>
    <row r="123" spans="1:10" ht="26.4">
      <c r="A123" s="327" t="s">
        <v>5826</v>
      </c>
      <c r="B123" s="337" t="s">
        <v>484</v>
      </c>
      <c r="C123" s="336" t="s">
        <v>679</v>
      </c>
      <c r="D123" s="328" t="s">
        <v>679</v>
      </c>
      <c r="E123" s="328">
        <f t="shared" si="0"/>
        <v>0</v>
      </c>
      <c r="F123" s="877"/>
      <c r="G123" s="877"/>
      <c r="H123" s="877"/>
      <c r="I123" s="877"/>
      <c r="J123" s="878"/>
    </row>
    <row r="124" spans="1:10">
      <c r="A124" s="330" t="s">
        <v>5811</v>
      </c>
      <c r="B124" s="337" t="s">
        <v>484</v>
      </c>
      <c r="C124" s="336" t="s">
        <v>679</v>
      </c>
      <c r="D124" s="328" t="s">
        <v>679</v>
      </c>
      <c r="E124" s="336">
        <f t="shared" si="0"/>
        <v>0</v>
      </c>
      <c r="F124" s="877"/>
      <c r="G124" s="877"/>
      <c r="H124" s="877"/>
      <c r="I124" s="877"/>
      <c r="J124" s="878"/>
    </row>
    <row r="125" spans="1:10" ht="26.4">
      <c r="A125" s="327" t="s">
        <v>5812</v>
      </c>
      <c r="B125" s="337" t="s">
        <v>484</v>
      </c>
      <c r="C125" s="336" t="s">
        <v>679</v>
      </c>
      <c r="D125" s="328" t="s">
        <v>679</v>
      </c>
      <c r="E125" s="328">
        <f t="shared" si="0"/>
        <v>0</v>
      </c>
      <c r="F125" s="877"/>
      <c r="G125" s="877"/>
      <c r="H125" s="877"/>
      <c r="I125" s="877"/>
      <c r="J125" s="878"/>
    </row>
    <row r="126" spans="1:10" ht="15.6">
      <c r="A126" s="865" t="s">
        <v>5848</v>
      </c>
      <c r="B126" s="713"/>
      <c r="C126" s="871" t="str">
        <f>IFERROR(SUM(E118:E125)/COUNTIF(C118:C125,"Yes"),"")</f>
        <v/>
      </c>
      <c r="D126" s="872"/>
      <c r="E126" s="866" t="s">
        <v>5849</v>
      </c>
      <c r="F126" s="866"/>
      <c r="G126" s="866"/>
      <c r="H126" s="866"/>
      <c r="I126" s="866"/>
      <c r="J126" s="867"/>
    </row>
    <row r="127" spans="1:10">
      <c r="A127" s="335"/>
      <c r="B127" s="320"/>
      <c r="C127" s="320"/>
      <c r="D127" s="320"/>
      <c r="E127" s="320"/>
      <c r="F127" s="320"/>
      <c r="G127" s="320"/>
      <c r="H127" s="231"/>
      <c r="I127" s="231"/>
      <c r="J127" s="333"/>
    </row>
    <row r="128" spans="1:10">
      <c r="A128" s="876" t="s">
        <v>5877</v>
      </c>
      <c r="B128" s="853"/>
      <c r="C128" s="853"/>
      <c r="D128" s="842"/>
      <c r="E128" s="853"/>
      <c r="F128" s="853"/>
      <c r="G128" s="842"/>
      <c r="H128" s="842"/>
      <c r="I128" s="842"/>
      <c r="J128" s="868"/>
    </row>
    <row r="129" spans="1:10">
      <c r="A129" s="325" t="s">
        <v>5850</v>
      </c>
      <c r="B129" s="326" t="s">
        <v>77</v>
      </c>
      <c r="C129" s="326" t="s">
        <v>5827</v>
      </c>
      <c r="D129" s="326" t="s">
        <v>5828</v>
      </c>
      <c r="E129" s="326" t="s">
        <v>5829</v>
      </c>
      <c r="F129" s="326" t="s">
        <v>5851</v>
      </c>
      <c r="G129" s="859" t="s">
        <v>5852</v>
      </c>
      <c r="H129" s="859"/>
      <c r="I129" s="859"/>
      <c r="J129" s="860"/>
    </row>
    <row r="130" spans="1:10" ht="26.4">
      <c r="A130" s="330" t="s">
        <v>5830</v>
      </c>
      <c r="B130" s="336" t="s">
        <v>484</v>
      </c>
      <c r="C130" s="336" t="s">
        <v>1096</v>
      </c>
      <c r="D130" s="336" t="s">
        <v>1096</v>
      </c>
      <c r="E130" s="336" t="s">
        <v>1096</v>
      </c>
      <c r="F130" s="336" t="s">
        <v>348</v>
      </c>
      <c r="G130" s="869"/>
      <c r="H130" s="869"/>
      <c r="I130" s="869"/>
      <c r="J130" s="870"/>
    </row>
    <row r="131" spans="1:10">
      <c r="A131" s="327" t="s">
        <v>5831</v>
      </c>
      <c r="B131" s="336" t="s">
        <v>484</v>
      </c>
      <c r="C131" s="336" t="s">
        <v>1096</v>
      </c>
      <c r="D131" s="336" t="s">
        <v>1096</v>
      </c>
      <c r="E131" s="336" t="s">
        <v>1096</v>
      </c>
      <c r="F131" s="336" t="s">
        <v>348</v>
      </c>
      <c r="G131" s="869"/>
      <c r="H131" s="869"/>
      <c r="I131" s="869"/>
      <c r="J131" s="870"/>
    </row>
    <row r="132" spans="1:10">
      <c r="A132" s="330" t="s">
        <v>5853</v>
      </c>
      <c r="B132" s="336" t="s">
        <v>484</v>
      </c>
      <c r="C132" s="336" t="s">
        <v>1096</v>
      </c>
      <c r="D132" s="336" t="s">
        <v>1096</v>
      </c>
      <c r="E132" s="336" t="s">
        <v>1096</v>
      </c>
      <c r="F132" s="336" t="s">
        <v>348</v>
      </c>
      <c r="G132" s="869"/>
      <c r="H132" s="869"/>
      <c r="I132" s="869"/>
      <c r="J132" s="870"/>
    </row>
    <row r="133" spans="1:10">
      <c r="A133" s="327" t="s">
        <v>5832</v>
      </c>
      <c r="B133" s="336" t="s">
        <v>484</v>
      </c>
      <c r="C133" s="336" t="s">
        <v>1096</v>
      </c>
      <c r="D133" s="336" t="s">
        <v>1096</v>
      </c>
      <c r="E133" s="336" t="s">
        <v>1096</v>
      </c>
      <c r="F133" s="336" t="s">
        <v>348</v>
      </c>
      <c r="G133" s="869"/>
      <c r="H133" s="869"/>
      <c r="I133" s="869"/>
      <c r="J133" s="870"/>
    </row>
    <row r="134" spans="1:10" ht="26.4">
      <c r="A134" s="330" t="s">
        <v>5833</v>
      </c>
      <c r="B134" s="336" t="s">
        <v>484</v>
      </c>
      <c r="C134" s="336" t="s">
        <v>1096</v>
      </c>
      <c r="D134" s="336" t="s">
        <v>1096</v>
      </c>
      <c r="E134" s="336" t="s">
        <v>1096</v>
      </c>
      <c r="F134" s="336" t="s">
        <v>348</v>
      </c>
      <c r="G134" s="869"/>
      <c r="H134" s="869"/>
      <c r="I134" s="869"/>
      <c r="J134" s="870"/>
    </row>
    <row r="135" spans="1:10" ht="15.6">
      <c r="A135" s="865" t="s">
        <v>5884</v>
      </c>
      <c r="B135" s="713"/>
      <c r="C135" s="871">
        <f>IFERROR(COUNTIF(E130:E134,"Yes")/COUNTA(A130:A134),"")</f>
        <v>0</v>
      </c>
      <c r="D135" s="872"/>
      <c r="E135" s="866" t="s">
        <v>5855</v>
      </c>
      <c r="F135" s="866"/>
      <c r="G135" s="866"/>
      <c r="H135" s="866"/>
      <c r="I135" s="866"/>
      <c r="J135" s="867"/>
    </row>
    <row r="136" spans="1:10">
      <c r="A136" s="335"/>
      <c r="B136" s="320"/>
      <c r="C136" s="320"/>
      <c r="D136" s="320"/>
      <c r="E136" s="320"/>
      <c r="F136" s="320"/>
      <c r="G136" s="874"/>
      <c r="H136" s="874"/>
      <c r="I136" s="874"/>
      <c r="J136" s="875"/>
    </row>
    <row r="137" spans="1:10">
      <c r="A137" s="876" t="s">
        <v>5878</v>
      </c>
      <c r="B137" s="853"/>
      <c r="C137" s="853"/>
      <c r="D137" s="842"/>
      <c r="E137" s="853"/>
      <c r="F137" s="853"/>
      <c r="G137" s="842"/>
      <c r="H137" s="842"/>
      <c r="I137" s="842"/>
      <c r="J137" s="868"/>
    </row>
    <row r="138" spans="1:10">
      <c r="A138" s="326" t="s">
        <v>5813</v>
      </c>
      <c r="B138" s="326" t="s">
        <v>77</v>
      </c>
      <c r="C138" s="326" t="s">
        <v>5834</v>
      </c>
      <c r="D138" s="326" t="s">
        <v>5835</v>
      </c>
      <c r="E138" s="326" t="s">
        <v>5836</v>
      </c>
      <c r="F138" s="326" t="s">
        <v>5837</v>
      </c>
      <c r="G138" s="859" t="s">
        <v>5885</v>
      </c>
      <c r="H138" s="859"/>
      <c r="I138" s="859"/>
      <c r="J138" s="859"/>
    </row>
    <row r="139" spans="1:10">
      <c r="A139" s="332" t="s">
        <v>153</v>
      </c>
      <c r="B139" s="328" t="s">
        <v>484</v>
      </c>
      <c r="C139" s="328"/>
      <c r="D139" s="328"/>
      <c r="E139" s="328"/>
      <c r="F139" s="329" t="str">
        <f>IFERROR(D139/C139,"")</f>
        <v/>
      </c>
      <c r="G139" s="873"/>
      <c r="H139" s="873"/>
      <c r="I139" s="873"/>
      <c r="J139" s="873"/>
    </row>
    <row r="140" spans="1:10">
      <c r="A140" s="339" t="s">
        <v>155</v>
      </c>
      <c r="B140" s="336" t="s">
        <v>484</v>
      </c>
      <c r="C140" s="336"/>
      <c r="D140" s="336"/>
      <c r="E140" s="336"/>
      <c r="F140" s="331" t="str">
        <f>IFERROR(D140/C140,"")</f>
        <v/>
      </c>
      <c r="G140" s="873"/>
      <c r="H140" s="873"/>
      <c r="I140" s="873"/>
      <c r="J140" s="873"/>
    </row>
    <row r="141" spans="1:10">
      <c r="A141" s="332" t="s">
        <v>4821</v>
      </c>
      <c r="B141" s="328" t="s">
        <v>484</v>
      </c>
      <c r="C141" s="328"/>
      <c r="D141" s="328"/>
      <c r="E141" s="328"/>
      <c r="F141" s="329" t="str">
        <f>IFERROR(D141/C141,"")</f>
        <v/>
      </c>
      <c r="G141" s="873"/>
      <c r="H141" s="873"/>
      <c r="I141" s="873"/>
      <c r="J141" s="873"/>
    </row>
    <row r="142" spans="1:10">
      <c r="A142" s="339" t="s">
        <v>957</v>
      </c>
      <c r="B142" s="336" t="s">
        <v>484</v>
      </c>
      <c r="C142" s="336"/>
      <c r="D142" s="336"/>
      <c r="E142" s="336"/>
      <c r="F142" s="331" t="str">
        <f>IFERROR(D142/C142,"")</f>
        <v/>
      </c>
      <c r="G142" s="873"/>
      <c r="H142" s="873"/>
      <c r="I142" s="873"/>
      <c r="J142" s="873"/>
    </row>
    <row r="143" spans="1:10">
      <c r="A143" s="879" t="s">
        <v>5856</v>
      </c>
      <c r="B143" s="879"/>
      <c r="C143" s="879"/>
      <c r="D143" s="879"/>
      <c r="E143" s="866" t="s">
        <v>5857</v>
      </c>
      <c r="F143" s="866"/>
      <c r="G143" s="866"/>
      <c r="H143" s="866"/>
      <c r="I143" s="866"/>
      <c r="J143" s="866"/>
    </row>
    <row r="144" spans="1:10">
      <c r="A144" s="879"/>
      <c r="B144" s="879"/>
      <c r="C144" s="879"/>
      <c r="D144" s="879"/>
      <c r="E144" s="866"/>
      <c r="F144" s="866"/>
      <c r="G144" s="866"/>
      <c r="H144" s="866"/>
      <c r="I144" s="866"/>
      <c r="J144" s="866"/>
    </row>
    <row r="145" spans="1:10">
      <c r="A145" s="842" t="s">
        <v>5879</v>
      </c>
      <c r="B145" s="842"/>
      <c r="C145" s="842"/>
      <c r="D145" s="842"/>
      <c r="E145" s="842"/>
      <c r="F145" s="842"/>
      <c r="G145" s="842"/>
      <c r="H145" s="842"/>
      <c r="I145" s="842"/>
      <c r="J145" s="842"/>
    </row>
    <row r="146" spans="1:10">
      <c r="A146" s="326" t="s">
        <v>4946</v>
      </c>
      <c r="B146" s="326" t="s">
        <v>77</v>
      </c>
      <c r="C146" s="326" t="s">
        <v>5845</v>
      </c>
      <c r="D146" s="326" t="s">
        <v>482</v>
      </c>
      <c r="E146" s="326" t="s">
        <v>572</v>
      </c>
      <c r="F146" s="326" t="s">
        <v>944</v>
      </c>
      <c r="G146" s="859" t="s">
        <v>5847</v>
      </c>
      <c r="H146" s="859"/>
      <c r="I146" s="859"/>
      <c r="J146" s="859"/>
    </row>
    <row r="147" spans="1:10" ht="26.4">
      <c r="A147" s="332" t="s">
        <v>5814</v>
      </c>
      <c r="B147" s="328" t="s">
        <v>484</v>
      </c>
      <c r="C147" s="328" t="s">
        <v>392</v>
      </c>
      <c r="D147" s="328" t="s">
        <v>1096</v>
      </c>
      <c r="E147" s="328">
        <f t="shared" ref="E147:E152" si="1">IF(D147="Yes",1,0)</f>
        <v>0</v>
      </c>
      <c r="F147" s="328"/>
      <c r="G147" s="873"/>
      <c r="H147" s="873"/>
      <c r="I147" s="873"/>
      <c r="J147" s="873"/>
    </row>
    <row r="148" spans="1:10">
      <c r="A148" s="339" t="s">
        <v>5815</v>
      </c>
      <c r="B148" s="328" t="s">
        <v>484</v>
      </c>
      <c r="C148" s="336" t="s">
        <v>392</v>
      </c>
      <c r="D148" s="328" t="s">
        <v>1096</v>
      </c>
      <c r="E148" s="336">
        <f t="shared" si="1"/>
        <v>0</v>
      </c>
      <c r="F148" s="336"/>
      <c r="G148" s="873"/>
      <c r="H148" s="873"/>
      <c r="I148" s="873"/>
      <c r="J148" s="873"/>
    </row>
    <row r="149" spans="1:10" ht="26.4">
      <c r="A149" s="332" t="s">
        <v>5816</v>
      </c>
      <c r="B149" s="328" t="s">
        <v>484</v>
      </c>
      <c r="C149" s="328" t="s">
        <v>392</v>
      </c>
      <c r="D149" s="328" t="s">
        <v>1096</v>
      </c>
      <c r="E149" s="328">
        <f t="shared" si="1"/>
        <v>0</v>
      </c>
      <c r="F149" s="328"/>
      <c r="G149" s="873"/>
      <c r="H149" s="873"/>
      <c r="I149" s="873"/>
      <c r="J149" s="873"/>
    </row>
    <row r="150" spans="1:10">
      <c r="A150" s="339" t="s">
        <v>5838</v>
      </c>
      <c r="B150" s="328" t="s">
        <v>484</v>
      </c>
      <c r="C150" s="336" t="s">
        <v>392</v>
      </c>
      <c r="D150" s="328" t="s">
        <v>1096</v>
      </c>
      <c r="E150" s="336">
        <f t="shared" si="1"/>
        <v>0</v>
      </c>
      <c r="F150" s="336"/>
      <c r="G150" s="873"/>
      <c r="H150" s="873"/>
      <c r="I150" s="873"/>
      <c r="J150" s="873"/>
    </row>
    <row r="151" spans="1:10" ht="26.4">
      <c r="A151" s="332" t="s">
        <v>5839</v>
      </c>
      <c r="B151" s="328" t="s">
        <v>484</v>
      </c>
      <c r="C151" s="328" t="s">
        <v>392</v>
      </c>
      <c r="D151" s="328" t="s">
        <v>1096</v>
      </c>
      <c r="E151" s="328">
        <f t="shared" si="1"/>
        <v>0</v>
      </c>
      <c r="F151" s="328"/>
      <c r="G151" s="873"/>
      <c r="H151" s="873"/>
      <c r="I151" s="873"/>
      <c r="J151" s="873"/>
    </row>
    <row r="152" spans="1:10" ht="26.4">
      <c r="A152" s="339" t="s">
        <v>5840</v>
      </c>
      <c r="B152" s="328" t="s">
        <v>484</v>
      </c>
      <c r="C152" s="336" t="s">
        <v>392</v>
      </c>
      <c r="D152" s="336" t="s">
        <v>1096</v>
      </c>
      <c r="E152" s="336">
        <f t="shared" si="1"/>
        <v>0</v>
      </c>
      <c r="F152" s="336"/>
      <c r="G152" s="873"/>
      <c r="H152" s="873"/>
      <c r="I152" s="873"/>
      <c r="J152" s="873"/>
    </row>
    <row r="153" spans="1:10" ht="15.6">
      <c r="A153" s="880" t="s">
        <v>5858</v>
      </c>
      <c r="B153" s="713"/>
      <c r="C153" s="871">
        <f>IFERROR(SUM(E147:E152)/COUNTIF(C147:C152,"Yes"),"")</f>
        <v>0</v>
      </c>
      <c r="D153" s="872"/>
      <c r="E153" s="866" t="s">
        <v>5859</v>
      </c>
      <c r="F153" s="866"/>
      <c r="G153" s="866"/>
      <c r="H153" s="866"/>
      <c r="I153" s="866"/>
      <c r="J153" s="866"/>
    </row>
    <row r="154" spans="1:10">
      <c r="A154" s="196"/>
      <c r="B154" s="196"/>
      <c r="C154" s="196"/>
      <c r="D154" s="196"/>
      <c r="E154" s="196"/>
      <c r="F154" s="196"/>
      <c r="G154" s="196"/>
      <c r="H154" s="196"/>
      <c r="I154" s="196"/>
      <c r="J154" s="196"/>
    </row>
    <row r="155" spans="1:10">
      <c r="A155" s="842" t="s">
        <v>5880</v>
      </c>
      <c r="B155" s="853"/>
      <c r="C155" s="853"/>
      <c r="D155" s="321"/>
      <c r="E155" s="321"/>
      <c r="F155" s="321"/>
      <c r="G155" s="321"/>
      <c r="H155" s="321"/>
      <c r="I155" s="321"/>
      <c r="J155" s="321"/>
    </row>
    <row r="156" spans="1:10" ht="55.2">
      <c r="A156" s="322" t="s">
        <v>905</v>
      </c>
      <c r="B156" s="322" t="s">
        <v>830</v>
      </c>
      <c r="C156" s="322"/>
      <c r="D156" s="322"/>
      <c r="E156" s="322"/>
      <c r="F156" s="322"/>
      <c r="G156" s="322"/>
      <c r="H156" s="322"/>
      <c r="I156" s="322"/>
      <c r="J156" s="322"/>
    </row>
    <row r="157" spans="1:10">
      <c r="A157" s="319" t="s">
        <v>1086</v>
      </c>
      <c r="B157" s="852" t="s">
        <v>3292</v>
      </c>
      <c r="C157" s="853"/>
      <c r="D157" s="853"/>
      <c r="E157" s="853"/>
      <c r="F157" s="853"/>
      <c r="G157" s="853"/>
      <c r="H157" s="853"/>
      <c r="I157" s="853"/>
      <c r="J157" s="853"/>
    </row>
    <row r="158" spans="1:10" ht="27.6">
      <c r="A158" s="319" t="s">
        <v>2090</v>
      </c>
      <c r="B158" s="852" t="s">
        <v>3293</v>
      </c>
      <c r="C158" s="853"/>
      <c r="D158" s="853"/>
      <c r="E158" s="853"/>
      <c r="F158" s="853"/>
      <c r="G158" s="853"/>
      <c r="H158" s="853"/>
      <c r="I158" s="853"/>
      <c r="J158" s="853"/>
    </row>
    <row r="159" spans="1:10">
      <c r="A159" s="319" t="s">
        <v>1089</v>
      </c>
      <c r="B159" s="852" t="s">
        <v>3294</v>
      </c>
      <c r="C159" s="853"/>
      <c r="D159" s="853"/>
      <c r="E159" s="853"/>
      <c r="F159" s="853"/>
      <c r="G159" s="853"/>
      <c r="H159" s="853"/>
      <c r="I159" s="853"/>
      <c r="J159" s="853"/>
    </row>
    <row r="160" spans="1:10">
      <c r="A160" s="319" t="s">
        <v>1090</v>
      </c>
      <c r="B160" s="852" t="s">
        <v>3295</v>
      </c>
      <c r="C160" s="853"/>
      <c r="D160" s="853"/>
      <c r="E160" s="853"/>
      <c r="F160" s="853"/>
      <c r="G160" s="853"/>
      <c r="H160" s="853"/>
      <c r="I160" s="853"/>
      <c r="J160" s="853"/>
    </row>
    <row r="161" spans="1:10">
      <c r="A161" s="319" t="s">
        <v>1088</v>
      </c>
      <c r="B161" s="852" t="s">
        <v>3296</v>
      </c>
      <c r="C161" s="853"/>
      <c r="D161" s="853"/>
      <c r="E161" s="853"/>
      <c r="F161" s="853"/>
      <c r="G161" s="853"/>
      <c r="H161" s="853"/>
      <c r="I161" s="853"/>
      <c r="J161" s="853"/>
    </row>
    <row r="162" spans="1:10" ht="27.6">
      <c r="A162" s="319" t="s">
        <v>3297</v>
      </c>
      <c r="B162" s="852" t="s">
        <v>3298</v>
      </c>
      <c r="C162" s="853"/>
      <c r="D162" s="853"/>
      <c r="E162" s="853"/>
      <c r="F162" s="853"/>
      <c r="G162" s="853"/>
      <c r="H162" s="853"/>
      <c r="I162" s="853"/>
      <c r="J162" s="853"/>
    </row>
    <row r="163" spans="1:10">
      <c r="A163" s="319" t="s">
        <v>1563</v>
      </c>
      <c r="B163" s="852" t="s">
        <v>1776</v>
      </c>
      <c r="C163" s="853"/>
      <c r="D163" s="853"/>
      <c r="E163" s="853"/>
      <c r="F163" s="853"/>
      <c r="G163" s="853"/>
      <c r="H163" s="853"/>
      <c r="I163" s="853"/>
      <c r="J163" s="853"/>
    </row>
    <row r="164" spans="1:10">
      <c r="A164" s="231"/>
      <c r="B164" s="231"/>
      <c r="C164" s="231"/>
      <c r="D164" s="231"/>
      <c r="E164" s="231"/>
      <c r="F164" s="231"/>
      <c r="G164" s="231"/>
      <c r="H164" s="231"/>
      <c r="I164" s="231"/>
      <c r="J164" s="231"/>
    </row>
    <row r="165" spans="1:10" ht="17.399999999999999">
      <c r="A165" s="827" t="s">
        <v>5769</v>
      </c>
      <c r="B165" s="827"/>
      <c r="C165" s="827"/>
      <c r="D165" s="827"/>
      <c r="E165" s="827"/>
      <c r="F165" s="827"/>
      <c r="G165" s="827"/>
      <c r="H165" s="827"/>
      <c r="I165" s="231"/>
      <c r="J165" s="231"/>
    </row>
    <row r="166" spans="1:10">
      <c r="A166" s="276" t="s">
        <v>2</v>
      </c>
      <c r="B166" s="828" t="s">
        <v>5770</v>
      </c>
      <c r="C166" s="828"/>
      <c r="D166" s="828"/>
      <c r="E166" s="828"/>
      <c r="F166" s="828"/>
      <c r="G166" s="828"/>
      <c r="H166" s="828"/>
      <c r="I166" s="231"/>
      <c r="J166" s="231"/>
    </row>
    <row r="167" spans="1:10">
      <c r="A167" s="276" t="s">
        <v>5771</v>
      </c>
      <c r="B167" s="828" t="s">
        <v>5772</v>
      </c>
      <c r="C167" s="828"/>
      <c r="D167" s="828"/>
      <c r="E167" s="828"/>
      <c r="F167" s="828"/>
      <c r="G167" s="828"/>
      <c r="H167" s="828"/>
      <c r="I167" s="231"/>
      <c r="J167" s="231"/>
    </row>
    <row r="168" spans="1:10">
      <c r="A168" s="196"/>
      <c r="B168" s="196"/>
      <c r="C168" s="196"/>
      <c r="D168" s="196"/>
      <c r="E168" s="196"/>
      <c r="F168" s="196"/>
      <c r="G168" s="196"/>
      <c r="H168" s="196"/>
      <c r="I168" s="231"/>
      <c r="J168" s="231"/>
    </row>
    <row r="169" spans="1:10">
      <c r="A169" s="323" t="s">
        <v>4946</v>
      </c>
      <c r="B169" s="323" t="s">
        <v>77</v>
      </c>
      <c r="C169" s="323" t="s">
        <v>5773</v>
      </c>
      <c r="D169" s="323" t="s">
        <v>263</v>
      </c>
      <c r="E169" s="323" t="s">
        <v>216</v>
      </c>
      <c r="F169" s="323" t="s">
        <v>5774</v>
      </c>
      <c r="G169" s="323" t="s">
        <v>5775</v>
      </c>
      <c r="H169" s="323" t="s">
        <v>5776</v>
      </c>
      <c r="I169" s="231"/>
      <c r="J169" s="231"/>
    </row>
    <row r="170" spans="1:10" ht="26.4">
      <c r="A170" s="277" t="s">
        <v>5777</v>
      </c>
      <c r="B170" s="278" t="s">
        <v>1096</v>
      </c>
      <c r="C170" s="277"/>
      <c r="D170" s="277"/>
      <c r="E170" s="277"/>
      <c r="F170" s="277"/>
      <c r="G170" s="279" t="str">
        <f t="shared" ref="G170:G177" si="2">IF(OR(B170="Yes",B170="N/A"),"🟢","🟡")</f>
        <v>🟡</v>
      </c>
      <c r="H170" s="277"/>
      <c r="I170" s="231"/>
      <c r="J170" s="231"/>
    </row>
    <row r="171" spans="1:10">
      <c r="A171" s="277" t="s">
        <v>5778</v>
      </c>
      <c r="B171" s="278" t="s">
        <v>1096</v>
      </c>
      <c r="C171" s="277"/>
      <c r="D171" s="277"/>
      <c r="E171" s="277"/>
      <c r="F171" s="277"/>
      <c r="G171" s="279" t="str">
        <f t="shared" si="2"/>
        <v>🟡</v>
      </c>
      <c r="H171" s="277"/>
      <c r="I171" s="231"/>
      <c r="J171" s="231"/>
    </row>
    <row r="172" spans="1:10">
      <c r="A172" s="277" t="s">
        <v>5779</v>
      </c>
      <c r="B172" s="278" t="s">
        <v>1096</v>
      </c>
      <c r="C172" s="277"/>
      <c r="D172" s="277"/>
      <c r="E172" s="277"/>
      <c r="F172" s="277"/>
      <c r="G172" s="279" t="str">
        <f t="shared" si="2"/>
        <v>🟡</v>
      </c>
      <c r="H172" s="277"/>
      <c r="I172" s="231"/>
      <c r="J172" s="231"/>
    </row>
    <row r="173" spans="1:10">
      <c r="A173" s="277" t="s">
        <v>5168</v>
      </c>
      <c r="B173" s="278" t="s">
        <v>1096</v>
      </c>
      <c r="C173" s="277"/>
      <c r="D173" s="277"/>
      <c r="E173" s="277"/>
      <c r="F173" s="277"/>
      <c r="G173" s="279" t="str">
        <f t="shared" si="2"/>
        <v>🟡</v>
      </c>
      <c r="H173" s="277"/>
      <c r="I173" s="231"/>
      <c r="J173" s="231"/>
    </row>
    <row r="174" spans="1:10">
      <c r="A174" s="277" t="s">
        <v>5780</v>
      </c>
      <c r="B174" s="278" t="s">
        <v>1096</v>
      </c>
      <c r="C174" s="277"/>
      <c r="D174" s="277"/>
      <c r="E174" s="277"/>
      <c r="F174" s="277"/>
      <c r="G174" s="279" t="str">
        <f t="shared" si="2"/>
        <v>🟡</v>
      </c>
      <c r="H174" s="277"/>
      <c r="I174" s="231"/>
      <c r="J174" s="231"/>
    </row>
    <row r="175" spans="1:10">
      <c r="A175" s="277" t="s">
        <v>5781</v>
      </c>
      <c r="B175" s="278" t="s">
        <v>1096</v>
      </c>
      <c r="C175" s="277"/>
      <c r="D175" s="277"/>
      <c r="E175" s="277"/>
      <c r="F175" s="277"/>
      <c r="G175" s="279" t="str">
        <f t="shared" si="2"/>
        <v>🟡</v>
      </c>
      <c r="H175" s="277"/>
      <c r="I175" s="231"/>
      <c r="J175" s="231"/>
    </row>
    <row r="176" spans="1:10">
      <c r="A176" s="277" t="s">
        <v>178</v>
      </c>
      <c r="B176" s="278" t="s">
        <v>1096</v>
      </c>
      <c r="C176" s="277"/>
      <c r="D176" s="277"/>
      <c r="E176" s="277"/>
      <c r="F176" s="277"/>
      <c r="G176" s="279" t="str">
        <f t="shared" si="2"/>
        <v>🟡</v>
      </c>
      <c r="H176" s="277"/>
      <c r="I176" s="231"/>
      <c r="J176" s="231"/>
    </row>
    <row r="177" spans="1:10" ht="26.4">
      <c r="A177" s="277" t="s">
        <v>5782</v>
      </c>
      <c r="B177" s="278" t="s">
        <v>1096</v>
      </c>
      <c r="C177" s="277"/>
      <c r="D177" s="277"/>
      <c r="E177" s="277"/>
      <c r="F177" s="277"/>
      <c r="G177" s="279" t="str">
        <f t="shared" si="2"/>
        <v>🟡</v>
      </c>
      <c r="H177" s="277"/>
      <c r="I177" s="231"/>
      <c r="J177" s="231"/>
    </row>
    <row r="178" spans="1:10">
      <c r="A178" s="324" t="s">
        <v>4946</v>
      </c>
      <c r="B178" s="324" t="s">
        <v>5790</v>
      </c>
      <c r="C178" s="196"/>
      <c r="D178" s="196"/>
      <c r="E178" s="324" t="s">
        <v>5791</v>
      </c>
      <c r="F178" s="196"/>
      <c r="G178" s="196"/>
      <c r="H178" s="196"/>
      <c r="I178" s="231"/>
      <c r="J178" s="231"/>
    </row>
    <row r="179" spans="1:10" ht="26.4">
      <c r="A179" s="291" t="s">
        <v>5777</v>
      </c>
      <c r="B179" s="768" t="s">
        <v>5792</v>
      </c>
      <c r="C179" s="768"/>
      <c r="D179" s="768"/>
      <c r="E179" s="768" t="s">
        <v>5793</v>
      </c>
      <c r="F179" s="768"/>
      <c r="G179" s="768"/>
      <c r="H179" s="196"/>
      <c r="I179" s="231"/>
      <c r="J179" s="231"/>
    </row>
    <row r="180" spans="1:10">
      <c r="A180" s="291" t="s">
        <v>5778</v>
      </c>
      <c r="B180" s="768" t="s">
        <v>5794</v>
      </c>
      <c r="C180" s="768"/>
      <c r="D180" s="768"/>
      <c r="E180" s="768" t="s">
        <v>5795</v>
      </c>
      <c r="F180" s="768"/>
      <c r="G180" s="768"/>
      <c r="H180" s="196"/>
      <c r="I180" s="231"/>
      <c r="J180" s="231"/>
    </row>
    <row r="181" spans="1:10">
      <c r="A181" s="291" t="s">
        <v>5779</v>
      </c>
      <c r="B181" s="768" t="s">
        <v>5796</v>
      </c>
      <c r="C181" s="768"/>
      <c r="D181" s="768"/>
      <c r="E181" s="768" t="s">
        <v>5797</v>
      </c>
      <c r="F181" s="768"/>
      <c r="G181" s="768"/>
      <c r="H181" s="196"/>
      <c r="I181" s="231"/>
      <c r="J181" s="231"/>
    </row>
    <row r="182" spans="1:10">
      <c r="A182" s="291" t="s">
        <v>5168</v>
      </c>
      <c r="B182" s="768" t="s">
        <v>5798</v>
      </c>
      <c r="C182" s="768"/>
      <c r="D182" s="768"/>
      <c r="E182" s="768" t="s">
        <v>5799</v>
      </c>
      <c r="F182" s="768"/>
      <c r="G182" s="768"/>
      <c r="H182" s="196"/>
      <c r="I182" s="231"/>
      <c r="J182" s="231"/>
    </row>
    <row r="183" spans="1:10">
      <c r="A183" s="291" t="s">
        <v>5780</v>
      </c>
      <c r="B183" s="768" t="s">
        <v>5800</v>
      </c>
      <c r="C183" s="768"/>
      <c r="D183" s="768"/>
      <c r="E183" s="768" t="s">
        <v>5801</v>
      </c>
      <c r="F183" s="768"/>
      <c r="G183" s="768"/>
      <c r="H183" s="196"/>
      <c r="I183" s="231"/>
      <c r="J183" s="231"/>
    </row>
    <row r="184" spans="1:10">
      <c r="A184" s="291" t="s">
        <v>5781</v>
      </c>
      <c r="B184" s="768" t="s">
        <v>5802</v>
      </c>
      <c r="C184" s="768"/>
      <c r="D184" s="768"/>
      <c r="E184" s="768" t="s">
        <v>5803</v>
      </c>
      <c r="F184" s="768"/>
      <c r="G184" s="768"/>
      <c r="H184" s="196"/>
      <c r="I184" s="231"/>
      <c r="J184" s="231"/>
    </row>
    <row r="185" spans="1:10">
      <c r="A185" s="291" t="s">
        <v>178</v>
      </c>
      <c r="B185" s="768" t="s">
        <v>5804</v>
      </c>
      <c r="C185" s="768"/>
      <c r="D185" s="768"/>
      <c r="E185" s="768" t="s">
        <v>5805</v>
      </c>
      <c r="F185" s="768"/>
      <c r="G185" s="768"/>
      <c r="H185" s="196"/>
      <c r="I185" s="231"/>
      <c r="J185" s="231"/>
    </row>
    <row r="186" spans="1:10" ht="26.4">
      <c r="A186" s="291" t="s">
        <v>5782</v>
      </c>
      <c r="B186" s="768" t="s">
        <v>5806</v>
      </c>
      <c r="C186" s="768"/>
      <c r="D186" s="768"/>
      <c r="E186" s="768" t="s">
        <v>5807</v>
      </c>
      <c r="F186" s="768"/>
      <c r="G186" s="768"/>
      <c r="H186" s="196"/>
      <c r="I186" s="231"/>
      <c r="J186" s="231"/>
    </row>
    <row r="187" spans="1:10">
      <c r="A187" s="276" t="s">
        <v>5783</v>
      </c>
      <c r="B187" s="280" t="str">
        <f>IF(COUNTIF(B170:B177,"No")=0,"🟢 PILOT COMPLETE / ACCEPTANCE READY","🟡 NOT COMPLETE — ACCEPTANCE GATES OPEN")</f>
        <v>🟡 NOT COMPLETE — ACCEPTANCE GATES OPEN</v>
      </c>
      <c r="C187" s="280"/>
      <c r="D187" s="280"/>
      <c r="E187" s="280"/>
      <c r="F187" s="280"/>
      <c r="G187" s="280"/>
      <c r="H187" s="280"/>
    </row>
    <row r="188" spans="1:10">
      <c r="A188" s="276" t="s">
        <v>5784</v>
      </c>
      <c r="B188" s="280">
        <f>COUNTIF(B170:B177,"No")</f>
        <v>8</v>
      </c>
      <c r="C188" s="280"/>
      <c r="D188" s="280"/>
      <c r="E188" s="280"/>
      <c r="F188" s="280"/>
      <c r="G188" s="280"/>
      <c r="H188" s="280"/>
    </row>
    <row r="189" spans="1:10">
      <c r="A189" s="276" t="s">
        <v>5785</v>
      </c>
      <c r="B189" s="280" t="str">
        <f>COUNTIF(B170:B177,"Yes")&amp;" / 8 Complete"</f>
        <v>0 / 8 Complete</v>
      </c>
      <c r="C189" s="280"/>
      <c r="D189" s="280"/>
      <c r="E189" s="280"/>
      <c r="F189" s="280"/>
      <c r="G189" s="280"/>
      <c r="H189" s="280"/>
    </row>
    <row r="190" spans="1:10" ht="93">
      <c r="A190" s="281" t="s">
        <v>5786</v>
      </c>
      <c r="B190" s="282" t="s">
        <v>5787</v>
      </c>
      <c r="C190" s="282"/>
      <c r="D190" s="282"/>
      <c r="E190" s="282"/>
      <c r="F190" s="282"/>
      <c r="G190" s="282"/>
      <c r="H190" s="282"/>
    </row>
    <row r="191" spans="1:10">
      <c r="A191" s="281"/>
      <c r="B191" s="282"/>
      <c r="C191" s="282"/>
      <c r="D191" s="282"/>
      <c r="E191" s="282"/>
      <c r="F191" s="282"/>
      <c r="G191" s="282"/>
      <c r="H191" s="282"/>
    </row>
    <row r="192" spans="1:10" ht="66.599999999999994">
      <c r="A192" s="281" t="s">
        <v>5788</v>
      </c>
      <c r="B192" s="282" t="s">
        <v>5789</v>
      </c>
      <c r="C192" s="282"/>
      <c r="D192" s="282"/>
      <c r="E192" s="282"/>
      <c r="F192" s="282"/>
      <c r="G192" s="282"/>
      <c r="H192" s="282"/>
    </row>
    <row r="193" spans="1:10">
      <c r="A193" s="842" t="s">
        <v>5901</v>
      </c>
      <c r="B193" s="842"/>
      <c r="C193" s="842"/>
      <c r="D193" s="842"/>
      <c r="E193" s="842"/>
      <c r="F193" s="842"/>
      <c r="G193" s="842"/>
      <c r="H193" s="842"/>
      <c r="I193" s="842"/>
      <c r="J193" s="842"/>
    </row>
    <row r="194" spans="1:10">
      <c r="A194" s="340" t="s">
        <v>5886</v>
      </c>
      <c r="B194" s="196"/>
      <c r="C194" s="196"/>
      <c r="D194" s="196"/>
      <c r="E194" s="196"/>
      <c r="F194" s="196"/>
      <c r="G194" s="196"/>
      <c r="H194" s="196"/>
      <c r="I194" s="196"/>
      <c r="J194" s="196"/>
    </row>
    <row r="195" spans="1:10">
      <c r="A195" s="196"/>
      <c r="B195" s="196"/>
      <c r="C195" s="196"/>
      <c r="D195" s="196"/>
      <c r="E195" s="196"/>
      <c r="F195" s="196"/>
      <c r="G195" s="196"/>
      <c r="H195" s="196"/>
      <c r="I195" s="196"/>
      <c r="J195" s="196"/>
    </row>
    <row r="196" spans="1:10">
      <c r="A196" s="196" t="s">
        <v>5887</v>
      </c>
      <c r="B196" s="196"/>
      <c r="C196" s="196"/>
      <c r="D196" s="196"/>
      <c r="E196" s="196"/>
      <c r="F196" s="196"/>
      <c r="G196" s="196"/>
      <c r="H196" s="196"/>
      <c r="I196" s="196"/>
      <c r="J196" s="196"/>
    </row>
    <row r="197" spans="1:10">
      <c r="A197" s="196"/>
      <c r="B197" s="196"/>
      <c r="C197" s="196"/>
      <c r="D197" s="196"/>
      <c r="E197" s="196"/>
      <c r="F197" s="196"/>
      <c r="G197" s="196"/>
      <c r="H197" s="196"/>
      <c r="I197" s="196"/>
      <c r="J197" s="196"/>
    </row>
    <row r="198" spans="1:10">
      <c r="A198" s="196" t="s">
        <v>5888</v>
      </c>
      <c r="B198" s="196"/>
      <c r="C198" s="196"/>
      <c r="D198" s="196"/>
      <c r="E198" s="196"/>
      <c r="F198" s="196"/>
      <c r="G198" s="196"/>
      <c r="H198" s="196"/>
      <c r="I198" s="196"/>
      <c r="J198" s="196"/>
    </row>
    <row r="199" spans="1:10">
      <c r="A199" s="196"/>
      <c r="B199" s="196"/>
      <c r="C199" s="196"/>
      <c r="D199" s="196"/>
      <c r="E199" s="196"/>
      <c r="F199" s="196"/>
      <c r="G199" s="196"/>
      <c r="H199" s="196"/>
      <c r="I199" s="196"/>
      <c r="J199" s="196"/>
    </row>
    <row r="200" spans="1:10">
      <c r="A200" s="196" t="s">
        <v>5889</v>
      </c>
      <c r="B200" s="196"/>
      <c r="C200" s="196"/>
      <c r="D200" s="196"/>
      <c r="E200" s="196"/>
      <c r="F200" s="196"/>
      <c r="G200" s="196"/>
      <c r="H200" s="196"/>
      <c r="I200" s="196"/>
      <c r="J200" s="196"/>
    </row>
    <row r="201" spans="1:10">
      <c r="A201" s="196"/>
      <c r="B201" s="196"/>
      <c r="C201" s="196"/>
      <c r="D201" s="196"/>
      <c r="E201" s="196"/>
      <c r="F201" s="196"/>
      <c r="G201" s="196"/>
      <c r="H201" s="196"/>
      <c r="I201" s="196"/>
      <c r="J201" s="196"/>
    </row>
    <row r="202" spans="1:10">
      <c r="A202" s="196"/>
      <c r="B202" s="196"/>
      <c r="C202" s="196"/>
      <c r="D202" s="196"/>
      <c r="E202" s="196"/>
      <c r="F202" s="196"/>
      <c r="G202" s="196"/>
      <c r="H202" s="196"/>
      <c r="I202" s="196"/>
      <c r="J202" s="196"/>
    </row>
    <row r="203" spans="1:10">
      <c r="A203" s="196"/>
      <c r="B203" s="196"/>
      <c r="C203" s="196"/>
      <c r="D203" s="196"/>
      <c r="E203" s="196"/>
      <c r="F203" s="196"/>
      <c r="G203" s="196"/>
      <c r="H203" s="196"/>
      <c r="I203" s="196"/>
      <c r="J203" s="196"/>
    </row>
    <row r="204" spans="1:10">
      <c r="A204" s="842" t="s">
        <v>5902</v>
      </c>
      <c r="B204" s="842"/>
      <c r="C204" s="842"/>
      <c r="D204" s="842"/>
      <c r="E204" s="842"/>
      <c r="F204" s="842"/>
      <c r="G204" s="842"/>
      <c r="H204" s="842"/>
      <c r="I204" s="842"/>
      <c r="J204" s="842"/>
    </row>
    <row r="205" spans="1:10">
      <c r="A205" s="196"/>
      <c r="B205" s="196"/>
      <c r="C205" s="196"/>
      <c r="D205" s="196"/>
      <c r="E205" s="196"/>
      <c r="F205" s="196"/>
      <c r="G205" s="196"/>
      <c r="H205" s="196"/>
      <c r="I205" s="196"/>
      <c r="J205" s="196"/>
    </row>
    <row r="206" spans="1:10">
      <c r="A206" s="196" t="s">
        <v>5890</v>
      </c>
      <c r="B206" s="196"/>
      <c r="C206" s="196"/>
      <c r="D206" s="196"/>
      <c r="E206" s="196"/>
      <c r="F206" s="196"/>
      <c r="G206" s="196"/>
      <c r="H206" s="196"/>
      <c r="I206" s="196"/>
      <c r="J206" s="196"/>
    </row>
    <row r="207" spans="1:10">
      <c r="A207" s="196"/>
      <c r="B207" s="196"/>
      <c r="C207" s="196"/>
      <c r="D207" s="196"/>
      <c r="E207" s="196"/>
      <c r="F207" s="196"/>
      <c r="G207" s="196"/>
      <c r="H207" s="196"/>
      <c r="I207" s="196"/>
      <c r="J207" s="196"/>
    </row>
    <row r="208" spans="1:10">
      <c r="A208" s="196" t="s">
        <v>5891</v>
      </c>
      <c r="B208" s="196"/>
      <c r="C208" s="196"/>
      <c r="D208" s="196"/>
      <c r="E208" s="196"/>
      <c r="F208" s="196"/>
      <c r="G208" s="196"/>
      <c r="H208" s="196"/>
      <c r="I208" s="196"/>
      <c r="J208" s="196"/>
    </row>
    <row r="209" spans="1:10">
      <c r="A209" s="196"/>
      <c r="B209" s="196"/>
      <c r="C209" s="196"/>
      <c r="D209" s="196"/>
      <c r="E209" s="196"/>
      <c r="F209" s="196"/>
      <c r="G209" s="196"/>
      <c r="H209" s="196"/>
      <c r="I209" s="196"/>
      <c r="J209" s="196"/>
    </row>
    <row r="210" spans="1:10">
      <c r="A210" s="196" t="s">
        <v>5892</v>
      </c>
      <c r="B210" s="196"/>
      <c r="C210" s="196"/>
      <c r="D210" s="196"/>
      <c r="E210" s="196"/>
      <c r="F210" s="196"/>
      <c r="G210" s="196"/>
      <c r="H210" s="196"/>
      <c r="I210" s="196"/>
      <c r="J210" s="196"/>
    </row>
    <row r="211" spans="1:10">
      <c r="A211" s="196"/>
      <c r="B211" s="196"/>
      <c r="C211" s="196"/>
      <c r="D211" s="196"/>
      <c r="E211" s="196"/>
      <c r="F211" s="196"/>
      <c r="G211" s="196"/>
      <c r="H211" s="196"/>
      <c r="I211" s="196"/>
      <c r="J211" s="196"/>
    </row>
    <row r="212" spans="1:10">
      <c r="A212" s="196"/>
      <c r="B212" s="196"/>
      <c r="C212" s="196"/>
      <c r="D212" s="196"/>
      <c r="E212" s="196"/>
      <c r="F212" s="196"/>
      <c r="G212" s="196"/>
      <c r="H212" s="196"/>
      <c r="I212" s="196"/>
      <c r="J212" s="196"/>
    </row>
    <row r="213" spans="1:10">
      <c r="A213" s="196"/>
      <c r="B213" s="196"/>
      <c r="C213" s="196"/>
      <c r="D213" s="196"/>
      <c r="E213" s="196"/>
      <c r="F213" s="196"/>
      <c r="G213" s="196"/>
      <c r="H213" s="196"/>
      <c r="I213" s="196"/>
      <c r="J213" s="196"/>
    </row>
    <row r="214" spans="1:10">
      <c r="A214" s="842" t="s">
        <v>5903</v>
      </c>
      <c r="B214" s="842"/>
      <c r="C214" s="842"/>
      <c r="D214" s="842"/>
      <c r="E214" s="842"/>
      <c r="F214" s="842"/>
      <c r="G214" s="842"/>
      <c r="H214" s="842"/>
      <c r="I214" s="842"/>
      <c r="J214" s="842"/>
    </row>
    <row r="215" spans="1:10">
      <c r="A215" s="196"/>
      <c r="B215" s="196"/>
      <c r="C215" s="196"/>
      <c r="D215" s="196"/>
      <c r="E215" s="196"/>
      <c r="F215" s="196"/>
      <c r="G215" s="196"/>
      <c r="H215" s="196"/>
      <c r="I215" s="196"/>
      <c r="J215" s="196"/>
    </row>
    <row r="216" spans="1:10">
      <c r="A216" s="196" t="s">
        <v>5893</v>
      </c>
      <c r="B216" s="196"/>
      <c r="C216" s="196"/>
      <c r="D216" s="196"/>
      <c r="E216" s="196"/>
      <c r="F216" s="196"/>
      <c r="G216" s="196"/>
      <c r="H216" s="196"/>
      <c r="I216" s="196"/>
      <c r="J216" s="196"/>
    </row>
    <row r="217" spans="1:10">
      <c r="A217" s="196"/>
      <c r="B217" s="196"/>
      <c r="C217" s="196"/>
      <c r="D217" s="196"/>
      <c r="E217" s="196"/>
      <c r="F217" s="196"/>
      <c r="G217" s="196"/>
      <c r="H217" s="196"/>
      <c r="I217" s="196"/>
      <c r="J217" s="196"/>
    </row>
    <row r="218" spans="1:10">
      <c r="A218" s="196" t="s">
        <v>5894</v>
      </c>
      <c r="B218" s="196"/>
      <c r="C218" s="196"/>
      <c r="D218" s="196"/>
      <c r="E218" s="196"/>
      <c r="F218" s="196"/>
      <c r="G218" s="196"/>
      <c r="H218" s="196"/>
      <c r="I218" s="196"/>
      <c r="J218" s="196"/>
    </row>
    <row r="219" spans="1:10">
      <c r="A219" s="196"/>
      <c r="B219" s="196"/>
      <c r="C219" s="196"/>
      <c r="D219" s="196"/>
      <c r="E219" s="196"/>
      <c r="F219" s="196"/>
      <c r="G219" s="196"/>
      <c r="H219" s="196"/>
      <c r="I219" s="196"/>
      <c r="J219" s="196"/>
    </row>
    <row r="220" spans="1:10">
      <c r="A220" s="196" t="s">
        <v>5895</v>
      </c>
      <c r="B220" s="196"/>
      <c r="C220" s="196"/>
      <c r="D220" s="196"/>
      <c r="E220" s="196"/>
      <c r="F220" s="196"/>
      <c r="G220" s="196"/>
      <c r="H220" s="196"/>
      <c r="I220" s="196"/>
      <c r="J220" s="196"/>
    </row>
    <row r="221" spans="1:10">
      <c r="A221" s="196"/>
      <c r="B221" s="196"/>
      <c r="C221" s="196"/>
      <c r="D221" s="196"/>
      <c r="E221" s="196"/>
      <c r="F221" s="196"/>
      <c r="G221" s="196"/>
      <c r="H221" s="196"/>
      <c r="I221" s="196"/>
      <c r="J221" s="196"/>
    </row>
    <row r="222" spans="1:10">
      <c r="A222" s="196" t="s">
        <v>5896</v>
      </c>
      <c r="B222" s="196"/>
      <c r="C222" s="196"/>
      <c r="D222" s="196"/>
      <c r="E222" s="196"/>
      <c r="F222" s="196"/>
      <c r="G222" s="196"/>
      <c r="H222" s="196"/>
      <c r="I222" s="196"/>
      <c r="J222" s="196"/>
    </row>
    <row r="223" spans="1:10">
      <c r="A223" s="196"/>
      <c r="B223" s="196"/>
      <c r="C223" s="196"/>
      <c r="D223" s="196"/>
      <c r="E223" s="196"/>
      <c r="F223" s="196"/>
      <c r="G223" s="196"/>
      <c r="H223" s="196"/>
      <c r="I223" s="196"/>
      <c r="J223" s="196"/>
    </row>
    <row r="224" spans="1:10">
      <c r="A224" s="196"/>
      <c r="B224" s="196"/>
      <c r="C224" s="196"/>
      <c r="D224" s="196"/>
      <c r="E224" s="196"/>
      <c r="F224" s="196"/>
      <c r="G224" s="196"/>
      <c r="H224" s="196"/>
      <c r="I224" s="196"/>
      <c r="J224" s="196"/>
    </row>
    <row r="225" spans="1:10">
      <c r="A225" s="196"/>
      <c r="B225" s="196"/>
      <c r="C225" s="196"/>
      <c r="D225" s="196"/>
      <c r="E225" s="196"/>
      <c r="F225" s="196"/>
      <c r="G225" s="196"/>
      <c r="H225" s="196"/>
      <c r="I225" s="196"/>
      <c r="J225" s="196"/>
    </row>
    <row r="226" spans="1:10">
      <c r="A226" s="842" t="s">
        <v>5904</v>
      </c>
      <c r="B226" s="842"/>
      <c r="C226" s="842"/>
      <c r="D226" s="842"/>
      <c r="E226" s="842"/>
      <c r="F226" s="842"/>
      <c r="G226" s="842"/>
      <c r="H226" s="842"/>
      <c r="I226" s="842"/>
      <c r="J226" s="842"/>
    </row>
    <row r="227" spans="1:10">
      <c r="A227" s="196"/>
      <c r="B227" s="196"/>
      <c r="C227" s="196"/>
      <c r="D227" s="196"/>
      <c r="E227" s="196"/>
      <c r="F227" s="196"/>
      <c r="G227" s="196"/>
      <c r="H227" s="196"/>
      <c r="I227" s="196"/>
      <c r="J227" s="196"/>
    </row>
    <row r="228" spans="1:10">
      <c r="A228" s="196" t="s">
        <v>5897</v>
      </c>
      <c r="B228" s="196"/>
      <c r="C228" s="196"/>
      <c r="D228" s="196"/>
      <c r="E228" s="196"/>
      <c r="F228" s="196"/>
      <c r="G228" s="196"/>
      <c r="H228" s="196"/>
      <c r="I228" s="196"/>
      <c r="J228" s="196"/>
    </row>
    <row r="229" spans="1:10">
      <c r="A229" s="196"/>
      <c r="B229" s="196"/>
      <c r="C229" s="196"/>
      <c r="D229" s="196"/>
      <c r="E229" s="196"/>
      <c r="F229" s="196"/>
      <c r="G229" s="196"/>
      <c r="H229" s="196"/>
      <c r="I229" s="196"/>
      <c r="J229" s="196"/>
    </row>
    <row r="230" spans="1:10">
      <c r="A230" s="196" t="s">
        <v>5898</v>
      </c>
      <c r="B230" s="196"/>
      <c r="C230" s="196"/>
      <c r="D230" s="196"/>
      <c r="E230" s="196"/>
      <c r="F230" s="196"/>
      <c r="G230" s="196"/>
      <c r="H230" s="196"/>
      <c r="I230" s="196"/>
      <c r="J230" s="196"/>
    </row>
    <row r="231" spans="1:10">
      <c r="A231" s="196"/>
      <c r="B231" s="196"/>
      <c r="C231" s="196"/>
      <c r="D231" s="196"/>
      <c r="E231" s="196"/>
      <c r="F231" s="196"/>
      <c r="G231" s="196"/>
      <c r="H231" s="196"/>
      <c r="I231" s="196"/>
      <c r="J231" s="196"/>
    </row>
    <row r="232" spans="1:10">
      <c r="A232" s="196" t="s">
        <v>5899</v>
      </c>
      <c r="B232" s="196"/>
      <c r="C232" s="196"/>
      <c r="D232" s="196"/>
      <c r="E232" s="196"/>
      <c r="F232" s="196"/>
      <c r="G232" s="196"/>
      <c r="H232" s="196"/>
      <c r="I232" s="196"/>
      <c r="J232" s="196"/>
    </row>
    <row r="233" spans="1:10">
      <c r="A233" s="196"/>
      <c r="B233" s="196"/>
      <c r="C233" s="196"/>
      <c r="D233" s="196"/>
      <c r="E233" s="196"/>
      <c r="F233" s="196"/>
      <c r="G233" s="196"/>
      <c r="H233" s="196"/>
      <c r="I233" s="196"/>
      <c r="J233" s="196"/>
    </row>
    <row r="234" spans="1:10">
      <c r="A234" s="196"/>
      <c r="B234" s="196"/>
      <c r="C234" s="196"/>
      <c r="D234" s="196"/>
      <c r="E234" s="196"/>
      <c r="F234" s="196"/>
      <c r="G234" s="196"/>
      <c r="H234" s="196"/>
      <c r="I234" s="196"/>
      <c r="J234" s="196"/>
    </row>
    <row r="235" spans="1:10">
      <c r="A235" s="196"/>
      <c r="B235" s="196"/>
      <c r="C235" s="196"/>
      <c r="D235" s="196"/>
      <c r="E235" s="196"/>
      <c r="F235" s="196"/>
      <c r="G235" s="196"/>
      <c r="H235" s="196"/>
      <c r="I235" s="196"/>
      <c r="J235" s="196"/>
    </row>
    <row r="236" spans="1:10">
      <c r="A236" s="196" t="s">
        <v>5900</v>
      </c>
      <c r="B236" s="196"/>
      <c r="C236" s="196"/>
      <c r="D236" s="196"/>
      <c r="E236" s="196"/>
      <c r="F236" s="196"/>
      <c r="G236" s="196"/>
      <c r="H236" s="196"/>
      <c r="I236" s="196"/>
      <c r="J236" s="196"/>
    </row>
    <row r="237" spans="1:10">
      <c r="A237" s="196"/>
      <c r="B237" s="196"/>
      <c r="C237" s="196"/>
      <c r="D237" s="196"/>
      <c r="E237" s="196"/>
      <c r="F237" s="196"/>
      <c r="G237" s="196"/>
      <c r="H237" s="196"/>
      <c r="I237" s="196"/>
      <c r="J237" s="196"/>
    </row>
    <row r="238" spans="1:10">
      <c r="A238" s="341"/>
      <c r="B238" s="341"/>
      <c r="C238" s="341"/>
      <c r="D238" s="341"/>
      <c r="E238" s="341"/>
      <c r="F238" s="341"/>
      <c r="G238" s="341"/>
      <c r="H238" s="341"/>
      <c r="I238" s="341"/>
      <c r="J238" s="341"/>
    </row>
    <row r="239" spans="1:10">
      <c r="A239" s="341"/>
      <c r="B239" s="341"/>
      <c r="C239" s="341"/>
      <c r="D239" s="341"/>
      <c r="E239" s="341"/>
      <c r="F239" s="341"/>
      <c r="G239" s="341"/>
      <c r="H239" s="341"/>
      <c r="I239" s="341"/>
      <c r="J239" s="341"/>
    </row>
    <row r="240" spans="1:10">
      <c r="A240" s="341"/>
      <c r="B240" s="341"/>
      <c r="C240" s="341"/>
      <c r="D240" s="341"/>
      <c r="E240" s="341"/>
      <c r="F240" s="341"/>
      <c r="G240" s="341"/>
      <c r="H240" s="341"/>
      <c r="I240" s="341"/>
      <c r="J240" s="341"/>
    </row>
    <row r="241" spans="1:10">
      <c r="A241" s="341"/>
      <c r="B241" s="341"/>
      <c r="C241" s="341"/>
      <c r="D241" s="341"/>
      <c r="E241" s="341"/>
      <c r="F241" s="341"/>
      <c r="G241" s="341"/>
      <c r="H241" s="341"/>
      <c r="I241" s="341"/>
      <c r="J241" s="341"/>
    </row>
    <row r="242" spans="1:10">
      <c r="A242" s="341"/>
      <c r="B242" s="341"/>
      <c r="C242" s="341"/>
      <c r="D242" s="341"/>
      <c r="E242" s="341"/>
      <c r="F242" s="341"/>
      <c r="G242" s="341"/>
      <c r="H242" s="341"/>
      <c r="I242" s="341"/>
      <c r="J242" s="341"/>
    </row>
    <row r="243" spans="1:10">
      <c r="A243" s="341"/>
      <c r="B243" s="341"/>
      <c r="C243" s="341"/>
      <c r="D243" s="341"/>
      <c r="E243" s="341"/>
      <c r="F243" s="341"/>
      <c r="G243" s="341"/>
      <c r="H243" s="341"/>
      <c r="I243" s="341"/>
      <c r="J243" s="341"/>
    </row>
    <row r="244" spans="1:10">
      <c r="A244" s="341"/>
      <c r="B244" s="341"/>
      <c r="C244" s="341"/>
      <c r="D244" s="341"/>
      <c r="E244" s="341"/>
      <c r="F244" s="341"/>
      <c r="G244" s="341"/>
      <c r="H244" s="341"/>
      <c r="I244" s="341"/>
      <c r="J244" s="341"/>
    </row>
    <row r="245" spans="1:10">
      <c r="A245" s="341"/>
      <c r="B245" s="341"/>
      <c r="C245" s="341"/>
      <c r="D245" s="341"/>
      <c r="E245" s="341"/>
      <c r="F245" s="341"/>
      <c r="G245" s="341"/>
      <c r="H245" s="341"/>
      <c r="I245" s="341"/>
      <c r="J245" s="341"/>
    </row>
    <row r="246" spans="1:10">
      <c r="A246" s="341"/>
      <c r="B246" s="341"/>
      <c r="C246" s="341"/>
      <c r="D246" s="341"/>
      <c r="E246" s="341"/>
      <c r="F246" s="341"/>
      <c r="G246" s="341"/>
      <c r="H246" s="341"/>
      <c r="I246" s="341"/>
      <c r="J246" s="341"/>
    </row>
    <row r="247" spans="1:10">
      <c r="A247" s="196"/>
      <c r="B247" s="196"/>
      <c r="C247" s="196"/>
      <c r="D247" s="196"/>
      <c r="E247" s="196"/>
      <c r="F247" s="196"/>
      <c r="G247" s="196"/>
      <c r="H247" s="196"/>
      <c r="I247" s="196"/>
      <c r="J247" s="196"/>
    </row>
    <row r="248" spans="1:10">
      <c r="A248" s="320"/>
      <c r="B248" s="320"/>
      <c r="C248" s="320"/>
      <c r="D248" s="320"/>
      <c r="E248" s="320"/>
      <c r="F248" s="320"/>
      <c r="G248" s="874"/>
      <c r="H248" s="874"/>
      <c r="I248" s="874"/>
      <c r="J248" s="874"/>
    </row>
  </sheetData>
  <mergeCells count="121">
    <mergeCell ref="B105:J105"/>
    <mergeCell ref="A1:J1"/>
    <mergeCell ref="B104:J104"/>
    <mergeCell ref="A68:C68"/>
    <mergeCell ref="D6:J6"/>
    <mergeCell ref="A15:C15"/>
    <mergeCell ref="B100:J100"/>
    <mergeCell ref="A36:C36"/>
    <mergeCell ref="A79:C79"/>
    <mergeCell ref="B102:J102"/>
    <mergeCell ref="A8:C8"/>
    <mergeCell ref="A22:C22"/>
    <mergeCell ref="A97:C97"/>
    <mergeCell ref="A29:C29"/>
    <mergeCell ref="A43:C43"/>
    <mergeCell ref="A90:C90"/>
    <mergeCell ref="B101:J101"/>
    <mergeCell ref="A50:C50"/>
    <mergeCell ref="A57:C57"/>
    <mergeCell ref="B103:J103"/>
    <mergeCell ref="B99:J99"/>
    <mergeCell ref="G110:J110"/>
    <mergeCell ref="G112:J112"/>
    <mergeCell ref="A114:B114"/>
    <mergeCell ref="E114:J114"/>
    <mergeCell ref="A116:C116"/>
    <mergeCell ref="D116:F116"/>
    <mergeCell ref="G116:J116"/>
    <mergeCell ref="A107:C107"/>
    <mergeCell ref="D107:F107"/>
    <mergeCell ref="G107:J107"/>
    <mergeCell ref="G108:J108"/>
    <mergeCell ref="G109:J109"/>
    <mergeCell ref="F122:J122"/>
    <mergeCell ref="F123:J123"/>
    <mergeCell ref="F124:J124"/>
    <mergeCell ref="F125:J125"/>
    <mergeCell ref="A126:B126"/>
    <mergeCell ref="C126:D126"/>
    <mergeCell ref="E126:J126"/>
    <mergeCell ref="G117:J117"/>
    <mergeCell ref="F118:J118"/>
    <mergeCell ref="F119:J119"/>
    <mergeCell ref="F120:J120"/>
    <mergeCell ref="F121:J121"/>
    <mergeCell ref="G131:J131"/>
    <mergeCell ref="G132:J132"/>
    <mergeCell ref="G133:J133"/>
    <mergeCell ref="G134:J134"/>
    <mergeCell ref="A135:B135"/>
    <mergeCell ref="C135:D135"/>
    <mergeCell ref="E135:J135"/>
    <mergeCell ref="A128:C128"/>
    <mergeCell ref="D128:F128"/>
    <mergeCell ref="G128:J128"/>
    <mergeCell ref="G129:J129"/>
    <mergeCell ref="G130:J130"/>
    <mergeCell ref="G139:J139"/>
    <mergeCell ref="G140:J140"/>
    <mergeCell ref="G141:J141"/>
    <mergeCell ref="G142:J142"/>
    <mergeCell ref="A143:D144"/>
    <mergeCell ref="E143:J144"/>
    <mergeCell ref="G136:J136"/>
    <mergeCell ref="A137:C137"/>
    <mergeCell ref="D137:F137"/>
    <mergeCell ref="G137:J137"/>
    <mergeCell ref="G138:J138"/>
    <mergeCell ref="G148:J148"/>
    <mergeCell ref="G149:J149"/>
    <mergeCell ref="G150:J150"/>
    <mergeCell ref="G151:J151"/>
    <mergeCell ref="G152:J152"/>
    <mergeCell ref="A145:C145"/>
    <mergeCell ref="D145:F145"/>
    <mergeCell ref="G145:J145"/>
    <mergeCell ref="G146:J146"/>
    <mergeCell ref="G147:J147"/>
    <mergeCell ref="B158:J158"/>
    <mergeCell ref="B159:J159"/>
    <mergeCell ref="B160:J160"/>
    <mergeCell ref="B161:J161"/>
    <mergeCell ref="B162:J162"/>
    <mergeCell ref="A153:B153"/>
    <mergeCell ref="C153:D153"/>
    <mergeCell ref="E153:J153"/>
    <mergeCell ref="A155:C155"/>
    <mergeCell ref="B157:J157"/>
    <mergeCell ref="B180:D180"/>
    <mergeCell ref="E180:G180"/>
    <mergeCell ref="B181:D181"/>
    <mergeCell ref="E181:G181"/>
    <mergeCell ref="B182:D182"/>
    <mergeCell ref="E182:G182"/>
    <mergeCell ref="B163:J163"/>
    <mergeCell ref="A165:H165"/>
    <mergeCell ref="B166:H166"/>
    <mergeCell ref="B167:H167"/>
    <mergeCell ref="B179:D179"/>
    <mergeCell ref="E179:G179"/>
    <mergeCell ref="B186:D186"/>
    <mergeCell ref="E186:G186"/>
    <mergeCell ref="A193:C193"/>
    <mergeCell ref="D193:F193"/>
    <mergeCell ref="G193:J193"/>
    <mergeCell ref="B183:D183"/>
    <mergeCell ref="E183:G183"/>
    <mergeCell ref="B184:D184"/>
    <mergeCell ref="E184:G184"/>
    <mergeCell ref="B185:D185"/>
    <mergeCell ref="E185:G185"/>
    <mergeCell ref="A226:C226"/>
    <mergeCell ref="D226:F226"/>
    <mergeCell ref="G226:J226"/>
    <mergeCell ref="G248:J248"/>
    <mergeCell ref="A204:C204"/>
    <mergeCell ref="D204:F204"/>
    <mergeCell ref="G204:J204"/>
    <mergeCell ref="A214:C214"/>
    <mergeCell ref="D214:F214"/>
    <mergeCell ref="G214:J214"/>
  </mergeCells>
  <conditionalFormatting sqref="A9:J14 A16:J21 A23:J28 A30:J35 A37:J42 A44:J49 A51:J56 A58:J67 A69:J78 A80:J89 A91:J95">
    <cfRule type="expression" dxfId="1341" priority="116">
      <formula>A2="Pass"</formula>
    </cfRule>
    <cfRule type="expression" dxfId="1340" priority="117">
      <formula>A2="Verify"</formula>
    </cfRule>
    <cfRule type="expression" dxfId="1339" priority="118">
      <formula>A2="Fail"</formula>
    </cfRule>
  </conditionalFormatting>
  <conditionalFormatting sqref="B109:B113">
    <cfRule type="expression" dxfId="1338" priority="21">
      <formula>B109="Complete"</formula>
    </cfRule>
    <cfRule type="expression" dxfId="1337" priority="22">
      <formula>B109="In Progress"</formula>
    </cfRule>
    <cfRule type="expression" dxfId="1336" priority="23">
      <formula>B109="At Risk"</formula>
    </cfRule>
    <cfRule type="expression" dxfId="1335" priority="24">
      <formula>B109="Blocked"</formula>
    </cfRule>
    <cfRule type="expression" dxfId="1334" priority="25">
      <formula>B109="Not Started"</formula>
    </cfRule>
  </conditionalFormatting>
  <conditionalFormatting sqref="B118:B125">
    <cfRule type="expression" dxfId="1333" priority="1">
      <formula>B118="Complete"</formula>
    </cfRule>
    <cfRule type="expression" dxfId="1332" priority="2">
      <formula>B118="In Progress"</formula>
    </cfRule>
    <cfRule type="expression" dxfId="1331" priority="3">
      <formula>B118="At Risk"</formula>
    </cfRule>
    <cfRule type="expression" dxfId="1330" priority="4">
      <formula>B118="Blocked"</formula>
    </cfRule>
    <cfRule type="expression" dxfId="1329" priority="5">
      <formula>B118="Not Started"</formula>
    </cfRule>
  </conditionalFormatting>
  <conditionalFormatting sqref="B130:B134">
    <cfRule type="expression" dxfId="1328" priority="26">
      <formula>B130="Complete"</formula>
    </cfRule>
    <cfRule type="expression" dxfId="1327" priority="27">
      <formula>B130="In Progress"</formula>
    </cfRule>
    <cfRule type="expression" dxfId="1326" priority="28">
      <formula>B130="At Risk"</formula>
    </cfRule>
    <cfRule type="expression" dxfId="1325" priority="29">
      <formula>B130="Blocked"</formula>
    </cfRule>
    <cfRule type="expression" dxfId="1324" priority="30">
      <formula>B130="Not Started"</formula>
    </cfRule>
  </conditionalFormatting>
  <conditionalFormatting sqref="B139:B142">
    <cfRule type="expression" dxfId="1323" priority="6">
      <formula>B139="Complete"</formula>
    </cfRule>
    <cfRule type="expression" dxfId="1322" priority="7">
      <formula>B139="In Progress"</formula>
    </cfRule>
    <cfRule type="expression" dxfId="1321" priority="8">
      <formula>B139="At Risk"</formula>
    </cfRule>
    <cfRule type="expression" dxfId="1320" priority="9">
      <formula>B139="Blocked"</formula>
    </cfRule>
    <cfRule type="expression" dxfId="1319" priority="10">
      <formula>B139="Not Started"</formula>
    </cfRule>
  </conditionalFormatting>
  <conditionalFormatting sqref="B147:B152">
    <cfRule type="expression" dxfId="1318" priority="11">
      <formula>B147="Complete"</formula>
    </cfRule>
    <cfRule type="expression" dxfId="1317" priority="12">
      <formula>B147="In Progress"</formula>
    </cfRule>
    <cfRule type="expression" dxfId="1316" priority="13">
      <formula>B147="At Risk"</formula>
    </cfRule>
    <cfRule type="expression" dxfId="1315" priority="14">
      <formula>B147="Blocked"</formula>
    </cfRule>
    <cfRule type="expression" dxfId="1314" priority="15">
      <formula>B147="Not Started"</formula>
    </cfRule>
  </conditionalFormatting>
  <conditionalFormatting sqref="B170:B177">
    <cfRule type="expression" dxfId="1313" priority="82">
      <formula>B170="Yes"</formula>
    </cfRule>
    <cfRule type="expression" dxfId="1312" priority="83">
      <formula>B170="N/A"</formula>
    </cfRule>
    <cfRule type="expression" dxfId="1311" priority="84">
      <formula>B170="No"</formula>
    </cfRule>
  </conditionalFormatting>
  <conditionalFormatting sqref="B187:H187">
    <cfRule type="expression" dxfId="1310" priority="85">
      <formula>COUNTIF($B$6:$B$13,"No")=0</formula>
    </cfRule>
    <cfRule type="expression" dxfId="1309" priority="86">
      <formula>COUNTIF($B$6:$B$13,"No")&gt;0</formula>
    </cfRule>
  </conditionalFormatting>
  <conditionalFormatting sqref="C114:D114">
    <cfRule type="dataBar" priority="37">
      <dataBar>
        <cfvo type="num" val="0"/>
        <cfvo type="num" val="1"/>
        <color rgb="FF5B9BD5"/>
      </dataBar>
    </cfRule>
  </conditionalFormatting>
  <conditionalFormatting sqref="C118:D125">
    <cfRule type="expression" dxfId="1308" priority="31">
      <formula>C118="Yes"</formula>
    </cfRule>
    <cfRule type="expression" dxfId="1307" priority="32">
      <formula>C118="No"</formula>
    </cfRule>
    <cfRule type="expression" dxfId="1306" priority="33">
      <formula>C118="N/A"</formula>
    </cfRule>
  </conditionalFormatting>
  <conditionalFormatting sqref="C126:D126">
    <cfRule type="dataBar" priority="38">
      <dataBar>
        <cfvo type="num" val="0"/>
        <cfvo type="num" val="1"/>
        <color rgb="FF5B9BD5"/>
      </dataBar>
    </cfRule>
  </conditionalFormatting>
  <conditionalFormatting sqref="C135:D135">
    <cfRule type="dataBar" priority="39">
      <dataBar>
        <cfvo type="num" val="0"/>
        <cfvo type="num" val="1"/>
        <color rgb="FF5B9BD5"/>
      </dataBar>
    </cfRule>
  </conditionalFormatting>
  <conditionalFormatting sqref="C147:D152">
    <cfRule type="expression" dxfId="1305" priority="16">
      <formula>C147="Yes"</formula>
    </cfRule>
    <cfRule type="expression" dxfId="1304" priority="17">
      <formula>C147="No"</formula>
    </cfRule>
    <cfRule type="expression" dxfId="1303" priority="18">
      <formula>C147="N/A"</formula>
    </cfRule>
  </conditionalFormatting>
  <conditionalFormatting sqref="C153:D153">
    <cfRule type="dataBar" priority="20">
      <dataBar>
        <cfvo type="num" val="0"/>
        <cfvo type="num" val="1"/>
        <color rgb="FF5B9BD5"/>
      </dataBar>
    </cfRule>
  </conditionalFormatting>
  <conditionalFormatting sqref="E5 G5 I5">
    <cfRule type="expression" dxfId="1302" priority="87">
      <formula>E5="Pass"</formula>
    </cfRule>
    <cfRule type="expression" dxfId="1301" priority="88">
      <formula>E5="Verify"</formula>
    </cfRule>
    <cfRule type="expression" dxfId="1300" priority="89">
      <formula>E5="Fail"</formula>
    </cfRule>
    <cfRule type="expression" dxfId="1299" priority="90">
      <formula>E5="Not Started"</formula>
    </cfRule>
  </conditionalFormatting>
  <conditionalFormatting sqref="F3">
    <cfRule type="expression" dxfId="1298" priority="91">
      <formula>F3="Yes"</formula>
    </cfRule>
    <cfRule type="expression" dxfId="1297" priority="92">
      <formula>F3="No"</formula>
    </cfRule>
  </conditionalFormatting>
  <conditionalFormatting sqref="F130:F134">
    <cfRule type="expression" dxfId="1296" priority="34">
      <formula>F130="Pass"</formula>
    </cfRule>
    <cfRule type="expression" dxfId="1295" priority="35">
      <formula>F130="Fail"</formula>
    </cfRule>
    <cfRule type="expression" dxfId="1294" priority="36">
      <formula>F130="Pending"</formula>
    </cfRule>
  </conditionalFormatting>
  <conditionalFormatting sqref="F139:F142">
    <cfRule type="dataBar" priority="19">
      <dataBar>
        <cfvo type="num" val="0"/>
        <cfvo type="num" val="1"/>
        <color rgb="FF5B9BD5"/>
      </dataBar>
    </cfRule>
  </conditionalFormatting>
  <dataValidations count="5">
    <dataValidation type="list" sqref="B5:B6 D5 F5 H5 H10:H20 J5 H100:I105 I16:I20 D70:D77 H158:I163 H155:I156 H21:I98" xr:uid="{00000000-0002-0000-2600-000000000000}">
      <formula1>"Not Started,Verify,Pass,Fail,N/A,Open,Closed,Partial / Yellow"</formula1>
      <formula2>0</formula2>
    </dataValidation>
    <dataValidation type="list" allowBlank="1" sqref="F130:F134" xr:uid="{440D1147-1AEB-4B29-8794-BC812CD39046}">
      <formula1>"Pending,Pass,Fail,N/A"</formula1>
    </dataValidation>
    <dataValidation type="list" allowBlank="1" sqref="C118:D125 C147:D152" xr:uid="{7B89E089-6C37-46C0-AF3D-3E99039C4EA8}">
      <formula1>"Yes,No,N/A"</formula1>
    </dataValidation>
    <dataValidation type="list" allowBlank="1" sqref="B139:B142 B130:B134" xr:uid="{2C1A9316-E5F9-4636-8511-515B218DA66F}">
      <formula1>"Not Started,In Progress,Complete,At Risk,Blocked"</formula1>
    </dataValidation>
    <dataValidation type="list" sqref="B170:B177" xr:uid="{1CF30E64-1494-4B3E-BE20-1E2F63922B8C}">
      <formula1>"No,Yes,N/A"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D21C1479-88F2-44C7-9FCA-8E4C4E0F7046}">
          <x14:formula1>
            <xm:f>Lookup_Lists!$L$37:$L$39</xm:f>
          </x14:formula1>
          <xm:sqref>C130:E134 J2</xm:sqref>
        </x14:dataValidation>
        <x14:dataValidation type="list" allowBlank="1" showInputMessage="1" showErrorMessage="1" xr:uid="{2659673D-055C-40BA-B8CC-5B24B3236EA3}">
          <x14:formula1>
            <xm:f>Lookup_Lists!$A$36:$A$42</xm:f>
          </x14:formula1>
          <xm:sqref>B109:B113 B118:B125 B147:B152</xm:sqref>
        </x14:dataValidation>
      </x14:dataValidations>
    </ext>
  </extLst>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649A2-BAEA-469F-BA0A-F1C63804A449}">
  <dimension ref="A1:J239"/>
  <sheetViews>
    <sheetView workbookViewId="0">
      <selection activeCell="D4" sqref="D4"/>
    </sheetView>
  </sheetViews>
  <sheetFormatPr defaultColWidth="8.6640625" defaultRowHeight="14.4"/>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6640625" style="8" customWidth="1"/>
    <col min="13" max="16384" width="8.6640625" style="8"/>
  </cols>
  <sheetData>
    <row r="1" spans="1:10">
      <c r="A1" s="851" t="s">
        <v>1342</v>
      </c>
      <c r="B1" s="839"/>
      <c r="C1" s="839"/>
      <c r="D1" s="839"/>
      <c r="E1" s="839"/>
      <c r="F1" s="839"/>
      <c r="G1" s="839"/>
      <c r="H1" s="839"/>
      <c r="I1" s="839"/>
      <c r="J1" s="839"/>
    </row>
    <row r="2" spans="1:10" s="227" customFormat="1">
      <c r="A2" s="223" t="s">
        <v>142</v>
      </c>
      <c r="B2" s="224" t="s">
        <v>641</v>
      </c>
      <c r="C2" s="223" t="s">
        <v>902</v>
      </c>
      <c r="D2" s="224" t="s">
        <v>1094</v>
      </c>
      <c r="E2" s="223" t="s">
        <v>151</v>
      </c>
      <c r="F2" s="224" t="s">
        <v>1095</v>
      </c>
      <c r="G2" s="223" t="s">
        <v>174</v>
      </c>
      <c r="H2" s="225">
        <v>0.5</v>
      </c>
      <c r="I2" s="223" t="s">
        <v>154</v>
      </c>
      <c r="J2" s="226" t="s">
        <v>1096</v>
      </c>
    </row>
    <row r="3" spans="1:10" s="231" customFormat="1" ht="27.6">
      <c r="A3" s="223" t="s">
        <v>903</v>
      </c>
      <c r="B3" s="228">
        <v>46198.56512392361</v>
      </c>
      <c r="C3" s="229" t="s">
        <v>904</v>
      </c>
      <c r="D3" s="230" t="s">
        <v>721</v>
      </c>
      <c r="E3" s="223" t="s">
        <v>905</v>
      </c>
      <c r="F3" s="230" t="s">
        <v>1343</v>
      </c>
      <c r="G3" s="223" t="s">
        <v>907</v>
      </c>
      <c r="H3" s="230" t="s">
        <v>908</v>
      </c>
      <c r="I3" s="223" t="s">
        <v>551</v>
      </c>
      <c r="J3" s="230" t="s">
        <v>1344</v>
      </c>
    </row>
    <row r="4" spans="1:10" s="231" customFormat="1" ht="110.4">
      <c r="A4" s="223" t="s">
        <v>161</v>
      </c>
      <c r="B4" s="230">
        <v>0</v>
      </c>
      <c r="C4" s="223" t="s">
        <v>199</v>
      </c>
      <c r="D4" s="230">
        <v>0</v>
      </c>
      <c r="E4" s="223" t="s">
        <v>179</v>
      </c>
      <c r="F4" s="230">
        <v>0</v>
      </c>
      <c r="G4" s="223" t="s">
        <v>870</v>
      </c>
      <c r="H4" s="232" t="s">
        <v>1345</v>
      </c>
      <c r="I4" s="233"/>
      <c r="J4" s="233"/>
    </row>
    <row r="5" spans="1:10" s="231" customFormat="1">
      <c r="A5" s="234" t="s">
        <v>911</v>
      </c>
      <c r="B5" s="225" t="s">
        <v>677</v>
      </c>
      <c r="C5" s="235" t="s">
        <v>912</v>
      </c>
      <c r="D5" s="225" t="s">
        <v>677</v>
      </c>
      <c r="E5" s="236" t="s">
        <v>913</v>
      </c>
      <c r="F5" s="225" t="s">
        <v>677</v>
      </c>
      <c r="G5" s="237" t="s">
        <v>914</v>
      </c>
      <c r="H5" s="225" t="s">
        <v>677</v>
      </c>
      <c r="I5" s="237" t="s">
        <v>915</v>
      </c>
      <c r="J5" s="225" t="s">
        <v>677</v>
      </c>
    </row>
    <row r="6" spans="1:10" s="231" customFormat="1">
      <c r="A6" s="238" t="s">
        <v>916</v>
      </c>
      <c r="B6" s="225" t="s">
        <v>677</v>
      </c>
      <c r="C6" s="239" t="s">
        <v>869</v>
      </c>
      <c r="D6" s="854" t="s">
        <v>1346</v>
      </c>
      <c r="E6" s="853"/>
      <c r="F6" s="853"/>
      <c r="G6" s="853"/>
      <c r="H6" s="853"/>
      <c r="I6" s="853"/>
      <c r="J6" s="853"/>
    </row>
    <row r="7" spans="1:10">
      <c r="A7" s="13"/>
      <c r="B7" s="13"/>
      <c r="C7" s="13"/>
      <c r="D7" s="13"/>
      <c r="E7" s="13"/>
      <c r="F7" s="13"/>
      <c r="G7" s="13"/>
      <c r="H7" s="13"/>
      <c r="I7" s="13"/>
      <c r="J7" s="13"/>
    </row>
    <row r="8" spans="1:10">
      <c r="A8" s="842" t="s">
        <v>918</v>
      </c>
      <c r="B8" s="839"/>
      <c r="C8" s="839"/>
      <c r="D8" s="85"/>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41.4">
      <c r="A10" s="13" t="s">
        <v>641</v>
      </c>
      <c r="B10" s="13" t="s">
        <v>20</v>
      </c>
      <c r="C10" s="13" t="s">
        <v>923</v>
      </c>
      <c r="D10" s="13" t="s">
        <v>1347</v>
      </c>
      <c r="E10" s="13" t="s">
        <v>369</v>
      </c>
      <c r="F10" s="13">
        <v>2</v>
      </c>
      <c r="G10" s="13">
        <v>0</v>
      </c>
      <c r="H10" s="13" t="s">
        <v>677</v>
      </c>
      <c r="I10" s="13" t="s">
        <v>1348</v>
      </c>
      <c r="J10" s="13" t="s">
        <v>1349</v>
      </c>
    </row>
    <row r="11" spans="1:10" ht="69">
      <c r="A11" s="13" t="s">
        <v>641</v>
      </c>
      <c r="B11" s="13" t="s">
        <v>682</v>
      </c>
      <c r="C11" s="13" t="s">
        <v>919</v>
      </c>
      <c r="D11" s="13" t="s">
        <v>1350</v>
      </c>
      <c r="E11" s="13" t="s">
        <v>369</v>
      </c>
      <c r="F11" s="13">
        <v>1</v>
      </c>
      <c r="G11" s="13">
        <v>1</v>
      </c>
      <c r="H11" s="13" t="s">
        <v>677</v>
      </c>
      <c r="I11" s="13" t="s">
        <v>1351</v>
      </c>
      <c r="J11" s="13" t="s">
        <v>1352</v>
      </c>
    </row>
    <row r="12" spans="1:10" ht="55.2">
      <c r="A12" s="13" t="s">
        <v>641</v>
      </c>
      <c r="B12" s="13" t="s">
        <v>1353</v>
      </c>
      <c r="C12" s="13" t="s">
        <v>933</v>
      </c>
      <c r="D12" s="13" t="s">
        <v>1354</v>
      </c>
      <c r="E12" s="13" t="s">
        <v>369</v>
      </c>
      <c r="F12" s="13">
        <v>1</v>
      </c>
      <c r="G12" s="13">
        <v>1</v>
      </c>
      <c r="H12" s="13" t="s">
        <v>677</v>
      </c>
      <c r="I12" s="13" t="s">
        <v>1355</v>
      </c>
      <c r="J12" s="13" t="s">
        <v>1356</v>
      </c>
    </row>
    <row r="13" spans="1:10">
      <c r="A13" s="13"/>
      <c r="B13" s="13"/>
      <c r="C13" s="13"/>
      <c r="D13" s="13"/>
      <c r="E13" s="13"/>
      <c r="F13" s="13"/>
      <c r="G13" s="13"/>
      <c r="H13" s="13"/>
      <c r="I13" s="13"/>
      <c r="J13" s="13"/>
    </row>
    <row r="14" spans="1:10">
      <c r="A14" s="842" t="s">
        <v>936</v>
      </c>
      <c r="B14" s="839"/>
      <c r="C14" s="839"/>
      <c r="D14" s="85"/>
      <c r="E14" s="85"/>
      <c r="F14" s="85"/>
      <c r="G14" s="85"/>
      <c r="H14" s="85"/>
      <c r="I14" s="85"/>
      <c r="J14" s="85"/>
    </row>
    <row r="15" spans="1:10">
      <c r="A15" s="50" t="s">
        <v>275</v>
      </c>
      <c r="B15" s="50" t="s">
        <v>937</v>
      </c>
      <c r="C15" s="50" t="s">
        <v>938</v>
      </c>
      <c r="D15" s="50" t="s">
        <v>939</v>
      </c>
      <c r="E15" s="50" t="s">
        <v>940</v>
      </c>
      <c r="F15" s="50" t="s">
        <v>941</v>
      </c>
      <c r="G15" s="50" t="s">
        <v>942</v>
      </c>
      <c r="H15" s="50" t="s">
        <v>943</v>
      </c>
      <c r="I15" s="50" t="s">
        <v>899</v>
      </c>
      <c r="J15" s="50" t="s">
        <v>944</v>
      </c>
    </row>
    <row r="16" spans="1:10" ht="41.4">
      <c r="A16" s="13" t="s">
        <v>20</v>
      </c>
      <c r="B16" s="122" t="s">
        <v>677</v>
      </c>
      <c r="C16" s="122" t="s">
        <v>677</v>
      </c>
      <c r="D16" s="122" t="s">
        <v>677</v>
      </c>
      <c r="E16" s="122" t="s">
        <v>677</v>
      </c>
      <c r="F16" s="122" t="s">
        <v>677</v>
      </c>
      <c r="G16" s="122" t="s">
        <v>677</v>
      </c>
      <c r="H16" s="122" t="s">
        <v>677</v>
      </c>
      <c r="I16" s="122" t="s">
        <v>677</v>
      </c>
      <c r="J16" s="13" t="s">
        <v>1357</v>
      </c>
    </row>
    <row r="17" spans="1:10" ht="55.2">
      <c r="A17" s="13" t="s">
        <v>682</v>
      </c>
      <c r="B17" s="122" t="s">
        <v>677</v>
      </c>
      <c r="C17" s="122" t="s">
        <v>677</v>
      </c>
      <c r="D17" s="122" t="s">
        <v>677</v>
      </c>
      <c r="E17" s="122" t="s">
        <v>677</v>
      </c>
      <c r="F17" s="122" t="s">
        <v>677</v>
      </c>
      <c r="G17" s="122" t="s">
        <v>677</v>
      </c>
      <c r="H17" s="122" t="s">
        <v>677</v>
      </c>
      <c r="I17" s="122" t="s">
        <v>677</v>
      </c>
      <c r="J17" s="13" t="s">
        <v>1358</v>
      </c>
    </row>
    <row r="18" spans="1:10" ht="41.4">
      <c r="A18" s="13" t="s">
        <v>1353</v>
      </c>
      <c r="B18" s="122" t="s">
        <v>677</v>
      </c>
      <c r="C18" s="122" t="s">
        <v>677</v>
      </c>
      <c r="D18" s="122" t="s">
        <v>677</v>
      </c>
      <c r="E18" s="122" t="s">
        <v>677</v>
      </c>
      <c r="F18" s="122" t="s">
        <v>677</v>
      </c>
      <c r="G18" s="122" t="s">
        <v>677</v>
      </c>
      <c r="H18" s="122" t="s">
        <v>677</v>
      </c>
      <c r="I18" s="122" t="s">
        <v>677</v>
      </c>
      <c r="J18" s="13" t="s">
        <v>1359</v>
      </c>
    </row>
    <row r="19" spans="1:10">
      <c r="A19" s="13"/>
      <c r="B19" s="13"/>
      <c r="C19" s="13"/>
      <c r="D19" s="13"/>
      <c r="E19" s="13"/>
      <c r="F19" s="13"/>
      <c r="G19" s="13"/>
      <c r="H19" s="13"/>
      <c r="I19" s="13"/>
      <c r="J19" s="13"/>
    </row>
    <row r="20" spans="1:10">
      <c r="A20" s="842" t="s">
        <v>951</v>
      </c>
      <c r="B20" s="839"/>
      <c r="C20" s="839"/>
      <c r="D20" s="85"/>
      <c r="E20" s="85"/>
      <c r="F20" s="85"/>
      <c r="G20" s="85"/>
      <c r="H20" s="85"/>
      <c r="I20" s="85"/>
      <c r="J20" s="85"/>
    </row>
    <row r="21" spans="1:10">
      <c r="A21" s="50" t="s">
        <v>275</v>
      </c>
      <c r="B21" s="50" t="s">
        <v>952</v>
      </c>
      <c r="C21" s="50" t="s">
        <v>953</v>
      </c>
      <c r="D21" s="50" t="s">
        <v>954</v>
      </c>
      <c r="E21" s="50" t="s">
        <v>955</v>
      </c>
      <c r="F21" s="50" t="s">
        <v>956</v>
      </c>
      <c r="G21" s="50" t="s">
        <v>957</v>
      </c>
      <c r="H21" s="50" t="s">
        <v>958</v>
      </c>
      <c r="I21" s="50" t="s">
        <v>899</v>
      </c>
      <c r="J21" s="50" t="s">
        <v>959</v>
      </c>
    </row>
    <row r="22" spans="1:10" ht="41.4">
      <c r="A22" s="13" t="s">
        <v>20</v>
      </c>
      <c r="B22" s="122" t="s">
        <v>677</v>
      </c>
      <c r="C22" s="122" t="s">
        <v>677</v>
      </c>
      <c r="D22" s="122" t="s">
        <v>677</v>
      </c>
      <c r="E22" s="122" t="s">
        <v>677</v>
      </c>
      <c r="F22" s="122" t="s">
        <v>677</v>
      </c>
      <c r="G22" s="122" t="s">
        <v>677</v>
      </c>
      <c r="H22" s="122" t="s">
        <v>677</v>
      </c>
      <c r="I22" s="122" t="s">
        <v>677</v>
      </c>
      <c r="J22" s="13" t="s">
        <v>1360</v>
      </c>
    </row>
    <row r="23" spans="1:10" ht="41.4">
      <c r="A23" s="13" t="s">
        <v>682</v>
      </c>
      <c r="B23" s="122" t="s">
        <v>677</v>
      </c>
      <c r="C23" s="122" t="s">
        <v>677</v>
      </c>
      <c r="D23" s="122" t="s">
        <v>677</v>
      </c>
      <c r="E23" s="122" t="s">
        <v>677</v>
      </c>
      <c r="F23" s="122" t="s">
        <v>677</v>
      </c>
      <c r="G23" s="122" t="s">
        <v>677</v>
      </c>
      <c r="H23" s="122" t="s">
        <v>677</v>
      </c>
      <c r="I23" s="122" t="s">
        <v>677</v>
      </c>
      <c r="J23" s="13" t="s">
        <v>1361</v>
      </c>
    </row>
    <row r="24" spans="1:10" ht="41.4">
      <c r="A24" s="13" t="s">
        <v>1353</v>
      </c>
      <c r="B24" s="122" t="s">
        <v>677</v>
      </c>
      <c r="C24" s="122" t="s">
        <v>677</v>
      </c>
      <c r="D24" s="122" t="s">
        <v>677</v>
      </c>
      <c r="E24" s="122" t="s">
        <v>677</v>
      </c>
      <c r="F24" s="122" t="s">
        <v>677</v>
      </c>
      <c r="G24" s="122" t="s">
        <v>677</v>
      </c>
      <c r="H24" s="122" t="s">
        <v>677</v>
      </c>
      <c r="I24" s="122" t="s">
        <v>677</v>
      </c>
      <c r="J24" s="13" t="s">
        <v>1362</v>
      </c>
    </row>
    <row r="25" spans="1:10">
      <c r="A25" s="13"/>
      <c r="B25" s="13"/>
      <c r="C25" s="13"/>
      <c r="D25" s="13"/>
      <c r="E25" s="13"/>
      <c r="F25" s="13"/>
      <c r="G25" s="13"/>
      <c r="H25" s="13"/>
      <c r="I25" s="13"/>
      <c r="J25" s="13"/>
    </row>
    <row r="26" spans="1:10">
      <c r="A26" s="842" t="s">
        <v>964</v>
      </c>
      <c r="B26" s="839"/>
      <c r="C26" s="839"/>
      <c r="D26" s="85"/>
      <c r="E26" s="85"/>
      <c r="F26" s="85"/>
      <c r="G26" s="85"/>
      <c r="H26" s="85"/>
      <c r="I26" s="85"/>
      <c r="J26" s="85"/>
    </row>
    <row r="27" spans="1:10">
      <c r="A27" s="50" t="s">
        <v>275</v>
      </c>
      <c r="B27" s="50" t="s">
        <v>965</v>
      </c>
      <c r="C27" s="50" t="s">
        <v>966</v>
      </c>
      <c r="D27" s="50" t="s">
        <v>967</v>
      </c>
      <c r="E27" s="50" t="s">
        <v>968</v>
      </c>
      <c r="F27" s="50" t="s">
        <v>969</v>
      </c>
      <c r="G27" s="50" t="s">
        <v>970</v>
      </c>
      <c r="H27" s="50" t="s">
        <v>971</v>
      </c>
      <c r="I27" s="50" t="s">
        <v>899</v>
      </c>
      <c r="J27" s="50" t="s">
        <v>959</v>
      </c>
    </row>
    <row r="28" spans="1:10" ht="41.4">
      <c r="A28" s="13" t="s">
        <v>20</v>
      </c>
      <c r="B28" s="122" t="s">
        <v>677</v>
      </c>
      <c r="C28" s="122" t="s">
        <v>677</v>
      </c>
      <c r="D28" s="122" t="s">
        <v>677</v>
      </c>
      <c r="E28" s="122" t="s">
        <v>677</v>
      </c>
      <c r="F28" s="122" t="s">
        <v>677</v>
      </c>
      <c r="G28" s="122" t="s">
        <v>677</v>
      </c>
      <c r="H28" s="122" t="s">
        <v>677</v>
      </c>
      <c r="I28" s="122" t="s">
        <v>677</v>
      </c>
      <c r="J28" s="13" t="s">
        <v>1363</v>
      </c>
    </row>
    <row r="29" spans="1:10" ht="41.4">
      <c r="A29" s="13" t="s">
        <v>682</v>
      </c>
      <c r="B29" s="122" t="s">
        <v>677</v>
      </c>
      <c r="C29" s="122" t="s">
        <v>677</v>
      </c>
      <c r="D29" s="122" t="s">
        <v>677</v>
      </c>
      <c r="E29" s="122" t="s">
        <v>677</v>
      </c>
      <c r="F29" s="122" t="s">
        <v>677</v>
      </c>
      <c r="G29" s="122" t="s">
        <v>677</v>
      </c>
      <c r="H29" s="122" t="s">
        <v>677</v>
      </c>
      <c r="I29" s="122" t="s">
        <v>677</v>
      </c>
      <c r="J29" s="13" t="s">
        <v>1364</v>
      </c>
    </row>
    <row r="30" spans="1:10" ht="41.4">
      <c r="A30" s="13" t="s">
        <v>1353</v>
      </c>
      <c r="B30" s="122" t="s">
        <v>677</v>
      </c>
      <c r="C30" s="122" t="s">
        <v>677</v>
      </c>
      <c r="D30" s="122" t="s">
        <v>677</v>
      </c>
      <c r="E30" s="122" t="s">
        <v>677</v>
      </c>
      <c r="F30" s="122" t="s">
        <v>677</v>
      </c>
      <c r="G30" s="122" t="s">
        <v>677</v>
      </c>
      <c r="H30" s="122" t="s">
        <v>677</v>
      </c>
      <c r="I30" s="122" t="s">
        <v>677</v>
      </c>
      <c r="J30" s="13" t="s">
        <v>1365</v>
      </c>
    </row>
    <row r="31" spans="1:10">
      <c r="A31" s="13"/>
      <c r="B31" s="13"/>
      <c r="C31" s="13"/>
      <c r="D31" s="13"/>
      <c r="E31" s="13"/>
      <c r="F31" s="13"/>
      <c r="G31" s="13"/>
      <c r="H31" s="13"/>
      <c r="I31" s="13"/>
      <c r="J31" s="13"/>
    </row>
    <row r="32" spans="1:10">
      <c r="A32" s="842" t="s">
        <v>977</v>
      </c>
      <c r="B32" s="839"/>
      <c r="C32" s="839"/>
      <c r="D32" s="85"/>
      <c r="E32" s="85"/>
      <c r="F32" s="85"/>
      <c r="G32" s="85"/>
      <c r="H32" s="85"/>
      <c r="I32" s="85"/>
      <c r="J32" s="85"/>
    </row>
    <row r="33" spans="1:10">
      <c r="A33" s="50" t="s">
        <v>275</v>
      </c>
      <c r="B33" s="50" t="s">
        <v>978</v>
      </c>
      <c r="C33" s="50" t="s">
        <v>979</v>
      </c>
      <c r="D33" s="50" t="s">
        <v>980</v>
      </c>
      <c r="E33" s="50" t="s">
        <v>981</v>
      </c>
      <c r="F33" s="50" t="s">
        <v>982</v>
      </c>
      <c r="G33" s="50" t="s">
        <v>983</v>
      </c>
      <c r="H33" s="50" t="s">
        <v>984</v>
      </c>
      <c r="I33" s="50" t="s">
        <v>899</v>
      </c>
      <c r="J33" s="50" t="s">
        <v>11</v>
      </c>
    </row>
    <row r="34" spans="1:10" ht="55.2">
      <c r="A34" s="13" t="s">
        <v>20</v>
      </c>
      <c r="B34" s="122" t="s">
        <v>677</v>
      </c>
      <c r="C34" s="13" t="s">
        <v>1366</v>
      </c>
      <c r="D34" s="122" t="s">
        <v>677</v>
      </c>
      <c r="E34" s="122" t="s">
        <v>677</v>
      </c>
      <c r="F34" s="13" t="s">
        <v>1367</v>
      </c>
      <c r="G34" s="122" t="s">
        <v>677</v>
      </c>
      <c r="H34" s="122" t="s">
        <v>677</v>
      </c>
      <c r="I34" s="122" t="s">
        <v>677</v>
      </c>
      <c r="J34" s="13" t="s">
        <v>1368</v>
      </c>
    </row>
    <row r="35" spans="1:10" ht="41.4">
      <c r="A35" s="13" t="s">
        <v>682</v>
      </c>
      <c r="B35" s="122" t="s">
        <v>677</v>
      </c>
      <c r="C35" s="13" t="s">
        <v>1366</v>
      </c>
      <c r="D35" s="122" t="s">
        <v>677</v>
      </c>
      <c r="E35" s="122" t="s">
        <v>677</v>
      </c>
      <c r="F35" s="13" t="s">
        <v>1369</v>
      </c>
      <c r="G35" s="122" t="s">
        <v>677</v>
      </c>
      <c r="H35" s="122" t="s">
        <v>677</v>
      </c>
      <c r="I35" s="122" t="s">
        <v>677</v>
      </c>
      <c r="J35" s="13" t="s">
        <v>1370</v>
      </c>
    </row>
    <row r="36" spans="1:10" ht="41.4">
      <c r="A36" s="13" t="s">
        <v>1353</v>
      </c>
      <c r="B36" s="122" t="s">
        <v>677</v>
      </c>
      <c r="C36" s="13" t="s">
        <v>1366</v>
      </c>
      <c r="D36" s="122" t="s">
        <v>677</v>
      </c>
      <c r="E36" s="122" t="s">
        <v>677</v>
      </c>
      <c r="F36" s="13" t="s">
        <v>1371</v>
      </c>
      <c r="G36" s="122" t="s">
        <v>677</v>
      </c>
      <c r="H36" s="122" t="s">
        <v>677</v>
      </c>
      <c r="I36" s="122" t="s">
        <v>677</v>
      </c>
      <c r="J36" s="13" t="s">
        <v>1372</v>
      </c>
    </row>
    <row r="37" spans="1:10">
      <c r="A37" s="13"/>
      <c r="B37" s="13"/>
      <c r="C37" s="13"/>
      <c r="D37" s="13"/>
      <c r="E37" s="13"/>
      <c r="F37" s="13"/>
      <c r="G37" s="13"/>
      <c r="H37" s="13"/>
      <c r="I37" s="13"/>
      <c r="J37" s="13"/>
    </row>
    <row r="38" spans="1:10">
      <c r="A38" s="842" t="s">
        <v>994</v>
      </c>
      <c r="B38" s="839"/>
      <c r="C38" s="839"/>
      <c r="D38" s="85"/>
      <c r="E38" s="85"/>
      <c r="F38" s="85"/>
      <c r="G38" s="85"/>
      <c r="H38" s="85"/>
      <c r="I38" s="85"/>
      <c r="J38" s="85"/>
    </row>
    <row r="39" spans="1:10">
      <c r="A39" s="50" t="s">
        <v>275</v>
      </c>
      <c r="B39" s="50" t="s">
        <v>995</v>
      </c>
      <c r="C39" s="50" t="s">
        <v>996</v>
      </c>
      <c r="D39" s="50" t="s">
        <v>997</v>
      </c>
      <c r="E39" s="50" t="s">
        <v>998</v>
      </c>
      <c r="F39" s="50" t="s">
        <v>999</v>
      </c>
      <c r="G39" s="50" t="s">
        <v>1000</v>
      </c>
      <c r="H39" s="50" t="s">
        <v>1001</v>
      </c>
      <c r="I39" s="50" t="s">
        <v>899</v>
      </c>
      <c r="J39" s="50" t="s">
        <v>11</v>
      </c>
    </row>
    <row r="40" spans="1:10" ht="69">
      <c r="A40" s="13" t="s">
        <v>20</v>
      </c>
      <c r="B40" s="122" t="s">
        <v>677</v>
      </c>
      <c r="C40" s="122" t="s">
        <v>677</v>
      </c>
      <c r="D40" s="122" t="s">
        <v>677</v>
      </c>
      <c r="E40" s="122" t="s">
        <v>677</v>
      </c>
      <c r="F40" s="122" t="s">
        <v>677</v>
      </c>
      <c r="G40" s="122" t="s">
        <v>677</v>
      </c>
      <c r="H40" s="122" t="s">
        <v>677</v>
      </c>
      <c r="I40" s="122" t="s">
        <v>677</v>
      </c>
      <c r="J40" s="13" t="s">
        <v>1373</v>
      </c>
    </row>
    <row r="41" spans="1:10" ht="69">
      <c r="A41" s="13" t="s">
        <v>682</v>
      </c>
      <c r="B41" s="122" t="s">
        <v>677</v>
      </c>
      <c r="C41" s="122" t="s">
        <v>677</v>
      </c>
      <c r="D41" s="122" t="s">
        <v>677</v>
      </c>
      <c r="E41" s="122" t="s">
        <v>677</v>
      </c>
      <c r="F41" s="122" t="s">
        <v>677</v>
      </c>
      <c r="G41" s="122" t="s">
        <v>677</v>
      </c>
      <c r="H41" s="122" t="s">
        <v>677</v>
      </c>
      <c r="I41" s="122" t="s">
        <v>677</v>
      </c>
      <c r="J41" s="13" t="s">
        <v>1374</v>
      </c>
    </row>
    <row r="42" spans="1:10" ht="27.6">
      <c r="A42" s="13" t="s">
        <v>1353</v>
      </c>
      <c r="B42" s="122" t="s">
        <v>677</v>
      </c>
      <c r="C42" s="122" t="s">
        <v>677</v>
      </c>
      <c r="D42" s="122" t="s">
        <v>677</v>
      </c>
      <c r="E42" s="122" t="s">
        <v>677</v>
      </c>
      <c r="F42" s="122" t="s">
        <v>677</v>
      </c>
      <c r="G42" s="122" t="s">
        <v>677</v>
      </c>
      <c r="H42" s="122" t="s">
        <v>677</v>
      </c>
      <c r="I42" s="122" t="s">
        <v>677</v>
      </c>
      <c r="J42" s="13" t="s">
        <v>1375</v>
      </c>
    </row>
    <row r="43" spans="1:10" s="127" customFormat="1">
      <c r="A43" s="13"/>
      <c r="B43" s="13"/>
      <c r="C43" s="13"/>
      <c r="D43" s="13"/>
      <c r="E43" s="13"/>
      <c r="F43" s="13"/>
      <c r="G43" s="13"/>
      <c r="H43" s="13"/>
      <c r="I43" s="13"/>
      <c r="J43" s="13"/>
    </row>
    <row r="44" spans="1:10">
      <c r="A44" s="842" t="s">
        <v>1007</v>
      </c>
      <c r="B44" s="839"/>
      <c r="C44" s="839"/>
      <c r="D44" s="85"/>
      <c r="E44" s="85"/>
      <c r="F44" s="85"/>
      <c r="G44" s="85"/>
      <c r="H44" s="85"/>
      <c r="I44" s="85"/>
      <c r="J44" s="85"/>
    </row>
    <row r="45" spans="1:10">
      <c r="A45" s="50" t="s">
        <v>275</v>
      </c>
      <c r="B45" s="50" t="s">
        <v>1008</v>
      </c>
      <c r="C45" s="50" t="s">
        <v>1009</v>
      </c>
      <c r="D45" s="50" t="s">
        <v>1010</v>
      </c>
      <c r="E45" s="50" t="s">
        <v>1011</v>
      </c>
      <c r="F45" s="50" t="s">
        <v>1012</v>
      </c>
      <c r="G45" s="50" t="s">
        <v>1013</v>
      </c>
      <c r="H45" s="50" t="s">
        <v>1014</v>
      </c>
      <c r="I45" s="50" t="s">
        <v>899</v>
      </c>
      <c r="J45" s="50" t="s">
        <v>11</v>
      </c>
    </row>
    <row r="46" spans="1:10" ht="27.6">
      <c r="A46" s="13" t="s">
        <v>20</v>
      </c>
      <c r="B46" s="122" t="s">
        <v>677</v>
      </c>
      <c r="C46" s="122" t="s">
        <v>677</v>
      </c>
      <c r="D46" s="122" t="s">
        <v>677</v>
      </c>
      <c r="E46" s="122" t="s">
        <v>677</v>
      </c>
      <c r="F46" s="122" t="s">
        <v>677</v>
      </c>
      <c r="G46" s="122" t="s">
        <v>677</v>
      </c>
      <c r="H46" s="122" t="s">
        <v>677</v>
      </c>
      <c r="I46" s="122" t="s">
        <v>677</v>
      </c>
      <c r="J46" s="13" t="s">
        <v>1376</v>
      </c>
    </row>
    <row r="47" spans="1:10" ht="41.4">
      <c r="A47" s="13" t="s">
        <v>682</v>
      </c>
      <c r="B47" s="122" t="s">
        <v>677</v>
      </c>
      <c r="C47" s="122" t="s">
        <v>677</v>
      </c>
      <c r="D47" s="122" t="s">
        <v>677</v>
      </c>
      <c r="E47" s="122" t="s">
        <v>677</v>
      </c>
      <c r="F47" s="122" t="s">
        <v>677</v>
      </c>
      <c r="G47" s="122" t="s">
        <v>677</v>
      </c>
      <c r="H47" s="122" t="s">
        <v>677</v>
      </c>
      <c r="I47" s="122" t="s">
        <v>677</v>
      </c>
      <c r="J47" s="13" t="s">
        <v>1377</v>
      </c>
    </row>
    <row r="48" spans="1:10" ht="27.6">
      <c r="A48" s="13" t="s">
        <v>1353</v>
      </c>
      <c r="B48" s="122" t="s">
        <v>677</v>
      </c>
      <c r="C48" s="122" t="s">
        <v>677</v>
      </c>
      <c r="D48" s="122" t="s">
        <v>677</v>
      </c>
      <c r="E48" s="122" t="s">
        <v>677</v>
      </c>
      <c r="F48" s="122" t="s">
        <v>677</v>
      </c>
      <c r="G48" s="122" t="s">
        <v>677</v>
      </c>
      <c r="H48" s="122" t="s">
        <v>677</v>
      </c>
      <c r="I48" s="122" t="s">
        <v>677</v>
      </c>
      <c r="J48" s="13" t="s">
        <v>1378</v>
      </c>
    </row>
    <row r="49" spans="1:10">
      <c r="A49" s="13"/>
      <c r="B49" s="13"/>
      <c r="C49" s="13"/>
      <c r="D49" s="13"/>
      <c r="E49" s="13"/>
      <c r="F49" s="13"/>
      <c r="G49" s="13"/>
      <c r="H49" s="13"/>
      <c r="I49" s="13"/>
      <c r="J49" s="13"/>
    </row>
    <row r="50" spans="1:10">
      <c r="A50" s="842" t="s">
        <v>1019</v>
      </c>
      <c r="B50" s="839"/>
      <c r="C50" s="839"/>
      <c r="D50" s="85"/>
      <c r="E50" s="85"/>
      <c r="F50" s="85"/>
      <c r="G50" s="85"/>
      <c r="H50" s="85"/>
      <c r="I50" s="85"/>
      <c r="J50" s="85"/>
    </row>
    <row r="51" spans="1:10">
      <c r="A51" s="50" t="s">
        <v>213</v>
      </c>
      <c r="B51" s="50" t="s">
        <v>275</v>
      </c>
      <c r="C51" s="50" t="s">
        <v>573</v>
      </c>
      <c r="D51" s="50" t="s">
        <v>215</v>
      </c>
      <c r="E51" s="50" t="s">
        <v>257</v>
      </c>
      <c r="F51" s="50" t="s">
        <v>572</v>
      </c>
      <c r="G51" s="50" t="s">
        <v>259</v>
      </c>
      <c r="H51" s="50" t="s">
        <v>216</v>
      </c>
      <c r="I51" s="50" t="s">
        <v>77</v>
      </c>
      <c r="J51" s="50" t="s">
        <v>11</v>
      </c>
    </row>
    <row r="52" spans="1:10" ht="55.2">
      <c r="A52" s="13" t="s">
        <v>1379</v>
      </c>
      <c r="B52" s="13" t="s">
        <v>575</v>
      </c>
      <c r="C52" s="13" t="s">
        <v>1380</v>
      </c>
      <c r="D52" s="13" t="s">
        <v>391</v>
      </c>
      <c r="E52" s="13" t="s">
        <v>488</v>
      </c>
      <c r="F52" s="13">
        <v>6</v>
      </c>
      <c r="G52" s="13" t="s">
        <v>1381</v>
      </c>
      <c r="H52" s="13" t="s">
        <v>1382</v>
      </c>
      <c r="I52" s="13" t="s">
        <v>502</v>
      </c>
      <c r="J52" s="13" t="s">
        <v>1383</v>
      </c>
    </row>
    <row r="53" spans="1:10" ht="55.2">
      <c r="A53" s="13" t="s">
        <v>1384</v>
      </c>
      <c r="B53" s="13" t="s">
        <v>20</v>
      </c>
      <c r="C53" s="13" t="s">
        <v>1385</v>
      </c>
      <c r="D53" s="13" t="s">
        <v>391</v>
      </c>
      <c r="E53" s="13" t="s">
        <v>488</v>
      </c>
      <c r="F53" s="13">
        <v>6</v>
      </c>
      <c r="G53" s="13" t="s">
        <v>1386</v>
      </c>
      <c r="H53" s="13" t="s">
        <v>1023</v>
      </c>
      <c r="I53" s="13" t="s">
        <v>502</v>
      </c>
      <c r="J53" s="13" t="s">
        <v>1387</v>
      </c>
    </row>
    <row r="54" spans="1:10" ht="69">
      <c r="A54" s="13" t="s">
        <v>1388</v>
      </c>
      <c r="B54" s="13" t="s">
        <v>682</v>
      </c>
      <c r="C54" s="13" t="s">
        <v>1389</v>
      </c>
      <c r="D54" s="13" t="s">
        <v>391</v>
      </c>
      <c r="E54" s="13" t="s">
        <v>488</v>
      </c>
      <c r="F54" s="13">
        <v>6</v>
      </c>
      <c r="G54" s="13" t="s">
        <v>1390</v>
      </c>
      <c r="H54" s="13" t="s">
        <v>1382</v>
      </c>
      <c r="I54" s="13" t="s">
        <v>502</v>
      </c>
      <c r="J54" s="13" t="s">
        <v>1391</v>
      </c>
    </row>
    <row r="55" spans="1:10" ht="69">
      <c r="A55" s="13" t="s">
        <v>642</v>
      </c>
      <c r="B55" s="13" t="s">
        <v>575</v>
      </c>
      <c r="C55" s="13" t="s">
        <v>644</v>
      </c>
      <c r="D55" s="13" t="s">
        <v>492</v>
      </c>
      <c r="E55" s="13" t="s">
        <v>488</v>
      </c>
      <c r="F55" s="13">
        <v>8</v>
      </c>
      <c r="G55" s="13" t="s">
        <v>1392</v>
      </c>
      <c r="H55" s="13" t="s">
        <v>643</v>
      </c>
      <c r="I55" s="13" t="s">
        <v>502</v>
      </c>
      <c r="J55" s="13" t="s">
        <v>1393</v>
      </c>
    </row>
    <row r="56" spans="1:10" ht="55.2">
      <c r="A56" s="13" t="s">
        <v>1394</v>
      </c>
      <c r="B56" s="13" t="s">
        <v>575</v>
      </c>
      <c r="C56" s="13" t="s">
        <v>1395</v>
      </c>
      <c r="D56" s="13" t="s">
        <v>391</v>
      </c>
      <c r="E56" s="13" t="s">
        <v>488</v>
      </c>
      <c r="F56" s="13">
        <v>6</v>
      </c>
      <c r="G56" s="13" t="s">
        <v>1396</v>
      </c>
      <c r="H56" s="13" t="s">
        <v>1032</v>
      </c>
      <c r="I56" s="13" t="s">
        <v>502</v>
      </c>
      <c r="J56" s="13" t="s">
        <v>1397</v>
      </c>
    </row>
    <row r="57" spans="1:10" ht="55.2">
      <c r="A57" s="13" t="s">
        <v>647</v>
      </c>
      <c r="B57" s="13" t="s">
        <v>575</v>
      </c>
      <c r="C57" s="13" t="s">
        <v>649</v>
      </c>
      <c r="D57" s="13" t="s">
        <v>492</v>
      </c>
      <c r="E57" s="13" t="s">
        <v>488</v>
      </c>
      <c r="F57" s="13">
        <v>8</v>
      </c>
      <c r="G57" s="13" t="s">
        <v>1398</v>
      </c>
      <c r="H57" s="13" t="s">
        <v>648</v>
      </c>
      <c r="I57" s="13" t="s">
        <v>502</v>
      </c>
      <c r="J57" s="13" t="s">
        <v>1399</v>
      </c>
    </row>
    <row r="58" spans="1:10" ht="69">
      <c r="A58" s="13" t="s">
        <v>1400</v>
      </c>
      <c r="B58" s="13" t="s">
        <v>575</v>
      </c>
      <c r="C58" s="13" t="s">
        <v>1401</v>
      </c>
      <c r="D58" s="13" t="s">
        <v>492</v>
      </c>
      <c r="E58" s="13" t="s">
        <v>488</v>
      </c>
      <c r="F58" s="13">
        <v>8</v>
      </c>
      <c r="G58" s="13" t="s">
        <v>1402</v>
      </c>
      <c r="H58" s="13" t="s">
        <v>1403</v>
      </c>
      <c r="I58" s="13" t="s">
        <v>502</v>
      </c>
      <c r="J58" s="13" t="s">
        <v>1404</v>
      </c>
    </row>
    <row r="59" spans="1:10" ht="55.2">
      <c r="A59" s="13" t="s">
        <v>1405</v>
      </c>
      <c r="B59" s="13" t="s">
        <v>575</v>
      </c>
      <c r="C59" s="13" t="s">
        <v>1406</v>
      </c>
      <c r="D59" s="13" t="s">
        <v>391</v>
      </c>
      <c r="E59" s="13" t="s">
        <v>488</v>
      </c>
      <c r="F59" s="13">
        <v>6</v>
      </c>
      <c r="G59" s="13" t="s">
        <v>1407</v>
      </c>
      <c r="H59" s="13" t="s">
        <v>1049</v>
      </c>
      <c r="I59" s="13" t="s">
        <v>502</v>
      </c>
      <c r="J59" s="13" t="s">
        <v>1408</v>
      </c>
    </row>
    <row r="60" spans="1:10">
      <c r="A60" s="13"/>
      <c r="B60" s="13"/>
      <c r="C60" s="13"/>
      <c r="D60" s="13"/>
      <c r="E60" s="13"/>
      <c r="F60" s="13"/>
      <c r="G60" s="13"/>
      <c r="H60" s="13"/>
      <c r="I60" s="13"/>
      <c r="J60" s="13"/>
    </row>
    <row r="61" spans="1:10">
      <c r="A61" s="842" t="s">
        <v>1051</v>
      </c>
      <c r="B61" s="839"/>
      <c r="C61" s="839"/>
      <c r="D61" s="85"/>
      <c r="E61" s="85"/>
      <c r="F61" s="85"/>
      <c r="G61" s="85"/>
      <c r="H61" s="85"/>
      <c r="I61" s="85"/>
      <c r="J61" s="85"/>
    </row>
    <row r="62" spans="1:10">
      <c r="A62" s="50" t="s">
        <v>221</v>
      </c>
      <c r="B62" s="50" t="s">
        <v>222</v>
      </c>
      <c r="C62" s="50" t="s">
        <v>265</v>
      </c>
      <c r="D62" s="50" t="s">
        <v>77</v>
      </c>
      <c r="E62" s="50" t="s">
        <v>878</v>
      </c>
      <c r="F62" s="50" t="s">
        <v>879</v>
      </c>
      <c r="G62" s="50" t="s">
        <v>880</v>
      </c>
      <c r="H62" s="50" t="s">
        <v>494</v>
      </c>
      <c r="I62" s="50" t="s">
        <v>881</v>
      </c>
      <c r="J62" s="50" t="s">
        <v>11</v>
      </c>
    </row>
    <row r="63" spans="1:10" ht="69">
      <c r="A63" s="13" t="s">
        <v>1409</v>
      </c>
      <c r="B63" s="13" t="s">
        <v>1410</v>
      </c>
      <c r="C63" s="13" t="s">
        <v>579</v>
      </c>
      <c r="D63" s="13" t="s">
        <v>502</v>
      </c>
      <c r="E63" s="13"/>
      <c r="F63" s="13"/>
      <c r="G63" s="13" t="s">
        <v>1411</v>
      </c>
      <c r="H63" s="13"/>
      <c r="I63" s="13"/>
      <c r="J63" s="13"/>
    </row>
    <row r="64" spans="1:10" ht="69">
      <c r="A64" s="13" t="s">
        <v>1412</v>
      </c>
      <c r="B64" s="13" t="s">
        <v>1413</v>
      </c>
      <c r="C64" s="13" t="s">
        <v>1414</v>
      </c>
      <c r="D64" s="13" t="s">
        <v>502</v>
      </c>
      <c r="E64" s="13"/>
      <c r="F64" s="13"/>
      <c r="G64" s="13" t="s">
        <v>1415</v>
      </c>
      <c r="H64" s="13"/>
      <c r="I64" s="13"/>
      <c r="J64" s="13"/>
    </row>
    <row r="65" spans="1:10" ht="82.8">
      <c r="A65" s="13" t="s">
        <v>1416</v>
      </c>
      <c r="B65" s="13" t="s">
        <v>1417</v>
      </c>
      <c r="C65" s="13" t="s">
        <v>609</v>
      </c>
      <c r="D65" s="13" t="s">
        <v>502</v>
      </c>
      <c r="E65" s="13"/>
      <c r="F65" s="13"/>
      <c r="G65" s="13" t="s">
        <v>1418</v>
      </c>
      <c r="H65" s="13"/>
      <c r="I65" s="13"/>
      <c r="J65" s="13"/>
    </row>
    <row r="66" spans="1:10" ht="69">
      <c r="A66" s="13" t="s">
        <v>1419</v>
      </c>
      <c r="B66" s="13" t="s">
        <v>1420</v>
      </c>
      <c r="C66" s="13" t="s">
        <v>587</v>
      </c>
      <c r="D66" s="13" t="s">
        <v>502</v>
      </c>
      <c r="E66" s="13"/>
      <c r="F66" s="13"/>
      <c r="G66" s="13" t="s">
        <v>1421</v>
      </c>
      <c r="H66" s="13"/>
      <c r="I66" s="13"/>
      <c r="J66" s="13"/>
    </row>
    <row r="67" spans="1:10" ht="96.6">
      <c r="A67" s="13" t="s">
        <v>1422</v>
      </c>
      <c r="B67" s="13" t="s">
        <v>1423</v>
      </c>
      <c r="C67" s="13" t="s">
        <v>609</v>
      </c>
      <c r="D67" s="13" t="s">
        <v>502</v>
      </c>
      <c r="E67" s="13"/>
      <c r="F67" s="13"/>
      <c r="G67" s="13" t="s">
        <v>1424</v>
      </c>
      <c r="H67" s="13"/>
      <c r="I67" s="13"/>
      <c r="J67" s="13"/>
    </row>
    <row r="68" spans="1:10" ht="82.8">
      <c r="A68" s="13" t="s">
        <v>1425</v>
      </c>
      <c r="B68" s="13" t="s">
        <v>1426</v>
      </c>
      <c r="C68" s="13" t="s">
        <v>616</v>
      </c>
      <c r="D68" s="13" t="s">
        <v>502</v>
      </c>
      <c r="E68" s="13"/>
      <c r="F68" s="13"/>
      <c r="G68" s="13" t="s">
        <v>1427</v>
      </c>
      <c r="H68" s="13"/>
      <c r="I68" s="13"/>
      <c r="J68" s="13"/>
    </row>
    <row r="69" spans="1:10" ht="82.8">
      <c r="A69" s="13" t="s">
        <v>1428</v>
      </c>
      <c r="B69" s="13" t="s">
        <v>1429</v>
      </c>
      <c r="C69" s="13" t="s">
        <v>1430</v>
      </c>
      <c r="D69" s="13" t="s">
        <v>502</v>
      </c>
      <c r="E69" s="13"/>
      <c r="F69" s="13"/>
      <c r="G69" s="13" t="s">
        <v>623</v>
      </c>
      <c r="H69" s="13"/>
      <c r="I69" s="13"/>
      <c r="J69" s="13"/>
    </row>
    <row r="70" spans="1:10" ht="110.4">
      <c r="A70" s="13" t="s">
        <v>1431</v>
      </c>
      <c r="B70" s="13" t="s">
        <v>1432</v>
      </c>
      <c r="C70" s="13" t="s">
        <v>1049</v>
      </c>
      <c r="D70" s="13" t="s">
        <v>502</v>
      </c>
      <c r="E70" s="13"/>
      <c r="F70" s="13"/>
      <c r="G70" s="13" t="s">
        <v>1433</v>
      </c>
      <c r="H70" s="13"/>
      <c r="I70" s="13"/>
      <c r="J70" s="13"/>
    </row>
    <row r="71" spans="1:10">
      <c r="A71" s="13"/>
      <c r="B71" s="13"/>
      <c r="C71" s="13"/>
      <c r="D71" s="13"/>
      <c r="E71" s="13"/>
      <c r="F71" s="13"/>
      <c r="G71" s="13"/>
      <c r="H71" s="13"/>
      <c r="I71" s="13"/>
      <c r="J71" s="13"/>
    </row>
    <row r="72" spans="1:10">
      <c r="A72" s="842" t="s">
        <v>1052</v>
      </c>
      <c r="B72" s="839"/>
      <c r="C72" s="839"/>
      <c r="D72" s="85"/>
      <c r="E72" s="85"/>
      <c r="F72" s="85"/>
      <c r="G72" s="85"/>
      <c r="H72" s="85"/>
      <c r="I72" s="85"/>
      <c r="J72" s="85"/>
    </row>
    <row r="73" spans="1:10">
      <c r="A73" s="50" t="s">
        <v>291</v>
      </c>
      <c r="B73" s="50" t="s">
        <v>275</v>
      </c>
      <c r="C73" s="50" t="s">
        <v>493</v>
      </c>
      <c r="D73" s="50" t="s">
        <v>214</v>
      </c>
      <c r="E73" s="50" t="s">
        <v>263</v>
      </c>
      <c r="F73" s="50" t="s">
        <v>891</v>
      </c>
      <c r="G73" s="50" t="s">
        <v>892</v>
      </c>
      <c r="H73" s="50" t="s">
        <v>893</v>
      </c>
      <c r="I73" s="50" t="s">
        <v>77</v>
      </c>
      <c r="J73" s="50" t="s">
        <v>11</v>
      </c>
    </row>
    <row r="74" spans="1:10" ht="55.2">
      <c r="A74" s="13" t="s">
        <v>1434</v>
      </c>
      <c r="B74" s="13" t="s">
        <v>20</v>
      </c>
      <c r="C74" s="13" t="s">
        <v>269</v>
      </c>
      <c r="D74" s="13" t="s">
        <v>1435</v>
      </c>
      <c r="E74" s="13"/>
      <c r="F74" s="13" t="s">
        <v>229</v>
      </c>
      <c r="G74" s="13"/>
      <c r="H74" s="13" t="s">
        <v>1436</v>
      </c>
      <c r="I74" s="13" t="s">
        <v>502</v>
      </c>
      <c r="J74" s="13"/>
    </row>
    <row r="75" spans="1:10" ht="69">
      <c r="A75" s="13" t="s">
        <v>1437</v>
      </c>
      <c r="B75" s="13" t="s">
        <v>682</v>
      </c>
      <c r="C75" s="13" t="s">
        <v>269</v>
      </c>
      <c r="D75" s="13" t="s">
        <v>1438</v>
      </c>
      <c r="E75" s="13"/>
      <c r="F75" s="13" t="s">
        <v>229</v>
      </c>
      <c r="G75" s="13"/>
      <c r="H75" s="13" t="s">
        <v>1388</v>
      </c>
      <c r="I75" s="13" t="s">
        <v>502</v>
      </c>
      <c r="J75" s="13"/>
    </row>
    <row r="76" spans="1:10" ht="41.4">
      <c r="A76" s="13" t="s">
        <v>1439</v>
      </c>
      <c r="B76" s="13" t="s">
        <v>1353</v>
      </c>
      <c r="C76" s="13" t="s">
        <v>269</v>
      </c>
      <c r="D76" s="13" t="s">
        <v>1440</v>
      </c>
      <c r="E76" s="13"/>
      <c r="F76" s="13" t="s">
        <v>229</v>
      </c>
      <c r="G76" s="13"/>
      <c r="H76" s="13" t="s">
        <v>1379</v>
      </c>
      <c r="I76" s="13" t="s">
        <v>502</v>
      </c>
      <c r="J76" s="13"/>
    </row>
    <row r="77" spans="1:10" ht="69">
      <c r="A77" s="13" t="s">
        <v>1441</v>
      </c>
      <c r="B77" s="13" t="s">
        <v>575</v>
      </c>
      <c r="C77" s="13" t="s">
        <v>957</v>
      </c>
      <c r="D77" s="13" t="s">
        <v>1442</v>
      </c>
      <c r="E77" s="13"/>
      <c r="F77" s="13" t="s">
        <v>229</v>
      </c>
      <c r="G77" s="13"/>
      <c r="H77" s="13" t="s">
        <v>1400</v>
      </c>
      <c r="I77" s="13" t="s">
        <v>502</v>
      </c>
      <c r="J77" s="13"/>
    </row>
    <row r="78" spans="1:10" ht="55.2">
      <c r="A78" s="13" t="s">
        <v>1443</v>
      </c>
      <c r="B78" s="13" t="s">
        <v>575</v>
      </c>
      <c r="C78" s="13" t="s">
        <v>148</v>
      </c>
      <c r="D78" s="13" t="s">
        <v>1444</v>
      </c>
      <c r="E78" s="13"/>
      <c r="F78" s="13" t="s">
        <v>229</v>
      </c>
      <c r="G78" s="13"/>
      <c r="H78" s="13" t="s">
        <v>642</v>
      </c>
      <c r="I78" s="13" t="s">
        <v>502</v>
      </c>
      <c r="J78" s="13"/>
    </row>
    <row r="79" spans="1:10" ht="55.2">
      <c r="A79" s="13" t="s">
        <v>1445</v>
      </c>
      <c r="B79" s="13" t="s">
        <v>575</v>
      </c>
      <c r="C79" s="13" t="s">
        <v>153</v>
      </c>
      <c r="D79" s="13" t="s">
        <v>1446</v>
      </c>
      <c r="E79" s="13"/>
      <c r="F79" s="13" t="s">
        <v>229</v>
      </c>
      <c r="G79" s="13"/>
      <c r="H79" s="13" t="s">
        <v>1394</v>
      </c>
      <c r="I79" s="13" t="s">
        <v>502</v>
      </c>
      <c r="J79" s="13"/>
    </row>
    <row r="80" spans="1:10" ht="41.4">
      <c r="A80" s="13" t="s">
        <v>1447</v>
      </c>
      <c r="B80" s="13" t="s">
        <v>575</v>
      </c>
      <c r="C80" s="13" t="s">
        <v>155</v>
      </c>
      <c r="D80" s="13" t="s">
        <v>1448</v>
      </c>
      <c r="E80" s="13"/>
      <c r="F80" s="13" t="s">
        <v>229</v>
      </c>
      <c r="G80" s="13"/>
      <c r="H80" s="13" t="s">
        <v>647</v>
      </c>
      <c r="I80" s="13" t="s">
        <v>502</v>
      </c>
      <c r="J80" s="13"/>
    </row>
    <row r="81" spans="1:10" ht="55.2">
      <c r="A81" s="13" t="s">
        <v>1449</v>
      </c>
      <c r="B81" s="13" t="s">
        <v>575</v>
      </c>
      <c r="C81" s="13" t="s">
        <v>556</v>
      </c>
      <c r="D81" s="13" t="s">
        <v>1450</v>
      </c>
      <c r="E81" s="13"/>
      <c r="F81" s="13" t="s">
        <v>229</v>
      </c>
      <c r="G81" s="13"/>
      <c r="H81" s="13" t="s">
        <v>1388</v>
      </c>
      <c r="I81" s="13" t="s">
        <v>502</v>
      </c>
      <c r="J81" s="13"/>
    </row>
    <row r="82" spans="1:10">
      <c r="A82" s="13"/>
      <c r="B82" s="13"/>
      <c r="C82" s="13"/>
      <c r="D82" s="13"/>
      <c r="E82" s="13"/>
      <c r="F82" s="13"/>
      <c r="G82" s="13"/>
      <c r="H82" s="13"/>
      <c r="I82" s="13"/>
      <c r="J82" s="13"/>
    </row>
    <row r="83" spans="1:10">
      <c r="A83" s="842" t="s">
        <v>1079</v>
      </c>
      <c r="B83" s="839"/>
      <c r="C83" s="839"/>
      <c r="D83" s="85"/>
      <c r="E83" s="85"/>
      <c r="F83" s="85"/>
      <c r="G83" s="85"/>
      <c r="H83" s="85"/>
      <c r="I83" s="85"/>
      <c r="J83" s="85"/>
    </row>
    <row r="84" spans="1:10">
      <c r="A84" s="50" t="s">
        <v>275</v>
      </c>
      <c r="B84" s="50" t="s">
        <v>895</v>
      </c>
      <c r="C84" s="50" t="s">
        <v>896</v>
      </c>
      <c r="D84" s="50" t="s">
        <v>148</v>
      </c>
      <c r="E84" s="50" t="s">
        <v>153</v>
      </c>
      <c r="F84" s="50" t="s">
        <v>155</v>
      </c>
      <c r="G84" s="50" t="s">
        <v>491</v>
      </c>
      <c r="H84" s="50" t="s">
        <v>897</v>
      </c>
      <c r="I84" s="50" t="s">
        <v>174</v>
      </c>
      <c r="J84" s="50" t="s">
        <v>11</v>
      </c>
    </row>
    <row r="85" spans="1:10" ht="27.6">
      <c r="A85" s="13" t="s">
        <v>20</v>
      </c>
      <c r="B85" s="126">
        <v>0.5</v>
      </c>
      <c r="C85" s="126">
        <v>0.5</v>
      </c>
      <c r="D85" s="126">
        <v>0.5</v>
      </c>
      <c r="E85" s="126">
        <v>0.5</v>
      </c>
      <c r="F85" s="126">
        <v>0.5</v>
      </c>
      <c r="G85" s="13" t="s">
        <v>677</v>
      </c>
      <c r="H85" s="126">
        <v>0.5</v>
      </c>
      <c r="I85" s="13" t="s">
        <v>1201</v>
      </c>
      <c r="J85" s="13" t="s">
        <v>1451</v>
      </c>
    </row>
    <row r="86" spans="1:10" ht="27.6">
      <c r="A86" s="13" t="s">
        <v>682</v>
      </c>
      <c r="B86" s="126">
        <v>0.5</v>
      </c>
      <c r="C86" s="126">
        <v>0.5</v>
      </c>
      <c r="D86" s="126">
        <v>0.5</v>
      </c>
      <c r="E86" s="126">
        <v>0.5</v>
      </c>
      <c r="F86" s="126">
        <v>0.5</v>
      </c>
      <c r="G86" s="13" t="s">
        <v>677</v>
      </c>
      <c r="H86" s="126">
        <v>0.5</v>
      </c>
      <c r="I86" s="13" t="s">
        <v>1201</v>
      </c>
      <c r="J86" s="13" t="s">
        <v>1452</v>
      </c>
    </row>
    <row r="87" spans="1:10" ht="27.6">
      <c r="A87" s="13" t="s">
        <v>1353</v>
      </c>
      <c r="B87" s="126">
        <v>0.5</v>
      </c>
      <c r="C87" s="126">
        <v>0.5</v>
      </c>
      <c r="D87" s="126">
        <v>0.5</v>
      </c>
      <c r="E87" s="126">
        <v>0.5</v>
      </c>
      <c r="F87" s="126">
        <v>0.5</v>
      </c>
      <c r="G87" s="13" t="s">
        <v>677</v>
      </c>
      <c r="H87" s="126">
        <v>0.5</v>
      </c>
      <c r="I87" s="13" t="s">
        <v>1201</v>
      </c>
      <c r="J87" s="13" t="s">
        <v>1453</v>
      </c>
    </row>
    <row r="88" spans="1:10">
      <c r="A88" s="13"/>
      <c r="B88" s="13"/>
      <c r="C88" s="13"/>
      <c r="D88" s="13"/>
      <c r="E88" s="13"/>
      <c r="F88" s="13"/>
      <c r="G88" s="13"/>
      <c r="H88" s="13"/>
      <c r="I88" s="13"/>
      <c r="J88" s="13"/>
    </row>
    <row r="89" spans="1:10">
      <c r="A89" s="842" t="s">
        <v>1085</v>
      </c>
      <c r="B89" s="839"/>
      <c r="C89" s="839"/>
      <c r="D89" s="85"/>
      <c r="E89" s="85"/>
      <c r="F89" s="85"/>
      <c r="G89" s="85"/>
      <c r="H89" s="85"/>
      <c r="I89" s="85"/>
      <c r="J89" s="85"/>
    </row>
    <row r="90" spans="1:10" ht="55.2">
      <c r="A90" s="50" t="s">
        <v>905</v>
      </c>
      <c r="B90" s="50" t="s">
        <v>776</v>
      </c>
      <c r="C90" s="50"/>
      <c r="D90" s="50"/>
      <c r="E90" s="50"/>
      <c r="F90" s="50"/>
      <c r="G90" s="50"/>
      <c r="H90" s="50"/>
      <c r="I90" s="50"/>
      <c r="J90" s="50"/>
    </row>
    <row r="91" spans="1:10">
      <c r="A91" s="13" t="s">
        <v>1086</v>
      </c>
      <c r="B91" s="852" t="s">
        <v>1454</v>
      </c>
      <c r="C91" s="839"/>
      <c r="D91" s="839"/>
      <c r="E91" s="839"/>
      <c r="F91" s="839"/>
      <c r="G91" s="839"/>
      <c r="H91" s="839"/>
      <c r="I91" s="839"/>
      <c r="J91" s="839"/>
    </row>
    <row r="92" spans="1:10">
      <c r="A92" s="13" t="s">
        <v>1455</v>
      </c>
      <c r="B92" s="852" t="s">
        <v>1456</v>
      </c>
      <c r="C92" s="839"/>
      <c r="D92" s="839"/>
      <c r="E92" s="839"/>
      <c r="F92" s="839"/>
      <c r="G92" s="839"/>
      <c r="H92" s="839"/>
      <c r="I92" s="839"/>
      <c r="J92" s="839"/>
    </row>
    <row r="93" spans="1:10">
      <c r="A93" s="13" t="s">
        <v>1088</v>
      </c>
      <c r="B93" s="852" t="s">
        <v>1457</v>
      </c>
      <c r="C93" s="839"/>
      <c r="D93" s="839"/>
      <c r="E93" s="839"/>
      <c r="F93" s="839"/>
      <c r="G93" s="839"/>
      <c r="H93" s="839"/>
      <c r="I93" s="839"/>
      <c r="J93" s="839"/>
    </row>
    <row r="94" spans="1:10">
      <c r="A94" s="13" t="s">
        <v>1090</v>
      </c>
      <c r="B94" s="852" t="s">
        <v>1458</v>
      </c>
      <c r="C94" s="839"/>
      <c r="D94" s="839"/>
      <c r="E94" s="839"/>
      <c r="F94" s="839"/>
      <c r="G94" s="839"/>
      <c r="H94" s="839"/>
      <c r="I94" s="839"/>
      <c r="J94" s="839"/>
    </row>
    <row r="95" spans="1:10" ht="27.6">
      <c r="A95" s="13" t="s">
        <v>1459</v>
      </c>
      <c r="B95" s="852" t="s">
        <v>1460</v>
      </c>
      <c r="C95" s="839"/>
      <c r="D95" s="839"/>
      <c r="E95" s="839"/>
      <c r="F95" s="839"/>
      <c r="G95" s="839"/>
      <c r="H95" s="839"/>
      <c r="I95" s="839"/>
      <c r="J95" s="839"/>
    </row>
    <row r="97" spans="1:10" ht="15" thickBot="1"/>
    <row r="98" spans="1:10">
      <c r="A98" s="855" t="s">
        <v>5875</v>
      </c>
      <c r="B98" s="856"/>
      <c r="C98" s="856"/>
      <c r="D98" s="857"/>
      <c r="E98" s="856"/>
      <c r="F98" s="856"/>
      <c r="G98" s="857"/>
      <c r="H98" s="857"/>
      <c r="I98" s="857"/>
      <c r="J98" s="858"/>
    </row>
    <row r="99" spans="1:10">
      <c r="A99" s="325" t="s">
        <v>5817</v>
      </c>
      <c r="B99" s="326" t="s">
        <v>77</v>
      </c>
      <c r="C99" s="326" t="s">
        <v>5818</v>
      </c>
      <c r="D99" s="326" t="s">
        <v>5819</v>
      </c>
      <c r="E99" s="326" t="s">
        <v>5841</v>
      </c>
      <c r="F99" s="326" t="s">
        <v>5808</v>
      </c>
      <c r="G99" s="859" t="s">
        <v>5842</v>
      </c>
      <c r="H99" s="859"/>
      <c r="I99" s="859"/>
      <c r="J99" s="860"/>
    </row>
    <row r="100" spans="1:10" ht="26.4">
      <c r="A100" s="327" t="s">
        <v>5820</v>
      </c>
      <c r="B100" s="337" t="s">
        <v>484</v>
      </c>
      <c r="C100" s="329">
        <v>0</v>
      </c>
      <c r="D100" s="329">
        <v>0</v>
      </c>
      <c r="E100" s="196" t="s">
        <v>5881</v>
      </c>
      <c r="F100" s="329">
        <f>IF(AND(C100&lt;&gt;"",D100&lt;&gt;""),D100-C100,"")</f>
        <v>0</v>
      </c>
      <c r="G100" s="861"/>
      <c r="H100" s="861"/>
      <c r="I100" s="861"/>
      <c r="J100" s="862"/>
    </row>
    <row r="101" spans="1:10" ht="26.4">
      <c r="A101" s="330" t="s">
        <v>5821</v>
      </c>
      <c r="B101" s="337" t="s">
        <v>484</v>
      </c>
      <c r="C101" s="331">
        <v>1</v>
      </c>
      <c r="D101" s="331">
        <v>0</v>
      </c>
      <c r="E101" s="314" t="s">
        <v>5882</v>
      </c>
      <c r="F101" s="331">
        <f>IF(AND(C101&lt;&gt;"",D101&lt;&gt;""),D101-C101,"")</f>
        <v>-1</v>
      </c>
      <c r="G101" s="863"/>
      <c r="H101" s="863"/>
      <c r="I101" s="863"/>
      <c r="J101" s="864"/>
    </row>
    <row r="102" spans="1:10">
      <c r="A102" s="327" t="s">
        <v>5822</v>
      </c>
      <c r="B102" s="337" t="s">
        <v>484</v>
      </c>
      <c r="C102" s="331">
        <v>1</v>
      </c>
      <c r="D102" s="331">
        <v>0</v>
      </c>
      <c r="E102" s="314" t="s">
        <v>5882</v>
      </c>
      <c r="F102" s="329">
        <f>IF(AND(C102&lt;&gt;"",D102&lt;&gt;""),D102-C102,"")</f>
        <v>-1</v>
      </c>
      <c r="G102" s="332"/>
      <c r="H102" s="231"/>
      <c r="I102" s="231"/>
      <c r="J102" s="333"/>
    </row>
    <row r="103" spans="1:10">
      <c r="A103" s="330" t="s">
        <v>5823</v>
      </c>
      <c r="B103" s="337" t="s">
        <v>484</v>
      </c>
      <c r="C103" s="331">
        <v>1</v>
      </c>
      <c r="D103" s="331">
        <v>0</v>
      </c>
      <c r="E103" s="314" t="s">
        <v>5882</v>
      </c>
      <c r="F103" s="331">
        <f>IF(AND(C103&lt;&gt;"",D103&lt;&gt;""),D103-C103,"")</f>
        <v>-1</v>
      </c>
      <c r="G103" s="863"/>
      <c r="H103" s="863"/>
      <c r="I103" s="863"/>
      <c r="J103" s="864"/>
    </row>
    <row r="104" spans="1:10">
      <c r="A104" s="327" t="s">
        <v>5168</v>
      </c>
      <c r="B104" s="337" t="s">
        <v>484</v>
      </c>
      <c r="C104" s="331">
        <v>1</v>
      </c>
      <c r="D104" s="331">
        <v>0</v>
      </c>
      <c r="E104" s="314" t="s">
        <v>5882</v>
      </c>
      <c r="F104" s="329">
        <f>IF(AND(C104&lt;&gt;"",D104&lt;&gt;""),D104-C104,"")</f>
        <v>-1</v>
      </c>
      <c r="G104" s="332"/>
      <c r="H104" s="231"/>
      <c r="I104" s="231"/>
      <c r="J104" s="333"/>
    </row>
    <row r="105" spans="1:10" ht="15.6">
      <c r="A105" s="865" t="s">
        <v>5843</v>
      </c>
      <c r="B105" s="713"/>
      <c r="C105" s="334">
        <f>IFERROR(AVERAGE(C100:C104),"")</f>
        <v>0.8</v>
      </c>
      <c r="D105" s="334">
        <f>IFERROR(AVERAGE(D100:D104),"")</f>
        <v>0</v>
      </c>
      <c r="E105" s="866" t="s">
        <v>5844</v>
      </c>
      <c r="F105" s="866"/>
      <c r="G105" s="866"/>
      <c r="H105" s="866"/>
      <c r="I105" s="866"/>
      <c r="J105" s="867"/>
    </row>
    <row r="106" spans="1:10">
      <c r="A106" s="335"/>
      <c r="B106" s="320"/>
      <c r="C106" s="320"/>
      <c r="D106" s="320"/>
      <c r="E106" s="320"/>
      <c r="F106" s="320"/>
      <c r="G106" s="320"/>
      <c r="H106" s="231"/>
      <c r="I106" s="231"/>
      <c r="J106" s="333"/>
    </row>
    <row r="107" spans="1:10">
      <c r="A107" s="876" t="s">
        <v>5876</v>
      </c>
      <c r="B107" s="853"/>
      <c r="C107" s="853"/>
      <c r="D107" s="842"/>
      <c r="E107" s="853"/>
      <c r="F107" s="853"/>
      <c r="G107" s="842"/>
      <c r="H107" s="842"/>
      <c r="I107" s="842"/>
      <c r="J107" s="868"/>
    </row>
    <row r="108" spans="1:10">
      <c r="A108" s="325" t="s">
        <v>4946</v>
      </c>
      <c r="B108" s="326" t="s">
        <v>77</v>
      </c>
      <c r="C108" s="326" t="s">
        <v>5883</v>
      </c>
      <c r="D108" s="326" t="s">
        <v>482</v>
      </c>
      <c r="E108" s="326" t="s">
        <v>572</v>
      </c>
      <c r="F108" s="326" t="s">
        <v>5846</v>
      </c>
      <c r="G108" s="859" t="s">
        <v>5847</v>
      </c>
      <c r="H108" s="859"/>
      <c r="I108" s="859"/>
      <c r="J108" s="860"/>
    </row>
    <row r="109" spans="1:10" ht="26.4">
      <c r="A109" s="330" t="s">
        <v>5809</v>
      </c>
      <c r="B109" s="337" t="s">
        <v>484</v>
      </c>
      <c r="C109" s="336" t="s">
        <v>679</v>
      </c>
      <c r="D109" s="328" t="s">
        <v>679</v>
      </c>
      <c r="E109" s="336">
        <f>IF(D109="Yes",1,0)</f>
        <v>0</v>
      </c>
      <c r="F109" s="877"/>
      <c r="G109" s="877"/>
      <c r="H109" s="877"/>
      <c r="I109" s="877"/>
      <c r="J109" s="878"/>
    </row>
    <row r="110" spans="1:10">
      <c r="A110" s="327" t="s">
        <v>995</v>
      </c>
      <c r="B110" s="337" t="s">
        <v>484</v>
      </c>
      <c r="C110" s="336" t="s">
        <v>679</v>
      </c>
      <c r="D110" s="328" t="s">
        <v>679</v>
      </c>
      <c r="E110" s="328">
        <f t="shared" ref="E110:E116" si="0">IF(D110="Yes",1,0)</f>
        <v>0</v>
      </c>
      <c r="F110" s="877"/>
      <c r="G110" s="877"/>
      <c r="H110" s="877"/>
      <c r="I110" s="877"/>
      <c r="J110" s="878"/>
    </row>
    <row r="111" spans="1:10">
      <c r="A111" s="330" t="s">
        <v>5810</v>
      </c>
      <c r="B111" s="337" t="s">
        <v>484</v>
      </c>
      <c r="C111" s="336" t="s">
        <v>679</v>
      </c>
      <c r="D111" s="328" t="s">
        <v>679</v>
      </c>
      <c r="E111" s="336">
        <f t="shared" si="0"/>
        <v>0</v>
      </c>
      <c r="F111" s="877"/>
      <c r="G111" s="877"/>
      <c r="H111" s="877"/>
      <c r="I111" s="877"/>
      <c r="J111" s="878"/>
    </row>
    <row r="112" spans="1:10">
      <c r="A112" s="327" t="s">
        <v>5824</v>
      </c>
      <c r="B112" s="337" t="s">
        <v>484</v>
      </c>
      <c r="C112" s="336" t="s">
        <v>679</v>
      </c>
      <c r="D112" s="328" t="s">
        <v>679</v>
      </c>
      <c r="E112" s="328">
        <f t="shared" si="0"/>
        <v>0</v>
      </c>
      <c r="F112" s="877"/>
      <c r="G112" s="877"/>
      <c r="H112" s="877"/>
      <c r="I112" s="877"/>
      <c r="J112" s="878"/>
    </row>
    <row r="113" spans="1:10" ht="39.6">
      <c r="A113" s="330" t="s">
        <v>5825</v>
      </c>
      <c r="B113" s="337" t="s">
        <v>484</v>
      </c>
      <c r="C113" s="336" t="s">
        <v>679</v>
      </c>
      <c r="D113" s="328" t="s">
        <v>679</v>
      </c>
      <c r="E113" s="336">
        <f t="shared" si="0"/>
        <v>0</v>
      </c>
      <c r="F113" s="877"/>
      <c r="G113" s="877"/>
      <c r="H113" s="877"/>
      <c r="I113" s="877"/>
      <c r="J113" s="878"/>
    </row>
    <row r="114" spans="1:10" ht="26.4">
      <c r="A114" s="327" t="s">
        <v>5826</v>
      </c>
      <c r="B114" s="337" t="s">
        <v>484</v>
      </c>
      <c r="C114" s="336" t="s">
        <v>679</v>
      </c>
      <c r="D114" s="328" t="s">
        <v>679</v>
      </c>
      <c r="E114" s="328">
        <f t="shared" si="0"/>
        <v>0</v>
      </c>
      <c r="F114" s="877"/>
      <c r="G114" s="877"/>
      <c r="H114" s="877"/>
      <c r="I114" s="877"/>
      <c r="J114" s="878"/>
    </row>
    <row r="115" spans="1:10">
      <c r="A115" s="330" t="s">
        <v>5811</v>
      </c>
      <c r="B115" s="337" t="s">
        <v>484</v>
      </c>
      <c r="C115" s="336" t="s">
        <v>679</v>
      </c>
      <c r="D115" s="328" t="s">
        <v>679</v>
      </c>
      <c r="E115" s="336">
        <f t="shared" si="0"/>
        <v>0</v>
      </c>
      <c r="F115" s="877"/>
      <c r="G115" s="877"/>
      <c r="H115" s="877"/>
      <c r="I115" s="877"/>
      <c r="J115" s="878"/>
    </row>
    <row r="116" spans="1:10" ht="26.4">
      <c r="A116" s="327" t="s">
        <v>5812</v>
      </c>
      <c r="B116" s="337" t="s">
        <v>484</v>
      </c>
      <c r="C116" s="336" t="s">
        <v>679</v>
      </c>
      <c r="D116" s="328" t="s">
        <v>679</v>
      </c>
      <c r="E116" s="328">
        <f t="shared" si="0"/>
        <v>0</v>
      </c>
      <c r="F116" s="877"/>
      <c r="G116" s="877"/>
      <c r="H116" s="877"/>
      <c r="I116" s="877"/>
      <c r="J116" s="878"/>
    </row>
    <row r="117" spans="1:10" ht="15.6">
      <c r="A117" s="865" t="s">
        <v>5848</v>
      </c>
      <c r="B117" s="713"/>
      <c r="C117" s="871" t="str">
        <f>IFERROR(SUM(E109:E116)/COUNTIF(C109:C116,"Yes"),"")</f>
        <v/>
      </c>
      <c r="D117" s="872"/>
      <c r="E117" s="866" t="s">
        <v>5849</v>
      </c>
      <c r="F117" s="866"/>
      <c r="G117" s="866"/>
      <c r="H117" s="866"/>
      <c r="I117" s="866"/>
      <c r="J117" s="867"/>
    </row>
    <row r="118" spans="1:10">
      <c r="A118" s="335"/>
      <c r="B118" s="320"/>
      <c r="C118" s="320"/>
      <c r="D118" s="320"/>
      <c r="E118" s="320"/>
      <c r="F118" s="320"/>
      <c r="G118" s="320"/>
      <c r="H118" s="231"/>
      <c r="I118" s="231"/>
      <c r="J118" s="333"/>
    </row>
    <row r="119" spans="1:10">
      <c r="A119" s="876" t="s">
        <v>5877</v>
      </c>
      <c r="B119" s="853"/>
      <c r="C119" s="853"/>
      <c r="D119" s="842"/>
      <c r="E119" s="853"/>
      <c r="F119" s="853"/>
      <c r="G119" s="842"/>
      <c r="H119" s="842"/>
      <c r="I119" s="842"/>
      <c r="J119" s="868"/>
    </row>
    <row r="120" spans="1:10">
      <c r="A120" s="325" t="s">
        <v>5850</v>
      </c>
      <c r="B120" s="326" t="s">
        <v>77</v>
      </c>
      <c r="C120" s="326" t="s">
        <v>5827</v>
      </c>
      <c r="D120" s="326" t="s">
        <v>5828</v>
      </c>
      <c r="E120" s="326" t="s">
        <v>5829</v>
      </c>
      <c r="F120" s="326" t="s">
        <v>5851</v>
      </c>
      <c r="G120" s="859" t="s">
        <v>5852</v>
      </c>
      <c r="H120" s="859"/>
      <c r="I120" s="859"/>
      <c r="J120" s="860"/>
    </row>
    <row r="121" spans="1:10" ht="26.4">
      <c r="A121" s="330" t="s">
        <v>5830</v>
      </c>
      <c r="B121" s="336" t="s">
        <v>484</v>
      </c>
      <c r="C121" s="336" t="s">
        <v>1096</v>
      </c>
      <c r="D121" s="336" t="s">
        <v>1096</v>
      </c>
      <c r="E121" s="336" t="s">
        <v>1096</v>
      </c>
      <c r="F121" s="336" t="s">
        <v>348</v>
      </c>
      <c r="G121" s="869"/>
      <c r="H121" s="869"/>
      <c r="I121" s="869"/>
      <c r="J121" s="870"/>
    </row>
    <row r="122" spans="1:10">
      <c r="A122" s="327" t="s">
        <v>5831</v>
      </c>
      <c r="B122" s="336" t="s">
        <v>484</v>
      </c>
      <c r="C122" s="336" t="s">
        <v>1096</v>
      </c>
      <c r="D122" s="336" t="s">
        <v>1096</v>
      </c>
      <c r="E122" s="336" t="s">
        <v>1096</v>
      </c>
      <c r="F122" s="336" t="s">
        <v>348</v>
      </c>
      <c r="G122" s="869"/>
      <c r="H122" s="869"/>
      <c r="I122" s="869"/>
      <c r="J122" s="870"/>
    </row>
    <row r="123" spans="1:10">
      <c r="A123" s="330" t="s">
        <v>5853</v>
      </c>
      <c r="B123" s="336" t="s">
        <v>484</v>
      </c>
      <c r="C123" s="336" t="s">
        <v>1096</v>
      </c>
      <c r="D123" s="336" t="s">
        <v>1096</v>
      </c>
      <c r="E123" s="336" t="s">
        <v>1096</v>
      </c>
      <c r="F123" s="336" t="s">
        <v>348</v>
      </c>
      <c r="G123" s="869"/>
      <c r="H123" s="869"/>
      <c r="I123" s="869"/>
      <c r="J123" s="870"/>
    </row>
    <row r="124" spans="1:10">
      <c r="A124" s="327" t="s">
        <v>5832</v>
      </c>
      <c r="B124" s="336" t="s">
        <v>484</v>
      </c>
      <c r="C124" s="336" t="s">
        <v>1096</v>
      </c>
      <c r="D124" s="336" t="s">
        <v>1096</v>
      </c>
      <c r="E124" s="336" t="s">
        <v>1096</v>
      </c>
      <c r="F124" s="336" t="s">
        <v>348</v>
      </c>
      <c r="G124" s="869"/>
      <c r="H124" s="869"/>
      <c r="I124" s="869"/>
      <c r="J124" s="870"/>
    </row>
    <row r="125" spans="1:10" ht="26.4">
      <c r="A125" s="330" t="s">
        <v>5833</v>
      </c>
      <c r="B125" s="336" t="s">
        <v>484</v>
      </c>
      <c r="C125" s="336" t="s">
        <v>1096</v>
      </c>
      <c r="D125" s="336" t="s">
        <v>1096</v>
      </c>
      <c r="E125" s="336" t="s">
        <v>1096</v>
      </c>
      <c r="F125" s="336" t="s">
        <v>348</v>
      </c>
      <c r="G125" s="869"/>
      <c r="H125" s="869"/>
      <c r="I125" s="869"/>
      <c r="J125" s="870"/>
    </row>
    <row r="126" spans="1:10" ht="15.6">
      <c r="A126" s="865" t="s">
        <v>5884</v>
      </c>
      <c r="B126" s="713"/>
      <c r="C126" s="871">
        <f>IFERROR(COUNTIF(E121:E125,"Yes")/COUNTA(A121:A125),"")</f>
        <v>0</v>
      </c>
      <c r="D126" s="872"/>
      <c r="E126" s="866" t="s">
        <v>5855</v>
      </c>
      <c r="F126" s="866"/>
      <c r="G126" s="866"/>
      <c r="H126" s="866"/>
      <c r="I126" s="866"/>
      <c r="J126" s="867"/>
    </row>
    <row r="127" spans="1:10">
      <c r="A127" s="335"/>
      <c r="B127" s="320"/>
      <c r="C127" s="320"/>
      <c r="D127" s="320"/>
      <c r="E127" s="320"/>
      <c r="F127" s="320"/>
      <c r="G127" s="874"/>
      <c r="H127" s="874"/>
      <c r="I127" s="874"/>
      <c r="J127" s="875"/>
    </row>
    <row r="128" spans="1:10">
      <c r="A128" s="876" t="s">
        <v>5878</v>
      </c>
      <c r="B128" s="853"/>
      <c r="C128" s="853"/>
      <c r="D128" s="842"/>
      <c r="E128" s="853"/>
      <c r="F128" s="853"/>
      <c r="G128" s="842"/>
      <c r="H128" s="842"/>
      <c r="I128" s="842"/>
      <c r="J128" s="868"/>
    </row>
    <row r="129" spans="1:10">
      <c r="A129" s="326" t="s">
        <v>5813</v>
      </c>
      <c r="B129" s="326" t="s">
        <v>77</v>
      </c>
      <c r="C129" s="326" t="s">
        <v>5834</v>
      </c>
      <c r="D129" s="326" t="s">
        <v>5835</v>
      </c>
      <c r="E129" s="326" t="s">
        <v>5836</v>
      </c>
      <c r="F129" s="326" t="s">
        <v>5837</v>
      </c>
      <c r="G129" s="859" t="s">
        <v>5885</v>
      </c>
      <c r="H129" s="859"/>
      <c r="I129" s="859"/>
      <c r="J129" s="859"/>
    </row>
    <row r="130" spans="1:10">
      <c r="A130" s="332" t="s">
        <v>153</v>
      </c>
      <c r="B130" s="328" t="s">
        <v>484</v>
      </c>
      <c r="C130" s="328"/>
      <c r="D130" s="328"/>
      <c r="E130" s="328"/>
      <c r="F130" s="329" t="str">
        <f>IFERROR(D130/C130,"")</f>
        <v/>
      </c>
      <c r="G130" s="873"/>
      <c r="H130" s="873"/>
      <c r="I130" s="873"/>
      <c r="J130" s="873"/>
    </row>
    <row r="131" spans="1:10">
      <c r="A131" s="339" t="s">
        <v>155</v>
      </c>
      <c r="B131" s="336" t="s">
        <v>484</v>
      </c>
      <c r="C131" s="336"/>
      <c r="D131" s="336"/>
      <c r="E131" s="336"/>
      <c r="F131" s="331" t="str">
        <f>IFERROR(D131/C131,"")</f>
        <v/>
      </c>
      <c r="G131" s="873"/>
      <c r="H131" s="873"/>
      <c r="I131" s="873"/>
      <c r="J131" s="873"/>
    </row>
    <row r="132" spans="1:10">
      <c r="A132" s="332" t="s">
        <v>4821</v>
      </c>
      <c r="B132" s="328" t="s">
        <v>484</v>
      </c>
      <c r="C132" s="328"/>
      <c r="D132" s="328"/>
      <c r="E132" s="328"/>
      <c r="F132" s="329" t="str">
        <f>IFERROR(D132/C132,"")</f>
        <v/>
      </c>
      <c r="G132" s="873"/>
      <c r="H132" s="873"/>
      <c r="I132" s="873"/>
      <c r="J132" s="873"/>
    </row>
    <row r="133" spans="1:10">
      <c r="A133" s="339" t="s">
        <v>957</v>
      </c>
      <c r="B133" s="336" t="s">
        <v>484</v>
      </c>
      <c r="C133" s="336"/>
      <c r="D133" s="336"/>
      <c r="E133" s="336"/>
      <c r="F133" s="331" t="str">
        <f>IFERROR(D133/C133,"")</f>
        <v/>
      </c>
      <c r="G133" s="873"/>
      <c r="H133" s="873"/>
      <c r="I133" s="873"/>
      <c r="J133" s="873"/>
    </row>
    <row r="134" spans="1:10">
      <c r="A134" s="879" t="s">
        <v>5856</v>
      </c>
      <c r="B134" s="879"/>
      <c r="C134" s="879"/>
      <c r="D134" s="879"/>
      <c r="E134" s="866" t="s">
        <v>5857</v>
      </c>
      <c r="F134" s="866"/>
      <c r="G134" s="866"/>
      <c r="H134" s="866"/>
      <c r="I134" s="866"/>
      <c r="J134" s="866"/>
    </row>
    <row r="135" spans="1:10">
      <c r="A135" s="879"/>
      <c r="B135" s="879"/>
      <c r="C135" s="879"/>
      <c r="D135" s="879"/>
      <c r="E135" s="866"/>
      <c r="F135" s="866"/>
      <c r="G135" s="866"/>
      <c r="H135" s="866"/>
      <c r="I135" s="866"/>
      <c r="J135" s="866"/>
    </row>
    <row r="136" spans="1:10">
      <c r="A136" s="842" t="s">
        <v>5879</v>
      </c>
      <c r="B136" s="842"/>
      <c r="C136" s="842"/>
      <c r="D136" s="842"/>
      <c r="E136" s="842"/>
      <c r="F136" s="842"/>
      <c r="G136" s="842"/>
      <c r="H136" s="842"/>
      <c r="I136" s="842"/>
      <c r="J136" s="842"/>
    </row>
    <row r="137" spans="1:10">
      <c r="A137" s="326" t="s">
        <v>4946</v>
      </c>
      <c r="B137" s="326" t="s">
        <v>77</v>
      </c>
      <c r="C137" s="326" t="s">
        <v>5845</v>
      </c>
      <c r="D137" s="326" t="s">
        <v>482</v>
      </c>
      <c r="E137" s="326" t="s">
        <v>572</v>
      </c>
      <c r="F137" s="326" t="s">
        <v>944</v>
      </c>
      <c r="G137" s="859" t="s">
        <v>5847</v>
      </c>
      <c r="H137" s="859"/>
      <c r="I137" s="859"/>
      <c r="J137" s="859"/>
    </row>
    <row r="138" spans="1:10" ht="26.4">
      <c r="A138" s="332" t="s">
        <v>5814</v>
      </c>
      <c r="B138" s="328" t="s">
        <v>484</v>
      </c>
      <c r="C138" s="328" t="s">
        <v>392</v>
      </c>
      <c r="D138" s="328" t="s">
        <v>1096</v>
      </c>
      <c r="E138" s="328">
        <f t="shared" ref="E138:E143" si="1">IF(D138="Yes",1,0)</f>
        <v>0</v>
      </c>
      <c r="F138" s="328"/>
      <c r="G138" s="873"/>
      <c r="H138" s="873"/>
      <c r="I138" s="873"/>
      <c r="J138" s="873"/>
    </row>
    <row r="139" spans="1:10">
      <c r="A139" s="339" t="s">
        <v>5815</v>
      </c>
      <c r="B139" s="328" t="s">
        <v>484</v>
      </c>
      <c r="C139" s="336" t="s">
        <v>392</v>
      </c>
      <c r="D139" s="328" t="s">
        <v>1096</v>
      </c>
      <c r="E139" s="336">
        <f t="shared" si="1"/>
        <v>0</v>
      </c>
      <c r="F139" s="336"/>
      <c r="G139" s="873"/>
      <c r="H139" s="873"/>
      <c r="I139" s="873"/>
      <c r="J139" s="873"/>
    </row>
    <row r="140" spans="1:10" ht="26.4">
      <c r="A140" s="332" t="s">
        <v>5816</v>
      </c>
      <c r="B140" s="328" t="s">
        <v>484</v>
      </c>
      <c r="C140" s="328" t="s">
        <v>392</v>
      </c>
      <c r="D140" s="328" t="s">
        <v>1096</v>
      </c>
      <c r="E140" s="328">
        <f t="shared" si="1"/>
        <v>0</v>
      </c>
      <c r="F140" s="328"/>
      <c r="G140" s="873"/>
      <c r="H140" s="873"/>
      <c r="I140" s="873"/>
      <c r="J140" s="873"/>
    </row>
    <row r="141" spans="1:10">
      <c r="A141" s="339" t="s">
        <v>5838</v>
      </c>
      <c r="B141" s="328" t="s">
        <v>484</v>
      </c>
      <c r="C141" s="336" t="s">
        <v>392</v>
      </c>
      <c r="D141" s="328" t="s">
        <v>1096</v>
      </c>
      <c r="E141" s="336">
        <f t="shared" si="1"/>
        <v>0</v>
      </c>
      <c r="F141" s="336"/>
      <c r="G141" s="873"/>
      <c r="H141" s="873"/>
      <c r="I141" s="873"/>
      <c r="J141" s="873"/>
    </row>
    <row r="142" spans="1:10" ht="26.4">
      <c r="A142" s="332" t="s">
        <v>5839</v>
      </c>
      <c r="B142" s="328" t="s">
        <v>484</v>
      </c>
      <c r="C142" s="328" t="s">
        <v>392</v>
      </c>
      <c r="D142" s="328" t="s">
        <v>1096</v>
      </c>
      <c r="E142" s="328">
        <f t="shared" si="1"/>
        <v>0</v>
      </c>
      <c r="F142" s="328"/>
      <c r="G142" s="873"/>
      <c r="H142" s="873"/>
      <c r="I142" s="873"/>
      <c r="J142" s="873"/>
    </row>
    <row r="143" spans="1:10" ht="26.4">
      <c r="A143" s="339" t="s">
        <v>5840</v>
      </c>
      <c r="B143" s="328" t="s">
        <v>484</v>
      </c>
      <c r="C143" s="336" t="s">
        <v>392</v>
      </c>
      <c r="D143" s="336" t="s">
        <v>1096</v>
      </c>
      <c r="E143" s="336">
        <f t="shared" si="1"/>
        <v>0</v>
      </c>
      <c r="F143" s="336"/>
      <c r="G143" s="873"/>
      <c r="H143" s="873"/>
      <c r="I143" s="873"/>
      <c r="J143" s="873"/>
    </row>
    <row r="144" spans="1:10" ht="15.6">
      <c r="A144" s="880" t="s">
        <v>5858</v>
      </c>
      <c r="B144" s="713"/>
      <c r="C144" s="871">
        <f>IFERROR(SUM(E138:E143)/COUNTIF(C138:C143,"Yes"),"")</f>
        <v>0</v>
      </c>
      <c r="D144" s="872"/>
      <c r="E144" s="866" t="s">
        <v>5859</v>
      </c>
      <c r="F144" s="866"/>
      <c r="G144" s="866"/>
      <c r="H144" s="866"/>
      <c r="I144" s="866"/>
      <c r="J144" s="866"/>
    </row>
    <row r="145" spans="1:10">
      <c r="A145" s="196"/>
      <c r="B145" s="196"/>
      <c r="C145" s="196"/>
      <c r="D145" s="196"/>
      <c r="E145" s="196"/>
      <c r="F145" s="196"/>
      <c r="G145" s="196"/>
      <c r="H145" s="196"/>
      <c r="I145" s="196"/>
      <c r="J145" s="196"/>
    </row>
    <row r="146" spans="1:10">
      <c r="A146" s="842" t="s">
        <v>5880</v>
      </c>
      <c r="B146" s="853"/>
      <c r="C146" s="853"/>
      <c r="D146" s="321"/>
      <c r="E146" s="321"/>
      <c r="F146" s="321"/>
      <c r="G146" s="321"/>
      <c r="H146" s="321"/>
      <c r="I146" s="321"/>
      <c r="J146" s="321"/>
    </row>
    <row r="147" spans="1:10" ht="55.2">
      <c r="A147" s="322" t="s">
        <v>905</v>
      </c>
      <c r="B147" s="322" t="s">
        <v>830</v>
      </c>
      <c r="C147" s="322"/>
      <c r="D147" s="322"/>
      <c r="E147" s="322"/>
      <c r="F147" s="322"/>
      <c r="G147" s="322"/>
      <c r="H147" s="322"/>
      <c r="I147" s="322"/>
      <c r="J147" s="322"/>
    </row>
    <row r="148" spans="1:10">
      <c r="A148" s="319" t="s">
        <v>1086</v>
      </c>
      <c r="B148" s="852" t="s">
        <v>3292</v>
      </c>
      <c r="C148" s="853"/>
      <c r="D148" s="853"/>
      <c r="E148" s="853"/>
      <c r="F148" s="853"/>
      <c r="G148" s="853"/>
      <c r="H148" s="853"/>
      <c r="I148" s="853"/>
      <c r="J148" s="853"/>
    </row>
    <row r="149" spans="1:10" ht="27.6">
      <c r="A149" s="319" t="s">
        <v>2090</v>
      </c>
      <c r="B149" s="852" t="s">
        <v>3293</v>
      </c>
      <c r="C149" s="853"/>
      <c r="D149" s="853"/>
      <c r="E149" s="853"/>
      <c r="F149" s="853"/>
      <c r="G149" s="853"/>
      <c r="H149" s="853"/>
      <c r="I149" s="853"/>
      <c r="J149" s="853"/>
    </row>
    <row r="150" spans="1:10">
      <c r="A150" s="319" t="s">
        <v>1089</v>
      </c>
      <c r="B150" s="852" t="s">
        <v>3294</v>
      </c>
      <c r="C150" s="853"/>
      <c r="D150" s="853"/>
      <c r="E150" s="853"/>
      <c r="F150" s="853"/>
      <c r="G150" s="853"/>
      <c r="H150" s="853"/>
      <c r="I150" s="853"/>
      <c r="J150" s="853"/>
    </row>
    <row r="151" spans="1:10">
      <c r="A151" s="319" t="s">
        <v>1090</v>
      </c>
      <c r="B151" s="852" t="s">
        <v>3295</v>
      </c>
      <c r="C151" s="853"/>
      <c r="D151" s="853"/>
      <c r="E151" s="853"/>
      <c r="F151" s="853"/>
      <c r="G151" s="853"/>
      <c r="H151" s="853"/>
      <c r="I151" s="853"/>
      <c r="J151" s="853"/>
    </row>
    <row r="152" spans="1:10">
      <c r="A152" s="319" t="s">
        <v>1088</v>
      </c>
      <c r="B152" s="852" t="s">
        <v>3296</v>
      </c>
      <c r="C152" s="853"/>
      <c r="D152" s="853"/>
      <c r="E152" s="853"/>
      <c r="F152" s="853"/>
      <c r="G152" s="853"/>
      <c r="H152" s="853"/>
      <c r="I152" s="853"/>
      <c r="J152" s="853"/>
    </row>
    <row r="153" spans="1:10" ht="27.6">
      <c r="A153" s="319" t="s">
        <v>3297</v>
      </c>
      <c r="B153" s="852" t="s">
        <v>3298</v>
      </c>
      <c r="C153" s="853"/>
      <c r="D153" s="853"/>
      <c r="E153" s="853"/>
      <c r="F153" s="853"/>
      <c r="G153" s="853"/>
      <c r="H153" s="853"/>
      <c r="I153" s="853"/>
      <c r="J153" s="853"/>
    </row>
    <row r="154" spans="1:10">
      <c r="A154" s="319" t="s">
        <v>1563</v>
      </c>
      <c r="B154" s="852" t="s">
        <v>1776</v>
      </c>
      <c r="C154" s="853"/>
      <c r="D154" s="853"/>
      <c r="E154" s="853"/>
      <c r="F154" s="853"/>
      <c r="G154" s="853"/>
      <c r="H154" s="853"/>
      <c r="I154" s="853"/>
      <c r="J154" s="853"/>
    </row>
    <row r="155" spans="1:10">
      <c r="A155" s="231"/>
      <c r="B155" s="231"/>
      <c r="C155" s="231"/>
      <c r="D155" s="231"/>
      <c r="E155" s="231"/>
      <c r="F155" s="231"/>
      <c r="G155" s="231"/>
      <c r="H155" s="231"/>
      <c r="I155" s="231"/>
      <c r="J155" s="231"/>
    </row>
    <row r="156" spans="1:10" ht="17.399999999999999">
      <c r="A156" s="827" t="s">
        <v>5769</v>
      </c>
      <c r="B156" s="827"/>
      <c r="C156" s="827"/>
      <c r="D156" s="827"/>
      <c r="E156" s="827"/>
      <c r="F156" s="827"/>
      <c r="G156" s="827"/>
      <c r="H156" s="827"/>
      <c r="I156" s="231"/>
      <c r="J156" s="231"/>
    </row>
    <row r="157" spans="1:10">
      <c r="A157" s="276" t="s">
        <v>2</v>
      </c>
      <c r="B157" s="828" t="s">
        <v>5770</v>
      </c>
      <c r="C157" s="828"/>
      <c r="D157" s="828"/>
      <c r="E157" s="828"/>
      <c r="F157" s="828"/>
      <c r="G157" s="828"/>
      <c r="H157" s="828"/>
      <c r="I157" s="231"/>
      <c r="J157" s="231"/>
    </row>
    <row r="158" spans="1:10">
      <c r="A158" s="276" t="s">
        <v>5771</v>
      </c>
      <c r="B158" s="828" t="s">
        <v>5772</v>
      </c>
      <c r="C158" s="828"/>
      <c r="D158" s="828"/>
      <c r="E158" s="828"/>
      <c r="F158" s="828"/>
      <c r="G158" s="828"/>
      <c r="H158" s="828"/>
      <c r="I158" s="231"/>
      <c r="J158" s="231"/>
    </row>
    <row r="159" spans="1:10">
      <c r="A159" s="196"/>
      <c r="B159" s="196"/>
      <c r="C159" s="196"/>
      <c r="D159" s="196"/>
      <c r="E159" s="196"/>
      <c r="F159" s="196"/>
      <c r="G159" s="196"/>
      <c r="H159" s="196"/>
      <c r="I159" s="231"/>
      <c r="J159" s="231"/>
    </row>
    <row r="160" spans="1:10">
      <c r="A160" s="323" t="s">
        <v>4946</v>
      </c>
      <c r="B160" s="323" t="s">
        <v>77</v>
      </c>
      <c r="C160" s="323" t="s">
        <v>5773</v>
      </c>
      <c r="D160" s="323" t="s">
        <v>263</v>
      </c>
      <c r="E160" s="323" t="s">
        <v>216</v>
      </c>
      <c r="F160" s="323" t="s">
        <v>5774</v>
      </c>
      <c r="G160" s="323" t="s">
        <v>5775</v>
      </c>
      <c r="H160" s="323" t="s">
        <v>5776</v>
      </c>
      <c r="I160" s="231"/>
      <c r="J160" s="231"/>
    </row>
    <row r="161" spans="1:10" ht="26.4">
      <c r="A161" s="277" t="s">
        <v>5777</v>
      </c>
      <c r="B161" s="278" t="s">
        <v>1096</v>
      </c>
      <c r="C161" s="277"/>
      <c r="D161" s="277"/>
      <c r="E161" s="277"/>
      <c r="F161" s="277"/>
      <c r="G161" s="279" t="str">
        <f t="shared" ref="G161:G168" si="2">IF(OR(B161="Yes",B161="N/A"),"🟢","🟡")</f>
        <v>🟡</v>
      </c>
      <c r="H161" s="277"/>
      <c r="I161" s="231"/>
      <c r="J161" s="231"/>
    </row>
    <row r="162" spans="1:10">
      <c r="A162" s="277" t="s">
        <v>5778</v>
      </c>
      <c r="B162" s="278" t="s">
        <v>1096</v>
      </c>
      <c r="C162" s="277"/>
      <c r="D162" s="277"/>
      <c r="E162" s="277"/>
      <c r="F162" s="277"/>
      <c r="G162" s="279" t="str">
        <f t="shared" si="2"/>
        <v>🟡</v>
      </c>
      <c r="H162" s="277"/>
      <c r="I162" s="231"/>
      <c r="J162" s="231"/>
    </row>
    <row r="163" spans="1:10">
      <c r="A163" s="277" t="s">
        <v>5779</v>
      </c>
      <c r="B163" s="278" t="s">
        <v>1096</v>
      </c>
      <c r="C163" s="277"/>
      <c r="D163" s="277"/>
      <c r="E163" s="277"/>
      <c r="F163" s="277"/>
      <c r="G163" s="279" t="str">
        <f t="shared" si="2"/>
        <v>🟡</v>
      </c>
      <c r="H163" s="277"/>
      <c r="I163" s="231"/>
      <c r="J163" s="231"/>
    </row>
    <row r="164" spans="1:10">
      <c r="A164" s="277" t="s">
        <v>5168</v>
      </c>
      <c r="B164" s="278" t="s">
        <v>1096</v>
      </c>
      <c r="C164" s="277"/>
      <c r="D164" s="277"/>
      <c r="E164" s="277"/>
      <c r="F164" s="277"/>
      <c r="G164" s="279" t="str">
        <f t="shared" si="2"/>
        <v>🟡</v>
      </c>
      <c r="H164" s="277"/>
      <c r="I164" s="231"/>
      <c r="J164" s="231"/>
    </row>
    <row r="165" spans="1:10">
      <c r="A165" s="277" t="s">
        <v>5780</v>
      </c>
      <c r="B165" s="278" t="s">
        <v>1096</v>
      </c>
      <c r="C165" s="277"/>
      <c r="D165" s="277"/>
      <c r="E165" s="277"/>
      <c r="F165" s="277"/>
      <c r="G165" s="279" t="str">
        <f t="shared" si="2"/>
        <v>🟡</v>
      </c>
      <c r="H165" s="277"/>
      <c r="I165" s="231"/>
      <c r="J165" s="231"/>
    </row>
    <row r="166" spans="1:10">
      <c r="A166" s="277" t="s">
        <v>5781</v>
      </c>
      <c r="B166" s="278" t="s">
        <v>1096</v>
      </c>
      <c r="C166" s="277"/>
      <c r="D166" s="277"/>
      <c r="E166" s="277"/>
      <c r="F166" s="277"/>
      <c r="G166" s="279" t="str">
        <f t="shared" si="2"/>
        <v>🟡</v>
      </c>
      <c r="H166" s="277"/>
      <c r="I166" s="231"/>
      <c r="J166" s="231"/>
    </row>
    <row r="167" spans="1:10">
      <c r="A167" s="277" t="s">
        <v>178</v>
      </c>
      <c r="B167" s="278" t="s">
        <v>1096</v>
      </c>
      <c r="C167" s="277"/>
      <c r="D167" s="277"/>
      <c r="E167" s="277"/>
      <c r="F167" s="277"/>
      <c r="G167" s="279" t="str">
        <f t="shared" si="2"/>
        <v>🟡</v>
      </c>
      <c r="H167" s="277"/>
      <c r="I167" s="231"/>
      <c r="J167" s="231"/>
    </row>
    <row r="168" spans="1:10" ht="26.4">
      <c r="A168" s="277" t="s">
        <v>5782</v>
      </c>
      <c r="B168" s="278" t="s">
        <v>1096</v>
      </c>
      <c r="C168" s="277"/>
      <c r="D168" s="277"/>
      <c r="E168" s="277"/>
      <c r="F168" s="277"/>
      <c r="G168" s="279" t="str">
        <f t="shared" si="2"/>
        <v>🟡</v>
      </c>
      <c r="H168" s="277"/>
      <c r="I168" s="231"/>
      <c r="J168" s="231"/>
    </row>
    <row r="169" spans="1:10">
      <c r="A169" s="324" t="s">
        <v>4946</v>
      </c>
      <c r="B169" s="324" t="s">
        <v>5790</v>
      </c>
      <c r="C169" s="196"/>
      <c r="D169" s="196"/>
      <c r="E169" s="324" t="s">
        <v>5791</v>
      </c>
      <c r="F169" s="196"/>
      <c r="G169" s="196"/>
      <c r="H169" s="196"/>
      <c r="I169" s="231"/>
      <c r="J169" s="231"/>
    </row>
    <row r="170" spans="1:10" ht="26.4">
      <c r="A170" s="291" t="s">
        <v>5777</v>
      </c>
      <c r="B170" s="768" t="s">
        <v>5792</v>
      </c>
      <c r="C170" s="768"/>
      <c r="D170" s="768"/>
      <c r="E170" s="768" t="s">
        <v>5793</v>
      </c>
      <c r="F170" s="768"/>
      <c r="G170" s="768"/>
      <c r="H170" s="196"/>
      <c r="I170" s="231"/>
      <c r="J170" s="231"/>
    </row>
    <row r="171" spans="1:10">
      <c r="A171" s="291" t="s">
        <v>5778</v>
      </c>
      <c r="B171" s="768" t="s">
        <v>5794</v>
      </c>
      <c r="C171" s="768"/>
      <c r="D171" s="768"/>
      <c r="E171" s="768" t="s">
        <v>5795</v>
      </c>
      <c r="F171" s="768"/>
      <c r="G171" s="768"/>
      <c r="H171" s="196"/>
      <c r="I171" s="231"/>
      <c r="J171" s="231"/>
    </row>
    <row r="172" spans="1:10">
      <c r="A172" s="291" t="s">
        <v>5779</v>
      </c>
      <c r="B172" s="768" t="s">
        <v>5796</v>
      </c>
      <c r="C172" s="768"/>
      <c r="D172" s="768"/>
      <c r="E172" s="768" t="s">
        <v>5797</v>
      </c>
      <c r="F172" s="768"/>
      <c r="G172" s="768"/>
      <c r="H172" s="196"/>
      <c r="I172" s="231"/>
      <c r="J172" s="231"/>
    </row>
    <row r="173" spans="1:10">
      <c r="A173" s="291" t="s">
        <v>5168</v>
      </c>
      <c r="B173" s="768" t="s">
        <v>5798</v>
      </c>
      <c r="C173" s="768"/>
      <c r="D173" s="768"/>
      <c r="E173" s="768" t="s">
        <v>5799</v>
      </c>
      <c r="F173" s="768"/>
      <c r="G173" s="768"/>
      <c r="H173" s="196"/>
      <c r="I173" s="231"/>
      <c r="J173" s="231"/>
    </row>
    <row r="174" spans="1:10">
      <c r="A174" s="291" t="s">
        <v>5780</v>
      </c>
      <c r="B174" s="768" t="s">
        <v>5800</v>
      </c>
      <c r="C174" s="768"/>
      <c r="D174" s="768"/>
      <c r="E174" s="768" t="s">
        <v>5801</v>
      </c>
      <c r="F174" s="768"/>
      <c r="G174" s="768"/>
      <c r="H174" s="196"/>
      <c r="I174" s="231"/>
      <c r="J174" s="231"/>
    </row>
    <row r="175" spans="1:10">
      <c r="A175" s="291" t="s">
        <v>5781</v>
      </c>
      <c r="B175" s="768" t="s">
        <v>5802</v>
      </c>
      <c r="C175" s="768"/>
      <c r="D175" s="768"/>
      <c r="E175" s="768" t="s">
        <v>5803</v>
      </c>
      <c r="F175" s="768"/>
      <c r="G175" s="768"/>
      <c r="H175" s="196"/>
      <c r="I175" s="231"/>
      <c r="J175" s="231"/>
    </row>
    <row r="176" spans="1:10">
      <c r="A176" s="291" t="s">
        <v>178</v>
      </c>
      <c r="B176" s="768" t="s">
        <v>5804</v>
      </c>
      <c r="C176" s="768"/>
      <c r="D176" s="768"/>
      <c r="E176" s="768" t="s">
        <v>5805</v>
      </c>
      <c r="F176" s="768"/>
      <c r="G176" s="768"/>
      <c r="H176" s="196"/>
      <c r="I176" s="231"/>
      <c r="J176" s="231"/>
    </row>
    <row r="177" spans="1:10" ht="26.4">
      <c r="A177" s="291" t="s">
        <v>5782</v>
      </c>
      <c r="B177" s="768" t="s">
        <v>5806</v>
      </c>
      <c r="C177" s="768"/>
      <c r="D177" s="768"/>
      <c r="E177" s="768" t="s">
        <v>5807</v>
      </c>
      <c r="F177" s="768"/>
      <c r="G177" s="768"/>
      <c r="H177" s="196"/>
      <c r="I177" s="231"/>
      <c r="J177" s="231"/>
    </row>
    <row r="178" spans="1:10">
      <c r="A178" s="276" t="s">
        <v>5783</v>
      </c>
      <c r="B178" s="280" t="str">
        <f>IF(COUNTIF(B161:B168,"No")=0,"🟢 PILOT COMPLETE / ACCEPTANCE READY","🟡 NOT COMPLETE — ACCEPTANCE GATES OPEN")</f>
        <v>🟡 NOT COMPLETE — ACCEPTANCE GATES OPEN</v>
      </c>
      <c r="C178" s="280"/>
      <c r="D178" s="280"/>
      <c r="E178" s="280"/>
      <c r="F178" s="280"/>
      <c r="G178" s="280"/>
      <c r="H178" s="280"/>
    </row>
    <row r="179" spans="1:10">
      <c r="A179" s="276" t="s">
        <v>5784</v>
      </c>
      <c r="B179" s="280">
        <f>COUNTIF(B161:B168,"No")</f>
        <v>8</v>
      </c>
      <c r="C179" s="280"/>
      <c r="D179" s="280"/>
      <c r="E179" s="280"/>
      <c r="F179" s="280"/>
      <c r="G179" s="280"/>
      <c r="H179" s="280"/>
    </row>
    <row r="180" spans="1:10">
      <c r="A180" s="276" t="s">
        <v>5785</v>
      </c>
      <c r="B180" s="280" t="str">
        <f>COUNTIF(B161:B168,"Yes")&amp;" / 8 Complete"</f>
        <v>0 / 8 Complete</v>
      </c>
      <c r="C180" s="280"/>
      <c r="D180" s="280"/>
      <c r="E180" s="280"/>
      <c r="F180" s="280"/>
      <c r="G180" s="280"/>
      <c r="H180" s="280"/>
    </row>
    <row r="181" spans="1:10" ht="93">
      <c r="A181" s="281" t="s">
        <v>5786</v>
      </c>
      <c r="B181" s="282" t="s">
        <v>5787</v>
      </c>
      <c r="C181" s="282"/>
      <c r="D181" s="282"/>
      <c r="E181" s="282"/>
      <c r="F181" s="282"/>
      <c r="G181" s="282"/>
      <c r="H181" s="282"/>
    </row>
    <row r="182" spans="1:10">
      <c r="A182" s="281"/>
      <c r="B182" s="282"/>
      <c r="C182" s="282"/>
      <c r="D182" s="282"/>
      <c r="E182" s="282"/>
      <c r="F182" s="282"/>
      <c r="G182" s="282"/>
      <c r="H182" s="282"/>
    </row>
    <row r="183" spans="1:10" ht="66.599999999999994">
      <c r="A183" s="281" t="s">
        <v>5788</v>
      </c>
      <c r="B183" s="282" t="s">
        <v>5789</v>
      </c>
      <c r="C183" s="282"/>
      <c r="D183" s="282"/>
      <c r="E183" s="282"/>
      <c r="F183" s="282"/>
      <c r="G183" s="282"/>
      <c r="H183" s="282"/>
    </row>
    <row r="184" spans="1:10">
      <c r="A184" s="842" t="s">
        <v>5901</v>
      </c>
      <c r="B184" s="842"/>
      <c r="C184" s="842"/>
      <c r="D184" s="842"/>
      <c r="E184" s="842"/>
      <c r="F184" s="842"/>
      <c r="G184" s="842"/>
      <c r="H184" s="842"/>
      <c r="I184" s="842"/>
      <c r="J184" s="842"/>
    </row>
    <row r="185" spans="1:10">
      <c r="A185" s="340" t="s">
        <v>5886</v>
      </c>
      <c r="B185" s="196"/>
      <c r="C185" s="196"/>
      <c r="D185" s="196"/>
      <c r="E185" s="196"/>
      <c r="F185" s="196"/>
      <c r="G185" s="196"/>
      <c r="H185" s="196"/>
      <c r="I185" s="196"/>
      <c r="J185" s="196"/>
    </row>
    <row r="186" spans="1:10">
      <c r="A186" s="196"/>
      <c r="B186" s="196"/>
      <c r="C186" s="196"/>
      <c r="D186" s="196"/>
      <c r="E186" s="196"/>
      <c r="F186" s="196"/>
      <c r="G186" s="196"/>
      <c r="H186" s="196"/>
      <c r="I186" s="196"/>
      <c r="J186" s="196"/>
    </row>
    <row r="187" spans="1:10">
      <c r="A187" s="196" t="s">
        <v>5887</v>
      </c>
      <c r="B187" s="196"/>
      <c r="C187" s="196"/>
      <c r="D187" s="196"/>
      <c r="E187" s="196"/>
      <c r="F187" s="196"/>
      <c r="G187" s="196"/>
      <c r="H187" s="196"/>
      <c r="I187" s="196"/>
      <c r="J187" s="196"/>
    </row>
    <row r="188" spans="1:10">
      <c r="A188" s="196"/>
      <c r="B188" s="196"/>
      <c r="C188" s="196"/>
      <c r="D188" s="196"/>
      <c r="E188" s="196"/>
      <c r="F188" s="196"/>
      <c r="G188" s="196"/>
      <c r="H188" s="196"/>
      <c r="I188" s="196"/>
      <c r="J188" s="196"/>
    </row>
    <row r="189" spans="1:10">
      <c r="A189" s="196" t="s">
        <v>5888</v>
      </c>
      <c r="B189" s="196"/>
      <c r="C189" s="196"/>
      <c r="D189" s="196"/>
      <c r="E189" s="196"/>
      <c r="F189" s="196"/>
      <c r="G189" s="196"/>
      <c r="H189" s="196"/>
      <c r="I189" s="196"/>
      <c r="J189" s="196"/>
    </row>
    <row r="190" spans="1:10">
      <c r="A190" s="196"/>
      <c r="B190" s="196"/>
      <c r="C190" s="196"/>
      <c r="D190" s="196"/>
      <c r="E190" s="196"/>
      <c r="F190" s="196"/>
      <c r="G190" s="196"/>
      <c r="H190" s="196"/>
      <c r="I190" s="196"/>
      <c r="J190" s="196"/>
    </row>
    <row r="191" spans="1:10">
      <c r="A191" s="196" t="s">
        <v>5889</v>
      </c>
      <c r="B191" s="196"/>
      <c r="C191" s="196"/>
      <c r="D191" s="196"/>
      <c r="E191" s="196"/>
      <c r="F191" s="196"/>
      <c r="G191" s="196"/>
      <c r="H191" s="196"/>
      <c r="I191" s="196"/>
      <c r="J191" s="196"/>
    </row>
    <row r="192" spans="1:10">
      <c r="A192" s="196"/>
      <c r="B192" s="196"/>
      <c r="C192" s="196"/>
      <c r="D192" s="196"/>
      <c r="E192" s="196"/>
      <c r="F192" s="196"/>
      <c r="G192" s="196"/>
      <c r="H192" s="196"/>
      <c r="I192" s="196"/>
      <c r="J192" s="196"/>
    </row>
    <row r="193" spans="1:10">
      <c r="A193" s="196"/>
      <c r="B193" s="196"/>
      <c r="C193" s="196"/>
      <c r="D193" s="196"/>
      <c r="E193" s="196"/>
      <c r="F193" s="196"/>
      <c r="G193" s="196"/>
      <c r="H193" s="196"/>
      <c r="I193" s="196"/>
      <c r="J193" s="196"/>
    </row>
    <row r="194" spans="1:10">
      <c r="A194" s="196"/>
      <c r="B194" s="196"/>
      <c r="C194" s="196"/>
      <c r="D194" s="196"/>
      <c r="E194" s="196"/>
      <c r="F194" s="196"/>
      <c r="G194" s="196"/>
      <c r="H194" s="196"/>
      <c r="I194" s="196"/>
      <c r="J194" s="196"/>
    </row>
    <row r="195" spans="1:10">
      <c r="A195" s="842" t="s">
        <v>5902</v>
      </c>
      <c r="B195" s="842"/>
      <c r="C195" s="842"/>
      <c r="D195" s="842"/>
      <c r="E195" s="842"/>
      <c r="F195" s="842"/>
      <c r="G195" s="842"/>
      <c r="H195" s="842"/>
      <c r="I195" s="842"/>
      <c r="J195" s="842"/>
    </row>
    <row r="196" spans="1:10">
      <c r="A196" s="196"/>
      <c r="B196" s="196"/>
      <c r="C196" s="196"/>
      <c r="D196" s="196"/>
      <c r="E196" s="196"/>
      <c r="F196" s="196"/>
      <c r="G196" s="196"/>
      <c r="H196" s="196"/>
      <c r="I196" s="196"/>
      <c r="J196" s="196"/>
    </row>
    <row r="197" spans="1:10">
      <c r="A197" s="196" t="s">
        <v>5890</v>
      </c>
      <c r="B197" s="196"/>
      <c r="C197" s="196"/>
      <c r="D197" s="196"/>
      <c r="E197" s="196"/>
      <c r="F197" s="196"/>
      <c r="G197" s="196"/>
      <c r="H197" s="196"/>
      <c r="I197" s="196"/>
      <c r="J197" s="196"/>
    </row>
    <row r="198" spans="1:10">
      <c r="A198" s="196"/>
      <c r="B198" s="196"/>
      <c r="C198" s="196"/>
      <c r="D198" s="196"/>
      <c r="E198" s="196"/>
      <c r="F198" s="196"/>
      <c r="G198" s="196"/>
      <c r="H198" s="196"/>
      <c r="I198" s="196"/>
      <c r="J198" s="196"/>
    </row>
    <row r="199" spans="1:10">
      <c r="A199" s="196" t="s">
        <v>5891</v>
      </c>
      <c r="B199" s="196"/>
      <c r="C199" s="196"/>
      <c r="D199" s="196"/>
      <c r="E199" s="196"/>
      <c r="F199" s="196"/>
      <c r="G199" s="196"/>
      <c r="H199" s="196"/>
      <c r="I199" s="196"/>
      <c r="J199" s="196"/>
    </row>
    <row r="200" spans="1:10">
      <c r="A200" s="196"/>
      <c r="B200" s="196"/>
      <c r="C200" s="196"/>
      <c r="D200" s="196"/>
      <c r="E200" s="196"/>
      <c r="F200" s="196"/>
      <c r="G200" s="196"/>
      <c r="H200" s="196"/>
      <c r="I200" s="196"/>
      <c r="J200" s="196"/>
    </row>
    <row r="201" spans="1:10">
      <c r="A201" s="196" t="s">
        <v>5892</v>
      </c>
      <c r="B201" s="196"/>
      <c r="C201" s="196"/>
      <c r="D201" s="196"/>
      <c r="E201" s="196"/>
      <c r="F201" s="196"/>
      <c r="G201" s="196"/>
      <c r="H201" s="196"/>
      <c r="I201" s="196"/>
      <c r="J201" s="196"/>
    </row>
    <row r="202" spans="1:10">
      <c r="A202" s="196"/>
      <c r="B202" s="196"/>
      <c r="C202" s="196"/>
      <c r="D202" s="196"/>
      <c r="E202" s="196"/>
      <c r="F202" s="196"/>
      <c r="G202" s="196"/>
      <c r="H202" s="196"/>
      <c r="I202" s="196"/>
      <c r="J202" s="196"/>
    </row>
    <row r="203" spans="1:10">
      <c r="A203" s="196"/>
      <c r="B203" s="196"/>
      <c r="C203" s="196"/>
      <c r="D203" s="196"/>
      <c r="E203" s="196"/>
      <c r="F203" s="196"/>
      <c r="G203" s="196"/>
      <c r="H203" s="196"/>
      <c r="I203" s="196"/>
      <c r="J203" s="196"/>
    </row>
    <row r="204" spans="1:10">
      <c r="A204" s="196"/>
      <c r="B204" s="196"/>
      <c r="C204" s="196"/>
      <c r="D204" s="196"/>
      <c r="E204" s="196"/>
      <c r="F204" s="196"/>
      <c r="G204" s="196"/>
      <c r="H204" s="196"/>
      <c r="I204" s="196"/>
      <c r="J204" s="196"/>
    </row>
    <row r="205" spans="1:10">
      <c r="A205" s="842" t="s">
        <v>5903</v>
      </c>
      <c r="B205" s="842"/>
      <c r="C205" s="842"/>
      <c r="D205" s="842"/>
      <c r="E205" s="842"/>
      <c r="F205" s="842"/>
      <c r="G205" s="842"/>
      <c r="H205" s="842"/>
      <c r="I205" s="842"/>
      <c r="J205" s="842"/>
    </row>
    <row r="206" spans="1:10">
      <c r="A206" s="196"/>
      <c r="B206" s="196"/>
      <c r="C206" s="196"/>
      <c r="D206" s="196"/>
      <c r="E206" s="196"/>
      <c r="F206" s="196"/>
      <c r="G206" s="196"/>
      <c r="H206" s="196"/>
      <c r="I206" s="196"/>
      <c r="J206" s="196"/>
    </row>
    <row r="207" spans="1:10">
      <c r="A207" s="196" t="s">
        <v>5893</v>
      </c>
      <c r="B207" s="196"/>
      <c r="C207" s="196"/>
      <c r="D207" s="196"/>
      <c r="E207" s="196"/>
      <c r="F207" s="196"/>
      <c r="G207" s="196"/>
      <c r="H207" s="196"/>
      <c r="I207" s="196"/>
      <c r="J207" s="196"/>
    </row>
    <row r="208" spans="1:10">
      <c r="A208" s="196"/>
      <c r="B208" s="196"/>
      <c r="C208" s="196"/>
      <c r="D208" s="196"/>
      <c r="E208" s="196"/>
      <c r="F208" s="196"/>
      <c r="G208" s="196"/>
      <c r="H208" s="196"/>
      <c r="I208" s="196"/>
      <c r="J208" s="196"/>
    </row>
    <row r="209" spans="1:10">
      <c r="A209" s="196" t="s">
        <v>5894</v>
      </c>
      <c r="B209" s="196"/>
      <c r="C209" s="196"/>
      <c r="D209" s="196"/>
      <c r="E209" s="196"/>
      <c r="F209" s="196"/>
      <c r="G209" s="196"/>
      <c r="H209" s="196"/>
      <c r="I209" s="196"/>
      <c r="J209" s="196"/>
    </row>
    <row r="210" spans="1:10">
      <c r="A210" s="196"/>
      <c r="B210" s="196"/>
      <c r="C210" s="196"/>
      <c r="D210" s="196"/>
      <c r="E210" s="196"/>
      <c r="F210" s="196"/>
      <c r="G210" s="196"/>
      <c r="H210" s="196"/>
      <c r="I210" s="196"/>
      <c r="J210" s="196"/>
    </row>
    <row r="211" spans="1:10">
      <c r="A211" s="196" t="s">
        <v>5895</v>
      </c>
      <c r="B211" s="196"/>
      <c r="C211" s="196"/>
      <c r="D211" s="196"/>
      <c r="E211" s="196"/>
      <c r="F211" s="196"/>
      <c r="G211" s="196"/>
      <c r="H211" s="196"/>
      <c r="I211" s="196"/>
      <c r="J211" s="196"/>
    </row>
    <row r="212" spans="1:10">
      <c r="A212" s="196"/>
      <c r="B212" s="196"/>
      <c r="C212" s="196"/>
      <c r="D212" s="196"/>
      <c r="E212" s="196"/>
      <c r="F212" s="196"/>
      <c r="G212" s="196"/>
      <c r="H212" s="196"/>
      <c r="I212" s="196"/>
      <c r="J212" s="196"/>
    </row>
    <row r="213" spans="1:10">
      <c r="A213" s="196" t="s">
        <v>5896</v>
      </c>
      <c r="B213" s="196"/>
      <c r="C213" s="196"/>
      <c r="D213" s="196"/>
      <c r="E213" s="196"/>
      <c r="F213" s="196"/>
      <c r="G213" s="196"/>
      <c r="H213" s="196"/>
      <c r="I213" s="196"/>
      <c r="J213" s="196"/>
    </row>
    <row r="214" spans="1:10">
      <c r="A214" s="196"/>
      <c r="B214" s="196"/>
      <c r="C214" s="196"/>
      <c r="D214" s="196"/>
      <c r="E214" s="196"/>
      <c r="F214" s="196"/>
      <c r="G214" s="196"/>
      <c r="H214" s="196"/>
      <c r="I214" s="196"/>
      <c r="J214" s="196"/>
    </row>
    <row r="215" spans="1:10">
      <c r="A215" s="196"/>
      <c r="B215" s="196"/>
      <c r="C215" s="196"/>
      <c r="D215" s="196"/>
      <c r="E215" s="196"/>
      <c r="F215" s="196"/>
      <c r="G215" s="196"/>
      <c r="H215" s="196"/>
      <c r="I215" s="196"/>
      <c r="J215" s="196"/>
    </row>
    <row r="216" spans="1:10">
      <c r="A216" s="196"/>
      <c r="B216" s="196"/>
      <c r="C216" s="196"/>
      <c r="D216" s="196"/>
      <c r="E216" s="196"/>
      <c r="F216" s="196"/>
      <c r="G216" s="196"/>
      <c r="H216" s="196"/>
      <c r="I216" s="196"/>
      <c r="J216" s="196"/>
    </row>
    <row r="217" spans="1:10">
      <c r="A217" s="842" t="s">
        <v>5904</v>
      </c>
      <c r="B217" s="842"/>
      <c r="C217" s="842"/>
      <c r="D217" s="842"/>
      <c r="E217" s="842"/>
      <c r="F217" s="842"/>
      <c r="G217" s="842"/>
      <c r="H217" s="842"/>
      <c r="I217" s="842"/>
      <c r="J217" s="842"/>
    </row>
    <row r="218" spans="1:10">
      <c r="A218" s="196"/>
      <c r="B218" s="196"/>
      <c r="C218" s="196"/>
      <c r="D218" s="196"/>
      <c r="E218" s="196"/>
      <c r="F218" s="196"/>
      <c r="G218" s="196"/>
      <c r="H218" s="196"/>
      <c r="I218" s="196"/>
      <c r="J218" s="196"/>
    </row>
    <row r="219" spans="1:10">
      <c r="A219" s="196" t="s">
        <v>5897</v>
      </c>
      <c r="B219" s="196"/>
      <c r="C219" s="196"/>
      <c r="D219" s="196"/>
      <c r="E219" s="196"/>
      <c r="F219" s="196"/>
      <c r="G219" s="196"/>
      <c r="H219" s="196"/>
      <c r="I219" s="196"/>
      <c r="J219" s="196"/>
    </row>
    <row r="220" spans="1:10">
      <c r="A220" s="196"/>
      <c r="B220" s="196"/>
      <c r="C220" s="196"/>
      <c r="D220" s="196"/>
      <c r="E220" s="196"/>
      <c r="F220" s="196"/>
      <c r="G220" s="196"/>
      <c r="H220" s="196"/>
      <c r="I220" s="196"/>
      <c r="J220" s="196"/>
    </row>
    <row r="221" spans="1:10">
      <c r="A221" s="196" t="s">
        <v>5898</v>
      </c>
      <c r="B221" s="196"/>
      <c r="C221" s="196"/>
      <c r="D221" s="196"/>
      <c r="E221" s="196"/>
      <c r="F221" s="196"/>
      <c r="G221" s="196"/>
      <c r="H221" s="196"/>
      <c r="I221" s="196"/>
      <c r="J221" s="196"/>
    </row>
    <row r="222" spans="1:10">
      <c r="A222" s="196"/>
      <c r="B222" s="196"/>
      <c r="C222" s="196"/>
      <c r="D222" s="196"/>
      <c r="E222" s="196"/>
      <c r="F222" s="196"/>
      <c r="G222" s="196"/>
      <c r="H222" s="196"/>
      <c r="I222" s="196"/>
      <c r="J222" s="196"/>
    </row>
    <row r="223" spans="1:10">
      <c r="A223" s="196" t="s">
        <v>5899</v>
      </c>
      <c r="B223" s="196"/>
      <c r="C223" s="196"/>
      <c r="D223" s="196"/>
      <c r="E223" s="196"/>
      <c r="F223" s="196"/>
      <c r="G223" s="196"/>
      <c r="H223" s="196"/>
      <c r="I223" s="196"/>
      <c r="J223" s="196"/>
    </row>
    <row r="224" spans="1:10">
      <c r="A224" s="196"/>
      <c r="B224" s="196"/>
      <c r="C224" s="196"/>
      <c r="D224" s="196"/>
      <c r="E224" s="196"/>
      <c r="F224" s="196"/>
      <c r="G224" s="196"/>
      <c r="H224" s="196"/>
      <c r="I224" s="196"/>
      <c r="J224" s="196"/>
    </row>
    <row r="225" spans="1:10">
      <c r="A225" s="196"/>
      <c r="B225" s="196"/>
      <c r="C225" s="196"/>
      <c r="D225" s="196"/>
      <c r="E225" s="196"/>
      <c r="F225" s="196"/>
      <c r="G225" s="196"/>
      <c r="H225" s="196"/>
      <c r="I225" s="196"/>
      <c r="J225" s="196"/>
    </row>
    <row r="226" spans="1:10">
      <c r="A226" s="196"/>
      <c r="B226" s="196"/>
      <c r="C226" s="196"/>
      <c r="D226" s="196"/>
      <c r="E226" s="196"/>
      <c r="F226" s="196"/>
      <c r="G226" s="196"/>
      <c r="H226" s="196"/>
      <c r="I226" s="196"/>
      <c r="J226" s="196"/>
    </row>
    <row r="227" spans="1:10">
      <c r="A227" s="196" t="s">
        <v>5900</v>
      </c>
      <c r="B227" s="196"/>
      <c r="C227" s="196"/>
      <c r="D227" s="196"/>
      <c r="E227" s="196"/>
      <c r="F227" s="196"/>
      <c r="G227" s="196"/>
      <c r="H227" s="196"/>
      <c r="I227" s="196"/>
      <c r="J227" s="196"/>
    </row>
    <row r="228" spans="1:10">
      <c r="A228" s="196"/>
      <c r="B228" s="196"/>
      <c r="C228" s="196"/>
      <c r="D228" s="196"/>
      <c r="E228" s="196"/>
      <c r="F228" s="196"/>
      <c r="G228" s="196"/>
      <c r="H228" s="196"/>
      <c r="I228" s="196"/>
      <c r="J228" s="196"/>
    </row>
    <row r="229" spans="1:10">
      <c r="A229" s="341"/>
      <c r="B229" s="341"/>
      <c r="C229" s="341"/>
      <c r="D229" s="341"/>
      <c r="E229" s="341"/>
      <c r="F229" s="341"/>
      <c r="G229" s="341"/>
      <c r="H229" s="341"/>
      <c r="I229" s="341"/>
      <c r="J229" s="341"/>
    </row>
    <row r="230" spans="1:10">
      <c r="A230" s="341"/>
      <c r="B230" s="341"/>
      <c r="C230" s="341"/>
      <c r="D230" s="341"/>
      <c r="E230" s="341"/>
      <c r="F230" s="341"/>
      <c r="G230" s="341"/>
      <c r="H230" s="341"/>
      <c r="I230" s="341"/>
      <c r="J230" s="341"/>
    </row>
    <row r="231" spans="1:10">
      <c r="A231" s="341"/>
      <c r="B231" s="341"/>
      <c r="C231" s="341"/>
      <c r="D231" s="341"/>
      <c r="E231" s="341"/>
      <c r="F231" s="341"/>
      <c r="G231" s="341"/>
      <c r="H231" s="341"/>
      <c r="I231" s="341"/>
      <c r="J231" s="341"/>
    </row>
    <row r="232" spans="1:10">
      <c r="A232" s="341"/>
      <c r="B232" s="341"/>
      <c r="C232" s="341"/>
      <c r="D232" s="341"/>
      <c r="E232" s="341"/>
      <c r="F232" s="341"/>
      <c r="G232" s="341"/>
      <c r="H232" s="341"/>
      <c r="I232" s="341"/>
      <c r="J232" s="341"/>
    </row>
    <row r="233" spans="1:10">
      <c r="A233" s="341"/>
      <c r="B233" s="341"/>
      <c r="C233" s="341"/>
      <c r="D233" s="341"/>
      <c r="E233" s="341"/>
      <c r="F233" s="341"/>
      <c r="G233" s="341"/>
      <c r="H233" s="341"/>
      <c r="I233" s="341"/>
      <c r="J233" s="341"/>
    </row>
    <row r="234" spans="1:10">
      <c r="A234" s="341"/>
      <c r="B234" s="341"/>
      <c r="C234" s="341"/>
      <c r="D234" s="341"/>
      <c r="E234" s="341"/>
      <c r="F234" s="341"/>
      <c r="G234" s="341"/>
      <c r="H234" s="341"/>
      <c r="I234" s="341"/>
      <c r="J234" s="341"/>
    </row>
    <row r="235" spans="1:10">
      <c r="A235" s="341"/>
      <c r="B235" s="341"/>
      <c r="C235" s="341"/>
      <c r="D235" s="341"/>
      <c r="E235" s="341"/>
      <c r="F235" s="341"/>
      <c r="G235" s="341"/>
      <c r="H235" s="341"/>
      <c r="I235" s="341"/>
      <c r="J235" s="341"/>
    </row>
    <row r="236" spans="1:10">
      <c r="A236" s="341"/>
      <c r="B236" s="341"/>
      <c r="C236" s="341"/>
      <c r="D236" s="341"/>
      <c r="E236" s="341"/>
      <c r="F236" s="341"/>
      <c r="G236" s="341"/>
      <c r="H236" s="341"/>
      <c r="I236" s="341"/>
      <c r="J236" s="341"/>
    </row>
    <row r="237" spans="1:10">
      <c r="A237" s="341"/>
      <c r="B237" s="341"/>
      <c r="C237" s="341"/>
      <c r="D237" s="341"/>
      <c r="E237" s="341"/>
      <c r="F237" s="341"/>
      <c r="G237" s="341"/>
      <c r="H237" s="341"/>
      <c r="I237" s="341"/>
      <c r="J237" s="341"/>
    </row>
    <row r="238" spans="1:10">
      <c r="A238" s="196"/>
      <c r="B238" s="196"/>
      <c r="C238" s="196"/>
      <c r="D238" s="196"/>
      <c r="E238" s="196"/>
      <c r="F238" s="196"/>
      <c r="G238" s="196"/>
      <c r="H238" s="196"/>
      <c r="I238" s="196"/>
      <c r="J238" s="196"/>
    </row>
    <row r="239" spans="1:10">
      <c r="A239" s="320"/>
      <c r="B239" s="320"/>
      <c r="C239" s="320"/>
      <c r="D239" s="320"/>
      <c r="E239" s="320"/>
      <c r="F239" s="320"/>
      <c r="G239" s="874"/>
      <c r="H239" s="874"/>
      <c r="I239" s="874"/>
      <c r="J239" s="874"/>
    </row>
  </sheetData>
  <mergeCells count="119">
    <mergeCell ref="A8:C8"/>
    <mergeCell ref="A14:C14"/>
    <mergeCell ref="A20:C20"/>
    <mergeCell ref="A98:C98"/>
    <mergeCell ref="D98:F98"/>
    <mergeCell ref="B92:J92"/>
    <mergeCell ref="A38:C38"/>
    <mergeCell ref="A72:C72"/>
    <mergeCell ref="A1:J1"/>
    <mergeCell ref="B95:J95"/>
    <mergeCell ref="A44:C44"/>
    <mergeCell ref="B94:J94"/>
    <mergeCell ref="D6:J6"/>
    <mergeCell ref="A83:C83"/>
    <mergeCell ref="B91:J91"/>
    <mergeCell ref="A61:C61"/>
    <mergeCell ref="B93:J93"/>
    <mergeCell ref="A89:C89"/>
    <mergeCell ref="A50:C50"/>
    <mergeCell ref="A26:C26"/>
    <mergeCell ref="A32:C32"/>
    <mergeCell ref="A105:B105"/>
    <mergeCell ref="E105:J105"/>
    <mergeCell ref="A107:C107"/>
    <mergeCell ref="D107:F107"/>
    <mergeCell ref="G107:J107"/>
    <mergeCell ref="G98:J98"/>
    <mergeCell ref="G99:J99"/>
    <mergeCell ref="G100:J100"/>
    <mergeCell ref="G101:J101"/>
    <mergeCell ref="G103:J103"/>
    <mergeCell ref="F113:J113"/>
    <mergeCell ref="F114:J114"/>
    <mergeCell ref="F115:J115"/>
    <mergeCell ref="F116:J116"/>
    <mergeCell ref="A117:B117"/>
    <mergeCell ref="C117:D117"/>
    <mergeCell ref="E117:J117"/>
    <mergeCell ref="G108:J108"/>
    <mergeCell ref="F109:J109"/>
    <mergeCell ref="F110:J110"/>
    <mergeCell ref="F111:J111"/>
    <mergeCell ref="F112:J112"/>
    <mergeCell ref="G122:J122"/>
    <mergeCell ref="G123:J123"/>
    <mergeCell ref="G124:J124"/>
    <mergeCell ref="G125:J125"/>
    <mergeCell ref="A126:B126"/>
    <mergeCell ref="C126:D126"/>
    <mergeCell ref="E126:J126"/>
    <mergeCell ref="A119:C119"/>
    <mergeCell ref="D119:F119"/>
    <mergeCell ref="G119:J119"/>
    <mergeCell ref="G120:J120"/>
    <mergeCell ref="G121:J121"/>
    <mergeCell ref="G130:J130"/>
    <mergeCell ref="G131:J131"/>
    <mergeCell ref="G132:J132"/>
    <mergeCell ref="G133:J133"/>
    <mergeCell ref="A134:D135"/>
    <mergeCell ref="E134:J135"/>
    <mergeCell ref="G127:J127"/>
    <mergeCell ref="A128:C128"/>
    <mergeCell ref="D128:F128"/>
    <mergeCell ref="G128:J128"/>
    <mergeCell ref="G129:J129"/>
    <mergeCell ref="G139:J139"/>
    <mergeCell ref="G140:J140"/>
    <mergeCell ref="G141:J141"/>
    <mergeCell ref="G142:J142"/>
    <mergeCell ref="G143:J143"/>
    <mergeCell ref="A136:C136"/>
    <mergeCell ref="D136:F136"/>
    <mergeCell ref="G136:J136"/>
    <mergeCell ref="G137:J137"/>
    <mergeCell ref="G138:J138"/>
    <mergeCell ref="B149:J149"/>
    <mergeCell ref="B150:J150"/>
    <mergeCell ref="B151:J151"/>
    <mergeCell ref="B152:J152"/>
    <mergeCell ref="B153:J153"/>
    <mergeCell ref="A144:B144"/>
    <mergeCell ref="C144:D144"/>
    <mergeCell ref="E144:J144"/>
    <mergeCell ref="A146:C146"/>
    <mergeCell ref="B148:J148"/>
    <mergeCell ref="B171:D171"/>
    <mergeCell ref="E171:G171"/>
    <mergeCell ref="B172:D172"/>
    <mergeCell ref="E172:G172"/>
    <mergeCell ref="B173:D173"/>
    <mergeCell ref="E173:G173"/>
    <mergeCell ref="B154:J154"/>
    <mergeCell ref="A156:H156"/>
    <mergeCell ref="B157:H157"/>
    <mergeCell ref="B158:H158"/>
    <mergeCell ref="B170:D170"/>
    <mergeCell ref="E170:G170"/>
    <mergeCell ref="B177:D177"/>
    <mergeCell ref="E177:G177"/>
    <mergeCell ref="A184:C184"/>
    <mergeCell ref="D184:F184"/>
    <mergeCell ref="G184:J184"/>
    <mergeCell ref="B174:D174"/>
    <mergeCell ref="E174:G174"/>
    <mergeCell ref="B175:D175"/>
    <mergeCell ref="E175:G175"/>
    <mergeCell ref="B176:D176"/>
    <mergeCell ref="E176:G176"/>
    <mergeCell ref="A217:C217"/>
    <mergeCell ref="D217:F217"/>
    <mergeCell ref="G217:J217"/>
    <mergeCell ref="G239:J239"/>
    <mergeCell ref="A195:C195"/>
    <mergeCell ref="D195:F195"/>
    <mergeCell ref="G195:J195"/>
    <mergeCell ref="A205:C205"/>
    <mergeCell ref="D205:F205"/>
    <mergeCell ref="G205:J205"/>
  </mergeCells>
  <conditionalFormatting sqref="A8 D8:J8 A9:J13 A14 D14:J14 A15:J15 A16:A18 J16:J18 A19:J19 A20 D20:J20 A21:J21 A22:A24 J22:J24 A25:J25 A26 D26:J26 A27:J27 A28:A30 J28:J30 A31:J31 A32 D32:J32 A33:J33 A34:A36 C34:C36 F34:F36 J34:J36 A37:J37 A38 D38:J38 A39:J39 A40:A42 J40:J42 A43:J43 A44 D44:J44 A45:J45 A46:A48 J46:J48 A49:J49 A50 D50:J50 A51:J60 A61 D61:J61 A62:J71 A72 D72:J72 A73:J82 A83 D83:J83 A84:J88 A89 D89:J89 A90:J90 A91:B95">
    <cfRule type="expression" dxfId="1293" priority="148">
      <formula>A1="Pass"</formula>
    </cfRule>
    <cfRule type="expression" dxfId="1292" priority="149">
      <formula>A1="Verify"</formula>
    </cfRule>
    <cfRule type="expression" dxfId="1291" priority="150">
      <formula>A1="Fail"</formula>
    </cfRule>
  </conditionalFormatting>
  <conditionalFormatting sqref="B34:B36">
    <cfRule type="expression" dxfId="1290" priority="132">
      <formula>B34="Pass"</formula>
    </cfRule>
    <cfRule type="expression" dxfId="1289" priority="133">
      <formula>B34="Verify"</formula>
    </cfRule>
    <cfRule type="expression" dxfId="1288" priority="134">
      <formula>B34="Fail"</formula>
    </cfRule>
    <cfRule type="expression" dxfId="1287" priority="135">
      <formula>B34="Not Started"</formula>
    </cfRule>
  </conditionalFormatting>
  <conditionalFormatting sqref="B100:B104">
    <cfRule type="expression" dxfId="1286" priority="21">
      <formula>B100="Complete"</formula>
    </cfRule>
    <cfRule type="expression" dxfId="1285" priority="22">
      <formula>B100="In Progress"</formula>
    </cfRule>
    <cfRule type="expression" dxfId="1284" priority="23">
      <formula>B100="At Risk"</formula>
    </cfRule>
    <cfRule type="expression" dxfId="1283" priority="24">
      <formula>B100="Blocked"</formula>
    </cfRule>
    <cfRule type="expression" dxfId="1282" priority="25">
      <formula>B100="Not Started"</formula>
    </cfRule>
  </conditionalFormatting>
  <conditionalFormatting sqref="B109:B116">
    <cfRule type="expression" dxfId="1281" priority="1">
      <formula>B109="Complete"</formula>
    </cfRule>
    <cfRule type="expression" dxfId="1280" priority="2">
      <formula>B109="In Progress"</formula>
    </cfRule>
    <cfRule type="expression" dxfId="1279" priority="3">
      <formula>B109="At Risk"</formula>
    </cfRule>
    <cfRule type="expression" dxfId="1278" priority="4">
      <formula>B109="Blocked"</formula>
    </cfRule>
    <cfRule type="expression" dxfId="1277" priority="5">
      <formula>B109="Not Started"</formula>
    </cfRule>
  </conditionalFormatting>
  <conditionalFormatting sqref="B121:B125">
    <cfRule type="expression" dxfId="1276" priority="26">
      <formula>B121="Complete"</formula>
    </cfRule>
    <cfRule type="expression" dxfId="1275" priority="27">
      <formula>B121="In Progress"</formula>
    </cfRule>
    <cfRule type="expression" dxfId="1274" priority="28">
      <formula>B121="At Risk"</formula>
    </cfRule>
    <cfRule type="expression" dxfId="1273" priority="29">
      <formula>B121="Blocked"</formula>
    </cfRule>
    <cfRule type="expression" dxfId="1272" priority="30">
      <formula>B121="Not Started"</formula>
    </cfRule>
  </conditionalFormatting>
  <conditionalFormatting sqref="B130:B133">
    <cfRule type="expression" dxfId="1271" priority="6">
      <formula>B130="Complete"</formula>
    </cfRule>
    <cfRule type="expression" dxfId="1270" priority="7">
      <formula>B130="In Progress"</formula>
    </cfRule>
    <cfRule type="expression" dxfId="1269" priority="8">
      <formula>B130="At Risk"</formula>
    </cfRule>
    <cfRule type="expression" dxfId="1268" priority="9">
      <formula>B130="Blocked"</formula>
    </cfRule>
    <cfRule type="expression" dxfId="1267" priority="10">
      <formula>B130="Not Started"</formula>
    </cfRule>
  </conditionalFormatting>
  <conditionalFormatting sqref="B138:B143">
    <cfRule type="expression" dxfId="1266" priority="11">
      <formula>B138="Complete"</formula>
    </cfRule>
    <cfRule type="expression" dxfId="1265" priority="12">
      <formula>B138="In Progress"</formula>
    </cfRule>
    <cfRule type="expression" dxfId="1264" priority="13">
      <formula>B138="At Risk"</formula>
    </cfRule>
    <cfRule type="expression" dxfId="1263" priority="14">
      <formula>B138="Blocked"</formula>
    </cfRule>
    <cfRule type="expression" dxfId="1262" priority="15">
      <formula>B138="Not Started"</formula>
    </cfRule>
  </conditionalFormatting>
  <conditionalFormatting sqref="B161:B168">
    <cfRule type="expression" dxfId="1261" priority="82">
      <formula>B161="Yes"</formula>
    </cfRule>
    <cfRule type="expression" dxfId="1260" priority="83">
      <formula>B161="N/A"</formula>
    </cfRule>
    <cfRule type="expression" dxfId="1259" priority="84">
      <formula>B161="No"</formula>
    </cfRule>
  </conditionalFormatting>
  <conditionalFormatting sqref="B178:H178">
    <cfRule type="expression" dxfId="1258" priority="85">
      <formula>COUNTIF($B$6:$B$13,"No")=0</formula>
    </cfRule>
    <cfRule type="expression" dxfId="1257" priority="86">
      <formula>COUNTIF($B$6:$B$13,"No")&gt;0</formula>
    </cfRule>
  </conditionalFormatting>
  <conditionalFormatting sqref="B16:I18">
    <cfRule type="expression" dxfId="1256" priority="144">
      <formula>B16="Pass"</formula>
    </cfRule>
    <cfRule type="expression" dxfId="1255" priority="145">
      <formula>B16="Verify"</formula>
    </cfRule>
    <cfRule type="expression" dxfId="1254" priority="146">
      <formula>B16="Fail"</formula>
    </cfRule>
    <cfRule type="expression" dxfId="1253" priority="147">
      <formula>B16="Not Started"</formula>
    </cfRule>
  </conditionalFormatting>
  <conditionalFormatting sqref="B22:I24">
    <cfRule type="expression" dxfId="1252" priority="140">
      <formula>B22="Pass"</formula>
    </cfRule>
    <cfRule type="expression" dxfId="1251" priority="141">
      <formula>B22="Verify"</formula>
    </cfRule>
    <cfRule type="expression" dxfId="1250" priority="142">
      <formula>B22="Fail"</formula>
    </cfRule>
    <cfRule type="expression" dxfId="1249" priority="143">
      <formula>B22="Not Started"</formula>
    </cfRule>
  </conditionalFormatting>
  <conditionalFormatting sqref="B28:I30">
    <cfRule type="expression" dxfId="1248" priority="136">
      <formula>B28="Pass"</formula>
    </cfRule>
    <cfRule type="expression" dxfId="1247" priority="137">
      <formula>B28="Verify"</formula>
    </cfRule>
    <cfRule type="expression" dxfId="1246" priority="138">
      <formula>B28="Fail"</formula>
    </cfRule>
    <cfRule type="expression" dxfId="1245" priority="139">
      <formula>B28="Not Started"</formula>
    </cfRule>
  </conditionalFormatting>
  <conditionalFormatting sqref="B40:I42">
    <cfRule type="expression" dxfId="1244" priority="120">
      <formula>B40="Pass"</formula>
    </cfRule>
    <cfRule type="expression" dxfId="1243" priority="121">
      <formula>B40="Verify"</formula>
    </cfRule>
    <cfRule type="expression" dxfId="1242" priority="122">
      <formula>B40="Fail"</formula>
    </cfRule>
    <cfRule type="expression" dxfId="1241" priority="123">
      <formula>B40="Not Started"</formula>
    </cfRule>
  </conditionalFormatting>
  <conditionalFormatting sqref="B46:I48">
    <cfRule type="expression" dxfId="1240" priority="116">
      <formula>B46="Pass"</formula>
    </cfRule>
    <cfRule type="expression" dxfId="1239" priority="117">
      <formula>B46="Verify"</formula>
    </cfRule>
    <cfRule type="expression" dxfId="1238" priority="118">
      <formula>B46="Fail"</formula>
    </cfRule>
    <cfRule type="expression" dxfId="1237" priority="119">
      <formula>B46="Not Started"</formula>
    </cfRule>
  </conditionalFormatting>
  <conditionalFormatting sqref="C105:D105">
    <cfRule type="dataBar" priority="37">
      <dataBar>
        <cfvo type="num" val="0"/>
        <cfvo type="num" val="1"/>
        <color rgb="FF5B9BD5"/>
      </dataBar>
    </cfRule>
  </conditionalFormatting>
  <conditionalFormatting sqref="C109:D116">
    <cfRule type="expression" dxfId="1236" priority="31">
      <formula>C109="Yes"</formula>
    </cfRule>
    <cfRule type="expression" dxfId="1235" priority="32">
      <formula>C109="No"</formula>
    </cfRule>
    <cfRule type="expression" dxfId="1234" priority="33">
      <formula>C109="N/A"</formula>
    </cfRule>
  </conditionalFormatting>
  <conditionalFormatting sqref="C117:D117">
    <cfRule type="dataBar" priority="38">
      <dataBar>
        <cfvo type="num" val="0"/>
        <cfvo type="num" val="1"/>
        <color rgb="FF5B9BD5"/>
      </dataBar>
    </cfRule>
  </conditionalFormatting>
  <conditionalFormatting sqref="C126:D126">
    <cfRule type="dataBar" priority="39">
      <dataBar>
        <cfvo type="num" val="0"/>
        <cfvo type="num" val="1"/>
        <color rgb="FF5B9BD5"/>
      </dataBar>
    </cfRule>
  </conditionalFormatting>
  <conditionalFormatting sqref="C138:D143">
    <cfRule type="expression" dxfId="1233" priority="16">
      <formula>C138="Yes"</formula>
    </cfRule>
    <cfRule type="expression" dxfId="1232" priority="17">
      <formula>C138="No"</formula>
    </cfRule>
    <cfRule type="expression" dxfId="1231" priority="18">
      <formula>C138="N/A"</formula>
    </cfRule>
  </conditionalFormatting>
  <conditionalFormatting sqref="C144:D144">
    <cfRule type="dataBar" priority="20">
      <dataBar>
        <cfvo type="num" val="0"/>
        <cfvo type="num" val="1"/>
        <color rgb="FF5B9BD5"/>
      </dataBar>
    </cfRule>
  </conditionalFormatting>
  <conditionalFormatting sqref="D34:E36">
    <cfRule type="expression" dxfId="1230" priority="128">
      <formula>D34="Pass"</formula>
    </cfRule>
    <cfRule type="expression" dxfId="1229" priority="129">
      <formula>D34="Verify"</formula>
    </cfRule>
    <cfRule type="expression" dxfId="1228" priority="130">
      <formula>D34="Fail"</formula>
    </cfRule>
    <cfRule type="expression" dxfId="1227" priority="131">
      <formula>D34="Not Started"</formula>
    </cfRule>
  </conditionalFormatting>
  <conditionalFormatting sqref="E5 G5 I5">
    <cfRule type="expression" dxfId="1226" priority="87">
      <formula>E5="Pass"</formula>
    </cfRule>
    <cfRule type="expression" dxfId="1225" priority="88">
      <formula>E5="Verify"</formula>
    </cfRule>
    <cfRule type="expression" dxfId="1224" priority="89">
      <formula>E5="Fail"</formula>
    </cfRule>
    <cfRule type="expression" dxfId="1223" priority="90">
      <formula>E5="Not Started"</formula>
    </cfRule>
  </conditionalFormatting>
  <conditionalFormatting sqref="F3">
    <cfRule type="expression" dxfId="1222" priority="91">
      <formula>F3="Yes"</formula>
    </cfRule>
    <cfRule type="expression" dxfId="1221" priority="92">
      <formula>F3="No"</formula>
    </cfRule>
  </conditionalFormatting>
  <conditionalFormatting sqref="F121:F125">
    <cfRule type="expression" dxfId="1220" priority="34">
      <formula>F121="Pass"</formula>
    </cfRule>
    <cfRule type="expression" dxfId="1219" priority="35">
      <formula>F121="Fail"</formula>
    </cfRule>
    <cfRule type="expression" dxfId="1218" priority="36">
      <formula>F121="Pending"</formula>
    </cfRule>
  </conditionalFormatting>
  <conditionalFormatting sqref="F130:F133">
    <cfRule type="dataBar" priority="19">
      <dataBar>
        <cfvo type="num" val="0"/>
        <cfvo type="num" val="1"/>
        <color rgb="FF5B9BD5"/>
      </dataBar>
    </cfRule>
  </conditionalFormatting>
  <conditionalFormatting sqref="G34:I36">
    <cfRule type="expression" dxfId="1217" priority="124">
      <formula>G34="Pass"</formula>
    </cfRule>
    <cfRule type="expression" dxfId="1216" priority="125">
      <formula>G34="Verify"</formula>
    </cfRule>
    <cfRule type="expression" dxfId="1215" priority="126">
      <formula>G34="Fail"</formula>
    </cfRule>
    <cfRule type="expression" dxfId="1214" priority="127">
      <formula>G34="Not Started"</formula>
    </cfRule>
  </conditionalFormatting>
  <dataValidations count="6">
    <dataValidation type="list" sqref="B5:B6 B16:I18 D5 H146:I147 F5 H5 I19:I39 J5 I92:I95 D63:D70 H149:I154 I43:I90" xr:uid="{00000000-0002-0000-2700-000000000000}">
      <formula1>"Not Started,Verify,Pass,Fail,N/A,Open,Closed,Partial / Yellow"</formula1>
      <formula2>0</formula2>
    </dataValidation>
    <dataValidation type="list" sqref="H10:H15 H19:H39 H43:H90 H92:H95" xr:uid="{00000000-0002-0000-2700-000001000000}">
      <formula1>"Not Started,Verify,Pass,Fail,N/A"</formula1>
      <formula2>0</formula2>
    </dataValidation>
    <dataValidation type="list" allowBlank="1" sqref="F121:F125" xr:uid="{EB40570A-6CBF-4592-B8B6-2A2F92FBDB36}">
      <formula1>"Pending,Pass,Fail,N/A"</formula1>
    </dataValidation>
    <dataValidation type="list" allowBlank="1" sqref="C109:D116 C138:D143" xr:uid="{B9445DD0-1145-4539-AA50-BE2AF5980B6F}">
      <formula1>"Yes,No,N/A"</formula1>
    </dataValidation>
    <dataValidation type="list" allowBlank="1" sqref="B130:B133 B121:B125" xr:uid="{C6D3B6D1-F035-49AC-B301-77C17A6BF164}">
      <formula1>"Not Started,In Progress,Complete,At Risk,Blocked"</formula1>
    </dataValidation>
    <dataValidation type="list" sqref="B161:B168" xr:uid="{8A851091-6FFC-47F1-8932-1E8621A49E97}">
      <formula1>"No,Yes,N/A"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11174FB6-48D3-43D9-9EEE-651BA8470C01}">
          <x14:formula1>
            <xm:f>Lookup_Lists!$L$37:$L$39</xm:f>
          </x14:formula1>
          <xm:sqref>C121:E125 J2</xm:sqref>
        </x14:dataValidation>
        <x14:dataValidation type="list" allowBlank="1" showInputMessage="1" showErrorMessage="1" xr:uid="{51381DA8-9067-4AC1-B6D2-F725D30141A7}">
          <x14:formula1>
            <xm:f>Lookup_Lists!$A$36:$A$42</xm:f>
          </x14:formula1>
          <xm:sqref>B100:B104 B109:B116 B138:B143</xm:sqref>
        </x14:dataValidation>
      </x14:dataValidations>
    </ext>
  </extLst>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F2B62-14EB-4B57-875D-D8B308055526}">
  <dimension ref="A1:J225"/>
  <sheetViews>
    <sheetView workbookViewId="0">
      <selection activeCell="D4" sqref="D4"/>
    </sheetView>
  </sheetViews>
  <sheetFormatPr defaultColWidth="8.6640625" defaultRowHeight="14.4"/>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6640625" style="8" customWidth="1"/>
    <col min="13" max="16384" width="8.6640625" style="8"/>
  </cols>
  <sheetData>
    <row r="1" spans="1:10">
      <c r="A1" s="851" t="s">
        <v>1461</v>
      </c>
      <c r="B1" s="839"/>
      <c r="C1" s="839"/>
      <c r="D1" s="839"/>
      <c r="E1" s="839"/>
      <c r="F1" s="839"/>
      <c r="G1" s="839"/>
      <c r="H1" s="839"/>
      <c r="I1" s="839"/>
      <c r="J1" s="839"/>
    </row>
    <row r="2" spans="1:10" s="227" customFormat="1">
      <c r="A2" s="223" t="s">
        <v>142</v>
      </c>
      <c r="B2" s="224" t="s">
        <v>1462</v>
      </c>
      <c r="C2" s="223" t="s">
        <v>902</v>
      </c>
      <c r="D2" s="224" t="s">
        <v>1094</v>
      </c>
      <c r="E2" s="223" t="s">
        <v>151</v>
      </c>
      <c r="F2" s="224" t="s">
        <v>1095</v>
      </c>
      <c r="G2" s="223" t="s">
        <v>174</v>
      </c>
      <c r="H2" s="225">
        <v>0.55000000000000004</v>
      </c>
      <c r="I2" s="223" t="s">
        <v>154</v>
      </c>
      <c r="J2" s="226" t="s">
        <v>1096</v>
      </c>
    </row>
    <row r="3" spans="1:10" s="231" customFormat="1" ht="27.6">
      <c r="A3" s="223" t="s">
        <v>903</v>
      </c>
      <c r="B3" s="228">
        <v>46198.57225853009</v>
      </c>
      <c r="C3" s="229" t="s">
        <v>904</v>
      </c>
      <c r="D3" s="230" t="s">
        <v>721</v>
      </c>
      <c r="E3" s="223" t="s">
        <v>905</v>
      </c>
      <c r="F3" s="230" t="s">
        <v>1463</v>
      </c>
      <c r="G3" s="223" t="s">
        <v>907</v>
      </c>
      <c r="H3" s="230" t="s">
        <v>908</v>
      </c>
      <c r="I3" s="223" t="s">
        <v>551</v>
      </c>
      <c r="J3" s="230" t="s">
        <v>1464</v>
      </c>
    </row>
    <row r="4" spans="1:10" s="231" customFormat="1" ht="124.2">
      <c r="A4" s="223" t="s">
        <v>161</v>
      </c>
      <c r="B4" s="230">
        <v>0</v>
      </c>
      <c r="C4" s="223" t="s">
        <v>199</v>
      </c>
      <c r="D4" s="230">
        <v>0</v>
      </c>
      <c r="E4" s="223" t="s">
        <v>179</v>
      </c>
      <c r="F4" s="230">
        <v>0</v>
      </c>
      <c r="G4" s="223" t="s">
        <v>870</v>
      </c>
      <c r="H4" s="232" t="s">
        <v>1465</v>
      </c>
      <c r="I4" s="233"/>
      <c r="J4" s="233"/>
    </row>
    <row r="5" spans="1:10" s="231" customFormat="1">
      <c r="A5" s="234" t="s">
        <v>911</v>
      </c>
      <c r="B5" s="225" t="s">
        <v>679</v>
      </c>
      <c r="C5" s="235" t="s">
        <v>912</v>
      </c>
      <c r="D5" s="225" t="s">
        <v>677</v>
      </c>
      <c r="E5" s="236" t="s">
        <v>913</v>
      </c>
      <c r="F5" s="225" t="s">
        <v>677</v>
      </c>
      <c r="G5" s="237" t="s">
        <v>914</v>
      </c>
      <c r="H5" s="225" t="s">
        <v>679</v>
      </c>
      <c r="I5" s="237" t="s">
        <v>915</v>
      </c>
      <c r="J5" s="225" t="s">
        <v>677</v>
      </c>
    </row>
    <row r="6" spans="1:10" s="231" customFormat="1">
      <c r="A6" s="238" t="s">
        <v>916</v>
      </c>
      <c r="B6" s="225" t="s">
        <v>677</v>
      </c>
      <c r="C6" s="239" t="s">
        <v>869</v>
      </c>
      <c r="D6" s="854" t="s">
        <v>1466</v>
      </c>
      <c r="E6" s="853"/>
      <c r="F6" s="853"/>
      <c r="G6" s="853"/>
      <c r="H6" s="853"/>
      <c r="I6" s="853"/>
      <c r="J6" s="853"/>
    </row>
    <row r="7" spans="1:10">
      <c r="A7" s="13"/>
      <c r="B7" s="13"/>
      <c r="C7" s="13"/>
      <c r="D7" s="13"/>
      <c r="E7" s="13"/>
      <c r="F7" s="13"/>
      <c r="G7" s="13"/>
      <c r="H7" s="13"/>
      <c r="I7" s="13"/>
      <c r="J7" s="13"/>
    </row>
    <row r="8" spans="1:10">
      <c r="A8" s="842" t="s">
        <v>918</v>
      </c>
      <c r="B8" s="839"/>
      <c r="C8" s="839"/>
      <c r="D8" s="85"/>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69">
      <c r="A10" s="13" t="s">
        <v>1462</v>
      </c>
      <c r="B10" s="13" t="s">
        <v>689</v>
      </c>
      <c r="C10" s="13" t="s">
        <v>919</v>
      </c>
      <c r="D10" s="13" t="s">
        <v>1467</v>
      </c>
      <c r="E10" s="13" t="s">
        <v>1468</v>
      </c>
      <c r="F10" s="13">
        <v>1</v>
      </c>
      <c r="G10" s="13">
        <v>0</v>
      </c>
      <c r="H10" s="13" t="s">
        <v>677</v>
      </c>
      <c r="I10" s="13" t="s">
        <v>1469</v>
      </c>
      <c r="J10" s="13" t="s">
        <v>1470</v>
      </c>
    </row>
    <row r="11" spans="1:10" ht="55.2">
      <c r="A11" s="13" t="s">
        <v>1462</v>
      </c>
      <c r="B11" s="13" t="s">
        <v>1471</v>
      </c>
      <c r="C11" s="13" t="s">
        <v>919</v>
      </c>
      <c r="D11" s="13" t="s">
        <v>1472</v>
      </c>
      <c r="E11" s="13" t="s">
        <v>1473</v>
      </c>
      <c r="F11" s="13">
        <v>1</v>
      </c>
      <c r="G11" s="13">
        <v>0</v>
      </c>
      <c r="H11" s="13" t="s">
        <v>677</v>
      </c>
      <c r="I11" s="13" t="s">
        <v>1474</v>
      </c>
      <c r="J11" s="13" t="s">
        <v>1475</v>
      </c>
    </row>
    <row r="12" spans="1:10">
      <c r="A12" s="13"/>
      <c r="B12" s="13"/>
      <c r="C12" s="13"/>
      <c r="D12" s="13"/>
      <c r="E12" s="13"/>
      <c r="F12" s="13"/>
      <c r="G12" s="13"/>
      <c r="H12" s="13"/>
      <c r="I12" s="13"/>
      <c r="J12" s="13"/>
    </row>
    <row r="13" spans="1:10" ht="129.6">
      <c r="A13" s="842" t="s">
        <v>936</v>
      </c>
      <c r="B13" s="839"/>
      <c r="C13" s="839"/>
      <c r="D13" s="85"/>
      <c r="E13" s="85"/>
      <c r="F13" s="85"/>
      <c r="G13" s="85"/>
      <c r="H13" s="85"/>
      <c r="I13" s="85"/>
      <c r="J13" s="85" t="s">
        <v>1476</v>
      </c>
    </row>
    <row r="14" spans="1:10">
      <c r="A14" s="50" t="s">
        <v>275</v>
      </c>
      <c r="B14" s="50" t="s">
        <v>937</v>
      </c>
      <c r="C14" s="50" t="s">
        <v>938</v>
      </c>
      <c r="D14" s="50" t="s">
        <v>939</v>
      </c>
      <c r="E14" s="50" t="s">
        <v>940</v>
      </c>
      <c r="F14" s="50" t="s">
        <v>941</v>
      </c>
      <c r="G14" s="50" t="s">
        <v>942</v>
      </c>
      <c r="H14" s="50" t="s">
        <v>943</v>
      </c>
      <c r="I14" s="50" t="s">
        <v>899</v>
      </c>
      <c r="J14" s="50" t="s">
        <v>944</v>
      </c>
    </row>
    <row r="15" spans="1:10" ht="55.2">
      <c r="A15" s="13" t="s">
        <v>689</v>
      </c>
      <c r="B15" s="13" t="s">
        <v>677</v>
      </c>
      <c r="C15" s="13" t="s">
        <v>677</v>
      </c>
      <c r="D15" s="13" t="s">
        <v>677</v>
      </c>
      <c r="E15" s="13" t="s">
        <v>677</v>
      </c>
      <c r="F15" s="13" t="s">
        <v>677</v>
      </c>
      <c r="G15" s="13" t="s">
        <v>677</v>
      </c>
      <c r="H15" s="13" t="s">
        <v>677</v>
      </c>
      <c r="I15" s="13" t="s">
        <v>677</v>
      </c>
      <c r="J15" s="13" t="s">
        <v>1477</v>
      </c>
    </row>
    <row r="16" spans="1:10" ht="41.4">
      <c r="A16" s="13" t="s">
        <v>1471</v>
      </c>
      <c r="B16" s="13" t="s">
        <v>677</v>
      </c>
      <c r="C16" s="13" t="s">
        <v>677</v>
      </c>
      <c r="D16" s="13" t="s">
        <v>677</v>
      </c>
      <c r="E16" s="13" t="s">
        <v>677</v>
      </c>
      <c r="F16" s="13" t="s">
        <v>677</v>
      </c>
      <c r="G16" s="13" t="s">
        <v>677</v>
      </c>
      <c r="H16" s="13" t="s">
        <v>677</v>
      </c>
      <c r="I16" s="13" t="s">
        <v>677</v>
      </c>
      <c r="J16" s="13" t="s">
        <v>1478</v>
      </c>
    </row>
    <row r="17" spans="1:10">
      <c r="A17" s="13"/>
      <c r="B17" s="13"/>
      <c r="C17" s="13"/>
      <c r="D17" s="13"/>
      <c r="E17" s="13"/>
      <c r="F17" s="13"/>
      <c r="G17" s="13"/>
      <c r="H17" s="13"/>
      <c r="I17" s="13"/>
      <c r="J17" s="13"/>
    </row>
    <row r="18" spans="1:10">
      <c r="A18" s="842" t="s">
        <v>951</v>
      </c>
      <c r="B18" s="839"/>
      <c r="C18" s="839"/>
      <c r="D18" s="85"/>
      <c r="E18" s="85"/>
      <c r="F18" s="85"/>
      <c r="G18" s="85"/>
      <c r="H18" s="85"/>
      <c r="I18" s="85"/>
      <c r="J18" s="85"/>
    </row>
    <row r="19" spans="1:10">
      <c r="A19" s="50" t="s">
        <v>275</v>
      </c>
      <c r="B19" s="50" t="s">
        <v>952</v>
      </c>
      <c r="C19" s="50" t="s">
        <v>953</v>
      </c>
      <c r="D19" s="50" t="s">
        <v>954</v>
      </c>
      <c r="E19" s="50" t="s">
        <v>955</v>
      </c>
      <c r="F19" s="50" t="s">
        <v>956</v>
      </c>
      <c r="G19" s="50" t="s">
        <v>957</v>
      </c>
      <c r="H19" s="50" t="s">
        <v>958</v>
      </c>
      <c r="I19" s="50" t="s">
        <v>899</v>
      </c>
      <c r="J19" s="50" t="s">
        <v>959</v>
      </c>
    </row>
    <row r="20" spans="1:10" ht="55.2">
      <c r="A20" s="13" t="s">
        <v>689</v>
      </c>
      <c r="B20" s="13" t="s">
        <v>679</v>
      </c>
      <c r="C20" s="13" t="s">
        <v>679</v>
      </c>
      <c r="D20" s="13" t="s">
        <v>677</v>
      </c>
      <c r="E20" s="13" t="s">
        <v>677</v>
      </c>
      <c r="F20" s="13" t="s">
        <v>677</v>
      </c>
      <c r="G20" s="13" t="s">
        <v>677</v>
      </c>
      <c r="H20" s="13" t="s">
        <v>677</v>
      </c>
      <c r="I20" s="13" t="s">
        <v>677</v>
      </c>
      <c r="J20" s="13" t="s">
        <v>1479</v>
      </c>
    </row>
    <row r="21" spans="1:10" ht="41.4">
      <c r="A21" s="13" t="s">
        <v>1471</v>
      </c>
      <c r="B21" s="13" t="s">
        <v>679</v>
      </c>
      <c r="C21" s="13" t="s">
        <v>679</v>
      </c>
      <c r="D21" s="13" t="s">
        <v>677</v>
      </c>
      <c r="E21" s="13" t="s">
        <v>677</v>
      </c>
      <c r="F21" s="13" t="s">
        <v>677</v>
      </c>
      <c r="G21" s="13" t="s">
        <v>677</v>
      </c>
      <c r="H21" s="13" t="s">
        <v>677</v>
      </c>
      <c r="I21" s="13" t="s">
        <v>677</v>
      </c>
      <c r="J21" s="13" t="s">
        <v>1480</v>
      </c>
    </row>
    <row r="22" spans="1:10">
      <c r="A22" s="13"/>
      <c r="B22" s="13"/>
      <c r="C22" s="13"/>
      <c r="D22" s="13"/>
      <c r="E22" s="13"/>
      <c r="F22" s="13"/>
      <c r="G22" s="13"/>
      <c r="H22" s="13"/>
      <c r="I22" s="13"/>
      <c r="J22" s="13"/>
    </row>
    <row r="23" spans="1:10">
      <c r="A23" s="842" t="s">
        <v>964</v>
      </c>
      <c r="B23" s="839"/>
      <c r="C23" s="839"/>
      <c r="D23" s="85"/>
      <c r="E23" s="85"/>
      <c r="F23" s="85"/>
      <c r="G23" s="85"/>
      <c r="H23" s="85"/>
      <c r="I23" s="85"/>
      <c r="J23" s="85"/>
    </row>
    <row r="24" spans="1:10">
      <c r="A24" s="50" t="s">
        <v>275</v>
      </c>
      <c r="B24" s="50" t="s">
        <v>965</v>
      </c>
      <c r="C24" s="50" t="s">
        <v>966</v>
      </c>
      <c r="D24" s="50" t="s">
        <v>967</v>
      </c>
      <c r="E24" s="50" t="s">
        <v>968</v>
      </c>
      <c r="F24" s="50" t="s">
        <v>969</v>
      </c>
      <c r="G24" s="50" t="s">
        <v>970</v>
      </c>
      <c r="H24" s="50" t="s">
        <v>971</v>
      </c>
      <c r="I24" s="50" t="s">
        <v>899</v>
      </c>
      <c r="J24" s="50" t="s">
        <v>959</v>
      </c>
    </row>
    <row r="25" spans="1:10" ht="55.2">
      <c r="A25" s="13" t="s">
        <v>689</v>
      </c>
      <c r="B25" s="13" t="s">
        <v>679</v>
      </c>
      <c r="C25" s="13" t="s">
        <v>679</v>
      </c>
      <c r="D25" s="13" t="s">
        <v>679</v>
      </c>
      <c r="E25" s="13" t="s">
        <v>679</v>
      </c>
      <c r="F25" s="13" t="s">
        <v>679</v>
      </c>
      <c r="G25" s="13" t="s">
        <v>679</v>
      </c>
      <c r="H25" s="13" t="s">
        <v>679</v>
      </c>
      <c r="I25" s="13" t="s">
        <v>679</v>
      </c>
      <c r="J25" s="13" t="s">
        <v>1481</v>
      </c>
    </row>
    <row r="26" spans="1:10" ht="41.4">
      <c r="A26" s="13" t="s">
        <v>1471</v>
      </c>
      <c r="B26" s="13" t="s">
        <v>679</v>
      </c>
      <c r="C26" s="13" t="s">
        <v>679</v>
      </c>
      <c r="D26" s="13" t="s">
        <v>679</v>
      </c>
      <c r="E26" s="13" t="s">
        <v>679</v>
      </c>
      <c r="F26" s="13" t="s">
        <v>679</v>
      </c>
      <c r="G26" s="13" t="s">
        <v>679</v>
      </c>
      <c r="H26" s="13" t="s">
        <v>679</v>
      </c>
      <c r="I26" s="13" t="s">
        <v>679</v>
      </c>
      <c r="J26" s="13" t="s">
        <v>1482</v>
      </c>
    </row>
    <row r="27" spans="1:10">
      <c r="A27" s="13"/>
      <c r="B27" s="13"/>
      <c r="C27" s="13"/>
      <c r="D27" s="13"/>
      <c r="E27" s="13"/>
      <c r="F27" s="13"/>
      <c r="G27" s="13"/>
      <c r="H27" s="13"/>
      <c r="I27" s="13"/>
      <c r="J27" s="13"/>
    </row>
    <row r="28" spans="1:10">
      <c r="A28" s="842" t="s">
        <v>977</v>
      </c>
      <c r="B28" s="839"/>
      <c r="C28" s="839"/>
      <c r="D28" s="85"/>
      <c r="E28" s="85"/>
      <c r="F28" s="85"/>
      <c r="G28" s="85"/>
      <c r="H28" s="85"/>
      <c r="I28" s="85"/>
      <c r="J28" s="85"/>
    </row>
    <row r="29" spans="1:10">
      <c r="A29" s="50" t="s">
        <v>275</v>
      </c>
      <c r="B29" s="50" t="s">
        <v>978</v>
      </c>
      <c r="C29" s="50" t="s">
        <v>979</v>
      </c>
      <c r="D29" s="50" t="s">
        <v>980</v>
      </c>
      <c r="E29" s="50" t="s">
        <v>981</v>
      </c>
      <c r="F29" s="50" t="s">
        <v>982</v>
      </c>
      <c r="G29" s="50" t="s">
        <v>983</v>
      </c>
      <c r="H29" s="50" t="s">
        <v>984</v>
      </c>
      <c r="I29" s="50" t="s">
        <v>899</v>
      </c>
      <c r="J29" s="50" t="s">
        <v>11</v>
      </c>
    </row>
    <row r="30" spans="1:10" ht="69">
      <c r="A30" s="13" t="s">
        <v>689</v>
      </c>
      <c r="B30" s="13" t="s">
        <v>677</v>
      </c>
      <c r="C30" s="13" t="s">
        <v>1483</v>
      </c>
      <c r="D30" s="13" t="s">
        <v>677</v>
      </c>
      <c r="E30" s="13" t="s">
        <v>677</v>
      </c>
      <c r="F30" s="13" t="s">
        <v>677</v>
      </c>
      <c r="G30" s="13" t="s">
        <v>677</v>
      </c>
      <c r="H30" s="13" t="s">
        <v>677</v>
      </c>
      <c r="I30" s="13" t="s">
        <v>677</v>
      </c>
      <c r="J30" s="13" t="s">
        <v>1484</v>
      </c>
    </row>
    <row r="31" spans="1:10" ht="41.4">
      <c r="A31" s="13" t="s">
        <v>1471</v>
      </c>
      <c r="B31" s="13" t="s">
        <v>988</v>
      </c>
      <c r="C31" s="13" t="s">
        <v>1485</v>
      </c>
      <c r="D31" s="13" t="s">
        <v>988</v>
      </c>
      <c r="E31" s="13" t="s">
        <v>677</v>
      </c>
      <c r="F31" s="13" t="s">
        <v>677</v>
      </c>
      <c r="G31" s="13" t="s">
        <v>677</v>
      </c>
      <c r="H31" s="13" t="s">
        <v>677</v>
      </c>
      <c r="I31" s="13" t="s">
        <v>677</v>
      </c>
      <c r="J31" s="13" t="s">
        <v>1486</v>
      </c>
    </row>
    <row r="32" spans="1:10">
      <c r="A32" s="13"/>
      <c r="B32" s="13"/>
      <c r="C32" s="13"/>
      <c r="D32" s="13"/>
      <c r="E32" s="13"/>
      <c r="F32" s="13"/>
      <c r="G32" s="13"/>
      <c r="H32" s="13"/>
      <c r="I32" s="13"/>
      <c r="J32" s="13"/>
    </row>
    <row r="33" spans="1:10">
      <c r="A33" s="842" t="s">
        <v>994</v>
      </c>
      <c r="B33" s="839"/>
      <c r="C33" s="839"/>
      <c r="D33" s="85"/>
      <c r="E33" s="85"/>
      <c r="F33" s="85"/>
      <c r="G33" s="85"/>
      <c r="H33" s="85"/>
      <c r="I33" s="85"/>
      <c r="J33" s="85"/>
    </row>
    <row r="34" spans="1:10">
      <c r="A34" s="50" t="s">
        <v>275</v>
      </c>
      <c r="B34" s="50" t="s">
        <v>995</v>
      </c>
      <c r="C34" s="50" t="s">
        <v>996</v>
      </c>
      <c r="D34" s="50" t="s">
        <v>997</v>
      </c>
      <c r="E34" s="50" t="s">
        <v>998</v>
      </c>
      <c r="F34" s="50" t="s">
        <v>999</v>
      </c>
      <c r="G34" s="50" t="s">
        <v>1000</v>
      </c>
      <c r="H34" s="50" t="s">
        <v>1001</v>
      </c>
      <c r="I34" s="50" t="s">
        <v>899</v>
      </c>
      <c r="J34" s="50" t="s">
        <v>11</v>
      </c>
    </row>
    <row r="35" spans="1:10" ht="55.2">
      <c r="A35" s="13" t="s">
        <v>689</v>
      </c>
      <c r="B35" s="13" t="s">
        <v>677</v>
      </c>
      <c r="C35" s="13" t="s">
        <v>1487</v>
      </c>
      <c r="D35" s="13" t="s">
        <v>677</v>
      </c>
      <c r="E35" s="13" t="s">
        <v>677</v>
      </c>
      <c r="F35" s="13" t="s">
        <v>677</v>
      </c>
      <c r="G35" s="13" t="s">
        <v>677</v>
      </c>
      <c r="H35" s="13" t="s">
        <v>677</v>
      </c>
      <c r="I35" s="13" t="s">
        <v>677</v>
      </c>
      <c r="J35" s="13" t="s">
        <v>1488</v>
      </c>
    </row>
    <row r="36" spans="1:10" ht="55.2">
      <c r="A36" s="13" t="s">
        <v>1471</v>
      </c>
      <c r="B36" s="13" t="s">
        <v>988</v>
      </c>
      <c r="C36" s="13" t="s">
        <v>1489</v>
      </c>
      <c r="D36" s="13" t="s">
        <v>988</v>
      </c>
      <c r="E36" s="13" t="s">
        <v>677</v>
      </c>
      <c r="F36" s="13" t="s">
        <v>677</v>
      </c>
      <c r="G36" s="13" t="s">
        <v>677</v>
      </c>
      <c r="H36" s="13" t="s">
        <v>677</v>
      </c>
      <c r="I36" s="13" t="s">
        <v>677</v>
      </c>
      <c r="J36" s="13" t="s">
        <v>1490</v>
      </c>
    </row>
    <row r="37" spans="1:10">
      <c r="A37" s="13"/>
      <c r="B37" s="13"/>
      <c r="C37" s="13"/>
      <c r="D37" s="13"/>
      <c r="E37" s="13"/>
      <c r="F37" s="13"/>
      <c r="G37" s="13"/>
      <c r="H37" s="13"/>
      <c r="I37" s="13"/>
      <c r="J37" s="13"/>
    </row>
    <row r="38" spans="1:10">
      <c r="A38" s="842" t="s">
        <v>1007</v>
      </c>
      <c r="B38" s="839"/>
      <c r="C38" s="839"/>
      <c r="D38" s="85"/>
      <c r="E38" s="85"/>
      <c r="F38" s="85"/>
      <c r="G38" s="85"/>
      <c r="H38" s="85"/>
      <c r="I38" s="85"/>
      <c r="J38" s="85"/>
    </row>
    <row r="39" spans="1:10">
      <c r="A39" s="50" t="s">
        <v>275</v>
      </c>
      <c r="B39" s="50" t="s">
        <v>1008</v>
      </c>
      <c r="C39" s="50" t="s">
        <v>1009</v>
      </c>
      <c r="D39" s="50" t="s">
        <v>1010</v>
      </c>
      <c r="E39" s="50" t="s">
        <v>1011</v>
      </c>
      <c r="F39" s="50" t="s">
        <v>1012</v>
      </c>
      <c r="G39" s="50" t="s">
        <v>1013</v>
      </c>
      <c r="H39" s="50" t="s">
        <v>1014</v>
      </c>
      <c r="I39" s="50" t="s">
        <v>899</v>
      </c>
      <c r="J39" s="50" t="s">
        <v>11</v>
      </c>
    </row>
    <row r="40" spans="1:10" ht="69">
      <c r="A40" s="13" t="s">
        <v>689</v>
      </c>
      <c r="B40" s="13" t="s">
        <v>677</v>
      </c>
      <c r="C40" s="13" t="s">
        <v>677</v>
      </c>
      <c r="D40" s="13" t="s">
        <v>677</v>
      </c>
      <c r="E40" s="13" t="s">
        <v>677</v>
      </c>
      <c r="F40" s="13" t="s">
        <v>677</v>
      </c>
      <c r="G40" s="13" t="s">
        <v>677</v>
      </c>
      <c r="H40" s="13" t="s">
        <v>677</v>
      </c>
      <c r="I40" s="13" t="s">
        <v>677</v>
      </c>
      <c r="J40" s="13" t="s">
        <v>1491</v>
      </c>
    </row>
    <row r="41" spans="1:10" ht="41.4">
      <c r="A41" s="13" t="s">
        <v>1471</v>
      </c>
      <c r="B41" s="13" t="s">
        <v>677</v>
      </c>
      <c r="C41" s="13" t="s">
        <v>677</v>
      </c>
      <c r="D41" s="13" t="s">
        <v>677</v>
      </c>
      <c r="E41" s="13" t="s">
        <v>677</v>
      </c>
      <c r="F41" s="13" t="s">
        <v>677</v>
      </c>
      <c r="G41" s="13" t="s">
        <v>677</v>
      </c>
      <c r="H41" s="13" t="s">
        <v>677</v>
      </c>
      <c r="I41" s="13" t="s">
        <v>677</v>
      </c>
      <c r="J41" s="13" t="s">
        <v>1492</v>
      </c>
    </row>
    <row r="42" spans="1:10">
      <c r="A42" s="13"/>
      <c r="B42" s="13"/>
      <c r="C42" s="13"/>
      <c r="D42" s="13"/>
      <c r="E42" s="13"/>
      <c r="F42" s="13"/>
      <c r="G42" s="13"/>
      <c r="H42" s="13"/>
      <c r="I42" s="13"/>
      <c r="J42" s="13"/>
    </row>
    <row r="43" spans="1:10">
      <c r="A43" s="842" t="s">
        <v>1019</v>
      </c>
      <c r="B43" s="839"/>
      <c r="C43" s="839"/>
      <c r="D43" s="85"/>
      <c r="E43" s="85"/>
      <c r="F43" s="85"/>
      <c r="G43" s="85"/>
      <c r="H43" s="85"/>
      <c r="I43" s="85"/>
      <c r="J43" s="85"/>
    </row>
    <row r="44" spans="1:10">
      <c r="A44" s="50" t="s">
        <v>213</v>
      </c>
      <c r="B44" s="50" t="s">
        <v>275</v>
      </c>
      <c r="C44" s="50" t="s">
        <v>573</v>
      </c>
      <c r="D44" s="50" t="s">
        <v>215</v>
      </c>
      <c r="E44" s="50" t="s">
        <v>257</v>
      </c>
      <c r="F44" s="50" t="s">
        <v>572</v>
      </c>
      <c r="G44" s="50" t="s">
        <v>259</v>
      </c>
      <c r="H44" s="50" t="s">
        <v>216</v>
      </c>
      <c r="I44" s="50" t="s">
        <v>77</v>
      </c>
      <c r="J44" s="50" t="s">
        <v>11</v>
      </c>
    </row>
    <row r="45" spans="1:10" ht="69">
      <c r="A45" s="13" t="s">
        <v>1493</v>
      </c>
      <c r="B45" s="13" t="s">
        <v>689</v>
      </c>
      <c r="C45" s="13" t="s">
        <v>1494</v>
      </c>
      <c r="D45" s="13" t="s">
        <v>391</v>
      </c>
      <c r="E45" s="13" t="s">
        <v>488</v>
      </c>
      <c r="F45" s="13">
        <v>6</v>
      </c>
      <c r="G45" s="13" t="s">
        <v>1495</v>
      </c>
      <c r="H45" s="13" t="s">
        <v>1023</v>
      </c>
      <c r="I45" s="13" t="s">
        <v>502</v>
      </c>
      <c r="J45" s="13" t="s">
        <v>1496</v>
      </c>
    </row>
    <row r="46" spans="1:10" ht="69">
      <c r="A46" s="13" t="s">
        <v>1497</v>
      </c>
      <c r="B46" s="13" t="s">
        <v>1471</v>
      </c>
      <c r="C46" s="13" t="s">
        <v>1498</v>
      </c>
      <c r="D46" s="13" t="s">
        <v>492</v>
      </c>
      <c r="E46" s="13" t="s">
        <v>488</v>
      </c>
      <c r="F46" s="13">
        <v>8</v>
      </c>
      <c r="G46" s="13" t="s">
        <v>1499</v>
      </c>
      <c r="H46" s="13" t="s">
        <v>1500</v>
      </c>
      <c r="I46" s="13" t="s">
        <v>502</v>
      </c>
      <c r="J46" s="13" t="s">
        <v>1501</v>
      </c>
    </row>
    <row r="47" spans="1:10" ht="55.2">
      <c r="A47" s="13" t="s">
        <v>1502</v>
      </c>
      <c r="B47" s="13" t="s">
        <v>575</v>
      </c>
      <c r="C47" s="13" t="s">
        <v>1503</v>
      </c>
      <c r="D47" s="13" t="s">
        <v>488</v>
      </c>
      <c r="E47" s="13" t="s">
        <v>488</v>
      </c>
      <c r="F47" s="13">
        <v>4</v>
      </c>
      <c r="G47" s="13" t="s">
        <v>1504</v>
      </c>
      <c r="H47" s="13" t="s">
        <v>1505</v>
      </c>
      <c r="I47" s="13" t="s">
        <v>502</v>
      </c>
      <c r="J47" s="13" t="s">
        <v>1506</v>
      </c>
    </row>
    <row r="48" spans="1:10" ht="82.8">
      <c r="A48" s="13" t="s">
        <v>1507</v>
      </c>
      <c r="B48" s="13" t="s">
        <v>689</v>
      </c>
      <c r="C48" s="13" t="s">
        <v>1508</v>
      </c>
      <c r="D48" s="13" t="s">
        <v>391</v>
      </c>
      <c r="E48" s="13" t="s">
        <v>488</v>
      </c>
      <c r="F48" s="13">
        <v>6</v>
      </c>
      <c r="G48" s="13" t="s">
        <v>1509</v>
      </c>
      <c r="H48" s="13" t="s">
        <v>1032</v>
      </c>
      <c r="I48" s="13" t="s">
        <v>502</v>
      </c>
      <c r="J48" s="13" t="s">
        <v>1510</v>
      </c>
    </row>
    <row r="49" spans="1:10" ht="69">
      <c r="A49" s="13" t="s">
        <v>1511</v>
      </c>
      <c r="B49" s="13" t="s">
        <v>575</v>
      </c>
      <c r="C49" s="13" t="s">
        <v>1512</v>
      </c>
      <c r="D49" s="13" t="s">
        <v>391</v>
      </c>
      <c r="E49" s="13" t="s">
        <v>488</v>
      </c>
      <c r="F49" s="13">
        <v>6</v>
      </c>
      <c r="G49" s="13" t="s">
        <v>1513</v>
      </c>
      <c r="H49" s="13" t="s">
        <v>1514</v>
      </c>
      <c r="I49" s="13" t="s">
        <v>502</v>
      </c>
      <c r="J49" s="13" t="s">
        <v>1515</v>
      </c>
    </row>
    <row r="50" spans="1:10" ht="69">
      <c r="A50" s="13" t="s">
        <v>1516</v>
      </c>
      <c r="B50" s="13" t="s">
        <v>575</v>
      </c>
      <c r="C50" s="13" t="s">
        <v>1517</v>
      </c>
      <c r="D50" s="13" t="s">
        <v>488</v>
      </c>
      <c r="E50" s="13" t="s">
        <v>488</v>
      </c>
      <c r="F50" s="13">
        <v>4</v>
      </c>
      <c r="G50" s="13" t="s">
        <v>1518</v>
      </c>
      <c r="H50" s="13" t="s">
        <v>1519</v>
      </c>
      <c r="I50" s="13" t="s">
        <v>502</v>
      </c>
      <c r="J50" s="13" t="s">
        <v>1520</v>
      </c>
    </row>
    <row r="51" spans="1:10">
      <c r="A51" s="13"/>
      <c r="B51" s="13"/>
      <c r="C51" s="13"/>
      <c r="D51" s="13"/>
      <c r="E51" s="13"/>
      <c r="F51" s="13"/>
      <c r="G51" s="13"/>
      <c r="H51" s="13"/>
      <c r="I51" s="13"/>
      <c r="J51" s="13"/>
    </row>
    <row r="52" spans="1:10">
      <c r="A52" s="842" t="s">
        <v>1051</v>
      </c>
      <c r="B52" s="839"/>
      <c r="C52" s="839"/>
      <c r="D52" s="85"/>
      <c r="E52" s="85"/>
      <c r="F52" s="85"/>
      <c r="G52" s="85"/>
      <c r="H52" s="85"/>
      <c r="I52" s="85"/>
      <c r="J52" s="85"/>
    </row>
    <row r="53" spans="1:10">
      <c r="A53" s="50" t="s">
        <v>221</v>
      </c>
      <c r="B53" s="50" t="s">
        <v>222</v>
      </c>
      <c r="C53" s="50" t="s">
        <v>265</v>
      </c>
      <c r="D53" s="50" t="s">
        <v>77</v>
      </c>
      <c r="E53" s="50" t="s">
        <v>878</v>
      </c>
      <c r="F53" s="50" t="s">
        <v>879</v>
      </c>
      <c r="G53" s="50" t="s">
        <v>880</v>
      </c>
      <c r="H53" s="50" t="s">
        <v>494</v>
      </c>
      <c r="I53" s="50" t="s">
        <v>881</v>
      </c>
      <c r="J53" s="50" t="s">
        <v>11</v>
      </c>
    </row>
    <row r="54" spans="1:10" ht="82.8">
      <c r="A54" s="13" t="s">
        <v>1521</v>
      </c>
      <c r="B54" s="13" t="s">
        <v>1522</v>
      </c>
      <c r="C54" s="13" t="s">
        <v>579</v>
      </c>
      <c r="D54" s="13" t="s">
        <v>502</v>
      </c>
      <c r="E54" s="13"/>
      <c r="F54" s="13"/>
      <c r="G54" s="13" t="s">
        <v>1523</v>
      </c>
      <c r="H54" s="13"/>
      <c r="I54" s="13"/>
      <c r="J54" s="13"/>
    </row>
    <row r="55" spans="1:10" ht="69">
      <c r="A55" s="13" t="s">
        <v>1524</v>
      </c>
      <c r="B55" s="13" t="s">
        <v>1525</v>
      </c>
      <c r="C55" s="13" t="s">
        <v>587</v>
      </c>
      <c r="D55" s="13" t="s">
        <v>502</v>
      </c>
      <c r="E55" s="13"/>
      <c r="F55" s="13"/>
      <c r="G55" s="13" t="s">
        <v>1421</v>
      </c>
      <c r="H55" s="13"/>
      <c r="I55" s="13"/>
      <c r="J55" s="13"/>
    </row>
    <row r="56" spans="1:10" ht="82.8">
      <c r="A56" s="13" t="s">
        <v>1526</v>
      </c>
      <c r="B56" s="13" t="s">
        <v>1527</v>
      </c>
      <c r="C56" s="13" t="s">
        <v>587</v>
      </c>
      <c r="D56" s="13" t="s">
        <v>502</v>
      </c>
      <c r="E56" s="13"/>
      <c r="F56" s="13"/>
      <c r="G56" s="13" t="s">
        <v>1528</v>
      </c>
      <c r="H56" s="13"/>
      <c r="I56" s="13"/>
      <c r="J56" s="13"/>
    </row>
    <row r="57" spans="1:10" ht="55.2">
      <c r="A57" s="13" t="s">
        <v>1529</v>
      </c>
      <c r="B57" s="13" t="s">
        <v>1530</v>
      </c>
      <c r="C57" s="13" t="s">
        <v>616</v>
      </c>
      <c r="D57" s="13" t="s">
        <v>502</v>
      </c>
      <c r="E57" s="13"/>
      <c r="F57" s="13"/>
      <c r="G57" s="13" t="s">
        <v>1531</v>
      </c>
      <c r="H57" s="13"/>
      <c r="I57" s="13"/>
      <c r="J57" s="13"/>
    </row>
    <row r="58" spans="1:10" ht="69">
      <c r="A58" s="13" t="s">
        <v>1532</v>
      </c>
      <c r="B58" s="13" t="s">
        <v>1533</v>
      </c>
      <c r="C58" s="13" t="s">
        <v>1534</v>
      </c>
      <c r="D58" s="13" t="s">
        <v>502</v>
      </c>
      <c r="E58" s="13"/>
      <c r="F58" s="13"/>
      <c r="G58" s="13" t="s">
        <v>1535</v>
      </c>
      <c r="H58" s="13"/>
      <c r="I58" s="13"/>
      <c r="J58" s="13"/>
    </row>
    <row r="59" spans="1:10" ht="82.8">
      <c r="A59" s="13" t="s">
        <v>1536</v>
      </c>
      <c r="B59" s="13" t="s">
        <v>1537</v>
      </c>
      <c r="C59" s="13" t="s">
        <v>1430</v>
      </c>
      <c r="D59" s="13" t="s">
        <v>502</v>
      </c>
      <c r="E59" s="13"/>
      <c r="F59" s="13"/>
      <c r="G59" s="13" t="s">
        <v>1538</v>
      </c>
      <c r="H59" s="13"/>
      <c r="I59" s="13"/>
      <c r="J59" s="13"/>
    </row>
    <row r="60" spans="1:10" ht="82.8">
      <c r="A60" s="13" t="s">
        <v>1539</v>
      </c>
      <c r="B60" s="13" t="s">
        <v>1540</v>
      </c>
      <c r="C60" s="13" t="s">
        <v>1541</v>
      </c>
      <c r="D60" s="13" t="s">
        <v>502</v>
      </c>
      <c r="E60" s="13"/>
      <c r="F60" s="13"/>
      <c r="G60" s="13" t="s">
        <v>1542</v>
      </c>
      <c r="H60" s="13"/>
      <c r="I60" s="13"/>
      <c r="J60" s="13"/>
    </row>
    <row r="61" spans="1:10">
      <c r="A61" s="13"/>
      <c r="B61" s="13"/>
      <c r="C61" s="13"/>
      <c r="D61" s="13"/>
      <c r="E61" s="13"/>
      <c r="F61" s="13"/>
      <c r="G61" s="13"/>
      <c r="H61" s="13"/>
      <c r="I61" s="13"/>
      <c r="J61" s="13"/>
    </row>
    <row r="62" spans="1:10">
      <c r="A62" s="842" t="s">
        <v>1052</v>
      </c>
      <c r="B62" s="839"/>
      <c r="C62" s="839"/>
      <c r="D62" s="85"/>
      <c r="E62" s="85"/>
      <c r="F62" s="85"/>
      <c r="G62" s="85"/>
      <c r="H62" s="85"/>
      <c r="I62" s="85"/>
      <c r="J62" s="85"/>
    </row>
    <row r="63" spans="1:10">
      <c r="A63" s="50" t="s">
        <v>291</v>
      </c>
      <c r="B63" s="50" t="s">
        <v>275</v>
      </c>
      <c r="C63" s="50" t="s">
        <v>493</v>
      </c>
      <c r="D63" s="50" t="s">
        <v>214</v>
      </c>
      <c r="E63" s="50" t="s">
        <v>263</v>
      </c>
      <c r="F63" s="50" t="s">
        <v>891</v>
      </c>
      <c r="G63" s="50" t="s">
        <v>892</v>
      </c>
      <c r="H63" s="50" t="s">
        <v>893</v>
      </c>
      <c r="I63" s="50" t="s">
        <v>77</v>
      </c>
      <c r="J63" s="50" t="s">
        <v>11</v>
      </c>
    </row>
    <row r="64" spans="1:10" ht="55.2">
      <c r="A64" s="13" t="s">
        <v>1543</v>
      </c>
      <c r="B64" s="13" t="s">
        <v>689</v>
      </c>
      <c r="C64" s="13" t="s">
        <v>269</v>
      </c>
      <c r="D64" s="13" t="s">
        <v>1544</v>
      </c>
      <c r="E64" s="13"/>
      <c r="F64" s="13" t="s">
        <v>229</v>
      </c>
      <c r="G64" s="13"/>
      <c r="H64" s="13" t="s">
        <v>1545</v>
      </c>
      <c r="I64" s="13" t="s">
        <v>502</v>
      </c>
      <c r="J64" s="13"/>
    </row>
    <row r="65" spans="1:10" ht="69">
      <c r="A65" s="13" t="s">
        <v>1546</v>
      </c>
      <c r="B65" s="13" t="s">
        <v>1471</v>
      </c>
      <c r="C65" s="13" t="s">
        <v>269</v>
      </c>
      <c r="D65" s="13" t="s">
        <v>1547</v>
      </c>
      <c r="E65" s="13"/>
      <c r="F65" s="13" t="s">
        <v>229</v>
      </c>
      <c r="G65" s="13"/>
      <c r="H65" s="13" t="s">
        <v>1497</v>
      </c>
      <c r="I65" s="13" t="s">
        <v>502</v>
      </c>
      <c r="J65" s="13"/>
    </row>
    <row r="66" spans="1:10" ht="69">
      <c r="A66" s="13" t="s">
        <v>1548</v>
      </c>
      <c r="B66" s="13" t="s">
        <v>575</v>
      </c>
      <c r="C66" s="13" t="s">
        <v>957</v>
      </c>
      <c r="D66" s="13" t="s">
        <v>1549</v>
      </c>
      <c r="E66" s="13"/>
      <c r="F66" s="13" t="s">
        <v>229</v>
      </c>
      <c r="G66" s="13"/>
      <c r="H66" s="13" t="s">
        <v>1511</v>
      </c>
      <c r="I66" s="13" t="s">
        <v>502</v>
      </c>
      <c r="J66" s="13"/>
    </row>
    <row r="67" spans="1:10" ht="55.2">
      <c r="A67" s="13" t="s">
        <v>1550</v>
      </c>
      <c r="B67" s="13" t="s">
        <v>689</v>
      </c>
      <c r="C67" s="13" t="s">
        <v>153</v>
      </c>
      <c r="D67" s="13" t="s">
        <v>1551</v>
      </c>
      <c r="E67" s="13"/>
      <c r="F67" s="13" t="s">
        <v>229</v>
      </c>
      <c r="G67" s="13"/>
      <c r="H67" s="13" t="s">
        <v>1507</v>
      </c>
      <c r="I67" s="13" t="s">
        <v>502</v>
      </c>
      <c r="J67" s="13"/>
    </row>
    <row r="68" spans="1:10" ht="55.2">
      <c r="A68" s="13" t="s">
        <v>1552</v>
      </c>
      <c r="B68" s="13" t="s">
        <v>575</v>
      </c>
      <c r="C68" s="13" t="s">
        <v>155</v>
      </c>
      <c r="D68" s="13" t="s">
        <v>1553</v>
      </c>
      <c r="E68" s="13"/>
      <c r="F68" s="13" t="s">
        <v>229</v>
      </c>
      <c r="G68" s="13"/>
      <c r="H68" s="13" t="s">
        <v>1516</v>
      </c>
      <c r="I68" s="13" t="s">
        <v>502</v>
      </c>
      <c r="J68" s="13"/>
    </row>
    <row r="69" spans="1:10" ht="41.4">
      <c r="A69" s="13" t="s">
        <v>1554</v>
      </c>
      <c r="B69" s="13" t="s">
        <v>575</v>
      </c>
      <c r="C69" s="13" t="s">
        <v>556</v>
      </c>
      <c r="D69" s="13" t="s">
        <v>1555</v>
      </c>
      <c r="E69" s="13"/>
      <c r="F69" s="13" t="s">
        <v>229</v>
      </c>
      <c r="G69" s="13"/>
      <c r="H69" s="13" t="s">
        <v>1516</v>
      </c>
      <c r="I69" s="13" t="s">
        <v>502</v>
      </c>
      <c r="J69" s="13"/>
    </row>
    <row r="70" spans="1:10">
      <c r="A70" s="13"/>
      <c r="B70" s="13"/>
      <c r="C70" s="13"/>
      <c r="D70" s="13"/>
      <c r="E70" s="13"/>
      <c r="F70" s="13"/>
      <c r="G70" s="13"/>
      <c r="H70" s="13"/>
      <c r="I70" s="13"/>
      <c r="J70" s="13"/>
    </row>
    <row r="71" spans="1:10">
      <c r="A71" s="842" t="s">
        <v>1079</v>
      </c>
      <c r="B71" s="839"/>
      <c r="C71" s="839"/>
      <c r="D71" s="85"/>
      <c r="E71" s="85"/>
      <c r="F71" s="85"/>
      <c r="G71" s="85"/>
      <c r="H71" s="85"/>
      <c r="I71" s="85"/>
      <c r="J71" s="85"/>
    </row>
    <row r="72" spans="1:10">
      <c r="A72" s="50" t="s">
        <v>275</v>
      </c>
      <c r="B72" s="50" t="s">
        <v>895</v>
      </c>
      <c r="C72" s="50" t="s">
        <v>896</v>
      </c>
      <c r="D72" s="50" t="s">
        <v>148</v>
      </c>
      <c r="E72" s="50" t="s">
        <v>153</v>
      </c>
      <c r="F72" s="50" t="s">
        <v>155</v>
      </c>
      <c r="G72" s="50" t="s">
        <v>491</v>
      </c>
      <c r="H72" s="50" t="s">
        <v>897</v>
      </c>
      <c r="I72" s="50" t="s">
        <v>174</v>
      </c>
      <c r="J72" s="50" t="s">
        <v>11</v>
      </c>
    </row>
    <row r="73" spans="1:10">
      <c r="A73" s="13" t="s">
        <v>689</v>
      </c>
      <c r="B73" s="126">
        <v>0.5</v>
      </c>
      <c r="C73" s="126">
        <v>0.5</v>
      </c>
      <c r="D73" s="13" t="s">
        <v>679</v>
      </c>
      <c r="E73" s="128">
        <v>0.5</v>
      </c>
      <c r="F73" s="128">
        <v>0.5</v>
      </c>
      <c r="G73" s="13" t="s">
        <v>677</v>
      </c>
      <c r="H73" s="128">
        <v>0.5</v>
      </c>
      <c r="I73" s="13" t="s">
        <v>1201</v>
      </c>
      <c r="J73" s="13" t="s">
        <v>1556</v>
      </c>
    </row>
    <row r="74" spans="1:10" ht="27.6">
      <c r="A74" s="13" t="s">
        <v>1471</v>
      </c>
      <c r="B74" s="126">
        <v>0.5</v>
      </c>
      <c r="C74" s="126">
        <v>0.5</v>
      </c>
      <c r="D74" s="13" t="s">
        <v>679</v>
      </c>
      <c r="E74" s="128">
        <v>0.5</v>
      </c>
      <c r="F74" s="128">
        <v>0.5</v>
      </c>
      <c r="G74" s="13" t="s">
        <v>677</v>
      </c>
      <c r="H74" s="128">
        <v>0.5</v>
      </c>
      <c r="I74" s="13" t="s">
        <v>1201</v>
      </c>
      <c r="J74" s="13" t="s">
        <v>1557</v>
      </c>
    </row>
    <row r="75" spans="1:10">
      <c r="A75" s="13"/>
      <c r="B75" s="13"/>
      <c r="C75" s="13"/>
      <c r="D75" s="13"/>
      <c r="E75" s="13"/>
      <c r="F75" s="13"/>
      <c r="G75" s="13"/>
      <c r="H75" s="13"/>
      <c r="I75" s="13"/>
      <c r="J75" s="13"/>
    </row>
    <row r="76" spans="1:10">
      <c r="A76" s="842" t="s">
        <v>1085</v>
      </c>
      <c r="B76" s="839"/>
      <c r="C76" s="839"/>
      <c r="D76" s="85"/>
      <c r="E76" s="85"/>
      <c r="F76" s="85"/>
      <c r="G76" s="85"/>
      <c r="H76" s="85"/>
      <c r="I76" s="85"/>
      <c r="J76" s="85"/>
    </row>
    <row r="77" spans="1:10" ht="55.2">
      <c r="A77" s="50" t="s">
        <v>905</v>
      </c>
      <c r="B77" s="50" t="s">
        <v>779</v>
      </c>
      <c r="C77" s="50"/>
      <c r="D77" s="50"/>
      <c r="E77" s="50"/>
      <c r="F77" s="50"/>
      <c r="G77" s="50"/>
      <c r="H77" s="50"/>
      <c r="I77" s="50"/>
      <c r="J77" s="50"/>
    </row>
    <row r="78" spans="1:10">
      <c r="A78" s="13" t="s">
        <v>1086</v>
      </c>
      <c r="B78" s="852" t="s">
        <v>1558</v>
      </c>
      <c r="C78" s="839"/>
      <c r="D78" s="839"/>
      <c r="E78" s="839"/>
      <c r="F78" s="839"/>
      <c r="G78" s="839"/>
      <c r="H78" s="839"/>
      <c r="I78" s="839"/>
      <c r="J78" s="839"/>
    </row>
    <row r="79" spans="1:10">
      <c r="A79" s="13" t="s">
        <v>1559</v>
      </c>
      <c r="B79" s="852" t="s">
        <v>1560</v>
      </c>
      <c r="C79" s="839"/>
      <c r="D79" s="839"/>
      <c r="E79" s="839"/>
      <c r="F79" s="839"/>
      <c r="G79" s="839"/>
      <c r="H79" s="839"/>
      <c r="I79" s="839"/>
      <c r="J79" s="839"/>
    </row>
    <row r="80" spans="1:10">
      <c r="A80" s="13" t="s">
        <v>1088</v>
      </c>
      <c r="B80" s="852" t="s">
        <v>1561</v>
      </c>
      <c r="C80" s="839"/>
      <c r="D80" s="839"/>
      <c r="E80" s="839"/>
      <c r="F80" s="839"/>
      <c r="G80" s="839"/>
      <c r="H80" s="839"/>
      <c r="I80" s="839"/>
      <c r="J80" s="839"/>
    </row>
    <row r="81" spans="1:10">
      <c r="A81" s="13" t="s">
        <v>1090</v>
      </c>
      <c r="B81" s="852" t="s">
        <v>1562</v>
      </c>
      <c r="C81" s="839"/>
      <c r="D81" s="839"/>
      <c r="E81" s="839"/>
      <c r="F81" s="839"/>
      <c r="G81" s="839"/>
      <c r="H81" s="839"/>
      <c r="I81" s="839"/>
      <c r="J81" s="839"/>
    </row>
    <row r="82" spans="1:10">
      <c r="A82" s="13" t="s">
        <v>1563</v>
      </c>
      <c r="B82" s="852" t="s">
        <v>1564</v>
      </c>
      <c r="C82" s="839"/>
      <c r="D82" s="839"/>
      <c r="E82" s="839"/>
      <c r="F82" s="839"/>
      <c r="G82" s="839"/>
      <c r="H82" s="839"/>
      <c r="I82" s="839"/>
      <c r="J82" s="839"/>
    </row>
    <row r="83" spans="1:10" ht="15" thickBot="1"/>
    <row r="84" spans="1:10">
      <c r="A84" s="855" t="s">
        <v>5875</v>
      </c>
      <c r="B84" s="856"/>
      <c r="C84" s="856"/>
      <c r="D84" s="857"/>
      <c r="E84" s="856"/>
      <c r="F84" s="856"/>
      <c r="G84" s="857"/>
      <c r="H84" s="857"/>
      <c r="I84" s="857"/>
      <c r="J84" s="858"/>
    </row>
    <row r="85" spans="1:10">
      <c r="A85" s="325" t="s">
        <v>5817</v>
      </c>
      <c r="B85" s="326" t="s">
        <v>77</v>
      </c>
      <c r="C85" s="326" t="s">
        <v>5818</v>
      </c>
      <c r="D85" s="326" t="s">
        <v>5819</v>
      </c>
      <c r="E85" s="326" t="s">
        <v>5841</v>
      </c>
      <c r="F85" s="326" t="s">
        <v>5808</v>
      </c>
      <c r="G85" s="859" t="s">
        <v>5842</v>
      </c>
      <c r="H85" s="859"/>
      <c r="I85" s="859"/>
      <c r="J85" s="860"/>
    </row>
    <row r="86" spans="1:10" ht="26.4">
      <c r="A86" s="327" t="s">
        <v>5820</v>
      </c>
      <c r="B86" s="337" t="s">
        <v>484</v>
      </c>
      <c r="C86" s="329">
        <v>0</v>
      </c>
      <c r="D86" s="329">
        <v>0</v>
      </c>
      <c r="E86" s="196" t="s">
        <v>5881</v>
      </c>
      <c r="F86" s="329">
        <f>IF(AND(C86&lt;&gt;"",D86&lt;&gt;""),D86-C86,"")</f>
        <v>0</v>
      </c>
      <c r="G86" s="861"/>
      <c r="H86" s="861"/>
      <c r="I86" s="861"/>
      <c r="J86" s="862"/>
    </row>
    <row r="87" spans="1:10" ht="26.4">
      <c r="A87" s="330" t="s">
        <v>5821</v>
      </c>
      <c r="B87" s="337" t="s">
        <v>484</v>
      </c>
      <c r="C87" s="331">
        <v>1</v>
      </c>
      <c r="D87" s="331">
        <v>0</v>
      </c>
      <c r="E87" s="314" t="s">
        <v>5882</v>
      </c>
      <c r="F87" s="331">
        <f>IF(AND(C87&lt;&gt;"",D87&lt;&gt;""),D87-C87,"")</f>
        <v>-1</v>
      </c>
      <c r="G87" s="863"/>
      <c r="H87" s="863"/>
      <c r="I87" s="863"/>
      <c r="J87" s="864"/>
    </row>
    <row r="88" spans="1:10">
      <c r="A88" s="327" t="s">
        <v>5822</v>
      </c>
      <c r="B88" s="337" t="s">
        <v>484</v>
      </c>
      <c r="C88" s="331">
        <v>1</v>
      </c>
      <c r="D88" s="331">
        <v>0</v>
      </c>
      <c r="E88" s="314" t="s">
        <v>5882</v>
      </c>
      <c r="F88" s="329">
        <f>IF(AND(C88&lt;&gt;"",D88&lt;&gt;""),D88-C88,"")</f>
        <v>-1</v>
      </c>
      <c r="G88" s="332"/>
      <c r="H88" s="231"/>
      <c r="I88" s="231"/>
      <c r="J88" s="333"/>
    </row>
    <row r="89" spans="1:10">
      <c r="A89" s="330" t="s">
        <v>5823</v>
      </c>
      <c r="B89" s="337" t="s">
        <v>484</v>
      </c>
      <c r="C89" s="331">
        <v>1</v>
      </c>
      <c r="D89" s="331">
        <v>0</v>
      </c>
      <c r="E89" s="314" t="s">
        <v>5882</v>
      </c>
      <c r="F89" s="331">
        <f>IF(AND(C89&lt;&gt;"",D89&lt;&gt;""),D89-C89,"")</f>
        <v>-1</v>
      </c>
      <c r="G89" s="863"/>
      <c r="H89" s="863"/>
      <c r="I89" s="863"/>
      <c r="J89" s="864"/>
    </row>
    <row r="90" spans="1:10">
      <c r="A90" s="327" t="s">
        <v>5168</v>
      </c>
      <c r="B90" s="337" t="s">
        <v>484</v>
      </c>
      <c r="C90" s="331">
        <v>1</v>
      </c>
      <c r="D90" s="331">
        <v>0</v>
      </c>
      <c r="E90" s="314" t="s">
        <v>5882</v>
      </c>
      <c r="F90" s="329">
        <f>IF(AND(C90&lt;&gt;"",D90&lt;&gt;""),D90-C90,"")</f>
        <v>-1</v>
      </c>
      <c r="G90" s="332"/>
      <c r="H90" s="231"/>
      <c r="I90" s="231"/>
      <c r="J90" s="333"/>
    </row>
    <row r="91" spans="1:10" ht="15.6">
      <c r="A91" s="865" t="s">
        <v>5843</v>
      </c>
      <c r="B91" s="713"/>
      <c r="C91" s="334">
        <f>IFERROR(AVERAGE(C86:C90),"")</f>
        <v>0.8</v>
      </c>
      <c r="D91" s="334">
        <f>IFERROR(AVERAGE(D86:D90),"")</f>
        <v>0</v>
      </c>
      <c r="E91" s="866" t="s">
        <v>5844</v>
      </c>
      <c r="F91" s="866"/>
      <c r="G91" s="866"/>
      <c r="H91" s="866"/>
      <c r="I91" s="866"/>
      <c r="J91" s="867"/>
    </row>
    <row r="92" spans="1:10">
      <c r="A92" s="335"/>
      <c r="B92" s="320"/>
      <c r="C92" s="320"/>
      <c r="D92" s="320"/>
      <c r="E92" s="320"/>
      <c r="F92" s="320"/>
      <c r="G92" s="320"/>
      <c r="H92" s="231"/>
      <c r="I92" s="231"/>
      <c r="J92" s="333"/>
    </row>
    <row r="93" spans="1:10">
      <c r="A93" s="876" t="s">
        <v>5876</v>
      </c>
      <c r="B93" s="853"/>
      <c r="C93" s="853"/>
      <c r="D93" s="842"/>
      <c r="E93" s="853"/>
      <c r="F93" s="853"/>
      <c r="G93" s="842"/>
      <c r="H93" s="842"/>
      <c r="I93" s="842"/>
      <c r="J93" s="868"/>
    </row>
    <row r="94" spans="1:10">
      <c r="A94" s="325" t="s">
        <v>4946</v>
      </c>
      <c r="B94" s="326" t="s">
        <v>77</v>
      </c>
      <c r="C94" s="326" t="s">
        <v>5883</v>
      </c>
      <c r="D94" s="326" t="s">
        <v>482</v>
      </c>
      <c r="E94" s="326" t="s">
        <v>572</v>
      </c>
      <c r="F94" s="326" t="s">
        <v>5846</v>
      </c>
      <c r="G94" s="859" t="s">
        <v>5847</v>
      </c>
      <c r="H94" s="859"/>
      <c r="I94" s="859"/>
      <c r="J94" s="860"/>
    </row>
    <row r="95" spans="1:10" ht="26.4">
      <c r="A95" s="330" t="s">
        <v>5809</v>
      </c>
      <c r="B95" s="337" t="s">
        <v>484</v>
      </c>
      <c r="C95" s="336" t="s">
        <v>679</v>
      </c>
      <c r="D95" s="328" t="s">
        <v>679</v>
      </c>
      <c r="E95" s="336">
        <f>IF(D95="Yes",1,0)</f>
        <v>0</v>
      </c>
      <c r="F95" s="877"/>
      <c r="G95" s="877"/>
      <c r="H95" s="877"/>
      <c r="I95" s="877"/>
      <c r="J95" s="878"/>
    </row>
    <row r="96" spans="1:10">
      <c r="A96" s="327" t="s">
        <v>995</v>
      </c>
      <c r="B96" s="337" t="s">
        <v>484</v>
      </c>
      <c r="C96" s="336" t="s">
        <v>679</v>
      </c>
      <c r="D96" s="328" t="s">
        <v>679</v>
      </c>
      <c r="E96" s="328">
        <f t="shared" ref="E96:E102" si="0">IF(D96="Yes",1,0)</f>
        <v>0</v>
      </c>
      <c r="F96" s="877"/>
      <c r="G96" s="877"/>
      <c r="H96" s="877"/>
      <c r="I96" s="877"/>
      <c r="J96" s="878"/>
    </row>
    <row r="97" spans="1:10">
      <c r="A97" s="330" t="s">
        <v>5810</v>
      </c>
      <c r="B97" s="337" t="s">
        <v>484</v>
      </c>
      <c r="C97" s="336" t="s">
        <v>679</v>
      </c>
      <c r="D97" s="328" t="s">
        <v>679</v>
      </c>
      <c r="E97" s="336">
        <f t="shared" si="0"/>
        <v>0</v>
      </c>
      <c r="F97" s="877"/>
      <c r="G97" s="877"/>
      <c r="H97" s="877"/>
      <c r="I97" s="877"/>
      <c r="J97" s="878"/>
    </row>
    <row r="98" spans="1:10">
      <c r="A98" s="327" t="s">
        <v>5824</v>
      </c>
      <c r="B98" s="337" t="s">
        <v>484</v>
      </c>
      <c r="C98" s="336" t="s">
        <v>679</v>
      </c>
      <c r="D98" s="328" t="s">
        <v>679</v>
      </c>
      <c r="E98" s="328">
        <f t="shared" si="0"/>
        <v>0</v>
      </c>
      <c r="F98" s="877"/>
      <c r="G98" s="877"/>
      <c r="H98" s="877"/>
      <c r="I98" s="877"/>
      <c r="J98" s="878"/>
    </row>
    <row r="99" spans="1:10" ht="39.6">
      <c r="A99" s="330" t="s">
        <v>5825</v>
      </c>
      <c r="B99" s="337" t="s">
        <v>484</v>
      </c>
      <c r="C99" s="336" t="s">
        <v>679</v>
      </c>
      <c r="D99" s="328" t="s">
        <v>679</v>
      </c>
      <c r="E99" s="336">
        <f t="shared" si="0"/>
        <v>0</v>
      </c>
      <c r="F99" s="877"/>
      <c r="G99" s="877"/>
      <c r="H99" s="877"/>
      <c r="I99" s="877"/>
      <c r="J99" s="878"/>
    </row>
    <row r="100" spans="1:10" ht="26.4">
      <c r="A100" s="327" t="s">
        <v>5826</v>
      </c>
      <c r="B100" s="337" t="s">
        <v>484</v>
      </c>
      <c r="C100" s="336" t="s">
        <v>679</v>
      </c>
      <c r="D100" s="328" t="s">
        <v>679</v>
      </c>
      <c r="E100" s="328">
        <f t="shared" si="0"/>
        <v>0</v>
      </c>
      <c r="F100" s="877"/>
      <c r="G100" s="877"/>
      <c r="H100" s="877"/>
      <c r="I100" s="877"/>
      <c r="J100" s="878"/>
    </row>
    <row r="101" spans="1:10">
      <c r="A101" s="330" t="s">
        <v>5811</v>
      </c>
      <c r="B101" s="337" t="s">
        <v>484</v>
      </c>
      <c r="C101" s="336" t="s">
        <v>679</v>
      </c>
      <c r="D101" s="328" t="s">
        <v>679</v>
      </c>
      <c r="E101" s="336">
        <f t="shared" si="0"/>
        <v>0</v>
      </c>
      <c r="F101" s="877"/>
      <c r="G101" s="877"/>
      <c r="H101" s="877"/>
      <c r="I101" s="877"/>
      <c r="J101" s="878"/>
    </row>
    <row r="102" spans="1:10" ht="26.4">
      <c r="A102" s="327" t="s">
        <v>5812</v>
      </c>
      <c r="B102" s="337" t="s">
        <v>484</v>
      </c>
      <c r="C102" s="336" t="s">
        <v>679</v>
      </c>
      <c r="D102" s="328" t="s">
        <v>679</v>
      </c>
      <c r="E102" s="328">
        <f t="shared" si="0"/>
        <v>0</v>
      </c>
      <c r="F102" s="877"/>
      <c r="G102" s="877"/>
      <c r="H102" s="877"/>
      <c r="I102" s="877"/>
      <c r="J102" s="878"/>
    </row>
    <row r="103" spans="1:10" ht="15.6">
      <c r="A103" s="865" t="s">
        <v>5848</v>
      </c>
      <c r="B103" s="713"/>
      <c r="C103" s="871" t="str">
        <f>IFERROR(SUM(E95:E102)/COUNTIF(C95:C102,"Yes"),"")</f>
        <v/>
      </c>
      <c r="D103" s="872"/>
      <c r="E103" s="866" t="s">
        <v>5849</v>
      </c>
      <c r="F103" s="866"/>
      <c r="G103" s="866"/>
      <c r="H103" s="866"/>
      <c r="I103" s="866"/>
      <c r="J103" s="867"/>
    </row>
    <row r="104" spans="1:10">
      <c r="A104" s="335"/>
      <c r="B104" s="320"/>
      <c r="C104" s="320"/>
      <c r="D104" s="320"/>
      <c r="E104" s="320"/>
      <c r="F104" s="320"/>
      <c r="G104" s="320"/>
      <c r="H104" s="231"/>
      <c r="I104" s="231"/>
      <c r="J104" s="333"/>
    </row>
    <row r="105" spans="1:10">
      <c r="A105" s="876" t="s">
        <v>5877</v>
      </c>
      <c r="B105" s="853"/>
      <c r="C105" s="853"/>
      <c r="D105" s="842"/>
      <c r="E105" s="853"/>
      <c r="F105" s="853"/>
      <c r="G105" s="842"/>
      <c r="H105" s="842"/>
      <c r="I105" s="842"/>
      <c r="J105" s="868"/>
    </row>
    <row r="106" spans="1:10">
      <c r="A106" s="325" t="s">
        <v>5850</v>
      </c>
      <c r="B106" s="326" t="s">
        <v>77</v>
      </c>
      <c r="C106" s="326" t="s">
        <v>5827</v>
      </c>
      <c r="D106" s="326" t="s">
        <v>5828</v>
      </c>
      <c r="E106" s="326" t="s">
        <v>5829</v>
      </c>
      <c r="F106" s="326" t="s">
        <v>5851</v>
      </c>
      <c r="G106" s="859" t="s">
        <v>5852</v>
      </c>
      <c r="H106" s="859"/>
      <c r="I106" s="859"/>
      <c r="J106" s="860"/>
    </row>
    <row r="107" spans="1:10" ht="26.4">
      <c r="A107" s="330" t="s">
        <v>5830</v>
      </c>
      <c r="B107" s="336" t="s">
        <v>484</v>
      </c>
      <c r="C107" s="336" t="s">
        <v>1096</v>
      </c>
      <c r="D107" s="336" t="s">
        <v>1096</v>
      </c>
      <c r="E107" s="336" t="s">
        <v>1096</v>
      </c>
      <c r="F107" s="336" t="s">
        <v>348</v>
      </c>
      <c r="G107" s="869"/>
      <c r="H107" s="869"/>
      <c r="I107" s="869"/>
      <c r="J107" s="870"/>
    </row>
    <row r="108" spans="1:10">
      <c r="A108" s="327" t="s">
        <v>5831</v>
      </c>
      <c r="B108" s="336" t="s">
        <v>484</v>
      </c>
      <c r="C108" s="336" t="s">
        <v>1096</v>
      </c>
      <c r="D108" s="336" t="s">
        <v>1096</v>
      </c>
      <c r="E108" s="336" t="s">
        <v>1096</v>
      </c>
      <c r="F108" s="336" t="s">
        <v>348</v>
      </c>
      <c r="G108" s="869"/>
      <c r="H108" s="869"/>
      <c r="I108" s="869"/>
      <c r="J108" s="870"/>
    </row>
    <row r="109" spans="1:10">
      <c r="A109" s="330" t="s">
        <v>5853</v>
      </c>
      <c r="B109" s="336" t="s">
        <v>484</v>
      </c>
      <c r="C109" s="336" t="s">
        <v>1096</v>
      </c>
      <c r="D109" s="336" t="s">
        <v>1096</v>
      </c>
      <c r="E109" s="336" t="s">
        <v>1096</v>
      </c>
      <c r="F109" s="336" t="s">
        <v>348</v>
      </c>
      <c r="G109" s="869"/>
      <c r="H109" s="869"/>
      <c r="I109" s="869"/>
      <c r="J109" s="870"/>
    </row>
    <row r="110" spans="1:10">
      <c r="A110" s="327" t="s">
        <v>5832</v>
      </c>
      <c r="B110" s="336" t="s">
        <v>484</v>
      </c>
      <c r="C110" s="336" t="s">
        <v>1096</v>
      </c>
      <c r="D110" s="336" t="s">
        <v>1096</v>
      </c>
      <c r="E110" s="336" t="s">
        <v>1096</v>
      </c>
      <c r="F110" s="336" t="s">
        <v>348</v>
      </c>
      <c r="G110" s="869"/>
      <c r="H110" s="869"/>
      <c r="I110" s="869"/>
      <c r="J110" s="870"/>
    </row>
    <row r="111" spans="1:10" ht="26.4">
      <c r="A111" s="330" t="s">
        <v>5833</v>
      </c>
      <c r="B111" s="336" t="s">
        <v>484</v>
      </c>
      <c r="C111" s="336" t="s">
        <v>1096</v>
      </c>
      <c r="D111" s="336" t="s">
        <v>1096</v>
      </c>
      <c r="E111" s="336" t="s">
        <v>1096</v>
      </c>
      <c r="F111" s="336" t="s">
        <v>348</v>
      </c>
      <c r="G111" s="869"/>
      <c r="H111" s="869"/>
      <c r="I111" s="869"/>
      <c r="J111" s="870"/>
    </row>
    <row r="112" spans="1:10" ht="15.6">
      <c r="A112" s="865" t="s">
        <v>5884</v>
      </c>
      <c r="B112" s="713"/>
      <c r="C112" s="871">
        <f>IFERROR(COUNTIF(E107:E111,"Yes")/COUNTA(A107:A111),"")</f>
        <v>0</v>
      </c>
      <c r="D112" s="872"/>
      <c r="E112" s="866" t="s">
        <v>5855</v>
      </c>
      <c r="F112" s="866"/>
      <c r="G112" s="866"/>
      <c r="H112" s="866"/>
      <c r="I112" s="866"/>
      <c r="J112" s="867"/>
    </row>
    <row r="113" spans="1:10">
      <c r="A113" s="335"/>
      <c r="B113" s="320"/>
      <c r="C113" s="320"/>
      <c r="D113" s="320"/>
      <c r="E113" s="320"/>
      <c r="F113" s="320"/>
      <c r="G113" s="874"/>
      <c r="H113" s="874"/>
      <c r="I113" s="874"/>
      <c r="J113" s="875"/>
    </row>
    <row r="114" spans="1:10">
      <c r="A114" s="876" t="s">
        <v>5878</v>
      </c>
      <c r="B114" s="853"/>
      <c r="C114" s="853"/>
      <c r="D114" s="842"/>
      <c r="E114" s="853"/>
      <c r="F114" s="853"/>
      <c r="G114" s="842"/>
      <c r="H114" s="842"/>
      <c r="I114" s="842"/>
      <c r="J114" s="868"/>
    </row>
    <row r="115" spans="1:10">
      <c r="A115" s="326" t="s">
        <v>5813</v>
      </c>
      <c r="B115" s="326" t="s">
        <v>77</v>
      </c>
      <c r="C115" s="326" t="s">
        <v>5834</v>
      </c>
      <c r="D115" s="326" t="s">
        <v>5835</v>
      </c>
      <c r="E115" s="326" t="s">
        <v>5836</v>
      </c>
      <c r="F115" s="326" t="s">
        <v>5837</v>
      </c>
      <c r="G115" s="859" t="s">
        <v>5885</v>
      </c>
      <c r="H115" s="859"/>
      <c r="I115" s="859"/>
      <c r="J115" s="859"/>
    </row>
    <row r="116" spans="1:10">
      <c r="A116" s="332" t="s">
        <v>153</v>
      </c>
      <c r="B116" s="328" t="s">
        <v>484</v>
      </c>
      <c r="C116" s="328"/>
      <c r="D116" s="328"/>
      <c r="E116" s="328"/>
      <c r="F116" s="329" t="str">
        <f>IFERROR(D116/C116,"")</f>
        <v/>
      </c>
      <c r="G116" s="873"/>
      <c r="H116" s="873"/>
      <c r="I116" s="873"/>
      <c r="J116" s="873"/>
    </row>
    <row r="117" spans="1:10">
      <c r="A117" s="339" t="s">
        <v>155</v>
      </c>
      <c r="B117" s="336" t="s">
        <v>484</v>
      </c>
      <c r="C117" s="336"/>
      <c r="D117" s="336"/>
      <c r="E117" s="336"/>
      <c r="F117" s="331" t="str">
        <f>IFERROR(D117/C117,"")</f>
        <v/>
      </c>
      <c r="G117" s="873"/>
      <c r="H117" s="873"/>
      <c r="I117" s="873"/>
      <c r="J117" s="873"/>
    </row>
    <row r="118" spans="1:10">
      <c r="A118" s="332" t="s">
        <v>4821</v>
      </c>
      <c r="B118" s="328" t="s">
        <v>484</v>
      </c>
      <c r="C118" s="328"/>
      <c r="D118" s="328"/>
      <c r="E118" s="328"/>
      <c r="F118" s="329" t="str">
        <f>IFERROR(D118/C118,"")</f>
        <v/>
      </c>
      <c r="G118" s="873"/>
      <c r="H118" s="873"/>
      <c r="I118" s="873"/>
      <c r="J118" s="873"/>
    </row>
    <row r="119" spans="1:10">
      <c r="A119" s="339" t="s">
        <v>957</v>
      </c>
      <c r="B119" s="336" t="s">
        <v>484</v>
      </c>
      <c r="C119" s="336"/>
      <c r="D119" s="336"/>
      <c r="E119" s="336"/>
      <c r="F119" s="331" t="str">
        <f>IFERROR(D119/C119,"")</f>
        <v/>
      </c>
      <c r="G119" s="873"/>
      <c r="H119" s="873"/>
      <c r="I119" s="873"/>
      <c r="J119" s="873"/>
    </row>
    <row r="120" spans="1:10">
      <c r="A120" s="879" t="s">
        <v>5856</v>
      </c>
      <c r="B120" s="879"/>
      <c r="C120" s="879"/>
      <c r="D120" s="879"/>
      <c r="E120" s="866" t="s">
        <v>5857</v>
      </c>
      <c r="F120" s="866"/>
      <c r="G120" s="866"/>
      <c r="H120" s="866"/>
      <c r="I120" s="866"/>
      <c r="J120" s="866"/>
    </row>
    <row r="121" spans="1:10">
      <c r="A121" s="879"/>
      <c r="B121" s="879"/>
      <c r="C121" s="879"/>
      <c r="D121" s="879"/>
      <c r="E121" s="866"/>
      <c r="F121" s="866"/>
      <c r="G121" s="866"/>
      <c r="H121" s="866"/>
      <c r="I121" s="866"/>
      <c r="J121" s="866"/>
    </row>
    <row r="122" spans="1:10">
      <c r="A122" s="842" t="s">
        <v>5879</v>
      </c>
      <c r="B122" s="842"/>
      <c r="C122" s="842"/>
      <c r="D122" s="842"/>
      <c r="E122" s="842"/>
      <c r="F122" s="842"/>
      <c r="G122" s="842"/>
      <c r="H122" s="842"/>
      <c r="I122" s="842"/>
      <c r="J122" s="842"/>
    </row>
    <row r="123" spans="1:10">
      <c r="A123" s="326" t="s">
        <v>4946</v>
      </c>
      <c r="B123" s="326" t="s">
        <v>77</v>
      </c>
      <c r="C123" s="326" t="s">
        <v>5845</v>
      </c>
      <c r="D123" s="326" t="s">
        <v>482</v>
      </c>
      <c r="E123" s="326" t="s">
        <v>572</v>
      </c>
      <c r="F123" s="326" t="s">
        <v>944</v>
      </c>
      <c r="G123" s="859" t="s">
        <v>5847</v>
      </c>
      <c r="H123" s="859"/>
      <c r="I123" s="859"/>
      <c r="J123" s="859"/>
    </row>
    <row r="124" spans="1:10" ht="26.4">
      <c r="A124" s="332" t="s">
        <v>5814</v>
      </c>
      <c r="B124" s="328" t="s">
        <v>484</v>
      </c>
      <c r="C124" s="328" t="s">
        <v>392</v>
      </c>
      <c r="D124" s="328" t="s">
        <v>1096</v>
      </c>
      <c r="E124" s="328">
        <f t="shared" ref="E124:E129" si="1">IF(D124="Yes",1,0)</f>
        <v>0</v>
      </c>
      <c r="F124" s="328"/>
      <c r="G124" s="873"/>
      <c r="H124" s="873"/>
      <c r="I124" s="873"/>
      <c r="J124" s="873"/>
    </row>
    <row r="125" spans="1:10">
      <c r="A125" s="339" t="s">
        <v>5815</v>
      </c>
      <c r="B125" s="328" t="s">
        <v>484</v>
      </c>
      <c r="C125" s="336" t="s">
        <v>392</v>
      </c>
      <c r="D125" s="328" t="s">
        <v>1096</v>
      </c>
      <c r="E125" s="336">
        <f t="shared" si="1"/>
        <v>0</v>
      </c>
      <c r="F125" s="336"/>
      <c r="G125" s="873"/>
      <c r="H125" s="873"/>
      <c r="I125" s="873"/>
      <c r="J125" s="873"/>
    </row>
    <row r="126" spans="1:10" ht="26.4">
      <c r="A126" s="332" t="s">
        <v>5816</v>
      </c>
      <c r="B126" s="328" t="s">
        <v>484</v>
      </c>
      <c r="C126" s="328" t="s">
        <v>392</v>
      </c>
      <c r="D126" s="328" t="s">
        <v>1096</v>
      </c>
      <c r="E126" s="328">
        <f t="shared" si="1"/>
        <v>0</v>
      </c>
      <c r="F126" s="328"/>
      <c r="G126" s="873"/>
      <c r="H126" s="873"/>
      <c r="I126" s="873"/>
      <c r="J126" s="873"/>
    </row>
    <row r="127" spans="1:10">
      <c r="A127" s="339" t="s">
        <v>5838</v>
      </c>
      <c r="B127" s="328" t="s">
        <v>484</v>
      </c>
      <c r="C127" s="336" t="s">
        <v>392</v>
      </c>
      <c r="D127" s="328" t="s">
        <v>1096</v>
      </c>
      <c r="E127" s="336">
        <f t="shared" si="1"/>
        <v>0</v>
      </c>
      <c r="F127" s="336"/>
      <c r="G127" s="873"/>
      <c r="H127" s="873"/>
      <c r="I127" s="873"/>
      <c r="J127" s="873"/>
    </row>
    <row r="128" spans="1:10" ht="26.4">
      <c r="A128" s="332" t="s">
        <v>5839</v>
      </c>
      <c r="B128" s="328" t="s">
        <v>484</v>
      </c>
      <c r="C128" s="328" t="s">
        <v>392</v>
      </c>
      <c r="D128" s="328" t="s">
        <v>1096</v>
      </c>
      <c r="E128" s="328">
        <f t="shared" si="1"/>
        <v>0</v>
      </c>
      <c r="F128" s="328"/>
      <c r="G128" s="873"/>
      <c r="H128" s="873"/>
      <c r="I128" s="873"/>
      <c r="J128" s="873"/>
    </row>
    <row r="129" spans="1:10" ht="26.4">
      <c r="A129" s="339" t="s">
        <v>5840</v>
      </c>
      <c r="B129" s="328" t="s">
        <v>484</v>
      </c>
      <c r="C129" s="336" t="s">
        <v>392</v>
      </c>
      <c r="D129" s="336" t="s">
        <v>1096</v>
      </c>
      <c r="E129" s="336">
        <f t="shared" si="1"/>
        <v>0</v>
      </c>
      <c r="F129" s="336"/>
      <c r="G129" s="873"/>
      <c r="H129" s="873"/>
      <c r="I129" s="873"/>
      <c r="J129" s="873"/>
    </row>
    <row r="130" spans="1:10" ht="15.6">
      <c r="A130" s="880" t="s">
        <v>5858</v>
      </c>
      <c r="B130" s="713"/>
      <c r="C130" s="871">
        <f>IFERROR(SUM(E124:E129)/COUNTIF(C124:C129,"Yes"),"")</f>
        <v>0</v>
      </c>
      <c r="D130" s="872"/>
      <c r="E130" s="866" t="s">
        <v>5859</v>
      </c>
      <c r="F130" s="866"/>
      <c r="G130" s="866"/>
      <c r="H130" s="866"/>
      <c r="I130" s="866"/>
      <c r="J130" s="866"/>
    </row>
    <row r="131" spans="1:10">
      <c r="A131" s="196"/>
      <c r="B131" s="196"/>
      <c r="C131" s="196"/>
      <c r="D131" s="196"/>
      <c r="E131" s="196"/>
      <c r="F131" s="196"/>
      <c r="G131" s="196"/>
      <c r="H131" s="196"/>
      <c r="I131" s="196"/>
      <c r="J131" s="196"/>
    </row>
    <row r="132" spans="1:10">
      <c r="A132" s="842" t="s">
        <v>5880</v>
      </c>
      <c r="B132" s="853"/>
      <c r="C132" s="853"/>
      <c r="D132" s="321"/>
      <c r="E132" s="321"/>
      <c r="F132" s="321"/>
      <c r="G132" s="321"/>
      <c r="H132" s="321"/>
      <c r="I132" s="321"/>
      <c r="J132" s="321"/>
    </row>
    <row r="133" spans="1:10" ht="55.2">
      <c r="A133" s="322" t="s">
        <v>905</v>
      </c>
      <c r="B133" s="322" t="s">
        <v>830</v>
      </c>
      <c r="C133" s="322"/>
      <c r="D133" s="322"/>
      <c r="E133" s="322"/>
      <c r="F133" s="322"/>
      <c r="G133" s="322"/>
      <c r="H133" s="322"/>
      <c r="I133" s="322"/>
      <c r="J133" s="322"/>
    </row>
    <row r="134" spans="1:10">
      <c r="A134" s="319" t="s">
        <v>1086</v>
      </c>
      <c r="B134" s="852" t="s">
        <v>3292</v>
      </c>
      <c r="C134" s="853"/>
      <c r="D134" s="853"/>
      <c r="E134" s="853"/>
      <c r="F134" s="853"/>
      <c r="G134" s="853"/>
      <c r="H134" s="853"/>
      <c r="I134" s="853"/>
      <c r="J134" s="853"/>
    </row>
    <row r="135" spans="1:10" ht="27.6">
      <c r="A135" s="319" t="s">
        <v>2090</v>
      </c>
      <c r="B135" s="852" t="s">
        <v>3293</v>
      </c>
      <c r="C135" s="853"/>
      <c r="D135" s="853"/>
      <c r="E135" s="853"/>
      <c r="F135" s="853"/>
      <c r="G135" s="853"/>
      <c r="H135" s="853"/>
      <c r="I135" s="853"/>
      <c r="J135" s="853"/>
    </row>
    <row r="136" spans="1:10">
      <c r="A136" s="319" t="s">
        <v>1089</v>
      </c>
      <c r="B136" s="852" t="s">
        <v>3294</v>
      </c>
      <c r="C136" s="853"/>
      <c r="D136" s="853"/>
      <c r="E136" s="853"/>
      <c r="F136" s="853"/>
      <c r="G136" s="853"/>
      <c r="H136" s="853"/>
      <c r="I136" s="853"/>
      <c r="J136" s="853"/>
    </row>
    <row r="137" spans="1:10">
      <c r="A137" s="319" t="s">
        <v>1090</v>
      </c>
      <c r="B137" s="852" t="s">
        <v>3295</v>
      </c>
      <c r="C137" s="853"/>
      <c r="D137" s="853"/>
      <c r="E137" s="853"/>
      <c r="F137" s="853"/>
      <c r="G137" s="853"/>
      <c r="H137" s="853"/>
      <c r="I137" s="853"/>
      <c r="J137" s="853"/>
    </row>
    <row r="138" spans="1:10">
      <c r="A138" s="319" t="s">
        <v>1088</v>
      </c>
      <c r="B138" s="852" t="s">
        <v>3296</v>
      </c>
      <c r="C138" s="853"/>
      <c r="D138" s="853"/>
      <c r="E138" s="853"/>
      <c r="F138" s="853"/>
      <c r="G138" s="853"/>
      <c r="H138" s="853"/>
      <c r="I138" s="853"/>
      <c r="J138" s="853"/>
    </row>
    <row r="139" spans="1:10" ht="27.6">
      <c r="A139" s="319" t="s">
        <v>3297</v>
      </c>
      <c r="B139" s="852" t="s">
        <v>3298</v>
      </c>
      <c r="C139" s="853"/>
      <c r="D139" s="853"/>
      <c r="E139" s="853"/>
      <c r="F139" s="853"/>
      <c r="G139" s="853"/>
      <c r="H139" s="853"/>
      <c r="I139" s="853"/>
      <c r="J139" s="853"/>
    </row>
    <row r="140" spans="1:10">
      <c r="A140" s="319" t="s">
        <v>1563</v>
      </c>
      <c r="B140" s="852" t="s">
        <v>1776</v>
      </c>
      <c r="C140" s="853"/>
      <c r="D140" s="853"/>
      <c r="E140" s="853"/>
      <c r="F140" s="853"/>
      <c r="G140" s="853"/>
      <c r="H140" s="853"/>
      <c r="I140" s="853"/>
      <c r="J140" s="853"/>
    </row>
    <row r="141" spans="1:10">
      <c r="A141" s="231"/>
      <c r="B141" s="231"/>
      <c r="C141" s="231"/>
      <c r="D141" s="231"/>
      <c r="E141" s="231"/>
      <c r="F141" s="231"/>
      <c r="G141" s="231"/>
      <c r="H141" s="231"/>
      <c r="I141" s="231"/>
      <c r="J141" s="231"/>
    </row>
    <row r="142" spans="1:10" ht="17.399999999999999">
      <c r="A142" s="827" t="s">
        <v>5769</v>
      </c>
      <c r="B142" s="827"/>
      <c r="C142" s="827"/>
      <c r="D142" s="827"/>
      <c r="E142" s="827"/>
      <c r="F142" s="827"/>
      <c r="G142" s="827"/>
      <c r="H142" s="827"/>
      <c r="I142" s="231"/>
      <c r="J142" s="231"/>
    </row>
    <row r="143" spans="1:10">
      <c r="A143" s="276" t="s">
        <v>2</v>
      </c>
      <c r="B143" s="828" t="s">
        <v>5770</v>
      </c>
      <c r="C143" s="828"/>
      <c r="D143" s="828"/>
      <c r="E143" s="828"/>
      <c r="F143" s="828"/>
      <c r="G143" s="828"/>
      <c r="H143" s="828"/>
      <c r="I143" s="231"/>
      <c r="J143" s="231"/>
    </row>
    <row r="144" spans="1:10">
      <c r="A144" s="276" t="s">
        <v>5771</v>
      </c>
      <c r="B144" s="828" t="s">
        <v>5772</v>
      </c>
      <c r="C144" s="828"/>
      <c r="D144" s="828"/>
      <c r="E144" s="828"/>
      <c r="F144" s="828"/>
      <c r="G144" s="828"/>
      <c r="H144" s="828"/>
      <c r="I144" s="231"/>
      <c r="J144" s="231"/>
    </row>
    <row r="145" spans="1:10">
      <c r="A145" s="196"/>
      <c r="B145" s="196"/>
      <c r="C145" s="196"/>
      <c r="D145" s="196"/>
      <c r="E145" s="196"/>
      <c r="F145" s="196"/>
      <c r="G145" s="196"/>
      <c r="H145" s="196"/>
      <c r="I145" s="231"/>
      <c r="J145" s="231"/>
    </row>
    <row r="146" spans="1:10">
      <c r="A146" s="323" t="s">
        <v>4946</v>
      </c>
      <c r="B146" s="323" t="s">
        <v>77</v>
      </c>
      <c r="C146" s="323" t="s">
        <v>5773</v>
      </c>
      <c r="D146" s="323" t="s">
        <v>263</v>
      </c>
      <c r="E146" s="323" t="s">
        <v>216</v>
      </c>
      <c r="F146" s="323" t="s">
        <v>5774</v>
      </c>
      <c r="G146" s="323" t="s">
        <v>5775</v>
      </c>
      <c r="H146" s="323" t="s">
        <v>5776</v>
      </c>
      <c r="I146" s="231"/>
      <c r="J146" s="231"/>
    </row>
    <row r="147" spans="1:10" ht="26.4">
      <c r="A147" s="277" t="s">
        <v>5777</v>
      </c>
      <c r="B147" s="278" t="s">
        <v>1096</v>
      </c>
      <c r="C147" s="277"/>
      <c r="D147" s="277"/>
      <c r="E147" s="277"/>
      <c r="F147" s="277"/>
      <c r="G147" s="279" t="str">
        <f t="shared" ref="G147:G154" si="2">IF(OR(B147="Yes",B147="N/A"),"🟢","🟡")</f>
        <v>🟡</v>
      </c>
      <c r="H147" s="277"/>
      <c r="I147" s="231"/>
      <c r="J147" s="231"/>
    </row>
    <row r="148" spans="1:10">
      <c r="A148" s="277" t="s">
        <v>5778</v>
      </c>
      <c r="B148" s="278" t="s">
        <v>1096</v>
      </c>
      <c r="C148" s="277"/>
      <c r="D148" s="277"/>
      <c r="E148" s="277"/>
      <c r="F148" s="277"/>
      <c r="G148" s="279" t="str">
        <f t="shared" si="2"/>
        <v>🟡</v>
      </c>
      <c r="H148" s="277"/>
      <c r="I148" s="231"/>
      <c r="J148" s="231"/>
    </row>
    <row r="149" spans="1:10">
      <c r="A149" s="277" t="s">
        <v>5779</v>
      </c>
      <c r="B149" s="278" t="s">
        <v>1096</v>
      </c>
      <c r="C149" s="277"/>
      <c r="D149" s="277"/>
      <c r="E149" s="277"/>
      <c r="F149" s="277"/>
      <c r="G149" s="279" t="str">
        <f t="shared" si="2"/>
        <v>🟡</v>
      </c>
      <c r="H149" s="277"/>
      <c r="I149" s="231"/>
      <c r="J149" s="231"/>
    </row>
    <row r="150" spans="1:10">
      <c r="A150" s="277" t="s">
        <v>5168</v>
      </c>
      <c r="B150" s="278" t="s">
        <v>1096</v>
      </c>
      <c r="C150" s="277"/>
      <c r="D150" s="277"/>
      <c r="E150" s="277"/>
      <c r="F150" s="277"/>
      <c r="G150" s="279" t="str">
        <f t="shared" si="2"/>
        <v>🟡</v>
      </c>
      <c r="H150" s="277"/>
      <c r="I150" s="231"/>
      <c r="J150" s="231"/>
    </row>
    <row r="151" spans="1:10">
      <c r="A151" s="277" t="s">
        <v>5780</v>
      </c>
      <c r="B151" s="278" t="s">
        <v>1096</v>
      </c>
      <c r="C151" s="277"/>
      <c r="D151" s="277"/>
      <c r="E151" s="277"/>
      <c r="F151" s="277"/>
      <c r="G151" s="279" t="str">
        <f t="shared" si="2"/>
        <v>🟡</v>
      </c>
      <c r="H151" s="277"/>
      <c r="I151" s="231"/>
      <c r="J151" s="231"/>
    </row>
    <row r="152" spans="1:10">
      <c r="A152" s="277" t="s">
        <v>5781</v>
      </c>
      <c r="B152" s="278" t="s">
        <v>1096</v>
      </c>
      <c r="C152" s="277"/>
      <c r="D152" s="277"/>
      <c r="E152" s="277"/>
      <c r="F152" s="277"/>
      <c r="G152" s="279" t="str">
        <f t="shared" si="2"/>
        <v>🟡</v>
      </c>
      <c r="H152" s="277"/>
      <c r="I152" s="231"/>
      <c r="J152" s="231"/>
    </row>
    <row r="153" spans="1:10">
      <c r="A153" s="277" t="s">
        <v>178</v>
      </c>
      <c r="B153" s="278" t="s">
        <v>1096</v>
      </c>
      <c r="C153" s="277"/>
      <c r="D153" s="277"/>
      <c r="E153" s="277"/>
      <c r="F153" s="277"/>
      <c r="G153" s="279" t="str">
        <f t="shared" si="2"/>
        <v>🟡</v>
      </c>
      <c r="H153" s="277"/>
      <c r="I153" s="231"/>
      <c r="J153" s="231"/>
    </row>
    <row r="154" spans="1:10" ht="26.4">
      <c r="A154" s="277" t="s">
        <v>5782</v>
      </c>
      <c r="B154" s="278" t="s">
        <v>1096</v>
      </c>
      <c r="C154" s="277"/>
      <c r="D154" s="277"/>
      <c r="E154" s="277"/>
      <c r="F154" s="277"/>
      <c r="G154" s="279" t="str">
        <f t="shared" si="2"/>
        <v>🟡</v>
      </c>
      <c r="H154" s="277"/>
      <c r="I154" s="231"/>
      <c r="J154" s="231"/>
    </row>
    <row r="155" spans="1:10">
      <c r="A155" s="324" t="s">
        <v>4946</v>
      </c>
      <c r="B155" s="324" t="s">
        <v>5790</v>
      </c>
      <c r="C155" s="196"/>
      <c r="D155" s="196"/>
      <c r="E155" s="324" t="s">
        <v>5791</v>
      </c>
      <c r="F155" s="196"/>
      <c r="G155" s="196"/>
      <c r="H155" s="196"/>
      <c r="I155" s="231"/>
      <c r="J155" s="231"/>
    </row>
    <row r="156" spans="1:10" ht="26.4">
      <c r="A156" s="291" t="s">
        <v>5777</v>
      </c>
      <c r="B156" s="768" t="s">
        <v>5792</v>
      </c>
      <c r="C156" s="768"/>
      <c r="D156" s="768"/>
      <c r="E156" s="768" t="s">
        <v>5793</v>
      </c>
      <c r="F156" s="768"/>
      <c r="G156" s="768"/>
      <c r="H156" s="196"/>
      <c r="I156" s="231"/>
      <c r="J156" s="231"/>
    </row>
    <row r="157" spans="1:10">
      <c r="A157" s="291" t="s">
        <v>5778</v>
      </c>
      <c r="B157" s="768" t="s">
        <v>5794</v>
      </c>
      <c r="C157" s="768"/>
      <c r="D157" s="768"/>
      <c r="E157" s="768" t="s">
        <v>5795</v>
      </c>
      <c r="F157" s="768"/>
      <c r="G157" s="768"/>
      <c r="H157" s="196"/>
      <c r="I157" s="231"/>
      <c r="J157" s="231"/>
    </row>
    <row r="158" spans="1:10">
      <c r="A158" s="291" t="s">
        <v>5779</v>
      </c>
      <c r="B158" s="768" t="s">
        <v>5796</v>
      </c>
      <c r="C158" s="768"/>
      <c r="D158" s="768"/>
      <c r="E158" s="768" t="s">
        <v>5797</v>
      </c>
      <c r="F158" s="768"/>
      <c r="G158" s="768"/>
      <c r="H158" s="196"/>
      <c r="I158" s="231"/>
      <c r="J158" s="231"/>
    </row>
    <row r="159" spans="1:10">
      <c r="A159" s="291" t="s">
        <v>5168</v>
      </c>
      <c r="B159" s="768" t="s">
        <v>5798</v>
      </c>
      <c r="C159" s="768"/>
      <c r="D159" s="768"/>
      <c r="E159" s="768" t="s">
        <v>5799</v>
      </c>
      <c r="F159" s="768"/>
      <c r="G159" s="768"/>
      <c r="H159" s="196"/>
      <c r="I159" s="231"/>
      <c r="J159" s="231"/>
    </row>
    <row r="160" spans="1:10">
      <c r="A160" s="291" t="s">
        <v>5780</v>
      </c>
      <c r="B160" s="768" t="s">
        <v>5800</v>
      </c>
      <c r="C160" s="768"/>
      <c r="D160" s="768"/>
      <c r="E160" s="768" t="s">
        <v>5801</v>
      </c>
      <c r="F160" s="768"/>
      <c r="G160" s="768"/>
      <c r="H160" s="196"/>
      <c r="I160" s="231"/>
      <c r="J160" s="231"/>
    </row>
    <row r="161" spans="1:10">
      <c r="A161" s="291" t="s">
        <v>5781</v>
      </c>
      <c r="B161" s="768" t="s">
        <v>5802</v>
      </c>
      <c r="C161" s="768"/>
      <c r="D161" s="768"/>
      <c r="E161" s="768" t="s">
        <v>5803</v>
      </c>
      <c r="F161" s="768"/>
      <c r="G161" s="768"/>
      <c r="H161" s="196"/>
      <c r="I161" s="231"/>
      <c r="J161" s="231"/>
    </row>
    <row r="162" spans="1:10">
      <c r="A162" s="291" t="s">
        <v>178</v>
      </c>
      <c r="B162" s="768" t="s">
        <v>5804</v>
      </c>
      <c r="C162" s="768"/>
      <c r="D162" s="768"/>
      <c r="E162" s="768" t="s">
        <v>5805</v>
      </c>
      <c r="F162" s="768"/>
      <c r="G162" s="768"/>
      <c r="H162" s="196"/>
      <c r="I162" s="231"/>
      <c r="J162" s="231"/>
    </row>
    <row r="163" spans="1:10" ht="26.4">
      <c r="A163" s="291" t="s">
        <v>5782</v>
      </c>
      <c r="B163" s="768" t="s">
        <v>5806</v>
      </c>
      <c r="C163" s="768"/>
      <c r="D163" s="768"/>
      <c r="E163" s="768" t="s">
        <v>5807</v>
      </c>
      <c r="F163" s="768"/>
      <c r="G163" s="768"/>
      <c r="H163" s="196"/>
      <c r="I163" s="231"/>
      <c r="J163" s="231"/>
    </row>
    <row r="164" spans="1:10">
      <c r="A164" s="276" t="s">
        <v>5783</v>
      </c>
      <c r="B164" s="280" t="str">
        <f>IF(COUNTIF(B147:B154,"No")=0,"🟢 PILOT COMPLETE / ACCEPTANCE READY","🟡 NOT COMPLETE — ACCEPTANCE GATES OPEN")</f>
        <v>🟡 NOT COMPLETE — ACCEPTANCE GATES OPEN</v>
      </c>
      <c r="C164" s="280"/>
      <c r="D164" s="280"/>
      <c r="E164" s="280"/>
      <c r="F164" s="280"/>
      <c r="G164" s="280"/>
      <c r="H164" s="280"/>
    </row>
    <row r="165" spans="1:10">
      <c r="A165" s="276" t="s">
        <v>5784</v>
      </c>
      <c r="B165" s="280">
        <f>COUNTIF(B147:B154,"No")</f>
        <v>8</v>
      </c>
      <c r="C165" s="280"/>
      <c r="D165" s="280"/>
      <c r="E165" s="280"/>
      <c r="F165" s="280"/>
      <c r="G165" s="280"/>
      <c r="H165" s="280"/>
    </row>
    <row r="166" spans="1:10">
      <c r="A166" s="276" t="s">
        <v>5785</v>
      </c>
      <c r="B166" s="280" t="str">
        <f>COUNTIF(B147:B154,"Yes")&amp;" / 8 Complete"</f>
        <v>0 / 8 Complete</v>
      </c>
      <c r="C166" s="280"/>
      <c r="D166" s="280"/>
      <c r="E166" s="280"/>
      <c r="F166" s="280"/>
      <c r="G166" s="280"/>
      <c r="H166" s="280"/>
    </row>
    <row r="167" spans="1:10" ht="93">
      <c r="A167" s="281" t="s">
        <v>5786</v>
      </c>
      <c r="B167" s="282" t="s">
        <v>5787</v>
      </c>
      <c r="C167" s="282"/>
      <c r="D167" s="282"/>
      <c r="E167" s="282"/>
      <c r="F167" s="282"/>
      <c r="G167" s="282"/>
      <c r="H167" s="282"/>
    </row>
    <row r="168" spans="1:10">
      <c r="A168" s="281"/>
      <c r="B168" s="282"/>
      <c r="C168" s="282"/>
      <c r="D168" s="282"/>
      <c r="E168" s="282"/>
      <c r="F168" s="282"/>
      <c r="G168" s="282"/>
      <c r="H168" s="282"/>
    </row>
    <row r="169" spans="1:10" ht="66.599999999999994">
      <c r="A169" s="281" t="s">
        <v>5788</v>
      </c>
      <c r="B169" s="282" t="s">
        <v>5789</v>
      </c>
      <c r="C169" s="282"/>
      <c r="D169" s="282"/>
      <c r="E169" s="282"/>
      <c r="F169" s="282"/>
      <c r="G169" s="282"/>
      <c r="H169" s="282"/>
    </row>
    <row r="170" spans="1:10">
      <c r="A170" s="842" t="s">
        <v>5901</v>
      </c>
      <c r="B170" s="842"/>
      <c r="C170" s="842"/>
      <c r="D170" s="842"/>
      <c r="E170" s="842"/>
      <c r="F170" s="842"/>
      <c r="G170" s="842"/>
      <c r="H170" s="842"/>
      <c r="I170" s="842"/>
      <c r="J170" s="842"/>
    </row>
    <row r="171" spans="1:10">
      <c r="A171" s="340" t="s">
        <v>5886</v>
      </c>
      <c r="B171" s="196"/>
      <c r="C171" s="196"/>
      <c r="D171" s="196"/>
      <c r="E171" s="196"/>
      <c r="F171" s="196"/>
      <c r="G171" s="196"/>
      <c r="H171" s="196"/>
      <c r="I171" s="196"/>
      <c r="J171" s="196"/>
    </row>
    <row r="172" spans="1:10">
      <c r="A172" s="196"/>
      <c r="B172" s="196"/>
      <c r="C172" s="196"/>
      <c r="D172" s="196"/>
      <c r="E172" s="196"/>
      <c r="F172" s="196"/>
      <c r="G172" s="196"/>
      <c r="H172" s="196"/>
      <c r="I172" s="196"/>
      <c r="J172" s="196"/>
    </row>
    <row r="173" spans="1:10">
      <c r="A173" s="196" t="s">
        <v>5887</v>
      </c>
      <c r="B173" s="196"/>
      <c r="C173" s="196"/>
      <c r="D173" s="196"/>
      <c r="E173" s="196"/>
      <c r="F173" s="196"/>
      <c r="G173" s="196"/>
      <c r="H173" s="196"/>
      <c r="I173" s="196"/>
      <c r="J173" s="196"/>
    </row>
    <row r="174" spans="1:10">
      <c r="A174" s="196"/>
      <c r="B174" s="196"/>
      <c r="C174" s="196"/>
      <c r="D174" s="196"/>
      <c r="E174" s="196"/>
      <c r="F174" s="196"/>
      <c r="G174" s="196"/>
      <c r="H174" s="196"/>
      <c r="I174" s="196"/>
      <c r="J174" s="196"/>
    </row>
    <row r="175" spans="1:10">
      <c r="A175" s="196" t="s">
        <v>5888</v>
      </c>
      <c r="B175" s="196"/>
      <c r="C175" s="196"/>
      <c r="D175" s="196"/>
      <c r="E175" s="196"/>
      <c r="F175" s="196"/>
      <c r="G175" s="196"/>
      <c r="H175" s="196"/>
      <c r="I175" s="196"/>
      <c r="J175" s="196"/>
    </row>
    <row r="176" spans="1:10">
      <c r="A176" s="196"/>
      <c r="B176" s="196"/>
      <c r="C176" s="196"/>
      <c r="D176" s="196"/>
      <c r="E176" s="196"/>
      <c r="F176" s="196"/>
      <c r="G176" s="196"/>
      <c r="H176" s="196"/>
      <c r="I176" s="196"/>
      <c r="J176" s="196"/>
    </row>
    <row r="177" spans="1:10">
      <c r="A177" s="196" t="s">
        <v>5889</v>
      </c>
      <c r="B177" s="196"/>
      <c r="C177" s="196"/>
      <c r="D177" s="196"/>
      <c r="E177" s="196"/>
      <c r="F177" s="196"/>
      <c r="G177" s="196"/>
      <c r="H177" s="196"/>
      <c r="I177" s="196"/>
      <c r="J177" s="196"/>
    </row>
    <row r="178" spans="1:10">
      <c r="A178" s="196"/>
      <c r="B178" s="196"/>
      <c r="C178" s="196"/>
      <c r="D178" s="196"/>
      <c r="E178" s="196"/>
      <c r="F178" s="196"/>
      <c r="G178" s="196"/>
      <c r="H178" s="196"/>
      <c r="I178" s="196"/>
      <c r="J178" s="196"/>
    </row>
    <row r="179" spans="1:10">
      <c r="A179" s="196"/>
      <c r="B179" s="196"/>
      <c r="C179" s="196"/>
      <c r="D179" s="196"/>
      <c r="E179" s="196"/>
      <c r="F179" s="196"/>
      <c r="G179" s="196"/>
      <c r="H179" s="196"/>
      <c r="I179" s="196"/>
      <c r="J179" s="196"/>
    </row>
    <row r="180" spans="1:10">
      <c r="A180" s="196"/>
      <c r="B180" s="196"/>
      <c r="C180" s="196"/>
      <c r="D180" s="196"/>
      <c r="E180" s="196"/>
      <c r="F180" s="196"/>
      <c r="G180" s="196"/>
      <c r="H180" s="196"/>
      <c r="I180" s="196"/>
      <c r="J180" s="196"/>
    </row>
    <row r="181" spans="1:10">
      <c r="A181" s="842" t="s">
        <v>5902</v>
      </c>
      <c r="B181" s="842"/>
      <c r="C181" s="842"/>
      <c r="D181" s="842"/>
      <c r="E181" s="842"/>
      <c r="F181" s="842"/>
      <c r="G181" s="842"/>
      <c r="H181" s="842"/>
      <c r="I181" s="842"/>
      <c r="J181" s="842"/>
    </row>
    <row r="182" spans="1:10">
      <c r="A182" s="196"/>
      <c r="B182" s="196"/>
      <c r="C182" s="196"/>
      <c r="D182" s="196"/>
      <c r="E182" s="196"/>
      <c r="F182" s="196"/>
      <c r="G182" s="196"/>
      <c r="H182" s="196"/>
      <c r="I182" s="196"/>
      <c r="J182" s="196"/>
    </row>
    <row r="183" spans="1:10">
      <c r="A183" s="196" t="s">
        <v>5890</v>
      </c>
      <c r="B183" s="196"/>
      <c r="C183" s="196"/>
      <c r="D183" s="196"/>
      <c r="E183" s="196"/>
      <c r="F183" s="196"/>
      <c r="G183" s="196"/>
      <c r="H183" s="196"/>
      <c r="I183" s="196"/>
      <c r="J183" s="196"/>
    </row>
    <row r="184" spans="1:10">
      <c r="A184" s="196"/>
      <c r="B184" s="196"/>
      <c r="C184" s="196"/>
      <c r="D184" s="196"/>
      <c r="E184" s="196"/>
      <c r="F184" s="196"/>
      <c r="G184" s="196"/>
      <c r="H184" s="196"/>
      <c r="I184" s="196"/>
      <c r="J184" s="196"/>
    </row>
    <row r="185" spans="1:10">
      <c r="A185" s="196" t="s">
        <v>5891</v>
      </c>
      <c r="B185" s="196"/>
      <c r="C185" s="196"/>
      <c r="D185" s="196"/>
      <c r="E185" s="196"/>
      <c r="F185" s="196"/>
      <c r="G185" s="196"/>
      <c r="H185" s="196"/>
      <c r="I185" s="196"/>
      <c r="J185" s="196"/>
    </row>
    <row r="186" spans="1:10">
      <c r="A186" s="196"/>
      <c r="B186" s="196"/>
      <c r="C186" s="196"/>
      <c r="D186" s="196"/>
      <c r="E186" s="196"/>
      <c r="F186" s="196"/>
      <c r="G186" s="196"/>
      <c r="H186" s="196"/>
      <c r="I186" s="196"/>
      <c r="J186" s="196"/>
    </row>
    <row r="187" spans="1:10">
      <c r="A187" s="196" t="s">
        <v>5892</v>
      </c>
      <c r="B187" s="196"/>
      <c r="C187" s="196"/>
      <c r="D187" s="196"/>
      <c r="E187" s="196"/>
      <c r="F187" s="196"/>
      <c r="G187" s="196"/>
      <c r="H187" s="196"/>
      <c r="I187" s="196"/>
      <c r="J187" s="196"/>
    </row>
    <row r="188" spans="1:10">
      <c r="A188" s="196"/>
      <c r="B188" s="196"/>
      <c r="C188" s="196"/>
      <c r="D188" s="196"/>
      <c r="E188" s="196"/>
      <c r="F188" s="196"/>
      <c r="G188" s="196"/>
      <c r="H188" s="196"/>
      <c r="I188" s="196"/>
      <c r="J188" s="196"/>
    </row>
    <row r="189" spans="1:10">
      <c r="A189" s="196"/>
      <c r="B189" s="196"/>
      <c r="C189" s="196"/>
      <c r="D189" s="196"/>
      <c r="E189" s="196"/>
      <c r="F189" s="196"/>
      <c r="G189" s="196"/>
      <c r="H189" s="196"/>
      <c r="I189" s="196"/>
      <c r="J189" s="196"/>
    </row>
    <row r="190" spans="1:10">
      <c r="A190" s="196"/>
      <c r="B190" s="196"/>
      <c r="C190" s="196"/>
      <c r="D190" s="196"/>
      <c r="E190" s="196"/>
      <c r="F190" s="196"/>
      <c r="G190" s="196"/>
      <c r="H190" s="196"/>
      <c r="I190" s="196"/>
      <c r="J190" s="196"/>
    </row>
    <row r="191" spans="1:10">
      <c r="A191" s="842" t="s">
        <v>5903</v>
      </c>
      <c r="B191" s="842"/>
      <c r="C191" s="842"/>
      <c r="D191" s="842"/>
      <c r="E191" s="842"/>
      <c r="F191" s="842"/>
      <c r="G191" s="842"/>
      <c r="H191" s="842"/>
      <c r="I191" s="842"/>
      <c r="J191" s="842"/>
    </row>
    <row r="192" spans="1:10">
      <c r="A192" s="196"/>
      <c r="B192" s="196"/>
      <c r="C192" s="196"/>
      <c r="D192" s="196"/>
      <c r="E192" s="196"/>
      <c r="F192" s="196"/>
      <c r="G192" s="196"/>
      <c r="H192" s="196"/>
      <c r="I192" s="196"/>
      <c r="J192" s="196"/>
    </row>
    <row r="193" spans="1:10">
      <c r="A193" s="196" t="s">
        <v>5893</v>
      </c>
      <c r="B193" s="196"/>
      <c r="C193" s="196"/>
      <c r="D193" s="196"/>
      <c r="E193" s="196"/>
      <c r="F193" s="196"/>
      <c r="G193" s="196"/>
      <c r="H193" s="196"/>
      <c r="I193" s="196"/>
      <c r="J193" s="196"/>
    </row>
    <row r="194" spans="1:10">
      <c r="A194" s="196"/>
      <c r="B194" s="196"/>
      <c r="C194" s="196"/>
      <c r="D194" s="196"/>
      <c r="E194" s="196"/>
      <c r="F194" s="196"/>
      <c r="G194" s="196"/>
      <c r="H194" s="196"/>
      <c r="I194" s="196"/>
      <c r="J194" s="196"/>
    </row>
    <row r="195" spans="1:10">
      <c r="A195" s="196" t="s">
        <v>5894</v>
      </c>
      <c r="B195" s="196"/>
      <c r="C195" s="196"/>
      <c r="D195" s="196"/>
      <c r="E195" s="196"/>
      <c r="F195" s="196"/>
      <c r="G195" s="196"/>
      <c r="H195" s="196"/>
      <c r="I195" s="196"/>
      <c r="J195" s="196"/>
    </row>
    <row r="196" spans="1:10">
      <c r="A196" s="196"/>
      <c r="B196" s="196"/>
      <c r="C196" s="196"/>
      <c r="D196" s="196"/>
      <c r="E196" s="196"/>
      <c r="F196" s="196"/>
      <c r="G196" s="196"/>
      <c r="H196" s="196"/>
      <c r="I196" s="196"/>
      <c r="J196" s="196"/>
    </row>
    <row r="197" spans="1:10">
      <c r="A197" s="196" t="s">
        <v>5895</v>
      </c>
      <c r="B197" s="196"/>
      <c r="C197" s="196"/>
      <c r="D197" s="196"/>
      <c r="E197" s="196"/>
      <c r="F197" s="196"/>
      <c r="G197" s="196"/>
      <c r="H197" s="196"/>
      <c r="I197" s="196"/>
      <c r="J197" s="196"/>
    </row>
    <row r="198" spans="1:10">
      <c r="A198" s="196"/>
      <c r="B198" s="196"/>
      <c r="C198" s="196"/>
      <c r="D198" s="196"/>
      <c r="E198" s="196"/>
      <c r="F198" s="196"/>
      <c r="G198" s="196"/>
      <c r="H198" s="196"/>
      <c r="I198" s="196"/>
      <c r="J198" s="196"/>
    </row>
    <row r="199" spans="1:10">
      <c r="A199" s="196" t="s">
        <v>5896</v>
      </c>
      <c r="B199" s="196"/>
      <c r="C199" s="196"/>
      <c r="D199" s="196"/>
      <c r="E199" s="196"/>
      <c r="F199" s="196"/>
      <c r="G199" s="196"/>
      <c r="H199" s="196"/>
      <c r="I199" s="196"/>
      <c r="J199" s="196"/>
    </row>
    <row r="200" spans="1:10">
      <c r="A200" s="196"/>
      <c r="B200" s="196"/>
      <c r="C200" s="196"/>
      <c r="D200" s="196"/>
      <c r="E200" s="196"/>
      <c r="F200" s="196"/>
      <c r="G200" s="196"/>
      <c r="H200" s="196"/>
      <c r="I200" s="196"/>
      <c r="J200" s="196"/>
    </row>
    <row r="201" spans="1:10">
      <c r="A201" s="196"/>
      <c r="B201" s="196"/>
      <c r="C201" s="196"/>
      <c r="D201" s="196"/>
      <c r="E201" s="196"/>
      <c r="F201" s="196"/>
      <c r="G201" s="196"/>
      <c r="H201" s="196"/>
      <c r="I201" s="196"/>
      <c r="J201" s="196"/>
    </row>
    <row r="202" spans="1:10">
      <c r="A202" s="196"/>
      <c r="B202" s="196"/>
      <c r="C202" s="196"/>
      <c r="D202" s="196"/>
      <c r="E202" s="196"/>
      <c r="F202" s="196"/>
      <c r="G202" s="196"/>
      <c r="H202" s="196"/>
      <c r="I202" s="196"/>
      <c r="J202" s="196"/>
    </row>
    <row r="203" spans="1:10">
      <c r="A203" s="842" t="s">
        <v>5904</v>
      </c>
      <c r="B203" s="842"/>
      <c r="C203" s="842"/>
      <c r="D203" s="842"/>
      <c r="E203" s="842"/>
      <c r="F203" s="842"/>
      <c r="G203" s="842"/>
      <c r="H203" s="842"/>
      <c r="I203" s="842"/>
      <c r="J203" s="842"/>
    </row>
    <row r="204" spans="1:10">
      <c r="A204" s="196"/>
      <c r="B204" s="196"/>
      <c r="C204" s="196"/>
      <c r="D204" s="196"/>
      <c r="E204" s="196"/>
      <c r="F204" s="196"/>
      <c r="G204" s="196"/>
      <c r="H204" s="196"/>
      <c r="I204" s="196"/>
      <c r="J204" s="196"/>
    </row>
    <row r="205" spans="1:10">
      <c r="A205" s="196" t="s">
        <v>5897</v>
      </c>
      <c r="B205" s="196"/>
      <c r="C205" s="196"/>
      <c r="D205" s="196"/>
      <c r="E205" s="196"/>
      <c r="F205" s="196"/>
      <c r="G205" s="196"/>
      <c r="H205" s="196"/>
      <c r="I205" s="196"/>
      <c r="J205" s="196"/>
    </row>
    <row r="206" spans="1:10">
      <c r="A206" s="196"/>
      <c r="B206" s="196"/>
      <c r="C206" s="196"/>
      <c r="D206" s="196"/>
      <c r="E206" s="196"/>
      <c r="F206" s="196"/>
      <c r="G206" s="196"/>
      <c r="H206" s="196"/>
      <c r="I206" s="196"/>
      <c r="J206" s="196"/>
    </row>
    <row r="207" spans="1:10">
      <c r="A207" s="196" t="s">
        <v>5898</v>
      </c>
      <c r="B207" s="196"/>
      <c r="C207" s="196"/>
      <c r="D207" s="196"/>
      <c r="E207" s="196"/>
      <c r="F207" s="196"/>
      <c r="G207" s="196"/>
      <c r="H207" s="196"/>
      <c r="I207" s="196"/>
      <c r="J207" s="196"/>
    </row>
    <row r="208" spans="1:10">
      <c r="A208" s="196"/>
      <c r="B208" s="196"/>
      <c r="C208" s="196"/>
      <c r="D208" s="196"/>
      <c r="E208" s="196"/>
      <c r="F208" s="196"/>
      <c r="G208" s="196"/>
      <c r="H208" s="196"/>
      <c r="I208" s="196"/>
      <c r="J208" s="196"/>
    </row>
    <row r="209" spans="1:10">
      <c r="A209" s="196" t="s">
        <v>5899</v>
      </c>
      <c r="B209" s="196"/>
      <c r="C209" s="196"/>
      <c r="D209" s="196"/>
      <c r="E209" s="196"/>
      <c r="F209" s="196"/>
      <c r="G209" s="196"/>
      <c r="H209" s="196"/>
      <c r="I209" s="196"/>
      <c r="J209" s="196"/>
    </row>
    <row r="210" spans="1:10">
      <c r="A210" s="196"/>
      <c r="B210" s="196"/>
      <c r="C210" s="196"/>
      <c r="D210" s="196"/>
      <c r="E210" s="196"/>
      <c r="F210" s="196"/>
      <c r="G210" s="196"/>
      <c r="H210" s="196"/>
      <c r="I210" s="196"/>
      <c r="J210" s="196"/>
    </row>
    <row r="211" spans="1:10">
      <c r="A211" s="196"/>
      <c r="B211" s="196"/>
      <c r="C211" s="196"/>
      <c r="D211" s="196"/>
      <c r="E211" s="196"/>
      <c r="F211" s="196"/>
      <c r="G211" s="196"/>
      <c r="H211" s="196"/>
      <c r="I211" s="196"/>
      <c r="J211" s="196"/>
    </row>
    <row r="212" spans="1:10">
      <c r="A212" s="196"/>
      <c r="B212" s="196"/>
      <c r="C212" s="196"/>
      <c r="D212" s="196"/>
      <c r="E212" s="196"/>
      <c r="F212" s="196"/>
      <c r="G212" s="196"/>
      <c r="H212" s="196"/>
      <c r="I212" s="196"/>
      <c r="J212" s="196"/>
    </row>
    <row r="213" spans="1:10">
      <c r="A213" s="196" t="s">
        <v>5900</v>
      </c>
      <c r="B213" s="196"/>
      <c r="C213" s="196"/>
      <c r="D213" s="196"/>
      <c r="E213" s="196"/>
      <c r="F213" s="196"/>
      <c r="G213" s="196"/>
      <c r="H213" s="196"/>
      <c r="I213" s="196"/>
      <c r="J213" s="196"/>
    </row>
    <row r="214" spans="1:10">
      <c r="A214" s="196"/>
      <c r="B214" s="196"/>
      <c r="C214" s="196"/>
      <c r="D214" s="196"/>
      <c r="E214" s="196"/>
      <c r="F214" s="196"/>
      <c r="G214" s="196"/>
      <c r="H214" s="196"/>
      <c r="I214" s="196"/>
      <c r="J214" s="196"/>
    </row>
    <row r="215" spans="1:10">
      <c r="A215" s="341"/>
      <c r="B215" s="341"/>
      <c r="C215" s="341"/>
      <c r="D215" s="341"/>
      <c r="E215" s="341"/>
      <c r="F215" s="341"/>
      <c r="G215" s="341"/>
      <c r="H215" s="341"/>
      <c r="I215" s="341"/>
      <c r="J215" s="341"/>
    </row>
    <row r="216" spans="1:10">
      <c r="A216" s="341"/>
      <c r="B216" s="341"/>
      <c r="C216" s="341"/>
      <c r="D216" s="341"/>
      <c r="E216" s="341"/>
      <c r="F216" s="341"/>
      <c r="G216" s="341"/>
      <c r="H216" s="341"/>
      <c r="I216" s="341"/>
      <c r="J216" s="341"/>
    </row>
    <row r="217" spans="1:10">
      <c r="A217" s="341"/>
      <c r="B217" s="341"/>
      <c r="C217" s="341"/>
      <c r="D217" s="341"/>
      <c r="E217" s="341"/>
      <c r="F217" s="341"/>
      <c r="G217" s="341"/>
      <c r="H217" s="341"/>
      <c r="I217" s="341"/>
      <c r="J217" s="341"/>
    </row>
    <row r="218" spans="1:10">
      <c r="A218" s="341"/>
      <c r="B218" s="341"/>
      <c r="C218" s="341"/>
      <c r="D218" s="341"/>
      <c r="E218" s="341"/>
      <c r="F218" s="341"/>
      <c r="G218" s="341"/>
      <c r="H218" s="341"/>
      <c r="I218" s="341"/>
      <c r="J218" s="341"/>
    </row>
    <row r="219" spans="1:10">
      <c r="A219" s="341"/>
      <c r="B219" s="341"/>
      <c r="C219" s="341"/>
      <c r="D219" s="341"/>
      <c r="E219" s="341"/>
      <c r="F219" s="341"/>
      <c r="G219" s="341"/>
      <c r="H219" s="341"/>
      <c r="I219" s="341"/>
      <c r="J219" s="341"/>
    </row>
    <row r="220" spans="1:10">
      <c r="A220" s="341"/>
      <c r="B220" s="341"/>
      <c r="C220" s="341"/>
      <c r="D220" s="341"/>
      <c r="E220" s="341"/>
      <c r="F220" s="341"/>
      <c r="G220" s="341"/>
      <c r="H220" s="341"/>
      <c r="I220" s="341"/>
      <c r="J220" s="341"/>
    </row>
    <row r="221" spans="1:10">
      <c r="A221" s="341"/>
      <c r="B221" s="341"/>
      <c r="C221" s="341"/>
      <c r="D221" s="341"/>
      <c r="E221" s="341"/>
      <c r="F221" s="341"/>
      <c r="G221" s="341"/>
      <c r="H221" s="341"/>
      <c r="I221" s="341"/>
      <c r="J221" s="341"/>
    </row>
    <row r="222" spans="1:10">
      <c r="A222" s="341"/>
      <c r="B222" s="341"/>
      <c r="C222" s="341"/>
      <c r="D222" s="341"/>
      <c r="E222" s="341"/>
      <c r="F222" s="341"/>
      <c r="G222" s="341"/>
      <c r="H222" s="341"/>
      <c r="I222" s="341"/>
      <c r="J222" s="341"/>
    </row>
    <row r="223" spans="1:10">
      <c r="A223" s="341"/>
      <c r="B223" s="341"/>
      <c r="C223" s="341"/>
      <c r="D223" s="341"/>
      <c r="E223" s="341"/>
      <c r="F223" s="341"/>
      <c r="G223" s="341"/>
      <c r="H223" s="341"/>
      <c r="I223" s="341"/>
      <c r="J223" s="341"/>
    </row>
    <row r="224" spans="1:10">
      <c r="A224" s="196"/>
      <c r="B224" s="196"/>
      <c r="C224" s="196"/>
      <c r="D224" s="196"/>
      <c r="E224" s="196"/>
      <c r="F224" s="196"/>
      <c r="G224" s="196"/>
      <c r="H224" s="196"/>
      <c r="I224" s="196"/>
      <c r="J224" s="196"/>
    </row>
    <row r="225" spans="1:10">
      <c r="A225" s="320"/>
      <c r="B225" s="320"/>
      <c r="C225" s="320"/>
      <c r="D225" s="320"/>
      <c r="E225" s="320"/>
      <c r="F225" s="320"/>
      <c r="G225" s="874"/>
      <c r="H225" s="874"/>
      <c r="I225" s="874"/>
      <c r="J225" s="874"/>
    </row>
  </sheetData>
  <mergeCells count="119">
    <mergeCell ref="B82:J82"/>
    <mergeCell ref="B78:J78"/>
    <mergeCell ref="A76:C76"/>
    <mergeCell ref="A33:C33"/>
    <mergeCell ref="A71:C71"/>
    <mergeCell ref="B81:J81"/>
    <mergeCell ref="A1:J1"/>
    <mergeCell ref="A13:C13"/>
    <mergeCell ref="B80:J80"/>
    <mergeCell ref="D6:J6"/>
    <mergeCell ref="B79:J79"/>
    <mergeCell ref="A8:C8"/>
    <mergeCell ref="A62:C62"/>
    <mergeCell ref="A43:C43"/>
    <mergeCell ref="A38:C38"/>
    <mergeCell ref="A52:C52"/>
    <mergeCell ref="A28:C28"/>
    <mergeCell ref="A18:C18"/>
    <mergeCell ref="A23:C23"/>
    <mergeCell ref="G87:J87"/>
    <mergeCell ref="G89:J89"/>
    <mergeCell ref="A91:B91"/>
    <mergeCell ref="E91:J91"/>
    <mergeCell ref="A93:C93"/>
    <mergeCell ref="D93:F93"/>
    <mergeCell ref="G93:J93"/>
    <mergeCell ref="A84:C84"/>
    <mergeCell ref="D84:F84"/>
    <mergeCell ref="G84:J84"/>
    <mergeCell ref="G85:J85"/>
    <mergeCell ref="G86:J86"/>
    <mergeCell ref="F99:J99"/>
    <mergeCell ref="F100:J100"/>
    <mergeCell ref="F101:J101"/>
    <mergeCell ref="F102:J102"/>
    <mergeCell ref="A103:B103"/>
    <mergeCell ref="C103:D103"/>
    <mergeCell ref="E103:J103"/>
    <mergeCell ref="G94:J94"/>
    <mergeCell ref="F95:J95"/>
    <mergeCell ref="F96:J96"/>
    <mergeCell ref="F97:J97"/>
    <mergeCell ref="F98:J98"/>
    <mergeCell ref="G108:J108"/>
    <mergeCell ref="G109:J109"/>
    <mergeCell ref="G110:J110"/>
    <mergeCell ref="G111:J111"/>
    <mergeCell ref="A112:B112"/>
    <mergeCell ref="C112:D112"/>
    <mergeCell ref="E112:J112"/>
    <mergeCell ref="A105:C105"/>
    <mergeCell ref="D105:F105"/>
    <mergeCell ref="G105:J105"/>
    <mergeCell ref="G106:J106"/>
    <mergeCell ref="G107:J107"/>
    <mergeCell ref="G116:J116"/>
    <mergeCell ref="G117:J117"/>
    <mergeCell ref="G118:J118"/>
    <mergeCell ref="G119:J119"/>
    <mergeCell ref="A120:D121"/>
    <mergeCell ref="E120:J121"/>
    <mergeCell ref="G113:J113"/>
    <mergeCell ref="A114:C114"/>
    <mergeCell ref="D114:F114"/>
    <mergeCell ref="G114:J114"/>
    <mergeCell ref="G115:J115"/>
    <mergeCell ref="G125:J125"/>
    <mergeCell ref="G126:J126"/>
    <mergeCell ref="G127:J127"/>
    <mergeCell ref="G128:J128"/>
    <mergeCell ref="G129:J129"/>
    <mergeCell ref="A122:C122"/>
    <mergeCell ref="D122:F122"/>
    <mergeCell ref="G122:J122"/>
    <mergeCell ref="G123:J123"/>
    <mergeCell ref="G124:J124"/>
    <mergeCell ref="B135:J135"/>
    <mergeCell ref="B136:J136"/>
    <mergeCell ref="B137:J137"/>
    <mergeCell ref="B138:J138"/>
    <mergeCell ref="B139:J139"/>
    <mergeCell ref="A130:B130"/>
    <mergeCell ref="C130:D130"/>
    <mergeCell ref="E130:J130"/>
    <mergeCell ref="A132:C132"/>
    <mergeCell ref="B134:J134"/>
    <mergeCell ref="B157:D157"/>
    <mergeCell ref="E157:G157"/>
    <mergeCell ref="B158:D158"/>
    <mergeCell ref="E158:G158"/>
    <mergeCell ref="B159:D159"/>
    <mergeCell ref="E159:G159"/>
    <mergeCell ref="B140:J140"/>
    <mergeCell ref="A142:H142"/>
    <mergeCell ref="B143:H143"/>
    <mergeCell ref="B144:H144"/>
    <mergeCell ref="B156:D156"/>
    <mergeCell ref="E156:G156"/>
    <mergeCell ref="B163:D163"/>
    <mergeCell ref="E163:G163"/>
    <mergeCell ref="A170:C170"/>
    <mergeCell ref="D170:F170"/>
    <mergeCell ref="G170:J170"/>
    <mergeCell ref="B160:D160"/>
    <mergeCell ref="E160:G160"/>
    <mergeCell ref="B161:D161"/>
    <mergeCell ref="E161:G161"/>
    <mergeCell ref="B162:D162"/>
    <mergeCell ref="E162:G162"/>
    <mergeCell ref="A203:C203"/>
    <mergeCell ref="D203:F203"/>
    <mergeCell ref="G203:J203"/>
    <mergeCell ref="G225:J225"/>
    <mergeCell ref="A181:C181"/>
    <mergeCell ref="D181:F181"/>
    <mergeCell ref="G181:J181"/>
    <mergeCell ref="A191:C191"/>
    <mergeCell ref="D191:F191"/>
    <mergeCell ref="G191:J191"/>
  </mergeCells>
  <conditionalFormatting sqref="B86:B90">
    <cfRule type="expression" dxfId="1213" priority="21">
      <formula>B86="Complete"</formula>
    </cfRule>
    <cfRule type="expression" dxfId="1212" priority="22">
      <formula>B86="In Progress"</formula>
    </cfRule>
    <cfRule type="expression" dxfId="1211" priority="23">
      <formula>B86="At Risk"</formula>
    </cfRule>
    <cfRule type="expression" dxfId="1210" priority="24">
      <formula>B86="Blocked"</formula>
    </cfRule>
    <cfRule type="expression" dxfId="1209" priority="25">
      <formula>B86="Not Started"</formula>
    </cfRule>
  </conditionalFormatting>
  <conditionalFormatting sqref="B95:B102">
    <cfRule type="expression" dxfId="1208" priority="1">
      <formula>B95="Complete"</formula>
    </cfRule>
    <cfRule type="expression" dxfId="1207" priority="2">
      <formula>B95="In Progress"</formula>
    </cfRule>
    <cfRule type="expression" dxfId="1206" priority="3">
      <formula>B95="At Risk"</formula>
    </cfRule>
    <cfRule type="expression" dxfId="1205" priority="4">
      <formula>B95="Blocked"</formula>
    </cfRule>
    <cfRule type="expression" dxfId="1204" priority="5">
      <formula>B95="Not Started"</formula>
    </cfRule>
  </conditionalFormatting>
  <conditionalFormatting sqref="B107:B111">
    <cfRule type="expression" dxfId="1203" priority="26">
      <formula>B107="Complete"</formula>
    </cfRule>
    <cfRule type="expression" dxfId="1202" priority="27">
      <formula>B107="In Progress"</formula>
    </cfRule>
    <cfRule type="expression" dxfId="1201" priority="28">
      <formula>B107="At Risk"</formula>
    </cfRule>
    <cfRule type="expression" dxfId="1200" priority="29">
      <formula>B107="Blocked"</formula>
    </cfRule>
    <cfRule type="expression" dxfId="1199" priority="30">
      <formula>B107="Not Started"</formula>
    </cfRule>
  </conditionalFormatting>
  <conditionalFormatting sqref="B116:B119">
    <cfRule type="expression" dxfId="1198" priority="6">
      <formula>B116="Complete"</formula>
    </cfRule>
    <cfRule type="expression" dxfId="1197" priority="7">
      <formula>B116="In Progress"</formula>
    </cfRule>
    <cfRule type="expression" dxfId="1196" priority="8">
      <formula>B116="At Risk"</formula>
    </cfRule>
    <cfRule type="expression" dxfId="1195" priority="9">
      <formula>B116="Blocked"</formula>
    </cfRule>
    <cfRule type="expression" dxfId="1194" priority="10">
      <formula>B116="Not Started"</formula>
    </cfRule>
  </conditionalFormatting>
  <conditionalFormatting sqref="B124:B129">
    <cfRule type="expression" dxfId="1193" priority="11">
      <formula>B124="Complete"</formula>
    </cfRule>
    <cfRule type="expression" dxfId="1192" priority="12">
      <formula>B124="In Progress"</formula>
    </cfRule>
    <cfRule type="expression" dxfId="1191" priority="13">
      <formula>B124="At Risk"</formula>
    </cfRule>
    <cfRule type="expression" dxfId="1190" priority="14">
      <formula>B124="Blocked"</formula>
    </cfRule>
    <cfRule type="expression" dxfId="1189" priority="15">
      <formula>B124="Not Started"</formula>
    </cfRule>
  </conditionalFormatting>
  <conditionalFormatting sqref="B147:B154">
    <cfRule type="expression" dxfId="1188" priority="82">
      <formula>B147="Yes"</formula>
    </cfRule>
    <cfRule type="expression" dxfId="1187" priority="83">
      <formula>B147="N/A"</formula>
    </cfRule>
    <cfRule type="expression" dxfId="1186" priority="84">
      <formula>B147="No"</formula>
    </cfRule>
  </conditionalFormatting>
  <conditionalFormatting sqref="B164:H164">
    <cfRule type="expression" dxfId="1185" priority="85">
      <formula>COUNTIF($B$6:$B$13,"No")=0</formula>
    </cfRule>
    <cfRule type="expression" dxfId="1184" priority="86">
      <formula>COUNTIF($B$6:$B$13,"No")&gt;0</formula>
    </cfRule>
  </conditionalFormatting>
  <conditionalFormatting sqref="C91:D91">
    <cfRule type="dataBar" priority="37">
      <dataBar>
        <cfvo type="num" val="0"/>
        <cfvo type="num" val="1"/>
        <color rgb="FF5B9BD5"/>
      </dataBar>
    </cfRule>
  </conditionalFormatting>
  <conditionalFormatting sqref="C95:D102">
    <cfRule type="expression" dxfId="1183" priority="31">
      <formula>C95="Yes"</formula>
    </cfRule>
    <cfRule type="expression" dxfId="1182" priority="32">
      <formula>C95="No"</formula>
    </cfRule>
    <cfRule type="expression" dxfId="1181" priority="33">
      <formula>C95="N/A"</formula>
    </cfRule>
  </conditionalFormatting>
  <conditionalFormatting sqref="C103:D103">
    <cfRule type="dataBar" priority="38">
      <dataBar>
        <cfvo type="num" val="0"/>
        <cfvo type="num" val="1"/>
        <color rgb="FF5B9BD5"/>
      </dataBar>
    </cfRule>
  </conditionalFormatting>
  <conditionalFormatting sqref="C112:D112">
    <cfRule type="dataBar" priority="39">
      <dataBar>
        <cfvo type="num" val="0"/>
        <cfvo type="num" val="1"/>
        <color rgb="FF5B9BD5"/>
      </dataBar>
    </cfRule>
  </conditionalFormatting>
  <conditionalFormatting sqref="C124:D129">
    <cfRule type="expression" dxfId="1180" priority="16">
      <formula>C124="Yes"</formula>
    </cfRule>
    <cfRule type="expression" dxfId="1179" priority="17">
      <formula>C124="No"</formula>
    </cfRule>
    <cfRule type="expression" dxfId="1178" priority="18">
      <formula>C124="N/A"</formula>
    </cfRule>
  </conditionalFormatting>
  <conditionalFormatting sqref="C130:D130">
    <cfRule type="dataBar" priority="20">
      <dataBar>
        <cfvo type="num" val="0"/>
        <cfvo type="num" val="1"/>
        <color rgb="FF5B9BD5"/>
      </dataBar>
    </cfRule>
  </conditionalFormatting>
  <conditionalFormatting sqref="E5 G5 I5">
    <cfRule type="expression" dxfId="1177" priority="87">
      <formula>E5="Pass"</formula>
    </cfRule>
    <cfRule type="expression" dxfId="1176" priority="88">
      <formula>E5="Verify"</formula>
    </cfRule>
    <cfRule type="expression" dxfId="1175" priority="89">
      <formula>E5="Fail"</formula>
    </cfRule>
    <cfRule type="expression" dxfId="1174" priority="90">
      <formula>E5="Not Started"</formula>
    </cfRule>
  </conditionalFormatting>
  <conditionalFormatting sqref="F3">
    <cfRule type="expression" dxfId="1173" priority="91">
      <formula>F3="Yes"</formula>
    </cfRule>
    <cfRule type="expression" dxfId="1172" priority="92">
      <formula>F3="No"</formula>
    </cfRule>
  </conditionalFormatting>
  <conditionalFormatting sqref="F107:F111">
    <cfRule type="expression" dxfId="1171" priority="34">
      <formula>F107="Pass"</formula>
    </cfRule>
    <cfRule type="expression" dxfId="1170" priority="35">
      <formula>F107="Fail"</formula>
    </cfRule>
    <cfRule type="expression" dxfId="1169" priority="36">
      <formula>F107="Pending"</formula>
    </cfRule>
  </conditionalFormatting>
  <conditionalFormatting sqref="F116:F119">
    <cfRule type="dataBar" priority="19">
      <dataBar>
        <cfvo type="num" val="0"/>
        <cfvo type="num" val="1"/>
        <color rgb="FF5B9BD5"/>
      </dataBar>
    </cfRule>
  </conditionalFormatting>
  <dataValidations count="5">
    <dataValidation type="list" sqref="B5:B6 D5 F5 H5 H10:H16 H132:I133 H79:I82 I16 J5 H135:I140 D54:D60 H17:I77" xr:uid="{00000000-0002-0000-2800-000000000000}">
      <formula1>"Not Started,Verify,Pass,Fail,N/A,Open,Closed,Partial / Yellow"</formula1>
      <formula2>0</formula2>
    </dataValidation>
    <dataValidation type="list" allowBlank="1" sqref="F107:F111" xr:uid="{C8287A30-EA49-4EC2-82FF-A4F37DBE1FDC}">
      <formula1>"Pending,Pass,Fail,N/A"</formula1>
    </dataValidation>
    <dataValidation type="list" allowBlank="1" sqref="C95:D102 C124:D129" xr:uid="{03AA792B-8DAB-4C02-885A-6B6CA2EDC3DD}">
      <formula1>"Yes,No,N/A"</formula1>
    </dataValidation>
    <dataValidation type="list" allowBlank="1" sqref="B116:B119 B107:B111" xr:uid="{E01910C3-7D71-4D07-8869-215880BDFD72}">
      <formula1>"Not Started,In Progress,Complete,At Risk,Blocked"</formula1>
    </dataValidation>
    <dataValidation type="list" sqref="B147:B154" xr:uid="{82D9649D-CD1A-4813-AD25-EE0E53D7E73E}">
      <formula1>"No,Yes,N/A"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969720B-426C-4DEB-BFED-87242C9F3212}">
          <x14:formula1>
            <xm:f>Lookup_Lists!$L$37:$L$39</xm:f>
          </x14:formula1>
          <xm:sqref>C107:E111 J2</xm:sqref>
        </x14:dataValidation>
        <x14:dataValidation type="list" allowBlank="1" showInputMessage="1" showErrorMessage="1" xr:uid="{4BD42C86-975B-40BD-B8AE-8335C4809263}">
          <x14:formula1>
            <xm:f>Lookup_Lists!$A$36:$A$42</xm:f>
          </x14:formula1>
          <xm:sqref>B86:B90 B95:B102 B124:B129</xm:sqref>
        </x14:dataValidation>
      </x14:dataValidations>
    </ext>
  </extLst>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35DF0-E013-4651-A376-12708D6E97B2}">
  <dimension ref="A1:J239"/>
  <sheetViews>
    <sheetView workbookViewId="0">
      <selection activeCell="J3" sqref="J3"/>
    </sheetView>
  </sheetViews>
  <sheetFormatPr defaultColWidth="8.6640625" defaultRowHeight="14.4"/>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6640625" style="8" customWidth="1"/>
    <col min="13" max="16384" width="8.6640625" style="8"/>
  </cols>
  <sheetData>
    <row r="1" spans="1:10">
      <c r="A1" s="851" t="s">
        <v>1565</v>
      </c>
      <c r="B1" s="839"/>
      <c r="C1" s="839"/>
      <c r="D1" s="839"/>
      <c r="E1" s="839"/>
      <c r="F1" s="839"/>
      <c r="G1" s="839"/>
      <c r="H1" s="839"/>
      <c r="I1" s="839"/>
      <c r="J1" s="839"/>
    </row>
    <row r="2" spans="1:10" s="227" customFormat="1">
      <c r="A2" s="223" t="s">
        <v>142</v>
      </c>
      <c r="B2" s="224" t="s">
        <v>1566</v>
      </c>
      <c r="C2" s="223" t="s">
        <v>902</v>
      </c>
      <c r="D2" s="224" t="s">
        <v>1094</v>
      </c>
      <c r="E2" s="223" t="s">
        <v>151</v>
      </c>
      <c r="F2" s="224" t="s">
        <v>1095</v>
      </c>
      <c r="G2" s="223" t="s">
        <v>174</v>
      </c>
      <c r="H2" s="225">
        <v>0.5</v>
      </c>
      <c r="I2" s="223" t="s">
        <v>154</v>
      </c>
      <c r="J2" s="226" t="s">
        <v>1096</v>
      </c>
    </row>
    <row r="3" spans="1:10" s="231" customFormat="1" ht="27.6">
      <c r="A3" s="223" t="s">
        <v>903</v>
      </c>
      <c r="B3" s="228">
        <v>46198.577594305563</v>
      </c>
      <c r="C3" s="229" t="s">
        <v>904</v>
      </c>
      <c r="D3" s="230" t="s">
        <v>721</v>
      </c>
      <c r="E3" s="223" t="s">
        <v>905</v>
      </c>
      <c r="F3" s="230" t="s">
        <v>1567</v>
      </c>
      <c r="G3" s="223" t="s">
        <v>907</v>
      </c>
      <c r="H3" s="230" t="s">
        <v>908</v>
      </c>
      <c r="I3" s="223" t="s">
        <v>551</v>
      </c>
      <c r="J3" s="230" t="s">
        <v>1568</v>
      </c>
    </row>
    <row r="4" spans="1:10" s="231" customFormat="1" ht="124.2">
      <c r="A4" s="223" t="s">
        <v>161</v>
      </c>
      <c r="B4" s="230">
        <v>0</v>
      </c>
      <c r="C4" s="223" t="s">
        <v>199</v>
      </c>
      <c r="D4" s="230">
        <v>0</v>
      </c>
      <c r="E4" s="223" t="s">
        <v>179</v>
      </c>
      <c r="F4" s="230">
        <v>0</v>
      </c>
      <c r="G4" s="223" t="s">
        <v>870</v>
      </c>
      <c r="H4" s="232" t="s">
        <v>1569</v>
      </c>
      <c r="I4" s="233"/>
      <c r="J4" s="233"/>
    </row>
    <row r="5" spans="1:10" s="231" customFormat="1">
      <c r="A5" s="234" t="s">
        <v>911</v>
      </c>
      <c r="B5" s="225" t="s">
        <v>677</v>
      </c>
      <c r="C5" s="235" t="s">
        <v>912</v>
      </c>
      <c r="D5" s="225" t="s">
        <v>677</v>
      </c>
      <c r="E5" s="236" t="s">
        <v>913</v>
      </c>
      <c r="F5" s="225" t="s">
        <v>677</v>
      </c>
      <c r="G5" s="237" t="s">
        <v>914</v>
      </c>
      <c r="H5" s="225" t="s">
        <v>677</v>
      </c>
      <c r="I5" s="237" t="s">
        <v>915</v>
      </c>
      <c r="J5" s="225" t="s">
        <v>677</v>
      </c>
    </row>
    <row r="6" spans="1:10" s="231" customFormat="1">
      <c r="A6" s="238" t="s">
        <v>916</v>
      </c>
      <c r="B6" s="225" t="s">
        <v>677</v>
      </c>
      <c r="C6" s="239" t="s">
        <v>869</v>
      </c>
      <c r="D6" s="854" t="s">
        <v>1570</v>
      </c>
      <c r="E6" s="853"/>
      <c r="F6" s="853"/>
      <c r="G6" s="853"/>
      <c r="H6" s="853"/>
      <c r="I6" s="853"/>
      <c r="J6" s="853"/>
    </row>
    <row r="7" spans="1:10">
      <c r="A7" s="13"/>
      <c r="B7" s="13"/>
      <c r="C7" s="13"/>
      <c r="D7" s="13"/>
      <c r="E7" s="13"/>
      <c r="F7" s="13"/>
      <c r="G7" s="13"/>
      <c r="H7" s="13"/>
      <c r="I7" s="13"/>
      <c r="J7" s="13"/>
    </row>
    <row r="8" spans="1:10">
      <c r="A8" s="842" t="s">
        <v>918</v>
      </c>
      <c r="B8" s="839"/>
      <c r="C8" s="839"/>
      <c r="D8" s="839"/>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41.4">
      <c r="A10" s="13" t="s">
        <v>1566</v>
      </c>
      <c r="B10" s="13" t="s">
        <v>1571</v>
      </c>
      <c r="C10" s="13" t="s">
        <v>923</v>
      </c>
      <c r="D10" s="13" t="s">
        <v>1572</v>
      </c>
      <c r="E10" s="13" t="s">
        <v>1473</v>
      </c>
      <c r="F10" s="13">
        <v>1</v>
      </c>
      <c r="G10" s="13">
        <v>0</v>
      </c>
      <c r="H10" s="13" t="s">
        <v>677</v>
      </c>
      <c r="I10" s="13" t="s">
        <v>1573</v>
      </c>
      <c r="J10" s="13" t="s">
        <v>1574</v>
      </c>
    </row>
    <row r="11" spans="1:10" ht="55.2">
      <c r="A11" s="13" t="s">
        <v>1566</v>
      </c>
      <c r="B11" s="13" t="s">
        <v>691</v>
      </c>
      <c r="C11" s="13" t="s">
        <v>919</v>
      </c>
      <c r="D11" s="13" t="s">
        <v>1575</v>
      </c>
      <c r="E11" s="13" t="s">
        <v>356</v>
      </c>
      <c r="F11" s="13">
        <v>2</v>
      </c>
      <c r="G11" s="13">
        <v>0</v>
      </c>
      <c r="H11" s="13" t="s">
        <v>677</v>
      </c>
      <c r="I11" s="13" t="s">
        <v>1576</v>
      </c>
      <c r="J11" s="13" t="s">
        <v>1577</v>
      </c>
    </row>
    <row r="12" spans="1:10" ht="55.2">
      <c r="A12" s="13" t="s">
        <v>1566</v>
      </c>
      <c r="B12" s="13" t="s">
        <v>692</v>
      </c>
      <c r="C12" s="13" t="s">
        <v>933</v>
      </c>
      <c r="D12" s="13" t="s">
        <v>1578</v>
      </c>
      <c r="E12" s="13" t="s">
        <v>356</v>
      </c>
      <c r="F12" s="13">
        <v>1</v>
      </c>
      <c r="G12" s="13">
        <v>1</v>
      </c>
      <c r="H12" s="13" t="s">
        <v>677</v>
      </c>
      <c r="I12" s="13" t="s">
        <v>1579</v>
      </c>
      <c r="J12" s="13" t="s">
        <v>1580</v>
      </c>
    </row>
    <row r="13" spans="1:10">
      <c r="A13" s="13"/>
      <c r="B13" s="13"/>
      <c r="C13" s="13"/>
      <c r="D13" s="13"/>
      <c r="E13" s="13"/>
      <c r="F13" s="13"/>
      <c r="G13" s="13"/>
      <c r="H13" s="13"/>
      <c r="I13" s="13"/>
      <c r="J13" s="13"/>
    </row>
    <row r="14" spans="1:10">
      <c r="A14" s="842" t="s">
        <v>936</v>
      </c>
      <c r="B14" s="839"/>
      <c r="C14" s="839"/>
      <c r="D14" s="839"/>
      <c r="E14" s="85"/>
      <c r="F14" s="85"/>
      <c r="G14" s="85"/>
      <c r="H14" s="85"/>
      <c r="I14" s="85"/>
      <c r="J14" s="85"/>
    </row>
    <row r="15" spans="1:10">
      <c r="A15" s="50" t="s">
        <v>275</v>
      </c>
      <c r="B15" s="50" t="s">
        <v>937</v>
      </c>
      <c r="C15" s="50" t="s">
        <v>938</v>
      </c>
      <c r="D15" s="50" t="s">
        <v>939</v>
      </c>
      <c r="E15" s="50" t="s">
        <v>940</v>
      </c>
      <c r="F15" s="50" t="s">
        <v>941</v>
      </c>
      <c r="G15" s="50" t="s">
        <v>942</v>
      </c>
      <c r="H15" s="50" t="s">
        <v>943</v>
      </c>
      <c r="I15" s="50" t="s">
        <v>899</v>
      </c>
      <c r="J15" s="50" t="s">
        <v>944</v>
      </c>
    </row>
    <row r="16" spans="1:10" ht="27.6">
      <c r="A16" s="13" t="s">
        <v>1571</v>
      </c>
      <c r="B16" s="13" t="s">
        <v>677</v>
      </c>
      <c r="C16" s="13" t="s">
        <v>677</v>
      </c>
      <c r="D16" s="13" t="s">
        <v>677</v>
      </c>
      <c r="E16" s="13" t="s">
        <v>677</v>
      </c>
      <c r="F16" s="13" t="s">
        <v>677</v>
      </c>
      <c r="G16" s="13" t="s">
        <v>677</v>
      </c>
      <c r="H16" s="13" t="s">
        <v>677</v>
      </c>
      <c r="I16" s="13" t="s">
        <v>677</v>
      </c>
      <c r="J16" s="13" t="s">
        <v>1581</v>
      </c>
    </row>
    <row r="17" spans="1:10" ht="41.4">
      <c r="A17" s="13" t="s">
        <v>691</v>
      </c>
      <c r="B17" s="13" t="s">
        <v>677</v>
      </c>
      <c r="C17" s="13" t="s">
        <v>677</v>
      </c>
      <c r="D17" s="13" t="s">
        <v>677</v>
      </c>
      <c r="E17" s="13" t="s">
        <v>677</v>
      </c>
      <c r="F17" s="13" t="s">
        <v>677</v>
      </c>
      <c r="G17" s="13" t="s">
        <v>677</v>
      </c>
      <c r="H17" s="13" t="s">
        <v>677</v>
      </c>
      <c r="I17" s="13" t="s">
        <v>677</v>
      </c>
      <c r="J17" s="13" t="s">
        <v>1582</v>
      </c>
    </row>
    <row r="18" spans="1:10" ht="55.2">
      <c r="A18" s="13" t="s">
        <v>692</v>
      </c>
      <c r="B18" s="13" t="s">
        <v>677</v>
      </c>
      <c r="C18" s="13" t="s">
        <v>677</v>
      </c>
      <c r="D18" s="13" t="s">
        <v>677</v>
      </c>
      <c r="E18" s="13" t="s">
        <v>677</v>
      </c>
      <c r="F18" s="13" t="s">
        <v>677</v>
      </c>
      <c r="G18" s="13" t="s">
        <v>677</v>
      </c>
      <c r="H18" s="13" t="s">
        <v>677</v>
      </c>
      <c r="I18" s="13" t="s">
        <v>677</v>
      </c>
      <c r="J18" s="13" t="s">
        <v>1583</v>
      </c>
    </row>
    <row r="19" spans="1:10">
      <c r="A19" s="13"/>
      <c r="B19" s="13"/>
      <c r="C19" s="13"/>
      <c r="D19" s="13"/>
      <c r="E19" s="13"/>
      <c r="F19" s="13"/>
      <c r="G19" s="13"/>
      <c r="H19" s="13"/>
      <c r="I19" s="13"/>
      <c r="J19" s="13"/>
    </row>
    <row r="20" spans="1:10">
      <c r="A20" s="842" t="s">
        <v>951</v>
      </c>
      <c r="B20" s="839"/>
      <c r="C20" s="839"/>
      <c r="D20" s="839"/>
      <c r="E20" s="85"/>
      <c r="F20" s="85"/>
      <c r="G20" s="85"/>
      <c r="H20" s="85"/>
      <c r="I20" s="85"/>
      <c r="J20" s="85"/>
    </row>
    <row r="21" spans="1:10">
      <c r="A21" s="50" t="s">
        <v>275</v>
      </c>
      <c r="B21" s="50" t="s">
        <v>952</v>
      </c>
      <c r="C21" s="50" t="s">
        <v>953</v>
      </c>
      <c r="D21" s="50" t="s">
        <v>954</v>
      </c>
      <c r="E21" s="50" t="s">
        <v>955</v>
      </c>
      <c r="F21" s="50" t="s">
        <v>956</v>
      </c>
      <c r="G21" s="50" t="s">
        <v>957</v>
      </c>
      <c r="H21" s="50" t="s">
        <v>958</v>
      </c>
      <c r="I21" s="50" t="s">
        <v>899</v>
      </c>
      <c r="J21" s="50" t="s">
        <v>959</v>
      </c>
    </row>
    <row r="22" spans="1:10" ht="27.6">
      <c r="A22" s="13" t="s">
        <v>1571</v>
      </c>
      <c r="B22" s="13" t="s">
        <v>677</v>
      </c>
      <c r="C22" s="13" t="s">
        <v>679</v>
      </c>
      <c r="D22" s="13" t="s">
        <v>677</v>
      </c>
      <c r="E22" s="13" t="s">
        <v>677</v>
      </c>
      <c r="F22" s="13" t="s">
        <v>677</v>
      </c>
      <c r="G22" s="13" t="s">
        <v>677</v>
      </c>
      <c r="H22" s="13" t="s">
        <v>677</v>
      </c>
      <c r="I22" s="13" t="s">
        <v>677</v>
      </c>
      <c r="J22" s="13" t="s">
        <v>1584</v>
      </c>
    </row>
    <row r="23" spans="1:10" ht="55.2">
      <c r="A23" s="13" t="s">
        <v>691</v>
      </c>
      <c r="B23" s="13" t="s">
        <v>677</v>
      </c>
      <c r="C23" s="13" t="s">
        <v>677</v>
      </c>
      <c r="D23" s="13" t="s">
        <v>677</v>
      </c>
      <c r="E23" s="13" t="s">
        <v>677</v>
      </c>
      <c r="F23" s="13" t="s">
        <v>677</v>
      </c>
      <c r="G23" s="13" t="s">
        <v>677</v>
      </c>
      <c r="H23" s="13" t="s">
        <v>677</v>
      </c>
      <c r="I23" s="13" t="s">
        <v>677</v>
      </c>
      <c r="J23" s="13" t="s">
        <v>1585</v>
      </c>
    </row>
    <row r="24" spans="1:10" ht="41.4">
      <c r="A24" s="13" t="s">
        <v>692</v>
      </c>
      <c r="B24" s="13" t="s">
        <v>677</v>
      </c>
      <c r="C24" s="13" t="s">
        <v>677</v>
      </c>
      <c r="D24" s="13" t="s">
        <v>677</v>
      </c>
      <c r="E24" s="13" t="s">
        <v>677</v>
      </c>
      <c r="F24" s="13" t="s">
        <v>677</v>
      </c>
      <c r="G24" s="13" t="s">
        <v>677</v>
      </c>
      <c r="H24" s="13" t="s">
        <v>677</v>
      </c>
      <c r="I24" s="13" t="s">
        <v>677</v>
      </c>
      <c r="J24" s="13" t="s">
        <v>1586</v>
      </c>
    </row>
    <row r="25" spans="1:10">
      <c r="A25" s="13"/>
      <c r="B25" s="13"/>
      <c r="C25" s="13"/>
      <c r="D25" s="13"/>
      <c r="E25" s="13"/>
      <c r="F25" s="13"/>
      <c r="G25" s="13"/>
      <c r="H25" s="13"/>
      <c r="I25" s="13"/>
      <c r="J25" s="13"/>
    </row>
    <row r="26" spans="1:10">
      <c r="A26" s="842" t="s">
        <v>964</v>
      </c>
      <c r="B26" s="839"/>
      <c r="C26" s="839"/>
      <c r="D26" s="839"/>
      <c r="E26" s="85"/>
      <c r="F26" s="85"/>
      <c r="G26" s="85"/>
      <c r="H26" s="85"/>
      <c r="I26" s="85"/>
      <c r="J26" s="85"/>
    </row>
    <row r="27" spans="1:10">
      <c r="A27" s="50" t="s">
        <v>275</v>
      </c>
      <c r="B27" s="50" t="s">
        <v>965</v>
      </c>
      <c r="C27" s="50" t="s">
        <v>966</v>
      </c>
      <c r="D27" s="50" t="s">
        <v>967</v>
      </c>
      <c r="E27" s="50" t="s">
        <v>968</v>
      </c>
      <c r="F27" s="50" t="s">
        <v>969</v>
      </c>
      <c r="G27" s="50" t="s">
        <v>970</v>
      </c>
      <c r="H27" s="50" t="s">
        <v>971</v>
      </c>
      <c r="I27" s="50" t="s">
        <v>899</v>
      </c>
      <c r="J27" s="50" t="s">
        <v>959</v>
      </c>
    </row>
    <row r="28" spans="1:10" ht="41.4">
      <c r="A28" s="13" t="s">
        <v>1571</v>
      </c>
      <c r="B28" s="13" t="s">
        <v>988</v>
      </c>
      <c r="C28" s="13" t="s">
        <v>677</v>
      </c>
      <c r="D28" s="13" t="s">
        <v>677</v>
      </c>
      <c r="E28" s="13" t="s">
        <v>677</v>
      </c>
      <c r="F28" s="13" t="s">
        <v>677</v>
      </c>
      <c r="G28" s="13" t="s">
        <v>677</v>
      </c>
      <c r="H28" s="13" t="s">
        <v>677</v>
      </c>
      <c r="I28" s="13" t="s">
        <v>677</v>
      </c>
      <c r="J28" s="13" t="s">
        <v>1587</v>
      </c>
    </row>
    <row r="29" spans="1:10" ht="69">
      <c r="A29" s="13" t="s">
        <v>691</v>
      </c>
      <c r="B29" s="13" t="s">
        <v>972</v>
      </c>
      <c r="C29" s="13" t="s">
        <v>677</v>
      </c>
      <c r="D29" s="13" t="s">
        <v>677</v>
      </c>
      <c r="E29" s="13" t="s">
        <v>677</v>
      </c>
      <c r="F29" s="13" t="s">
        <v>677</v>
      </c>
      <c r="G29" s="13" t="s">
        <v>677</v>
      </c>
      <c r="H29" s="13" t="s">
        <v>677</v>
      </c>
      <c r="I29" s="13" t="s">
        <v>677</v>
      </c>
      <c r="J29" s="13" t="s">
        <v>1588</v>
      </c>
    </row>
    <row r="30" spans="1:10" ht="55.2">
      <c r="A30" s="13" t="s">
        <v>692</v>
      </c>
      <c r="B30" s="13" t="s">
        <v>1589</v>
      </c>
      <c r="C30" s="13" t="s">
        <v>677</v>
      </c>
      <c r="D30" s="13" t="s">
        <v>677</v>
      </c>
      <c r="E30" s="13" t="s">
        <v>677</v>
      </c>
      <c r="F30" s="13" t="s">
        <v>677</v>
      </c>
      <c r="G30" s="13" t="s">
        <v>677</v>
      </c>
      <c r="H30" s="13" t="s">
        <v>677</v>
      </c>
      <c r="I30" s="13" t="s">
        <v>677</v>
      </c>
      <c r="J30" s="13" t="s">
        <v>1590</v>
      </c>
    </row>
    <row r="31" spans="1:10">
      <c r="A31" s="13"/>
      <c r="B31" s="13"/>
      <c r="C31" s="13"/>
      <c r="D31" s="13"/>
      <c r="E31" s="13"/>
      <c r="F31" s="13"/>
      <c r="G31" s="13"/>
      <c r="H31" s="13"/>
      <c r="I31" s="13"/>
      <c r="J31" s="13"/>
    </row>
    <row r="32" spans="1:10">
      <c r="A32" s="842" t="s">
        <v>977</v>
      </c>
      <c r="B32" s="839"/>
      <c r="C32" s="839"/>
      <c r="D32" s="839"/>
      <c r="E32" s="85"/>
      <c r="F32" s="85"/>
      <c r="G32" s="85"/>
      <c r="H32" s="85"/>
      <c r="I32" s="85"/>
      <c r="J32" s="85"/>
    </row>
    <row r="33" spans="1:10">
      <c r="A33" s="50" t="s">
        <v>275</v>
      </c>
      <c r="B33" s="50" t="s">
        <v>978</v>
      </c>
      <c r="C33" s="50" t="s">
        <v>979</v>
      </c>
      <c r="D33" s="50" t="s">
        <v>980</v>
      </c>
      <c r="E33" s="50" t="s">
        <v>981</v>
      </c>
      <c r="F33" s="50" t="s">
        <v>982</v>
      </c>
      <c r="G33" s="50" t="s">
        <v>983</v>
      </c>
      <c r="H33" s="50" t="s">
        <v>984</v>
      </c>
      <c r="I33" s="50" t="s">
        <v>899</v>
      </c>
      <c r="J33" s="50" t="s">
        <v>11</v>
      </c>
    </row>
    <row r="34" spans="1:10" ht="41.4">
      <c r="A34" s="13" t="s">
        <v>1571</v>
      </c>
      <c r="B34" s="13" t="s">
        <v>988</v>
      </c>
      <c r="C34" s="13" t="s">
        <v>1485</v>
      </c>
      <c r="D34" s="13" t="s">
        <v>988</v>
      </c>
      <c r="E34" s="13" t="s">
        <v>677</v>
      </c>
      <c r="F34" s="13" t="s">
        <v>677</v>
      </c>
      <c r="G34" s="13" t="s">
        <v>677</v>
      </c>
      <c r="H34" s="13" t="s">
        <v>677</v>
      </c>
      <c r="I34" s="13" t="s">
        <v>677</v>
      </c>
      <c r="J34" s="13" t="s">
        <v>1591</v>
      </c>
    </row>
    <row r="35" spans="1:10" ht="69">
      <c r="A35" s="13" t="s">
        <v>691</v>
      </c>
      <c r="B35" s="13" t="s">
        <v>677</v>
      </c>
      <c r="C35" s="13" t="s">
        <v>1592</v>
      </c>
      <c r="D35" s="13" t="s">
        <v>677</v>
      </c>
      <c r="E35" s="13" t="s">
        <v>677</v>
      </c>
      <c r="F35" s="13" t="s">
        <v>1593</v>
      </c>
      <c r="G35" s="13" t="s">
        <v>677</v>
      </c>
      <c r="H35" s="13" t="s">
        <v>677</v>
      </c>
      <c r="I35" s="13" t="s">
        <v>677</v>
      </c>
      <c r="J35" s="13" t="s">
        <v>1594</v>
      </c>
    </row>
    <row r="36" spans="1:10" ht="55.2">
      <c r="A36" s="13" t="s">
        <v>692</v>
      </c>
      <c r="B36" s="13" t="s">
        <v>677</v>
      </c>
      <c r="C36" s="13" t="s">
        <v>1592</v>
      </c>
      <c r="D36" s="13" t="s">
        <v>677</v>
      </c>
      <c r="E36" s="13" t="s">
        <v>677</v>
      </c>
      <c r="F36" s="13" t="s">
        <v>1595</v>
      </c>
      <c r="G36" s="13" t="s">
        <v>677</v>
      </c>
      <c r="H36" s="13" t="s">
        <v>677</v>
      </c>
      <c r="I36" s="13" t="s">
        <v>677</v>
      </c>
      <c r="J36" s="13" t="s">
        <v>1596</v>
      </c>
    </row>
    <row r="37" spans="1:10">
      <c r="A37" s="13"/>
      <c r="B37" s="13"/>
      <c r="C37" s="13"/>
      <c r="D37" s="13"/>
      <c r="E37" s="13"/>
      <c r="F37" s="13"/>
      <c r="G37" s="13"/>
      <c r="H37" s="13"/>
      <c r="I37" s="13"/>
      <c r="J37" s="13"/>
    </row>
    <row r="38" spans="1:10">
      <c r="A38" s="842" t="s">
        <v>994</v>
      </c>
      <c r="B38" s="839"/>
      <c r="C38" s="839"/>
      <c r="D38" s="839"/>
      <c r="E38" s="85"/>
      <c r="F38" s="85"/>
      <c r="G38" s="85"/>
      <c r="H38" s="85"/>
      <c r="I38" s="85"/>
      <c r="J38" s="85"/>
    </row>
    <row r="39" spans="1:10">
      <c r="A39" s="50" t="s">
        <v>275</v>
      </c>
      <c r="B39" s="50" t="s">
        <v>995</v>
      </c>
      <c r="C39" s="50" t="s">
        <v>996</v>
      </c>
      <c r="D39" s="50" t="s">
        <v>997</v>
      </c>
      <c r="E39" s="50" t="s">
        <v>998</v>
      </c>
      <c r="F39" s="50" t="s">
        <v>999</v>
      </c>
      <c r="G39" s="50" t="s">
        <v>1000</v>
      </c>
      <c r="H39" s="50" t="s">
        <v>1001</v>
      </c>
      <c r="I39" s="50" t="s">
        <v>899</v>
      </c>
      <c r="J39" s="50" t="s">
        <v>11</v>
      </c>
    </row>
    <row r="40" spans="1:10" ht="41.4">
      <c r="A40" s="13" t="s">
        <v>1571</v>
      </c>
      <c r="B40" s="13" t="s">
        <v>988</v>
      </c>
      <c r="C40" s="13" t="s">
        <v>1487</v>
      </c>
      <c r="D40" s="13" t="s">
        <v>988</v>
      </c>
      <c r="E40" s="13" t="s">
        <v>677</v>
      </c>
      <c r="F40" s="13" t="s">
        <v>677</v>
      </c>
      <c r="G40" s="13" t="s">
        <v>677</v>
      </c>
      <c r="H40" s="13" t="s">
        <v>677</v>
      </c>
      <c r="I40" s="13" t="s">
        <v>677</v>
      </c>
      <c r="J40" s="13" t="s">
        <v>1597</v>
      </c>
    </row>
    <row r="41" spans="1:10" ht="55.2">
      <c r="A41" s="13" t="s">
        <v>691</v>
      </c>
      <c r="B41" s="13" t="s">
        <v>677</v>
      </c>
      <c r="C41" s="13" t="s">
        <v>677</v>
      </c>
      <c r="D41" s="13" t="s">
        <v>677</v>
      </c>
      <c r="E41" s="13" t="s">
        <v>677</v>
      </c>
      <c r="F41" s="13" t="s">
        <v>677</v>
      </c>
      <c r="G41" s="13" t="s">
        <v>677</v>
      </c>
      <c r="H41" s="13" t="s">
        <v>677</v>
      </c>
      <c r="I41" s="13" t="s">
        <v>677</v>
      </c>
      <c r="J41" s="13" t="s">
        <v>1598</v>
      </c>
    </row>
    <row r="42" spans="1:10" ht="55.2">
      <c r="A42" s="13" t="s">
        <v>692</v>
      </c>
      <c r="B42" s="13" t="s">
        <v>677</v>
      </c>
      <c r="C42" s="13" t="s">
        <v>677</v>
      </c>
      <c r="D42" s="13" t="s">
        <v>677</v>
      </c>
      <c r="E42" s="13" t="s">
        <v>677</v>
      </c>
      <c r="F42" s="13" t="s">
        <v>677</v>
      </c>
      <c r="G42" s="13" t="s">
        <v>677</v>
      </c>
      <c r="H42" s="13" t="s">
        <v>677</v>
      </c>
      <c r="I42" s="13" t="s">
        <v>677</v>
      </c>
      <c r="J42" s="13" t="s">
        <v>1599</v>
      </c>
    </row>
    <row r="43" spans="1:10">
      <c r="A43" s="13"/>
      <c r="B43" s="13"/>
      <c r="C43" s="13"/>
      <c r="D43" s="13"/>
      <c r="E43" s="13"/>
      <c r="F43" s="13"/>
      <c r="G43" s="13"/>
      <c r="H43" s="13"/>
      <c r="I43" s="13"/>
      <c r="J43" s="13"/>
    </row>
    <row r="44" spans="1:10">
      <c r="A44" s="842" t="s">
        <v>1007</v>
      </c>
      <c r="B44" s="839"/>
      <c r="C44" s="839"/>
      <c r="D44" s="839"/>
      <c r="E44" s="85"/>
      <c r="F44" s="85"/>
      <c r="G44" s="85"/>
      <c r="H44" s="85"/>
      <c r="I44" s="85"/>
      <c r="J44" s="85"/>
    </row>
    <row r="45" spans="1:10">
      <c r="A45" s="50" t="s">
        <v>275</v>
      </c>
      <c r="B45" s="50" t="s">
        <v>1008</v>
      </c>
      <c r="C45" s="50" t="s">
        <v>1009</v>
      </c>
      <c r="D45" s="50" t="s">
        <v>1010</v>
      </c>
      <c r="E45" s="50" t="s">
        <v>1011</v>
      </c>
      <c r="F45" s="50" t="s">
        <v>1012</v>
      </c>
      <c r="G45" s="50" t="s">
        <v>1013</v>
      </c>
      <c r="H45" s="50" t="s">
        <v>1014</v>
      </c>
      <c r="I45" s="50" t="s">
        <v>899</v>
      </c>
      <c r="J45" s="50" t="s">
        <v>11</v>
      </c>
    </row>
    <row r="46" spans="1:10" ht="27.6">
      <c r="A46" s="13" t="s">
        <v>1571</v>
      </c>
      <c r="B46" s="13" t="s">
        <v>677</v>
      </c>
      <c r="C46" s="13" t="s">
        <v>677</v>
      </c>
      <c r="D46" s="13" t="s">
        <v>677</v>
      </c>
      <c r="E46" s="13" t="s">
        <v>677</v>
      </c>
      <c r="F46" s="13" t="s">
        <v>677</v>
      </c>
      <c r="G46" s="13" t="s">
        <v>677</v>
      </c>
      <c r="H46" s="13" t="s">
        <v>677</v>
      </c>
      <c r="I46" s="13" t="s">
        <v>677</v>
      </c>
      <c r="J46" s="13" t="s">
        <v>1600</v>
      </c>
    </row>
    <row r="47" spans="1:10" ht="55.2">
      <c r="A47" s="13" t="s">
        <v>691</v>
      </c>
      <c r="B47" s="13" t="s">
        <v>677</v>
      </c>
      <c r="C47" s="13" t="s">
        <v>677</v>
      </c>
      <c r="D47" s="13" t="s">
        <v>677</v>
      </c>
      <c r="E47" s="13" t="s">
        <v>677</v>
      </c>
      <c r="F47" s="13" t="s">
        <v>677</v>
      </c>
      <c r="G47" s="13" t="s">
        <v>677</v>
      </c>
      <c r="H47" s="13" t="s">
        <v>677</v>
      </c>
      <c r="I47" s="13" t="s">
        <v>677</v>
      </c>
      <c r="J47" s="13" t="s">
        <v>1601</v>
      </c>
    </row>
    <row r="48" spans="1:10" ht="41.4">
      <c r="A48" s="13" t="s">
        <v>692</v>
      </c>
      <c r="B48" s="13" t="s">
        <v>677</v>
      </c>
      <c r="C48" s="13" t="s">
        <v>677</v>
      </c>
      <c r="D48" s="13" t="s">
        <v>677</v>
      </c>
      <c r="E48" s="13" t="s">
        <v>677</v>
      </c>
      <c r="F48" s="13" t="s">
        <v>677</v>
      </c>
      <c r="G48" s="13" t="s">
        <v>677</v>
      </c>
      <c r="H48" s="13" t="s">
        <v>677</v>
      </c>
      <c r="I48" s="13" t="s">
        <v>677</v>
      </c>
      <c r="J48" s="13" t="s">
        <v>1602</v>
      </c>
    </row>
    <row r="49" spans="1:10">
      <c r="A49" s="13"/>
      <c r="B49" s="13"/>
      <c r="C49" s="13"/>
      <c r="D49" s="13"/>
      <c r="E49" s="13"/>
      <c r="F49" s="13"/>
      <c r="G49" s="13"/>
      <c r="H49" s="13"/>
      <c r="I49" s="13"/>
      <c r="J49" s="13"/>
    </row>
    <row r="50" spans="1:10">
      <c r="A50" s="842" t="s">
        <v>1019</v>
      </c>
      <c r="B50" s="839"/>
      <c r="C50" s="839"/>
      <c r="D50" s="839"/>
      <c r="E50" s="85"/>
      <c r="F50" s="85"/>
      <c r="G50" s="85"/>
      <c r="H50" s="85"/>
      <c r="I50" s="85"/>
      <c r="J50" s="85"/>
    </row>
    <row r="51" spans="1:10">
      <c r="A51" s="50" t="s">
        <v>213</v>
      </c>
      <c r="B51" s="50" t="s">
        <v>275</v>
      </c>
      <c r="C51" s="50" t="s">
        <v>573</v>
      </c>
      <c r="D51" s="50" t="s">
        <v>215</v>
      </c>
      <c r="E51" s="50" t="s">
        <v>257</v>
      </c>
      <c r="F51" s="50" t="s">
        <v>572</v>
      </c>
      <c r="G51" s="50" t="s">
        <v>259</v>
      </c>
      <c r="H51" s="50" t="s">
        <v>216</v>
      </c>
      <c r="I51" s="50" t="s">
        <v>77</v>
      </c>
      <c r="J51" s="50" t="s">
        <v>11</v>
      </c>
    </row>
    <row r="52" spans="1:10" ht="55.2">
      <c r="A52" s="13" t="s">
        <v>1603</v>
      </c>
      <c r="B52" s="13" t="s">
        <v>575</v>
      </c>
      <c r="C52" s="13" t="s">
        <v>1604</v>
      </c>
      <c r="D52" s="13" t="s">
        <v>391</v>
      </c>
      <c r="E52" s="13" t="s">
        <v>488</v>
      </c>
      <c r="F52" s="13">
        <v>6</v>
      </c>
      <c r="G52" s="13" t="s">
        <v>1381</v>
      </c>
      <c r="H52" s="13" t="s">
        <v>1023</v>
      </c>
      <c r="I52" s="13" t="s">
        <v>502</v>
      </c>
      <c r="J52" s="13" t="s">
        <v>1605</v>
      </c>
    </row>
    <row r="53" spans="1:10" ht="55.2">
      <c r="A53" s="13" t="s">
        <v>1606</v>
      </c>
      <c r="B53" s="13" t="s">
        <v>1571</v>
      </c>
      <c r="C53" s="13" t="s">
        <v>1607</v>
      </c>
      <c r="D53" s="13" t="s">
        <v>492</v>
      </c>
      <c r="E53" s="13" t="s">
        <v>488</v>
      </c>
      <c r="F53" s="13">
        <v>8</v>
      </c>
      <c r="G53" s="13" t="s">
        <v>1608</v>
      </c>
      <c r="H53" s="13" t="s">
        <v>584</v>
      </c>
      <c r="I53" s="13" t="s">
        <v>502</v>
      </c>
      <c r="J53" s="13" t="s">
        <v>1609</v>
      </c>
    </row>
    <row r="54" spans="1:10" ht="69">
      <c r="A54" s="13" t="s">
        <v>1610</v>
      </c>
      <c r="B54" s="13" t="s">
        <v>691</v>
      </c>
      <c r="C54" s="13" t="s">
        <v>1611</v>
      </c>
      <c r="D54" s="13" t="s">
        <v>492</v>
      </c>
      <c r="E54" s="13" t="s">
        <v>488</v>
      </c>
      <c r="F54" s="13">
        <v>8</v>
      </c>
      <c r="G54" s="13" t="s">
        <v>1612</v>
      </c>
      <c r="H54" s="13" t="s">
        <v>1032</v>
      </c>
      <c r="I54" s="13" t="s">
        <v>502</v>
      </c>
      <c r="J54" s="13" t="s">
        <v>1613</v>
      </c>
    </row>
    <row r="55" spans="1:10" ht="82.8">
      <c r="A55" s="13" t="s">
        <v>1614</v>
      </c>
      <c r="B55" s="13" t="s">
        <v>692</v>
      </c>
      <c r="C55" s="13" t="s">
        <v>1615</v>
      </c>
      <c r="D55" s="13" t="s">
        <v>391</v>
      </c>
      <c r="E55" s="13" t="s">
        <v>488</v>
      </c>
      <c r="F55" s="13">
        <v>6</v>
      </c>
      <c r="G55" s="13" t="s">
        <v>1616</v>
      </c>
      <c r="H55" s="13" t="s">
        <v>1617</v>
      </c>
      <c r="I55" s="13" t="s">
        <v>502</v>
      </c>
      <c r="J55" s="13" t="s">
        <v>1618</v>
      </c>
    </row>
    <row r="56" spans="1:10" ht="82.8">
      <c r="A56" s="13" t="s">
        <v>1619</v>
      </c>
      <c r="B56" s="13" t="s">
        <v>1620</v>
      </c>
      <c r="C56" s="13" t="s">
        <v>1621</v>
      </c>
      <c r="D56" s="13" t="s">
        <v>492</v>
      </c>
      <c r="E56" s="13" t="s">
        <v>488</v>
      </c>
      <c r="F56" s="13">
        <v>8</v>
      </c>
      <c r="G56" s="13" t="s">
        <v>1622</v>
      </c>
      <c r="H56" s="13" t="s">
        <v>592</v>
      </c>
      <c r="I56" s="13" t="s">
        <v>502</v>
      </c>
      <c r="J56" s="13" t="s">
        <v>1623</v>
      </c>
    </row>
    <row r="57" spans="1:10" ht="69">
      <c r="A57" s="13" t="s">
        <v>1624</v>
      </c>
      <c r="B57" s="13" t="s">
        <v>575</v>
      </c>
      <c r="C57" s="13" t="s">
        <v>1625</v>
      </c>
      <c r="D57" s="13" t="s">
        <v>492</v>
      </c>
      <c r="E57" s="13" t="s">
        <v>488</v>
      </c>
      <c r="F57" s="13">
        <v>8</v>
      </c>
      <c r="G57" s="13" t="s">
        <v>1626</v>
      </c>
      <c r="H57" s="13" t="s">
        <v>1403</v>
      </c>
      <c r="I57" s="13" t="s">
        <v>502</v>
      </c>
      <c r="J57" s="13" t="s">
        <v>1627</v>
      </c>
    </row>
    <row r="58" spans="1:10" ht="69">
      <c r="A58" s="13" t="s">
        <v>1628</v>
      </c>
      <c r="B58" s="13" t="s">
        <v>575</v>
      </c>
      <c r="C58" s="13" t="s">
        <v>649</v>
      </c>
      <c r="D58" s="13" t="s">
        <v>492</v>
      </c>
      <c r="E58" s="13" t="s">
        <v>488</v>
      </c>
      <c r="F58" s="13">
        <v>8</v>
      </c>
      <c r="G58" s="13" t="s">
        <v>1629</v>
      </c>
      <c r="H58" s="13" t="s">
        <v>584</v>
      </c>
      <c r="I58" s="13" t="s">
        <v>502</v>
      </c>
      <c r="J58" s="13" t="s">
        <v>1630</v>
      </c>
    </row>
    <row r="59" spans="1:10" ht="55.2">
      <c r="A59" s="13" t="s">
        <v>1631</v>
      </c>
      <c r="B59" s="13" t="s">
        <v>575</v>
      </c>
      <c r="C59" s="13" t="s">
        <v>1632</v>
      </c>
      <c r="D59" s="13" t="s">
        <v>391</v>
      </c>
      <c r="E59" s="13" t="s">
        <v>488</v>
      </c>
      <c r="F59" s="13">
        <v>6</v>
      </c>
      <c r="G59" s="13" t="s">
        <v>1633</v>
      </c>
      <c r="H59" s="13" t="s">
        <v>1049</v>
      </c>
      <c r="I59" s="13" t="s">
        <v>502</v>
      </c>
      <c r="J59" s="13" t="s">
        <v>1634</v>
      </c>
    </row>
    <row r="60" spans="1:10">
      <c r="A60" s="13"/>
      <c r="B60" s="13"/>
      <c r="C60" s="13"/>
      <c r="D60" s="13"/>
      <c r="E60" s="13"/>
      <c r="F60" s="13"/>
      <c r="G60" s="13"/>
      <c r="H60" s="13"/>
      <c r="I60" s="13"/>
      <c r="J60" s="13"/>
    </row>
    <row r="61" spans="1:10">
      <c r="A61" s="842" t="s">
        <v>1051</v>
      </c>
      <c r="B61" s="839"/>
      <c r="C61" s="839"/>
      <c r="D61" s="839"/>
      <c r="E61" s="85"/>
      <c r="F61" s="85"/>
      <c r="G61" s="85"/>
      <c r="H61" s="85"/>
      <c r="I61" s="85"/>
      <c r="J61" s="85"/>
    </row>
    <row r="62" spans="1:10">
      <c r="A62" s="50" t="s">
        <v>221</v>
      </c>
      <c r="B62" s="50" t="s">
        <v>222</v>
      </c>
      <c r="C62" s="50" t="s">
        <v>265</v>
      </c>
      <c r="D62" s="50" t="s">
        <v>77</v>
      </c>
      <c r="E62" s="50" t="s">
        <v>878</v>
      </c>
      <c r="F62" s="50" t="s">
        <v>879</v>
      </c>
      <c r="G62" s="50" t="s">
        <v>880</v>
      </c>
      <c r="H62" s="50" t="s">
        <v>494</v>
      </c>
      <c r="I62" s="50" t="s">
        <v>881</v>
      </c>
      <c r="J62" s="50" t="s">
        <v>11</v>
      </c>
    </row>
    <row r="63" spans="1:10" ht="55.2">
      <c r="A63" s="13" t="s">
        <v>1635</v>
      </c>
      <c r="B63" s="13" t="s">
        <v>1636</v>
      </c>
      <c r="C63" s="13" t="s">
        <v>579</v>
      </c>
      <c r="D63" s="13" t="s">
        <v>502</v>
      </c>
      <c r="E63" s="13"/>
      <c r="F63" s="13"/>
      <c r="G63" s="13" t="s">
        <v>580</v>
      </c>
      <c r="H63" s="13"/>
      <c r="I63" s="13"/>
      <c r="J63" s="13"/>
    </row>
    <row r="64" spans="1:10" ht="55.2">
      <c r="A64" s="13" t="s">
        <v>1637</v>
      </c>
      <c r="B64" s="13" t="s">
        <v>1638</v>
      </c>
      <c r="C64" s="13" t="s">
        <v>587</v>
      </c>
      <c r="D64" s="13" t="s">
        <v>502</v>
      </c>
      <c r="E64" s="13"/>
      <c r="F64" s="13"/>
      <c r="G64" s="13" t="s">
        <v>1421</v>
      </c>
      <c r="H64" s="13"/>
      <c r="I64" s="13"/>
      <c r="J64" s="13"/>
    </row>
    <row r="65" spans="1:10" ht="55.2">
      <c r="A65" s="13" t="s">
        <v>1639</v>
      </c>
      <c r="B65" s="13" t="s">
        <v>1640</v>
      </c>
      <c r="C65" s="13" t="s">
        <v>587</v>
      </c>
      <c r="D65" s="13" t="s">
        <v>502</v>
      </c>
      <c r="E65" s="13"/>
      <c r="F65" s="13"/>
      <c r="G65" s="13" t="s">
        <v>1528</v>
      </c>
      <c r="H65" s="13"/>
      <c r="I65" s="13"/>
      <c r="J65" s="13"/>
    </row>
    <row r="66" spans="1:10" ht="69">
      <c r="A66" s="13" t="s">
        <v>1641</v>
      </c>
      <c r="B66" s="13" t="s">
        <v>1642</v>
      </c>
      <c r="C66" s="13" t="s">
        <v>601</v>
      </c>
      <c r="D66" s="13" t="s">
        <v>502</v>
      </c>
      <c r="E66" s="13"/>
      <c r="F66" s="13"/>
      <c r="G66" s="13" t="s">
        <v>602</v>
      </c>
      <c r="H66" s="13"/>
      <c r="I66" s="13"/>
      <c r="J66" s="13"/>
    </row>
    <row r="67" spans="1:10" ht="82.8">
      <c r="A67" s="13" t="s">
        <v>1643</v>
      </c>
      <c r="B67" s="13" t="s">
        <v>1417</v>
      </c>
      <c r="C67" s="13" t="s">
        <v>609</v>
      </c>
      <c r="D67" s="13" t="s">
        <v>502</v>
      </c>
      <c r="E67" s="13"/>
      <c r="F67" s="13"/>
      <c r="G67" s="13" t="s">
        <v>1418</v>
      </c>
      <c r="H67" s="13"/>
      <c r="I67" s="13"/>
      <c r="J67" s="13"/>
    </row>
    <row r="68" spans="1:10" ht="69">
      <c r="A68" s="13" t="s">
        <v>1644</v>
      </c>
      <c r="B68" s="13" t="s">
        <v>1645</v>
      </c>
      <c r="C68" s="13" t="s">
        <v>616</v>
      </c>
      <c r="D68" s="13" t="s">
        <v>502</v>
      </c>
      <c r="E68" s="13"/>
      <c r="F68" s="13"/>
      <c r="G68" s="13" t="s">
        <v>617</v>
      </c>
      <c r="H68" s="13"/>
      <c r="I68" s="13"/>
      <c r="J68" s="13"/>
    </row>
    <row r="69" spans="1:10" ht="82.8">
      <c r="A69" s="13" t="s">
        <v>1646</v>
      </c>
      <c r="B69" s="13" t="s">
        <v>1647</v>
      </c>
      <c r="C69" s="13" t="s">
        <v>622</v>
      </c>
      <c r="D69" s="13" t="s">
        <v>502</v>
      </c>
      <c r="E69" s="13"/>
      <c r="F69" s="13"/>
      <c r="G69" s="13" t="s">
        <v>623</v>
      </c>
      <c r="H69" s="13"/>
      <c r="I69" s="13"/>
      <c r="J69" s="13"/>
    </row>
    <row r="70" spans="1:10" ht="69">
      <c r="A70" s="13" t="s">
        <v>1648</v>
      </c>
      <c r="B70" s="13" t="s">
        <v>1649</v>
      </c>
      <c r="C70" s="13" t="s">
        <v>1049</v>
      </c>
      <c r="D70" s="13" t="s">
        <v>502</v>
      </c>
      <c r="E70" s="13"/>
      <c r="F70" s="13"/>
      <c r="G70" s="13" t="s">
        <v>631</v>
      </c>
      <c r="H70" s="13"/>
      <c r="I70" s="13"/>
      <c r="J70" s="13"/>
    </row>
    <row r="71" spans="1:10">
      <c r="A71" s="13"/>
      <c r="B71" s="13"/>
      <c r="C71" s="13"/>
      <c r="D71" s="13"/>
      <c r="E71" s="13"/>
      <c r="F71" s="13"/>
      <c r="G71" s="13"/>
      <c r="H71" s="13"/>
      <c r="I71" s="13"/>
      <c r="J71" s="13"/>
    </row>
    <row r="72" spans="1:10">
      <c r="A72" s="842" t="s">
        <v>1052</v>
      </c>
      <c r="B72" s="839"/>
      <c r="C72" s="839"/>
      <c r="D72" s="839"/>
      <c r="E72" s="85"/>
      <c r="F72" s="85"/>
      <c r="G72" s="85"/>
      <c r="H72" s="85"/>
      <c r="I72" s="85"/>
      <c r="J72" s="85"/>
    </row>
    <row r="73" spans="1:10">
      <c r="A73" s="50" t="s">
        <v>291</v>
      </c>
      <c r="B73" s="50" t="s">
        <v>275</v>
      </c>
      <c r="C73" s="50" t="s">
        <v>493</v>
      </c>
      <c r="D73" s="50" t="s">
        <v>214</v>
      </c>
      <c r="E73" s="50" t="s">
        <v>263</v>
      </c>
      <c r="F73" s="50" t="s">
        <v>891</v>
      </c>
      <c r="G73" s="50" t="s">
        <v>892</v>
      </c>
      <c r="H73" s="50" t="s">
        <v>893</v>
      </c>
      <c r="I73" s="50" t="s">
        <v>77</v>
      </c>
      <c r="J73" s="50" t="s">
        <v>11</v>
      </c>
    </row>
    <row r="74" spans="1:10" ht="69">
      <c r="A74" s="13" t="s">
        <v>1650</v>
      </c>
      <c r="B74" s="13" t="s">
        <v>1571</v>
      </c>
      <c r="C74" s="13" t="s">
        <v>269</v>
      </c>
      <c r="D74" s="13" t="s">
        <v>1651</v>
      </c>
      <c r="E74" s="13"/>
      <c r="F74" s="13" t="s">
        <v>229</v>
      </c>
      <c r="G74" s="13"/>
      <c r="H74" s="13" t="s">
        <v>1652</v>
      </c>
      <c r="I74" s="13" t="s">
        <v>502</v>
      </c>
      <c r="J74" s="13"/>
    </row>
    <row r="75" spans="1:10" ht="69">
      <c r="A75" s="13" t="s">
        <v>1653</v>
      </c>
      <c r="B75" s="13" t="s">
        <v>691</v>
      </c>
      <c r="C75" s="13" t="s">
        <v>269</v>
      </c>
      <c r="D75" s="13" t="s">
        <v>1654</v>
      </c>
      <c r="E75" s="13"/>
      <c r="F75" s="13" t="s">
        <v>229</v>
      </c>
      <c r="G75" s="13"/>
      <c r="H75" s="13" t="s">
        <v>1655</v>
      </c>
      <c r="I75" s="13" t="s">
        <v>502</v>
      </c>
      <c r="J75" s="13"/>
    </row>
    <row r="76" spans="1:10" ht="69">
      <c r="A76" s="13" t="s">
        <v>1656</v>
      </c>
      <c r="B76" s="13" t="s">
        <v>692</v>
      </c>
      <c r="C76" s="13" t="s">
        <v>269</v>
      </c>
      <c r="D76" s="13" t="s">
        <v>1657</v>
      </c>
      <c r="E76" s="13"/>
      <c r="F76" s="13" t="s">
        <v>229</v>
      </c>
      <c r="G76" s="13"/>
      <c r="H76" s="13" t="s">
        <v>1614</v>
      </c>
      <c r="I76" s="13" t="s">
        <v>502</v>
      </c>
      <c r="J76" s="13"/>
    </row>
    <row r="77" spans="1:10" ht="69">
      <c r="A77" s="13" t="s">
        <v>1658</v>
      </c>
      <c r="B77" s="13" t="s">
        <v>575</v>
      </c>
      <c r="C77" s="13" t="s">
        <v>957</v>
      </c>
      <c r="D77" s="13" t="s">
        <v>1659</v>
      </c>
      <c r="E77" s="13"/>
      <c r="F77" s="13" t="s">
        <v>229</v>
      </c>
      <c r="G77" s="13"/>
      <c r="H77" s="13" t="s">
        <v>1624</v>
      </c>
      <c r="I77" s="13" t="s">
        <v>502</v>
      </c>
      <c r="J77" s="13"/>
    </row>
    <row r="78" spans="1:10" ht="82.8">
      <c r="A78" s="13" t="s">
        <v>1660</v>
      </c>
      <c r="B78" s="13" t="s">
        <v>1620</v>
      </c>
      <c r="C78" s="13" t="s">
        <v>148</v>
      </c>
      <c r="D78" s="13" t="s">
        <v>1661</v>
      </c>
      <c r="E78" s="13"/>
      <c r="F78" s="13" t="s">
        <v>229</v>
      </c>
      <c r="G78" s="13"/>
      <c r="H78" s="13" t="s">
        <v>1619</v>
      </c>
      <c r="I78" s="13" t="s">
        <v>502</v>
      </c>
      <c r="J78" s="13"/>
    </row>
    <row r="79" spans="1:10" ht="55.2">
      <c r="A79" s="13" t="s">
        <v>1662</v>
      </c>
      <c r="B79" s="13" t="s">
        <v>575</v>
      </c>
      <c r="C79" s="13" t="s">
        <v>153</v>
      </c>
      <c r="D79" s="13" t="s">
        <v>1663</v>
      </c>
      <c r="E79" s="13"/>
      <c r="F79" s="13" t="s">
        <v>229</v>
      </c>
      <c r="G79" s="13"/>
      <c r="H79" s="13" t="s">
        <v>1664</v>
      </c>
      <c r="I79" s="13" t="s">
        <v>502</v>
      </c>
      <c r="J79" s="13"/>
    </row>
    <row r="80" spans="1:10" ht="55.2">
      <c r="A80" s="13" t="s">
        <v>1665</v>
      </c>
      <c r="B80" s="13" t="s">
        <v>575</v>
      </c>
      <c r="C80" s="13" t="s">
        <v>155</v>
      </c>
      <c r="D80" s="13" t="s">
        <v>1666</v>
      </c>
      <c r="E80" s="13"/>
      <c r="F80" s="13" t="s">
        <v>229</v>
      </c>
      <c r="G80" s="13"/>
      <c r="H80" s="13" t="s">
        <v>1628</v>
      </c>
      <c r="I80" s="13" t="s">
        <v>502</v>
      </c>
      <c r="J80" s="13"/>
    </row>
    <row r="81" spans="1:10" ht="69">
      <c r="A81" s="13" t="s">
        <v>1667</v>
      </c>
      <c r="B81" s="13" t="s">
        <v>575</v>
      </c>
      <c r="C81" s="13" t="s">
        <v>556</v>
      </c>
      <c r="D81" s="13" t="s">
        <v>1668</v>
      </c>
      <c r="E81" s="13"/>
      <c r="F81" s="13" t="s">
        <v>229</v>
      </c>
      <c r="G81" s="13"/>
      <c r="H81" s="13" t="s">
        <v>1614</v>
      </c>
      <c r="I81" s="13" t="s">
        <v>502</v>
      </c>
      <c r="J81" s="13"/>
    </row>
    <row r="82" spans="1:10">
      <c r="A82" s="13"/>
      <c r="B82" s="13"/>
      <c r="C82" s="13"/>
      <c r="D82" s="13"/>
      <c r="E82" s="13"/>
      <c r="F82" s="13"/>
      <c r="G82" s="13"/>
      <c r="H82" s="13"/>
      <c r="I82" s="13"/>
      <c r="J82" s="13"/>
    </row>
    <row r="83" spans="1:10">
      <c r="A83" s="842" t="s">
        <v>1079</v>
      </c>
      <c r="B83" s="839"/>
      <c r="C83" s="839"/>
      <c r="D83" s="839"/>
      <c r="E83" s="85"/>
      <c r="F83" s="85"/>
      <c r="G83" s="85"/>
      <c r="H83" s="85"/>
      <c r="I83" s="85"/>
      <c r="J83" s="85"/>
    </row>
    <row r="84" spans="1:10">
      <c r="A84" s="50" t="s">
        <v>275</v>
      </c>
      <c r="B84" s="50" t="s">
        <v>895</v>
      </c>
      <c r="C84" s="50" t="s">
        <v>896</v>
      </c>
      <c r="D84" s="50" t="s">
        <v>148</v>
      </c>
      <c r="E84" s="50" t="s">
        <v>153</v>
      </c>
      <c r="F84" s="50" t="s">
        <v>155</v>
      </c>
      <c r="G84" s="50" t="s">
        <v>491</v>
      </c>
      <c r="H84" s="50" t="s">
        <v>897</v>
      </c>
      <c r="I84" s="50" t="s">
        <v>174</v>
      </c>
      <c r="J84" s="50" t="s">
        <v>11</v>
      </c>
    </row>
    <row r="85" spans="1:10" ht="27.6">
      <c r="A85" s="13" t="s">
        <v>1571</v>
      </c>
      <c r="B85" s="128">
        <v>0.5</v>
      </c>
      <c r="C85" s="128">
        <v>0.5</v>
      </c>
      <c r="D85" s="128">
        <v>0.5</v>
      </c>
      <c r="E85" s="128">
        <v>0.5</v>
      </c>
      <c r="F85" s="128">
        <v>0.5</v>
      </c>
      <c r="G85" s="13" t="s">
        <v>677</v>
      </c>
      <c r="H85" s="128">
        <v>0.5</v>
      </c>
      <c r="I85" s="13" t="s">
        <v>1201</v>
      </c>
      <c r="J85" s="13" t="s">
        <v>1669</v>
      </c>
    </row>
    <row r="86" spans="1:10" ht="27.6">
      <c r="A86" s="13" t="s">
        <v>691</v>
      </c>
      <c r="B86" s="128">
        <v>0.5</v>
      </c>
      <c r="C86" s="128">
        <v>0.5</v>
      </c>
      <c r="D86" s="128">
        <v>0.5</v>
      </c>
      <c r="E86" s="128">
        <v>0.5</v>
      </c>
      <c r="F86" s="128">
        <v>0.5</v>
      </c>
      <c r="G86" s="13" t="s">
        <v>677</v>
      </c>
      <c r="H86" s="128">
        <v>0.5</v>
      </c>
      <c r="I86" s="13" t="s">
        <v>1201</v>
      </c>
      <c r="J86" s="13" t="s">
        <v>1670</v>
      </c>
    </row>
    <row r="87" spans="1:10" ht="27.6">
      <c r="A87" s="13" t="s">
        <v>692</v>
      </c>
      <c r="B87" s="128">
        <v>0.5</v>
      </c>
      <c r="C87" s="128">
        <v>0.5</v>
      </c>
      <c r="D87" s="128">
        <v>0.5</v>
      </c>
      <c r="E87" s="128">
        <v>0.5</v>
      </c>
      <c r="F87" s="128">
        <v>0.5</v>
      </c>
      <c r="G87" s="13" t="s">
        <v>677</v>
      </c>
      <c r="H87" s="128">
        <v>0.5</v>
      </c>
      <c r="I87" s="13" t="s">
        <v>1201</v>
      </c>
      <c r="J87" s="13" t="s">
        <v>1671</v>
      </c>
    </row>
    <row r="88" spans="1:10">
      <c r="A88" s="13"/>
      <c r="B88" s="13"/>
      <c r="C88" s="13"/>
      <c r="D88" s="13"/>
      <c r="E88" s="13"/>
      <c r="F88" s="13"/>
      <c r="G88" s="13"/>
      <c r="H88" s="13"/>
      <c r="I88" s="13"/>
      <c r="J88" s="13"/>
    </row>
    <row r="89" spans="1:10">
      <c r="A89" s="842" t="s">
        <v>1085</v>
      </c>
      <c r="B89" s="839"/>
      <c r="C89" s="839"/>
      <c r="D89" s="839"/>
      <c r="E89" s="85"/>
      <c r="F89" s="85"/>
      <c r="G89" s="85"/>
      <c r="H89" s="85"/>
      <c r="I89" s="85"/>
      <c r="J89" s="85"/>
    </row>
    <row r="90" spans="1:10" ht="55.2">
      <c r="A90" s="50" t="s">
        <v>905</v>
      </c>
      <c r="B90" s="50" t="s">
        <v>782</v>
      </c>
      <c r="C90" s="50"/>
      <c r="D90" s="50"/>
      <c r="E90" s="50"/>
      <c r="F90" s="50"/>
      <c r="G90" s="50"/>
      <c r="H90" s="50"/>
      <c r="I90" s="50"/>
      <c r="J90" s="50"/>
    </row>
    <row r="91" spans="1:10">
      <c r="A91" s="13" t="s">
        <v>1086</v>
      </c>
      <c r="B91" s="852" t="s">
        <v>1672</v>
      </c>
      <c r="C91" s="839"/>
      <c r="D91" s="839"/>
      <c r="E91" s="839"/>
      <c r="F91" s="839"/>
      <c r="G91" s="839"/>
      <c r="H91" s="839"/>
      <c r="I91" s="839"/>
      <c r="J91" s="839"/>
    </row>
    <row r="92" spans="1:10">
      <c r="A92" s="13" t="s">
        <v>1088</v>
      </c>
      <c r="B92" s="852" t="s">
        <v>1673</v>
      </c>
      <c r="C92" s="839"/>
      <c r="D92" s="839"/>
      <c r="E92" s="839"/>
      <c r="F92" s="839"/>
      <c r="G92" s="839"/>
      <c r="H92" s="839"/>
      <c r="I92" s="839"/>
      <c r="J92" s="839"/>
    </row>
    <row r="93" spans="1:10">
      <c r="A93" s="13" t="s">
        <v>1090</v>
      </c>
      <c r="B93" s="852" t="s">
        <v>1674</v>
      </c>
      <c r="C93" s="839"/>
      <c r="D93" s="839"/>
      <c r="E93" s="839"/>
      <c r="F93" s="839"/>
      <c r="G93" s="839"/>
      <c r="H93" s="839"/>
      <c r="I93" s="839"/>
      <c r="J93" s="839"/>
    </row>
    <row r="94" spans="1:10">
      <c r="A94" s="13" t="s">
        <v>1089</v>
      </c>
      <c r="B94" s="852" t="s">
        <v>1675</v>
      </c>
      <c r="C94" s="839"/>
      <c r="D94" s="839"/>
      <c r="E94" s="839"/>
      <c r="F94" s="839"/>
      <c r="G94" s="839"/>
      <c r="H94" s="839"/>
      <c r="I94" s="839"/>
      <c r="J94" s="839"/>
    </row>
    <row r="95" spans="1:10" ht="27.6">
      <c r="A95" s="13" t="s">
        <v>1676</v>
      </c>
      <c r="B95" s="852" t="s">
        <v>1677</v>
      </c>
      <c r="C95" s="839"/>
      <c r="D95" s="839"/>
      <c r="E95" s="839"/>
      <c r="F95" s="839"/>
      <c r="G95" s="839"/>
      <c r="H95" s="839"/>
      <c r="I95" s="839"/>
      <c r="J95" s="839"/>
    </row>
    <row r="96" spans="1:10">
      <c r="A96" s="13" t="s">
        <v>1563</v>
      </c>
      <c r="B96" s="852" t="s">
        <v>1678</v>
      </c>
      <c r="C96" s="839"/>
      <c r="D96" s="839"/>
      <c r="E96" s="839"/>
      <c r="F96" s="839"/>
      <c r="G96" s="839"/>
      <c r="H96" s="839"/>
      <c r="I96" s="839"/>
      <c r="J96" s="839"/>
    </row>
    <row r="97" spans="1:10" ht="15" thickBot="1"/>
    <row r="98" spans="1:10">
      <c r="A98" s="855" t="s">
        <v>5875</v>
      </c>
      <c r="B98" s="856"/>
      <c r="C98" s="856"/>
      <c r="D98" s="857"/>
      <c r="E98" s="856"/>
      <c r="F98" s="856"/>
      <c r="G98" s="857"/>
      <c r="H98" s="857"/>
      <c r="I98" s="857"/>
      <c r="J98" s="858"/>
    </row>
    <row r="99" spans="1:10">
      <c r="A99" s="325" t="s">
        <v>5817</v>
      </c>
      <c r="B99" s="326" t="s">
        <v>77</v>
      </c>
      <c r="C99" s="326" t="s">
        <v>5818</v>
      </c>
      <c r="D99" s="326" t="s">
        <v>5819</v>
      </c>
      <c r="E99" s="326" t="s">
        <v>5841</v>
      </c>
      <c r="F99" s="326" t="s">
        <v>5808</v>
      </c>
      <c r="G99" s="859" t="s">
        <v>5842</v>
      </c>
      <c r="H99" s="859"/>
      <c r="I99" s="859"/>
      <c r="J99" s="860"/>
    </row>
    <row r="100" spans="1:10" ht="26.4">
      <c r="A100" s="327" t="s">
        <v>5820</v>
      </c>
      <c r="B100" s="337" t="s">
        <v>484</v>
      </c>
      <c r="C100" s="329">
        <v>0</v>
      </c>
      <c r="D100" s="329">
        <v>0</v>
      </c>
      <c r="E100" s="196" t="s">
        <v>5881</v>
      </c>
      <c r="F100" s="329">
        <f>IF(AND(C100&lt;&gt;"",D100&lt;&gt;""),D100-C100,"")</f>
        <v>0</v>
      </c>
      <c r="G100" s="861"/>
      <c r="H100" s="861"/>
      <c r="I100" s="861"/>
      <c r="J100" s="862"/>
    </row>
    <row r="101" spans="1:10" ht="26.4">
      <c r="A101" s="330" t="s">
        <v>5821</v>
      </c>
      <c r="B101" s="337" t="s">
        <v>484</v>
      </c>
      <c r="C101" s="331">
        <v>1</v>
      </c>
      <c r="D101" s="331">
        <v>0</v>
      </c>
      <c r="E101" s="314" t="s">
        <v>5882</v>
      </c>
      <c r="F101" s="331">
        <f>IF(AND(C101&lt;&gt;"",D101&lt;&gt;""),D101-C101,"")</f>
        <v>-1</v>
      </c>
      <c r="G101" s="863"/>
      <c r="H101" s="863"/>
      <c r="I101" s="863"/>
      <c r="J101" s="864"/>
    </row>
    <row r="102" spans="1:10">
      <c r="A102" s="327" t="s">
        <v>5822</v>
      </c>
      <c r="B102" s="337" t="s">
        <v>484</v>
      </c>
      <c r="C102" s="331">
        <v>1</v>
      </c>
      <c r="D102" s="331">
        <v>0</v>
      </c>
      <c r="E102" s="314" t="s">
        <v>5882</v>
      </c>
      <c r="F102" s="329">
        <f>IF(AND(C102&lt;&gt;"",D102&lt;&gt;""),D102-C102,"")</f>
        <v>-1</v>
      </c>
      <c r="G102" s="332"/>
      <c r="H102" s="231"/>
      <c r="I102" s="231"/>
      <c r="J102" s="333"/>
    </row>
    <row r="103" spans="1:10">
      <c r="A103" s="330" t="s">
        <v>5823</v>
      </c>
      <c r="B103" s="337" t="s">
        <v>484</v>
      </c>
      <c r="C103" s="331">
        <v>1</v>
      </c>
      <c r="D103" s="331">
        <v>0</v>
      </c>
      <c r="E103" s="314" t="s">
        <v>5882</v>
      </c>
      <c r="F103" s="331">
        <f>IF(AND(C103&lt;&gt;"",D103&lt;&gt;""),D103-C103,"")</f>
        <v>-1</v>
      </c>
      <c r="G103" s="863"/>
      <c r="H103" s="863"/>
      <c r="I103" s="863"/>
      <c r="J103" s="864"/>
    </row>
    <row r="104" spans="1:10">
      <c r="A104" s="327" t="s">
        <v>5168</v>
      </c>
      <c r="B104" s="337" t="s">
        <v>484</v>
      </c>
      <c r="C104" s="331">
        <v>1</v>
      </c>
      <c r="D104" s="331">
        <v>0</v>
      </c>
      <c r="E104" s="314" t="s">
        <v>5882</v>
      </c>
      <c r="F104" s="329">
        <f>IF(AND(C104&lt;&gt;"",D104&lt;&gt;""),D104-C104,"")</f>
        <v>-1</v>
      </c>
      <c r="G104" s="332"/>
      <c r="H104" s="231"/>
      <c r="I104" s="231"/>
      <c r="J104" s="333"/>
    </row>
    <row r="105" spans="1:10" ht="15.6">
      <c r="A105" s="865" t="s">
        <v>5843</v>
      </c>
      <c r="B105" s="713"/>
      <c r="C105" s="334">
        <f>IFERROR(AVERAGE(C100:C104),"")</f>
        <v>0.8</v>
      </c>
      <c r="D105" s="334">
        <f>IFERROR(AVERAGE(D100:D104),"")</f>
        <v>0</v>
      </c>
      <c r="E105" s="866" t="s">
        <v>5844</v>
      </c>
      <c r="F105" s="866"/>
      <c r="G105" s="866"/>
      <c r="H105" s="866"/>
      <c r="I105" s="866"/>
      <c r="J105" s="867"/>
    </row>
    <row r="106" spans="1:10">
      <c r="A106" s="335"/>
      <c r="B106" s="320"/>
      <c r="C106" s="320"/>
      <c r="D106" s="320"/>
      <c r="E106" s="320"/>
      <c r="F106" s="320"/>
      <c r="G106" s="320"/>
      <c r="H106" s="231"/>
      <c r="I106" s="231"/>
      <c r="J106" s="333"/>
    </row>
    <row r="107" spans="1:10">
      <c r="A107" s="876" t="s">
        <v>5876</v>
      </c>
      <c r="B107" s="853"/>
      <c r="C107" s="853"/>
      <c r="D107" s="842"/>
      <c r="E107" s="853"/>
      <c r="F107" s="853"/>
      <c r="G107" s="842"/>
      <c r="H107" s="842"/>
      <c r="I107" s="842"/>
      <c r="J107" s="868"/>
    </row>
    <row r="108" spans="1:10">
      <c r="A108" s="325" t="s">
        <v>4946</v>
      </c>
      <c r="B108" s="326" t="s">
        <v>77</v>
      </c>
      <c r="C108" s="326" t="s">
        <v>5883</v>
      </c>
      <c r="D108" s="326" t="s">
        <v>482</v>
      </c>
      <c r="E108" s="326" t="s">
        <v>572</v>
      </c>
      <c r="F108" s="326" t="s">
        <v>5846</v>
      </c>
      <c r="G108" s="859" t="s">
        <v>5847</v>
      </c>
      <c r="H108" s="859"/>
      <c r="I108" s="859"/>
      <c r="J108" s="860"/>
    </row>
    <row r="109" spans="1:10" ht="26.4">
      <c r="A109" s="330" t="s">
        <v>5809</v>
      </c>
      <c r="B109" s="337" t="s">
        <v>484</v>
      </c>
      <c r="C109" s="336" t="s">
        <v>679</v>
      </c>
      <c r="D109" s="328" t="s">
        <v>679</v>
      </c>
      <c r="E109" s="336">
        <f>IF(D109="Yes",1,0)</f>
        <v>0</v>
      </c>
      <c r="F109" s="877"/>
      <c r="G109" s="877"/>
      <c r="H109" s="877"/>
      <c r="I109" s="877"/>
      <c r="J109" s="878"/>
    </row>
    <row r="110" spans="1:10">
      <c r="A110" s="327" t="s">
        <v>995</v>
      </c>
      <c r="B110" s="337" t="s">
        <v>484</v>
      </c>
      <c r="C110" s="336" t="s">
        <v>679</v>
      </c>
      <c r="D110" s="328" t="s">
        <v>679</v>
      </c>
      <c r="E110" s="328">
        <f t="shared" ref="E110:E116" si="0">IF(D110="Yes",1,0)</f>
        <v>0</v>
      </c>
      <c r="F110" s="877"/>
      <c r="G110" s="877"/>
      <c r="H110" s="877"/>
      <c r="I110" s="877"/>
      <c r="J110" s="878"/>
    </row>
    <row r="111" spans="1:10">
      <c r="A111" s="330" t="s">
        <v>5810</v>
      </c>
      <c r="B111" s="337" t="s">
        <v>484</v>
      </c>
      <c r="C111" s="336" t="s">
        <v>679</v>
      </c>
      <c r="D111" s="328" t="s">
        <v>679</v>
      </c>
      <c r="E111" s="336">
        <f t="shared" si="0"/>
        <v>0</v>
      </c>
      <c r="F111" s="877"/>
      <c r="G111" s="877"/>
      <c r="H111" s="877"/>
      <c r="I111" s="877"/>
      <c r="J111" s="878"/>
    </row>
    <row r="112" spans="1:10">
      <c r="A112" s="327" t="s">
        <v>5824</v>
      </c>
      <c r="B112" s="337" t="s">
        <v>484</v>
      </c>
      <c r="C112" s="336" t="s">
        <v>679</v>
      </c>
      <c r="D112" s="328" t="s">
        <v>679</v>
      </c>
      <c r="E112" s="328">
        <f t="shared" si="0"/>
        <v>0</v>
      </c>
      <c r="F112" s="877"/>
      <c r="G112" s="877"/>
      <c r="H112" s="877"/>
      <c r="I112" s="877"/>
      <c r="J112" s="878"/>
    </row>
    <row r="113" spans="1:10" ht="39.6">
      <c r="A113" s="330" t="s">
        <v>5825</v>
      </c>
      <c r="B113" s="337" t="s">
        <v>484</v>
      </c>
      <c r="C113" s="336" t="s">
        <v>679</v>
      </c>
      <c r="D113" s="328" t="s">
        <v>679</v>
      </c>
      <c r="E113" s="336">
        <f t="shared" si="0"/>
        <v>0</v>
      </c>
      <c r="F113" s="877"/>
      <c r="G113" s="877"/>
      <c r="H113" s="877"/>
      <c r="I113" s="877"/>
      <c r="J113" s="878"/>
    </row>
    <row r="114" spans="1:10" ht="26.4">
      <c r="A114" s="327" t="s">
        <v>5826</v>
      </c>
      <c r="B114" s="337" t="s">
        <v>484</v>
      </c>
      <c r="C114" s="336" t="s">
        <v>679</v>
      </c>
      <c r="D114" s="328" t="s">
        <v>679</v>
      </c>
      <c r="E114" s="328">
        <f t="shared" si="0"/>
        <v>0</v>
      </c>
      <c r="F114" s="877"/>
      <c r="G114" s="877"/>
      <c r="H114" s="877"/>
      <c r="I114" s="877"/>
      <c r="J114" s="878"/>
    </row>
    <row r="115" spans="1:10">
      <c r="A115" s="330" t="s">
        <v>5811</v>
      </c>
      <c r="B115" s="337" t="s">
        <v>484</v>
      </c>
      <c r="C115" s="336" t="s">
        <v>679</v>
      </c>
      <c r="D115" s="328" t="s">
        <v>679</v>
      </c>
      <c r="E115" s="336">
        <f t="shared" si="0"/>
        <v>0</v>
      </c>
      <c r="F115" s="877"/>
      <c r="G115" s="877"/>
      <c r="H115" s="877"/>
      <c r="I115" s="877"/>
      <c r="J115" s="878"/>
    </row>
    <row r="116" spans="1:10" ht="26.4">
      <c r="A116" s="327" t="s">
        <v>5812</v>
      </c>
      <c r="B116" s="337" t="s">
        <v>484</v>
      </c>
      <c r="C116" s="336" t="s">
        <v>679</v>
      </c>
      <c r="D116" s="328" t="s">
        <v>679</v>
      </c>
      <c r="E116" s="328">
        <f t="shared" si="0"/>
        <v>0</v>
      </c>
      <c r="F116" s="877"/>
      <c r="G116" s="877"/>
      <c r="H116" s="877"/>
      <c r="I116" s="877"/>
      <c r="J116" s="878"/>
    </row>
    <row r="117" spans="1:10" ht="15.6">
      <c r="A117" s="865" t="s">
        <v>5848</v>
      </c>
      <c r="B117" s="713"/>
      <c r="C117" s="871" t="str">
        <f>IFERROR(SUM(E109:E116)/COUNTIF(C109:C116,"Yes"),"")</f>
        <v/>
      </c>
      <c r="D117" s="872"/>
      <c r="E117" s="866" t="s">
        <v>5849</v>
      </c>
      <c r="F117" s="866"/>
      <c r="G117" s="866"/>
      <c r="H117" s="866"/>
      <c r="I117" s="866"/>
      <c r="J117" s="867"/>
    </row>
    <row r="118" spans="1:10">
      <c r="A118" s="335"/>
      <c r="B118" s="320"/>
      <c r="C118" s="320"/>
      <c r="D118" s="320"/>
      <c r="E118" s="320"/>
      <c r="F118" s="320"/>
      <c r="G118" s="320"/>
      <c r="H118" s="231"/>
      <c r="I118" s="231"/>
      <c r="J118" s="333"/>
    </row>
    <row r="119" spans="1:10">
      <c r="A119" s="876" t="s">
        <v>5877</v>
      </c>
      <c r="B119" s="853"/>
      <c r="C119" s="853"/>
      <c r="D119" s="842"/>
      <c r="E119" s="853"/>
      <c r="F119" s="853"/>
      <c r="G119" s="842"/>
      <c r="H119" s="842"/>
      <c r="I119" s="842"/>
      <c r="J119" s="868"/>
    </row>
    <row r="120" spans="1:10">
      <c r="A120" s="325" t="s">
        <v>5850</v>
      </c>
      <c r="B120" s="326" t="s">
        <v>77</v>
      </c>
      <c r="C120" s="326" t="s">
        <v>5827</v>
      </c>
      <c r="D120" s="326" t="s">
        <v>5828</v>
      </c>
      <c r="E120" s="326" t="s">
        <v>5829</v>
      </c>
      <c r="F120" s="326" t="s">
        <v>5851</v>
      </c>
      <c r="G120" s="859" t="s">
        <v>5852</v>
      </c>
      <c r="H120" s="859"/>
      <c r="I120" s="859"/>
      <c r="J120" s="860"/>
    </row>
    <row r="121" spans="1:10" ht="26.4">
      <c r="A121" s="330" t="s">
        <v>5830</v>
      </c>
      <c r="B121" s="336" t="s">
        <v>484</v>
      </c>
      <c r="C121" s="336" t="s">
        <v>1096</v>
      </c>
      <c r="D121" s="336" t="s">
        <v>1096</v>
      </c>
      <c r="E121" s="336" t="s">
        <v>1096</v>
      </c>
      <c r="F121" s="336" t="s">
        <v>348</v>
      </c>
      <c r="G121" s="869"/>
      <c r="H121" s="869"/>
      <c r="I121" s="869"/>
      <c r="J121" s="870"/>
    </row>
    <row r="122" spans="1:10">
      <c r="A122" s="327" t="s">
        <v>5831</v>
      </c>
      <c r="B122" s="336" t="s">
        <v>484</v>
      </c>
      <c r="C122" s="336" t="s">
        <v>1096</v>
      </c>
      <c r="D122" s="336" t="s">
        <v>1096</v>
      </c>
      <c r="E122" s="336" t="s">
        <v>1096</v>
      </c>
      <c r="F122" s="336" t="s">
        <v>348</v>
      </c>
      <c r="G122" s="869"/>
      <c r="H122" s="869"/>
      <c r="I122" s="869"/>
      <c r="J122" s="870"/>
    </row>
    <row r="123" spans="1:10">
      <c r="A123" s="330" t="s">
        <v>5853</v>
      </c>
      <c r="B123" s="336" t="s">
        <v>484</v>
      </c>
      <c r="C123" s="336" t="s">
        <v>1096</v>
      </c>
      <c r="D123" s="336" t="s">
        <v>1096</v>
      </c>
      <c r="E123" s="336" t="s">
        <v>1096</v>
      </c>
      <c r="F123" s="336" t="s">
        <v>348</v>
      </c>
      <c r="G123" s="869"/>
      <c r="H123" s="869"/>
      <c r="I123" s="869"/>
      <c r="J123" s="870"/>
    </row>
    <row r="124" spans="1:10">
      <c r="A124" s="327" t="s">
        <v>5832</v>
      </c>
      <c r="B124" s="336" t="s">
        <v>484</v>
      </c>
      <c r="C124" s="336" t="s">
        <v>1096</v>
      </c>
      <c r="D124" s="336" t="s">
        <v>1096</v>
      </c>
      <c r="E124" s="336" t="s">
        <v>1096</v>
      </c>
      <c r="F124" s="336" t="s">
        <v>348</v>
      </c>
      <c r="G124" s="869"/>
      <c r="H124" s="869"/>
      <c r="I124" s="869"/>
      <c r="J124" s="870"/>
    </row>
    <row r="125" spans="1:10" ht="26.4">
      <c r="A125" s="330" t="s">
        <v>5833</v>
      </c>
      <c r="B125" s="336" t="s">
        <v>484</v>
      </c>
      <c r="C125" s="336" t="s">
        <v>1096</v>
      </c>
      <c r="D125" s="336" t="s">
        <v>1096</v>
      </c>
      <c r="E125" s="336" t="s">
        <v>1096</v>
      </c>
      <c r="F125" s="336" t="s">
        <v>348</v>
      </c>
      <c r="G125" s="869"/>
      <c r="H125" s="869"/>
      <c r="I125" s="869"/>
      <c r="J125" s="870"/>
    </row>
    <row r="126" spans="1:10" ht="15.6">
      <c r="A126" s="865" t="s">
        <v>5884</v>
      </c>
      <c r="B126" s="713"/>
      <c r="C126" s="871">
        <f>IFERROR(COUNTIF(E121:E125,"Yes")/COUNTA(A121:A125),"")</f>
        <v>0</v>
      </c>
      <c r="D126" s="872"/>
      <c r="E126" s="866" t="s">
        <v>5855</v>
      </c>
      <c r="F126" s="866"/>
      <c r="G126" s="866"/>
      <c r="H126" s="866"/>
      <c r="I126" s="866"/>
      <c r="J126" s="867"/>
    </row>
    <row r="127" spans="1:10">
      <c r="A127" s="335"/>
      <c r="B127" s="320"/>
      <c r="C127" s="320"/>
      <c r="D127" s="320"/>
      <c r="E127" s="320"/>
      <c r="F127" s="320"/>
      <c r="G127" s="874"/>
      <c r="H127" s="874"/>
      <c r="I127" s="874"/>
      <c r="J127" s="875"/>
    </row>
    <row r="128" spans="1:10">
      <c r="A128" s="876" t="s">
        <v>5878</v>
      </c>
      <c r="B128" s="853"/>
      <c r="C128" s="853"/>
      <c r="D128" s="842"/>
      <c r="E128" s="853"/>
      <c r="F128" s="853"/>
      <c r="G128" s="842"/>
      <c r="H128" s="842"/>
      <c r="I128" s="842"/>
      <c r="J128" s="868"/>
    </row>
    <row r="129" spans="1:10">
      <c r="A129" s="326" t="s">
        <v>5813</v>
      </c>
      <c r="B129" s="326" t="s">
        <v>77</v>
      </c>
      <c r="C129" s="326" t="s">
        <v>5834</v>
      </c>
      <c r="D129" s="326" t="s">
        <v>5835</v>
      </c>
      <c r="E129" s="326" t="s">
        <v>5836</v>
      </c>
      <c r="F129" s="326" t="s">
        <v>5837</v>
      </c>
      <c r="G129" s="859" t="s">
        <v>5885</v>
      </c>
      <c r="H129" s="859"/>
      <c r="I129" s="859"/>
      <c r="J129" s="859"/>
    </row>
    <row r="130" spans="1:10">
      <c r="A130" s="332" t="s">
        <v>153</v>
      </c>
      <c r="B130" s="328" t="s">
        <v>484</v>
      </c>
      <c r="C130" s="328"/>
      <c r="D130" s="328"/>
      <c r="E130" s="328"/>
      <c r="F130" s="329" t="str">
        <f>IFERROR(D130/C130,"")</f>
        <v/>
      </c>
      <c r="G130" s="873"/>
      <c r="H130" s="873"/>
      <c r="I130" s="873"/>
      <c r="J130" s="873"/>
    </row>
    <row r="131" spans="1:10">
      <c r="A131" s="339" t="s">
        <v>155</v>
      </c>
      <c r="B131" s="336" t="s">
        <v>484</v>
      </c>
      <c r="C131" s="336"/>
      <c r="D131" s="336"/>
      <c r="E131" s="336"/>
      <c r="F131" s="331" t="str">
        <f>IFERROR(D131/C131,"")</f>
        <v/>
      </c>
      <c r="G131" s="873"/>
      <c r="H131" s="873"/>
      <c r="I131" s="873"/>
      <c r="J131" s="873"/>
    </row>
    <row r="132" spans="1:10">
      <c r="A132" s="332" t="s">
        <v>4821</v>
      </c>
      <c r="B132" s="328" t="s">
        <v>484</v>
      </c>
      <c r="C132" s="328"/>
      <c r="D132" s="328"/>
      <c r="E132" s="328"/>
      <c r="F132" s="329" t="str">
        <f>IFERROR(D132/C132,"")</f>
        <v/>
      </c>
      <c r="G132" s="873"/>
      <c r="H132" s="873"/>
      <c r="I132" s="873"/>
      <c r="J132" s="873"/>
    </row>
    <row r="133" spans="1:10">
      <c r="A133" s="339" t="s">
        <v>957</v>
      </c>
      <c r="B133" s="336" t="s">
        <v>484</v>
      </c>
      <c r="C133" s="336"/>
      <c r="D133" s="336"/>
      <c r="E133" s="336"/>
      <c r="F133" s="331" t="str">
        <f>IFERROR(D133/C133,"")</f>
        <v/>
      </c>
      <c r="G133" s="873"/>
      <c r="H133" s="873"/>
      <c r="I133" s="873"/>
      <c r="J133" s="873"/>
    </row>
    <row r="134" spans="1:10">
      <c r="A134" s="879" t="s">
        <v>5856</v>
      </c>
      <c r="B134" s="879"/>
      <c r="C134" s="879"/>
      <c r="D134" s="879"/>
      <c r="E134" s="866" t="s">
        <v>5857</v>
      </c>
      <c r="F134" s="866"/>
      <c r="G134" s="866"/>
      <c r="H134" s="866"/>
      <c r="I134" s="866"/>
      <c r="J134" s="866"/>
    </row>
    <row r="135" spans="1:10">
      <c r="A135" s="879"/>
      <c r="B135" s="879"/>
      <c r="C135" s="879"/>
      <c r="D135" s="879"/>
      <c r="E135" s="866"/>
      <c r="F135" s="866"/>
      <c r="G135" s="866"/>
      <c r="H135" s="866"/>
      <c r="I135" s="866"/>
      <c r="J135" s="866"/>
    </row>
    <row r="136" spans="1:10">
      <c r="A136" s="842" t="s">
        <v>5879</v>
      </c>
      <c r="B136" s="842"/>
      <c r="C136" s="842"/>
      <c r="D136" s="842"/>
      <c r="E136" s="842"/>
      <c r="F136" s="842"/>
      <c r="G136" s="842"/>
      <c r="H136" s="842"/>
      <c r="I136" s="842"/>
      <c r="J136" s="842"/>
    </row>
    <row r="137" spans="1:10">
      <c r="A137" s="326" t="s">
        <v>4946</v>
      </c>
      <c r="B137" s="326" t="s">
        <v>77</v>
      </c>
      <c r="C137" s="326" t="s">
        <v>5845</v>
      </c>
      <c r="D137" s="326" t="s">
        <v>482</v>
      </c>
      <c r="E137" s="326" t="s">
        <v>572</v>
      </c>
      <c r="F137" s="326" t="s">
        <v>944</v>
      </c>
      <c r="G137" s="859" t="s">
        <v>5847</v>
      </c>
      <c r="H137" s="859"/>
      <c r="I137" s="859"/>
      <c r="J137" s="859"/>
    </row>
    <row r="138" spans="1:10" ht="26.4">
      <c r="A138" s="332" t="s">
        <v>5814</v>
      </c>
      <c r="B138" s="328" t="s">
        <v>484</v>
      </c>
      <c r="C138" s="328" t="s">
        <v>392</v>
      </c>
      <c r="D138" s="328" t="s">
        <v>1096</v>
      </c>
      <c r="E138" s="328">
        <f t="shared" ref="E138:E143" si="1">IF(D138="Yes",1,0)</f>
        <v>0</v>
      </c>
      <c r="F138" s="328"/>
      <c r="G138" s="873"/>
      <c r="H138" s="873"/>
      <c r="I138" s="873"/>
      <c r="J138" s="873"/>
    </row>
    <row r="139" spans="1:10">
      <c r="A139" s="339" t="s">
        <v>5815</v>
      </c>
      <c r="B139" s="328" t="s">
        <v>484</v>
      </c>
      <c r="C139" s="336" t="s">
        <v>392</v>
      </c>
      <c r="D139" s="328" t="s">
        <v>1096</v>
      </c>
      <c r="E139" s="336">
        <f t="shared" si="1"/>
        <v>0</v>
      </c>
      <c r="F139" s="336"/>
      <c r="G139" s="873"/>
      <c r="H139" s="873"/>
      <c r="I139" s="873"/>
      <c r="J139" s="873"/>
    </row>
    <row r="140" spans="1:10" ht="26.4">
      <c r="A140" s="332" t="s">
        <v>5816</v>
      </c>
      <c r="B140" s="328" t="s">
        <v>484</v>
      </c>
      <c r="C140" s="328" t="s">
        <v>392</v>
      </c>
      <c r="D140" s="328" t="s">
        <v>1096</v>
      </c>
      <c r="E140" s="328">
        <f t="shared" si="1"/>
        <v>0</v>
      </c>
      <c r="F140" s="328"/>
      <c r="G140" s="873"/>
      <c r="H140" s="873"/>
      <c r="I140" s="873"/>
      <c r="J140" s="873"/>
    </row>
    <row r="141" spans="1:10">
      <c r="A141" s="339" t="s">
        <v>5838</v>
      </c>
      <c r="B141" s="328" t="s">
        <v>484</v>
      </c>
      <c r="C141" s="336" t="s">
        <v>392</v>
      </c>
      <c r="D141" s="328" t="s">
        <v>1096</v>
      </c>
      <c r="E141" s="336">
        <f t="shared" si="1"/>
        <v>0</v>
      </c>
      <c r="F141" s="336"/>
      <c r="G141" s="873"/>
      <c r="H141" s="873"/>
      <c r="I141" s="873"/>
      <c r="J141" s="873"/>
    </row>
    <row r="142" spans="1:10" ht="26.4">
      <c r="A142" s="332" t="s">
        <v>5839</v>
      </c>
      <c r="B142" s="328" t="s">
        <v>484</v>
      </c>
      <c r="C142" s="328" t="s">
        <v>392</v>
      </c>
      <c r="D142" s="328" t="s">
        <v>1096</v>
      </c>
      <c r="E142" s="328">
        <f t="shared" si="1"/>
        <v>0</v>
      </c>
      <c r="F142" s="328"/>
      <c r="G142" s="873"/>
      <c r="H142" s="873"/>
      <c r="I142" s="873"/>
      <c r="J142" s="873"/>
    </row>
    <row r="143" spans="1:10" ht="26.4">
      <c r="A143" s="339" t="s">
        <v>5840</v>
      </c>
      <c r="B143" s="328" t="s">
        <v>484</v>
      </c>
      <c r="C143" s="336" t="s">
        <v>392</v>
      </c>
      <c r="D143" s="336" t="s">
        <v>1096</v>
      </c>
      <c r="E143" s="336">
        <f t="shared" si="1"/>
        <v>0</v>
      </c>
      <c r="F143" s="336"/>
      <c r="G143" s="873"/>
      <c r="H143" s="873"/>
      <c r="I143" s="873"/>
      <c r="J143" s="873"/>
    </row>
    <row r="144" spans="1:10" ht="15.6">
      <c r="A144" s="880" t="s">
        <v>5858</v>
      </c>
      <c r="B144" s="713"/>
      <c r="C144" s="871">
        <f>IFERROR(SUM(E138:E143)/COUNTIF(C138:C143,"Yes"),"")</f>
        <v>0</v>
      </c>
      <c r="D144" s="872"/>
      <c r="E144" s="866" t="s">
        <v>5859</v>
      </c>
      <c r="F144" s="866"/>
      <c r="G144" s="866"/>
      <c r="H144" s="866"/>
      <c r="I144" s="866"/>
      <c r="J144" s="866"/>
    </row>
    <row r="145" spans="1:10">
      <c r="A145" s="196"/>
      <c r="B145" s="196"/>
      <c r="C145" s="196"/>
      <c r="D145" s="196"/>
      <c r="E145" s="196"/>
      <c r="F145" s="196"/>
      <c r="G145" s="196"/>
      <c r="H145" s="196"/>
      <c r="I145" s="196"/>
      <c r="J145" s="196"/>
    </row>
    <row r="146" spans="1:10">
      <c r="A146" s="842" t="s">
        <v>5880</v>
      </c>
      <c r="B146" s="853"/>
      <c r="C146" s="853"/>
      <c r="D146" s="321"/>
      <c r="E146" s="321"/>
      <c r="F146" s="321"/>
      <c r="G146" s="321"/>
      <c r="H146" s="321"/>
      <c r="I146" s="321"/>
      <c r="J146" s="321"/>
    </row>
    <row r="147" spans="1:10" ht="55.2">
      <c r="A147" s="322" t="s">
        <v>905</v>
      </c>
      <c r="B147" s="322" t="s">
        <v>830</v>
      </c>
      <c r="C147" s="322"/>
      <c r="D147" s="322"/>
      <c r="E147" s="322"/>
      <c r="F147" s="322"/>
      <c r="G147" s="322"/>
      <c r="H147" s="322"/>
      <c r="I147" s="322"/>
      <c r="J147" s="322"/>
    </row>
    <row r="148" spans="1:10">
      <c r="A148" s="319" t="s">
        <v>1086</v>
      </c>
      <c r="B148" s="852" t="s">
        <v>3292</v>
      </c>
      <c r="C148" s="853"/>
      <c r="D148" s="853"/>
      <c r="E148" s="853"/>
      <c r="F148" s="853"/>
      <c r="G148" s="853"/>
      <c r="H148" s="853"/>
      <c r="I148" s="853"/>
      <c r="J148" s="853"/>
    </row>
    <row r="149" spans="1:10" ht="27.6">
      <c r="A149" s="319" t="s">
        <v>2090</v>
      </c>
      <c r="B149" s="852" t="s">
        <v>3293</v>
      </c>
      <c r="C149" s="853"/>
      <c r="D149" s="853"/>
      <c r="E149" s="853"/>
      <c r="F149" s="853"/>
      <c r="G149" s="853"/>
      <c r="H149" s="853"/>
      <c r="I149" s="853"/>
      <c r="J149" s="853"/>
    </row>
    <row r="150" spans="1:10">
      <c r="A150" s="319" t="s">
        <v>1089</v>
      </c>
      <c r="B150" s="852" t="s">
        <v>3294</v>
      </c>
      <c r="C150" s="853"/>
      <c r="D150" s="853"/>
      <c r="E150" s="853"/>
      <c r="F150" s="853"/>
      <c r="G150" s="853"/>
      <c r="H150" s="853"/>
      <c r="I150" s="853"/>
      <c r="J150" s="853"/>
    </row>
    <row r="151" spans="1:10">
      <c r="A151" s="319" t="s">
        <v>1090</v>
      </c>
      <c r="B151" s="852" t="s">
        <v>3295</v>
      </c>
      <c r="C151" s="853"/>
      <c r="D151" s="853"/>
      <c r="E151" s="853"/>
      <c r="F151" s="853"/>
      <c r="G151" s="853"/>
      <c r="H151" s="853"/>
      <c r="I151" s="853"/>
      <c r="J151" s="853"/>
    </row>
    <row r="152" spans="1:10">
      <c r="A152" s="319" t="s">
        <v>1088</v>
      </c>
      <c r="B152" s="852" t="s">
        <v>3296</v>
      </c>
      <c r="C152" s="853"/>
      <c r="D152" s="853"/>
      <c r="E152" s="853"/>
      <c r="F152" s="853"/>
      <c r="G152" s="853"/>
      <c r="H152" s="853"/>
      <c r="I152" s="853"/>
      <c r="J152" s="853"/>
    </row>
    <row r="153" spans="1:10" ht="27.6">
      <c r="A153" s="319" t="s">
        <v>3297</v>
      </c>
      <c r="B153" s="852" t="s">
        <v>3298</v>
      </c>
      <c r="C153" s="853"/>
      <c r="D153" s="853"/>
      <c r="E153" s="853"/>
      <c r="F153" s="853"/>
      <c r="G153" s="853"/>
      <c r="H153" s="853"/>
      <c r="I153" s="853"/>
      <c r="J153" s="853"/>
    </row>
    <row r="154" spans="1:10">
      <c r="A154" s="319" t="s">
        <v>1563</v>
      </c>
      <c r="B154" s="852" t="s">
        <v>1776</v>
      </c>
      <c r="C154" s="853"/>
      <c r="D154" s="853"/>
      <c r="E154" s="853"/>
      <c r="F154" s="853"/>
      <c r="G154" s="853"/>
      <c r="H154" s="853"/>
      <c r="I154" s="853"/>
      <c r="J154" s="853"/>
    </row>
    <row r="155" spans="1:10">
      <c r="A155" s="231"/>
      <c r="B155" s="231"/>
      <c r="C155" s="231"/>
      <c r="D155" s="231"/>
      <c r="E155" s="231"/>
      <c r="F155" s="231"/>
      <c r="G155" s="231"/>
      <c r="H155" s="231"/>
      <c r="I155" s="231"/>
      <c r="J155" s="231"/>
    </row>
    <row r="156" spans="1:10" ht="17.399999999999999">
      <c r="A156" s="827" t="s">
        <v>5769</v>
      </c>
      <c r="B156" s="827"/>
      <c r="C156" s="827"/>
      <c r="D156" s="827"/>
      <c r="E156" s="827"/>
      <c r="F156" s="827"/>
      <c r="G156" s="827"/>
      <c r="H156" s="827"/>
      <c r="I156" s="231"/>
      <c r="J156" s="231"/>
    </row>
    <row r="157" spans="1:10">
      <c r="A157" s="276" t="s">
        <v>2</v>
      </c>
      <c r="B157" s="828" t="s">
        <v>5770</v>
      </c>
      <c r="C157" s="828"/>
      <c r="D157" s="828"/>
      <c r="E157" s="828"/>
      <c r="F157" s="828"/>
      <c r="G157" s="828"/>
      <c r="H157" s="828"/>
      <c r="I157" s="231"/>
      <c r="J157" s="231"/>
    </row>
    <row r="158" spans="1:10">
      <c r="A158" s="276" t="s">
        <v>5771</v>
      </c>
      <c r="B158" s="828" t="s">
        <v>5772</v>
      </c>
      <c r="C158" s="828"/>
      <c r="D158" s="828"/>
      <c r="E158" s="828"/>
      <c r="F158" s="828"/>
      <c r="G158" s="828"/>
      <c r="H158" s="828"/>
      <c r="I158" s="231"/>
      <c r="J158" s="231"/>
    </row>
    <row r="159" spans="1:10">
      <c r="A159" s="196"/>
      <c r="B159" s="196"/>
      <c r="C159" s="196"/>
      <c r="D159" s="196"/>
      <c r="E159" s="196"/>
      <c r="F159" s="196"/>
      <c r="G159" s="196"/>
      <c r="H159" s="196"/>
      <c r="I159" s="231"/>
      <c r="J159" s="231"/>
    </row>
    <row r="160" spans="1:10">
      <c r="A160" s="323" t="s">
        <v>4946</v>
      </c>
      <c r="B160" s="323" t="s">
        <v>77</v>
      </c>
      <c r="C160" s="323" t="s">
        <v>5773</v>
      </c>
      <c r="D160" s="323" t="s">
        <v>263</v>
      </c>
      <c r="E160" s="323" t="s">
        <v>216</v>
      </c>
      <c r="F160" s="323" t="s">
        <v>5774</v>
      </c>
      <c r="G160" s="323" t="s">
        <v>5775</v>
      </c>
      <c r="H160" s="323" t="s">
        <v>5776</v>
      </c>
      <c r="I160" s="231"/>
      <c r="J160" s="231"/>
    </row>
    <row r="161" spans="1:10" ht="26.4">
      <c r="A161" s="277" t="s">
        <v>5777</v>
      </c>
      <c r="B161" s="278" t="s">
        <v>1096</v>
      </c>
      <c r="C161" s="277"/>
      <c r="D161" s="277"/>
      <c r="E161" s="277"/>
      <c r="F161" s="277"/>
      <c r="G161" s="279" t="str">
        <f t="shared" ref="G161:G168" si="2">IF(OR(B161="Yes",B161="N/A"),"🟢","🟡")</f>
        <v>🟡</v>
      </c>
      <c r="H161" s="277"/>
      <c r="I161" s="231"/>
      <c r="J161" s="231"/>
    </row>
    <row r="162" spans="1:10">
      <c r="A162" s="277" t="s">
        <v>5778</v>
      </c>
      <c r="B162" s="278" t="s">
        <v>1096</v>
      </c>
      <c r="C162" s="277"/>
      <c r="D162" s="277"/>
      <c r="E162" s="277"/>
      <c r="F162" s="277"/>
      <c r="G162" s="279" t="str">
        <f t="shared" si="2"/>
        <v>🟡</v>
      </c>
      <c r="H162" s="277"/>
      <c r="I162" s="231"/>
      <c r="J162" s="231"/>
    </row>
    <row r="163" spans="1:10">
      <c r="A163" s="277" t="s">
        <v>5779</v>
      </c>
      <c r="B163" s="278" t="s">
        <v>1096</v>
      </c>
      <c r="C163" s="277"/>
      <c r="D163" s="277"/>
      <c r="E163" s="277"/>
      <c r="F163" s="277"/>
      <c r="G163" s="279" t="str">
        <f t="shared" si="2"/>
        <v>🟡</v>
      </c>
      <c r="H163" s="277"/>
      <c r="I163" s="231"/>
      <c r="J163" s="231"/>
    </row>
    <row r="164" spans="1:10">
      <c r="A164" s="277" t="s">
        <v>5168</v>
      </c>
      <c r="B164" s="278" t="s">
        <v>1096</v>
      </c>
      <c r="C164" s="277"/>
      <c r="D164" s="277"/>
      <c r="E164" s="277"/>
      <c r="F164" s="277"/>
      <c r="G164" s="279" t="str">
        <f t="shared" si="2"/>
        <v>🟡</v>
      </c>
      <c r="H164" s="277"/>
      <c r="I164" s="231"/>
      <c r="J164" s="231"/>
    </row>
    <row r="165" spans="1:10">
      <c r="A165" s="277" t="s">
        <v>5780</v>
      </c>
      <c r="B165" s="278" t="s">
        <v>1096</v>
      </c>
      <c r="C165" s="277"/>
      <c r="D165" s="277"/>
      <c r="E165" s="277"/>
      <c r="F165" s="277"/>
      <c r="G165" s="279" t="str">
        <f t="shared" si="2"/>
        <v>🟡</v>
      </c>
      <c r="H165" s="277"/>
      <c r="I165" s="231"/>
      <c r="J165" s="231"/>
    </row>
    <row r="166" spans="1:10">
      <c r="A166" s="277" t="s">
        <v>5781</v>
      </c>
      <c r="B166" s="278" t="s">
        <v>1096</v>
      </c>
      <c r="C166" s="277"/>
      <c r="D166" s="277"/>
      <c r="E166" s="277"/>
      <c r="F166" s="277"/>
      <c r="G166" s="279" t="str">
        <f t="shared" si="2"/>
        <v>🟡</v>
      </c>
      <c r="H166" s="277"/>
      <c r="I166" s="231"/>
      <c r="J166" s="231"/>
    </row>
    <row r="167" spans="1:10">
      <c r="A167" s="277" t="s">
        <v>178</v>
      </c>
      <c r="B167" s="278" t="s">
        <v>1096</v>
      </c>
      <c r="C167" s="277"/>
      <c r="D167" s="277"/>
      <c r="E167" s="277"/>
      <c r="F167" s="277"/>
      <c r="G167" s="279" t="str">
        <f t="shared" si="2"/>
        <v>🟡</v>
      </c>
      <c r="H167" s="277"/>
      <c r="I167" s="231"/>
      <c r="J167" s="231"/>
    </row>
    <row r="168" spans="1:10" ht="26.4">
      <c r="A168" s="277" t="s">
        <v>5782</v>
      </c>
      <c r="B168" s="278" t="s">
        <v>1096</v>
      </c>
      <c r="C168" s="277"/>
      <c r="D168" s="277"/>
      <c r="E168" s="277"/>
      <c r="F168" s="277"/>
      <c r="G168" s="279" t="str">
        <f t="shared" si="2"/>
        <v>🟡</v>
      </c>
      <c r="H168" s="277"/>
      <c r="I168" s="231"/>
      <c r="J168" s="231"/>
    </row>
    <row r="169" spans="1:10">
      <c r="A169" s="324" t="s">
        <v>4946</v>
      </c>
      <c r="B169" s="324" t="s">
        <v>5790</v>
      </c>
      <c r="C169" s="196"/>
      <c r="D169" s="196"/>
      <c r="E169" s="324" t="s">
        <v>5791</v>
      </c>
      <c r="F169" s="196"/>
      <c r="G169" s="196"/>
      <c r="H169" s="196"/>
      <c r="I169" s="231"/>
      <c r="J169" s="231"/>
    </row>
    <row r="170" spans="1:10" ht="26.4">
      <c r="A170" s="291" t="s">
        <v>5777</v>
      </c>
      <c r="B170" s="768" t="s">
        <v>5792</v>
      </c>
      <c r="C170" s="768"/>
      <c r="D170" s="768"/>
      <c r="E170" s="768" t="s">
        <v>5793</v>
      </c>
      <c r="F170" s="768"/>
      <c r="G170" s="768"/>
      <c r="H170" s="196"/>
      <c r="I170" s="231"/>
      <c r="J170" s="231"/>
    </row>
    <row r="171" spans="1:10">
      <c r="A171" s="291" t="s">
        <v>5778</v>
      </c>
      <c r="B171" s="768" t="s">
        <v>5794</v>
      </c>
      <c r="C171" s="768"/>
      <c r="D171" s="768"/>
      <c r="E171" s="768" t="s">
        <v>5795</v>
      </c>
      <c r="F171" s="768"/>
      <c r="G171" s="768"/>
      <c r="H171" s="196"/>
      <c r="I171" s="231"/>
      <c r="J171" s="231"/>
    </row>
    <row r="172" spans="1:10">
      <c r="A172" s="291" t="s">
        <v>5779</v>
      </c>
      <c r="B172" s="768" t="s">
        <v>5796</v>
      </c>
      <c r="C172" s="768"/>
      <c r="D172" s="768"/>
      <c r="E172" s="768" t="s">
        <v>5797</v>
      </c>
      <c r="F172" s="768"/>
      <c r="G172" s="768"/>
      <c r="H172" s="196"/>
      <c r="I172" s="231"/>
      <c r="J172" s="231"/>
    </row>
    <row r="173" spans="1:10">
      <c r="A173" s="291" t="s">
        <v>5168</v>
      </c>
      <c r="B173" s="768" t="s">
        <v>5798</v>
      </c>
      <c r="C173" s="768"/>
      <c r="D173" s="768"/>
      <c r="E173" s="768" t="s">
        <v>5799</v>
      </c>
      <c r="F173" s="768"/>
      <c r="G173" s="768"/>
      <c r="H173" s="196"/>
      <c r="I173" s="231"/>
      <c r="J173" s="231"/>
    </row>
    <row r="174" spans="1:10">
      <c r="A174" s="291" t="s">
        <v>5780</v>
      </c>
      <c r="B174" s="768" t="s">
        <v>5800</v>
      </c>
      <c r="C174" s="768"/>
      <c r="D174" s="768"/>
      <c r="E174" s="768" t="s">
        <v>5801</v>
      </c>
      <c r="F174" s="768"/>
      <c r="G174" s="768"/>
      <c r="H174" s="196"/>
      <c r="I174" s="231"/>
      <c r="J174" s="231"/>
    </row>
    <row r="175" spans="1:10">
      <c r="A175" s="291" t="s">
        <v>5781</v>
      </c>
      <c r="B175" s="768" t="s">
        <v>5802</v>
      </c>
      <c r="C175" s="768"/>
      <c r="D175" s="768"/>
      <c r="E175" s="768" t="s">
        <v>5803</v>
      </c>
      <c r="F175" s="768"/>
      <c r="G175" s="768"/>
      <c r="H175" s="196"/>
      <c r="I175" s="231"/>
      <c r="J175" s="231"/>
    </row>
    <row r="176" spans="1:10">
      <c r="A176" s="291" t="s">
        <v>178</v>
      </c>
      <c r="B176" s="768" t="s">
        <v>5804</v>
      </c>
      <c r="C176" s="768"/>
      <c r="D176" s="768"/>
      <c r="E176" s="768" t="s">
        <v>5805</v>
      </c>
      <c r="F176" s="768"/>
      <c r="G176" s="768"/>
      <c r="H176" s="196"/>
      <c r="I176" s="231"/>
      <c r="J176" s="231"/>
    </row>
    <row r="177" spans="1:10" ht="26.4">
      <c r="A177" s="291" t="s">
        <v>5782</v>
      </c>
      <c r="B177" s="768" t="s">
        <v>5806</v>
      </c>
      <c r="C177" s="768"/>
      <c r="D177" s="768"/>
      <c r="E177" s="768" t="s">
        <v>5807</v>
      </c>
      <c r="F177" s="768"/>
      <c r="G177" s="768"/>
      <c r="H177" s="196"/>
      <c r="I177" s="231"/>
      <c r="J177" s="231"/>
    </row>
    <row r="178" spans="1:10">
      <c r="A178" s="276" t="s">
        <v>5783</v>
      </c>
      <c r="B178" s="280" t="str">
        <f>IF(COUNTIF(B161:B168,"No")=0,"🟢 PILOT COMPLETE / ACCEPTANCE READY","🟡 NOT COMPLETE — ACCEPTANCE GATES OPEN")</f>
        <v>🟡 NOT COMPLETE — ACCEPTANCE GATES OPEN</v>
      </c>
      <c r="C178" s="280"/>
      <c r="D178" s="280"/>
      <c r="E178" s="280"/>
      <c r="F178" s="280"/>
      <c r="G178" s="280"/>
      <c r="H178" s="280"/>
    </row>
    <row r="179" spans="1:10">
      <c r="A179" s="276" t="s">
        <v>5784</v>
      </c>
      <c r="B179" s="280">
        <f>COUNTIF(B161:B168,"No")</f>
        <v>8</v>
      </c>
      <c r="C179" s="280"/>
      <c r="D179" s="280"/>
      <c r="E179" s="280"/>
      <c r="F179" s="280"/>
      <c r="G179" s="280"/>
      <c r="H179" s="280"/>
    </row>
    <row r="180" spans="1:10">
      <c r="A180" s="276" t="s">
        <v>5785</v>
      </c>
      <c r="B180" s="280" t="str">
        <f>COUNTIF(B161:B168,"Yes")&amp;" / 8 Complete"</f>
        <v>0 / 8 Complete</v>
      </c>
      <c r="C180" s="280"/>
      <c r="D180" s="280"/>
      <c r="E180" s="280"/>
      <c r="F180" s="280"/>
      <c r="G180" s="280"/>
      <c r="H180" s="280"/>
    </row>
    <row r="181" spans="1:10" ht="93">
      <c r="A181" s="281" t="s">
        <v>5786</v>
      </c>
      <c r="B181" s="282" t="s">
        <v>5787</v>
      </c>
      <c r="C181" s="282"/>
      <c r="D181" s="282"/>
      <c r="E181" s="282"/>
      <c r="F181" s="282"/>
      <c r="G181" s="282"/>
      <c r="H181" s="282"/>
    </row>
    <row r="182" spans="1:10">
      <c r="A182" s="281"/>
      <c r="B182" s="282"/>
      <c r="C182" s="282"/>
      <c r="D182" s="282"/>
      <c r="E182" s="282"/>
      <c r="F182" s="282"/>
      <c r="G182" s="282"/>
      <c r="H182" s="282"/>
    </row>
    <row r="183" spans="1:10" ht="66.599999999999994">
      <c r="A183" s="281" t="s">
        <v>5788</v>
      </c>
      <c r="B183" s="282" t="s">
        <v>5789</v>
      </c>
      <c r="C183" s="282"/>
      <c r="D183" s="282"/>
      <c r="E183" s="282"/>
      <c r="F183" s="282"/>
      <c r="G183" s="282"/>
      <c r="H183" s="282"/>
    </row>
    <row r="184" spans="1:10">
      <c r="A184" s="842" t="s">
        <v>5901</v>
      </c>
      <c r="B184" s="842"/>
      <c r="C184" s="842"/>
      <c r="D184" s="842"/>
      <c r="E184" s="842"/>
      <c r="F184" s="842"/>
      <c r="G184" s="842"/>
      <c r="H184" s="842"/>
      <c r="I184" s="842"/>
      <c r="J184" s="842"/>
    </row>
    <row r="185" spans="1:10">
      <c r="A185" s="340" t="s">
        <v>5886</v>
      </c>
      <c r="B185" s="196"/>
      <c r="C185" s="196"/>
      <c r="D185" s="196"/>
      <c r="E185" s="196"/>
      <c r="F185" s="196"/>
      <c r="G185" s="196"/>
      <c r="H185" s="196"/>
      <c r="I185" s="196"/>
      <c r="J185" s="196"/>
    </row>
    <row r="186" spans="1:10">
      <c r="A186" s="196"/>
      <c r="B186" s="196"/>
      <c r="C186" s="196"/>
      <c r="D186" s="196"/>
      <c r="E186" s="196"/>
      <c r="F186" s="196"/>
      <c r="G186" s="196"/>
      <c r="H186" s="196"/>
      <c r="I186" s="196"/>
      <c r="J186" s="196"/>
    </row>
    <row r="187" spans="1:10">
      <c r="A187" s="196" t="s">
        <v>5887</v>
      </c>
      <c r="B187" s="196"/>
      <c r="C187" s="196"/>
      <c r="D187" s="196"/>
      <c r="E187" s="196"/>
      <c r="F187" s="196"/>
      <c r="G187" s="196"/>
      <c r="H187" s="196"/>
      <c r="I187" s="196"/>
      <c r="J187" s="196"/>
    </row>
    <row r="188" spans="1:10">
      <c r="A188" s="196"/>
      <c r="B188" s="196"/>
      <c r="C188" s="196"/>
      <c r="D188" s="196"/>
      <c r="E188" s="196"/>
      <c r="F188" s="196"/>
      <c r="G188" s="196"/>
      <c r="H188" s="196"/>
      <c r="I188" s="196"/>
      <c r="J188" s="196"/>
    </row>
    <row r="189" spans="1:10">
      <c r="A189" s="196" t="s">
        <v>5888</v>
      </c>
      <c r="B189" s="196"/>
      <c r="C189" s="196"/>
      <c r="D189" s="196"/>
      <c r="E189" s="196"/>
      <c r="F189" s="196"/>
      <c r="G189" s="196"/>
      <c r="H189" s="196"/>
      <c r="I189" s="196"/>
      <c r="J189" s="196"/>
    </row>
    <row r="190" spans="1:10">
      <c r="A190" s="196"/>
      <c r="B190" s="196"/>
      <c r="C190" s="196"/>
      <c r="D190" s="196"/>
      <c r="E190" s="196"/>
      <c r="F190" s="196"/>
      <c r="G190" s="196"/>
      <c r="H190" s="196"/>
      <c r="I190" s="196"/>
      <c r="J190" s="196"/>
    </row>
    <row r="191" spans="1:10">
      <c r="A191" s="196" t="s">
        <v>5889</v>
      </c>
      <c r="B191" s="196"/>
      <c r="C191" s="196"/>
      <c r="D191" s="196"/>
      <c r="E191" s="196"/>
      <c r="F191" s="196"/>
      <c r="G191" s="196"/>
      <c r="H191" s="196"/>
      <c r="I191" s="196"/>
      <c r="J191" s="196"/>
    </row>
    <row r="192" spans="1:10">
      <c r="A192" s="196"/>
      <c r="B192" s="196"/>
      <c r="C192" s="196"/>
      <c r="D192" s="196"/>
      <c r="E192" s="196"/>
      <c r="F192" s="196"/>
      <c r="G192" s="196"/>
      <c r="H192" s="196"/>
      <c r="I192" s="196"/>
      <c r="J192" s="196"/>
    </row>
    <row r="193" spans="1:10">
      <c r="A193" s="196"/>
      <c r="B193" s="196"/>
      <c r="C193" s="196"/>
      <c r="D193" s="196"/>
      <c r="E193" s="196"/>
      <c r="F193" s="196"/>
      <c r="G193" s="196"/>
      <c r="H193" s="196"/>
      <c r="I193" s="196"/>
      <c r="J193" s="196"/>
    </row>
    <row r="194" spans="1:10">
      <c r="A194" s="196"/>
      <c r="B194" s="196"/>
      <c r="C194" s="196"/>
      <c r="D194" s="196"/>
      <c r="E194" s="196"/>
      <c r="F194" s="196"/>
      <c r="G194" s="196"/>
      <c r="H194" s="196"/>
      <c r="I194" s="196"/>
      <c r="J194" s="196"/>
    </row>
    <row r="195" spans="1:10">
      <c r="A195" s="842" t="s">
        <v>5902</v>
      </c>
      <c r="B195" s="842"/>
      <c r="C195" s="842"/>
      <c r="D195" s="842"/>
      <c r="E195" s="842"/>
      <c r="F195" s="842"/>
      <c r="G195" s="842"/>
      <c r="H195" s="842"/>
      <c r="I195" s="842"/>
      <c r="J195" s="842"/>
    </row>
    <row r="196" spans="1:10">
      <c r="A196" s="196"/>
      <c r="B196" s="196"/>
      <c r="C196" s="196"/>
      <c r="D196" s="196"/>
      <c r="E196" s="196"/>
      <c r="F196" s="196"/>
      <c r="G196" s="196"/>
      <c r="H196" s="196"/>
      <c r="I196" s="196"/>
      <c r="J196" s="196"/>
    </row>
    <row r="197" spans="1:10">
      <c r="A197" s="196" t="s">
        <v>5890</v>
      </c>
      <c r="B197" s="196"/>
      <c r="C197" s="196"/>
      <c r="D197" s="196"/>
      <c r="E197" s="196"/>
      <c r="F197" s="196"/>
      <c r="G197" s="196"/>
      <c r="H197" s="196"/>
      <c r="I197" s="196"/>
      <c r="J197" s="196"/>
    </row>
    <row r="198" spans="1:10">
      <c r="A198" s="196"/>
      <c r="B198" s="196"/>
      <c r="C198" s="196"/>
      <c r="D198" s="196"/>
      <c r="E198" s="196"/>
      <c r="F198" s="196"/>
      <c r="G198" s="196"/>
      <c r="H198" s="196"/>
      <c r="I198" s="196"/>
      <c r="J198" s="196"/>
    </row>
    <row r="199" spans="1:10">
      <c r="A199" s="196" t="s">
        <v>5891</v>
      </c>
      <c r="B199" s="196"/>
      <c r="C199" s="196"/>
      <c r="D199" s="196"/>
      <c r="E199" s="196"/>
      <c r="F199" s="196"/>
      <c r="G199" s="196"/>
      <c r="H199" s="196"/>
      <c r="I199" s="196"/>
      <c r="J199" s="196"/>
    </row>
    <row r="200" spans="1:10">
      <c r="A200" s="196"/>
      <c r="B200" s="196"/>
      <c r="C200" s="196"/>
      <c r="D200" s="196"/>
      <c r="E200" s="196"/>
      <c r="F200" s="196"/>
      <c r="G200" s="196"/>
      <c r="H200" s="196"/>
      <c r="I200" s="196"/>
      <c r="J200" s="196"/>
    </row>
    <row r="201" spans="1:10">
      <c r="A201" s="196" t="s">
        <v>5892</v>
      </c>
      <c r="B201" s="196"/>
      <c r="C201" s="196"/>
      <c r="D201" s="196"/>
      <c r="E201" s="196"/>
      <c r="F201" s="196"/>
      <c r="G201" s="196"/>
      <c r="H201" s="196"/>
      <c r="I201" s="196"/>
      <c r="J201" s="196"/>
    </row>
    <row r="202" spans="1:10">
      <c r="A202" s="196"/>
      <c r="B202" s="196"/>
      <c r="C202" s="196"/>
      <c r="D202" s="196"/>
      <c r="E202" s="196"/>
      <c r="F202" s="196"/>
      <c r="G202" s="196"/>
      <c r="H202" s="196"/>
      <c r="I202" s="196"/>
      <c r="J202" s="196"/>
    </row>
    <row r="203" spans="1:10">
      <c r="A203" s="196"/>
      <c r="B203" s="196"/>
      <c r="C203" s="196"/>
      <c r="D203" s="196"/>
      <c r="E203" s="196"/>
      <c r="F203" s="196"/>
      <c r="G203" s="196"/>
      <c r="H203" s="196"/>
      <c r="I203" s="196"/>
      <c r="J203" s="196"/>
    </row>
    <row r="204" spans="1:10">
      <c r="A204" s="196"/>
      <c r="B204" s="196"/>
      <c r="C204" s="196"/>
      <c r="D204" s="196"/>
      <c r="E204" s="196"/>
      <c r="F204" s="196"/>
      <c r="G204" s="196"/>
      <c r="H204" s="196"/>
      <c r="I204" s="196"/>
      <c r="J204" s="196"/>
    </row>
    <row r="205" spans="1:10">
      <c r="A205" s="842" t="s">
        <v>5903</v>
      </c>
      <c r="B205" s="842"/>
      <c r="C205" s="842"/>
      <c r="D205" s="842"/>
      <c r="E205" s="842"/>
      <c r="F205" s="842"/>
      <c r="G205" s="842"/>
      <c r="H205" s="842"/>
      <c r="I205" s="842"/>
      <c r="J205" s="842"/>
    </row>
    <row r="206" spans="1:10">
      <c r="A206" s="196"/>
      <c r="B206" s="196"/>
      <c r="C206" s="196"/>
      <c r="D206" s="196"/>
      <c r="E206" s="196"/>
      <c r="F206" s="196"/>
      <c r="G206" s="196"/>
      <c r="H206" s="196"/>
      <c r="I206" s="196"/>
      <c r="J206" s="196"/>
    </row>
    <row r="207" spans="1:10">
      <c r="A207" s="196" t="s">
        <v>5893</v>
      </c>
      <c r="B207" s="196"/>
      <c r="C207" s="196"/>
      <c r="D207" s="196"/>
      <c r="E207" s="196"/>
      <c r="F207" s="196"/>
      <c r="G207" s="196"/>
      <c r="H207" s="196"/>
      <c r="I207" s="196"/>
      <c r="J207" s="196"/>
    </row>
    <row r="208" spans="1:10">
      <c r="A208" s="196"/>
      <c r="B208" s="196"/>
      <c r="C208" s="196"/>
      <c r="D208" s="196"/>
      <c r="E208" s="196"/>
      <c r="F208" s="196"/>
      <c r="G208" s="196"/>
      <c r="H208" s="196"/>
      <c r="I208" s="196"/>
      <c r="J208" s="196"/>
    </row>
    <row r="209" spans="1:10">
      <c r="A209" s="196" t="s">
        <v>5894</v>
      </c>
      <c r="B209" s="196"/>
      <c r="C209" s="196"/>
      <c r="D209" s="196"/>
      <c r="E209" s="196"/>
      <c r="F209" s="196"/>
      <c r="G209" s="196"/>
      <c r="H209" s="196"/>
      <c r="I209" s="196"/>
      <c r="J209" s="196"/>
    </row>
    <row r="210" spans="1:10">
      <c r="A210" s="196"/>
      <c r="B210" s="196"/>
      <c r="C210" s="196"/>
      <c r="D210" s="196"/>
      <c r="E210" s="196"/>
      <c r="F210" s="196"/>
      <c r="G210" s="196"/>
      <c r="H210" s="196"/>
      <c r="I210" s="196"/>
      <c r="J210" s="196"/>
    </row>
    <row r="211" spans="1:10">
      <c r="A211" s="196" t="s">
        <v>5895</v>
      </c>
      <c r="B211" s="196"/>
      <c r="C211" s="196"/>
      <c r="D211" s="196"/>
      <c r="E211" s="196"/>
      <c r="F211" s="196"/>
      <c r="G211" s="196"/>
      <c r="H211" s="196"/>
      <c r="I211" s="196"/>
      <c r="J211" s="196"/>
    </row>
    <row r="212" spans="1:10">
      <c r="A212" s="196"/>
      <c r="B212" s="196"/>
      <c r="C212" s="196"/>
      <c r="D212" s="196"/>
      <c r="E212" s="196"/>
      <c r="F212" s="196"/>
      <c r="G212" s="196"/>
      <c r="H212" s="196"/>
      <c r="I212" s="196"/>
      <c r="J212" s="196"/>
    </row>
    <row r="213" spans="1:10">
      <c r="A213" s="196" t="s">
        <v>5896</v>
      </c>
      <c r="B213" s="196"/>
      <c r="C213" s="196"/>
      <c r="D213" s="196"/>
      <c r="E213" s="196"/>
      <c r="F213" s="196"/>
      <c r="G213" s="196"/>
      <c r="H213" s="196"/>
      <c r="I213" s="196"/>
      <c r="J213" s="196"/>
    </row>
    <row r="214" spans="1:10">
      <c r="A214" s="196"/>
      <c r="B214" s="196"/>
      <c r="C214" s="196"/>
      <c r="D214" s="196"/>
      <c r="E214" s="196"/>
      <c r="F214" s="196"/>
      <c r="G214" s="196"/>
      <c r="H214" s="196"/>
      <c r="I214" s="196"/>
      <c r="J214" s="196"/>
    </row>
    <row r="215" spans="1:10">
      <c r="A215" s="196"/>
      <c r="B215" s="196"/>
      <c r="C215" s="196"/>
      <c r="D215" s="196"/>
      <c r="E215" s="196"/>
      <c r="F215" s="196"/>
      <c r="G215" s="196"/>
      <c r="H215" s="196"/>
      <c r="I215" s="196"/>
      <c r="J215" s="196"/>
    </row>
    <row r="216" spans="1:10">
      <c r="A216" s="196"/>
      <c r="B216" s="196"/>
      <c r="C216" s="196"/>
      <c r="D216" s="196"/>
      <c r="E216" s="196"/>
      <c r="F216" s="196"/>
      <c r="G216" s="196"/>
      <c r="H216" s="196"/>
      <c r="I216" s="196"/>
      <c r="J216" s="196"/>
    </row>
    <row r="217" spans="1:10">
      <c r="A217" s="842" t="s">
        <v>5904</v>
      </c>
      <c r="B217" s="842"/>
      <c r="C217" s="842"/>
      <c r="D217" s="842"/>
      <c r="E217" s="842"/>
      <c r="F217" s="842"/>
      <c r="G217" s="842"/>
      <c r="H217" s="842"/>
      <c r="I217" s="842"/>
      <c r="J217" s="842"/>
    </row>
    <row r="218" spans="1:10">
      <c r="A218" s="196"/>
      <c r="B218" s="196"/>
      <c r="C218" s="196"/>
      <c r="D218" s="196"/>
      <c r="E218" s="196"/>
      <c r="F218" s="196"/>
      <c r="G218" s="196"/>
      <c r="H218" s="196"/>
      <c r="I218" s="196"/>
      <c r="J218" s="196"/>
    </row>
    <row r="219" spans="1:10">
      <c r="A219" s="196" t="s">
        <v>5897</v>
      </c>
      <c r="B219" s="196"/>
      <c r="C219" s="196"/>
      <c r="D219" s="196"/>
      <c r="E219" s="196"/>
      <c r="F219" s="196"/>
      <c r="G219" s="196"/>
      <c r="H219" s="196"/>
      <c r="I219" s="196"/>
      <c r="J219" s="196"/>
    </row>
    <row r="220" spans="1:10">
      <c r="A220" s="196"/>
      <c r="B220" s="196"/>
      <c r="C220" s="196"/>
      <c r="D220" s="196"/>
      <c r="E220" s="196"/>
      <c r="F220" s="196"/>
      <c r="G220" s="196"/>
      <c r="H220" s="196"/>
      <c r="I220" s="196"/>
      <c r="J220" s="196"/>
    </row>
    <row r="221" spans="1:10">
      <c r="A221" s="196" t="s">
        <v>5898</v>
      </c>
      <c r="B221" s="196"/>
      <c r="C221" s="196"/>
      <c r="D221" s="196"/>
      <c r="E221" s="196"/>
      <c r="F221" s="196"/>
      <c r="G221" s="196"/>
      <c r="H221" s="196"/>
      <c r="I221" s="196"/>
      <c r="J221" s="196"/>
    </row>
    <row r="222" spans="1:10">
      <c r="A222" s="196"/>
      <c r="B222" s="196"/>
      <c r="C222" s="196"/>
      <c r="D222" s="196"/>
      <c r="E222" s="196"/>
      <c r="F222" s="196"/>
      <c r="G222" s="196"/>
      <c r="H222" s="196"/>
      <c r="I222" s="196"/>
      <c r="J222" s="196"/>
    </row>
    <row r="223" spans="1:10">
      <c r="A223" s="196" t="s">
        <v>5899</v>
      </c>
      <c r="B223" s="196"/>
      <c r="C223" s="196"/>
      <c r="D223" s="196"/>
      <c r="E223" s="196"/>
      <c r="F223" s="196"/>
      <c r="G223" s="196"/>
      <c r="H223" s="196"/>
      <c r="I223" s="196"/>
      <c r="J223" s="196"/>
    </row>
    <row r="224" spans="1:10">
      <c r="A224" s="196"/>
      <c r="B224" s="196"/>
      <c r="C224" s="196"/>
      <c r="D224" s="196"/>
      <c r="E224" s="196"/>
      <c r="F224" s="196"/>
      <c r="G224" s="196"/>
      <c r="H224" s="196"/>
      <c r="I224" s="196"/>
      <c r="J224" s="196"/>
    </row>
    <row r="225" spans="1:10">
      <c r="A225" s="196"/>
      <c r="B225" s="196"/>
      <c r="C225" s="196"/>
      <c r="D225" s="196"/>
      <c r="E225" s="196"/>
      <c r="F225" s="196"/>
      <c r="G225" s="196"/>
      <c r="H225" s="196"/>
      <c r="I225" s="196"/>
      <c r="J225" s="196"/>
    </row>
    <row r="226" spans="1:10">
      <c r="A226" s="196"/>
      <c r="B226" s="196"/>
      <c r="C226" s="196"/>
      <c r="D226" s="196"/>
      <c r="E226" s="196"/>
      <c r="F226" s="196"/>
      <c r="G226" s="196"/>
      <c r="H226" s="196"/>
      <c r="I226" s="196"/>
      <c r="J226" s="196"/>
    </row>
    <row r="227" spans="1:10">
      <c r="A227" s="196" t="s">
        <v>5900</v>
      </c>
      <c r="B227" s="196"/>
      <c r="C227" s="196"/>
      <c r="D227" s="196"/>
      <c r="E227" s="196"/>
      <c r="F227" s="196"/>
      <c r="G227" s="196"/>
      <c r="H227" s="196"/>
      <c r="I227" s="196"/>
      <c r="J227" s="196"/>
    </row>
    <row r="228" spans="1:10">
      <c r="A228" s="196"/>
      <c r="B228" s="196"/>
      <c r="C228" s="196"/>
      <c r="D228" s="196"/>
      <c r="E228" s="196"/>
      <c r="F228" s="196"/>
      <c r="G228" s="196"/>
      <c r="H228" s="196"/>
      <c r="I228" s="196"/>
      <c r="J228" s="196"/>
    </row>
    <row r="229" spans="1:10">
      <c r="A229" s="341"/>
      <c r="B229" s="341"/>
      <c r="C229" s="341"/>
      <c r="D229" s="341"/>
      <c r="E229" s="341"/>
      <c r="F229" s="341"/>
      <c r="G229" s="341"/>
      <c r="H229" s="341"/>
      <c r="I229" s="341"/>
      <c r="J229" s="341"/>
    </row>
    <row r="230" spans="1:10">
      <c r="A230" s="341"/>
      <c r="B230" s="341"/>
      <c r="C230" s="341"/>
      <c r="D230" s="341"/>
      <c r="E230" s="341"/>
      <c r="F230" s="341"/>
      <c r="G230" s="341"/>
      <c r="H230" s="341"/>
      <c r="I230" s="341"/>
      <c r="J230" s="341"/>
    </row>
    <row r="231" spans="1:10">
      <c r="A231" s="341"/>
      <c r="B231" s="341"/>
      <c r="C231" s="341"/>
      <c r="D231" s="341"/>
      <c r="E231" s="341"/>
      <c r="F231" s="341"/>
      <c r="G231" s="341"/>
      <c r="H231" s="341"/>
      <c r="I231" s="341"/>
      <c r="J231" s="341"/>
    </row>
    <row r="232" spans="1:10">
      <c r="A232" s="341"/>
      <c r="B232" s="341"/>
      <c r="C232" s="341"/>
      <c r="D232" s="341"/>
      <c r="E232" s="341"/>
      <c r="F232" s="341"/>
      <c r="G232" s="341"/>
      <c r="H232" s="341"/>
      <c r="I232" s="341"/>
      <c r="J232" s="341"/>
    </row>
    <row r="233" spans="1:10">
      <c r="A233" s="341"/>
      <c r="B233" s="341"/>
      <c r="C233" s="341"/>
      <c r="D233" s="341"/>
      <c r="E233" s="341"/>
      <c r="F233" s="341"/>
      <c r="G233" s="341"/>
      <c r="H233" s="341"/>
      <c r="I233" s="341"/>
      <c r="J233" s="341"/>
    </row>
    <row r="234" spans="1:10">
      <c r="A234" s="341"/>
      <c r="B234" s="341"/>
      <c r="C234" s="341"/>
      <c r="D234" s="341"/>
      <c r="E234" s="341"/>
      <c r="F234" s="341"/>
      <c r="G234" s="341"/>
      <c r="H234" s="341"/>
      <c r="I234" s="341"/>
      <c r="J234" s="341"/>
    </row>
    <row r="235" spans="1:10">
      <c r="A235" s="341"/>
      <c r="B235" s="341"/>
      <c r="C235" s="341"/>
      <c r="D235" s="341"/>
      <c r="E235" s="341"/>
      <c r="F235" s="341"/>
      <c r="G235" s="341"/>
      <c r="H235" s="341"/>
      <c r="I235" s="341"/>
      <c r="J235" s="341"/>
    </row>
    <row r="236" spans="1:10">
      <c r="A236" s="341"/>
      <c r="B236" s="341"/>
      <c r="C236" s="341"/>
      <c r="D236" s="341"/>
      <c r="E236" s="341"/>
      <c r="F236" s="341"/>
      <c r="G236" s="341"/>
      <c r="H236" s="341"/>
      <c r="I236" s="341"/>
      <c r="J236" s="341"/>
    </row>
    <row r="237" spans="1:10">
      <c r="A237" s="341"/>
      <c r="B237" s="341"/>
      <c r="C237" s="341"/>
      <c r="D237" s="341"/>
      <c r="E237" s="341"/>
      <c r="F237" s="341"/>
      <c r="G237" s="341"/>
      <c r="H237" s="341"/>
      <c r="I237" s="341"/>
      <c r="J237" s="341"/>
    </row>
    <row r="238" spans="1:10">
      <c r="A238" s="196"/>
      <c r="B238" s="196"/>
      <c r="C238" s="196"/>
      <c r="D238" s="196"/>
      <c r="E238" s="196"/>
      <c r="F238" s="196"/>
      <c r="G238" s="196"/>
      <c r="H238" s="196"/>
      <c r="I238" s="196"/>
      <c r="J238" s="196"/>
    </row>
    <row r="239" spans="1:10">
      <c r="A239" s="320"/>
      <c r="B239" s="320"/>
      <c r="C239" s="320"/>
      <c r="D239" s="320"/>
      <c r="E239" s="320"/>
      <c r="F239" s="320"/>
      <c r="G239" s="874"/>
      <c r="H239" s="874"/>
      <c r="I239" s="874"/>
      <c r="J239" s="874"/>
    </row>
  </sheetData>
  <mergeCells count="120">
    <mergeCell ref="B96:J96"/>
    <mergeCell ref="A32:D32"/>
    <mergeCell ref="A14:D14"/>
    <mergeCell ref="A83:D83"/>
    <mergeCell ref="B92:J92"/>
    <mergeCell ref="A1:J1"/>
    <mergeCell ref="A61:D61"/>
    <mergeCell ref="B95:J95"/>
    <mergeCell ref="B94:J94"/>
    <mergeCell ref="D6:J6"/>
    <mergeCell ref="B91:J91"/>
    <mergeCell ref="A89:D89"/>
    <mergeCell ref="A50:D50"/>
    <mergeCell ref="A26:D26"/>
    <mergeCell ref="B93:J93"/>
    <mergeCell ref="A8:D8"/>
    <mergeCell ref="A20:D20"/>
    <mergeCell ref="A38:D38"/>
    <mergeCell ref="A72:D72"/>
    <mergeCell ref="A44:D44"/>
    <mergeCell ref="G101:J101"/>
    <mergeCell ref="G103:J103"/>
    <mergeCell ref="A105:B105"/>
    <mergeCell ref="E105:J105"/>
    <mergeCell ref="A107:C107"/>
    <mergeCell ref="D107:F107"/>
    <mergeCell ref="G107:J107"/>
    <mergeCell ref="A98:C98"/>
    <mergeCell ref="D98:F98"/>
    <mergeCell ref="G98:J98"/>
    <mergeCell ref="G99:J99"/>
    <mergeCell ref="G100:J100"/>
    <mergeCell ref="F113:J113"/>
    <mergeCell ref="F114:J114"/>
    <mergeCell ref="F115:J115"/>
    <mergeCell ref="F116:J116"/>
    <mergeCell ref="A117:B117"/>
    <mergeCell ref="C117:D117"/>
    <mergeCell ref="E117:J117"/>
    <mergeCell ref="G108:J108"/>
    <mergeCell ref="F109:J109"/>
    <mergeCell ref="F110:J110"/>
    <mergeCell ref="F111:J111"/>
    <mergeCell ref="F112:J112"/>
    <mergeCell ref="G122:J122"/>
    <mergeCell ref="G123:J123"/>
    <mergeCell ref="G124:J124"/>
    <mergeCell ref="G125:J125"/>
    <mergeCell ref="A126:B126"/>
    <mergeCell ref="C126:D126"/>
    <mergeCell ref="E126:J126"/>
    <mergeCell ref="A119:C119"/>
    <mergeCell ref="D119:F119"/>
    <mergeCell ref="G119:J119"/>
    <mergeCell ref="G120:J120"/>
    <mergeCell ref="G121:J121"/>
    <mergeCell ref="G130:J130"/>
    <mergeCell ref="G131:J131"/>
    <mergeCell ref="G132:J132"/>
    <mergeCell ref="G133:J133"/>
    <mergeCell ref="A134:D135"/>
    <mergeCell ref="E134:J135"/>
    <mergeCell ref="G127:J127"/>
    <mergeCell ref="A128:C128"/>
    <mergeCell ref="D128:F128"/>
    <mergeCell ref="G128:J128"/>
    <mergeCell ref="G129:J129"/>
    <mergeCell ref="G139:J139"/>
    <mergeCell ref="G140:J140"/>
    <mergeCell ref="G141:J141"/>
    <mergeCell ref="G142:J142"/>
    <mergeCell ref="G143:J143"/>
    <mergeCell ref="A136:C136"/>
    <mergeCell ref="D136:F136"/>
    <mergeCell ref="G136:J136"/>
    <mergeCell ref="G137:J137"/>
    <mergeCell ref="G138:J138"/>
    <mergeCell ref="B149:J149"/>
    <mergeCell ref="B150:J150"/>
    <mergeCell ref="B151:J151"/>
    <mergeCell ref="B152:J152"/>
    <mergeCell ref="B153:J153"/>
    <mergeCell ref="A144:B144"/>
    <mergeCell ref="C144:D144"/>
    <mergeCell ref="E144:J144"/>
    <mergeCell ref="A146:C146"/>
    <mergeCell ref="B148:J148"/>
    <mergeCell ref="B171:D171"/>
    <mergeCell ref="E171:G171"/>
    <mergeCell ref="B172:D172"/>
    <mergeCell ref="E172:G172"/>
    <mergeCell ref="B173:D173"/>
    <mergeCell ref="E173:G173"/>
    <mergeCell ref="B154:J154"/>
    <mergeCell ref="A156:H156"/>
    <mergeCell ref="B157:H157"/>
    <mergeCell ref="B158:H158"/>
    <mergeCell ref="B170:D170"/>
    <mergeCell ref="E170:G170"/>
    <mergeCell ref="B177:D177"/>
    <mergeCell ref="E177:G177"/>
    <mergeCell ref="A184:C184"/>
    <mergeCell ref="D184:F184"/>
    <mergeCell ref="G184:J184"/>
    <mergeCell ref="B174:D174"/>
    <mergeCell ref="E174:G174"/>
    <mergeCell ref="B175:D175"/>
    <mergeCell ref="E175:G175"/>
    <mergeCell ref="B176:D176"/>
    <mergeCell ref="E176:G176"/>
    <mergeCell ref="A217:C217"/>
    <mergeCell ref="D217:F217"/>
    <mergeCell ref="G217:J217"/>
    <mergeCell ref="G239:J239"/>
    <mergeCell ref="A195:C195"/>
    <mergeCell ref="D195:F195"/>
    <mergeCell ref="G195:J195"/>
    <mergeCell ref="A205:C205"/>
    <mergeCell ref="D205:F205"/>
    <mergeCell ref="G205:J205"/>
  </mergeCells>
  <conditionalFormatting sqref="B100:B104">
    <cfRule type="expression" dxfId="1168" priority="21">
      <formula>B100="Complete"</formula>
    </cfRule>
    <cfRule type="expression" dxfId="1167" priority="22">
      <formula>B100="In Progress"</formula>
    </cfRule>
    <cfRule type="expression" dxfId="1166" priority="23">
      <formula>B100="At Risk"</formula>
    </cfRule>
    <cfRule type="expression" dxfId="1165" priority="24">
      <formula>B100="Blocked"</formula>
    </cfRule>
    <cfRule type="expression" dxfId="1164" priority="25">
      <formula>B100="Not Started"</formula>
    </cfRule>
  </conditionalFormatting>
  <conditionalFormatting sqref="B109:B116">
    <cfRule type="expression" dxfId="1163" priority="1">
      <formula>B109="Complete"</formula>
    </cfRule>
    <cfRule type="expression" dxfId="1162" priority="2">
      <formula>B109="In Progress"</formula>
    </cfRule>
    <cfRule type="expression" dxfId="1161" priority="3">
      <formula>B109="At Risk"</formula>
    </cfRule>
    <cfRule type="expression" dxfId="1160" priority="4">
      <formula>B109="Blocked"</formula>
    </cfRule>
    <cfRule type="expression" dxfId="1159" priority="5">
      <formula>B109="Not Started"</formula>
    </cfRule>
  </conditionalFormatting>
  <conditionalFormatting sqref="B121:B125">
    <cfRule type="expression" dxfId="1158" priority="26">
      <formula>B121="Complete"</formula>
    </cfRule>
    <cfRule type="expression" dxfId="1157" priority="27">
      <formula>B121="In Progress"</formula>
    </cfRule>
    <cfRule type="expression" dxfId="1156" priority="28">
      <formula>B121="At Risk"</formula>
    </cfRule>
    <cfRule type="expression" dxfId="1155" priority="29">
      <formula>B121="Blocked"</formula>
    </cfRule>
    <cfRule type="expression" dxfId="1154" priority="30">
      <formula>B121="Not Started"</formula>
    </cfRule>
  </conditionalFormatting>
  <conditionalFormatting sqref="B130:B133">
    <cfRule type="expression" dxfId="1153" priority="6">
      <formula>B130="Complete"</formula>
    </cfRule>
    <cfRule type="expression" dxfId="1152" priority="7">
      <formula>B130="In Progress"</formula>
    </cfRule>
    <cfRule type="expression" dxfId="1151" priority="8">
      <formula>B130="At Risk"</formula>
    </cfRule>
    <cfRule type="expression" dxfId="1150" priority="9">
      <formula>B130="Blocked"</formula>
    </cfRule>
    <cfRule type="expression" dxfId="1149" priority="10">
      <formula>B130="Not Started"</formula>
    </cfRule>
  </conditionalFormatting>
  <conditionalFormatting sqref="B138:B143">
    <cfRule type="expression" dxfId="1148" priority="11">
      <formula>B138="Complete"</formula>
    </cfRule>
    <cfRule type="expression" dxfId="1147" priority="12">
      <formula>B138="In Progress"</formula>
    </cfRule>
    <cfRule type="expression" dxfId="1146" priority="13">
      <formula>B138="At Risk"</formula>
    </cfRule>
    <cfRule type="expression" dxfId="1145" priority="14">
      <formula>B138="Blocked"</formula>
    </cfRule>
    <cfRule type="expression" dxfId="1144" priority="15">
      <formula>B138="Not Started"</formula>
    </cfRule>
  </conditionalFormatting>
  <conditionalFormatting sqref="B161:B168">
    <cfRule type="expression" dxfId="1143" priority="82">
      <formula>B161="Yes"</formula>
    </cfRule>
    <cfRule type="expression" dxfId="1142" priority="83">
      <formula>B161="N/A"</formula>
    </cfRule>
    <cfRule type="expression" dxfId="1141" priority="84">
      <formula>B161="No"</formula>
    </cfRule>
  </conditionalFormatting>
  <conditionalFormatting sqref="B178:H178">
    <cfRule type="expression" dxfId="1140" priority="85">
      <formula>COUNTIF($B$6:$B$13,"No")=0</formula>
    </cfRule>
    <cfRule type="expression" dxfId="1139" priority="86">
      <formula>COUNTIF($B$6:$B$13,"No")&gt;0</formula>
    </cfRule>
  </conditionalFormatting>
  <conditionalFormatting sqref="C105:D105">
    <cfRule type="dataBar" priority="37">
      <dataBar>
        <cfvo type="num" val="0"/>
        <cfvo type="num" val="1"/>
        <color rgb="FF5B9BD5"/>
      </dataBar>
    </cfRule>
  </conditionalFormatting>
  <conditionalFormatting sqref="C109:D116">
    <cfRule type="expression" dxfId="1138" priority="31">
      <formula>C109="Yes"</formula>
    </cfRule>
    <cfRule type="expression" dxfId="1137" priority="32">
      <formula>C109="No"</formula>
    </cfRule>
    <cfRule type="expression" dxfId="1136" priority="33">
      <formula>C109="N/A"</formula>
    </cfRule>
  </conditionalFormatting>
  <conditionalFormatting sqref="C117:D117">
    <cfRule type="dataBar" priority="38">
      <dataBar>
        <cfvo type="num" val="0"/>
        <cfvo type="num" val="1"/>
        <color rgb="FF5B9BD5"/>
      </dataBar>
    </cfRule>
  </conditionalFormatting>
  <conditionalFormatting sqref="C126:D126">
    <cfRule type="dataBar" priority="39">
      <dataBar>
        <cfvo type="num" val="0"/>
        <cfvo type="num" val="1"/>
        <color rgb="FF5B9BD5"/>
      </dataBar>
    </cfRule>
  </conditionalFormatting>
  <conditionalFormatting sqref="C138:D143">
    <cfRule type="expression" dxfId="1135" priority="16">
      <formula>C138="Yes"</formula>
    </cfRule>
    <cfRule type="expression" dxfId="1134" priority="17">
      <formula>C138="No"</formula>
    </cfRule>
    <cfRule type="expression" dxfId="1133" priority="18">
      <formula>C138="N/A"</formula>
    </cfRule>
  </conditionalFormatting>
  <conditionalFormatting sqref="C144:D144">
    <cfRule type="dataBar" priority="20">
      <dataBar>
        <cfvo type="num" val="0"/>
        <cfvo type="num" val="1"/>
        <color rgb="FF5B9BD5"/>
      </dataBar>
    </cfRule>
  </conditionalFormatting>
  <conditionalFormatting sqref="E5 G5 I5">
    <cfRule type="expression" dxfId="1132" priority="87">
      <formula>E5="Pass"</formula>
    </cfRule>
    <cfRule type="expression" dxfId="1131" priority="88">
      <formula>E5="Verify"</formula>
    </cfRule>
    <cfRule type="expression" dxfId="1130" priority="89">
      <formula>E5="Fail"</formula>
    </cfRule>
    <cfRule type="expression" dxfId="1129" priority="90">
      <formula>E5="Not Started"</formula>
    </cfRule>
  </conditionalFormatting>
  <conditionalFormatting sqref="F3">
    <cfRule type="expression" dxfId="1128" priority="91">
      <formula>F3="Yes"</formula>
    </cfRule>
    <cfRule type="expression" dxfId="1127" priority="92">
      <formula>F3="No"</formula>
    </cfRule>
  </conditionalFormatting>
  <conditionalFormatting sqref="F121:F125">
    <cfRule type="expression" dxfId="1126" priority="34">
      <formula>F121="Pass"</formula>
    </cfRule>
    <cfRule type="expression" dxfId="1125" priority="35">
      <formula>F121="Fail"</formula>
    </cfRule>
    <cfRule type="expression" dxfId="1124" priority="36">
      <formula>F121="Pending"</formula>
    </cfRule>
  </conditionalFormatting>
  <conditionalFormatting sqref="F130:F133">
    <cfRule type="dataBar" priority="19">
      <dataBar>
        <cfvo type="num" val="0"/>
        <cfvo type="num" val="1"/>
        <color rgb="FF5B9BD5"/>
      </dataBar>
    </cfRule>
  </conditionalFormatting>
  <dataValidations count="5">
    <dataValidation type="list" sqref="B5:B6 D5 F5 H5 H10:H18 H146:I147 H92:I96 I16:I18 J5 H149:I154 D63:D70 H19:I90" xr:uid="{00000000-0002-0000-2900-000000000000}">
      <formula1>"Not Started,Verify,Pass,Fail,N/A,Open,Closed,Partial / Yellow"</formula1>
      <formula2>0</formula2>
    </dataValidation>
    <dataValidation type="list" allowBlank="1" sqref="F121:F125" xr:uid="{45425BBB-8A2D-4CC0-9272-D9BA3BFBCA73}">
      <formula1>"Pending,Pass,Fail,N/A"</formula1>
    </dataValidation>
    <dataValidation type="list" allowBlank="1" sqref="C109:D116 C138:D143" xr:uid="{CE5F85D8-4016-4BC7-AE54-DA4E663BFA71}">
      <formula1>"Yes,No,N/A"</formula1>
    </dataValidation>
    <dataValidation type="list" allowBlank="1" sqref="B130:B133 B121:B125" xr:uid="{85B4E92F-6A88-4AEC-BCB1-3B484C5BD0FC}">
      <formula1>"Not Started,In Progress,Complete,At Risk,Blocked"</formula1>
    </dataValidation>
    <dataValidation type="list" sqref="B161:B168" xr:uid="{3FC3F033-BAE8-4605-881C-5FCA1F1F43CA}">
      <formula1>"No,Yes,N/A"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2E204DE2-B9D0-4F3C-9878-BEAA25C4B34F}">
          <x14:formula1>
            <xm:f>Lookup_Lists!$L$37:$L$39</xm:f>
          </x14:formula1>
          <xm:sqref>C121:E125 J2</xm:sqref>
        </x14:dataValidation>
        <x14:dataValidation type="list" allowBlank="1" showInputMessage="1" showErrorMessage="1" xr:uid="{B96028B6-F2E8-4AB1-AC67-3A2427339341}">
          <x14:formula1>
            <xm:f>Lookup_Lists!$A$36:$A$42</xm:f>
          </x14:formula1>
          <xm:sqref>B100:B104 B109:B116 B138:B143</xm:sqref>
        </x14:dataValidation>
      </x14:dataValidations>
    </ext>
  </extLst>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AFDE3-FF37-40E0-9078-06FDD07B2B1A}">
  <dimension ref="A1:J230"/>
  <sheetViews>
    <sheetView workbookViewId="0">
      <selection activeCell="D4" sqref="D4"/>
    </sheetView>
  </sheetViews>
  <sheetFormatPr defaultColWidth="8.6640625" defaultRowHeight="14.4"/>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6640625" style="8" customWidth="1"/>
    <col min="13" max="16384" width="8.6640625" style="8"/>
  </cols>
  <sheetData>
    <row r="1" spans="1:10">
      <c r="A1" s="851" t="s">
        <v>1679</v>
      </c>
      <c r="B1" s="839"/>
      <c r="C1" s="839"/>
      <c r="D1" s="839"/>
      <c r="E1" s="839"/>
      <c r="F1" s="839"/>
      <c r="G1" s="839"/>
      <c r="H1" s="839"/>
      <c r="I1" s="839"/>
      <c r="J1" s="839"/>
    </row>
    <row r="2" spans="1:10" s="227" customFormat="1">
      <c r="A2" s="223" t="s">
        <v>142</v>
      </c>
      <c r="B2" s="224" t="s">
        <v>1680</v>
      </c>
      <c r="C2" s="223" t="s">
        <v>902</v>
      </c>
      <c r="D2" s="224" t="s">
        <v>1094</v>
      </c>
      <c r="E2" s="223" t="s">
        <v>151</v>
      </c>
      <c r="F2" s="224" t="s">
        <v>1095</v>
      </c>
      <c r="G2" s="223" t="s">
        <v>174</v>
      </c>
      <c r="H2" s="225">
        <v>0.5</v>
      </c>
      <c r="I2" s="223" t="s">
        <v>154</v>
      </c>
      <c r="J2" s="226" t="s">
        <v>1096</v>
      </c>
    </row>
    <row r="3" spans="1:10" s="231" customFormat="1" ht="27.6">
      <c r="A3" s="223" t="s">
        <v>903</v>
      </c>
      <c r="B3" s="228">
        <v>46198.588005347221</v>
      </c>
      <c r="C3" s="229" t="s">
        <v>904</v>
      </c>
      <c r="D3" s="230" t="s">
        <v>721</v>
      </c>
      <c r="E3" s="223" t="s">
        <v>905</v>
      </c>
      <c r="F3" s="230" t="s">
        <v>1681</v>
      </c>
      <c r="G3" s="223" t="s">
        <v>907</v>
      </c>
      <c r="H3" s="230" t="s">
        <v>908</v>
      </c>
      <c r="I3" s="223" t="s">
        <v>551</v>
      </c>
      <c r="J3" s="230" t="s">
        <v>1682</v>
      </c>
    </row>
    <row r="4" spans="1:10" s="231" customFormat="1" ht="124.2">
      <c r="A4" s="223" t="s">
        <v>161</v>
      </c>
      <c r="B4" s="230">
        <v>0</v>
      </c>
      <c r="C4" s="223" t="s">
        <v>199</v>
      </c>
      <c r="D4" s="230">
        <v>0</v>
      </c>
      <c r="E4" s="223" t="s">
        <v>179</v>
      </c>
      <c r="F4" s="230">
        <v>0</v>
      </c>
      <c r="G4" s="223" t="s">
        <v>870</v>
      </c>
      <c r="H4" s="232" t="s">
        <v>1683</v>
      </c>
      <c r="I4" s="233"/>
      <c r="J4" s="233"/>
    </row>
    <row r="5" spans="1:10" s="231" customFormat="1">
      <c r="A5" s="234" t="s">
        <v>911</v>
      </c>
      <c r="B5" s="225" t="s">
        <v>677</v>
      </c>
      <c r="C5" s="235" t="s">
        <v>912</v>
      </c>
      <c r="D5" s="225" t="s">
        <v>677</v>
      </c>
      <c r="E5" s="236" t="s">
        <v>913</v>
      </c>
      <c r="F5" s="225" t="s">
        <v>677</v>
      </c>
      <c r="G5" s="237" t="s">
        <v>914</v>
      </c>
      <c r="H5" s="225" t="s">
        <v>677</v>
      </c>
      <c r="I5" s="237" t="s">
        <v>915</v>
      </c>
      <c r="J5" s="225" t="s">
        <v>677</v>
      </c>
    </row>
    <row r="6" spans="1:10" s="231" customFormat="1">
      <c r="A6" s="238" t="s">
        <v>916</v>
      </c>
      <c r="B6" s="225" t="s">
        <v>677</v>
      </c>
      <c r="C6" s="239" t="s">
        <v>869</v>
      </c>
      <c r="D6" s="854" t="s">
        <v>1684</v>
      </c>
      <c r="E6" s="853"/>
      <c r="F6" s="853"/>
      <c r="G6" s="853"/>
      <c r="H6" s="853"/>
      <c r="I6" s="853"/>
      <c r="J6" s="853"/>
    </row>
    <row r="7" spans="1:10">
      <c r="A7" s="13"/>
      <c r="B7" s="13"/>
      <c r="C7" s="13"/>
      <c r="D7" s="13"/>
      <c r="E7" s="13"/>
      <c r="F7" s="13"/>
      <c r="G7" s="13"/>
      <c r="H7" s="13"/>
      <c r="I7" s="13"/>
      <c r="J7" s="13"/>
    </row>
    <row r="8" spans="1:10">
      <c r="A8" s="842" t="s">
        <v>918</v>
      </c>
      <c r="B8" s="839"/>
      <c r="C8" s="839"/>
      <c r="D8" s="85"/>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69">
      <c r="A10" s="13" t="s">
        <v>1680</v>
      </c>
      <c r="B10" s="13" t="s">
        <v>1685</v>
      </c>
      <c r="C10" s="13" t="s">
        <v>923</v>
      </c>
      <c r="D10" s="13" t="s">
        <v>1686</v>
      </c>
      <c r="E10" s="13" t="s">
        <v>356</v>
      </c>
      <c r="F10" s="13">
        <v>1</v>
      </c>
      <c r="G10" s="13">
        <v>1</v>
      </c>
      <c r="H10" s="13" t="s">
        <v>677</v>
      </c>
      <c r="I10" s="13" t="s">
        <v>1687</v>
      </c>
      <c r="J10" s="13" t="s">
        <v>1688</v>
      </c>
    </row>
    <row r="11" spans="1:10" ht="82.8">
      <c r="A11" s="13" t="s">
        <v>1680</v>
      </c>
      <c r="B11" s="13" t="s">
        <v>404</v>
      </c>
      <c r="C11" s="13" t="s">
        <v>933</v>
      </c>
      <c r="D11" s="13" t="s">
        <v>1689</v>
      </c>
      <c r="E11" s="13" t="s">
        <v>356</v>
      </c>
      <c r="F11" s="13">
        <v>1</v>
      </c>
      <c r="G11" s="13">
        <v>1</v>
      </c>
      <c r="H11" s="13" t="s">
        <v>677</v>
      </c>
      <c r="I11" s="13" t="s">
        <v>1690</v>
      </c>
      <c r="J11" s="13" t="s">
        <v>1691</v>
      </c>
    </row>
    <row r="12" spans="1:10">
      <c r="A12" s="13"/>
      <c r="B12" s="13"/>
      <c r="C12" s="13"/>
      <c r="D12" s="13"/>
      <c r="E12" s="13"/>
      <c r="F12" s="13"/>
      <c r="G12" s="13"/>
      <c r="H12" s="13"/>
      <c r="I12" s="13"/>
      <c r="J12" s="13"/>
    </row>
    <row r="13" spans="1:10">
      <c r="A13" s="842" t="s">
        <v>936</v>
      </c>
      <c r="B13" s="839"/>
      <c r="C13" s="839"/>
      <c r="D13" s="85"/>
      <c r="E13" s="85"/>
      <c r="F13" s="85"/>
      <c r="G13" s="85"/>
      <c r="H13" s="85"/>
      <c r="I13" s="85"/>
      <c r="J13" s="85"/>
    </row>
    <row r="14" spans="1:10">
      <c r="A14" s="50" t="s">
        <v>275</v>
      </c>
      <c r="B14" s="50" t="s">
        <v>937</v>
      </c>
      <c r="C14" s="50" t="s">
        <v>938</v>
      </c>
      <c r="D14" s="50" t="s">
        <v>939</v>
      </c>
      <c r="E14" s="50" t="s">
        <v>940</v>
      </c>
      <c r="F14" s="50" t="s">
        <v>941</v>
      </c>
      <c r="G14" s="50" t="s">
        <v>942</v>
      </c>
      <c r="H14" s="50" t="s">
        <v>943</v>
      </c>
      <c r="I14" s="50" t="s">
        <v>899</v>
      </c>
      <c r="J14" s="50" t="s">
        <v>944</v>
      </c>
    </row>
    <row r="15" spans="1:10" ht="55.2">
      <c r="A15" s="13" t="s">
        <v>1685</v>
      </c>
      <c r="B15" s="13" t="s">
        <v>677</v>
      </c>
      <c r="C15" s="13" t="s">
        <v>677</v>
      </c>
      <c r="D15" s="13" t="s">
        <v>677</v>
      </c>
      <c r="E15" s="13" t="s">
        <v>677</v>
      </c>
      <c r="F15" s="13" t="s">
        <v>677</v>
      </c>
      <c r="G15" s="13" t="s">
        <v>677</v>
      </c>
      <c r="H15" s="13" t="s">
        <v>677</v>
      </c>
      <c r="I15" s="13" t="s">
        <v>677</v>
      </c>
      <c r="J15" s="13" t="s">
        <v>1692</v>
      </c>
    </row>
    <row r="16" spans="1:10" ht="69">
      <c r="A16" s="13" t="s">
        <v>404</v>
      </c>
      <c r="B16" s="13" t="s">
        <v>677</v>
      </c>
      <c r="C16" s="13" t="s">
        <v>677</v>
      </c>
      <c r="D16" s="13" t="s">
        <v>677</v>
      </c>
      <c r="E16" s="13" t="s">
        <v>677</v>
      </c>
      <c r="F16" s="13" t="s">
        <v>677</v>
      </c>
      <c r="G16" s="13" t="s">
        <v>677</v>
      </c>
      <c r="H16" s="13" t="s">
        <v>677</v>
      </c>
      <c r="I16" s="13" t="s">
        <v>677</v>
      </c>
      <c r="J16" s="13" t="s">
        <v>1693</v>
      </c>
    </row>
    <row r="17" spans="1:10">
      <c r="A17" s="13"/>
      <c r="B17" s="13"/>
      <c r="C17" s="13"/>
      <c r="D17" s="13"/>
      <c r="E17" s="13"/>
      <c r="F17" s="13"/>
      <c r="G17" s="13"/>
      <c r="H17" s="13"/>
      <c r="I17" s="13"/>
      <c r="J17" s="13"/>
    </row>
    <row r="18" spans="1:10">
      <c r="A18" s="842" t="s">
        <v>951</v>
      </c>
      <c r="B18" s="839"/>
      <c r="C18" s="839"/>
      <c r="D18" s="85"/>
      <c r="E18" s="85"/>
      <c r="F18" s="85"/>
      <c r="G18" s="85"/>
      <c r="H18" s="85"/>
      <c r="I18" s="85"/>
      <c r="J18" s="85"/>
    </row>
    <row r="19" spans="1:10">
      <c r="A19" s="50" t="s">
        <v>275</v>
      </c>
      <c r="B19" s="50" t="s">
        <v>952</v>
      </c>
      <c r="C19" s="50" t="s">
        <v>953</v>
      </c>
      <c r="D19" s="50" t="s">
        <v>954</v>
      </c>
      <c r="E19" s="50" t="s">
        <v>955</v>
      </c>
      <c r="F19" s="50" t="s">
        <v>956</v>
      </c>
      <c r="G19" s="50" t="s">
        <v>957</v>
      </c>
      <c r="H19" s="50" t="s">
        <v>958</v>
      </c>
      <c r="I19" s="50" t="s">
        <v>899</v>
      </c>
      <c r="J19" s="50" t="s">
        <v>959</v>
      </c>
    </row>
    <row r="20" spans="1:10" ht="55.2">
      <c r="A20" s="13" t="s">
        <v>1685</v>
      </c>
      <c r="B20" s="13" t="s">
        <v>677</v>
      </c>
      <c r="C20" s="13" t="s">
        <v>677</v>
      </c>
      <c r="D20" s="13" t="s">
        <v>677</v>
      </c>
      <c r="E20" s="13" t="s">
        <v>677</v>
      </c>
      <c r="F20" s="13" t="s">
        <v>677</v>
      </c>
      <c r="G20" s="13" t="s">
        <v>677</v>
      </c>
      <c r="H20" s="13" t="s">
        <v>677</v>
      </c>
      <c r="I20" s="13" t="s">
        <v>677</v>
      </c>
      <c r="J20" s="13" t="s">
        <v>1694</v>
      </c>
    </row>
    <row r="21" spans="1:10" ht="55.2">
      <c r="A21" s="13" t="s">
        <v>404</v>
      </c>
      <c r="B21" s="13" t="s">
        <v>677</v>
      </c>
      <c r="C21" s="13" t="s">
        <v>677</v>
      </c>
      <c r="D21" s="13" t="s">
        <v>677</v>
      </c>
      <c r="E21" s="13" t="s">
        <v>677</v>
      </c>
      <c r="F21" s="13" t="s">
        <v>677</v>
      </c>
      <c r="G21" s="13" t="s">
        <v>677</v>
      </c>
      <c r="H21" s="13" t="s">
        <v>677</v>
      </c>
      <c r="I21" s="13" t="s">
        <v>677</v>
      </c>
      <c r="J21" s="13" t="s">
        <v>1695</v>
      </c>
    </row>
    <row r="22" spans="1:10">
      <c r="A22" s="13"/>
      <c r="B22" s="13"/>
      <c r="C22" s="13"/>
      <c r="D22" s="13"/>
      <c r="E22" s="13"/>
      <c r="F22" s="13"/>
      <c r="G22" s="13"/>
      <c r="H22" s="13"/>
      <c r="I22" s="13"/>
      <c r="J22" s="13"/>
    </row>
    <row r="23" spans="1:10">
      <c r="A23" s="842" t="s">
        <v>964</v>
      </c>
      <c r="B23" s="839"/>
      <c r="C23" s="839"/>
      <c r="D23" s="85"/>
      <c r="E23" s="85"/>
      <c r="F23" s="85"/>
      <c r="G23" s="85"/>
      <c r="H23" s="85"/>
      <c r="I23" s="85"/>
      <c r="J23" s="85"/>
    </row>
    <row r="24" spans="1:10">
      <c r="A24" s="50" t="s">
        <v>275</v>
      </c>
      <c r="B24" s="50" t="s">
        <v>965</v>
      </c>
      <c r="C24" s="50" t="s">
        <v>966</v>
      </c>
      <c r="D24" s="50" t="s">
        <v>967</v>
      </c>
      <c r="E24" s="50" t="s">
        <v>968</v>
      </c>
      <c r="F24" s="50" t="s">
        <v>969</v>
      </c>
      <c r="G24" s="50" t="s">
        <v>970</v>
      </c>
      <c r="H24" s="50" t="s">
        <v>971</v>
      </c>
      <c r="I24" s="50" t="s">
        <v>899</v>
      </c>
      <c r="J24" s="50" t="s">
        <v>959</v>
      </c>
    </row>
    <row r="25" spans="1:10" ht="69">
      <c r="A25" s="13" t="s">
        <v>1685</v>
      </c>
      <c r="B25" s="13" t="s">
        <v>1696</v>
      </c>
      <c r="C25" s="13" t="s">
        <v>677</v>
      </c>
      <c r="D25" s="13" t="s">
        <v>677</v>
      </c>
      <c r="E25" s="13" t="s">
        <v>677</v>
      </c>
      <c r="F25" s="13" t="s">
        <v>677</v>
      </c>
      <c r="G25" s="13" t="s">
        <v>677</v>
      </c>
      <c r="H25" s="13" t="s">
        <v>677</v>
      </c>
      <c r="I25" s="13" t="s">
        <v>677</v>
      </c>
      <c r="J25" s="13" t="s">
        <v>1697</v>
      </c>
    </row>
    <row r="26" spans="1:10" ht="69">
      <c r="A26" s="13" t="s">
        <v>404</v>
      </c>
      <c r="B26" s="13" t="s">
        <v>1589</v>
      </c>
      <c r="C26" s="13" t="s">
        <v>677</v>
      </c>
      <c r="D26" s="13" t="s">
        <v>677</v>
      </c>
      <c r="E26" s="13" t="s">
        <v>677</v>
      </c>
      <c r="F26" s="13" t="s">
        <v>677</v>
      </c>
      <c r="G26" s="13" t="s">
        <v>677</v>
      </c>
      <c r="H26" s="13" t="s">
        <v>677</v>
      </c>
      <c r="I26" s="13" t="s">
        <v>677</v>
      </c>
      <c r="J26" s="13" t="s">
        <v>1698</v>
      </c>
    </row>
    <row r="27" spans="1:10">
      <c r="A27" s="13"/>
      <c r="B27" s="13"/>
      <c r="C27" s="13"/>
      <c r="D27" s="13"/>
      <c r="E27" s="13"/>
      <c r="F27" s="13"/>
      <c r="G27" s="13"/>
      <c r="H27" s="13"/>
      <c r="I27" s="13"/>
      <c r="J27" s="13"/>
    </row>
    <row r="28" spans="1:10">
      <c r="A28" s="842" t="s">
        <v>977</v>
      </c>
      <c r="B28" s="839"/>
      <c r="C28" s="839"/>
      <c r="D28" s="85"/>
      <c r="E28" s="85"/>
      <c r="F28" s="85"/>
      <c r="G28" s="85"/>
      <c r="H28" s="85"/>
      <c r="I28" s="85"/>
      <c r="J28" s="85"/>
    </row>
    <row r="29" spans="1:10">
      <c r="A29" s="50" t="s">
        <v>275</v>
      </c>
      <c r="B29" s="50" t="s">
        <v>978</v>
      </c>
      <c r="C29" s="50" t="s">
        <v>979</v>
      </c>
      <c r="D29" s="50" t="s">
        <v>980</v>
      </c>
      <c r="E29" s="50" t="s">
        <v>981</v>
      </c>
      <c r="F29" s="50" t="s">
        <v>982</v>
      </c>
      <c r="G29" s="50" t="s">
        <v>983</v>
      </c>
      <c r="H29" s="50" t="s">
        <v>984</v>
      </c>
      <c r="I29" s="50" t="s">
        <v>899</v>
      </c>
      <c r="J29" s="50" t="s">
        <v>11</v>
      </c>
    </row>
    <row r="30" spans="1:10" ht="69">
      <c r="A30" s="13" t="s">
        <v>1685</v>
      </c>
      <c r="B30" s="13" t="s">
        <v>677</v>
      </c>
      <c r="C30" s="13" t="s">
        <v>1592</v>
      </c>
      <c r="D30" s="13" t="s">
        <v>677</v>
      </c>
      <c r="E30" s="13" t="s">
        <v>677</v>
      </c>
      <c r="F30" s="13" t="s">
        <v>1699</v>
      </c>
      <c r="G30" s="13" t="s">
        <v>677</v>
      </c>
      <c r="H30" s="13" t="s">
        <v>677</v>
      </c>
      <c r="I30" s="13" t="s">
        <v>677</v>
      </c>
      <c r="J30" s="13" t="s">
        <v>1700</v>
      </c>
    </row>
    <row r="31" spans="1:10" ht="69">
      <c r="A31" s="13" t="s">
        <v>404</v>
      </c>
      <c r="B31" s="13" t="s">
        <v>677</v>
      </c>
      <c r="C31" s="13" t="s">
        <v>1592</v>
      </c>
      <c r="D31" s="13" t="s">
        <v>677</v>
      </c>
      <c r="E31" s="13" t="s">
        <v>677</v>
      </c>
      <c r="F31" s="13" t="s">
        <v>1701</v>
      </c>
      <c r="G31" s="13" t="s">
        <v>677</v>
      </c>
      <c r="H31" s="13" t="s">
        <v>677</v>
      </c>
      <c r="I31" s="13" t="s">
        <v>677</v>
      </c>
      <c r="J31" s="13" t="s">
        <v>1702</v>
      </c>
    </row>
    <row r="32" spans="1:10">
      <c r="A32" s="13"/>
      <c r="B32" s="13"/>
      <c r="C32" s="13"/>
      <c r="D32" s="13"/>
      <c r="E32" s="13"/>
      <c r="F32" s="13"/>
      <c r="G32" s="13"/>
      <c r="H32" s="13"/>
      <c r="I32" s="13"/>
      <c r="J32" s="13"/>
    </row>
    <row r="33" spans="1:10">
      <c r="A33" s="842" t="s">
        <v>994</v>
      </c>
      <c r="B33" s="839"/>
      <c r="C33" s="839"/>
      <c r="D33" s="85"/>
      <c r="E33" s="85"/>
      <c r="F33" s="85"/>
      <c r="G33" s="85"/>
      <c r="H33" s="85"/>
      <c r="I33" s="85"/>
      <c r="J33" s="85"/>
    </row>
    <row r="34" spans="1:10">
      <c r="A34" s="50" t="s">
        <v>275</v>
      </c>
      <c r="B34" s="50" t="s">
        <v>995</v>
      </c>
      <c r="C34" s="50" t="s">
        <v>996</v>
      </c>
      <c r="D34" s="50" t="s">
        <v>997</v>
      </c>
      <c r="E34" s="50" t="s">
        <v>998</v>
      </c>
      <c r="F34" s="50" t="s">
        <v>999</v>
      </c>
      <c r="G34" s="50" t="s">
        <v>1000</v>
      </c>
      <c r="H34" s="50" t="s">
        <v>1001</v>
      </c>
      <c r="I34" s="50" t="s">
        <v>899</v>
      </c>
      <c r="J34" s="50" t="s">
        <v>11</v>
      </c>
    </row>
    <row r="35" spans="1:10" ht="69">
      <c r="A35" s="13" t="s">
        <v>1685</v>
      </c>
      <c r="B35" s="13" t="s">
        <v>677</v>
      </c>
      <c r="C35" s="13" t="s">
        <v>677</v>
      </c>
      <c r="D35" s="13" t="s">
        <v>677</v>
      </c>
      <c r="E35" s="13" t="s">
        <v>677</v>
      </c>
      <c r="F35" s="13" t="s">
        <v>677</v>
      </c>
      <c r="G35" s="13" t="s">
        <v>677</v>
      </c>
      <c r="H35" s="13" t="s">
        <v>677</v>
      </c>
      <c r="I35" s="13" t="s">
        <v>677</v>
      </c>
      <c r="J35" s="13" t="s">
        <v>1703</v>
      </c>
    </row>
    <row r="36" spans="1:10" ht="69">
      <c r="A36" s="13" t="s">
        <v>404</v>
      </c>
      <c r="B36" s="13" t="s">
        <v>677</v>
      </c>
      <c r="C36" s="13" t="s">
        <v>677</v>
      </c>
      <c r="D36" s="13" t="s">
        <v>677</v>
      </c>
      <c r="E36" s="13" t="s">
        <v>677</v>
      </c>
      <c r="F36" s="13" t="s">
        <v>677</v>
      </c>
      <c r="G36" s="13" t="s">
        <v>677</v>
      </c>
      <c r="H36" s="13" t="s">
        <v>677</v>
      </c>
      <c r="I36" s="13" t="s">
        <v>677</v>
      </c>
      <c r="J36" s="13" t="s">
        <v>1704</v>
      </c>
    </row>
    <row r="37" spans="1:10">
      <c r="A37" s="13"/>
      <c r="B37" s="13"/>
      <c r="C37" s="13"/>
      <c r="D37" s="13"/>
      <c r="E37" s="13"/>
      <c r="F37" s="13"/>
      <c r="G37" s="13"/>
      <c r="H37" s="13"/>
      <c r="I37" s="13"/>
      <c r="J37" s="13"/>
    </row>
    <row r="38" spans="1:10">
      <c r="A38" s="842" t="s">
        <v>1007</v>
      </c>
      <c r="B38" s="839"/>
      <c r="C38" s="839"/>
      <c r="D38" s="85"/>
      <c r="E38" s="85"/>
      <c r="F38" s="85"/>
      <c r="G38" s="85"/>
      <c r="H38" s="85"/>
      <c r="I38" s="85"/>
      <c r="J38" s="85"/>
    </row>
    <row r="39" spans="1:10">
      <c r="A39" s="50" t="s">
        <v>275</v>
      </c>
      <c r="B39" s="50" t="s">
        <v>1008</v>
      </c>
      <c r="C39" s="50" t="s">
        <v>1009</v>
      </c>
      <c r="D39" s="50" t="s">
        <v>1010</v>
      </c>
      <c r="E39" s="50" t="s">
        <v>1011</v>
      </c>
      <c r="F39" s="50" t="s">
        <v>1012</v>
      </c>
      <c r="G39" s="50" t="s">
        <v>1013</v>
      </c>
      <c r="H39" s="50" t="s">
        <v>1014</v>
      </c>
      <c r="I39" s="50" t="s">
        <v>899</v>
      </c>
      <c r="J39" s="50" t="s">
        <v>11</v>
      </c>
    </row>
    <row r="40" spans="1:10" ht="27.6">
      <c r="A40" s="13" t="s">
        <v>1685</v>
      </c>
      <c r="B40" s="13" t="s">
        <v>677</v>
      </c>
      <c r="C40" s="13" t="s">
        <v>677</v>
      </c>
      <c r="D40" s="13" t="s">
        <v>677</v>
      </c>
      <c r="E40" s="13" t="s">
        <v>677</v>
      </c>
      <c r="F40" s="13" t="s">
        <v>677</v>
      </c>
      <c r="G40" s="13" t="s">
        <v>677</v>
      </c>
      <c r="H40" s="13" t="s">
        <v>677</v>
      </c>
      <c r="I40" s="13" t="s">
        <v>677</v>
      </c>
      <c r="J40" s="13" t="s">
        <v>1705</v>
      </c>
    </row>
    <row r="41" spans="1:10" ht="69">
      <c r="A41" s="13" t="s">
        <v>404</v>
      </c>
      <c r="B41" s="13" t="s">
        <v>677</v>
      </c>
      <c r="C41" s="13" t="s">
        <v>677</v>
      </c>
      <c r="D41" s="13" t="s">
        <v>677</v>
      </c>
      <c r="E41" s="13" t="s">
        <v>677</v>
      </c>
      <c r="F41" s="13" t="s">
        <v>677</v>
      </c>
      <c r="G41" s="13" t="s">
        <v>677</v>
      </c>
      <c r="H41" s="13" t="s">
        <v>677</v>
      </c>
      <c r="I41" s="13" t="s">
        <v>677</v>
      </c>
      <c r="J41" s="13" t="s">
        <v>1706</v>
      </c>
    </row>
    <row r="42" spans="1:10">
      <c r="A42" s="13"/>
      <c r="B42" s="13"/>
      <c r="C42" s="13"/>
      <c r="D42" s="13"/>
      <c r="E42" s="13"/>
      <c r="F42" s="13"/>
      <c r="G42" s="13"/>
      <c r="H42" s="13"/>
      <c r="I42" s="13"/>
      <c r="J42" s="13"/>
    </row>
    <row r="43" spans="1:10">
      <c r="A43" s="842" t="s">
        <v>1019</v>
      </c>
      <c r="B43" s="839"/>
      <c r="C43" s="839"/>
      <c r="D43" s="85"/>
      <c r="E43" s="85"/>
      <c r="F43" s="85"/>
      <c r="G43" s="85"/>
      <c r="H43" s="85"/>
      <c r="I43" s="85"/>
      <c r="J43" s="85"/>
    </row>
    <row r="44" spans="1:10">
      <c r="A44" s="50" t="s">
        <v>213</v>
      </c>
      <c r="B44" s="50" t="s">
        <v>275</v>
      </c>
      <c r="C44" s="50" t="s">
        <v>573</v>
      </c>
      <c r="D44" s="50" t="s">
        <v>215</v>
      </c>
      <c r="E44" s="50" t="s">
        <v>257</v>
      </c>
      <c r="F44" s="50" t="s">
        <v>572</v>
      </c>
      <c r="G44" s="50" t="s">
        <v>259</v>
      </c>
      <c r="H44" s="50" t="s">
        <v>216</v>
      </c>
      <c r="I44" s="50" t="s">
        <v>77</v>
      </c>
      <c r="J44" s="50" t="s">
        <v>11</v>
      </c>
    </row>
    <row r="45" spans="1:10" ht="55.2">
      <c r="A45" s="13" t="s">
        <v>1707</v>
      </c>
      <c r="B45" s="13" t="s">
        <v>575</v>
      </c>
      <c r="C45" s="13" t="s">
        <v>1708</v>
      </c>
      <c r="D45" s="13" t="s">
        <v>391</v>
      </c>
      <c r="E45" s="13" t="s">
        <v>488</v>
      </c>
      <c r="F45" s="13">
        <v>6</v>
      </c>
      <c r="G45" s="13" t="s">
        <v>1381</v>
      </c>
      <c r="H45" s="13" t="s">
        <v>1023</v>
      </c>
      <c r="I45" s="13" t="s">
        <v>502</v>
      </c>
      <c r="J45" s="13" t="s">
        <v>1709</v>
      </c>
    </row>
    <row r="46" spans="1:10" ht="69">
      <c r="A46" s="13" t="s">
        <v>1710</v>
      </c>
      <c r="B46" s="13" t="s">
        <v>1685</v>
      </c>
      <c r="C46" s="13" t="s">
        <v>1711</v>
      </c>
      <c r="D46" s="13" t="s">
        <v>391</v>
      </c>
      <c r="E46" s="13" t="s">
        <v>488</v>
      </c>
      <c r="F46" s="13">
        <v>6</v>
      </c>
      <c r="G46" s="13" t="s">
        <v>1712</v>
      </c>
      <c r="H46" s="13" t="s">
        <v>1713</v>
      </c>
      <c r="I46" s="13" t="s">
        <v>502</v>
      </c>
      <c r="J46" s="13" t="s">
        <v>1714</v>
      </c>
    </row>
    <row r="47" spans="1:10" ht="82.8">
      <c r="A47" s="13" t="s">
        <v>1715</v>
      </c>
      <c r="B47" s="13" t="s">
        <v>404</v>
      </c>
      <c r="C47" s="13" t="s">
        <v>1716</v>
      </c>
      <c r="D47" s="13" t="s">
        <v>391</v>
      </c>
      <c r="E47" s="13" t="s">
        <v>488</v>
      </c>
      <c r="F47" s="13">
        <v>6</v>
      </c>
      <c r="G47" s="13" t="s">
        <v>1717</v>
      </c>
      <c r="H47" s="13" t="s">
        <v>1617</v>
      </c>
      <c r="I47" s="13" t="s">
        <v>502</v>
      </c>
      <c r="J47" s="13" t="s">
        <v>1718</v>
      </c>
    </row>
    <row r="48" spans="1:10" ht="96.6">
      <c r="A48" s="13" t="s">
        <v>1719</v>
      </c>
      <c r="B48" s="13" t="s">
        <v>1720</v>
      </c>
      <c r="C48" s="13" t="s">
        <v>1721</v>
      </c>
      <c r="D48" s="13" t="s">
        <v>492</v>
      </c>
      <c r="E48" s="13" t="s">
        <v>488</v>
      </c>
      <c r="F48" s="13">
        <v>8</v>
      </c>
      <c r="G48" s="13" t="s">
        <v>1722</v>
      </c>
      <c r="H48" s="13" t="s">
        <v>592</v>
      </c>
      <c r="I48" s="13" t="s">
        <v>502</v>
      </c>
      <c r="J48" s="13" t="s">
        <v>1723</v>
      </c>
    </row>
    <row r="49" spans="1:10" ht="69">
      <c r="A49" s="13" t="s">
        <v>1724</v>
      </c>
      <c r="B49" s="13" t="s">
        <v>575</v>
      </c>
      <c r="C49" s="13" t="s">
        <v>1725</v>
      </c>
      <c r="D49" s="13" t="s">
        <v>391</v>
      </c>
      <c r="E49" s="13" t="s">
        <v>488</v>
      </c>
      <c r="F49" s="13">
        <v>6</v>
      </c>
      <c r="G49" s="13" t="s">
        <v>1726</v>
      </c>
      <c r="H49" s="13" t="s">
        <v>1032</v>
      </c>
      <c r="I49" s="13" t="s">
        <v>502</v>
      </c>
      <c r="J49" s="13" t="s">
        <v>1727</v>
      </c>
    </row>
    <row r="50" spans="1:10" ht="69">
      <c r="A50" s="13" t="s">
        <v>1728</v>
      </c>
      <c r="B50" s="13" t="s">
        <v>575</v>
      </c>
      <c r="C50" s="13" t="s">
        <v>1729</v>
      </c>
      <c r="D50" s="13" t="s">
        <v>492</v>
      </c>
      <c r="E50" s="13" t="s">
        <v>488</v>
      </c>
      <c r="F50" s="13">
        <v>8</v>
      </c>
      <c r="G50" s="13" t="s">
        <v>1730</v>
      </c>
      <c r="H50" s="13" t="s">
        <v>584</v>
      </c>
      <c r="I50" s="13" t="s">
        <v>502</v>
      </c>
      <c r="J50" s="13" t="s">
        <v>1731</v>
      </c>
    </row>
    <row r="51" spans="1:10" ht="82.8">
      <c r="A51" s="13" t="s">
        <v>1732</v>
      </c>
      <c r="B51" s="13" t="s">
        <v>575</v>
      </c>
      <c r="C51" s="13" t="s">
        <v>1733</v>
      </c>
      <c r="D51" s="13" t="s">
        <v>492</v>
      </c>
      <c r="E51" s="13" t="s">
        <v>488</v>
      </c>
      <c r="F51" s="13">
        <v>8</v>
      </c>
      <c r="G51" s="13" t="s">
        <v>1734</v>
      </c>
      <c r="H51" s="13" t="s">
        <v>1403</v>
      </c>
      <c r="I51" s="13" t="s">
        <v>502</v>
      </c>
      <c r="J51" s="13" t="s">
        <v>1627</v>
      </c>
    </row>
    <row r="52" spans="1:10" ht="55.2">
      <c r="A52" s="13" t="s">
        <v>1735</v>
      </c>
      <c r="B52" s="13" t="s">
        <v>575</v>
      </c>
      <c r="C52" s="13" t="s">
        <v>1047</v>
      </c>
      <c r="D52" s="13" t="s">
        <v>391</v>
      </c>
      <c r="E52" s="13" t="s">
        <v>488</v>
      </c>
      <c r="F52" s="13">
        <v>6</v>
      </c>
      <c r="G52" s="13" t="s">
        <v>1736</v>
      </c>
      <c r="H52" s="13" t="s">
        <v>1049</v>
      </c>
      <c r="I52" s="13" t="s">
        <v>502</v>
      </c>
      <c r="J52" s="13" t="s">
        <v>1737</v>
      </c>
    </row>
    <row r="53" spans="1:10">
      <c r="A53" s="13"/>
      <c r="B53" s="13"/>
      <c r="C53" s="13"/>
      <c r="D53" s="13"/>
      <c r="E53" s="13"/>
      <c r="F53" s="13"/>
      <c r="G53" s="13"/>
      <c r="H53" s="13"/>
      <c r="I53" s="13"/>
      <c r="J53" s="13"/>
    </row>
    <row r="54" spans="1:10">
      <c r="A54" s="842" t="s">
        <v>1051</v>
      </c>
      <c r="B54" s="839"/>
      <c r="C54" s="839"/>
      <c r="D54" s="85"/>
      <c r="E54" s="85"/>
      <c r="F54" s="85"/>
      <c r="G54" s="85"/>
      <c r="H54" s="85"/>
      <c r="I54" s="85"/>
      <c r="J54" s="85"/>
    </row>
    <row r="55" spans="1:10">
      <c r="A55" s="50" t="s">
        <v>221</v>
      </c>
      <c r="B55" s="50" t="s">
        <v>222</v>
      </c>
      <c r="C55" s="50" t="s">
        <v>265</v>
      </c>
      <c r="D55" s="50" t="s">
        <v>77</v>
      </c>
      <c r="E55" s="50" t="s">
        <v>878</v>
      </c>
      <c r="F55" s="50" t="s">
        <v>879</v>
      </c>
      <c r="G55" s="50" t="s">
        <v>880</v>
      </c>
      <c r="H55" s="50" t="s">
        <v>494</v>
      </c>
      <c r="I55" s="50" t="s">
        <v>881</v>
      </c>
      <c r="J55" s="50" t="s">
        <v>11</v>
      </c>
    </row>
    <row r="56" spans="1:10" ht="55.2">
      <c r="A56" s="13" t="s">
        <v>1738</v>
      </c>
      <c r="B56" s="13" t="s">
        <v>1739</v>
      </c>
      <c r="C56" s="13" t="s">
        <v>579</v>
      </c>
      <c r="D56" s="13" t="s">
        <v>502</v>
      </c>
      <c r="E56" s="13"/>
      <c r="F56" s="13"/>
      <c r="G56" s="13" t="s">
        <v>580</v>
      </c>
      <c r="H56" s="13"/>
      <c r="I56" s="13"/>
      <c r="J56" s="13"/>
    </row>
    <row r="57" spans="1:10" ht="55.2">
      <c r="A57" s="13" t="s">
        <v>1740</v>
      </c>
      <c r="B57" s="13" t="s">
        <v>1741</v>
      </c>
      <c r="C57" s="13" t="s">
        <v>1742</v>
      </c>
      <c r="D57" s="13" t="s">
        <v>502</v>
      </c>
      <c r="E57" s="13"/>
      <c r="F57" s="13"/>
      <c r="G57" s="13" t="s">
        <v>1743</v>
      </c>
      <c r="H57" s="13"/>
      <c r="I57" s="13"/>
      <c r="J57" s="13"/>
    </row>
    <row r="58" spans="1:10" ht="55.2">
      <c r="A58" s="13" t="s">
        <v>1744</v>
      </c>
      <c r="B58" s="13" t="s">
        <v>1745</v>
      </c>
      <c r="C58" s="13" t="s">
        <v>601</v>
      </c>
      <c r="D58" s="13" t="s">
        <v>502</v>
      </c>
      <c r="E58" s="13"/>
      <c r="F58" s="13"/>
      <c r="G58" s="13" t="s">
        <v>1415</v>
      </c>
      <c r="H58" s="13"/>
      <c r="I58" s="13"/>
      <c r="J58" s="13"/>
    </row>
    <row r="59" spans="1:10" ht="82.8">
      <c r="A59" s="13" t="s">
        <v>1746</v>
      </c>
      <c r="B59" s="13" t="s">
        <v>1417</v>
      </c>
      <c r="C59" s="13" t="s">
        <v>609</v>
      </c>
      <c r="D59" s="13" t="s">
        <v>502</v>
      </c>
      <c r="E59" s="13"/>
      <c r="F59" s="13"/>
      <c r="G59" s="13" t="s">
        <v>1418</v>
      </c>
      <c r="H59" s="13"/>
      <c r="I59" s="13"/>
      <c r="J59" s="13"/>
    </row>
    <row r="60" spans="1:10" ht="69">
      <c r="A60" s="13" t="s">
        <v>1747</v>
      </c>
      <c r="B60" s="13" t="s">
        <v>1748</v>
      </c>
      <c r="C60" s="13" t="s">
        <v>587</v>
      </c>
      <c r="D60" s="13" t="s">
        <v>502</v>
      </c>
      <c r="E60" s="13"/>
      <c r="F60" s="13"/>
      <c r="G60" s="13" t="s">
        <v>1421</v>
      </c>
      <c r="H60" s="13"/>
      <c r="I60" s="13"/>
      <c r="J60" s="13"/>
    </row>
    <row r="61" spans="1:10" ht="82.8">
      <c r="A61" s="13" t="s">
        <v>1749</v>
      </c>
      <c r="B61" s="13" t="s">
        <v>1750</v>
      </c>
      <c r="C61" s="13" t="s">
        <v>616</v>
      </c>
      <c r="D61" s="13" t="s">
        <v>502</v>
      </c>
      <c r="E61" s="13"/>
      <c r="F61" s="13"/>
      <c r="G61" s="13" t="s">
        <v>617</v>
      </c>
      <c r="H61" s="13"/>
      <c r="I61" s="13"/>
      <c r="J61" s="13"/>
    </row>
    <row r="62" spans="1:10" ht="82.8">
      <c r="A62" s="13" t="s">
        <v>1751</v>
      </c>
      <c r="B62" s="13" t="s">
        <v>1647</v>
      </c>
      <c r="C62" s="13" t="s">
        <v>622</v>
      </c>
      <c r="D62" s="13" t="s">
        <v>502</v>
      </c>
      <c r="E62" s="13"/>
      <c r="F62" s="13"/>
      <c r="G62" s="13" t="s">
        <v>623</v>
      </c>
      <c r="H62" s="13"/>
      <c r="I62" s="13"/>
      <c r="J62" s="13"/>
    </row>
    <row r="63" spans="1:10" ht="82.8">
      <c r="A63" s="13" t="s">
        <v>1752</v>
      </c>
      <c r="B63" s="13" t="s">
        <v>1753</v>
      </c>
      <c r="C63" s="13" t="s">
        <v>1049</v>
      </c>
      <c r="D63" s="13" t="s">
        <v>502</v>
      </c>
      <c r="E63" s="13"/>
      <c r="F63" s="13"/>
      <c r="G63" s="13" t="s">
        <v>631</v>
      </c>
      <c r="H63" s="13"/>
      <c r="I63" s="13"/>
      <c r="J63" s="13"/>
    </row>
    <row r="64" spans="1:10">
      <c r="A64" s="13"/>
      <c r="B64" s="13"/>
      <c r="C64" s="13"/>
      <c r="D64" s="13"/>
      <c r="E64" s="13"/>
      <c r="F64" s="13"/>
      <c r="G64" s="13"/>
      <c r="H64" s="13"/>
      <c r="I64" s="13"/>
      <c r="J64" s="13"/>
    </row>
    <row r="65" spans="1:10">
      <c r="A65" s="842" t="s">
        <v>1052</v>
      </c>
      <c r="B65" s="839"/>
      <c r="C65" s="839"/>
      <c r="D65" s="85"/>
      <c r="E65" s="85"/>
      <c r="F65" s="85"/>
      <c r="G65" s="85"/>
      <c r="H65" s="85"/>
      <c r="I65" s="85"/>
      <c r="J65" s="85"/>
    </row>
    <row r="66" spans="1:10">
      <c r="A66" s="50" t="s">
        <v>291</v>
      </c>
      <c r="B66" s="50" t="s">
        <v>275</v>
      </c>
      <c r="C66" s="50" t="s">
        <v>493</v>
      </c>
      <c r="D66" s="50" t="s">
        <v>214</v>
      </c>
      <c r="E66" s="50" t="s">
        <v>263</v>
      </c>
      <c r="F66" s="50" t="s">
        <v>891</v>
      </c>
      <c r="G66" s="50" t="s">
        <v>892</v>
      </c>
      <c r="H66" s="50" t="s">
        <v>893</v>
      </c>
      <c r="I66" s="50" t="s">
        <v>77</v>
      </c>
      <c r="J66" s="50" t="s">
        <v>11</v>
      </c>
    </row>
    <row r="67" spans="1:10" ht="82.8">
      <c r="A67" s="13" t="s">
        <v>1754</v>
      </c>
      <c r="B67" s="13" t="s">
        <v>1685</v>
      </c>
      <c r="C67" s="13" t="s">
        <v>269</v>
      </c>
      <c r="D67" s="13" t="s">
        <v>1755</v>
      </c>
      <c r="E67" s="13"/>
      <c r="F67" s="13" t="s">
        <v>229</v>
      </c>
      <c r="G67" s="13"/>
      <c r="H67" s="13" t="s">
        <v>1756</v>
      </c>
      <c r="I67" s="13" t="s">
        <v>502</v>
      </c>
      <c r="J67" s="13"/>
    </row>
    <row r="68" spans="1:10" ht="82.8">
      <c r="A68" s="13" t="s">
        <v>1757</v>
      </c>
      <c r="B68" s="13" t="s">
        <v>404</v>
      </c>
      <c r="C68" s="13" t="s">
        <v>269</v>
      </c>
      <c r="D68" s="13" t="s">
        <v>1758</v>
      </c>
      <c r="E68" s="13"/>
      <c r="F68" s="13" t="s">
        <v>229</v>
      </c>
      <c r="G68" s="13"/>
      <c r="H68" s="13" t="s">
        <v>1759</v>
      </c>
      <c r="I68" s="13" t="s">
        <v>502</v>
      </c>
      <c r="J68" s="13"/>
    </row>
    <row r="69" spans="1:10" ht="69">
      <c r="A69" s="13" t="s">
        <v>1760</v>
      </c>
      <c r="B69" s="13" t="s">
        <v>575</v>
      </c>
      <c r="C69" s="13" t="s">
        <v>957</v>
      </c>
      <c r="D69" s="13" t="s">
        <v>1659</v>
      </c>
      <c r="E69" s="13"/>
      <c r="F69" s="13" t="s">
        <v>229</v>
      </c>
      <c r="G69" s="13"/>
      <c r="H69" s="13" t="s">
        <v>1732</v>
      </c>
      <c r="I69" s="13" t="s">
        <v>502</v>
      </c>
      <c r="J69" s="13"/>
    </row>
    <row r="70" spans="1:10" ht="96.6">
      <c r="A70" s="13" t="s">
        <v>1761</v>
      </c>
      <c r="B70" s="13" t="s">
        <v>1720</v>
      </c>
      <c r="C70" s="13" t="s">
        <v>148</v>
      </c>
      <c r="D70" s="13" t="s">
        <v>1762</v>
      </c>
      <c r="E70" s="13"/>
      <c r="F70" s="13" t="s">
        <v>229</v>
      </c>
      <c r="G70" s="13"/>
      <c r="H70" s="13" t="s">
        <v>1719</v>
      </c>
      <c r="I70" s="13" t="s">
        <v>502</v>
      </c>
      <c r="J70" s="13"/>
    </row>
    <row r="71" spans="1:10" ht="69">
      <c r="A71" s="13" t="s">
        <v>1763</v>
      </c>
      <c r="B71" s="13" t="s">
        <v>575</v>
      </c>
      <c r="C71" s="13" t="s">
        <v>153</v>
      </c>
      <c r="D71" s="13" t="s">
        <v>1764</v>
      </c>
      <c r="E71" s="13"/>
      <c r="F71" s="13" t="s">
        <v>229</v>
      </c>
      <c r="G71" s="13"/>
      <c r="H71" s="13" t="s">
        <v>1724</v>
      </c>
      <c r="I71" s="13" t="s">
        <v>502</v>
      </c>
      <c r="J71" s="13"/>
    </row>
    <row r="72" spans="1:10" ht="55.2">
      <c r="A72" s="13" t="s">
        <v>1765</v>
      </c>
      <c r="B72" s="13" t="s">
        <v>575</v>
      </c>
      <c r="C72" s="13" t="s">
        <v>155</v>
      </c>
      <c r="D72" s="13" t="s">
        <v>1766</v>
      </c>
      <c r="E72" s="13"/>
      <c r="F72" s="13" t="s">
        <v>229</v>
      </c>
      <c r="G72" s="13"/>
      <c r="H72" s="13" t="s">
        <v>1728</v>
      </c>
      <c r="I72" s="13" t="s">
        <v>502</v>
      </c>
      <c r="J72" s="13"/>
    </row>
    <row r="73" spans="1:10" ht="55.2">
      <c r="A73" s="13" t="s">
        <v>1767</v>
      </c>
      <c r="B73" s="13" t="s">
        <v>575</v>
      </c>
      <c r="C73" s="13" t="s">
        <v>556</v>
      </c>
      <c r="D73" s="13" t="s">
        <v>1768</v>
      </c>
      <c r="E73" s="13"/>
      <c r="F73" s="13" t="s">
        <v>229</v>
      </c>
      <c r="G73" s="13"/>
      <c r="H73" s="13" t="s">
        <v>1715</v>
      </c>
      <c r="I73" s="13" t="s">
        <v>502</v>
      </c>
      <c r="J73" s="13"/>
    </row>
    <row r="74" spans="1:10">
      <c r="A74" s="13"/>
      <c r="B74" s="13"/>
      <c r="C74" s="13"/>
      <c r="D74" s="13"/>
      <c r="E74" s="13"/>
      <c r="F74" s="13"/>
      <c r="G74" s="13"/>
      <c r="H74" s="13"/>
      <c r="I74" s="13"/>
      <c r="J74" s="13"/>
    </row>
    <row r="75" spans="1:10">
      <c r="A75" s="842" t="s">
        <v>1079</v>
      </c>
      <c r="B75" s="839"/>
      <c r="C75" s="839"/>
      <c r="D75" s="85"/>
      <c r="E75" s="85"/>
      <c r="F75" s="85"/>
      <c r="G75" s="85"/>
      <c r="H75" s="85"/>
      <c r="I75" s="85"/>
      <c r="J75" s="85"/>
    </row>
    <row r="76" spans="1:10">
      <c r="A76" s="50" t="s">
        <v>275</v>
      </c>
      <c r="B76" s="50" t="s">
        <v>895</v>
      </c>
      <c r="C76" s="50" t="s">
        <v>896</v>
      </c>
      <c r="D76" s="50" t="s">
        <v>148</v>
      </c>
      <c r="E76" s="50" t="s">
        <v>153</v>
      </c>
      <c r="F76" s="50" t="s">
        <v>155</v>
      </c>
      <c r="G76" s="50" t="s">
        <v>491</v>
      </c>
      <c r="H76" s="50" t="s">
        <v>897</v>
      </c>
      <c r="I76" s="50" t="s">
        <v>174</v>
      </c>
      <c r="J76" s="50" t="s">
        <v>11</v>
      </c>
    </row>
    <row r="77" spans="1:10">
      <c r="A77" s="13" t="s">
        <v>1685</v>
      </c>
      <c r="B77" s="128">
        <v>0.5</v>
      </c>
      <c r="C77" s="128">
        <v>0.5</v>
      </c>
      <c r="D77" s="128">
        <v>0.5</v>
      </c>
      <c r="E77" s="128">
        <v>0.5</v>
      </c>
      <c r="F77" s="128">
        <v>0.5</v>
      </c>
      <c r="G77" s="13" t="s">
        <v>677</v>
      </c>
      <c r="H77" s="128">
        <v>0.5</v>
      </c>
      <c r="I77" s="13" t="s">
        <v>1201</v>
      </c>
      <c r="J77" s="13" t="s">
        <v>1769</v>
      </c>
    </row>
    <row r="78" spans="1:10" ht="27.6">
      <c r="A78" s="13" t="s">
        <v>404</v>
      </c>
      <c r="B78" s="128">
        <v>0.5</v>
      </c>
      <c r="C78" s="128">
        <v>0.5</v>
      </c>
      <c r="D78" s="128">
        <v>0.5</v>
      </c>
      <c r="E78" s="128">
        <v>0.5</v>
      </c>
      <c r="F78" s="128">
        <v>0.5</v>
      </c>
      <c r="G78" s="13" t="s">
        <v>677</v>
      </c>
      <c r="H78" s="128">
        <v>0.5</v>
      </c>
      <c r="I78" s="13" t="s">
        <v>1201</v>
      </c>
      <c r="J78" s="13" t="s">
        <v>1770</v>
      </c>
    </row>
    <row r="79" spans="1:10">
      <c r="A79" s="13"/>
      <c r="B79" s="13"/>
      <c r="C79" s="13"/>
      <c r="D79" s="13"/>
      <c r="E79" s="13"/>
      <c r="F79" s="13"/>
      <c r="G79" s="13"/>
      <c r="H79" s="13"/>
      <c r="I79" s="13"/>
      <c r="J79" s="13"/>
    </row>
    <row r="80" spans="1:10">
      <c r="A80" s="842" t="s">
        <v>1085</v>
      </c>
      <c r="B80" s="839"/>
      <c r="C80" s="839"/>
      <c r="D80" s="85"/>
      <c r="E80" s="85"/>
      <c r="F80" s="85"/>
      <c r="G80" s="85"/>
      <c r="H80" s="85"/>
      <c r="I80" s="85"/>
      <c r="J80" s="85"/>
    </row>
    <row r="81" spans="1:10" ht="55.2">
      <c r="A81" s="50" t="s">
        <v>905</v>
      </c>
      <c r="B81" s="50" t="s">
        <v>785</v>
      </c>
      <c r="C81" s="50"/>
      <c r="D81" s="50"/>
      <c r="E81" s="50"/>
      <c r="F81" s="50"/>
      <c r="G81" s="50"/>
      <c r="H81" s="50"/>
      <c r="I81" s="50"/>
      <c r="J81" s="50"/>
    </row>
    <row r="82" spans="1:10">
      <c r="A82" s="13" t="s">
        <v>1086</v>
      </c>
      <c r="B82" s="852" t="s">
        <v>1771</v>
      </c>
      <c r="C82" s="839"/>
      <c r="D82" s="839"/>
      <c r="E82" s="839"/>
      <c r="F82" s="839"/>
      <c r="G82" s="839"/>
      <c r="H82" s="839"/>
      <c r="I82" s="839"/>
      <c r="J82" s="839"/>
    </row>
    <row r="83" spans="1:10">
      <c r="A83" s="13" t="s">
        <v>1088</v>
      </c>
      <c r="B83" s="852" t="s">
        <v>1772</v>
      </c>
      <c r="C83" s="839"/>
      <c r="D83" s="839"/>
      <c r="E83" s="839"/>
      <c r="F83" s="839"/>
      <c r="G83" s="839"/>
      <c r="H83" s="839"/>
      <c r="I83" s="839"/>
      <c r="J83" s="839"/>
    </row>
    <row r="84" spans="1:10">
      <c r="A84" s="13" t="s">
        <v>1455</v>
      </c>
      <c r="B84" s="852" t="s">
        <v>1773</v>
      </c>
      <c r="C84" s="839"/>
      <c r="D84" s="839"/>
      <c r="E84" s="839"/>
      <c r="F84" s="839"/>
      <c r="G84" s="839"/>
      <c r="H84" s="839"/>
      <c r="I84" s="839"/>
      <c r="J84" s="839"/>
    </row>
    <row r="85" spans="1:10">
      <c r="A85" s="13" t="s">
        <v>1089</v>
      </c>
      <c r="B85" s="852" t="s">
        <v>1774</v>
      </c>
      <c r="C85" s="839"/>
      <c r="D85" s="839"/>
      <c r="E85" s="839"/>
      <c r="F85" s="839"/>
      <c r="G85" s="839"/>
      <c r="H85" s="839"/>
      <c r="I85" s="839"/>
      <c r="J85" s="839"/>
    </row>
    <row r="86" spans="1:10">
      <c r="A86" s="13" t="s">
        <v>1090</v>
      </c>
      <c r="B86" s="852" t="s">
        <v>1775</v>
      </c>
      <c r="C86" s="839"/>
      <c r="D86" s="839"/>
      <c r="E86" s="839"/>
      <c r="F86" s="839"/>
      <c r="G86" s="839"/>
      <c r="H86" s="839"/>
      <c r="I86" s="839"/>
      <c r="J86" s="839"/>
    </row>
    <row r="87" spans="1:10">
      <c r="A87" s="13" t="s">
        <v>1563</v>
      </c>
      <c r="B87" s="852" t="s">
        <v>1776</v>
      </c>
      <c r="C87" s="839"/>
      <c r="D87" s="839"/>
      <c r="E87" s="839"/>
      <c r="F87" s="839"/>
      <c r="G87" s="839"/>
      <c r="H87" s="839"/>
      <c r="I87" s="839"/>
      <c r="J87" s="839"/>
    </row>
    <row r="88" spans="1:10" ht="15" thickBot="1"/>
    <row r="89" spans="1:10">
      <c r="A89" s="855" t="s">
        <v>5875</v>
      </c>
      <c r="B89" s="856"/>
      <c r="C89" s="856"/>
      <c r="D89" s="857"/>
      <c r="E89" s="856"/>
      <c r="F89" s="856"/>
      <c r="G89" s="857"/>
      <c r="H89" s="857"/>
      <c r="I89" s="857"/>
      <c r="J89" s="858"/>
    </row>
    <row r="90" spans="1:10">
      <c r="A90" s="325" t="s">
        <v>5817</v>
      </c>
      <c r="B90" s="326" t="s">
        <v>77</v>
      </c>
      <c r="C90" s="326" t="s">
        <v>5818</v>
      </c>
      <c r="D90" s="326" t="s">
        <v>5819</v>
      </c>
      <c r="E90" s="326" t="s">
        <v>5841</v>
      </c>
      <c r="F90" s="326" t="s">
        <v>5808</v>
      </c>
      <c r="G90" s="859" t="s">
        <v>5842</v>
      </c>
      <c r="H90" s="859"/>
      <c r="I90" s="859"/>
      <c r="J90" s="860"/>
    </row>
    <row r="91" spans="1:10" ht="26.4">
      <c r="A91" s="327" t="s">
        <v>5820</v>
      </c>
      <c r="B91" s="337" t="s">
        <v>484</v>
      </c>
      <c r="C91" s="329">
        <v>0</v>
      </c>
      <c r="D91" s="329">
        <v>0</v>
      </c>
      <c r="E91" s="196" t="s">
        <v>5881</v>
      </c>
      <c r="F91" s="329">
        <f>IF(AND(C91&lt;&gt;"",D91&lt;&gt;""),D91-C91,"")</f>
        <v>0</v>
      </c>
      <c r="G91" s="861"/>
      <c r="H91" s="861"/>
      <c r="I91" s="861"/>
      <c r="J91" s="862"/>
    </row>
    <row r="92" spans="1:10" ht="26.4">
      <c r="A92" s="330" t="s">
        <v>5821</v>
      </c>
      <c r="B92" s="337" t="s">
        <v>484</v>
      </c>
      <c r="C92" s="331">
        <v>1</v>
      </c>
      <c r="D92" s="331">
        <v>0</v>
      </c>
      <c r="E92" s="314" t="s">
        <v>5882</v>
      </c>
      <c r="F92" s="331">
        <f>IF(AND(C92&lt;&gt;"",D92&lt;&gt;""),D92-C92,"")</f>
        <v>-1</v>
      </c>
      <c r="G92" s="863"/>
      <c r="H92" s="863"/>
      <c r="I92" s="863"/>
      <c r="J92" s="864"/>
    </row>
    <row r="93" spans="1:10">
      <c r="A93" s="327" t="s">
        <v>5822</v>
      </c>
      <c r="B93" s="337" t="s">
        <v>484</v>
      </c>
      <c r="C93" s="331">
        <v>1</v>
      </c>
      <c r="D93" s="331">
        <v>0</v>
      </c>
      <c r="E93" s="314" t="s">
        <v>5882</v>
      </c>
      <c r="F93" s="329">
        <f>IF(AND(C93&lt;&gt;"",D93&lt;&gt;""),D93-C93,"")</f>
        <v>-1</v>
      </c>
      <c r="G93" s="332"/>
      <c r="H93" s="231"/>
      <c r="I93" s="231"/>
      <c r="J93" s="333"/>
    </row>
    <row r="94" spans="1:10">
      <c r="A94" s="330" t="s">
        <v>5823</v>
      </c>
      <c r="B94" s="337" t="s">
        <v>484</v>
      </c>
      <c r="C94" s="331">
        <v>1</v>
      </c>
      <c r="D94" s="331">
        <v>0</v>
      </c>
      <c r="E94" s="314" t="s">
        <v>5882</v>
      </c>
      <c r="F94" s="331">
        <f>IF(AND(C94&lt;&gt;"",D94&lt;&gt;""),D94-C94,"")</f>
        <v>-1</v>
      </c>
      <c r="G94" s="863"/>
      <c r="H94" s="863"/>
      <c r="I94" s="863"/>
      <c r="J94" s="864"/>
    </row>
    <row r="95" spans="1:10">
      <c r="A95" s="327" t="s">
        <v>5168</v>
      </c>
      <c r="B95" s="337" t="s">
        <v>484</v>
      </c>
      <c r="C95" s="331">
        <v>1</v>
      </c>
      <c r="D95" s="331">
        <v>0</v>
      </c>
      <c r="E95" s="314" t="s">
        <v>5882</v>
      </c>
      <c r="F95" s="329">
        <f>IF(AND(C95&lt;&gt;"",D95&lt;&gt;""),D95-C95,"")</f>
        <v>-1</v>
      </c>
      <c r="G95" s="332"/>
      <c r="H95" s="231"/>
      <c r="I95" s="231"/>
      <c r="J95" s="333"/>
    </row>
    <row r="96" spans="1:10" ht="15.6">
      <c r="A96" s="865" t="s">
        <v>5843</v>
      </c>
      <c r="B96" s="713"/>
      <c r="C96" s="334">
        <f>IFERROR(AVERAGE(C91:C95),"")</f>
        <v>0.8</v>
      </c>
      <c r="D96" s="334">
        <f>IFERROR(AVERAGE(D91:D95),"")</f>
        <v>0</v>
      </c>
      <c r="E96" s="866" t="s">
        <v>5844</v>
      </c>
      <c r="F96" s="866"/>
      <c r="G96" s="866"/>
      <c r="H96" s="866"/>
      <c r="I96" s="866"/>
      <c r="J96" s="867"/>
    </row>
    <row r="97" spans="1:10">
      <c r="A97" s="335"/>
      <c r="B97" s="320"/>
      <c r="C97" s="320"/>
      <c r="D97" s="320"/>
      <c r="E97" s="320"/>
      <c r="F97" s="320"/>
      <c r="G97" s="320"/>
      <c r="H97" s="231"/>
      <c r="I97" s="231"/>
      <c r="J97" s="333"/>
    </row>
    <row r="98" spans="1:10">
      <c r="A98" s="876" t="s">
        <v>5876</v>
      </c>
      <c r="B98" s="853"/>
      <c r="C98" s="853"/>
      <c r="D98" s="842"/>
      <c r="E98" s="853"/>
      <c r="F98" s="853"/>
      <c r="G98" s="842"/>
      <c r="H98" s="842"/>
      <c r="I98" s="842"/>
      <c r="J98" s="868"/>
    </row>
    <row r="99" spans="1:10">
      <c r="A99" s="325" t="s">
        <v>4946</v>
      </c>
      <c r="B99" s="326" t="s">
        <v>77</v>
      </c>
      <c r="C99" s="326" t="s">
        <v>5883</v>
      </c>
      <c r="D99" s="326" t="s">
        <v>482</v>
      </c>
      <c r="E99" s="326" t="s">
        <v>572</v>
      </c>
      <c r="F99" s="326" t="s">
        <v>5846</v>
      </c>
      <c r="G99" s="859" t="s">
        <v>5847</v>
      </c>
      <c r="H99" s="859"/>
      <c r="I99" s="859"/>
      <c r="J99" s="860"/>
    </row>
    <row r="100" spans="1:10" ht="26.4">
      <c r="A100" s="330" t="s">
        <v>5809</v>
      </c>
      <c r="B100" s="337" t="s">
        <v>484</v>
      </c>
      <c r="C100" s="336" t="s">
        <v>679</v>
      </c>
      <c r="D100" s="328" t="s">
        <v>679</v>
      </c>
      <c r="E100" s="336">
        <f>IF(D100="Yes",1,0)</f>
        <v>0</v>
      </c>
      <c r="F100" s="877"/>
      <c r="G100" s="877"/>
      <c r="H100" s="877"/>
      <c r="I100" s="877"/>
      <c r="J100" s="878"/>
    </row>
    <row r="101" spans="1:10">
      <c r="A101" s="327" t="s">
        <v>995</v>
      </c>
      <c r="B101" s="337" t="s">
        <v>484</v>
      </c>
      <c r="C101" s="336" t="s">
        <v>679</v>
      </c>
      <c r="D101" s="328" t="s">
        <v>679</v>
      </c>
      <c r="E101" s="328">
        <f t="shared" ref="E101:E107" si="0">IF(D101="Yes",1,0)</f>
        <v>0</v>
      </c>
      <c r="F101" s="877"/>
      <c r="G101" s="877"/>
      <c r="H101" s="877"/>
      <c r="I101" s="877"/>
      <c r="J101" s="878"/>
    </row>
    <row r="102" spans="1:10">
      <c r="A102" s="330" t="s">
        <v>5810</v>
      </c>
      <c r="B102" s="337" t="s">
        <v>484</v>
      </c>
      <c r="C102" s="336" t="s">
        <v>679</v>
      </c>
      <c r="D102" s="328" t="s">
        <v>679</v>
      </c>
      <c r="E102" s="336">
        <f t="shared" si="0"/>
        <v>0</v>
      </c>
      <c r="F102" s="877"/>
      <c r="G102" s="877"/>
      <c r="H102" s="877"/>
      <c r="I102" s="877"/>
      <c r="J102" s="878"/>
    </row>
    <row r="103" spans="1:10">
      <c r="A103" s="327" t="s">
        <v>5824</v>
      </c>
      <c r="B103" s="337" t="s">
        <v>484</v>
      </c>
      <c r="C103" s="336" t="s">
        <v>679</v>
      </c>
      <c r="D103" s="328" t="s">
        <v>679</v>
      </c>
      <c r="E103" s="328">
        <f t="shared" si="0"/>
        <v>0</v>
      </c>
      <c r="F103" s="877"/>
      <c r="G103" s="877"/>
      <c r="H103" s="877"/>
      <c r="I103" s="877"/>
      <c r="J103" s="878"/>
    </row>
    <row r="104" spans="1:10" ht="39.6">
      <c r="A104" s="330" t="s">
        <v>5825</v>
      </c>
      <c r="B104" s="337" t="s">
        <v>484</v>
      </c>
      <c r="C104" s="336" t="s">
        <v>679</v>
      </c>
      <c r="D104" s="328" t="s">
        <v>679</v>
      </c>
      <c r="E104" s="336">
        <f t="shared" si="0"/>
        <v>0</v>
      </c>
      <c r="F104" s="877"/>
      <c r="G104" s="877"/>
      <c r="H104" s="877"/>
      <c r="I104" s="877"/>
      <c r="J104" s="878"/>
    </row>
    <row r="105" spans="1:10" ht="26.4">
      <c r="A105" s="327" t="s">
        <v>5826</v>
      </c>
      <c r="B105" s="337" t="s">
        <v>484</v>
      </c>
      <c r="C105" s="336" t="s">
        <v>679</v>
      </c>
      <c r="D105" s="328" t="s">
        <v>679</v>
      </c>
      <c r="E105" s="328">
        <f t="shared" si="0"/>
        <v>0</v>
      </c>
      <c r="F105" s="877"/>
      <c r="G105" s="877"/>
      <c r="H105" s="877"/>
      <c r="I105" s="877"/>
      <c r="J105" s="878"/>
    </row>
    <row r="106" spans="1:10">
      <c r="A106" s="330" t="s">
        <v>5811</v>
      </c>
      <c r="B106" s="337" t="s">
        <v>484</v>
      </c>
      <c r="C106" s="336" t="s">
        <v>679</v>
      </c>
      <c r="D106" s="328" t="s">
        <v>679</v>
      </c>
      <c r="E106" s="336">
        <f t="shared" si="0"/>
        <v>0</v>
      </c>
      <c r="F106" s="877"/>
      <c r="G106" s="877"/>
      <c r="H106" s="877"/>
      <c r="I106" s="877"/>
      <c r="J106" s="878"/>
    </row>
    <row r="107" spans="1:10" ht="26.4">
      <c r="A107" s="327" t="s">
        <v>5812</v>
      </c>
      <c r="B107" s="337" t="s">
        <v>484</v>
      </c>
      <c r="C107" s="336" t="s">
        <v>679</v>
      </c>
      <c r="D107" s="328" t="s">
        <v>679</v>
      </c>
      <c r="E107" s="328">
        <f t="shared" si="0"/>
        <v>0</v>
      </c>
      <c r="F107" s="877"/>
      <c r="G107" s="877"/>
      <c r="H107" s="877"/>
      <c r="I107" s="877"/>
      <c r="J107" s="878"/>
    </row>
    <row r="108" spans="1:10" ht="15.6">
      <c r="A108" s="865" t="s">
        <v>5848</v>
      </c>
      <c r="B108" s="713"/>
      <c r="C108" s="871" t="str">
        <f>IFERROR(SUM(E100:E107)/COUNTIF(C100:C107,"Yes"),"")</f>
        <v/>
      </c>
      <c r="D108" s="872"/>
      <c r="E108" s="866" t="s">
        <v>5849</v>
      </c>
      <c r="F108" s="866"/>
      <c r="G108" s="866"/>
      <c r="H108" s="866"/>
      <c r="I108" s="866"/>
      <c r="J108" s="867"/>
    </row>
    <row r="109" spans="1:10">
      <c r="A109" s="335"/>
      <c r="B109" s="320"/>
      <c r="C109" s="320"/>
      <c r="D109" s="320"/>
      <c r="E109" s="320"/>
      <c r="F109" s="320"/>
      <c r="G109" s="320"/>
      <c r="H109" s="231"/>
      <c r="I109" s="231"/>
      <c r="J109" s="333"/>
    </row>
    <row r="110" spans="1:10">
      <c r="A110" s="876" t="s">
        <v>5877</v>
      </c>
      <c r="B110" s="853"/>
      <c r="C110" s="853"/>
      <c r="D110" s="842"/>
      <c r="E110" s="853"/>
      <c r="F110" s="853"/>
      <c r="G110" s="842"/>
      <c r="H110" s="842"/>
      <c r="I110" s="842"/>
      <c r="J110" s="868"/>
    </row>
    <row r="111" spans="1:10">
      <c r="A111" s="325" t="s">
        <v>5850</v>
      </c>
      <c r="B111" s="326" t="s">
        <v>77</v>
      </c>
      <c r="C111" s="326" t="s">
        <v>5827</v>
      </c>
      <c r="D111" s="326" t="s">
        <v>5828</v>
      </c>
      <c r="E111" s="326" t="s">
        <v>5829</v>
      </c>
      <c r="F111" s="326" t="s">
        <v>5851</v>
      </c>
      <c r="G111" s="859" t="s">
        <v>5852</v>
      </c>
      <c r="H111" s="859"/>
      <c r="I111" s="859"/>
      <c r="J111" s="860"/>
    </row>
    <row r="112" spans="1:10" ht="26.4">
      <c r="A112" s="330" t="s">
        <v>5830</v>
      </c>
      <c r="B112" s="336" t="s">
        <v>484</v>
      </c>
      <c r="C112" s="336" t="s">
        <v>1096</v>
      </c>
      <c r="D112" s="336" t="s">
        <v>1096</v>
      </c>
      <c r="E112" s="336" t="s">
        <v>1096</v>
      </c>
      <c r="F112" s="336" t="s">
        <v>348</v>
      </c>
      <c r="G112" s="869"/>
      <c r="H112" s="869"/>
      <c r="I112" s="869"/>
      <c r="J112" s="870"/>
    </row>
    <row r="113" spans="1:10">
      <c r="A113" s="327" t="s">
        <v>5831</v>
      </c>
      <c r="B113" s="336" t="s">
        <v>484</v>
      </c>
      <c r="C113" s="336" t="s">
        <v>1096</v>
      </c>
      <c r="D113" s="336" t="s">
        <v>1096</v>
      </c>
      <c r="E113" s="336" t="s">
        <v>1096</v>
      </c>
      <c r="F113" s="336" t="s">
        <v>348</v>
      </c>
      <c r="G113" s="869"/>
      <c r="H113" s="869"/>
      <c r="I113" s="869"/>
      <c r="J113" s="870"/>
    </row>
    <row r="114" spans="1:10">
      <c r="A114" s="330" t="s">
        <v>5853</v>
      </c>
      <c r="B114" s="336" t="s">
        <v>484</v>
      </c>
      <c r="C114" s="336" t="s">
        <v>1096</v>
      </c>
      <c r="D114" s="336" t="s">
        <v>1096</v>
      </c>
      <c r="E114" s="336" t="s">
        <v>1096</v>
      </c>
      <c r="F114" s="336" t="s">
        <v>348</v>
      </c>
      <c r="G114" s="869"/>
      <c r="H114" s="869"/>
      <c r="I114" s="869"/>
      <c r="J114" s="870"/>
    </row>
    <row r="115" spans="1:10">
      <c r="A115" s="327" t="s">
        <v>5832</v>
      </c>
      <c r="B115" s="336" t="s">
        <v>484</v>
      </c>
      <c r="C115" s="336" t="s">
        <v>1096</v>
      </c>
      <c r="D115" s="336" t="s">
        <v>1096</v>
      </c>
      <c r="E115" s="336" t="s">
        <v>1096</v>
      </c>
      <c r="F115" s="336" t="s">
        <v>348</v>
      </c>
      <c r="G115" s="869"/>
      <c r="H115" s="869"/>
      <c r="I115" s="869"/>
      <c r="J115" s="870"/>
    </row>
    <row r="116" spans="1:10" ht="26.4">
      <c r="A116" s="330" t="s">
        <v>5833</v>
      </c>
      <c r="B116" s="336" t="s">
        <v>484</v>
      </c>
      <c r="C116" s="336" t="s">
        <v>1096</v>
      </c>
      <c r="D116" s="336" t="s">
        <v>1096</v>
      </c>
      <c r="E116" s="336" t="s">
        <v>1096</v>
      </c>
      <c r="F116" s="336" t="s">
        <v>348</v>
      </c>
      <c r="G116" s="869"/>
      <c r="H116" s="869"/>
      <c r="I116" s="869"/>
      <c r="J116" s="870"/>
    </row>
    <row r="117" spans="1:10" ht="15.6">
      <c r="A117" s="865" t="s">
        <v>5884</v>
      </c>
      <c r="B117" s="713"/>
      <c r="C117" s="871">
        <f>IFERROR(COUNTIF(E112:E116,"Yes")/COUNTA(A112:A116),"")</f>
        <v>0</v>
      </c>
      <c r="D117" s="872"/>
      <c r="E117" s="866" t="s">
        <v>5855</v>
      </c>
      <c r="F117" s="866"/>
      <c r="G117" s="866"/>
      <c r="H117" s="866"/>
      <c r="I117" s="866"/>
      <c r="J117" s="867"/>
    </row>
    <row r="118" spans="1:10">
      <c r="A118" s="335"/>
      <c r="B118" s="320"/>
      <c r="C118" s="320"/>
      <c r="D118" s="320"/>
      <c r="E118" s="320"/>
      <c r="F118" s="320"/>
      <c r="G118" s="874"/>
      <c r="H118" s="874"/>
      <c r="I118" s="874"/>
      <c r="J118" s="875"/>
    </row>
    <row r="119" spans="1:10">
      <c r="A119" s="876" t="s">
        <v>5878</v>
      </c>
      <c r="B119" s="853"/>
      <c r="C119" s="853"/>
      <c r="D119" s="842"/>
      <c r="E119" s="853"/>
      <c r="F119" s="853"/>
      <c r="G119" s="842"/>
      <c r="H119" s="842"/>
      <c r="I119" s="842"/>
      <c r="J119" s="868"/>
    </row>
    <row r="120" spans="1:10">
      <c r="A120" s="326" t="s">
        <v>5813</v>
      </c>
      <c r="B120" s="326" t="s">
        <v>77</v>
      </c>
      <c r="C120" s="326" t="s">
        <v>5834</v>
      </c>
      <c r="D120" s="326" t="s">
        <v>5835</v>
      </c>
      <c r="E120" s="326" t="s">
        <v>5836</v>
      </c>
      <c r="F120" s="326" t="s">
        <v>5837</v>
      </c>
      <c r="G120" s="859" t="s">
        <v>5885</v>
      </c>
      <c r="H120" s="859"/>
      <c r="I120" s="859"/>
      <c r="J120" s="859"/>
    </row>
    <row r="121" spans="1:10">
      <c r="A121" s="332" t="s">
        <v>153</v>
      </c>
      <c r="B121" s="328" t="s">
        <v>484</v>
      </c>
      <c r="C121" s="328"/>
      <c r="D121" s="328"/>
      <c r="E121" s="328"/>
      <c r="F121" s="329" t="str">
        <f>IFERROR(D121/C121,"")</f>
        <v/>
      </c>
      <c r="G121" s="873"/>
      <c r="H121" s="873"/>
      <c r="I121" s="873"/>
      <c r="J121" s="873"/>
    </row>
    <row r="122" spans="1:10">
      <c r="A122" s="339" t="s">
        <v>155</v>
      </c>
      <c r="B122" s="336" t="s">
        <v>484</v>
      </c>
      <c r="C122" s="336"/>
      <c r="D122" s="336"/>
      <c r="E122" s="336"/>
      <c r="F122" s="331" t="str">
        <f>IFERROR(D122/C122,"")</f>
        <v/>
      </c>
      <c r="G122" s="873"/>
      <c r="H122" s="873"/>
      <c r="I122" s="873"/>
      <c r="J122" s="873"/>
    </row>
    <row r="123" spans="1:10">
      <c r="A123" s="332" t="s">
        <v>4821</v>
      </c>
      <c r="B123" s="328" t="s">
        <v>484</v>
      </c>
      <c r="C123" s="328"/>
      <c r="D123" s="328"/>
      <c r="E123" s="328"/>
      <c r="F123" s="329" t="str">
        <f>IFERROR(D123/C123,"")</f>
        <v/>
      </c>
      <c r="G123" s="873"/>
      <c r="H123" s="873"/>
      <c r="I123" s="873"/>
      <c r="J123" s="873"/>
    </row>
    <row r="124" spans="1:10">
      <c r="A124" s="339" t="s">
        <v>957</v>
      </c>
      <c r="B124" s="336" t="s">
        <v>484</v>
      </c>
      <c r="C124" s="336"/>
      <c r="D124" s="336"/>
      <c r="E124" s="336"/>
      <c r="F124" s="331" t="str">
        <f>IFERROR(D124/C124,"")</f>
        <v/>
      </c>
      <c r="G124" s="873"/>
      <c r="H124" s="873"/>
      <c r="I124" s="873"/>
      <c r="J124" s="873"/>
    </row>
    <row r="125" spans="1:10">
      <c r="A125" s="879" t="s">
        <v>5856</v>
      </c>
      <c r="B125" s="879"/>
      <c r="C125" s="879"/>
      <c r="D125" s="879"/>
      <c r="E125" s="866" t="s">
        <v>5857</v>
      </c>
      <c r="F125" s="866"/>
      <c r="G125" s="866"/>
      <c r="H125" s="866"/>
      <c r="I125" s="866"/>
      <c r="J125" s="866"/>
    </row>
    <row r="126" spans="1:10">
      <c r="A126" s="879"/>
      <c r="B126" s="879"/>
      <c r="C126" s="879"/>
      <c r="D126" s="879"/>
      <c r="E126" s="866"/>
      <c r="F126" s="866"/>
      <c r="G126" s="866"/>
      <c r="H126" s="866"/>
      <c r="I126" s="866"/>
      <c r="J126" s="866"/>
    </row>
    <row r="127" spans="1:10">
      <c r="A127" s="842" t="s">
        <v>5879</v>
      </c>
      <c r="B127" s="842"/>
      <c r="C127" s="842"/>
      <c r="D127" s="842"/>
      <c r="E127" s="842"/>
      <c r="F127" s="842"/>
      <c r="G127" s="842"/>
      <c r="H127" s="842"/>
      <c r="I127" s="842"/>
      <c r="J127" s="842"/>
    </row>
    <row r="128" spans="1:10">
      <c r="A128" s="326" t="s">
        <v>4946</v>
      </c>
      <c r="B128" s="326" t="s">
        <v>77</v>
      </c>
      <c r="C128" s="326" t="s">
        <v>5845</v>
      </c>
      <c r="D128" s="326" t="s">
        <v>482</v>
      </c>
      <c r="E128" s="326" t="s">
        <v>572</v>
      </c>
      <c r="F128" s="326" t="s">
        <v>944</v>
      </c>
      <c r="G128" s="859" t="s">
        <v>5847</v>
      </c>
      <c r="H128" s="859"/>
      <c r="I128" s="859"/>
      <c r="J128" s="859"/>
    </row>
    <row r="129" spans="1:10" ht="26.4">
      <c r="A129" s="332" t="s">
        <v>5814</v>
      </c>
      <c r="B129" s="328" t="s">
        <v>484</v>
      </c>
      <c r="C129" s="328" t="s">
        <v>392</v>
      </c>
      <c r="D129" s="328" t="s">
        <v>1096</v>
      </c>
      <c r="E129" s="328">
        <f t="shared" ref="E129:E134" si="1">IF(D129="Yes",1,0)</f>
        <v>0</v>
      </c>
      <c r="F129" s="328"/>
      <c r="G129" s="873"/>
      <c r="H129" s="873"/>
      <c r="I129" s="873"/>
      <c r="J129" s="873"/>
    </row>
    <row r="130" spans="1:10">
      <c r="A130" s="339" t="s">
        <v>5815</v>
      </c>
      <c r="B130" s="328" t="s">
        <v>484</v>
      </c>
      <c r="C130" s="336" t="s">
        <v>392</v>
      </c>
      <c r="D130" s="328" t="s">
        <v>1096</v>
      </c>
      <c r="E130" s="336">
        <f t="shared" si="1"/>
        <v>0</v>
      </c>
      <c r="F130" s="336"/>
      <c r="G130" s="873"/>
      <c r="H130" s="873"/>
      <c r="I130" s="873"/>
      <c r="J130" s="873"/>
    </row>
    <row r="131" spans="1:10" ht="26.4">
      <c r="A131" s="332" t="s">
        <v>5816</v>
      </c>
      <c r="B131" s="328" t="s">
        <v>484</v>
      </c>
      <c r="C131" s="328" t="s">
        <v>392</v>
      </c>
      <c r="D131" s="328" t="s">
        <v>1096</v>
      </c>
      <c r="E131" s="328">
        <f t="shared" si="1"/>
        <v>0</v>
      </c>
      <c r="F131" s="328"/>
      <c r="G131" s="873"/>
      <c r="H131" s="873"/>
      <c r="I131" s="873"/>
      <c r="J131" s="873"/>
    </row>
    <row r="132" spans="1:10">
      <c r="A132" s="339" t="s">
        <v>5838</v>
      </c>
      <c r="B132" s="328" t="s">
        <v>484</v>
      </c>
      <c r="C132" s="336" t="s">
        <v>392</v>
      </c>
      <c r="D132" s="328" t="s">
        <v>1096</v>
      </c>
      <c r="E132" s="336">
        <f t="shared" si="1"/>
        <v>0</v>
      </c>
      <c r="F132" s="336"/>
      <c r="G132" s="873"/>
      <c r="H132" s="873"/>
      <c r="I132" s="873"/>
      <c r="J132" s="873"/>
    </row>
    <row r="133" spans="1:10" ht="26.4">
      <c r="A133" s="332" t="s">
        <v>5839</v>
      </c>
      <c r="B133" s="328" t="s">
        <v>484</v>
      </c>
      <c r="C133" s="328" t="s">
        <v>392</v>
      </c>
      <c r="D133" s="328" t="s">
        <v>1096</v>
      </c>
      <c r="E133" s="328">
        <f t="shared" si="1"/>
        <v>0</v>
      </c>
      <c r="F133" s="328"/>
      <c r="G133" s="873"/>
      <c r="H133" s="873"/>
      <c r="I133" s="873"/>
      <c r="J133" s="873"/>
    </row>
    <row r="134" spans="1:10" ht="26.4">
      <c r="A134" s="339" t="s">
        <v>5840</v>
      </c>
      <c r="B134" s="328" t="s">
        <v>484</v>
      </c>
      <c r="C134" s="336" t="s">
        <v>392</v>
      </c>
      <c r="D134" s="336" t="s">
        <v>1096</v>
      </c>
      <c r="E134" s="336">
        <f t="shared" si="1"/>
        <v>0</v>
      </c>
      <c r="F134" s="336"/>
      <c r="G134" s="873"/>
      <c r="H134" s="873"/>
      <c r="I134" s="873"/>
      <c r="J134" s="873"/>
    </row>
    <row r="135" spans="1:10" ht="15.6">
      <c r="A135" s="880" t="s">
        <v>5858</v>
      </c>
      <c r="B135" s="713"/>
      <c r="C135" s="871">
        <f>IFERROR(SUM(E129:E134)/COUNTIF(C129:C134,"Yes"),"")</f>
        <v>0</v>
      </c>
      <c r="D135" s="872"/>
      <c r="E135" s="866" t="s">
        <v>5859</v>
      </c>
      <c r="F135" s="866"/>
      <c r="G135" s="866"/>
      <c r="H135" s="866"/>
      <c r="I135" s="866"/>
      <c r="J135" s="866"/>
    </row>
    <row r="136" spans="1:10">
      <c r="A136" s="196"/>
      <c r="B136" s="196"/>
      <c r="C136" s="196"/>
      <c r="D136" s="196"/>
      <c r="E136" s="196"/>
      <c r="F136" s="196"/>
      <c r="G136" s="196"/>
      <c r="H136" s="196"/>
      <c r="I136" s="196"/>
      <c r="J136" s="196"/>
    </row>
    <row r="137" spans="1:10">
      <c r="A137" s="842" t="s">
        <v>5880</v>
      </c>
      <c r="B137" s="853"/>
      <c r="C137" s="853"/>
      <c r="D137" s="321"/>
      <c r="E137" s="321"/>
      <c r="F137" s="321"/>
      <c r="G137" s="321"/>
      <c r="H137" s="321"/>
      <c r="I137" s="321"/>
      <c r="J137" s="321"/>
    </row>
    <row r="138" spans="1:10" ht="55.2">
      <c r="A138" s="322" t="s">
        <v>905</v>
      </c>
      <c r="B138" s="322" t="s">
        <v>830</v>
      </c>
      <c r="C138" s="322"/>
      <c r="D138" s="322"/>
      <c r="E138" s="322"/>
      <c r="F138" s="322"/>
      <c r="G138" s="322"/>
      <c r="H138" s="322"/>
      <c r="I138" s="322"/>
      <c r="J138" s="322"/>
    </row>
    <row r="139" spans="1:10">
      <c r="A139" s="319" t="s">
        <v>1086</v>
      </c>
      <c r="B139" s="852" t="s">
        <v>3292</v>
      </c>
      <c r="C139" s="853"/>
      <c r="D139" s="853"/>
      <c r="E139" s="853"/>
      <c r="F139" s="853"/>
      <c r="G139" s="853"/>
      <c r="H139" s="853"/>
      <c r="I139" s="853"/>
      <c r="J139" s="853"/>
    </row>
    <row r="140" spans="1:10" ht="27.6">
      <c r="A140" s="319" t="s">
        <v>2090</v>
      </c>
      <c r="B140" s="852" t="s">
        <v>3293</v>
      </c>
      <c r="C140" s="853"/>
      <c r="D140" s="853"/>
      <c r="E140" s="853"/>
      <c r="F140" s="853"/>
      <c r="G140" s="853"/>
      <c r="H140" s="853"/>
      <c r="I140" s="853"/>
      <c r="J140" s="853"/>
    </row>
    <row r="141" spans="1:10">
      <c r="A141" s="319" t="s">
        <v>1089</v>
      </c>
      <c r="B141" s="852" t="s">
        <v>3294</v>
      </c>
      <c r="C141" s="853"/>
      <c r="D141" s="853"/>
      <c r="E141" s="853"/>
      <c r="F141" s="853"/>
      <c r="G141" s="853"/>
      <c r="H141" s="853"/>
      <c r="I141" s="853"/>
      <c r="J141" s="853"/>
    </row>
    <row r="142" spans="1:10">
      <c r="A142" s="319" t="s">
        <v>1090</v>
      </c>
      <c r="B142" s="852" t="s">
        <v>3295</v>
      </c>
      <c r="C142" s="853"/>
      <c r="D142" s="853"/>
      <c r="E142" s="853"/>
      <c r="F142" s="853"/>
      <c r="G142" s="853"/>
      <c r="H142" s="853"/>
      <c r="I142" s="853"/>
      <c r="J142" s="853"/>
    </row>
    <row r="143" spans="1:10">
      <c r="A143" s="319" t="s">
        <v>1088</v>
      </c>
      <c r="B143" s="852" t="s">
        <v>3296</v>
      </c>
      <c r="C143" s="853"/>
      <c r="D143" s="853"/>
      <c r="E143" s="853"/>
      <c r="F143" s="853"/>
      <c r="G143" s="853"/>
      <c r="H143" s="853"/>
      <c r="I143" s="853"/>
      <c r="J143" s="853"/>
    </row>
    <row r="144" spans="1:10" ht="27.6">
      <c r="A144" s="319" t="s">
        <v>3297</v>
      </c>
      <c r="B144" s="852" t="s">
        <v>3298</v>
      </c>
      <c r="C144" s="853"/>
      <c r="D144" s="853"/>
      <c r="E144" s="853"/>
      <c r="F144" s="853"/>
      <c r="G144" s="853"/>
      <c r="H144" s="853"/>
      <c r="I144" s="853"/>
      <c r="J144" s="853"/>
    </row>
    <row r="145" spans="1:10">
      <c r="A145" s="319" t="s">
        <v>1563</v>
      </c>
      <c r="B145" s="852" t="s">
        <v>1776</v>
      </c>
      <c r="C145" s="853"/>
      <c r="D145" s="853"/>
      <c r="E145" s="853"/>
      <c r="F145" s="853"/>
      <c r="G145" s="853"/>
      <c r="H145" s="853"/>
      <c r="I145" s="853"/>
      <c r="J145" s="853"/>
    </row>
    <row r="146" spans="1:10">
      <c r="A146" s="231"/>
      <c r="B146" s="231"/>
      <c r="C146" s="231"/>
      <c r="D146" s="231"/>
      <c r="E146" s="231"/>
      <c r="F146" s="231"/>
      <c r="G146" s="231"/>
      <c r="H146" s="231"/>
      <c r="I146" s="231"/>
      <c r="J146" s="231"/>
    </row>
    <row r="147" spans="1:10" ht="17.399999999999999">
      <c r="A147" s="827" t="s">
        <v>5769</v>
      </c>
      <c r="B147" s="827"/>
      <c r="C147" s="827"/>
      <c r="D147" s="827"/>
      <c r="E147" s="827"/>
      <c r="F147" s="827"/>
      <c r="G147" s="827"/>
      <c r="H147" s="827"/>
      <c r="I147" s="231"/>
      <c r="J147" s="231"/>
    </row>
    <row r="148" spans="1:10">
      <c r="A148" s="276" t="s">
        <v>2</v>
      </c>
      <c r="B148" s="828" t="s">
        <v>5770</v>
      </c>
      <c r="C148" s="828"/>
      <c r="D148" s="828"/>
      <c r="E148" s="828"/>
      <c r="F148" s="828"/>
      <c r="G148" s="828"/>
      <c r="H148" s="828"/>
      <c r="I148" s="231"/>
      <c r="J148" s="231"/>
    </row>
    <row r="149" spans="1:10">
      <c r="A149" s="276" t="s">
        <v>5771</v>
      </c>
      <c r="B149" s="828" t="s">
        <v>5772</v>
      </c>
      <c r="C149" s="828"/>
      <c r="D149" s="828"/>
      <c r="E149" s="828"/>
      <c r="F149" s="828"/>
      <c r="G149" s="828"/>
      <c r="H149" s="828"/>
      <c r="I149" s="231"/>
      <c r="J149" s="231"/>
    </row>
    <row r="150" spans="1:10">
      <c r="A150" s="196"/>
      <c r="B150" s="196"/>
      <c r="C150" s="196"/>
      <c r="D150" s="196"/>
      <c r="E150" s="196"/>
      <c r="F150" s="196"/>
      <c r="G150" s="196"/>
      <c r="H150" s="196"/>
      <c r="I150" s="231"/>
      <c r="J150" s="231"/>
    </row>
    <row r="151" spans="1:10">
      <c r="A151" s="323" t="s">
        <v>4946</v>
      </c>
      <c r="B151" s="323" t="s">
        <v>77</v>
      </c>
      <c r="C151" s="323" t="s">
        <v>5773</v>
      </c>
      <c r="D151" s="323" t="s">
        <v>263</v>
      </c>
      <c r="E151" s="323" t="s">
        <v>216</v>
      </c>
      <c r="F151" s="323" t="s">
        <v>5774</v>
      </c>
      <c r="G151" s="323" t="s">
        <v>5775</v>
      </c>
      <c r="H151" s="323" t="s">
        <v>5776</v>
      </c>
      <c r="I151" s="231"/>
      <c r="J151" s="231"/>
    </row>
    <row r="152" spans="1:10" ht="26.4">
      <c r="A152" s="277" t="s">
        <v>5777</v>
      </c>
      <c r="B152" s="278" t="s">
        <v>1096</v>
      </c>
      <c r="C152" s="277"/>
      <c r="D152" s="277"/>
      <c r="E152" s="277"/>
      <c r="F152" s="277"/>
      <c r="G152" s="279" t="str">
        <f t="shared" ref="G152:G159" si="2">IF(OR(B152="Yes",B152="N/A"),"🟢","🟡")</f>
        <v>🟡</v>
      </c>
      <c r="H152" s="277"/>
      <c r="I152" s="231"/>
      <c r="J152" s="231"/>
    </row>
    <row r="153" spans="1:10">
      <c r="A153" s="277" t="s">
        <v>5778</v>
      </c>
      <c r="B153" s="278" t="s">
        <v>1096</v>
      </c>
      <c r="C153" s="277"/>
      <c r="D153" s="277"/>
      <c r="E153" s="277"/>
      <c r="F153" s="277"/>
      <c r="G153" s="279" t="str">
        <f t="shared" si="2"/>
        <v>🟡</v>
      </c>
      <c r="H153" s="277"/>
      <c r="I153" s="231"/>
      <c r="J153" s="231"/>
    </row>
    <row r="154" spans="1:10">
      <c r="A154" s="277" t="s">
        <v>5779</v>
      </c>
      <c r="B154" s="278" t="s">
        <v>1096</v>
      </c>
      <c r="C154" s="277"/>
      <c r="D154" s="277"/>
      <c r="E154" s="277"/>
      <c r="F154" s="277"/>
      <c r="G154" s="279" t="str">
        <f t="shared" si="2"/>
        <v>🟡</v>
      </c>
      <c r="H154" s="277"/>
      <c r="I154" s="231"/>
      <c r="J154" s="231"/>
    </row>
    <row r="155" spans="1:10">
      <c r="A155" s="277" t="s">
        <v>5168</v>
      </c>
      <c r="B155" s="278" t="s">
        <v>1096</v>
      </c>
      <c r="C155" s="277"/>
      <c r="D155" s="277"/>
      <c r="E155" s="277"/>
      <c r="F155" s="277"/>
      <c r="G155" s="279" t="str">
        <f t="shared" si="2"/>
        <v>🟡</v>
      </c>
      <c r="H155" s="277"/>
      <c r="I155" s="231"/>
      <c r="J155" s="231"/>
    </row>
    <row r="156" spans="1:10">
      <c r="A156" s="277" t="s">
        <v>5780</v>
      </c>
      <c r="B156" s="278" t="s">
        <v>1096</v>
      </c>
      <c r="C156" s="277"/>
      <c r="D156" s="277"/>
      <c r="E156" s="277"/>
      <c r="F156" s="277"/>
      <c r="G156" s="279" t="str">
        <f t="shared" si="2"/>
        <v>🟡</v>
      </c>
      <c r="H156" s="277"/>
      <c r="I156" s="231"/>
      <c r="J156" s="231"/>
    </row>
    <row r="157" spans="1:10">
      <c r="A157" s="277" t="s">
        <v>5781</v>
      </c>
      <c r="B157" s="278" t="s">
        <v>1096</v>
      </c>
      <c r="C157" s="277"/>
      <c r="D157" s="277"/>
      <c r="E157" s="277"/>
      <c r="F157" s="277"/>
      <c r="G157" s="279" t="str">
        <f t="shared" si="2"/>
        <v>🟡</v>
      </c>
      <c r="H157" s="277"/>
      <c r="I157" s="231"/>
      <c r="J157" s="231"/>
    </row>
    <row r="158" spans="1:10">
      <c r="A158" s="277" t="s">
        <v>178</v>
      </c>
      <c r="B158" s="278" t="s">
        <v>1096</v>
      </c>
      <c r="C158" s="277"/>
      <c r="D158" s="277"/>
      <c r="E158" s="277"/>
      <c r="F158" s="277"/>
      <c r="G158" s="279" t="str">
        <f t="shared" si="2"/>
        <v>🟡</v>
      </c>
      <c r="H158" s="277"/>
      <c r="I158" s="231"/>
      <c r="J158" s="231"/>
    </row>
    <row r="159" spans="1:10" ht="26.4">
      <c r="A159" s="277" t="s">
        <v>5782</v>
      </c>
      <c r="B159" s="278" t="s">
        <v>1096</v>
      </c>
      <c r="C159" s="277"/>
      <c r="D159" s="277"/>
      <c r="E159" s="277"/>
      <c r="F159" s="277"/>
      <c r="G159" s="279" t="str">
        <f t="shared" si="2"/>
        <v>🟡</v>
      </c>
      <c r="H159" s="277"/>
      <c r="I159" s="231"/>
      <c r="J159" s="231"/>
    </row>
    <row r="160" spans="1:10">
      <c r="A160" s="324" t="s">
        <v>4946</v>
      </c>
      <c r="B160" s="324" t="s">
        <v>5790</v>
      </c>
      <c r="C160" s="196"/>
      <c r="D160" s="196"/>
      <c r="E160" s="324" t="s">
        <v>5791</v>
      </c>
      <c r="F160" s="196"/>
      <c r="G160" s="196"/>
      <c r="H160" s="196"/>
      <c r="I160" s="231"/>
      <c r="J160" s="231"/>
    </row>
    <row r="161" spans="1:10" ht="26.4">
      <c r="A161" s="291" t="s">
        <v>5777</v>
      </c>
      <c r="B161" s="768" t="s">
        <v>5792</v>
      </c>
      <c r="C161" s="768"/>
      <c r="D161" s="768"/>
      <c r="E161" s="768" t="s">
        <v>5793</v>
      </c>
      <c r="F161" s="768"/>
      <c r="G161" s="768"/>
      <c r="H161" s="196"/>
      <c r="I161" s="231"/>
      <c r="J161" s="231"/>
    </row>
    <row r="162" spans="1:10">
      <c r="A162" s="291" t="s">
        <v>5778</v>
      </c>
      <c r="B162" s="768" t="s">
        <v>5794</v>
      </c>
      <c r="C162" s="768"/>
      <c r="D162" s="768"/>
      <c r="E162" s="768" t="s">
        <v>5795</v>
      </c>
      <c r="F162" s="768"/>
      <c r="G162" s="768"/>
      <c r="H162" s="196"/>
      <c r="I162" s="231"/>
      <c r="J162" s="231"/>
    </row>
    <row r="163" spans="1:10">
      <c r="A163" s="291" t="s">
        <v>5779</v>
      </c>
      <c r="B163" s="768" t="s">
        <v>5796</v>
      </c>
      <c r="C163" s="768"/>
      <c r="D163" s="768"/>
      <c r="E163" s="768" t="s">
        <v>5797</v>
      </c>
      <c r="F163" s="768"/>
      <c r="G163" s="768"/>
      <c r="H163" s="196"/>
      <c r="I163" s="231"/>
      <c r="J163" s="231"/>
    </row>
    <row r="164" spans="1:10">
      <c r="A164" s="291" t="s">
        <v>5168</v>
      </c>
      <c r="B164" s="768" t="s">
        <v>5798</v>
      </c>
      <c r="C164" s="768"/>
      <c r="D164" s="768"/>
      <c r="E164" s="768" t="s">
        <v>5799</v>
      </c>
      <c r="F164" s="768"/>
      <c r="G164" s="768"/>
      <c r="H164" s="196"/>
      <c r="I164" s="231"/>
      <c r="J164" s="231"/>
    </row>
    <row r="165" spans="1:10">
      <c r="A165" s="291" t="s">
        <v>5780</v>
      </c>
      <c r="B165" s="768" t="s">
        <v>5800</v>
      </c>
      <c r="C165" s="768"/>
      <c r="D165" s="768"/>
      <c r="E165" s="768" t="s">
        <v>5801</v>
      </c>
      <c r="F165" s="768"/>
      <c r="G165" s="768"/>
      <c r="H165" s="196"/>
      <c r="I165" s="231"/>
      <c r="J165" s="231"/>
    </row>
    <row r="166" spans="1:10">
      <c r="A166" s="291" t="s">
        <v>5781</v>
      </c>
      <c r="B166" s="768" t="s">
        <v>5802</v>
      </c>
      <c r="C166" s="768"/>
      <c r="D166" s="768"/>
      <c r="E166" s="768" t="s">
        <v>5803</v>
      </c>
      <c r="F166" s="768"/>
      <c r="G166" s="768"/>
      <c r="H166" s="196"/>
      <c r="I166" s="231"/>
      <c r="J166" s="231"/>
    </row>
    <row r="167" spans="1:10">
      <c r="A167" s="291" t="s">
        <v>178</v>
      </c>
      <c r="B167" s="768" t="s">
        <v>5804</v>
      </c>
      <c r="C167" s="768"/>
      <c r="D167" s="768"/>
      <c r="E167" s="768" t="s">
        <v>5805</v>
      </c>
      <c r="F167" s="768"/>
      <c r="G167" s="768"/>
      <c r="H167" s="196"/>
      <c r="I167" s="231"/>
      <c r="J167" s="231"/>
    </row>
    <row r="168" spans="1:10" ht="26.4">
      <c r="A168" s="291" t="s">
        <v>5782</v>
      </c>
      <c r="B168" s="768" t="s">
        <v>5806</v>
      </c>
      <c r="C168" s="768"/>
      <c r="D168" s="768"/>
      <c r="E168" s="768" t="s">
        <v>5807</v>
      </c>
      <c r="F168" s="768"/>
      <c r="G168" s="768"/>
      <c r="H168" s="196"/>
      <c r="I168" s="231"/>
      <c r="J168" s="231"/>
    </row>
    <row r="169" spans="1:10">
      <c r="A169" s="276" t="s">
        <v>5783</v>
      </c>
      <c r="B169" s="280" t="str">
        <f>IF(COUNTIF(B152:B159,"No")=0,"🟢 PILOT COMPLETE / ACCEPTANCE READY","🟡 NOT COMPLETE — ACCEPTANCE GATES OPEN")</f>
        <v>🟡 NOT COMPLETE — ACCEPTANCE GATES OPEN</v>
      </c>
      <c r="C169" s="280"/>
      <c r="D169" s="280"/>
      <c r="E169" s="280"/>
      <c r="F169" s="280"/>
      <c r="G169" s="280"/>
      <c r="H169" s="280"/>
    </row>
    <row r="170" spans="1:10">
      <c r="A170" s="276" t="s">
        <v>5784</v>
      </c>
      <c r="B170" s="280">
        <f>COUNTIF(B152:B159,"No")</f>
        <v>8</v>
      </c>
      <c r="C170" s="280"/>
      <c r="D170" s="280"/>
      <c r="E170" s="280"/>
      <c r="F170" s="280"/>
      <c r="G170" s="280"/>
      <c r="H170" s="280"/>
    </row>
    <row r="171" spans="1:10">
      <c r="A171" s="276" t="s">
        <v>5785</v>
      </c>
      <c r="B171" s="280" t="str">
        <f>COUNTIF(B152:B159,"Yes")&amp;" / 8 Complete"</f>
        <v>0 / 8 Complete</v>
      </c>
      <c r="C171" s="280"/>
      <c r="D171" s="280"/>
      <c r="E171" s="280"/>
      <c r="F171" s="280"/>
      <c r="G171" s="280"/>
      <c r="H171" s="280"/>
    </row>
    <row r="172" spans="1:10" ht="93">
      <c r="A172" s="281" t="s">
        <v>5786</v>
      </c>
      <c r="B172" s="282" t="s">
        <v>5787</v>
      </c>
      <c r="C172" s="282"/>
      <c r="D172" s="282"/>
      <c r="E172" s="282"/>
      <c r="F172" s="282"/>
      <c r="G172" s="282"/>
      <c r="H172" s="282"/>
    </row>
    <row r="173" spans="1:10">
      <c r="A173" s="281"/>
      <c r="B173" s="282"/>
      <c r="C173" s="282"/>
      <c r="D173" s="282"/>
      <c r="E173" s="282"/>
      <c r="F173" s="282"/>
      <c r="G173" s="282"/>
      <c r="H173" s="282"/>
    </row>
    <row r="174" spans="1:10" ht="66.599999999999994">
      <c r="A174" s="281" t="s">
        <v>5788</v>
      </c>
      <c r="B174" s="282" t="s">
        <v>5789</v>
      </c>
      <c r="C174" s="282"/>
      <c r="D174" s="282"/>
      <c r="E174" s="282"/>
      <c r="F174" s="282"/>
      <c r="G174" s="282"/>
      <c r="H174" s="282"/>
    </row>
    <row r="175" spans="1:10">
      <c r="A175" s="842" t="s">
        <v>5901</v>
      </c>
      <c r="B175" s="842"/>
      <c r="C175" s="842"/>
      <c r="D175" s="842"/>
      <c r="E175" s="842"/>
      <c r="F175" s="842"/>
      <c r="G175" s="842"/>
      <c r="H175" s="842"/>
      <c r="I175" s="842"/>
      <c r="J175" s="842"/>
    </row>
    <row r="176" spans="1:10">
      <c r="A176" s="340" t="s">
        <v>5886</v>
      </c>
      <c r="B176" s="196"/>
      <c r="C176" s="196"/>
      <c r="D176" s="196"/>
      <c r="E176" s="196"/>
      <c r="F176" s="196"/>
      <c r="G176" s="196"/>
      <c r="H176" s="196"/>
      <c r="I176" s="196"/>
      <c r="J176" s="196"/>
    </row>
    <row r="177" spans="1:10">
      <c r="A177" s="196"/>
      <c r="B177" s="196"/>
      <c r="C177" s="196"/>
      <c r="D177" s="196"/>
      <c r="E177" s="196"/>
      <c r="F177" s="196"/>
      <c r="G177" s="196"/>
      <c r="H177" s="196"/>
      <c r="I177" s="196"/>
      <c r="J177" s="196"/>
    </row>
    <row r="178" spans="1:10">
      <c r="A178" s="196" t="s">
        <v>5887</v>
      </c>
      <c r="B178" s="196"/>
      <c r="C178" s="196"/>
      <c r="D178" s="196"/>
      <c r="E178" s="196"/>
      <c r="F178" s="196"/>
      <c r="G178" s="196"/>
      <c r="H178" s="196"/>
      <c r="I178" s="196"/>
      <c r="J178" s="196"/>
    </row>
    <row r="179" spans="1:10">
      <c r="A179" s="196"/>
      <c r="B179" s="196"/>
      <c r="C179" s="196"/>
      <c r="D179" s="196"/>
      <c r="E179" s="196"/>
      <c r="F179" s="196"/>
      <c r="G179" s="196"/>
      <c r="H179" s="196"/>
      <c r="I179" s="196"/>
      <c r="J179" s="196"/>
    </row>
    <row r="180" spans="1:10">
      <c r="A180" s="196" t="s">
        <v>5888</v>
      </c>
      <c r="B180" s="196"/>
      <c r="C180" s="196"/>
      <c r="D180" s="196"/>
      <c r="E180" s="196"/>
      <c r="F180" s="196"/>
      <c r="G180" s="196"/>
      <c r="H180" s="196"/>
      <c r="I180" s="196"/>
      <c r="J180" s="196"/>
    </row>
    <row r="181" spans="1:10">
      <c r="A181" s="196"/>
      <c r="B181" s="196"/>
      <c r="C181" s="196"/>
      <c r="D181" s="196"/>
      <c r="E181" s="196"/>
      <c r="F181" s="196"/>
      <c r="G181" s="196"/>
      <c r="H181" s="196"/>
      <c r="I181" s="196"/>
      <c r="J181" s="196"/>
    </row>
    <row r="182" spans="1:10">
      <c r="A182" s="196" t="s">
        <v>5889</v>
      </c>
      <c r="B182" s="196"/>
      <c r="C182" s="196"/>
      <c r="D182" s="196"/>
      <c r="E182" s="196"/>
      <c r="F182" s="196"/>
      <c r="G182" s="196"/>
      <c r="H182" s="196"/>
      <c r="I182" s="196"/>
      <c r="J182" s="196"/>
    </row>
    <row r="183" spans="1:10">
      <c r="A183" s="196"/>
      <c r="B183" s="196"/>
      <c r="C183" s="196"/>
      <c r="D183" s="196"/>
      <c r="E183" s="196"/>
      <c r="F183" s="196"/>
      <c r="G183" s="196"/>
      <c r="H183" s="196"/>
      <c r="I183" s="196"/>
      <c r="J183" s="196"/>
    </row>
    <row r="184" spans="1:10">
      <c r="A184" s="196"/>
      <c r="B184" s="196"/>
      <c r="C184" s="196"/>
      <c r="D184" s="196"/>
      <c r="E184" s="196"/>
      <c r="F184" s="196"/>
      <c r="G184" s="196"/>
      <c r="H184" s="196"/>
      <c r="I184" s="196"/>
      <c r="J184" s="196"/>
    </row>
    <row r="185" spans="1:10">
      <c r="A185" s="196"/>
      <c r="B185" s="196"/>
      <c r="C185" s="196"/>
      <c r="D185" s="196"/>
      <c r="E185" s="196"/>
      <c r="F185" s="196"/>
      <c r="G185" s="196"/>
      <c r="H185" s="196"/>
      <c r="I185" s="196"/>
      <c r="J185" s="196"/>
    </row>
    <row r="186" spans="1:10">
      <c r="A186" s="842" t="s">
        <v>5902</v>
      </c>
      <c r="B186" s="842"/>
      <c r="C186" s="842"/>
      <c r="D186" s="842"/>
      <c r="E186" s="842"/>
      <c r="F186" s="842"/>
      <c r="G186" s="842"/>
      <c r="H186" s="842"/>
      <c r="I186" s="842"/>
      <c r="J186" s="842"/>
    </row>
    <row r="187" spans="1:10">
      <c r="A187" s="196"/>
      <c r="B187" s="196"/>
      <c r="C187" s="196"/>
      <c r="D187" s="196"/>
      <c r="E187" s="196"/>
      <c r="F187" s="196"/>
      <c r="G187" s="196"/>
      <c r="H187" s="196"/>
      <c r="I187" s="196"/>
      <c r="J187" s="196"/>
    </row>
    <row r="188" spans="1:10">
      <c r="A188" s="196" t="s">
        <v>5890</v>
      </c>
      <c r="B188" s="196"/>
      <c r="C188" s="196"/>
      <c r="D188" s="196"/>
      <c r="E188" s="196"/>
      <c r="F188" s="196"/>
      <c r="G188" s="196"/>
      <c r="H188" s="196"/>
      <c r="I188" s="196"/>
      <c r="J188" s="196"/>
    </row>
    <row r="189" spans="1:10">
      <c r="A189" s="196"/>
      <c r="B189" s="196"/>
      <c r="C189" s="196"/>
      <c r="D189" s="196"/>
      <c r="E189" s="196"/>
      <c r="F189" s="196"/>
      <c r="G189" s="196"/>
      <c r="H189" s="196"/>
      <c r="I189" s="196"/>
      <c r="J189" s="196"/>
    </row>
    <row r="190" spans="1:10">
      <c r="A190" s="196" t="s">
        <v>5891</v>
      </c>
      <c r="B190" s="196"/>
      <c r="C190" s="196"/>
      <c r="D190" s="196"/>
      <c r="E190" s="196"/>
      <c r="F190" s="196"/>
      <c r="G190" s="196"/>
      <c r="H190" s="196"/>
      <c r="I190" s="196"/>
      <c r="J190" s="196"/>
    </row>
    <row r="191" spans="1:10">
      <c r="A191" s="196"/>
      <c r="B191" s="196"/>
      <c r="C191" s="196"/>
      <c r="D191" s="196"/>
      <c r="E191" s="196"/>
      <c r="F191" s="196"/>
      <c r="G191" s="196"/>
      <c r="H191" s="196"/>
      <c r="I191" s="196"/>
      <c r="J191" s="196"/>
    </row>
    <row r="192" spans="1:10">
      <c r="A192" s="196" t="s">
        <v>5892</v>
      </c>
      <c r="B192" s="196"/>
      <c r="C192" s="196"/>
      <c r="D192" s="196"/>
      <c r="E192" s="196"/>
      <c r="F192" s="196"/>
      <c r="G192" s="196"/>
      <c r="H192" s="196"/>
      <c r="I192" s="196"/>
      <c r="J192" s="196"/>
    </row>
    <row r="193" spans="1:10">
      <c r="A193" s="196"/>
      <c r="B193" s="196"/>
      <c r="C193" s="196"/>
      <c r="D193" s="196"/>
      <c r="E193" s="196"/>
      <c r="F193" s="196"/>
      <c r="G193" s="196"/>
      <c r="H193" s="196"/>
      <c r="I193" s="196"/>
      <c r="J193" s="196"/>
    </row>
    <row r="194" spans="1:10">
      <c r="A194" s="196"/>
      <c r="B194" s="196"/>
      <c r="C194" s="196"/>
      <c r="D194" s="196"/>
      <c r="E194" s="196"/>
      <c r="F194" s="196"/>
      <c r="G194" s="196"/>
      <c r="H194" s="196"/>
      <c r="I194" s="196"/>
      <c r="J194" s="196"/>
    </row>
    <row r="195" spans="1:10">
      <c r="A195" s="196"/>
      <c r="B195" s="196"/>
      <c r="C195" s="196"/>
      <c r="D195" s="196"/>
      <c r="E195" s="196"/>
      <c r="F195" s="196"/>
      <c r="G195" s="196"/>
      <c r="H195" s="196"/>
      <c r="I195" s="196"/>
      <c r="J195" s="196"/>
    </row>
    <row r="196" spans="1:10">
      <c r="A196" s="842" t="s">
        <v>5903</v>
      </c>
      <c r="B196" s="842"/>
      <c r="C196" s="842"/>
      <c r="D196" s="842"/>
      <c r="E196" s="842"/>
      <c r="F196" s="842"/>
      <c r="G196" s="842"/>
      <c r="H196" s="842"/>
      <c r="I196" s="842"/>
      <c r="J196" s="842"/>
    </row>
    <row r="197" spans="1:10">
      <c r="A197" s="196"/>
      <c r="B197" s="196"/>
      <c r="C197" s="196"/>
      <c r="D197" s="196"/>
      <c r="E197" s="196"/>
      <c r="F197" s="196"/>
      <c r="G197" s="196"/>
      <c r="H197" s="196"/>
      <c r="I197" s="196"/>
      <c r="J197" s="196"/>
    </row>
    <row r="198" spans="1:10">
      <c r="A198" s="196" t="s">
        <v>5893</v>
      </c>
      <c r="B198" s="196"/>
      <c r="C198" s="196"/>
      <c r="D198" s="196"/>
      <c r="E198" s="196"/>
      <c r="F198" s="196"/>
      <c r="G198" s="196"/>
      <c r="H198" s="196"/>
      <c r="I198" s="196"/>
      <c r="J198" s="196"/>
    </row>
    <row r="199" spans="1:10">
      <c r="A199" s="196"/>
      <c r="B199" s="196"/>
      <c r="C199" s="196"/>
      <c r="D199" s="196"/>
      <c r="E199" s="196"/>
      <c r="F199" s="196"/>
      <c r="G199" s="196"/>
      <c r="H199" s="196"/>
      <c r="I199" s="196"/>
      <c r="J199" s="196"/>
    </row>
    <row r="200" spans="1:10">
      <c r="A200" s="196" t="s">
        <v>5894</v>
      </c>
      <c r="B200" s="196"/>
      <c r="C200" s="196"/>
      <c r="D200" s="196"/>
      <c r="E200" s="196"/>
      <c r="F200" s="196"/>
      <c r="G200" s="196"/>
      <c r="H200" s="196"/>
      <c r="I200" s="196"/>
      <c r="J200" s="196"/>
    </row>
    <row r="201" spans="1:10">
      <c r="A201" s="196"/>
      <c r="B201" s="196"/>
      <c r="C201" s="196"/>
      <c r="D201" s="196"/>
      <c r="E201" s="196"/>
      <c r="F201" s="196"/>
      <c r="G201" s="196"/>
      <c r="H201" s="196"/>
      <c r="I201" s="196"/>
      <c r="J201" s="196"/>
    </row>
    <row r="202" spans="1:10">
      <c r="A202" s="196" t="s">
        <v>5895</v>
      </c>
      <c r="B202" s="196"/>
      <c r="C202" s="196"/>
      <c r="D202" s="196"/>
      <c r="E202" s="196"/>
      <c r="F202" s="196"/>
      <c r="G202" s="196"/>
      <c r="H202" s="196"/>
      <c r="I202" s="196"/>
      <c r="J202" s="196"/>
    </row>
    <row r="203" spans="1:10">
      <c r="A203" s="196"/>
      <c r="B203" s="196"/>
      <c r="C203" s="196"/>
      <c r="D203" s="196"/>
      <c r="E203" s="196"/>
      <c r="F203" s="196"/>
      <c r="G203" s="196"/>
      <c r="H203" s="196"/>
      <c r="I203" s="196"/>
      <c r="J203" s="196"/>
    </row>
    <row r="204" spans="1:10">
      <c r="A204" s="196" t="s">
        <v>5896</v>
      </c>
      <c r="B204" s="196"/>
      <c r="C204" s="196"/>
      <c r="D204" s="196"/>
      <c r="E204" s="196"/>
      <c r="F204" s="196"/>
      <c r="G204" s="196"/>
      <c r="H204" s="196"/>
      <c r="I204" s="196"/>
      <c r="J204" s="196"/>
    </row>
    <row r="205" spans="1:10">
      <c r="A205" s="196"/>
      <c r="B205" s="196"/>
      <c r="C205" s="196"/>
      <c r="D205" s="196"/>
      <c r="E205" s="196"/>
      <c r="F205" s="196"/>
      <c r="G205" s="196"/>
      <c r="H205" s="196"/>
      <c r="I205" s="196"/>
      <c r="J205" s="196"/>
    </row>
    <row r="206" spans="1:10">
      <c r="A206" s="196"/>
      <c r="B206" s="196"/>
      <c r="C206" s="196"/>
      <c r="D206" s="196"/>
      <c r="E206" s="196"/>
      <c r="F206" s="196"/>
      <c r="G206" s="196"/>
      <c r="H206" s="196"/>
      <c r="I206" s="196"/>
      <c r="J206" s="196"/>
    </row>
    <row r="207" spans="1:10">
      <c r="A207" s="196"/>
      <c r="B207" s="196"/>
      <c r="C207" s="196"/>
      <c r="D207" s="196"/>
      <c r="E207" s="196"/>
      <c r="F207" s="196"/>
      <c r="G207" s="196"/>
      <c r="H207" s="196"/>
      <c r="I207" s="196"/>
      <c r="J207" s="196"/>
    </row>
    <row r="208" spans="1:10">
      <c r="A208" s="842" t="s">
        <v>5904</v>
      </c>
      <c r="B208" s="842"/>
      <c r="C208" s="842"/>
      <c r="D208" s="842"/>
      <c r="E208" s="842"/>
      <c r="F208" s="842"/>
      <c r="G208" s="842"/>
      <c r="H208" s="842"/>
      <c r="I208" s="842"/>
      <c r="J208" s="842"/>
    </row>
    <row r="209" spans="1:10">
      <c r="A209" s="196"/>
      <c r="B209" s="196"/>
      <c r="C209" s="196"/>
      <c r="D209" s="196"/>
      <c r="E209" s="196"/>
      <c r="F209" s="196"/>
      <c r="G209" s="196"/>
      <c r="H209" s="196"/>
      <c r="I209" s="196"/>
      <c r="J209" s="196"/>
    </row>
    <row r="210" spans="1:10">
      <c r="A210" s="196" t="s">
        <v>5897</v>
      </c>
      <c r="B210" s="196"/>
      <c r="C210" s="196"/>
      <c r="D210" s="196"/>
      <c r="E210" s="196"/>
      <c r="F210" s="196"/>
      <c r="G210" s="196"/>
      <c r="H210" s="196"/>
      <c r="I210" s="196"/>
      <c r="J210" s="196"/>
    </row>
    <row r="211" spans="1:10">
      <c r="A211" s="196"/>
      <c r="B211" s="196"/>
      <c r="C211" s="196"/>
      <c r="D211" s="196"/>
      <c r="E211" s="196"/>
      <c r="F211" s="196"/>
      <c r="G211" s="196"/>
      <c r="H211" s="196"/>
      <c r="I211" s="196"/>
      <c r="J211" s="196"/>
    </row>
    <row r="212" spans="1:10">
      <c r="A212" s="196" t="s">
        <v>5898</v>
      </c>
      <c r="B212" s="196"/>
      <c r="C212" s="196"/>
      <c r="D212" s="196"/>
      <c r="E212" s="196"/>
      <c r="F212" s="196"/>
      <c r="G212" s="196"/>
      <c r="H212" s="196"/>
      <c r="I212" s="196"/>
      <c r="J212" s="196"/>
    </row>
    <row r="213" spans="1:10">
      <c r="A213" s="196"/>
      <c r="B213" s="196"/>
      <c r="C213" s="196"/>
      <c r="D213" s="196"/>
      <c r="E213" s="196"/>
      <c r="F213" s="196"/>
      <c r="G213" s="196"/>
      <c r="H213" s="196"/>
      <c r="I213" s="196"/>
      <c r="J213" s="196"/>
    </row>
    <row r="214" spans="1:10">
      <c r="A214" s="196" t="s">
        <v>5899</v>
      </c>
      <c r="B214" s="196"/>
      <c r="C214" s="196"/>
      <c r="D214" s="196"/>
      <c r="E214" s="196"/>
      <c r="F214" s="196"/>
      <c r="G214" s="196"/>
      <c r="H214" s="196"/>
      <c r="I214" s="196"/>
      <c r="J214" s="196"/>
    </row>
    <row r="215" spans="1:10">
      <c r="A215" s="196"/>
      <c r="B215" s="196"/>
      <c r="C215" s="196"/>
      <c r="D215" s="196"/>
      <c r="E215" s="196"/>
      <c r="F215" s="196"/>
      <c r="G215" s="196"/>
      <c r="H215" s="196"/>
      <c r="I215" s="196"/>
      <c r="J215" s="196"/>
    </row>
    <row r="216" spans="1:10">
      <c r="A216" s="196"/>
      <c r="B216" s="196"/>
      <c r="C216" s="196"/>
      <c r="D216" s="196"/>
      <c r="E216" s="196"/>
      <c r="F216" s="196"/>
      <c r="G216" s="196"/>
      <c r="H216" s="196"/>
      <c r="I216" s="196"/>
      <c r="J216" s="196"/>
    </row>
    <row r="217" spans="1:10">
      <c r="A217" s="196"/>
      <c r="B217" s="196"/>
      <c r="C217" s="196"/>
      <c r="D217" s="196"/>
      <c r="E217" s="196"/>
      <c r="F217" s="196"/>
      <c r="G217" s="196"/>
      <c r="H217" s="196"/>
      <c r="I217" s="196"/>
      <c r="J217" s="196"/>
    </row>
    <row r="218" spans="1:10">
      <c r="A218" s="196" t="s">
        <v>5900</v>
      </c>
      <c r="B218" s="196"/>
      <c r="C218" s="196"/>
      <c r="D218" s="196"/>
      <c r="E218" s="196"/>
      <c r="F218" s="196"/>
      <c r="G218" s="196"/>
      <c r="H218" s="196"/>
      <c r="I218" s="196"/>
      <c r="J218" s="196"/>
    </row>
    <row r="219" spans="1:10">
      <c r="A219" s="196"/>
      <c r="B219" s="196"/>
      <c r="C219" s="196"/>
      <c r="D219" s="196"/>
      <c r="E219" s="196"/>
      <c r="F219" s="196"/>
      <c r="G219" s="196"/>
      <c r="H219" s="196"/>
      <c r="I219" s="196"/>
      <c r="J219" s="196"/>
    </row>
    <row r="220" spans="1:10">
      <c r="A220" s="341"/>
      <c r="B220" s="341"/>
      <c r="C220" s="341"/>
      <c r="D220" s="341"/>
      <c r="E220" s="341"/>
      <c r="F220" s="341"/>
      <c r="G220" s="341"/>
      <c r="H220" s="341"/>
      <c r="I220" s="341"/>
      <c r="J220" s="341"/>
    </row>
    <row r="221" spans="1:10">
      <c r="A221" s="341"/>
      <c r="B221" s="341"/>
      <c r="C221" s="341"/>
      <c r="D221" s="341"/>
      <c r="E221" s="341"/>
      <c r="F221" s="341"/>
      <c r="G221" s="341"/>
      <c r="H221" s="341"/>
      <c r="I221" s="341"/>
      <c r="J221" s="341"/>
    </row>
    <row r="222" spans="1:10">
      <c r="A222" s="341"/>
      <c r="B222" s="341"/>
      <c r="C222" s="341"/>
      <c r="D222" s="341"/>
      <c r="E222" s="341"/>
      <c r="F222" s="341"/>
      <c r="G222" s="341"/>
      <c r="H222" s="341"/>
      <c r="I222" s="341"/>
      <c r="J222" s="341"/>
    </row>
    <row r="223" spans="1:10">
      <c r="A223" s="341"/>
      <c r="B223" s="341"/>
      <c r="C223" s="341"/>
      <c r="D223" s="341"/>
      <c r="E223" s="341"/>
      <c r="F223" s="341"/>
      <c r="G223" s="341"/>
      <c r="H223" s="341"/>
      <c r="I223" s="341"/>
      <c r="J223" s="341"/>
    </row>
    <row r="224" spans="1:10">
      <c r="A224" s="341"/>
      <c r="B224" s="341"/>
      <c r="C224" s="341"/>
      <c r="D224" s="341"/>
      <c r="E224" s="341"/>
      <c r="F224" s="341"/>
      <c r="G224" s="341"/>
      <c r="H224" s="341"/>
      <c r="I224" s="341"/>
      <c r="J224" s="341"/>
    </row>
    <row r="225" spans="1:10">
      <c r="A225" s="341"/>
      <c r="B225" s="341"/>
      <c r="C225" s="341"/>
      <c r="D225" s="341"/>
      <c r="E225" s="341"/>
      <c r="F225" s="341"/>
      <c r="G225" s="341"/>
      <c r="H225" s="341"/>
      <c r="I225" s="341"/>
      <c r="J225" s="341"/>
    </row>
    <row r="226" spans="1:10">
      <c r="A226" s="341"/>
      <c r="B226" s="341"/>
      <c r="C226" s="341"/>
      <c r="D226" s="341"/>
      <c r="E226" s="341"/>
      <c r="F226" s="341"/>
      <c r="G226" s="341"/>
      <c r="H226" s="341"/>
      <c r="I226" s="341"/>
      <c r="J226" s="341"/>
    </row>
    <row r="227" spans="1:10">
      <c r="A227" s="341"/>
      <c r="B227" s="341"/>
      <c r="C227" s="341"/>
      <c r="D227" s="341"/>
      <c r="E227" s="341"/>
      <c r="F227" s="341"/>
      <c r="G227" s="341"/>
      <c r="H227" s="341"/>
      <c r="I227" s="341"/>
      <c r="J227" s="341"/>
    </row>
    <row r="228" spans="1:10">
      <c r="A228" s="341"/>
      <c r="B228" s="341"/>
      <c r="C228" s="341"/>
      <c r="D228" s="341"/>
      <c r="E228" s="341"/>
      <c r="F228" s="341"/>
      <c r="G228" s="341"/>
      <c r="H228" s="341"/>
      <c r="I228" s="341"/>
      <c r="J228" s="341"/>
    </row>
    <row r="229" spans="1:10">
      <c r="A229" s="196"/>
      <c r="B229" s="196"/>
      <c r="C229" s="196"/>
      <c r="D229" s="196"/>
      <c r="E229" s="196"/>
      <c r="F229" s="196"/>
      <c r="G229" s="196"/>
      <c r="H229" s="196"/>
      <c r="I229" s="196"/>
      <c r="J229" s="196"/>
    </row>
    <row r="230" spans="1:10">
      <c r="A230" s="320"/>
      <c r="B230" s="320"/>
      <c r="C230" s="320"/>
      <c r="D230" s="320"/>
      <c r="E230" s="320"/>
      <c r="F230" s="320"/>
      <c r="G230" s="874"/>
      <c r="H230" s="874"/>
      <c r="I230" s="874"/>
      <c r="J230" s="874"/>
    </row>
  </sheetData>
  <mergeCells count="120">
    <mergeCell ref="B87:J87"/>
    <mergeCell ref="A33:C33"/>
    <mergeCell ref="A23:C23"/>
    <mergeCell ref="B86:J86"/>
    <mergeCell ref="A89:C89"/>
    <mergeCell ref="D89:F89"/>
    <mergeCell ref="G89:J89"/>
    <mergeCell ref="A1:J1"/>
    <mergeCell ref="A13:C13"/>
    <mergeCell ref="B85:J85"/>
    <mergeCell ref="D6:J6"/>
    <mergeCell ref="A65:C65"/>
    <mergeCell ref="A54:C54"/>
    <mergeCell ref="A8:C8"/>
    <mergeCell ref="B84:J84"/>
    <mergeCell ref="B83:J83"/>
    <mergeCell ref="A43:C43"/>
    <mergeCell ref="A38:C38"/>
    <mergeCell ref="A28:C28"/>
    <mergeCell ref="A80:C80"/>
    <mergeCell ref="A75:C75"/>
    <mergeCell ref="A18:C18"/>
    <mergeCell ref="B82:J82"/>
    <mergeCell ref="A98:C98"/>
    <mergeCell ref="D98:F98"/>
    <mergeCell ref="G98:J98"/>
    <mergeCell ref="G99:J99"/>
    <mergeCell ref="F100:J100"/>
    <mergeCell ref="G90:J90"/>
    <mergeCell ref="G91:J91"/>
    <mergeCell ref="G92:J92"/>
    <mergeCell ref="G94:J94"/>
    <mergeCell ref="A96:B96"/>
    <mergeCell ref="E96:J96"/>
    <mergeCell ref="F106:J106"/>
    <mergeCell ref="F107:J107"/>
    <mergeCell ref="A108:B108"/>
    <mergeCell ref="C108:D108"/>
    <mergeCell ref="E108:J108"/>
    <mergeCell ref="F101:J101"/>
    <mergeCell ref="F102:J102"/>
    <mergeCell ref="F103:J103"/>
    <mergeCell ref="F104:J104"/>
    <mergeCell ref="F105:J105"/>
    <mergeCell ref="G113:J113"/>
    <mergeCell ref="G114:J114"/>
    <mergeCell ref="G115:J115"/>
    <mergeCell ref="G116:J116"/>
    <mergeCell ref="A117:B117"/>
    <mergeCell ref="C117:D117"/>
    <mergeCell ref="E117:J117"/>
    <mergeCell ref="A110:C110"/>
    <mergeCell ref="D110:F110"/>
    <mergeCell ref="G110:J110"/>
    <mergeCell ref="G111:J111"/>
    <mergeCell ref="G112:J112"/>
    <mergeCell ref="G121:J121"/>
    <mergeCell ref="G122:J122"/>
    <mergeCell ref="G123:J123"/>
    <mergeCell ref="G124:J124"/>
    <mergeCell ref="A125:D126"/>
    <mergeCell ref="E125:J126"/>
    <mergeCell ref="G118:J118"/>
    <mergeCell ref="A119:C119"/>
    <mergeCell ref="D119:F119"/>
    <mergeCell ref="G119:J119"/>
    <mergeCell ref="G120:J120"/>
    <mergeCell ref="G130:J130"/>
    <mergeCell ref="G131:J131"/>
    <mergeCell ref="G132:J132"/>
    <mergeCell ref="G133:J133"/>
    <mergeCell ref="G134:J134"/>
    <mergeCell ref="A127:C127"/>
    <mergeCell ref="D127:F127"/>
    <mergeCell ref="G127:J127"/>
    <mergeCell ref="G128:J128"/>
    <mergeCell ref="G129:J129"/>
    <mergeCell ref="B140:J140"/>
    <mergeCell ref="B141:J141"/>
    <mergeCell ref="B142:J142"/>
    <mergeCell ref="B143:J143"/>
    <mergeCell ref="B144:J144"/>
    <mergeCell ref="A135:B135"/>
    <mergeCell ref="C135:D135"/>
    <mergeCell ref="E135:J135"/>
    <mergeCell ref="A137:C137"/>
    <mergeCell ref="B139:J139"/>
    <mergeCell ref="B162:D162"/>
    <mergeCell ref="E162:G162"/>
    <mergeCell ref="B163:D163"/>
    <mergeCell ref="E163:G163"/>
    <mergeCell ref="B164:D164"/>
    <mergeCell ref="E164:G164"/>
    <mergeCell ref="B145:J145"/>
    <mergeCell ref="A147:H147"/>
    <mergeCell ref="B148:H148"/>
    <mergeCell ref="B149:H149"/>
    <mergeCell ref="B161:D161"/>
    <mergeCell ref="E161:G161"/>
    <mergeCell ref="B168:D168"/>
    <mergeCell ref="E168:G168"/>
    <mergeCell ref="A175:C175"/>
    <mergeCell ref="D175:F175"/>
    <mergeCell ref="G175:J175"/>
    <mergeCell ref="B165:D165"/>
    <mergeCell ref="E165:G165"/>
    <mergeCell ref="B166:D166"/>
    <mergeCell ref="E166:G166"/>
    <mergeCell ref="B167:D167"/>
    <mergeCell ref="E167:G167"/>
    <mergeCell ref="A208:C208"/>
    <mergeCell ref="D208:F208"/>
    <mergeCell ref="G208:J208"/>
    <mergeCell ref="G230:J230"/>
    <mergeCell ref="A186:C186"/>
    <mergeCell ref="D186:F186"/>
    <mergeCell ref="G186:J186"/>
    <mergeCell ref="A196:C196"/>
    <mergeCell ref="D196:F196"/>
    <mergeCell ref="G196:J196"/>
  </mergeCells>
  <conditionalFormatting sqref="B91:B95">
    <cfRule type="expression" dxfId="1123" priority="21">
      <formula>B91="Complete"</formula>
    </cfRule>
    <cfRule type="expression" dxfId="1122" priority="22">
      <formula>B91="In Progress"</formula>
    </cfRule>
    <cfRule type="expression" dxfId="1121" priority="23">
      <formula>B91="At Risk"</formula>
    </cfRule>
    <cfRule type="expression" dxfId="1120" priority="24">
      <formula>B91="Blocked"</formula>
    </cfRule>
    <cfRule type="expression" dxfId="1119" priority="25">
      <formula>B91="Not Started"</formula>
    </cfRule>
  </conditionalFormatting>
  <conditionalFormatting sqref="B100:B107">
    <cfRule type="expression" dxfId="1118" priority="1">
      <formula>B100="Complete"</formula>
    </cfRule>
    <cfRule type="expression" dxfId="1117" priority="2">
      <formula>B100="In Progress"</formula>
    </cfRule>
    <cfRule type="expression" dxfId="1116" priority="3">
      <formula>B100="At Risk"</formula>
    </cfRule>
    <cfRule type="expression" dxfId="1115" priority="4">
      <formula>B100="Blocked"</formula>
    </cfRule>
    <cfRule type="expression" dxfId="1114" priority="5">
      <formula>B100="Not Started"</formula>
    </cfRule>
  </conditionalFormatting>
  <conditionalFormatting sqref="B112:B116">
    <cfRule type="expression" dxfId="1113" priority="26">
      <formula>B112="Complete"</formula>
    </cfRule>
    <cfRule type="expression" dxfId="1112" priority="27">
      <formula>B112="In Progress"</formula>
    </cfRule>
    <cfRule type="expression" dxfId="1111" priority="28">
      <formula>B112="At Risk"</formula>
    </cfRule>
    <cfRule type="expression" dxfId="1110" priority="29">
      <formula>B112="Blocked"</formula>
    </cfRule>
    <cfRule type="expression" dxfId="1109" priority="30">
      <formula>B112="Not Started"</formula>
    </cfRule>
  </conditionalFormatting>
  <conditionalFormatting sqref="B121:B124">
    <cfRule type="expression" dxfId="1108" priority="6">
      <formula>B121="Complete"</formula>
    </cfRule>
    <cfRule type="expression" dxfId="1107" priority="7">
      <formula>B121="In Progress"</formula>
    </cfRule>
    <cfRule type="expression" dxfId="1106" priority="8">
      <formula>B121="At Risk"</formula>
    </cfRule>
    <cfRule type="expression" dxfId="1105" priority="9">
      <formula>B121="Blocked"</formula>
    </cfRule>
    <cfRule type="expression" dxfId="1104" priority="10">
      <formula>B121="Not Started"</formula>
    </cfRule>
  </conditionalFormatting>
  <conditionalFormatting sqref="B129:B134">
    <cfRule type="expression" dxfId="1103" priority="11">
      <formula>B129="Complete"</formula>
    </cfRule>
    <cfRule type="expression" dxfId="1102" priority="12">
      <formula>B129="In Progress"</formula>
    </cfRule>
    <cfRule type="expression" dxfId="1101" priority="13">
      <formula>B129="At Risk"</formula>
    </cfRule>
    <cfRule type="expression" dxfId="1100" priority="14">
      <formula>B129="Blocked"</formula>
    </cfRule>
    <cfRule type="expression" dxfId="1099" priority="15">
      <formula>B129="Not Started"</formula>
    </cfRule>
  </conditionalFormatting>
  <conditionalFormatting sqref="B152:B159">
    <cfRule type="expression" dxfId="1098" priority="82">
      <formula>B152="Yes"</formula>
    </cfRule>
    <cfRule type="expression" dxfId="1097" priority="83">
      <formula>B152="N/A"</formula>
    </cfRule>
    <cfRule type="expression" dxfId="1096" priority="84">
      <formula>B152="No"</formula>
    </cfRule>
  </conditionalFormatting>
  <conditionalFormatting sqref="B169:H169">
    <cfRule type="expression" dxfId="1095" priority="85">
      <formula>COUNTIF($B$6:$B$13,"No")=0</formula>
    </cfRule>
    <cfRule type="expression" dxfId="1094" priority="86">
      <formula>COUNTIF($B$6:$B$13,"No")&gt;0</formula>
    </cfRule>
  </conditionalFormatting>
  <conditionalFormatting sqref="C96:D96">
    <cfRule type="dataBar" priority="37">
      <dataBar>
        <cfvo type="num" val="0"/>
        <cfvo type="num" val="1"/>
        <color rgb="FF5B9BD5"/>
      </dataBar>
    </cfRule>
  </conditionalFormatting>
  <conditionalFormatting sqref="C100:D107">
    <cfRule type="expression" dxfId="1093" priority="31">
      <formula>C100="Yes"</formula>
    </cfRule>
    <cfRule type="expression" dxfId="1092" priority="32">
      <formula>C100="No"</formula>
    </cfRule>
    <cfRule type="expression" dxfId="1091" priority="33">
      <formula>C100="N/A"</formula>
    </cfRule>
  </conditionalFormatting>
  <conditionalFormatting sqref="C108:D108">
    <cfRule type="dataBar" priority="38">
      <dataBar>
        <cfvo type="num" val="0"/>
        <cfvo type="num" val="1"/>
        <color rgb="FF5B9BD5"/>
      </dataBar>
    </cfRule>
  </conditionalFormatting>
  <conditionalFormatting sqref="C117:D117">
    <cfRule type="dataBar" priority="39">
      <dataBar>
        <cfvo type="num" val="0"/>
        <cfvo type="num" val="1"/>
        <color rgb="FF5B9BD5"/>
      </dataBar>
    </cfRule>
  </conditionalFormatting>
  <conditionalFormatting sqref="C129:D134">
    <cfRule type="expression" dxfId="1090" priority="16">
      <formula>C129="Yes"</formula>
    </cfRule>
    <cfRule type="expression" dxfId="1089" priority="17">
      <formula>C129="No"</formula>
    </cfRule>
    <cfRule type="expression" dxfId="1088" priority="18">
      <formula>C129="N/A"</formula>
    </cfRule>
  </conditionalFormatting>
  <conditionalFormatting sqref="C135:D135">
    <cfRule type="dataBar" priority="20">
      <dataBar>
        <cfvo type="num" val="0"/>
        <cfvo type="num" val="1"/>
        <color rgb="FF5B9BD5"/>
      </dataBar>
    </cfRule>
  </conditionalFormatting>
  <conditionalFormatting sqref="E5 G5 I5">
    <cfRule type="expression" dxfId="1087" priority="87">
      <formula>E5="Pass"</formula>
    </cfRule>
    <cfRule type="expression" dxfId="1086" priority="88">
      <formula>E5="Verify"</formula>
    </cfRule>
    <cfRule type="expression" dxfId="1085" priority="89">
      <formula>E5="Fail"</formula>
    </cfRule>
    <cfRule type="expression" dxfId="1084" priority="90">
      <formula>E5="Not Started"</formula>
    </cfRule>
  </conditionalFormatting>
  <conditionalFormatting sqref="F3">
    <cfRule type="expression" dxfId="1083" priority="91">
      <formula>F3="Yes"</formula>
    </cfRule>
    <cfRule type="expression" dxfId="1082" priority="92">
      <formula>F3="No"</formula>
    </cfRule>
  </conditionalFormatting>
  <conditionalFormatting sqref="F112:F116">
    <cfRule type="expression" dxfId="1081" priority="34">
      <formula>F112="Pass"</formula>
    </cfRule>
    <cfRule type="expression" dxfId="1080" priority="35">
      <formula>F112="Fail"</formula>
    </cfRule>
    <cfRule type="expression" dxfId="1079" priority="36">
      <formula>F112="Pending"</formula>
    </cfRule>
  </conditionalFormatting>
  <conditionalFormatting sqref="F121:F124">
    <cfRule type="dataBar" priority="19">
      <dataBar>
        <cfvo type="num" val="0"/>
        <cfvo type="num" val="1"/>
        <color rgb="FF5B9BD5"/>
      </dataBar>
    </cfRule>
  </conditionalFormatting>
  <dataValidations count="5">
    <dataValidation type="list" sqref="B5:B6 D5 F5 H5 H10:H16 H137:I138 H83:I87 I16 J5 H140:I145 D56:D63 H17:I81" xr:uid="{00000000-0002-0000-2A00-000000000000}">
      <formula1>"Not Started,Verify,Pass,Fail,N/A,Open,Closed,Partial / Yellow"</formula1>
      <formula2>0</formula2>
    </dataValidation>
    <dataValidation type="list" allowBlank="1" sqref="F112:F116" xr:uid="{A759B97A-F9A3-4ECE-A411-E8E09C6EA9B4}">
      <formula1>"Pending,Pass,Fail,N/A"</formula1>
    </dataValidation>
    <dataValidation type="list" allowBlank="1" sqref="C100:D107 C129:D134" xr:uid="{14CB93BF-896E-4D38-9120-255AA143EFC6}">
      <formula1>"Yes,No,N/A"</formula1>
    </dataValidation>
    <dataValidation type="list" allowBlank="1" sqref="B121:B124 B112:B116" xr:uid="{6CE1B291-BBDF-4F35-AD02-8CBF2964C9B6}">
      <formula1>"Not Started,In Progress,Complete,At Risk,Blocked"</formula1>
    </dataValidation>
    <dataValidation type="list" sqref="B152:B159" xr:uid="{4AAA017A-C241-4B32-978F-E154652094DF}">
      <formula1>"No,Yes,N/A"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1BAE24A2-E832-4635-8775-1D066B9EA8D1}">
          <x14:formula1>
            <xm:f>Lookup_Lists!$L$37:$L$39</xm:f>
          </x14:formula1>
          <xm:sqref>C112:E116 J2</xm:sqref>
        </x14:dataValidation>
        <x14:dataValidation type="list" allowBlank="1" showInputMessage="1" showErrorMessage="1" xr:uid="{7C81FD17-0FF6-4AFA-A502-45B56110062C}">
          <x14:formula1>
            <xm:f>Lookup_Lists!$A$36:$A$42</xm:f>
          </x14:formula1>
          <xm:sqref>B91:B95 B100:B107 B129:B134</xm:sqref>
        </x14:dataValidation>
      </x14:dataValidations>
    </ext>
  </extLst>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46BD1-0591-48FE-ABB2-F6F9E9B19CB7}">
  <dimension ref="A1:J239"/>
  <sheetViews>
    <sheetView workbookViewId="0">
      <selection activeCell="D4" sqref="D4"/>
    </sheetView>
  </sheetViews>
  <sheetFormatPr defaultColWidth="8.6640625" defaultRowHeight="14.4"/>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6640625" style="8" customWidth="1"/>
    <col min="13" max="16384" width="8.6640625" style="8"/>
  </cols>
  <sheetData>
    <row r="1" spans="1:10">
      <c r="A1" s="851" t="s">
        <v>1777</v>
      </c>
      <c r="B1" s="839"/>
      <c r="C1" s="839"/>
      <c r="D1" s="839"/>
      <c r="E1" s="839"/>
      <c r="F1" s="839"/>
      <c r="G1" s="839"/>
      <c r="H1" s="839"/>
      <c r="I1" s="839"/>
      <c r="J1" s="839"/>
    </row>
    <row r="2" spans="1:10" s="227" customFormat="1">
      <c r="A2" s="223" t="s">
        <v>142</v>
      </c>
      <c r="B2" s="224" t="s">
        <v>1778</v>
      </c>
      <c r="C2" s="223" t="s">
        <v>902</v>
      </c>
      <c r="D2" s="224" t="s">
        <v>1094</v>
      </c>
      <c r="E2" s="223" t="s">
        <v>151</v>
      </c>
      <c r="F2" s="224" t="s">
        <v>1095</v>
      </c>
      <c r="G2" s="223" t="s">
        <v>174</v>
      </c>
      <c r="H2" s="225">
        <v>0.5</v>
      </c>
      <c r="I2" s="223" t="s">
        <v>154</v>
      </c>
      <c r="J2" s="226" t="s">
        <v>1096</v>
      </c>
    </row>
    <row r="3" spans="1:10" s="231" customFormat="1" ht="27.6">
      <c r="A3" s="223" t="s">
        <v>903</v>
      </c>
      <c r="B3" s="228">
        <v>46198.595927916656</v>
      </c>
      <c r="C3" s="229" t="s">
        <v>904</v>
      </c>
      <c r="D3" s="230" t="s">
        <v>721</v>
      </c>
      <c r="E3" s="223" t="s">
        <v>905</v>
      </c>
      <c r="F3" s="230" t="s">
        <v>1779</v>
      </c>
      <c r="G3" s="223" t="s">
        <v>907</v>
      </c>
      <c r="H3" s="230" t="s">
        <v>908</v>
      </c>
      <c r="I3" s="223" t="s">
        <v>551</v>
      </c>
      <c r="J3" s="230" t="s">
        <v>1780</v>
      </c>
    </row>
    <row r="4" spans="1:10" s="231" customFormat="1" ht="165.6">
      <c r="A4" s="223" t="s">
        <v>161</v>
      </c>
      <c r="B4" s="230">
        <v>0</v>
      </c>
      <c r="C4" s="223" t="s">
        <v>199</v>
      </c>
      <c r="D4" s="230">
        <v>0</v>
      </c>
      <c r="E4" s="223" t="s">
        <v>179</v>
      </c>
      <c r="F4" s="230">
        <v>0</v>
      </c>
      <c r="G4" s="223" t="s">
        <v>870</v>
      </c>
      <c r="H4" s="232" t="s">
        <v>1781</v>
      </c>
      <c r="I4" s="233"/>
      <c r="J4" s="233"/>
    </row>
    <row r="5" spans="1:10" s="231" customFormat="1">
      <c r="A5" s="234" t="s">
        <v>911</v>
      </c>
      <c r="B5" s="225" t="s">
        <v>677</v>
      </c>
      <c r="C5" s="235" t="s">
        <v>912</v>
      </c>
      <c r="D5" s="225" t="s">
        <v>677</v>
      </c>
      <c r="E5" s="236" t="s">
        <v>913</v>
      </c>
      <c r="F5" s="225" t="s">
        <v>677</v>
      </c>
      <c r="G5" s="237" t="s">
        <v>914</v>
      </c>
      <c r="H5" s="225" t="s">
        <v>677</v>
      </c>
      <c r="I5" s="237" t="s">
        <v>915</v>
      </c>
      <c r="J5" s="225" t="s">
        <v>677</v>
      </c>
    </row>
    <row r="6" spans="1:10" s="231" customFormat="1" ht="33.75" customHeight="1">
      <c r="A6" s="238" t="s">
        <v>916</v>
      </c>
      <c r="B6" s="225" t="s">
        <v>677</v>
      </c>
      <c r="C6" s="239" t="s">
        <v>869</v>
      </c>
      <c r="D6" s="854" t="s">
        <v>1782</v>
      </c>
      <c r="E6" s="853"/>
      <c r="F6" s="853"/>
      <c r="G6" s="853"/>
      <c r="H6" s="853"/>
      <c r="I6" s="853"/>
      <c r="J6" s="853"/>
    </row>
    <row r="7" spans="1:10">
      <c r="A7" s="13"/>
      <c r="B7" s="13"/>
      <c r="C7" s="13"/>
      <c r="D7" s="13"/>
      <c r="E7" s="13"/>
      <c r="F7" s="13"/>
      <c r="G7" s="13"/>
      <c r="H7" s="13"/>
      <c r="I7" s="13"/>
      <c r="J7" s="13"/>
    </row>
    <row r="8" spans="1:10" ht="27.6">
      <c r="A8" s="13" t="s">
        <v>918</v>
      </c>
      <c r="B8" s="13"/>
      <c r="C8" s="13"/>
      <c r="D8" s="13"/>
      <c r="E8" s="13"/>
      <c r="F8" s="13"/>
      <c r="G8" s="13"/>
      <c r="H8" s="13"/>
      <c r="I8" s="13"/>
      <c r="J8" s="13"/>
    </row>
    <row r="9" spans="1:10">
      <c r="A9" s="50" t="s">
        <v>142</v>
      </c>
      <c r="B9" s="50" t="s">
        <v>275</v>
      </c>
      <c r="C9" s="50" t="s">
        <v>884</v>
      </c>
      <c r="D9" s="50" t="s">
        <v>885</v>
      </c>
      <c r="E9" s="50" t="s">
        <v>886</v>
      </c>
      <c r="F9" s="50" t="s">
        <v>887</v>
      </c>
      <c r="G9" s="50" t="s">
        <v>888</v>
      </c>
      <c r="H9" s="50" t="s">
        <v>77</v>
      </c>
      <c r="I9" s="50" t="s">
        <v>889</v>
      </c>
      <c r="J9" s="50" t="s">
        <v>11</v>
      </c>
    </row>
    <row r="10" spans="1:10" ht="55.2">
      <c r="A10" s="13" t="s">
        <v>1778</v>
      </c>
      <c r="B10" s="13" t="s">
        <v>1783</v>
      </c>
      <c r="C10" s="13" t="s">
        <v>923</v>
      </c>
      <c r="D10" s="13" t="s">
        <v>1784</v>
      </c>
      <c r="E10" s="13" t="s">
        <v>1473</v>
      </c>
      <c r="F10" s="13">
        <v>2</v>
      </c>
      <c r="G10" s="13">
        <v>0</v>
      </c>
      <c r="H10" s="13" t="s">
        <v>677</v>
      </c>
      <c r="I10" s="13" t="s">
        <v>1785</v>
      </c>
      <c r="J10" s="13" t="s">
        <v>1786</v>
      </c>
    </row>
    <row r="11" spans="1:10" ht="69">
      <c r="A11" s="13" t="s">
        <v>1778</v>
      </c>
      <c r="B11" s="13" t="s">
        <v>1787</v>
      </c>
      <c r="C11" s="13" t="s">
        <v>923</v>
      </c>
      <c r="D11" s="13" t="s">
        <v>1788</v>
      </c>
      <c r="E11" s="13" t="s">
        <v>1789</v>
      </c>
      <c r="F11" s="13">
        <v>1</v>
      </c>
      <c r="G11" s="13">
        <v>0</v>
      </c>
      <c r="H11" s="13" t="s">
        <v>677</v>
      </c>
      <c r="I11" s="13" t="s">
        <v>1790</v>
      </c>
      <c r="J11" s="13" t="s">
        <v>1791</v>
      </c>
    </row>
    <row r="12" spans="1:10" ht="69">
      <c r="A12" s="13" t="s">
        <v>1778</v>
      </c>
      <c r="B12" s="13" t="s">
        <v>406</v>
      </c>
      <c r="C12" s="13" t="s">
        <v>933</v>
      </c>
      <c r="D12" s="13" t="s">
        <v>1792</v>
      </c>
      <c r="E12" s="13" t="s">
        <v>356</v>
      </c>
      <c r="F12" s="13">
        <v>2</v>
      </c>
      <c r="G12" s="13">
        <v>0</v>
      </c>
      <c r="H12" s="13" t="s">
        <v>677</v>
      </c>
      <c r="I12" s="13" t="s">
        <v>1793</v>
      </c>
      <c r="J12" s="13" t="s">
        <v>1794</v>
      </c>
    </row>
    <row r="13" spans="1:10">
      <c r="A13" s="13"/>
      <c r="B13" s="13"/>
      <c r="C13" s="13"/>
      <c r="D13" s="13"/>
      <c r="E13" s="13"/>
      <c r="F13" s="13"/>
      <c r="G13" s="13"/>
      <c r="H13" s="13"/>
      <c r="I13" s="13"/>
      <c r="J13" s="13"/>
    </row>
    <row r="14" spans="1:10" ht="27.6">
      <c r="A14" s="13" t="s">
        <v>936</v>
      </c>
      <c r="B14" s="13"/>
      <c r="C14" s="13"/>
      <c r="D14" s="13"/>
      <c r="E14" s="13"/>
      <c r="F14" s="13"/>
      <c r="G14" s="13"/>
      <c r="H14" s="13"/>
      <c r="I14" s="13"/>
      <c r="J14" s="13"/>
    </row>
    <row r="15" spans="1:10">
      <c r="A15" s="50" t="s">
        <v>275</v>
      </c>
      <c r="B15" s="50" t="s">
        <v>937</v>
      </c>
      <c r="C15" s="50" t="s">
        <v>938</v>
      </c>
      <c r="D15" s="50" t="s">
        <v>939</v>
      </c>
      <c r="E15" s="50" t="s">
        <v>940</v>
      </c>
      <c r="F15" s="50" t="s">
        <v>941</v>
      </c>
      <c r="G15" s="50" t="s">
        <v>942</v>
      </c>
      <c r="H15" s="50" t="s">
        <v>943</v>
      </c>
      <c r="I15" s="50" t="s">
        <v>899</v>
      </c>
      <c r="J15" s="50" t="s">
        <v>944</v>
      </c>
    </row>
    <row r="16" spans="1:10" ht="41.4">
      <c r="A16" s="13" t="s">
        <v>1783</v>
      </c>
      <c r="B16" s="13" t="s">
        <v>677</v>
      </c>
      <c r="C16" s="13" t="s">
        <v>677</v>
      </c>
      <c r="D16" s="13" t="s">
        <v>677</v>
      </c>
      <c r="E16" s="13" t="s">
        <v>677</v>
      </c>
      <c r="F16" s="13" t="s">
        <v>677</v>
      </c>
      <c r="G16" s="13" t="s">
        <v>677</v>
      </c>
      <c r="H16" s="13" t="s">
        <v>677</v>
      </c>
      <c r="I16" s="13" t="s">
        <v>677</v>
      </c>
      <c r="J16" s="13" t="s">
        <v>1795</v>
      </c>
    </row>
    <row r="17" spans="1:10" ht="55.2">
      <c r="A17" s="13" t="s">
        <v>1787</v>
      </c>
      <c r="B17" s="13" t="s">
        <v>677</v>
      </c>
      <c r="C17" s="13" t="s">
        <v>677</v>
      </c>
      <c r="D17" s="13" t="s">
        <v>677</v>
      </c>
      <c r="E17" s="13" t="s">
        <v>677</v>
      </c>
      <c r="F17" s="13" t="s">
        <v>677</v>
      </c>
      <c r="G17" s="13" t="s">
        <v>677</v>
      </c>
      <c r="H17" s="13" t="s">
        <v>677</v>
      </c>
      <c r="I17" s="13" t="s">
        <v>677</v>
      </c>
      <c r="J17" s="13" t="s">
        <v>1796</v>
      </c>
    </row>
    <row r="18" spans="1:10" ht="69">
      <c r="A18" s="13" t="s">
        <v>406</v>
      </c>
      <c r="B18" s="13" t="s">
        <v>677</v>
      </c>
      <c r="C18" s="13" t="s">
        <v>677</v>
      </c>
      <c r="D18" s="13" t="s">
        <v>677</v>
      </c>
      <c r="E18" s="13" t="s">
        <v>677</v>
      </c>
      <c r="F18" s="13" t="s">
        <v>677</v>
      </c>
      <c r="G18" s="13" t="s">
        <v>677</v>
      </c>
      <c r="H18" s="13" t="s">
        <v>677</v>
      </c>
      <c r="I18" s="13" t="s">
        <v>677</v>
      </c>
      <c r="J18" s="13" t="s">
        <v>1797</v>
      </c>
    </row>
    <row r="19" spans="1:10">
      <c r="A19" s="13"/>
      <c r="B19" s="13"/>
      <c r="C19" s="13"/>
      <c r="D19" s="13"/>
      <c r="E19" s="13"/>
      <c r="F19" s="13"/>
      <c r="G19" s="13"/>
      <c r="H19" s="13"/>
      <c r="I19" s="13"/>
      <c r="J19" s="13"/>
    </row>
    <row r="20" spans="1:10" ht="27.6">
      <c r="A20" s="13" t="s">
        <v>951</v>
      </c>
      <c r="B20" s="13"/>
      <c r="C20" s="13"/>
      <c r="D20" s="13"/>
      <c r="E20" s="13"/>
      <c r="F20" s="13"/>
      <c r="G20" s="13"/>
      <c r="H20" s="13"/>
      <c r="I20" s="13"/>
      <c r="J20" s="13"/>
    </row>
    <row r="21" spans="1:10">
      <c r="A21" s="50" t="s">
        <v>275</v>
      </c>
      <c r="B21" s="50" t="s">
        <v>952</v>
      </c>
      <c r="C21" s="50" t="s">
        <v>953</v>
      </c>
      <c r="D21" s="50" t="s">
        <v>954</v>
      </c>
      <c r="E21" s="50" t="s">
        <v>955</v>
      </c>
      <c r="F21" s="50" t="s">
        <v>956</v>
      </c>
      <c r="G21" s="50" t="s">
        <v>957</v>
      </c>
      <c r="H21" s="50" t="s">
        <v>958</v>
      </c>
      <c r="I21" s="50" t="s">
        <v>899</v>
      </c>
      <c r="J21" s="50" t="s">
        <v>959</v>
      </c>
    </row>
    <row r="22" spans="1:10" ht="41.4">
      <c r="A22" s="13" t="s">
        <v>1783</v>
      </c>
      <c r="B22" s="13" t="s">
        <v>677</v>
      </c>
      <c r="C22" s="13" t="s">
        <v>679</v>
      </c>
      <c r="D22" s="13" t="s">
        <v>677</v>
      </c>
      <c r="E22" s="13" t="s">
        <v>677</v>
      </c>
      <c r="F22" s="13" t="s">
        <v>677</v>
      </c>
      <c r="G22" s="13" t="s">
        <v>677</v>
      </c>
      <c r="H22" s="13" t="s">
        <v>677</v>
      </c>
      <c r="I22" s="13" t="s">
        <v>677</v>
      </c>
      <c r="J22" s="13" t="s">
        <v>1798</v>
      </c>
    </row>
    <row r="23" spans="1:10" ht="55.2">
      <c r="A23" s="13" t="s">
        <v>1787</v>
      </c>
      <c r="B23" s="13" t="s">
        <v>677</v>
      </c>
      <c r="C23" s="13" t="s">
        <v>677</v>
      </c>
      <c r="D23" s="13" t="s">
        <v>677</v>
      </c>
      <c r="E23" s="13" t="s">
        <v>677</v>
      </c>
      <c r="F23" s="13" t="s">
        <v>677</v>
      </c>
      <c r="G23" s="13" t="s">
        <v>677</v>
      </c>
      <c r="H23" s="13" t="s">
        <v>677</v>
      </c>
      <c r="I23" s="13" t="s">
        <v>677</v>
      </c>
      <c r="J23" s="13" t="s">
        <v>1799</v>
      </c>
    </row>
    <row r="24" spans="1:10" ht="69">
      <c r="A24" s="13" t="s">
        <v>406</v>
      </c>
      <c r="B24" s="13" t="s">
        <v>677</v>
      </c>
      <c r="C24" s="13" t="s">
        <v>677</v>
      </c>
      <c r="D24" s="13" t="s">
        <v>677</v>
      </c>
      <c r="E24" s="13" t="s">
        <v>677</v>
      </c>
      <c r="F24" s="13" t="s">
        <v>677</v>
      </c>
      <c r="G24" s="13" t="s">
        <v>677</v>
      </c>
      <c r="H24" s="13" t="s">
        <v>677</v>
      </c>
      <c r="I24" s="13" t="s">
        <v>677</v>
      </c>
      <c r="J24" s="13" t="s">
        <v>1800</v>
      </c>
    </row>
    <row r="25" spans="1:10">
      <c r="A25" s="13"/>
      <c r="B25" s="13"/>
      <c r="C25" s="13"/>
      <c r="D25" s="13"/>
      <c r="E25" s="13"/>
      <c r="F25" s="13"/>
      <c r="G25" s="13"/>
      <c r="H25" s="13"/>
      <c r="I25" s="13"/>
      <c r="J25" s="13"/>
    </row>
    <row r="26" spans="1:10" ht="27.6">
      <c r="A26" s="13" t="s">
        <v>964</v>
      </c>
      <c r="B26" s="13"/>
      <c r="C26" s="13"/>
      <c r="D26" s="13"/>
      <c r="E26" s="13"/>
      <c r="F26" s="13"/>
      <c r="G26" s="13"/>
      <c r="H26" s="13"/>
      <c r="I26" s="13"/>
      <c r="J26" s="13"/>
    </row>
    <row r="27" spans="1:10">
      <c r="A27" s="50" t="s">
        <v>275</v>
      </c>
      <c r="B27" s="50" t="s">
        <v>965</v>
      </c>
      <c r="C27" s="50" t="s">
        <v>966</v>
      </c>
      <c r="D27" s="50" t="s">
        <v>967</v>
      </c>
      <c r="E27" s="50" t="s">
        <v>968</v>
      </c>
      <c r="F27" s="50" t="s">
        <v>969</v>
      </c>
      <c r="G27" s="50" t="s">
        <v>970</v>
      </c>
      <c r="H27" s="50" t="s">
        <v>971</v>
      </c>
      <c r="I27" s="50" t="s">
        <v>899</v>
      </c>
      <c r="J27" s="50" t="s">
        <v>959</v>
      </c>
    </row>
    <row r="28" spans="1:10" ht="41.4">
      <c r="A28" s="13" t="s">
        <v>1783</v>
      </c>
      <c r="B28" s="13" t="s">
        <v>988</v>
      </c>
      <c r="C28" s="13" t="s">
        <v>677</v>
      </c>
      <c r="D28" s="13" t="s">
        <v>677</v>
      </c>
      <c r="E28" s="13" t="s">
        <v>677</v>
      </c>
      <c r="F28" s="13" t="s">
        <v>677</v>
      </c>
      <c r="G28" s="13" t="s">
        <v>677</v>
      </c>
      <c r="H28" s="13" t="s">
        <v>677</v>
      </c>
      <c r="I28" s="13" t="s">
        <v>677</v>
      </c>
      <c r="J28" s="13" t="s">
        <v>1801</v>
      </c>
    </row>
    <row r="29" spans="1:10" ht="41.4">
      <c r="A29" s="13" t="s">
        <v>1787</v>
      </c>
      <c r="B29" s="13" t="s">
        <v>1238</v>
      </c>
      <c r="C29" s="13" t="s">
        <v>677</v>
      </c>
      <c r="D29" s="13" t="s">
        <v>677</v>
      </c>
      <c r="E29" s="13" t="s">
        <v>677</v>
      </c>
      <c r="F29" s="13" t="s">
        <v>677</v>
      </c>
      <c r="G29" s="13" t="s">
        <v>677</v>
      </c>
      <c r="H29" s="13" t="s">
        <v>677</v>
      </c>
      <c r="I29" s="13" t="s">
        <v>677</v>
      </c>
      <c r="J29" s="13" t="s">
        <v>1802</v>
      </c>
    </row>
    <row r="30" spans="1:10" ht="69">
      <c r="A30" s="13" t="s">
        <v>406</v>
      </c>
      <c r="B30" s="13" t="s">
        <v>1589</v>
      </c>
      <c r="C30" s="13" t="s">
        <v>677</v>
      </c>
      <c r="D30" s="13" t="s">
        <v>677</v>
      </c>
      <c r="E30" s="13" t="s">
        <v>677</v>
      </c>
      <c r="F30" s="13" t="s">
        <v>677</v>
      </c>
      <c r="G30" s="13" t="s">
        <v>677</v>
      </c>
      <c r="H30" s="13" t="s">
        <v>677</v>
      </c>
      <c r="I30" s="13" t="s">
        <v>677</v>
      </c>
      <c r="J30" s="13" t="s">
        <v>1803</v>
      </c>
    </row>
    <row r="31" spans="1:10">
      <c r="A31" s="13"/>
      <c r="B31" s="13"/>
      <c r="C31" s="13"/>
      <c r="D31" s="13"/>
      <c r="E31" s="13"/>
      <c r="F31" s="13"/>
      <c r="G31" s="13"/>
      <c r="H31" s="13"/>
      <c r="I31" s="13"/>
      <c r="J31" s="13"/>
    </row>
    <row r="32" spans="1:10" ht="27.6">
      <c r="A32" s="13" t="s">
        <v>977</v>
      </c>
      <c r="B32" s="13"/>
      <c r="C32" s="13"/>
      <c r="D32" s="13"/>
      <c r="E32" s="13"/>
      <c r="F32" s="13"/>
      <c r="G32" s="13"/>
      <c r="H32" s="13"/>
      <c r="I32" s="13"/>
      <c r="J32" s="13"/>
    </row>
    <row r="33" spans="1:10">
      <c r="A33" s="50" t="s">
        <v>275</v>
      </c>
      <c r="B33" s="50" t="s">
        <v>978</v>
      </c>
      <c r="C33" s="50" t="s">
        <v>979</v>
      </c>
      <c r="D33" s="50" t="s">
        <v>980</v>
      </c>
      <c r="E33" s="50" t="s">
        <v>981</v>
      </c>
      <c r="F33" s="50" t="s">
        <v>982</v>
      </c>
      <c r="G33" s="50" t="s">
        <v>983</v>
      </c>
      <c r="H33" s="50" t="s">
        <v>984</v>
      </c>
      <c r="I33" s="50" t="s">
        <v>899</v>
      </c>
      <c r="J33" s="50" t="s">
        <v>11</v>
      </c>
    </row>
    <row r="34" spans="1:10" ht="55.2">
      <c r="A34" s="13" t="s">
        <v>1783</v>
      </c>
      <c r="B34" s="13" t="s">
        <v>988</v>
      </c>
      <c r="C34" s="13" t="s">
        <v>1485</v>
      </c>
      <c r="D34" s="13" t="s">
        <v>988</v>
      </c>
      <c r="E34" s="13" t="s">
        <v>677</v>
      </c>
      <c r="F34" s="13" t="s">
        <v>677</v>
      </c>
      <c r="G34" s="13" t="s">
        <v>677</v>
      </c>
      <c r="H34" s="13" t="s">
        <v>677</v>
      </c>
      <c r="I34" s="13" t="s">
        <v>677</v>
      </c>
      <c r="J34" s="13" t="s">
        <v>1804</v>
      </c>
    </row>
    <row r="35" spans="1:10" ht="55.2">
      <c r="A35" s="13" t="s">
        <v>1787</v>
      </c>
      <c r="B35" s="13" t="s">
        <v>677</v>
      </c>
      <c r="C35" s="13" t="s">
        <v>1805</v>
      </c>
      <c r="D35" s="13" t="s">
        <v>677</v>
      </c>
      <c r="E35" s="13" t="s">
        <v>677</v>
      </c>
      <c r="F35" s="13" t="s">
        <v>1806</v>
      </c>
      <c r="G35" s="13" t="s">
        <v>677</v>
      </c>
      <c r="H35" s="13" t="s">
        <v>677</v>
      </c>
      <c r="I35" s="13" t="s">
        <v>677</v>
      </c>
      <c r="J35" s="13" t="s">
        <v>1807</v>
      </c>
    </row>
    <row r="36" spans="1:10" ht="82.8">
      <c r="A36" s="13" t="s">
        <v>406</v>
      </c>
      <c r="B36" s="13" t="s">
        <v>677</v>
      </c>
      <c r="C36" s="13" t="s">
        <v>1592</v>
      </c>
      <c r="D36" s="13" t="s">
        <v>677</v>
      </c>
      <c r="E36" s="13" t="s">
        <v>677</v>
      </c>
      <c r="F36" s="13" t="s">
        <v>1808</v>
      </c>
      <c r="G36" s="13" t="s">
        <v>677</v>
      </c>
      <c r="H36" s="13" t="s">
        <v>677</v>
      </c>
      <c r="I36" s="13" t="s">
        <v>677</v>
      </c>
      <c r="J36" s="13" t="s">
        <v>1809</v>
      </c>
    </row>
    <row r="37" spans="1:10">
      <c r="A37" s="13"/>
      <c r="B37" s="13"/>
      <c r="C37" s="13"/>
      <c r="D37" s="13"/>
      <c r="E37" s="13"/>
      <c r="F37" s="13"/>
      <c r="G37" s="13"/>
      <c r="H37" s="13"/>
      <c r="I37" s="13"/>
      <c r="J37" s="13"/>
    </row>
    <row r="38" spans="1:10" ht="41.4">
      <c r="A38" s="13" t="s">
        <v>994</v>
      </c>
      <c r="B38" s="13"/>
      <c r="C38" s="13"/>
      <c r="D38" s="13"/>
      <c r="E38" s="13"/>
      <c r="F38" s="13"/>
      <c r="G38" s="13"/>
      <c r="H38" s="13"/>
      <c r="I38" s="13"/>
      <c r="J38" s="13"/>
    </row>
    <row r="39" spans="1:10">
      <c r="A39" s="50" t="s">
        <v>275</v>
      </c>
      <c r="B39" s="50" t="s">
        <v>995</v>
      </c>
      <c r="C39" s="50" t="s">
        <v>996</v>
      </c>
      <c r="D39" s="50" t="s">
        <v>997</v>
      </c>
      <c r="E39" s="50" t="s">
        <v>998</v>
      </c>
      <c r="F39" s="50" t="s">
        <v>999</v>
      </c>
      <c r="G39" s="50" t="s">
        <v>1000</v>
      </c>
      <c r="H39" s="50" t="s">
        <v>1001</v>
      </c>
      <c r="I39" s="50" t="s">
        <v>899</v>
      </c>
      <c r="J39" s="50" t="s">
        <v>11</v>
      </c>
    </row>
    <row r="40" spans="1:10" ht="41.4">
      <c r="A40" s="13" t="s">
        <v>1783</v>
      </c>
      <c r="B40" s="13" t="s">
        <v>988</v>
      </c>
      <c r="C40" s="13" t="s">
        <v>1487</v>
      </c>
      <c r="D40" s="13" t="s">
        <v>988</v>
      </c>
      <c r="E40" s="13" t="s">
        <v>677</v>
      </c>
      <c r="F40" s="13" t="s">
        <v>677</v>
      </c>
      <c r="G40" s="13" t="s">
        <v>677</v>
      </c>
      <c r="H40" s="13" t="s">
        <v>677</v>
      </c>
      <c r="I40" s="13" t="s">
        <v>677</v>
      </c>
      <c r="J40" s="13" t="s">
        <v>1810</v>
      </c>
    </row>
    <row r="41" spans="1:10" ht="55.2">
      <c r="A41" s="13" t="s">
        <v>1787</v>
      </c>
      <c r="B41" s="13" t="s">
        <v>677</v>
      </c>
      <c r="C41" s="13" t="s">
        <v>1487</v>
      </c>
      <c r="D41" s="13" t="s">
        <v>677</v>
      </c>
      <c r="E41" s="13" t="s">
        <v>677</v>
      </c>
      <c r="F41" s="13" t="s">
        <v>677</v>
      </c>
      <c r="G41" s="13" t="s">
        <v>677</v>
      </c>
      <c r="H41" s="13" t="s">
        <v>677</v>
      </c>
      <c r="I41" s="13" t="s">
        <v>677</v>
      </c>
      <c r="J41" s="13" t="s">
        <v>1811</v>
      </c>
    </row>
    <row r="42" spans="1:10" ht="82.8">
      <c r="A42" s="13" t="s">
        <v>406</v>
      </c>
      <c r="B42" s="13" t="s">
        <v>677</v>
      </c>
      <c r="C42" s="13" t="s">
        <v>677</v>
      </c>
      <c r="D42" s="13" t="s">
        <v>677</v>
      </c>
      <c r="E42" s="13" t="s">
        <v>677</v>
      </c>
      <c r="F42" s="13" t="s">
        <v>677</v>
      </c>
      <c r="G42" s="13" t="s">
        <v>677</v>
      </c>
      <c r="H42" s="13" t="s">
        <v>677</v>
      </c>
      <c r="I42" s="13" t="s">
        <v>677</v>
      </c>
      <c r="J42" s="13" t="s">
        <v>1812</v>
      </c>
    </row>
    <row r="43" spans="1:10">
      <c r="A43" s="13"/>
      <c r="B43" s="13"/>
      <c r="C43" s="13"/>
      <c r="D43" s="13"/>
      <c r="E43" s="13"/>
      <c r="F43" s="13"/>
      <c r="G43" s="13"/>
      <c r="H43" s="13"/>
      <c r="I43" s="13"/>
      <c r="J43" s="13"/>
    </row>
    <row r="44" spans="1:10" ht="27.6">
      <c r="A44" s="13" t="s">
        <v>1007</v>
      </c>
      <c r="B44" s="13"/>
      <c r="C44" s="13"/>
      <c r="D44" s="13"/>
      <c r="E44" s="13"/>
      <c r="F44" s="13"/>
      <c r="G44" s="13"/>
      <c r="H44" s="13"/>
      <c r="I44" s="13"/>
      <c r="J44" s="13"/>
    </row>
    <row r="45" spans="1:10">
      <c r="A45" s="50" t="s">
        <v>275</v>
      </c>
      <c r="B45" s="50" t="s">
        <v>1008</v>
      </c>
      <c r="C45" s="50" t="s">
        <v>1009</v>
      </c>
      <c r="D45" s="50" t="s">
        <v>1010</v>
      </c>
      <c r="E45" s="50" t="s">
        <v>1011</v>
      </c>
      <c r="F45" s="50" t="s">
        <v>1012</v>
      </c>
      <c r="G45" s="50" t="s">
        <v>1013</v>
      </c>
      <c r="H45" s="50" t="s">
        <v>1014</v>
      </c>
      <c r="I45" s="50" t="s">
        <v>899</v>
      </c>
      <c r="J45" s="50" t="s">
        <v>11</v>
      </c>
    </row>
    <row r="46" spans="1:10" ht="27.6">
      <c r="A46" s="13" t="s">
        <v>1783</v>
      </c>
      <c r="B46" s="13" t="s">
        <v>677</v>
      </c>
      <c r="C46" s="13" t="s">
        <v>677</v>
      </c>
      <c r="D46" s="13" t="s">
        <v>677</v>
      </c>
      <c r="E46" s="13" t="s">
        <v>677</v>
      </c>
      <c r="F46" s="13" t="s">
        <v>677</v>
      </c>
      <c r="G46" s="13" t="s">
        <v>677</v>
      </c>
      <c r="H46" s="13" t="s">
        <v>677</v>
      </c>
      <c r="I46" s="13" t="s">
        <v>677</v>
      </c>
      <c r="J46" s="13" t="s">
        <v>1600</v>
      </c>
    </row>
    <row r="47" spans="1:10" ht="41.4">
      <c r="A47" s="13" t="s">
        <v>1787</v>
      </c>
      <c r="B47" s="13" t="s">
        <v>677</v>
      </c>
      <c r="C47" s="13" t="s">
        <v>677</v>
      </c>
      <c r="D47" s="13" t="s">
        <v>677</v>
      </c>
      <c r="E47" s="13" t="s">
        <v>677</v>
      </c>
      <c r="F47" s="13" t="s">
        <v>677</v>
      </c>
      <c r="G47" s="13" t="s">
        <v>677</v>
      </c>
      <c r="H47" s="13" t="s">
        <v>677</v>
      </c>
      <c r="I47" s="13" t="s">
        <v>677</v>
      </c>
      <c r="J47" s="13" t="s">
        <v>1813</v>
      </c>
    </row>
    <row r="48" spans="1:10" ht="69">
      <c r="A48" s="13" t="s">
        <v>406</v>
      </c>
      <c r="B48" s="13" t="s">
        <v>677</v>
      </c>
      <c r="C48" s="13" t="s">
        <v>677</v>
      </c>
      <c r="D48" s="13" t="s">
        <v>677</v>
      </c>
      <c r="E48" s="13" t="s">
        <v>677</v>
      </c>
      <c r="F48" s="13" t="s">
        <v>677</v>
      </c>
      <c r="G48" s="13" t="s">
        <v>677</v>
      </c>
      <c r="H48" s="13" t="s">
        <v>677</v>
      </c>
      <c r="I48" s="13" t="s">
        <v>677</v>
      </c>
      <c r="J48" s="13" t="s">
        <v>1814</v>
      </c>
    </row>
    <row r="49" spans="1:10">
      <c r="A49" s="13"/>
      <c r="B49" s="13"/>
      <c r="C49" s="13"/>
      <c r="D49" s="13"/>
      <c r="E49" s="13"/>
      <c r="F49" s="13"/>
      <c r="G49" s="13"/>
      <c r="H49" s="13"/>
      <c r="I49" s="13"/>
      <c r="J49" s="13"/>
    </row>
    <row r="50" spans="1:10">
      <c r="A50" s="13" t="s">
        <v>1019</v>
      </c>
      <c r="B50" s="13"/>
      <c r="C50" s="13"/>
      <c r="D50" s="13"/>
      <c r="E50" s="13"/>
      <c r="F50" s="13"/>
      <c r="G50" s="13"/>
      <c r="H50" s="13"/>
      <c r="I50" s="13"/>
      <c r="J50" s="13"/>
    </row>
    <row r="51" spans="1:10">
      <c r="A51" s="50" t="s">
        <v>213</v>
      </c>
      <c r="B51" s="50" t="s">
        <v>275</v>
      </c>
      <c r="C51" s="50" t="s">
        <v>573</v>
      </c>
      <c r="D51" s="50" t="s">
        <v>215</v>
      </c>
      <c r="E51" s="50" t="s">
        <v>257</v>
      </c>
      <c r="F51" s="50" t="s">
        <v>572</v>
      </c>
      <c r="G51" s="50" t="s">
        <v>259</v>
      </c>
      <c r="H51" s="50" t="s">
        <v>216</v>
      </c>
      <c r="I51" s="50" t="s">
        <v>77</v>
      </c>
      <c r="J51" s="50" t="s">
        <v>11</v>
      </c>
    </row>
    <row r="52" spans="1:10" ht="55.2">
      <c r="A52" s="13" t="s">
        <v>1815</v>
      </c>
      <c r="B52" s="13" t="s">
        <v>575</v>
      </c>
      <c r="C52" s="13" t="s">
        <v>1816</v>
      </c>
      <c r="D52" s="13" t="s">
        <v>391</v>
      </c>
      <c r="E52" s="13" t="s">
        <v>488</v>
      </c>
      <c r="F52" s="13">
        <v>6</v>
      </c>
      <c r="G52" s="13" t="s">
        <v>1381</v>
      </c>
      <c r="H52" s="13" t="s">
        <v>1023</v>
      </c>
      <c r="I52" s="13" t="s">
        <v>502</v>
      </c>
      <c r="J52" s="13" t="s">
        <v>1817</v>
      </c>
    </row>
    <row r="53" spans="1:10" ht="69">
      <c r="A53" s="13" t="s">
        <v>1818</v>
      </c>
      <c r="B53" s="13" t="s">
        <v>1783</v>
      </c>
      <c r="C53" s="13" t="s">
        <v>1819</v>
      </c>
      <c r="D53" s="13" t="s">
        <v>492</v>
      </c>
      <c r="E53" s="13" t="s">
        <v>488</v>
      </c>
      <c r="F53" s="13">
        <v>8</v>
      </c>
      <c r="G53" s="13" t="s">
        <v>1820</v>
      </c>
      <c r="H53" s="13" t="s">
        <v>584</v>
      </c>
      <c r="I53" s="13" t="s">
        <v>502</v>
      </c>
      <c r="J53" s="13" t="s">
        <v>1821</v>
      </c>
    </row>
    <row r="54" spans="1:10" ht="82.8">
      <c r="A54" s="13" t="s">
        <v>1822</v>
      </c>
      <c r="B54" s="13" t="s">
        <v>1787</v>
      </c>
      <c r="C54" s="13" t="s">
        <v>1823</v>
      </c>
      <c r="D54" s="13" t="s">
        <v>391</v>
      </c>
      <c r="E54" s="13" t="s">
        <v>488</v>
      </c>
      <c r="F54" s="13">
        <v>6</v>
      </c>
      <c r="G54" s="13" t="s">
        <v>1824</v>
      </c>
      <c r="H54" s="13" t="s">
        <v>1505</v>
      </c>
      <c r="I54" s="13" t="s">
        <v>502</v>
      </c>
      <c r="J54" s="13" t="s">
        <v>1825</v>
      </c>
    </row>
    <row r="55" spans="1:10" ht="96.6">
      <c r="A55" s="13" t="s">
        <v>1826</v>
      </c>
      <c r="B55" s="13" t="s">
        <v>406</v>
      </c>
      <c r="C55" s="13" t="s">
        <v>1827</v>
      </c>
      <c r="D55" s="13" t="s">
        <v>391</v>
      </c>
      <c r="E55" s="13" t="s">
        <v>488</v>
      </c>
      <c r="F55" s="13">
        <v>6</v>
      </c>
      <c r="G55" s="13" t="s">
        <v>1828</v>
      </c>
      <c r="H55" s="13" t="s">
        <v>1617</v>
      </c>
      <c r="I55" s="13" t="s">
        <v>502</v>
      </c>
      <c r="J55" s="13" t="s">
        <v>1829</v>
      </c>
    </row>
    <row r="56" spans="1:10" ht="82.8">
      <c r="A56" s="13" t="s">
        <v>1830</v>
      </c>
      <c r="B56" s="13" t="s">
        <v>406</v>
      </c>
      <c r="C56" s="13" t="s">
        <v>1721</v>
      </c>
      <c r="D56" s="13" t="s">
        <v>492</v>
      </c>
      <c r="E56" s="13" t="s">
        <v>488</v>
      </c>
      <c r="F56" s="13">
        <v>8</v>
      </c>
      <c r="G56" s="13" t="s">
        <v>1831</v>
      </c>
      <c r="H56" s="13" t="s">
        <v>592</v>
      </c>
      <c r="I56" s="13" t="s">
        <v>502</v>
      </c>
      <c r="J56" s="13" t="s">
        <v>1832</v>
      </c>
    </row>
    <row r="57" spans="1:10" ht="82.8">
      <c r="A57" s="13" t="s">
        <v>1833</v>
      </c>
      <c r="B57" s="13" t="s">
        <v>575</v>
      </c>
      <c r="C57" s="13" t="s">
        <v>1725</v>
      </c>
      <c r="D57" s="13" t="s">
        <v>391</v>
      </c>
      <c r="E57" s="13" t="s">
        <v>488</v>
      </c>
      <c r="F57" s="13">
        <v>6</v>
      </c>
      <c r="G57" s="13" t="s">
        <v>1834</v>
      </c>
      <c r="H57" s="13" t="s">
        <v>1032</v>
      </c>
      <c r="I57" s="13" t="s">
        <v>502</v>
      </c>
      <c r="J57" s="13" t="s">
        <v>1835</v>
      </c>
    </row>
    <row r="58" spans="1:10" ht="82.8">
      <c r="A58" s="13" t="s">
        <v>1836</v>
      </c>
      <c r="B58" s="13" t="s">
        <v>575</v>
      </c>
      <c r="C58" s="13" t="s">
        <v>1733</v>
      </c>
      <c r="D58" s="13" t="s">
        <v>492</v>
      </c>
      <c r="E58" s="13" t="s">
        <v>488</v>
      </c>
      <c r="F58" s="13">
        <v>8</v>
      </c>
      <c r="G58" s="13" t="s">
        <v>1837</v>
      </c>
      <c r="H58" s="13" t="s">
        <v>1403</v>
      </c>
      <c r="I58" s="13" t="s">
        <v>502</v>
      </c>
      <c r="J58" s="13" t="s">
        <v>1627</v>
      </c>
    </row>
    <row r="59" spans="1:10" ht="69">
      <c r="A59" s="13" t="s">
        <v>1838</v>
      </c>
      <c r="B59" s="13" t="s">
        <v>575</v>
      </c>
      <c r="C59" s="13" t="s">
        <v>1047</v>
      </c>
      <c r="D59" s="13" t="s">
        <v>391</v>
      </c>
      <c r="E59" s="13" t="s">
        <v>488</v>
      </c>
      <c r="F59" s="13">
        <v>6</v>
      </c>
      <c r="G59" s="13" t="s">
        <v>1839</v>
      </c>
      <c r="H59" s="13" t="s">
        <v>1049</v>
      </c>
      <c r="I59" s="13" t="s">
        <v>502</v>
      </c>
      <c r="J59" s="13" t="s">
        <v>1737</v>
      </c>
    </row>
    <row r="60" spans="1:10">
      <c r="A60" s="13"/>
      <c r="B60" s="13"/>
      <c r="C60" s="13"/>
      <c r="D60" s="13"/>
      <c r="E60" s="13"/>
      <c r="F60" s="13"/>
      <c r="G60" s="13"/>
      <c r="H60" s="13"/>
      <c r="I60" s="13"/>
      <c r="J60" s="13"/>
    </row>
    <row r="61" spans="1:10" ht="27.6">
      <c r="A61" s="13" t="s">
        <v>1051</v>
      </c>
      <c r="B61" s="13"/>
      <c r="C61" s="13"/>
      <c r="D61" s="13"/>
      <c r="E61" s="13"/>
      <c r="F61" s="13"/>
      <c r="G61" s="13"/>
      <c r="H61" s="13"/>
      <c r="I61" s="13"/>
      <c r="J61" s="13"/>
    </row>
    <row r="62" spans="1:10">
      <c r="A62" s="50" t="s">
        <v>221</v>
      </c>
      <c r="B62" s="50" t="s">
        <v>222</v>
      </c>
      <c r="C62" s="50" t="s">
        <v>265</v>
      </c>
      <c r="D62" s="50" t="s">
        <v>77</v>
      </c>
      <c r="E62" s="50" t="s">
        <v>878</v>
      </c>
      <c r="F62" s="50" t="s">
        <v>879</v>
      </c>
      <c r="G62" s="50" t="s">
        <v>880</v>
      </c>
      <c r="H62" s="50" t="s">
        <v>494</v>
      </c>
      <c r="I62" s="50" t="s">
        <v>881</v>
      </c>
      <c r="J62" s="50" t="s">
        <v>11</v>
      </c>
    </row>
    <row r="63" spans="1:10" ht="69">
      <c r="A63" s="13" t="s">
        <v>1840</v>
      </c>
      <c r="B63" s="13" t="s">
        <v>1841</v>
      </c>
      <c r="C63" s="13" t="s">
        <v>579</v>
      </c>
      <c r="D63" s="13" t="s">
        <v>502</v>
      </c>
      <c r="E63" s="13"/>
      <c r="F63" s="13"/>
      <c r="G63" s="13" t="s">
        <v>1842</v>
      </c>
      <c r="H63" s="13"/>
      <c r="I63" s="13"/>
      <c r="J63" s="13"/>
    </row>
    <row r="64" spans="1:10" ht="55.2">
      <c r="A64" s="13" t="s">
        <v>1843</v>
      </c>
      <c r="B64" s="13" t="s">
        <v>1844</v>
      </c>
      <c r="C64" s="13" t="s">
        <v>587</v>
      </c>
      <c r="D64" s="13" t="s">
        <v>502</v>
      </c>
      <c r="E64" s="13"/>
      <c r="F64" s="13"/>
      <c r="G64" s="13" t="s">
        <v>1421</v>
      </c>
      <c r="H64" s="13"/>
      <c r="I64" s="13"/>
      <c r="J64" s="13"/>
    </row>
    <row r="65" spans="1:10" ht="82.8">
      <c r="A65" s="13" t="s">
        <v>1845</v>
      </c>
      <c r="B65" s="13" t="s">
        <v>1846</v>
      </c>
      <c r="C65" s="13" t="s">
        <v>1847</v>
      </c>
      <c r="D65" s="13" t="s">
        <v>502</v>
      </c>
      <c r="E65" s="13"/>
      <c r="F65" s="13"/>
      <c r="G65" s="13" t="s">
        <v>1848</v>
      </c>
      <c r="H65" s="13"/>
      <c r="I65" s="13"/>
      <c r="J65" s="13"/>
    </row>
    <row r="66" spans="1:10" ht="69">
      <c r="A66" s="13" t="s">
        <v>1849</v>
      </c>
      <c r="B66" s="13" t="s">
        <v>1850</v>
      </c>
      <c r="C66" s="13" t="s">
        <v>601</v>
      </c>
      <c r="D66" s="13" t="s">
        <v>502</v>
      </c>
      <c r="E66" s="13"/>
      <c r="F66" s="13"/>
      <c r="G66" s="13" t="s">
        <v>602</v>
      </c>
      <c r="H66" s="13"/>
      <c r="I66" s="13"/>
      <c r="J66" s="13"/>
    </row>
    <row r="67" spans="1:10" ht="82.8">
      <c r="A67" s="13" t="s">
        <v>1851</v>
      </c>
      <c r="B67" s="13" t="s">
        <v>1852</v>
      </c>
      <c r="C67" s="13" t="s">
        <v>609</v>
      </c>
      <c r="D67" s="13" t="s">
        <v>502</v>
      </c>
      <c r="E67" s="13"/>
      <c r="F67" s="13"/>
      <c r="G67" s="13" t="s">
        <v>1418</v>
      </c>
      <c r="H67" s="13"/>
      <c r="I67" s="13"/>
      <c r="J67" s="13"/>
    </row>
    <row r="68" spans="1:10" ht="82.8">
      <c r="A68" s="13" t="s">
        <v>1853</v>
      </c>
      <c r="B68" s="13" t="s">
        <v>1854</v>
      </c>
      <c r="C68" s="13" t="s">
        <v>616</v>
      </c>
      <c r="D68" s="13" t="s">
        <v>502</v>
      </c>
      <c r="E68" s="13"/>
      <c r="F68" s="13"/>
      <c r="G68" s="13" t="s">
        <v>617</v>
      </c>
      <c r="H68" s="13"/>
      <c r="I68" s="13"/>
      <c r="J68" s="13"/>
    </row>
    <row r="69" spans="1:10" ht="82.8">
      <c r="A69" s="13" t="s">
        <v>1855</v>
      </c>
      <c r="B69" s="13" t="s">
        <v>1647</v>
      </c>
      <c r="C69" s="13" t="s">
        <v>622</v>
      </c>
      <c r="D69" s="13" t="s">
        <v>502</v>
      </c>
      <c r="E69" s="13"/>
      <c r="F69" s="13"/>
      <c r="G69" s="13" t="s">
        <v>623</v>
      </c>
      <c r="H69" s="13"/>
      <c r="I69" s="13"/>
      <c r="J69" s="13"/>
    </row>
    <row r="70" spans="1:10" ht="82.8">
      <c r="A70" s="13" t="s">
        <v>1856</v>
      </c>
      <c r="B70" s="13" t="s">
        <v>1857</v>
      </c>
      <c r="C70" s="13" t="s">
        <v>1858</v>
      </c>
      <c r="D70" s="13" t="s">
        <v>502</v>
      </c>
      <c r="E70" s="13"/>
      <c r="F70" s="13"/>
      <c r="G70" s="13" t="s">
        <v>1859</v>
      </c>
      <c r="H70" s="13"/>
      <c r="I70" s="13"/>
      <c r="J70" s="13"/>
    </row>
    <row r="71" spans="1:10">
      <c r="A71" s="13"/>
      <c r="B71" s="13"/>
      <c r="C71" s="13"/>
      <c r="D71" s="13"/>
      <c r="E71" s="13"/>
      <c r="F71" s="13"/>
      <c r="G71" s="13"/>
      <c r="H71" s="13"/>
      <c r="I71" s="13"/>
      <c r="J71" s="13"/>
    </row>
    <row r="72" spans="1:10">
      <c r="A72" s="85" t="s">
        <v>1052</v>
      </c>
      <c r="B72" s="85"/>
      <c r="C72" s="85"/>
      <c r="D72" s="85"/>
      <c r="E72" s="85"/>
      <c r="F72" s="85"/>
      <c r="G72" s="85"/>
      <c r="H72" s="85"/>
      <c r="I72" s="85"/>
      <c r="J72" s="85"/>
    </row>
    <row r="73" spans="1:10">
      <c r="A73" s="50" t="s">
        <v>291</v>
      </c>
      <c r="B73" s="50" t="s">
        <v>275</v>
      </c>
      <c r="C73" s="50" t="s">
        <v>493</v>
      </c>
      <c r="D73" s="50" t="s">
        <v>214</v>
      </c>
      <c r="E73" s="50" t="s">
        <v>263</v>
      </c>
      <c r="F73" s="50" t="s">
        <v>891</v>
      </c>
      <c r="G73" s="50" t="s">
        <v>892</v>
      </c>
      <c r="H73" s="50" t="s">
        <v>893</v>
      </c>
      <c r="I73" s="50" t="s">
        <v>77</v>
      </c>
      <c r="J73" s="50" t="s">
        <v>11</v>
      </c>
    </row>
    <row r="74" spans="1:10" ht="69">
      <c r="A74" s="13" t="s">
        <v>1860</v>
      </c>
      <c r="B74" s="13" t="s">
        <v>1783</v>
      </c>
      <c r="C74" s="13" t="s">
        <v>269</v>
      </c>
      <c r="D74" s="13" t="s">
        <v>1861</v>
      </c>
      <c r="E74" s="13"/>
      <c r="F74" s="13" t="s">
        <v>229</v>
      </c>
      <c r="G74" s="13"/>
      <c r="H74" s="13" t="s">
        <v>1862</v>
      </c>
      <c r="I74" s="13" t="s">
        <v>502</v>
      </c>
      <c r="J74" s="13"/>
    </row>
    <row r="75" spans="1:10" ht="82.8">
      <c r="A75" s="13" t="s">
        <v>1863</v>
      </c>
      <c r="B75" s="13" t="s">
        <v>1787</v>
      </c>
      <c r="C75" s="13" t="s">
        <v>269</v>
      </c>
      <c r="D75" s="13" t="s">
        <v>1864</v>
      </c>
      <c r="E75" s="13"/>
      <c r="F75" s="13" t="s">
        <v>229</v>
      </c>
      <c r="G75" s="13"/>
      <c r="H75" s="13" t="s">
        <v>1822</v>
      </c>
      <c r="I75" s="13" t="s">
        <v>502</v>
      </c>
      <c r="J75" s="13"/>
    </row>
    <row r="76" spans="1:10" ht="82.8">
      <c r="A76" s="13" t="s">
        <v>1865</v>
      </c>
      <c r="B76" s="13" t="s">
        <v>406</v>
      </c>
      <c r="C76" s="13" t="s">
        <v>269</v>
      </c>
      <c r="D76" s="13" t="s">
        <v>1866</v>
      </c>
      <c r="E76" s="13"/>
      <c r="F76" s="13" t="s">
        <v>229</v>
      </c>
      <c r="G76" s="13"/>
      <c r="H76" s="13" t="s">
        <v>1826</v>
      </c>
      <c r="I76" s="13" t="s">
        <v>502</v>
      </c>
      <c r="J76" s="13"/>
    </row>
    <row r="77" spans="1:10" ht="69">
      <c r="A77" s="13" t="s">
        <v>1867</v>
      </c>
      <c r="B77" s="13" t="s">
        <v>575</v>
      </c>
      <c r="C77" s="13" t="s">
        <v>957</v>
      </c>
      <c r="D77" s="13" t="s">
        <v>1659</v>
      </c>
      <c r="E77" s="13"/>
      <c r="F77" s="13" t="s">
        <v>229</v>
      </c>
      <c r="G77" s="13"/>
      <c r="H77" s="13" t="s">
        <v>1836</v>
      </c>
      <c r="I77" s="13" t="s">
        <v>502</v>
      </c>
      <c r="J77" s="13"/>
    </row>
    <row r="78" spans="1:10" ht="96.6">
      <c r="A78" s="13" t="s">
        <v>1868</v>
      </c>
      <c r="B78" s="13" t="s">
        <v>406</v>
      </c>
      <c r="C78" s="13" t="s">
        <v>148</v>
      </c>
      <c r="D78" s="13" t="s">
        <v>1869</v>
      </c>
      <c r="E78" s="13"/>
      <c r="F78" s="13" t="s">
        <v>229</v>
      </c>
      <c r="G78" s="13"/>
      <c r="H78" s="13" t="s">
        <v>1830</v>
      </c>
      <c r="I78" s="13" t="s">
        <v>502</v>
      </c>
      <c r="J78" s="13"/>
    </row>
    <row r="79" spans="1:10" ht="82.8">
      <c r="A79" s="13" t="s">
        <v>1870</v>
      </c>
      <c r="B79" s="13" t="s">
        <v>575</v>
      </c>
      <c r="C79" s="13" t="s">
        <v>153</v>
      </c>
      <c r="D79" s="13" t="s">
        <v>1871</v>
      </c>
      <c r="E79" s="13"/>
      <c r="F79" s="13" t="s">
        <v>229</v>
      </c>
      <c r="G79" s="13"/>
      <c r="H79" s="13" t="s">
        <v>1833</v>
      </c>
      <c r="I79" s="13" t="s">
        <v>502</v>
      </c>
      <c r="J79" s="13"/>
    </row>
    <row r="80" spans="1:10" ht="96.6">
      <c r="A80" s="13" t="s">
        <v>1872</v>
      </c>
      <c r="B80" s="13" t="s">
        <v>575</v>
      </c>
      <c r="C80" s="13" t="s">
        <v>155</v>
      </c>
      <c r="D80" s="13" t="s">
        <v>1873</v>
      </c>
      <c r="E80" s="13"/>
      <c r="F80" s="13" t="s">
        <v>229</v>
      </c>
      <c r="G80" s="13"/>
      <c r="H80" s="13" t="s">
        <v>1874</v>
      </c>
      <c r="I80" s="13" t="s">
        <v>502</v>
      </c>
      <c r="J80" s="13"/>
    </row>
    <row r="81" spans="1:10" ht="55.2">
      <c r="A81" s="13" t="s">
        <v>1875</v>
      </c>
      <c r="B81" s="13" t="s">
        <v>575</v>
      </c>
      <c r="C81" s="13" t="s">
        <v>556</v>
      </c>
      <c r="D81" s="13" t="s">
        <v>1768</v>
      </c>
      <c r="E81" s="13"/>
      <c r="F81" s="13" t="s">
        <v>229</v>
      </c>
      <c r="G81" s="13"/>
      <c r="H81" s="13" t="s">
        <v>1826</v>
      </c>
      <c r="I81" s="13" t="s">
        <v>502</v>
      </c>
      <c r="J81" s="13"/>
    </row>
    <row r="82" spans="1:10">
      <c r="A82" s="13"/>
      <c r="B82" s="13"/>
      <c r="C82" s="13"/>
      <c r="D82" s="13"/>
      <c r="E82" s="13"/>
      <c r="F82" s="13"/>
      <c r="G82" s="13"/>
      <c r="H82" s="13"/>
      <c r="I82" s="13"/>
      <c r="J82" s="13"/>
    </row>
    <row r="83" spans="1:10" ht="43.2">
      <c r="A83" s="85" t="s">
        <v>1079</v>
      </c>
      <c r="B83" s="85"/>
      <c r="C83" s="85"/>
      <c r="D83" s="85"/>
      <c r="E83" s="85"/>
      <c r="F83" s="85"/>
      <c r="G83" s="85"/>
      <c r="H83" s="85"/>
      <c r="I83" s="85"/>
      <c r="J83" s="85"/>
    </row>
    <row r="84" spans="1:10">
      <c r="A84" s="50" t="s">
        <v>275</v>
      </c>
      <c r="B84" s="50" t="s">
        <v>895</v>
      </c>
      <c r="C84" s="50" t="s">
        <v>896</v>
      </c>
      <c r="D84" s="50" t="s">
        <v>148</v>
      </c>
      <c r="E84" s="50" t="s">
        <v>153</v>
      </c>
      <c r="F84" s="50" t="s">
        <v>155</v>
      </c>
      <c r="G84" s="50" t="s">
        <v>491</v>
      </c>
      <c r="H84" s="50" t="s">
        <v>897</v>
      </c>
      <c r="I84" s="50" t="s">
        <v>174</v>
      </c>
      <c r="J84" s="50" t="s">
        <v>11</v>
      </c>
    </row>
    <row r="85" spans="1:10" ht="27.6">
      <c r="A85" s="13" t="s">
        <v>1783</v>
      </c>
      <c r="B85" s="126">
        <v>0.5</v>
      </c>
      <c r="C85" s="126">
        <v>0.5</v>
      </c>
      <c r="D85" s="126">
        <v>0.5</v>
      </c>
      <c r="E85" s="126">
        <v>0.5</v>
      </c>
      <c r="F85" s="126">
        <v>0.5</v>
      </c>
      <c r="G85" s="13" t="s">
        <v>677</v>
      </c>
      <c r="H85" s="126">
        <v>0.5</v>
      </c>
      <c r="I85" s="13" t="s">
        <v>1201</v>
      </c>
      <c r="J85" s="13" t="s">
        <v>1669</v>
      </c>
    </row>
    <row r="86" spans="1:10" ht="27.6">
      <c r="A86" s="13" t="s">
        <v>1787</v>
      </c>
      <c r="B86" s="126">
        <v>0.5</v>
      </c>
      <c r="C86" s="126">
        <v>0.5</v>
      </c>
      <c r="D86" s="126">
        <v>0.5</v>
      </c>
      <c r="E86" s="126">
        <v>0.5</v>
      </c>
      <c r="F86" s="126">
        <v>0.5</v>
      </c>
      <c r="G86" s="13" t="s">
        <v>677</v>
      </c>
      <c r="H86" s="126">
        <v>0.5</v>
      </c>
      <c r="I86" s="13" t="s">
        <v>1201</v>
      </c>
      <c r="J86" s="13" t="s">
        <v>1876</v>
      </c>
    </row>
    <row r="87" spans="1:10" ht="41.4">
      <c r="A87" s="13" t="s">
        <v>406</v>
      </c>
      <c r="B87" s="126">
        <v>0.5</v>
      </c>
      <c r="C87" s="126">
        <v>0.5</v>
      </c>
      <c r="D87" s="126">
        <v>0.5</v>
      </c>
      <c r="E87" s="126">
        <v>0.5</v>
      </c>
      <c r="F87" s="126">
        <v>0.5</v>
      </c>
      <c r="G87" s="13" t="s">
        <v>677</v>
      </c>
      <c r="H87" s="126">
        <v>0.5</v>
      </c>
      <c r="I87" s="13" t="s">
        <v>1201</v>
      </c>
      <c r="J87" s="13" t="s">
        <v>1877</v>
      </c>
    </row>
    <row r="88" spans="1:10">
      <c r="A88" s="13"/>
      <c r="B88" s="13"/>
      <c r="C88" s="13"/>
      <c r="D88" s="13"/>
      <c r="E88" s="13"/>
      <c r="F88" s="13"/>
      <c r="G88" s="13"/>
      <c r="H88" s="13"/>
      <c r="I88" s="13"/>
      <c r="J88" s="13"/>
    </row>
    <row r="89" spans="1:10" ht="43.2">
      <c r="A89" s="85" t="s">
        <v>1085</v>
      </c>
      <c r="B89" s="85"/>
      <c r="C89" s="85"/>
      <c r="D89" s="85"/>
      <c r="E89" s="85"/>
      <c r="F89" s="85"/>
      <c r="G89" s="85"/>
      <c r="H89" s="85"/>
      <c r="I89" s="85"/>
      <c r="J89" s="85"/>
    </row>
    <row r="90" spans="1:10" ht="55.2">
      <c r="A90" s="50" t="s">
        <v>905</v>
      </c>
      <c r="B90" s="50" t="s">
        <v>788</v>
      </c>
      <c r="C90" s="50"/>
      <c r="D90" s="50"/>
      <c r="E90" s="50"/>
      <c r="F90" s="50"/>
      <c r="G90" s="50"/>
      <c r="H90" s="50"/>
      <c r="I90" s="50"/>
      <c r="J90" s="50"/>
    </row>
    <row r="91" spans="1:10">
      <c r="A91" s="13" t="s">
        <v>1086</v>
      </c>
      <c r="B91" s="852" t="s">
        <v>1878</v>
      </c>
      <c r="C91" s="839"/>
      <c r="D91" s="839"/>
      <c r="E91" s="839"/>
      <c r="F91" s="839"/>
      <c r="G91" s="839"/>
      <c r="H91" s="839"/>
      <c r="I91" s="839"/>
      <c r="J91" s="839"/>
    </row>
    <row r="92" spans="1:10">
      <c r="A92" s="13" t="s">
        <v>1455</v>
      </c>
      <c r="B92" s="852" t="s">
        <v>1879</v>
      </c>
      <c r="C92" s="839"/>
      <c r="D92" s="839"/>
      <c r="E92" s="839"/>
      <c r="F92" s="839"/>
      <c r="G92" s="839"/>
      <c r="H92" s="839"/>
      <c r="I92" s="839"/>
      <c r="J92" s="839"/>
    </row>
    <row r="93" spans="1:10">
      <c r="A93" s="13" t="s">
        <v>1088</v>
      </c>
      <c r="B93" s="852" t="s">
        <v>1880</v>
      </c>
      <c r="C93" s="839"/>
      <c r="D93" s="839"/>
      <c r="E93" s="839"/>
      <c r="F93" s="839"/>
      <c r="G93" s="839"/>
      <c r="H93" s="839"/>
      <c r="I93" s="839"/>
      <c r="J93" s="839"/>
    </row>
    <row r="94" spans="1:10">
      <c r="A94" s="13" t="s">
        <v>1089</v>
      </c>
      <c r="B94" s="852" t="s">
        <v>1881</v>
      </c>
      <c r="C94" s="839"/>
      <c r="D94" s="839"/>
      <c r="E94" s="839"/>
      <c r="F94" s="839"/>
      <c r="G94" s="839"/>
      <c r="H94" s="839"/>
      <c r="I94" s="839"/>
      <c r="J94" s="839"/>
    </row>
    <row r="95" spans="1:10">
      <c r="A95" s="13" t="s">
        <v>1090</v>
      </c>
      <c r="B95" s="852" t="s">
        <v>1882</v>
      </c>
      <c r="C95" s="839"/>
      <c r="D95" s="839"/>
      <c r="E95" s="839"/>
      <c r="F95" s="839"/>
      <c r="G95" s="839"/>
      <c r="H95" s="839"/>
      <c r="I95" s="839"/>
      <c r="J95" s="839"/>
    </row>
    <row r="96" spans="1:10">
      <c r="A96" s="13" t="s">
        <v>1563</v>
      </c>
      <c r="B96" s="852" t="s">
        <v>1776</v>
      </c>
      <c r="C96" s="839"/>
      <c r="D96" s="839"/>
      <c r="E96" s="839"/>
      <c r="F96" s="839"/>
      <c r="G96" s="839"/>
      <c r="H96" s="839"/>
      <c r="I96" s="839"/>
      <c r="J96" s="839"/>
    </row>
    <row r="97" spans="1:10" ht="15" thickBot="1"/>
    <row r="98" spans="1:10">
      <c r="A98" s="855" t="s">
        <v>5875</v>
      </c>
      <c r="B98" s="856"/>
      <c r="C98" s="856"/>
      <c r="D98" s="857"/>
      <c r="E98" s="856"/>
      <c r="F98" s="856"/>
      <c r="G98" s="857"/>
      <c r="H98" s="857"/>
      <c r="I98" s="857"/>
      <c r="J98" s="858"/>
    </row>
    <row r="99" spans="1:10">
      <c r="A99" s="325" t="s">
        <v>5817</v>
      </c>
      <c r="B99" s="326" t="s">
        <v>77</v>
      </c>
      <c r="C99" s="326" t="s">
        <v>5818</v>
      </c>
      <c r="D99" s="326" t="s">
        <v>5819</v>
      </c>
      <c r="E99" s="326" t="s">
        <v>5841</v>
      </c>
      <c r="F99" s="326" t="s">
        <v>5808</v>
      </c>
      <c r="G99" s="859" t="s">
        <v>5842</v>
      </c>
      <c r="H99" s="859"/>
      <c r="I99" s="859"/>
      <c r="J99" s="860"/>
    </row>
    <row r="100" spans="1:10" ht="26.4">
      <c r="A100" s="327" t="s">
        <v>5820</v>
      </c>
      <c r="B100" s="337" t="s">
        <v>484</v>
      </c>
      <c r="C100" s="329">
        <v>0</v>
      </c>
      <c r="D100" s="329">
        <v>0</v>
      </c>
      <c r="E100" s="196" t="s">
        <v>5881</v>
      </c>
      <c r="F100" s="329">
        <f>IF(AND(C100&lt;&gt;"",D100&lt;&gt;""),D100-C100,"")</f>
        <v>0</v>
      </c>
      <c r="G100" s="861"/>
      <c r="H100" s="861"/>
      <c r="I100" s="861"/>
      <c r="J100" s="862"/>
    </row>
    <row r="101" spans="1:10" ht="26.4">
      <c r="A101" s="330" t="s">
        <v>5821</v>
      </c>
      <c r="B101" s="337" t="s">
        <v>484</v>
      </c>
      <c r="C101" s="331">
        <v>1</v>
      </c>
      <c r="D101" s="331">
        <v>0</v>
      </c>
      <c r="E101" s="314" t="s">
        <v>5882</v>
      </c>
      <c r="F101" s="331">
        <f>IF(AND(C101&lt;&gt;"",D101&lt;&gt;""),D101-C101,"")</f>
        <v>-1</v>
      </c>
      <c r="G101" s="863"/>
      <c r="H101" s="863"/>
      <c r="I101" s="863"/>
      <c r="J101" s="864"/>
    </row>
    <row r="102" spans="1:10">
      <c r="A102" s="327" t="s">
        <v>5822</v>
      </c>
      <c r="B102" s="337" t="s">
        <v>484</v>
      </c>
      <c r="C102" s="331">
        <v>1</v>
      </c>
      <c r="D102" s="331">
        <v>0</v>
      </c>
      <c r="E102" s="314" t="s">
        <v>5882</v>
      </c>
      <c r="F102" s="329">
        <f>IF(AND(C102&lt;&gt;"",D102&lt;&gt;""),D102-C102,"")</f>
        <v>-1</v>
      </c>
      <c r="G102" s="332"/>
      <c r="H102" s="231"/>
      <c r="I102" s="231"/>
      <c r="J102" s="333"/>
    </row>
    <row r="103" spans="1:10">
      <c r="A103" s="330" t="s">
        <v>5823</v>
      </c>
      <c r="B103" s="337" t="s">
        <v>484</v>
      </c>
      <c r="C103" s="331">
        <v>1</v>
      </c>
      <c r="D103" s="331">
        <v>0</v>
      </c>
      <c r="E103" s="314" t="s">
        <v>5882</v>
      </c>
      <c r="F103" s="331">
        <f>IF(AND(C103&lt;&gt;"",D103&lt;&gt;""),D103-C103,"")</f>
        <v>-1</v>
      </c>
      <c r="G103" s="863"/>
      <c r="H103" s="863"/>
      <c r="I103" s="863"/>
      <c r="J103" s="864"/>
    </row>
    <row r="104" spans="1:10">
      <c r="A104" s="327" t="s">
        <v>5168</v>
      </c>
      <c r="B104" s="337" t="s">
        <v>484</v>
      </c>
      <c r="C104" s="331">
        <v>1</v>
      </c>
      <c r="D104" s="331">
        <v>0</v>
      </c>
      <c r="E104" s="314" t="s">
        <v>5882</v>
      </c>
      <c r="F104" s="329">
        <f>IF(AND(C104&lt;&gt;"",D104&lt;&gt;""),D104-C104,"")</f>
        <v>-1</v>
      </c>
      <c r="G104" s="332"/>
      <c r="H104" s="231"/>
      <c r="I104" s="231"/>
      <c r="J104" s="333"/>
    </row>
    <row r="105" spans="1:10" ht="15.6">
      <c r="A105" s="865" t="s">
        <v>5843</v>
      </c>
      <c r="B105" s="713"/>
      <c r="C105" s="334">
        <f>IFERROR(AVERAGE(C100:C104),"")</f>
        <v>0.8</v>
      </c>
      <c r="D105" s="334">
        <f>IFERROR(AVERAGE(D100:D104),"")</f>
        <v>0</v>
      </c>
      <c r="E105" s="866" t="s">
        <v>5844</v>
      </c>
      <c r="F105" s="866"/>
      <c r="G105" s="866"/>
      <c r="H105" s="866"/>
      <c r="I105" s="866"/>
      <c r="J105" s="867"/>
    </row>
    <row r="106" spans="1:10">
      <c r="A106" s="335"/>
      <c r="B106" s="320"/>
      <c r="C106" s="320"/>
      <c r="D106" s="320"/>
      <c r="E106" s="320"/>
      <c r="F106" s="320"/>
      <c r="G106" s="320"/>
      <c r="H106" s="231"/>
      <c r="I106" s="231"/>
      <c r="J106" s="333"/>
    </row>
    <row r="107" spans="1:10">
      <c r="A107" s="876" t="s">
        <v>5876</v>
      </c>
      <c r="B107" s="853"/>
      <c r="C107" s="853"/>
      <c r="D107" s="842"/>
      <c r="E107" s="853"/>
      <c r="F107" s="853"/>
      <c r="G107" s="842"/>
      <c r="H107" s="842"/>
      <c r="I107" s="842"/>
      <c r="J107" s="868"/>
    </row>
    <row r="108" spans="1:10">
      <c r="A108" s="325" t="s">
        <v>4946</v>
      </c>
      <c r="B108" s="326" t="s">
        <v>77</v>
      </c>
      <c r="C108" s="326" t="s">
        <v>5883</v>
      </c>
      <c r="D108" s="326" t="s">
        <v>482</v>
      </c>
      <c r="E108" s="326" t="s">
        <v>572</v>
      </c>
      <c r="F108" s="326" t="s">
        <v>5846</v>
      </c>
      <c r="G108" s="859" t="s">
        <v>5847</v>
      </c>
      <c r="H108" s="859"/>
      <c r="I108" s="859"/>
      <c r="J108" s="860"/>
    </row>
    <row r="109" spans="1:10" ht="26.4">
      <c r="A109" s="330" t="s">
        <v>5809</v>
      </c>
      <c r="B109" s="337" t="s">
        <v>484</v>
      </c>
      <c r="C109" s="336" t="s">
        <v>679</v>
      </c>
      <c r="D109" s="328" t="s">
        <v>679</v>
      </c>
      <c r="E109" s="336">
        <f>IF(D109="Yes",1,0)</f>
        <v>0</v>
      </c>
      <c r="F109" s="877"/>
      <c r="G109" s="877"/>
      <c r="H109" s="877"/>
      <c r="I109" s="877"/>
      <c r="J109" s="878"/>
    </row>
    <row r="110" spans="1:10">
      <c r="A110" s="327" t="s">
        <v>995</v>
      </c>
      <c r="B110" s="337" t="s">
        <v>484</v>
      </c>
      <c r="C110" s="336" t="s">
        <v>679</v>
      </c>
      <c r="D110" s="328" t="s">
        <v>679</v>
      </c>
      <c r="E110" s="328">
        <f t="shared" ref="E110:E116" si="0">IF(D110="Yes",1,0)</f>
        <v>0</v>
      </c>
      <c r="F110" s="877"/>
      <c r="G110" s="877"/>
      <c r="H110" s="877"/>
      <c r="I110" s="877"/>
      <c r="J110" s="878"/>
    </row>
    <row r="111" spans="1:10">
      <c r="A111" s="330" t="s">
        <v>5810</v>
      </c>
      <c r="B111" s="337" t="s">
        <v>484</v>
      </c>
      <c r="C111" s="336" t="s">
        <v>679</v>
      </c>
      <c r="D111" s="328" t="s">
        <v>679</v>
      </c>
      <c r="E111" s="336">
        <f t="shared" si="0"/>
        <v>0</v>
      </c>
      <c r="F111" s="877"/>
      <c r="G111" s="877"/>
      <c r="H111" s="877"/>
      <c r="I111" s="877"/>
      <c r="J111" s="878"/>
    </row>
    <row r="112" spans="1:10">
      <c r="A112" s="327" t="s">
        <v>5824</v>
      </c>
      <c r="B112" s="337" t="s">
        <v>484</v>
      </c>
      <c r="C112" s="336" t="s">
        <v>679</v>
      </c>
      <c r="D112" s="328" t="s">
        <v>679</v>
      </c>
      <c r="E112" s="328">
        <f t="shared" si="0"/>
        <v>0</v>
      </c>
      <c r="F112" s="877"/>
      <c r="G112" s="877"/>
      <c r="H112" s="877"/>
      <c r="I112" s="877"/>
      <c r="J112" s="878"/>
    </row>
    <row r="113" spans="1:10" ht="39.6">
      <c r="A113" s="330" t="s">
        <v>5825</v>
      </c>
      <c r="B113" s="337" t="s">
        <v>484</v>
      </c>
      <c r="C113" s="336" t="s">
        <v>679</v>
      </c>
      <c r="D113" s="328" t="s">
        <v>679</v>
      </c>
      <c r="E113" s="336">
        <f t="shared" si="0"/>
        <v>0</v>
      </c>
      <c r="F113" s="877"/>
      <c r="G113" s="877"/>
      <c r="H113" s="877"/>
      <c r="I113" s="877"/>
      <c r="J113" s="878"/>
    </row>
    <row r="114" spans="1:10" ht="26.4">
      <c r="A114" s="327" t="s">
        <v>5826</v>
      </c>
      <c r="B114" s="337" t="s">
        <v>484</v>
      </c>
      <c r="C114" s="336" t="s">
        <v>679</v>
      </c>
      <c r="D114" s="328" t="s">
        <v>679</v>
      </c>
      <c r="E114" s="328">
        <f t="shared" si="0"/>
        <v>0</v>
      </c>
      <c r="F114" s="877"/>
      <c r="G114" s="877"/>
      <c r="H114" s="877"/>
      <c r="I114" s="877"/>
      <c r="J114" s="878"/>
    </row>
    <row r="115" spans="1:10">
      <c r="A115" s="330" t="s">
        <v>5811</v>
      </c>
      <c r="B115" s="337" t="s">
        <v>484</v>
      </c>
      <c r="C115" s="336" t="s">
        <v>679</v>
      </c>
      <c r="D115" s="328" t="s">
        <v>679</v>
      </c>
      <c r="E115" s="336">
        <f t="shared" si="0"/>
        <v>0</v>
      </c>
      <c r="F115" s="877"/>
      <c r="G115" s="877"/>
      <c r="H115" s="877"/>
      <c r="I115" s="877"/>
      <c r="J115" s="878"/>
    </row>
    <row r="116" spans="1:10" ht="26.4">
      <c r="A116" s="327" t="s">
        <v>5812</v>
      </c>
      <c r="B116" s="337" t="s">
        <v>484</v>
      </c>
      <c r="C116" s="336" t="s">
        <v>679</v>
      </c>
      <c r="D116" s="328" t="s">
        <v>679</v>
      </c>
      <c r="E116" s="328">
        <f t="shared" si="0"/>
        <v>0</v>
      </c>
      <c r="F116" s="877"/>
      <c r="G116" s="877"/>
      <c r="H116" s="877"/>
      <c r="I116" s="877"/>
      <c r="J116" s="878"/>
    </row>
    <row r="117" spans="1:10" ht="15.6">
      <c r="A117" s="865" t="s">
        <v>5848</v>
      </c>
      <c r="B117" s="713"/>
      <c r="C117" s="871" t="str">
        <f>IFERROR(SUM(E109:E116)/COUNTIF(C109:C116,"Yes"),"")</f>
        <v/>
      </c>
      <c r="D117" s="872"/>
      <c r="E117" s="866" t="s">
        <v>5849</v>
      </c>
      <c r="F117" s="866"/>
      <c r="G117" s="866"/>
      <c r="H117" s="866"/>
      <c r="I117" s="866"/>
      <c r="J117" s="867"/>
    </row>
    <row r="118" spans="1:10">
      <c r="A118" s="335"/>
      <c r="B118" s="320"/>
      <c r="C118" s="320"/>
      <c r="D118" s="320"/>
      <c r="E118" s="320"/>
      <c r="F118" s="320"/>
      <c r="G118" s="320"/>
      <c r="H118" s="231"/>
      <c r="I118" s="231"/>
      <c r="J118" s="333"/>
    </row>
    <row r="119" spans="1:10">
      <c r="A119" s="876" t="s">
        <v>5877</v>
      </c>
      <c r="B119" s="853"/>
      <c r="C119" s="853"/>
      <c r="D119" s="842"/>
      <c r="E119" s="853"/>
      <c r="F119" s="853"/>
      <c r="G119" s="842"/>
      <c r="H119" s="842"/>
      <c r="I119" s="842"/>
      <c r="J119" s="868"/>
    </row>
    <row r="120" spans="1:10">
      <c r="A120" s="325" t="s">
        <v>5850</v>
      </c>
      <c r="B120" s="326" t="s">
        <v>77</v>
      </c>
      <c r="C120" s="326" t="s">
        <v>5827</v>
      </c>
      <c r="D120" s="326" t="s">
        <v>5828</v>
      </c>
      <c r="E120" s="326" t="s">
        <v>5829</v>
      </c>
      <c r="F120" s="326" t="s">
        <v>5851</v>
      </c>
      <c r="G120" s="859" t="s">
        <v>5852</v>
      </c>
      <c r="H120" s="859"/>
      <c r="I120" s="859"/>
      <c r="J120" s="860"/>
    </row>
    <row r="121" spans="1:10" ht="26.4">
      <c r="A121" s="330" t="s">
        <v>5830</v>
      </c>
      <c r="B121" s="336" t="s">
        <v>484</v>
      </c>
      <c r="C121" s="336" t="s">
        <v>1096</v>
      </c>
      <c r="D121" s="336" t="s">
        <v>1096</v>
      </c>
      <c r="E121" s="336" t="s">
        <v>1096</v>
      </c>
      <c r="F121" s="336" t="s">
        <v>348</v>
      </c>
      <c r="G121" s="869"/>
      <c r="H121" s="869"/>
      <c r="I121" s="869"/>
      <c r="J121" s="870"/>
    </row>
    <row r="122" spans="1:10">
      <c r="A122" s="327" t="s">
        <v>5831</v>
      </c>
      <c r="B122" s="336" t="s">
        <v>484</v>
      </c>
      <c r="C122" s="336" t="s">
        <v>1096</v>
      </c>
      <c r="D122" s="336" t="s">
        <v>1096</v>
      </c>
      <c r="E122" s="336" t="s">
        <v>1096</v>
      </c>
      <c r="F122" s="336" t="s">
        <v>348</v>
      </c>
      <c r="G122" s="869"/>
      <c r="H122" s="869"/>
      <c r="I122" s="869"/>
      <c r="J122" s="870"/>
    </row>
    <row r="123" spans="1:10">
      <c r="A123" s="330" t="s">
        <v>5853</v>
      </c>
      <c r="B123" s="336" t="s">
        <v>484</v>
      </c>
      <c r="C123" s="336" t="s">
        <v>1096</v>
      </c>
      <c r="D123" s="336" t="s">
        <v>1096</v>
      </c>
      <c r="E123" s="336" t="s">
        <v>1096</v>
      </c>
      <c r="F123" s="336" t="s">
        <v>348</v>
      </c>
      <c r="G123" s="869"/>
      <c r="H123" s="869"/>
      <c r="I123" s="869"/>
      <c r="J123" s="870"/>
    </row>
    <row r="124" spans="1:10">
      <c r="A124" s="327" t="s">
        <v>5832</v>
      </c>
      <c r="B124" s="336" t="s">
        <v>484</v>
      </c>
      <c r="C124" s="336" t="s">
        <v>1096</v>
      </c>
      <c r="D124" s="336" t="s">
        <v>1096</v>
      </c>
      <c r="E124" s="336" t="s">
        <v>1096</v>
      </c>
      <c r="F124" s="336" t="s">
        <v>348</v>
      </c>
      <c r="G124" s="869"/>
      <c r="H124" s="869"/>
      <c r="I124" s="869"/>
      <c r="J124" s="870"/>
    </row>
    <row r="125" spans="1:10" ht="26.4">
      <c r="A125" s="330" t="s">
        <v>5833</v>
      </c>
      <c r="B125" s="336" t="s">
        <v>484</v>
      </c>
      <c r="C125" s="336" t="s">
        <v>1096</v>
      </c>
      <c r="D125" s="336" t="s">
        <v>1096</v>
      </c>
      <c r="E125" s="336" t="s">
        <v>1096</v>
      </c>
      <c r="F125" s="336" t="s">
        <v>348</v>
      </c>
      <c r="G125" s="869"/>
      <c r="H125" s="869"/>
      <c r="I125" s="869"/>
      <c r="J125" s="870"/>
    </row>
    <row r="126" spans="1:10" ht="15.6">
      <c r="A126" s="865" t="s">
        <v>5884</v>
      </c>
      <c r="B126" s="713"/>
      <c r="C126" s="871">
        <f>IFERROR(COUNTIF(E121:E125,"Yes")/COUNTA(A121:A125),"")</f>
        <v>0</v>
      </c>
      <c r="D126" s="872"/>
      <c r="E126" s="866" t="s">
        <v>5855</v>
      </c>
      <c r="F126" s="866"/>
      <c r="G126" s="866"/>
      <c r="H126" s="866"/>
      <c r="I126" s="866"/>
      <c r="J126" s="867"/>
    </row>
    <row r="127" spans="1:10">
      <c r="A127" s="335"/>
      <c r="B127" s="320"/>
      <c r="C127" s="320"/>
      <c r="D127" s="320"/>
      <c r="E127" s="320"/>
      <c r="F127" s="320"/>
      <c r="G127" s="874"/>
      <c r="H127" s="874"/>
      <c r="I127" s="874"/>
      <c r="J127" s="875"/>
    </row>
    <row r="128" spans="1:10">
      <c r="A128" s="876" t="s">
        <v>5878</v>
      </c>
      <c r="B128" s="853"/>
      <c r="C128" s="853"/>
      <c r="D128" s="842"/>
      <c r="E128" s="853"/>
      <c r="F128" s="853"/>
      <c r="G128" s="842"/>
      <c r="H128" s="842"/>
      <c r="I128" s="842"/>
      <c r="J128" s="868"/>
    </row>
    <row r="129" spans="1:10">
      <c r="A129" s="326" t="s">
        <v>5813</v>
      </c>
      <c r="B129" s="326" t="s">
        <v>77</v>
      </c>
      <c r="C129" s="326" t="s">
        <v>5834</v>
      </c>
      <c r="D129" s="326" t="s">
        <v>5835</v>
      </c>
      <c r="E129" s="326" t="s">
        <v>5836</v>
      </c>
      <c r="F129" s="326" t="s">
        <v>5837</v>
      </c>
      <c r="G129" s="859" t="s">
        <v>5885</v>
      </c>
      <c r="H129" s="859"/>
      <c r="I129" s="859"/>
      <c r="J129" s="859"/>
    </row>
    <row r="130" spans="1:10">
      <c r="A130" s="332" t="s">
        <v>153</v>
      </c>
      <c r="B130" s="328" t="s">
        <v>484</v>
      </c>
      <c r="C130" s="328"/>
      <c r="D130" s="328"/>
      <c r="E130" s="328"/>
      <c r="F130" s="329" t="str">
        <f>IFERROR(D130/C130,"")</f>
        <v/>
      </c>
      <c r="G130" s="873"/>
      <c r="H130" s="873"/>
      <c r="I130" s="873"/>
      <c r="J130" s="873"/>
    </row>
    <row r="131" spans="1:10">
      <c r="A131" s="339" t="s">
        <v>155</v>
      </c>
      <c r="B131" s="336" t="s">
        <v>484</v>
      </c>
      <c r="C131" s="336"/>
      <c r="D131" s="336"/>
      <c r="E131" s="336"/>
      <c r="F131" s="331" t="str">
        <f>IFERROR(D131/C131,"")</f>
        <v/>
      </c>
      <c r="G131" s="873"/>
      <c r="H131" s="873"/>
      <c r="I131" s="873"/>
      <c r="J131" s="873"/>
    </row>
    <row r="132" spans="1:10">
      <c r="A132" s="332" t="s">
        <v>4821</v>
      </c>
      <c r="B132" s="328" t="s">
        <v>484</v>
      </c>
      <c r="C132" s="328"/>
      <c r="D132" s="328"/>
      <c r="E132" s="328"/>
      <c r="F132" s="329" t="str">
        <f>IFERROR(D132/C132,"")</f>
        <v/>
      </c>
      <c r="G132" s="873"/>
      <c r="H132" s="873"/>
      <c r="I132" s="873"/>
      <c r="J132" s="873"/>
    </row>
    <row r="133" spans="1:10">
      <c r="A133" s="339" t="s">
        <v>957</v>
      </c>
      <c r="B133" s="336" t="s">
        <v>484</v>
      </c>
      <c r="C133" s="336"/>
      <c r="D133" s="336"/>
      <c r="E133" s="336"/>
      <c r="F133" s="331" t="str">
        <f>IFERROR(D133/C133,"")</f>
        <v/>
      </c>
      <c r="G133" s="873"/>
      <c r="H133" s="873"/>
      <c r="I133" s="873"/>
      <c r="J133" s="873"/>
    </row>
    <row r="134" spans="1:10">
      <c r="A134" s="879" t="s">
        <v>5856</v>
      </c>
      <c r="B134" s="879"/>
      <c r="C134" s="879"/>
      <c r="D134" s="879"/>
      <c r="E134" s="866" t="s">
        <v>5857</v>
      </c>
      <c r="F134" s="866"/>
      <c r="G134" s="866"/>
      <c r="H134" s="866"/>
      <c r="I134" s="866"/>
      <c r="J134" s="866"/>
    </row>
    <row r="135" spans="1:10">
      <c r="A135" s="879"/>
      <c r="B135" s="879"/>
      <c r="C135" s="879"/>
      <c r="D135" s="879"/>
      <c r="E135" s="866"/>
      <c r="F135" s="866"/>
      <c r="G135" s="866"/>
      <c r="H135" s="866"/>
      <c r="I135" s="866"/>
      <c r="J135" s="866"/>
    </row>
    <row r="136" spans="1:10">
      <c r="A136" s="842" t="s">
        <v>5879</v>
      </c>
      <c r="B136" s="842"/>
      <c r="C136" s="842"/>
      <c r="D136" s="842"/>
      <c r="E136" s="842"/>
      <c r="F136" s="842"/>
      <c r="G136" s="842"/>
      <c r="H136" s="842"/>
      <c r="I136" s="842"/>
      <c r="J136" s="842"/>
    </row>
    <row r="137" spans="1:10">
      <c r="A137" s="326" t="s">
        <v>4946</v>
      </c>
      <c r="B137" s="326" t="s">
        <v>77</v>
      </c>
      <c r="C137" s="326" t="s">
        <v>5845</v>
      </c>
      <c r="D137" s="326" t="s">
        <v>482</v>
      </c>
      <c r="E137" s="326" t="s">
        <v>572</v>
      </c>
      <c r="F137" s="326" t="s">
        <v>944</v>
      </c>
      <c r="G137" s="859" t="s">
        <v>5847</v>
      </c>
      <c r="H137" s="859"/>
      <c r="I137" s="859"/>
      <c r="J137" s="859"/>
    </row>
    <row r="138" spans="1:10" ht="26.4">
      <c r="A138" s="332" t="s">
        <v>5814</v>
      </c>
      <c r="B138" s="328" t="s">
        <v>484</v>
      </c>
      <c r="C138" s="328" t="s">
        <v>392</v>
      </c>
      <c r="D138" s="328" t="s">
        <v>1096</v>
      </c>
      <c r="E138" s="328">
        <f t="shared" ref="E138:E143" si="1">IF(D138="Yes",1,0)</f>
        <v>0</v>
      </c>
      <c r="F138" s="328"/>
      <c r="G138" s="873"/>
      <c r="H138" s="873"/>
      <c r="I138" s="873"/>
      <c r="J138" s="873"/>
    </row>
    <row r="139" spans="1:10">
      <c r="A139" s="339" t="s">
        <v>5815</v>
      </c>
      <c r="B139" s="328" t="s">
        <v>484</v>
      </c>
      <c r="C139" s="336" t="s">
        <v>392</v>
      </c>
      <c r="D139" s="328" t="s">
        <v>1096</v>
      </c>
      <c r="E139" s="336">
        <f t="shared" si="1"/>
        <v>0</v>
      </c>
      <c r="F139" s="336"/>
      <c r="G139" s="873"/>
      <c r="H139" s="873"/>
      <c r="I139" s="873"/>
      <c r="J139" s="873"/>
    </row>
    <row r="140" spans="1:10" ht="26.4">
      <c r="A140" s="332" t="s">
        <v>5816</v>
      </c>
      <c r="B140" s="328" t="s">
        <v>484</v>
      </c>
      <c r="C140" s="328" t="s">
        <v>392</v>
      </c>
      <c r="D140" s="328" t="s">
        <v>1096</v>
      </c>
      <c r="E140" s="328">
        <f t="shared" si="1"/>
        <v>0</v>
      </c>
      <c r="F140" s="328"/>
      <c r="G140" s="873"/>
      <c r="H140" s="873"/>
      <c r="I140" s="873"/>
      <c r="J140" s="873"/>
    </row>
    <row r="141" spans="1:10">
      <c r="A141" s="339" t="s">
        <v>5838</v>
      </c>
      <c r="B141" s="328" t="s">
        <v>484</v>
      </c>
      <c r="C141" s="336" t="s">
        <v>392</v>
      </c>
      <c r="D141" s="328" t="s">
        <v>1096</v>
      </c>
      <c r="E141" s="336">
        <f t="shared" si="1"/>
        <v>0</v>
      </c>
      <c r="F141" s="336"/>
      <c r="G141" s="873"/>
      <c r="H141" s="873"/>
      <c r="I141" s="873"/>
      <c r="J141" s="873"/>
    </row>
    <row r="142" spans="1:10" ht="26.4">
      <c r="A142" s="332" t="s">
        <v>5839</v>
      </c>
      <c r="B142" s="328" t="s">
        <v>484</v>
      </c>
      <c r="C142" s="328" t="s">
        <v>392</v>
      </c>
      <c r="D142" s="328" t="s">
        <v>1096</v>
      </c>
      <c r="E142" s="328">
        <f t="shared" si="1"/>
        <v>0</v>
      </c>
      <c r="F142" s="328"/>
      <c r="G142" s="873"/>
      <c r="H142" s="873"/>
      <c r="I142" s="873"/>
      <c r="J142" s="873"/>
    </row>
    <row r="143" spans="1:10" ht="26.4">
      <c r="A143" s="339" t="s">
        <v>5840</v>
      </c>
      <c r="B143" s="328" t="s">
        <v>484</v>
      </c>
      <c r="C143" s="336" t="s">
        <v>392</v>
      </c>
      <c r="D143" s="336" t="s">
        <v>1096</v>
      </c>
      <c r="E143" s="336">
        <f t="shared" si="1"/>
        <v>0</v>
      </c>
      <c r="F143" s="336"/>
      <c r="G143" s="873"/>
      <c r="H143" s="873"/>
      <c r="I143" s="873"/>
      <c r="J143" s="873"/>
    </row>
    <row r="144" spans="1:10" ht="15.6">
      <c r="A144" s="880" t="s">
        <v>5858</v>
      </c>
      <c r="B144" s="713"/>
      <c r="C144" s="871">
        <f>IFERROR(SUM(E138:E143)/COUNTIF(C138:C143,"Yes"),"")</f>
        <v>0</v>
      </c>
      <c r="D144" s="872"/>
      <c r="E144" s="866" t="s">
        <v>5859</v>
      </c>
      <c r="F144" s="866"/>
      <c r="G144" s="866"/>
      <c r="H144" s="866"/>
      <c r="I144" s="866"/>
      <c r="J144" s="866"/>
    </row>
    <row r="145" spans="1:10">
      <c r="A145" s="196"/>
      <c r="B145" s="196"/>
      <c r="C145" s="196"/>
      <c r="D145" s="196"/>
      <c r="E145" s="196"/>
      <c r="F145" s="196"/>
      <c r="G145" s="196"/>
      <c r="H145" s="196"/>
      <c r="I145" s="196"/>
      <c r="J145" s="196"/>
    </row>
    <row r="146" spans="1:10">
      <c r="A146" s="842" t="s">
        <v>5880</v>
      </c>
      <c r="B146" s="853"/>
      <c r="C146" s="853"/>
      <c r="D146" s="321"/>
      <c r="E146" s="321"/>
      <c r="F146" s="321"/>
      <c r="G146" s="321"/>
      <c r="H146" s="321"/>
      <c r="I146" s="321"/>
      <c r="J146" s="321"/>
    </row>
    <row r="147" spans="1:10" ht="55.2">
      <c r="A147" s="322" t="s">
        <v>905</v>
      </c>
      <c r="B147" s="322" t="s">
        <v>830</v>
      </c>
      <c r="C147" s="322"/>
      <c r="D147" s="322"/>
      <c r="E147" s="322"/>
      <c r="F147" s="322"/>
      <c r="G147" s="322"/>
      <c r="H147" s="322"/>
      <c r="I147" s="322"/>
      <c r="J147" s="322"/>
    </row>
    <row r="148" spans="1:10">
      <c r="A148" s="319" t="s">
        <v>1086</v>
      </c>
      <c r="B148" s="852" t="s">
        <v>3292</v>
      </c>
      <c r="C148" s="853"/>
      <c r="D148" s="853"/>
      <c r="E148" s="853"/>
      <c r="F148" s="853"/>
      <c r="G148" s="853"/>
      <c r="H148" s="853"/>
      <c r="I148" s="853"/>
      <c r="J148" s="853"/>
    </row>
    <row r="149" spans="1:10" ht="27.6">
      <c r="A149" s="319" t="s">
        <v>2090</v>
      </c>
      <c r="B149" s="852" t="s">
        <v>3293</v>
      </c>
      <c r="C149" s="853"/>
      <c r="D149" s="853"/>
      <c r="E149" s="853"/>
      <c r="F149" s="853"/>
      <c r="G149" s="853"/>
      <c r="H149" s="853"/>
      <c r="I149" s="853"/>
      <c r="J149" s="853"/>
    </row>
    <row r="150" spans="1:10">
      <c r="A150" s="319" t="s">
        <v>1089</v>
      </c>
      <c r="B150" s="852" t="s">
        <v>3294</v>
      </c>
      <c r="C150" s="853"/>
      <c r="D150" s="853"/>
      <c r="E150" s="853"/>
      <c r="F150" s="853"/>
      <c r="G150" s="853"/>
      <c r="H150" s="853"/>
      <c r="I150" s="853"/>
      <c r="J150" s="853"/>
    </row>
    <row r="151" spans="1:10">
      <c r="A151" s="319" t="s">
        <v>1090</v>
      </c>
      <c r="B151" s="852" t="s">
        <v>3295</v>
      </c>
      <c r="C151" s="853"/>
      <c r="D151" s="853"/>
      <c r="E151" s="853"/>
      <c r="F151" s="853"/>
      <c r="G151" s="853"/>
      <c r="H151" s="853"/>
      <c r="I151" s="853"/>
      <c r="J151" s="853"/>
    </row>
    <row r="152" spans="1:10">
      <c r="A152" s="319" t="s">
        <v>1088</v>
      </c>
      <c r="B152" s="852" t="s">
        <v>3296</v>
      </c>
      <c r="C152" s="853"/>
      <c r="D152" s="853"/>
      <c r="E152" s="853"/>
      <c r="F152" s="853"/>
      <c r="G152" s="853"/>
      <c r="H152" s="853"/>
      <c r="I152" s="853"/>
      <c r="J152" s="853"/>
    </row>
    <row r="153" spans="1:10" ht="27.6">
      <c r="A153" s="319" t="s">
        <v>3297</v>
      </c>
      <c r="B153" s="852" t="s">
        <v>3298</v>
      </c>
      <c r="C153" s="853"/>
      <c r="D153" s="853"/>
      <c r="E153" s="853"/>
      <c r="F153" s="853"/>
      <c r="G153" s="853"/>
      <c r="H153" s="853"/>
      <c r="I153" s="853"/>
      <c r="J153" s="853"/>
    </row>
    <row r="154" spans="1:10">
      <c r="A154" s="319" t="s">
        <v>1563</v>
      </c>
      <c r="B154" s="852" t="s">
        <v>1776</v>
      </c>
      <c r="C154" s="853"/>
      <c r="D154" s="853"/>
      <c r="E154" s="853"/>
      <c r="F154" s="853"/>
      <c r="G154" s="853"/>
      <c r="H154" s="853"/>
      <c r="I154" s="853"/>
      <c r="J154" s="853"/>
    </row>
    <row r="155" spans="1:10">
      <c r="A155" s="231"/>
      <c r="B155" s="231"/>
      <c r="C155" s="231"/>
      <c r="D155" s="231"/>
      <c r="E155" s="231"/>
      <c r="F155" s="231"/>
      <c r="G155" s="231"/>
      <c r="H155" s="231"/>
      <c r="I155" s="231"/>
      <c r="J155" s="231"/>
    </row>
    <row r="156" spans="1:10" ht="17.399999999999999">
      <c r="A156" s="827" t="s">
        <v>5769</v>
      </c>
      <c r="B156" s="827"/>
      <c r="C156" s="827"/>
      <c r="D156" s="827"/>
      <c r="E156" s="827"/>
      <c r="F156" s="827"/>
      <c r="G156" s="827"/>
      <c r="H156" s="827"/>
      <c r="I156" s="231"/>
      <c r="J156" s="231"/>
    </row>
    <row r="157" spans="1:10">
      <c r="A157" s="276" t="s">
        <v>2</v>
      </c>
      <c r="B157" s="828" t="s">
        <v>5770</v>
      </c>
      <c r="C157" s="828"/>
      <c r="D157" s="828"/>
      <c r="E157" s="828"/>
      <c r="F157" s="828"/>
      <c r="G157" s="828"/>
      <c r="H157" s="828"/>
      <c r="I157" s="231"/>
      <c r="J157" s="231"/>
    </row>
    <row r="158" spans="1:10">
      <c r="A158" s="276" t="s">
        <v>5771</v>
      </c>
      <c r="B158" s="828" t="s">
        <v>5772</v>
      </c>
      <c r="C158" s="828"/>
      <c r="D158" s="828"/>
      <c r="E158" s="828"/>
      <c r="F158" s="828"/>
      <c r="G158" s="828"/>
      <c r="H158" s="828"/>
      <c r="I158" s="231"/>
      <c r="J158" s="231"/>
    </row>
    <row r="159" spans="1:10">
      <c r="A159" s="196"/>
      <c r="B159" s="196"/>
      <c r="C159" s="196"/>
      <c r="D159" s="196"/>
      <c r="E159" s="196"/>
      <c r="F159" s="196"/>
      <c r="G159" s="196"/>
      <c r="H159" s="196"/>
      <c r="I159" s="231"/>
      <c r="J159" s="231"/>
    </row>
    <row r="160" spans="1:10">
      <c r="A160" s="323" t="s">
        <v>4946</v>
      </c>
      <c r="B160" s="323" t="s">
        <v>77</v>
      </c>
      <c r="C160" s="323" t="s">
        <v>5773</v>
      </c>
      <c r="D160" s="323" t="s">
        <v>263</v>
      </c>
      <c r="E160" s="323" t="s">
        <v>216</v>
      </c>
      <c r="F160" s="323" t="s">
        <v>5774</v>
      </c>
      <c r="G160" s="323" t="s">
        <v>5775</v>
      </c>
      <c r="H160" s="323" t="s">
        <v>5776</v>
      </c>
      <c r="I160" s="231"/>
      <c r="J160" s="231"/>
    </row>
    <row r="161" spans="1:10" ht="26.4">
      <c r="A161" s="277" t="s">
        <v>5777</v>
      </c>
      <c r="B161" s="278" t="s">
        <v>1096</v>
      </c>
      <c r="C161" s="277"/>
      <c r="D161" s="277"/>
      <c r="E161" s="277"/>
      <c r="F161" s="277"/>
      <c r="G161" s="279" t="str">
        <f t="shared" ref="G161:G168" si="2">IF(OR(B161="Yes",B161="N/A"),"🟢","🟡")</f>
        <v>🟡</v>
      </c>
      <c r="H161" s="277"/>
      <c r="I161" s="231"/>
      <c r="J161" s="231"/>
    </row>
    <row r="162" spans="1:10">
      <c r="A162" s="277" t="s">
        <v>5778</v>
      </c>
      <c r="B162" s="278" t="s">
        <v>1096</v>
      </c>
      <c r="C162" s="277"/>
      <c r="D162" s="277"/>
      <c r="E162" s="277"/>
      <c r="F162" s="277"/>
      <c r="G162" s="279" t="str">
        <f t="shared" si="2"/>
        <v>🟡</v>
      </c>
      <c r="H162" s="277"/>
      <c r="I162" s="231"/>
      <c r="J162" s="231"/>
    </row>
    <row r="163" spans="1:10">
      <c r="A163" s="277" t="s">
        <v>5779</v>
      </c>
      <c r="B163" s="278" t="s">
        <v>1096</v>
      </c>
      <c r="C163" s="277"/>
      <c r="D163" s="277"/>
      <c r="E163" s="277"/>
      <c r="F163" s="277"/>
      <c r="G163" s="279" t="str">
        <f t="shared" si="2"/>
        <v>🟡</v>
      </c>
      <c r="H163" s="277"/>
      <c r="I163" s="231"/>
      <c r="J163" s="231"/>
    </row>
    <row r="164" spans="1:10">
      <c r="A164" s="277" t="s">
        <v>5168</v>
      </c>
      <c r="B164" s="278" t="s">
        <v>1096</v>
      </c>
      <c r="C164" s="277"/>
      <c r="D164" s="277"/>
      <c r="E164" s="277"/>
      <c r="F164" s="277"/>
      <c r="G164" s="279" t="str">
        <f t="shared" si="2"/>
        <v>🟡</v>
      </c>
      <c r="H164" s="277"/>
      <c r="I164" s="231"/>
      <c r="J164" s="231"/>
    </row>
    <row r="165" spans="1:10">
      <c r="A165" s="277" t="s">
        <v>5780</v>
      </c>
      <c r="B165" s="278" t="s">
        <v>1096</v>
      </c>
      <c r="C165" s="277"/>
      <c r="D165" s="277"/>
      <c r="E165" s="277"/>
      <c r="F165" s="277"/>
      <c r="G165" s="279" t="str">
        <f t="shared" si="2"/>
        <v>🟡</v>
      </c>
      <c r="H165" s="277"/>
      <c r="I165" s="231"/>
      <c r="J165" s="231"/>
    </row>
    <row r="166" spans="1:10">
      <c r="A166" s="277" t="s">
        <v>5781</v>
      </c>
      <c r="B166" s="278" t="s">
        <v>1096</v>
      </c>
      <c r="C166" s="277"/>
      <c r="D166" s="277"/>
      <c r="E166" s="277"/>
      <c r="F166" s="277"/>
      <c r="G166" s="279" t="str">
        <f t="shared" si="2"/>
        <v>🟡</v>
      </c>
      <c r="H166" s="277"/>
      <c r="I166" s="231"/>
      <c r="J166" s="231"/>
    </row>
    <row r="167" spans="1:10">
      <c r="A167" s="277" t="s">
        <v>178</v>
      </c>
      <c r="B167" s="278" t="s">
        <v>1096</v>
      </c>
      <c r="C167" s="277"/>
      <c r="D167" s="277"/>
      <c r="E167" s="277"/>
      <c r="F167" s="277"/>
      <c r="G167" s="279" t="str">
        <f t="shared" si="2"/>
        <v>🟡</v>
      </c>
      <c r="H167" s="277"/>
      <c r="I167" s="231"/>
      <c r="J167" s="231"/>
    </row>
    <row r="168" spans="1:10" ht="26.4">
      <c r="A168" s="277" t="s">
        <v>5782</v>
      </c>
      <c r="B168" s="278" t="s">
        <v>1096</v>
      </c>
      <c r="C168" s="277"/>
      <c r="D168" s="277"/>
      <c r="E168" s="277"/>
      <c r="F168" s="277"/>
      <c r="G168" s="279" t="str">
        <f t="shared" si="2"/>
        <v>🟡</v>
      </c>
      <c r="H168" s="277"/>
      <c r="I168" s="231"/>
      <c r="J168" s="231"/>
    </row>
    <row r="169" spans="1:10">
      <c r="A169" s="324" t="s">
        <v>4946</v>
      </c>
      <c r="B169" s="324" t="s">
        <v>5790</v>
      </c>
      <c r="C169" s="196"/>
      <c r="D169" s="196"/>
      <c r="E169" s="324" t="s">
        <v>5791</v>
      </c>
      <c r="F169" s="196"/>
      <c r="G169" s="196"/>
      <c r="H169" s="196"/>
      <c r="I169" s="231"/>
      <c r="J169" s="231"/>
    </row>
    <row r="170" spans="1:10" ht="26.4">
      <c r="A170" s="291" t="s">
        <v>5777</v>
      </c>
      <c r="B170" s="768" t="s">
        <v>5792</v>
      </c>
      <c r="C170" s="768"/>
      <c r="D170" s="768"/>
      <c r="E170" s="768" t="s">
        <v>5793</v>
      </c>
      <c r="F170" s="768"/>
      <c r="G170" s="768"/>
      <c r="H170" s="196"/>
      <c r="I170" s="231"/>
      <c r="J170" s="231"/>
    </row>
    <row r="171" spans="1:10">
      <c r="A171" s="291" t="s">
        <v>5778</v>
      </c>
      <c r="B171" s="768" t="s">
        <v>5794</v>
      </c>
      <c r="C171" s="768"/>
      <c r="D171" s="768"/>
      <c r="E171" s="768" t="s">
        <v>5795</v>
      </c>
      <c r="F171" s="768"/>
      <c r="G171" s="768"/>
      <c r="H171" s="196"/>
      <c r="I171" s="231"/>
      <c r="J171" s="231"/>
    </row>
    <row r="172" spans="1:10">
      <c r="A172" s="291" t="s">
        <v>5779</v>
      </c>
      <c r="B172" s="768" t="s">
        <v>5796</v>
      </c>
      <c r="C172" s="768"/>
      <c r="D172" s="768"/>
      <c r="E172" s="768" t="s">
        <v>5797</v>
      </c>
      <c r="F172" s="768"/>
      <c r="G172" s="768"/>
      <c r="H172" s="196"/>
      <c r="I172" s="231"/>
      <c r="J172" s="231"/>
    </row>
    <row r="173" spans="1:10">
      <c r="A173" s="291" t="s">
        <v>5168</v>
      </c>
      <c r="B173" s="768" t="s">
        <v>5798</v>
      </c>
      <c r="C173" s="768"/>
      <c r="D173" s="768"/>
      <c r="E173" s="768" t="s">
        <v>5799</v>
      </c>
      <c r="F173" s="768"/>
      <c r="G173" s="768"/>
      <c r="H173" s="196"/>
      <c r="I173" s="231"/>
      <c r="J173" s="231"/>
    </row>
    <row r="174" spans="1:10">
      <c r="A174" s="291" t="s">
        <v>5780</v>
      </c>
      <c r="B174" s="768" t="s">
        <v>5800</v>
      </c>
      <c r="C174" s="768"/>
      <c r="D174" s="768"/>
      <c r="E174" s="768" t="s">
        <v>5801</v>
      </c>
      <c r="F174" s="768"/>
      <c r="G174" s="768"/>
      <c r="H174" s="196"/>
      <c r="I174" s="231"/>
      <c r="J174" s="231"/>
    </row>
    <row r="175" spans="1:10">
      <c r="A175" s="291" t="s">
        <v>5781</v>
      </c>
      <c r="B175" s="768" t="s">
        <v>5802</v>
      </c>
      <c r="C175" s="768"/>
      <c r="D175" s="768"/>
      <c r="E175" s="768" t="s">
        <v>5803</v>
      </c>
      <c r="F175" s="768"/>
      <c r="G175" s="768"/>
      <c r="H175" s="196"/>
      <c r="I175" s="231"/>
      <c r="J175" s="231"/>
    </row>
    <row r="176" spans="1:10">
      <c r="A176" s="291" t="s">
        <v>178</v>
      </c>
      <c r="B176" s="768" t="s">
        <v>5804</v>
      </c>
      <c r="C176" s="768"/>
      <c r="D176" s="768"/>
      <c r="E176" s="768" t="s">
        <v>5805</v>
      </c>
      <c r="F176" s="768"/>
      <c r="G176" s="768"/>
      <c r="H176" s="196"/>
      <c r="I176" s="231"/>
      <c r="J176" s="231"/>
    </row>
    <row r="177" spans="1:10" ht="26.4">
      <c r="A177" s="291" t="s">
        <v>5782</v>
      </c>
      <c r="B177" s="768" t="s">
        <v>5806</v>
      </c>
      <c r="C177" s="768"/>
      <c r="D177" s="768"/>
      <c r="E177" s="768" t="s">
        <v>5807</v>
      </c>
      <c r="F177" s="768"/>
      <c r="G177" s="768"/>
      <c r="H177" s="196"/>
      <c r="I177" s="231"/>
      <c r="J177" s="231"/>
    </row>
    <row r="178" spans="1:10">
      <c r="A178" s="276" t="s">
        <v>5783</v>
      </c>
      <c r="B178" s="280" t="str">
        <f>IF(COUNTIF(B161:B168,"No")=0,"🟢 PILOT COMPLETE / ACCEPTANCE READY","🟡 NOT COMPLETE — ACCEPTANCE GATES OPEN")</f>
        <v>🟡 NOT COMPLETE — ACCEPTANCE GATES OPEN</v>
      </c>
      <c r="C178" s="280"/>
      <c r="D178" s="280"/>
      <c r="E178" s="280"/>
      <c r="F178" s="280"/>
      <c r="G178" s="280"/>
      <c r="H178" s="280"/>
    </row>
    <row r="179" spans="1:10">
      <c r="A179" s="276" t="s">
        <v>5784</v>
      </c>
      <c r="B179" s="280">
        <f>COUNTIF(B161:B168,"No")</f>
        <v>8</v>
      </c>
      <c r="C179" s="280"/>
      <c r="D179" s="280"/>
      <c r="E179" s="280"/>
      <c r="F179" s="280"/>
      <c r="G179" s="280"/>
      <c r="H179" s="280"/>
    </row>
    <row r="180" spans="1:10">
      <c r="A180" s="276" t="s">
        <v>5785</v>
      </c>
      <c r="B180" s="280" t="str">
        <f>COUNTIF(B161:B168,"Yes")&amp;" / 8 Complete"</f>
        <v>0 / 8 Complete</v>
      </c>
      <c r="C180" s="280"/>
      <c r="D180" s="280"/>
      <c r="E180" s="280"/>
      <c r="F180" s="280"/>
      <c r="G180" s="280"/>
      <c r="H180" s="280"/>
    </row>
    <row r="181" spans="1:10" ht="93">
      <c r="A181" s="281" t="s">
        <v>5786</v>
      </c>
      <c r="B181" s="282" t="s">
        <v>5787</v>
      </c>
      <c r="C181" s="282"/>
      <c r="D181" s="282"/>
      <c r="E181" s="282"/>
      <c r="F181" s="282"/>
      <c r="G181" s="282"/>
      <c r="H181" s="282"/>
    </row>
    <row r="182" spans="1:10">
      <c r="A182" s="281"/>
      <c r="B182" s="282"/>
      <c r="C182" s="282"/>
      <c r="D182" s="282"/>
      <c r="E182" s="282"/>
      <c r="F182" s="282"/>
      <c r="G182" s="282"/>
      <c r="H182" s="282"/>
    </row>
    <row r="183" spans="1:10" ht="66.599999999999994">
      <c r="A183" s="281" t="s">
        <v>5788</v>
      </c>
      <c r="B183" s="282" t="s">
        <v>5789</v>
      </c>
      <c r="C183" s="282"/>
      <c r="D183" s="282"/>
      <c r="E183" s="282"/>
      <c r="F183" s="282"/>
      <c r="G183" s="282"/>
      <c r="H183" s="282"/>
    </row>
    <row r="184" spans="1:10">
      <c r="A184" s="842" t="s">
        <v>5901</v>
      </c>
      <c r="B184" s="842"/>
      <c r="C184" s="842"/>
      <c r="D184" s="842"/>
      <c r="E184" s="842"/>
      <c r="F184" s="842"/>
      <c r="G184" s="842"/>
      <c r="H184" s="842"/>
      <c r="I184" s="842"/>
      <c r="J184" s="842"/>
    </row>
    <row r="185" spans="1:10">
      <c r="A185" s="340" t="s">
        <v>5886</v>
      </c>
      <c r="B185" s="196"/>
      <c r="C185" s="196"/>
      <c r="D185" s="196"/>
      <c r="E185" s="196"/>
      <c r="F185" s="196"/>
      <c r="G185" s="196"/>
      <c r="H185" s="196"/>
      <c r="I185" s="196"/>
      <c r="J185" s="196"/>
    </row>
    <row r="186" spans="1:10">
      <c r="A186" s="196"/>
      <c r="B186" s="196"/>
      <c r="C186" s="196"/>
      <c r="D186" s="196"/>
      <c r="E186" s="196"/>
      <c r="F186" s="196"/>
      <c r="G186" s="196"/>
      <c r="H186" s="196"/>
      <c r="I186" s="196"/>
      <c r="J186" s="196"/>
    </row>
    <row r="187" spans="1:10">
      <c r="A187" s="196" t="s">
        <v>5887</v>
      </c>
      <c r="B187" s="196"/>
      <c r="C187" s="196"/>
      <c r="D187" s="196"/>
      <c r="E187" s="196"/>
      <c r="F187" s="196"/>
      <c r="G187" s="196"/>
      <c r="H187" s="196"/>
      <c r="I187" s="196"/>
      <c r="J187" s="196"/>
    </row>
    <row r="188" spans="1:10">
      <c r="A188" s="196"/>
      <c r="B188" s="196"/>
      <c r="C188" s="196"/>
      <c r="D188" s="196"/>
      <c r="E188" s="196"/>
      <c r="F188" s="196"/>
      <c r="G188" s="196"/>
      <c r="H188" s="196"/>
      <c r="I188" s="196"/>
      <c r="J188" s="196"/>
    </row>
    <row r="189" spans="1:10">
      <c r="A189" s="196" t="s">
        <v>5888</v>
      </c>
      <c r="B189" s="196"/>
      <c r="C189" s="196"/>
      <c r="D189" s="196"/>
      <c r="E189" s="196"/>
      <c r="F189" s="196"/>
      <c r="G189" s="196"/>
      <c r="H189" s="196"/>
      <c r="I189" s="196"/>
      <c r="J189" s="196"/>
    </row>
    <row r="190" spans="1:10">
      <c r="A190" s="196"/>
      <c r="B190" s="196"/>
      <c r="C190" s="196"/>
      <c r="D190" s="196"/>
      <c r="E190" s="196"/>
      <c r="F190" s="196"/>
      <c r="G190" s="196"/>
      <c r="H190" s="196"/>
      <c r="I190" s="196"/>
      <c r="J190" s="196"/>
    </row>
    <row r="191" spans="1:10">
      <c r="A191" s="196" t="s">
        <v>5889</v>
      </c>
      <c r="B191" s="196"/>
      <c r="C191" s="196"/>
      <c r="D191" s="196"/>
      <c r="E191" s="196"/>
      <c r="F191" s="196"/>
      <c r="G191" s="196"/>
      <c r="H191" s="196"/>
      <c r="I191" s="196"/>
      <c r="J191" s="196"/>
    </row>
    <row r="192" spans="1:10">
      <c r="A192" s="196"/>
      <c r="B192" s="196"/>
      <c r="C192" s="196"/>
      <c r="D192" s="196"/>
      <c r="E192" s="196"/>
      <c r="F192" s="196"/>
      <c r="G192" s="196"/>
      <c r="H192" s="196"/>
      <c r="I192" s="196"/>
      <c r="J192" s="196"/>
    </row>
    <row r="193" spans="1:10">
      <c r="A193" s="196"/>
      <c r="B193" s="196"/>
      <c r="C193" s="196"/>
      <c r="D193" s="196"/>
      <c r="E193" s="196"/>
      <c r="F193" s="196"/>
      <c r="G193" s="196"/>
      <c r="H193" s="196"/>
      <c r="I193" s="196"/>
      <c r="J193" s="196"/>
    </row>
    <row r="194" spans="1:10">
      <c r="A194" s="196"/>
      <c r="B194" s="196"/>
      <c r="C194" s="196"/>
      <c r="D194" s="196"/>
      <c r="E194" s="196"/>
      <c r="F194" s="196"/>
      <c r="G194" s="196"/>
      <c r="H194" s="196"/>
      <c r="I194" s="196"/>
      <c r="J194" s="196"/>
    </row>
    <row r="195" spans="1:10">
      <c r="A195" s="842" t="s">
        <v>5902</v>
      </c>
      <c r="B195" s="842"/>
      <c r="C195" s="842"/>
      <c r="D195" s="842"/>
      <c r="E195" s="842"/>
      <c r="F195" s="842"/>
      <c r="G195" s="842"/>
      <c r="H195" s="842"/>
      <c r="I195" s="842"/>
      <c r="J195" s="842"/>
    </row>
    <row r="196" spans="1:10">
      <c r="A196" s="196"/>
      <c r="B196" s="196"/>
      <c r="C196" s="196"/>
      <c r="D196" s="196"/>
      <c r="E196" s="196"/>
      <c r="F196" s="196"/>
      <c r="G196" s="196"/>
      <c r="H196" s="196"/>
      <c r="I196" s="196"/>
      <c r="J196" s="196"/>
    </row>
    <row r="197" spans="1:10">
      <c r="A197" s="196" t="s">
        <v>5890</v>
      </c>
      <c r="B197" s="196"/>
      <c r="C197" s="196"/>
      <c r="D197" s="196"/>
      <c r="E197" s="196"/>
      <c r="F197" s="196"/>
      <c r="G197" s="196"/>
      <c r="H197" s="196"/>
      <c r="I197" s="196"/>
      <c r="J197" s="196"/>
    </row>
    <row r="198" spans="1:10">
      <c r="A198" s="196"/>
      <c r="B198" s="196"/>
      <c r="C198" s="196"/>
      <c r="D198" s="196"/>
      <c r="E198" s="196"/>
      <c r="F198" s="196"/>
      <c r="G198" s="196"/>
      <c r="H198" s="196"/>
      <c r="I198" s="196"/>
      <c r="J198" s="196"/>
    </row>
    <row r="199" spans="1:10">
      <c r="A199" s="196" t="s">
        <v>5891</v>
      </c>
      <c r="B199" s="196"/>
      <c r="C199" s="196"/>
      <c r="D199" s="196"/>
      <c r="E199" s="196"/>
      <c r="F199" s="196"/>
      <c r="G199" s="196"/>
      <c r="H199" s="196"/>
      <c r="I199" s="196"/>
      <c r="J199" s="196"/>
    </row>
    <row r="200" spans="1:10">
      <c r="A200" s="196"/>
      <c r="B200" s="196"/>
      <c r="C200" s="196"/>
      <c r="D200" s="196"/>
      <c r="E200" s="196"/>
      <c r="F200" s="196"/>
      <c r="G200" s="196"/>
      <c r="H200" s="196"/>
      <c r="I200" s="196"/>
      <c r="J200" s="196"/>
    </row>
    <row r="201" spans="1:10">
      <c r="A201" s="196" t="s">
        <v>5892</v>
      </c>
      <c r="B201" s="196"/>
      <c r="C201" s="196"/>
      <c r="D201" s="196"/>
      <c r="E201" s="196"/>
      <c r="F201" s="196"/>
      <c r="G201" s="196"/>
      <c r="H201" s="196"/>
      <c r="I201" s="196"/>
      <c r="J201" s="196"/>
    </row>
    <row r="202" spans="1:10">
      <c r="A202" s="196"/>
      <c r="B202" s="196"/>
      <c r="C202" s="196"/>
      <c r="D202" s="196"/>
      <c r="E202" s="196"/>
      <c r="F202" s="196"/>
      <c r="G202" s="196"/>
      <c r="H202" s="196"/>
      <c r="I202" s="196"/>
      <c r="J202" s="196"/>
    </row>
    <row r="203" spans="1:10">
      <c r="A203" s="196"/>
      <c r="B203" s="196"/>
      <c r="C203" s="196"/>
      <c r="D203" s="196"/>
      <c r="E203" s="196"/>
      <c r="F203" s="196"/>
      <c r="G203" s="196"/>
      <c r="H203" s="196"/>
      <c r="I203" s="196"/>
      <c r="J203" s="196"/>
    </row>
    <row r="204" spans="1:10">
      <c r="A204" s="196"/>
      <c r="B204" s="196"/>
      <c r="C204" s="196"/>
      <c r="D204" s="196"/>
      <c r="E204" s="196"/>
      <c r="F204" s="196"/>
      <c r="G204" s="196"/>
      <c r="H204" s="196"/>
      <c r="I204" s="196"/>
      <c r="J204" s="196"/>
    </row>
    <row r="205" spans="1:10">
      <c r="A205" s="842" t="s">
        <v>5903</v>
      </c>
      <c r="B205" s="842"/>
      <c r="C205" s="842"/>
      <c r="D205" s="842"/>
      <c r="E205" s="842"/>
      <c r="F205" s="842"/>
      <c r="G205" s="842"/>
      <c r="H205" s="842"/>
      <c r="I205" s="842"/>
      <c r="J205" s="842"/>
    </row>
    <row r="206" spans="1:10">
      <c r="A206" s="196"/>
      <c r="B206" s="196"/>
      <c r="C206" s="196"/>
      <c r="D206" s="196"/>
      <c r="E206" s="196"/>
      <c r="F206" s="196"/>
      <c r="G206" s="196"/>
      <c r="H206" s="196"/>
      <c r="I206" s="196"/>
      <c r="J206" s="196"/>
    </row>
    <row r="207" spans="1:10">
      <c r="A207" s="196" t="s">
        <v>5893</v>
      </c>
      <c r="B207" s="196"/>
      <c r="C207" s="196"/>
      <c r="D207" s="196"/>
      <c r="E207" s="196"/>
      <c r="F207" s="196"/>
      <c r="G207" s="196"/>
      <c r="H207" s="196"/>
      <c r="I207" s="196"/>
      <c r="J207" s="196"/>
    </row>
    <row r="208" spans="1:10">
      <c r="A208" s="196"/>
      <c r="B208" s="196"/>
      <c r="C208" s="196"/>
      <c r="D208" s="196"/>
      <c r="E208" s="196"/>
      <c r="F208" s="196"/>
      <c r="G208" s="196"/>
      <c r="H208" s="196"/>
      <c r="I208" s="196"/>
      <c r="J208" s="196"/>
    </row>
    <row r="209" spans="1:10">
      <c r="A209" s="196" t="s">
        <v>5894</v>
      </c>
      <c r="B209" s="196"/>
      <c r="C209" s="196"/>
      <c r="D209" s="196"/>
      <c r="E209" s="196"/>
      <c r="F209" s="196"/>
      <c r="G209" s="196"/>
      <c r="H209" s="196"/>
      <c r="I209" s="196"/>
      <c r="J209" s="196"/>
    </row>
    <row r="210" spans="1:10">
      <c r="A210" s="196"/>
      <c r="B210" s="196"/>
      <c r="C210" s="196"/>
      <c r="D210" s="196"/>
      <c r="E210" s="196"/>
      <c r="F210" s="196"/>
      <c r="G210" s="196"/>
      <c r="H210" s="196"/>
      <c r="I210" s="196"/>
      <c r="J210" s="196"/>
    </row>
    <row r="211" spans="1:10">
      <c r="A211" s="196" t="s">
        <v>5895</v>
      </c>
      <c r="B211" s="196"/>
      <c r="C211" s="196"/>
      <c r="D211" s="196"/>
      <c r="E211" s="196"/>
      <c r="F211" s="196"/>
      <c r="G211" s="196"/>
      <c r="H211" s="196"/>
      <c r="I211" s="196"/>
      <c r="J211" s="196"/>
    </row>
    <row r="212" spans="1:10">
      <c r="A212" s="196"/>
      <c r="B212" s="196"/>
      <c r="C212" s="196"/>
      <c r="D212" s="196"/>
      <c r="E212" s="196"/>
      <c r="F212" s="196"/>
      <c r="G212" s="196"/>
      <c r="H212" s="196"/>
      <c r="I212" s="196"/>
      <c r="J212" s="196"/>
    </row>
    <row r="213" spans="1:10">
      <c r="A213" s="196" t="s">
        <v>5896</v>
      </c>
      <c r="B213" s="196"/>
      <c r="C213" s="196"/>
      <c r="D213" s="196"/>
      <c r="E213" s="196"/>
      <c r="F213" s="196"/>
      <c r="G213" s="196"/>
      <c r="H213" s="196"/>
      <c r="I213" s="196"/>
      <c r="J213" s="196"/>
    </row>
    <row r="214" spans="1:10">
      <c r="A214" s="196"/>
      <c r="B214" s="196"/>
      <c r="C214" s="196"/>
      <c r="D214" s="196"/>
      <c r="E214" s="196"/>
      <c r="F214" s="196"/>
      <c r="G214" s="196"/>
      <c r="H214" s="196"/>
      <c r="I214" s="196"/>
      <c r="J214" s="196"/>
    </row>
    <row r="215" spans="1:10">
      <c r="A215" s="196"/>
      <c r="B215" s="196"/>
      <c r="C215" s="196"/>
      <c r="D215" s="196"/>
      <c r="E215" s="196"/>
      <c r="F215" s="196"/>
      <c r="G215" s="196"/>
      <c r="H215" s="196"/>
      <c r="I215" s="196"/>
      <c r="J215" s="196"/>
    </row>
    <row r="216" spans="1:10">
      <c r="A216" s="196"/>
      <c r="B216" s="196"/>
      <c r="C216" s="196"/>
      <c r="D216" s="196"/>
      <c r="E216" s="196"/>
      <c r="F216" s="196"/>
      <c r="G216" s="196"/>
      <c r="H216" s="196"/>
      <c r="I216" s="196"/>
      <c r="J216" s="196"/>
    </row>
    <row r="217" spans="1:10">
      <c r="A217" s="842" t="s">
        <v>5904</v>
      </c>
      <c r="B217" s="842"/>
      <c r="C217" s="842"/>
      <c r="D217" s="842"/>
      <c r="E217" s="842"/>
      <c r="F217" s="842"/>
      <c r="G217" s="842"/>
      <c r="H217" s="842"/>
      <c r="I217" s="842"/>
      <c r="J217" s="842"/>
    </row>
    <row r="218" spans="1:10">
      <c r="A218" s="196"/>
      <c r="B218" s="196"/>
      <c r="C218" s="196"/>
      <c r="D218" s="196"/>
      <c r="E218" s="196"/>
      <c r="F218" s="196"/>
      <c r="G218" s="196"/>
      <c r="H218" s="196"/>
      <c r="I218" s="196"/>
      <c r="J218" s="196"/>
    </row>
    <row r="219" spans="1:10">
      <c r="A219" s="196" t="s">
        <v>5897</v>
      </c>
      <c r="B219" s="196"/>
      <c r="C219" s="196"/>
      <c r="D219" s="196"/>
      <c r="E219" s="196"/>
      <c r="F219" s="196"/>
      <c r="G219" s="196"/>
      <c r="H219" s="196"/>
      <c r="I219" s="196"/>
      <c r="J219" s="196"/>
    </row>
    <row r="220" spans="1:10">
      <c r="A220" s="196"/>
      <c r="B220" s="196"/>
      <c r="C220" s="196"/>
      <c r="D220" s="196"/>
      <c r="E220" s="196"/>
      <c r="F220" s="196"/>
      <c r="G220" s="196"/>
      <c r="H220" s="196"/>
      <c r="I220" s="196"/>
      <c r="J220" s="196"/>
    </row>
    <row r="221" spans="1:10">
      <c r="A221" s="196" t="s">
        <v>5898</v>
      </c>
      <c r="B221" s="196"/>
      <c r="C221" s="196"/>
      <c r="D221" s="196"/>
      <c r="E221" s="196"/>
      <c r="F221" s="196"/>
      <c r="G221" s="196"/>
      <c r="H221" s="196"/>
      <c r="I221" s="196"/>
      <c r="J221" s="196"/>
    </row>
    <row r="222" spans="1:10">
      <c r="A222" s="196"/>
      <c r="B222" s="196"/>
      <c r="C222" s="196"/>
      <c r="D222" s="196"/>
      <c r="E222" s="196"/>
      <c r="F222" s="196"/>
      <c r="G222" s="196"/>
      <c r="H222" s="196"/>
      <c r="I222" s="196"/>
      <c r="J222" s="196"/>
    </row>
    <row r="223" spans="1:10">
      <c r="A223" s="196" t="s">
        <v>5899</v>
      </c>
      <c r="B223" s="196"/>
      <c r="C223" s="196"/>
      <c r="D223" s="196"/>
      <c r="E223" s="196"/>
      <c r="F223" s="196"/>
      <c r="G223" s="196"/>
      <c r="H223" s="196"/>
      <c r="I223" s="196"/>
      <c r="J223" s="196"/>
    </row>
    <row r="224" spans="1:10">
      <c r="A224" s="196"/>
      <c r="B224" s="196"/>
      <c r="C224" s="196"/>
      <c r="D224" s="196"/>
      <c r="E224" s="196"/>
      <c r="F224" s="196"/>
      <c r="G224" s="196"/>
      <c r="H224" s="196"/>
      <c r="I224" s="196"/>
      <c r="J224" s="196"/>
    </row>
    <row r="225" spans="1:10">
      <c r="A225" s="196"/>
      <c r="B225" s="196"/>
      <c r="C225" s="196"/>
      <c r="D225" s="196"/>
      <c r="E225" s="196"/>
      <c r="F225" s="196"/>
      <c r="G225" s="196"/>
      <c r="H225" s="196"/>
      <c r="I225" s="196"/>
      <c r="J225" s="196"/>
    </row>
    <row r="226" spans="1:10">
      <c r="A226" s="196"/>
      <c r="B226" s="196"/>
      <c r="C226" s="196"/>
      <c r="D226" s="196"/>
      <c r="E226" s="196"/>
      <c r="F226" s="196"/>
      <c r="G226" s="196"/>
      <c r="H226" s="196"/>
      <c r="I226" s="196"/>
      <c r="J226" s="196"/>
    </row>
    <row r="227" spans="1:10">
      <c r="A227" s="196" t="s">
        <v>5900</v>
      </c>
      <c r="B227" s="196"/>
      <c r="C227" s="196"/>
      <c r="D227" s="196"/>
      <c r="E227" s="196"/>
      <c r="F227" s="196"/>
      <c r="G227" s="196"/>
      <c r="H227" s="196"/>
      <c r="I227" s="196"/>
      <c r="J227" s="196"/>
    </row>
    <row r="228" spans="1:10">
      <c r="A228" s="196"/>
      <c r="B228" s="196"/>
      <c r="C228" s="196"/>
      <c r="D228" s="196"/>
      <c r="E228" s="196"/>
      <c r="F228" s="196"/>
      <c r="G228" s="196"/>
      <c r="H228" s="196"/>
      <c r="I228" s="196"/>
      <c r="J228" s="196"/>
    </row>
    <row r="229" spans="1:10">
      <c r="A229" s="341"/>
      <c r="B229" s="341"/>
      <c r="C229" s="341"/>
      <c r="D229" s="341"/>
      <c r="E229" s="341"/>
      <c r="F229" s="341"/>
      <c r="G229" s="341"/>
      <c r="H229" s="341"/>
      <c r="I229" s="341"/>
      <c r="J229" s="341"/>
    </row>
    <row r="230" spans="1:10">
      <c r="A230" s="341"/>
      <c r="B230" s="341"/>
      <c r="C230" s="341"/>
      <c r="D230" s="341"/>
      <c r="E230" s="341"/>
      <c r="F230" s="341"/>
      <c r="G230" s="341"/>
      <c r="H230" s="341"/>
      <c r="I230" s="341"/>
      <c r="J230" s="341"/>
    </row>
    <row r="231" spans="1:10">
      <c r="A231" s="341"/>
      <c r="B231" s="341"/>
      <c r="C231" s="341"/>
      <c r="D231" s="341"/>
      <c r="E231" s="341"/>
      <c r="F231" s="341"/>
      <c r="G231" s="341"/>
      <c r="H231" s="341"/>
      <c r="I231" s="341"/>
      <c r="J231" s="341"/>
    </row>
    <row r="232" spans="1:10">
      <c r="A232" s="341"/>
      <c r="B232" s="341"/>
      <c r="C232" s="341"/>
      <c r="D232" s="341"/>
      <c r="E232" s="341"/>
      <c r="F232" s="341"/>
      <c r="G232" s="341"/>
      <c r="H232" s="341"/>
      <c r="I232" s="341"/>
      <c r="J232" s="341"/>
    </row>
    <row r="233" spans="1:10">
      <c r="A233" s="341"/>
      <c r="B233" s="341"/>
      <c r="C233" s="341"/>
      <c r="D233" s="341"/>
      <c r="E233" s="341"/>
      <c r="F233" s="341"/>
      <c r="G233" s="341"/>
      <c r="H233" s="341"/>
      <c r="I233" s="341"/>
      <c r="J233" s="341"/>
    </row>
    <row r="234" spans="1:10">
      <c r="A234" s="341"/>
      <c r="B234" s="341"/>
      <c r="C234" s="341"/>
      <c r="D234" s="341"/>
      <c r="E234" s="341"/>
      <c r="F234" s="341"/>
      <c r="G234" s="341"/>
      <c r="H234" s="341"/>
      <c r="I234" s="341"/>
      <c r="J234" s="341"/>
    </row>
    <row r="235" spans="1:10">
      <c r="A235" s="341"/>
      <c r="B235" s="341"/>
      <c r="C235" s="341"/>
      <c r="D235" s="341"/>
      <c r="E235" s="341"/>
      <c r="F235" s="341"/>
      <c r="G235" s="341"/>
      <c r="H235" s="341"/>
      <c r="I235" s="341"/>
      <c r="J235" s="341"/>
    </row>
    <row r="236" spans="1:10">
      <c r="A236" s="341"/>
      <c r="B236" s="341"/>
      <c r="C236" s="341"/>
      <c r="D236" s="341"/>
      <c r="E236" s="341"/>
      <c r="F236" s="341"/>
      <c r="G236" s="341"/>
      <c r="H236" s="341"/>
      <c r="I236" s="341"/>
      <c r="J236" s="341"/>
    </row>
    <row r="237" spans="1:10">
      <c r="A237" s="341"/>
      <c r="B237" s="341"/>
      <c r="C237" s="341"/>
      <c r="D237" s="341"/>
      <c r="E237" s="341"/>
      <c r="F237" s="341"/>
      <c r="G237" s="341"/>
      <c r="H237" s="341"/>
      <c r="I237" s="341"/>
      <c r="J237" s="341"/>
    </row>
    <row r="238" spans="1:10">
      <c r="A238" s="196"/>
      <c r="B238" s="196"/>
      <c r="C238" s="196"/>
      <c r="D238" s="196"/>
      <c r="E238" s="196"/>
      <c r="F238" s="196"/>
      <c r="G238" s="196"/>
      <c r="H238" s="196"/>
      <c r="I238" s="196"/>
      <c r="J238" s="196"/>
    </row>
    <row r="239" spans="1:10">
      <c r="A239" s="320"/>
      <c r="B239" s="320"/>
      <c r="C239" s="320"/>
      <c r="D239" s="320"/>
      <c r="E239" s="320"/>
      <c r="F239" s="320"/>
      <c r="G239" s="874"/>
      <c r="H239" s="874"/>
      <c r="I239" s="874"/>
      <c r="J239" s="874"/>
    </row>
  </sheetData>
  <mergeCells count="108">
    <mergeCell ref="B96:J96"/>
    <mergeCell ref="B91:J91"/>
    <mergeCell ref="B92:J92"/>
    <mergeCell ref="A1:J1"/>
    <mergeCell ref="B95:J95"/>
    <mergeCell ref="B93:J93"/>
    <mergeCell ref="B94:J94"/>
    <mergeCell ref="D6:J6"/>
    <mergeCell ref="G101:J101"/>
    <mergeCell ref="G103:J103"/>
    <mergeCell ref="A105:B105"/>
    <mergeCell ref="E105:J105"/>
    <mergeCell ref="A107:C107"/>
    <mergeCell ref="D107:F107"/>
    <mergeCell ref="G107:J107"/>
    <mergeCell ref="A98:C98"/>
    <mergeCell ref="D98:F98"/>
    <mergeCell ref="G98:J98"/>
    <mergeCell ref="G99:J99"/>
    <mergeCell ref="G100:J100"/>
    <mergeCell ref="F113:J113"/>
    <mergeCell ref="F114:J114"/>
    <mergeCell ref="F115:J115"/>
    <mergeCell ref="F116:J116"/>
    <mergeCell ref="A117:B117"/>
    <mergeCell ref="C117:D117"/>
    <mergeCell ref="E117:J117"/>
    <mergeCell ref="G108:J108"/>
    <mergeCell ref="F109:J109"/>
    <mergeCell ref="F110:J110"/>
    <mergeCell ref="F111:J111"/>
    <mergeCell ref="F112:J112"/>
    <mergeCell ref="G122:J122"/>
    <mergeCell ref="G123:J123"/>
    <mergeCell ref="G124:J124"/>
    <mergeCell ref="G125:J125"/>
    <mergeCell ref="A126:B126"/>
    <mergeCell ref="C126:D126"/>
    <mergeCell ref="E126:J126"/>
    <mergeCell ref="A119:C119"/>
    <mergeCell ref="D119:F119"/>
    <mergeCell ref="G119:J119"/>
    <mergeCell ref="G120:J120"/>
    <mergeCell ref="G121:J121"/>
    <mergeCell ref="G130:J130"/>
    <mergeCell ref="G131:J131"/>
    <mergeCell ref="G132:J132"/>
    <mergeCell ref="G133:J133"/>
    <mergeCell ref="A134:D135"/>
    <mergeCell ref="E134:J135"/>
    <mergeCell ref="G127:J127"/>
    <mergeCell ref="A128:C128"/>
    <mergeCell ref="D128:F128"/>
    <mergeCell ref="G128:J128"/>
    <mergeCell ref="G129:J129"/>
    <mergeCell ref="G139:J139"/>
    <mergeCell ref="G140:J140"/>
    <mergeCell ref="G141:J141"/>
    <mergeCell ref="G142:J142"/>
    <mergeCell ref="G143:J143"/>
    <mergeCell ref="A136:C136"/>
    <mergeCell ref="D136:F136"/>
    <mergeCell ref="G136:J136"/>
    <mergeCell ref="G137:J137"/>
    <mergeCell ref="G138:J138"/>
    <mergeCell ref="B149:J149"/>
    <mergeCell ref="B150:J150"/>
    <mergeCell ref="B151:J151"/>
    <mergeCell ref="B152:J152"/>
    <mergeCell ref="B153:J153"/>
    <mergeCell ref="A144:B144"/>
    <mergeCell ref="C144:D144"/>
    <mergeCell ref="E144:J144"/>
    <mergeCell ref="A146:C146"/>
    <mergeCell ref="B148:J148"/>
    <mergeCell ref="B171:D171"/>
    <mergeCell ref="E171:G171"/>
    <mergeCell ref="B172:D172"/>
    <mergeCell ref="E172:G172"/>
    <mergeCell ref="B173:D173"/>
    <mergeCell ref="E173:G173"/>
    <mergeCell ref="B154:J154"/>
    <mergeCell ref="A156:H156"/>
    <mergeCell ref="B157:H157"/>
    <mergeCell ref="B158:H158"/>
    <mergeCell ref="B170:D170"/>
    <mergeCell ref="E170:G170"/>
    <mergeCell ref="B177:D177"/>
    <mergeCell ref="E177:G177"/>
    <mergeCell ref="A184:C184"/>
    <mergeCell ref="D184:F184"/>
    <mergeCell ref="G184:J184"/>
    <mergeCell ref="B174:D174"/>
    <mergeCell ref="E174:G174"/>
    <mergeCell ref="B175:D175"/>
    <mergeCell ref="E175:G175"/>
    <mergeCell ref="B176:D176"/>
    <mergeCell ref="E176:G176"/>
    <mergeCell ref="A217:C217"/>
    <mergeCell ref="D217:F217"/>
    <mergeCell ref="G217:J217"/>
    <mergeCell ref="G239:J239"/>
    <mergeCell ref="A195:C195"/>
    <mergeCell ref="D195:F195"/>
    <mergeCell ref="G195:J195"/>
    <mergeCell ref="A205:C205"/>
    <mergeCell ref="D205:F205"/>
    <mergeCell ref="G205:J205"/>
  </mergeCells>
  <conditionalFormatting sqref="B100:B104">
    <cfRule type="expression" dxfId="1078" priority="21">
      <formula>B100="Complete"</formula>
    </cfRule>
    <cfRule type="expression" dxfId="1077" priority="22">
      <formula>B100="In Progress"</formula>
    </cfRule>
    <cfRule type="expression" dxfId="1076" priority="23">
      <formula>B100="At Risk"</formula>
    </cfRule>
    <cfRule type="expression" dxfId="1075" priority="24">
      <formula>B100="Blocked"</formula>
    </cfRule>
    <cfRule type="expression" dxfId="1074" priority="25">
      <formula>B100="Not Started"</formula>
    </cfRule>
  </conditionalFormatting>
  <conditionalFormatting sqref="B109:B116">
    <cfRule type="expression" dxfId="1073" priority="1">
      <formula>B109="Complete"</formula>
    </cfRule>
    <cfRule type="expression" dxfId="1072" priority="2">
      <formula>B109="In Progress"</formula>
    </cfRule>
    <cfRule type="expression" dxfId="1071" priority="3">
      <formula>B109="At Risk"</formula>
    </cfRule>
    <cfRule type="expression" dxfId="1070" priority="4">
      <formula>B109="Blocked"</formula>
    </cfRule>
    <cfRule type="expression" dxfId="1069" priority="5">
      <formula>B109="Not Started"</formula>
    </cfRule>
  </conditionalFormatting>
  <conditionalFormatting sqref="B121:B125">
    <cfRule type="expression" dxfId="1068" priority="26">
      <formula>B121="Complete"</formula>
    </cfRule>
    <cfRule type="expression" dxfId="1067" priority="27">
      <formula>B121="In Progress"</formula>
    </cfRule>
    <cfRule type="expression" dxfId="1066" priority="28">
      <formula>B121="At Risk"</formula>
    </cfRule>
    <cfRule type="expression" dxfId="1065" priority="29">
      <formula>B121="Blocked"</formula>
    </cfRule>
    <cfRule type="expression" dxfId="1064" priority="30">
      <formula>B121="Not Started"</formula>
    </cfRule>
  </conditionalFormatting>
  <conditionalFormatting sqref="B130:B133">
    <cfRule type="expression" dxfId="1063" priority="6">
      <formula>B130="Complete"</formula>
    </cfRule>
    <cfRule type="expression" dxfId="1062" priority="7">
      <formula>B130="In Progress"</formula>
    </cfRule>
    <cfRule type="expression" dxfId="1061" priority="8">
      <formula>B130="At Risk"</formula>
    </cfRule>
    <cfRule type="expression" dxfId="1060" priority="9">
      <formula>B130="Blocked"</formula>
    </cfRule>
    <cfRule type="expression" dxfId="1059" priority="10">
      <formula>B130="Not Started"</formula>
    </cfRule>
  </conditionalFormatting>
  <conditionalFormatting sqref="B138:B143">
    <cfRule type="expression" dxfId="1058" priority="11">
      <formula>B138="Complete"</formula>
    </cfRule>
    <cfRule type="expression" dxfId="1057" priority="12">
      <formula>B138="In Progress"</formula>
    </cfRule>
    <cfRule type="expression" dxfId="1056" priority="13">
      <formula>B138="At Risk"</formula>
    </cfRule>
    <cfRule type="expression" dxfId="1055" priority="14">
      <formula>B138="Blocked"</formula>
    </cfRule>
    <cfRule type="expression" dxfId="1054" priority="15">
      <formula>B138="Not Started"</formula>
    </cfRule>
  </conditionalFormatting>
  <conditionalFormatting sqref="B161:B168">
    <cfRule type="expression" dxfId="1053" priority="82">
      <formula>B161="Yes"</formula>
    </cfRule>
    <cfRule type="expression" dxfId="1052" priority="83">
      <formula>B161="N/A"</formula>
    </cfRule>
    <cfRule type="expression" dxfId="1051" priority="84">
      <formula>B161="No"</formula>
    </cfRule>
  </conditionalFormatting>
  <conditionalFormatting sqref="B178:H178">
    <cfRule type="expression" dxfId="1050" priority="85">
      <formula>COUNTIF($B$6:$B$13,"No")=0</formula>
    </cfRule>
    <cfRule type="expression" dxfId="1049" priority="86">
      <formula>COUNTIF($B$6:$B$13,"No")&gt;0</formula>
    </cfRule>
  </conditionalFormatting>
  <conditionalFormatting sqref="C105:D105">
    <cfRule type="dataBar" priority="37">
      <dataBar>
        <cfvo type="num" val="0"/>
        <cfvo type="num" val="1"/>
        <color rgb="FF5B9BD5"/>
      </dataBar>
    </cfRule>
  </conditionalFormatting>
  <conditionalFormatting sqref="C109:D116">
    <cfRule type="expression" dxfId="1048" priority="31">
      <formula>C109="Yes"</formula>
    </cfRule>
    <cfRule type="expression" dxfId="1047" priority="32">
      <formula>C109="No"</formula>
    </cfRule>
    <cfRule type="expression" dxfId="1046" priority="33">
      <formula>C109="N/A"</formula>
    </cfRule>
  </conditionalFormatting>
  <conditionalFormatting sqref="C117:D117">
    <cfRule type="dataBar" priority="38">
      <dataBar>
        <cfvo type="num" val="0"/>
        <cfvo type="num" val="1"/>
        <color rgb="FF5B9BD5"/>
      </dataBar>
    </cfRule>
  </conditionalFormatting>
  <conditionalFormatting sqref="C126:D126">
    <cfRule type="dataBar" priority="39">
      <dataBar>
        <cfvo type="num" val="0"/>
        <cfvo type="num" val="1"/>
        <color rgb="FF5B9BD5"/>
      </dataBar>
    </cfRule>
  </conditionalFormatting>
  <conditionalFormatting sqref="C138:D143">
    <cfRule type="expression" dxfId="1045" priority="16">
      <formula>C138="Yes"</formula>
    </cfRule>
    <cfRule type="expression" dxfId="1044" priority="17">
      <formula>C138="No"</formula>
    </cfRule>
    <cfRule type="expression" dxfId="1043" priority="18">
      <formula>C138="N/A"</formula>
    </cfRule>
  </conditionalFormatting>
  <conditionalFormatting sqref="C144:D144">
    <cfRule type="dataBar" priority="20">
      <dataBar>
        <cfvo type="num" val="0"/>
        <cfvo type="num" val="1"/>
        <color rgb="FF5B9BD5"/>
      </dataBar>
    </cfRule>
  </conditionalFormatting>
  <conditionalFormatting sqref="E5 G5 I5">
    <cfRule type="expression" dxfId="1042" priority="87">
      <formula>E5="Pass"</formula>
    </cfRule>
    <cfRule type="expression" dxfId="1041" priority="88">
      <formula>E5="Verify"</formula>
    </cfRule>
    <cfRule type="expression" dxfId="1040" priority="89">
      <formula>E5="Fail"</formula>
    </cfRule>
    <cfRule type="expression" dxfId="1039" priority="90">
      <formula>E5="Not Started"</formula>
    </cfRule>
  </conditionalFormatting>
  <conditionalFormatting sqref="F3">
    <cfRule type="expression" dxfId="1038" priority="91">
      <formula>F3="Yes"</formula>
    </cfRule>
    <cfRule type="expression" dxfId="1037" priority="92">
      <formula>F3="No"</formula>
    </cfRule>
  </conditionalFormatting>
  <conditionalFormatting sqref="F121:F125">
    <cfRule type="expression" dxfId="1036" priority="34">
      <formula>F121="Pass"</formula>
    </cfRule>
    <cfRule type="expression" dxfId="1035" priority="35">
      <formula>F121="Fail"</formula>
    </cfRule>
    <cfRule type="expression" dxfId="1034" priority="36">
      <formula>F121="Pending"</formula>
    </cfRule>
  </conditionalFormatting>
  <conditionalFormatting sqref="F130:F133">
    <cfRule type="dataBar" priority="19">
      <dataBar>
        <cfvo type="num" val="0"/>
        <cfvo type="num" val="1"/>
        <color rgb="FF5B9BD5"/>
      </dataBar>
    </cfRule>
  </conditionalFormatting>
  <dataValidations count="5">
    <dataValidation type="list" sqref="B5:B6 D5 F5 H5 H10:H18 H146:I147 H92:I96 I16:I18 J5 H149:I154 D63:D70 H19:I90" xr:uid="{00000000-0002-0000-2B00-000000000000}">
      <formula1>"Not Started,Verify,Pass,Fail,N/A,Open,Closed,Partial / Yellow"</formula1>
      <formula2>0</formula2>
    </dataValidation>
    <dataValidation type="list" allowBlank="1" sqref="F121:F125" xr:uid="{FA7C5A46-DDF8-4380-AB92-7F421B6B2B95}">
      <formula1>"Pending,Pass,Fail,N/A"</formula1>
    </dataValidation>
    <dataValidation type="list" allowBlank="1" sqref="C109:D116 C138:D143" xr:uid="{21871FA7-9046-476E-B936-1C4DDFDEAEE6}">
      <formula1>"Yes,No,N/A"</formula1>
    </dataValidation>
    <dataValidation type="list" allowBlank="1" sqref="B130:B133 B121:B125" xr:uid="{E0900632-6692-4E4A-8715-9B52DAE70797}">
      <formula1>"Not Started,In Progress,Complete,At Risk,Blocked"</formula1>
    </dataValidation>
    <dataValidation type="list" sqref="B161:B168" xr:uid="{DD2E1173-CF43-4CC9-B689-F6EAB31D77D4}">
      <formula1>"No,Yes,N/A"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8D247C45-B035-4332-83D4-3D208A315FC8}">
          <x14:formula1>
            <xm:f>Lookup_Lists!$L$37:$L$39</xm:f>
          </x14:formula1>
          <xm:sqref>C121:E125 J2</xm:sqref>
        </x14:dataValidation>
        <x14:dataValidation type="list" allowBlank="1" showInputMessage="1" showErrorMessage="1" xr:uid="{25984914-3127-4269-92FE-7C26C2BB5DDA}">
          <x14:formula1>
            <xm:f>Lookup_Lists!$A$36:$A$42</xm:f>
          </x14:formula1>
          <xm:sqref>B100:B104 B109:B116 B138:B143</xm:sqref>
        </x14:dataValidation>
      </x14:dataValidations>
    </ext>
  </extLst>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02436-CF83-495D-BEFA-A68BA407F373}">
  <dimension ref="A1:J239"/>
  <sheetViews>
    <sheetView workbookViewId="0">
      <selection activeCell="D4" sqref="D4"/>
    </sheetView>
  </sheetViews>
  <sheetFormatPr defaultColWidth="8.6640625" defaultRowHeight="14.4"/>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6640625" style="8" customWidth="1"/>
    <col min="13" max="16384" width="8.6640625" style="8"/>
  </cols>
  <sheetData>
    <row r="1" spans="1:10" ht="45" customHeight="1">
      <c r="A1" s="851" t="s">
        <v>1883</v>
      </c>
      <c r="B1" s="851"/>
      <c r="C1" s="851"/>
      <c r="D1" s="851"/>
      <c r="E1" s="851"/>
      <c r="F1" s="851"/>
      <c r="G1" s="851"/>
      <c r="H1" s="851"/>
      <c r="I1" s="851"/>
      <c r="J1" s="851"/>
    </row>
    <row r="2" spans="1:10" s="227" customFormat="1">
      <c r="A2" s="223" t="s">
        <v>911</v>
      </c>
      <c r="B2" s="224" t="s">
        <v>1884</v>
      </c>
      <c r="C2" s="223" t="s">
        <v>902</v>
      </c>
      <c r="D2" s="224" t="s">
        <v>1094</v>
      </c>
      <c r="E2" s="223" t="s">
        <v>151</v>
      </c>
      <c r="F2" s="224" t="s">
        <v>1095</v>
      </c>
      <c r="G2" s="223" t="s">
        <v>174</v>
      </c>
      <c r="H2" s="225">
        <v>0.5</v>
      </c>
      <c r="I2" s="223" t="s">
        <v>154</v>
      </c>
      <c r="J2" s="226" t="s">
        <v>1096</v>
      </c>
    </row>
    <row r="3" spans="1:10" s="231" customFormat="1" ht="27.6">
      <c r="A3" s="223" t="s">
        <v>903</v>
      </c>
      <c r="B3" s="228">
        <v>46198.602441863433</v>
      </c>
      <c r="C3" s="229" t="s">
        <v>904</v>
      </c>
      <c r="D3" s="230" t="s">
        <v>721</v>
      </c>
      <c r="E3" s="223" t="s">
        <v>905</v>
      </c>
      <c r="F3" s="230" t="s">
        <v>1885</v>
      </c>
      <c r="G3" s="223" t="s">
        <v>907</v>
      </c>
      <c r="H3" s="230" t="s">
        <v>908</v>
      </c>
      <c r="I3" s="223" t="s">
        <v>551</v>
      </c>
      <c r="J3" s="230" t="s">
        <v>1886</v>
      </c>
    </row>
    <row r="4" spans="1:10" s="231" customFormat="1" ht="151.80000000000001">
      <c r="A4" s="223" t="s">
        <v>161</v>
      </c>
      <c r="B4" s="230">
        <v>0</v>
      </c>
      <c r="C4" s="223" t="s">
        <v>199</v>
      </c>
      <c r="D4" s="230">
        <v>0</v>
      </c>
      <c r="E4" s="223" t="s">
        <v>179</v>
      </c>
      <c r="F4" s="230">
        <v>0</v>
      </c>
      <c r="G4" s="223" t="s">
        <v>870</v>
      </c>
      <c r="H4" s="232" t="s">
        <v>1887</v>
      </c>
      <c r="I4" s="233"/>
      <c r="J4" s="233"/>
    </row>
    <row r="5" spans="1:10" s="231" customFormat="1">
      <c r="A5" s="234" t="s">
        <v>911</v>
      </c>
      <c r="B5" s="225" t="s">
        <v>677</v>
      </c>
      <c r="C5" s="235" t="s">
        <v>912</v>
      </c>
      <c r="D5" s="225" t="s">
        <v>677</v>
      </c>
      <c r="E5" s="236" t="s">
        <v>913</v>
      </c>
      <c r="F5" s="225" t="s">
        <v>677</v>
      </c>
      <c r="G5" s="237" t="s">
        <v>914</v>
      </c>
      <c r="H5" s="225" t="s">
        <v>677</v>
      </c>
      <c r="I5" s="237" t="s">
        <v>915</v>
      </c>
      <c r="J5" s="225" t="s">
        <v>677</v>
      </c>
    </row>
    <row r="6" spans="1:10" s="231" customFormat="1" ht="38.25" customHeight="1">
      <c r="A6" s="238" t="s">
        <v>916</v>
      </c>
      <c r="B6" s="225" t="s">
        <v>677</v>
      </c>
      <c r="C6" s="239" t="s">
        <v>869</v>
      </c>
      <c r="D6" s="854" t="s">
        <v>1888</v>
      </c>
      <c r="E6" s="853"/>
      <c r="F6" s="853"/>
      <c r="G6" s="853"/>
      <c r="H6" s="853"/>
      <c r="I6" s="853"/>
      <c r="J6" s="853"/>
    </row>
    <row r="7" spans="1:10">
      <c r="A7" s="890" t="s">
        <v>918</v>
      </c>
      <c r="B7" s="890"/>
      <c r="C7" s="890"/>
      <c r="D7" s="890"/>
      <c r="E7" s="890"/>
      <c r="F7" s="890"/>
      <c r="G7" s="890"/>
      <c r="H7" s="890"/>
      <c r="I7" s="890"/>
      <c r="J7" s="890"/>
    </row>
    <row r="8" spans="1:10">
      <c r="A8" s="890"/>
      <c r="B8" s="890"/>
      <c r="C8" s="890"/>
      <c r="D8" s="890"/>
      <c r="E8" s="890"/>
      <c r="F8" s="890"/>
      <c r="G8" s="890"/>
      <c r="H8" s="890"/>
      <c r="I8" s="890"/>
      <c r="J8" s="890"/>
    </row>
    <row r="9" spans="1:10">
      <c r="A9" s="8" t="s">
        <v>142</v>
      </c>
      <c r="B9" s="8" t="s">
        <v>275</v>
      </c>
      <c r="C9" s="8" t="s">
        <v>884</v>
      </c>
      <c r="D9" s="8" t="s">
        <v>885</v>
      </c>
      <c r="E9" s="8" t="s">
        <v>886</v>
      </c>
      <c r="F9" s="8" t="s">
        <v>887</v>
      </c>
      <c r="G9" s="8" t="s">
        <v>888</v>
      </c>
      <c r="H9" s="8" t="s">
        <v>77</v>
      </c>
      <c r="I9" s="8" t="s">
        <v>889</v>
      </c>
      <c r="J9" s="8" t="s">
        <v>11</v>
      </c>
    </row>
    <row r="10" spans="1:10" ht="69">
      <c r="A10" s="13" t="s">
        <v>1884</v>
      </c>
      <c r="B10" s="13" t="s">
        <v>12</v>
      </c>
      <c r="C10" s="13" t="s">
        <v>923</v>
      </c>
      <c r="D10" s="13" t="s">
        <v>1889</v>
      </c>
      <c r="E10" s="13" t="s">
        <v>356</v>
      </c>
      <c r="F10" s="13">
        <v>2</v>
      </c>
      <c r="G10" s="13">
        <v>0</v>
      </c>
      <c r="H10" s="13" t="s">
        <v>677</v>
      </c>
      <c r="I10" s="13" t="s">
        <v>1890</v>
      </c>
      <c r="J10" s="13" t="s">
        <v>1891</v>
      </c>
    </row>
    <row r="11" spans="1:10" ht="69">
      <c r="A11" s="13" t="s">
        <v>1884</v>
      </c>
      <c r="B11" s="13" t="s">
        <v>408</v>
      </c>
      <c r="C11" s="13" t="s">
        <v>919</v>
      </c>
      <c r="D11" s="13" t="s">
        <v>1892</v>
      </c>
      <c r="E11" s="13" t="s">
        <v>356</v>
      </c>
      <c r="F11" s="13">
        <v>2</v>
      </c>
      <c r="G11" s="13">
        <v>0</v>
      </c>
      <c r="H11" s="13" t="s">
        <v>677</v>
      </c>
      <c r="I11" s="13" t="s">
        <v>1893</v>
      </c>
      <c r="J11" s="13" t="s">
        <v>1894</v>
      </c>
    </row>
    <row r="12" spans="1:10" ht="69">
      <c r="A12" s="13" t="s">
        <v>1884</v>
      </c>
      <c r="B12" s="13" t="s">
        <v>1895</v>
      </c>
      <c r="C12" s="13" t="s">
        <v>933</v>
      </c>
      <c r="D12" s="13" t="s">
        <v>1896</v>
      </c>
      <c r="E12" s="13" t="s">
        <v>356</v>
      </c>
      <c r="F12" s="13">
        <v>2</v>
      </c>
      <c r="G12" s="13">
        <v>0</v>
      </c>
      <c r="H12" s="13" t="s">
        <v>677</v>
      </c>
      <c r="I12" s="13" t="s">
        <v>1893</v>
      </c>
      <c r="J12" s="13" t="s">
        <v>1897</v>
      </c>
    </row>
    <row r="13" spans="1:10">
      <c r="A13" s="13"/>
      <c r="B13" s="13"/>
      <c r="C13" s="13"/>
      <c r="D13" s="13"/>
      <c r="E13" s="13"/>
      <c r="F13" s="13"/>
      <c r="G13" s="13"/>
      <c r="H13" s="13"/>
      <c r="I13" s="13"/>
      <c r="J13" s="13"/>
    </row>
    <row r="14" spans="1:10">
      <c r="A14" s="842" t="s">
        <v>936</v>
      </c>
      <c r="B14" s="839"/>
      <c r="C14" s="839"/>
      <c r="D14" s="85"/>
      <c r="E14" s="85"/>
      <c r="F14" s="85"/>
      <c r="G14" s="85"/>
      <c r="H14" s="85"/>
      <c r="I14" s="85"/>
      <c r="J14" s="85"/>
    </row>
    <row r="15" spans="1:10">
      <c r="A15" s="50" t="s">
        <v>275</v>
      </c>
      <c r="B15" s="50" t="s">
        <v>937</v>
      </c>
      <c r="C15" s="50" t="s">
        <v>938</v>
      </c>
      <c r="D15" s="50" t="s">
        <v>939</v>
      </c>
      <c r="E15" s="50" t="s">
        <v>940</v>
      </c>
      <c r="F15" s="50" t="s">
        <v>941</v>
      </c>
      <c r="G15" s="50" t="s">
        <v>942</v>
      </c>
      <c r="H15" s="50" t="s">
        <v>943</v>
      </c>
      <c r="I15" s="50" t="s">
        <v>899</v>
      </c>
      <c r="J15" s="50" t="s">
        <v>944</v>
      </c>
    </row>
    <row r="16" spans="1:10" ht="55.2">
      <c r="A16" s="13" t="s">
        <v>12</v>
      </c>
      <c r="B16" s="13" t="s">
        <v>677</v>
      </c>
      <c r="C16" s="13" t="s">
        <v>677</v>
      </c>
      <c r="D16" s="13" t="s">
        <v>677</v>
      </c>
      <c r="E16" s="13" t="s">
        <v>677</v>
      </c>
      <c r="F16" s="13" t="s">
        <v>677</v>
      </c>
      <c r="G16" s="13" t="s">
        <v>677</v>
      </c>
      <c r="H16" s="13" t="s">
        <v>677</v>
      </c>
      <c r="I16" s="13" t="s">
        <v>677</v>
      </c>
      <c r="J16" s="13" t="s">
        <v>1898</v>
      </c>
    </row>
    <row r="17" spans="1:10" ht="55.2">
      <c r="A17" s="13" t="s">
        <v>408</v>
      </c>
      <c r="B17" s="13" t="s">
        <v>677</v>
      </c>
      <c r="C17" s="13" t="s">
        <v>677</v>
      </c>
      <c r="D17" s="13" t="s">
        <v>677</v>
      </c>
      <c r="E17" s="13" t="s">
        <v>677</v>
      </c>
      <c r="F17" s="13" t="s">
        <v>677</v>
      </c>
      <c r="G17" s="13" t="s">
        <v>677</v>
      </c>
      <c r="H17" s="13" t="s">
        <v>677</v>
      </c>
      <c r="I17" s="13" t="s">
        <v>677</v>
      </c>
      <c r="J17" s="13" t="s">
        <v>1899</v>
      </c>
    </row>
    <row r="18" spans="1:10" ht="41.4">
      <c r="A18" s="13" t="s">
        <v>1895</v>
      </c>
      <c r="B18" s="13" t="s">
        <v>677</v>
      </c>
      <c r="C18" s="13" t="s">
        <v>677</v>
      </c>
      <c r="D18" s="13" t="s">
        <v>677</v>
      </c>
      <c r="E18" s="13" t="s">
        <v>677</v>
      </c>
      <c r="F18" s="13" t="s">
        <v>677</v>
      </c>
      <c r="G18" s="13" t="s">
        <v>677</v>
      </c>
      <c r="H18" s="13" t="s">
        <v>677</v>
      </c>
      <c r="I18" s="13" t="s">
        <v>677</v>
      </c>
      <c r="J18" s="13" t="s">
        <v>1900</v>
      </c>
    </row>
    <row r="19" spans="1:10">
      <c r="A19" s="13"/>
      <c r="B19" s="13"/>
      <c r="C19" s="13"/>
      <c r="D19" s="13"/>
      <c r="E19" s="13"/>
      <c r="F19" s="13"/>
      <c r="G19" s="13"/>
      <c r="H19" s="13"/>
      <c r="I19" s="13"/>
      <c r="J19" s="13"/>
    </row>
    <row r="20" spans="1:10">
      <c r="A20" s="842" t="s">
        <v>951</v>
      </c>
      <c r="B20" s="839"/>
      <c r="C20" s="839"/>
      <c r="D20" s="85"/>
      <c r="E20" s="85"/>
      <c r="F20" s="85"/>
      <c r="G20" s="85"/>
      <c r="H20" s="85"/>
      <c r="I20" s="85"/>
      <c r="J20" s="85"/>
    </row>
    <row r="21" spans="1:10">
      <c r="A21" s="50" t="s">
        <v>275</v>
      </c>
      <c r="B21" s="50" t="s">
        <v>952</v>
      </c>
      <c r="C21" s="50" t="s">
        <v>953</v>
      </c>
      <c r="D21" s="50" t="s">
        <v>954</v>
      </c>
      <c r="E21" s="50" t="s">
        <v>955</v>
      </c>
      <c r="F21" s="50" t="s">
        <v>956</v>
      </c>
      <c r="G21" s="50" t="s">
        <v>957</v>
      </c>
      <c r="H21" s="50" t="s">
        <v>958</v>
      </c>
      <c r="I21" s="50" t="s">
        <v>899</v>
      </c>
      <c r="J21" s="50" t="s">
        <v>959</v>
      </c>
    </row>
    <row r="22" spans="1:10" ht="55.2">
      <c r="A22" s="13" t="s">
        <v>12</v>
      </c>
      <c r="B22" s="13" t="s">
        <v>677</v>
      </c>
      <c r="C22" s="13" t="s">
        <v>677</v>
      </c>
      <c r="D22" s="13" t="s">
        <v>677</v>
      </c>
      <c r="E22" s="13" t="s">
        <v>677</v>
      </c>
      <c r="F22" s="13" t="s">
        <v>677</v>
      </c>
      <c r="G22" s="13" t="s">
        <v>677</v>
      </c>
      <c r="H22" s="13" t="s">
        <v>677</v>
      </c>
      <c r="I22" s="13" t="s">
        <v>677</v>
      </c>
      <c r="J22" s="13" t="s">
        <v>1901</v>
      </c>
    </row>
    <row r="23" spans="1:10" ht="69">
      <c r="A23" s="13" t="s">
        <v>408</v>
      </c>
      <c r="B23" s="13" t="s">
        <v>677</v>
      </c>
      <c r="C23" s="13" t="s">
        <v>677</v>
      </c>
      <c r="D23" s="13" t="s">
        <v>677</v>
      </c>
      <c r="E23" s="13" t="s">
        <v>677</v>
      </c>
      <c r="F23" s="13" t="s">
        <v>677</v>
      </c>
      <c r="G23" s="13" t="s">
        <v>677</v>
      </c>
      <c r="H23" s="13" t="s">
        <v>677</v>
      </c>
      <c r="I23" s="13" t="s">
        <v>677</v>
      </c>
      <c r="J23" s="13" t="s">
        <v>1902</v>
      </c>
    </row>
    <row r="24" spans="1:10" ht="69">
      <c r="A24" s="13" t="s">
        <v>1895</v>
      </c>
      <c r="B24" s="13" t="s">
        <v>677</v>
      </c>
      <c r="C24" s="13" t="s">
        <v>677</v>
      </c>
      <c r="D24" s="13" t="s">
        <v>677</v>
      </c>
      <c r="E24" s="13" t="s">
        <v>677</v>
      </c>
      <c r="F24" s="13" t="s">
        <v>677</v>
      </c>
      <c r="G24" s="13" t="s">
        <v>677</v>
      </c>
      <c r="H24" s="13" t="s">
        <v>677</v>
      </c>
      <c r="I24" s="13" t="s">
        <v>677</v>
      </c>
      <c r="J24" s="13" t="s">
        <v>1903</v>
      </c>
    </row>
    <row r="25" spans="1:10">
      <c r="A25" s="13"/>
      <c r="B25" s="13"/>
      <c r="C25" s="13"/>
      <c r="D25" s="13"/>
      <c r="E25" s="13"/>
      <c r="F25" s="13"/>
      <c r="G25" s="13"/>
      <c r="H25" s="13"/>
      <c r="I25" s="13"/>
      <c r="J25" s="13"/>
    </row>
    <row r="26" spans="1:10">
      <c r="A26" s="842" t="s">
        <v>964</v>
      </c>
      <c r="B26" s="839"/>
      <c r="C26" s="839"/>
      <c r="D26" s="85"/>
      <c r="E26" s="85"/>
      <c r="F26" s="85"/>
      <c r="G26" s="85"/>
      <c r="H26" s="85"/>
      <c r="I26" s="85"/>
      <c r="J26" s="85"/>
    </row>
    <row r="27" spans="1:10">
      <c r="A27" s="50" t="s">
        <v>275</v>
      </c>
      <c r="B27" s="50" t="s">
        <v>965</v>
      </c>
      <c r="C27" s="50" t="s">
        <v>966</v>
      </c>
      <c r="D27" s="50" t="s">
        <v>967</v>
      </c>
      <c r="E27" s="50" t="s">
        <v>968</v>
      </c>
      <c r="F27" s="50" t="s">
        <v>969</v>
      </c>
      <c r="G27" s="50" t="s">
        <v>970</v>
      </c>
      <c r="H27" s="50" t="s">
        <v>971</v>
      </c>
      <c r="I27" s="50" t="s">
        <v>899</v>
      </c>
      <c r="J27" s="50" t="s">
        <v>959</v>
      </c>
    </row>
    <row r="28" spans="1:10" ht="55.2">
      <c r="A28" s="13" t="s">
        <v>12</v>
      </c>
      <c r="B28" s="13" t="s">
        <v>1904</v>
      </c>
      <c r="C28" s="13" t="s">
        <v>677</v>
      </c>
      <c r="D28" s="13" t="s">
        <v>677</v>
      </c>
      <c r="E28" s="13" t="s">
        <v>677</v>
      </c>
      <c r="F28" s="13" t="s">
        <v>677</v>
      </c>
      <c r="G28" s="13" t="s">
        <v>677</v>
      </c>
      <c r="H28" s="13" t="s">
        <v>677</v>
      </c>
      <c r="I28" s="13" t="s">
        <v>677</v>
      </c>
      <c r="J28" s="13" t="s">
        <v>1905</v>
      </c>
    </row>
    <row r="29" spans="1:10" ht="55.2">
      <c r="A29" s="13" t="s">
        <v>408</v>
      </c>
      <c r="B29" s="13" t="s">
        <v>1906</v>
      </c>
      <c r="C29" s="13" t="s">
        <v>677</v>
      </c>
      <c r="D29" s="13" t="s">
        <v>677</v>
      </c>
      <c r="E29" s="13" t="s">
        <v>677</v>
      </c>
      <c r="F29" s="13" t="s">
        <v>677</v>
      </c>
      <c r="G29" s="13" t="s">
        <v>677</v>
      </c>
      <c r="H29" s="13" t="s">
        <v>677</v>
      </c>
      <c r="I29" s="13" t="s">
        <v>677</v>
      </c>
      <c r="J29" s="13" t="s">
        <v>1907</v>
      </c>
    </row>
    <row r="30" spans="1:10" ht="55.2">
      <c r="A30" s="13" t="s">
        <v>1895</v>
      </c>
      <c r="B30" s="13" t="s">
        <v>1908</v>
      </c>
      <c r="C30" s="13" t="s">
        <v>677</v>
      </c>
      <c r="D30" s="13" t="s">
        <v>677</v>
      </c>
      <c r="E30" s="13" t="s">
        <v>677</v>
      </c>
      <c r="F30" s="13" t="s">
        <v>677</v>
      </c>
      <c r="G30" s="13" t="s">
        <v>677</v>
      </c>
      <c r="H30" s="13" t="s">
        <v>677</v>
      </c>
      <c r="I30" s="13" t="s">
        <v>677</v>
      </c>
      <c r="J30" s="13" t="s">
        <v>1909</v>
      </c>
    </row>
    <row r="31" spans="1:10">
      <c r="A31" s="13"/>
      <c r="B31" s="13"/>
      <c r="C31" s="13"/>
      <c r="D31" s="13"/>
      <c r="E31" s="13"/>
      <c r="F31" s="13"/>
      <c r="G31" s="13"/>
      <c r="H31" s="13"/>
      <c r="I31" s="13"/>
      <c r="J31" s="13"/>
    </row>
    <row r="32" spans="1:10">
      <c r="A32" s="842" t="s">
        <v>977</v>
      </c>
      <c r="B32" s="839"/>
      <c r="C32" s="839"/>
      <c r="D32" s="85"/>
      <c r="E32" s="85"/>
      <c r="F32" s="85"/>
      <c r="G32" s="85"/>
      <c r="H32" s="85"/>
      <c r="I32" s="85"/>
      <c r="J32" s="85"/>
    </row>
    <row r="33" spans="1:10">
      <c r="A33" s="50" t="s">
        <v>275</v>
      </c>
      <c r="B33" s="50" t="s">
        <v>978</v>
      </c>
      <c r="C33" s="50" t="s">
        <v>979</v>
      </c>
      <c r="D33" s="50" t="s">
        <v>980</v>
      </c>
      <c r="E33" s="50" t="s">
        <v>981</v>
      </c>
      <c r="F33" s="50" t="s">
        <v>982</v>
      </c>
      <c r="G33" s="50" t="s">
        <v>983</v>
      </c>
      <c r="H33" s="50" t="s">
        <v>984</v>
      </c>
      <c r="I33" s="50" t="s">
        <v>899</v>
      </c>
      <c r="J33" s="50" t="s">
        <v>11</v>
      </c>
    </row>
    <row r="34" spans="1:10" ht="69">
      <c r="A34" s="13" t="s">
        <v>12</v>
      </c>
      <c r="B34" s="13" t="s">
        <v>677</v>
      </c>
      <c r="C34" s="13" t="s">
        <v>1592</v>
      </c>
      <c r="D34" s="13" t="s">
        <v>677</v>
      </c>
      <c r="E34" s="13" t="s">
        <v>677</v>
      </c>
      <c r="F34" s="13" t="s">
        <v>1910</v>
      </c>
      <c r="G34" s="13" t="s">
        <v>677</v>
      </c>
      <c r="H34" s="13" t="s">
        <v>677</v>
      </c>
      <c r="I34" s="13" t="s">
        <v>677</v>
      </c>
      <c r="J34" s="13" t="s">
        <v>1911</v>
      </c>
    </row>
    <row r="35" spans="1:10" ht="55.2">
      <c r="A35" s="13" t="s">
        <v>408</v>
      </c>
      <c r="B35" s="13" t="s">
        <v>677</v>
      </c>
      <c r="C35" s="13" t="s">
        <v>1592</v>
      </c>
      <c r="D35" s="13" t="s">
        <v>677</v>
      </c>
      <c r="E35" s="13" t="s">
        <v>677</v>
      </c>
      <c r="F35" s="13" t="s">
        <v>1912</v>
      </c>
      <c r="G35" s="13" t="s">
        <v>677</v>
      </c>
      <c r="H35" s="13" t="s">
        <v>677</v>
      </c>
      <c r="I35" s="13" t="s">
        <v>677</v>
      </c>
      <c r="J35" s="13" t="s">
        <v>1913</v>
      </c>
    </row>
    <row r="36" spans="1:10" ht="55.2">
      <c r="A36" s="13" t="s">
        <v>1895</v>
      </c>
      <c r="B36" s="13" t="s">
        <v>677</v>
      </c>
      <c r="C36" s="13" t="s">
        <v>1592</v>
      </c>
      <c r="D36" s="13" t="s">
        <v>677</v>
      </c>
      <c r="E36" s="13" t="s">
        <v>677</v>
      </c>
      <c r="F36" s="13" t="s">
        <v>1914</v>
      </c>
      <c r="G36" s="13" t="s">
        <v>677</v>
      </c>
      <c r="H36" s="13" t="s">
        <v>677</v>
      </c>
      <c r="I36" s="13" t="s">
        <v>677</v>
      </c>
      <c r="J36" s="13" t="s">
        <v>1915</v>
      </c>
    </row>
    <row r="37" spans="1:10">
      <c r="A37" s="13"/>
      <c r="B37" s="13"/>
      <c r="C37" s="13"/>
      <c r="D37" s="13"/>
      <c r="E37" s="13"/>
      <c r="F37" s="13"/>
      <c r="G37" s="13"/>
      <c r="H37" s="13"/>
      <c r="I37" s="13"/>
      <c r="J37" s="13"/>
    </row>
    <row r="38" spans="1:10">
      <c r="A38" s="842" t="s">
        <v>994</v>
      </c>
      <c r="B38" s="839"/>
      <c r="C38" s="839"/>
      <c r="D38" s="85"/>
      <c r="E38" s="85"/>
      <c r="F38" s="85"/>
      <c r="G38" s="85"/>
      <c r="H38" s="85"/>
      <c r="I38" s="85"/>
      <c r="J38" s="85"/>
    </row>
    <row r="39" spans="1:10">
      <c r="A39" s="50" t="s">
        <v>275</v>
      </c>
      <c r="B39" s="50" t="s">
        <v>995</v>
      </c>
      <c r="C39" s="50" t="s">
        <v>996</v>
      </c>
      <c r="D39" s="50" t="s">
        <v>997</v>
      </c>
      <c r="E39" s="50" t="s">
        <v>998</v>
      </c>
      <c r="F39" s="50" t="s">
        <v>999</v>
      </c>
      <c r="G39" s="50" t="s">
        <v>1000</v>
      </c>
      <c r="H39" s="50" t="s">
        <v>1001</v>
      </c>
      <c r="I39" s="50" t="s">
        <v>899</v>
      </c>
      <c r="J39" s="50" t="s">
        <v>11</v>
      </c>
    </row>
    <row r="40" spans="1:10" ht="55.2">
      <c r="A40" s="13" t="s">
        <v>12</v>
      </c>
      <c r="B40" s="13" t="s">
        <v>677</v>
      </c>
      <c r="C40" s="13" t="s">
        <v>677</v>
      </c>
      <c r="D40" s="13" t="s">
        <v>677</v>
      </c>
      <c r="E40" s="13" t="s">
        <v>677</v>
      </c>
      <c r="F40" s="13" t="s">
        <v>677</v>
      </c>
      <c r="G40" s="13" t="s">
        <v>677</v>
      </c>
      <c r="H40" s="13" t="s">
        <v>677</v>
      </c>
      <c r="I40" s="13" t="s">
        <v>677</v>
      </c>
      <c r="J40" s="13" t="s">
        <v>1916</v>
      </c>
    </row>
    <row r="41" spans="1:10" ht="69">
      <c r="A41" s="13" t="s">
        <v>408</v>
      </c>
      <c r="B41" s="13" t="s">
        <v>677</v>
      </c>
      <c r="C41" s="13" t="s">
        <v>677</v>
      </c>
      <c r="D41" s="13" t="s">
        <v>677</v>
      </c>
      <c r="E41" s="13" t="s">
        <v>677</v>
      </c>
      <c r="F41" s="13" t="s">
        <v>677</v>
      </c>
      <c r="G41" s="13" t="s">
        <v>677</v>
      </c>
      <c r="H41" s="13" t="s">
        <v>677</v>
      </c>
      <c r="I41" s="13" t="s">
        <v>677</v>
      </c>
      <c r="J41" s="13" t="s">
        <v>1917</v>
      </c>
    </row>
    <row r="42" spans="1:10" ht="69">
      <c r="A42" s="13" t="s">
        <v>1895</v>
      </c>
      <c r="B42" s="13" t="s">
        <v>677</v>
      </c>
      <c r="C42" s="13" t="s">
        <v>677</v>
      </c>
      <c r="D42" s="13" t="s">
        <v>677</v>
      </c>
      <c r="E42" s="13" t="s">
        <v>677</v>
      </c>
      <c r="F42" s="13" t="s">
        <v>677</v>
      </c>
      <c r="G42" s="13" t="s">
        <v>677</v>
      </c>
      <c r="H42" s="13" t="s">
        <v>677</v>
      </c>
      <c r="I42" s="13" t="s">
        <v>677</v>
      </c>
      <c r="J42" s="13" t="s">
        <v>1918</v>
      </c>
    </row>
    <row r="43" spans="1:10">
      <c r="A43" s="13"/>
      <c r="B43" s="13"/>
      <c r="C43" s="13"/>
      <c r="D43" s="13"/>
      <c r="E43" s="13"/>
      <c r="F43" s="13"/>
      <c r="G43" s="13"/>
      <c r="H43" s="13"/>
      <c r="I43" s="13"/>
      <c r="J43" s="13"/>
    </row>
    <row r="44" spans="1:10">
      <c r="A44" s="842" t="s">
        <v>1007</v>
      </c>
      <c r="B44" s="839"/>
      <c r="C44" s="839"/>
      <c r="D44" s="85"/>
      <c r="E44" s="85"/>
      <c r="F44" s="85"/>
      <c r="G44" s="85"/>
      <c r="H44" s="85"/>
      <c r="I44" s="85"/>
      <c r="J44" s="85"/>
    </row>
    <row r="45" spans="1:10">
      <c r="A45" s="50" t="s">
        <v>275</v>
      </c>
      <c r="B45" s="50" t="s">
        <v>1008</v>
      </c>
      <c r="C45" s="50" t="s">
        <v>1009</v>
      </c>
      <c r="D45" s="50" t="s">
        <v>1010</v>
      </c>
      <c r="E45" s="50" t="s">
        <v>1011</v>
      </c>
      <c r="F45" s="50" t="s">
        <v>1012</v>
      </c>
      <c r="G45" s="50" t="s">
        <v>1013</v>
      </c>
      <c r="H45" s="50" t="s">
        <v>1014</v>
      </c>
      <c r="I45" s="50" t="s">
        <v>899</v>
      </c>
      <c r="J45" s="50" t="s">
        <v>11</v>
      </c>
    </row>
    <row r="46" spans="1:10" ht="69">
      <c r="A46" s="13" t="s">
        <v>12</v>
      </c>
      <c r="B46" s="13" t="s">
        <v>677</v>
      </c>
      <c r="C46" s="13" t="s">
        <v>677</v>
      </c>
      <c r="D46" s="13" t="s">
        <v>677</v>
      </c>
      <c r="E46" s="13" t="s">
        <v>677</v>
      </c>
      <c r="F46" s="13" t="s">
        <v>677</v>
      </c>
      <c r="G46" s="13" t="s">
        <v>677</v>
      </c>
      <c r="H46" s="13" t="s">
        <v>677</v>
      </c>
      <c r="I46" s="13" t="s">
        <v>677</v>
      </c>
      <c r="J46" s="13" t="s">
        <v>1919</v>
      </c>
    </row>
    <row r="47" spans="1:10" ht="69">
      <c r="A47" s="13" t="s">
        <v>408</v>
      </c>
      <c r="B47" s="13" t="s">
        <v>677</v>
      </c>
      <c r="C47" s="13" t="s">
        <v>677</v>
      </c>
      <c r="D47" s="13" t="s">
        <v>677</v>
      </c>
      <c r="E47" s="13" t="s">
        <v>677</v>
      </c>
      <c r="F47" s="13" t="s">
        <v>677</v>
      </c>
      <c r="G47" s="13" t="s">
        <v>677</v>
      </c>
      <c r="H47" s="13" t="s">
        <v>677</v>
      </c>
      <c r="I47" s="13" t="s">
        <v>677</v>
      </c>
      <c r="J47" s="13" t="s">
        <v>1920</v>
      </c>
    </row>
    <row r="48" spans="1:10" ht="69">
      <c r="A48" s="13" t="s">
        <v>1895</v>
      </c>
      <c r="B48" s="13" t="s">
        <v>677</v>
      </c>
      <c r="C48" s="13" t="s">
        <v>677</v>
      </c>
      <c r="D48" s="13" t="s">
        <v>677</v>
      </c>
      <c r="E48" s="13" t="s">
        <v>677</v>
      </c>
      <c r="F48" s="13" t="s">
        <v>677</v>
      </c>
      <c r="G48" s="13" t="s">
        <v>677</v>
      </c>
      <c r="H48" s="13" t="s">
        <v>677</v>
      </c>
      <c r="I48" s="13" t="s">
        <v>677</v>
      </c>
      <c r="J48" s="13" t="s">
        <v>1921</v>
      </c>
    </row>
    <row r="49" spans="1:10">
      <c r="A49" s="13"/>
      <c r="B49" s="13"/>
      <c r="C49" s="13"/>
      <c r="D49" s="13"/>
      <c r="E49" s="13"/>
      <c r="F49" s="13"/>
      <c r="G49" s="13"/>
      <c r="H49" s="13"/>
      <c r="I49" s="13"/>
      <c r="J49" s="13"/>
    </row>
    <row r="50" spans="1:10">
      <c r="A50" s="842" t="s">
        <v>1019</v>
      </c>
      <c r="B50" s="839"/>
      <c r="C50" s="839"/>
      <c r="D50" s="85"/>
      <c r="E50" s="85"/>
      <c r="F50" s="85"/>
      <c r="G50" s="85"/>
      <c r="H50" s="85"/>
      <c r="I50" s="85"/>
      <c r="J50" s="85"/>
    </row>
    <row r="51" spans="1:10">
      <c r="A51" s="50" t="s">
        <v>213</v>
      </c>
      <c r="B51" s="50" t="s">
        <v>275</v>
      </c>
      <c r="C51" s="50" t="s">
        <v>573</v>
      </c>
      <c r="D51" s="50" t="s">
        <v>215</v>
      </c>
      <c r="E51" s="50" t="s">
        <v>257</v>
      </c>
      <c r="F51" s="50" t="s">
        <v>572</v>
      </c>
      <c r="G51" s="50" t="s">
        <v>259</v>
      </c>
      <c r="H51" s="50" t="s">
        <v>216</v>
      </c>
      <c r="I51" s="50" t="s">
        <v>77</v>
      </c>
      <c r="J51" s="50" t="s">
        <v>11</v>
      </c>
    </row>
    <row r="52" spans="1:10" ht="55.2">
      <c r="A52" s="13" t="s">
        <v>1922</v>
      </c>
      <c r="B52" s="13" t="s">
        <v>575</v>
      </c>
      <c r="C52" s="13" t="s">
        <v>1923</v>
      </c>
      <c r="D52" s="13" t="s">
        <v>391</v>
      </c>
      <c r="E52" s="13" t="s">
        <v>488</v>
      </c>
      <c r="F52" s="13">
        <v>6</v>
      </c>
      <c r="G52" s="13" t="s">
        <v>1381</v>
      </c>
      <c r="H52" s="13" t="s">
        <v>1023</v>
      </c>
      <c r="I52" s="13" t="s">
        <v>502</v>
      </c>
      <c r="J52" s="13" t="s">
        <v>1924</v>
      </c>
    </row>
    <row r="53" spans="1:10" ht="69">
      <c r="A53" s="13" t="s">
        <v>1925</v>
      </c>
      <c r="B53" s="13" t="s">
        <v>12</v>
      </c>
      <c r="C53" s="13" t="s">
        <v>1926</v>
      </c>
      <c r="D53" s="13" t="s">
        <v>492</v>
      </c>
      <c r="E53" s="13" t="s">
        <v>488</v>
      </c>
      <c r="F53" s="13">
        <v>8</v>
      </c>
      <c r="G53" s="13" t="s">
        <v>1927</v>
      </c>
      <c r="H53" s="13" t="s">
        <v>584</v>
      </c>
      <c r="I53" s="13" t="s">
        <v>502</v>
      </c>
      <c r="J53" s="13" t="s">
        <v>1928</v>
      </c>
    </row>
    <row r="54" spans="1:10" ht="82.8">
      <c r="A54" s="13" t="s">
        <v>1929</v>
      </c>
      <c r="B54" s="13" t="s">
        <v>575</v>
      </c>
      <c r="C54" s="13" t="s">
        <v>1930</v>
      </c>
      <c r="D54" s="13" t="s">
        <v>391</v>
      </c>
      <c r="E54" s="13" t="s">
        <v>488</v>
      </c>
      <c r="F54" s="13">
        <v>6</v>
      </c>
      <c r="G54" s="13" t="s">
        <v>1931</v>
      </c>
      <c r="H54" s="13" t="s">
        <v>1858</v>
      </c>
      <c r="I54" s="13" t="s">
        <v>502</v>
      </c>
      <c r="J54" s="13" t="s">
        <v>1932</v>
      </c>
    </row>
    <row r="55" spans="1:10" ht="69">
      <c r="A55" s="13" t="s">
        <v>1933</v>
      </c>
      <c r="B55" s="13" t="s">
        <v>1934</v>
      </c>
      <c r="C55" s="13" t="s">
        <v>1935</v>
      </c>
      <c r="D55" s="13" t="s">
        <v>391</v>
      </c>
      <c r="E55" s="13" t="s">
        <v>488</v>
      </c>
      <c r="F55" s="13">
        <v>6</v>
      </c>
      <c r="G55" s="13" t="s">
        <v>1936</v>
      </c>
      <c r="H55" s="13" t="s">
        <v>1617</v>
      </c>
      <c r="I55" s="13" t="s">
        <v>502</v>
      </c>
      <c r="J55" s="13" t="s">
        <v>1937</v>
      </c>
    </row>
    <row r="56" spans="1:10" ht="82.8">
      <c r="A56" s="13" t="s">
        <v>1938</v>
      </c>
      <c r="B56" s="13" t="s">
        <v>575</v>
      </c>
      <c r="C56" s="13" t="s">
        <v>1721</v>
      </c>
      <c r="D56" s="13" t="s">
        <v>492</v>
      </c>
      <c r="E56" s="13" t="s">
        <v>488</v>
      </c>
      <c r="F56" s="13">
        <v>8</v>
      </c>
      <c r="G56" s="13" t="s">
        <v>1939</v>
      </c>
      <c r="H56" s="13" t="s">
        <v>592</v>
      </c>
      <c r="I56" s="13" t="s">
        <v>502</v>
      </c>
      <c r="J56" s="13" t="s">
        <v>1940</v>
      </c>
    </row>
    <row r="57" spans="1:10" ht="69">
      <c r="A57" s="13" t="s">
        <v>1941</v>
      </c>
      <c r="B57" s="13" t="s">
        <v>575</v>
      </c>
      <c r="C57" s="13" t="s">
        <v>1725</v>
      </c>
      <c r="D57" s="13" t="s">
        <v>391</v>
      </c>
      <c r="E57" s="13" t="s">
        <v>488</v>
      </c>
      <c r="F57" s="13">
        <v>6</v>
      </c>
      <c r="G57" s="13" t="s">
        <v>1942</v>
      </c>
      <c r="H57" s="13" t="s">
        <v>1032</v>
      </c>
      <c r="I57" s="13" t="s">
        <v>502</v>
      </c>
      <c r="J57" s="13" t="s">
        <v>1943</v>
      </c>
    </row>
    <row r="58" spans="1:10" ht="82.8">
      <c r="A58" s="13" t="s">
        <v>1944</v>
      </c>
      <c r="B58" s="13" t="s">
        <v>575</v>
      </c>
      <c r="C58" s="13" t="s">
        <v>1733</v>
      </c>
      <c r="D58" s="13" t="s">
        <v>492</v>
      </c>
      <c r="E58" s="13" t="s">
        <v>488</v>
      </c>
      <c r="F58" s="13">
        <v>8</v>
      </c>
      <c r="G58" s="13" t="s">
        <v>1734</v>
      </c>
      <c r="H58" s="13" t="s">
        <v>1403</v>
      </c>
      <c r="I58" s="13" t="s">
        <v>502</v>
      </c>
      <c r="J58" s="13" t="s">
        <v>1627</v>
      </c>
    </row>
    <row r="59" spans="1:10" ht="69">
      <c r="A59" s="13" t="s">
        <v>1945</v>
      </c>
      <c r="B59" s="13" t="s">
        <v>575</v>
      </c>
      <c r="C59" s="13" t="s">
        <v>1047</v>
      </c>
      <c r="D59" s="13" t="s">
        <v>391</v>
      </c>
      <c r="E59" s="13" t="s">
        <v>488</v>
      </c>
      <c r="F59" s="13">
        <v>6</v>
      </c>
      <c r="G59" s="13" t="s">
        <v>1839</v>
      </c>
      <c r="H59" s="13" t="s">
        <v>1049</v>
      </c>
      <c r="I59" s="13" t="s">
        <v>502</v>
      </c>
      <c r="J59" s="13" t="s">
        <v>1737</v>
      </c>
    </row>
    <row r="60" spans="1:10">
      <c r="A60" s="13"/>
      <c r="B60" s="13"/>
      <c r="C60" s="13"/>
      <c r="D60" s="13"/>
      <c r="E60" s="13"/>
      <c r="F60" s="13"/>
      <c r="G60" s="13"/>
      <c r="H60" s="13"/>
      <c r="I60" s="13"/>
      <c r="J60" s="13"/>
    </row>
    <row r="61" spans="1:10">
      <c r="A61" s="842" t="s">
        <v>1051</v>
      </c>
      <c r="B61" s="839"/>
      <c r="C61" s="839"/>
      <c r="D61" s="85"/>
      <c r="E61" s="85"/>
      <c r="F61" s="85"/>
      <c r="G61" s="85"/>
      <c r="H61" s="85"/>
      <c r="I61" s="85"/>
      <c r="J61" s="85"/>
    </row>
    <row r="62" spans="1:10">
      <c r="A62" s="50" t="s">
        <v>221</v>
      </c>
      <c r="B62" s="50" t="s">
        <v>222</v>
      </c>
      <c r="C62" s="50" t="s">
        <v>265</v>
      </c>
      <c r="D62" s="50" t="s">
        <v>77</v>
      </c>
      <c r="E62" s="50" t="s">
        <v>878</v>
      </c>
      <c r="F62" s="50" t="s">
        <v>879</v>
      </c>
      <c r="G62" s="50" t="s">
        <v>880</v>
      </c>
      <c r="H62" s="50" t="s">
        <v>494</v>
      </c>
      <c r="I62" s="50" t="s">
        <v>881</v>
      </c>
      <c r="J62" s="50" t="s">
        <v>11</v>
      </c>
    </row>
    <row r="63" spans="1:10" ht="69">
      <c r="A63" s="13" t="s">
        <v>1946</v>
      </c>
      <c r="B63" s="13" t="s">
        <v>1947</v>
      </c>
      <c r="C63" s="13" t="s">
        <v>579</v>
      </c>
      <c r="D63" s="13" t="s">
        <v>502</v>
      </c>
      <c r="E63" s="13"/>
      <c r="F63" s="13"/>
      <c r="G63" s="13" t="s">
        <v>1842</v>
      </c>
      <c r="H63" s="13"/>
      <c r="I63" s="13"/>
      <c r="J63" s="13"/>
    </row>
    <row r="64" spans="1:10" ht="69">
      <c r="A64" s="13" t="s">
        <v>1948</v>
      </c>
      <c r="B64" s="13" t="s">
        <v>1949</v>
      </c>
      <c r="C64" s="13" t="s">
        <v>587</v>
      </c>
      <c r="D64" s="13" t="s">
        <v>502</v>
      </c>
      <c r="E64" s="13"/>
      <c r="F64" s="13"/>
      <c r="G64" s="13" t="s">
        <v>588</v>
      </c>
      <c r="H64" s="13"/>
      <c r="I64" s="13"/>
      <c r="J64" s="13"/>
    </row>
    <row r="65" spans="1:10" ht="69">
      <c r="A65" s="13" t="s">
        <v>1950</v>
      </c>
      <c r="B65" s="13" t="s">
        <v>1951</v>
      </c>
      <c r="C65" s="13" t="s">
        <v>1858</v>
      </c>
      <c r="D65" s="13" t="s">
        <v>502</v>
      </c>
      <c r="E65" s="13"/>
      <c r="F65" s="13"/>
      <c r="G65" s="13" t="s">
        <v>1859</v>
      </c>
      <c r="H65" s="13"/>
      <c r="I65" s="13"/>
      <c r="J65" s="13"/>
    </row>
    <row r="66" spans="1:10" ht="69">
      <c r="A66" s="13" t="s">
        <v>1952</v>
      </c>
      <c r="B66" s="13" t="s">
        <v>1953</v>
      </c>
      <c r="C66" s="13" t="s">
        <v>601</v>
      </c>
      <c r="D66" s="13" t="s">
        <v>502</v>
      </c>
      <c r="E66" s="13"/>
      <c r="F66" s="13"/>
      <c r="G66" s="13" t="s">
        <v>602</v>
      </c>
      <c r="H66" s="13"/>
      <c r="I66" s="13"/>
      <c r="J66" s="13"/>
    </row>
    <row r="67" spans="1:10" ht="82.8">
      <c r="A67" s="13" t="s">
        <v>1954</v>
      </c>
      <c r="B67" s="13" t="s">
        <v>1417</v>
      </c>
      <c r="C67" s="13" t="s">
        <v>609</v>
      </c>
      <c r="D67" s="13" t="s">
        <v>502</v>
      </c>
      <c r="E67" s="13"/>
      <c r="F67" s="13"/>
      <c r="G67" s="13" t="s">
        <v>1418</v>
      </c>
      <c r="H67" s="13"/>
      <c r="I67" s="13"/>
      <c r="J67" s="13"/>
    </row>
    <row r="68" spans="1:10" ht="82.8">
      <c r="A68" s="13" t="s">
        <v>1955</v>
      </c>
      <c r="B68" s="13" t="s">
        <v>1956</v>
      </c>
      <c r="C68" s="13" t="s">
        <v>616</v>
      </c>
      <c r="D68" s="13" t="s">
        <v>502</v>
      </c>
      <c r="E68" s="13"/>
      <c r="F68" s="13"/>
      <c r="G68" s="13" t="s">
        <v>617</v>
      </c>
      <c r="H68" s="13"/>
      <c r="I68" s="13"/>
      <c r="J68" s="13"/>
    </row>
    <row r="69" spans="1:10" ht="82.8">
      <c r="A69" s="13" t="s">
        <v>1957</v>
      </c>
      <c r="B69" s="13" t="s">
        <v>1647</v>
      </c>
      <c r="C69" s="13" t="s">
        <v>622</v>
      </c>
      <c r="D69" s="13" t="s">
        <v>502</v>
      </c>
      <c r="E69" s="13"/>
      <c r="F69" s="13"/>
      <c r="G69" s="13" t="s">
        <v>623</v>
      </c>
      <c r="H69" s="13"/>
      <c r="I69" s="13"/>
      <c r="J69" s="13"/>
    </row>
    <row r="70" spans="1:10" ht="82.8">
      <c r="A70" s="13" t="s">
        <v>1958</v>
      </c>
      <c r="B70" s="13" t="s">
        <v>1753</v>
      </c>
      <c r="C70" s="13" t="s">
        <v>1049</v>
      </c>
      <c r="D70" s="13" t="s">
        <v>502</v>
      </c>
      <c r="E70" s="13"/>
      <c r="F70" s="13"/>
      <c r="G70" s="13" t="s">
        <v>631</v>
      </c>
      <c r="H70" s="13"/>
      <c r="I70" s="13"/>
      <c r="J70" s="13"/>
    </row>
    <row r="71" spans="1:10">
      <c r="A71" s="13"/>
      <c r="B71" s="13"/>
      <c r="C71" s="13"/>
      <c r="D71" s="13"/>
      <c r="E71" s="13"/>
      <c r="F71" s="13"/>
      <c r="G71" s="13"/>
      <c r="H71" s="13"/>
      <c r="I71" s="13"/>
      <c r="J71" s="13"/>
    </row>
    <row r="72" spans="1:10">
      <c r="A72" s="842" t="s">
        <v>1052</v>
      </c>
      <c r="B72" s="839"/>
      <c r="C72" s="839"/>
      <c r="D72" s="85"/>
      <c r="E72" s="85"/>
      <c r="F72" s="85"/>
      <c r="G72" s="85"/>
      <c r="H72" s="85"/>
      <c r="I72" s="85"/>
      <c r="J72" s="85"/>
    </row>
    <row r="73" spans="1:10">
      <c r="A73" s="50" t="s">
        <v>291</v>
      </c>
      <c r="B73" s="50" t="s">
        <v>275</v>
      </c>
      <c r="C73" s="50" t="s">
        <v>493</v>
      </c>
      <c r="D73" s="50" t="s">
        <v>214</v>
      </c>
      <c r="E73" s="50" t="s">
        <v>263</v>
      </c>
      <c r="F73" s="50" t="s">
        <v>891</v>
      </c>
      <c r="G73" s="50" t="s">
        <v>892</v>
      </c>
      <c r="H73" s="50" t="s">
        <v>893</v>
      </c>
      <c r="I73" s="50" t="s">
        <v>77</v>
      </c>
      <c r="J73" s="50" t="s">
        <v>11</v>
      </c>
    </row>
    <row r="74" spans="1:10" ht="96.6">
      <c r="A74" s="13" t="s">
        <v>1959</v>
      </c>
      <c r="B74" s="13" t="s">
        <v>12</v>
      </c>
      <c r="C74" s="13" t="s">
        <v>269</v>
      </c>
      <c r="D74" s="13" t="s">
        <v>1960</v>
      </c>
      <c r="E74" s="13"/>
      <c r="F74" s="13" t="s">
        <v>229</v>
      </c>
      <c r="G74" s="13"/>
      <c r="H74" s="13" t="s">
        <v>1961</v>
      </c>
      <c r="I74" s="13" t="s">
        <v>502</v>
      </c>
      <c r="J74" s="13"/>
    </row>
    <row r="75" spans="1:10" ht="69">
      <c r="A75" s="13" t="s">
        <v>1962</v>
      </c>
      <c r="B75" s="13" t="s">
        <v>408</v>
      </c>
      <c r="C75" s="13" t="s">
        <v>269</v>
      </c>
      <c r="D75" s="13" t="s">
        <v>1963</v>
      </c>
      <c r="E75" s="13"/>
      <c r="F75" s="13" t="s">
        <v>229</v>
      </c>
      <c r="G75" s="13"/>
      <c r="H75" s="13" t="s">
        <v>1964</v>
      </c>
      <c r="I75" s="13" t="s">
        <v>502</v>
      </c>
      <c r="J75" s="13"/>
    </row>
    <row r="76" spans="1:10" ht="96.6">
      <c r="A76" s="13" t="s">
        <v>1965</v>
      </c>
      <c r="B76" s="13" t="s">
        <v>1895</v>
      </c>
      <c r="C76" s="13" t="s">
        <v>269</v>
      </c>
      <c r="D76" s="13" t="s">
        <v>1966</v>
      </c>
      <c r="E76" s="13"/>
      <c r="F76" s="13" t="s">
        <v>229</v>
      </c>
      <c r="G76" s="13"/>
      <c r="H76" s="13" t="s">
        <v>1964</v>
      </c>
      <c r="I76" s="13" t="s">
        <v>502</v>
      </c>
      <c r="J76" s="13"/>
    </row>
    <row r="77" spans="1:10" ht="82.8">
      <c r="A77" s="13" t="s">
        <v>1967</v>
      </c>
      <c r="B77" s="13" t="s">
        <v>575</v>
      </c>
      <c r="C77" s="13" t="s">
        <v>749</v>
      </c>
      <c r="D77" s="13" t="s">
        <v>1968</v>
      </c>
      <c r="E77" s="13"/>
      <c r="F77" s="13" t="s">
        <v>229</v>
      </c>
      <c r="G77" s="13"/>
      <c r="H77" s="13" t="s">
        <v>1929</v>
      </c>
      <c r="I77" s="13" t="s">
        <v>502</v>
      </c>
      <c r="J77" s="13"/>
    </row>
    <row r="78" spans="1:10" ht="69">
      <c r="A78" s="13" t="s">
        <v>1969</v>
      </c>
      <c r="B78" s="13" t="s">
        <v>575</v>
      </c>
      <c r="C78" s="13" t="s">
        <v>957</v>
      </c>
      <c r="D78" s="13" t="s">
        <v>1659</v>
      </c>
      <c r="E78" s="13"/>
      <c r="F78" s="13" t="s">
        <v>229</v>
      </c>
      <c r="G78" s="13"/>
      <c r="H78" s="13" t="s">
        <v>1944</v>
      </c>
      <c r="I78" s="13" t="s">
        <v>502</v>
      </c>
      <c r="J78" s="13"/>
    </row>
    <row r="79" spans="1:10" ht="96.6">
      <c r="A79" s="13" t="s">
        <v>1970</v>
      </c>
      <c r="B79" s="13" t="s">
        <v>575</v>
      </c>
      <c r="C79" s="13" t="s">
        <v>148</v>
      </c>
      <c r="D79" s="13" t="s">
        <v>1971</v>
      </c>
      <c r="E79" s="13"/>
      <c r="F79" s="13" t="s">
        <v>229</v>
      </c>
      <c r="G79" s="13"/>
      <c r="H79" s="13" t="s">
        <v>1938</v>
      </c>
      <c r="I79" s="13" t="s">
        <v>502</v>
      </c>
      <c r="J79" s="13"/>
    </row>
    <row r="80" spans="1:10" ht="69">
      <c r="A80" s="13" t="s">
        <v>1972</v>
      </c>
      <c r="B80" s="13" t="s">
        <v>575</v>
      </c>
      <c r="C80" s="13" t="s">
        <v>153</v>
      </c>
      <c r="D80" s="13" t="s">
        <v>1973</v>
      </c>
      <c r="E80" s="13"/>
      <c r="F80" s="13" t="s">
        <v>229</v>
      </c>
      <c r="G80" s="13"/>
      <c r="H80" s="13" t="s">
        <v>1941</v>
      </c>
      <c r="I80" s="13" t="s">
        <v>502</v>
      </c>
      <c r="J80" s="13"/>
    </row>
    <row r="81" spans="1:10" ht="96.6">
      <c r="A81" s="13" t="s">
        <v>1974</v>
      </c>
      <c r="B81" s="13" t="s">
        <v>575</v>
      </c>
      <c r="C81" s="13" t="s">
        <v>1975</v>
      </c>
      <c r="D81" s="13" t="s">
        <v>1976</v>
      </c>
      <c r="E81" s="13"/>
      <c r="F81" s="13" t="s">
        <v>229</v>
      </c>
      <c r="G81" s="13"/>
      <c r="H81" s="13" t="s">
        <v>1945</v>
      </c>
      <c r="I81" s="13" t="s">
        <v>502</v>
      </c>
      <c r="J81" s="13"/>
    </row>
    <row r="82" spans="1:10">
      <c r="A82" s="13"/>
      <c r="B82" s="13"/>
      <c r="C82" s="13"/>
      <c r="D82" s="13"/>
      <c r="E82" s="13"/>
      <c r="F82" s="13"/>
      <c r="G82" s="13"/>
      <c r="H82" s="13"/>
      <c r="I82" s="13"/>
      <c r="J82" s="13"/>
    </row>
    <row r="83" spans="1:10">
      <c r="A83" s="842" t="s">
        <v>1079</v>
      </c>
      <c r="B83" s="839"/>
      <c r="C83" s="839"/>
      <c r="D83" s="85"/>
      <c r="E83" s="85"/>
      <c r="F83" s="85"/>
      <c r="G83" s="85"/>
      <c r="H83" s="85"/>
      <c r="I83" s="85"/>
      <c r="J83" s="85"/>
    </row>
    <row r="84" spans="1:10">
      <c r="A84" s="50" t="s">
        <v>275</v>
      </c>
      <c r="B84" s="50" t="s">
        <v>895</v>
      </c>
      <c r="C84" s="50" t="s">
        <v>896</v>
      </c>
      <c r="D84" s="50" t="s">
        <v>148</v>
      </c>
      <c r="E84" s="50" t="s">
        <v>153</v>
      </c>
      <c r="F84" s="50" t="s">
        <v>155</v>
      </c>
      <c r="G84" s="50" t="s">
        <v>491</v>
      </c>
      <c r="H84" s="50" t="s">
        <v>897</v>
      </c>
      <c r="I84" s="50" t="s">
        <v>174</v>
      </c>
      <c r="J84" s="50" t="s">
        <v>11</v>
      </c>
    </row>
    <row r="85" spans="1:10" ht="41.4">
      <c r="A85" s="13" t="s">
        <v>12</v>
      </c>
      <c r="B85" s="128">
        <v>0.5</v>
      </c>
      <c r="C85" s="128">
        <v>0.5</v>
      </c>
      <c r="D85" s="128">
        <v>0.5</v>
      </c>
      <c r="E85" s="128">
        <v>0.5</v>
      </c>
      <c r="F85" s="128">
        <v>0.5</v>
      </c>
      <c r="G85" s="13" t="s">
        <v>677</v>
      </c>
      <c r="H85" s="128">
        <v>0.5</v>
      </c>
      <c r="I85" s="13" t="s">
        <v>1201</v>
      </c>
      <c r="J85" s="13" t="s">
        <v>1977</v>
      </c>
    </row>
    <row r="86" spans="1:10" ht="41.4">
      <c r="A86" s="13" t="s">
        <v>408</v>
      </c>
      <c r="B86" s="128">
        <v>0.5</v>
      </c>
      <c r="C86" s="128">
        <v>0.5</v>
      </c>
      <c r="D86" s="128">
        <v>0.5</v>
      </c>
      <c r="E86" s="128">
        <v>0.5</v>
      </c>
      <c r="F86" s="128">
        <v>0.5</v>
      </c>
      <c r="G86" s="13" t="s">
        <v>677</v>
      </c>
      <c r="H86" s="128">
        <v>0.5</v>
      </c>
      <c r="I86" s="13" t="s">
        <v>1201</v>
      </c>
      <c r="J86" s="13" t="s">
        <v>1978</v>
      </c>
    </row>
    <row r="87" spans="1:10" ht="41.4">
      <c r="A87" s="13" t="s">
        <v>1895</v>
      </c>
      <c r="B87" s="128">
        <v>0.5</v>
      </c>
      <c r="C87" s="128">
        <v>0.5</v>
      </c>
      <c r="D87" s="128">
        <v>0.5</v>
      </c>
      <c r="E87" s="128">
        <v>0.5</v>
      </c>
      <c r="F87" s="128">
        <v>0.5</v>
      </c>
      <c r="G87" s="13" t="s">
        <v>677</v>
      </c>
      <c r="H87" s="128">
        <v>0.5</v>
      </c>
      <c r="I87" s="13" t="s">
        <v>1201</v>
      </c>
      <c r="J87" s="13" t="s">
        <v>1979</v>
      </c>
    </row>
    <row r="88" spans="1:10">
      <c r="A88" s="13"/>
      <c r="B88" s="13"/>
      <c r="C88" s="13"/>
      <c r="D88" s="13"/>
      <c r="E88" s="13"/>
      <c r="F88" s="13"/>
      <c r="G88" s="13"/>
      <c r="H88" s="13"/>
      <c r="I88" s="13"/>
      <c r="J88" s="13"/>
    </row>
    <row r="89" spans="1:10">
      <c r="A89" s="842" t="s">
        <v>1085</v>
      </c>
      <c r="B89" s="839"/>
      <c r="C89" s="839"/>
      <c r="D89" s="85"/>
      <c r="E89" s="85"/>
      <c r="F89" s="85"/>
      <c r="G89" s="85"/>
      <c r="H89" s="85"/>
      <c r="I89" s="85"/>
      <c r="J89" s="85"/>
    </row>
    <row r="90" spans="1:10" ht="55.2">
      <c r="A90" s="50" t="s">
        <v>905</v>
      </c>
      <c r="B90" s="50" t="s">
        <v>791</v>
      </c>
      <c r="C90" s="50"/>
      <c r="D90" s="50"/>
      <c r="E90" s="50"/>
      <c r="F90" s="50"/>
      <c r="G90" s="50"/>
      <c r="H90" s="50"/>
      <c r="I90" s="50"/>
      <c r="J90" s="50"/>
    </row>
    <row r="91" spans="1:10">
      <c r="A91" s="13" t="s">
        <v>1086</v>
      </c>
      <c r="B91" s="852" t="s">
        <v>1980</v>
      </c>
      <c r="C91" s="839"/>
      <c r="D91" s="839"/>
      <c r="E91" s="839"/>
      <c r="F91" s="839"/>
      <c r="G91" s="839"/>
      <c r="H91" s="839"/>
      <c r="I91" s="839"/>
      <c r="J91" s="839"/>
    </row>
    <row r="92" spans="1:10">
      <c r="A92" s="13" t="s">
        <v>1088</v>
      </c>
      <c r="B92" s="852" t="s">
        <v>1981</v>
      </c>
      <c r="C92" s="839"/>
      <c r="D92" s="839"/>
      <c r="E92" s="839"/>
      <c r="F92" s="839"/>
      <c r="G92" s="839"/>
      <c r="H92" s="839"/>
      <c r="I92" s="839"/>
      <c r="J92" s="839"/>
    </row>
    <row r="93" spans="1:10">
      <c r="A93" s="13" t="s">
        <v>1090</v>
      </c>
      <c r="B93" s="852" t="s">
        <v>1982</v>
      </c>
      <c r="C93" s="839"/>
      <c r="D93" s="839"/>
      <c r="E93" s="839"/>
      <c r="F93" s="839"/>
      <c r="G93" s="839"/>
      <c r="H93" s="839"/>
      <c r="I93" s="839"/>
      <c r="J93" s="839"/>
    </row>
    <row r="94" spans="1:10">
      <c r="A94" s="13" t="s">
        <v>1089</v>
      </c>
      <c r="B94" s="852" t="s">
        <v>1983</v>
      </c>
      <c r="C94" s="839"/>
      <c r="D94" s="839"/>
      <c r="E94" s="839"/>
      <c r="F94" s="839"/>
      <c r="G94" s="839"/>
      <c r="H94" s="839"/>
      <c r="I94" s="839"/>
      <c r="J94" s="839"/>
    </row>
    <row r="95" spans="1:10" ht="27.6">
      <c r="A95" s="13" t="s">
        <v>1984</v>
      </c>
      <c r="B95" s="852" t="s">
        <v>1985</v>
      </c>
      <c r="C95" s="839"/>
      <c r="D95" s="839"/>
      <c r="E95" s="839"/>
      <c r="F95" s="839"/>
      <c r="G95" s="839"/>
      <c r="H95" s="839"/>
      <c r="I95" s="839"/>
      <c r="J95" s="839"/>
    </row>
    <row r="96" spans="1:10">
      <c r="A96" s="13" t="s">
        <v>1563</v>
      </c>
      <c r="B96" s="852" t="s">
        <v>1776</v>
      </c>
      <c r="C96" s="839"/>
      <c r="D96" s="839"/>
      <c r="E96" s="839"/>
      <c r="F96" s="839"/>
      <c r="G96" s="839"/>
      <c r="H96" s="839"/>
      <c r="I96" s="839"/>
      <c r="J96" s="839"/>
    </row>
    <row r="97" spans="1:10" ht="15" thickBot="1"/>
    <row r="98" spans="1:10">
      <c r="A98" s="855" t="s">
        <v>5875</v>
      </c>
      <c r="B98" s="856"/>
      <c r="C98" s="856"/>
      <c r="D98" s="857"/>
      <c r="E98" s="856"/>
      <c r="F98" s="856"/>
      <c r="G98" s="857"/>
      <c r="H98" s="857"/>
      <c r="I98" s="857"/>
      <c r="J98" s="858"/>
    </row>
    <row r="99" spans="1:10">
      <c r="A99" s="325" t="s">
        <v>5817</v>
      </c>
      <c r="B99" s="326" t="s">
        <v>77</v>
      </c>
      <c r="C99" s="326" t="s">
        <v>5818</v>
      </c>
      <c r="D99" s="326" t="s">
        <v>5819</v>
      </c>
      <c r="E99" s="326" t="s">
        <v>5841</v>
      </c>
      <c r="F99" s="326" t="s">
        <v>5808</v>
      </c>
      <c r="G99" s="859" t="s">
        <v>5842</v>
      </c>
      <c r="H99" s="859"/>
      <c r="I99" s="859"/>
      <c r="J99" s="860"/>
    </row>
    <row r="100" spans="1:10" ht="26.4">
      <c r="A100" s="327" t="s">
        <v>5820</v>
      </c>
      <c r="B100" s="337" t="s">
        <v>484</v>
      </c>
      <c r="C100" s="329">
        <v>0</v>
      </c>
      <c r="D100" s="329">
        <v>0</v>
      </c>
      <c r="E100" s="196" t="s">
        <v>5881</v>
      </c>
      <c r="F100" s="329">
        <f>IF(AND(C100&lt;&gt;"",D100&lt;&gt;""),D100-C100,"")</f>
        <v>0</v>
      </c>
      <c r="G100" s="861"/>
      <c r="H100" s="861"/>
      <c r="I100" s="861"/>
      <c r="J100" s="862"/>
    </row>
    <row r="101" spans="1:10" ht="26.4">
      <c r="A101" s="330" t="s">
        <v>5821</v>
      </c>
      <c r="B101" s="337" t="s">
        <v>484</v>
      </c>
      <c r="C101" s="331">
        <v>1</v>
      </c>
      <c r="D101" s="331">
        <v>0</v>
      </c>
      <c r="E101" s="314" t="s">
        <v>5882</v>
      </c>
      <c r="F101" s="331">
        <f>IF(AND(C101&lt;&gt;"",D101&lt;&gt;""),D101-C101,"")</f>
        <v>-1</v>
      </c>
      <c r="G101" s="863"/>
      <c r="H101" s="863"/>
      <c r="I101" s="863"/>
      <c r="J101" s="864"/>
    </row>
    <row r="102" spans="1:10">
      <c r="A102" s="327" t="s">
        <v>5822</v>
      </c>
      <c r="B102" s="337" t="s">
        <v>484</v>
      </c>
      <c r="C102" s="331">
        <v>1</v>
      </c>
      <c r="D102" s="331">
        <v>0</v>
      </c>
      <c r="E102" s="314" t="s">
        <v>5882</v>
      </c>
      <c r="F102" s="329">
        <f>IF(AND(C102&lt;&gt;"",D102&lt;&gt;""),D102-C102,"")</f>
        <v>-1</v>
      </c>
      <c r="G102" s="332"/>
      <c r="H102" s="231"/>
      <c r="I102" s="231"/>
      <c r="J102" s="333"/>
    </row>
    <row r="103" spans="1:10">
      <c r="A103" s="330" t="s">
        <v>5823</v>
      </c>
      <c r="B103" s="337" t="s">
        <v>484</v>
      </c>
      <c r="C103" s="331">
        <v>1</v>
      </c>
      <c r="D103" s="331">
        <v>0</v>
      </c>
      <c r="E103" s="314" t="s">
        <v>5882</v>
      </c>
      <c r="F103" s="331">
        <f>IF(AND(C103&lt;&gt;"",D103&lt;&gt;""),D103-C103,"")</f>
        <v>-1</v>
      </c>
      <c r="G103" s="863"/>
      <c r="H103" s="863"/>
      <c r="I103" s="863"/>
      <c r="J103" s="864"/>
    </row>
    <row r="104" spans="1:10">
      <c r="A104" s="327" t="s">
        <v>5168</v>
      </c>
      <c r="B104" s="337" t="s">
        <v>484</v>
      </c>
      <c r="C104" s="331">
        <v>1</v>
      </c>
      <c r="D104" s="331">
        <v>0</v>
      </c>
      <c r="E104" s="314" t="s">
        <v>5882</v>
      </c>
      <c r="F104" s="329">
        <f>IF(AND(C104&lt;&gt;"",D104&lt;&gt;""),D104-C104,"")</f>
        <v>-1</v>
      </c>
      <c r="G104" s="332"/>
      <c r="H104" s="231"/>
      <c r="I104" s="231"/>
      <c r="J104" s="333"/>
    </row>
    <row r="105" spans="1:10" ht="15.6">
      <c r="A105" s="865" t="s">
        <v>5843</v>
      </c>
      <c r="B105" s="713"/>
      <c r="C105" s="334">
        <f>IFERROR(AVERAGE(C100:C104),"")</f>
        <v>0.8</v>
      </c>
      <c r="D105" s="334">
        <f>IFERROR(AVERAGE(D100:D104),"")</f>
        <v>0</v>
      </c>
      <c r="E105" s="866" t="s">
        <v>5844</v>
      </c>
      <c r="F105" s="866"/>
      <c r="G105" s="866"/>
      <c r="H105" s="866"/>
      <c r="I105" s="866"/>
      <c r="J105" s="867"/>
    </row>
    <row r="106" spans="1:10">
      <c r="A106" s="335"/>
      <c r="B106" s="320"/>
      <c r="C106" s="320"/>
      <c r="D106" s="320"/>
      <c r="E106" s="320"/>
      <c r="F106" s="320"/>
      <c r="G106" s="320"/>
      <c r="H106" s="231"/>
      <c r="I106" s="231"/>
      <c r="J106" s="333"/>
    </row>
    <row r="107" spans="1:10">
      <c r="A107" s="876" t="s">
        <v>5876</v>
      </c>
      <c r="B107" s="853"/>
      <c r="C107" s="853"/>
      <c r="D107" s="842"/>
      <c r="E107" s="853"/>
      <c r="F107" s="853"/>
      <c r="G107" s="842"/>
      <c r="H107" s="842"/>
      <c r="I107" s="842"/>
      <c r="J107" s="868"/>
    </row>
    <row r="108" spans="1:10">
      <c r="A108" s="325" t="s">
        <v>4946</v>
      </c>
      <c r="B108" s="326" t="s">
        <v>77</v>
      </c>
      <c r="C108" s="326" t="s">
        <v>5883</v>
      </c>
      <c r="D108" s="326" t="s">
        <v>482</v>
      </c>
      <c r="E108" s="326" t="s">
        <v>572</v>
      </c>
      <c r="F108" s="326" t="s">
        <v>5846</v>
      </c>
      <c r="G108" s="859" t="s">
        <v>5847</v>
      </c>
      <c r="H108" s="859"/>
      <c r="I108" s="859"/>
      <c r="J108" s="860"/>
    </row>
    <row r="109" spans="1:10" ht="26.4">
      <c r="A109" s="330" t="s">
        <v>5809</v>
      </c>
      <c r="B109" s="337" t="s">
        <v>484</v>
      </c>
      <c r="C109" s="336" t="s">
        <v>679</v>
      </c>
      <c r="D109" s="328" t="s">
        <v>679</v>
      </c>
      <c r="E109" s="336">
        <f>IF(D109="Yes",1,0)</f>
        <v>0</v>
      </c>
      <c r="F109" s="877"/>
      <c r="G109" s="877"/>
      <c r="H109" s="877"/>
      <c r="I109" s="877"/>
      <c r="J109" s="878"/>
    </row>
    <row r="110" spans="1:10">
      <c r="A110" s="327" t="s">
        <v>995</v>
      </c>
      <c r="B110" s="337" t="s">
        <v>484</v>
      </c>
      <c r="C110" s="336" t="s">
        <v>679</v>
      </c>
      <c r="D110" s="328" t="s">
        <v>679</v>
      </c>
      <c r="E110" s="328">
        <f t="shared" ref="E110:E116" si="0">IF(D110="Yes",1,0)</f>
        <v>0</v>
      </c>
      <c r="F110" s="877"/>
      <c r="G110" s="877"/>
      <c r="H110" s="877"/>
      <c r="I110" s="877"/>
      <c r="J110" s="878"/>
    </row>
    <row r="111" spans="1:10">
      <c r="A111" s="330" t="s">
        <v>5810</v>
      </c>
      <c r="B111" s="337" t="s">
        <v>484</v>
      </c>
      <c r="C111" s="336" t="s">
        <v>679</v>
      </c>
      <c r="D111" s="328" t="s">
        <v>679</v>
      </c>
      <c r="E111" s="336">
        <f t="shared" si="0"/>
        <v>0</v>
      </c>
      <c r="F111" s="877"/>
      <c r="G111" s="877"/>
      <c r="H111" s="877"/>
      <c r="I111" s="877"/>
      <c r="J111" s="878"/>
    </row>
    <row r="112" spans="1:10">
      <c r="A112" s="327" t="s">
        <v>5824</v>
      </c>
      <c r="B112" s="337" t="s">
        <v>484</v>
      </c>
      <c r="C112" s="336" t="s">
        <v>679</v>
      </c>
      <c r="D112" s="328" t="s">
        <v>679</v>
      </c>
      <c r="E112" s="328">
        <f t="shared" si="0"/>
        <v>0</v>
      </c>
      <c r="F112" s="877"/>
      <c r="G112" s="877"/>
      <c r="H112" s="877"/>
      <c r="I112" s="877"/>
      <c r="J112" s="878"/>
    </row>
    <row r="113" spans="1:10" ht="39.6">
      <c r="A113" s="330" t="s">
        <v>5825</v>
      </c>
      <c r="B113" s="337" t="s">
        <v>484</v>
      </c>
      <c r="C113" s="336" t="s">
        <v>679</v>
      </c>
      <c r="D113" s="328" t="s">
        <v>679</v>
      </c>
      <c r="E113" s="336">
        <f t="shared" si="0"/>
        <v>0</v>
      </c>
      <c r="F113" s="877"/>
      <c r="G113" s="877"/>
      <c r="H113" s="877"/>
      <c r="I113" s="877"/>
      <c r="J113" s="878"/>
    </row>
    <row r="114" spans="1:10" ht="26.4">
      <c r="A114" s="327" t="s">
        <v>5826</v>
      </c>
      <c r="B114" s="337" t="s">
        <v>484</v>
      </c>
      <c r="C114" s="336" t="s">
        <v>679</v>
      </c>
      <c r="D114" s="328" t="s">
        <v>679</v>
      </c>
      <c r="E114" s="328">
        <f t="shared" si="0"/>
        <v>0</v>
      </c>
      <c r="F114" s="877"/>
      <c r="G114" s="877"/>
      <c r="H114" s="877"/>
      <c r="I114" s="877"/>
      <c r="J114" s="878"/>
    </row>
    <row r="115" spans="1:10">
      <c r="A115" s="330" t="s">
        <v>5811</v>
      </c>
      <c r="B115" s="337" t="s">
        <v>484</v>
      </c>
      <c r="C115" s="336" t="s">
        <v>679</v>
      </c>
      <c r="D115" s="328" t="s">
        <v>679</v>
      </c>
      <c r="E115" s="336">
        <f t="shared" si="0"/>
        <v>0</v>
      </c>
      <c r="F115" s="877"/>
      <c r="G115" s="877"/>
      <c r="H115" s="877"/>
      <c r="I115" s="877"/>
      <c r="J115" s="878"/>
    </row>
    <row r="116" spans="1:10" ht="26.4">
      <c r="A116" s="327" t="s">
        <v>5812</v>
      </c>
      <c r="B116" s="337" t="s">
        <v>484</v>
      </c>
      <c r="C116" s="336" t="s">
        <v>679</v>
      </c>
      <c r="D116" s="328" t="s">
        <v>679</v>
      </c>
      <c r="E116" s="328">
        <f t="shared" si="0"/>
        <v>0</v>
      </c>
      <c r="F116" s="877"/>
      <c r="G116" s="877"/>
      <c r="H116" s="877"/>
      <c r="I116" s="877"/>
      <c r="J116" s="878"/>
    </row>
    <row r="117" spans="1:10" ht="15.6">
      <c r="A117" s="865" t="s">
        <v>5848</v>
      </c>
      <c r="B117" s="713"/>
      <c r="C117" s="871" t="str">
        <f>IFERROR(SUM(E109:E116)/COUNTIF(C109:C116,"Yes"),"")</f>
        <v/>
      </c>
      <c r="D117" s="872"/>
      <c r="E117" s="866" t="s">
        <v>5849</v>
      </c>
      <c r="F117" s="866"/>
      <c r="G117" s="866"/>
      <c r="H117" s="866"/>
      <c r="I117" s="866"/>
      <c r="J117" s="867"/>
    </row>
    <row r="118" spans="1:10">
      <c r="A118" s="335"/>
      <c r="B118" s="320"/>
      <c r="C118" s="320"/>
      <c r="D118" s="320"/>
      <c r="E118" s="320"/>
      <c r="F118" s="320"/>
      <c r="G118" s="320"/>
      <c r="H118" s="231"/>
      <c r="I118" s="231"/>
      <c r="J118" s="333"/>
    </row>
    <row r="119" spans="1:10">
      <c r="A119" s="876" t="s">
        <v>5877</v>
      </c>
      <c r="B119" s="853"/>
      <c r="C119" s="853"/>
      <c r="D119" s="842"/>
      <c r="E119" s="853"/>
      <c r="F119" s="853"/>
      <c r="G119" s="842"/>
      <c r="H119" s="842"/>
      <c r="I119" s="842"/>
      <c r="J119" s="868"/>
    </row>
    <row r="120" spans="1:10">
      <c r="A120" s="325" t="s">
        <v>5850</v>
      </c>
      <c r="B120" s="326" t="s">
        <v>77</v>
      </c>
      <c r="C120" s="326" t="s">
        <v>5827</v>
      </c>
      <c r="D120" s="326" t="s">
        <v>5828</v>
      </c>
      <c r="E120" s="326" t="s">
        <v>5829</v>
      </c>
      <c r="F120" s="326" t="s">
        <v>5851</v>
      </c>
      <c r="G120" s="859" t="s">
        <v>5852</v>
      </c>
      <c r="H120" s="859"/>
      <c r="I120" s="859"/>
      <c r="J120" s="860"/>
    </row>
    <row r="121" spans="1:10" ht="26.4">
      <c r="A121" s="330" t="s">
        <v>5830</v>
      </c>
      <c r="B121" s="336" t="s">
        <v>484</v>
      </c>
      <c r="C121" s="336" t="s">
        <v>1096</v>
      </c>
      <c r="D121" s="336" t="s">
        <v>1096</v>
      </c>
      <c r="E121" s="336" t="s">
        <v>1096</v>
      </c>
      <c r="F121" s="336" t="s">
        <v>348</v>
      </c>
      <c r="G121" s="869"/>
      <c r="H121" s="869"/>
      <c r="I121" s="869"/>
      <c r="J121" s="870"/>
    </row>
    <row r="122" spans="1:10">
      <c r="A122" s="327" t="s">
        <v>5831</v>
      </c>
      <c r="B122" s="336" t="s">
        <v>484</v>
      </c>
      <c r="C122" s="336" t="s">
        <v>1096</v>
      </c>
      <c r="D122" s="336" t="s">
        <v>1096</v>
      </c>
      <c r="E122" s="336" t="s">
        <v>1096</v>
      </c>
      <c r="F122" s="336" t="s">
        <v>348</v>
      </c>
      <c r="G122" s="869"/>
      <c r="H122" s="869"/>
      <c r="I122" s="869"/>
      <c r="J122" s="870"/>
    </row>
    <row r="123" spans="1:10">
      <c r="A123" s="330" t="s">
        <v>5853</v>
      </c>
      <c r="B123" s="336" t="s">
        <v>484</v>
      </c>
      <c r="C123" s="336" t="s">
        <v>1096</v>
      </c>
      <c r="D123" s="336" t="s">
        <v>1096</v>
      </c>
      <c r="E123" s="336" t="s">
        <v>1096</v>
      </c>
      <c r="F123" s="336" t="s">
        <v>348</v>
      </c>
      <c r="G123" s="869"/>
      <c r="H123" s="869"/>
      <c r="I123" s="869"/>
      <c r="J123" s="870"/>
    </row>
    <row r="124" spans="1:10">
      <c r="A124" s="327" t="s">
        <v>5832</v>
      </c>
      <c r="B124" s="336" t="s">
        <v>484</v>
      </c>
      <c r="C124" s="336" t="s">
        <v>1096</v>
      </c>
      <c r="D124" s="336" t="s">
        <v>1096</v>
      </c>
      <c r="E124" s="336" t="s">
        <v>1096</v>
      </c>
      <c r="F124" s="336" t="s">
        <v>348</v>
      </c>
      <c r="G124" s="869"/>
      <c r="H124" s="869"/>
      <c r="I124" s="869"/>
      <c r="J124" s="870"/>
    </row>
    <row r="125" spans="1:10" ht="26.4">
      <c r="A125" s="330" t="s">
        <v>5833</v>
      </c>
      <c r="B125" s="336" t="s">
        <v>484</v>
      </c>
      <c r="C125" s="336" t="s">
        <v>1096</v>
      </c>
      <c r="D125" s="336" t="s">
        <v>1096</v>
      </c>
      <c r="E125" s="336" t="s">
        <v>1096</v>
      </c>
      <c r="F125" s="336" t="s">
        <v>348</v>
      </c>
      <c r="G125" s="869"/>
      <c r="H125" s="869"/>
      <c r="I125" s="869"/>
      <c r="J125" s="870"/>
    </row>
    <row r="126" spans="1:10" ht="15.6">
      <c r="A126" s="865" t="s">
        <v>5884</v>
      </c>
      <c r="B126" s="713"/>
      <c r="C126" s="871">
        <f>IFERROR(COUNTIF(E121:E125,"Yes")/COUNTA(A121:A125),"")</f>
        <v>0</v>
      </c>
      <c r="D126" s="872"/>
      <c r="E126" s="866" t="s">
        <v>5855</v>
      </c>
      <c r="F126" s="866"/>
      <c r="G126" s="866"/>
      <c r="H126" s="866"/>
      <c r="I126" s="866"/>
      <c r="J126" s="867"/>
    </row>
    <row r="127" spans="1:10">
      <c r="A127" s="335"/>
      <c r="B127" s="320"/>
      <c r="C127" s="320"/>
      <c r="D127" s="320"/>
      <c r="E127" s="320"/>
      <c r="F127" s="320"/>
      <c r="G127" s="874"/>
      <c r="H127" s="874"/>
      <c r="I127" s="874"/>
      <c r="J127" s="875"/>
    </row>
    <row r="128" spans="1:10">
      <c r="A128" s="876" t="s">
        <v>5878</v>
      </c>
      <c r="B128" s="853"/>
      <c r="C128" s="853"/>
      <c r="D128" s="842"/>
      <c r="E128" s="853"/>
      <c r="F128" s="853"/>
      <c r="G128" s="842"/>
      <c r="H128" s="842"/>
      <c r="I128" s="842"/>
      <c r="J128" s="868"/>
    </row>
    <row r="129" spans="1:10">
      <c r="A129" s="326" t="s">
        <v>5813</v>
      </c>
      <c r="B129" s="326" t="s">
        <v>77</v>
      </c>
      <c r="C129" s="326" t="s">
        <v>5834</v>
      </c>
      <c r="D129" s="326" t="s">
        <v>5835</v>
      </c>
      <c r="E129" s="326" t="s">
        <v>5836</v>
      </c>
      <c r="F129" s="326" t="s">
        <v>5837</v>
      </c>
      <c r="G129" s="859" t="s">
        <v>5885</v>
      </c>
      <c r="H129" s="859"/>
      <c r="I129" s="859"/>
      <c r="J129" s="859"/>
    </row>
    <row r="130" spans="1:10">
      <c r="A130" s="332" t="s">
        <v>153</v>
      </c>
      <c r="B130" s="328" t="s">
        <v>484</v>
      </c>
      <c r="C130" s="328"/>
      <c r="D130" s="328"/>
      <c r="E130" s="328"/>
      <c r="F130" s="329" t="str">
        <f>IFERROR(D130/C130,"")</f>
        <v/>
      </c>
      <c r="G130" s="873"/>
      <c r="H130" s="873"/>
      <c r="I130" s="873"/>
      <c r="J130" s="873"/>
    </row>
    <row r="131" spans="1:10">
      <c r="A131" s="339" t="s">
        <v>155</v>
      </c>
      <c r="B131" s="336" t="s">
        <v>484</v>
      </c>
      <c r="C131" s="336"/>
      <c r="D131" s="336"/>
      <c r="E131" s="336"/>
      <c r="F131" s="331" t="str">
        <f>IFERROR(D131/C131,"")</f>
        <v/>
      </c>
      <c r="G131" s="873"/>
      <c r="H131" s="873"/>
      <c r="I131" s="873"/>
      <c r="J131" s="873"/>
    </row>
    <row r="132" spans="1:10">
      <c r="A132" s="332" t="s">
        <v>4821</v>
      </c>
      <c r="B132" s="328" t="s">
        <v>484</v>
      </c>
      <c r="C132" s="328"/>
      <c r="D132" s="328"/>
      <c r="E132" s="328"/>
      <c r="F132" s="329" t="str">
        <f>IFERROR(D132/C132,"")</f>
        <v/>
      </c>
      <c r="G132" s="873"/>
      <c r="H132" s="873"/>
      <c r="I132" s="873"/>
      <c r="J132" s="873"/>
    </row>
    <row r="133" spans="1:10">
      <c r="A133" s="339" t="s">
        <v>957</v>
      </c>
      <c r="B133" s="336" t="s">
        <v>484</v>
      </c>
      <c r="C133" s="336"/>
      <c r="D133" s="336"/>
      <c r="E133" s="336"/>
      <c r="F133" s="331" t="str">
        <f>IFERROR(D133/C133,"")</f>
        <v/>
      </c>
      <c r="G133" s="873"/>
      <c r="H133" s="873"/>
      <c r="I133" s="873"/>
      <c r="J133" s="873"/>
    </row>
    <row r="134" spans="1:10">
      <c r="A134" s="879" t="s">
        <v>5856</v>
      </c>
      <c r="B134" s="879"/>
      <c r="C134" s="879"/>
      <c r="D134" s="879"/>
      <c r="E134" s="866" t="s">
        <v>5857</v>
      </c>
      <c r="F134" s="866"/>
      <c r="G134" s="866"/>
      <c r="H134" s="866"/>
      <c r="I134" s="866"/>
      <c r="J134" s="866"/>
    </row>
    <row r="135" spans="1:10">
      <c r="A135" s="879"/>
      <c r="B135" s="879"/>
      <c r="C135" s="879"/>
      <c r="D135" s="879"/>
      <c r="E135" s="866"/>
      <c r="F135" s="866"/>
      <c r="G135" s="866"/>
      <c r="H135" s="866"/>
      <c r="I135" s="866"/>
      <c r="J135" s="866"/>
    </row>
    <row r="136" spans="1:10">
      <c r="A136" s="842" t="s">
        <v>5879</v>
      </c>
      <c r="B136" s="842"/>
      <c r="C136" s="842"/>
      <c r="D136" s="842"/>
      <c r="E136" s="842"/>
      <c r="F136" s="842"/>
      <c r="G136" s="842"/>
      <c r="H136" s="842"/>
      <c r="I136" s="842"/>
      <c r="J136" s="842"/>
    </row>
    <row r="137" spans="1:10">
      <c r="A137" s="326" t="s">
        <v>4946</v>
      </c>
      <c r="B137" s="326" t="s">
        <v>77</v>
      </c>
      <c r="C137" s="326" t="s">
        <v>5845</v>
      </c>
      <c r="D137" s="326" t="s">
        <v>482</v>
      </c>
      <c r="E137" s="326" t="s">
        <v>572</v>
      </c>
      <c r="F137" s="326" t="s">
        <v>944</v>
      </c>
      <c r="G137" s="859" t="s">
        <v>5847</v>
      </c>
      <c r="H137" s="859"/>
      <c r="I137" s="859"/>
      <c r="J137" s="859"/>
    </row>
    <row r="138" spans="1:10" ht="26.4">
      <c r="A138" s="332" t="s">
        <v>5814</v>
      </c>
      <c r="B138" s="328" t="s">
        <v>484</v>
      </c>
      <c r="C138" s="328" t="s">
        <v>392</v>
      </c>
      <c r="D138" s="328" t="s">
        <v>1096</v>
      </c>
      <c r="E138" s="328">
        <f t="shared" ref="E138:E143" si="1">IF(D138="Yes",1,0)</f>
        <v>0</v>
      </c>
      <c r="F138" s="328"/>
      <c r="G138" s="873"/>
      <c r="H138" s="873"/>
      <c r="I138" s="873"/>
      <c r="J138" s="873"/>
    </row>
    <row r="139" spans="1:10">
      <c r="A139" s="339" t="s">
        <v>5815</v>
      </c>
      <c r="B139" s="328" t="s">
        <v>484</v>
      </c>
      <c r="C139" s="336" t="s">
        <v>392</v>
      </c>
      <c r="D139" s="328" t="s">
        <v>1096</v>
      </c>
      <c r="E139" s="336">
        <f t="shared" si="1"/>
        <v>0</v>
      </c>
      <c r="F139" s="336"/>
      <c r="G139" s="873"/>
      <c r="H139" s="873"/>
      <c r="I139" s="873"/>
      <c r="J139" s="873"/>
    </row>
    <row r="140" spans="1:10" ht="26.4">
      <c r="A140" s="332" t="s">
        <v>5816</v>
      </c>
      <c r="B140" s="328" t="s">
        <v>484</v>
      </c>
      <c r="C140" s="328" t="s">
        <v>392</v>
      </c>
      <c r="D140" s="328" t="s">
        <v>1096</v>
      </c>
      <c r="E140" s="328">
        <f t="shared" si="1"/>
        <v>0</v>
      </c>
      <c r="F140" s="328"/>
      <c r="G140" s="873"/>
      <c r="H140" s="873"/>
      <c r="I140" s="873"/>
      <c r="J140" s="873"/>
    </row>
    <row r="141" spans="1:10">
      <c r="A141" s="339" t="s">
        <v>5838</v>
      </c>
      <c r="B141" s="328" t="s">
        <v>484</v>
      </c>
      <c r="C141" s="336" t="s">
        <v>392</v>
      </c>
      <c r="D141" s="328" t="s">
        <v>1096</v>
      </c>
      <c r="E141" s="336">
        <f t="shared" si="1"/>
        <v>0</v>
      </c>
      <c r="F141" s="336"/>
      <c r="G141" s="873"/>
      <c r="H141" s="873"/>
      <c r="I141" s="873"/>
      <c r="J141" s="873"/>
    </row>
    <row r="142" spans="1:10" ht="26.4">
      <c r="A142" s="332" t="s">
        <v>5839</v>
      </c>
      <c r="B142" s="328" t="s">
        <v>484</v>
      </c>
      <c r="C142" s="328" t="s">
        <v>392</v>
      </c>
      <c r="D142" s="328" t="s">
        <v>1096</v>
      </c>
      <c r="E142" s="328">
        <f t="shared" si="1"/>
        <v>0</v>
      </c>
      <c r="F142" s="328"/>
      <c r="G142" s="873"/>
      <c r="H142" s="873"/>
      <c r="I142" s="873"/>
      <c r="J142" s="873"/>
    </row>
    <row r="143" spans="1:10" ht="26.4">
      <c r="A143" s="339" t="s">
        <v>5840</v>
      </c>
      <c r="B143" s="328" t="s">
        <v>484</v>
      </c>
      <c r="C143" s="336" t="s">
        <v>392</v>
      </c>
      <c r="D143" s="336" t="s">
        <v>1096</v>
      </c>
      <c r="E143" s="336">
        <f t="shared" si="1"/>
        <v>0</v>
      </c>
      <c r="F143" s="336"/>
      <c r="G143" s="873"/>
      <c r="H143" s="873"/>
      <c r="I143" s="873"/>
      <c r="J143" s="873"/>
    </row>
    <row r="144" spans="1:10" ht="15.6">
      <c r="A144" s="880" t="s">
        <v>5858</v>
      </c>
      <c r="B144" s="713"/>
      <c r="C144" s="871">
        <f>IFERROR(SUM(E138:E143)/COUNTIF(C138:C143,"Yes"),"")</f>
        <v>0</v>
      </c>
      <c r="D144" s="872"/>
      <c r="E144" s="866" t="s">
        <v>5859</v>
      </c>
      <c r="F144" s="866"/>
      <c r="G144" s="866"/>
      <c r="H144" s="866"/>
      <c r="I144" s="866"/>
      <c r="J144" s="866"/>
    </row>
    <row r="145" spans="1:10">
      <c r="A145" s="196"/>
      <c r="B145" s="196"/>
      <c r="C145" s="196"/>
      <c r="D145" s="196"/>
      <c r="E145" s="196"/>
      <c r="F145" s="196"/>
      <c r="G145" s="196"/>
      <c r="H145" s="196"/>
      <c r="I145" s="196"/>
      <c r="J145" s="196"/>
    </row>
    <row r="146" spans="1:10">
      <c r="A146" s="842" t="s">
        <v>5880</v>
      </c>
      <c r="B146" s="853"/>
      <c r="C146" s="853"/>
      <c r="D146" s="321"/>
      <c r="E146" s="321"/>
      <c r="F146" s="321"/>
      <c r="G146" s="321"/>
      <c r="H146" s="321"/>
      <c r="I146" s="321"/>
      <c r="J146" s="321"/>
    </row>
    <row r="147" spans="1:10" ht="55.2">
      <c r="A147" s="322" t="s">
        <v>905</v>
      </c>
      <c r="B147" s="322" t="s">
        <v>830</v>
      </c>
      <c r="C147" s="322"/>
      <c r="D147" s="322"/>
      <c r="E147" s="322"/>
      <c r="F147" s="322"/>
      <c r="G147" s="322"/>
      <c r="H147" s="322"/>
      <c r="I147" s="322"/>
      <c r="J147" s="322"/>
    </row>
    <row r="148" spans="1:10">
      <c r="A148" s="319" t="s">
        <v>1086</v>
      </c>
      <c r="B148" s="852" t="s">
        <v>3292</v>
      </c>
      <c r="C148" s="853"/>
      <c r="D148" s="853"/>
      <c r="E148" s="853"/>
      <c r="F148" s="853"/>
      <c r="G148" s="853"/>
      <c r="H148" s="853"/>
      <c r="I148" s="853"/>
      <c r="J148" s="853"/>
    </row>
    <row r="149" spans="1:10" ht="27.6">
      <c r="A149" s="319" t="s">
        <v>2090</v>
      </c>
      <c r="B149" s="852" t="s">
        <v>3293</v>
      </c>
      <c r="C149" s="853"/>
      <c r="D149" s="853"/>
      <c r="E149" s="853"/>
      <c r="F149" s="853"/>
      <c r="G149" s="853"/>
      <c r="H149" s="853"/>
      <c r="I149" s="853"/>
      <c r="J149" s="853"/>
    </row>
    <row r="150" spans="1:10">
      <c r="A150" s="319" t="s">
        <v>1089</v>
      </c>
      <c r="B150" s="852" t="s">
        <v>3294</v>
      </c>
      <c r="C150" s="853"/>
      <c r="D150" s="853"/>
      <c r="E150" s="853"/>
      <c r="F150" s="853"/>
      <c r="G150" s="853"/>
      <c r="H150" s="853"/>
      <c r="I150" s="853"/>
      <c r="J150" s="853"/>
    </row>
    <row r="151" spans="1:10">
      <c r="A151" s="319" t="s">
        <v>1090</v>
      </c>
      <c r="B151" s="852" t="s">
        <v>3295</v>
      </c>
      <c r="C151" s="853"/>
      <c r="D151" s="853"/>
      <c r="E151" s="853"/>
      <c r="F151" s="853"/>
      <c r="G151" s="853"/>
      <c r="H151" s="853"/>
      <c r="I151" s="853"/>
      <c r="J151" s="853"/>
    </row>
    <row r="152" spans="1:10">
      <c r="A152" s="319" t="s">
        <v>1088</v>
      </c>
      <c r="B152" s="852" t="s">
        <v>3296</v>
      </c>
      <c r="C152" s="853"/>
      <c r="D152" s="853"/>
      <c r="E152" s="853"/>
      <c r="F152" s="853"/>
      <c r="G152" s="853"/>
      <c r="H152" s="853"/>
      <c r="I152" s="853"/>
      <c r="J152" s="853"/>
    </row>
    <row r="153" spans="1:10" ht="27.6">
      <c r="A153" s="319" t="s">
        <v>3297</v>
      </c>
      <c r="B153" s="852" t="s">
        <v>3298</v>
      </c>
      <c r="C153" s="853"/>
      <c r="D153" s="853"/>
      <c r="E153" s="853"/>
      <c r="F153" s="853"/>
      <c r="G153" s="853"/>
      <c r="H153" s="853"/>
      <c r="I153" s="853"/>
      <c r="J153" s="853"/>
    </row>
    <row r="154" spans="1:10">
      <c r="A154" s="319" t="s">
        <v>1563</v>
      </c>
      <c r="B154" s="852" t="s">
        <v>1776</v>
      </c>
      <c r="C154" s="853"/>
      <c r="D154" s="853"/>
      <c r="E154" s="853"/>
      <c r="F154" s="853"/>
      <c r="G154" s="853"/>
      <c r="H154" s="853"/>
      <c r="I154" s="853"/>
      <c r="J154" s="853"/>
    </row>
    <row r="155" spans="1:10">
      <c r="A155" s="231"/>
      <c r="B155" s="231"/>
      <c r="C155" s="231"/>
      <c r="D155" s="231"/>
      <c r="E155" s="231"/>
      <c r="F155" s="231"/>
      <c r="G155" s="231"/>
      <c r="H155" s="231"/>
      <c r="I155" s="231"/>
      <c r="J155" s="231"/>
    </row>
    <row r="156" spans="1:10" ht="17.399999999999999">
      <c r="A156" s="827" t="s">
        <v>5769</v>
      </c>
      <c r="B156" s="827"/>
      <c r="C156" s="827"/>
      <c r="D156" s="827"/>
      <c r="E156" s="827"/>
      <c r="F156" s="827"/>
      <c r="G156" s="827"/>
      <c r="H156" s="827"/>
      <c r="I156" s="231"/>
      <c r="J156" s="231"/>
    </row>
    <row r="157" spans="1:10">
      <c r="A157" s="276" t="s">
        <v>2</v>
      </c>
      <c r="B157" s="828" t="s">
        <v>5770</v>
      </c>
      <c r="C157" s="828"/>
      <c r="D157" s="828"/>
      <c r="E157" s="828"/>
      <c r="F157" s="828"/>
      <c r="G157" s="828"/>
      <c r="H157" s="828"/>
      <c r="I157" s="231"/>
      <c r="J157" s="231"/>
    </row>
    <row r="158" spans="1:10">
      <c r="A158" s="276" t="s">
        <v>5771</v>
      </c>
      <c r="B158" s="828" t="s">
        <v>5772</v>
      </c>
      <c r="C158" s="828"/>
      <c r="D158" s="828"/>
      <c r="E158" s="828"/>
      <c r="F158" s="828"/>
      <c r="G158" s="828"/>
      <c r="H158" s="828"/>
      <c r="I158" s="231"/>
      <c r="J158" s="231"/>
    </row>
    <row r="159" spans="1:10">
      <c r="A159" s="196"/>
      <c r="B159" s="196"/>
      <c r="C159" s="196"/>
      <c r="D159" s="196"/>
      <c r="E159" s="196"/>
      <c r="F159" s="196"/>
      <c r="G159" s="196"/>
      <c r="H159" s="196"/>
      <c r="I159" s="231"/>
      <c r="J159" s="231"/>
    </row>
    <row r="160" spans="1:10">
      <c r="A160" s="323" t="s">
        <v>4946</v>
      </c>
      <c r="B160" s="323" t="s">
        <v>77</v>
      </c>
      <c r="C160" s="323" t="s">
        <v>5773</v>
      </c>
      <c r="D160" s="323" t="s">
        <v>263</v>
      </c>
      <c r="E160" s="323" t="s">
        <v>216</v>
      </c>
      <c r="F160" s="323" t="s">
        <v>5774</v>
      </c>
      <c r="G160" s="323" t="s">
        <v>5775</v>
      </c>
      <c r="H160" s="323" t="s">
        <v>5776</v>
      </c>
      <c r="I160" s="231"/>
      <c r="J160" s="231"/>
    </row>
    <row r="161" spans="1:10" ht="26.4">
      <c r="A161" s="277" t="s">
        <v>5777</v>
      </c>
      <c r="B161" s="278" t="s">
        <v>1096</v>
      </c>
      <c r="C161" s="277"/>
      <c r="D161" s="277"/>
      <c r="E161" s="277"/>
      <c r="F161" s="277"/>
      <c r="G161" s="279" t="str">
        <f t="shared" ref="G161:G168" si="2">IF(OR(B161="Yes",B161="N/A"),"🟢","🟡")</f>
        <v>🟡</v>
      </c>
      <c r="H161" s="277"/>
      <c r="I161" s="231"/>
      <c r="J161" s="231"/>
    </row>
    <row r="162" spans="1:10">
      <c r="A162" s="277" t="s">
        <v>5778</v>
      </c>
      <c r="B162" s="278" t="s">
        <v>1096</v>
      </c>
      <c r="C162" s="277"/>
      <c r="D162" s="277"/>
      <c r="E162" s="277"/>
      <c r="F162" s="277"/>
      <c r="G162" s="279" t="str">
        <f t="shared" si="2"/>
        <v>🟡</v>
      </c>
      <c r="H162" s="277"/>
      <c r="I162" s="231"/>
      <c r="J162" s="231"/>
    </row>
    <row r="163" spans="1:10">
      <c r="A163" s="277" t="s">
        <v>5779</v>
      </c>
      <c r="B163" s="278" t="s">
        <v>1096</v>
      </c>
      <c r="C163" s="277"/>
      <c r="D163" s="277"/>
      <c r="E163" s="277"/>
      <c r="F163" s="277"/>
      <c r="G163" s="279" t="str">
        <f t="shared" si="2"/>
        <v>🟡</v>
      </c>
      <c r="H163" s="277"/>
      <c r="I163" s="231"/>
      <c r="J163" s="231"/>
    </row>
    <row r="164" spans="1:10">
      <c r="A164" s="277" t="s">
        <v>5168</v>
      </c>
      <c r="B164" s="278" t="s">
        <v>1096</v>
      </c>
      <c r="C164" s="277"/>
      <c r="D164" s="277"/>
      <c r="E164" s="277"/>
      <c r="F164" s="277"/>
      <c r="G164" s="279" t="str">
        <f t="shared" si="2"/>
        <v>🟡</v>
      </c>
      <c r="H164" s="277"/>
      <c r="I164" s="231"/>
      <c r="J164" s="231"/>
    </row>
    <row r="165" spans="1:10">
      <c r="A165" s="277" t="s">
        <v>5780</v>
      </c>
      <c r="B165" s="278" t="s">
        <v>1096</v>
      </c>
      <c r="C165" s="277"/>
      <c r="D165" s="277"/>
      <c r="E165" s="277"/>
      <c r="F165" s="277"/>
      <c r="G165" s="279" t="str">
        <f t="shared" si="2"/>
        <v>🟡</v>
      </c>
      <c r="H165" s="277"/>
      <c r="I165" s="231"/>
      <c r="J165" s="231"/>
    </row>
    <row r="166" spans="1:10">
      <c r="A166" s="277" t="s">
        <v>5781</v>
      </c>
      <c r="B166" s="278" t="s">
        <v>1096</v>
      </c>
      <c r="C166" s="277"/>
      <c r="D166" s="277"/>
      <c r="E166" s="277"/>
      <c r="F166" s="277"/>
      <c r="G166" s="279" t="str">
        <f t="shared" si="2"/>
        <v>🟡</v>
      </c>
      <c r="H166" s="277"/>
      <c r="I166" s="231"/>
      <c r="J166" s="231"/>
    </row>
    <row r="167" spans="1:10">
      <c r="A167" s="277" t="s">
        <v>178</v>
      </c>
      <c r="B167" s="278" t="s">
        <v>1096</v>
      </c>
      <c r="C167" s="277"/>
      <c r="D167" s="277"/>
      <c r="E167" s="277"/>
      <c r="F167" s="277"/>
      <c r="G167" s="279" t="str">
        <f t="shared" si="2"/>
        <v>🟡</v>
      </c>
      <c r="H167" s="277"/>
      <c r="I167" s="231"/>
      <c r="J167" s="231"/>
    </row>
    <row r="168" spans="1:10" ht="26.4">
      <c r="A168" s="277" t="s">
        <v>5782</v>
      </c>
      <c r="B168" s="278" t="s">
        <v>1096</v>
      </c>
      <c r="C168" s="277"/>
      <c r="D168" s="277"/>
      <c r="E168" s="277"/>
      <c r="F168" s="277"/>
      <c r="G168" s="279" t="str">
        <f t="shared" si="2"/>
        <v>🟡</v>
      </c>
      <c r="H168" s="277"/>
      <c r="I168" s="231"/>
      <c r="J168" s="231"/>
    </row>
    <row r="169" spans="1:10">
      <c r="A169" s="324" t="s">
        <v>4946</v>
      </c>
      <c r="B169" s="324" t="s">
        <v>5790</v>
      </c>
      <c r="C169" s="196"/>
      <c r="D169" s="196"/>
      <c r="E169" s="324" t="s">
        <v>5791</v>
      </c>
      <c r="F169" s="196"/>
      <c r="G169" s="196"/>
      <c r="H169" s="196"/>
      <c r="I169" s="231"/>
      <c r="J169" s="231"/>
    </row>
    <row r="170" spans="1:10" ht="26.4">
      <c r="A170" s="291" t="s">
        <v>5777</v>
      </c>
      <c r="B170" s="768" t="s">
        <v>5792</v>
      </c>
      <c r="C170" s="768"/>
      <c r="D170" s="768"/>
      <c r="E170" s="768" t="s">
        <v>5793</v>
      </c>
      <c r="F170" s="768"/>
      <c r="G170" s="768"/>
      <c r="H170" s="196"/>
      <c r="I170" s="231"/>
      <c r="J170" s="231"/>
    </row>
    <row r="171" spans="1:10">
      <c r="A171" s="291" t="s">
        <v>5778</v>
      </c>
      <c r="B171" s="768" t="s">
        <v>5794</v>
      </c>
      <c r="C171" s="768"/>
      <c r="D171" s="768"/>
      <c r="E171" s="768" t="s">
        <v>5795</v>
      </c>
      <c r="F171" s="768"/>
      <c r="G171" s="768"/>
      <c r="H171" s="196"/>
      <c r="I171" s="231"/>
      <c r="J171" s="231"/>
    </row>
    <row r="172" spans="1:10">
      <c r="A172" s="291" t="s">
        <v>5779</v>
      </c>
      <c r="B172" s="768" t="s">
        <v>5796</v>
      </c>
      <c r="C172" s="768"/>
      <c r="D172" s="768"/>
      <c r="E172" s="768" t="s">
        <v>5797</v>
      </c>
      <c r="F172" s="768"/>
      <c r="G172" s="768"/>
      <c r="H172" s="196"/>
      <c r="I172" s="231"/>
      <c r="J172" s="231"/>
    </row>
    <row r="173" spans="1:10">
      <c r="A173" s="291" t="s">
        <v>5168</v>
      </c>
      <c r="B173" s="768" t="s">
        <v>5798</v>
      </c>
      <c r="C173" s="768"/>
      <c r="D173" s="768"/>
      <c r="E173" s="768" t="s">
        <v>5799</v>
      </c>
      <c r="F173" s="768"/>
      <c r="G173" s="768"/>
      <c r="H173" s="196"/>
      <c r="I173" s="231"/>
      <c r="J173" s="231"/>
    </row>
    <row r="174" spans="1:10">
      <c r="A174" s="291" t="s">
        <v>5780</v>
      </c>
      <c r="B174" s="768" t="s">
        <v>5800</v>
      </c>
      <c r="C174" s="768"/>
      <c r="D174" s="768"/>
      <c r="E174" s="768" t="s">
        <v>5801</v>
      </c>
      <c r="F174" s="768"/>
      <c r="G174" s="768"/>
      <c r="H174" s="196"/>
      <c r="I174" s="231"/>
      <c r="J174" s="231"/>
    </row>
    <row r="175" spans="1:10">
      <c r="A175" s="291" t="s">
        <v>5781</v>
      </c>
      <c r="B175" s="768" t="s">
        <v>5802</v>
      </c>
      <c r="C175" s="768"/>
      <c r="D175" s="768"/>
      <c r="E175" s="768" t="s">
        <v>5803</v>
      </c>
      <c r="F175" s="768"/>
      <c r="G175" s="768"/>
      <c r="H175" s="196"/>
      <c r="I175" s="231"/>
      <c r="J175" s="231"/>
    </row>
    <row r="176" spans="1:10">
      <c r="A176" s="291" t="s">
        <v>178</v>
      </c>
      <c r="B176" s="768" t="s">
        <v>5804</v>
      </c>
      <c r="C176" s="768"/>
      <c r="D176" s="768"/>
      <c r="E176" s="768" t="s">
        <v>5805</v>
      </c>
      <c r="F176" s="768"/>
      <c r="G176" s="768"/>
      <c r="H176" s="196"/>
      <c r="I176" s="231"/>
      <c r="J176" s="231"/>
    </row>
    <row r="177" spans="1:10" ht="26.4">
      <c r="A177" s="291" t="s">
        <v>5782</v>
      </c>
      <c r="B177" s="768" t="s">
        <v>5806</v>
      </c>
      <c r="C177" s="768"/>
      <c r="D177" s="768"/>
      <c r="E177" s="768" t="s">
        <v>5807</v>
      </c>
      <c r="F177" s="768"/>
      <c r="G177" s="768"/>
      <c r="H177" s="196"/>
      <c r="I177" s="231"/>
      <c r="J177" s="231"/>
    </row>
    <row r="178" spans="1:10">
      <c r="A178" s="276" t="s">
        <v>5783</v>
      </c>
      <c r="B178" s="280" t="str">
        <f>IF(COUNTIF(B161:B168,"No")=0,"🟢 PILOT COMPLETE / ACCEPTANCE READY","🟡 NOT COMPLETE — ACCEPTANCE GATES OPEN")</f>
        <v>🟡 NOT COMPLETE — ACCEPTANCE GATES OPEN</v>
      </c>
      <c r="C178" s="280"/>
      <c r="D178" s="280"/>
      <c r="E178" s="280"/>
      <c r="F178" s="280"/>
      <c r="G178" s="280"/>
      <c r="H178" s="280"/>
    </row>
    <row r="179" spans="1:10">
      <c r="A179" s="276" t="s">
        <v>5784</v>
      </c>
      <c r="B179" s="280">
        <f>COUNTIF(B161:B168,"No")</f>
        <v>8</v>
      </c>
      <c r="C179" s="280"/>
      <c r="D179" s="280"/>
      <c r="E179" s="280"/>
      <c r="F179" s="280"/>
      <c r="G179" s="280"/>
      <c r="H179" s="280"/>
    </row>
    <row r="180" spans="1:10">
      <c r="A180" s="276" t="s">
        <v>5785</v>
      </c>
      <c r="B180" s="280" t="str">
        <f>COUNTIF(B161:B168,"Yes")&amp;" / 8 Complete"</f>
        <v>0 / 8 Complete</v>
      </c>
      <c r="C180" s="280"/>
      <c r="D180" s="280"/>
      <c r="E180" s="280"/>
      <c r="F180" s="280"/>
      <c r="G180" s="280"/>
      <c r="H180" s="280"/>
    </row>
    <row r="181" spans="1:10" ht="93">
      <c r="A181" s="281" t="s">
        <v>5786</v>
      </c>
      <c r="B181" s="282" t="s">
        <v>5787</v>
      </c>
      <c r="C181" s="282"/>
      <c r="D181" s="282"/>
      <c r="E181" s="282"/>
      <c r="F181" s="282"/>
      <c r="G181" s="282"/>
      <c r="H181" s="282"/>
    </row>
    <row r="182" spans="1:10">
      <c r="A182" s="281"/>
      <c r="B182" s="282"/>
      <c r="C182" s="282"/>
      <c r="D182" s="282"/>
      <c r="E182" s="282"/>
      <c r="F182" s="282"/>
      <c r="G182" s="282"/>
      <c r="H182" s="282"/>
    </row>
    <row r="183" spans="1:10" ht="66.599999999999994">
      <c r="A183" s="281" t="s">
        <v>5788</v>
      </c>
      <c r="B183" s="282" t="s">
        <v>5789</v>
      </c>
      <c r="C183" s="282"/>
      <c r="D183" s="282"/>
      <c r="E183" s="282"/>
      <c r="F183" s="282"/>
      <c r="G183" s="282"/>
      <c r="H183" s="282"/>
    </row>
    <row r="184" spans="1:10">
      <c r="A184" s="842" t="s">
        <v>5901</v>
      </c>
      <c r="B184" s="842"/>
      <c r="C184" s="842"/>
      <c r="D184" s="842"/>
      <c r="E184" s="842"/>
      <c r="F184" s="842"/>
      <c r="G184" s="842"/>
      <c r="H184" s="842"/>
      <c r="I184" s="842"/>
      <c r="J184" s="842"/>
    </row>
    <row r="185" spans="1:10">
      <c r="A185" s="340" t="s">
        <v>5886</v>
      </c>
      <c r="B185" s="196"/>
      <c r="C185" s="196"/>
      <c r="D185" s="196"/>
      <c r="E185" s="196"/>
      <c r="F185" s="196"/>
      <c r="G185" s="196"/>
      <c r="H185" s="196"/>
      <c r="I185" s="196"/>
      <c r="J185" s="196"/>
    </row>
    <row r="186" spans="1:10">
      <c r="A186" s="196"/>
      <c r="B186" s="196"/>
      <c r="C186" s="196"/>
      <c r="D186" s="196"/>
      <c r="E186" s="196"/>
      <c r="F186" s="196"/>
      <c r="G186" s="196"/>
      <c r="H186" s="196"/>
      <c r="I186" s="196"/>
      <c r="J186" s="196"/>
    </row>
    <row r="187" spans="1:10">
      <c r="A187" s="196" t="s">
        <v>5887</v>
      </c>
      <c r="B187" s="196"/>
      <c r="C187" s="196"/>
      <c r="D187" s="196"/>
      <c r="E187" s="196"/>
      <c r="F187" s="196"/>
      <c r="G187" s="196"/>
      <c r="H187" s="196"/>
      <c r="I187" s="196"/>
      <c r="J187" s="196"/>
    </row>
    <row r="188" spans="1:10">
      <c r="A188" s="196"/>
      <c r="B188" s="196"/>
      <c r="C188" s="196"/>
      <c r="D188" s="196"/>
      <c r="E188" s="196"/>
      <c r="F188" s="196"/>
      <c r="G188" s="196"/>
      <c r="H188" s="196"/>
      <c r="I188" s="196"/>
      <c r="J188" s="196"/>
    </row>
    <row r="189" spans="1:10">
      <c r="A189" s="196" t="s">
        <v>5888</v>
      </c>
      <c r="B189" s="196"/>
      <c r="C189" s="196"/>
      <c r="D189" s="196"/>
      <c r="E189" s="196"/>
      <c r="F189" s="196"/>
      <c r="G189" s="196"/>
      <c r="H189" s="196"/>
      <c r="I189" s="196"/>
      <c r="J189" s="196"/>
    </row>
    <row r="190" spans="1:10">
      <c r="A190" s="196"/>
      <c r="B190" s="196"/>
      <c r="C190" s="196"/>
      <c r="D190" s="196"/>
      <c r="E190" s="196"/>
      <c r="F190" s="196"/>
      <c r="G190" s="196"/>
      <c r="H190" s="196"/>
      <c r="I190" s="196"/>
      <c r="J190" s="196"/>
    </row>
    <row r="191" spans="1:10">
      <c r="A191" s="196" t="s">
        <v>5889</v>
      </c>
      <c r="B191" s="196"/>
      <c r="C191" s="196"/>
      <c r="D191" s="196"/>
      <c r="E191" s="196"/>
      <c r="F191" s="196"/>
      <c r="G191" s="196"/>
      <c r="H191" s="196"/>
      <c r="I191" s="196"/>
      <c r="J191" s="196"/>
    </row>
    <row r="192" spans="1:10">
      <c r="A192" s="196"/>
      <c r="B192" s="196"/>
      <c r="C192" s="196"/>
      <c r="D192" s="196"/>
      <c r="E192" s="196"/>
      <c r="F192" s="196"/>
      <c r="G192" s="196"/>
      <c r="H192" s="196"/>
      <c r="I192" s="196"/>
      <c r="J192" s="196"/>
    </row>
    <row r="193" spans="1:10">
      <c r="A193" s="196"/>
      <c r="B193" s="196"/>
      <c r="C193" s="196"/>
      <c r="D193" s="196"/>
      <c r="E193" s="196"/>
      <c r="F193" s="196"/>
      <c r="G193" s="196"/>
      <c r="H193" s="196"/>
      <c r="I193" s="196"/>
      <c r="J193" s="196"/>
    </row>
    <row r="194" spans="1:10">
      <c r="A194" s="196"/>
      <c r="B194" s="196"/>
      <c r="C194" s="196"/>
      <c r="D194" s="196"/>
      <c r="E194" s="196"/>
      <c r="F194" s="196"/>
      <c r="G194" s="196"/>
      <c r="H194" s="196"/>
      <c r="I194" s="196"/>
      <c r="J194" s="196"/>
    </row>
    <row r="195" spans="1:10">
      <c r="A195" s="842" t="s">
        <v>5902</v>
      </c>
      <c r="B195" s="842"/>
      <c r="C195" s="842"/>
      <c r="D195" s="842"/>
      <c r="E195" s="842"/>
      <c r="F195" s="842"/>
      <c r="G195" s="842"/>
      <c r="H195" s="842"/>
      <c r="I195" s="842"/>
      <c r="J195" s="842"/>
    </row>
    <row r="196" spans="1:10">
      <c r="A196" s="196"/>
      <c r="B196" s="196"/>
      <c r="C196" s="196"/>
      <c r="D196" s="196"/>
      <c r="E196" s="196"/>
      <c r="F196" s="196"/>
      <c r="G196" s="196"/>
      <c r="H196" s="196"/>
      <c r="I196" s="196"/>
      <c r="J196" s="196"/>
    </row>
    <row r="197" spans="1:10">
      <c r="A197" s="196" t="s">
        <v>5890</v>
      </c>
      <c r="B197" s="196"/>
      <c r="C197" s="196"/>
      <c r="D197" s="196"/>
      <c r="E197" s="196"/>
      <c r="F197" s="196"/>
      <c r="G197" s="196"/>
      <c r="H197" s="196"/>
      <c r="I197" s="196"/>
      <c r="J197" s="196"/>
    </row>
    <row r="198" spans="1:10">
      <c r="A198" s="196"/>
      <c r="B198" s="196"/>
      <c r="C198" s="196"/>
      <c r="D198" s="196"/>
      <c r="E198" s="196"/>
      <c r="F198" s="196"/>
      <c r="G198" s="196"/>
      <c r="H198" s="196"/>
      <c r="I198" s="196"/>
      <c r="J198" s="196"/>
    </row>
    <row r="199" spans="1:10">
      <c r="A199" s="196" t="s">
        <v>5891</v>
      </c>
      <c r="B199" s="196"/>
      <c r="C199" s="196"/>
      <c r="D199" s="196"/>
      <c r="E199" s="196"/>
      <c r="F199" s="196"/>
      <c r="G199" s="196"/>
      <c r="H199" s="196"/>
      <c r="I199" s="196"/>
      <c r="J199" s="196"/>
    </row>
    <row r="200" spans="1:10">
      <c r="A200" s="196"/>
      <c r="B200" s="196"/>
      <c r="C200" s="196"/>
      <c r="D200" s="196"/>
      <c r="E200" s="196"/>
      <c r="F200" s="196"/>
      <c r="G200" s="196"/>
      <c r="H200" s="196"/>
      <c r="I200" s="196"/>
      <c r="J200" s="196"/>
    </row>
    <row r="201" spans="1:10">
      <c r="A201" s="196" t="s">
        <v>5892</v>
      </c>
      <c r="B201" s="196"/>
      <c r="C201" s="196"/>
      <c r="D201" s="196"/>
      <c r="E201" s="196"/>
      <c r="F201" s="196"/>
      <c r="G201" s="196"/>
      <c r="H201" s="196"/>
      <c r="I201" s="196"/>
      <c r="J201" s="196"/>
    </row>
    <row r="202" spans="1:10">
      <c r="A202" s="196"/>
      <c r="B202" s="196"/>
      <c r="C202" s="196"/>
      <c r="D202" s="196"/>
      <c r="E202" s="196"/>
      <c r="F202" s="196"/>
      <c r="G202" s="196"/>
      <c r="H202" s="196"/>
      <c r="I202" s="196"/>
      <c r="J202" s="196"/>
    </row>
    <row r="203" spans="1:10">
      <c r="A203" s="196"/>
      <c r="B203" s="196"/>
      <c r="C203" s="196"/>
      <c r="D203" s="196"/>
      <c r="E203" s="196"/>
      <c r="F203" s="196"/>
      <c r="G203" s="196"/>
      <c r="H203" s="196"/>
      <c r="I203" s="196"/>
      <c r="J203" s="196"/>
    </row>
    <row r="204" spans="1:10">
      <c r="A204" s="196"/>
      <c r="B204" s="196"/>
      <c r="C204" s="196"/>
      <c r="D204" s="196"/>
      <c r="E204" s="196"/>
      <c r="F204" s="196"/>
      <c r="G204" s="196"/>
      <c r="H204" s="196"/>
      <c r="I204" s="196"/>
      <c r="J204" s="196"/>
    </row>
    <row r="205" spans="1:10">
      <c r="A205" s="842" t="s">
        <v>5903</v>
      </c>
      <c r="B205" s="842"/>
      <c r="C205" s="842"/>
      <c r="D205" s="842"/>
      <c r="E205" s="842"/>
      <c r="F205" s="842"/>
      <c r="G205" s="842"/>
      <c r="H205" s="842"/>
      <c r="I205" s="842"/>
      <c r="J205" s="842"/>
    </row>
    <row r="206" spans="1:10">
      <c r="A206" s="196"/>
      <c r="B206" s="196"/>
      <c r="C206" s="196"/>
      <c r="D206" s="196"/>
      <c r="E206" s="196"/>
      <c r="F206" s="196"/>
      <c r="G206" s="196"/>
      <c r="H206" s="196"/>
      <c r="I206" s="196"/>
      <c r="J206" s="196"/>
    </row>
    <row r="207" spans="1:10">
      <c r="A207" s="196" t="s">
        <v>5893</v>
      </c>
      <c r="B207" s="196"/>
      <c r="C207" s="196"/>
      <c r="D207" s="196"/>
      <c r="E207" s="196"/>
      <c r="F207" s="196"/>
      <c r="G207" s="196"/>
      <c r="H207" s="196"/>
      <c r="I207" s="196"/>
      <c r="J207" s="196"/>
    </row>
    <row r="208" spans="1:10">
      <c r="A208" s="196"/>
      <c r="B208" s="196"/>
      <c r="C208" s="196"/>
      <c r="D208" s="196"/>
      <c r="E208" s="196"/>
      <c r="F208" s="196"/>
      <c r="G208" s="196"/>
      <c r="H208" s="196"/>
      <c r="I208" s="196"/>
      <c r="J208" s="196"/>
    </row>
    <row r="209" spans="1:10">
      <c r="A209" s="196" t="s">
        <v>5894</v>
      </c>
      <c r="B209" s="196"/>
      <c r="C209" s="196"/>
      <c r="D209" s="196"/>
      <c r="E209" s="196"/>
      <c r="F209" s="196"/>
      <c r="G209" s="196"/>
      <c r="H209" s="196"/>
      <c r="I209" s="196"/>
      <c r="J209" s="196"/>
    </row>
    <row r="210" spans="1:10">
      <c r="A210" s="196"/>
      <c r="B210" s="196"/>
      <c r="C210" s="196"/>
      <c r="D210" s="196"/>
      <c r="E210" s="196"/>
      <c r="F210" s="196"/>
      <c r="G210" s="196"/>
      <c r="H210" s="196"/>
      <c r="I210" s="196"/>
      <c r="J210" s="196"/>
    </row>
    <row r="211" spans="1:10">
      <c r="A211" s="196" t="s">
        <v>5895</v>
      </c>
      <c r="B211" s="196"/>
      <c r="C211" s="196"/>
      <c r="D211" s="196"/>
      <c r="E211" s="196"/>
      <c r="F211" s="196"/>
      <c r="G211" s="196"/>
      <c r="H211" s="196"/>
      <c r="I211" s="196"/>
      <c r="J211" s="196"/>
    </row>
    <row r="212" spans="1:10">
      <c r="A212" s="196"/>
      <c r="B212" s="196"/>
      <c r="C212" s="196"/>
      <c r="D212" s="196"/>
      <c r="E212" s="196"/>
      <c r="F212" s="196"/>
      <c r="G212" s="196"/>
      <c r="H212" s="196"/>
      <c r="I212" s="196"/>
      <c r="J212" s="196"/>
    </row>
    <row r="213" spans="1:10">
      <c r="A213" s="196" t="s">
        <v>5896</v>
      </c>
      <c r="B213" s="196"/>
      <c r="C213" s="196"/>
      <c r="D213" s="196"/>
      <c r="E213" s="196"/>
      <c r="F213" s="196"/>
      <c r="G213" s="196"/>
      <c r="H213" s="196"/>
      <c r="I213" s="196"/>
      <c r="J213" s="196"/>
    </row>
    <row r="214" spans="1:10">
      <c r="A214" s="196"/>
      <c r="B214" s="196"/>
      <c r="C214" s="196"/>
      <c r="D214" s="196"/>
      <c r="E214" s="196"/>
      <c r="F214" s="196"/>
      <c r="G214" s="196"/>
      <c r="H214" s="196"/>
      <c r="I214" s="196"/>
      <c r="J214" s="196"/>
    </row>
    <row r="215" spans="1:10">
      <c r="A215" s="196"/>
      <c r="B215" s="196"/>
      <c r="C215" s="196"/>
      <c r="D215" s="196"/>
      <c r="E215" s="196"/>
      <c r="F215" s="196"/>
      <c r="G215" s="196"/>
      <c r="H215" s="196"/>
      <c r="I215" s="196"/>
      <c r="J215" s="196"/>
    </row>
    <row r="216" spans="1:10">
      <c r="A216" s="196"/>
      <c r="B216" s="196"/>
      <c r="C216" s="196"/>
      <c r="D216" s="196"/>
      <c r="E216" s="196"/>
      <c r="F216" s="196"/>
      <c r="G216" s="196"/>
      <c r="H216" s="196"/>
      <c r="I216" s="196"/>
      <c r="J216" s="196"/>
    </row>
    <row r="217" spans="1:10">
      <c r="A217" s="842" t="s">
        <v>5904</v>
      </c>
      <c r="B217" s="842"/>
      <c r="C217" s="842"/>
      <c r="D217" s="842"/>
      <c r="E217" s="842"/>
      <c r="F217" s="842"/>
      <c r="G217" s="842"/>
      <c r="H217" s="842"/>
      <c r="I217" s="842"/>
      <c r="J217" s="842"/>
    </row>
    <row r="218" spans="1:10">
      <c r="A218" s="196"/>
      <c r="B218" s="196"/>
      <c r="C218" s="196"/>
      <c r="D218" s="196"/>
      <c r="E218" s="196"/>
      <c r="F218" s="196"/>
      <c r="G218" s="196"/>
      <c r="H218" s="196"/>
      <c r="I218" s="196"/>
      <c r="J218" s="196"/>
    </row>
    <row r="219" spans="1:10">
      <c r="A219" s="196" t="s">
        <v>5897</v>
      </c>
      <c r="B219" s="196"/>
      <c r="C219" s="196"/>
      <c r="D219" s="196"/>
      <c r="E219" s="196"/>
      <c r="F219" s="196"/>
      <c r="G219" s="196"/>
      <c r="H219" s="196"/>
      <c r="I219" s="196"/>
      <c r="J219" s="196"/>
    </row>
    <row r="220" spans="1:10">
      <c r="A220" s="196"/>
      <c r="B220" s="196"/>
      <c r="C220" s="196"/>
      <c r="D220" s="196"/>
      <c r="E220" s="196"/>
      <c r="F220" s="196"/>
      <c r="G220" s="196"/>
      <c r="H220" s="196"/>
      <c r="I220" s="196"/>
      <c r="J220" s="196"/>
    </row>
    <row r="221" spans="1:10">
      <c r="A221" s="196" t="s">
        <v>5898</v>
      </c>
      <c r="B221" s="196"/>
      <c r="C221" s="196"/>
      <c r="D221" s="196"/>
      <c r="E221" s="196"/>
      <c r="F221" s="196"/>
      <c r="G221" s="196"/>
      <c r="H221" s="196"/>
      <c r="I221" s="196"/>
      <c r="J221" s="196"/>
    </row>
    <row r="222" spans="1:10">
      <c r="A222" s="196"/>
      <c r="B222" s="196"/>
      <c r="C222" s="196"/>
      <c r="D222" s="196"/>
      <c r="E222" s="196"/>
      <c r="F222" s="196"/>
      <c r="G222" s="196"/>
      <c r="H222" s="196"/>
      <c r="I222" s="196"/>
      <c r="J222" s="196"/>
    </row>
    <row r="223" spans="1:10">
      <c r="A223" s="196" t="s">
        <v>5899</v>
      </c>
      <c r="B223" s="196"/>
      <c r="C223" s="196"/>
      <c r="D223" s="196"/>
      <c r="E223" s="196"/>
      <c r="F223" s="196"/>
      <c r="G223" s="196"/>
      <c r="H223" s="196"/>
      <c r="I223" s="196"/>
      <c r="J223" s="196"/>
    </row>
    <row r="224" spans="1:10">
      <c r="A224" s="196"/>
      <c r="B224" s="196"/>
      <c r="C224" s="196"/>
      <c r="D224" s="196"/>
      <c r="E224" s="196"/>
      <c r="F224" s="196"/>
      <c r="G224" s="196"/>
      <c r="H224" s="196"/>
      <c r="I224" s="196"/>
      <c r="J224" s="196"/>
    </row>
    <row r="225" spans="1:10">
      <c r="A225" s="196"/>
      <c r="B225" s="196"/>
      <c r="C225" s="196"/>
      <c r="D225" s="196"/>
      <c r="E225" s="196"/>
      <c r="F225" s="196"/>
      <c r="G225" s="196"/>
      <c r="H225" s="196"/>
      <c r="I225" s="196"/>
      <c r="J225" s="196"/>
    </row>
    <row r="226" spans="1:10">
      <c r="A226" s="196"/>
      <c r="B226" s="196"/>
      <c r="C226" s="196"/>
      <c r="D226" s="196"/>
      <c r="E226" s="196"/>
      <c r="F226" s="196"/>
      <c r="G226" s="196"/>
      <c r="H226" s="196"/>
      <c r="I226" s="196"/>
      <c r="J226" s="196"/>
    </row>
    <row r="227" spans="1:10">
      <c r="A227" s="196" t="s">
        <v>5900</v>
      </c>
      <c r="B227" s="196"/>
      <c r="C227" s="196"/>
      <c r="D227" s="196"/>
      <c r="E227" s="196"/>
      <c r="F227" s="196"/>
      <c r="G227" s="196"/>
      <c r="H227" s="196"/>
      <c r="I227" s="196"/>
      <c r="J227" s="196"/>
    </row>
    <row r="228" spans="1:10">
      <c r="A228" s="196"/>
      <c r="B228" s="196"/>
      <c r="C228" s="196"/>
      <c r="D228" s="196"/>
      <c r="E228" s="196"/>
      <c r="F228" s="196"/>
      <c r="G228" s="196"/>
      <c r="H228" s="196"/>
      <c r="I228" s="196"/>
      <c r="J228" s="196"/>
    </row>
    <row r="229" spans="1:10">
      <c r="A229" s="341"/>
      <c r="B229" s="341"/>
      <c r="C229" s="341"/>
      <c r="D229" s="341"/>
      <c r="E229" s="341"/>
      <c r="F229" s="341"/>
      <c r="G229" s="341"/>
      <c r="H229" s="341"/>
      <c r="I229" s="341"/>
      <c r="J229" s="341"/>
    </row>
    <row r="230" spans="1:10">
      <c r="A230" s="341"/>
      <c r="B230" s="341"/>
      <c r="C230" s="341"/>
      <c r="D230" s="341"/>
      <c r="E230" s="341"/>
      <c r="F230" s="341"/>
      <c r="G230" s="341"/>
      <c r="H230" s="341"/>
      <c r="I230" s="341"/>
      <c r="J230" s="341"/>
    </row>
    <row r="231" spans="1:10">
      <c r="A231" s="341"/>
      <c r="B231" s="341"/>
      <c r="C231" s="341"/>
      <c r="D231" s="341"/>
      <c r="E231" s="341"/>
      <c r="F231" s="341"/>
      <c r="G231" s="341"/>
      <c r="H231" s="341"/>
      <c r="I231" s="341"/>
      <c r="J231" s="341"/>
    </row>
    <row r="232" spans="1:10">
      <c r="A232" s="341"/>
      <c r="B232" s="341"/>
      <c r="C232" s="341"/>
      <c r="D232" s="341"/>
      <c r="E232" s="341"/>
      <c r="F232" s="341"/>
      <c r="G232" s="341"/>
      <c r="H232" s="341"/>
      <c r="I232" s="341"/>
      <c r="J232" s="341"/>
    </row>
    <row r="233" spans="1:10">
      <c r="A233" s="341"/>
      <c r="B233" s="341"/>
      <c r="C233" s="341"/>
      <c r="D233" s="341"/>
      <c r="E233" s="341"/>
      <c r="F233" s="341"/>
      <c r="G233" s="341"/>
      <c r="H233" s="341"/>
      <c r="I233" s="341"/>
      <c r="J233" s="341"/>
    </row>
    <row r="234" spans="1:10">
      <c r="A234" s="341"/>
      <c r="B234" s="341"/>
      <c r="C234" s="341"/>
      <c r="D234" s="341"/>
      <c r="E234" s="341"/>
      <c r="F234" s="341"/>
      <c r="G234" s="341"/>
      <c r="H234" s="341"/>
      <c r="I234" s="341"/>
      <c r="J234" s="341"/>
    </row>
    <row r="235" spans="1:10">
      <c r="A235" s="341"/>
      <c r="B235" s="341"/>
      <c r="C235" s="341"/>
      <c r="D235" s="341"/>
      <c r="E235" s="341"/>
      <c r="F235" s="341"/>
      <c r="G235" s="341"/>
      <c r="H235" s="341"/>
      <c r="I235" s="341"/>
      <c r="J235" s="341"/>
    </row>
    <row r="236" spans="1:10">
      <c r="A236" s="341"/>
      <c r="B236" s="341"/>
      <c r="C236" s="341"/>
      <c r="D236" s="341"/>
      <c r="E236" s="341"/>
      <c r="F236" s="341"/>
      <c r="G236" s="341"/>
      <c r="H236" s="341"/>
      <c r="I236" s="341"/>
      <c r="J236" s="341"/>
    </row>
    <row r="237" spans="1:10">
      <c r="A237" s="341"/>
      <c r="B237" s="341"/>
      <c r="C237" s="341"/>
      <c r="D237" s="341"/>
      <c r="E237" s="341"/>
      <c r="F237" s="341"/>
      <c r="G237" s="341"/>
      <c r="H237" s="341"/>
      <c r="I237" s="341"/>
      <c r="J237" s="341"/>
    </row>
    <row r="238" spans="1:10">
      <c r="A238" s="196"/>
      <c r="B238" s="196"/>
      <c r="C238" s="196"/>
      <c r="D238" s="196"/>
      <c r="E238" s="196"/>
      <c r="F238" s="196"/>
      <c r="G238" s="196"/>
      <c r="H238" s="196"/>
      <c r="I238" s="196"/>
      <c r="J238" s="196"/>
    </row>
    <row r="239" spans="1:10">
      <c r="A239" s="320"/>
      <c r="B239" s="320"/>
      <c r="C239" s="320"/>
      <c r="D239" s="320"/>
      <c r="E239" s="320"/>
      <c r="F239" s="320"/>
      <c r="G239" s="874"/>
      <c r="H239" s="874"/>
      <c r="I239" s="874"/>
      <c r="J239" s="874"/>
    </row>
  </sheetData>
  <mergeCells count="120">
    <mergeCell ref="A1:J1"/>
    <mergeCell ref="A7:J8"/>
    <mergeCell ref="A26:C26"/>
    <mergeCell ref="A32:C32"/>
    <mergeCell ref="A14:C14"/>
    <mergeCell ref="A20:C20"/>
    <mergeCell ref="D6:J6"/>
    <mergeCell ref="B96:J96"/>
    <mergeCell ref="B92:J92"/>
    <mergeCell ref="A38:C38"/>
    <mergeCell ref="A72:C72"/>
    <mergeCell ref="B95:J95"/>
    <mergeCell ref="A44:C44"/>
    <mergeCell ref="B94:J94"/>
    <mergeCell ref="A83:C83"/>
    <mergeCell ref="B91:J91"/>
    <mergeCell ref="A61:C61"/>
    <mergeCell ref="B93:J93"/>
    <mergeCell ref="A89:C89"/>
    <mergeCell ref="A50:C50"/>
    <mergeCell ref="G101:J101"/>
    <mergeCell ref="G103:J103"/>
    <mergeCell ref="A105:B105"/>
    <mergeCell ref="E105:J105"/>
    <mergeCell ref="A107:C107"/>
    <mergeCell ref="D107:F107"/>
    <mergeCell ref="G107:J107"/>
    <mergeCell ref="A98:C98"/>
    <mergeCell ref="D98:F98"/>
    <mergeCell ref="G98:J98"/>
    <mergeCell ref="G99:J99"/>
    <mergeCell ref="G100:J100"/>
    <mergeCell ref="F113:J113"/>
    <mergeCell ref="F114:J114"/>
    <mergeCell ref="F115:J115"/>
    <mergeCell ref="F116:J116"/>
    <mergeCell ref="A117:B117"/>
    <mergeCell ref="C117:D117"/>
    <mergeCell ref="E117:J117"/>
    <mergeCell ref="G108:J108"/>
    <mergeCell ref="F109:J109"/>
    <mergeCell ref="F110:J110"/>
    <mergeCell ref="F111:J111"/>
    <mergeCell ref="F112:J112"/>
    <mergeCell ref="G122:J122"/>
    <mergeCell ref="G123:J123"/>
    <mergeCell ref="G124:J124"/>
    <mergeCell ref="G125:J125"/>
    <mergeCell ref="A126:B126"/>
    <mergeCell ref="C126:D126"/>
    <mergeCell ref="E126:J126"/>
    <mergeCell ref="A119:C119"/>
    <mergeCell ref="D119:F119"/>
    <mergeCell ref="G119:J119"/>
    <mergeCell ref="G120:J120"/>
    <mergeCell ref="G121:J121"/>
    <mergeCell ref="G130:J130"/>
    <mergeCell ref="G131:J131"/>
    <mergeCell ref="G132:J132"/>
    <mergeCell ref="G133:J133"/>
    <mergeCell ref="A134:D135"/>
    <mergeCell ref="E134:J135"/>
    <mergeCell ref="G127:J127"/>
    <mergeCell ref="A128:C128"/>
    <mergeCell ref="D128:F128"/>
    <mergeCell ref="G128:J128"/>
    <mergeCell ref="G129:J129"/>
    <mergeCell ref="G139:J139"/>
    <mergeCell ref="G140:J140"/>
    <mergeCell ref="G141:J141"/>
    <mergeCell ref="G142:J142"/>
    <mergeCell ref="G143:J143"/>
    <mergeCell ref="A136:C136"/>
    <mergeCell ref="D136:F136"/>
    <mergeCell ref="G136:J136"/>
    <mergeCell ref="G137:J137"/>
    <mergeCell ref="G138:J138"/>
    <mergeCell ref="B149:J149"/>
    <mergeCell ref="B150:J150"/>
    <mergeCell ref="B151:J151"/>
    <mergeCell ref="B152:J152"/>
    <mergeCell ref="B153:J153"/>
    <mergeCell ref="A144:B144"/>
    <mergeCell ref="C144:D144"/>
    <mergeCell ref="E144:J144"/>
    <mergeCell ref="A146:C146"/>
    <mergeCell ref="B148:J148"/>
    <mergeCell ref="B171:D171"/>
    <mergeCell ref="E171:G171"/>
    <mergeCell ref="B172:D172"/>
    <mergeCell ref="E172:G172"/>
    <mergeCell ref="B173:D173"/>
    <mergeCell ref="E173:G173"/>
    <mergeCell ref="B154:J154"/>
    <mergeCell ref="A156:H156"/>
    <mergeCell ref="B157:H157"/>
    <mergeCell ref="B158:H158"/>
    <mergeCell ref="B170:D170"/>
    <mergeCell ref="E170:G170"/>
    <mergeCell ref="B177:D177"/>
    <mergeCell ref="E177:G177"/>
    <mergeCell ref="A184:C184"/>
    <mergeCell ref="D184:F184"/>
    <mergeCell ref="G184:J184"/>
    <mergeCell ref="B174:D174"/>
    <mergeCell ref="E174:G174"/>
    <mergeCell ref="B175:D175"/>
    <mergeCell ref="E175:G175"/>
    <mergeCell ref="B176:D176"/>
    <mergeCell ref="E176:G176"/>
    <mergeCell ref="A217:C217"/>
    <mergeCell ref="D217:F217"/>
    <mergeCell ref="G217:J217"/>
    <mergeCell ref="G239:J239"/>
    <mergeCell ref="A195:C195"/>
    <mergeCell ref="D195:F195"/>
    <mergeCell ref="G195:J195"/>
    <mergeCell ref="A205:C205"/>
    <mergeCell ref="D205:F205"/>
    <mergeCell ref="G205:J205"/>
  </mergeCells>
  <conditionalFormatting sqref="B100:B104">
    <cfRule type="expression" dxfId="1033" priority="21">
      <formula>B100="Complete"</formula>
    </cfRule>
    <cfRule type="expression" dxfId="1032" priority="22">
      <formula>B100="In Progress"</formula>
    </cfRule>
    <cfRule type="expression" dxfId="1031" priority="23">
      <formula>B100="At Risk"</formula>
    </cfRule>
    <cfRule type="expression" dxfId="1030" priority="24">
      <formula>B100="Blocked"</formula>
    </cfRule>
    <cfRule type="expression" dxfId="1029" priority="25">
      <formula>B100="Not Started"</formula>
    </cfRule>
  </conditionalFormatting>
  <conditionalFormatting sqref="B109:B116">
    <cfRule type="expression" dxfId="1028" priority="1">
      <formula>B109="Complete"</formula>
    </cfRule>
    <cfRule type="expression" dxfId="1027" priority="2">
      <formula>B109="In Progress"</formula>
    </cfRule>
    <cfRule type="expression" dxfId="1026" priority="3">
      <formula>B109="At Risk"</formula>
    </cfRule>
    <cfRule type="expression" dxfId="1025" priority="4">
      <formula>B109="Blocked"</formula>
    </cfRule>
    <cfRule type="expression" dxfId="1024" priority="5">
      <formula>B109="Not Started"</formula>
    </cfRule>
  </conditionalFormatting>
  <conditionalFormatting sqref="B121:B125">
    <cfRule type="expression" dxfId="1023" priority="26">
      <formula>B121="Complete"</formula>
    </cfRule>
    <cfRule type="expression" dxfId="1022" priority="27">
      <formula>B121="In Progress"</formula>
    </cfRule>
    <cfRule type="expression" dxfId="1021" priority="28">
      <formula>B121="At Risk"</formula>
    </cfRule>
    <cfRule type="expression" dxfId="1020" priority="29">
      <formula>B121="Blocked"</formula>
    </cfRule>
    <cfRule type="expression" dxfId="1019" priority="30">
      <formula>B121="Not Started"</formula>
    </cfRule>
  </conditionalFormatting>
  <conditionalFormatting sqref="B130:B133">
    <cfRule type="expression" dxfId="1018" priority="6">
      <formula>B130="Complete"</formula>
    </cfRule>
    <cfRule type="expression" dxfId="1017" priority="7">
      <formula>B130="In Progress"</formula>
    </cfRule>
    <cfRule type="expression" dxfId="1016" priority="8">
      <formula>B130="At Risk"</formula>
    </cfRule>
    <cfRule type="expression" dxfId="1015" priority="9">
      <formula>B130="Blocked"</formula>
    </cfRule>
    <cfRule type="expression" dxfId="1014" priority="10">
      <formula>B130="Not Started"</formula>
    </cfRule>
  </conditionalFormatting>
  <conditionalFormatting sqref="B138:B143">
    <cfRule type="expression" dxfId="1013" priority="11">
      <formula>B138="Complete"</formula>
    </cfRule>
    <cfRule type="expression" dxfId="1012" priority="12">
      <formula>B138="In Progress"</formula>
    </cfRule>
    <cfRule type="expression" dxfId="1011" priority="13">
      <formula>B138="At Risk"</formula>
    </cfRule>
    <cfRule type="expression" dxfId="1010" priority="14">
      <formula>B138="Blocked"</formula>
    </cfRule>
    <cfRule type="expression" dxfId="1009" priority="15">
      <formula>B138="Not Started"</formula>
    </cfRule>
  </conditionalFormatting>
  <conditionalFormatting sqref="B161:B168">
    <cfRule type="expression" dxfId="1008" priority="82">
      <formula>B161="Yes"</formula>
    </cfRule>
    <cfRule type="expression" dxfId="1007" priority="83">
      <formula>B161="N/A"</formula>
    </cfRule>
    <cfRule type="expression" dxfId="1006" priority="84">
      <formula>B161="No"</formula>
    </cfRule>
  </conditionalFormatting>
  <conditionalFormatting sqref="B178:H178">
    <cfRule type="expression" dxfId="1005" priority="85">
      <formula>COUNTIF($B$6:$B$13,"No")=0</formula>
    </cfRule>
    <cfRule type="expression" dxfId="1004" priority="86">
      <formula>COUNTIF($B$6:$B$13,"No")&gt;0</formula>
    </cfRule>
  </conditionalFormatting>
  <conditionalFormatting sqref="C105:D105">
    <cfRule type="dataBar" priority="37">
      <dataBar>
        <cfvo type="num" val="0"/>
        <cfvo type="num" val="1"/>
        <color rgb="FF5B9BD5"/>
      </dataBar>
    </cfRule>
  </conditionalFormatting>
  <conditionalFormatting sqref="C109:D116">
    <cfRule type="expression" dxfId="1003" priority="31">
      <formula>C109="Yes"</formula>
    </cfRule>
    <cfRule type="expression" dxfId="1002" priority="32">
      <formula>C109="No"</formula>
    </cfRule>
    <cfRule type="expression" dxfId="1001" priority="33">
      <formula>C109="N/A"</formula>
    </cfRule>
  </conditionalFormatting>
  <conditionalFormatting sqref="C117:D117">
    <cfRule type="dataBar" priority="38">
      <dataBar>
        <cfvo type="num" val="0"/>
        <cfvo type="num" val="1"/>
        <color rgb="FF5B9BD5"/>
      </dataBar>
    </cfRule>
  </conditionalFormatting>
  <conditionalFormatting sqref="C126:D126">
    <cfRule type="dataBar" priority="39">
      <dataBar>
        <cfvo type="num" val="0"/>
        <cfvo type="num" val="1"/>
        <color rgb="FF5B9BD5"/>
      </dataBar>
    </cfRule>
  </conditionalFormatting>
  <conditionalFormatting sqref="C138:D143">
    <cfRule type="expression" dxfId="1000" priority="16">
      <formula>C138="Yes"</formula>
    </cfRule>
    <cfRule type="expression" dxfId="999" priority="17">
      <formula>C138="No"</formula>
    </cfRule>
    <cfRule type="expression" dxfId="998" priority="18">
      <formula>C138="N/A"</formula>
    </cfRule>
  </conditionalFormatting>
  <conditionalFormatting sqref="C144:D144">
    <cfRule type="dataBar" priority="20">
      <dataBar>
        <cfvo type="num" val="0"/>
        <cfvo type="num" val="1"/>
        <color rgb="FF5B9BD5"/>
      </dataBar>
    </cfRule>
  </conditionalFormatting>
  <conditionalFormatting sqref="E5 G5 I5">
    <cfRule type="expression" dxfId="997" priority="87">
      <formula>E5="Pass"</formula>
    </cfRule>
    <cfRule type="expression" dxfId="996" priority="88">
      <formula>E5="Verify"</formula>
    </cfRule>
    <cfRule type="expression" dxfId="995" priority="89">
      <formula>E5="Fail"</formula>
    </cfRule>
    <cfRule type="expression" dxfId="994" priority="90">
      <formula>E5="Not Started"</formula>
    </cfRule>
  </conditionalFormatting>
  <conditionalFormatting sqref="F3">
    <cfRule type="expression" dxfId="993" priority="91">
      <formula>F3="Yes"</formula>
    </cfRule>
    <cfRule type="expression" dxfId="992" priority="92">
      <formula>F3="No"</formula>
    </cfRule>
  </conditionalFormatting>
  <conditionalFormatting sqref="F121:F125">
    <cfRule type="expression" dxfId="991" priority="34">
      <formula>F121="Pass"</formula>
    </cfRule>
    <cfRule type="expression" dxfId="990" priority="35">
      <formula>F121="Fail"</formula>
    </cfRule>
    <cfRule type="expression" dxfId="989" priority="36">
      <formula>F121="Pending"</formula>
    </cfRule>
  </conditionalFormatting>
  <conditionalFormatting sqref="F130:F133">
    <cfRule type="dataBar" priority="19">
      <dataBar>
        <cfvo type="num" val="0"/>
        <cfvo type="num" val="1"/>
        <color rgb="FF5B9BD5"/>
      </dataBar>
    </cfRule>
  </conditionalFormatting>
  <dataValidations count="5">
    <dataValidation type="list" sqref="B5:B6 D5 F5 H5 H10:H18 H146:I147 H92:I96 I16:I18 J5 H149:I154 D63:D70 H19:I90" xr:uid="{00000000-0002-0000-2C00-000000000000}">
      <formula1>"Not Started,Verify,Pass,Fail,N/A,Open,Closed,Partial / Yellow"</formula1>
      <formula2>0</formula2>
    </dataValidation>
    <dataValidation type="list" allowBlank="1" sqref="F121:F125" xr:uid="{8C685E24-D676-4A14-A546-AF347CBFE277}">
      <formula1>"Pending,Pass,Fail,N/A"</formula1>
    </dataValidation>
    <dataValidation type="list" allowBlank="1" sqref="C109:D116 C138:D143" xr:uid="{7124E3BB-FA4A-4D42-8AC4-1107692D7A77}">
      <formula1>"Yes,No,N/A"</formula1>
    </dataValidation>
    <dataValidation type="list" allowBlank="1" sqref="B130:B133 B121:B125" xr:uid="{49B9854D-7EAC-4096-A498-D7A3D146D76F}">
      <formula1>"Not Started,In Progress,Complete,At Risk,Blocked"</formula1>
    </dataValidation>
    <dataValidation type="list" sqref="B161:B168" xr:uid="{10C32CFE-D7D8-4A48-85AB-C1B3A851991E}">
      <formula1>"No,Yes,N/A"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A7A27B78-C5E7-4A5C-B20A-700BFB8638F7}">
          <x14:formula1>
            <xm:f>Lookup_Lists!$L$37:$L$39</xm:f>
          </x14:formula1>
          <xm:sqref>C121:E125 J2</xm:sqref>
        </x14:dataValidation>
        <x14:dataValidation type="list" allowBlank="1" showInputMessage="1" showErrorMessage="1" xr:uid="{F0D89FB5-CFC6-4522-A023-F4AA64D2D670}">
          <x14:formula1>
            <xm:f>Lookup_Lists!$A$36:$A$42</xm:f>
          </x14:formula1>
          <xm:sqref>B100:B104 B109:B116 B138:B143</xm:sqref>
        </x14:dataValidation>
      </x14:dataValidations>
    </ext>
  </extLst>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8BF99-818A-4BB0-88AB-6272503498A3}">
  <dimension ref="A1:J239"/>
  <sheetViews>
    <sheetView workbookViewId="0">
      <selection activeCell="D4" sqref="D4"/>
    </sheetView>
  </sheetViews>
  <sheetFormatPr defaultColWidth="8.6640625" defaultRowHeight="14.4"/>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6640625" style="8" customWidth="1"/>
    <col min="13" max="16384" width="8.6640625" style="8"/>
  </cols>
  <sheetData>
    <row r="1" spans="1:10">
      <c r="A1" s="851" t="s">
        <v>1986</v>
      </c>
      <c r="B1" s="839"/>
      <c r="C1" s="839"/>
      <c r="D1" s="839"/>
      <c r="E1" s="839"/>
      <c r="F1" s="839"/>
      <c r="G1" s="839"/>
      <c r="H1" s="839"/>
      <c r="I1" s="839"/>
      <c r="J1" s="839"/>
    </row>
    <row r="2" spans="1:10" s="227" customFormat="1">
      <c r="A2" s="223" t="s">
        <v>142</v>
      </c>
      <c r="B2" s="224" t="s">
        <v>697</v>
      </c>
      <c r="C2" s="223" t="s">
        <v>902</v>
      </c>
      <c r="D2" s="224" t="s">
        <v>1094</v>
      </c>
      <c r="E2" s="223" t="s">
        <v>151</v>
      </c>
      <c r="F2" s="224" t="s">
        <v>1095</v>
      </c>
      <c r="G2" s="223" t="s">
        <v>174</v>
      </c>
      <c r="H2" s="225">
        <v>0.5</v>
      </c>
      <c r="I2" s="223" t="s">
        <v>154</v>
      </c>
      <c r="J2" s="226" t="s">
        <v>1096</v>
      </c>
    </row>
    <row r="3" spans="1:10" s="231" customFormat="1" ht="27.6">
      <c r="A3" s="223" t="s">
        <v>903</v>
      </c>
      <c r="B3" s="228">
        <v>46198.617763599526</v>
      </c>
      <c r="C3" s="229" t="s">
        <v>904</v>
      </c>
      <c r="D3" s="230" t="s">
        <v>721</v>
      </c>
      <c r="E3" s="223" t="s">
        <v>905</v>
      </c>
      <c r="F3" s="230" t="s">
        <v>1987</v>
      </c>
      <c r="G3" s="223" t="s">
        <v>907</v>
      </c>
      <c r="H3" s="230" t="s">
        <v>908</v>
      </c>
      <c r="I3" s="223" t="s">
        <v>551</v>
      </c>
      <c r="J3" s="230" t="s">
        <v>1988</v>
      </c>
    </row>
    <row r="4" spans="1:10" s="231" customFormat="1" ht="151.80000000000001">
      <c r="A4" s="223" t="s">
        <v>161</v>
      </c>
      <c r="B4" s="230">
        <v>0</v>
      </c>
      <c r="C4" s="223" t="s">
        <v>199</v>
      </c>
      <c r="D4" s="230">
        <v>0</v>
      </c>
      <c r="E4" s="223" t="s">
        <v>179</v>
      </c>
      <c r="F4" s="230">
        <v>0</v>
      </c>
      <c r="G4" s="223" t="s">
        <v>870</v>
      </c>
      <c r="H4" s="232" t="s">
        <v>1989</v>
      </c>
      <c r="I4" s="233"/>
      <c r="J4" s="233"/>
    </row>
    <row r="5" spans="1:10" s="231" customFormat="1">
      <c r="A5" s="234" t="s">
        <v>911</v>
      </c>
      <c r="B5" s="225" t="s">
        <v>677</v>
      </c>
      <c r="C5" s="235" t="s">
        <v>912</v>
      </c>
      <c r="D5" s="225" t="s">
        <v>677</v>
      </c>
      <c r="E5" s="236" t="s">
        <v>913</v>
      </c>
      <c r="F5" s="225" t="s">
        <v>677</v>
      </c>
      <c r="G5" s="237" t="s">
        <v>914</v>
      </c>
      <c r="H5" s="225" t="s">
        <v>677</v>
      </c>
      <c r="I5" s="237" t="s">
        <v>915</v>
      </c>
      <c r="J5" s="225" t="s">
        <v>677</v>
      </c>
    </row>
    <row r="6" spans="1:10" s="231" customFormat="1" ht="33.75" customHeight="1">
      <c r="A6" s="238" t="s">
        <v>916</v>
      </c>
      <c r="B6" s="225" t="s">
        <v>677</v>
      </c>
      <c r="C6" s="239" t="s">
        <v>869</v>
      </c>
      <c r="D6" s="854" t="s">
        <v>1990</v>
      </c>
      <c r="E6" s="853"/>
      <c r="F6" s="853"/>
      <c r="G6" s="853"/>
      <c r="H6" s="853"/>
      <c r="I6" s="853"/>
      <c r="J6" s="853"/>
    </row>
    <row r="7" spans="1:10">
      <c r="A7" s="13"/>
      <c r="B7" s="13"/>
      <c r="C7" s="13"/>
      <c r="D7" s="13"/>
      <c r="E7" s="13"/>
      <c r="F7" s="13"/>
      <c r="G7" s="13"/>
      <c r="H7" s="13"/>
      <c r="I7" s="13"/>
      <c r="J7" s="13"/>
    </row>
    <row r="8" spans="1:10">
      <c r="A8" s="842" t="s">
        <v>918</v>
      </c>
      <c r="B8" s="839"/>
      <c r="C8" s="839"/>
      <c r="D8" s="85"/>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82.8">
      <c r="A10" s="13" t="s">
        <v>697</v>
      </c>
      <c r="B10" s="13" t="s">
        <v>411</v>
      </c>
      <c r="C10" s="13" t="s">
        <v>1991</v>
      </c>
      <c r="D10" s="13" t="s">
        <v>1992</v>
      </c>
      <c r="E10" s="13" t="s">
        <v>356</v>
      </c>
      <c r="F10" s="13">
        <v>2</v>
      </c>
      <c r="G10" s="13">
        <v>1</v>
      </c>
      <c r="H10" s="13" t="s">
        <v>677</v>
      </c>
      <c r="I10" s="13" t="s">
        <v>1993</v>
      </c>
      <c r="J10" s="13" t="s">
        <v>1994</v>
      </c>
    </row>
    <row r="11" spans="1:10" ht="55.2">
      <c r="A11" s="13" t="s">
        <v>697</v>
      </c>
      <c r="B11" s="13" t="s">
        <v>1995</v>
      </c>
      <c r="C11" s="13" t="s">
        <v>923</v>
      </c>
      <c r="D11" s="13" t="s">
        <v>1996</v>
      </c>
      <c r="E11" s="13" t="s">
        <v>1997</v>
      </c>
      <c r="F11" s="13">
        <v>0</v>
      </c>
      <c r="G11" s="13">
        <v>0</v>
      </c>
      <c r="H11" s="13" t="s">
        <v>677</v>
      </c>
      <c r="I11" s="13" t="s">
        <v>1998</v>
      </c>
      <c r="J11" s="13" t="s">
        <v>1999</v>
      </c>
    </row>
    <row r="12" spans="1:10" ht="69">
      <c r="A12" s="13" t="s">
        <v>697</v>
      </c>
      <c r="B12" s="13" t="s">
        <v>2000</v>
      </c>
      <c r="C12" s="13" t="s">
        <v>923</v>
      </c>
      <c r="D12" s="13" t="s">
        <v>2001</v>
      </c>
      <c r="E12" s="13" t="s">
        <v>2002</v>
      </c>
      <c r="F12" s="13">
        <v>0</v>
      </c>
      <c r="G12" s="13">
        <v>0</v>
      </c>
      <c r="H12" s="13" t="s">
        <v>677</v>
      </c>
      <c r="I12" s="13" t="s">
        <v>2003</v>
      </c>
      <c r="J12" s="13" t="s">
        <v>2004</v>
      </c>
    </row>
    <row r="13" spans="1:10">
      <c r="A13" s="13"/>
      <c r="B13" s="13"/>
      <c r="C13" s="13"/>
      <c r="D13" s="13"/>
      <c r="E13" s="13"/>
      <c r="F13" s="13"/>
      <c r="G13" s="13"/>
      <c r="H13" s="13"/>
      <c r="I13" s="13"/>
      <c r="J13" s="13"/>
    </row>
    <row r="14" spans="1:10">
      <c r="A14" s="842" t="s">
        <v>936</v>
      </c>
      <c r="B14" s="839"/>
      <c r="C14" s="839"/>
      <c r="D14" s="85"/>
      <c r="E14" s="85"/>
      <c r="F14" s="85"/>
      <c r="G14" s="85"/>
      <c r="H14" s="85"/>
      <c r="I14" s="85"/>
      <c r="J14" s="85"/>
    </row>
    <row r="15" spans="1:10">
      <c r="A15" s="50" t="s">
        <v>275</v>
      </c>
      <c r="B15" s="50" t="s">
        <v>937</v>
      </c>
      <c r="C15" s="50" t="s">
        <v>938</v>
      </c>
      <c r="D15" s="50" t="s">
        <v>939</v>
      </c>
      <c r="E15" s="50" t="s">
        <v>940</v>
      </c>
      <c r="F15" s="50" t="s">
        <v>941</v>
      </c>
      <c r="G15" s="50" t="s">
        <v>942</v>
      </c>
      <c r="H15" s="50" t="s">
        <v>943</v>
      </c>
      <c r="I15" s="50" t="s">
        <v>899</v>
      </c>
      <c r="J15" s="50" t="s">
        <v>944</v>
      </c>
    </row>
    <row r="16" spans="1:10" ht="69">
      <c r="A16" s="13" t="s">
        <v>411</v>
      </c>
      <c r="B16" s="13" t="s">
        <v>677</v>
      </c>
      <c r="C16" s="13" t="s">
        <v>677</v>
      </c>
      <c r="D16" s="13" t="s">
        <v>677</v>
      </c>
      <c r="E16" s="13" t="s">
        <v>677</v>
      </c>
      <c r="F16" s="13" t="s">
        <v>677</v>
      </c>
      <c r="G16" s="13" t="s">
        <v>677</v>
      </c>
      <c r="H16" s="13" t="s">
        <v>677</v>
      </c>
      <c r="I16" s="13" t="s">
        <v>677</v>
      </c>
      <c r="J16" s="13" t="s">
        <v>2005</v>
      </c>
    </row>
    <row r="17" spans="1:10" ht="55.2">
      <c r="A17" s="13" t="s">
        <v>1995</v>
      </c>
      <c r="B17" s="13" t="s">
        <v>679</v>
      </c>
      <c r="C17" s="13" t="s">
        <v>679</v>
      </c>
      <c r="D17" s="13" t="s">
        <v>679</v>
      </c>
      <c r="E17" s="13" t="s">
        <v>677</v>
      </c>
      <c r="F17" s="13" t="s">
        <v>679</v>
      </c>
      <c r="G17" s="13" t="s">
        <v>677</v>
      </c>
      <c r="H17" s="13" t="s">
        <v>677</v>
      </c>
      <c r="I17" s="13" t="s">
        <v>677</v>
      </c>
      <c r="J17" s="13" t="s">
        <v>2006</v>
      </c>
    </row>
    <row r="18" spans="1:10" ht="41.4">
      <c r="A18" s="13" t="s">
        <v>2000</v>
      </c>
      <c r="B18" s="13" t="s">
        <v>679</v>
      </c>
      <c r="C18" s="13" t="s">
        <v>679</v>
      </c>
      <c r="D18" s="13" t="s">
        <v>679</v>
      </c>
      <c r="E18" s="13" t="s">
        <v>677</v>
      </c>
      <c r="F18" s="13" t="s">
        <v>679</v>
      </c>
      <c r="G18" s="13" t="s">
        <v>677</v>
      </c>
      <c r="H18" s="13" t="s">
        <v>677</v>
      </c>
      <c r="I18" s="13" t="s">
        <v>677</v>
      </c>
      <c r="J18" s="13" t="s">
        <v>2007</v>
      </c>
    </row>
    <row r="19" spans="1:10">
      <c r="A19" s="13"/>
      <c r="B19" s="13"/>
      <c r="C19" s="13"/>
      <c r="D19" s="13"/>
      <c r="E19" s="13"/>
      <c r="F19" s="13"/>
      <c r="G19" s="13"/>
      <c r="H19" s="13"/>
      <c r="I19" s="13"/>
      <c r="J19" s="13"/>
    </row>
    <row r="20" spans="1:10">
      <c r="A20" s="842" t="s">
        <v>951</v>
      </c>
      <c r="B20" s="839"/>
      <c r="C20" s="839"/>
      <c r="D20" s="85"/>
      <c r="E20" s="85"/>
      <c r="F20" s="85"/>
      <c r="G20" s="85"/>
      <c r="H20" s="85"/>
      <c r="I20" s="85"/>
      <c r="J20" s="85"/>
    </row>
    <row r="21" spans="1:10">
      <c r="A21" s="50" t="s">
        <v>275</v>
      </c>
      <c r="B21" s="50" t="s">
        <v>952</v>
      </c>
      <c r="C21" s="50" t="s">
        <v>953</v>
      </c>
      <c r="D21" s="50" t="s">
        <v>954</v>
      </c>
      <c r="E21" s="50" t="s">
        <v>955</v>
      </c>
      <c r="F21" s="50" t="s">
        <v>956</v>
      </c>
      <c r="G21" s="50" t="s">
        <v>957</v>
      </c>
      <c r="H21" s="50" t="s">
        <v>958</v>
      </c>
      <c r="I21" s="50" t="s">
        <v>899</v>
      </c>
      <c r="J21" s="50" t="s">
        <v>959</v>
      </c>
    </row>
    <row r="22" spans="1:10" ht="55.2">
      <c r="A22" s="13" t="s">
        <v>411</v>
      </c>
      <c r="B22" s="13" t="s">
        <v>677</v>
      </c>
      <c r="C22" s="13" t="s">
        <v>677</v>
      </c>
      <c r="D22" s="13" t="s">
        <v>677</v>
      </c>
      <c r="E22" s="13" t="s">
        <v>677</v>
      </c>
      <c r="F22" s="13" t="s">
        <v>677</v>
      </c>
      <c r="G22" s="13" t="s">
        <v>677</v>
      </c>
      <c r="H22" s="13" t="s">
        <v>677</v>
      </c>
      <c r="I22" s="13" t="s">
        <v>677</v>
      </c>
      <c r="J22" s="13" t="s">
        <v>2008</v>
      </c>
    </row>
    <row r="23" spans="1:10" ht="41.4">
      <c r="A23" s="13" t="s">
        <v>1995</v>
      </c>
      <c r="B23" s="13" t="s">
        <v>677</v>
      </c>
      <c r="C23" s="13" t="s">
        <v>679</v>
      </c>
      <c r="D23" s="13" t="s">
        <v>677</v>
      </c>
      <c r="E23" s="13" t="s">
        <v>677</v>
      </c>
      <c r="F23" s="13" t="s">
        <v>677</v>
      </c>
      <c r="G23" s="13" t="s">
        <v>677</v>
      </c>
      <c r="H23" s="13" t="s">
        <v>677</v>
      </c>
      <c r="I23" s="13" t="s">
        <v>677</v>
      </c>
      <c r="J23" s="13" t="s">
        <v>2009</v>
      </c>
    </row>
    <row r="24" spans="1:10" ht="41.4">
      <c r="A24" s="13" t="s">
        <v>2000</v>
      </c>
      <c r="B24" s="13" t="s">
        <v>677</v>
      </c>
      <c r="C24" s="13" t="s">
        <v>679</v>
      </c>
      <c r="D24" s="13" t="s">
        <v>677</v>
      </c>
      <c r="E24" s="13" t="s">
        <v>677</v>
      </c>
      <c r="F24" s="13" t="s">
        <v>677</v>
      </c>
      <c r="G24" s="13" t="s">
        <v>677</v>
      </c>
      <c r="H24" s="13" t="s">
        <v>677</v>
      </c>
      <c r="I24" s="13" t="s">
        <v>677</v>
      </c>
      <c r="J24" s="13" t="s">
        <v>2010</v>
      </c>
    </row>
    <row r="25" spans="1:10">
      <c r="A25" s="13"/>
      <c r="B25" s="13"/>
      <c r="C25" s="13"/>
      <c r="D25" s="13"/>
      <c r="E25" s="13"/>
      <c r="F25" s="13"/>
      <c r="G25" s="13"/>
      <c r="H25" s="13"/>
      <c r="I25" s="13"/>
      <c r="J25" s="13"/>
    </row>
    <row r="26" spans="1:10">
      <c r="A26" s="842" t="s">
        <v>964</v>
      </c>
      <c r="B26" s="839"/>
      <c r="C26" s="839"/>
      <c r="D26" s="85"/>
      <c r="E26" s="85"/>
      <c r="F26" s="85"/>
      <c r="G26" s="85"/>
      <c r="H26" s="85"/>
      <c r="I26" s="85"/>
      <c r="J26" s="85"/>
    </row>
    <row r="27" spans="1:10">
      <c r="A27" s="50" t="s">
        <v>275</v>
      </c>
      <c r="B27" s="50" t="s">
        <v>965</v>
      </c>
      <c r="C27" s="50" t="s">
        <v>966</v>
      </c>
      <c r="D27" s="50" t="s">
        <v>967</v>
      </c>
      <c r="E27" s="50" t="s">
        <v>968</v>
      </c>
      <c r="F27" s="50" t="s">
        <v>969</v>
      </c>
      <c r="G27" s="50" t="s">
        <v>970</v>
      </c>
      <c r="H27" s="50" t="s">
        <v>971</v>
      </c>
      <c r="I27" s="50" t="s">
        <v>899</v>
      </c>
      <c r="J27" s="50" t="s">
        <v>959</v>
      </c>
    </row>
    <row r="28" spans="1:10" ht="69">
      <c r="A28" s="13" t="s">
        <v>411</v>
      </c>
      <c r="B28" s="13" t="s">
        <v>972</v>
      </c>
      <c r="C28" s="13" t="s">
        <v>677</v>
      </c>
      <c r="D28" s="13" t="s">
        <v>677</v>
      </c>
      <c r="E28" s="13" t="s">
        <v>677</v>
      </c>
      <c r="F28" s="13" t="s">
        <v>677</v>
      </c>
      <c r="G28" s="13" t="s">
        <v>677</v>
      </c>
      <c r="H28" s="13" t="s">
        <v>677</v>
      </c>
      <c r="I28" s="13" t="s">
        <v>677</v>
      </c>
      <c r="J28" s="13" t="s">
        <v>2011</v>
      </c>
    </row>
    <row r="29" spans="1:10" ht="41.4">
      <c r="A29" s="13" t="s">
        <v>1995</v>
      </c>
      <c r="B29" s="13" t="s">
        <v>679</v>
      </c>
      <c r="C29" s="13" t="s">
        <v>679</v>
      </c>
      <c r="D29" s="13" t="s">
        <v>679</v>
      </c>
      <c r="E29" s="13" t="s">
        <v>679</v>
      </c>
      <c r="F29" s="13" t="s">
        <v>679</v>
      </c>
      <c r="G29" s="13" t="s">
        <v>679</v>
      </c>
      <c r="H29" s="13" t="s">
        <v>679</v>
      </c>
      <c r="I29" s="13" t="s">
        <v>679</v>
      </c>
      <c r="J29" s="13" t="s">
        <v>2012</v>
      </c>
    </row>
    <row r="30" spans="1:10" ht="41.4">
      <c r="A30" s="13" t="s">
        <v>2000</v>
      </c>
      <c r="B30" s="13" t="s">
        <v>679</v>
      </c>
      <c r="C30" s="13" t="s">
        <v>679</v>
      </c>
      <c r="D30" s="13" t="s">
        <v>679</v>
      </c>
      <c r="E30" s="13" t="s">
        <v>679</v>
      </c>
      <c r="F30" s="13" t="s">
        <v>679</v>
      </c>
      <c r="G30" s="13" t="s">
        <v>679</v>
      </c>
      <c r="H30" s="13" t="s">
        <v>679</v>
      </c>
      <c r="I30" s="13" t="s">
        <v>679</v>
      </c>
      <c r="J30" s="13" t="s">
        <v>2013</v>
      </c>
    </row>
    <row r="31" spans="1:10">
      <c r="A31" s="13"/>
      <c r="B31" s="13"/>
      <c r="C31" s="13"/>
      <c r="D31" s="13"/>
      <c r="E31" s="13"/>
      <c r="F31" s="13"/>
      <c r="G31" s="13"/>
      <c r="H31" s="13"/>
      <c r="I31" s="13"/>
      <c r="J31" s="13"/>
    </row>
    <row r="32" spans="1:10">
      <c r="A32" s="842" t="s">
        <v>977</v>
      </c>
      <c r="B32" s="839"/>
      <c r="C32" s="839"/>
      <c r="D32" s="85"/>
      <c r="E32" s="85"/>
      <c r="F32" s="85"/>
      <c r="G32" s="85"/>
      <c r="H32" s="85"/>
      <c r="I32" s="85"/>
      <c r="J32" s="85"/>
    </row>
    <row r="33" spans="1:10">
      <c r="A33" s="50" t="s">
        <v>275</v>
      </c>
      <c r="B33" s="50" t="s">
        <v>978</v>
      </c>
      <c r="C33" s="50" t="s">
        <v>979</v>
      </c>
      <c r="D33" s="50" t="s">
        <v>980</v>
      </c>
      <c r="E33" s="50" t="s">
        <v>981</v>
      </c>
      <c r="F33" s="50" t="s">
        <v>982</v>
      </c>
      <c r="G33" s="50" t="s">
        <v>983</v>
      </c>
      <c r="H33" s="50" t="s">
        <v>984</v>
      </c>
      <c r="I33" s="50" t="s">
        <v>899</v>
      </c>
      <c r="J33" s="50" t="s">
        <v>11</v>
      </c>
    </row>
    <row r="34" spans="1:10" ht="82.8">
      <c r="A34" s="13" t="s">
        <v>411</v>
      </c>
      <c r="B34" s="13" t="s">
        <v>677</v>
      </c>
      <c r="C34" s="13" t="s">
        <v>1592</v>
      </c>
      <c r="D34" s="13" t="s">
        <v>677</v>
      </c>
      <c r="E34" s="13" t="s">
        <v>677</v>
      </c>
      <c r="F34" s="13" t="s">
        <v>2014</v>
      </c>
      <c r="G34" s="13" t="s">
        <v>677</v>
      </c>
      <c r="H34" s="13" t="s">
        <v>677</v>
      </c>
      <c r="I34" s="13" t="s">
        <v>677</v>
      </c>
      <c r="J34" s="13" t="s">
        <v>2015</v>
      </c>
    </row>
    <row r="35" spans="1:10" ht="55.2">
      <c r="A35" s="13" t="s">
        <v>1995</v>
      </c>
      <c r="B35" s="13" t="s">
        <v>679</v>
      </c>
      <c r="C35" s="13" t="s">
        <v>679</v>
      </c>
      <c r="D35" s="13" t="s">
        <v>679</v>
      </c>
      <c r="E35" s="13" t="s">
        <v>679</v>
      </c>
      <c r="F35" s="13" t="s">
        <v>2016</v>
      </c>
      <c r="G35" s="13" t="s">
        <v>677</v>
      </c>
      <c r="H35" s="13" t="s">
        <v>677</v>
      </c>
      <c r="I35" s="13" t="s">
        <v>677</v>
      </c>
      <c r="J35" s="13" t="s">
        <v>2017</v>
      </c>
    </row>
    <row r="36" spans="1:10" ht="41.4">
      <c r="A36" s="13" t="s">
        <v>2000</v>
      </c>
      <c r="B36" s="13" t="s">
        <v>679</v>
      </c>
      <c r="C36" s="13" t="s">
        <v>679</v>
      </c>
      <c r="D36" s="13" t="s">
        <v>679</v>
      </c>
      <c r="E36" s="13" t="s">
        <v>679</v>
      </c>
      <c r="F36" s="13" t="s">
        <v>2018</v>
      </c>
      <c r="G36" s="13" t="s">
        <v>677</v>
      </c>
      <c r="H36" s="13" t="s">
        <v>677</v>
      </c>
      <c r="I36" s="13" t="s">
        <v>677</v>
      </c>
      <c r="J36" s="13" t="s">
        <v>2019</v>
      </c>
    </row>
    <row r="37" spans="1:10">
      <c r="A37" s="13"/>
      <c r="B37" s="13"/>
      <c r="C37" s="13"/>
      <c r="D37" s="13"/>
      <c r="E37" s="13"/>
      <c r="F37" s="13"/>
      <c r="G37" s="13"/>
      <c r="H37" s="13"/>
      <c r="I37" s="13"/>
      <c r="J37" s="13"/>
    </row>
    <row r="38" spans="1:10">
      <c r="A38" s="842" t="s">
        <v>994</v>
      </c>
      <c r="B38" s="839"/>
      <c r="C38" s="839"/>
      <c r="D38" s="85"/>
      <c r="E38" s="85"/>
      <c r="F38" s="85"/>
      <c r="G38" s="85"/>
      <c r="H38" s="85"/>
      <c r="I38" s="85"/>
      <c r="J38" s="85"/>
    </row>
    <row r="39" spans="1:10">
      <c r="A39" s="50" t="s">
        <v>275</v>
      </c>
      <c r="B39" s="50" t="s">
        <v>995</v>
      </c>
      <c r="C39" s="50" t="s">
        <v>996</v>
      </c>
      <c r="D39" s="50" t="s">
        <v>997</v>
      </c>
      <c r="E39" s="50" t="s">
        <v>998</v>
      </c>
      <c r="F39" s="50" t="s">
        <v>999</v>
      </c>
      <c r="G39" s="50" t="s">
        <v>1000</v>
      </c>
      <c r="H39" s="50" t="s">
        <v>1001</v>
      </c>
      <c r="I39" s="50" t="s">
        <v>899</v>
      </c>
      <c r="J39" s="50" t="s">
        <v>11</v>
      </c>
    </row>
    <row r="40" spans="1:10" ht="82.8">
      <c r="A40" s="13" t="s">
        <v>411</v>
      </c>
      <c r="B40" s="13" t="s">
        <v>677</v>
      </c>
      <c r="C40" s="13" t="s">
        <v>677</v>
      </c>
      <c r="D40" s="13" t="s">
        <v>677</v>
      </c>
      <c r="E40" s="13" t="s">
        <v>677</v>
      </c>
      <c r="F40" s="13" t="s">
        <v>677</v>
      </c>
      <c r="G40" s="13" t="s">
        <v>677</v>
      </c>
      <c r="H40" s="13" t="s">
        <v>677</v>
      </c>
      <c r="I40" s="13" t="s">
        <v>677</v>
      </c>
      <c r="J40" s="13" t="s">
        <v>2020</v>
      </c>
    </row>
    <row r="41" spans="1:10" ht="41.4">
      <c r="A41" s="13" t="s">
        <v>1995</v>
      </c>
      <c r="B41" s="13" t="s">
        <v>679</v>
      </c>
      <c r="C41" s="13" t="s">
        <v>679</v>
      </c>
      <c r="D41" s="13" t="s">
        <v>679</v>
      </c>
      <c r="E41" s="13" t="s">
        <v>677</v>
      </c>
      <c r="F41" s="13" t="s">
        <v>679</v>
      </c>
      <c r="G41" s="13" t="s">
        <v>679</v>
      </c>
      <c r="H41" s="13" t="s">
        <v>679</v>
      </c>
      <c r="I41" s="13" t="s">
        <v>677</v>
      </c>
      <c r="J41" s="13" t="s">
        <v>2021</v>
      </c>
    </row>
    <row r="42" spans="1:10" ht="41.4">
      <c r="A42" s="13" t="s">
        <v>2000</v>
      </c>
      <c r="B42" s="13" t="s">
        <v>679</v>
      </c>
      <c r="C42" s="13" t="s">
        <v>679</v>
      </c>
      <c r="D42" s="13" t="s">
        <v>679</v>
      </c>
      <c r="E42" s="13" t="s">
        <v>677</v>
      </c>
      <c r="F42" s="13" t="s">
        <v>679</v>
      </c>
      <c r="G42" s="13" t="s">
        <v>679</v>
      </c>
      <c r="H42" s="13" t="s">
        <v>679</v>
      </c>
      <c r="I42" s="13" t="s">
        <v>677</v>
      </c>
      <c r="J42" s="13" t="s">
        <v>2022</v>
      </c>
    </row>
    <row r="43" spans="1:10">
      <c r="A43" s="13"/>
      <c r="B43" s="13"/>
      <c r="C43" s="13"/>
      <c r="D43" s="13"/>
      <c r="E43" s="13"/>
      <c r="F43" s="13"/>
      <c r="G43" s="13"/>
      <c r="H43" s="13"/>
      <c r="I43" s="13"/>
      <c r="J43" s="13"/>
    </row>
    <row r="44" spans="1:10">
      <c r="A44" s="842" t="s">
        <v>1007</v>
      </c>
      <c r="B44" s="839"/>
      <c r="C44" s="839"/>
      <c r="D44" s="85"/>
      <c r="E44" s="85"/>
      <c r="F44" s="85"/>
      <c r="G44" s="85"/>
      <c r="H44" s="85"/>
      <c r="I44" s="85"/>
      <c r="J44" s="85"/>
    </row>
    <row r="45" spans="1:10">
      <c r="A45" s="50" t="s">
        <v>275</v>
      </c>
      <c r="B45" s="50" t="s">
        <v>1008</v>
      </c>
      <c r="C45" s="50" t="s">
        <v>1009</v>
      </c>
      <c r="D45" s="50" t="s">
        <v>1010</v>
      </c>
      <c r="E45" s="50" t="s">
        <v>1011</v>
      </c>
      <c r="F45" s="50" t="s">
        <v>1012</v>
      </c>
      <c r="G45" s="50" t="s">
        <v>1013</v>
      </c>
      <c r="H45" s="50" t="s">
        <v>1014</v>
      </c>
      <c r="I45" s="50" t="s">
        <v>899</v>
      </c>
      <c r="J45" s="50" t="s">
        <v>11</v>
      </c>
    </row>
    <row r="46" spans="1:10" ht="69">
      <c r="A46" s="13" t="s">
        <v>411</v>
      </c>
      <c r="B46" s="13" t="s">
        <v>677</v>
      </c>
      <c r="C46" s="13" t="s">
        <v>677</v>
      </c>
      <c r="D46" s="13" t="s">
        <v>677</v>
      </c>
      <c r="E46" s="13" t="s">
        <v>677</v>
      </c>
      <c r="F46" s="13" t="s">
        <v>677</v>
      </c>
      <c r="G46" s="13" t="s">
        <v>677</v>
      </c>
      <c r="H46" s="13" t="s">
        <v>677</v>
      </c>
      <c r="I46" s="13" t="s">
        <v>677</v>
      </c>
      <c r="J46" s="13" t="s">
        <v>2023</v>
      </c>
    </row>
    <row r="47" spans="1:10" ht="41.4">
      <c r="A47" s="13" t="s">
        <v>1995</v>
      </c>
      <c r="B47" s="13" t="s">
        <v>679</v>
      </c>
      <c r="C47" s="13" t="s">
        <v>679</v>
      </c>
      <c r="D47" s="13" t="s">
        <v>679</v>
      </c>
      <c r="E47" s="13" t="s">
        <v>679</v>
      </c>
      <c r="F47" s="13" t="s">
        <v>677</v>
      </c>
      <c r="G47" s="13" t="s">
        <v>679</v>
      </c>
      <c r="H47" s="13" t="s">
        <v>677</v>
      </c>
      <c r="I47" s="13" t="s">
        <v>677</v>
      </c>
      <c r="J47" s="13" t="s">
        <v>2024</v>
      </c>
    </row>
    <row r="48" spans="1:10" ht="41.4">
      <c r="A48" s="13" t="s">
        <v>2000</v>
      </c>
      <c r="B48" s="13" t="s">
        <v>679</v>
      </c>
      <c r="C48" s="13" t="s">
        <v>679</v>
      </c>
      <c r="D48" s="13" t="s">
        <v>679</v>
      </c>
      <c r="E48" s="13" t="s">
        <v>679</v>
      </c>
      <c r="F48" s="13" t="s">
        <v>677</v>
      </c>
      <c r="G48" s="13" t="s">
        <v>679</v>
      </c>
      <c r="H48" s="13" t="s">
        <v>677</v>
      </c>
      <c r="I48" s="13" t="s">
        <v>677</v>
      </c>
      <c r="J48" s="13" t="s">
        <v>2025</v>
      </c>
    </row>
    <row r="49" spans="1:10">
      <c r="A49" s="13"/>
      <c r="B49" s="13"/>
      <c r="C49" s="13"/>
      <c r="D49" s="13"/>
      <c r="E49" s="13"/>
      <c r="F49" s="13"/>
      <c r="G49" s="13"/>
      <c r="H49" s="13"/>
      <c r="I49" s="13"/>
      <c r="J49" s="13"/>
    </row>
    <row r="50" spans="1:10">
      <c r="A50" s="842" t="s">
        <v>1019</v>
      </c>
      <c r="B50" s="839"/>
      <c r="C50" s="839"/>
      <c r="D50" s="85"/>
      <c r="E50" s="85"/>
      <c r="F50" s="85"/>
      <c r="G50" s="85"/>
      <c r="H50" s="85"/>
      <c r="I50" s="85"/>
      <c r="J50" s="85"/>
    </row>
    <row r="51" spans="1:10">
      <c r="A51" s="50" t="s">
        <v>213</v>
      </c>
      <c r="B51" s="50" t="s">
        <v>275</v>
      </c>
      <c r="C51" s="50" t="s">
        <v>573</v>
      </c>
      <c r="D51" s="50" t="s">
        <v>215</v>
      </c>
      <c r="E51" s="50" t="s">
        <v>257</v>
      </c>
      <c r="F51" s="50" t="s">
        <v>572</v>
      </c>
      <c r="G51" s="50" t="s">
        <v>259</v>
      </c>
      <c r="H51" s="50" t="s">
        <v>216</v>
      </c>
      <c r="I51" s="50" t="s">
        <v>77</v>
      </c>
      <c r="J51" s="50" t="s">
        <v>11</v>
      </c>
    </row>
    <row r="52" spans="1:10" ht="82.8">
      <c r="A52" s="13" t="s">
        <v>2026</v>
      </c>
      <c r="B52" s="13" t="s">
        <v>411</v>
      </c>
      <c r="C52" s="13" t="s">
        <v>2027</v>
      </c>
      <c r="D52" s="13" t="s">
        <v>391</v>
      </c>
      <c r="E52" s="13" t="s">
        <v>488</v>
      </c>
      <c r="F52" s="13">
        <v>6</v>
      </c>
      <c r="G52" s="13" t="s">
        <v>2028</v>
      </c>
      <c r="H52" s="13" t="s">
        <v>1023</v>
      </c>
      <c r="I52" s="13" t="s">
        <v>502</v>
      </c>
      <c r="J52" s="13" t="s">
        <v>2029</v>
      </c>
    </row>
    <row r="53" spans="1:10" ht="96.6">
      <c r="A53" s="13" t="s">
        <v>2030</v>
      </c>
      <c r="B53" s="13" t="s">
        <v>411</v>
      </c>
      <c r="C53" s="13" t="s">
        <v>2031</v>
      </c>
      <c r="D53" s="13" t="s">
        <v>391</v>
      </c>
      <c r="E53" s="13" t="s">
        <v>488</v>
      </c>
      <c r="F53" s="13">
        <v>6</v>
      </c>
      <c r="G53" s="13" t="s">
        <v>2032</v>
      </c>
      <c r="H53" s="13" t="s">
        <v>1858</v>
      </c>
      <c r="I53" s="13" t="s">
        <v>502</v>
      </c>
      <c r="J53" s="13" t="s">
        <v>2033</v>
      </c>
    </row>
    <row r="54" spans="1:10" ht="82.8">
      <c r="A54" s="13" t="s">
        <v>2034</v>
      </c>
      <c r="B54" s="13" t="s">
        <v>411</v>
      </c>
      <c r="C54" s="13" t="s">
        <v>2035</v>
      </c>
      <c r="D54" s="13" t="s">
        <v>492</v>
      </c>
      <c r="E54" s="13" t="s">
        <v>488</v>
      </c>
      <c r="F54" s="13">
        <v>8</v>
      </c>
      <c r="G54" s="13" t="s">
        <v>2036</v>
      </c>
      <c r="H54" s="13" t="s">
        <v>584</v>
      </c>
      <c r="I54" s="13" t="s">
        <v>502</v>
      </c>
      <c r="J54" s="13" t="s">
        <v>2037</v>
      </c>
    </row>
    <row r="55" spans="1:10" ht="82.8">
      <c r="A55" s="13" t="s">
        <v>2038</v>
      </c>
      <c r="B55" s="13" t="s">
        <v>411</v>
      </c>
      <c r="C55" s="13" t="s">
        <v>593</v>
      </c>
      <c r="D55" s="13" t="s">
        <v>492</v>
      </c>
      <c r="E55" s="13" t="s">
        <v>488</v>
      </c>
      <c r="F55" s="13">
        <v>8</v>
      </c>
      <c r="G55" s="13" t="s">
        <v>2039</v>
      </c>
      <c r="H55" s="13" t="s">
        <v>592</v>
      </c>
      <c r="I55" s="13" t="s">
        <v>502</v>
      </c>
      <c r="J55" s="13" t="s">
        <v>1028</v>
      </c>
    </row>
    <row r="56" spans="1:10" ht="82.8">
      <c r="A56" s="13" t="s">
        <v>2040</v>
      </c>
      <c r="B56" s="13" t="s">
        <v>2041</v>
      </c>
      <c r="C56" s="13" t="s">
        <v>2042</v>
      </c>
      <c r="D56" s="13" t="s">
        <v>492</v>
      </c>
      <c r="E56" s="13" t="s">
        <v>488</v>
      </c>
      <c r="F56" s="13">
        <v>8</v>
      </c>
      <c r="G56" s="13" t="s">
        <v>2043</v>
      </c>
      <c r="H56" s="13" t="s">
        <v>1032</v>
      </c>
      <c r="I56" s="13" t="s">
        <v>502</v>
      </c>
      <c r="J56" s="13" t="s">
        <v>2044</v>
      </c>
    </row>
    <row r="57" spans="1:10" ht="82.8">
      <c r="A57" s="13" t="s">
        <v>2045</v>
      </c>
      <c r="B57" s="13" t="s">
        <v>411</v>
      </c>
      <c r="C57" s="13" t="s">
        <v>2046</v>
      </c>
      <c r="D57" s="13" t="s">
        <v>492</v>
      </c>
      <c r="E57" s="13" t="s">
        <v>488</v>
      </c>
      <c r="F57" s="13">
        <v>8</v>
      </c>
      <c r="G57" s="13" t="s">
        <v>2047</v>
      </c>
      <c r="H57" s="13" t="s">
        <v>1403</v>
      </c>
      <c r="I57" s="13" t="s">
        <v>502</v>
      </c>
      <c r="J57" s="13" t="s">
        <v>1627</v>
      </c>
    </row>
    <row r="58" spans="1:10" ht="82.8">
      <c r="A58" s="13" t="s">
        <v>2048</v>
      </c>
      <c r="B58" s="13" t="s">
        <v>411</v>
      </c>
      <c r="C58" s="13" t="s">
        <v>649</v>
      </c>
      <c r="D58" s="13" t="s">
        <v>492</v>
      </c>
      <c r="E58" s="13" t="s">
        <v>488</v>
      </c>
      <c r="F58" s="13">
        <v>8</v>
      </c>
      <c r="G58" s="13" t="s">
        <v>2049</v>
      </c>
      <c r="H58" s="13" t="s">
        <v>584</v>
      </c>
      <c r="I58" s="13" t="s">
        <v>502</v>
      </c>
      <c r="J58" s="13" t="s">
        <v>2050</v>
      </c>
    </row>
    <row r="59" spans="1:10" ht="69">
      <c r="A59" s="13" t="s">
        <v>2051</v>
      </c>
      <c r="B59" s="13" t="s">
        <v>575</v>
      </c>
      <c r="C59" s="13" t="s">
        <v>1047</v>
      </c>
      <c r="D59" s="13" t="s">
        <v>391</v>
      </c>
      <c r="E59" s="13" t="s">
        <v>488</v>
      </c>
      <c r="F59" s="13">
        <v>6</v>
      </c>
      <c r="G59" s="13" t="s">
        <v>2052</v>
      </c>
      <c r="H59" s="13" t="s">
        <v>1049</v>
      </c>
      <c r="I59" s="13" t="s">
        <v>502</v>
      </c>
      <c r="J59" s="13" t="s">
        <v>1737</v>
      </c>
    </row>
    <row r="60" spans="1:10">
      <c r="A60" s="13"/>
      <c r="B60" s="13"/>
      <c r="C60" s="13"/>
      <c r="D60" s="13"/>
      <c r="E60" s="13"/>
      <c r="F60" s="13"/>
      <c r="G60" s="13"/>
      <c r="H60" s="13"/>
      <c r="I60" s="13"/>
      <c r="J60" s="13"/>
    </row>
    <row r="61" spans="1:10">
      <c r="A61" s="842" t="s">
        <v>1051</v>
      </c>
      <c r="B61" s="839"/>
      <c r="C61" s="839"/>
      <c r="D61" s="85"/>
      <c r="E61" s="85"/>
      <c r="F61" s="85"/>
      <c r="G61" s="85"/>
      <c r="H61" s="85"/>
      <c r="I61" s="85"/>
      <c r="J61" s="85"/>
    </row>
    <row r="62" spans="1:10">
      <c r="A62" s="50" t="s">
        <v>221</v>
      </c>
      <c r="B62" s="50" t="s">
        <v>222</v>
      </c>
      <c r="C62" s="50" t="s">
        <v>265</v>
      </c>
      <c r="D62" s="50" t="s">
        <v>77</v>
      </c>
      <c r="E62" s="50" t="s">
        <v>878</v>
      </c>
      <c r="F62" s="50" t="s">
        <v>879</v>
      </c>
      <c r="G62" s="50" t="s">
        <v>880</v>
      </c>
      <c r="H62" s="50" t="s">
        <v>494</v>
      </c>
      <c r="I62" s="50" t="s">
        <v>881</v>
      </c>
      <c r="J62" s="50" t="s">
        <v>11</v>
      </c>
    </row>
    <row r="63" spans="1:10" ht="82.8">
      <c r="A63" s="13" t="s">
        <v>2053</v>
      </c>
      <c r="B63" s="13" t="s">
        <v>2054</v>
      </c>
      <c r="C63" s="13" t="s">
        <v>579</v>
      </c>
      <c r="D63" s="13" t="s">
        <v>502</v>
      </c>
      <c r="E63" s="13"/>
      <c r="F63" s="13"/>
      <c r="G63" s="13" t="s">
        <v>580</v>
      </c>
      <c r="H63" s="13"/>
      <c r="I63" s="13"/>
      <c r="J63" s="13"/>
    </row>
    <row r="64" spans="1:10" ht="82.8">
      <c r="A64" s="13" t="s">
        <v>2055</v>
      </c>
      <c r="B64" s="13" t="s">
        <v>2056</v>
      </c>
      <c r="C64" s="13" t="s">
        <v>587</v>
      </c>
      <c r="D64" s="13" t="s">
        <v>502</v>
      </c>
      <c r="E64" s="13"/>
      <c r="F64" s="13"/>
      <c r="G64" s="13" t="s">
        <v>1421</v>
      </c>
      <c r="H64" s="13"/>
      <c r="I64" s="13"/>
      <c r="J64" s="13"/>
    </row>
    <row r="65" spans="1:10" ht="96.6">
      <c r="A65" s="13" t="s">
        <v>2057</v>
      </c>
      <c r="B65" s="13" t="s">
        <v>2058</v>
      </c>
      <c r="C65" s="13" t="s">
        <v>1858</v>
      </c>
      <c r="D65" s="13" t="s">
        <v>502</v>
      </c>
      <c r="E65" s="13"/>
      <c r="F65" s="13"/>
      <c r="G65" s="13" t="s">
        <v>2059</v>
      </c>
      <c r="H65" s="13"/>
      <c r="I65" s="13"/>
      <c r="J65" s="13"/>
    </row>
    <row r="66" spans="1:10" ht="82.8">
      <c r="A66" s="13" t="s">
        <v>2060</v>
      </c>
      <c r="B66" s="13" t="s">
        <v>2061</v>
      </c>
      <c r="C66" s="13" t="s">
        <v>601</v>
      </c>
      <c r="D66" s="13" t="s">
        <v>502</v>
      </c>
      <c r="E66" s="13"/>
      <c r="F66" s="13"/>
      <c r="G66" s="13" t="s">
        <v>602</v>
      </c>
      <c r="H66" s="13"/>
      <c r="I66" s="13"/>
      <c r="J66" s="13"/>
    </row>
    <row r="67" spans="1:10" ht="69">
      <c r="A67" s="13" t="s">
        <v>2062</v>
      </c>
      <c r="B67" s="13" t="s">
        <v>2063</v>
      </c>
      <c r="C67" s="13" t="s">
        <v>609</v>
      </c>
      <c r="D67" s="13" t="s">
        <v>502</v>
      </c>
      <c r="E67" s="13"/>
      <c r="F67" s="13"/>
      <c r="G67" s="13" t="s">
        <v>610</v>
      </c>
      <c r="H67" s="13"/>
      <c r="I67" s="13"/>
      <c r="J67" s="13"/>
    </row>
    <row r="68" spans="1:10" ht="96.6">
      <c r="A68" s="13" t="s">
        <v>2064</v>
      </c>
      <c r="B68" s="13" t="s">
        <v>2065</v>
      </c>
      <c r="C68" s="13" t="s">
        <v>616</v>
      </c>
      <c r="D68" s="13" t="s">
        <v>502</v>
      </c>
      <c r="E68" s="13"/>
      <c r="F68" s="13"/>
      <c r="G68" s="13" t="s">
        <v>617</v>
      </c>
      <c r="H68" s="13"/>
      <c r="I68" s="13"/>
      <c r="J68" s="13"/>
    </row>
    <row r="69" spans="1:10" ht="82.8">
      <c r="A69" s="13" t="s">
        <v>2066</v>
      </c>
      <c r="B69" s="13" t="s">
        <v>2067</v>
      </c>
      <c r="C69" s="13" t="s">
        <v>622</v>
      </c>
      <c r="D69" s="13" t="s">
        <v>502</v>
      </c>
      <c r="E69" s="13"/>
      <c r="F69" s="13"/>
      <c r="G69" s="13" t="s">
        <v>623</v>
      </c>
      <c r="H69" s="13"/>
      <c r="I69" s="13"/>
      <c r="J69" s="13"/>
    </row>
    <row r="70" spans="1:10" ht="82.8">
      <c r="A70" s="13" t="s">
        <v>2068</v>
      </c>
      <c r="B70" s="13" t="s">
        <v>1753</v>
      </c>
      <c r="C70" s="13" t="s">
        <v>1049</v>
      </c>
      <c r="D70" s="13" t="s">
        <v>502</v>
      </c>
      <c r="E70" s="13"/>
      <c r="F70" s="13"/>
      <c r="G70" s="13" t="s">
        <v>631</v>
      </c>
      <c r="H70" s="13"/>
      <c r="I70" s="13"/>
      <c r="J70" s="13"/>
    </row>
    <row r="71" spans="1:10">
      <c r="A71" s="13"/>
      <c r="B71" s="13"/>
      <c r="C71" s="13"/>
      <c r="D71" s="13"/>
      <c r="E71" s="13"/>
      <c r="F71" s="13"/>
      <c r="G71" s="13"/>
      <c r="H71" s="13"/>
      <c r="I71" s="13"/>
      <c r="J71" s="13"/>
    </row>
    <row r="72" spans="1:10">
      <c r="A72" s="842" t="s">
        <v>1052</v>
      </c>
      <c r="B72" s="839"/>
      <c r="C72" s="839"/>
      <c r="D72" s="85"/>
      <c r="E72" s="85"/>
      <c r="F72" s="85"/>
      <c r="G72" s="85"/>
      <c r="H72" s="85"/>
      <c r="I72" s="85"/>
      <c r="J72" s="85"/>
    </row>
    <row r="73" spans="1:10">
      <c r="A73" s="50" t="s">
        <v>291</v>
      </c>
      <c r="B73" s="50" t="s">
        <v>275</v>
      </c>
      <c r="C73" s="50" t="s">
        <v>493</v>
      </c>
      <c r="D73" s="50" t="s">
        <v>214</v>
      </c>
      <c r="E73" s="50" t="s">
        <v>263</v>
      </c>
      <c r="F73" s="50" t="s">
        <v>891</v>
      </c>
      <c r="G73" s="50" t="s">
        <v>892</v>
      </c>
      <c r="H73" s="50" t="s">
        <v>893</v>
      </c>
      <c r="I73" s="50" t="s">
        <v>77</v>
      </c>
      <c r="J73" s="50" t="s">
        <v>11</v>
      </c>
    </row>
    <row r="74" spans="1:10" ht="96.6">
      <c r="A74" s="13" t="s">
        <v>2069</v>
      </c>
      <c r="B74" s="13" t="s">
        <v>411</v>
      </c>
      <c r="C74" s="13" t="s">
        <v>269</v>
      </c>
      <c r="D74" s="13" t="s">
        <v>2070</v>
      </c>
      <c r="E74" s="13"/>
      <c r="F74" s="13" t="s">
        <v>229</v>
      </c>
      <c r="G74" s="13"/>
      <c r="H74" s="13" t="s">
        <v>2071</v>
      </c>
      <c r="I74" s="13" t="s">
        <v>502</v>
      </c>
      <c r="J74" s="13"/>
    </row>
    <row r="75" spans="1:10" ht="69">
      <c r="A75" s="13" t="s">
        <v>2072</v>
      </c>
      <c r="B75" s="13" t="s">
        <v>411</v>
      </c>
      <c r="C75" s="13" t="s">
        <v>749</v>
      </c>
      <c r="D75" s="13" t="s">
        <v>2073</v>
      </c>
      <c r="E75" s="13"/>
      <c r="F75" s="13" t="s">
        <v>229</v>
      </c>
      <c r="G75" s="13"/>
      <c r="H75" s="13" t="s">
        <v>2030</v>
      </c>
      <c r="I75" s="13" t="s">
        <v>502</v>
      </c>
      <c r="J75" s="13"/>
    </row>
    <row r="76" spans="1:10" ht="82.8">
      <c r="A76" s="13" t="s">
        <v>2074</v>
      </c>
      <c r="B76" s="13" t="s">
        <v>1995</v>
      </c>
      <c r="C76" s="13" t="s">
        <v>153</v>
      </c>
      <c r="D76" s="13" t="s">
        <v>2075</v>
      </c>
      <c r="E76" s="13"/>
      <c r="F76" s="13" t="s">
        <v>229</v>
      </c>
      <c r="G76" s="13"/>
      <c r="H76" s="13" t="s">
        <v>2040</v>
      </c>
      <c r="I76" s="13" t="s">
        <v>502</v>
      </c>
      <c r="J76" s="13"/>
    </row>
    <row r="77" spans="1:10" ht="69">
      <c r="A77" s="13" t="s">
        <v>2076</v>
      </c>
      <c r="B77" s="13" t="s">
        <v>2000</v>
      </c>
      <c r="C77" s="13" t="s">
        <v>153</v>
      </c>
      <c r="D77" s="13" t="s">
        <v>2077</v>
      </c>
      <c r="E77" s="13"/>
      <c r="F77" s="13" t="s">
        <v>229</v>
      </c>
      <c r="G77" s="13"/>
      <c r="H77" s="13" t="s">
        <v>2040</v>
      </c>
      <c r="I77" s="13" t="s">
        <v>502</v>
      </c>
      <c r="J77" s="13"/>
    </row>
    <row r="78" spans="1:10" ht="69">
      <c r="A78" s="13" t="s">
        <v>2078</v>
      </c>
      <c r="B78" s="13" t="s">
        <v>411</v>
      </c>
      <c r="C78" s="13" t="s">
        <v>957</v>
      </c>
      <c r="D78" s="13" t="s">
        <v>2079</v>
      </c>
      <c r="E78" s="13"/>
      <c r="F78" s="13" t="s">
        <v>229</v>
      </c>
      <c r="G78" s="13"/>
      <c r="H78" s="13" t="s">
        <v>2045</v>
      </c>
      <c r="I78" s="13" t="s">
        <v>502</v>
      </c>
      <c r="J78" s="13"/>
    </row>
    <row r="79" spans="1:10" ht="96.6">
      <c r="A79" s="13" t="s">
        <v>2080</v>
      </c>
      <c r="B79" s="13" t="s">
        <v>411</v>
      </c>
      <c r="C79" s="13" t="s">
        <v>148</v>
      </c>
      <c r="D79" s="13" t="s">
        <v>2081</v>
      </c>
      <c r="E79" s="13"/>
      <c r="F79" s="13" t="s">
        <v>229</v>
      </c>
      <c r="G79" s="13"/>
      <c r="H79" s="13" t="s">
        <v>2038</v>
      </c>
      <c r="I79" s="13" t="s">
        <v>502</v>
      </c>
      <c r="J79" s="13"/>
    </row>
    <row r="80" spans="1:10" ht="69">
      <c r="A80" s="13" t="s">
        <v>2082</v>
      </c>
      <c r="B80" s="13" t="s">
        <v>411</v>
      </c>
      <c r="C80" s="13" t="s">
        <v>155</v>
      </c>
      <c r="D80" s="13" t="s">
        <v>2083</v>
      </c>
      <c r="E80" s="13"/>
      <c r="F80" s="13" t="s">
        <v>229</v>
      </c>
      <c r="G80" s="13"/>
      <c r="H80" s="13" t="s">
        <v>2048</v>
      </c>
      <c r="I80" s="13" t="s">
        <v>502</v>
      </c>
      <c r="J80" s="13"/>
    </row>
    <row r="81" spans="1:10" ht="82.8">
      <c r="A81" s="13" t="s">
        <v>2084</v>
      </c>
      <c r="B81" s="13" t="s">
        <v>411</v>
      </c>
      <c r="C81" s="13" t="s">
        <v>556</v>
      </c>
      <c r="D81" s="13" t="s">
        <v>2085</v>
      </c>
      <c r="E81" s="13"/>
      <c r="F81" s="13" t="s">
        <v>229</v>
      </c>
      <c r="G81" s="13"/>
      <c r="H81" s="13" t="s">
        <v>2051</v>
      </c>
      <c r="I81" s="13" t="s">
        <v>502</v>
      </c>
      <c r="J81" s="13"/>
    </row>
    <row r="82" spans="1:10">
      <c r="A82" s="13"/>
      <c r="B82" s="13"/>
      <c r="C82" s="13"/>
      <c r="D82" s="13"/>
      <c r="E82" s="13"/>
      <c r="F82" s="13"/>
      <c r="G82" s="13"/>
      <c r="H82" s="13"/>
      <c r="I82" s="13"/>
      <c r="J82" s="13"/>
    </row>
    <row r="83" spans="1:10">
      <c r="A83" s="842" t="s">
        <v>1079</v>
      </c>
      <c r="B83" s="839"/>
      <c r="C83" s="839"/>
      <c r="D83" s="85"/>
      <c r="E83" s="85"/>
      <c r="F83" s="85"/>
      <c r="G83" s="85"/>
      <c r="H83" s="85"/>
      <c r="I83" s="85"/>
      <c r="J83" s="85"/>
    </row>
    <row r="84" spans="1:10">
      <c r="A84" s="50" t="s">
        <v>275</v>
      </c>
      <c r="B84" s="50" t="s">
        <v>895</v>
      </c>
      <c r="C84" s="50" t="s">
        <v>896</v>
      </c>
      <c r="D84" s="50" t="s">
        <v>148</v>
      </c>
      <c r="E84" s="50" t="s">
        <v>153</v>
      </c>
      <c r="F84" s="50" t="s">
        <v>155</v>
      </c>
      <c r="G84" s="50" t="s">
        <v>491</v>
      </c>
      <c r="H84" s="50" t="s">
        <v>897</v>
      </c>
      <c r="I84" s="50" t="s">
        <v>174</v>
      </c>
      <c r="J84" s="50" t="s">
        <v>11</v>
      </c>
    </row>
    <row r="85" spans="1:10" ht="41.4">
      <c r="A85" s="13" t="s">
        <v>411</v>
      </c>
      <c r="B85" s="13">
        <v>0.5</v>
      </c>
      <c r="C85" s="13">
        <v>0.5</v>
      </c>
      <c r="D85" s="13">
        <v>0.5</v>
      </c>
      <c r="E85" s="13">
        <v>0.5</v>
      </c>
      <c r="F85" s="13">
        <v>0.5</v>
      </c>
      <c r="G85" s="13" t="s">
        <v>677</v>
      </c>
      <c r="H85" s="13">
        <v>0.5</v>
      </c>
      <c r="I85" s="13" t="s">
        <v>1201</v>
      </c>
      <c r="J85" s="13" t="s">
        <v>2086</v>
      </c>
    </row>
    <row r="86" spans="1:10" ht="27.6">
      <c r="A86" s="13" t="s">
        <v>1995</v>
      </c>
      <c r="B86" s="13">
        <v>0.5</v>
      </c>
      <c r="C86" s="13">
        <v>0.5</v>
      </c>
      <c r="D86" s="13" t="s">
        <v>679</v>
      </c>
      <c r="E86" s="13">
        <v>0.5</v>
      </c>
      <c r="F86" s="13" t="s">
        <v>679</v>
      </c>
      <c r="G86" s="13" t="s">
        <v>677</v>
      </c>
      <c r="H86" s="13">
        <v>0.5</v>
      </c>
      <c r="I86" s="13" t="s">
        <v>1201</v>
      </c>
      <c r="J86" s="13" t="s">
        <v>2087</v>
      </c>
    </row>
    <row r="87" spans="1:10" ht="27.6">
      <c r="A87" s="13" t="s">
        <v>2000</v>
      </c>
      <c r="B87" s="13">
        <v>0.5</v>
      </c>
      <c r="C87" s="13">
        <v>0.5</v>
      </c>
      <c r="D87" s="13" t="s">
        <v>679</v>
      </c>
      <c r="E87" s="13">
        <v>0.5</v>
      </c>
      <c r="F87" s="13" t="s">
        <v>679</v>
      </c>
      <c r="G87" s="13" t="s">
        <v>677</v>
      </c>
      <c r="H87" s="13">
        <v>0.5</v>
      </c>
      <c r="I87" s="13" t="s">
        <v>1201</v>
      </c>
      <c r="J87" s="13" t="s">
        <v>2088</v>
      </c>
    </row>
    <row r="88" spans="1:10">
      <c r="A88" s="13"/>
      <c r="B88" s="13"/>
      <c r="C88" s="13"/>
      <c r="D88" s="13"/>
      <c r="E88" s="13"/>
      <c r="F88" s="13"/>
      <c r="G88" s="13"/>
      <c r="H88" s="13"/>
      <c r="I88" s="13"/>
      <c r="J88" s="13"/>
    </row>
    <row r="89" spans="1:10">
      <c r="A89" s="842" t="s">
        <v>1085</v>
      </c>
      <c r="B89" s="839"/>
      <c r="C89" s="839"/>
      <c r="D89" s="85"/>
      <c r="E89" s="85"/>
      <c r="F89" s="85"/>
      <c r="G89" s="85"/>
      <c r="H89" s="85"/>
      <c r="I89" s="85"/>
      <c r="J89" s="85"/>
    </row>
    <row r="90" spans="1:10" ht="55.2">
      <c r="A90" s="50" t="s">
        <v>905</v>
      </c>
      <c r="B90" s="50" t="s">
        <v>794</v>
      </c>
      <c r="C90" s="50"/>
      <c r="D90" s="50"/>
      <c r="E90" s="50"/>
      <c r="F90" s="50"/>
      <c r="G90" s="50"/>
      <c r="H90" s="50"/>
      <c r="I90" s="50"/>
      <c r="J90" s="50"/>
    </row>
    <row r="91" spans="1:10">
      <c r="A91" s="13" t="s">
        <v>1086</v>
      </c>
      <c r="B91" s="852" t="s">
        <v>2089</v>
      </c>
      <c r="C91" s="839"/>
      <c r="D91" s="839"/>
      <c r="E91" s="839"/>
      <c r="F91" s="839"/>
      <c r="G91" s="839"/>
      <c r="H91" s="839"/>
      <c r="I91" s="839"/>
      <c r="J91" s="839"/>
    </row>
    <row r="92" spans="1:10" ht="27.6">
      <c r="A92" s="13" t="s">
        <v>2090</v>
      </c>
      <c r="B92" s="852" t="s">
        <v>2091</v>
      </c>
      <c r="C92" s="839"/>
      <c r="D92" s="839"/>
      <c r="E92" s="839"/>
      <c r="F92" s="839"/>
      <c r="G92" s="839"/>
      <c r="H92" s="839"/>
      <c r="I92" s="839"/>
      <c r="J92" s="839"/>
    </row>
    <row r="93" spans="1:10">
      <c r="A93" s="13" t="s">
        <v>1088</v>
      </c>
      <c r="B93" s="852" t="s">
        <v>2092</v>
      </c>
      <c r="C93" s="839"/>
      <c r="D93" s="839"/>
      <c r="E93" s="839"/>
      <c r="F93" s="839"/>
      <c r="G93" s="839"/>
      <c r="H93" s="839"/>
      <c r="I93" s="839"/>
      <c r="J93" s="839"/>
    </row>
    <row r="94" spans="1:10">
      <c r="A94" s="13" t="s">
        <v>1089</v>
      </c>
      <c r="B94" s="852" t="s">
        <v>2093</v>
      </c>
      <c r="C94" s="839"/>
      <c r="D94" s="839"/>
      <c r="E94" s="839"/>
      <c r="F94" s="839"/>
      <c r="G94" s="839"/>
      <c r="H94" s="839"/>
      <c r="I94" s="839"/>
      <c r="J94" s="839"/>
    </row>
    <row r="95" spans="1:10">
      <c r="A95" s="13" t="s">
        <v>1090</v>
      </c>
      <c r="B95" s="852" t="s">
        <v>2094</v>
      </c>
      <c r="C95" s="839"/>
      <c r="D95" s="839"/>
      <c r="E95" s="839"/>
      <c r="F95" s="839"/>
      <c r="G95" s="839"/>
      <c r="H95" s="839"/>
      <c r="I95" s="839"/>
      <c r="J95" s="839"/>
    </row>
    <row r="96" spans="1:10">
      <c r="A96" s="13" t="s">
        <v>1563</v>
      </c>
      <c r="B96" s="852" t="s">
        <v>1776</v>
      </c>
      <c r="C96" s="839"/>
      <c r="D96" s="839"/>
      <c r="E96" s="839"/>
      <c r="F96" s="839"/>
      <c r="G96" s="839"/>
      <c r="H96" s="839"/>
      <c r="I96" s="839"/>
      <c r="J96" s="839"/>
    </row>
    <row r="97" spans="1:10" ht="15" thickBot="1"/>
    <row r="98" spans="1:10">
      <c r="A98" s="855" t="s">
        <v>5875</v>
      </c>
      <c r="B98" s="856"/>
      <c r="C98" s="856"/>
      <c r="D98" s="857"/>
      <c r="E98" s="856"/>
      <c r="F98" s="856"/>
      <c r="G98" s="857"/>
      <c r="H98" s="857"/>
      <c r="I98" s="857"/>
      <c r="J98" s="858"/>
    </row>
    <row r="99" spans="1:10">
      <c r="A99" s="325" t="s">
        <v>5817</v>
      </c>
      <c r="B99" s="326" t="s">
        <v>77</v>
      </c>
      <c r="C99" s="326" t="s">
        <v>5818</v>
      </c>
      <c r="D99" s="326" t="s">
        <v>5819</v>
      </c>
      <c r="E99" s="326" t="s">
        <v>5841</v>
      </c>
      <c r="F99" s="326" t="s">
        <v>5808</v>
      </c>
      <c r="G99" s="859" t="s">
        <v>5842</v>
      </c>
      <c r="H99" s="859"/>
      <c r="I99" s="859"/>
      <c r="J99" s="860"/>
    </row>
    <row r="100" spans="1:10" ht="26.4">
      <c r="A100" s="327" t="s">
        <v>5820</v>
      </c>
      <c r="B100" s="337" t="s">
        <v>484</v>
      </c>
      <c r="C100" s="329">
        <v>0</v>
      </c>
      <c r="D100" s="329">
        <v>0</v>
      </c>
      <c r="E100" s="196" t="s">
        <v>5881</v>
      </c>
      <c r="F100" s="329">
        <f>IF(AND(C100&lt;&gt;"",D100&lt;&gt;""),D100-C100,"")</f>
        <v>0</v>
      </c>
      <c r="G100" s="861"/>
      <c r="H100" s="861"/>
      <c r="I100" s="861"/>
      <c r="J100" s="862"/>
    </row>
    <row r="101" spans="1:10" ht="26.4">
      <c r="A101" s="330" t="s">
        <v>5821</v>
      </c>
      <c r="B101" s="337" t="s">
        <v>484</v>
      </c>
      <c r="C101" s="331">
        <v>1</v>
      </c>
      <c r="D101" s="331">
        <v>0</v>
      </c>
      <c r="E101" s="314" t="s">
        <v>5882</v>
      </c>
      <c r="F101" s="331">
        <f>IF(AND(C101&lt;&gt;"",D101&lt;&gt;""),D101-C101,"")</f>
        <v>-1</v>
      </c>
      <c r="G101" s="863"/>
      <c r="H101" s="863"/>
      <c r="I101" s="863"/>
      <c r="J101" s="864"/>
    </row>
    <row r="102" spans="1:10">
      <c r="A102" s="327" t="s">
        <v>5822</v>
      </c>
      <c r="B102" s="337" t="s">
        <v>484</v>
      </c>
      <c r="C102" s="331">
        <v>1</v>
      </c>
      <c r="D102" s="331">
        <v>0</v>
      </c>
      <c r="E102" s="314" t="s">
        <v>5882</v>
      </c>
      <c r="F102" s="329">
        <f>IF(AND(C102&lt;&gt;"",D102&lt;&gt;""),D102-C102,"")</f>
        <v>-1</v>
      </c>
      <c r="G102" s="332"/>
      <c r="H102" s="231"/>
      <c r="I102" s="231"/>
      <c r="J102" s="333"/>
    </row>
    <row r="103" spans="1:10">
      <c r="A103" s="330" t="s">
        <v>5823</v>
      </c>
      <c r="B103" s="337" t="s">
        <v>484</v>
      </c>
      <c r="C103" s="331">
        <v>1</v>
      </c>
      <c r="D103" s="331">
        <v>0</v>
      </c>
      <c r="E103" s="314" t="s">
        <v>5882</v>
      </c>
      <c r="F103" s="331">
        <f>IF(AND(C103&lt;&gt;"",D103&lt;&gt;""),D103-C103,"")</f>
        <v>-1</v>
      </c>
      <c r="G103" s="863"/>
      <c r="H103" s="863"/>
      <c r="I103" s="863"/>
      <c r="J103" s="864"/>
    </row>
    <row r="104" spans="1:10">
      <c r="A104" s="327" t="s">
        <v>5168</v>
      </c>
      <c r="B104" s="337" t="s">
        <v>484</v>
      </c>
      <c r="C104" s="331">
        <v>1</v>
      </c>
      <c r="D104" s="331">
        <v>0</v>
      </c>
      <c r="E104" s="314" t="s">
        <v>5882</v>
      </c>
      <c r="F104" s="329">
        <f>IF(AND(C104&lt;&gt;"",D104&lt;&gt;""),D104-C104,"")</f>
        <v>-1</v>
      </c>
      <c r="G104" s="332"/>
      <c r="H104" s="231"/>
      <c r="I104" s="231"/>
      <c r="J104" s="333"/>
    </row>
    <row r="105" spans="1:10" ht="15.6">
      <c r="A105" s="865" t="s">
        <v>5843</v>
      </c>
      <c r="B105" s="713"/>
      <c r="C105" s="334">
        <f>IFERROR(AVERAGE(C100:C104),"")</f>
        <v>0.8</v>
      </c>
      <c r="D105" s="334">
        <f>IFERROR(AVERAGE(D100:D104),"")</f>
        <v>0</v>
      </c>
      <c r="E105" s="866" t="s">
        <v>5844</v>
      </c>
      <c r="F105" s="866"/>
      <c r="G105" s="866"/>
      <c r="H105" s="866"/>
      <c r="I105" s="866"/>
      <c r="J105" s="867"/>
    </row>
    <row r="106" spans="1:10">
      <c r="A106" s="335"/>
      <c r="B106" s="320"/>
      <c r="C106" s="320"/>
      <c r="D106" s="320"/>
      <c r="E106" s="320"/>
      <c r="F106" s="320"/>
      <c r="G106" s="320"/>
      <c r="H106" s="231"/>
      <c r="I106" s="231"/>
      <c r="J106" s="333"/>
    </row>
    <row r="107" spans="1:10">
      <c r="A107" s="876" t="s">
        <v>5876</v>
      </c>
      <c r="B107" s="853"/>
      <c r="C107" s="853"/>
      <c r="D107" s="842"/>
      <c r="E107" s="853"/>
      <c r="F107" s="853"/>
      <c r="G107" s="842"/>
      <c r="H107" s="842"/>
      <c r="I107" s="842"/>
      <c r="J107" s="868"/>
    </row>
    <row r="108" spans="1:10">
      <c r="A108" s="325" t="s">
        <v>4946</v>
      </c>
      <c r="B108" s="326" t="s">
        <v>77</v>
      </c>
      <c r="C108" s="326" t="s">
        <v>5883</v>
      </c>
      <c r="D108" s="326" t="s">
        <v>482</v>
      </c>
      <c r="E108" s="326" t="s">
        <v>572</v>
      </c>
      <c r="F108" s="326" t="s">
        <v>5846</v>
      </c>
      <c r="G108" s="859" t="s">
        <v>5847</v>
      </c>
      <c r="H108" s="859"/>
      <c r="I108" s="859"/>
      <c r="J108" s="860"/>
    </row>
    <row r="109" spans="1:10" ht="26.4">
      <c r="A109" s="330" t="s">
        <v>5809</v>
      </c>
      <c r="B109" s="337" t="s">
        <v>484</v>
      </c>
      <c r="C109" s="336" t="s">
        <v>679</v>
      </c>
      <c r="D109" s="328" t="s">
        <v>679</v>
      </c>
      <c r="E109" s="336">
        <f>IF(D109="Yes",1,0)</f>
        <v>0</v>
      </c>
      <c r="F109" s="877"/>
      <c r="G109" s="877"/>
      <c r="H109" s="877"/>
      <c r="I109" s="877"/>
      <c r="J109" s="878"/>
    </row>
    <row r="110" spans="1:10">
      <c r="A110" s="327" t="s">
        <v>995</v>
      </c>
      <c r="B110" s="337" t="s">
        <v>484</v>
      </c>
      <c r="C110" s="336" t="s">
        <v>679</v>
      </c>
      <c r="D110" s="328" t="s">
        <v>679</v>
      </c>
      <c r="E110" s="328">
        <f t="shared" ref="E110:E116" si="0">IF(D110="Yes",1,0)</f>
        <v>0</v>
      </c>
      <c r="F110" s="877"/>
      <c r="G110" s="877"/>
      <c r="H110" s="877"/>
      <c r="I110" s="877"/>
      <c r="J110" s="878"/>
    </row>
    <row r="111" spans="1:10">
      <c r="A111" s="330" t="s">
        <v>5810</v>
      </c>
      <c r="B111" s="337" t="s">
        <v>484</v>
      </c>
      <c r="C111" s="336" t="s">
        <v>679</v>
      </c>
      <c r="D111" s="328" t="s">
        <v>679</v>
      </c>
      <c r="E111" s="336">
        <f t="shared" si="0"/>
        <v>0</v>
      </c>
      <c r="F111" s="877"/>
      <c r="G111" s="877"/>
      <c r="H111" s="877"/>
      <c r="I111" s="877"/>
      <c r="J111" s="878"/>
    </row>
    <row r="112" spans="1:10">
      <c r="A112" s="327" t="s">
        <v>5824</v>
      </c>
      <c r="B112" s="337" t="s">
        <v>484</v>
      </c>
      <c r="C112" s="336" t="s">
        <v>679</v>
      </c>
      <c r="D112" s="328" t="s">
        <v>679</v>
      </c>
      <c r="E112" s="328">
        <f t="shared" si="0"/>
        <v>0</v>
      </c>
      <c r="F112" s="877"/>
      <c r="G112" s="877"/>
      <c r="H112" s="877"/>
      <c r="I112" s="877"/>
      <c r="J112" s="878"/>
    </row>
    <row r="113" spans="1:10" ht="39.6">
      <c r="A113" s="330" t="s">
        <v>5825</v>
      </c>
      <c r="B113" s="337" t="s">
        <v>484</v>
      </c>
      <c r="C113" s="336" t="s">
        <v>679</v>
      </c>
      <c r="D113" s="328" t="s">
        <v>679</v>
      </c>
      <c r="E113" s="336">
        <f t="shared" si="0"/>
        <v>0</v>
      </c>
      <c r="F113" s="877"/>
      <c r="G113" s="877"/>
      <c r="H113" s="877"/>
      <c r="I113" s="877"/>
      <c r="J113" s="878"/>
    </row>
    <row r="114" spans="1:10" ht="26.4">
      <c r="A114" s="327" t="s">
        <v>5826</v>
      </c>
      <c r="B114" s="337" t="s">
        <v>484</v>
      </c>
      <c r="C114" s="336" t="s">
        <v>679</v>
      </c>
      <c r="D114" s="328" t="s">
        <v>679</v>
      </c>
      <c r="E114" s="328">
        <f t="shared" si="0"/>
        <v>0</v>
      </c>
      <c r="F114" s="877"/>
      <c r="G114" s="877"/>
      <c r="H114" s="877"/>
      <c r="I114" s="877"/>
      <c r="J114" s="878"/>
    </row>
    <row r="115" spans="1:10">
      <c r="A115" s="330" t="s">
        <v>5811</v>
      </c>
      <c r="B115" s="337" t="s">
        <v>484</v>
      </c>
      <c r="C115" s="336" t="s">
        <v>679</v>
      </c>
      <c r="D115" s="328" t="s">
        <v>679</v>
      </c>
      <c r="E115" s="336">
        <f t="shared" si="0"/>
        <v>0</v>
      </c>
      <c r="F115" s="877"/>
      <c r="G115" s="877"/>
      <c r="H115" s="877"/>
      <c r="I115" s="877"/>
      <c r="J115" s="878"/>
    </row>
    <row r="116" spans="1:10" ht="26.4">
      <c r="A116" s="327" t="s">
        <v>5812</v>
      </c>
      <c r="B116" s="337" t="s">
        <v>484</v>
      </c>
      <c r="C116" s="336" t="s">
        <v>679</v>
      </c>
      <c r="D116" s="328" t="s">
        <v>679</v>
      </c>
      <c r="E116" s="328">
        <f t="shared" si="0"/>
        <v>0</v>
      </c>
      <c r="F116" s="877"/>
      <c r="G116" s="877"/>
      <c r="H116" s="877"/>
      <c r="I116" s="877"/>
      <c r="J116" s="878"/>
    </row>
    <row r="117" spans="1:10" ht="15.6">
      <c r="A117" s="865" t="s">
        <v>5848</v>
      </c>
      <c r="B117" s="713"/>
      <c r="C117" s="871" t="str">
        <f>IFERROR(SUM(E109:E116)/COUNTIF(C109:C116,"Yes"),"")</f>
        <v/>
      </c>
      <c r="D117" s="872"/>
      <c r="E117" s="866" t="s">
        <v>5849</v>
      </c>
      <c r="F117" s="866"/>
      <c r="G117" s="866"/>
      <c r="H117" s="866"/>
      <c r="I117" s="866"/>
      <c r="J117" s="867"/>
    </row>
    <row r="118" spans="1:10">
      <c r="A118" s="335"/>
      <c r="B118" s="320"/>
      <c r="C118" s="320"/>
      <c r="D118" s="320"/>
      <c r="E118" s="320"/>
      <c r="F118" s="320"/>
      <c r="G118" s="320"/>
      <c r="H118" s="231"/>
      <c r="I118" s="231"/>
      <c r="J118" s="333"/>
    </row>
    <row r="119" spans="1:10">
      <c r="A119" s="876" t="s">
        <v>5877</v>
      </c>
      <c r="B119" s="853"/>
      <c r="C119" s="853"/>
      <c r="D119" s="842"/>
      <c r="E119" s="853"/>
      <c r="F119" s="853"/>
      <c r="G119" s="842"/>
      <c r="H119" s="842"/>
      <c r="I119" s="842"/>
      <c r="J119" s="868"/>
    </row>
    <row r="120" spans="1:10">
      <c r="A120" s="325" t="s">
        <v>5850</v>
      </c>
      <c r="B120" s="326" t="s">
        <v>77</v>
      </c>
      <c r="C120" s="326" t="s">
        <v>5827</v>
      </c>
      <c r="D120" s="326" t="s">
        <v>5828</v>
      </c>
      <c r="E120" s="326" t="s">
        <v>5829</v>
      </c>
      <c r="F120" s="326" t="s">
        <v>5851</v>
      </c>
      <c r="G120" s="859" t="s">
        <v>5852</v>
      </c>
      <c r="H120" s="859"/>
      <c r="I120" s="859"/>
      <c r="J120" s="860"/>
    </row>
    <row r="121" spans="1:10" ht="26.4">
      <c r="A121" s="330" t="s">
        <v>5830</v>
      </c>
      <c r="B121" s="336" t="s">
        <v>484</v>
      </c>
      <c r="C121" s="336" t="s">
        <v>1096</v>
      </c>
      <c r="D121" s="336" t="s">
        <v>1096</v>
      </c>
      <c r="E121" s="336" t="s">
        <v>1096</v>
      </c>
      <c r="F121" s="336" t="s">
        <v>348</v>
      </c>
      <c r="G121" s="869"/>
      <c r="H121" s="869"/>
      <c r="I121" s="869"/>
      <c r="J121" s="870"/>
    </row>
    <row r="122" spans="1:10">
      <c r="A122" s="327" t="s">
        <v>5831</v>
      </c>
      <c r="B122" s="336" t="s">
        <v>484</v>
      </c>
      <c r="C122" s="336" t="s">
        <v>1096</v>
      </c>
      <c r="D122" s="336" t="s">
        <v>1096</v>
      </c>
      <c r="E122" s="336" t="s">
        <v>1096</v>
      </c>
      <c r="F122" s="336" t="s">
        <v>348</v>
      </c>
      <c r="G122" s="869"/>
      <c r="H122" s="869"/>
      <c r="I122" s="869"/>
      <c r="J122" s="870"/>
    </row>
    <row r="123" spans="1:10">
      <c r="A123" s="330" t="s">
        <v>5853</v>
      </c>
      <c r="B123" s="336" t="s">
        <v>484</v>
      </c>
      <c r="C123" s="336" t="s">
        <v>1096</v>
      </c>
      <c r="D123" s="336" t="s">
        <v>1096</v>
      </c>
      <c r="E123" s="336" t="s">
        <v>1096</v>
      </c>
      <c r="F123" s="336" t="s">
        <v>348</v>
      </c>
      <c r="G123" s="869"/>
      <c r="H123" s="869"/>
      <c r="I123" s="869"/>
      <c r="J123" s="870"/>
    </row>
    <row r="124" spans="1:10">
      <c r="A124" s="327" t="s">
        <v>5832</v>
      </c>
      <c r="B124" s="336" t="s">
        <v>484</v>
      </c>
      <c r="C124" s="336" t="s">
        <v>1096</v>
      </c>
      <c r="D124" s="336" t="s">
        <v>1096</v>
      </c>
      <c r="E124" s="336" t="s">
        <v>1096</v>
      </c>
      <c r="F124" s="336" t="s">
        <v>348</v>
      </c>
      <c r="G124" s="869"/>
      <c r="H124" s="869"/>
      <c r="I124" s="869"/>
      <c r="J124" s="870"/>
    </row>
    <row r="125" spans="1:10" ht="26.4">
      <c r="A125" s="330" t="s">
        <v>5833</v>
      </c>
      <c r="B125" s="336" t="s">
        <v>484</v>
      </c>
      <c r="C125" s="336" t="s">
        <v>1096</v>
      </c>
      <c r="D125" s="336" t="s">
        <v>1096</v>
      </c>
      <c r="E125" s="336" t="s">
        <v>1096</v>
      </c>
      <c r="F125" s="336" t="s">
        <v>348</v>
      </c>
      <c r="G125" s="869"/>
      <c r="H125" s="869"/>
      <c r="I125" s="869"/>
      <c r="J125" s="870"/>
    </row>
    <row r="126" spans="1:10" ht="15.6">
      <c r="A126" s="865" t="s">
        <v>5884</v>
      </c>
      <c r="B126" s="713"/>
      <c r="C126" s="871">
        <f>IFERROR(COUNTIF(E121:E125,"Yes")/COUNTA(A121:A125),"")</f>
        <v>0</v>
      </c>
      <c r="D126" s="872"/>
      <c r="E126" s="866" t="s">
        <v>5855</v>
      </c>
      <c r="F126" s="866"/>
      <c r="G126" s="866"/>
      <c r="H126" s="866"/>
      <c r="I126" s="866"/>
      <c r="J126" s="867"/>
    </row>
    <row r="127" spans="1:10">
      <c r="A127" s="335"/>
      <c r="B127" s="320"/>
      <c r="C127" s="320"/>
      <c r="D127" s="320"/>
      <c r="E127" s="320"/>
      <c r="F127" s="320"/>
      <c r="G127" s="874"/>
      <c r="H127" s="874"/>
      <c r="I127" s="874"/>
      <c r="J127" s="875"/>
    </row>
    <row r="128" spans="1:10">
      <c r="A128" s="876" t="s">
        <v>5878</v>
      </c>
      <c r="B128" s="853"/>
      <c r="C128" s="853"/>
      <c r="D128" s="842"/>
      <c r="E128" s="853"/>
      <c r="F128" s="853"/>
      <c r="G128" s="842"/>
      <c r="H128" s="842"/>
      <c r="I128" s="842"/>
      <c r="J128" s="868"/>
    </row>
    <row r="129" spans="1:10">
      <c r="A129" s="326" t="s">
        <v>5813</v>
      </c>
      <c r="B129" s="326" t="s">
        <v>77</v>
      </c>
      <c r="C129" s="326" t="s">
        <v>5834</v>
      </c>
      <c r="D129" s="326" t="s">
        <v>5835</v>
      </c>
      <c r="E129" s="326" t="s">
        <v>5836</v>
      </c>
      <c r="F129" s="326" t="s">
        <v>5837</v>
      </c>
      <c r="G129" s="859" t="s">
        <v>5885</v>
      </c>
      <c r="H129" s="859"/>
      <c r="I129" s="859"/>
      <c r="J129" s="859"/>
    </row>
    <row r="130" spans="1:10">
      <c r="A130" s="332" t="s">
        <v>153</v>
      </c>
      <c r="B130" s="328" t="s">
        <v>484</v>
      </c>
      <c r="C130" s="328"/>
      <c r="D130" s="328"/>
      <c r="E130" s="328"/>
      <c r="F130" s="329" t="str">
        <f>IFERROR(D130/C130,"")</f>
        <v/>
      </c>
      <c r="G130" s="873"/>
      <c r="H130" s="873"/>
      <c r="I130" s="873"/>
      <c r="J130" s="873"/>
    </row>
    <row r="131" spans="1:10">
      <c r="A131" s="339" t="s">
        <v>155</v>
      </c>
      <c r="B131" s="336" t="s">
        <v>484</v>
      </c>
      <c r="C131" s="336"/>
      <c r="D131" s="336"/>
      <c r="E131" s="336"/>
      <c r="F131" s="331" t="str">
        <f>IFERROR(D131/C131,"")</f>
        <v/>
      </c>
      <c r="G131" s="873"/>
      <c r="H131" s="873"/>
      <c r="I131" s="873"/>
      <c r="J131" s="873"/>
    </row>
    <row r="132" spans="1:10">
      <c r="A132" s="332" t="s">
        <v>4821</v>
      </c>
      <c r="B132" s="328" t="s">
        <v>484</v>
      </c>
      <c r="C132" s="328"/>
      <c r="D132" s="328"/>
      <c r="E132" s="328"/>
      <c r="F132" s="329" t="str">
        <f>IFERROR(D132/C132,"")</f>
        <v/>
      </c>
      <c r="G132" s="873"/>
      <c r="H132" s="873"/>
      <c r="I132" s="873"/>
      <c r="J132" s="873"/>
    </row>
    <row r="133" spans="1:10">
      <c r="A133" s="339" t="s">
        <v>957</v>
      </c>
      <c r="B133" s="336" t="s">
        <v>484</v>
      </c>
      <c r="C133" s="336"/>
      <c r="D133" s="336"/>
      <c r="E133" s="336"/>
      <c r="F133" s="331" t="str">
        <f>IFERROR(D133/C133,"")</f>
        <v/>
      </c>
      <c r="G133" s="873"/>
      <c r="H133" s="873"/>
      <c r="I133" s="873"/>
      <c r="J133" s="873"/>
    </row>
    <row r="134" spans="1:10">
      <c r="A134" s="879" t="s">
        <v>5856</v>
      </c>
      <c r="B134" s="879"/>
      <c r="C134" s="879"/>
      <c r="D134" s="879"/>
      <c r="E134" s="866" t="s">
        <v>5857</v>
      </c>
      <c r="F134" s="866"/>
      <c r="G134" s="866"/>
      <c r="H134" s="866"/>
      <c r="I134" s="866"/>
      <c r="J134" s="866"/>
    </row>
    <row r="135" spans="1:10">
      <c r="A135" s="879"/>
      <c r="B135" s="879"/>
      <c r="C135" s="879"/>
      <c r="D135" s="879"/>
      <c r="E135" s="866"/>
      <c r="F135" s="866"/>
      <c r="G135" s="866"/>
      <c r="H135" s="866"/>
      <c r="I135" s="866"/>
      <c r="J135" s="866"/>
    </row>
    <row r="136" spans="1:10">
      <c r="A136" s="842" t="s">
        <v>5879</v>
      </c>
      <c r="B136" s="842"/>
      <c r="C136" s="842"/>
      <c r="D136" s="842"/>
      <c r="E136" s="842"/>
      <c r="F136" s="842"/>
      <c r="G136" s="842"/>
      <c r="H136" s="842"/>
      <c r="I136" s="842"/>
      <c r="J136" s="842"/>
    </row>
    <row r="137" spans="1:10">
      <c r="A137" s="326" t="s">
        <v>4946</v>
      </c>
      <c r="B137" s="326" t="s">
        <v>77</v>
      </c>
      <c r="C137" s="326" t="s">
        <v>5845</v>
      </c>
      <c r="D137" s="326" t="s">
        <v>482</v>
      </c>
      <c r="E137" s="326" t="s">
        <v>572</v>
      </c>
      <c r="F137" s="326" t="s">
        <v>944</v>
      </c>
      <c r="G137" s="859" t="s">
        <v>5847</v>
      </c>
      <c r="H137" s="859"/>
      <c r="I137" s="859"/>
      <c r="J137" s="859"/>
    </row>
    <row r="138" spans="1:10" ht="26.4">
      <c r="A138" s="332" t="s">
        <v>5814</v>
      </c>
      <c r="B138" s="328" t="s">
        <v>484</v>
      </c>
      <c r="C138" s="328" t="s">
        <v>392</v>
      </c>
      <c r="D138" s="328" t="s">
        <v>1096</v>
      </c>
      <c r="E138" s="328">
        <f t="shared" ref="E138:E143" si="1">IF(D138="Yes",1,0)</f>
        <v>0</v>
      </c>
      <c r="F138" s="328"/>
      <c r="G138" s="873"/>
      <c r="H138" s="873"/>
      <c r="I138" s="873"/>
      <c r="J138" s="873"/>
    </row>
    <row r="139" spans="1:10">
      <c r="A139" s="339" t="s">
        <v>5815</v>
      </c>
      <c r="B139" s="328" t="s">
        <v>484</v>
      </c>
      <c r="C139" s="336" t="s">
        <v>392</v>
      </c>
      <c r="D139" s="328" t="s">
        <v>1096</v>
      </c>
      <c r="E139" s="336">
        <f t="shared" si="1"/>
        <v>0</v>
      </c>
      <c r="F139" s="336"/>
      <c r="G139" s="873"/>
      <c r="H139" s="873"/>
      <c r="I139" s="873"/>
      <c r="J139" s="873"/>
    </row>
    <row r="140" spans="1:10" ht="26.4">
      <c r="A140" s="332" t="s">
        <v>5816</v>
      </c>
      <c r="B140" s="328" t="s">
        <v>484</v>
      </c>
      <c r="C140" s="328" t="s">
        <v>392</v>
      </c>
      <c r="D140" s="328" t="s">
        <v>1096</v>
      </c>
      <c r="E140" s="328">
        <f t="shared" si="1"/>
        <v>0</v>
      </c>
      <c r="F140" s="328"/>
      <c r="G140" s="873"/>
      <c r="H140" s="873"/>
      <c r="I140" s="873"/>
      <c r="J140" s="873"/>
    </row>
    <row r="141" spans="1:10">
      <c r="A141" s="339" t="s">
        <v>5838</v>
      </c>
      <c r="B141" s="328" t="s">
        <v>484</v>
      </c>
      <c r="C141" s="336" t="s">
        <v>392</v>
      </c>
      <c r="D141" s="328" t="s">
        <v>1096</v>
      </c>
      <c r="E141" s="336">
        <f t="shared" si="1"/>
        <v>0</v>
      </c>
      <c r="F141" s="336"/>
      <c r="G141" s="873"/>
      <c r="H141" s="873"/>
      <c r="I141" s="873"/>
      <c r="J141" s="873"/>
    </row>
    <row r="142" spans="1:10" ht="26.4">
      <c r="A142" s="332" t="s">
        <v>5839</v>
      </c>
      <c r="B142" s="328" t="s">
        <v>484</v>
      </c>
      <c r="C142" s="328" t="s">
        <v>392</v>
      </c>
      <c r="D142" s="328" t="s">
        <v>1096</v>
      </c>
      <c r="E142" s="328">
        <f t="shared" si="1"/>
        <v>0</v>
      </c>
      <c r="F142" s="328"/>
      <c r="G142" s="873"/>
      <c r="H142" s="873"/>
      <c r="I142" s="873"/>
      <c r="J142" s="873"/>
    </row>
    <row r="143" spans="1:10" ht="26.4">
      <c r="A143" s="339" t="s">
        <v>5840</v>
      </c>
      <c r="B143" s="328" t="s">
        <v>484</v>
      </c>
      <c r="C143" s="336" t="s">
        <v>392</v>
      </c>
      <c r="D143" s="336" t="s">
        <v>1096</v>
      </c>
      <c r="E143" s="336">
        <f t="shared" si="1"/>
        <v>0</v>
      </c>
      <c r="F143" s="336"/>
      <c r="G143" s="873"/>
      <c r="H143" s="873"/>
      <c r="I143" s="873"/>
      <c r="J143" s="873"/>
    </row>
    <row r="144" spans="1:10" ht="15.6">
      <c r="A144" s="880" t="s">
        <v>5858</v>
      </c>
      <c r="B144" s="713"/>
      <c r="C144" s="871">
        <f>IFERROR(SUM(E138:E143)/COUNTIF(C138:C143,"Yes"),"")</f>
        <v>0</v>
      </c>
      <c r="D144" s="872"/>
      <c r="E144" s="866" t="s">
        <v>5859</v>
      </c>
      <c r="F144" s="866"/>
      <c r="G144" s="866"/>
      <c r="H144" s="866"/>
      <c r="I144" s="866"/>
      <c r="J144" s="866"/>
    </row>
    <row r="145" spans="1:10">
      <c r="A145" s="196"/>
      <c r="B145" s="196"/>
      <c r="C145" s="196"/>
      <c r="D145" s="196"/>
      <c r="E145" s="196"/>
      <c r="F145" s="196"/>
      <c r="G145" s="196"/>
      <c r="H145" s="196"/>
      <c r="I145" s="196"/>
      <c r="J145" s="196"/>
    </row>
    <row r="146" spans="1:10">
      <c r="A146" s="842" t="s">
        <v>5880</v>
      </c>
      <c r="B146" s="853"/>
      <c r="C146" s="853"/>
      <c r="D146" s="321"/>
      <c r="E146" s="321"/>
      <c r="F146" s="321"/>
      <c r="G146" s="321"/>
      <c r="H146" s="321"/>
      <c r="I146" s="321"/>
      <c r="J146" s="321"/>
    </row>
    <row r="147" spans="1:10" ht="55.2">
      <c r="A147" s="322" t="s">
        <v>905</v>
      </c>
      <c r="B147" s="322" t="s">
        <v>830</v>
      </c>
      <c r="C147" s="322"/>
      <c r="D147" s="322"/>
      <c r="E147" s="322"/>
      <c r="F147" s="322"/>
      <c r="G147" s="322"/>
      <c r="H147" s="322"/>
      <c r="I147" s="322"/>
      <c r="J147" s="322"/>
    </row>
    <row r="148" spans="1:10">
      <c r="A148" s="319" t="s">
        <v>1086</v>
      </c>
      <c r="B148" s="852" t="s">
        <v>3292</v>
      </c>
      <c r="C148" s="853"/>
      <c r="D148" s="853"/>
      <c r="E148" s="853"/>
      <c r="F148" s="853"/>
      <c r="G148" s="853"/>
      <c r="H148" s="853"/>
      <c r="I148" s="853"/>
      <c r="J148" s="853"/>
    </row>
    <row r="149" spans="1:10" ht="27.6">
      <c r="A149" s="319" t="s">
        <v>2090</v>
      </c>
      <c r="B149" s="852" t="s">
        <v>3293</v>
      </c>
      <c r="C149" s="853"/>
      <c r="D149" s="853"/>
      <c r="E149" s="853"/>
      <c r="F149" s="853"/>
      <c r="G149" s="853"/>
      <c r="H149" s="853"/>
      <c r="I149" s="853"/>
      <c r="J149" s="853"/>
    </row>
    <row r="150" spans="1:10">
      <c r="A150" s="319" t="s">
        <v>1089</v>
      </c>
      <c r="B150" s="852" t="s">
        <v>3294</v>
      </c>
      <c r="C150" s="853"/>
      <c r="D150" s="853"/>
      <c r="E150" s="853"/>
      <c r="F150" s="853"/>
      <c r="G150" s="853"/>
      <c r="H150" s="853"/>
      <c r="I150" s="853"/>
      <c r="J150" s="853"/>
    </row>
    <row r="151" spans="1:10">
      <c r="A151" s="319" t="s">
        <v>1090</v>
      </c>
      <c r="B151" s="852" t="s">
        <v>3295</v>
      </c>
      <c r="C151" s="853"/>
      <c r="D151" s="853"/>
      <c r="E151" s="853"/>
      <c r="F151" s="853"/>
      <c r="G151" s="853"/>
      <c r="H151" s="853"/>
      <c r="I151" s="853"/>
      <c r="J151" s="853"/>
    </row>
    <row r="152" spans="1:10">
      <c r="A152" s="319" t="s">
        <v>1088</v>
      </c>
      <c r="B152" s="852" t="s">
        <v>3296</v>
      </c>
      <c r="C152" s="853"/>
      <c r="D152" s="853"/>
      <c r="E152" s="853"/>
      <c r="F152" s="853"/>
      <c r="G152" s="853"/>
      <c r="H152" s="853"/>
      <c r="I152" s="853"/>
      <c r="J152" s="853"/>
    </row>
    <row r="153" spans="1:10" ht="27.6">
      <c r="A153" s="319" t="s">
        <v>3297</v>
      </c>
      <c r="B153" s="852" t="s">
        <v>3298</v>
      </c>
      <c r="C153" s="853"/>
      <c r="D153" s="853"/>
      <c r="E153" s="853"/>
      <c r="F153" s="853"/>
      <c r="G153" s="853"/>
      <c r="H153" s="853"/>
      <c r="I153" s="853"/>
      <c r="J153" s="853"/>
    </row>
    <row r="154" spans="1:10">
      <c r="A154" s="319" t="s">
        <v>1563</v>
      </c>
      <c r="B154" s="852" t="s">
        <v>1776</v>
      </c>
      <c r="C154" s="853"/>
      <c r="D154" s="853"/>
      <c r="E154" s="853"/>
      <c r="F154" s="853"/>
      <c r="G154" s="853"/>
      <c r="H154" s="853"/>
      <c r="I154" s="853"/>
      <c r="J154" s="853"/>
    </row>
    <row r="155" spans="1:10">
      <c r="A155" s="231"/>
      <c r="B155" s="231"/>
      <c r="C155" s="231"/>
      <c r="D155" s="231"/>
      <c r="E155" s="231"/>
      <c r="F155" s="231"/>
      <c r="G155" s="231"/>
      <c r="H155" s="231"/>
      <c r="I155" s="231"/>
      <c r="J155" s="231"/>
    </row>
    <row r="156" spans="1:10" ht="17.399999999999999">
      <c r="A156" s="827" t="s">
        <v>5769</v>
      </c>
      <c r="B156" s="827"/>
      <c r="C156" s="827"/>
      <c r="D156" s="827"/>
      <c r="E156" s="827"/>
      <c r="F156" s="827"/>
      <c r="G156" s="827"/>
      <c r="H156" s="827"/>
      <c r="I156" s="231"/>
      <c r="J156" s="231"/>
    </row>
    <row r="157" spans="1:10">
      <c r="A157" s="276" t="s">
        <v>2</v>
      </c>
      <c r="B157" s="828" t="s">
        <v>5770</v>
      </c>
      <c r="C157" s="828"/>
      <c r="D157" s="828"/>
      <c r="E157" s="828"/>
      <c r="F157" s="828"/>
      <c r="G157" s="828"/>
      <c r="H157" s="828"/>
      <c r="I157" s="231"/>
      <c r="J157" s="231"/>
    </row>
    <row r="158" spans="1:10">
      <c r="A158" s="276" t="s">
        <v>5771</v>
      </c>
      <c r="B158" s="828" t="s">
        <v>5772</v>
      </c>
      <c r="C158" s="828"/>
      <c r="D158" s="828"/>
      <c r="E158" s="828"/>
      <c r="F158" s="828"/>
      <c r="G158" s="828"/>
      <c r="H158" s="828"/>
      <c r="I158" s="231"/>
      <c r="J158" s="231"/>
    </row>
    <row r="159" spans="1:10">
      <c r="A159" s="196"/>
      <c r="B159" s="196"/>
      <c r="C159" s="196"/>
      <c r="D159" s="196"/>
      <c r="E159" s="196"/>
      <c r="F159" s="196"/>
      <c r="G159" s="196"/>
      <c r="H159" s="196"/>
      <c r="I159" s="231"/>
      <c r="J159" s="231"/>
    </row>
    <row r="160" spans="1:10">
      <c r="A160" s="323" t="s">
        <v>4946</v>
      </c>
      <c r="B160" s="323" t="s">
        <v>77</v>
      </c>
      <c r="C160" s="323" t="s">
        <v>5773</v>
      </c>
      <c r="D160" s="323" t="s">
        <v>263</v>
      </c>
      <c r="E160" s="323" t="s">
        <v>216</v>
      </c>
      <c r="F160" s="323" t="s">
        <v>5774</v>
      </c>
      <c r="G160" s="323" t="s">
        <v>5775</v>
      </c>
      <c r="H160" s="323" t="s">
        <v>5776</v>
      </c>
      <c r="I160" s="231"/>
      <c r="J160" s="231"/>
    </row>
    <row r="161" spans="1:10" ht="26.4">
      <c r="A161" s="277" t="s">
        <v>5777</v>
      </c>
      <c r="B161" s="278" t="s">
        <v>1096</v>
      </c>
      <c r="C161" s="277"/>
      <c r="D161" s="277"/>
      <c r="E161" s="277"/>
      <c r="F161" s="277"/>
      <c r="G161" s="279" t="str">
        <f t="shared" ref="G161:G168" si="2">IF(OR(B161="Yes",B161="N/A"),"🟢","🟡")</f>
        <v>🟡</v>
      </c>
      <c r="H161" s="277"/>
      <c r="I161" s="231"/>
      <c r="J161" s="231"/>
    </row>
    <row r="162" spans="1:10">
      <c r="A162" s="277" t="s">
        <v>5778</v>
      </c>
      <c r="B162" s="278" t="s">
        <v>1096</v>
      </c>
      <c r="C162" s="277"/>
      <c r="D162" s="277"/>
      <c r="E162" s="277"/>
      <c r="F162" s="277"/>
      <c r="G162" s="279" t="str">
        <f t="shared" si="2"/>
        <v>🟡</v>
      </c>
      <c r="H162" s="277"/>
      <c r="I162" s="231"/>
      <c r="J162" s="231"/>
    </row>
    <row r="163" spans="1:10">
      <c r="A163" s="277" t="s">
        <v>5779</v>
      </c>
      <c r="B163" s="278" t="s">
        <v>1096</v>
      </c>
      <c r="C163" s="277"/>
      <c r="D163" s="277"/>
      <c r="E163" s="277"/>
      <c r="F163" s="277"/>
      <c r="G163" s="279" t="str">
        <f t="shared" si="2"/>
        <v>🟡</v>
      </c>
      <c r="H163" s="277"/>
      <c r="I163" s="231"/>
      <c r="J163" s="231"/>
    </row>
    <row r="164" spans="1:10">
      <c r="A164" s="277" t="s">
        <v>5168</v>
      </c>
      <c r="B164" s="278" t="s">
        <v>1096</v>
      </c>
      <c r="C164" s="277"/>
      <c r="D164" s="277"/>
      <c r="E164" s="277"/>
      <c r="F164" s="277"/>
      <c r="G164" s="279" t="str">
        <f t="shared" si="2"/>
        <v>🟡</v>
      </c>
      <c r="H164" s="277"/>
      <c r="I164" s="231"/>
      <c r="J164" s="231"/>
    </row>
    <row r="165" spans="1:10">
      <c r="A165" s="277" t="s">
        <v>5780</v>
      </c>
      <c r="B165" s="278" t="s">
        <v>1096</v>
      </c>
      <c r="C165" s="277"/>
      <c r="D165" s="277"/>
      <c r="E165" s="277"/>
      <c r="F165" s="277"/>
      <c r="G165" s="279" t="str">
        <f t="shared" si="2"/>
        <v>🟡</v>
      </c>
      <c r="H165" s="277"/>
      <c r="I165" s="231"/>
      <c r="J165" s="231"/>
    </row>
    <row r="166" spans="1:10">
      <c r="A166" s="277" t="s">
        <v>5781</v>
      </c>
      <c r="B166" s="278" t="s">
        <v>1096</v>
      </c>
      <c r="C166" s="277"/>
      <c r="D166" s="277"/>
      <c r="E166" s="277"/>
      <c r="F166" s="277"/>
      <c r="G166" s="279" t="str">
        <f t="shared" si="2"/>
        <v>🟡</v>
      </c>
      <c r="H166" s="277"/>
      <c r="I166" s="231"/>
      <c r="J166" s="231"/>
    </row>
    <row r="167" spans="1:10">
      <c r="A167" s="277" t="s">
        <v>178</v>
      </c>
      <c r="B167" s="278" t="s">
        <v>1096</v>
      </c>
      <c r="C167" s="277"/>
      <c r="D167" s="277"/>
      <c r="E167" s="277"/>
      <c r="F167" s="277"/>
      <c r="G167" s="279" t="str">
        <f t="shared" si="2"/>
        <v>🟡</v>
      </c>
      <c r="H167" s="277"/>
      <c r="I167" s="231"/>
      <c r="J167" s="231"/>
    </row>
    <row r="168" spans="1:10" ht="26.4">
      <c r="A168" s="277" t="s">
        <v>5782</v>
      </c>
      <c r="B168" s="278" t="s">
        <v>1096</v>
      </c>
      <c r="C168" s="277"/>
      <c r="D168" s="277"/>
      <c r="E168" s="277"/>
      <c r="F168" s="277"/>
      <c r="G168" s="279" t="str">
        <f t="shared" si="2"/>
        <v>🟡</v>
      </c>
      <c r="H168" s="277"/>
      <c r="I168" s="231"/>
      <c r="J168" s="231"/>
    </row>
    <row r="169" spans="1:10">
      <c r="A169" s="324" t="s">
        <v>4946</v>
      </c>
      <c r="B169" s="324" t="s">
        <v>5790</v>
      </c>
      <c r="C169" s="196"/>
      <c r="D169" s="196"/>
      <c r="E169" s="324" t="s">
        <v>5791</v>
      </c>
      <c r="F169" s="196"/>
      <c r="G169" s="196"/>
      <c r="H169" s="196"/>
      <c r="I169" s="231"/>
      <c r="J169" s="231"/>
    </row>
    <row r="170" spans="1:10" ht="26.4">
      <c r="A170" s="291" t="s">
        <v>5777</v>
      </c>
      <c r="B170" s="768" t="s">
        <v>5792</v>
      </c>
      <c r="C170" s="768"/>
      <c r="D170" s="768"/>
      <c r="E170" s="768" t="s">
        <v>5793</v>
      </c>
      <c r="F170" s="768"/>
      <c r="G170" s="768"/>
      <c r="H170" s="196"/>
      <c r="I170" s="231"/>
      <c r="J170" s="231"/>
    </row>
    <row r="171" spans="1:10">
      <c r="A171" s="291" t="s">
        <v>5778</v>
      </c>
      <c r="B171" s="768" t="s">
        <v>5794</v>
      </c>
      <c r="C171" s="768"/>
      <c r="D171" s="768"/>
      <c r="E171" s="768" t="s">
        <v>5795</v>
      </c>
      <c r="F171" s="768"/>
      <c r="G171" s="768"/>
      <c r="H171" s="196"/>
      <c r="I171" s="231"/>
      <c r="J171" s="231"/>
    </row>
    <row r="172" spans="1:10">
      <c r="A172" s="291" t="s">
        <v>5779</v>
      </c>
      <c r="B172" s="768" t="s">
        <v>5796</v>
      </c>
      <c r="C172" s="768"/>
      <c r="D172" s="768"/>
      <c r="E172" s="768" t="s">
        <v>5797</v>
      </c>
      <c r="F172" s="768"/>
      <c r="G172" s="768"/>
      <c r="H172" s="196"/>
      <c r="I172" s="231"/>
      <c r="J172" s="231"/>
    </row>
    <row r="173" spans="1:10">
      <c r="A173" s="291" t="s">
        <v>5168</v>
      </c>
      <c r="B173" s="768" t="s">
        <v>5798</v>
      </c>
      <c r="C173" s="768"/>
      <c r="D173" s="768"/>
      <c r="E173" s="768" t="s">
        <v>5799</v>
      </c>
      <c r="F173" s="768"/>
      <c r="G173" s="768"/>
      <c r="H173" s="196"/>
      <c r="I173" s="231"/>
      <c r="J173" s="231"/>
    </row>
    <row r="174" spans="1:10">
      <c r="A174" s="291" t="s">
        <v>5780</v>
      </c>
      <c r="B174" s="768" t="s">
        <v>5800</v>
      </c>
      <c r="C174" s="768"/>
      <c r="D174" s="768"/>
      <c r="E174" s="768" t="s">
        <v>5801</v>
      </c>
      <c r="F174" s="768"/>
      <c r="G174" s="768"/>
      <c r="H174" s="196"/>
      <c r="I174" s="231"/>
      <c r="J174" s="231"/>
    </row>
    <row r="175" spans="1:10">
      <c r="A175" s="291" t="s">
        <v>5781</v>
      </c>
      <c r="B175" s="768" t="s">
        <v>5802</v>
      </c>
      <c r="C175" s="768"/>
      <c r="D175" s="768"/>
      <c r="E175" s="768" t="s">
        <v>5803</v>
      </c>
      <c r="F175" s="768"/>
      <c r="G175" s="768"/>
      <c r="H175" s="196"/>
      <c r="I175" s="231"/>
      <c r="J175" s="231"/>
    </row>
    <row r="176" spans="1:10">
      <c r="A176" s="291" t="s">
        <v>178</v>
      </c>
      <c r="B176" s="768" t="s">
        <v>5804</v>
      </c>
      <c r="C176" s="768"/>
      <c r="D176" s="768"/>
      <c r="E176" s="768" t="s">
        <v>5805</v>
      </c>
      <c r="F176" s="768"/>
      <c r="G176" s="768"/>
      <c r="H176" s="196"/>
      <c r="I176" s="231"/>
      <c r="J176" s="231"/>
    </row>
    <row r="177" spans="1:10" ht="26.4">
      <c r="A177" s="291" t="s">
        <v>5782</v>
      </c>
      <c r="B177" s="768" t="s">
        <v>5806</v>
      </c>
      <c r="C177" s="768"/>
      <c r="D177" s="768"/>
      <c r="E177" s="768" t="s">
        <v>5807</v>
      </c>
      <c r="F177" s="768"/>
      <c r="G177" s="768"/>
      <c r="H177" s="196"/>
      <c r="I177" s="231"/>
      <c r="J177" s="231"/>
    </row>
    <row r="178" spans="1:10">
      <c r="A178" s="276" t="s">
        <v>5783</v>
      </c>
      <c r="B178" s="280" t="str">
        <f>IF(COUNTIF(B161:B168,"No")=0,"🟢 PILOT COMPLETE / ACCEPTANCE READY","🟡 NOT COMPLETE — ACCEPTANCE GATES OPEN")</f>
        <v>🟡 NOT COMPLETE — ACCEPTANCE GATES OPEN</v>
      </c>
      <c r="C178" s="280"/>
      <c r="D178" s="280"/>
      <c r="E178" s="280"/>
      <c r="F178" s="280"/>
      <c r="G178" s="280"/>
      <c r="H178" s="280"/>
    </row>
    <row r="179" spans="1:10">
      <c r="A179" s="276" t="s">
        <v>5784</v>
      </c>
      <c r="B179" s="280">
        <f>COUNTIF(B161:B168,"No")</f>
        <v>8</v>
      </c>
      <c r="C179" s="280"/>
      <c r="D179" s="280"/>
      <c r="E179" s="280"/>
      <c r="F179" s="280"/>
      <c r="G179" s="280"/>
      <c r="H179" s="280"/>
    </row>
    <row r="180" spans="1:10">
      <c r="A180" s="276" t="s">
        <v>5785</v>
      </c>
      <c r="B180" s="280" t="str">
        <f>COUNTIF(B161:B168,"Yes")&amp;" / 8 Complete"</f>
        <v>0 / 8 Complete</v>
      </c>
      <c r="C180" s="280"/>
      <c r="D180" s="280"/>
      <c r="E180" s="280"/>
      <c r="F180" s="280"/>
      <c r="G180" s="280"/>
      <c r="H180" s="280"/>
    </row>
    <row r="181" spans="1:10" ht="93">
      <c r="A181" s="281" t="s">
        <v>5786</v>
      </c>
      <c r="B181" s="282" t="s">
        <v>5787</v>
      </c>
      <c r="C181" s="282"/>
      <c r="D181" s="282"/>
      <c r="E181" s="282"/>
      <c r="F181" s="282"/>
      <c r="G181" s="282"/>
      <c r="H181" s="282"/>
    </row>
    <row r="182" spans="1:10">
      <c r="A182" s="281"/>
      <c r="B182" s="282"/>
      <c r="C182" s="282"/>
      <c r="D182" s="282"/>
      <c r="E182" s="282"/>
      <c r="F182" s="282"/>
      <c r="G182" s="282"/>
      <c r="H182" s="282"/>
    </row>
    <row r="183" spans="1:10" ht="66.599999999999994">
      <c r="A183" s="281" t="s">
        <v>5788</v>
      </c>
      <c r="B183" s="282" t="s">
        <v>5789</v>
      </c>
      <c r="C183" s="282"/>
      <c r="D183" s="282"/>
      <c r="E183" s="282"/>
      <c r="F183" s="282"/>
      <c r="G183" s="282"/>
      <c r="H183" s="282"/>
    </row>
    <row r="184" spans="1:10">
      <c r="A184" s="842" t="s">
        <v>5901</v>
      </c>
      <c r="B184" s="842"/>
      <c r="C184" s="842"/>
      <c r="D184" s="842"/>
      <c r="E184" s="842"/>
      <c r="F184" s="842"/>
      <c r="G184" s="842"/>
      <c r="H184" s="842"/>
      <c r="I184" s="842"/>
      <c r="J184" s="842"/>
    </row>
    <row r="185" spans="1:10">
      <c r="A185" s="340" t="s">
        <v>5886</v>
      </c>
      <c r="B185" s="196"/>
      <c r="C185" s="196"/>
      <c r="D185" s="196"/>
      <c r="E185" s="196"/>
      <c r="F185" s="196"/>
      <c r="G185" s="196"/>
      <c r="H185" s="196"/>
      <c r="I185" s="196"/>
      <c r="J185" s="196"/>
    </row>
    <row r="186" spans="1:10">
      <c r="A186" s="196"/>
      <c r="B186" s="196"/>
      <c r="C186" s="196"/>
      <c r="D186" s="196"/>
      <c r="E186" s="196"/>
      <c r="F186" s="196"/>
      <c r="G186" s="196"/>
      <c r="H186" s="196"/>
      <c r="I186" s="196"/>
      <c r="J186" s="196"/>
    </row>
    <row r="187" spans="1:10">
      <c r="A187" s="196" t="s">
        <v>5887</v>
      </c>
      <c r="B187" s="196"/>
      <c r="C187" s="196"/>
      <c r="D187" s="196"/>
      <c r="E187" s="196"/>
      <c r="F187" s="196"/>
      <c r="G187" s="196"/>
      <c r="H187" s="196"/>
      <c r="I187" s="196"/>
      <c r="J187" s="196"/>
    </row>
    <row r="188" spans="1:10">
      <c r="A188" s="196"/>
      <c r="B188" s="196"/>
      <c r="C188" s="196"/>
      <c r="D188" s="196"/>
      <c r="E188" s="196"/>
      <c r="F188" s="196"/>
      <c r="G188" s="196"/>
      <c r="H188" s="196"/>
      <c r="I188" s="196"/>
      <c r="J188" s="196"/>
    </row>
    <row r="189" spans="1:10">
      <c r="A189" s="196" t="s">
        <v>5888</v>
      </c>
      <c r="B189" s="196"/>
      <c r="C189" s="196"/>
      <c r="D189" s="196"/>
      <c r="E189" s="196"/>
      <c r="F189" s="196"/>
      <c r="G189" s="196"/>
      <c r="H189" s="196"/>
      <c r="I189" s="196"/>
      <c r="J189" s="196"/>
    </row>
    <row r="190" spans="1:10">
      <c r="A190" s="196"/>
      <c r="B190" s="196"/>
      <c r="C190" s="196"/>
      <c r="D190" s="196"/>
      <c r="E190" s="196"/>
      <c r="F190" s="196"/>
      <c r="G190" s="196"/>
      <c r="H190" s="196"/>
      <c r="I190" s="196"/>
      <c r="J190" s="196"/>
    </row>
    <row r="191" spans="1:10">
      <c r="A191" s="196" t="s">
        <v>5889</v>
      </c>
      <c r="B191" s="196"/>
      <c r="C191" s="196"/>
      <c r="D191" s="196"/>
      <c r="E191" s="196"/>
      <c r="F191" s="196"/>
      <c r="G191" s="196"/>
      <c r="H191" s="196"/>
      <c r="I191" s="196"/>
      <c r="J191" s="196"/>
    </row>
    <row r="192" spans="1:10">
      <c r="A192" s="196"/>
      <c r="B192" s="196"/>
      <c r="C192" s="196"/>
      <c r="D192" s="196"/>
      <c r="E192" s="196"/>
      <c r="F192" s="196"/>
      <c r="G192" s="196"/>
      <c r="H192" s="196"/>
      <c r="I192" s="196"/>
      <c r="J192" s="196"/>
    </row>
    <row r="193" spans="1:10">
      <c r="A193" s="196"/>
      <c r="B193" s="196"/>
      <c r="C193" s="196"/>
      <c r="D193" s="196"/>
      <c r="E193" s="196"/>
      <c r="F193" s="196"/>
      <c r="G193" s="196"/>
      <c r="H193" s="196"/>
      <c r="I193" s="196"/>
      <c r="J193" s="196"/>
    </row>
    <row r="194" spans="1:10">
      <c r="A194" s="196"/>
      <c r="B194" s="196"/>
      <c r="C194" s="196"/>
      <c r="D194" s="196"/>
      <c r="E194" s="196"/>
      <c r="F194" s="196"/>
      <c r="G194" s="196"/>
      <c r="H194" s="196"/>
      <c r="I194" s="196"/>
      <c r="J194" s="196"/>
    </row>
    <row r="195" spans="1:10">
      <c r="A195" s="842" t="s">
        <v>5902</v>
      </c>
      <c r="B195" s="842"/>
      <c r="C195" s="842"/>
      <c r="D195" s="842"/>
      <c r="E195" s="842"/>
      <c r="F195" s="842"/>
      <c r="G195" s="842"/>
      <c r="H195" s="842"/>
      <c r="I195" s="842"/>
      <c r="J195" s="842"/>
    </row>
    <row r="196" spans="1:10">
      <c r="A196" s="196"/>
      <c r="B196" s="196"/>
      <c r="C196" s="196"/>
      <c r="D196" s="196"/>
      <c r="E196" s="196"/>
      <c r="F196" s="196"/>
      <c r="G196" s="196"/>
      <c r="H196" s="196"/>
      <c r="I196" s="196"/>
      <c r="J196" s="196"/>
    </row>
    <row r="197" spans="1:10">
      <c r="A197" s="196" t="s">
        <v>5890</v>
      </c>
      <c r="B197" s="196"/>
      <c r="C197" s="196"/>
      <c r="D197" s="196"/>
      <c r="E197" s="196"/>
      <c r="F197" s="196"/>
      <c r="G197" s="196"/>
      <c r="H197" s="196"/>
      <c r="I197" s="196"/>
      <c r="J197" s="196"/>
    </row>
    <row r="198" spans="1:10">
      <c r="A198" s="196"/>
      <c r="B198" s="196"/>
      <c r="C198" s="196"/>
      <c r="D198" s="196"/>
      <c r="E198" s="196"/>
      <c r="F198" s="196"/>
      <c r="G198" s="196"/>
      <c r="H198" s="196"/>
      <c r="I198" s="196"/>
      <c r="J198" s="196"/>
    </row>
    <row r="199" spans="1:10">
      <c r="A199" s="196" t="s">
        <v>5891</v>
      </c>
      <c r="B199" s="196"/>
      <c r="C199" s="196"/>
      <c r="D199" s="196"/>
      <c r="E199" s="196"/>
      <c r="F199" s="196"/>
      <c r="G199" s="196"/>
      <c r="H199" s="196"/>
      <c r="I199" s="196"/>
      <c r="J199" s="196"/>
    </row>
    <row r="200" spans="1:10">
      <c r="A200" s="196"/>
      <c r="B200" s="196"/>
      <c r="C200" s="196"/>
      <c r="D200" s="196"/>
      <c r="E200" s="196"/>
      <c r="F200" s="196"/>
      <c r="G200" s="196"/>
      <c r="H200" s="196"/>
      <c r="I200" s="196"/>
      <c r="J200" s="196"/>
    </row>
    <row r="201" spans="1:10">
      <c r="A201" s="196" t="s">
        <v>5892</v>
      </c>
      <c r="B201" s="196"/>
      <c r="C201" s="196"/>
      <c r="D201" s="196"/>
      <c r="E201" s="196"/>
      <c r="F201" s="196"/>
      <c r="G201" s="196"/>
      <c r="H201" s="196"/>
      <c r="I201" s="196"/>
      <c r="J201" s="196"/>
    </row>
    <row r="202" spans="1:10">
      <c r="A202" s="196"/>
      <c r="B202" s="196"/>
      <c r="C202" s="196"/>
      <c r="D202" s="196"/>
      <c r="E202" s="196"/>
      <c r="F202" s="196"/>
      <c r="G202" s="196"/>
      <c r="H202" s="196"/>
      <c r="I202" s="196"/>
      <c r="J202" s="196"/>
    </row>
    <row r="203" spans="1:10">
      <c r="A203" s="196"/>
      <c r="B203" s="196"/>
      <c r="C203" s="196"/>
      <c r="D203" s="196"/>
      <c r="E203" s="196"/>
      <c r="F203" s="196"/>
      <c r="G203" s="196"/>
      <c r="H203" s="196"/>
      <c r="I203" s="196"/>
      <c r="J203" s="196"/>
    </row>
    <row r="204" spans="1:10">
      <c r="A204" s="196"/>
      <c r="B204" s="196"/>
      <c r="C204" s="196"/>
      <c r="D204" s="196"/>
      <c r="E204" s="196"/>
      <c r="F204" s="196"/>
      <c r="G204" s="196"/>
      <c r="H204" s="196"/>
      <c r="I204" s="196"/>
      <c r="J204" s="196"/>
    </row>
    <row r="205" spans="1:10">
      <c r="A205" s="842" t="s">
        <v>5903</v>
      </c>
      <c r="B205" s="842"/>
      <c r="C205" s="842"/>
      <c r="D205" s="842"/>
      <c r="E205" s="842"/>
      <c r="F205" s="842"/>
      <c r="G205" s="842"/>
      <c r="H205" s="842"/>
      <c r="I205" s="842"/>
      <c r="J205" s="842"/>
    </row>
    <row r="206" spans="1:10">
      <c r="A206" s="196"/>
      <c r="B206" s="196"/>
      <c r="C206" s="196"/>
      <c r="D206" s="196"/>
      <c r="E206" s="196"/>
      <c r="F206" s="196"/>
      <c r="G206" s="196"/>
      <c r="H206" s="196"/>
      <c r="I206" s="196"/>
      <c r="J206" s="196"/>
    </row>
    <row r="207" spans="1:10">
      <c r="A207" s="196" t="s">
        <v>5893</v>
      </c>
      <c r="B207" s="196"/>
      <c r="C207" s="196"/>
      <c r="D207" s="196"/>
      <c r="E207" s="196"/>
      <c r="F207" s="196"/>
      <c r="G207" s="196"/>
      <c r="H207" s="196"/>
      <c r="I207" s="196"/>
      <c r="J207" s="196"/>
    </row>
    <row r="208" spans="1:10">
      <c r="A208" s="196"/>
      <c r="B208" s="196"/>
      <c r="C208" s="196"/>
      <c r="D208" s="196"/>
      <c r="E208" s="196"/>
      <c r="F208" s="196"/>
      <c r="G208" s="196"/>
      <c r="H208" s="196"/>
      <c r="I208" s="196"/>
      <c r="J208" s="196"/>
    </row>
    <row r="209" spans="1:10">
      <c r="A209" s="196" t="s">
        <v>5894</v>
      </c>
      <c r="B209" s="196"/>
      <c r="C209" s="196"/>
      <c r="D209" s="196"/>
      <c r="E209" s="196"/>
      <c r="F209" s="196"/>
      <c r="G209" s="196"/>
      <c r="H209" s="196"/>
      <c r="I209" s="196"/>
      <c r="J209" s="196"/>
    </row>
    <row r="210" spans="1:10">
      <c r="A210" s="196"/>
      <c r="B210" s="196"/>
      <c r="C210" s="196"/>
      <c r="D210" s="196"/>
      <c r="E210" s="196"/>
      <c r="F210" s="196"/>
      <c r="G210" s="196"/>
      <c r="H210" s="196"/>
      <c r="I210" s="196"/>
      <c r="J210" s="196"/>
    </row>
    <row r="211" spans="1:10">
      <c r="A211" s="196" t="s">
        <v>5895</v>
      </c>
      <c r="B211" s="196"/>
      <c r="C211" s="196"/>
      <c r="D211" s="196"/>
      <c r="E211" s="196"/>
      <c r="F211" s="196"/>
      <c r="G211" s="196"/>
      <c r="H211" s="196"/>
      <c r="I211" s="196"/>
      <c r="J211" s="196"/>
    </row>
    <row r="212" spans="1:10">
      <c r="A212" s="196"/>
      <c r="B212" s="196"/>
      <c r="C212" s="196"/>
      <c r="D212" s="196"/>
      <c r="E212" s="196"/>
      <c r="F212" s="196"/>
      <c r="G212" s="196"/>
      <c r="H212" s="196"/>
      <c r="I212" s="196"/>
      <c r="J212" s="196"/>
    </row>
    <row r="213" spans="1:10">
      <c r="A213" s="196" t="s">
        <v>5896</v>
      </c>
      <c r="B213" s="196"/>
      <c r="C213" s="196"/>
      <c r="D213" s="196"/>
      <c r="E213" s="196"/>
      <c r="F213" s="196"/>
      <c r="G213" s="196"/>
      <c r="H213" s="196"/>
      <c r="I213" s="196"/>
      <c r="J213" s="196"/>
    </row>
    <row r="214" spans="1:10">
      <c r="A214" s="196"/>
      <c r="B214" s="196"/>
      <c r="C214" s="196"/>
      <c r="D214" s="196"/>
      <c r="E214" s="196"/>
      <c r="F214" s="196"/>
      <c r="G214" s="196"/>
      <c r="H214" s="196"/>
      <c r="I214" s="196"/>
      <c r="J214" s="196"/>
    </row>
    <row r="215" spans="1:10">
      <c r="A215" s="196"/>
      <c r="B215" s="196"/>
      <c r="C215" s="196"/>
      <c r="D215" s="196"/>
      <c r="E215" s="196"/>
      <c r="F215" s="196"/>
      <c r="G215" s="196"/>
      <c r="H215" s="196"/>
      <c r="I215" s="196"/>
      <c r="J215" s="196"/>
    </row>
    <row r="216" spans="1:10">
      <c r="A216" s="196"/>
      <c r="B216" s="196"/>
      <c r="C216" s="196"/>
      <c r="D216" s="196"/>
      <c r="E216" s="196"/>
      <c r="F216" s="196"/>
      <c r="G216" s="196"/>
      <c r="H216" s="196"/>
      <c r="I216" s="196"/>
      <c r="J216" s="196"/>
    </row>
    <row r="217" spans="1:10">
      <c r="A217" s="842" t="s">
        <v>5904</v>
      </c>
      <c r="B217" s="842"/>
      <c r="C217" s="842"/>
      <c r="D217" s="842"/>
      <c r="E217" s="842"/>
      <c r="F217" s="842"/>
      <c r="G217" s="842"/>
      <c r="H217" s="842"/>
      <c r="I217" s="842"/>
      <c r="J217" s="842"/>
    </row>
    <row r="218" spans="1:10">
      <c r="A218" s="196"/>
      <c r="B218" s="196"/>
      <c r="C218" s="196"/>
      <c r="D218" s="196"/>
      <c r="E218" s="196"/>
      <c r="F218" s="196"/>
      <c r="G218" s="196"/>
      <c r="H218" s="196"/>
      <c r="I218" s="196"/>
      <c r="J218" s="196"/>
    </row>
    <row r="219" spans="1:10">
      <c r="A219" s="196" t="s">
        <v>5897</v>
      </c>
      <c r="B219" s="196"/>
      <c r="C219" s="196"/>
      <c r="D219" s="196"/>
      <c r="E219" s="196"/>
      <c r="F219" s="196"/>
      <c r="G219" s="196"/>
      <c r="H219" s="196"/>
      <c r="I219" s="196"/>
      <c r="J219" s="196"/>
    </row>
    <row r="220" spans="1:10">
      <c r="A220" s="196"/>
      <c r="B220" s="196"/>
      <c r="C220" s="196"/>
      <c r="D220" s="196"/>
      <c r="E220" s="196"/>
      <c r="F220" s="196"/>
      <c r="G220" s="196"/>
      <c r="H220" s="196"/>
      <c r="I220" s="196"/>
      <c r="J220" s="196"/>
    </row>
    <row r="221" spans="1:10">
      <c r="A221" s="196" t="s">
        <v>5898</v>
      </c>
      <c r="B221" s="196"/>
      <c r="C221" s="196"/>
      <c r="D221" s="196"/>
      <c r="E221" s="196"/>
      <c r="F221" s="196"/>
      <c r="G221" s="196"/>
      <c r="H221" s="196"/>
      <c r="I221" s="196"/>
      <c r="J221" s="196"/>
    </row>
    <row r="222" spans="1:10">
      <c r="A222" s="196"/>
      <c r="B222" s="196"/>
      <c r="C222" s="196"/>
      <c r="D222" s="196"/>
      <c r="E222" s="196"/>
      <c r="F222" s="196"/>
      <c r="G222" s="196"/>
      <c r="H222" s="196"/>
      <c r="I222" s="196"/>
      <c r="J222" s="196"/>
    </row>
    <row r="223" spans="1:10">
      <c r="A223" s="196" t="s">
        <v>5899</v>
      </c>
      <c r="B223" s="196"/>
      <c r="C223" s="196"/>
      <c r="D223" s="196"/>
      <c r="E223" s="196"/>
      <c r="F223" s="196"/>
      <c r="G223" s="196"/>
      <c r="H223" s="196"/>
      <c r="I223" s="196"/>
      <c r="J223" s="196"/>
    </row>
    <row r="224" spans="1:10">
      <c r="A224" s="196"/>
      <c r="B224" s="196"/>
      <c r="C224" s="196"/>
      <c r="D224" s="196"/>
      <c r="E224" s="196"/>
      <c r="F224" s="196"/>
      <c r="G224" s="196"/>
      <c r="H224" s="196"/>
      <c r="I224" s="196"/>
      <c r="J224" s="196"/>
    </row>
    <row r="225" spans="1:10">
      <c r="A225" s="196"/>
      <c r="B225" s="196"/>
      <c r="C225" s="196"/>
      <c r="D225" s="196"/>
      <c r="E225" s="196"/>
      <c r="F225" s="196"/>
      <c r="G225" s="196"/>
      <c r="H225" s="196"/>
      <c r="I225" s="196"/>
      <c r="J225" s="196"/>
    </row>
    <row r="226" spans="1:10">
      <c r="A226" s="196"/>
      <c r="B226" s="196"/>
      <c r="C226" s="196"/>
      <c r="D226" s="196"/>
      <c r="E226" s="196"/>
      <c r="F226" s="196"/>
      <c r="G226" s="196"/>
      <c r="H226" s="196"/>
      <c r="I226" s="196"/>
      <c r="J226" s="196"/>
    </row>
    <row r="227" spans="1:10">
      <c r="A227" s="196" t="s">
        <v>5900</v>
      </c>
      <c r="B227" s="196"/>
      <c r="C227" s="196"/>
      <c r="D227" s="196"/>
      <c r="E227" s="196"/>
      <c r="F227" s="196"/>
      <c r="G227" s="196"/>
      <c r="H227" s="196"/>
      <c r="I227" s="196"/>
      <c r="J227" s="196"/>
    </row>
    <row r="228" spans="1:10">
      <c r="A228" s="196"/>
      <c r="B228" s="196"/>
      <c r="C228" s="196"/>
      <c r="D228" s="196"/>
      <c r="E228" s="196"/>
      <c r="F228" s="196"/>
      <c r="G228" s="196"/>
      <c r="H228" s="196"/>
      <c r="I228" s="196"/>
      <c r="J228" s="196"/>
    </row>
    <row r="229" spans="1:10">
      <c r="A229" s="341"/>
      <c r="B229" s="341"/>
      <c r="C229" s="341"/>
      <c r="D229" s="341"/>
      <c r="E229" s="341"/>
      <c r="F229" s="341"/>
      <c r="G229" s="341"/>
      <c r="H229" s="341"/>
      <c r="I229" s="341"/>
      <c r="J229" s="341"/>
    </row>
    <row r="230" spans="1:10">
      <c r="A230" s="341"/>
      <c r="B230" s="341"/>
      <c r="C230" s="341"/>
      <c r="D230" s="341"/>
      <c r="E230" s="341"/>
      <c r="F230" s="341"/>
      <c r="G230" s="341"/>
      <c r="H230" s="341"/>
      <c r="I230" s="341"/>
      <c r="J230" s="341"/>
    </row>
    <row r="231" spans="1:10">
      <c r="A231" s="341"/>
      <c r="B231" s="341"/>
      <c r="C231" s="341"/>
      <c r="D231" s="341"/>
      <c r="E231" s="341"/>
      <c r="F231" s="341"/>
      <c r="G231" s="341"/>
      <c r="H231" s="341"/>
      <c r="I231" s="341"/>
      <c r="J231" s="341"/>
    </row>
    <row r="232" spans="1:10">
      <c r="A232" s="341"/>
      <c r="B232" s="341"/>
      <c r="C232" s="341"/>
      <c r="D232" s="341"/>
      <c r="E232" s="341"/>
      <c r="F232" s="341"/>
      <c r="G232" s="341"/>
      <c r="H232" s="341"/>
      <c r="I232" s="341"/>
      <c r="J232" s="341"/>
    </row>
    <row r="233" spans="1:10">
      <c r="A233" s="341"/>
      <c r="B233" s="341"/>
      <c r="C233" s="341"/>
      <c r="D233" s="341"/>
      <c r="E233" s="341"/>
      <c r="F233" s="341"/>
      <c r="G233" s="341"/>
      <c r="H233" s="341"/>
      <c r="I233" s="341"/>
      <c r="J233" s="341"/>
    </row>
    <row r="234" spans="1:10">
      <c r="A234" s="341"/>
      <c r="B234" s="341"/>
      <c r="C234" s="341"/>
      <c r="D234" s="341"/>
      <c r="E234" s="341"/>
      <c r="F234" s="341"/>
      <c r="G234" s="341"/>
      <c r="H234" s="341"/>
      <c r="I234" s="341"/>
      <c r="J234" s="341"/>
    </row>
    <row r="235" spans="1:10">
      <c r="A235" s="341"/>
      <c r="B235" s="341"/>
      <c r="C235" s="341"/>
      <c r="D235" s="341"/>
      <c r="E235" s="341"/>
      <c r="F235" s="341"/>
      <c r="G235" s="341"/>
      <c r="H235" s="341"/>
      <c r="I235" s="341"/>
      <c r="J235" s="341"/>
    </row>
    <row r="236" spans="1:10">
      <c r="A236" s="341"/>
      <c r="B236" s="341"/>
      <c r="C236" s="341"/>
      <c r="D236" s="341"/>
      <c r="E236" s="341"/>
      <c r="F236" s="341"/>
      <c r="G236" s="341"/>
      <c r="H236" s="341"/>
      <c r="I236" s="341"/>
      <c r="J236" s="341"/>
    </row>
    <row r="237" spans="1:10">
      <c r="A237" s="341"/>
      <c r="B237" s="341"/>
      <c r="C237" s="341"/>
      <c r="D237" s="341"/>
      <c r="E237" s="341"/>
      <c r="F237" s="341"/>
      <c r="G237" s="341"/>
      <c r="H237" s="341"/>
      <c r="I237" s="341"/>
      <c r="J237" s="341"/>
    </row>
    <row r="238" spans="1:10">
      <c r="A238" s="196"/>
      <c r="B238" s="196"/>
      <c r="C238" s="196"/>
      <c r="D238" s="196"/>
      <c r="E238" s="196"/>
      <c r="F238" s="196"/>
      <c r="G238" s="196"/>
      <c r="H238" s="196"/>
      <c r="I238" s="196"/>
      <c r="J238" s="196"/>
    </row>
    <row r="239" spans="1:10">
      <c r="A239" s="320"/>
      <c r="B239" s="320"/>
      <c r="C239" s="320"/>
      <c r="D239" s="320"/>
      <c r="E239" s="320"/>
      <c r="F239" s="320"/>
      <c r="G239" s="874"/>
      <c r="H239" s="874"/>
      <c r="I239" s="874"/>
      <c r="J239" s="874"/>
    </row>
  </sheetData>
  <mergeCells count="120">
    <mergeCell ref="A1:J1"/>
    <mergeCell ref="B95:J95"/>
    <mergeCell ref="A44:C44"/>
    <mergeCell ref="B94:J94"/>
    <mergeCell ref="D6:J6"/>
    <mergeCell ref="A83:C83"/>
    <mergeCell ref="B91:J91"/>
    <mergeCell ref="A61:C61"/>
    <mergeCell ref="B93:J93"/>
    <mergeCell ref="A89:C89"/>
    <mergeCell ref="A50:C50"/>
    <mergeCell ref="A26:C26"/>
    <mergeCell ref="A32:C32"/>
    <mergeCell ref="A8:C8"/>
    <mergeCell ref="A14:C14"/>
    <mergeCell ref="A20:C20"/>
    <mergeCell ref="A98:C98"/>
    <mergeCell ref="B96:J96"/>
    <mergeCell ref="B92:J92"/>
    <mergeCell ref="A38:C38"/>
    <mergeCell ref="A72:C72"/>
    <mergeCell ref="G103:J103"/>
    <mergeCell ref="A105:B105"/>
    <mergeCell ref="E105:J105"/>
    <mergeCell ref="A107:C107"/>
    <mergeCell ref="D107:F107"/>
    <mergeCell ref="G107:J107"/>
    <mergeCell ref="D98:F98"/>
    <mergeCell ref="G98:J98"/>
    <mergeCell ref="G99:J99"/>
    <mergeCell ref="G100:J100"/>
    <mergeCell ref="G101:J101"/>
    <mergeCell ref="F113:J113"/>
    <mergeCell ref="F114:J114"/>
    <mergeCell ref="F115:J115"/>
    <mergeCell ref="F116:J116"/>
    <mergeCell ref="A117:B117"/>
    <mergeCell ref="C117:D117"/>
    <mergeCell ref="E117:J117"/>
    <mergeCell ref="G108:J108"/>
    <mergeCell ref="F109:J109"/>
    <mergeCell ref="F110:J110"/>
    <mergeCell ref="F111:J111"/>
    <mergeCell ref="F112:J112"/>
    <mergeCell ref="G122:J122"/>
    <mergeCell ref="G123:J123"/>
    <mergeCell ref="G124:J124"/>
    <mergeCell ref="G125:J125"/>
    <mergeCell ref="A126:B126"/>
    <mergeCell ref="C126:D126"/>
    <mergeCell ref="E126:J126"/>
    <mergeCell ref="A119:C119"/>
    <mergeCell ref="D119:F119"/>
    <mergeCell ref="G119:J119"/>
    <mergeCell ref="G120:J120"/>
    <mergeCell ref="G121:J121"/>
    <mergeCell ref="G130:J130"/>
    <mergeCell ref="G131:J131"/>
    <mergeCell ref="G132:J132"/>
    <mergeCell ref="G133:J133"/>
    <mergeCell ref="A134:D135"/>
    <mergeCell ref="E134:J135"/>
    <mergeCell ref="G127:J127"/>
    <mergeCell ref="A128:C128"/>
    <mergeCell ref="D128:F128"/>
    <mergeCell ref="G128:J128"/>
    <mergeCell ref="G129:J129"/>
    <mergeCell ref="G139:J139"/>
    <mergeCell ref="G140:J140"/>
    <mergeCell ref="G141:J141"/>
    <mergeCell ref="G142:J142"/>
    <mergeCell ref="G143:J143"/>
    <mergeCell ref="A136:C136"/>
    <mergeCell ref="D136:F136"/>
    <mergeCell ref="G136:J136"/>
    <mergeCell ref="G137:J137"/>
    <mergeCell ref="G138:J138"/>
    <mergeCell ref="B149:J149"/>
    <mergeCell ref="B150:J150"/>
    <mergeCell ref="B151:J151"/>
    <mergeCell ref="B152:J152"/>
    <mergeCell ref="B153:J153"/>
    <mergeCell ref="A144:B144"/>
    <mergeCell ref="C144:D144"/>
    <mergeCell ref="E144:J144"/>
    <mergeCell ref="A146:C146"/>
    <mergeCell ref="B148:J148"/>
    <mergeCell ref="B171:D171"/>
    <mergeCell ref="E171:G171"/>
    <mergeCell ref="B172:D172"/>
    <mergeCell ref="E172:G172"/>
    <mergeCell ref="B173:D173"/>
    <mergeCell ref="E173:G173"/>
    <mergeCell ref="B154:J154"/>
    <mergeCell ref="A156:H156"/>
    <mergeCell ref="B157:H157"/>
    <mergeCell ref="B158:H158"/>
    <mergeCell ref="B170:D170"/>
    <mergeCell ref="E170:G170"/>
    <mergeCell ref="B177:D177"/>
    <mergeCell ref="E177:G177"/>
    <mergeCell ref="A184:C184"/>
    <mergeCell ref="D184:F184"/>
    <mergeCell ref="G184:J184"/>
    <mergeCell ref="B174:D174"/>
    <mergeCell ref="E174:G174"/>
    <mergeCell ref="B175:D175"/>
    <mergeCell ref="E175:G175"/>
    <mergeCell ref="B176:D176"/>
    <mergeCell ref="E176:G176"/>
    <mergeCell ref="A217:C217"/>
    <mergeCell ref="D217:F217"/>
    <mergeCell ref="G217:J217"/>
    <mergeCell ref="G239:J239"/>
    <mergeCell ref="A195:C195"/>
    <mergeCell ref="D195:F195"/>
    <mergeCell ref="G195:J195"/>
    <mergeCell ref="A205:C205"/>
    <mergeCell ref="D205:F205"/>
    <mergeCell ref="G205:J205"/>
  </mergeCells>
  <conditionalFormatting sqref="B100:B104">
    <cfRule type="expression" dxfId="988" priority="21">
      <formula>B100="Complete"</formula>
    </cfRule>
    <cfRule type="expression" dxfId="987" priority="22">
      <formula>B100="In Progress"</formula>
    </cfRule>
    <cfRule type="expression" dxfId="986" priority="23">
      <formula>B100="At Risk"</formula>
    </cfRule>
    <cfRule type="expression" dxfId="985" priority="24">
      <formula>B100="Blocked"</formula>
    </cfRule>
    <cfRule type="expression" dxfId="984" priority="25">
      <formula>B100="Not Started"</formula>
    </cfRule>
  </conditionalFormatting>
  <conditionalFormatting sqref="B109:B116">
    <cfRule type="expression" dxfId="983" priority="1">
      <formula>B109="Complete"</formula>
    </cfRule>
    <cfRule type="expression" dxfId="982" priority="2">
      <formula>B109="In Progress"</formula>
    </cfRule>
    <cfRule type="expression" dxfId="981" priority="3">
      <formula>B109="At Risk"</formula>
    </cfRule>
    <cfRule type="expression" dxfId="980" priority="4">
      <formula>B109="Blocked"</formula>
    </cfRule>
    <cfRule type="expression" dxfId="979" priority="5">
      <formula>B109="Not Started"</formula>
    </cfRule>
  </conditionalFormatting>
  <conditionalFormatting sqref="B121:B125">
    <cfRule type="expression" dxfId="978" priority="26">
      <formula>B121="Complete"</formula>
    </cfRule>
    <cfRule type="expression" dxfId="977" priority="27">
      <formula>B121="In Progress"</formula>
    </cfRule>
    <cfRule type="expression" dxfId="976" priority="28">
      <formula>B121="At Risk"</formula>
    </cfRule>
    <cfRule type="expression" dxfId="975" priority="29">
      <formula>B121="Blocked"</formula>
    </cfRule>
    <cfRule type="expression" dxfId="974" priority="30">
      <formula>B121="Not Started"</formula>
    </cfRule>
  </conditionalFormatting>
  <conditionalFormatting sqref="B130:B133">
    <cfRule type="expression" dxfId="973" priority="6">
      <formula>B130="Complete"</formula>
    </cfRule>
    <cfRule type="expression" dxfId="972" priority="7">
      <formula>B130="In Progress"</formula>
    </cfRule>
    <cfRule type="expression" dxfId="971" priority="8">
      <formula>B130="At Risk"</formula>
    </cfRule>
    <cfRule type="expression" dxfId="970" priority="9">
      <formula>B130="Blocked"</formula>
    </cfRule>
    <cfRule type="expression" dxfId="969" priority="10">
      <formula>B130="Not Started"</formula>
    </cfRule>
  </conditionalFormatting>
  <conditionalFormatting sqref="B138:B143">
    <cfRule type="expression" dxfId="968" priority="11">
      <formula>B138="Complete"</formula>
    </cfRule>
    <cfRule type="expression" dxfId="967" priority="12">
      <formula>B138="In Progress"</formula>
    </cfRule>
    <cfRule type="expression" dxfId="966" priority="13">
      <formula>B138="At Risk"</formula>
    </cfRule>
    <cfRule type="expression" dxfId="965" priority="14">
      <formula>B138="Blocked"</formula>
    </cfRule>
    <cfRule type="expression" dxfId="964" priority="15">
      <formula>B138="Not Started"</formula>
    </cfRule>
  </conditionalFormatting>
  <conditionalFormatting sqref="B161:B168">
    <cfRule type="expression" dxfId="963" priority="82">
      <formula>B161="Yes"</formula>
    </cfRule>
    <cfRule type="expression" dxfId="962" priority="83">
      <formula>B161="N/A"</formula>
    </cfRule>
    <cfRule type="expression" dxfId="961" priority="84">
      <formula>B161="No"</formula>
    </cfRule>
  </conditionalFormatting>
  <conditionalFormatting sqref="B178:H178">
    <cfRule type="expression" dxfId="960" priority="85">
      <formula>COUNTIF($B$6:$B$13,"No")=0</formula>
    </cfRule>
    <cfRule type="expression" dxfId="959" priority="86">
      <formula>COUNTIF($B$6:$B$13,"No")&gt;0</formula>
    </cfRule>
  </conditionalFormatting>
  <conditionalFormatting sqref="C105:D105">
    <cfRule type="dataBar" priority="37">
      <dataBar>
        <cfvo type="num" val="0"/>
        <cfvo type="num" val="1"/>
        <color rgb="FF5B9BD5"/>
      </dataBar>
    </cfRule>
  </conditionalFormatting>
  <conditionalFormatting sqref="C109:D116">
    <cfRule type="expression" dxfId="958" priority="31">
      <formula>C109="Yes"</formula>
    </cfRule>
    <cfRule type="expression" dxfId="957" priority="32">
      <formula>C109="No"</formula>
    </cfRule>
    <cfRule type="expression" dxfId="956" priority="33">
      <formula>C109="N/A"</formula>
    </cfRule>
  </conditionalFormatting>
  <conditionalFormatting sqref="C117:D117">
    <cfRule type="dataBar" priority="38">
      <dataBar>
        <cfvo type="num" val="0"/>
        <cfvo type="num" val="1"/>
        <color rgb="FF5B9BD5"/>
      </dataBar>
    </cfRule>
  </conditionalFormatting>
  <conditionalFormatting sqref="C126:D126">
    <cfRule type="dataBar" priority="39">
      <dataBar>
        <cfvo type="num" val="0"/>
        <cfvo type="num" val="1"/>
        <color rgb="FF5B9BD5"/>
      </dataBar>
    </cfRule>
  </conditionalFormatting>
  <conditionalFormatting sqref="C138:D143">
    <cfRule type="expression" dxfId="955" priority="16">
      <formula>C138="Yes"</formula>
    </cfRule>
    <cfRule type="expression" dxfId="954" priority="17">
      <formula>C138="No"</formula>
    </cfRule>
    <cfRule type="expression" dxfId="953" priority="18">
      <formula>C138="N/A"</formula>
    </cfRule>
  </conditionalFormatting>
  <conditionalFormatting sqref="C144:D144">
    <cfRule type="dataBar" priority="20">
      <dataBar>
        <cfvo type="num" val="0"/>
        <cfvo type="num" val="1"/>
        <color rgb="FF5B9BD5"/>
      </dataBar>
    </cfRule>
  </conditionalFormatting>
  <conditionalFormatting sqref="E5 G5 I5">
    <cfRule type="expression" dxfId="952" priority="87">
      <formula>E5="Pass"</formula>
    </cfRule>
    <cfRule type="expression" dxfId="951" priority="88">
      <formula>E5="Verify"</formula>
    </cfRule>
    <cfRule type="expression" dxfId="950" priority="89">
      <formula>E5="Fail"</formula>
    </cfRule>
    <cfRule type="expression" dxfId="949" priority="90">
      <formula>E5="Not Started"</formula>
    </cfRule>
  </conditionalFormatting>
  <conditionalFormatting sqref="F3">
    <cfRule type="expression" dxfId="948" priority="91">
      <formula>F3="Yes"</formula>
    </cfRule>
    <cfRule type="expression" dxfId="947" priority="92">
      <formula>F3="No"</formula>
    </cfRule>
  </conditionalFormatting>
  <conditionalFormatting sqref="F121:F125">
    <cfRule type="expression" dxfId="946" priority="34">
      <formula>F121="Pass"</formula>
    </cfRule>
    <cfRule type="expression" dxfId="945" priority="35">
      <formula>F121="Fail"</formula>
    </cfRule>
    <cfRule type="expression" dxfId="944" priority="36">
      <formula>F121="Pending"</formula>
    </cfRule>
  </conditionalFormatting>
  <conditionalFormatting sqref="F130:F133">
    <cfRule type="dataBar" priority="19">
      <dataBar>
        <cfvo type="num" val="0"/>
        <cfvo type="num" val="1"/>
        <color rgb="FF5B9BD5"/>
      </dataBar>
    </cfRule>
  </conditionalFormatting>
  <dataValidations count="5">
    <dataValidation type="list" sqref="B5:B6 D5 F5 H5 H10:H18 H146:I147 H92:I96 I16:I18 J5 H149:I154 D63:D70 H19:I90" xr:uid="{00000000-0002-0000-2D00-000000000000}">
      <formula1>"Not Started,Verify,Pass,Fail,N/A,Open,Closed,Partial / Yellow"</formula1>
      <formula2>0</formula2>
    </dataValidation>
    <dataValidation type="list" allowBlank="1" sqref="F121:F125" xr:uid="{46E2D4B4-A3F8-498F-9871-EEE33837D256}">
      <formula1>"Pending,Pass,Fail,N/A"</formula1>
    </dataValidation>
    <dataValidation type="list" allowBlank="1" sqref="C109:D116 C138:D143" xr:uid="{6ED722DB-1B03-415B-8CEA-BE5077FE9E2A}">
      <formula1>"Yes,No,N/A"</formula1>
    </dataValidation>
    <dataValidation type="list" allowBlank="1" sqref="B130:B133 B121:B125" xr:uid="{80F68E27-AD1D-465A-8320-BD16C4953CD5}">
      <formula1>"Not Started,In Progress,Complete,At Risk,Blocked"</formula1>
    </dataValidation>
    <dataValidation type="list" sqref="B161:B168" xr:uid="{2E967BD2-B9A2-476F-A889-A80F97F11D79}">
      <formula1>"No,Yes,N/A"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79C29652-B277-4C7D-AB10-19F25EF5FDE8}">
          <x14:formula1>
            <xm:f>Lookup_Lists!$L$37:$L$39</xm:f>
          </x14:formula1>
          <xm:sqref>C121:E125 J2</xm:sqref>
        </x14:dataValidation>
        <x14:dataValidation type="list" allowBlank="1" showInputMessage="1" showErrorMessage="1" xr:uid="{14AF312D-6325-4BF6-A17C-9A60EA8E1CC0}">
          <x14:formula1>
            <xm:f>Lookup_Lists!$A$36:$A$42</xm:f>
          </x14:formula1>
          <xm:sqref>B100:B104 B109:B116 B138:B143</xm:sqref>
        </x14:dataValidation>
      </x14:dataValidations>
    </ext>
  </extLst>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39FC7-F5ED-4CC7-BEC4-E6930B62E93C}">
  <dimension ref="A1:J225"/>
  <sheetViews>
    <sheetView workbookViewId="0">
      <selection activeCell="D4" sqref="D4"/>
    </sheetView>
  </sheetViews>
  <sheetFormatPr defaultColWidth="8.6640625" defaultRowHeight="14.4"/>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6640625" style="8" customWidth="1"/>
    <col min="13" max="16384" width="8.6640625" style="8"/>
  </cols>
  <sheetData>
    <row r="1" spans="1:10">
      <c r="A1" s="851" t="s">
        <v>2095</v>
      </c>
      <c r="B1" s="839"/>
      <c r="C1" s="839"/>
      <c r="D1" s="839"/>
      <c r="E1" s="839"/>
      <c r="F1" s="839"/>
      <c r="G1" s="839"/>
      <c r="H1" s="839"/>
      <c r="I1" s="839"/>
      <c r="J1" s="839"/>
    </row>
    <row r="2" spans="1:10" s="227" customFormat="1">
      <c r="A2" s="223" t="s">
        <v>142</v>
      </c>
      <c r="B2" s="224" t="s">
        <v>2096</v>
      </c>
      <c r="C2" s="223" t="s">
        <v>902</v>
      </c>
      <c r="D2" s="224" t="s">
        <v>1094</v>
      </c>
      <c r="E2" s="223" t="s">
        <v>151</v>
      </c>
      <c r="F2" s="224" t="s">
        <v>1095</v>
      </c>
      <c r="G2" s="223" t="s">
        <v>174</v>
      </c>
      <c r="H2" s="225">
        <v>0.6</v>
      </c>
      <c r="I2" s="223" t="s">
        <v>154</v>
      </c>
      <c r="J2" s="226" t="s">
        <v>1096</v>
      </c>
    </row>
    <row r="3" spans="1:10" s="231" customFormat="1" ht="27.6">
      <c r="A3" s="223" t="s">
        <v>903</v>
      </c>
      <c r="B3" s="228">
        <v>46198.625590509262</v>
      </c>
      <c r="C3" s="229" t="s">
        <v>904</v>
      </c>
      <c r="D3" s="230" t="s">
        <v>721</v>
      </c>
      <c r="E3" s="223" t="s">
        <v>905</v>
      </c>
      <c r="F3" s="230" t="s">
        <v>2097</v>
      </c>
      <c r="G3" s="223" t="s">
        <v>907</v>
      </c>
      <c r="H3" s="230" t="s">
        <v>908</v>
      </c>
      <c r="I3" s="223" t="s">
        <v>551</v>
      </c>
      <c r="J3" s="230" t="s">
        <v>2098</v>
      </c>
    </row>
    <row r="4" spans="1:10" s="231" customFormat="1" ht="179.4">
      <c r="A4" s="223" t="s">
        <v>161</v>
      </c>
      <c r="B4" s="230">
        <v>0</v>
      </c>
      <c r="C4" s="223" t="s">
        <v>199</v>
      </c>
      <c r="D4" s="230">
        <v>0</v>
      </c>
      <c r="E4" s="223" t="s">
        <v>179</v>
      </c>
      <c r="F4" s="230">
        <v>0</v>
      </c>
      <c r="G4" s="223" t="s">
        <v>870</v>
      </c>
      <c r="H4" s="232" t="s">
        <v>2099</v>
      </c>
      <c r="I4" s="233"/>
      <c r="J4" s="233"/>
    </row>
    <row r="5" spans="1:10" s="231" customFormat="1">
      <c r="A5" s="234" t="s">
        <v>911</v>
      </c>
      <c r="B5" s="225" t="s">
        <v>679</v>
      </c>
      <c r="C5" s="235" t="s">
        <v>912</v>
      </c>
      <c r="D5" s="225" t="s">
        <v>1238</v>
      </c>
      <c r="E5" s="236" t="s">
        <v>913</v>
      </c>
      <c r="F5" s="225" t="s">
        <v>677</v>
      </c>
      <c r="G5" s="237" t="s">
        <v>914</v>
      </c>
      <c r="H5" s="225" t="s">
        <v>1238</v>
      </c>
      <c r="I5" s="237" t="s">
        <v>915</v>
      </c>
      <c r="J5" s="225" t="s">
        <v>1238</v>
      </c>
    </row>
    <row r="6" spans="1:10" s="231" customFormat="1" ht="33.75" customHeight="1">
      <c r="A6" s="238" t="s">
        <v>916</v>
      </c>
      <c r="B6" s="225" t="s">
        <v>1238</v>
      </c>
      <c r="C6" s="239" t="s">
        <v>869</v>
      </c>
      <c r="D6" s="854" t="s">
        <v>2100</v>
      </c>
      <c r="E6" s="853"/>
      <c r="F6" s="853"/>
      <c r="G6" s="853"/>
      <c r="H6" s="853"/>
      <c r="I6" s="853"/>
      <c r="J6" s="853"/>
    </row>
    <row r="7" spans="1:10">
      <c r="A7" s="13"/>
      <c r="B7" s="13"/>
      <c r="C7" s="13"/>
      <c r="D7" s="13"/>
      <c r="E7" s="13"/>
      <c r="F7" s="13"/>
      <c r="G7" s="13"/>
      <c r="H7" s="13"/>
      <c r="I7" s="13"/>
      <c r="J7" s="13"/>
    </row>
    <row r="8" spans="1:10">
      <c r="A8" s="842" t="s">
        <v>918</v>
      </c>
      <c r="B8" s="839"/>
      <c r="C8" s="85"/>
      <c r="D8" s="85"/>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69">
      <c r="A10" s="13" t="s">
        <v>2096</v>
      </c>
      <c r="B10" s="13" t="s">
        <v>2101</v>
      </c>
      <c r="C10" s="13" t="s">
        <v>2102</v>
      </c>
      <c r="D10" s="13" t="s">
        <v>2103</v>
      </c>
      <c r="E10" s="13" t="s">
        <v>2104</v>
      </c>
      <c r="F10" s="13">
        <v>0</v>
      </c>
      <c r="G10" s="13">
        <v>0</v>
      </c>
      <c r="H10" s="13" t="s">
        <v>677</v>
      </c>
      <c r="I10" s="13" t="s">
        <v>2105</v>
      </c>
      <c r="J10" s="13" t="s">
        <v>2106</v>
      </c>
    </row>
    <row r="11" spans="1:10" ht="69">
      <c r="A11" s="13" t="s">
        <v>2096</v>
      </c>
      <c r="B11" s="13" t="s">
        <v>2107</v>
      </c>
      <c r="C11" s="13" t="s">
        <v>2108</v>
      </c>
      <c r="D11" s="13" t="s">
        <v>2109</v>
      </c>
      <c r="E11" s="13" t="s">
        <v>2110</v>
      </c>
      <c r="F11" s="13">
        <v>0</v>
      </c>
      <c r="G11" s="13">
        <v>0</v>
      </c>
      <c r="H11" s="13" t="s">
        <v>677</v>
      </c>
      <c r="I11" s="13" t="s">
        <v>2111</v>
      </c>
      <c r="J11" s="13" t="s">
        <v>2112</v>
      </c>
    </row>
    <row r="12" spans="1:10">
      <c r="A12" s="13"/>
      <c r="B12" s="13"/>
      <c r="C12" s="13"/>
      <c r="D12" s="13"/>
      <c r="E12" s="13"/>
      <c r="F12" s="13"/>
      <c r="G12" s="13"/>
      <c r="H12" s="13"/>
      <c r="I12" s="13"/>
      <c r="J12" s="13"/>
    </row>
    <row r="13" spans="1:10">
      <c r="A13" s="842" t="s">
        <v>936</v>
      </c>
      <c r="B13" s="839"/>
      <c r="C13" s="85"/>
      <c r="D13" s="85"/>
      <c r="E13" s="85"/>
      <c r="F13" s="85"/>
      <c r="G13" s="85"/>
      <c r="H13" s="85"/>
      <c r="I13" s="85"/>
      <c r="J13" s="85"/>
    </row>
    <row r="14" spans="1:10">
      <c r="A14" s="50" t="s">
        <v>275</v>
      </c>
      <c r="B14" s="50" t="s">
        <v>937</v>
      </c>
      <c r="C14" s="50" t="s">
        <v>938</v>
      </c>
      <c r="D14" s="50" t="s">
        <v>939</v>
      </c>
      <c r="E14" s="50" t="s">
        <v>940</v>
      </c>
      <c r="F14" s="50" t="s">
        <v>941</v>
      </c>
      <c r="G14" s="50" t="s">
        <v>942</v>
      </c>
      <c r="H14" s="50" t="s">
        <v>943</v>
      </c>
      <c r="I14" s="50" t="s">
        <v>899</v>
      </c>
      <c r="J14" s="50" t="s">
        <v>944</v>
      </c>
    </row>
    <row r="15" spans="1:10" ht="55.2">
      <c r="A15" s="13" t="s">
        <v>2113</v>
      </c>
      <c r="B15" s="13" t="s">
        <v>1238</v>
      </c>
      <c r="C15" s="13" t="s">
        <v>1238</v>
      </c>
      <c r="D15" s="13" t="s">
        <v>679</v>
      </c>
      <c r="E15" s="13" t="s">
        <v>677</v>
      </c>
      <c r="F15" s="13" t="s">
        <v>679</v>
      </c>
      <c r="G15" s="13" t="s">
        <v>677</v>
      </c>
      <c r="H15" s="13" t="s">
        <v>677</v>
      </c>
      <c r="I15" s="13" t="s">
        <v>677</v>
      </c>
      <c r="J15" s="13" t="s">
        <v>2114</v>
      </c>
    </row>
    <row r="16" spans="1:10" ht="41.4">
      <c r="A16" s="13" t="s">
        <v>2107</v>
      </c>
      <c r="B16" s="13" t="s">
        <v>1238</v>
      </c>
      <c r="C16" s="13" t="s">
        <v>1238</v>
      </c>
      <c r="D16" s="13" t="s">
        <v>679</v>
      </c>
      <c r="E16" s="13" t="s">
        <v>677</v>
      </c>
      <c r="F16" s="13" t="s">
        <v>1238</v>
      </c>
      <c r="G16" s="13" t="s">
        <v>677</v>
      </c>
      <c r="H16" s="13" t="s">
        <v>677</v>
      </c>
      <c r="I16" s="13" t="s">
        <v>677</v>
      </c>
      <c r="J16" s="13" t="s">
        <v>2115</v>
      </c>
    </row>
    <row r="17" spans="1:10">
      <c r="A17" s="13"/>
      <c r="B17" s="13"/>
      <c r="C17" s="13"/>
      <c r="D17" s="13"/>
      <c r="E17" s="13"/>
      <c r="F17" s="13"/>
      <c r="G17" s="13"/>
      <c r="H17" s="13"/>
      <c r="I17" s="13"/>
      <c r="J17" s="13"/>
    </row>
    <row r="18" spans="1:10">
      <c r="A18" s="842" t="s">
        <v>951</v>
      </c>
      <c r="B18" s="839"/>
      <c r="C18" s="85"/>
      <c r="D18" s="85"/>
      <c r="E18" s="85"/>
      <c r="F18" s="85"/>
      <c r="G18" s="85"/>
      <c r="H18" s="85"/>
      <c r="I18" s="85"/>
      <c r="J18" s="85"/>
    </row>
    <row r="19" spans="1:10">
      <c r="A19" s="50" t="s">
        <v>275</v>
      </c>
      <c r="B19" s="50" t="s">
        <v>952</v>
      </c>
      <c r="C19" s="50" t="s">
        <v>953</v>
      </c>
      <c r="D19" s="50" t="s">
        <v>954</v>
      </c>
      <c r="E19" s="50" t="s">
        <v>955</v>
      </c>
      <c r="F19" s="50" t="s">
        <v>956</v>
      </c>
      <c r="G19" s="50" t="s">
        <v>957</v>
      </c>
      <c r="H19" s="50" t="s">
        <v>958</v>
      </c>
      <c r="I19" s="50" t="s">
        <v>899</v>
      </c>
      <c r="J19" s="50" t="s">
        <v>959</v>
      </c>
    </row>
    <row r="20" spans="1:10" ht="55.2">
      <c r="A20" s="13" t="s">
        <v>2113</v>
      </c>
      <c r="B20" s="13" t="s">
        <v>679</v>
      </c>
      <c r="C20" s="13" t="s">
        <v>679</v>
      </c>
      <c r="D20" s="13" t="s">
        <v>1238</v>
      </c>
      <c r="E20" s="13" t="s">
        <v>1238</v>
      </c>
      <c r="F20" s="13" t="s">
        <v>679</v>
      </c>
      <c r="G20" s="13" t="s">
        <v>677</v>
      </c>
      <c r="H20" s="13" t="s">
        <v>677</v>
      </c>
      <c r="I20" s="13" t="s">
        <v>677</v>
      </c>
      <c r="J20" s="13" t="s">
        <v>2116</v>
      </c>
    </row>
    <row r="21" spans="1:10" ht="41.4">
      <c r="A21" s="13" t="s">
        <v>2107</v>
      </c>
      <c r="B21" s="13" t="s">
        <v>679</v>
      </c>
      <c r="C21" s="13" t="s">
        <v>679</v>
      </c>
      <c r="D21" s="13" t="s">
        <v>1238</v>
      </c>
      <c r="E21" s="13" t="s">
        <v>1238</v>
      </c>
      <c r="F21" s="13" t="s">
        <v>679</v>
      </c>
      <c r="G21" s="13" t="s">
        <v>677</v>
      </c>
      <c r="H21" s="13" t="s">
        <v>677</v>
      </c>
      <c r="I21" s="13" t="s">
        <v>677</v>
      </c>
      <c r="J21" s="13" t="s">
        <v>2117</v>
      </c>
    </row>
    <row r="22" spans="1:10">
      <c r="A22" s="13"/>
      <c r="B22" s="13"/>
      <c r="C22" s="13"/>
      <c r="D22" s="13"/>
      <c r="E22" s="13"/>
      <c r="F22" s="13"/>
      <c r="G22" s="13"/>
      <c r="H22" s="13"/>
      <c r="I22" s="13"/>
      <c r="J22" s="13"/>
    </row>
    <row r="23" spans="1:10">
      <c r="A23" s="842" t="s">
        <v>964</v>
      </c>
      <c r="B23" s="839"/>
      <c r="C23" s="85"/>
      <c r="D23" s="85"/>
      <c r="E23" s="85"/>
      <c r="F23" s="85"/>
      <c r="G23" s="85"/>
      <c r="H23" s="85"/>
      <c r="I23" s="85"/>
      <c r="J23" s="85"/>
    </row>
    <row r="24" spans="1:10">
      <c r="A24" s="50" t="s">
        <v>275</v>
      </c>
      <c r="B24" s="50" t="s">
        <v>965</v>
      </c>
      <c r="C24" s="50" t="s">
        <v>966</v>
      </c>
      <c r="D24" s="50" t="s">
        <v>967</v>
      </c>
      <c r="E24" s="50" t="s">
        <v>968</v>
      </c>
      <c r="F24" s="50" t="s">
        <v>969</v>
      </c>
      <c r="G24" s="50" t="s">
        <v>970</v>
      </c>
      <c r="H24" s="50" t="s">
        <v>971</v>
      </c>
      <c r="I24" s="50" t="s">
        <v>899</v>
      </c>
      <c r="J24" s="50" t="s">
        <v>959</v>
      </c>
    </row>
    <row r="25" spans="1:10" ht="41.4">
      <c r="A25" s="13" t="s">
        <v>2113</v>
      </c>
      <c r="B25" s="13" t="s">
        <v>679</v>
      </c>
      <c r="C25" s="13" t="s">
        <v>679</v>
      </c>
      <c r="D25" s="13" t="s">
        <v>679</v>
      </c>
      <c r="E25" s="13" t="s">
        <v>679</v>
      </c>
      <c r="F25" s="13" t="s">
        <v>679</v>
      </c>
      <c r="G25" s="13" t="s">
        <v>679</v>
      </c>
      <c r="H25" s="13" t="s">
        <v>679</v>
      </c>
      <c r="I25" s="13" t="s">
        <v>679</v>
      </c>
      <c r="J25" s="13" t="s">
        <v>2118</v>
      </c>
    </row>
    <row r="26" spans="1:10" ht="41.4">
      <c r="A26" s="13" t="s">
        <v>2107</v>
      </c>
      <c r="B26" s="13" t="s">
        <v>2119</v>
      </c>
      <c r="C26" s="13" t="s">
        <v>679</v>
      </c>
      <c r="D26" s="13" t="s">
        <v>679</v>
      </c>
      <c r="E26" s="13" t="s">
        <v>679</v>
      </c>
      <c r="F26" s="13" t="s">
        <v>679</v>
      </c>
      <c r="G26" s="13" t="s">
        <v>679</v>
      </c>
      <c r="H26" s="13" t="s">
        <v>679</v>
      </c>
      <c r="I26" s="13" t="s">
        <v>679</v>
      </c>
      <c r="J26" s="13" t="s">
        <v>2120</v>
      </c>
    </row>
    <row r="27" spans="1:10">
      <c r="A27" s="13"/>
      <c r="B27" s="13"/>
      <c r="C27" s="13"/>
      <c r="D27" s="13"/>
      <c r="E27" s="13"/>
      <c r="F27" s="13"/>
      <c r="G27" s="13"/>
      <c r="H27" s="13"/>
      <c r="I27" s="13"/>
      <c r="J27" s="13"/>
    </row>
    <row r="28" spans="1:10">
      <c r="A28" s="842" t="s">
        <v>977</v>
      </c>
      <c r="B28" s="839"/>
      <c r="C28" s="85"/>
      <c r="D28" s="85"/>
      <c r="E28" s="85"/>
      <c r="F28" s="85"/>
      <c r="G28" s="85"/>
      <c r="H28" s="85"/>
      <c r="I28" s="85"/>
      <c r="J28" s="85"/>
    </row>
    <row r="29" spans="1:10">
      <c r="A29" s="50" t="s">
        <v>275</v>
      </c>
      <c r="B29" s="50" t="s">
        <v>978</v>
      </c>
      <c r="C29" s="50" t="s">
        <v>979</v>
      </c>
      <c r="D29" s="50" t="s">
        <v>980</v>
      </c>
      <c r="E29" s="50" t="s">
        <v>981</v>
      </c>
      <c r="F29" s="50" t="s">
        <v>982</v>
      </c>
      <c r="G29" s="50" t="s">
        <v>983</v>
      </c>
      <c r="H29" s="50" t="s">
        <v>984</v>
      </c>
      <c r="I29" s="50" t="s">
        <v>899</v>
      </c>
      <c r="J29" s="50" t="s">
        <v>11</v>
      </c>
    </row>
    <row r="30" spans="1:10" ht="55.2">
      <c r="A30" s="13" t="s">
        <v>2113</v>
      </c>
      <c r="B30" s="13" t="s">
        <v>679</v>
      </c>
      <c r="C30" s="13" t="s">
        <v>679</v>
      </c>
      <c r="D30" s="13" t="s">
        <v>679</v>
      </c>
      <c r="E30" s="13" t="s">
        <v>679</v>
      </c>
      <c r="F30" s="13" t="s">
        <v>679</v>
      </c>
      <c r="G30" s="13" t="s">
        <v>679</v>
      </c>
      <c r="H30" s="13" t="s">
        <v>2121</v>
      </c>
      <c r="I30" s="13" t="s">
        <v>677</v>
      </c>
      <c r="J30" s="13" t="s">
        <v>2122</v>
      </c>
    </row>
    <row r="31" spans="1:10" ht="41.4">
      <c r="A31" s="13" t="s">
        <v>2107</v>
      </c>
      <c r="B31" s="13" t="s">
        <v>2119</v>
      </c>
      <c r="C31" s="13" t="s">
        <v>679</v>
      </c>
      <c r="D31" s="13" t="s">
        <v>679</v>
      </c>
      <c r="E31" s="13" t="s">
        <v>679</v>
      </c>
      <c r="F31" s="13" t="s">
        <v>679</v>
      </c>
      <c r="G31" s="13" t="s">
        <v>679</v>
      </c>
      <c r="H31" s="13" t="s">
        <v>2121</v>
      </c>
      <c r="I31" s="13" t="s">
        <v>677</v>
      </c>
      <c r="J31" s="13" t="s">
        <v>2123</v>
      </c>
    </row>
    <row r="32" spans="1:10">
      <c r="A32" s="13"/>
      <c r="B32" s="13"/>
      <c r="C32" s="13"/>
      <c r="D32" s="13"/>
      <c r="E32" s="13"/>
      <c r="F32" s="13"/>
      <c r="G32" s="13"/>
      <c r="H32" s="13"/>
      <c r="I32" s="13"/>
      <c r="J32" s="13"/>
    </row>
    <row r="33" spans="1:10">
      <c r="A33" s="842" t="s">
        <v>994</v>
      </c>
      <c r="B33" s="839"/>
      <c r="C33" s="85"/>
      <c r="D33" s="85"/>
      <c r="E33" s="85"/>
      <c r="F33" s="85"/>
      <c r="G33" s="85"/>
      <c r="H33" s="85"/>
      <c r="I33" s="85"/>
      <c r="J33" s="85"/>
    </row>
    <row r="34" spans="1:10">
      <c r="A34" s="50" t="s">
        <v>275</v>
      </c>
      <c r="B34" s="50" t="s">
        <v>995</v>
      </c>
      <c r="C34" s="50" t="s">
        <v>996</v>
      </c>
      <c r="D34" s="50" t="s">
        <v>997</v>
      </c>
      <c r="E34" s="50" t="s">
        <v>998</v>
      </c>
      <c r="F34" s="50" t="s">
        <v>999</v>
      </c>
      <c r="G34" s="50" t="s">
        <v>1000</v>
      </c>
      <c r="H34" s="50" t="s">
        <v>1001</v>
      </c>
      <c r="I34" s="50" t="s">
        <v>899</v>
      </c>
      <c r="J34" s="50" t="s">
        <v>11</v>
      </c>
    </row>
    <row r="35" spans="1:10" ht="82.8">
      <c r="A35" s="13" t="s">
        <v>2113</v>
      </c>
      <c r="B35" s="13" t="s">
        <v>679</v>
      </c>
      <c r="C35" s="13" t="s">
        <v>677</v>
      </c>
      <c r="D35" s="13" t="s">
        <v>677</v>
      </c>
      <c r="E35" s="13" t="s">
        <v>677</v>
      </c>
      <c r="F35" s="13" t="s">
        <v>677</v>
      </c>
      <c r="G35" s="13" t="s">
        <v>677</v>
      </c>
      <c r="H35" s="13" t="s">
        <v>677</v>
      </c>
      <c r="I35" s="13" t="s">
        <v>677</v>
      </c>
      <c r="J35" s="13" t="s">
        <v>2124</v>
      </c>
    </row>
    <row r="36" spans="1:10" ht="69">
      <c r="A36" s="13" t="s">
        <v>2107</v>
      </c>
      <c r="B36" s="13" t="s">
        <v>2125</v>
      </c>
      <c r="C36" s="13" t="s">
        <v>1238</v>
      </c>
      <c r="D36" s="13" t="s">
        <v>677</v>
      </c>
      <c r="E36" s="13" t="s">
        <v>677</v>
      </c>
      <c r="F36" s="13" t="s">
        <v>677</v>
      </c>
      <c r="G36" s="13" t="s">
        <v>677</v>
      </c>
      <c r="H36" s="13" t="s">
        <v>677</v>
      </c>
      <c r="I36" s="13" t="s">
        <v>677</v>
      </c>
      <c r="J36" s="13" t="s">
        <v>2126</v>
      </c>
    </row>
    <row r="37" spans="1:10">
      <c r="A37" s="13"/>
      <c r="B37" s="13"/>
      <c r="C37" s="13"/>
      <c r="D37" s="13"/>
      <c r="E37" s="13"/>
      <c r="F37" s="13"/>
      <c r="G37" s="13"/>
      <c r="H37" s="13"/>
      <c r="I37" s="13"/>
      <c r="J37" s="13"/>
    </row>
    <row r="38" spans="1:10">
      <c r="A38" s="842" t="s">
        <v>1007</v>
      </c>
      <c r="B38" s="839"/>
      <c r="C38" s="85"/>
      <c r="D38" s="85"/>
      <c r="E38" s="85"/>
      <c r="F38" s="85"/>
      <c r="G38" s="85"/>
      <c r="H38" s="85"/>
      <c r="I38" s="85"/>
      <c r="J38" s="85"/>
    </row>
    <row r="39" spans="1:10">
      <c r="A39" s="50" t="s">
        <v>275</v>
      </c>
      <c r="B39" s="50" t="s">
        <v>1008</v>
      </c>
      <c r="C39" s="50" t="s">
        <v>1009</v>
      </c>
      <c r="D39" s="50" t="s">
        <v>1010</v>
      </c>
      <c r="E39" s="50" t="s">
        <v>1011</v>
      </c>
      <c r="F39" s="50" t="s">
        <v>1012</v>
      </c>
      <c r="G39" s="50" t="s">
        <v>1013</v>
      </c>
      <c r="H39" s="50" t="s">
        <v>1014</v>
      </c>
      <c r="I39" s="50" t="s">
        <v>899</v>
      </c>
      <c r="J39" s="50" t="s">
        <v>11</v>
      </c>
    </row>
    <row r="40" spans="1:10" ht="55.2">
      <c r="A40" s="13" t="s">
        <v>2113</v>
      </c>
      <c r="B40" s="13" t="s">
        <v>679</v>
      </c>
      <c r="C40" s="13" t="s">
        <v>679</v>
      </c>
      <c r="D40" s="13" t="s">
        <v>679</v>
      </c>
      <c r="E40" s="13" t="s">
        <v>679</v>
      </c>
      <c r="F40" s="13" t="s">
        <v>1238</v>
      </c>
      <c r="G40" s="13" t="s">
        <v>679</v>
      </c>
      <c r="H40" s="13" t="s">
        <v>679</v>
      </c>
      <c r="I40" s="13" t="s">
        <v>1238</v>
      </c>
      <c r="J40" s="13" t="s">
        <v>2127</v>
      </c>
    </row>
    <row r="41" spans="1:10" ht="41.4">
      <c r="A41" s="13" t="s">
        <v>2107</v>
      </c>
      <c r="B41" s="13" t="s">
        <v>1238</v>
      </c>
      <c r="C41" s="13" t="s">
        <v>1238</v>
      </c>
      <c r="D41" s="13" t="s">
        <v>679</v>
      </c>
      <c r="E41" s="13" t="s">
        <v>679</v>
      </c>
      <c r="F41" s="13" t="s">
        <v>1238</v>
      </c>
      <c r="G41" s="13" t="s">
        <v>679</v>
      </c>
      <c r="H41" s="13" t="s">
        <v>679</v>
      </c>
      <c r="I41" s="13" t="s">
        <v>1238</v>
      </c>
      <c r="J41" s="13" t="s">
        <v>2128</v>
      </c>
    </row>
    <row r="42" spans="1:10">
      <c r="A42" s="13"/>
      <c r="B42" s="13"/>
      <c r="C42" s="13"/>
      <c r="D42" s="13"/>
      <c r="E42" s="13"/>
      <c r="F42" s="13"/>
      <c r="G42" s="13"/>
      <c r="H42" s="13"/>
      <c r="I42" s="13"/>
      <c r="J42" s="13"/>
    </row>
    <row r="43" spans="1:10">
      <c r="A43" s="842" t="s">
        <v>1019</v>
      </c>
      <c r="B43" s="839"/>
      <c r="C43" s="85"/>
      <c r="D43" s="85"/>
      <c r="E43" s="85"/>
      <c r="F43" s="85"/>
      <c r="G43" s="85"/>
      <c r="H43" s="85"/>
      <c r="I43" s="85"/>
      <c r="J43" s="85"/>
    </row>
    <row r="44" spans="1:10">
      <c r="A44" s="50" t="s">
        <v>213</v>
      </c>
      <c r="B44" s="50" t="s">
        <v>275</v>
      </c>
      <c r="C44" s="50" t="s">
        <v>573</v>
      </c>
      <c r="D44" s="50" t="s">
        <v>215</v>
      </c>
      <c r="E44" s="50" t="s">
        <v>257</v>
      </c>
      <c r="F44" s="50" t="s">
        <v>572</v>
      </c>
      <c r="G44" s="50" t="s">
        <v>259</v>
      </c>
      <c r="H44" s="50" t="s">
        <v>216</v>
      </c>
      <c r="I44" s="50" t="s">
        <v>77</v>
      </c>
      <c r="J44" s="50" t="s">
        <v>11</v>
      </c>
    </row>
    <row r="45" spans="1:10" ht="69">
      <c r="A45" s="13" t="s">
        <v>2129</v>
      </c>
      <c r="B45" s="13" t="s">
        <v>575</v>
      </c>
      <c r="C45" s="13" t="s">
        <v>2130</v>
      </c>
      <c r="D45" s="13" t="s">
        <v>391</v>
      </c>
      <c r="E45" s="13" t="s">
        <v>488</v>
      </c>
      <c r="F45" s="13">
        <v>6</v>
      </c>
      <c r="G45" s="13" t="s">
        <v>2131</v>
      </c>
      <c r="H45" s="13" t="s">
        <v>2132</v>
      </c>
      <c r="I45" s="13" t="s">
        <v>502</v>
      </c>
      <c r="J45" s="13" t="s">
        <v>2133</v>
      </c>
    </row>
    <row r="46" spans="1:10" ht="96.6">
      <c r="A46" s="13" t="s">
        <v>2134</v>
      </c>
      <c r="B46" s="13" t="s">
        <v>2113</v>
      </c>
      <c r="C46" s="13" t="s">
        <v>2135</v>
      </c>
      <c r="D46" s="13" t="s">
        <v>391</v>
      </c>
      <c r="E46" s="13" t="s">
        <v>488</v>
      </c>
      <c r="F46" s="13">
        <v>6</v>
      </c>
      <c r="G46" s="13" t="s">
        <v>2136</v>
      </c>
      <c r="H46" s="13" t="s">
        <v>2137</v>
      </c>
      <c r="I46" s="13" t="s">
        <v>502</v>
      </c>
      <c r="J46" s="13" t="s">
        <v>2138</v>
      </c>
    </row>
    <row r="47" spans="1:10" ht="82.8">
      <c r="A47" s="13" t="s">
        <v>2139</v>
      </c>
      <c r="B47" s="13" t="s">
        <v>575</v>
      </c>
      <c r="C47" s="13" t="s">
        <v>2140</v>
      </c>
      <c r="D47" s="13" t="s">
        <v>492</v>
      </c>
      <c r="E47" s="13" t="s">
        <v>488</v>
      </c>
      <c r="F47" s="13">
        <v>8</v>
      </c>
      <c r="G47" s="13" t="s">
        <v>2141</v>
      </c>
      <c r="H47" s="13" t="s">
        <v>595</v>
      </c>
      <c r="I47" s="13" t="s">
        <v>502</v>
      </c>
      <c r="J47" s="13" t="s">
        <v>2142</v>
      </c>
    </row>
    <row r="48" spans="1:10" ht="82.8">
      <c r="A48" s="13" t="s">
        <v>2143</v>
      </c>
      <c r="B48" s="13" t="s">
        <v>575</v>
      </c>
      <c r="C48" s="13" t="s">
        <v>2144</v>
      </c>
      <c r="D48" s="13" t="s">
        <v>391</v>
      </c>
      <c r="E48" s="13" t="s">
        <v>488</v>
      </c>
      <c r="F48" s="13">
        <v>6</v>
      </c>
      <c r="G48" s="13" t="s">
        <v>2145</v>
      </c>
      <c r="H48" s="13" t="s">
        <v>622</v>
      </c>
      <c r="I48" s="13" t="s">
        <v>502</v>
      </c>
      <c r="J48" s="13" t="s">
        <v>2146</v>
      </c>
    </row>
    <row r="49" spans="1:10" ht="96.6">
      <c r="A49" s="13" t="s">
        <v>2147</v>
      </c>
      <c r="B49" s="13" t="s">
        <v>2107</v>
      </c>
      <c r="C49" s="13" t="s">
        <v>2148</v>
      </c>
      <c r="D49" s="13" t="s">
        <v>488</v>
      </c>
      <c r="E49" s="13" t="s">
        <v>488</v>
      </c>
      <c r="F49" s="13">
        <v>4</v>
      </c>
      <c r="G49" s="13" t="s">
        <v>2149</v>
      </c>
      <c r="H49" s="13" t="s">
        <v>2150</v>
      </c>
      <c r="I49" s="13" t="s">
        <v>502</v>
      </c>
      <c r="J49" s="13" t="s">
        <v>2151</v>
      </c>
    </row>
    <row r="50" spans="1:10" ht="82.8">
      <c r="A50" s="13" t="s">
        <v>2152</v>
      </c>
      <c r="B50" s="13" t="s">
        <v>575</v>
      </c>
      <c r="C50" s="13" t="s">
        <v>2153</v>
      </c>
      <c r="D50" s="13" t="s">
        <v>391</v>
      </c>
      <c r="E50" s="13" t="s">
        <v>488</v>
      </c>
      <c r="F50" s="13">
        <v>6</v>
      </c>
      <c r="G50" s="13" t="s">
        <v>2154</v>
      </c>
      <c r="H50" s="13" t="s">
        <v>2155</v>
      </c>
      <c r="I50" s="13" t="s">
        <v>502</v>
      </c>
      <c r="J50" s="13" t="s">
        <v>2156</v>
      </c>
    </row>
    <row r="51" spans="1:10">
      <c r="A51" s="13"/>
      <c r="B51" s="13"/>
      <c r="C51" s="13"/>
      <c r="D51" s="13"/>
      <c r="E51" s="13"/>
      <c r="F51" s="13"/>
      <c r="G51" s="13"/>
      <c r="H51" s="13"/>
      <c r="I51" s="13"/>
      <c r="J51" s="13"/>
    </row>
    <row r="52" spans="1:10">
      <c r="A52" s="842" t="s">
        <v>1051</v>
      </c>
      <c r="B52" s="839"/>
      <c r="C52" s="85"/>
      <c r="D52" s="85"/>
      <c r="E52" s="85"/>
      <c r="F52" s="85"/>
      <c r="G52" s="85"/>
      <c r="H52" s="85"/>
      <c r="I52" s="85"/>
      <c r="J52" s="85"/>
    </row>
    <row r="53" spans="1:10">
      <c r="A53" s="50" t="s">
        <v>221</v>
      </c>
      <c r="B53" s="50" t="s">
        <v>222</v>
      </c>
      <c r="C53" s="50" t="s">
        <v>265</v>
      </c>
      <c r="D53" s="50" t="s">
        <v>77</v>
      </c>
      <c r="E53" s="50" t="s">
        <v>878</v>
      </c>
      <c r="F53" s="50" t="s">
        <v>879</v>
      </c>
      <c r="G53" s="50" t="s">
        <v>880</v>
      </c>
      <c r="H53" s="50" t="s">
        <v>494</v>
      </c>
      <c r="I53" s="50" t="s">
        <v>881</v>
      </c>
      <c r="J53" s="50" t="s">
        <v>11</v>
      </c>
    </row>
    <row r="54" spans="1:10" ht="96.6">
      <c r="A54" s="13" t="s">
        <v>2157</v>
      </c>
      <c r="B54" s="13" t="s">
        <v>2158</v>
      </c>
      <c r="C54" s="13" t="s">
        <v>579</v>
      </c>
      <c r="D54" s="13" t="s">
        <v>502</v>
      </c>
      <c r="E54" s="13"/>
      <c r="F54" s="13"/>
      <c r="G54" s="13" t="s">
        <v>2159</v>
      </c>
      <c r="H54" s="13"/>
      <c r="I54" s="13"/>
      <c r="J54" s="13"/>
    </row>
    <row r="55" spans="1:10" ht="69">
      <c r="A55" s="13" t="s">
        <v>2160</v>
      </c>
      <c r="B55" s="13" t="s">
        <v>2161</v>
      </c>
      <c r="C55" s="13" t="s">
        <v>2162</v>
      </c>
      <c r="D55" s="13" t="s">
        <v>502</v>
      </c>
      <c r="E55" s="13"/>
      <c r="F55" s="13"/>
      <c r="G55" s="13" t="s">
        <v>2163</v>
      </c>
      <c r="H55" s="13"/>
      <c r="I55" s="13"/>
      <c r="J55" s="13"/>
    </row>
    <row r="56" spans="1:10" ht="82.8">
      <c r="A56" s="13" t="s">
        <v>2164</v>
      </c>
      <c r="B56" s="13" t="s">
        <v>2165</v>
      </c>
      <c r="C56" s="13" t="s">
        <v>587</v>
      </c>
      <c r="D56" s="13" t="s">
        <v>502</v>
      </c>
      <c r="E56" s="13"/>
      <c r="F56" s="13"/>
      <c r="G56" s="13" t="s">
        <v>2166</v>
      </c>
      <c r="H56" s="13"/>
      <c r="I56" s="13"/>
      <c r="J56" s="13"/>
    </row>
    <row r="57" spans="1:10" ht="69">
      <c r="A57" s="13" t="s">
        <v>2167</v>
      </c>
      <c r="B57" s="13" t="s">
        <v>2168</v>
      </c>
      <c r="C57" s="13" t="s">
        <v>2137</v>
      </c>
      <c r="D57" s="13" t="s">
        <v>502</v>
      </c>
      <c r="E57" s="13"/>
      <c r="F57" s="13"/>
      <c r="G57" s="13" t="s">
        <v>2169</v>
      </c>
      <c r="H57" s="13"/>
      <c r="I57" s="13"/>
      <c r="J57" s="13"/>
    </row>
    <row r="58" spans="1:10" ht="82.8">
      <c r="A58" s="13" t="s">
        <v>2170</v>
      </c>
      <c r="B58" s="13" t="s">
        <v>2171</v>
      </c>
      <c r="C58" s="13" t="s">
        <v>622</v>
      </c>
      <c r="D58" s="13" t="s">
        <v>502</v>
      </c>
      <c r="E58" s="13"/>
      <c r="F58" s="13"/>
      <c r="G58" s="13" t="s">
        <v>2172</v>
      </c>
      <c r="H58" s="13"/>
      <c r="I58" s="13"/>
      <c r="J58" s="13"/>
    </row>
    <row r="59" spans="1:10" ht="69">
      <c r="A59" s="13" t="s">
        <v>2173</v>
      </c>
      <c r="B59" s="13" t="s">
        <v>2174</v>
      </c>
      <c r="C59" s="13" t="s">
        <v>2175</v>
      </c>
      <c r="D59" s="13" t="s">
        <v>502</v>
      </c>
      <c r="E59" s="13"/>
      <c r="F59" s="13"/>
      <c r="G59" s="13" t="s">
        <v>2176</v>
      </c>
      <c r="H59" s="13"/>
      <c r="I59" s="13"/>
      <c r="J59" s="13"/>
    </row>
    <row r="60" spans="1:10" ht="82.8">
      <c r="A60" s="13" t="s">
        <v>2177</v>
      </c>
      <c r="B60" s="13" t="s">
        <v>2178</v>
      </c>
      <c r="C60" s="13" t="s">
        <v>2155</v>
      </c>
      <c r="D60" s="13" t="s">
        <v>502</v>
      </c>
      <c r="E60" s="13"/>
      <c r="F60" s="13"/>
      <c r="G60" s="13" t="s">
        <v>2179</v>
      </c>
      <c r="H60" s="13"/>
      <c r="I60" s="13"/>
      <c r="J60" s="13"/>
    </row>
    <row r="61" spans="1:10">
      <c r="A61" s="13"/>
      <c r="B61" s="13"/>
      <c r="C61" s="13"/>
      <c r="D61" s="13"/>
      <c r="E61" s="13"/>
      <c r="F61" s="13"/>
      <c r="G61" s="13"/>
      <c r="H61" s="13"/>
      <c r="I61" s="13"/>
      <c r="J61" s="13"/>
    </row>
    <row r="62" spans="1:10">
      <c r="A62" s="842" t="s">
        <v>1052</v>
      </c>
      <c r="B62" s="839"/>
      <c r="C62" s="85"/>
      <c r="D62" s="85"/>
      <c r="E62" s="85"/>
      <c r="F62" s="85"/>
      <c r="G62" s="85"/>
      <c r="H62" s="85"/>
      <c r="I62" s="85"/>
      <c r="J62" s="85"/>
    </row>
    <row r="63" spans="1:10">
      <c r="A63" s="50" t="s">
        <v>291</v>
      </c>
      <c r="B63" s="50" t="s">
        <v>275</v>
      </c>
      <c r="C63" s="50" t="s">
        <v>493</v>
      </c>
      <c r="D63" s="50" t="s">
        <v>214</v>
      </c>
      <c r="E63" s="50" t="s">
        <v>263</v>
      </c>
      <c r="F63" s="50" t="s">
        <v>891</v>
      </c>
      <c r="G63" s="50" t="s">
        <v>892</v>
      </c>
      <c r="H63" s="50" t="s">
        <v>893</v>
      </c>
      <c r="I63" s="50" t="s">
        <v>77</v>
      </c>
      <c r="J63" s="50" t="s">
        <v>11</v>
      </c>
    </row>
    <row r="64" spans="1:10" ht="82.8">
      <c r="A64" s="13" t="s">
        <v>2180</v>
      </c>
      <c r="B64" s="13" t="s">
        <v>2113</v>
      </c>
      <c r="C64" s="13" t="s">
        <v>269</v>
      </c>
      <c r="D64" s="13" t="s">
        <v>2181</v>
      </c>
      <c r="E64" s="13"/>
      <c r="F64" s="13" t="s">
        <v>229</v>
      </c>
      <c r="G64" s="13"/>
      <c r="H64" s="13" t="s">
        <v>2134</v>
      </c>
      <c r="I64" s="13" t="s">
        <v>502</v>
      </c>
      <c r="J64" s="13"/>
    </row>
    <row r="65" spans="1:10" ht="69">
      <c r="A65" s="13" t="s">
        <v>2182</v>
      </c>
      <c r="B65" s="13" t="s">
        <v>2107</v>
      </c>
      <c r="C65" s="13" t="s">
        <v>269</v>
      </c>
      <c r="D65" s="13" t="s">
        <v>2183</v>
      </c>
      <c r="E65" s="13"/>
      <c r="F65" s="13" t="s">
        <v>229</v>
      </c>
      <c r="G65" s="13"/>
      <c r="H65" s="13" t="s">
        <v>2147</v>
      </c>
      <c r="I65" s="13" t="s">
        <v>502</v>
      </c>
      <c r="J65" s="13"/>
    </row>
    <row r="66" spans="1:10" ht="69">
      <c r="A66" s="13" t="s">
        <v>2184</v>
      </c>
      <c r="B66" s="13" t="s">
        <v>575</v>
      </c>
      <c r="C66" s="13" t="s">
        <v>957</v>
      </c>
      <c r="D66" s="13" t="s">
        <v>2185</v>
      </c>
      <c r="E66" s="13"/>
      <c r="F66" s="13" t="s">
        <v>229</v>
      </c>
      <c r="G66" s="13"/>
      <c r="H66" s="13" t="s">
        <v>2143</v>
      </c>
      <c r="I66" s="13" t="s">
        <v>502</v>
      </c>
      <c r="J66" s="13"/>
    </row>
    <row r="67" spans="1:10" ht="69">
      <c r="A67" s="13" t="s">
        <v>2186</v>
      </c>
      <c r="B67" s="13" t="s">
        <v>575</v>
      </c>
      <c r="C67" s="13" t="s">
        <v>155</v>
      </c>
      <c r="D67" s="13" t="s">
        <v>2187</v>
      </c>
      <c r="E67" s="13"/>
      <c r="F67" s="13" t="s">
        <v>229</v>
      </c>
      <c r="G67" s="13"/>
      <c r="H67" s="13" t="s">
        <v>2188</v>
      </c>
      <c r="I67" s="13" t="s">
        <v>502</v>
      </c>
      <c r="J67" s="13"/>
    </row>
    <row r="68" spans="1:10" ht="82.8">
      <c r="A68" s="13" t="s">
        <v>2189</v>
      </c>
      <c r="B68" s="13" t="s">
        <v>575</v>
      </c>
      <c r="C68" s="13" t="s">
        <v>486</v>
      </c>
      <c r="D68" s="13" t="s">
        <v>2190</v>
      </c>
      <c r="E68" s="13"/>
      <c r="F68" s="13" t="s">
        <v>229</v>
      </c>
      <c r="G68" s="13"/>
      <c r="H68" s="13" t="s">
        <v>2152</v>
      </c>
      <c r="I68" s="13" t="s">
        <v>502</v>
      </c>
      <c r="J68" s="13"/>
    </row>
    <row r="69" spans="1:10">
      <c r="A69" s="13"/>
      <c r="B69" s="13"/>
      <c r="C69" s="13"/>
      <c r="D69" s="13"/>
      <c r="E69" s="13"/>
      <c r="F69" s="13"/>
      <c r="G69" s="13"/>
      <c r="H69" s="13"/>
      <c r="I69" s="13"/>
      <c r="J69" s="13"/>
    </row>
    <row r="70" spans="1:10">
      <c r="A70" s="842" t="s">
        <v>1079</v>
      </c>
      <c r="B70" s="839"/>
      <c r="C70" s="85"/>
      <c r="D70" s="85"/>
      <c r="E70" s="85"/>
      <c r="F70" s="85"/>
      <c r="G70" s="85"/>
      <c r="H70" s="85"/>
      <c r="I70" s="85"/>
      <c r="J70" s="85"/>
    </row>
    <row r="71" spans="1:10">
      <c r="A71" s="50" t="s">
        <v>275</v>
      </c>
      <c r="B71" s="50" t="s">
        <v>895</v>
      </c>
      <c r="C71" s="50" t="s">
        <v>896</v>
      </c>
      <c r="D71" s="50" t="s">
        <v>148</v>
      </c>
      <c r="E71" s="50" t="s">
        <v>153</v>
      </c>
      <c r="F71" s="50" t="s">
        <v>155</v>
      </c>
      <c r="G71" s="50" t="s">
        <v>491</v>
      </c>
      <c r="H71" s="50" t="s">
        <v>897</v>
      </c>
      <c r="I71" s="50" t="s">
        <v>174</v>
      </c>
      <c r="J71" s="50" t="s">
        <v>11</v>
      </c>
    </row>
    <row r="72" spans="1:10" ht="27.6">
      <c r="A72" s="13" t="s">
        <v>2113</v>
      </c>
      <c r="B72" s="13">
        <v>0.6</v>
      </c>
      <c r="C72" s="13">
        <v>0.5</v>
      </c>
      <c r="D72" s="13" t="s">
        <v>679</v>
      </c>
      <c r="E72" s="13" t="s">
        <v>679</v>
      </c>
      <c r="F72" s="13">
        <v>0.6</v>
      </c>
      <c r="G72" s="13" t="s">
        <v>677</v>
      </c>
      <c r="H72" s="13">
        <v>0.55000000000000004</v>
      </c>
      <c r="I72" s="13" t="s">
        <v>1201</v>
      </c>
      <c r="J72" s="13" t="s">
        <v>2191</v>
      </c>
    </row>
    <row r="73" spans="1:10" ht="41.4">
      <c r="A73" s="13" t="s">
        <v>2107</v>
      </c>
      <c r="B73" s="13">
        <v>0.5</v>
      </c>
      <c r="C73" s="13">
        <v>0.5</v>
      </c>
      <c r="D73" s="13" t="s">
        <v>679</v>
      </c>
      <c r="E73" s="13" t="s">
        <v>679</v>
      </c>
      <c r="F73" s="13">
        <v>0.6</v>
      </c>
      <c r="G73" s="13" t="s">
        <v>677</v>
      </c>
      <c r="H73" s="13">
        <v>0.53</v>
      </c>
      <c r="I73" s="13" t="s">
        <v>1201</v>
      </c>
      <c r="J73" s="13" t="s">
        <v>2192</v>
      </c>
    </row>
    <row r="74" spans="1:10">
      <c r="A74" s="13"/>
      <c r="B74" s="13"/>
      <c r="C74" s="13"/>
      <c r="D74" s="13"/>
      <c r="E74" s="13"/>
      <c r="F74" s="13"/>
      <c r="G74" s="13"/>
      <c r="H74" s="13"/>
      <c r="I74" s="13"/>
      <c r="J74" s="13"/>
    </row>
    <row r="75" spans="1:10">
      <c r="A75" s="842" t="s">
        <v>1085</v>
      </c>
      <c r="B75" s="839"/>
      <c r="C75" s="839"/>
      <c r="D75" s="85"/>
      <c r="E75" s="85"/>
      <c r="F75" s="85"/>
      <c r="G75" s="85"/>
      <c r="H75" s="85"/>
      <c r="I75" s="85"/>
      <c r="J75" s="85"/>
    </row>
    <row r="76" spans="1:10" ht="55.2">
      <c r="A76" s="50" t="s">
        <v>905</v>
      </c>
      <c r="B76" s="50" t="s">
        <v>797</v>
      </c>
      <c r="C76" s="50"/>
      <c r="D76" s="50"/>
      <c r="E76" s="50"/>
      <c r="F76" s="50"/>
      <c r="G76" s="50"/>
      <c r="H76" s="50"/>
      <c r="I76" s="50"/>
      <c r="J76" s="50"/>
    </row>
    <row r="77" spans="1:10" ht="179.4">
      <c r="A77" s="13" t="s">
        <v>1086</v>
      </c>
      <c r="B77" s="13" t="s">
        <v>2193</v>
      </c>
      <c r="C77" s="13"/>
      <c r="D77" s="13"/>
      <c r="E77" s="13"/>
      <c r="F77" s="13"/>
      <c r="G77" s="13"/>
      <c r="H77" s="13"/>
      <c r="I77" s="13"/>
      <c r="J77" s="13"/>
    </row>
    <row r="78" spans="1:10" ht="193.2">
      <c r="A78" s="13" t="s">
        <v>2194</v>
      </c>
      <c r="B78" s="13" t="s">
        <v>2195</v>
      </c>
      <c r="C78" s="13"/>
      <c r="D78" s="13"/>
      <c r="E78" s="13"/>
      <c r="F78" s="13"/>
      <c r="G78" s="13"/>
      <c r="H78" s="13"/>
      <c r="I78" s="13"/>
      <c r="J78" s="13"/>
    </row>
    <row r="79" spans="1:10" ht="138">
      <c r="A79" s="13" t="s">
        <v>2196</v>
      </c>
      <c r="B79" s="13" t="s">
        <v>2197</v>
      </c>
      <c r="C79" s="13"/>
      <c r="D79" s="13"/>
      <c r="E79" s="13"/>
      <c r="F79" s="13"/>
      <c r="G79" s="13"/>
      <c r="H79" s="13"/>
      <c r="I79" s="13"/>
      <c r="J79" s="13"/>
    </row>
    <row r="80" spans="1:10" ht="138">
      <c r="A80" s="13" t="s">
        <v>1088</v>
      </c>
      <c r="B80" s="13" t="s">
        <v>2198</v>
      </c>
      <c r="C80" s="13"/>
      <c r="D80" s="13"/>
      <c r="E80" s="13"/>
      <c r="F80" s="13"/>
      <c r="G80" s="13"/>
      <c r="H80" s="13"/>
      <c r="I80" s="13"/>
      <c r="J80" s="13"/>
    </row>
    <row r="81" spans="1:10" ht="207">
      <c r="A81" s="13" t="s">
        <v>1563</v>
      </c>
      <c r="B81" s="13" t="s">
        <v>2199</v>
      </c>
      <c r="C81" s="13"/>
      <c r="D81" s="13"/>
      <c r="E81" s="13"/>
      <c r="F81" s="13"/>
      <c r="G81" s="13"/>
      <c r="H81" s="13"/>
      <c r="I81" s="13"/>
      <c r="J81" s="13"/>
    </row>
    <row r="83" spans="1:10" ht="15" thickBot="1"/>
    <row r="84" spans="1:10">
      <c r="A84" s="855" t="s">
        <v>5875</v>
      </c>
      <c r="B84" s="856"/>
      <c r="C84" s="856"/>
      <c r="D84" s="857"/>
      <c r="E84" s="856"/>
      <c r="F84" s="856"/>
      <c r="G84" s="857"/>
      <c r="H84" s="857"/>
      <c r="I84" s="857"/>
      <c r="J84" s="858"/>
    </row>
    <row r="85" spans="1:10">
      <c r="A85" s="325" t="s">
        <v>5817</v>
      </c>
      <c r="B85" s="326" t="s">
        <v>77</v>
      </c>
      <c r="C85" s="326" t="s">
        <v>5818</v>
      </c>
      <c r="D85" s="326" t="s">
        <v>5819</v>
      </c>
      <c r="E85" s="326" t="s">
        <v>5841</v>
      </c>
      <c r="F85" s="326" t="s">
        <v>5808</v>
      </c>
      <c r="G85" s="859" t="s">
        <v>5842</v>
      </c>
      <c r="H85" s="859"/>
      <c r="I85" s="859"/>
      <c r="J85" s="860"/>
    </row>
    <row r="86" spans="1:10" ht="26.4">
      <c r="A86" s="327" t="s">
        <v>5820</v>
      </c>
      <c r="B86" s="337" t="s">
        <v>484</v>
      </c>
      <c r="C86" s="329">
        <v>0</v>
      </c>
      <c r="D86" s="329">
        <v>0</v>
      </c>
      <c r="E86" s="196" t="s">
        <v>5881</v>
      </c>
      <c r="F86" s="329">
        <f>IF(AND(C86&lt;&gt;"",D86&lt;&gt;""),D86-C86,"")</f>
        <v>0</v>
      </c>
      <c r="G86" s="861"/>
      <c r="H86" s="861"/>
      <c r="I86" s="861"/>
      <c r="J86" s="862"/>
    </row>
    <row r="87" spans="1:10" ht="26.4">
      <c r="A87" s="330" t="s">
        <v>5821</v>
      </c>
      <c r="B87" s="337" t="s">
        <v>484</v>
      </c>
      <c r="C87" s="331">
        <v>1</v>
      </c>
      <c r="D87" s="331">
        <v>0</v>
      </c>
      <c r="E87" s="314" t="s">
        <v>5882</v>
      </c>
      <c r="F87" s="331">
        <f>IF(AND(C87&lt;&gt;"",D87&lt;&gt;""),D87-C87,"")</f>
        <v>-1</v>
      </c>
      <c r="G87" s="863"/>
      <c r="H87" s="863"/>
      <c r="I87" s="863"/>
      <c r="J87" s="864"/>
    </row>
    <row r="88" spans="1:10">
      <c r="A88" s="327" t="s">
        <v>5822</v>
      </c>
      <c r="B88" s="337" t="s">
        <v>484</v>
      </c>
      <c r="C88" s="331">
        <v>1</v>
      </c>
      <c r="D88" s="331">
        <v>0</v>
      </c>
      <c r="E88" s="314" t="s">
        <v>5882</v>
      </c>
      <c r="F88" s="329">
        <f>IF(AND(C88&lt;&gt;"",D88&lt;&gt;""),D88-C88,"")</f>
        <v>-1</v>
      </c>
      <c r="G88" s="332"/>
      <c r="H88" s="231"/>
      <c r="I88" s="231"/>
      <c r="J88" s="333"/>
    </row>
    <row r="89" spans="1:10">
      <c r="A89" s="330" t="s">
        <v>5823</v>
      </c>
      <c r="B89" s="337" t="s">
        <v>484</v>
      </c>
      <c r="C89" s="331">
        <v>1</v>
      </c>
      <c r="D89" s="331">
        <v>0</v>
      </c>
      <c r="E89" s="314" t="s">
        <v>5882</v>
      </c>
      <c r="F89" s="331">
        <f>IF(AND(C89&lt;&gt;"",D89&lt;&gt;""),D89-C89,"")</f>
        <v>-1</v>
      </c>
      <c r="G89" s="863"/>
      <c r="H89" s="863"/>
      <c r="I89" s="863"/>
      <c r="J89" s="864"/>
    </row>
    <row r="90" spans="1:10">
      <c r="A90" s="327" t="s">
        <v>5168</v>
      </c>
      <c r="B90" s="337" t="s">
        <v>484</v>
      </c>
      <c r="C90" s="331">
        <v>1</v>
      </c>
      <c r="D90" s="331">
        <v>0</v>
      </c>
      <c r="E90" s="314" t="s">
        <v>5882</v>
      </c>
      <c r="F90" s="329">
        <f>IF(AND(C90&lt;&gt;"",D90&lt;&gt;""),D90-C90,"")</f>
        <v>-1</v>
      </c>
      <c r="G90" s="332"/>
      <c r="H90" s="231"/>
      <c r="I90" s="231"/>
      <c r="J90" s="333"/>
    </row>
    <row r="91" spans="1:10" ht="15.6">
      <c r="A91" s="865" t="s">
        <v>5843</v>
      </c>
      <c r="B91" s="713"/>
      <c r="C91" s="334">
        <f>IFERROR(AVERAGE(C86:C90),"")</f>
        <v>0.8</v>
      </c>
      <c r="D91" s="334">
        <f>IFERROR(AVERAGE(D86:D90),"")</f>
        <v>0</v>
      </c>
      <c r="E91" s="866" t="s">
        <v>5844</v>
      </c>
      <c r="F91" s="866"/>
      <c r="G91" s="866"/>
      <c r="H91" s="866"/>
      <c r="I91" s="866"/>
      <c r="J91" s="867"/>
    </row>
    <row r="92" spans="1:10">
      <c r="A92" s="335"/>
      <c r="B92" s="320"/>
      <c r="C92" s="320"/>
      <c r="D92" s="320"/>
      <c r="E92" s="320"/>
      <c r="F92" s="320"/>
      <c r="G92" s="320"/>
      <c r="H92" s="231"/>
      <c r="I92" s="231"/>
      <c r="J92" s="333"/>
    </row>
    <row r="93" spans="1:10">
      <c r="A93" s="876" t="s">
        <v>5876</v>
      </c>
      <c r="B93" s="853"/>
      <c r="C93" s="853"/>
      <c r="D93" s="842"/>
      <c r="E93" s="853"/>
      <c r="F93" s="853"/>
      <c r="G93" s="842"/>
      <c r="H93" s="842"/>
      <c r="I93" s="842"/>
      <c r="J93" s="868"/>
    </row>
    <row r="94" spans="1:10">
      <c r="A94" s="325" t="s">
        <v>4946</v>
      </c>
      <c r="B94" s="326" t="s">
        <v>77</v>
      </c>
      <c r="C94" s="326" t="s">
        <v>5883</v>
      </c>
      <c r="D94" s="326" t="s">
        <v>482</v>
      </c>
      <c r="E94" s="326" t="s">
        <v>572</v>
      </c>
      <c r="F94" s="326" t="s">
        <v>5846</v>
      </c>
      <c r="G94" s="859" t="s">
        <v>5847</v>
      </c>
      <c r="H94" s="859"/>
      <c r="I94" s="859"/>
      <c r="J94" s="860"/>
    </row>
    <row r="95" spans="1:10" ht="26.4">
      <c r="A95" s="330" t="s">
        <v>5809</v>
      </c>
      <c r="B95" s="337" t="s">
        <v>484</v>
      </c>
      <c r="C95" s="336" t="s">
        <v>679</v>
      </c>
      <c r="D95" s="328" t="s">
        <v>679</v>
      </c>
      <c r="E95" s="336">
        <f>IF(D95="Yes",1,0)</f>
        <v>0</v>
      </c>
      <c r="F95" s="877"/>
      <c r="G95" s="877"/>
      <c r="H95" s="877"/>
      <c r="I95" s="877"/>
      <c r="J95" s="878"/>
    </row>
    <row r="96" spans="1:10">
      <c r="A96" s="327" t="s">
        <v>995</v>
      </c>
      <c r="B96" s="337" t="s">
        <v>484</v>
      </c>
      <c r="C96" s="336" t="s">
        <v>679</v>
      </c>
      <c r="D96" s="328" t="s">
        <v>679</v>
      </c>
      <c r="E96" s="328">
        <f t="shared" ref="E96:E102" si="0">IF(D96="Yes",1,0)</f>
        <v>0</v>
      </c>
      <c r="F96" s="877"/>
      <c r="G96" s="877"/>
      <c r="H96" s="877"/>
      <c r="I96" s="877"/>
      <c r="J96" s="878"/>
    </row>
    <row r="97" spans="1:10">
      <c r="A97" s="330" t="s">
        <v>5810</v>
      </c>
      <c r="B97" s="337" t="s">
        <v>484</v>
      </c>
      <c r="C97" s="336" t="s">
        <v>679</v>
      </c>
      <c r="D97" s="328" t="s">
        <v>679</v>
      </c>
      <c r="E97" s="336">
        <f t="shared" si="0"/>
        <v>0</v>
      </c>
      <c r="F97" s="877"/>
      <c r="G97" s="877"/>
      <c r="H97" s="877"/>
      <c r="I97" s="877"/>
      <c r="J97" s="878"/>
    </row>
    <row r="98" spans="1:10">
      <c r="A98" s="327" t="s">
        <v>5824</v>
      </c>
      <c r="B98" s="337" t="s">
        <v>484</v>
      </c>
      <c r="C98" s="336" t="s">
        <v>679</v>
      </c>
      <c r="D98" s="328" t="s">
        <v>679</v>
      </c>
      <c r="E98" s="328">
        <f t="shared" si="0"/>
        <v>0</v>
      </c>
      <c r="F98" s="877"/>
      <c r="G98" s="877"/>
      <c r="H98" s="877"/>
      <c r="I98" s="877"/>
      <c r="J98" s="878"/>
    </row>
    <row r="99" spans="1:10" ht="39.6">
      <c r="A99" s="330" t="s">
        <v>5825</v>
      </c>
      <c r="B99" s="337" t="s">
        <v>484</v>
      </c>
      <c r="C99" s="336" t="s">
        <v>679</v>
      </c>
      <c r="D99" s="328" t="s">
        <v>679</v>
      </c>
      <c r="E99" s="336">
        <f t="shared" si="0"/>
        <v>0</v>
      </c>
      <c r="F99" s="877"/>
      <c r="G99" s="877"/>
      <c r="H99" s="877"/>
      <c r="I99" s="877"/>
      <c r="J99" s="878"/>
    </row>
    <row r="100" spans="1:10" ht="26.4">
      <c r="A100" s="327" t="s">
        <v>5826</v>
      </c>
      <c r="B100" s="337" t="s">
        <v>484</v>
      </c>
      <c r="C100" s="336" t="s">
        <v>679</v>
      </c>
      <c r="D100" s="328" t="s">
        <v>679</v>
      </c>
      <c r="E100" s="328">
        <f t="shared" si="0"/>
        <v>0</v>
      </c>
      <c r="F100" s="877"/>
      <c r="G100" s="877"/>
      <c r="H100" s="877"/>
      <c r="I100" s="877"/>
      <c r="J100" s="878"/>
    </row>
    <row r="101" spans="1:10">
      <c r="A101" s="330" t="s">
        <v>5811</v>
      </c>
      <c r="B101" s="337" t="s">
        <v>484</v>
      </c>
      <c r="C101" s="336" t="s">
        <v>679</v>
      </c>
      <c r="D101" s="328" t="s">
        <v>679</v>
      </c>
      <c r="E101" s="336">
        <f t="shared" si="0"/>
        <v>0</v>
      </c>
      <c r="F101" s="877"/>
      <c r="G101" s="877"/>
      <c r="H101" s="877"/>
      <c r="I101" s="877"/>
      <c r="J101" s="878"/>
    </row>
    <row r="102" spans="1:10" ht="26.4">
      <c r="A102" s="327" t="s">
        <v>5812</v>
      </c>
      <c r="B102" s="337" t="s">
        <v>484</v>
      </c>
      <c r="C102" s="336" t="s">
        <v>679</v>
      </c>
      <c r="D102" s="328" t="s">
        <v>679</v>
      </c>
      <c r="E102" s="328">
        <f t="shared" si="0"/>
        <v>0</v>
      </c>
      <c r="F102" s="877"/>
      <c r="G102" s="877"/>
      <c r="H102" s="877"/>
      <c r="I102" s="877"/>
      <c r="J102" s="878"/>
    </row>
    <row r="103" spans="1:10" ht="15.6">
      <c r="A103" s="865" t="s">
        <v>5848</v>
      </c>
      <c r="B103" s="713"/>
      <c r="C103" s="871" t="str">
        <f>IFERROR(SUM(E95:E102)/COUNTIF(C95:C102,"Yes"),"")</f>
        <v/>
      </c>
      <c r="D103" s="872"/>
      <c r="E103" s="866" t="s">
        <v>5849</v>
      </c>
      <c r="F103" s="866"/>
      <c r="G103" s="866"/>
      <c r="H103" s="866"/>
      <c r="I103" s="866"/>
      <c r="J103" s="867"/>
    </row>
    <row r="104" spans="1:10">
      <c r="A104" s="335"/>
      <c r="B104" s="320"/>
      <c r="C104" s="320"/>
      <c r="D104" s="320"/>
      <c r="E104" s="320"/>
      <c r="F104" s="320"/>
      <c r="G104" s="320"/>
      <c r="H104" s="231"/>
      <c r="I104" s="231"/>
      <c r="J104" s="333"/>
    </row>
    <row r="105" spans="1:10">
      <c r="A105" s="876" t="s">
        <v>5877</v>
      </c>
      <c r="B105" s="853"/>
      <c r="C105" s="853"/>
      <c r="D105" s="842"/>
      <c r="E105" s="853"/>
      <c r="F105" s="853"/>
      <c r="G105" s="842"/>
      <c r="H105" s="842"/>
      <c r="I105" s="842"/>
      <c r="J105" s="868"/>
    </row>
    <row r="106" spans="1:10">
      <c r="A106" s="325" t="s">
        <v>5850</v>
      </c>
      <c r="B106" s="326" t="s">
        <v>77</v>
      </c>
      <c r="C106" s="326" t="s">
        <v>5827</v>
      </c>
      <c r="D106" s="326" t="s">
        <v>5828</v>
      </c>
      <c r="E106" s="326" t="s">
        <v>5829</v>
      </c>
      <c r="F106" s="326" t="s">
        <v>5851</v>
      </c>
      <c r="G106" s="859" t="s">
        <v>5852</v>
      </c>
      <c r="H106" s="859"/>
      <c r="I106" s="859"/>
      <c r="J106" s="860"/>
    </row>
    <row r="107" spans="1:10" ht="26.4">
      <c r="A107" s="330" t="s">
        <v>5830</v>
      </c>
      <c r="B107" s="336" t="s">
        <v>484</v>
      </c>
      <c r="C107" s="336" t="s">
        <v>1096</v>
      </c>
      <c r="D107" s="336" t="s">
        <v>1096</v>
      </c>
      <c r="E107" s="336" t="s">
        <v>1096</v>
      </c>
      <c r="F107" s="336" t="s">
        <v>348</v>
      </c>
      <c r="G107" s="869"/>
      <c r="H107" s="869"/>
      <c r="I107" s="869"/>
      <c r="J107" s="870"/>
    </row>
    <row r="108" spans="1:10">
      <c r="A108" s="327" t="s">
        <v>5831</v>
      </c>
      <c r="B108" s="336" t="s">
        <v>484</v>
      </c>
      <c r="C108" s="336" t="s">
        <v>1096</v>
      </c>
      <c r="D108" s="336" t="s">
        <v>1096</v>
      </c>
      <c r="E108" s="336" t="s">
        <v>1096</v>
      </c>
      <c r="F108" s="336" t="s">
        <v>348</v>
      </c>
      <c r="G108" s="869"/>
      <c r="H108" s="869"/>
      <c r="I108" s="869"/>
      <c r="J108" s="870"/>
    </row>
    <row r="109" spans="1:10">
      <c r="A109" s="330" t="s">
        <v>5853</v>
      </c>
      <c r="B109" s="336" t="s">
        <v>484</v>
      </c>
      <c r="C109" s="336" t="s">
        <v>1096</v>
      </c>
      <c r="D109" s="336" t="s">
        <v>1096</v>
      </c>
      <c r="E109" s="336" t="s">
        <v>1096</v>
      </c>
      <c r="F109" s="336" t="s">
        <v>348</v>
      </c>
      <c r="G109" s="869"/>
      <c r="H109" s="869"/>
      <c r="I109" s="869"/>
      <c r="J109" s="870"/>
    </row>
    <row r="110" spans="1:10">
      <c r="A110" s="327" t="s">
        <v>5832</v>
      </c>
      <c r="B110" s="336" t="s">
        <v>484</v>
      </c>
      <c r="C110" s="336" t="s">
        <v>1096</v>
      </c>
      <c r="D110" s="336" t="s">
        <v>1096</v>
      </c>
      <c r="E110" s="336" t="s">
        <v>1096</v>
      </c>
      <c r="F110" s="336" t="s">
        <v>348</v>
      </c>
      <c r="G110" s="869"/>
      <c r="H110" s="869"/>
      <c r="I110" s="869"/>
      <c r="J110" s="870"/>
    </row>
    <row r="111" spans="1:10" ht="26.4">
      <c r="A111" s="330" t="s">
        <v>5833</v>
      </c>
      <c r="B111" s="336" t="s">
        <v>484</v>
      </c>
      <c r="C111" s="336" t="s">
        <v>1096</v>
      </c>
      <c r="D111" s="336" t="s">
        <v>1096</v>
      </c>
      <c r="E111" s="336" t="s">
        <v>1096</v>
      </c>
      <c r="F111" s="336" t="s">
        <v>348</v>
      </c>
      <c r="G111" s="869"/>
      <c r="H111" s="869"/>
      <c r="I111" s="869"/>
      <c r="J111" s="870"/>
    </row>
    <row r="112" spans="1:10" ht="15.6">
      <c r="A112" s="865" t="s">
        <v>5884</v>
      </c>
      <c r="B112" s="713"/>
      <c r="C112" s="871">
        <f>IFERROR(COUNTIF(E107:E111,"Yes")/COUNTA(A107:A111),"")</f>
        <v>0</v>
      </c>
      <c r="D112" s="872"/>
      <c r="E112" s="866" t="s">
        <v>5855</v>
      </c>
      <c r="F112" s="866"/>
      <c r="G112" s="866"/>
      <c r="H112" s="866"/>
      <c r="I112" s="866"/>
      <c r="J112" s="867"/>
    </row>
    <row r="113" spans="1:10">
      <c r="A113" s="335"/>
      <c r="B113" s="320"/>
      <c r="C113" s="320"/>
      <c r="D113" s="320"/>
      <c r="E113" s="320"/>
      <c r="F113" s="320"/>
      <c r="G113" s="874"/>
      <c r="H113" s="874"/>
      <c r="I113" s="874"/>
      <c r="J113" s="875"/>
    </row>
    <row r="114" spans="1:10">
      <c r="A114" s="876" t="s">
        <v>5878</v>
      </c>
      <c r="B114" s="853"/>
      <c r="C114" s="853"/>
      <c r="D114" s="842"/>
      <c r="E114" s="853"/>
      <c r="F114" s="853"/>
      <c r="G114" s="842"/>
      <c r="H114" s="842"/>
      <c r="I114" s="842"/>
      <c r="J114" s="868"/>
    </row>
    <row r="115" spans="1:10">
      <c r="A115" s="326" t="s">
        <v>5813</v>
      </c>
      <c r="B115" s="326" t="s">
        <v>77</v>
      </c>
      <c r="C115" s="326" t="s">
        <v>5834</v>
      </c>
      <c r="D115" s="326" t="s">
        <v>5835</v>
      </c>
      <c r="E115" s="326" t="s">
        <v>5836</v>
      </c>
      <c r="F115" s="326" t="s">
        <v>5837</v>
      </c>
      <c r="G115" s="859" t="s">
        <v>5885</v>
      </c>
      <c r="H115" s="859"/>
      <c r="I115" s="859"/>
      <c r="J115" s="859"/>
    </row>
    <row r="116" spans="1:10">
      <c r="A116" s="332" t="s">
        <v>153</v>
      </c>
      <c r="B116" s="328" t="s">
        <v>484</v>
      </c>
      <c r="C116" s="328"/>
      <c r="D116" s="328"/>
      <c r="E116" s="328"/>
      <c r="F116" s="329" t="str">
        <f>IFERROR(D116/C116,"")</f>
        <v/>
      </c>
      <c r="G116" s="873"/>
      <c r="H116" s="873"/>
      <c r="I116" s="873"/>
      <c r="J116" s="873"/>
    </row>
    <row r="117" spans="1:10">
      <c r="A117" s="339" t="s">
        <v>155</v>
      </c>
      <c r="B117" s="336" t="s">
        <v>484</v>
      </c>
      <c r="C117" s="336"/>
      <c r="D117" s="336"/>
      <c r="E117" s="336"/>
      <c r="F117" s="331" t="str">
        <f>IFERROR(D117/C117,"")</f>
        <v/>
      </c>
      <c r="G117" s="873"/>
      <c r="H117" s="873"/>
      <c r="I117" s="873"/>
      <c r="J117" s="873"/>
    </row>
    <row r="118" spans="1:10">
      <c r="A118" s="332" t="s">
        <v>4821</v>
      </c>
      <c r="B118" s="328" t="s">
        <v>484</v>
      </c>
      <c r="C118" s="328"/>
      <c r="D118" s="328"/>
      <c r="E118" s="328"/>
      <c r="F118" s="329" t="str">
        <f>IFERROR(D118/C118,"")</f>
        <v/>
      </c>
      <c r="G118" s="873"/>
      <c r="H118" s="873"/>
      <c r="I118" s="873"/>
      <c r="J118" s="873"/>
    </row>
    <row r="119" spans="1:10">
      <c r="A119" s="339" t="s">
        <v>957</v>
      </c>
      <c r="B119" s="336" t="s">
        <v>484</v>
      </c>
      <c r="C119" s="336"/>
      <c r="D119" s="336"/>
      <c r="E119" s="336"/>
      <c r="F119" s="331" t="str">
        <f>IFERROR(D119/C119,"")</f>
        <v/>
      </c>
      <c r="G119" s="873"/>
      <c r="H119" s="873"/>
      <c r="I119" s="873"/>
      <c r="J119" s="873"/>
    </row>
    <row r="120" spans="1:10">
      <c r="A120" s="879" t="s">
        <v>5856</v>
      </c>
      <c r="B120" s="879"/>
      <c r="C120" s="879"/>
      <c r="D120" s="879"/>
      <c r="E120" s="866" t="s">
        <v>5857</v>
      </c>
      <c r="F120" s="866"/>
      <c r="G120" s="866"/>
      <c r="H120" s="866"/>
      <c r="I120" s="866"/>
      <c r="J120" s="866"/>
    </row>
    <row r="121" spans="1:10">
      <c r="A121" s="879"/>
      <c r="B121" s="879"/>
      <c r="C121" s="879"/>
      <c r="D121" s="879"/>
      <c r="E121" s="866"/>
      <c r="F121" s="866"/>
      <c r="G121" s="866"/>
      <c r="H121" s="866"/>
      <c r="I121" s="866"/>
      <c r="J121" s="866"/>
    </row>
    <row r="122" spans="1:10">
      <c r="A122" s="842" t="s">
        <v>5879</v>
      </c>
      <c r="B122" s="842"/>
      <c r="C122" s="842"/>
      <c r="D122" s="842"/>
      <c r="E122" s="842"/>
      <c r="F122" s="842"/>
      <c r="G122" s="842"/>
      <c r="H122" s="842"/>
      <c r="I122" s="842"/>
      <c r="J122" s="842"/>
    </row>
    <row r="123" spans="1:10">
      <c r="A123" s="326" t="s">
        <v>4946</v>
      </c>
      <c r="B123" s="326" t="s">
        <v>77</v>
      </c>
      <c r="C123" s="326" t="s">
        <v>5845</v>
      </c>
      <c r="D123" s="326" t="s">
        <v>482</v>
      </c>
      <c r="E123" s="326" t="s">
        <v>572</v>
      </c>
      <c r="F123" s="326" t="s">
        <v>944</v>
      </c>
      <c r="G123" s="859" t="s">
        <v>5847</v>
      </c>
      <c r="H123" s="859"/>
      <c r="I123" s="859"/>
      <c r="J123" s="859"/>
    </row>
    <row r="124" spans="1:10" ht="26.4">
      <c r="A124" s="332" t="s">
        <v>5814</v>
      </c>
      <c r="B124" s="328" t="s">
        <v>484</v>
      </c>
      <c r="C124" s="328" t="s">
        <v>392</v>
      </c>
      <c r="D124" s="328" t="s">
        <v>1096</v>
      </c>
      <c r="E124" s="328">
        <f t="shared" ref="E124:E129" si="1">IF(D124="Yes",1,0)</f>
        <v>0</v>
      </c>
      <c r="F124" s="328"/>
      <c r="G124" s="873"/>
      <c r="H124" s="873"/>
      <c r="I124" s="873"/>
      <c r="J124" s="873"/>
    </row>
    <row r="125" spans="1:10">
      <c r="A125" s="339" t="s">
        <v>5815</v>
      </c>
      <c r="B125" s="328" t="s">
        <v>484</v>
      </c>
      <c r="C125" s="336" t="s">
        <v>392</v>
      </c>
      <c r="D125" s="328" t="s">
        <v>1096</v>
      </c>
      <c r="E125" s="336">
        <f t="shared" si="1"/>
        <v>0</v>
      </c>
      <c r="F125" s="336"/>
      <c r="G125" s="873"/>
      <c r="H125" s="873"/>
      <c r="I125" s="873"/>
      <c r="J125" s="873"/>
    </row>
    <row r="126" spans="1:10" ht="26.4">
      <c r="A126" s="332" t="s">
        <v>5816</v>
      </c>
      <c r="B126" s="328" t="s">
        <v>484</v>
      </c>
      <c r="C126" s="328" t="s">
        <v>392</v>
      </c>
      <c r="D126" s="328" t="s">
        <v>1096</v>
      </c>
      <c r="E126" s="328">
        <f t="shared" si="1"/>
        <v>0</v>
      </c>
      <c r="F126" s="328"/>
      <c r="G126" s="873"/>
      <c r="H126" s="873"/>
      <c r="I126" s="873"/>
      <c r="J126" s="873"/>
    </row>
    <row r="127" spans="1:10">
      <c r="A127" s="339" t="s">
        <v>5838</v>
      </c>
      <c r="B127" s="328" t="s">
        <v>484</v>
      </c>
      <c r="C127" s="336" t="s">
        <v>392</v>
      </c>
      <c r="D127" s="328" t="s">
        <v>1096</v>
      </c>
      <c r="E127" s="336">
        <f t="shared" si="1"/>
        <v>0</v>
      </c>
      <c r="F127" s="336"/>
      <c r="G127" s="873"/>
      <c r="H127" s="873"/>
      <c r="I127" s="873"/>
      <c r="J127" s="873"/>
    </row>
    <row r="128" spans="1:10" ht="26.4">
      <c r="A128" s="332" t="s">
        <v>5839</v>
      </c>
      <c r="B128" s="328" t="s">
        <v>484</v>
      </c>
      <c r="C128" s="328" t="s">
        <v>392</v>
      </c>
      <c r="D128" s="328" t="s">
        <v>1096</v>
      </c>
      <c r="E128" s="328">
        <f t="shared" si="1"/>
        <v>0</v>
      </c>
      <c r="F128" s="328"/>
      <c r="G128" s="873"/>
      <c r="H128" s="873"/>
      <c r="I128" s="873"/>
      <c r="J128" s="873"/>
    </row>
    <row r="129" spans="1:10" ht="26.4">
      <c r="A129" s="339" t="s">
        <v>5840</v>
      </c>
      <c r="B129" s="328" t="s">
        <v>484</v>
      </c>
      <c r="C129" s="336" t="s">
        <v>392</v>
      </c>
      <c r="D129" s="336" t="s">
        <v>1096</v>
      </c>
      <c r="E129" s="336">
        <f t="shared" si="1"/>
        <v>0</v>
      </c>
      <c r="F129" s="336"/>
      <c r="G129" s="873"/>
      <c r="H129" s="873"/>
      <c r="I129" s="873"/>
      <c r="J129" s="873"/>
    </row>
    <row r="130" spans="1:10" ht="15.6">
      <c r="A130" s="880" t="s">
        <v>5858</v>
      </c>
      <c r="B130" s="713"/>
      <c r="C130" s="871">
        <f>IFERROR(SUM(E124:E129)/COUNTIF(C124:C129,"Yes"),"")</f>
        <v>0</v>
      </c>
      <c r="D130" s="872"/>
      <c r="E130" s="866" t="s">
        <v>5859</v>
      </c>
      <c r="F130" s="866"/>
      <c r="G130" s="866"/>
      <c r="H130" s="866"/>
      <c r="I130" s="866"/>
      <c r="J130" s="866"/>
    </row>
    <row r="131" spans="1:10">
      <c r="A131" s="196"/>
      <c r="B131" s="196"/>
      <c r="C131" s="196"/>
      <c r="D131" s="196"/>
      <c r="E131" s="196"/>
      <c r="F131" s="196"/>
      <c r="G131" s="196"/>
      <c r="H131" s="196"/>
      <c r="I131" s="196"/>
      <c r="J131" s="196"/>
    </row>
    <row r="132" spans="1:10">
      <c r="A132" s="842" t="s">
        <v>5880</v>
      </c>
      <c r="B132" s="853"/>
      <c r="C132" s="853"/>
      <c r="D132" s="321"/>
      <c r="E132" s="321"/>
      <c r="F132" s="321"/>
      <c r="G132" s="321"/>
      <c r="H132" s="321"/>
      <c r="I132" s="321"/>
      <c r="J132" s="321"/>
    </row>
    <row r="133" spans="1:10" ht="55.2">
      <c r="A133" s="322" t="s">
        <v>905</v>
      </c>
      <c r="B133" s="322" t="s">
        <v>830</v>
      </c>
      <c r="C133" s="322"/>
      <c r="D133" s="322"/>
      <c r="E133" s="322"/>
      <c r="F133" s="322"/>
      <c r="G133" s="322"/>
      <c r="H133" s="322"/>
      <c r="I133" s="322"/>
      <c r="J133" s="322"/>
    </row>
    <row r="134" spans="1:10">
      <c r="A134" s="319" t="s">
        <v>1086</v>
      </c>
      <c r="B134" s="852" t="s">
        <v>3292</v>
      </c>
      <c r="C134" s="853"/>
      <c r="D134" s="853"/>
      <c r="E134" s="853"/>
      <c r="F134" s="853"/>
      <c r="G134" s="853"/>
      <c r="H134" s="853"/>
      <c r="I134" s="853"/>
      <c r="J134" s="853"/>
    </row>
    <row r="135" spans="1:10" ht="27.6">
      <c r="A135" s="319" t="s">
        <v>2090</v>
      </c>
      <c r="B135" s="852" t="s">
        <v>3293</v>
      </c>
      <c r="C135" s="853"/>
      <c r="D135" s="853"/>
      <c r="E135" s="853"/>
      <c r="F135" s="853"/>
      <c r="G135" s="853"/>
      <c r="H135" s="853"/>
      <c r="I135" s="853"/>
      <c r="J135" s="853"/>
    </row>
    <row r="136" spans="1:10">
      <c r="A136" s="319" t="s">
        <v>1089</v>
      </c>
      <c r="B136" s="852" t="s">
        <v>3294</v>
      </c>
      <c r="C136" s="853"/>
      <c r="D136" s="853"/>
      <c r="E136" s="853"/>
      <c r="F136" s="853"/>
      <c r="G136" s="853"/>
      <c r="H136" s="853"/>
      <c r="I136" s="853"/>
      <c r="J136" s="853"/>
    </row>
    <row r="137" spans="1:10">
      <c r="A137" s="319" t="s">
        <v>1090</v>
      </c>
      <c r="B137" s="852" t="s">
        <v>3295</v>
      </c>
      <c r="C137" s="853"/>
      <c r="D137" s="853"/>
      <c r="E137" s="853"/>
      <c r="F137" s="853"/>
      <c r="G137" s="853"/>
      <c r="H137" s="853"/>
      <c r="I137" s="853"/>
      <c r="J137" s="853"/>
    </row>
    <row r="138" spans="1:10">
      <c r="A138" s="319" t="s">
        <v>1088</v>
      </c>
      <c r="B138" s="852" t="s">
        <v>3296</v>
      </c>
      <c r="C138" s="853"/>
      <c r="D138" s="853"/>
      <c r="E138" s="853"/>
      <c r="F138" s="853"/>
      <c r="G138" s="853"/>
      <c r="H138" s="853"/>
      <c r="I138" s="853"/>
      <c r="J138" s="853"/>
    </row>
    <row r="139" spans="1:10" ht="27.6">
      <c r="A139" s="319" t="s">
        <v>3297</v>
      </c>
      <c r="B139" s="852" t="s">
        <v>3298</v>
      </c>
      <c r="C139" s="853"/>
      <c r="D139" s="853"/>
      <c r="E139" s="853"/>
      <c r="F139" s="853"/>
      <c r="G139" s="853"/>
      <c r="H139" s="853"/>
      <c r="I139" s="853"/>
      <c r="J139" s="853"/>
    </row>
    <row r="140" spans="1:10">
      <c r="A140" s="319" t="s">
        <v>1563</v>
      </c>
      <c r="B140" s="852" t="s">
        <v>1776</v>
      </c>
      <c r="C140" s="853"/>
      <c r="D140" s="853"/>
      <c r="E140" s="853"/>
      <c r="F140" s="853"/>
      <c r="G140" s="853"/>
      <c r="H140" s="853"/>
      <c r="I140" s="853"/>
      <c r="J140" s="853"/>
    </row>
    <row r="141" spans="1:10">
      <c r="A141" s="231"/>
      <c r="B141" s="231"/>
      <c r="C141" s="231"/>
      <c r="D141" s="231"/>
      <c r="E141" s="231"/>
      <c r="F141" s="231"/>
      <c r="G141" s="231"/>
      <c r="H141" s="231"/>
      <c r="I141" s="231"/>
      <c r="J141" s="231"/>
    </row>
    <row r="142" spans="1:10" ht="17.399999999999999">
      <c r="A142" s="827" t="s">
        <v>5769</v>
      </c>
      <c r="B142" s="827"/>
      <c r="C142" s="827"/>
      <c r="D142" s="827"/>
      <c r="E142" s="827"/>
      <c r="F142" s="827"/>
      <c r="G142" s="827"/>
      <c r="H142" s="827"/>
      <c r="I142" s="231"/>
      <c r="J142" s="231"/>
    </row>
    <row r="143" spans="1:10">
      <c r="A143" s="276" t="s">
        <v>2</v>
      </c>
      <c r="B143" s="828" t="s">
        <v>5770</v>
      </c>
      <c r="C143" s="828"/>
      <c r="D143" s="828"/>
      <c r="E143" s="828"/>
      <c r="F143" s="828"/>
      <c r="G143" s="828"/>
      <c r="H143" s="828"/>
      <c r="I143" s="231"/>
      <c r="J143" s="231"/>
    </row>
    <row r="144" spans="1:10">
      <c r="A144" s="276" t="s">
        <v>5771</v>
      </c>
      <c r="B144" s="828" t="s">
        <v>5772</v>
      </c>
      <c r="C144" s="828"/>
      <c r="D144" s="828"/>
      <c r="E144" s="828"/>
      <c r="F144" s="828"/>
      <c r="G144" s="828"/>
      <c r="H144" s="828"/>
      <c r="I144" s="231"/>
      <c r="J144" s="231"/>
    </row>
    <row r="145" spans="1:10">
      <c r="A145" s="196"/>
      <c r="B145" s="196"/>
      <c r="C145" s="196"/>
      <c r="D145" s="196"/>
      <c r="E145" s="196"/>
      <c r="F145" s="196"/>
      <c r="G145" s="196"/>
      <c r="H145" s="196"/>
      <c r="I145" s="231"/>
      <c r="J145" s="231"/>
    </row>
    <row r="146" spans="1:10">
      <c r="A146" s="323" t="s">
        <v>4946</v>
      </c>
      <c r="B146" s="323" t="s">
        <v>77</v>
      </c>
      <c r="C146" s="323" t="s">
        <v>5773</v>
      </c>
      <c r="D146" s="323" t="s">
        <v>263</v>
      </c>
      <c r="E146" s="323" t="s">
        <v>216</v>
      </c>
      <c r="F146" s="323" t="s">
        <v>5774</v>
      </c>
      <c r="G146" s="323" t="s">
        <v>5775</v>
      </c>
      <c r="H146" s="323" t="s">
        <v>5776</v>
      </c>
      <c r="I146" s="231"/>
      <c r="J146" s="231"/>
    </row>
    <row r="147" spans="1:10" ht="26.4">
      <c r="A147" s="277" t="s">
        <v>5777</v>
      </c>
      <c r="B147" s="278" t="s">
        <v>1096</v>
      </c>
      <c r="C147" s="277"/>
      <c r="D147" s="277"/>
      <c r="E147" s="277"/>
      <c r="F147" s="277"/>
      <c r="G147" s="279" t="str">
        <f t="shared" ref="G147:G154" si="2">IF(OR(B147="Yes",B147="N/A"),"🟢","🟡")</f>
        <v>🟡</v>
      </c>
      <c r="H147" s="277"/>
      <c r="I147" s="231"/>
      <c r="J147" s="231"/>
    </row>
    <row r="148" spans="1:10">
      <c r="A148" s="277" t="s">
        <v>5778</v>
      </c>
      <c r="B148" s="278" t="s">
        <v>1096</v>
      </c>
      <c r="C148" s="277"/>
      <c r="D148" s="277"/>
      <c r="E148" s="277"/>
      <c r="F148" s="277"/>
      <c r="G148" s="279" t="str">
        <f t="shared" si="2"/>
        <v>🟡</v>
      </c>
      <c r="H148" s="277"/>
      <c r="I148" s="231"/>
      <c r="J148" s="231"/>
    </row>
    <row r="149" spans="1:10">
      <c r="A149" s="277" t="s">
        <v>5779</v>
      </c>
      <c r="B149" s="278" t="s">
        <v>1096</v>
      </c>
      <c r="C149" s="277"/>
      <c r="D149" s="277"/>
      <c r="E149" s="277"/>
      <c r="F149" s="277"/>
      <c r="G149" s="279" t="str">
        <f t="shared" si="2"/>
        <v>🟡</v>
      </c>
      <c r="H149" s="277"/>
      <c r="I149" s="231"/>
      <c r="J149" s="231"/>
    </row>
    <row r="150" spans="1:10">
      <c r="A150" s="277" t="s">
        <v>5168</v>
      </c>
      <c r="B150" s="278" t="s">
        <v>1096</v>
      </c>
      <c r="C150" s="277"/>
      <c r="D150" s="277"/>
      <c r="E150" s="277"/>
      <c r="F150" s="277"/>
      <c r="G150" s="279" t="str">
        <f t="shared" si="2"/>
        <v>🟡</v>
      </c>
      <c r="H150" s="277"/>
      <c r="I150" s="231"/>
      <c r="J150" s="231"/>
    </row>
    <row r="151" spans="1:10">
      <c r="A151" s="277" t="s">
        <v>5780</v>
      </c>
      <c r="B151" s="278" t="s">
        <v>1096</v>
      </c>
      <c r="C151" s="277"/>
      <c r="D151" s="277"/>
      <c r="E151" s="277"/>
      <c r="F151" s="277"/>
      <c r="G151" s="279" t="str">
        <f t="shared" si="2"/>
        <v>🟡</v>
      </c>
      <c r="H151" s="277"/>
      <c r="I151" s="231"/>
      <c r="J151" s="231"/>
    </row>
    <row r="152" spans="1:10">
      <c r="A152" s="277" t="s">
        <v>5781</v>
      </c>
      <c r="B152" s="278" t="s">
        <v>1096</v>
      </c>
      <c r="C152" s="277"/>
      <c r="D152" s="277"/>
      <c r="E152" s="277"/>
      <c r="F152" s="277"/>
      <c r="G152" s="279" t="str">
        <f t="shared" si="2"/>
        <v>🟡</v>
      </c>
      <c r="H152" s="277"/>
      <c r="I152" s="231"/>
      <c r="J152" s="231"/>
    </row>
    <row r="153" spans="1:10">
      <c r="A153" s="277" t="s">
        <v>178</v>
      </c>
      <c r="B153" s="278" t="s">
        <v>1096</v>
      </c>
      <c r="C153" s="277"/>
      <c r="D153" s="277"/>
      <c r="E153" s="277"/>
      <c r="F153" s="277"/>
      <c r="G153" s="279" t="str">
        <f t="shared" si="2"/>
        <v>🟡</v>
      </c>
      <c r="H153" s="277"/>
      <c r="I153" s="231"/>
      <c r="J153" s="231"/>
    </row>
    <row r="154" spans="1:10" ht="26.4">
      <c r="A154" s="277" t="s">
        <v>5782</v>
      </c>
      <c r="B154" s="278" t="s">
        <v>1096</v>
      </c>
      <c r="C154" s="277"/>
      <c r="D154" s="277"/>
      <c r="E154" s="277"/>
      <c r="F154" s="277"/>
      <c r="G154" s="279" t="str">
        <f t="shared" si="2"/>
        <v>🟡</v>
      </c>
      <c r="H154" s="277"/>
      <c r="I154" s="231"/>
      <c r="J154" s="231"/>
    </row>
    <row r="155" spans="1:10">
      <c r="A155" s="324" t="s">
        <v>4946</v>
      </c>
      <c r="B155" s="324" t="s">
        <v>5790</v>
      </c>
      <c r="C155" s="196"/>
      <c r="D155" s="196"/>
      <c r="E155" s="324" t="s">
        <v>5791</v>
      </c>
      <c r="F155" s="196"/>
      <c r="G155" s="196"/>
      <c r="H155" s="196"/>
      <c r="I155" s="231"/>
      <c r="J155" s="231"/>
    </row>
    <row r="156" spans="1:10" ht="26.4">
      <c r="A156" s="291" t="s">
        <v>5777</v>
      </c>
      <c r="B156" s="768" t="s">
        <v>5792</v>
      </c>
      <c r="C156" s="768"/>
      <c r="D156" s="768"/>
      <c r="E156" s="768" t="s">
        <v>5793</v>
      </c>
      <c r="F156" s="768"/>
      <c r="G156" s="768"/>
      <c r="H156" s="196"/>
      <c r="I156" s="231"/>
      <c r="J156" s="231"/>
    </row>
    <row r="157" spans="1:10">
      <c r="A157" s="291" t="s">
        <v>5778</v>
      </c>
      <c r="B157" s="768" t="s">
        <v>5794</v>
      </c>
      <c r="C157" s="768"/>
      <c r="D157" s="768"/>
      <c r="E157" s="768" t="s">
        <v>5795</v>
      </c>
      <c r="F157" s="768"/>
      <c r="G157" s="768"/>
      <c r="H157" s="196"/>
      <c r="I157" s="231"/>
      <c r="J157" s="231"/>
    </row>
    <row r="158" spans="1:10">
      <c r="A158" s="291" t="s">
        <v>5779</v>
      </c>
      <c r="B158" s="768" t="s">
        <v>5796</v>
      </c>
      <c r="C158" s="768"/>
      <c r="D158" s="768"/>
      <c r="E158" s="768" t="s">
        <v>5797</v>
      </c>
      <c r="F158" s="768"/>
      <c r="G158" s="768"/>
      <c r="H158" s="196"/>
      <c r="I158" s="231"/>
      <c r="J158" s="231"/>
    </row>
    <row r="159" spans="1:10">
      <c r="A159" s="291" t="s">
        <v>5168</v>
      </c>
      <c r="B159" s="768" t="s">
        <v>5798</v>
      </c>
      <c r="C159" s="768"/>
      <c r="D159" s="768"/>
      <c r="E159" s="768" t="s">
        <v>5799</v>
      </c>
      <c r="F159" s="768"/>
      <c r="G159" s="768"/>
      <c r="H159" s="196"/>
      <c r="I159" s="231"/>
      <c r="J159" s="231"/>
    </row>
    <row r="160" spans="1:10">
      <c r="A160" s="291" t="s">
        <v>5780</v>
      </c>
      <c r="B160" s="768" t="s">
        <v>5800</v>
      </c>
      <c r="C160" s="768"/>
      <c r="D160" s="768"/>
      <c r="E160" s="768" t="s">
        <v>5801</v>
      </c>
      <c r="F160" s="768"/>
      <c r="G160" s="768"/>
      <c r="H160" s="196"/>
      <c r="I160" s="231"/>
      <c r="J160" s="231"/>
    </row>
    <row r="161" spans="1:10">
      <c r="A161" s="291" t="s">
        <v>5781</v>
      </c>
      <c r="B161" s="768" t="s">
        <v>5802</v>
      </c>
      <c r="C161" s="768"/>
      <c r="D161" s="768"/>
      <c r="E161" s="768" t="s">
        <v>5803</v>
      </c>
      <c r="F161" s="768"/>
      <c r="G161" s="768"/>
      <c r="H161" s="196"/>
      <c r="I161" s="231"/>
      <c r="J161" s="231"/>
    </row>
    <row r="162" spans="1:10">
      <c r="A162" s="291" t="s">
        <v>178</v>
      </c>
      <c r="B162" s="768" t="s">
        <v>5804</v>
      </c>
      <c r="C162" s="768"/>
      <c r="D162" s="768"/>
      <c r="E162" s="768" t="s">
        <v>5805</v>
      </c>
      <c r="F162" s="768"/>
      <c r="G162" s="768"/>
      <c r="H162" s="196"/>
      <c r="I162" s="231"/>
      <c r="J162" s="231"/>
    </row>
    <row r="163" spans="1:10" ht="26.4">
      <c r="A163" s="291" t="s">
        <v>5782</v>
      </c>
      <c r="B163" s="768" t="s">
        <v>5806</v>
      </c>
      <c r="C163" s="768"/>
      <c r="D163" s="768"/>
      <c r="E163" s="768" t="s">
        <v>5807</v>
      </c>
      <c r="F163" s="768"/>
      <c r="G163" s="768"/>
      <c r="H163" s="196"/>
      <c r="I163" s="231"/>
      <c r="J163" s="231"/>
    </row>
    <row r="164" spans="1:10">
      <c r="A164" s="276" t="s">
        <v>5783</v>
      </c>
      <c r="B164" s="280" t="str">
        <f>IF(COUNTIF(B147:B154,"No")=0,"🟢 PILOT COMPLETE / ACCEPTANCE READY","🟡 NOT COMPLETE — ACCEPTANCE GATES OPEN")</f>
        <v>🟡 NOT COMPLETE — ACCEPTANCE GATES OPEN</v>
      </c>
      <c r="C164" s="280"/>
      <c r="D164" s="280"/>
      <c r="E164" s="280"/>
      <c r="F164" s="280"/>
      <c r="G164" s="280"/>
      <c r="H164" s="280"/>
    </row>
    <row r="165" spans="1:10">
      <c r="A165" s="276" t="s">
        <v>5784</v>
      </c>
      <c r="B165" s="280">
        <f>COUNTIF(B147:B154,"No")</f>
        <v>8</v>
      </c>
      <c r="C165" s="280"/>
      <c r="D165" s="280"/>
      <c r="E165" s="280"/>
      <c r="F165" s="280"/>
      <c r="G165" s="280"/>
      <c r="H165" s="280"/>
    </row>
    <row r="166" spans="1:10">
      <c r="A166" s="276" t="s">
        <v>5785</v>
      </c>
      <c r="B166" s="280" t="str">
        <f>COUNTIF(B147:B154,"Yes")&amp;" / 8 Complete"</f>
        <v>0 / 8 Complete</v>
      </c>
      <c r="C166" s="280"/>
      <c r="D166" s="280"/>
      <c r="E166" s="280"/>
      <c r="F166" s="280"/>
      <c r="G166" s="280"/>
      <c r="H166" s="280"/>
    </row>
    <row r="167" spans="1:10" ht="93">
      <c r="A167" s="281" t="s">
        <v>5786</v>
      </c>
      <c r="B167" s="282" t="s">
        <v>5787</v>
      </c>
      <c r="C167" s="282"/>
      <c r="D167" s="282"/>
      <c r="E167" s="282"/>
      <c r="F167" s="282"/>
      <c r="G167" s="282"/>
      <c r="H167" s="282"/>
    </row>
    <row r="168" spans="1:10">
      <c r="A168" s="281"/>
      <c r="B168" s="282"/>
      <c r="C168" s="282"/>
      <c r="D168" s="282"/>
      <c r="E168" s="282"/>
      <c r="F168" s="282"/>
      <c r="G168" s="282"/>
      <c r="H168" s="282"/>
    </row>
    <row r="169" spans="1:10" ht="66.599999999999994">
      <c r="A169" s="281" t="s">
        <v>5788</v>
      </c>
      <c r="B169" s="282" t="s">
        <v>5789</v>
      </c>
      <c r="C169" s="282"/>
      <c r="D169" s="282"/>
      <c r="E169" s="282"/>
      <c r="F169" s="282"/>
      <c r="G169" s="282"/>
      <c r="H169" s="282"/>
    </row>
    <row r="170" spans="1:10">
      <c r="A170" s="842" t="s">
        <v>5901</v>
      </c>
      <c r="B170" s="842"/>
      <c r="C170" s="842"/>
      <c r="D170" s="842"/>
      <c r="E170" s="842"/>
      <c r="F170" s="842"/>
      <c r="G170" s="842"/>
      <c r="H170" s="842"/>
      <c r="I170" s="842"/>
      <c r="J170" s="842"/>
    </row>
    <row r="171" spans="1:10">
      <c r="A171" s="340" t="s">
        <v>5886</v>
      </c>
      <c r="B171" s="196"/>
      <c r="C171" s="196"/>
      <c r="D171" s="196"/>
      <c r="E171" s="196"/>
      <c r="F171" s="196"/>
      <c r="G171" s="196"/>
      <c r="H171" s="196"/>
      <c r="I171" s="196"/>
      <c r="J171" s="196"/>
    </row>
    <row r="172" spans="1:10">
      <c r="A172" s="196"/>
      <c r="B172" s="196"/>
      <c r="C172" s="196"/>
      <c r="D172" s="196"/>
      <c r="E172" s="196"/>
      <c r="F172" s="196"/>
      <c r="G172" s="196"/>
      <c r="H172" s="196"/>
      <c r="I172" s="196"/>
      <c r="J172" s="196"/>
    </row>
    <row r="173" spans="1:10">
      <c r="A173" s="196" t="s">
        <v>5887</v>
      </c>
      <c r="B173" s="196"/>
      <c r="C173" s="196"/>
      <c r="D173" s="196"/>
      <c r="E173" s="196"/>
      <c r="F173" s="196"/>
      <c r="G173" s="196"/>
      <c r="H173" s="196"/>
      <c r="I173" s="196"/>
      <c r="J173" s="196"/>
    </row>
    <row r="174" spans="1:10">
      <c r="A174" s="196"/>
      <c r="B174" s="196"/>
      <c r="C174" s="196"/>
      <c r="D174" s="196"/>
      <c r="E174" s="196"/>
      <c r="F174" s="196"/>
      <c r="G174" s="196"/>
      <c r="H174" s="196"/>
      <c r="I174" s="196"/>
      <c r="J174" s="196"/>
    </row>
    <row r="175" spans="1:10">
      <c r="A175" s="196" t="s">
        <v>5888</v>
      </c>
      <c r="B175" s="196"/>
      <c r="C175" s="196"/>
      <c r="D175" s="196"/>
      <c r="E175" s="196"/>
      <c r="F175" s="196"/>
      <c r="G175" s="196"/>
      <c r="H175" s="196"/>
      <c r="I175" s="196"/>
      <c r="J175" s="196"/>
    </row>
    <row r="176" spans="1:10">
      <c r="A176" s="196"/>
      <c r="B176" s="196"/>
      <c r="C176" s="196"/>
      <c r="D176" s="196"/>
      <c r="E176" s="196"/>
      <c r="F176" s="196"/>
      <c r="G176" s="196"/>
      <c r="H176" s="196"/>
      <c r="I176" s="196"/>
      <c r="J176" s="196"/>
    </row>
    <row r="177" spans="1:10">
      <c r="A177" s="196" t="s">
        <v>5889</v>
      </c>
      <c r="B177" s="196"/>
      <c r="C177" s="196"/>
      <c r="D177" s="196"/>
      <c r="E177" s="196"/>
      <c r="F177" s="196"/>
      <c r="G177" s="196"/>
      <c r="H177" s="196"/>
      <c r="I177" s="196"/>
      <c r="J177" s="196"/>
    </row>
    <row r="178" spans="1:10">
      <c r="A178" s="196"/>
      <c r="B178" s="196"/>
      <c r="C178" s="196"/>
      <c r="D178" s="196"/>
      <c r="E178" s="196"/>
      <c r="F178" s="196"/>
      <c r="G178" s="196"/>
      <c r="H178" s="196"/>
      <c r="I178" s="196"/>
      <c r="J178" s="196"/>
    </row>
    <row r="179" spans="1:10">
      <c r="A179" s="196"/>
      <c r="B179" s="196"/>
      <c r="C179" s="196"/>
      <c r="D179" s="196"/>
      <c r="E179" s="196"/>
      <c r="F179" s="196"/>
      <c r="G179" s="196"/>
      <c r="H179" s="196"/>
      <c r="I179" s="196"/>
      <c r="J179" s="196"/>
    </row>
    <row r="180" spans="1:10">
      <c r="A180" s="196"/>
      <c r="B180" s="196"/>
      <c r="C180" s="196"/>
      <c r="D180" s="196"/>
      <c r="E180" s="196"/>
      <c r="F180" s="196"/>
      <c r="G180" s="196"/>
      <c r="H180" s="196"/>
      <c r="I180" s="196"/>
      <c r="J180" s="196"/>
    </row>
    <row r="181" spans="1:10">
      <c r="A181" s="842" t="s">
        <v>5902</v>
      </c>
      <c r="B181" s="842"/>
      <c r="C181" s="842"/>
      <c r="D181" s="842"/>
      <c r="E181" s="842"/>
      <c r="F181" s="842"/>
      <c r="G181" s="842"/>
      <c r="H181" s="842"/>
      <c r="I181" s="842"/>
      <c r="J181" s="842"/>
    </row>
    <row r="182" spans="1:10">
      <c r="A182" s="196"/>
      <c r="B182" s="196"/>
      <c r="C182" s="196"/>
      <c r="D182" s="196"/>
      <c r="E182" s="196"/>
      <c r="F182" s="196"/>
      <c r="G182" s="196"/>
      <c r="H182" s="196"/>
      <c r="I182" s="196"/>
      <c r="J182" s="196"/>
    </row>
    <row r="183" spans="1:10">
      <c r="A183" s="196" t="s">
        <v>5890</v>
      </c>
      <c r="B183" s="196"/>
      <c r="C183" s="196"/>
      <c r="D183" s="196"/>
      <c r="E183" s="196"/>
      <c r="F183" s="196"/>
      <c r="G183" s="196"/>
      <c r="H183" s="196"/>
      <c r="I183" s="196"/>
      <c r="J183" s="196"/>
    </row>
    <row r="184" spans="1:10">
      <c r="A184" s="196"/>
      <c r="B184" s="196"/>
      <c r="C184" s="196"/>
      <c r="D184" s="196"/>
      <c r="E184" s="196"/>
      <c r="F184" s="196"/>
      <c r="G184" s="196"/>
      <c r="H184" s="196"/>
      <c r="I184" s="196"/>
      <c r="J184" s="196"/>
    </row>
    <row r="185" spans="1:10">
      <c r="A185" s="196" t="s">
        <v>5891</v>
      </c>
      <c r="B185" s="196"/>
      <c r="C185" s="196"/>
      <c r="D185" s="196"/>
      <c r="E185" s="196"/>
      <c r="F185" s="196"/>
      <c r="G185" s="196"/>
      <c r="H185" s="196"/>
      <c r="I185" s="196"/>
      <c r="J185" s="196"/>
    </row>
    <row r="186" spans="1:10">
      <c r="A186" s="196"/>
      <c r="B186" s="196"/>
      <c r="C186" s="196"/>
      <c r="D186" s="196"/>
      <c r="E186" s="196"/>
      <c r="F186" s="196"/>
      <c r="G186" s="196"/>
      <c r="H186" s="196"/>
      <c r="I186" s="196"/>
      <c r="J186" s="196"/>
    </row>
    <row r="187" spans="1:10">
      <c r="A187" s="196" t="s">
        <v>5892</v>
      </c>
      <c r="B187" s="196"/>
      <c r="C187" s="196"/>
      <c r="D187" s="196"/>
      <c r="E187" s="196"/>
      <c r="F187" s="196"/>
      <c r="G187" s="196"/>
      <c r="H187" s="196"/>
      <c r="I187" s="196"/>
      <c r="J187" s="196"/>
    </row>
    <row r="188" spans="1:10">
      <c r="A188" s="196"/>
      <c r="B188" s="196"/>
      <c r="C188" s="196"/>
      <c r="D188" s="196"/>
      <c r="E188" s="196"/>
      <c r="F188" s="196"/>
      <c r="G188" s="196"/>
      <c r="H188" s="196"/>
      <c r="I188" s="196"/>
      <c r="J188" s="196"/>
    </row>
    <row r="189" spans="1:10">
      <c r="A189" s="196"/>
      <c r="B189" s="196"/>
      <c r="C189" s="196"/>
      <c r="D189" s="196"/>
      <c r="E189" s="196"/>
      <c r="F189" s="196"/>
      <c r="G189" s="196"/>
      <c r="H189" s="196"/>
      <c r="I189" s="196"/>
      <c r="J189" s="196"/>
    </row>
    <row r="190" spans="1:10">
      <c r="A190" s="196"/>
      <c r="B190" s="196"/>
      <c r="C190" s="196"/>
      <c r="D190" s="196"/>
      <c r="E190" s="196"/>
      <c r="F190" s="196"/>
      <c r="G190" s="196"/>
      <c r="H190" s="196"/>
      <c r="I190" s="196"/>
      <c r="J190" s="196"/>
    </row>
    <row r="191" spans="1:10">
      <c r="A191" s="842" t="s">
        <v>5903</v>
      </c>
      <c r="B191" s="842"/>
      <c r="C191" s="842"/>
      <c r="D191" s="842"/>
      <c r="E191" s="842"/>
      <c r="F191" s="842"/>
      <c r="G191" s="842"/>
      <c r="H191" s="842"/>
      <c r="I191" s="842"/>
      <c r="J191" s="842"/>
    </row>
    <row r="192" spans="1:10">
      <c r="A192" s="196"/>
      <c r="B192" s="196"/>
      <c r="C192" s="196"/>
      <c r="D192" s="196"/>
      <c r="E192" s="196"/>
      <c r="F192" s="196"/>
      <c r="G192" s="196"/>
      <c r="H192" s="196"/>
      <c r="I192" s="196"/>
      <c r="J192" s="196"/>
    </row>
    <row r="193" spans="1:10">
      <c r="A193" s="196" t="s">
        <v>5893</v>
      </c>
      <c r="B193" s="196"/>
      <c r="C193" s="196"/>
      <c r="D193" s="196"/>
      <c r="E193" s="196"/>
      <c r="F193" s="196"/>
      <c r="G193" s="196"/>
      <c r="H193" s="196"/>
      <c r="I193" s="196"/>
      <c r="J193" s="196"/>
    </row>
    <row r="194" spans="1:10">
      <c r="A194" s="196"/>
      <c r="B194" s="196"/>
      <c r="C194" s="196"/>
      <c r="D194" s="196"/>
      <c r="E194" s="196"/>
      <c r="F194" s="196"/>
      <c r="G194" s="196"/>
      <c r="H194" s="196"/>
      <c r="I194" s="196"/>
      <c r="J194" s="196"/>
    </row>
    <row r="195" spans="1:10">
      <c r="A195" s="196" t="s">
        <v>5894</v>
      </c>
      <c r="B195" s="196"/>
      <c r="C195" s="196"/>
      <c r="D195" s="196"/>
      <c r="E195" s="196"/>
      <c r="F195" s="196"/>
      <c r="G195" s="196"/>
      <c r="H195" s="196"/>
      <c r="I195" s="196"/>
      <c r="J195" s="196"/>
    </row>
    <row r="196" spans="1:10">
      <c r="A196" s="196"/>
      <c r="B196" s="196"/>
      <c r="C196" s="196"/>
      <c r="D196" s="196"/>
      <c r="E196" s="196"/>
      <c r="F196" s="196"/>
      <c r="G196" s="196"/>
      <c r="H196" s="196"/>
      <c r="I196" s="196"/>
      <c r="J196" s="196"/>
    </row>
    <row r="197" spans="1:10">
      <c r="A197" s="196" t="s">
        <v>5895</v>
      </c>
      <c r="B197" s="196"/>
      <c r="C197" s="196"/>
      <c r="D197" s="196"/>
      <c r="E197" s="196"/>
      <c r="F197" s="196"/>
      <c r="G197" s="196"/>
      <c r="H197" s="196"/>
      <c r="I197" s="196"/>
      <c r="J197" s="196"/>
    </row>
    <row r="198" spans="1:10">
      <c r="A198" s="196"/>
      <c r="B198" s="196"/>
      <c r="C198" s="196"/>
      <c r="D198" s="196"/>
      <c r="E198" s="196"/>
      <c r="F198" s="196"/>
      <c r="G198" s="196"/>
      <c r="H198" s="196"/>
      <c r="I198" s="196"/>
      <c r="J198" s="196"/>
    </row>
    <row r="199" spans="1:10">
      <c r="A199" s="196" t="s">
        <v>5896</v>
      </c>
      <c r="B199" s="196"/>
      <c r="C199" s="196"/>
      <c r="D199" s="196"/>
      <c r="E199" s="196"/>
      <c r="F199" s="196"/>
      <c r="G199" s="196"/>
      <c r="H199" s="196"/>
      <c r="I199" s="196"/>
      <c r="J199" s="196"/>
    </row>
    <row r="200" spans="1:10">
      <c r="A200" s="196"/>
      <c r="B200" s="196"/>
      <c r="C200" s="196"/>
      <c r="D200" s="196"/>
      <c r="E200" s="196"/>
      <c r="F200" s="196"/>
      <c r="G200" s="196"/>
      <c r="H200" s="196"/>
      <c r="I200" s="196"/>
      <c r="J200" s="196"/>
    </row>
    <row r="201" spans="1:10">
      <c r="A201" s="196"/>
      <c r="B201" s="196"/>
      <c r="C201" s="196"/>
      <c r="D201" s="196"/>
      <c r="E201" s="196"/>
      <c r="F201" s="196"/>
      <c r="G201" s="196"/>
      <c r="H201" s="196"/>
      <c r="I201" s="196"/>
      <c r="J201" s="196"/>
    </row>
    <row r="202" spans="1:10">
      <c r="A202" s="196"/>
      <c r="B202" s="196"/>
      <c r="C202" s="196"/>
      <c r="D202" s="196"/>
      <c r="E202" s="196"/>
      <c r="F202" s="196"/>
      <c r="G202" s="196"/>
      <c r="H202" s="196"/>
      <c r="I202" s="196"/>
      <c r="J202" s="196"/>
    </row>
    <row r="203" spans="1:10">
      <c r="A203" s="842" t="s">
        <v>5904</v>
      </c>
      <c r="B203" s="842"/>
      <c r="C203" s="842"/>
      <c r="D203" s="842"/>
      <c r="E203" s="842"/>
      <c r="F203" s="842"/>
      <c r="G203" s="842"/>
      <c r="H203" s="842"/>
      <c r="I203" s="842"/>
      <c r="J203" s="842"/>
    </row>
    <row r="204" spans="1:10">
      <c r="A204" s="196"/>
      <c r="B204" s="196"/>
      <c r="C204" s="196"/>
      <c r="D204" s="196"/>
      <c r="E204" s="196"/>
      <c r="F204" s="196"/>
      <c r="G204" s="196"/>
      <c r="H204" s="196"/>
      <c r="I204" s="196"/>
      <c r="J204" s="196"/>
    </row>
    <row r="205" spans="1:10">
      <c r="A205" s="196" t="s">
        <v>5897</v>
      </c>
      <c r="B205" s="196"/>
      <c r="C205" s="196"/>
      <c r="D205" s="196"/>
      <c r="E205" s="196"/>
      <c r="F205" s="196"/>
      <c r="G205" s="196"/>
      <c r="H205" s="196"/>
      <c r="I205" s="196"/>
      <c r="J205" s="196"/>
    </row>
    <row r="206" spans="1:10">
      <c r="A206" s="196"/>
      <c r="B206" s="196"/>
      <c r="C206" s="196"/>
      <c r="D206" s="196"/>
      <c r="E206" s="196"/>
      <c r="F206" s="196"/>
      <c r="G206" s="196"/>
      <c r="H206" s="196"/>
      <c r="I206" s="196"/>
      <c r="J206" s="196"/>
    </row>
    <row r="207" spans="1:10">
      <c r="A207" s="196" t="s">
        <v>5898</v>
      </c>
      <c r="B207" s="196"/>
      <c r="C207" s="196"/>
      <c r="D207" s="196"/>
      <c r="E207" s="196"/>
      <c r="F207" s="196"/>
      <c r="G207" s="196"/>
      <c r="H207" s="196"/>
      <c r="I207" s="196"/>
      <c r="J207" s="196"/>
    </row>
    <row r="208" spans="1:10">
      <c r="A208" s="196"/>
      <c r="B208" s="196"/>
      <c r="C208" s="196"/>
      <c r="D208" s="196"/>
      <c r="E208" s="196"/>
      <c r="F208" s="196"/>
      <c r="G208" s="196"/>
      <c r="H208" s="196"/>
      <c r="I208" s="196"/>
      <c r="J208" s="196"/>
    </row>
    <row r="209" spans="1:10">
      <c r="A209" s="196" t="s">
        <v>5899</v>
      </c>
      <c r="B209" s="196"/>
      <c r="C209" s="196"/>
      <c r="D209" s="196"/>
      <c r="E209" s="196"/>
      <c r="F209" s="196"/>
      <c r="G209" s="196"/>
      <c r="H209" s="196"/>
      <c r="I209" s="196"/>
      <c r="J209" s="196"/>
    </row>
    <row r="210" spans="1:10">
      <c r="A210" s="196"/>
      <c r="B210" s="196"/>
      <c r="C210" s="196"/>
      <c r="D210" s="196"/>
      <c r="E210" s="196"/>
      <c r="F210" s="196"/>
      <c r="G210" s="196"/>
      <c r="H210" s="196"/>
      <c r="I210" s="196"/>
      <c r="J210" s="196"/>
    </row>
    <row r="211" spans="1:10">
      <c r="A211" s="196"/>
      <c r="B211" s="196"/>
      <c r="C211" s="196"/>
      <c r="D211" s="196"/>
      <c r="E211" s="196"/>
      <c r="F211" s="196"/>
      <c r="G211" s="196"/>
      <c r="H211" s="196"/>
      <c r="I211" s="196"/>
      <c r="J211" s="196"/>
    </row>
    <row r="212" spans="1:10">
      <c r="A212" s="196"/>
      <c r="B212" s="196"/>
      <c r="C212" s="196"/>
      <c r="D212" s="196"/>
      <c r="E212" s="196"/>
      <c r="F212" s="196"/>
      <c r="G212" s="196"/>
      <c r="H212" s="196"/>
      <c r="I212" s="196"/>
      <c r="J212" s="196"/>
    </row>
    <row r="213" spans="1:10">
      <c r="A213" s="196" t="s">
        <v>5900</v>
      </c>
      <c r="B213" s="196"/>
      <c r="C213" s="196"/>
      <c r="D213" s="196"/>
      <c r="E213" s="196"/>
      <c r="F213" s="196"/>
      <c r="G213" s="196"/>
      <c r="H213" s="196"/>
      <c r="I213" s="196"/>
      <c r="J213" s="196"/>
    </row>
    <row r="214" spans="1:10">
      <c r="A214" s="196"/>
      <c r="B214" s="196"/>
      <c r="C214" s="196"/>
      <c r="D214" s="196"/>
      <c r="E214" s="196"/>
      <c r="F214" s="196"/>
      <c r="G214" s="196"/>
      <c r="H214" s="196"/>
      <c r="I214" s="196"/>
      <c r="J214" s="196"/>
    </row>
    <row r="215" spans="1:10">
      <c r="A215" s="341"/>
      <c r="B215" s="341"/>
      <c r="C215" s="341"/>
      <c r="D215" s="341"/>
      <c r="E215" s="341"/>
      <c r="F215" s="341"/>
      <c r="G215" s="341"/>
      <c r="H215" s="341"/>
      <c r="I215" s="341"/>
      <c r="J215" s="341"/>
    </row>
    <row r="216" spans="1:10">
      <c r="A216" s="341"/>
      <c r="B216" s="341"/>
      <c r="C216" s="341"/>
      <c r="D216" s="341"/>
      <c r="E216" s="341"/>
      <c r="F216" s="341"/>
      <c r="G216" s="341"/>
      <c r="H216" s="341"/>
      <c r="I216" s="341"/>
      <c r="J216" s="341"/>
    </row>
    <row r="217" spans="1:10">
      <c r="A217" s="341"/>
      <c r="B217" s="341"/>
      <c r="C217" s="341"/>
      <c r="D217" s="341"/>
      <c r="E217" s="341"/>
      <c r="F217" s="341"/>
      <c r="G217" s="341"/>
      <c r="H217" s="341"/>
      <c r="I217" s="341"/>
      <c r="J217" s="341"/>
    </row>
    <row r="218" spans="1:10">
      <c r="A218" s="341"/>
      <c r="B218" s="341"/>
      <c r="C218" s="341"/>
      <c r="D218" s="341"/>
      <c r="E218" s="341"/>
      <c r="F218" s="341"/>
      <c r="G218" s="341"/>
      <c r="H218" s="341"/>
      <c r="I218" s="341"/>
      <c r="J218" s="341"/>
    </row>
    <row r="219" spans="1:10">
      <c r="A219" s="341"/>
      <c r="B219" s="341"/>
      <c r="C219" s="341"/>
      <c r="D219" s="341"/>
      <c r="E219" s="341"/>
      <c r="F219" s="341"/>
      <c r="G219" s="341"/>
      <c r="H219" s="341"/>
      <c r="I219" s="341"/>
      <c r="J219" s="341"/>
    </row>
    <row r="220" spans="1:10">
      <c r="A220" s="341"/>
      <c r="B220" s="341"/>
      <c r="C220" s="341"/>
      <c r="D220" s="341"/>
      <c r="E220" s="341"/>
      <c r="F220" s="341"/>
      <c r="G220" s="341"/>
      <c r="H220" s="341"/>
      <c r="I220" s="341"/>
      <c r="J220" s="341"/>
    </row>
    <row r="221" spans="1:10">
      <c r="A221" s="341"/>
      <c r="B221" s="341"/>
      <c r="C221" s="341"/>
      <c r="D221" s="341"/>
      <c r="E221" s="341"/>
      <c r="F221" s="341"/>
      <c r="G221" s="341"/>
      <c r="H221" s="341"/>
      <c r="I221" s="341"/>
      <c r="J221" s="341"/>
    </row>
    <row r="222" spans="1:10">
      <c r="A222" s="341"/>
      <c r="B222" s="341"/>
      <c r="C222" s="341"/>
      <c r="D222" s="341"/>
      <c r="E222" s="341"/>
      <c r="F222" s="341"/>
      <c r="G222" s="341"/>
      <c r="H222" s="341"/>
      <c r="I222" s="341"/>
      <c r="J222" s="341"/>
    </row>
    <row r="223" spans="1:10">
      <c r="A223" s="341"/>
      <c r="B223" s="341"/>
      <c r="C223" s="341"/>
      <c r="D223" s="341"/>
      <c r="E223" s="341"/>
      <c r="F223" s="341"/>
      <c r="G223" s="341"/>
      <c r="H223" s="341"/>
      <c r="I223" s="341"/>
      <c r="J223" s="341"/>
    </row>
    <row r="224" spans="1:10">
      <c r="A224" s="196"/>
      <c r="B224" s="196"/>
      <c r="C224" s="196"/>
      <c r="D224" s="196"/>
      <c r="E224" s="196"/>
      <c r="F224" s="196"/>
      <c r="G224" s="196"/>
      <c r="H224" s="196"/>
      <c r="I224" s="196"/>
      <c r="J224" s="196"/>
    </row>
    <row r="225" spans="1:10">
      <c r="A225" s="320"/>
      <c r="B225" s="320"/>
      <c r="C225" s="320"/>
      <c r="D225" s="320"/>
      <c r="E225" s="320"/>
      <c r="F225" s="320"/>
      <c r="G225" s="874"/>
      <c r="H225" s="874"/>
      <c r="I225" s="874"/>
      <c r="J225" s="874"/>
    </row>
  </sheetData>
  <mergeCells count="114">
    <mergeCell ref="A62:B62"/>
    <mergeCell ref="A1:J1"/>
    <mergeCell ref="A38:B38"/>
    <mergeCell ref="A52:B52"/>
    <mergeCell ref="A75:C75"/>
    <mergeCell ref="A43:B43"/>
    <mergeCell ref="A33:B33"/>
    <mergeCell ref="A28:B28"/>
    <mergeCell ref="D6:J6"/>
    <mergeCell ref="A13:B13"/>
    <mergeCell ref="A18:B18"/>
    <mergeCell ref="A23:B23"/>
    <mergeCell ref="A70:B70"/>
    <mergeCell ref="A8:B8"/>
    <mergeCell ref="G87:J87"/>
    <mergeCell ref="G89:J89"/>
    <mergeCell ref="A91:B91"/>
    <mergeCell ref="E91:J91"/>
    <mergeCell ref="A93:C93"/>
    <mergeCell ref="D93:F93"/>
    <mergeCell ref="G93:J93"/>
    <mergeCell ref="A84:C84"/>
    <mergeCell ref="D84:F84"/>
    <mergeCell ref="G84:J84"/>
    <mergeCell ref="G85:J85"/>
    <mergeCell ref="G86:J86"/>
    <mergeCell ref="F99:J99"/>
    <mergeCell ref="F100:J100"/>
    <mergeCell ref="F101:J101"/>
    <mergeCell ref="F102:J102"/>
    <mergeCell ref="A103:B103"/>
    <mergeCell ref="C103:D103"/>
    <mergeCell ref="E103:J103"/>
    <mergeCell ref="G94:J94"/>
    <mergeCell ref="F95:J95"/>
    <mergeCell ref="F96:J96"/>
    <mergeCell ref="F97:J97"/>
    <mergeCell ref="F98:J98"/>
    <mergeCell ref="G108:J108"/>
    <mergeCell ref="G109:J109"/>
    <mergeCell ref="G110:J110"/>
    <mergeCell ref="G111:J111"/>
    <mergeCell ref="A112:B112"/>
    <mergeCell ref="C112:D112"/>
    <mergeCell ref="E112:J112"/>
    <mergeCell ref="A105:C105"/>
    <mergeCell ref="D105:F105"/>
    <mergeCell ref="G105:J105"/>
    <mergeCell ref="G106:J106"/>
    <mergeCell ref="G107:J107"/>
    <mergeCell ref="G116:J116"/>
    <mergeCell ref="G117:J117"/>
    <mergeCell ref="G118:J118"/>
    <mergeCell ref="G119:J119"/>
    <mergeCell ref="A120:D121"/>
    <mergeCell ref="E120:J121"/>
    <mergeCell ref="G113:J113"/>
    <mergeCell ref="A114:C114"/>
    <mergeCell ref="D114:F114"/>
    <mergeCell ref="G114:J114"/>
    <mergeCell ref="G115:J115"/>
    <mergeCell ref="G125:J125"/>
    <mergeCell ref="G126:J126"/>
    <mergeCell ref="G127:J127"/>
    <mergeCell ref="G128:J128"/>
    <mergeCell ref="G129:J129"/>
    <mergeCell ref="A122:C122"/>
    <mergeCell ref="D122:F122"/>
    <mergeCell ref="G122:J122"/>
    <mergeCell ref="G123:J123"/>
    <mergeCell ref="G124:J124"/>
    <mergeCell ref="B135:J135"/>
    <mergeCell ref="B136:J136"/>
    <mergeCell ref="B137:J137"/>
    <mergeCell ref="B138:J138"/>
    <mergeCell ref="B139:J139"/>
    <mergeCell ref="A130:B130"/>
    <mergeCell ref="C130:D130"/>
    <mergeCell ref="E130:J130"/>
    <mergeCell ref="A132:C132"/>
    <mergeCell ref="B134:J134"/>
    <mergeCell ref="B157:D157"/>
    <mergeCell ref="E157:G157"/>
    <mergeCell ref="B158:D158"/>
    <mergeCell ref="E158:G158"/>
    <mergeCell ref="B159:D159"/>
    <mergeCell ref="E159:G159"/>
    <mergeCell ref="B140:J140"/>
    <mergeCell ref="A142:H142"/>
    <mergeCell ref="B143:H143"/>
    <mergeCell ref="B144:H144"/>
    <mergeCell ref="B156:D156"/>
    <mergeCell ref="E156:G156"/>
    <mergeCell ref="B163:D163"/>
    <mergeCell ref="E163:G163"/>
    <mergeCell ref="A170:C170"/>
    <mergeCell ref="D170:F170"/>
    <mergeCell ref="G170:J170"/>
    <mergeCell ref="B160:D160"/>
    <mergeCell ref="E160:G160"/>
    <mergeCell ref="B161:D161"/>
    <mergeCell ref="E161:G161"/>
    <mergeCell ref="B162:D162"/>
    <mergeCell ref="E162:G162"/>
    <mergeCell ref="A203:C203"/>
    <mergeCell ref="D203:F203"/>
    <mergeCell ref="G203:J203"/>
    <mergeCell ref="G225:J225"/>
    <mergeCell ref="A181:C181"/>
    <mergeCell ref="D181:F181"/>
    <mergeCell ref="G181:J181"/>
    <mergeCell ref="A191:C191"/>
    <mergeCell ref="D191:F191"/>
    <mergeCell ref="G191:J191"/>
  </mergeCells>
  <conditionalFormatting sqref="B86:B90">
    <cfRule type="expression" dxfId="943" priority="21">
      <formula>B86="Complete"</formula>
    </cfRule>
    <cfRule type="expression" dxfId="942" priority="22">
      <formula>B86="In Progress"</formula>
    </cfRule>
    <cfRule type="expression" dxfId="941" priority="23">
      <formula>B86="At Risk"</formula>
    </cfRule>
    <cfRule type="expression" dxfId="940" priority="24">
      <formula>B86="Blocked"</formula>
    </cfRule>
    <cfRule type="expression" dxfId="939" priority="25">
      <formula>B86="Not Started"</formula>
    </cfRule>
  </conditionalFormatting>
  <conditionalFormatting sqref="B95:B102">
    <cfRule type="expression" dxfId="938" priority="1">
      <formula>B95="Complete"</formula>
    </cfRule>
    <cfRule type="expression" dxfId="937" priority="2">
      <formula>B95="In Progress"</formula>
    </cfRule>
    <cfRule type="expression" dxfId="936" priority="3">
      <formula>B95="At Risk"</formula>
    </cfRule>
    <cfRule type="expression" dxfId="935" priority="4">
      <formula>B95="Blocked"</formula>
    </cfRule>
    <cfRule type="expression" dxfId="934" priority="5">
      <formula>B95="Not Started"</formula>
    </cfRule>
  </conditionalFormatting>
  <conditionalFormatting sqref="B107:B111">
    <cfRule type="expression" dxfId="933" priority="26">
      <formula>B107="Complete"</formula>
    </cfRule>
    <cfRule type="expression" dxfId="932" priority="27">
      <formula>B107="In Progress"</formula>
    </cfRule>
    <cfRule type="expression" dxfId="931" priority="28">
      <formula>B107="At Risk"</formula>
    </cfRule>
    <cfRule type="expression" dxfId="930" priority="29">
      <formula>B107="Blocked"</formula>
    </cfRule>
    <cfRule type="expression" dxfId="929" priority="30">
      <formula>B107="Not Started"</formula>
    </cfRule>
  </conditionalFormatting>
  <conditionalFormatting sqref="B116:B119">
    <cfRule type="expression" dxfId="928" priority="6">
      <formula>B116="Complete"</formula>
    </cfRule>
    <cfRule type="expression" dxfId="927" priority="7">
      <formula>B116="In Progress"</formula>
    </cfRule>
    <cfRule type="expression" dxfId="926" priority="8">
      <formula>B116="At Risk"</formula>
    </cfRule>
    <cfRule type="expression" dxfId="925" priority="9">
      <formula>B116="Blocked"</formula>
    </cfRule>
    <cfRule type="expression" dxfId="924" priority="10">
      <formula>B116="Not Started"</formula>
    </cfRule>
  </conditionalFormatting>
  <conditionalFormatting sqref="B124:B129">
    <cfRule type="expression" dxfId="923" priority="11">
      <formula>B124="Complete"</formula>
    </cfRule>
    <cfRule type="expression" dxfId="922" priority="12">
      <formula>B124="In Progress"</formula>
    </cfRule>
    <cfRule type="expression" dxfId="921" priority="13">
      <formula>B124="At Risk"</formula>
    </cfRule>
    <cfRule type="expression" dxfId="920" priority="14">
      <formula>B124="Blocked"</formula>
    </cfRule>
    <cfRule type="expression" dxfId="919" priority="15">
      <formula>B124="Not Started"</formula>
    </cfRule>
  </conditionalFormatting>
  <conditionalFormatting sqref="B147:B154">
    <cfRule type="expression" dxfId="918" priority="82">
      <formula>B147="Yes"</formula>
    </cfRule>
    <cfRule type="expression" dxfId="917" priority="83">
      <formula>B147="N/A"</formula>
    </cfRule>
    <cfRule type="expression" dxfId="916" priority="84">
      <formula>B147="No"</formula>
    </cfRule>
  </conditionalFormatting>
  <conditionalFormatting sqref="B164:H164">
    <cfRule type="expression" dxfId="915" priority="85">
      <formula>COUNTIF($B$6:$B$13,"No")=0</formula>
    </cfRule>
    <cfRule type="expression" dxfId="914" priority="86">
      <formula>COUNTIF($B$6:$B$13,"No")&gt;0</formula>
    </cfRule>
  </conditionalFormatting>
  <conditionalFormatting sqref="C91:D91">
    <cfRule type="dataBar" priority="37">
      <dataBar>
        <cfvo type="num" val="0"/>
        <cfvo type="num" val="1"/>
        <color rgb="FF5B9BD5"/>
      </dataBar>
    </cfRule>
  </conditionalFormatting>
  <conditionalFormatting sqref="C95:D102">
    <cfRule type="expression" dxfId="913" priority="31">
      <formula>C95="Yes"</formula>
    </cfRule>
    <cfRule type="expression" dxfId="912" priority="32">
      <formula>C95="No"</formula>
    </cfRule>
    <cfRule type="expression" dxfId="911" priority="33">
      <formula>C95="N/A"</formula>
    </cfRule>
  </conditionalFormatting>
  <conditionalFormatting sqref="C103:D103">
    <cfRule type="dataBar" priority="38">
      <dataBar>
        <cfvo type="num" val="0"/>
        <cfvo type="num" val="1"/>
        <color rgb="FF5B9BD5"/>
      </dataBar>
    </cfRule>
  </conditionalFormatting>
  <conditionalFormatting sqref="C112:D112">
    <cfRule type="dataBar" priority="39">
      <dataBar>
        <cfvo type="num" val="0"/>
        <cfvo type="num" val="1"/>
        <color rgb="FF5B9BD5"/>
      </dataBar>
    </cfRule>
  </conditionalFormatting>
  <conditionalFormatting sqref="C124:D129">
    <cfRule type="expression" dxfId="910" priority="16">
      <formula>C124="Yes"</formula>
    </cfRule>
    <cfRule type="expression" dxfId="909" priority="17">
      <formula>C124="No"</formula>
    </cfRule>
    <cfRule type="expression" dxfId="908" priority="18">
      <formula>C124="N/A"</formula>
    </cfRule>
  </conditionalFormatting>
  <conditionalFormatting sqref="C130:D130">
    <cfRule type="dataBar" priority="20">
      <dataBar>
        <cfvo type="num" val="0"/>
        <cfvo type="num" val="1"/>
        <color rgb="FF5B9BD5"/>
      </dataBar>
    </cfRule>
  </conditionalFormatting>
  <conditionalFormatting sqref="E5 G5 I5">
    <cfRule type="expression" dxfId="907" priority="87">
      <formula>E5="Pass"</formula>
    </cfRule>
    <cfRule type="expression" dxfId="906" priority="88">
      <formula>E5="Verify"</formula>
    </cfRule>
    <cfRule type="expression" dxfId="905" priority="89">
      <formula>E5="Fail"</formula>
    </cfRule>
    <cfRule type="expression" dxfId="904" priority="90">
      <formula>E5="Not Started"</formula>
    </cfRule>
  </conditionalFormatting>
  <conditionalFormatting sqref="F3">
    <cfRule type="expression" dxfId="903" priority="91">
      <formula>F3="Yes"</formula>
    </cfRule>
    <cfRule type="expression" dxfId="902" priority="92">
      <formula>F3="No"</formula>
    </cfRule>
  </conditionalFormatting>
  <conditionalFormatting sqref="F107:F111">
    <cfRule type="expression" dxfId="901" priority="34">
      <formula>F107="Pass"</formula>
    </cfRule>
    <cfRule type="expression" dxfId="900" priority="35">
      <formula>F107="Fail"</formula>
    </cfRule>
    <cfRule type="expression" dxfId="899" priority="36">
      <formula>F107="Pending"</formula>
    </cfRule>
  </conditionalFormatting>
  <conditionalFormatting sqref="F116:F119">
    <cfRule type="dataBar" priority="19">
      <dataBar>
        <cfvo type="num" val="0"/>
        <cfvo type="num" val="1"/>
        <color rgb="FF5B9BD5"/>
      </dataBar>
    </cfRule>
  </conditionalFormatting>
  <dataValidations count="5">
    <dataValidation type="list" sqref="B5:B6 D5 F5 H5 H10:H16 H132:I133 I16 J5 H135:I140 D54:D60 H17:I81" xr:uid="{00000000-0002-0000-2E00-000000000000}">
      <formula1>"Not Started,Verify,Pass,Fail,N/A,Open,Closed,Partial / Yellow"</formula1>
      <formula2>0</formula2>
    </dataValidation>
    <dataValidation type="list" allowBlank="1" sqref="F107:F111" xr:uid="{6A6EBD9D-A27C-40A0-8474-6FEEAADA6DFD}">
      <formula1>"Pending,Pass,Fail,N/A"</formula1>
    </dataValidation>
    <dataValidation type="list" allowBlank="1" sqref="C95:D102 C124:D129" xr:uid="{84AE6576-571D-4912-B499-740FE3621D22}">
      <formula1>"Yes,No,N/A"</formula1>
    </dataValidation>
    <dataValidation type="list" allowBlank="1" sqref="B116:B119 B107:B111" xr:uid="{B59E5D4B-1945-4E37-B834-60C5996F6F43}">
      <formula1>"Not Started,In Progress,Complete,At Risk,Blocked"</formula1>
    </dataValidation>
    <dataValidation type="list" sqref="B147:B154" xr:uid="{6EC1D2BF-DA7B-455A-A454-85F2D407305B}">
      <formula1>"No,Yes,N/A"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6A008CF9-EC41-4D04-B57D-2F11971C1196}">
          <x14:formula1>
            <xm:f>Lookup_Lists!$L$37:$L$39</xm:f>
          </x14:formula1>
          <xm:sqref>C107:E111 J2</xm:sqref>
        </x14:dataValidation>
        <x14:dataValidation type="list" allowBlank="1" showInputMessage="1" showErrorMessage="1" xr:uid="{ED1605A0-A3E1-4141-8A89-23D8B40CAC91}">
          <x14:formula1>
            <xm:f>Lookup_Lists!$A$36:$A$42</xm:f>
          </x14:formula1>
          <xm:sqref>B86:B90 B95:B102 B124:B129</xm:sqref>
        </x14:dataValidation>
      </x14:dataValidations>
    </ext>
  </extLst>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8E4F1-7C22-4124-B774-EA0D6F833773}">
  <dimension ref="A1:J232"/>
  <sheetViews>
    <sheetView workbookViewId="0">
      <selection activeCell="D4" sqref="D4"/>
    </sheetView>
  </sheetViews>
  <sheetFormatPr defaultColWidth="8.6640625" defaultRowHeight="14.4"/>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6640625" style="8" customWidth="1"/>
    <col min="13" max="16384" width="8.6640625" style="8"/>
  </cols>
  <sheetData>
    <row r="1" spans="1:10" ht="45.75" customHeight="1">
      <c r="A1" s="891" t="s">
        <v>2200</v>
      </c>
      <c r="B1" s="891"/>
      <c r="C1" s="891"/>
      <c r="D1" s="891"/>
      <c r="E1" s="891"/>
      <c r="F1" s="891"/>
      <c r="G1" s="891"/>
      <c r="H1" s="891"/>
      <c r="I1" s="891"/>
      <c r="J1" s="891"/>
    </row>
    <row r="2" spans="1:10" s="227" customFormat="1">
      <c r="A2" s="223" t="s">
        <v>142</v>
      </c>
      <c r="B2" s="224" t="s">
        <v>698</v>
      </c>
      <c r="C2" s="223" t="s">
        <v>902</v>
      </c>
      <c r="D2" s="224" t="s">
        <v>1094</v>
      </c>
      <c r="E2" s="223" t="s">
        <v>151</v>
      </c>
      <c r="F2" s="224" t="s">
        <v>1095</v>
      </c>
      <c r="G2" s="223" t="s">
        <v>174</v>
      </c>
      <c r="H2" s="225">
        <v>0.5</v>
      </c>
      <c r="I2" s="223" t="s">
        <v>154</v>
      </c>
      <c r="J2" s="226" t="s">
        <v>1096</v>
      </c>
    </row>
    <row r="3" spans="1:10" s="231" customFormat="1" ht="27.6">
      <c r="A3" s="223" t="s">
        <v>903</v>
      </c>
      <c r="B3" s="228">
        <v>46198.630355046298</v>
      </c>
      <c r="C3" s="229" t="s">
        <v>904</v>
      </c>
      <c r="D3" s="230" t="s">
        <v>721</v>
      </c>
      <c r="E3" s="223" t="s">
        <v>905</v>
      </c>
      <c r="F3" s="230" t="s">
        <v>2201</v>
      </c>
      <c r="G3" s="223" t="s">
        <v>907</v>
      </c>
      <c r="H3" s="230" t="s">
        <v>908</v>
      </c>
      <c r="I3" s="223" t="s">
        <v>551</v>
      </c>
      <c r="J3" s="230" t="s">
        <v>2202</v>
      </c>
    </row>
    <row r="4" spans="1:10" s="231" customFormat="1" ht="179.4">
      <c r="A4" s="223" t="s">
        <v>161</v>
      </c>
      <c r="B4" s="230">
        <v>0</v>
      </c>
      <c r="C4" s="223" t="s">
        <v>199</v>
      </c>
      <c r="D4" s="230">
        <v>0</v>
      </c>
      <c r="E4" s="223" t="s">
        <v>179</v>
      </c>
      <c r="F4" s="230">
        <v>0</v>
      </c>
      <c r="G4" s="223" t="s">
        <v>870</v>
      </c>
      <c r="H4" s="232" t="s">
        <v>2203</v>
      </c>
      <c r="I4" s="233"/>
      <c r="J4" s="233"/>
    </row>
    <row r="5" spans="1:10" s="231" customFormat="1">
      <c r="A5" s="234" t="s">
        <v>911</v>
      </c>
      <c r="B5" s="225" t="s">
        <v>677</v>
      </c>
      <c r="C5" s="235" t="s">
        <v>912</v>
      </c>
      <c r="D5" s="225" t="s">
        <v>677</v>
      </c>
      <c r="E5" s="236" t="s">
        <v>913</v>
      </c>
      <c r="F5" s="225" t="s">
        <v>677</v>
      </c>
      <c r="G5" s="237" t="s">
        <v>914</v>
      </c>
      <c r="H5" s="225" t="s">
        <v>677</v>
      </c>
      <c r="I5" s="237" t="s">
        <v>915</v>
      </c>
      <c r="J5" s="225" t="s">
        <v>677</v>
      </c>
    </row>
    <row r="6" spans="1:10" s="231" customFormat="1" ht="31.5" customHeight="1">
      <c r="A6" s="238" t="s">
        <v>916</v>
      </c>
      <c r="B6" s="225" t="s">
        <v>677</v>
      </c>
      <c r="C6" s="239" t="s">
        <v>869</v>
      </c>
      <c r="D6" s="854" t="s">
        <v>2204</v>
      </c>
      <c r="E6" s="853"/>
      <c r="F6" s="853"/>
      <c r="G6" s="853"/>
      <c r="H6" s="853"/>
      <c r="I6" s="853"/>
      <c r="J6" s="853"/>
    </row>
    <row r="7" spans="1:10">
      <c r="A7" s="13"/>
      <c r="B7" s="13"/>
      <c r="C7" s="13"/>
      <c r="D7" s="13"/>
      <c r="E7" s="13"/>
      <c r="F7" s="13"/>
      <c r="G7" s="13"/>
      <c r="H7" s="13"/>
      <c r="I7" s="13"/>
      <c r="J7" s="13"/>
    </row>
    <row r="8" spans="1:10">
      <c r="A8" s="842" t="s">
        <v>918</v>
      </c>
      <c r="B8" s="839"/>
      <c r="C8" s="839"/>
      <c r="D8" s="85"/>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82.8">
      <c r="A10" s="13" t="s">
        <v>698</v>
      </c>
      <c r="B10" s="13" t="s">
        <v>699</v>
      </c>
      <c r="C10" s="13" t="s">
        <v>919</v>
      </c>
      <c r="D10" s="13" t="s">
        <v>2205</v>
      </c>
      <c r="E10" s="13" t="s">
        <v>356</v>
      </c>
      <c r="F10" s="13">
        <v>2</v>
      </c>
      <c r="G10" s="13">
        <v>1</v>
      </c>
      <c r="H10" s="13" t="s">
        <v>677</v>
      </c>
      <c r="I10" s="13" t="s">
        <v>2206</v>
      </c>
      <c r="J10" s="13" t="s">
        <v>2207</v>
      </c>
    </row>
    <row r="11" spans="1:10" ht="82.8">
      <c r="A11" s="13" t="s">
        <v>698</v>
      </c>
      <c r="B11" s="13" t="s">
        <v>2208</v>
      </c>
      <c r="C11" s="13" t="s">
        <v>933</v>
      </c>
      <c r="D11" s="13" t="s">
        <v>2209</v>
      </c>
      <c r="E11" s="13" t="s">
        <v>925</v>
      </c>
      <c r="F11" s="13">
        <v>1</v>
      </c>
      <c r="G11" s="13">
        <v>0</v>
      </c>
      <c r="H11" s="13" t="s">
        <v>677</v>
      </c>
      <c r="I11" s="13" t="s">
        <v>2210</v>
      </c>
      <c r="J11" s="13" t="s">
        <v>2211</v>
      </c>
    </row>
    <row r="12" spans="1:10">
      <c r="A12" s="13"/>
      <c r="B12" s="13"/>
      <c r="C12" s="13"/>
      <c r="D12" s="13"/>
      <c r="E12" s="13"/>
      <c r="F12" s="13"/>
      <c r="G12" s="13"/>
      <c r="H12" s="13"/>
      <c r="I12" s="13"/>
      <c r="J12" s="13"/>
    </row>
    <row r="13" spans="1:10">
      <c r="A13" s="842" t="s">
        <v>936</v>
      </c>
      <c r="B13" s="839"/>
      <c r="C13" s="839"/>
      <c r="D13" s="85"/>
      <c r="E13" s="85"/>
      <c r="F13" s="85"/>
      <c r="G13" s="85"/>
      <c r="H13" s="85"/>
      <c r="I13" s="85"/>
      <c r="J13" s="85"/>
    </row>
    <row r="14" spans="1:10">
      <c r="A14" s="50" t="s">
        <v>275</v>
      </c>
      <c r="B14" s="50" t="s">
        <v>937</v>
      </c>
      <c r="C14" s="50" t="s">
        <v>938</v>
      </c>
      <c r="D14" s="50" t="s">
        <v>939</v>
      </c>
      <c r="E14" s="50" t="s">
        <v>940</v>
      </c>
      <c r="F14" s="50" t="s">
        <v>941</v>
      </c>
      <c r="G14" s="50" t="s">
        <v>942</v>
      </c>
      <c r="H14" s="50" t="s">
        <v>943</v>
      </c>
      <c r="I14" s="50" t="s">
        <v>899</v>
      </c>
      <c r="J14" s="50" t="s">
        <v>944</v>
      </c>
    </row>
    <row r="15" spans="1:10" ht="82.8">
      <c r="A15" s="13" t="s">
        <v>699</v>
      </c>
      <c r="B15" s="13" t="s">
        <v>677</v>
      </c>
      <c r="C15" s="13" t="s">
        <v>677</v>
      </c>
      <c r="D15" s="13" t="s">
        <v>677</v>
      </c>
      <c r="E15" s="13" t="s">
        <v>677</v>
      </c>
      <c r="F15" s="13" t="s">
        <v>677</v>
      </c>
      <c r="G15" s="13" t="s">
        <v>677</v>
      </c>
      <c r="H15" s="13" t="s">
        <v>677</v>
      </c>
      <c r="I15" s="13" t="s">
        <v>677</v>
      </c>
      <c r="J15" s="13" t="s">
        <v>2212</v>
      </c>
    </row>
    <row r="16" spans="1:10" ht="55.2">
      <c r="A16" s="13" t="s">
        <v>2208</v>
      </c>
      <c r="B16" s="13" t="s">
        <v>946</v>
      </c>
      <c r="C16" s="13" t="s">
        <v>946</v>
      </c>
      <c r="D16" s="13" t="s">
        <v>946</v>
      </c>
      <c r="E16" s="13" t="s">
        <v>677</v>
      </c>
      <c r="F16" s="13" t="s">
        <v>677</v>
      </c>
      <c r="G16" s="13" t="s">
        <v>677</v>
      </c>
      <c r="H16" s="13" t="s">
        <v>677</v>
      </c>
      <c r="I16" s="13" t="s">
        <v>677</v>
      </c>
      <c r="J16" s="13" t="s">
        <v>2213</v>
      </c>
    </row>
    <row r="17" spans="1:10">
      <c r="A17" s="13"/>
      <c r="B17" s="13"/>
      <c r="C17" s="13"/>
      <c r="D17" s="13"/>
      <c r="E17" s="13"/>
      <c r="F17" s="13"/>
      <c r="G17" s="13"/>
      <c r="H17" s="13"/>
      <c r="I17" s="13"/>
      <c r="J17" s="13"/>
    </row>
    <row r="18" spans="1:10">
      <c r="A18" s="842" t="s">
        <v>951</v>
      </c>
      <c r="B18" s="839"/>
      <c r="C18" s="839"/>
      <c r="D18" s="85"/>
      <c r="E18" s="85"/>
      <c r="F18" s="85"/>
      <c r="G18" s="85"/>
      <c r="H18" s="85"/>
      <c r="I18" s="85"/>
      <c r="J18" s="85"/>
    </row>
    <row r="19" spans="1:10">
      <c r="A19" s="50" t="s">
        <v>275</v>
      </c>
      <c r="B19" s="50" t="s">
        <v>952</v>
      </c>
      <c r="C19" s="50" t="s">
        <v>953</v>
      </c>
      <c r="D19" s="50" t="s">
        <v>954</v>
      </c>
      <c r="E19" s="50" t="s">
        <v>955</v>
      </c>
      <c r="F19" s="50" t="s">
        <v>956</v>
      </c>
      <c r="G19" s="50" t="s">
        <v>957</v>
      </c>
      <c r="H19" s="50" t="s">
        <v>958</v>
      </c>
      <c r="I19" s="50" t="s">
        <v>899</v>
      </c>
      <c r="J19" s="50" t="s">
        <v>959</v>
      </c>
    </row>
    <row r="20" spans="1:10" ht="82.8">
      <c r="A20" s="13" t="s">
        <v>699</v>
      </c>
      <c r="B20" s="13" t="s">
        <v>677</v>
      </c>
      <c r="C20" s="13" t="s">
        <v>677</v>
      </c>
      <c r="D20" s="13" t="s">
        <v>677</v>
      </c>
      <c r="E20" s="13" t="s">
        <v>677</v>
      </c>
      <c r="F20" s="13" t="s">
        <v>677</v>
      </c>
      <c r="G20" s="13" t="s">
        <v>677</v>
      </c>
      <c r="H20" s="13" t="s">
        <v>677</v>
      </c>
      <c r="I20" s="13" t="s">
        <v>677</v>
      </c>
      <c r="J20" s="13" t="s">
        <v>2214</v>
      </c>
    </row>
    <row r="21" spans="1:10" ht="55.2">
      <c r="A21" s="13" t="s">
        <v>2208</v>
      </c>
      <c r="B21" s="13" t="s">
        <v>677</v>
      </c>
      <c r="C21" s="13" t="s">
        <v>679</v>
      </c>
      <c r="D21" s="13" t="s">
        <v>677</v>
      </c>
      <c r="E21" s="13" t="s">
        <v>677</v>
      </c>
      <c r="F21" s="13" t="s">
        <v>677</v>
      </c>
      <c r="G21" s="13" t="s">
        <v>677</v>
      </c>
      <c r="H21" s="13" t="s">
        <v>677</v>
      </c>
      <c r="I21" s="13" t="s">
        <v>677</v>
      </c>
      <c r="J21" s="13" t="s">
        <v>2215</v>
      </c>
    </row>
    <row r="22" spans="1:10">
      <c r="A22" s="13"/>
      <c r="B22" s="13"/>
      <c r="C22" s="13"/>
      <c r="D22" s="13"/>
      <c r="E22" s="13"/>
      <c r="F22" s="13"/>
      <c r="G22" s="13"/>
      <c r="H22" s="13"/>
      <c r="I22" s="13"/>
      <c r="J22" s="13"/>
    </row>
    <row r="23" spans="1:10">
      <c r="A23" s="842" t="s">
        <v>964</v>
      </c>
      <c r="B23" s="839"/>
      <c r="C23" s="839"/>
      <c r="D23" s="85"/>
      <c r="E23" s="85"/>
      <c r="F23" s="85"/>
      <c r="G23" s="85"/>
      <c r="H23" s="85"/>
      <c r="I23" s="85"/>
      <c r="J23" s="85"/>
    </row>
    <row r="24" spans="1:10">
      <c r="A24" s="50" t="s">
        <v>275</v>
      </c>
      <c r="B24" s="50" t="s">
        <v>965</v>
      </c>
      <c r="C24" s="50" t="s">
        <v>966</v>
      </c>
      <c r="D24" s="50" t="s">
        <v>967</v>
      </c>
      <c r="E24" s="50" t="s">
        <v>968</v>
      </c>
      <c r="F24" s="50" t="s">
        <v>969</v>
      </c>
      <c r="G24" s="50" t="s">
        <v>970</v>
      </c>
      <c r="H24" s="50" t="s">
        <v>971</v>
      </c>
      <c r="I24" s="50" t="s">
        <v>899</v>
      </c>
      <c r="J24" s="50" t="s">
        <v>959</v>
      </c>
    </row>
    <row r="25" spans="1:10" ht="96.6">
      <c r="A25" s="13" t="s">
        <v>699</v>
      </c>
      <c r="B25" s="13" t="s">
        <v>972</v>
      </c>
      <c r="C25" s="13" t="s">
        <v>677</v>
      </c>
      <c r="D25" s="13" t="s">
        <v>677</v>
      </c>
      <c r="E25" s="13" t="s">
        <v>677</v>
      </c>
      <c r="F25" s="13" t="s">
        <v>677</v>
      </c>
      <c r="G25" s="13" t="s">
        <v>677</v>
      </c>
      <c r="H25" s="13" t="s">
        <v>677</v>
      </c>
      <c r="I25" s="13" t="s">
        <v>677</v>
      </c>
      <c r="J25" s="13" t="s">
        <v>2216</v>
      </c>
    </row>
    <row r="26" spans="1:10" ht="69">
      <c r="A26" s="13" t="s">
        <v>2208</v>
      </c>
      <c r="B26" s="13" t="s">
        <v>2217</v>
      </c>
      <c r="C26" s="13" t="s">
        <v>677</v>
      </c>
      <c r="D26" s="13" t="s">
        <v>677</v>
      </c>
      <c r="E26" s="13" t="s">
        <v>677</v>
      </c>
      <c r="F26" s="13" t="s">
        <v>677</v>
      </c>
      <c r="G26" s="13" t="s">
        <v>677</v>
      </c>
      <c r="H26" s="13" t="s">
        <v>677</v>
      </c>
      <c r="I26" s="13" t="s">
        <v>677</v>
      </c>
      <c r="J26" s="13" t="s">
        <v>2218</v>
      </c>
    </row>
    <row r="27" spans="1:10">
      <c r="A27" s="13"/>
      <c r="B27" s="13"/>
      <c r="C27" s="13"/>
      <c r="D27" s="13"/>
      <c r="E27" s="13"/>
      <c r="F27" s="13"/>
      <c r="G27" s="13"/>
      <c r="H27" s="13"/>
      <c r="I27" s="13"/>
      <c r="J27" s="13"/>
    </row>
    <row r="28" spans="1:10">
      <c r="A28" s="842" t="s">
        <v>977</v>
      </c>
      <c r="B28" s="839"/>
      <c r="C28" s="839"/>
      <c r="D28" s="85"/>
      <c r="E28" s="85"/>
      <c r="F28" s="85"/>
      <c r="G28" s="85"/>
      <c r="H28" s="85"/>
      <c r="I28" s="85"/>
      <c r="J28" s="85"/>
    </row>
    <row r="29" spans="1:10">
      <c r="A29" s="50" t="s">
        <v>275</v>
      </c>
      <c r="B29" s="50" t="s">
        <v>978</v>
      </c>
      <c r="C29" s="50" t="s">
        <v>979</v>
      </c>
      <c r="D29" s="50" t="s">
        <v>980</v>
      </c>
      <c r="E29" s="50" t="s">
        <v>981</v>
      </c>
      <c r="F29" s="50" t="s">
        <v>982</v>
      </c>
      <c r="G29" s="50" t="s">
        <v>983</v>
      </c>
      <c r="H29" s="50" t="s">
        <v>984</v>
      </c>
      <c r="I29" s="50" t="s">
        <v>899</v>
      </c>
      <c r="J29" s="50" t="s">
        <v>11</v>
      </c>
    </row>
    <row r="30" spans="1:10" ht="82.8">
      <c r="A30" s="13" t="s">
        <v>699</v>
      </c>
      <c r="B30" s="13" t="s">
        <v>677</v>
      </c>
      <c r="C30" s="13" t="s">
        <v>2219</v>
      </c>
      <c r="D30" s="13" t="s">
        <v>677</v>
      </c>
      <c r="E30" s="13" t="s">
        <v>677</v>
      </c>
      <c r="F30" s="13" t="s">
        <v>2220</v>
      </c>
      <c r="G30" s="13" t="s">
        <v>677</v>
      </c>
      <c r="H30" s="13" t="s">
        <v>677</v>
      </c>
      <c r="I30" s="13" t="s">
        <v>677</v>
      </c>
      <c r="J30" s="13" t="s">
        <v>2221</v>
      </c>
    </row>
    <row r="31" spans="1:10" ht="55.2">
      <c r="A31" s="13" t="s">
        <v>2208</v>
      </c>
      <c r="B31" s="13" t="s">
        <v>988</v>
      </c>
      <c r="C31" s="13" t="s">
        <v>988</v>
      </c>
      <c r="D31" s="13" t="s">
        <v>988</v>
      </c>
      <c r="E31" s="13" t="s">
        <v>677</v>
      </c>
      <c r="F31" s="13" t="s">
        <v>946</v>
      </c>
      <c r="G31" s="13" t="s">
        <v>677</v>
      </c>
      <c r="H31" s="13" t="s">
        <v>677</v>
      </c>
      <c r="I31" s="13" t="s">
        <v>677</v>
      </c>
      <c r="J31" s="13" t="s">
        <v>2222</v>
      </c>
    </row>
    <row r="32" spans="1:10">
      <c r="A32" s="13"/>
      <c r="B32" s="13"/>
      <c r="C32" s="13"/>
      <c r="D32" s="13"/>
      <c r="E32" s="13"/>
      <c r="F32" s="13"/>
      <c r="G32" s="13"/>
      <c r="H32" s="13"/>
      <c r="I32" s="13"/>
      <c r="J32" s="13"/>
    </row>
    <row r="33" spans="1:10">
      <c r="A33" s="842" t="s">
        <v>994</v>
      </c>
      <c r="B33" s="839"/>
      <c r="C33" s="839"/>
      <c r="D33" s="85"/>
      <c r="E33" s="85"/>
      <c r="F33" s="85"/>
      <c r="G33" s="85"/>
      <c r="H33" s="85"/>
      <c r="I33" s="85"/>
      <c r="J33" s="85"/>
    </row>
    <row r="34" spans="1:10">
      <c r="A34" s="50" t="s">
        <v>275</v>
      </c>
      <c r="B34" s="50" t="s">
        <v>995</v>
      </c>
      <c r="C34" s="50" t="s">
        <v>996</v>
      </c>
      <c r="D34" s="50" t="s">
        <v>997</v>
      </c>
      <c r="E34" s="50" t="s">
        <v>998</v>
      </c>
      <c r="F34" s="50" t="s">
        <v>999</v>
      </c>
      <c r="G34" s="50" t="s">
        <v>1000</v>
      </c>
      <c r="H34" s="50" t="s">
        <v>1001</v>
      </c>
      <c r="I34" s="50" t="s">
        <v>899</v>
      </c>
      <c r="J34" s="50" t="s">
        <v>11</v>
      </c>
    </row>
    <row r="35" spans="1:10" ht="82.8">
      <c r="A35" s="13" t="s">
        <v>699</v>
      </c>
      <c r="B35" s="13" t="s">
        <v>677</v>
      </c>
      <c r="C35" s="13" t="s">
        <v>677</v>
      </c>
      <c r="D35" s="13" t="s">
        <v>677</v>
      </c>
      <c r="E35" s="13" t="s">
        <v>677</v>
      </c>
      <c r="F35" s="13" t="s">
        <v>677</v>
      </c>
      <c r="G35" s="13" t="s">
        <v>677</v>
      </c>
      <c r="H35" s="13" t="s">
        <v>677</v>
      </c>
      <c r="I35" s="13" t="s">
        <v>677</v>
      </c>
      <c r="J35" s="13" t="s">
        <v>2223</v>
      </c>
    </row>
    <row r="36" spans="1:10" ht="69">
      <c r="A36" s="13" t="s">
        <v>2208</v>
      </c>
      <c r="B36" s="13" t="s">
        <v>988</v>
      </c>
      <c r="C36" s="13" t="s">
        <v>988</v>
      </c>
      <c r="D36" s="13" t="s">
        <v>988</v>
      </c>
      <c r="E36" s="13" t="s">
        <v>677</v>
      </c>
      <c r="F36" s="13" t="s">
        <v>677</v>
      </c>
      <c r="G36" s="13" t="s">
        <v>677</v>
      </c>
      <c r="H36" s="13" t="s">
        <v>677</v>
      </c>
      <c r="I36" s="13" t="s">
        <v>677</v>
      </c>
      <c r="J36" s="13" t="s">
        <v>2224</v>
      </c>
    </row>
    <row r="37" spans="1:10">
      <c r="A37" s="13"/>
      <c r="B37" s="13"/>
      <c r="C37" s="13"/>
      <c r="D37" s="13"/>
      <c r="E37" s="13"/>
      <c r="F37" s="13"/>
      <c r="G37" s="13"/>
      <c r="H37" s="13"/>
      <c r="I37" s="13"/>
      <c r="J37" s="13"/>
    </row>
    <row r="38" spans="1:10">
      <c r="A38" s="842" t="s">
        <v>1007</v>
      </c>
      <c r="B38" s="839"/>
      <c r="C38" s="839"/>
      <c r="D38" s="85"/>
      <c r="E38" s="85"/>
      <c r="F38" s="85"/>
      <c r="G38" s="85"/>
      <c r="H38" s="85"/>
      <c r="I38" s="85"/>
      <c r="J38" s="85"/>
    </row>
    <row r="39" spans="1:10">
      <c r="A39" s="50" t="s">
        <v>275</v>
      </c>
      <c r="B39" s="50" t="s">
        <v>1008</v>
      </c>
      <c r="C39" s="50" t="s">
        <v>1009</v>
      </c>
      <c r="D39" s="50" t="s">
        <v>1010</v>
      </c>
      <c r="E39" s="50" t="s">
        <v>1011</v>
      </c>
      <c r="F39" s="50" t="s">
        <v>1012</v>
      </c>
      <c r="G39" s="50" t="s">
        <v>1013</v>
      </c>
      <c r="H39" s="50" t="s">
        <v>1014</v>
      </c>
      <c r="I39" s="50" t="s">
        <v>899</v>
      </c>
      <c r="J39" s="50" t="s">
        <v>11</v>
      </c>
    </row>
    <row r="40" spans="1:10" ht="96.6">
      <c r="A40" s="13" t="s">
        <v>699</v>
      </c>
      <c r="B40" s="13" t="s">
        <v>677</v>
      </c>
      <c r="C40" s="13" t="s">
        <v>677</v>
      </c>
      <c r="D40" s="13" t="s">
        <v>677</v>
      </c>
      <c r="E40" s="13" t="s">
        <v>677</v>
      </c>
      <c r="F40" s="13" t="s">
        <v>677</v>
      </c>
      <c r="G40" s="13" t="s">
        <v>677</v>
      </c>
      <c r="H40" s="13" t="s">
        <v>677</v>
      </c>
      <c r="I40" s="13" t="s">
        <v>677</v>
      </c>
      <c r="J40" s="13" t="s">
        <v>2225</v>
      </c>
    </row>
    <row r="41" spans="1:10" ht="69">
      <c r="A41" s="13" t="s">
        <v>2208</v>
      </c>
      <c r="B41" s="13" t="s">
        <v>677</v>
      </c>
      <c r="C41" s="13" t="s">
        <v>677</v>
      </c>
      <c r="D41" s="13" t="s">
        <v>677</v>
      </c>
      <c r="E41" s="13" t="s">
        <v>677</v>
      </c>
      <c r="F41" s="13" t="s">
        <v>677</v>
      </c>
      <c r="G41" s="13" t="s">
        <v>677</v>
      </c>
      <c r="H41" s="13" t="s">
        <v>677</v>
      </c>
      <c r="I41" s="13" t="s">
        <v>677</v>
      </c>
      <c r="J41" s="13" t="s">
        <v>2226</v>
      </c>
    </row>
    <row r="42" spans="1:10">
      <c r="A42" s="13"/>
      <c r="B42" s="13"/>
      <c r="C42" s="13"/>
      <c r="D42" s="13"/>
      <c r="E42" s="13"/>
      <c r="F42" s="13"/>
      <c r="G42" s="13"/>
      <c r="H42" s="13"/>
      <c r="I42" s="13"/>
      <c r="J42" s="13"/>
    </row>
    <row r="43" spans="1:10">
      <c r="A43" s="842" t="s">
        <v>1019</v>
      </c>
      <c r="B43" s="839"/>
      <c r="C43" s="839"/>
      <c r="D43" s="85"/>
      <c r="E43" s="85"/>
      <c r="F43" s="85"/>
      <c r="G43" s="85"/>
      <c r="H43" s="85"/>
      <c r="I43" s="85"/>
      <c r="J43" s="85"/>
    </row>
    <row r="44" spans="1:10">
      <c r="A44" s="50" t="s">
        <v>213</v>
      </c>
      <c r="B44" s="50" t="s">
        <v>275</v>
      </c>
      <c r="C44" s="50" t="s">
        <v>573</v>
      </c>
      <c r="D44" s="50" t="s">
        <v>215</v>
      </c>
      <c r="E44" s="50" t="s">
        <v>257</v>
      </c>
      <c r="F44" s="50" t="s">
        <v>572</v>
      </c>
      <c r="G44" s="50" t="s">
        <v>259</v>
      </c>
      <c r="H44" s="50" t="s">
        <v>216</v>
      </c>
      <c r="I44" s="50" t="s">
        <v>77</v>
      </c>
      <c r="J44" s="50" t="s">
        <v>11</v>
      </c>
    </row>
    <row r="45" spans="1:10" ht="55.2">
      <c r="A45" s="13" t="s">
        <v>2227</v>
      </c>
      <c r="B45" s="13" t="s">
        <v>575</v>
      </c>
      <c r="C45" s="13" t="s">
        <v>2228</v>
      </c>
      <c r="D45" s="13" t="s">
        <v>391</v>
      </c>
      <c r="E45" s="13" t="s">
        <v>488</v>
      </c>
      <c r="F45" s="13">
        <v>6</v>
      </c>
      <c r="G45" s="13" t="s">
        <v>1381</v>
      </c>
      <c r="H45" s="13" t="s">
        <v>1023</v>
      </c>
      <c r="I45" s="13" t="s">
        <v>502</v>
      </c>
      <c r="J45" s="13" t="s">
        <v>2229</v>
      </c>
    </row>
    <row r="46" spans="1:10" ht="69">
      <c r="A46" s="13" t="s">
        <v>2230</v>
      </c>
      <c r="B46" s="13" t="s">
        <v>699</v>
      </c>
      <c r="C46" s="13" t="s">
        <v>2231</v>
      </c>
      <c r="D46" s="13" t="s">
        <v>391</v>
      </c>
      <c r="E46" s="13" t="s">
        <v>488</v>
      </c>
      <c r="F46" s="13">
        <v>6</v>
      </c>
      <c r="G46" s="13" t="s">
        <v>2232</v>
      </c>
      <c r="H46" s="13" t="s">
        <v>1858</v>
      </c>
      <c r="I46" s="13" t="s">
        <v>502</v>
      </c>
      <c r="J46" s="13" t="s">
        <v>2233</v>
      </c>
    </row>
    <row r="47" spans="1:10" ht="82.8">
      <c r="A47" s="13" t="s">
        <v>2234</v>
      </c>
      <c r="B47" s="13" t="s">
        <v>2208</v>
      </c>
      <c r="C47" s="13" t="s">
        <v>2235</v>
      </c>
      <c r="D47" s="13" t="s">
        <v>492</v>
      </c>
      <c r="E47" s="13" t="s">
        <v>488</v>
      </c>
      <c r="F47" s="13">
        <v>8</v>
      </c>
      <c r="G47" s="13" t="s">
        <v>2236</v>
      </c>
      <c r="H47" s="13" t="s">
        <v>584</v>
      </c>
      <c r="I47" s="13" t="s">
        <v>502</v>
      </c>
      <c r="J47" s="13" t="s">
        <v>2237</v>
      </c>
    </row>
    <row r="48" spans="1:10" ht="82.8">
      <c r="A48" s="13" t="s">
        <v>2238</v>
      </c>
      <c r="B48" s="13" t="s">
        <v>699</v>
      </c>
      <c r="C48" s="13" t="s">
        <v>593</v>
      </c>
      <c r="D48" s="13" t="s">
        <v>492</v>
      </c>
      <c r="E48" s="13" t="s">
        <v>488</v>
      </c>
      <c r="F48" s="13">
        <v>8</v>
      </c>
      <c r="G48" s="13" t="s">
        <v>2239</v>
      </c>
      <c r="H48" s="13" t="s">
        <v>592</v>
      </c>
      <c r="I48" s="13" t="s">
        <v>502</v>
      </c>
      <c r="J48" s="13" t="s">
        <v>1028</v>
      </c>
    </row>
    <row r="49" spans="1:10" ht="110.4">
      <c r="A49" s="13" t="s">
        <v>2240</v>
      </c>
      <c r="B49" s="13" t="s">
        <v>699</v>
      </c>
      <c r="C49" s="13" t="s">
        <v>2241</v>
      </c>
      <c r="D49" s="13" t="s">
        <v>391</v>
      </c>
      <c r="E49" s="13" t="s">
        <v>488</v>
      </c>
      <c r="F49" s="13">
        <v>6</v>
      </c>
      <c r="G49" s="13" t="s">
        <v>2242</v>
      </c>
      <c r="H49" s="13" t="s">
        <v>1032</v>
      </c>
      <c r="I49" s="13" t="s">
        <v>502</v>
      </c>
      <c r="J49" s="13" t="s">
        <v>2243</v>
      </c>
    </row>
    <row r="50" spans="1:10" ht="110.4">
      <c r="A50" s="13" t="s">
        <v>2244</v>
      </c>
      <c r="B50" s="13" t="s">
        <v>699</v>
      </c>
      <c r="C50" s="13" t="s">
        <v>2245</v>
      </c>
      <c r="D50" s="13" t="s">
        <v>391</v>
      </c>
      <c r="E50" s="13" t="s">
        <v>488</v>
      </c>
      <c r="F50" s="13">
        <v>6</v>
      </c>
      <c r="G50" s="13" t="s">
        <v>2246</v>
      </c>
      <c r="H50" s="13" t="s">
        <v>1403</v>
      </c>
      <c r="I50" s="13" t="s">
        <v>502</v>
      </c>
      <c r="J50" s="13" t="s">
        <v>2247</v>
      </c>
    </row>
    <row r="51" spans="1:10" ht="82.8">
      <c r="A51" s="13" t="s">
        <v>2248</v>
      </c>
      <c r="B51" s="13" t="s">
        <v>575</v>
      </c>
      <c r="C51" s="13" t="s">
        <v>2249</v>
      </c>
      <c r="D51" s="13" t="s">
        <v>492</v>
      </c>
      <c r="E51" s="13" t="s">
        <v>488</v>
      </c>
      <c r="F51" s="13">
        <v>8</v>
      </c>
      <c r="G51" s="13" t="s">
        <v>1039</v>
      </c>
      <c r="H51" s="13" t="s">
        <v>584</v>
      </c>
      <c r="I51" s="13" t="s">
        <v>502</v>
      </c>
      <c r="J51" s="13" t="s">
        <v>2250</v>
      </c>
    </row>
    <row r="52" spans="1:10" ht="96.6">
      <c r="A52" s="13" t="s">
        <v>2251</v>
      </c>
      <c r="B52" s="13" t="s">
        <v>575</v>
      </c>
      <c r="C52" s="13" t="s">
        <v>1047</v>
      </c>
      <c r="D52" s="13" t="s">
        <v>391</v>
      </c>
      <c r="E52" s="13" t="s">
        <v>488</v>
      </c>
      <c r="F52" s="13">
        <v>6</v>
      </c>
      <c r="G52" s="13" t="s">
        <v>2252</v>
      </c>
      <c r="H52" s="13" t="s">
        <v>1049</v>
      </c>
      <c r="I52" s="13" t="s">
        <v>502</v>
      </c>
      <c r="J52" s="13" t="s">
        <v>1737</v>
      </c>
    </row>
    <row r="53" spans="1:10">
      <c r="A53" s="13"/>
      <c r="B53" s="13"/>
      <c r="C53" s="13"/>
      <c r="D53" s="13"/>
      <c r="E53" s="13"/>
      <c r="F53" s="13"/>
      <c r="G53" s="13"/>
      <c r="H53" s="13"/>
      <c r="I53" s="13"/>
      <c r="J53" s="13"/>
    </row>
    <row r="54" spans="1:10">
      <c r="A54" s="842" t="s">
        <v>1051</v>
      </c>
      <c r="B54" s="839"/>
      <c r="C54" s="839"/>
      <c r="D54" s="85"/>
      <c r="E54" s="85"/>
      <c r="F54" s="85"/>
      <c r="G54" s="85"/>
      <c r="H54" s="85"/>
      <c r="I54" s="85"/>
      <c r="J54" s="85"/>
    </row>
    <row r="55" spans="1:10">
      <c r="A55" s="50" t="s">
        <v>221</v>
      </c>
      <c r="B55" s="50" t="s">
        <v>222</v>
      </c>
      <c r="C55" s="50" t="s">
        <v>265</v>
      </c>
      <c r="D55" s="50" t="s">
        <v>77</v>
      </c>
      <c r="E55" s="50" t="s">
        <v>878</v>
      </c>
      <c r="F55" s="50" t="s">
        <v>879</v>
      </c>
      <c r="G55" s="50" t="s">
        <v>880</v>
      </c>
      <c r="H55" s="50" t="s">
        <v>494</v>
      </c>
      <c r="I55" s="50" t="s">
        <v>881</v>
      </c>
      <c r="J55" s="50" t="s">
        <v>11</v>
      </c>
    </row>
    <row r="56" spans="1:10" ht="69">
      <c r="A56" s="13" t="s">
        <v>2253</v>
      </c>
      <c r="B56" s="13" t="s">
        <v>2254</v>
      </c>
      <c r="C56" s="13" t="s">
        <v>579</v>
      </c>
      <c r="D56" s="13" t="s">
        <v>502</v>
      </c>
      <c r="E56" s="13"/>
      <c r="F56" s="13"/>
      <c r="G56" s="13" t="s">
        <v>580</v>
      </c>
      <c r="H56" s="13"/>
      <c r="I56" s="13"/>
      <c r="J56" s="13"/>
    </row>
    <row r="57" spans="1:10" ht="69">
      <c r="A57" s="13" t="s">
        <v>2255</v>
      </c>
      <c r="B57" s="13" t="s">
        <v>2256</v>
      </c>
      <c r="C57" s="13" t="s">
        <v>587</v>
      </c>
      <c r="D57" s="13" t="s">
        <v>502</v>
      </c>
      <c r="E57" s="13"/>
      <c r="F57" s="13"/>
      <c r="G57" s="13" t="s">
        <v>588</v>
      </c>
      <c r="H57" s="13"/>
      <c r="I57" s="13"/>
      <c r="J57" s="13"/>
    </row>
    <row r="58" spans="1:10" ht="69">
      <c r="A58" s="13" t="s">
        <v>2257</v>
      </c>
      <c r="B58" s="13" t="s">
        <v>2258</v>
      </c>
      <c r="C58" s="13" t="s">
        <v>1858</v>
      </c>
      <c r="D58" s="13" t="s">
        <v>502</v>
      </c>
      <c r="E58" s="13"/>
      <c r="F58" s="13"/>
      <c r="G58" s="13" t="s">
        <v>1859</v>
      </c>
      <c r="H58" s="13"/>
      <c r="I58" s="13"/>
      <c r="J58" s="13"/>
    </row>
    <row r="59" spans="1:10" ht="69">
      <c r="A59" s="13" t="s">
        <v>2259</v>
      </c>
      <c r="B59" s="13" t="s">
        <v>2260</v>
      </c>
      <c r="C59" s="13" t="s">
        <v>601</v>
      </c>
      <c r="D59" s="13" t="s">
        <v>502</v>
      </c>
      <c r="E59" s="13"/>
      <c r="F59" s="13"/>
      <c r="G59" s="13" t="s">
        <v>602</v>
      </c>
      <c r="H59" s="13"/>
      <c r="I59" s="13"/>
      <c r="J59" s="13"/>
    </row>
    <row r="60" spans="1:10" ht="69">
      <c r="A60" s="13" t="s">
        <v>2261</v>
      </c>
      <c r="B60" s="13" t="s">
        <v>2262</v>
      </c>
      <c r="C60" s="13" t="s">
        <v>609</v>
      </c>
      <c r="D60" s="13" t="s">
        <v>502</v>
      </c>
      <c r="E60" s="13"/>
      <c r="F60" s="13"/>
      <c r="G60" s="13" t="s">
        <v>610</v>
      </c>
      <c r="H60" s="13"/>
      <c r="I60" s="13"/>
      <c r="J60" s="13"/>
    </row>
    <row r="61" spans="1:10" ht="96.6">
      <c r="A61" s="13" t="s">
        <v>2263</v>
      </c>
      <c r="B61" s="13" t="s">
        <v>2264</v>
      </c>
      <c r="C61" s="13" t="s">
        <v>616</v>
      </c>
      <c r="D61" s="13" t="s">
        <v>502</v>
      </c>
      <c r="E61" s="13"/>
      <c r="F61" s="13"/>
      <c r="G61" s="13" t="s">
        <v>617</v>
      </c>
      <c r="H61" s="13"/>
      <c r="I61" s="13"/>
      <c r="J61" s="13"/>
    </row>
    <row r="62" spans="1:10" ht="96.6">
      <c r="A62" s="13" t="s">
        <v>2265</v>
      </c>
      <c r="B62" s="13" t="s">
        <v>624</v>
      </c>
      <c r="C62" s="13" t="s">
        <v>622</v>
      </c>
      <c r="D62" s="13" t="s">
        <v>502</v>
      </c>
      <c r="E62" s="13"/>
      <c r="F62" s="13"/>
      <c r="G62" s="13" t="s">
        <v>623</v>
      </c>
      <c r="H62" s="13"/>
      <c r="I62" s="13"/>
      <c r="J62" s="13"/>
    </row>
    <row r="63" spans="1:10" ht="82.8">
      <c r="A63" s="13" t="s">
        <v>2266</v>
      </c>
      <c r="B63" s="13" t="s">
        <v>1753</v>
      </c>
      <c r="C63" s="13" t="s">
        <v>1049</v>
      </c>
      <c r="D63" s="13" t="s">
        <v>502</v>
      </c>
      <c r="E63" s="13"/>
      <c r="F63" s="13"/>
      <c r="G63" s="13" t="s">
        <v>631</v>
      </c>
      <c r="H63" s="13"/>
      <c r="I63" s="13"/>
      <c r="J63" s="13"/>
    </row>
    <row r="64" spans="1:10">
      <c r="A64" s="13"/>
      <c r="B64" s="13"/>
      <c r="C64" s="13"/>
      <c r="D64" s="13"/>
      <c r="E64" s="13"/>
      <c r="F64" s="13"/>
      <c r="G64" s="13"/>
      <c r="H64" s="13"/>
      <c r="I64" s="13"/>
      <c r="J64" s="13"/>
    </row>
    <row r="65" spans="1:10">
      <c r="A65" s="842" t="s">
        <v>1052</v>
      </c>
      <c r="B65" s="839"/>
      <c r="C65" s="839"/>
      <c r="D65" s="85"/>
      <c r="E65" s="85"/>
      <c r="F65" s="85"/>
      <c r="G65" s="85"/>
      <c r="H65" s="85"/>
      <c r="I65" s="85"/>
      <c r="J65" s="85"/>
    </row>
    <row r="66" spans="1:10">
      <c r="A66" s="50" t="s">
        <v>291</v>
      </c>
      <c r="B66" s="50" t="s">
        <v>275</v>
      </c>
      <c r="C66" s="50" t="s">
        <v>493</v>
      </c>
      <c r="D66" s="50" t="s">
        <v>214</v>
      </c>
      <c r="E66" s="50" t="s">
        <v>263</v>
      </c>
      <c r="F66" s="50" t="s">
        <v>891</v>
      </c>
      <c r="G66" s="50" t="s">
        <v>892</v>
      </c>
      <c r="H66" s="50" t="s">
        <v>893</v>
      </c>
      <c r="I66" s="50" t="s">
        <v>77</v>
      </c>
      <c r="J66" s="50" t="s">
        <v>11</v>
      </c>
    </row>
    <row r="67" spans="1:10" ht="96.6">
      <c r="A67" s="13" t="s">
        <v>2267</v>
      </c>
      <c r="B67" s="13" t="s">
        <v>699</v>
      </c>
      <c r="C67" s="13" t="s">
        <v>269</v>
      </c>
      <c r="D67" s="13" t="s">
        <v>2268</v>
      </c>
      <c r="E67" s="13"/>
      <c r="F67" s="13" t="s">
        <v>229</v>
      </c>
      <c r="G67" s="13"/>
      <c r="H67" s="13" t="s">
        <v>2269</v>
      </c>
      <c r="I67" s="13" t="s">
        <v>502</v>
      </c>
      <c r="J67" s="13"/>
    </row>
    <row r="68" spans="1:10" ht="82.8">
      <c r="A68" s="13" t="s">
        <v>2270</v>
      </c>
      <c r="B68" s="13" t="s">
        <v>2208</v>
      </c>
      <c r="C68" s="13" t="s">
        <v>269</v>
      </c>
      <c r="D68" s="13" t="s">
        <v>2271</v>
      </c>
      <c r="E68" s="13"/>
      <c r="F68" s="13" t="s">
        <v>229</v>
      </c>
      <c r="G68" s="13"/>
      <c r="H68" s="13" t="s">
        <v>2272</v>
      </c>
      <c r="I68" s="13" t="s">
        <v>502</v>
      </c>
      <c r="J68" s="13"/>
    </row>
    <row r="69" spans="1:10" ht="96.6">
      <c r="A69" s="13" t="s">
        <v>2273</v>
      </c>
      <c r="B69" s="13" t="s">
        <v>699</v>
      </c>
      <c r="C69" s="13" t="s">
        <v>749</v>
      </c>
      <c r="D69" s="13" t="s">
        <v>2274</v>
      </c>
      <c r="E69" s="13"/>
      <c r="F69" s="13" t="s">
        <v>229</v>
      </c>
      <c r="G69" s="13"/>
      <c r="H69" s="13" t="s">
        <v>2230</v>
      </c>
      <c r="I69" s="13" t="s">
        <v>502</v>
      </c>
      <c r="J69" s="13"/>
    </row>
    <row r="70" spans="1:10" ht="69">
      <c r="A70" s="13" t="s">
        <v>2275</v>
      </c>
      <c r="B70" s="13" t="s">
        <v>699</v>
      </c>
      <c r="C70" s="13" t="s">
        <v>957</v>
      </c>
      <c r="D70" s="13" t="s">
        <v>1659</v>
      </c>
      <c r="E70" s="13"/>
      <c r="F70" s="13" t="s">
        <v>229</v>
      </c>
      <c r="G70" s="13"/>
      <c r="H70" s="13" t="s">
        <v>2244</v>
      </c>
      <c r="I70" s="13" t="s">
        <v>502</v>
      </c>
      <c r="J70" s="13"/>
    </row>
    <row r="71" spans="1:10" ht="96.6">
      <c r="A71" s="13" t="s">
        <v>2276</v>
      </c>
      <c r="B71" s="13" t="s">
        <v>699</v>
      </c>
      <c r="C71" s="13" t="s">
        <v>148</v>
      </c>
      <c r="D71" s="13" t="s">
        <v>2081</v>
      </c>
      <c r="E71" s="13"/>
      <c r="F71" s="13" t="s">
        <v>229</v>
      </c>
      <c r="G71" s="13"/>
      <c r="H71" s="13" t="s">
        <v>2238</v>
      </c>
      <c r="I71" s="13" t="s">
        <v>502</v>
      </c>
      <c r="J71" s="13"/>
    </row>
    <row r="72" spans="1:10" ht="82.8">
      <c r="A72" s="13" t="s">
        <v>2277</v>
      </c>
      <c r="B72" s="13" t="s">
        <v>699</v>
      </c>
      <c r="C72" s="13" t="s">
        <v>153</v>
      </c>
      <c r="D72" s="13" t="s">
        <v>2278</v>
      </c>
      <c r="E72" s="13"/>
      <c r="F72" s="13" t="s">
        <v>229</v>
      </c>
      <c r="G72" s="13"/>
      <c r="H72" s="13" t="s">
        <v>2240</v>
      </c>
      <c r="I72" s="13" t="s">
        <v>502</v>
      </c>
      <c r="J72" s="13"/>
    </row>
    <row r="73" spans="1:10" ht="82.8">
      <c r="A73" s="13" t="s">
        <v>2279</v>
      </c>
      <c r="B73" s="13" t="s">
        <v>2280</v>
      </c>
      <c r="C73" s="13" t="s">
        <v>155</v>
      </c>
      <c r="D73" s="13" t="s">
        <v>2281</v>
      </c>
      <c r="E73" s="13"/>
      <c r="F73" s="13" t="s">
        <v>229</v>
      </c>
      <c r="G73" s="13"/>
      <c r="H73" s="13" t="s">
        <v>2248</v>
      </c>
      <c r="I73" s="13" t="s">
        <v>502</v>
      </c>
      <c r="J73" s="13"/>
    </row>
    <row r="74" spans="1:10" ht="110.4">
      <c r="A74" s="13" t="s">
        <v>2282</v>
      </c>
      <c r="B74" s="13" t="s">
        <v>2280</v>
      </c>
      <c r="C74" s="13" t="s">
        <v>556</v>
      </c>
      <c r="D74" s="13" t="s">
        <v>2283</v>
      </c>
      <c r="E74" s="13"/>
      <c r="F74" s="13" t="s">
        <v>229</v>
      </c>
      <c r="G74" s="13"/>
      <c r="H74" s="13" t="s">
        <v>2251</v>
      </c>
      <c r="I74" s="13" t="s">
        <v>502</v>
      </c>
      <c r="J74" s="13"/>
    </row>
    <row r="75" spans="1:10">
      <c r="A75" s="13"/>
      <c r="B75" s="13"/>
      <c r="C75" s="13"/>
      <c r="D75" s="13"/>
      <c r="E75" s="13"/>
      <c r="F75" s="13"/>
      <c r="G75" s="13"/>
      <c r="H75" s="13"/>
      <c r="I75" s="13"/>
      <c r="J75" s="13"/>
    </row>
    <row r="76" spans="1:10" ht="43.2">
      <c r="A76" s="85" t="s">
        <v>1079</v>
      </c>
      <c r="B76" s="85"/>
      <c r="C76" s="85"/>
      <c r="D76" s="85"/>
      <c r="E76" s="85"/>
      <c r="F76" s="85"/>
      <c r="G76" s="85"/>
      <c r="H76" s="85"/>
      <c r="I76" s="85"/>
      <c r="J76" s="85"/>
    </row>
    <row r="77" spans="1:10">
      <c r="A77" s="50" t="s">
        <v>275</v>
      </c>
      <c r="B77" s="50" t="s">
        <v>895</v>
      </c>
      <c r="C77" s="50" t="s">
        <v>896</v>
      </c>
      <c r="D77" s="50" t="s">
        <v>148</v>
      </c>
      <c r="E77" s="50" t="s">
        <v>153</v>
      </c>
      <c r="F77" s="50" t="s">
        <v>155</v>
      </c>
      <c r="G77" s="50" t="s">
        <v>491</v>
      </c>
      <c r="H77" s="50" t="s">
        <v>897</v>
      </c>
      <c r="I77" s="50" t="s">
        <v>174</v>
      </c>
      <c r="J77" s="50" t="s">
        <v>11</v>
      </c>
    </row>
    <row r="78" spans="1:10" ht="41.4">
      <c r="A78" s="13" t="s">
        <v>699</v>
      </c>
      <c r="B78" s="13">
        <v>0.5</v>
      </c>
      <c r="C78" s="13">
        <v>0.5</v>
      </c>
      <c r="D78" s="13">
        <v>0.5</v>
      </c>
      <c r="E78" s="13">
        <v>0.5</v>
      </c>
      <c r="F78" s="13">
        <v>0.5</v>
      </c>
      <c r="G78" s="13" t="s">
        <v>677</v>
      </c>
      <c r="H78" s="13">
        <v>0.5</v>
      </c>
      <c r="I78" s="13" t="s">
        <v>1201</v>
      </c>
      <c r="J78" s="13" t="s">
        <v>2284</v>
      </c>
    </row>
    <row r="79" spans="1:10" ht="41.4">
      <c r="A79" s="13" t="s">
        <v>2208</v>
      </c>
      <c r="B79" s="13">
        <v>0.5</v>
      </c>
      <c r="C79" s="13">
        <v>0.5</v>
      </c>
      <c r="D79" s="13">
        <v>0.5</v>
      </c>
      <c r="E79" s="13">
        <v>0.5</v>
      </c>
      <c r="F79" s="13">
        <v>0.5</v>
      </c>
      <c r="G79" s="13" t="s">
        <v>677</v>
      </c>
      <c r="H79" s="13">
        <v>0.5</v>
      </c>
      <c r="I79" s="13" t="s">
        <v>1201</v>
      </c>
      <c r="J79" s="13" t="s">
        <v>2285</v>
      </c>
    </row>
    <row r="80" spans="1:10">
      <c r="A80" s="13"/>
      <c r="B80" s="13"/>
      <c r="C80" s="13"/>
      <c r="D80" s="13"/>
      <c r="E80" s="13"/>
      <c r="F80" s="13"/>
      <c r="G80" s="13"/>
      <c r="H80" s="13"/>
      <c r="I80" s="13"/>
      <c r="J80" s="13"/>
    </row>
    <row r="81" spans="1:10" ht="43.2">
      <c r="A81" s="85" t="s">
        <v>1085</v>
      </c>
      <c r="B81" s="85"/>
      <c r="C81" s="85"/>
      <c r="D81" s="85"/>
      <c r="E81" s="85"/>
      <c r="F81" s="85"/>
      <c r="G81" s="85"/>
      <c r="H81" s="85"/>
      <c r="I81" s="85"/>
      <c r="J81" s="85"/>
    </row>
    <row r="82" spans="1:10" ht="55.2">
      <c r="A82" s="50" t="s">
        <v>905</v>
      </c>
      <c r="B82" s="50" t="s">
        <v>800</v>
      </c>
      <c r="C82" s="50"/>
      <c r="D82" s="50"/>
      <c r="E82" s="50"/>
      <c r="F82" s="50"/>
      <c r="G82" s="50"/>
      <c r="H82" s="50"/>
      <c r="I82" s="50"/>
      <c r="J82" s="50"/>
    </row>
    <row r="83" spans="1:10" ht="193.2">
      <c r="A83" s="13" t="s">
        <v>1086</v>
      </c>
      <c r="B83" s="13" t="s">
        <v>2286</v>
      </c>
      <c r="C83" s="13"/>
      <c r="D83" s="13"/>
      <c r="E83" s="13"/>
      <c r="F83" s="13"/>
      <c r="G83" s="13"/>
      <c r="H83" s="13"/>
      <c r="I83" s="13"/>
      <c r="J83" s="13"/>
    </row>
    <row r="84" spans="1:10" ht="165.6">
      <c r="A84" s="13" t="s">
        <v>2090</v>
      </c>
      <c r="B84" s="13" t="s">
        <v>2287</v>
      </c>
      <c r="C84" s="13"/>
      <c r="D84" s="13"/>
      <c r="E84" s="13"/>
      <c r="F84" s="13"/>
      <c r="G84" s="13"/>
      <c r="H84" s="13"/>
      <c r="I84" s="13"/>
      <c r="J84" s="13"/>
    </row>
    <row r="85" spans="1:10" ht="165.6">
      <c r="A85" s="13" t="s">
        <v>1088</v>
      </c>
      <c r="B85" s="13" t="s">
        <v>2288</v>
      </c>
      <c r="C85" s="13"/>
      <c r="D85" s="13"/>
      <c r="E85" s="13"/>
      <c r="F85" s="13"/>
      <c r="G85" s="13"/>
      <c r="H85" s="13"/>
      <c r="I85" s="13"/>
      <c r="J85" s="13"/>
    </row>
    <row r="86" spans="1:10" ht="165.6">
      <c r="A86" s="13" t="s">
        <v>1089</v>
      </c>
      <c r="B86" s="13" t="s">
        <v>2289</v>
      </c>
      <c r="C86" s="13"/>
      <c r="D86" s="13"/>
      <c r="E86" s="13"/>
      <c r="F86" s="13"/>
      <c r="G86" s="13"/>
      <c r="H86" s="13"/>
      <c r="I86" s="13"/>
      <c r="J86" s="13"/>
    </row>
    <row r="87" spans="1:10" ht="207">
      <c r="A87" s="13" t="s">
        <v>1090</v>
      </c>
      <c r="B87" s="13" t="s">
        <v>2290</v>
      </c>
      <c r="C87" s="13"/>
      <c r="D87" s="13"/>
      <c r="E87" s="13"/>
      <c r="F87" s="13"/>
      <c r="G87" s="13"/>
      <c r="H87" s="13"/>
      <c r="I87" s="13"/>
      <c r="J87" s="13"/>
    </row>
    <row r="88" spans="1:10" ht="207">
      <c r="A88" s="13" t="s">
        <v>1563</v>
      </c>
      <c r="B88" s="13" t="s">
        <v>1776</v>
      </c>
      <c r="C88" s="13"/>
      <c r="D88" s="13"/>
      <c r="E88" s="13"/>
      <c r="F88" s="13"/>
      <c r="G88" s="13"/>
      <c r="H88" s="13"/>
      <c r="I88" s="13"/>
      <c r="J88" s="13"/>
    </row>
    <row r="90" spans="1:10" ht="15" thickBot="1"/>
    <row r="91" spans="1:10">
      <c r="A91" s="855" t="s">
        <v>5875</v>
      </c>
      <c r="B91" s="856"/>
      <c r="C91" s="856"/>
      <c r="D91" s="857"/>
      <c r="E91" s="856"/>
      <c r="F91" s="856"/>
      <c r="G91" s="857"/>
      <c r="H91" s="857"/>
      <c r="I91" s="857"/>
      <c r="J91" s="858"/>
    </row>
    <row r="92" spans="1:10">
      <c r="A92" s="325" t="s">
        <v>5817</v>
      </c>
      <c r="B92" s="326" t="s">
        <v>77</v>
      </c>
      <c r="C92" s="326" t="s">
        <v>5818</v>
      </c>
      <c r="D92" s="326" t="s">
        <v>5819</v>
      </c>
      <c r="E92" s="326" t="s">
        <v>5841</v>
      </c>
      <c r="F92" s="326" t="s">
        <v>5808</v>
      </c>
      <c r="G92" s="859" t="s">
        <v>5842</v>
      </c>
      <c r="H92" s="859"/>
      <c r="I92" s="859"/>
      <c r="J92" s="860"/>
    </row>
    <row r="93" spans="1:10" ht="26.4">
      <c r="A93" s="327" t="s">
        <v>5820</v>
      </c>
      <c r="B93" s="337" t="s">
        <v>484</v>
      </c>
      <c r="C93" s="329">
        <v>0</v>
      </c>
      <c r="D93" s="329">
        <v>0</v>
      </c>
      <c r="E93" s="196" t="s">
        <v>5881</v>
      </c>
      <c r="F93" s="329">
        <f>IF(AND(C93&lt;&gt;"",D93&lt;&gt;""),D93-C93,"")</f>
        <v>0</v>
      </c>
      <c r="G93" s="861"/>
      <c r="H93" s="861"/>
      <c r="I93" s="861"/>
      <c r="J93" s="862"/>
    </row>
    <row r="94" spans="1:10" ht="26.4">
      <c r="A94" s="330" t="s">
        <v>5821</v>
      </c>
      <c r="B94" s="337" t="s">
        <v>484</v>
      </c>
      <c r="C94" s="331">
        <v>1</v>
      </c>
      <c r="D94" s="331">
        <v>0</v>
      </c>
      <c r="E94" s="314" t="s">
        <v>5882</v>
      </c>
      <c r="F94" s="331">
        <f>IF(AND(C94&lt;&gt;"",D94&lt;&gt;""),D94-C94,"")</f>
        <v>-1</v>
      </c>
      <c r="G94" s="863"/>
      <c r="H94" s="863"/>
      <c r="I94" s="863"/>
      <c r="J94" s="864"/>
    </row>
    <row r="95" spans="1:10">
      <c r="A95" s="327" t="s">
        <v>5822</v>
      </c>
      <c r="B95" s="337" t="s">
        <v>484</v>
      </c>
      <c r="C95" s="331">
        <v>1</v>
      </c>
      <c r="D95" s="331">
        <v>0</v>
      </c>
      <c r="E95" s="314" t="s">
        <v>5882</v>
      </c>
      <c r="F95" s="329">
        <f>IF(AND(C95&lt;&gt;"",D95&lt;&gt;""),D95-C95,"")</f>
        <v>-1</v>
      </c>
      <c r="G95" s="332"/>
      <c r="H95" s="231"/>
      <c r="I95" s="231"/>
      <c r="J95" s="333"/>
    </row>
    <row r="96" spans="1:10">
      <c r="A96" s="330" t="s">
        <v>5823</v>
      </c>
      <c r="B96" s="337" t="s">
        <v>484</v>
      </c>
      <c r="C96" s="331">
        <v>1</v>
      </c>
      <c r="D96" s="331">
        <v>0</v>
      </c>
      <c r="E96" s="314" t="s">
        <v>5882</v>
      </c>
      <c r="F96" s="331">
        <f>IF(AND(C96&lt;&gt;"",D96&lt;&gt;""),D96-C96,"")</f>
        <v>-1</v>
      </c>
      <c r="G96" s="863"/>
      <c r="H96" s="863"/>
      <c r="I96" s="863"/>
      <c r="J96" s="864"/>
    </row>
    <row r="97" spans="1:10">
      <c r="A97" s="327" t="s">
        <v>5168</v>
      </c>
      <c r="B97" s="337" t="s">
        <v>484</v>
      </c>
      <c r="C97" s="331">
        <v>1</v>
      </c>
      <c r="D97" s="331">
        <v>0</v>
      </c>
      <c r="E97" s="314" t="s">
        <v>5882</v>
      </c>
      <c r="F97" s="329">
        <f>IF(AND(C97&lt;&gt;"",D97&lt;&gt;""),D97-C97,"")</f>
        <v>-1</v>
      </c>
      <c r="G97" s="332"/>
      <c r="H97" s="231"/>
      <c r="I97" s="231"/>
      <c r="J97" s="333"/>
    </row>
    <row r="98" spans="1:10" ht="15.6">
      <c r="A98" s="865" t="s">
        <v>5843</v>
      </c>
      <c r="B98" s="713"/>
      <c r="C98" s="334">
        <f>IFERROR(AVERAGE(C93:C97),"")</f>
        <v>0.8</v>
      </c>
      <c r="D98" s="334">
        <f>IFERROR(AVERAGE(D93:D97),"")</f>
        <v>0</v>
      </c>
      <c r="E98" s="866" t="s">
        <v>5844</v>
      </c>
      <c r="F98" s="866"/>
      <c r="G98" s="866"/>
      <c r="H98" s="866"/>
      <c r="I98" s="866"/>
      <c r="J98" s="867"/>
    </row>
    <row r="99" spans="1:10">
      <c r="A99" s="335"/>
      <c r="B99" s="320"/>
      <c r="C99" s="320"/>
      <c r="D99" s="320"/>
      <c r="E99" s="320"/>
      <c r="F99" s="320"/>
      <c r="G99" s="320"/>
      <c r="H99" s="231"/>
      <c r="I99" s="231"/>
      <c r="J99" s="333"/>
    </row>
    <row r="100" spans="1:10">
      <c r="A100" s="876" t="s">
        <v>5876</v>
      </c>
      <c r="B100" s="853"/>
      <c r="C100" s="853"/>
      <c r="D100" s="842"/>
      <c r="E100" s="853"/>
      <c r="F100" s="853"/>
      <c r="G100" s="842"/>
      <c r="H100" s="842"/>
      <c r="I100" s="842"/>
      <c r="J100" s="868"/>
    </row>
    <row r="101" spans="1:10">
      <c r="A101" s="325" t="s">
        <v>4946</v>
      </c>
      <c r="B101" s="326" t="s">
        <v>77</v>
      </c>
      <c r="C101" s="326" t="s">
        <v>5883</v>
      </c>
      <c r="D101" s="326" t="s">
        <v>482</v>
      </c>
      <c r="E101" s="326" t="s">
        <v>572</v>
      </c>
      <c r="F101" s="326" t="s">
        <v>5846</v>
      </c>
      <c r="G101" s="859" t="s">
        <v>5847</v>
      </c>
      <c r="H101" s="859"/>
      <c r="I101" s="859"/>
      <c r="J101" s="860"/>
    </row>
    <row r="102" spans="1:10" ht="26.4">
      <c r="A102" s="330" t="s">
        <v>5809</v>
      </c>
      <c r="B102" s="337" t="s">
        <v>484</v>
      </c>
      <c r="C102" s="336" t="s">
        <v>679</v>
      </c>
      <c r="D102" s="328" t="s">
        <v>679</v>
      </c>
      <c r="E102" s="336">
        <f>IF(D102="Yes",1,0)</f>
        <v>0</v>
      </c>
      <c r="F102" s="877"/>
      <c r="G102" s="877"/>
      <c r="H102" s="877"/>
      <c r="I102" s="877"/>
      <c r="J102" s="878"/>
    </row>
    <row r="103" spans="1:10">
      <c r="A103" s="327" t="s">
        <v>995</v>
      </c>
      <c r="B103" s="337" t="s">
        <v>484</v>
      </c>
      <c r="C103" s="336" t="s">
        <v>679</v>
      </c>
      <c r="D103" s="328" t="s">
        <v>679</v>
      </c>
      <c r="E103" s="328">
        <f t="shared" ref="E103:E109" si="0">IF(D103="Yes",1,0)</f>
        <v>0</v>
      </c>
      <c r="F103" s="877"/>
      <c r="G103" s="877"/>
      <c r="H103" s="877"/>
      <c r="I103" s="877"/>
      <c r="J103" s="878"/>
    </row>
    <row r="104" spans="1:10">
      <c r="A104" s="330" t="s">
        <v>5810</v>
      </c>
      <c r="B104" s="337" t="s">
        <v>484</v>
      </c>
      <c r="C104" s="336" t="s">
        <v>679</v>
      </c>
      <c r="D104" s="328" t="s">
        <v>679</v>
      </c>
      <c r="E104" s="336">
        <f t="shared" si="0"/>
        <v>0</v>
      </c>
      <c r="F104" s="877"/>
      <c r="G104" s="877"/>
      <c r="H104" s="877"/>
      <c r="I104" s="877"/>
      <c r="J104" s="878"/>
    </row>
    <row r="105" spans="1:10">
      <c r="A105" s="327" t="s">
        <v>5824</v>
      </c>
      <c r="B105" s="337" t="s">
        <v>484</v>
      </c>
      <c r="C105" s="336" t="s">
        <v>679</v>
      </c>
      <c r="D105" s="328" t="s">
        <v>679</v>
      </c>
      <c r="E105" s="328">
        <f t="shared" si="0"/>
        <v>0</v>
      </c>
      <c r="F105" s="877"/>
      <c r="G105" s="877"/>
      <c r="H105" s="877"/>
      <c r="I105" s="877"/>
      <c r="J105" s="878"/>
    </row>
    <row r="106" spans="1:10" ht="39.6">
      <c r="A106" s="330" t="s">
        <v>5825</v>
      </c>
      <c r="B106" s="337" t="s">
        <v>484</v>
      </c>
      <c r="C106" s="336" t="s">
        <v>679</v>
      </c>
      <c r="D106" s="328" t="s">
        <v>679</v>
      </c>
      <c r="E106" s="336">
        <f t="shared" si="0"/>
        <v>0</v>
      </c>
      <c r="F106" s="877"/>
      <c r="G106" s="877"/>
      <c r="H106" s="877"/>
      <c r="I106" s="877"/>
      <c r="J106" s="878"/>
    </row>
    <row r="107" spans="1:10" ht="26.4">
      <c r="A107" s="327" t="s">
        <v>5826</v>
      </c>
      <c r="B107" s="337" t="s">
        <v>484</v>
      </c>
      <c r="C107" s="336" t="s">
        <v>679</v>
      </c>
      <c r="D107" s="328" t="s">
        <v>679</v>
      </c>
      <c r="E107" s="328">
        <f t="shared" si="0"/>
        <v>0</v>
      </c>
      <c r="F107" s="877"/>
      <c r="G107" s="877"/>
      <c r="H107" s="877"/>
      <c r="I107" s="877"/>
      <c r="J107" s="878"/>
    </row>
    <row r="108" spans="1:10">
      <c r="A108" s="330" t="s">
        <v>5811</v>
      </c>
      <c r="B108" s="337" t="s">
        <v>484</v>
      </c>
      <c r="C108" s="336" t="s">
        <v>679</v>
      </c>
      <c r="D108" s="328" t="s">
        <v>679</v>
      </c>
      <c r="E108" s="336">
        <f t="shared" si="0"/>
        <v>0</v>
      </c>
      <c r="F108" s="877"/>
      <c r="G108" s="877"/>
      <c r="H108" s="877"/>
      <c r="I108" s="877"/>
      <c r="J108" s="878"/>
    </row>
    <row r="109" spans="1:10" ht="26.4">
      <c r="A109" s="327" t="s">
        <v>5812</v>
      </c>
      <c r="B109" s="337" t="s">
        <v>484</v>
      </c>
      <c r="C109" s="336" t="s">
        <v>679</v>
      </c>
      <c r="D109" s="328" t="s">
        <v>679</v>
      </c>
      <c r="E109" s="328">
        <f t="shared" si="0"/>
        <v>0</v>
      </c>
      <c r="F109" s="877"/>
      <c r="G109" s="877"/>
      <c r="H109" s="877"/>
      <c r="I109" s="877"/>
      <c r="J109" s="878"/>
    </row>
    <row r="110" spans="1:10" ht="15.6">
      <c r="A110" s="865" t="s">
        <v>5848</v>
      </c>
      <c r="B110" s="713"/>
      <c r="C110" s="871" t="str">
        <f>IFERROR(SUM(E102:E109)/COUNTIF(C102:C109,"Yes"),"")</f>
        <v/>
      </c>
      <c r="D110" s="872"/>
      <c r="E110" s="866" t="s">
        <v>5849</v>
      </c>
      <c r="F110" s="866"/>
      <c r="G110" s="866"/>
      <c r="H110" s="866"/>
      <c r="I110" s="866"/>
      <c r="J110" s="867"/>
    </row>
    <row r="111" spans="1:10">
      <c r="A111" s="335"/>
      <c r="B111" s="320"/>
      <c r="C111" s="320"/>
      <c r="D111" s="320"/>
      <c r="E111" s="320"/>
      <c r="F111" s="320"/>
      <c r="G111" s="320"/>
      <c r="H111" s="231"/>
      <c r="I111" s="231"/>
      <c r="J111" s="333"/>
    </row>
    <row r="112" spans="1:10">
      <c r="A112" s="876" t="s">
        <v>5877</v>
      </c>
      <c r="B112" s="853"/>
      <c r="C112" s="853"/>
      <c r="D112" s="842"/>
      <c r="E112" s="853"/>
      <c r="F112" s="853"/>
      <c r="G112" s="842"/>
      <c r="H112" s="842"/>
      <c r="I112" s="842"/>
      <c r="J112" s="868"/>
    </row>
    <row r="113" spans="1:10">
      <c r="A113" s="325" t="s">
        <v>5850</v>
      </c>
      <c r="B113" s="326" t="s">
        <v>77</v>
      </c>
      <c r="C113" s="326" t="s">
        <v>5827</v>
      </c>
      <c r="D113" s="326" t="s">
        <v>5828</v>
      </c>
      <c r="E113" s="326" t="s">
        <v>5829</v>
      </c>
      <c r="F113" s="326" t="s">
        <v>5851</v>
      </c>
      <c r="G113" s="859" t="s">
        <v>5852</v>
      </c>
      <c r="H113" s="859"/>
      <c r="I113" s="859"/>
      <c r="J113" s="860"/>
    </row>
    <row r="114" spans="1:10" ht="26.4">
      <c r="A114" s="330" t="s">
        <v>5830</v>
      </c>
      <c r="B114" s="336" t="s">
        <v>484</v>
      </c>
      <c r="C114" s="336" t="s">
        <v>1096</v>
      </c>
      <c r="D114" s="336" t="s">
        <v>1096</v>
      </c>
      <c r="E114" s="336" t="s">
        <v>1096</v>
      </c>
      <c r="F114" s="336" t="s">
        <v>348</v>
      </c>
      <c r="G114" s="869"/>
      <c r="H114" s="869"/>
      <c r="I114" s="869"/>
      <c r="J114" s="870"/>
    </row>
    <row r="115" spans="1:10">
      <c r="A115" s="327" t="s">
        <v>5831</v>
      </c>
      <c r="B115" s="336" t="s">
        <v>484</v>
      </c>
      <c r="C115" s="336" t="s">
        <v>1096</v>
      </c>
      <c r="D115" s="336" t="s">
        <v>1096</v>
      </c>
      <c r="E115" s="336" t="s">
        <v>1096</v>
      </c>
      <c r="F115" s="336" t="s">
        <v>348</v>
      </c>
      <c r="G115" s="869"/>
      <c r="H115" s="869"/>
      <c r="I115" s="869"/>
      <c r="J115" s="870"/>
    </row>
    <row r="116" spans="1:10">
      <c r="A116" s="330" t="s">
        <v>5853</v>
      </c>
      <c r="B116" s="336" t="s">
        <v>484</v>
      </c>
      <c r="C116" s="336" t="s">
        <v>1096</v>
      </c>
      <c r="D116" s="336" t="s">
        <v>1096</v>
      </c>
      <c r="E116" s="336" t="s">
        <v>1096</v>
      </c>
      <c r="F116" s="336" t="s">
        <v>348</v>
      </c>
      <c r="G116" s="869"/>
      <c r="H116" s="869"/>
      <c r="I116" s="869"/>
      <c r="J116" s="870"/>
    </row>
    <row r="117" spans="1:10">
      <c r="A117" s="327" t="s">
        <v>5832</v>
      </c>
      <c r="B117" s="336" t="s">
        <v>484</v>
      </c>
      <c r="C117" s="336" t="s">
        <v>1096</v>
      </c>
      <c r="D117" s="336" t="s">
        <v>1096</v>
      </c>
      <c r="E117" s="336" t="s">
        <v>1096</v>
      </c>
      <c r="F117" s="336" t="s">
        <v>348</v>
      </c>
      <c r="G117" s="869"/>
      <c r="H117" s="869"/>
      <c r="I117" s="869"/>
      <c r="J117" s="870"/>
    </row>
    <row r="118" spans="1:10" ht="26.4">
      <c r="A118" s="330" t="s">
        <v>5833</v>
      </c>
      <c r="B118" s="336" t="s">
        <v>484</v>
      </c>
      <c r="C118" s="336" t="s">
        <v>1096</v>
      </c>
      <c r="D118" s="336" t="s">
        <v>1096</v>
      </c>
      <c r="E118" s="336" t="s">
        <v>1096</v>
      </c>
      <c r="F118" s="336" t="s">
        <v>348</v>
      </c>
      <c r="G118" s="869"/>
      <c r="H118" s="869"/>
      <c r="I118" s="869"/>
      <c r="J118" s="870"/>
    </row>
    <row r="119" spans="1:10" ht="15.6">
      <c r="A119" s="865" t="s">
        <v>5884</v>
      </c>
      <c r="B119" s="713"/>
      <c r="C119" s="871">
        <f>IFERROR(COUNTIF(E114:E118,"Yes")/COUNTA(A114:A118),"")</f>
        <v>0</v>
      </c>
      <c r="D119" s="872"/>
      <c r="E119" s="866" t="s">
        <v>5855</v>
      </c>
      <c r="F119" s="866"/>
      <c r="G119" s="866"/>
      <c r="H119" s="866"/>
      <c r="I119" s="866"/>
      <c r="J119" s="867"/>
    </row>
    <row r="120" spans="1:10">
      <c r="A120" s="335"/>
      <c r="B120" s="320"/>
      <c r="C120" s="320"/>
      <c r="D120" s="320"/>
      <c r="E120" s="320"/>
      <c r="F120" s="320"/>
      <c r="G120" s="874"/>
      <c r="H120" s="874"/>
      <c r="I120" s="874"/>
      <c r="J120" s="875"/>
    </row>
    <row r="121" spans="1:10">
      <c r="A121" s="876" t="s">
        <v>5878</v>
      </c>
      <c r="B121" s="853"/>
      <c r="C121" s="853"/>
      <c r="D121" s="842"/>
      <c r="E121" s="853"/>
      <c r="F121" s="853"/>
      <c r="G121" s="842"/>
      <c r="H121" s="842"/>
      <c r="I121" s="842"/>
      <c r="J121" s="868"/>
    </row>
    <row r="122" spans="1:10">
      <c r="A122" s="326" t="s">
        <v>5813</v>
      </c>
      <c r="B122" s="326" t="s">
        <v>77</v>
      </c>
      <c r="C122" s="326" t="s">
        <v>5834</v>
      </c>
      <c r="D122" s="326" t="s">
        <v>5835</v>
      </c>
      <c r="E122" s="326" t="s">
        <v>5836</v>
      </c>
      <c r="F122" s="326" t="s">
        <v>5837</v>
      </c>
      <c r="G122" s="859" t="s">
        <v>5885</v>
      </c>
      <c r="H122" s="859"/>
      <c r="I122" s="859"/>
      <c r="J122" s="859"/>
    </row>
    <row r="123" spans="1:10">
      <c r="A123" s="332" t="s">
        <v>153</v>
      </c>
      <c r="B123" s="328" t="s">
        <v>484</v>
      </c>
      <c r="C123" s="328"/>
      <c r="D123" s="328"/>
      <c r="E123" s="328"/>
      <c r="F123" s="329" t="str">
        <f>IFERROR(D123/C123,"")</f>
        <v/>
      </c>
      <c r="G123" s="873"/>
      <c r="H123" s="873"/>
      <c r="I123" s="873"/>
      <c r="J123" s="873"/>
    </row>
    <row r="124" spans="1:10">
      <c r="A124" s="339" t="s">
        <v>155</v>
      </c>
      <c r="B124" s="336" t="s">
        <v>484</v>
      </c>
      <c r="C124" s="336"/>
      <c r="D124" s="336"/>
      <c r="E124" s="336"/>
      <c r="F124" s="331" t="str">
        <f>IFERROR(D124/C124,"")</f>
        <v/>
      </c>
      <c r="G124" s="873"/>
      <c r="H124" s="873"/>
      <c r="I124" s="873"/>
      <c r="J124" s="873"/>
    </row>
    <row r="125" spans="1:10">
      <c r="A125" s="332" t="s">
        <v>4821</v>
      </c>
      <c r="B125" s="328" t="s">
        <v>484</v>
      </c>
      <c r="C125" s="328"/>
      <c r="D125" s="328"/>
      <c r="E125" s="328"/>
      <c r="F125" s="329" t="str">
        <f>IFERROR(D125/C125,"")</f>
        <v/>
      </c>
      <c r="G125" s="873"/>
      <c r="H125" s="873"/>
      <c r="I125" s="873"/>
      <c r="J125" s="873"/>
    </row>
    <row r="126" spans="1:10">
      <c r="A126" s="339" t="s">
        <v>957</v>
      </c>
      <c r="B126" s="336" t="s">
        <v>484</v>
      </c>
      <c r="C126" s="336"/>
      <c r="D126" s="336"/>
      <c r="E126" s="336"/>
      <c r="F126" s="331" t="str">
        <f>IFERROR(D126/C126,"")</f>
        <v/>
      </c>
      <c r="G126" s="873"/>
      <c r="H126" s="873"/>
      <c r="I126" s="873"/>
      <c r="J126" s="873"/>
    </row>
    <row r="127" spans="1:10">
      <c r="A127" s="879" t="s">
        <v>5856</v>
      </c>
      <c r="B127" s="879"/>
      <c r="C127" s="879"/>
      <c r="D127" s="879"/>
      <c r="E127" s="866" t="s">
        <v>5857</v>
      </c>
      <c r="F127" s="866"/>
      <c r="G127" s="866"/>
      <c r="H127" s="866"/>
      <c r="I127" s="866"/>
      <c r="J127" s="866"/>
    </row>
    <row r="128" spans="1:10">
      <c r="A128" s="879"/>
      <c r="B128" s="879"/>
      <c r="C128" s="879"/>
      <c r="D128" s="879"/>
      <c r="E128" s="866"/>
      <c r="F128" s="866"/>
      <c r="G128" s="866"/>
      <c r="H128" s="866"/>
      <c r="I128" s="866"/>
      <c r="J128" s="866"/>
    </row>
    <row r="129" spans="1:10">
      <c r="A129" s="842" t="s">
        <v>5879</v>
      </c>
      <c r="B129" s="842"/>
      <c r="C129" s="842"/>
      <c r="D129" s="842"/>
      <c r="E129" s="842"/>
      <c r="F129" s="842"/>
      <c r="G129" s="842"/>
      <c r="H129" s="842"/>
      <c r="I129" s="842"/>
      <c r="J129" s="842"/>
    </row>
    <row r="130" spans="1:10">
      <c r="A130" s="326" t="s">
        <v>4946</v>
      </c>
      <c r="B130" s="326" t="s">
        <v>77</v>
      </c>
      <c r="C130" s="326" t="s">
        <v>5845</v>
      </c>
      <c r="D130" s="326" t="s">
        <v>482</v>
      </c>
      <c r="E130" s="326" t="s">
        <v>572</v>
      </c>
      <c r="F130" s="326" t="s">
        <v>944</v>
      </c>
      <c r="G130" s="859" t="s">
        <v>5847</v>
      </c>
      <c r="H130" s="859"/>
      <c r="I130" s="859"/>
      <c r="J130" s="859"/>
    </row>
    <row r="131" spans="1:10" ht="26.4">
      <c r="A131" s="332" t="s">
        <v>5814</v>
      </c>
      <c r="B131" s="328" t="s">
        <v>484</v>
      </c>
      <c r="C131" s="328" t="s">
        <v>392</v>
      </c>
      <c r="D131" s="328" t="s">
        <v>1096</v>
      </c>
      <c r="E131" s="328">
        <f t="shared" ref="E131:E136" si="1">IF(D131="Yes",1,0)</f>
        <v>0</v>
      </c>
      <c r="F131" s="328"/>
      <c r="G131" s="873"/>
      <c r="H131" s="873"/>
      <c r="I131" s="873"/>
      <c r="J131" s="873"/>
    </row>
    <row r="132" spans="1:10">
      <c r="A132" s="339" t="s">
        <v>5815</v>
      </c>
      <c r="B132" s="328" t="s">
        <v>484</v>
      </c>
      <c r="C132" s="336" t="s">
        <v>392</v>
      </c>
      <c r="D132" s="328" t="s">
        <v>1096</v>
      </c>
      <c r="E132" s="336">
        <f t="shared" si="1"/>
        <v>0</v>
      </c>
      <c r="F132" s="336"/>
      <c r="G132" s="873"/>
      <c r="H132" s="873"/>
      <c r="I132" s="873"/>
      <c r="J132" s="873"/>
    </row>
    <row r="133" spans="1:10" ht="26.4">
      <c r="A133" s="332" t="s">
        <v>5816</v>
      </c>
      <c r="B133" s="328" t="s">
        <v>484</v>
      </c>
      <c r="C133" s="328" t="s">
        <v>392</v>
      </c>
      <c r="D133" s="328" t="s">
        <v>1096</v>
      </c>
      <c r="E133" s="328">
        <f t="shared" si="1"/>
        <v>0</v>
      </c>
      <c r="F133" s="328"/>
      <c r="G133" s="873"/>
      <c r="H133" s="873"/>
      <c r="I133" s="873"/>
      <c r="J133" s="873"/>
    </row>
    <row r="134" spans="1:10">
      <c r="A134" s="339" t="s">
        <v>5838</v>
      </c>
      <c r="B134" s="328" t="s">
        <v>484</v>
      </c>
      <c r="C134" s="336" t="s">
        <v>392</v>
      </c>
      <c r="D134" s="328" t="s">
        <v>1096</v>
      </c>
      <c r="E134" s="336">
        <f t="shared" si="1"/>
        <v>0</v>
      </c>
      <c r="F134" s="336"/>
      <c r="G134" s="873"/>
      <c r="H134" s="873"/>
      <c r="I134" s="873"/>
      <c r="J134" s="873"/>
    </row>
    <row r="135" spans="1:10" ht="26.4">
      <c r="A135" s="332" t="s">
        <v>5839</v>
      </c>
      <c r="B135" s="328" t="s">
        <v>484</v>
      </c>
      <c r="C135" s="328" t="s">
        <v>392</v>
      </c>
      <c r="D135" s="328" t="s">
        <v>1096</v>
      </c>
      <c r="E135" s="328">
        <f t="shared" si="1"/>
        <v>0</v>
      </c>
      <c r="F135" s="328"/>
      <c r="G135" s="873"/>
      <c r="H135" s="873"/>
      <c r="I135" s="873"/>
      <c r="J135" s="873"/>
    </row>
    <row r="136" spans="1:10" ht="26.4">
      <c r="A136" s="339" t="s">
        <v>5840</v>
      </c>
      <c r="B136" s="328" t="s">
        <v>484</v>
      </c>
      <c r="C136" s="336" t="s">
        <v>392</v>
      </c>
      <c r="D136" s="336" t="s">
        <v>1096</v>
      </c>
      <c r="E136" s="336">
        <f t="shared" si="1"/>
        <v>0</v>
      </c>
      <c r="F136" s="336"/>
      <c r="G136" s="873"/>
      <c r="H136" s="873"/>
      <c r="I136" s="873"/>
      <c r="J136" s="873"/>
    </row>
    <row r="137" spans="1:10" ht="15.6">
      <c r="A137" s="880" t="s">
        <v>5858</v>
      </c>
      <c r="B137" s="713"/>
      <c r="C137" s="871">
        <f>IFERROR(SUM(E131:E136)/COUNTIF(C131:C136,"Yes"),"")</f>
        <v>0</v>
      </c>
      <c r="D137" s="872"/>
      <c r="E137" s="866" t="s">
        <v>5859</v>
      </c>
      <c r="F137" s="866"/>
      <c r="G137" s="866"/>
      <c r="H137" s="866"/>
      <c r="I137" s="866"/>
      <c r="J137" s="866"/>
    </row>
    <row r="138" spans="1:10">
      <c r="A138" s="196"/>
      <c r="B138" s="196"/>
      <c r="C138" s="196"/>
      <c r="D138" s="196"/>
      <c r="E138" s="196"/>
      <c r="F138" s="196"/>
      <c r="G138" s="196"/>
      <c r="H138" s="196"/>
      <c r="I138" s="196"/>
      <c r="J138" s="196"/>
    </row>
    <row r="139" spans="1:10">
      <c r="A139" s="842" t="s">
        <v>5880</v>
      </c>
      <c r="B139" s="853"/>
      <c r="C139" s="853"/>
      <c r="D139" s="321"/>
      <c r="E139" s="321"/>
      <c r="F139" s="321"/>
      <c r="G139" s="321"/>
      <c r="H139" s="321"/>
      <c r="I139" s="321"/>
      <c r="J139" s="321"/>
    </row>
    <row r="140" spans="1:10" ht="55.2">
      <c r="A140" s="322" t="s">
        <v>905</v>
      </c>
      <c r="B140" s="322" t="s">
        <v>830</v>
      </c>
      <c r="C140" s="322"/>
      <c r="D140" s="322"/>
      <c r="E140" s="322"/>
      <c r="F140" s="322"/>
      <c r="G140" s="322"/>
      <c r="H140" s="322"/>
      <c r="I140" s="322"/>
      <c r="J140" s="322"/>
    </row>
    <row r="141" spans="1:10">
      <c r="A141" s="319" t="s">
        <v>1086</v>
      </c>
      <c r="B141" s="852" t="s">
        <v>3292</v>
      </c>
      <c r="C141" s="853"/>
      <c r="D141" s="853"/>
      <c r="E141" s="853"/>
      <c r="F141" s="853"/>
      <c r="G141" s="853"/>
      <c r="H141" s="853"/>
      <c r="I141" s="853"/>
      <c r="J141" s="853"/>
    </row>
    <row r="142" spans="1:10" ht="27.6">
      <c r="A142" s="319" t="s">
        <v>2090</v>
      </c>
      <c r="B142" s="852" t="s">
        <v>3293</v>
      </c>
      <c r="C142" s="853"/>
      <c r="D142" s="853"/>
      <c r="E142" s="853"/>
      <c r="F142" s="853"/>
      <c r="G142" s="853"/>
      <c r="H142" s="853"/>
      <c r="I142" s="853"/>
      <c r="J142" s="853"/>
    </row>
    <row r="143" spans="1:10">
      <c r="A143" s="319" t="s">
        <v>1089</v>
      </c>
      <c r="B143" s="852" t="s">
        <v>3294</v>
      </c>
      <c r="C143" s="853"/>
      <c r="D143" s="853"/>
      <c r="E143" s="853"/>
      <c r="F143" s="853"/>
      <c r="G143" s="853"/>
      <c r="H143" s="853"/>
      <c r="I143" s="853"/>
      <c r="J143" s="853"/>
    </row>
    <row r="144" spans="1:10">
      <c r="A144" s="319" t="s">
        <v>1090</v>
      </c>
      <c r="B144" s="852" t="s">
        <v>3295</v>
      </c>
      <c r="C144" s="853"/>
      <c r="D144" s="853"/>
      <c r="E144" s="853"/>
      <c r="F144" s="853"/>
      <c r="G144" s="853"/>
      <c r="H144" s="853"/>
      <c r="I144" s="853"/>
      <c r="J144" s="853"/>
    </row>
    <row r="145" spans="1:10">
      <c r="A145" s="319" t="s">
        <v>1088</v>
      </c>
      <c r="B145" s="852" t="s">
        <v>3296</v>
      </c>
      <c r="C145" s="853"/>
      <c r="D145" s="853"/>
      <c r="E145" s="853"/>
      <c r="F145" s="853"/>
      <c r="G145" s="853"/>
      <c r="H145" s="853"/>
      <c r="I145" s="853"/>
      <c r="J145" s="853"/>
    </row>
    <row r="146" spans="1:10" ht="27.6">
      <c r="A146" s="319" t="s">
        <v>3297</v>
      </c>
      <c r="B146" s="852" t="s">
        <v>3298</v>
      </c>
      <c r="C146" s="853"/>
      <c r="D146" s="853"/>
      <c r="E146" s="853"/>
      <c r="F146" s="853"/>
      <c r="G146" s="853"/>
      <c r="H146" s="853"/>
      <c r="I146" s="853"/>
      <c r="J146" s="853"/>
    </row>
    <row r="147" spans="1:10">
      <c r="A147" s="319" t="s">
        <v>1563</v>
      </c>
      <c r="B147" s="852" t="s">
        <v>1776</v>
      </c>
      <c r="C147" s="853"/>
      <c r="D147" s="853"/>
      <c r="E147" s="853"/>
      <c r="F147" s="853"/>
      <c r="G147" s="853"/>
      <c r="H147" s="853"/>
      <c r="I147" s="853"/>
      <c r="J147" s="853"/>
    </row>
    <row r="148" spans="1:10">
      <c r="A148" s="231"/>
      <c r="B148" s="231"/>
      <c r="C148" s="231"/>
      <c r="D148" s="231"/>
      <c r="E148" s="231"/>
      <c r="F148" s="231"/>
      <c r="G148" s="231"/>
      <c r="H148" s="231"/>
      <c r="I148" s="231"/>
      <c r="J148" s="231"/>
    </row>
    <row r="149" spans="1:10" ht="17.399999999999999">
      <c r="A149" s="827" t="s">
        <v>5769</v>
      </c>
      <c r="B149" s="827"/>
      <c r="C149" s="827"/>
      <c r="D149" s="827"/>
      <c r="E149" s="827"/>
      <c r="F149" s="827"/>
      <c r="G149" s="827"/>
      <c r="H149" s="827"/>
      <c r="I149" s="231"/>
      <c r="J149" s="231"/>
    </row>
    <row r="150" spans="1:10">
      <c r="A150" s="276" t="s">
        <v>2</v>
      </c>
      <c r="B150" s="828" t="s">
        <v>5770</v>
      </c>
      <c r="C150" s="828"/>
      <c r="D150" s="828"/>
      <c r="E150" s="828"/>
      <c r="F150" s="828"/>
      <c r="G150" s="828"/>
      <c r="H150" s="828"/>
      <c r="I150" s="231"/>
      <c r="J150" s="231"/>
    </row>
    <row r="151" spans="1:10">
      <c r="A151" s="276" t="s">
        <v>5771</v>
      </c>
      <c r="B151" s="828" t="s">
        <v>5772</v>
      </c>
      <c r="C151" s="828"/>
      <c r="D151" s="828"/>
      <c r="E151" s="828"/>
      <c r="F151" s="828"/>
      <c r="G151" s="828"/>
      <c r="H151" s="828"/>
      <c r="I151" s="231"/>
      <c r="J151" s="231"/>
    </row>
    <row r="152" spans="1:10">
      <c r="A152" s="196"/>
      <c r="B152" s="196"/>
      <c r="C152" s="196"/>
      <c r="D152" s="196"/>
      <c r="E152" s="196"/>
      <c r="F152" s="196"/>
      <c r="G152" s="196"/>
      <c r="H152" s="196"/>
      <c r="I152" s="231"/>
      <c r="J152" s="231"/>
    </row>
    <row r="153" spans="1:10">
      <c r="A153" s="323" t="s">
        <v>4946</v>
      </c>
      <c r="B153" s="323" t="s">
        <v>77</v>
      </c>
      <c r="C153" s="323" t="s">
        <v>5773</v>
      </c>
      <c r="D153" s="323" t="s">
        <v>263</v>
      </c>
      <c r="E153" s="323" t="s">
        <v>216</v>
      </c>
      <c r="F153" s="323" t="s">
        <v>5774</v>
      </c>
      <c r="G153" s="323" t="s">
        <v>5775</v>
      </c>
      <c r="H153" s="323" t="s">
        <v>5776</v>
      </c>
      <c r="I153" s="231"/>
      <c r="J153" s="231"/>
    </row>
    <row r="154" spans="1:10" ht="26.4">
      <c r="A154" s="277" t="s">
        <v>5777</v>
      </c>
      <c r="B154" s="278" t="s">
        <v>1096</v>
      </c>
      <c r="C154" s="277"/>
      <c r="D154" s="277"/>
      <c r="E154" s="277"/>
      <c r="F154" s="277"/>
      <c r="G154" s="279" t="str">
        <f t="shared" ref="G154:G161" si="2">IF(OR(B154="Yes",B154="N/A"),"🟢","🟡")</f>
        <v>🟡</v>
      </c>
      <c r="H154" s="277"/>
      <c r="I154" s="231"/>
      <c r="J154" s="231"/>
    </row>
    <row r="155" spans="1:10">
      <c r="A155" s="277" t="s">
        <v>5778</v>
      </c>
      <c r="B155" s="278" t="s">
        <v>1096</v>
      </c>
      <c r="C155" s="277"/>
      <c r="D155" s="277"/>
      <c r="E155" s="277"/>
      <c r="F155" s="277"/>
      <c r="G155" s="279" t="str">
        <f t="shared" si="2"/>
        <v>🟡</v>
      </c>
      <c r="H155" s="277"/>
      <c r="I155" s="231"/>
      <c r="J155" s="231"/>
    </row>
    <row r="156" spans="1:10">
      <c r="A156" s="277" t="s">
        <v>5779</v>
      </c>
      <c r="B156" s="278" t="s">
        <v>1096</v>
      </c>
      <c r="C156" s="277"/>
      <c r="D156" s="277"/>
      <c r="E156" s="277"/>
      <c r="F156" s="277"/>
      <c r="G156" s="279" t="str">
        <f t="shared" si="2"/>
        <v>🟡</v>
      </c>
      <c r="H156" s="277"/>
      <c r="I156" s="231"/>
      <c r="J156" s="231"/>
    </row>
    <row r="157" spans="1:10">
      <c r="A157" s="277" t="s">
        <v>5168</v>
      </c>
      <c r="B157" s="278" t="s">
        <v>1096</v>
      </c>
      <c r="C157" s="277"/>
      <c r="D157" s="277"/>
      <c r="E157" s="277"/>
      <c r="F157" s="277"/>
      <c r="G157" s="279" t="str">
        <f t="shared" si="2"/>
        <v>🟡</v>
      </c>
      <c r="H157" s="277"/>
      <c r="I157" s="231"/>
      <c r="J157" s="231"/>
    </row>
    <row r="158" spans="1:10">
      <c r="A158" s="277" t="s">
        <v>5780</v>
      </c>
      <c r="B158" s="278" t="s">
        <v>1096</v>
      </c>
      <c r="C158" s="277"/>
      <c r="D158" s="277"/>
      <c r="E158" s="277"/>
      <c r="F158" s="277"/>
      <c r="G158" s="279" t="str">
        <f t="shared" si="2"/>
        <v>🟡</v>
      </c>
      <c r="H158" s="277"/>
      <c r="I158" s="231"/>
      <c r="J158" s="231"/>
    </row>
    <row r="159" spans="1:10">
      <c r="A159" s="277" t="s">
        <v>5781</v>
      </c>
      <c r="B159" s="278" t="s">
        <v>1096</v>
      </c>
      <c r="C159" s="277"/>
      <c r="D159" s="277"/>
      <c r="E159" s="277"/>
      <c r="F159" s="277"/>
      <c r="G159" s="279" t="str">
        <f t="shared" si="2"/>
        <v>🟡</v>
      </c>
      <c r="H159" s="277"/>
      <c r="I159" s="231"/>
      <c r="J159" s="231"/>
    </row>
    <row r="160" spans="1:10">
      <c r="A160" s="277" t="s">
        <v>178</v>
      </c>
      <c r="B160" s="278" t="s">
        <v>1096</v>
      </c>
      <c r="C160" s="277"/>
      <c r="D160" s="277"/>
      <c r="E160" s="277"/>
      <c r="F160" s="277"/>
      <c r="G160" s="279" t="str">
        <f t="shared" si="2"/>
        <v>🟡</v>
      </c>
      <c r="H160" s="277"/>
      <c r="I160" s="231"/>
      <c r="J160" s="231"/>
    </row>
    <row r="161" spans="1:10" ht="26.4">
      <c r="A161" s="277" t="s">
        <v>5782</v>
      </c>
      <c r="B161" s="278" t="s">
        <v>1096</v>
      </c>
      <c r="C161" s="277"/>
      <c r="D161" s="277"/>
      <c r="E161" s="277"/>
      <c r="F161" s="277"/>
      <c r="G161" s="279" t="str">
        <f t="shared" si="2"/>
        <v>🟡</v>
      </c>
      <c r="H161" s="277"/>
      <c r="I161" s="231"/>
      <c r="J161" s="231"/>
    </row>
    <row r="162" spans="1:10">
      <c r="A162" s="324" t="s">
        <v>4946</v>
      </c>
      <c r="B162" s="324" t="s">
        <v>5790</v>
      </c>
      <c r="C162" s="196"/>
      <c r="D162" s="196"/>
      <c r="E162" s="324" t="s">
        <v>5791</v>
      </c>
      <c r="F162" s="196"/>
      <c r="G162" s="196"/>
      <c r="H162" s="196"/>
      <c r="I162" s="231"/>
      <c r="J162" s="231"/>
    </row>
    <row r="163" spans="1:10" ht="26.4">
      <c r="A163" s="291" t="s">
        <v>5777</v>
      </c>
      <c r="B163" s="768" t="s">
        <v>5792</v>
      </c>
      <c r="C163" s="768"/>
      <c r="D163" s="768"/>
      <c r="E163" s="768" t="s">
        <v>5793</v>
      </c>
      <c r="F163" s="768"/>
      <c r="G163" s="768"/>
      <c r="H163" s="196"/>
      <c r="I163" s="231"/>
      <c r="J163" s="231"/>
    </row>
    <row r="164" spans="1:10">
      <c r="A164" s="291" t="s">
        <v>5778</v>
      </c>
      <c r="B164" s="768" t="s">
        <v>5794</v>
      </c>
      <c r="C164" s="768"/>
      <c r="D164" s="768"/>
      <c r="E164" s="768" t="s">
        <v>5795</v>
      </c>
      <c r="F164" s="768"/>
      <c r="G164" s="768"/>
      <c r="H164" s="196"/>
      <c r="I164" s="231"/>
      <c r="J164" s="231"/>
    </row>
    <row r="165" spans="1:10">
      <c r="A165" s="291" t="s">
        <v>5779</v>
      </c>
      <c r="B165" s="768" t="s">
        <v>5796</v>
      </c>
      <c r="C165" s="768"/>
      <c r="D165" s="768"/>
      <c r="E165" s="768" t="s">
        <v>5797</v>
      </c>
      <c r="F165" s="768"/>
      <c r="G165" s="768"/>
      <c r="H165" s="196"/>
      <c r="I165" s="231"/>
      <c r="J165" s="231"/>
    </row>
    <row r="166" spans="1:10">
      <c r="A166" s="291" t="s">
        <v>5168</v>
      </c>
      <c r="B166" s="768" t="s">
        <v>5798</v>
      </c>
      <c r="C166" s="768"/>
      <c r="D166" s="768"/>
      <c r="E166" s="768" t="s">
        <v>5799</v>
      </c>
      <c r="F166" s="768"/>
      <c r="G166" s="768"/>
      <c r="H166" s="196"/>
      <c r="I166" s="231"/>
      <c r="J166" s="231"/>
    </row>
    <row r="167" spans="1:10">
      <c r="A167" s="291" t="s">
        <v>5780</v>
      </c>
      <c r="B167" s="768" t="s">
        <v>5800</v>
      </c>
      <c r="C167" s="768"/>
      <c r="D167" s="768"/>
      <c r="E167" s="768" t="s">
        <v>5801</v>
      </c>
      <c r="F167" s="768"/>
      <c r="G167" s="768"/>
      <c r="H167" s="196"/>
      <c r="I167" s="231"/>
      <c r="J167" s="231"/>
    </row>
    <row r="168" spans="1:10">
      <c r="A168" s="291" t="s">
        <v>5781</v>
      </c>
      <c r="B168" s="768" t="s">
        <v>5802</v>
      </c>
      <c r="C168" s="768"/>
      <c r="D168" s="768"/>
      <c r="E168" s="768" t="s">
        <v>5803</v>
      </c>
      <c r="F168" s="768"/>
      <c r="G168" s="768"/>
      <c r="H168" s="196"/>
      <c r="I168" s="231"/>
      <c r="J168" s="231"/>
    </row>
    <row r="169" spans="1:10">
      <c r="A169" s="291" t="s">
        <v>178</v>
      </c>
      <c r="B169" s="768" t="s">
        <v>5804</v>
      </c>
      <c r="C169" s="768"/>
      <c r="D169" s="768"/>
      <c r="E169" s="768" t="s">
        <v>5805</v>
      </c>
      <c r="F169" s="768"/>
      <c r="G169" s="768"/>
      <c r="H169" s="196"/>
      <c r="I169" s="231"/>
      <c r="J169" s="231"/>
    </row>
    <row r="170" spans="1:10" ht="26.4">
      <c r="A170" s="291" t="s">
        <v>5782</v>
      </c>
      <c r="B170" s="768" t="s">
        <v>5806</v>
      </c>
      <c r="C170" s="768"/>
      <c r="D170" s="768"/>
      <c r="E170" s="768" t="s">
        <v>5807</v>
      </c>
      <c r="F170" s="768"/>
      <c r="G170" s="768"/>
      <c r="H170" s="196"/>
      <c r="I170" s="231"/>
      <c r="J170" s="231"/>
    </row>
    <row r="171" spans="1:10">
      <c r="A171" s="276" t="s">
        <v>5783</v>
      </c>
      <c r="B171" s="280" t="str">
        <f>IF(COUNTIF(B154:B161,"No")=0,"🟢 PILOT COMPLETE / ACCEPTANCE READY","🟡 NOT COMPLETE — ACCEPTANCE GATES OPEN")</f>
        <v>🟡 NOT COMPLETE — ACCEPTANCE GATES OPEN</v>
      </c>
      <c r="C171" s="280"/>
      <c r="D171" s="280"/>
      <c r="E171" s="280"/>
      <c r="F171" s="280"/>
      <c r="G171" s="280"/>
      <c r="H171" s="280"/>
    </row>
    <row r="172" spans="1:10">
      <c r="A172" s="276" t="s">
        <v>5784</v>
      </c>
      <c r="B172" s="280">
        <f>COUNTIF(B154:B161,"No")</f>
        <v>8</v>
      </c>
      <c r="C172" s="280"/>
      <c r="D172" s="280"/>
      <c r="E172" s="280"/>
      <c r="F172" s="280"/>
      <c r="G172" s="280"/>
      <c r="H172" s="280"/>
    </row>
    <row r="173" spans="1:10">
      <c r="A173" s="276" t="s">
        <v>5785</v>
      </c>
      <c r="B173" s="280" t="str">
        <f>COUNTIF(B154:B161,"Yes")&amp;" / 8 Complete"</f>
        <v>0 / 8 Complete</v>
      </c>
      <c r="C173" s="280"/>
      <c r="D173" s="280"/>
      <c r="E173" s="280"/>
      <c r="F173" s="280"/>
      <c r="G173" s="280"/>
      <c r="H173" s="280"/>
    </row>
    <row r="174" spans="1:10" ht="93">
      <c r="A174" s="281" t="s">
        <v>5786</v>
      </c>
      <c r="B174" s="282" t="s">
        <v>5787</v>
      </c>
      <c r="C174" s="282"/>
      <c r="D174" s="282"/>
      <c r="E174" s="282"/>
      <c r="F174" s="282"/>
      <c r="G174" s="282"/>
      <c r="H174" s="282"/>
    </row>
    <row r="175" spans="1:10">
      <c r="A175" s="281"/>
      <c r="B175" s="282"/>
      <c r="C175" s="282"/>
      <c r="D175" s="282"/>
      <c r="E175" s="282"/>
      <c r="F175" s="282"/>
      <c r="G175" s="282"/>
      <c r="H175" s="282"/>
    </row>
    <row r="176" spans="1:10" ht="66.599999999999994">
      <c r="A176" s="281" t="s">
        <v>5788</v>
      </c>
      <c r="B176" s="282" t="s">
        <v>5789</v>
      </c>
      <c r="C176" s="282"/>
      <c r="D176" s="282"/>
      <c r="E176" s="282"/>
      <c r="F176" s="282"/>
      <c r="G176" s="282"/>
      <c r="H176" s="282"/>
    </row>
    <row r="177" spans="1:10">
      <c r="A177" s="842" t="s">
        <v>5901</v>
      </c>
      <c r="B177" s="842"/>
      <c r="C177" s="842"/>
      <c r="D177" s="842"/>
      <c r="E177" s="842"/>
      <c r="F177" s="842"/>
      <c r="G177" s="842"/>
      <c r="H177" s="842"/>
      <c r="I177" s="842"/>
      <c r="J177" s="842"/>
    </row>
    <row r="178" spans="1:10">
      <c r="A178" s="340" t="s">
        <v>5886</v>
      </c>
      <c r="B178" s="196"/>
      <c r="C178" s="196"/>
      <c r="D178" s="196"/>
      <c r="E178" s="196"/>
      <c r="F178" s="196"/>
      <c r="G178" s="196"/>
      <c r="H178" s="196"/>
      <c r="I178" s="196"/>
      <c r="J178" s="196"/>
    </row>
    <row r="179" spans="1:10">
      <c r="A179" s="196"/>
      <c r="B179" s="196"/>
      <c r="C179" s="196"/>
      <c r="D179" s="196"/>
      <c r="E179" s="196"/>
      <c r="F179" s="196"/>
      <c r="G179" s="196"/>
      <c r="H179" s="196"/>
      <c r="I179" s="196"/>
      <c r="J179" s="196"/>
    </row>
    <row r="180" spans="1:10">
      <c r="A180" s="196" t="s">
        <v>5887</v>
      </c>
      <c r="B180" s="196"/>
      <c r="C180" s="196"/>
      <c r="D180" s="196"/>
      <c r="E180" s="196"/>
      <c r="F180" s="196"/>
      <c r="G180" s="196"/>
      <c r="H180" s="196"/>
      <c r="I180" s="196"/>
      <c r="J180" s="196"/>
    </row>
    <row r="181" spans="1:10">
      <c r="A181" s="196"/>
      <c r="B181" s="196"/>
      <c r="C181" s="196"/>
      <c r="D181" s="196"/>
      <c r="E181" s="196"/>
      <c r="F181" s="196"/>
      <c r="G181" s="196"/>
      <c r="H181" s="196"/>
      <c r="I181" s="196"/>
      <c r="J181" s="196"/>
    </row>
    <row r="182" spans="1:10">
      <c r="A182" s="196" t="s">
        <v>5888</v>
      </c>
      <c r="B182" s="196"/>
      <c r="C182" s="196"/>
      <c r="D182" s="196"/>
      <c r="E182" s="196"/>
      <c r="F182" s="196"/>
      <c r="G182" s="196"/>
      <c r="H182" s="196"/>
      <c r="I182" s="196"/>
      <c r="J182" s="196"/>
    </row>
    <row r="183" spans="1:10">
      <c r="A183" s="196"/>
      <c r="B183" s="196"/>
      <c r="C183" s="196"/>
      <c r="D183" s="196"/>
      <c r="E183" s="196"/>
      <c r="F183" s="196"/>
      <c r="G183" s="196"/>
      <c r="H183" s="196"/>
      <c r="I183" s="196"/>
      <c r="J183" s="196"/>
    </row>
    <row r="184" spans="1:10">
      <c r="A184" s="196" t="s">
        <v>5889</v>
      </c>
      <c r="B184" s="196"/>
      <c r="C184" s="196"/>
      <c r="D184" s="196"/>
      <c r="E184" s="196"/>
      <c r="F184" s="196"/>
      <c r="G184" s="196"/>
      <c r="H184" s="196"/>
      <c r="I184" s="196"/>
      <c r="J184" s="196"/>
    </row>
    <row r="185" spans="1:10">
      <c r="A185" s="196"/>
      <c r="B185" s="196"/>
      <c r="C185" s="196"/>
      <c r="D185" s="196"/>
      <c r="E185" s="196"/>
      <c r="F185" s="196"/>
      <c r="G185" s="196"/>
      <c r="H185" s="196"/>
      <c r="I185" s="196"/>
      <c r="J185" s="196"/>
    </row>
    <row r="186" spans="1:10">
      <c r="A186" s="196"/>
      <c r="B186" s="196"/>
      <c r="C186" s="196"/>
      <c r="D186" s="196"/>
      <c r="E186" s="196"/>
      <c r="F186" s="196"/>
      <c r="G186" s="196"/>
      <c r="H186" s="196"/>
      <c r="I186" s="196"/>
      <c r="J186" s="196"/>
    </row>
    <row r="187" spans="1:10">
      <c r="A187" s="196"/>
      <c r="B187" s="196"/>
      <c r="C187" s="196"/>
      <c r="D187" s="196"/>
      <c r="E187" s="196"/>
      <c r="F187" s="196"/>
      <c r="G187" s="196"/>
      <c r="H187" s="196"/>
      <c r="I187" s="196"/>
      <c r="J187" s="196"/>
    </row>
    <row r="188" spans="1:10">
      <c r="A188" s="842" t="s">
        <v>5902</v>
      </c>
      <c r="B188" s="842"/>
      <c r="C188" s="842"/>
      <c r="D188" s="842"/>
      <c r="E188" s="842"/>
      <c r="F188" s="842"/>
      <c r="G188" s="842"/>
      <c r="H188" s="842"/>
      <c r="I188" s="842"/>
      <c r="J188" s="842"/>
    </row>
    <row r="189" spans="1:10">
      <c r="A189" s="196"/>
      <c r="B189" s="196"/>
      <c r="C189" s="196"/>
      <c r="D189" s="196"/>
      <c r="E189" s="196"/>
      <c r="F189" s="196"/>
      <c r="G189" s="196"/>
      <c r="H189" s="196"/>
      <c r="I189" s="196"/>
      <c r="J189" s="196"/>
    </row>
    <row r="190" spans="1:10">
      <c r="A190" s="196" t="s">
        <v>5890</v>
      </c>
      <c r="B190" s="196"/>
      <c r="C190" s="196"/>
      <c r="D190" s="196"/>
      <c r="E190" s="196"/>
      <c r="F190" s="196"/>
      <c r="G190" s="196"/>
      <c r="H190" s="196"/>
      <c r="I190" s="196"/>
      <c r="J190" s="196"/>
    </row>
    <row r="191" spans="1:10">
      <c r="A191" s="196"/>
      <c r="B191" s="196"/>
      <c r="C191" s="196"/>
      <c r="D191" s="196"/>
      <c r="E191" s="196"/>
      <c r="F191" s="196"/>
      <c r="G191" s="196"/>
      <c r="H191" s="196"/>
      <c r="I191" s="196"/>
      <c r="J191" s="196"/>
    </row>
    <row r="192" spans="1:10">
      <c r="A192" s="196" t="s">
        <v>5891</v>
      </c>
      <c r="B192" s="196"/>
      <c r="C192" s="196"/>
      <c r="D192" s="196"/>
      <c r="E192" s="196"/>
      <c r="F192" s="196"/>
      <c r="G192" s="196"/>
      <c r="H192" s="196"/>
      <c r="I192" s="196"/>
      <c r="J192" s="196"/>
    </row>
    <row r="193" spans="1:10">
      <c r="A193" s="196"/>
      <c r="B193" s="196"/>
      <c r="C193" s="196"/>
      <c r="D193" s="196"/>
      <c r="E193" s="196"/>
      <c r="F193" s="196"/>
      <c r="G193" s="196"/>
      <c r="H193" s="196"/>
      <c r="I193" s="196"/>
      <c r="J193" s="196"/>
    </row>
    <row r="194" spans="1:10">
      <c r="A194" s="196" t="s">
        <v>5892</v>
      </c>
      <c r="B194" s="196"/>
      <c r="C194" s="196"/>
      <c r="D194" s="196"/>
      <c r="E194" s="196"/>
      <c r="F194" s="196"/>
      <c r="G194" s="196"/>
      <c r="H194" s="196"/>
      <c r="I194" s="196"/>
      <c r="J194" s="196"/>
    </row>
    <row r="195" spans="1:10">
      <c r="A195" s="196"/>
      <c r="B195" s="196"/>
      <c r="C195" s="196"/>
      <c r="D195" s="196"/>
      <c r="E195" s="196"/>
      <c r="F195" s="196"/>
      <c r="G195" s="196"/>
      <c r="H195" s="196"/>
      <c r="I195" s="196"/>
      <c r="J195" s="196"/>
    </row>
    <row r="196" spans="1:10">
      <c r="A196" s="196"/>
      <c r="B196" s="196"/>
      <c r="C196" s="196"/>
      <c r="D196" s="196"/>
      <c r="E196" s="196"/>
      <c r="F196" s="196"/>
      <c r="G196" s="196"/>
      <c r="H196" s="196"/>
      <c r="I196" s="196"/>
      <c r="J196" s="196"/>
    </row>
    <row r="197" spans="1:10">
      <c r="A197" s="196"/>
      <c r="B197" s="196"/>
      <c r="C197" s="196"/>
      <c r="D197" s="196"/>
      <c r="E197" s="196"/>
      <c r="F197" s="196"/>
      <c r="G197" s="196"/>
      <c r="H197" s="196"/>
      <c r="I197" s="196"/>
      <c r="J197" s="196"/>
    </row>
    <row r="198" spans="1:10">
      <c r="A198" s="842" t="s">
        <v>5903</v>
      </c>
      <c r="B198" s="842"/>
      <c r="C198" s="842"/>
      <c r="D198" s="842"/>
      <c r="E198" s="842"/>
      <c r="F198" s="842"/>
      <c r="G198" s="842"/>
      <c r="H198" s="842"/>
      <c r="I198" s="842"/>
      <c r="J198" s="842"/>
    </row>
    <row r="199" spans="1:10">
      <c r="A199" s="196"/>
      <c r="B199" s="196"/>
      <c r="C199" s="196"/>
      <c r="D199" s="196"/>
      <c r="E199" s="196"/>
      <c r="F199" s="196"/>
      <c r="G199" s="196"/>
      <c r="H199" s="196"/>
      <c r="I199" s="196"/>
      <c r="J199" s="196"/>
    </row>
    <row r="200" spans="1:10">
      <c r="A200" s="196" t="s">
        <v>5893</v>
      </c>
      <c r="B200" s="196"/>
      <c r="C200" s="196"/>
      <c r="D200" s="196"/>
      <c r="E200" s="196"/>
      <c r="F200" s="196"/>
      <c r="G200" s="196"/>
      <c r="H200" s="196"/>
      <c r="I200" s="196"/>
      <c r="J200" s="196"/>
    </row>
    <row r="201" spans="1:10">
      <c r="A201" s="196"/>
      <c r="B201" s="196"/>
      <c r="C201" s="196"/>
      <c r="D201" s="196"/>
      <c r="E201" s="196"/>
      <c r="F201" s="196"/>
      <c r="G201" s="196"/>
      <c r="H201" s="196"/>
      <c r="I201" s="196"/>
      <c r="J201" s="196"/>
    </row>
    <row r="202" spans="1:10">
      <c r="A202" s="196" t="s">
        <v>5894</v>
      </c>
      <c r="B202" s="196"/>
      <c r="C202" s="196"/>
      <c r="D202" s="196"/>
      <c r="E202" s="196"/>
      <c r="F202" s="196"/>
      <c r="G202" s="196"/>
      <c r="H202" s="196"/>
      <c r="I202" s="196"/>
      <c r="J202" s="196"/>
    </row>
    <row r="203" spans="1:10">
      <c r="A203" s="196"/>
      <c r="B203" s="196"/>
      <c r="C203" s="196"/>
      <c r="D203" s="196"/>
      <c r="E203" s="196"/>
      <c r="F203" s="196"/>
      <c r="G203" s="196"/>
      <c r="H203" s="196"/>
      <c r="I203" s="196"/>
      <c r="J203" s="196"/>
    </row>
    <row r="204" spans="1:10">
      <c r="A204" s="196" t="s">
        <v>5895</v>
      </c>
      <c r="B204" s="196"/>
      <c r="C204" s="196"/>
      <c r="D204" s="196"/>
      <c r="E204" s="196"/>
      <c r="F204" s="196"/>
      <c r="G204" s="196"/>
      <c r="H204" s="196"/>
      <c r="I204" s="196"/>
      <c r="J204" s="196"/>
    </row>
    <row r="205" spans="1:10">
      <c r="A205" s="196"/>
      <c r="B205" s="196"/>
      <c r="C205" s="196"/>
      <c r="D205" s="196"/>
      <c r="E205" s="196"/>
      <c r="F205" s="196"/>
      <c r="G205" s="196"/>
      <c r="H205" s="196"/>
      <c r="I205" s="196"/>
      <c r="J205" s="196"/>
    </row>
    <row r="206" spans="1:10">
      <c r="A206" s="196" t="s">
        <v>5896</v>
      </c>
      <c r="B206" s="196"/>
      <c r="C206" s="196"/>
      <c r="D206" s="196"/>
      <c r="E206" s="196"/>
      <c r="F206" s="196"/>
      <c r="G206" s="196"/>
      <c r="H206" s="196"/>
      <c r="I206" s="196"/>
      <c r="J206" s="196"/>
    </row>
    <row r="207" spans="1:10">
      <c r="A207" s="196"/>
      <c r="B207" s="196"/>
      <c r="C207" s="196"/>
      <c r="D207" s="196"/>
      <c r="E207" s="196"/>
      <c r="F207" s="196"/>
      <c r="G207" s="196"/>
      <c r="H207" s="196"/>
      <c r="I207" s="196"/>
      <c r="J207" s="196"/>
    </row>
    <row r="208" spans="1:10">
      <c r="A208" s="196"/>
      <c r="B208" s="196"/>
      <c r="C208" s="196"/>
      <c r="D208" s="196"/>
      <c r="E208" s="196"/>
      <c r="F208" s="196"/>
      <c r="G208" s="196"/>
      <c r="H208" s="196"/>
      <c r="I208" s="196"/>
      <c r="J208" s="196"/>
    </row>
    <row r="209" spans="1:10">
      <c r="A209" s="196"/>
      <c r="B209" s="196"/>
      <c r="C209" s="196"/>
      <c r="D209" s="196"/>
      <c r="E209" s="196"/>
      <c r="F209" s="196"/>
      <c r="G209" s="196"/>
      <c r="H209" s="196"/>
      <c r="I209" s="196"/>
      <c r="J209" s="196"/>
    </row>
    <row r="210" spans="1:10">
      <c r="A210" s="842" t="s">
        <v>5904</v>
      </c>
      <c r="B210" s="842"/>
      <c r="C210" s="842"/>
      <c r="D210" s="842"/>
      <c r="E210" s="842"/>
      <c r="F210" s="842"/>
      <c r="G210" s="842"/>
      <c r="H210" s="842"/>
      <c r="I210" s="842"/>
      <c r="J210" s="842"/>
    </row>
    <row r="211" spans="1:10">
      <c r="A211" s="196"/>
      <c r="B211" s="196"/>
      <c r="C211" s="196"/>
      <c r="D211" s="196"/>
      <c r="E211" s="196"/>
      <c r="F211" s="196"/>
      <c r="G211" s="196"/>
      <c r="H211" s="196"/>
      <c r="I211" s="196"/>
      <c r="J211" s="196"/>
    </row>
    <row r="212" spans="1:10">
      <c r="A212" s="196" t="s">
        <v>5897</v>
      </c>
      <c r="B212" s="196"/>
      <c r="C212" s="196"/>
      <c r="D212" s="196"/>
      <c r="E212" s="196"/>
      <c r="F212" s="196"/>
      <c r="G212" s="196"/>
      <c r="H212" s="196"/>
      <c r="I212" s="196"/>
      <c r="J212" s="196"/>
    </row>
    <row r="213" spans="1:10">
      <c r="A213" s="196"/>
      <c r="B213" s="196"/>
      <c r="C213" s="196"/>
      <c r="D213" s="196"/>
      <c r="E213" s="196"/>
      <c r="F213" s="196"/>
      <c r="G213" s="196"/>
      <c r="H213" s="196"/>
      <c r="I213" s="196"/>
      <c r="J213" s="196"/>
    </row>
    <row r="214" spans="1:10">
      <c r="A214" s="196" t="s">
        <v>5898</v>
      </c>
      <c r="B214" s="196"/>
      <c r="C214" s="196"/>
      <c r="D214" s="196"/>
      <c r="E214" s="196"/>
      <c r="F214" s="196"/>
      <c r="G214" s="196"/>
      <c r="H214" s="196"/>
      <c r="I214" s="196"/>
      <c r="J214" s="196"/>
    </row>
    <row r="215" spans="1:10">
      <c r="A215" s="196"/>
      <c r="B215" s="196"/>
      <c r="C215" s="196"/>
      <c r="D215" s="196"/>
      <c r="E215" s="196"/>
      <c r="F215" s="196"/>
      <c r="G215" s="196"/>
      <c r="H215" s="196"/>
      <c r="I215" s="196"/>
      <c r="J215" s="196"/>
    </row>
    <row r="216" spans="1:10">
      <c r="A216" s="196" t="s">
        <v>5899</v>
      </c>
      <c r="B216" s="196"/>
      <c r="C216" s="196"/>
      <c r="D216" s="196"/>
      <c r="E216" s="196"/>
      <c r="F216" s="196"/>
      <c r="G216" s="196"/>
      <c r="H216" s="196"/>
      <c r="I216" s="196"/>
      <c r="J216" s="196"/>
    </row>
    <row r="217" spans="1:10">
      <c r="A217" s="196"/>
      <c r="B217" s="196"/>
      <c r="C217" s="196"/>
      <c r="D217" s="196"/>
      <c r="E217" s="196"/>
      <c r="F217" s="196"/>
      <c r="G217" s="196"/>
      <c r="H217" s="196"/>
      <c r="I217" s="196"/>
      <c r="J217" s="196"/>
    </row>
    <row r="218" spans="1:10">
      <c r="A218" s="196"/>
      <c r="B218" s="196"/>
      <c r="C218" s="196"/>
      <c r="D218" s="196"/>
      <c r="E218" s="196"/>
      <c r="F218" s="196"/>
      <c r="G218" s="196"/>
      <c r="H218" s="196"/>
      <c r="I218" s="196"/>
      <c r="J218" s="196"/>
    </row>
    <row r="219" spans="1:10">
      <c r="A219" s="196"/>
      <c r="B219" s="196"/>
      <c r="C219" s="196"/>
      <c r="D219" s="196"/>
      <c r="E219" s="196"/>
      <c r="F219" s="196"/>
      <c r="G219" s="196"/>
      <c r="H219" s="196"/>
      <c r="I219" s="196"/>
      <c r="J219" s="196"/>
    </row>
    <row r="220" spans="1:10">
      <c r="A220" s="196" t="s">
        <v>5900</v>
      </c>
      <c r="B220" s="196"/>
      <c r="C220" s="196"/>
      <c r="D220" s="196"/>
      <c r="E220" s="196"/>
      <c r="F220" s="196"/>
      <c r="G220" s="196"/>
      <c r="H220" s="196"/>
      <c r="I220" s="196"/>
      <c r="J220" s="196"/>
    </row>
    <row r="221" spans="1:10">
      <c r="A221" s="196"/>
      <c r="B221" s="196"/>
      <c r="C221" s="196"/>
      <c r="D221" s="196"/>
      <c r="E221" s="196"/>
      <c r="F221" s="196"/>
      <c r="G221" s="196"/>
      <c r="H221" s="196"/>
      <c r="I221" s="196"/>
      <c r="J221" s="196"/>
    </row>
    <row r="222" spans="1:10">
      <c r="A222" s="341"/>
      <c r="B222" s="341"/>
      <c r="C222" s="341"/>
      <c r="D222" s="341"/>
      <c r="E222" s="341"/>
      <c r="F222" s="341"/>
      <c r="G222" s="341"/>
      <c r="H222" s="341"/>
      <c r="I222" s="341"/>
      <c r="J222" s="341"/>
    </row>
    <row r="223" spans="1:10">
      <c r="A223" s="341"/>
      <c r="B223" s="341"/>
      <c r="C223" s="341"/>
      <c r="D223" s="341"/>
      <c r="E223" s="341"/>
      <c r="F223" s="341"/>
      <c r="G223" s="341"/>
      <c r="H223" s="341"/>
      <c r="I223" s="341"/>
      <c r="J223" s="341"/>
    </row>
    <row r="224" spans="1:10">
      <c r="A224" s="341"/>
      <c r="B224" s="341"/>
      <c r="C224" s="341"/>
      <c r="D224" s="341"/>
      <c r="E224" s="341"/>
      <c r="F224" s="341"/>
      <c r="G224" s="341"/>
      <c r="H224" s="341"/>
      <c r="I224" s="341"/>
      <c r="J224" s="341"/>
    </row>
    <row r="225" spans="1:10">
      <c r="A225" s="341"/>
      <c r="B225" s="341"/>
      <c r="C225" s="341"/>
      <c r="D225" s="341"/>
      <c r="E225" s="341"/>
      <c r="F225" s="341"/>
      <c r="G225" s="341"/>
      <c r="H225" s="341"/>
      <c r="I225" s="341"/>
      <c r="J225" s="341"/>
    </row>
    <row r="226" spans="1:10">
      <c r="A226" s="341"/>
      <c r="B226" s="341"/>
      <c r="C226" s="341"/>
      <c r="D226" s="341"/>
      <c r="E226" s="341"/>
      <c r="F226" s="341"/>
      <c r="G226" s="341"/>
      <c r="H226" s="341"/>
      <c r="I226" s="341"/>
      <c r="J226" s="341"/>
    </row>
    <row r="227" spans="1:10">
      <c r="A227" s="341"/>
      <c r="B227" s="341"/>
      <c r="C227" s="341"/>
      <c r="D227" s="341"/>
      <c r="E227" s="341"/>
      <c r="F227" s="341"/>
      <c r="G227" s="341"/>
      <c r="H227" s="341"/>
      <c r="I227" s="341"/>
      <c r="J227" s="341"/>
    </row>
    <row r="228" spans="1:10">
      <c r="A228" s="341"/>
      <c r="B228" s="341"/>
      <c r="C228" s="341"/>
      <c r="D228" s="341"/>
      <c r="E228" s="341"/>
      <c r="F228" s="341"/>
      <c r="G228" s="341"/>
      <c r="H228" s="341"/>
      <c r="I228" s="341"/>
      <c r="J228" s="341"/>
    </row>
    <row r="229" spans="1:10">
      <c r="A229" s="341"/>
      <c r="B229" s="341"/>
      <c r="C229" s="341"/>
      <c r="D229" s="341"/>
      <c r="E229" s="341"/>
      <c r="F229" s="341"/>
      <c r="G229" s="341"/>
      <c r="H229" s="341"/>
      <c r="I229" s="341"/>
      <c r="J229" s="341"/>
    </row>
    <row r="230" spans="1:10">
      <c r="A230" s="341"/>
      <c r="B230" s="341"/>
      <c r="C230" s="341"/>
      <c r="D230" s="341"/>
      <c r="E230" s="341"/>
      <c r="F230" s="341"/>
      <c r="G230" s="341"/>
      <c r="H230" s="341"/>
      <c r="I230" s="341"/>
      <c r="J230" s="341"/>
    </row>
    <row r="231" spans="1:10">
      <c r="A231" s="196"/>
      <c r="B231" s="196"/>
      <c r="C231" s="196"/>
      <c r="D231" s="196"/>
      <c r="E231" s="196"/>
      <c r="F231" s="196"/>
      <c r="G231" s="196"/>
      <c r="H231" s="196"/>
      <c r="I231" s="196"/>
      <c r="J231" s="196"/>
    </row>
    <row r="232" spans="1:10">
      <c r="A232" s="320"/>
      <c r="B232" s="320"/>
      <c r="C232" s="320"/>
      <c r="D232" s="320"/>
      <c r="E232" s="320"/>
      <c r="F232" s="320"/>
      <c r="G232" s="874"/>
      <c r="H232" s="874"/>
      <c r="I232" s="874"/>
      <c r="J232" s="874"/>
    </row>
  </sheetData>
  <mergeCells count="112">
    <mergeCell ref="A1:J1"/>
    <mergeCell ref="D6:J6"/>
    <mergeCell ref="A18:C18"/>
    <mergeCell ref="A65:C65"/>
    <mergeCell ref="A43:C43"/>
    <mergeCell ref="A38:C38"/>
    <mergeCell ref="A54:C54"/>
    <mergeCell ref="A28:C28"/>
    <mergeCell ref="A13:C13"/>
    <mergeCell ref="A33:C33"/>
    <mergeCell ref="A23:C23"/>
    <mergeCell ref="A8:C8"/>
    <mergeCell ref="G94:J94"/>
    <mergeCell ref="G96:J96"/>
    <mergeCell ref="A98:B98"/>
    <mergeCell ref="E98:J98"/>
    <mergeCell ref="A100:C100"/>
    <mergeCell ref="D100:F100"/>
    <mergeCell ref="G100:J100"/>
    <mergeCell ref="A91:C91"/>
    <mergeCell ref="D91:F91"/>
    <mergeCell ref="G91:J91"/>
    <mergeCell ref="G92:J92"/>
    <mergeCell ref="G93:J93"/>
    <mergeCell ref="F106:J106"/>
    <mergeCell ref="F107:J107"/>
    <mergeCell ref="F108:J108"/>
    <mergeCell ref="F109:J109"/>
    <mergeCell ref="A110:B110"/>
    <mergeCell ref="C110:D110"/>
    <mergeCell ref="E110:J110"/>
    <mergeCell ref="G101:J101"/>
    <mergeCell ref="F102:J102"/>
    <mergeCell ref="F103:J103"/>
    <mergeCell ref="F104:J104"/>
    <mergeCell ref="F105:J105"/>
    <mergeCell ref="G115:J115"/>
    <mergeCell ref="G116:J116"/>
    <mergeCell ref="G117:J117"/>
    <mergeCell ref="G118:J118"/>
    <mergeCell ref="A119:B119"/>
    <mergeCell ref="C119:D119"/>
    <mergeCell ref="E119:J119"/>
    <mergeCell ref="A112:C112"/>
    <mergeCell ref="D112:F112"/>
    <mergeCell ref="G112:J112"/>
    <mergeCell ref="G113:J113"/>
    <mergeCell ref="G114:J114"/>
    <mergeCell ref="G123:J123"/>
    <mergeCell ref="G124:J124"/>
    <mergeCell ref="G125:J125"/>
    <mergeCell ref="G126:J126"/>
    <mergeCell ref="A127:D128"/>
    <mergeCell ref="E127:J128"/>
    <mergeCell ref="G120:J120"/>
    <mergeCell ref="A121:C121"/>
    <mergeCell ref="D121:F121"/>
    <mergeCell ref="G121:J121"/>
    <mergeCell ref="G122:J122"/>
    <mergeCell ref="G132:J132"/>
    <mergeCell ref="G133:J133"/>
    <mergeCell ref="G134:J134"/>
    <mergeCell ref="G135:J135"/>
    <mergeCell ref="G136:J136"/>
    <mergeCell ref="A129:C129"/>
    <mergeCell ref="D129:F129"/>
    <mergeCell ref="G129:J129"/>
    <mergeCell ref="G130:J130"/>
    <mergeCell ref="G131:J131"/>
    <mergeCell ref="B142:J142"/>
    <mergeCell ref="B143:J143"/>
    <mergeCell ref="B144:J144"/>
    <mergeCell ref="B145:J145"/>
    <mergeCell ref="B146:J146"/>
    <mergeCell ref="A137:B137"/>
    <mergeCell ref="C137:D137"/>
    <mergeCell ref="E137:J137"/>
    <mergeCell ref="A139:C139"/>
    <mergeCell ref="B141:J141"/>
    <mergeCell ref="B164:D164"/>
    <mergeCell ref="E164:G164"/>
    <mergeCell ref="B165:D165"/>
    <mergeCell ref="E165:G165"/>
    <mergeCell ref="B166:D166"/>
    <mergeCell ref="E166:G166"/>
    <mergeCell ref="B147:J147"/>
    <mergeCell ref="A149:H149"/>
    <mergeCell ref="B150:H150"/>
    <mergeCell ref="B151:H151"/>
    <mergeCell ref="B163:D163"/>
    <mergeCell ref="E163:G163"/>
    <mergeCell ref="B170:D170"/>
    <mergeCell ref="E170:G170"/>
    <mergeCell ref="A177:C177"/>
    <mergeCell ref="D177:F177"/>
    <mergeCell ref="G177:J177"/>
    <mergeCell ref="B167:D167"/>
    <mergeCell ref="E167:G167"/>
    <mergeCell ref="B168:D168"/>
    <mergeCell ref="E168:G168"/>
    <mergeCell ref="B169:D169"/>
    <mergeCell ref="E169:G169"/>
    <mergeCell ref="A210:C210"/>
    <mergeCell ref="D210:F210"/>
    <mergeCell ref="G210:J210"/>
    <mergeCell ref="G232:J232"/>
    <mergeCell ref="A188:C188"/>
    <mergeCell ref="D188:F188"/>
    <mergeCell ref="G188:J188"/>
    <mergeCell ref="A198:C198"/>
    <mergeCell ref="D198:F198"/>
    <mergeCell ref="G198:J198"/>
  </mergeCells>
  <conditionalFormatting sqref="B93:B97">
    <cfRule type="expression" dxfId="898" priority="21">
      <formula>B93="Complete"</formula>
    </cfRule>
    <cfRule type="expression" dxfId="897" priority="22">
      <formula>B93="In Progress"</formula>
    </cfRule>
    <cfRule type="expression" dxfId="896" priority="23">
      <formula>B93="At Risk"</formula>
    </cfRule>
    <cfRule type="expression" dxfId="895" priority="24">
      <formula>B93="Blocked"</formula>
    </cfRule>
    <cfRule type="expression" dxfId="894" priority="25">
      <formula>B93="Not Started"</formula>
    </cfRule>
  </conditionalFormatting>
  <conditionalFormatting sqref="B102:B109">
    <cfRule type="expression" dxfId="893" priority="1">
      <formula>B102="Complete"</formula>
    </cfRule>
    <cfRule type="expression" dxfId="892" priority="2">
      <formula>B102="In Progress"</formula>
    </cfRule>
    <cfRule type="expression" dxfId="891" priority="3">
      <formula>B102="At Risk"</formula>
    </cfRule>
    <cfRule type="expression" dxfId="890" priority="4">
      <formula>B102="Blocked"</formula>
    </cfRule>
    <cfRule type="expression" dxfId="889" priority="5">
      <formula>B102="Not Started"</formula>
    </cfRule>
  </conditionalFormatting>
  <conditionalFormatting sqref="B114:B118">
    <cfRule type="expression" dxfId="888" priority="26">
      <formula>B114="Complete"</formula>
    </cfRule>
    <cfRule type="expression" dxfId="887" priority="27">
      <formula>B114="In Progress"</formula>
    </cfRule>
    <cfRule type="expression" dxfId="886" priority="28">
      <formula>B114="At Risk"</formula>
    </cfRule>
    <cfRule type="expression" dxfId="885" priority="29">
      <formula>B114="Blocked"</formula>
    </cfRule>
    <cfRule type="expression" dxfId="884" priority="30">
      <formula>B114="Not Started"</formula>
    </cfRule>
  </conditionalFormatting>
  <conditionalFormatting sqref="B123:B126">
    <cfRule type="expression" dxfId="883" priority="6">
      <formula>B123="Complete"</formula>
    </cfRule>
    <cfRule type="expression" dxfId="882" priority="7">
      <formula>B123="In Progress"</formula>
    </cfRule>
    <cfRule type="expression" dxfId="881" priority="8">
      <formula>B123="At Risk"</formula>
    </cfRule>
    <cfRule type="expression" dxfId="880" priority="9">
      <formula>B123="Blocked"</formula>
    </cfRule>
    <cfRule type="expression" dxfId="879" priority="10">
      <formula>B123="Not Started"</formula>
    </cfRule>
  </conditionalFormatting>
  <conditionalFormatting sqref="B131:B136">
    <cfRule type="expression" dxfId="878" priority="11">
      <formula>B131="Complete"</formula>
    </cfRule>
    <cfRule type="expression" dxfId="877" priority="12">
      <formula>B131="In Progress"</formula>
    </cfRule>
    <cfRule type="expression" dxfId="876" priority="13">
      <formula>B131="At Risk"</formula>
    </cfRule>
    <cfRule type="expression" dxfId="875" priority="14">
      <formula>B131="Blocked"</formula>
    </cfRule>
    <cfRule type="expression" dxfId="874" priority="15">
      <formula>B131="Not Started"</formula>
    </cfRule>
  </conditionalFormatting>
  <conditionalFormatting sqref="B154:B161">
    <cfRule type="expression" dxfId="873" priority="82">
      <formula>B154="Yes"</formula>
    </cfRule>
    <cfRule type="expression" dxfId="872" priority="83">
      <formula>B154="N/A"</formula>
    </cfRule>
    <cfRule type="expression" dxfId="871" priority="84">
      <formula>B154="No"</formula>
    </cfRule>
  </conditionalFormatting>
  <conditionalFormatting sqref="B171:H171">
    <cfRule type="expression" dxfId="870" priority="85">
      <formula>COUNTIF($B$6:$B$13,"No")=0</formula>
    </cfRule>
    <cfRule type="expression" dxfId="869" priority="86">
      <formula>COUNTIF($B$6:$B$13,"No")&gt;0</formula>
    </cfRule>
  </conditionalFormatting>
  <conditionalFormatting sqref="C98:D98">
    <cfRule type="dataBar" priority="37">
      <dataBar>
        <cfvo type="num" val="0"/>
        <cfvo type="num" val="1"/>
        <color rgb="FF5B9BD5"/>
      </dataBar>
    </cfRule>
  </conditionalFormatting>
  <conditionalFormatting sqref="C102:D109">
    <cfRule type="expression" dxfId="868" priority="31">
      <formula>C102="Yes"</formula>
    </cfRule>
    <cfRule type="expression" dxfId="867" priority="32">
      <formula>C102="No"</formula>
    </cfRule>
    <cfRule type="expression" dxfId="866" priority="33">
      <formula>C102="N/A"</formula>
    </cfRule>
  </conditionalFormatting>
  <conditionalFormatting sqref="C110:D110">
    <cfRule type="dataBar" priority="38">
      <dataBar>
        <cfvo type="num" val="0"/>
        <cfvo type="num" val="1"/>
        <color rgb="FF5B9BD5"/>
      </dataBar>
    </cfRule>
  </conditionalFormatting>
  <conditionalFormatting sqref="C119:D119">
    <cfRule type="dataBar" priority="39">
      <dataBar>
        <cfvo type="num" val="0"/>
        <cfvo type="num" val="1"/>
        <color rgb="FF5B9BD5"/>
      </dataBar>
    </cfRule>
  </conditionalFormatting>
  <conditionalFormatting sqref="C131:D136">
    <cfRule type="expression" dxfId="865" priority="16">
      <formula>C131="Yes"</formula>
    </cfRule>
    <cfRule type="expression" dxfId="864" priority="17">
      <formula>C131="No"</formula>
    </cfRule>
    <cfRule type="expression" dxfId="863" priority="18">
      <formula>C131="N/A"</formula>
    </cfRule>
  </conditionalFormatting>
  <conditionalFormatting sqref="C137:D137">
    <cfRule type="dataBar" priority="20">
      <dataBar>
        <cfvo type="num" val="0"/>
        <cfvo type="num" val="1"/>
        <color rgb="FF5B9BD5"/>
      </dataBar>
    </cfRule>
  </conditionalFormatting>
  <conditionalFormatting sqref="E5 G5 I5">
    <cfRule type="expression" dxfId="862" priority="87">
      <formula>E5="Pass"</formula>
    </cfRule>
    <cfRule type="expression" dxfId="861" priority="88">
      <formula>E5="Verify"</formula>
    </cfRule>
    <cfRule type="expression" dxfId="860" priority="89">
      <formula>E5="Fail"</formula>
    </cfRule>
    <cfRule type="expression" dxfId="859" priority="90">
      <formula>E5="Not Started"</formula>
    </cfRule>
  </conditionalFormatting>
  <conditionalFormatting sqref="F3">
    <cfRule type="expression" dxfId="858" priority="91">
      <formula>F3="Yes"</formula>
    </cfRule>
    <cfRule type="expression" dxfId="857" priority="92">
      <formula>F3="No"</formula>
    </cfRule>
  </conditionalFormatting>
  <conditionalFormatting sqref="F114:F118">
    <cfRule type="expression" dxfId="856" priority="34">
      <formula>F114="Pass"</formula>
    </cfRule>
    <cfRule type="expression" dxfId="855" priority="35">
      <formula>F114="Fail"</formula>
    </cfRule>
    <cfRule type="expression" dxfId="854" priority="36">
      <formula>F114="Pending"</formula>
    </cfRule>
  </conditionalFormatting>
  <conditionalFormatting sqref="F123:F126">
    <cfRule type="dataBar" priority="19">
      <dataBar>
        <cfvo type="num" val="0"/>
        <cfvo type="num" val="1"/>
        <color rgb="FF5B9BD5"/>
      </dataBar>
    </cfRule>
  </conditionalFormatting>
  <dataValidations count="5">
    <dataValidation type="list" sqref="B5:B6 D5 F5 H5 H10:H16 H139:I140 I16 J5 H142:I147 D56:D63 H17:I88" xr:uid="{00000000-0002-0000-2F00-000000000000}">
      <formula1>"Not Started,Verify,Pass,Fail,N/A,Open,Closed,Partial / Yellow"</formula1>
      <formula2>0</formula2>
    </dataValidation>
    <dataValidation type="list" allowBlank="1" sqref="F114:F118" xr:uid="{4641AA07-82D9-4B63-A5CC-ADAFB7134DF2}">
      <formula1>"Pending,Pass,Fail,N/A"</formula1>
    </dataValidation>
    <dataValidation type="list" allowBlank="1" sqref="C102:D109 C131:D136" xr:uid="{181B8244-8225-4AEF-A116-6BA831F955D0}">
      <formula1>"Yes,No,N/A"</formula1>
    </dataValidation>
    <dataValidation type="list" allowBlank="1" sqref="B123:B126 B114:B118" xr:uid="{705F737E-8550-426C-936A-F8DAADF7C904}">
      <formula1>"Not Started,In Progress,Complete,At Risk,Blocked"</formula1>
    </dataValidation>
    <dataValidation type="list" sqref="B154:B161" xr:uid="{745F9EB3-15D5-4659-AFCA-4418508B7A7C}">
      <formula1>"No,Yes,N/A"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C90CEEBD-233F-4039-9C20-0EAA1E805E2D}">
          <x14:formula1>
            <xm:f>Lookup_Lists!$L$37:$L$39</xm:f>
          </x14:formula1>
          <xm:sqref>C114:E118 J2</xm:sqref>
        </x14:dataValidation>
        <x14:dataValidation type="list" allowBlank="1" showInputMessage="1" showErrorMessage="1" xr:uid="{45BE27ED-23BC-47B0-A69D-46398179389A}">
          <x14:formula1>
            <xm:f>Lookup_Lists!$A$36:$A$42</xm:f>
          </x14:formula1>
          <xm:sqref>B93:B97 B102:B109 B131:B136</xm:sqref>
        </x14:dataValidation>
      </x14:dataValidations>
    </ext>
  </extLst>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1B396-9C84-483A-812A-85437754256C}">
  <dimension ref="A1:J240"/>
  <sheetViews>
    <sheetView workbookViewId="0">
      <selection activeCell="D4" sqref="D4"/>
    </sheetView>
  </sheetViews>
  <sheetFormatPr defaultColWidth="8.6640625" defaultRowHeight="14.4"/>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6640625" style="8" customWidth="1"/>
    <col min="13" max="16384" width="8.6640625" style="8"/>
  </cols>
  <sheetData>
    <row r="1" spans="1:10">
      <c r="A1" s="851" t="s">
        <v>2291</v>
      </c>
      <c r="B1" s="839"/>
      <c r="C1" s="839"/>
      <c r="D1" s="839"/>
      <c r="E1" s="839"/>
      <c r="F1" s="839"/>
      <c r="G1" s="839"/>
      <c r="H1" s="839"/>
      <c r="I1" s="839"/>
      <c r="J1" s="839"/>
    </row>
    <row r="2" spans="1:10" s="227" customFormat="1">
      <c r="A2" s="223" t="s">
        <v>142</v>
      </c>
      <c r="B2" s="224" t="s">
        <v>700</v>
      </c>
      <c r="C2" s="223" t="s">
        <v>902</v>
      </c>
      <c r="D2" s="224" t="s">
        <v>1094</v>
      </c>
      <c r="E2" s="223" t="s">
        <v>151</v>
      </c>
      <c r="F2" s="224" t="s">
        <v>1095</v>
      </c>
      <c r="G2" s="223" t="s">
        <v>174</v>
      </c>
      <c r="H2" s="225">
        <v>0.5</v>
      </c>
      <c r="I2" s="223" t="s">
        <v>154</v>
      </c>
      <c r="J2" s="226" t="s">
        <v>1096</v>
      </c>
    </row>
    <row r="3" spans="1:10" s="231" customFormat="1" ht="27.6">
      <c r="A3" s="223" t="s">
        <v>903</v>
      </c>
      <c r="B3" s="228">
        <v>46198.637558263887</v>
      </c>
      <c r="C3" s="229" t="s">
        <v>904</v>
      </c>
      <c r="D3" s="230" t="s">
        <v>721</v>
      </c>
      <c r="E3" s="223" t="s">
        <v>905</v>
      </c>
      <c r="F3" s="230" t="s">
        <v>2292</v>
      </c>
      <c r="G3" s="223" t="s">
        <v>907</v>
      </c>
      <c r="H3" s="230" t="s">
        <v>908</v>
      </c>
      <c r="I3" s="223" t="s">
        <v>551</v>
      </c>
      <c r="J3" s="230" t="s">
        <v>2293</v>
      </c>
    </row>
    <row r="4" spans="1:10" s="231" customFormat="1" ht="193.2">
      <c r="A4" s="223" t="s">
        <v>161</v>
      </c>
      <c r="B4" s="230">
        <v>0</v>
      </c>
      <c r="C4" s="223" t="s">
        <v>199</v>
      </c>
      <c r="D4" s="230">
        <v>0</v>
      </c>
      <c r="E4" s="223" t="s">
        <v>179</v>
      </c>
      <c r="F4" s="230">
        <v>0</v>
      </c>
      <c r="G4" s="223" t="s">
        <v>870</v>
      </c>
      <c r="H4" s="232" t="s">
        <v>2294</v>
      </c>
      <c r="I4" s="233"/>
      <c r="J4" s="233"/>
    </row>
    <row r="5" spans="1:10" s="231" customFormat="1">
      <c r="A5" s="234" t="s">
        <v>911</v>
      </c>
      <c r="B5" s="225" t="s">
        <v>677</v>
      </c>
      <c r="C5" s="235" t="s">
        <v>912</v>
      </c>
      <c r="D5" s="225" t="s">
        <v>677</v>
      </c>
      <c r="E5" s="236" t="s">
        <v>913</v>
      </c>
      <c r="F5" s="225" t="s">
        <v>677</v>
      </c>
      <c r="G5" s="237" t="s">
        <v>914</v>
      </c>
      <c r="H5" s="225" t="s">
        <v>677</v>
      </c>
      <c r="I5" s="237" t="s">
        <v>915</v>
      </c>
      <c r="J5" s="225" t="s">
        <v>677</v>
      </c>
    </row>
    <row r="6" spans="1:10" s="231" customFormat="1" ht="34.5" customHeight="1">
      <c r="A6" s="238" t="s">
        <v>916</v>
      </c>
      <c r="B6" s="225" t="s">
        <v>677</v>
      </c>
      <c r="C6" s="239" t="s">
        <v>869</v>
      </c>
      <c r="D6" s="854" t="s">
        <v>2295</v>
      </c>
      <c r="E6" s="853"/>
      <c r="F6" s="853"/>
      <c r="G6" s="853"/>
      <c r="H6" s="853"/>
      <c r="I6" s="853"/>
      <c r="J6" s="853"/>
    </row>
    <row r="7" spans="1:10">
      <c r="A7" s="13"/>
      <c r="B7" s="13"/>
      <c r="C7" s="13"/>
      <c r="D7" s="13"/>
      <c r="E7" s="13"/>
      <c r="F7" s="13"/>
      <c r="G7" s="13"/>
      <c r="H7" s="13"/>
      <c r="I7" s="13"/>
      <c r="J7" s="13"/>
    </row>
    <row r="8" spans="1:10">
      <c r="A8" s="842" t="s">
        <v>918</v>
      </c>
      <c r="B8" s="839"/>
      <c r="C8" s="839"/>
      <c r="D8" s="85"/>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96.6">
      <c r="A10" s="13" t="s">
        <v>700</v>
      </c>
      <c r="B10" s="13" t="s">
        <v>701</v>
      </c>
      <c r="C10" s="13" t="s">
        <v>919</v>
      </c>
      <c r="D10" s="13" t="s">
        <v>2205</v>
      </c>
      <c r="E10" s="13" t="s">
        <v>356</v>
      </c>
      <c r="F10" s="13">
        <v>1</v>
      </c>
      <c r="G10" s="13">
        <v>1</v>
      </c>
      <c r="H10" s="13" t="s">
        <v>677</v>
      </c>
      <c r="I10" s="13" t="s">
        <v>2296</v>
      </c>
      <c r="J10" s="13" t="s">
        <v>2297</v>
      </c>
    </row>
    <row r="11" spans="1:10" ht="82.8">
      <c r="A11" s="13" t="s">
        <v>700</v>
      </c>
      <c r="B11" s="13" t="s">
        <v>2298</v>
      </c>
      <c r="C11" s="13" t="s">
        <v>923</v>
      </c>
      <c r="D11" s="13" t="s">
        <v>2299</v>
      </c>
      <c r="E11" s="13" t="s">
        <v>925</v>
      </c>
      <c r="F11" s="13">
        <v>1</v>
      </c>
      <c r="G11" s="13">
        <v>0</v>
      </c>
      <c r="H11" s="13" t="s">
        <v>677</v>
      </c>
      <c r="I11" s="13" t="s">
        <v>2300</v>
      </c>
      <c r="J11" s="13" t="s">
        <v>2301</v>
      </c>
    </row>
    <row r="12" spans="1:10" ht="55.2">
      <c r="A12" s="13" t="s">
        <v>700</v>
      </c>
      <c r="B12" s="13" t="s">
        <v>2302</v>
      </c>
      <c r="C12" s="13" t="s">
        <v>923</v>
      </c>
      <c r="D12" s="13" t="s">
        <v>2303</v>
      </c>
      <c r="E12" s="13" t="s">
        <v>925</v>
      </c>
      <c r="F12" s="13">
        <v>1</v>
      </c>
      <c r="G12" s="13">
        <v>0</v>
      </c>
      <c r="H12" s="13" t="s">
        <v>677</v>
      </c>
      <c r="I12" s="13" t="s">
        <v>2304</v>
      </c>
      <c r="J12" s="13" t="s">
        <v>2305</v>
      </c>
    </row>
    <row r="13" spans="1:10">
      <c r="A13" s="13"/>
      <c r="B13" s="13"/>
      <c r="C13" s="13"/>
      <c r="D13" s="13"/>
      <c r="E13" s="13"/>
      <c r="F13" s="13"/>
      <c r="G13" s="13"/>
      <c r="H13" s="13"/>
      <c r="I13" s="13"/>
      <c r="J13" s="13"/>
    </row>
    <row r="14" spans="1:10">
      <c r="A14" s="842" t="s">
        <v>936</v>
      </c>
      <c r="B14" s="839"/>
      <c r="C14" s="839"/>
      <c r="D14" s="85"/>
      <c r="E14" s="85"/>
      <c r="F14" s="85"/>
      <c r="G14" s="85"/>
      <c r="H14" s="85"/>
      <c r="I14" s="85"/>
      <c r="J14" s="85"/>
    </row>
    <row r="15" spans="1:10">
      <c r="A15" s="50" t="s">
        <v>275</v>
      </c>
      <c r="B15" s="50" t="s">
        <v>937</v>
      </c>
      <c r="C15" s="50" t="s">
        <v>938</v>
      </c>
      <c r="D15" s="50" t="s">
        <v>939</v>
      </c>
      <c r="E15" s="50" t="s">
        <v>940</v>
      </c>
      <c r="F15" s="50" t="s">
        <v>941</v>
      </c>
      <c r="G15" s="50" t="s">
        <v>942</v>
      </c>
      <c r="H15" s="50" t="s">
        <v>943</v>
      </c>
      <c r="I15" s="50" t="s">
        <v>899</v>
      </c>
      <c r="J15" s="50" t="s">
        <v>944</v>
      </c>
    </row>
    <row r="16" spans="1:10" ht="82.8">
      <c r="A16" s="13" t="s">
        <v>701</v>
      </c>
      <c r="B16" s="13" t="s">
        <v>677</v>
      </c>
      <c r="C16" s="13" t="s">
        <v>677</v>
      </c>
      <c r="D16" s="13" t="s">
        <v>677</v>
      </c>
      <c r="E16" s="13" t="s">
        <v>677</v>
      </c>
      <c r="F16" s="13" t="s">
        <v>677</v>
      </c>
      <c r="G16" s="13" t="s">
        <v>677</v>
      </c>
      <c r="H16" s="13" t="s">
        <v>677</v>
      </c>
      <c r="I16" s="13" t="s">
        <v>677</v>
      </c>
      <c r="J16" s="13" t="s">
        <v>2306</v>
      </c>
    </row>
    <row r="17" spans="1:10" ht="55.2">
      <c r="A17" s="13" t="s">
        <v>2298</v>
      </c>
      <c r="B17" s="13" t="s">
        <v>946</v>
      </c>
      <c r="C17" s="13" t="s">
        <v>946</v>
      </c>
      <c r="D17" s="13" t="s">
        <v>946</v>
      </c>
      <c r="E17" s="13" t="s">
        <v>677</v>
      </c>
      <c r="F17" s="13" t="s">
        <v>677</v>
      </c>
      <c r="G17" s="13" t="s">
        <v>677</v>
      </c>
      <c r="H17" s="13" t="s">
        <v>677</v>
      </c>
      <c r="I17" s="13" t="s">
        <v>677</v>
      </c>
      <c r="J17" s="13" t="s">
        <v>2307</v>
      </c>
    </row>
    <row r="18" spans="1:10" ht="55.2">
      <c r="A18" s="13" t="s">
        <v>2302</v>
      </c>
      <c r="B18" s="13" t="s">
        <v>946</v>
      </c>
      <c r="C18" s="13" t="s">
        <v>946</v>
      </c>
      <c r="D18" s="13" t="s">
        <v>946</v>
      </c>
      <c r="E18" s="13" t="s">
        <v>677</v>
      </c>
      <c r="F18" s="13" t="s">
        <v>677</v>
      </c>
      <c r="G18" s="13" t="s">
        <v>677</v>
      </c>
      <c r="H18" s="13" t="s">
        <v>677</v>
      </c>
      <c r="I18" s="13" t="s">
        <v>677</v>
      </c>
      <c r="J18" s="13" t="s">
        <v>2308</v>
      </c>
    </row>
    <row r="19" spans="1:10">
      <c r="A19" s="13"/>
      <c r="B19" s="13"/>
      <c r="C19" s="13"/>
      <c r="D19" s="13"/>
      <c r="E19" s="13"/>
      <c r="F19" s="13"/>
      <c r="G19" s="13"/>
      <c r="H19" s="13"/>
      <c r="I19" s="13"/>
      <c r="J19" s="13"/>
    </row>
    <row r="20" spans="1:10">
      <c r="A20" s="842" t="s">
        <v>951</v>
      </c>
      <c r="B20" s="839"/>
      <c r="C20" s="839"/>
      <c r="D20" s="85"/>
      <c r="E20" s="85"/>
      <c r="F20" s="85"/>
      <c r="G20" s="85"/>
      <c r="H20" s="85"/>
      <c r="I20" s="85"/>
      <c r="J20" s="85"/>
    </row>
    <row r="21" spans="1:10">
      <c r="A21" s="50" t="s">
        <v>275</v>
      </c>
      <c r="B21" s="50" t="s">
        <v>952</v>
      </c>
      <c r="C21" s="50" t="s">
        <v>953</v>
      </c>
      <c r="D21" s="50" t="s">
        <v>954</v>
      </c>
      <c r="E21" s="50" t="s">
        <v>955</v>
      </c>
      <c r="F21" s="50" t="s">
        <v>956</v>
      </c>
      <c r="G21" s="50" t="s">
        <v>957</v>
      </c>
      <c r="H21" s="50" t="s">
        <v>958</v>
      </c>
      <c r="I21" s="50" t="s">
        <v>899</v>
      </c>
      <c r="J21" s="50" t="s">
        <v>959</v>
      </c>
    </row>
    <row r="22" spans="1:10" ht="82.8">
      <c r="A22" s="13" t="s">
        <v>701</v>
      </c>
      <c r="B22" s="13" t="s">
        <v>677</v>
      </c>
      <c r="C22" s="13" t="s">
        <v>677</v>
      </c>
      <c r="D22" s="13" t="s">
        <v>677</v>
      </c>
      <c r="E22" s="13" t="s">
        <v>677</v>
      </c>
      <c r="F22" s="13" t="s">
        <v>677</v>
      </c>
      <c r="G22" s="13" t="s">
        <v>677</v>
      </c>
      <c r="H22" s="13" t="s">
        <v>677</v>
      </c>
      <c r="I22" s="13" t="s">
        <v>677</v>
      </c>
      <c r="J22" s="13" t="s">
        <v>2214</v>
      </c>
    </row>
    <row r="23" spans="1:10" ht="55.2">
      <c r="A23" s="13" t="s">
        <v>2298</v>
      </c>
      <c r="B23" s="13" t="s">
        <v>677</v>
      </c>
      <c r="C23" s="13" t="s">
        <v>679</v>
      </c>
      <c r="D23" s="13" t="s">
        <v>677</v>
      </c>
      <c r="E23" s="13" t="s">
        <v>677</v>
      </c>
      <c r="F23" s="13" t="s">
        <v>677</v>
      </c>
      <c r="G23" s="13" t="s">
        <v>677</v>
      </c>
      <c r="H23" s="13" t="s">
        <v>677</v>
      </c>
      <c r="I23" s="13" t="s">
        <v>677</v>
      </c>
      <c r="J23" s="13" t="s">
        <v>2309</v>
      </c>
    </row>
    <row r="24" spans="1:10" ht="41.4">
      <c r="A24" s="13" t="s">
        <v>2302</v>
      </c>
      <c r="B24" s="13" t="s">
        <v>677</v>
      </c>
      <c r="C24" s="13" t="s">
        <v>679</v>
      </c>
      <c r="D24" s="13" t="s">
        <v>677</v>
      </c>
      <c r="E24" s="13" t="s">
        <v>677</v>
      </c>
      <c r="F24" s="13" t="s">
        <v>677</v>
      </c>
      <c r="G24" s="13" t="s">
        <v>677</v>
      </c>
      <c r="H24" s="13" t="s">
        <v>677</v>
      </c>
      <c r="I24" s="13" t="s">
        <v>677</v>
      </c>
      <c r="J24" s="13" t="s">
        <v>2310</v>
      </c>
    </row>
    <row r="25" spans="1:10">
      <c r="A25" s="13"/>
      <c r="B25" s="13"/>
      <c r="C25" s="13"/>
      <c r="D25" s="13"/>
      <c r="E25" s="13"/>
      <c r="F25" s="13"/>
      <c r="G25" s="13"/>
      <c r="H25" s="13"/>
      <c r="I25" s="13"/>
      <c r="J25" s="13"/>
    </row>
    <row r="26" spans="1:10">
      <c r="A26" s="842" t="s">
        <v>964</v>
      </c>
      <c r="B26" s="839"/>
      <c r="C26" s="839"/>
      <c r="D26" s="85"/>
      <c r="E26" s="85"/>
      <c r="F26" s="85"/>
      <c r="G26" s="85"/>
      <c r="H26" s="85"/>
      <c r="I26" s="85"/>
      <c r="J26" s="85"/>
    </row>
    <row r="27" spans="1:10">
      <c r="A27" s="50" t="s">
        <v>275</v>
      </c>
      <c r="B27" s="50" t="s">
        <v>965</v>
      </c>
      <c r="C27" s="50" t="s">
        <v>966</v>
      </c>
      <c r="D27" s="50" t="s">
        <v>967</v>
      </c>
      <c r="E27" s="50" t="s">
        <v>968</v>
      </c>
      <c r="F27" s="50" t="s">
        <v>969</v>
      </c>
      <c r="G27" s="50" t="s">
        <v>970</v>
      </c>
      <c r="H27" s="50" t="s">
        <v>971</v>
      </c>
      <c r="I27" s="50" t="s">
        <v>899</v>
      </c>
      <c r="J27" s="50" t="s">
        <v>959</v>
      </c>
    </row>
    <row r="28" spans="1:10" ht="96.6">
      <c r="A28" s="13" t="s">
        <v>701</v>
      </c>
      <c r="B28" s="13" t="s">
        <v>972</v>
      </c>
      <c r="C28" s="13" t="s">
        <v>677</v>
      </c>
      <c r="D28" s="13" t="s">
        <v>677</v>
      </c>
      <c r="E28" s="13" t="s">
        <v>677</v>
      </c>
      <c r="F28" s="13" t="s">
        <v>677</v>
      </c>
      <c r="G28" s="13" t="s">
        <v>677</v>
      </c>
      <c r="H28" s="13" t="s">
        <v>677</v>
      </c>
      <c r="I28" s="13" t="s">
        <v>677</v>
      </c>
      <c r="J28" s="13" t="s">
        <v>2311</v>
      </c>
    </row>
    <row r="29" spans="1:10" ht="55.2">
      <c r="A29" s="13" t="s">
        <v>2298</v>
      </c>
      <c r="B29" s="13" t="s">
        <v>946</v>
      </c>
      <c r="C29" s="13" t="s">
        <v>677</v>
      </c>
      <c r="D29" s="13" t="s">
        <v>677</v>
      </c>
      <c r="E29" s="13" t="s">
        <v>677</v>
      </c>
      <c r="F29" s="13" t="s">
        <v>677</v>
      </c>
      <c r="G29" s="13" t="s">
        <v>677</v>
      </c>
      <c r="H29" s="13" t="s">
        <v>677</v>
      </c>
      <c r="I29" s="13" t="s">
        <v>677</v>
      </c>
      <c r="J29" s="13" t="s">
        <v>2312</v>
      </c>
    </row>
    <row r="30" spans="1:10" ht="41.4">
      <c r="A30" s="13" t="s">
        <v>2302</v>
      </c>
      <c r="B30" s="13" t="s">
        <v>946</v>
      </c>
      <c r="C30" s="13" t="s">
        <v>677</v>
      </c>
      <c r="D30" s="13" t="s">
        <v>677</v>
      </c>
      <c r="E30" s="13" t="s">
        <v>677</v>
      </c>
      <c r="F30" s="13" t="s">
        <v>677</v>
      </c>
      <c r="G30" s="13" t="s">
        <v>677</v>
      </c>
      <c r="H30" s="13" t="s">
        <v>677</v>
      </c>
      <c r="I30" s="13" t="s">
        <v>677</v>
      </c>
      <c r="J30" s="13" t="s">
        <v>2313</v>
      </c>
    </row>
    <row r="31" spans="1:10">
      <c r="A31" s="13"/>
      <c r="B31" s="13"/>
      <c r="C31" s="13"/>
      <c r="D31" s="13"/>
      <c r="E31" s="13"/>
      <c r="F31" s="13"/>
      <c r="G31" s="13"/>
      <c r="H31" s="13"/>
      <c r="I31" s="13"/>
      <c r="J31" s="13"/>
    </row>
    <row r="32" spans="1:10">
      <c r="A32" s="842" t="s">
        <v>977</v>
      </c>
      <c r="B32" s="839"/>
      <c r="C32" s="839"/>
      <c r="D32" s="85"/>
      <c r="E32" s="85"/>
      <c r="F32" s="85"/>
      <c r="G32" s="85"/>
      <c r="H32" s="85"/>
      <c r="I32" s="85"/>
      <c r="J32" s="85"/>
    </row>
    <row r="33" spans="1:10">
      <c r="A33" s="50" t="s">
        <v>275</v>
      </c>
      <c r="B33" s="50" t="s">
        <v>978</v>
      </c>
      <c r="C33" s="50" t="s">
        <v>979</v>
      </c>
      <c r="D33" s="50" t="s">
        <v>980</v>
      </c>
      <c r="E33" s="50" t="s">
        <v>981</v>
      </c>
      <c r="F33" s="50" t="s">
        <v>982</v>
      </c>
      <c r="G33" s="50" t="s">
        <v>983</v>
      </c>
      <c r="H33" s="50" t="s">
        <v>984</v>
      </c>
      <c r="I33" s="50" t="s">
        <v>899</v>
      </c>
      <c r="J33" s="50" t="s">
        <v>11</v>
      </c>
    </row>
    <row r="34" spans="1:10" ht="82.8">
      <c r="A34" s="13" t="s">
        <v>701</v>
      </c>
      <c r="B34" s="13" t="s">
        <v>677</v>
      </c>
      <c r="C34" s="13" t="s">
        <v>2219</v>
      </c>
      <c r="D34" s="13" t="s">
        <v>677</v>
      </c>
      <c r="E34" s="13" t="s">
        <v>677</v>
      </c>
      <c r="F34" s="13" t="s">
        <v>2314</v>
      </c>
      <c r="G34" s="13" t="s">
        <v>677</v>
      </c>
      <c r="H34" s="13" t="s">
        <v>677</v>
      </c>
      <c r="I34" s="13" t="s">
        <v>677</v>
      </c>
      <c r="J34" s="13" t="s">
        <v>2315</v>
      </c>
    </row>
    <row r="35" spans="1:10" ht="69">
      <c r="A35" s="13" t="s">
        <v>2298</v>
      </c>
      <c r="B35" s="13" t="s">
        <v>988</v>
      </c>
      <c r="C35" s="13" t="s">
        <v>988</v>
      </c>
      <c r="D35" s="13" t="s">
        <v>988</v>
      </c>
      <c r="E35" s="13" t="s">
        <v>677</v>
      </c>
      <c r="F35" s="13" t="s">
        <v>946</v>
      </c>
      <c r="G35" s="13" t="s">
        <v>677</v>
      </c>
      <c r="H35" s="13" t="s">
        <v>677</v>
      </c>
      <c r="I35" s="13" t="s">
        <v>677</v>
      </c>
      <c r="J35" s="13" t="s">
        <v>2316</v>
      </c>
    </row>
    <row r="36" spans="1:10" ht="41.4">
      <c r="A36" s="13" t="s">
        <v>2302</v>
      </c>
      <c r="B36" s="13" t="s">
        <v>946</v>
      </c>
      <c r="C36" s="13" t="s">
        <v>946</v>
      </c>
      <c r="D36" s="13" t="s">
        <v>946</v>
      </c>
      <c r="E36" s="13" t="s">
        <v>677</v>
      </c>
      <c r="F36" s="13" t="s">
        <v>946</v>
      </c>
      <c r="G36" s="13" t="s">
        <v>677</v>
      </c>
      <c r="H36" s="13" t="s">
        <v>677</v>
      </c>
      <c r="I36" s="13" t="s">
        <v>677</v>
      </c>
      <c r="J36" s="13" t="s">
        <v>2317</v>
      </c>
    </row>
    <row r="37" spans="1:10">
      <c r="A37" s="13"/>
      <c r="B37" s="13"/>
      <c r="C37" s="13"/>
      <c r="D37" s="13"/>
      <c r="E37" s="13"/>
      <c r="F37" s="13"/>
      <c r="G37" s="13"/>
      <c r="H37" s="13"/>
      <c r="I37" s="13"/>
      <c r="J37" s="13"/>
    </row>
    <row r="38" spans="1:10">
      <c r="A38" s="842" t="s">
        <v>994</v>
      </c>
      <c r="B38" s="839"/>
      <c r="C38" s="839"/>
      <c r="D38" s="85"/>
      <c r="E38" s="85"/>
      <c r="F38" s="85"/>
      <c r="G38" s="85"/>
      <c r="H38" s="85"/>
      <c r="I38" s="85"/>
      <c r="J38" s="85"/>
    </row>
    <row r="39" spans="1:10">
      <c r="A39" s="50" t="s">
        <v>275</v>
      </c>
      <c r="B39" s="50" t="s">
        <v>995</v>
      </c>
      <c r="C39" s="50" t="s">
        <v>996</v>
      </c>
      <c r="D39" s="50" t="s">
        <v>997</v>
      </c>
      <c r="E39" s="50" t="s">
        <v>998</v>
      </c>
      <c r="F39" s="50" t="s">
        <v>999</v>
      </c>
      <c r="G39" s="50" t="s">
        <v>1000</v>
      </c>
      <c r="H39" s="50" t="s">
        <v>1001</v>
      </c>
      <c r="I39" s="50" t="s">
        <v>899</v>
      </c>
      <c r="J39" s="50" t="s">
        <v>11</v>
      </c>
    </row>
    <row r="40" spans="1:10" ht="82.8">
      <c r="A40" s="13" t="s">
        <v>701</v>
      </c>
      <c r="B40" s="13" t="s">
        <v>677</v>
      </c>
      <c r="C40" s="13" t="s">
        <v>677</v>
      </c>
      <c r="D40" s="13" t="s">
        <v>677</v>
      </c>
      <c r="E40" s="13" t="s">
        <v>677</v>
      </c>
      <c r="F40" s="13" t="s">
        <v>677</v>
      </c>
      <c r="G40" s="13" t="s">
        <v>677</v>
      </c>
      <c r="H40" s="13" t="s">
        <v>677</v>
      </c>
      <c r="I40" s="13" t="s">
        <v>677</v>
      </c>
      <c r="J40" s="13" t="s">
        <v>2318</v>
      </c>
    </row>
    <row r="41" spans="1:10" ht="82.8">
      <c r="A41" s="13" t="s">
        <v>2298</v>
      </c>
      <c r="B41" s="13" t="s">
        <v>988</v>
      </c>
      <c r="C41" s="13" t="s">
        <v>988</v>
      </c>
      <c r="D41" s="13" t="s">
        <v>988</v>
      </c>
      <c r="E41" s="13" t="s">
        <v>677</v>
      </c>
      <c r="F41" s="13" t="s">
        <v>677</v>
      </c>
      <c r="G41" s="13" t="s">
        <v>677</v>
      </c>
      <c r="H41" s="13" t="s">
        <v>677</v>
      </c>
      <c r="I41" s="13" t="s">
        <v>677</v>
      </c>
      <c r="J41" s="13" t="s">
        <v>2319</v>
      </c>
    </row>
    <row r="42" spans="1:10" ht="55.2">
      <c r="A42" s="13" t="s">
        <v>2302</v>
      </c>
      <c r="B42" s="13" t="s">
        <v>988</v>
      </c>
      <c r="C42" s="13" t="s">
        <v>988</v>
      </c>
      <c r="D42" s="13" t="s">
        <v>988</v>
      </c>
      <c r="E42" s="13" t="s">
        <v>677</v>
      </c>
      <c r="F42" s="13" t="s">
        <v>677</v>
      </c>
      <c r="G42" s="13" t="s">
        <v>677</v>
      </c>
      <c r="H42" s="13" t="s">
        <v>677</v>
      </c>
      <c r="I42" s="13" t="s">
        <v>677</v>
      </c>
      <c r="J42" s="13" t="s">
        <v>2320</v>
      </c>
    </row>
    <row r="43" spans="1:10">
      <c r="A43" s="13"/>
      <c r="B43" s="13"/>
      <c r="C43" s="13"/>
      <c r="D43" s="13"/>
      <c r="E43" s="13"/>
      <c r="F43" s="13"/>
      <c r="G43" s="13"/>
      <c r="H43" s="13"/>
      <c r="I43" s="13"/>
      <c r="J43" s="13"/>
    </row>
    <row r="44" spans="1:10">
      <c r="A44" s="842" t="s">
        <v>1007</v>
      </c>
      <c r="B44" s="839"/>
      <c r="C44" s="839"/>
      <c r="D44" s="85"/>
      <c r="E44" s="85"/>
      <c r="F44" s="85"/>
      <c r="G44" s="85"/>
      <c r="H44" s="85"/>
      <c r="I44" s="85"/>
      <c r="J44" s="85"/>
    </row>
    <row r="45" spans="1:10">
      <c r="A45" s="50" t="s">
        <v>275</v>
      </c>
      <c r="B45" s="50" t="s">
        <v>1008</v>
      </c>
      <c r="C45" s="50" t="s">
        <v>1009</v>
      </c>
      <c r="D45" s="50" t="s">
        <v>1010</v>
      </c>
      <c r="E45" s="50" t="s">
        <v>1011</v>
      </c>
      <c r="F45" s="50" t="s">
        <v>1012</v>
      </c>
      <c r="G45" s="50" t="s">
        <v>1013</v>
      </c>
      <c r="H45" s="50" t="s">
        <v>1014</v>
      </c>
      <c r="I45" s="50" t="s">
        <v>899</v>
      </c>
      <c r="J45" s="50" t="s">
        <v>11</v>
      </c>
    </row>
    <row r="46" spans="1:10" ht="82.8">
      <c r="A46" s="13" t="s">
        <v>701</v>
      </c>
      <c r="B46" s="13" t="s">
        <v>677</v>
      </c>
      <c r="C46" s="13" t="s">
        <v>677</v>
      </c>
      <c r="D46" s="13" t="s">
        <v>677</v>
      </c>
      <c r="E46" s="13" t="s">
        <v>677</v>
      </c>
      <c r="F46" s="13" t="s">
        <v>677</v>
      </c>
      <c r="G46" s="13" t="s">
        <v>677</v>
      </c>
      <c r="H46" s="13" t="s">
        <v>677</v>
      </c>
      <c r="I46" s="13" t="s">
        <v>677</v>
      </c>
      <c r="J46" s="13" t="s">
        <v>2321</v>
      </c>
    </row>
    <row r="47" spans="1:10" ht="55.2">
      <c r="A47" s="13" t="s">
        <v>2298</v>
      </c>
      <c r="B47" s="13" t="s">
        <v>677</v>
      </c>
      <c r="C47" s="13" t="s">
        <v>677</v>
      </c>
      <c r="D47" s="13" t="s">
        <v>677</v>
      </c>
      <c r="E47" s="13" t="s">
        <v>677</v>
      </c>
      <c r="F47" s="13" t="s">
        <v>677</v>
      </c>
      <c r="G47" s="13" t="s">
        <v>677</v>
      </c>
      <c r="H47" s="13" t="s">
        <v>677</v>
      </c>
      <c r="I47" s="13" t="s">
        <v>677</v>
      </c>
      <c r="J47" s="13" t="s">
        <v>2322</v>
      </c>
    </row>
    <row r="48" spans="1:10" ht="41.4">
      <c r="A48" s="13" t="s">
        <v>2302</v>
      </c>
      <c r="B48" s="13" t="s">
        <v>677</v>
      </c>
      <c r="C48" s="13" t="s">
        <v>677</v>
      </c>
      <c r="D48" s="13" t="s">
        <v>677</v>
      </c>
      <c r="E48" s="13" t="s">
        <v>677</v>
      </c>
      <c r="F48" s="13" t="s">
        <v>677</v>
      </c>
      <c r="G48" s="13" t="s">
        <v>677</v>
      </c>
      <c r="H48" s="13" t="s">
        <v>677</v>
      </c>
      <c r="I48" s="13" t="s">
        <v>677</v>
      </c>
      <c r="J48" s="13" t="s">
        <v>2323</v>
      </c>
    </row>
    <row r="49" spans="1:10">
      <c r="A49" s="13"/>
      <c r="B49" s="13"/>
      <c r="C49" s="13"/>
      <c r="D49" s="13"/>
      <c r="E49" s="13"/>
      <c r="F49" s="13"/>
      <c r="G49" s="13"/>
      <c r="H49" s="13"/>
      <c r="I49" s="13"/>
      <c r="J49" s="13"/>
    </row>
    <row r="50" spans="1:10">
      <c r="A50" s="842" t="s">
        <v>1019</v>
      </c>
      <c r="B50" s="839"/>
      <c r="C50" s="839"/>
      <c r="D50" s="85"/>
      <c r="E50" s="85"/>
      <c r="F50" s="85"/>
      <c r="G50" s="85"/>
      <c r="H50" s="85"/>
      <c r="I50" s="85"/>
      <c r="J50" s="85"/>
    </row>
    <row r="51" spans="1:10">
      <c r="A51" s="50" t="s">
        <v>213</v>
      </c>
      <c r="B51" s="50" t="s">
        <v>275</v>
      </c>
      <c r="C51" s="50" t="s">
        <v>573</v>
      </c>
      <c r="D51" s="50" t="s">
        <v>215</v>
      </c>
      <c r="E51" s="50" t="s">
        <v>257</v>
      </c>
      <c r="F51" s="50" t="s">
        <v>572</v>
      </c>
      <c r="G51" s="50" t="s">
        <v>259</v>
      </c>
      <c r="H51" s="50" t="s">
        <v>216</v>
      </c>
      <c r="I51" s="50" t="s">
        <v>77</v>
      </c>
      <c r="J51" s="50" t="s">
        <v>11</v>
      </c>
    </row>
    <row r="52" spans="1:10" ht="69">
      <c r="A52" s="13" t="s">
        <v>2324</v>
      </c>
      <c r="B52" s="13" t="s">
        <v>575</v>
      </c>
      <c r="C52" s="13" t="s">
        <v>2325</v>
      </c>
      <c r="D52" s="13" t="s">
        <v>391</v>
      </c>
      <c r="E52" s="13" t="s">
        <v>488</v>
      </c>
      <c r="F52" s="13">
        <v>6</v>
      </c>
      <c r="G52" s="13" t="s">
        <v>1381</v>
      </c>
      <c r="H52" s="13" t="s">
        <v>1023</v>
      </c>
      <c r="I52" s="13" t="s">
        <v>502</v>
      </c>
      <c r="J52" s="13" t="s">
        <v>2326</v>
      </c>
    </row>
    <row r="53" spans="1:10" ht="69">
      <c r="A53" s="13" t="s">
        <v>2327</v>
      </c>
      <c r="B53" s="13" t="s">
        <v>701</v>
      </c>
      <c r="C53" s="13" t="s">
        <v>2231</v>
      </c>
      <c r="D53" s="13" t="s">
        <v>391</v>
      </c>
      <c r="E53" s="13" t="s">
        <v>488</v>
      </c>
      <c r="F53" s="13">
        <v>6</v>
      </c>
      <c r="G53" s="13" t="s">
        <v>2232</v>
      </c>
      <c r="H53" s="13" t="s">
        <v>1858</v>
      </c>
      <c r="I53" s="13" t="s">
        <v>502</v>
      </c>
      <c r="J53" s="13" t="s">
        <v>2328</v>
      </c>
    </row>
    <row r="54" spans="1:10" ht="82.8">
      <c r="A54" s="13" t="s">
        <v>2329</v>
      </c>
      <c r="B54" s="13" t="s">
        <v>2330</v>
      </c>
      <c r="C54" s="13" t="s">
        <v>2331</v>
      </c>
      <c r="D54" s="13" t="s">
        <v>492</v>
      </c>
      <c r="E54" s="13" t="s">
        <v>488</v>
      </c>
      <c r="F54" s="13">
        <v>8</v>
      </c>
      <c r="G54" s="13" t="s">
        <v>2236</v>
      </c>
      <c r="H54" s="13" t="s">
        <v>584</v>
      </c>
      <c r="I54" s="13" t="s">
        <v>502</v>
      </c>
      <c r="J54" s="13" t="s">
        <v>2332</v>
      </c>
    </row>
    <row r="55" spans="1:10" ht="82.8">
      <c r="A55" s="13" t="s">
        <v>2333</v>
      </c>
      <c r="B55" s="13" t="s">
        <v>701</v>
      </c>
      <c r="C55" s="13" t="s">
        <v>593</v>
      </c>
      <c r="D55" s="13" t="s">
        <v>492</v>
      </c>
      <c r="E55" s="13" t="s">
        <v>488</v>
      </c>
      <c r="F55" s="13">
        <v>8</v>
      </c>
      <c r="G55" s="13" t="s">
        <v>2239</v>
      </c>
      <c r="H55" s="13" t="s">
        <v>592</v>
      </c>
      <c r="I55" s="13" t="s">
        <v>502</v>
      </c>
      <c r="J55" s="13" t="s">
        <v>1028</v>
      </c>
    </row>
    <row r="56" spans="1:10" ht="96.6">
      <c r="A56" s="13" t="s">
        <v>2334</v>
      </c>
      <c r="B56" s="13" t="s">
        <v>701</v>
      </c>
      <c r="C56" s="13" t="s">
        <v>2241</v>
      </c>
      <c r="D56" s="13" t="s">
        <v>391</v>
      </c>
      <c r="E56" s="13" t="s">
        <v>488</v>
      </c>
      <c r="F56" s="13">
        <v>6</v>
      </c>
      <c r="G56" s="13" t="s">
        <v>2335</v>
      </c>
      <c r="H56" s="13" t="s">
        <v>1032</v>
      </c>
      <c r="I56" s="13" t="s">
        <v>502</v>
      </c>
      <c r="J56" s="13" t="s">
        <v>2336</v>
      </c>
    </row>
    <row r="57" spans="1:10" ht="110.4">
      <c r="A57" s="13" t="s">
        <v>2337</v>
      </c>
      <c r="B57" s="13" t="s">
        <v>701</v>
      </c>
      <c r="C57" s="13" t="s">
        <v>2245</v>
      </c>
      <c r="D57" s="13" t="s">
        <v>391</v>
      </c>
      <c r="E57" s="13" t="s">
        <v>488</v>
      </c>
      <c r="F57" s="13">
        <v>6</v>
      </c>
      <c r="G57" s="13" t="s">
        <v>2246</v>
      </c>
      <c r="H57" s="13" t="s">
        <v>1403</v>
      </c>
      <c r="I57" s="13" t="s">
        <v>502</v>
      </c>
      <c r="J57" s="13" t="s">
        <v>2247</v>
      </c>
    </row>
    <row r="58" spans="1:10" ht="82.8">
      <c r="A58" s="13" t="s">
        <v>2338</v>
      </c>
      <c r="B58" s="13" t="s">
        <v>575</v>
      </c>
      <c r="C58" s="13" t="s">
        <v>2339</v>
      </c>
      <c r="D58" s="13" t="s">
        <v>492</v>
      </c>
      <c r="E58" s="13" t="s">
        <v>488</v>
      </c>
      <c r="F58" s="13">
        <v>8</v>
      </c>
      <c r="G58" s="13" t="s">
        <v>1039</v>
      </c>
      <c r="H58" s="13" t="s">
        <v>584</v>
      </c>
      <c r="I58" s="13" t="s">
        <v>502</v>
      </c>
      <c r="J58" s="13" t="s">
        <v>2340</v>
      </c>
    </row>
    <row r="59" spans="1:10" ht="96.6">
      <c r="A59" s="13" t="s">
        <v>2341</v>
      </c>
      <c r="B59" s="13" t="s">
        <v>575</v>
      </c>
      <c r="C59" s="13" t="s">
        <v>1047</v>
      </c>
      <c r="D59" s="13" t="s">
        <v>391</v>
      </c>
      <c r="E59" s="13" t="s">
        <v>488</v>
      </c>
      <c r="F59" s="13">
        <v>6</v>
      </c>
      <c r="G59" s="13" t="s">
        <v>2252</v>
      </c>
      <c r="H59" s="13" t="s">
        <v>1049</v>
      </c>
      <c r="I59" s="13" t="s">
        <v>502</v>
      </c>
      <c r="J59" s="13" t="s">
        <v>1737</v>
      </c>
    </row>
    <row r="60" spans="1:10">
      <c r="A60" s="13"/>
      <c r="B60" s="13"/>
      <c r="C60" s="13"/>
      <c r="D60" s="13"/>
      <c r="E60" s="13"/>
      <c r="F60" s="13"/>
      <c r="G60" s="13"/>
      <c r="H60" s="13"/>
      <c r="I60" s="13"/>
      <c r="J60" s="13"/>
    </row>
    <row r="61" spans="1:10">
      <c r="A61" s="842" t="s">
        <v>1051</v>
      </c>
      <c r="B61" s="839"/>
      <c r="C61" s="839"/>
      <c r="D61" s="85"/>
      <c r="E61" s="85"/>
      <c r="F61" s="85"/>
      <c r="G61" s="85"/>
      <c r="H61" s="85"/>
      <c r="I61" s="85"/>
      <c r="J61" s="85"/>
    </row>
    <row r="62" spans="1:10">
      <c r="A62" s="50" t="s">
        <v>221</v>
      </c>
      <c r="B62" s="50" t="s">
        <v>222</v>
      </c>
      <c r="C62" s="50" t="s">
        <v>265</v>
      </c>
      <c r="D62" s="50" t="s">
        <v>77</v>
      </c>
      <c r="E62" s="50" t="s">
        <v>878</v>
      </c>
      <c r="F62" s="50" t="s">
        <v>879</v>
      </c>
      <c r="G62" s="50" t="s">
        <v>880</v>
      </c>
      <c r="H62" s="50" t="s">
        <v>494</v>
      </c>
      <c r="I62" s="50" t="s">
        <v>881</v>
      </c>
      <c r="J62" s="50" t="s">
        <v>11</v>
      </c>
    </row>
    <row r="63" spans="1:10" ht="82.8">
      <c r="A63" s="13" t="s">
        <v>2342</v>
      </c>
      <c r="B63" s="13" t="s">
        <v>2343</v>
      </c>
      <c r="C63" s="13" t="s">
        <v>579</v>
      </c>
      <c r="D63" s="13" t="s">
        <v>502</v>
      </c>
      <c r="E63" s="13"/>
      <c r="F63" s="13"/>
      <c r="G63" s="13" t="s">
        <v>580</v>
      </c>
      <c r="H63" s="13"/>
      <c r="I63" s="13"/>
      <c r="J63" s="13"/>
    </row>
    <row r="64" spans="1:10" ht="55.2">
      <c r="A64" s="13" t="s">
        <v>2344</v>
      </c>
      <c r="B64" s="13" t="s">
        <v>2345</v>
      </c>
      <c r="C64" s="13" t="s">
        <v>587</v>
      </c>
      <c r="D64" s="13" t="s">
        <v>502</v>
      </c>
      <c r="E64" s="13"/>
      <c r="F64" s="13"/>
      <c r="G64" s="13" t="s">
        <v>588</v>
      </c>
      <c r="H64" s="13"/>
      <c r="I64" s="13"/>
      <c r="J64" s="13"/>
    </row>
    <row r="65" spans="1:10" ht="69">
      <c r="A65" s="13" t="s">
        <v>2346</v>
      </c>
      <c r="B65" s="13" t="s">
        <v>2347</v>
      </c>
      <c r="C65" s="13" t="s">
        <v>1858</v>
      </c>
      <c r="D65" s="13" t="s">
        <v>502</v>
      </c>
      <c r="E65" s="13"/>
      <c r="F65" s="13"/>
      <c r="G65" s="13" t="s">
        <v>1859</v>
      </c>
      <c r="H65" s="13"/>
      <c r="I65" s="13"/>
      <c r="J65" s="13"/>
    </row>
    <row r="66" spans="1:10" ht="69">
      <c r="A66" s="13" t="s">
        <v>2348</v>
      </c>
      <c r="B66" s="13" t="s">
        <v>2349</v>
      </c>
      <c r="C66" s="13" t="s">
        <v>601</v>
      </c>
      <c r="D66" s="13" t="s">
        <v>502</v>
      </c>
      <c r="E66" s="13"/>
      <c r="F66" s="13"/>
      <c r="G66" s="13" t="s">
        <v>602</v>
      </c>
      <c r="H66" s="13"/>
      <c r="I66" s="13"/>
      <c r="J66" s="13"/>
    </row>
    <row r="67" spans="1:10" ht="69">
      <c r="A67" s="13" t="s">
        <v>2350</v>
      </c>
      <c r="B67" s="13" t="s">
        <v>2351</v>
      </c>
      <c r="C67" s="13" t="s">
        <v>609</v>
      </c>
      <c r="D67" s="13" t="s">
        <v>502</v>
      </c>
      <c r="E67" s="13"/>
      <c r="F67" s="13"/>
      <c r="G67" s="13" t="s">
        <v>610</v>
      </c>
      <c r="H67" s="13"/>
      <c r="I67" s="13"/>
      <c r="J67" s="13"/>
    </row>
    <row r="68" spans="1:10" ht="82.8">
      <c r="A68" s="13" t="s">
        <v>2352</v>
      </c>
      <c r="B68" s="13" t="s">
        <v>2353</v>
      </c>
      <c r="C68" s="13" t="s">
        <v>616</v>
      </c>
      <c r="D68" s="13" t="s">
        <v>502</v>
      </c>
      <c r="E68" s="13"/>
      <c r="F68" s="13"/>
      <c r="G68" s="13" t="s">
        <v>617</v>
      </c>
      <c r="H68" s="13"/>
      <c r="I68" s="13"/>
      <c r="J68" s="13"/>
    </row>
    <row r="69" spans="1:10" ht="96.6">
      <c r="A69" s="13" t="s">
        <v>2354</v>
      </c>
      <c r="B69" s="13" t="s">
        <v>624</v>
      </c>
      <c r="C69" s="13" t="s">
        <v>622</v>
      </c>
      <c r="D69" s="13" t="s">
        <v>502</v>
      </c>
      <c r="E69" s="13"/>
      <c r="F69" s="13"/>
      <c r="G69" s="13" t="s">
        <v>623</v>
      </c>
      <c r="H69" s="13"/>
      <c r="I69" s="13"/>
      <c r="J69" s="13"/>
    </row>
    <row r="70" spans="1:10" ht="82.8">
      <c r="A70" s="13" t="s">
        <v>2355</v>
      </c>
      <c r="B70" s="13" t="s">
        <v>1753</v>
      </c>
      <c r="C70" s="13" t="s">
        <v>1049</v>
      </c>
      <c r="D70" s="13" t="s">
        <v>502</v>
      </c>
      <c r="E70" s="13"/>
      <c r="F70" s="13"/>
      <c r="G70" s="13" t="s">
        <v>631</v>
      </c>
      <c r="H70" s="13"/>
      <c r="I70" s="13"/>
      <c r="J70" s="13"/>
    </row>
    <row r="71" spans="1:10">
      <c r="A71" s="13"/>
      <c r="B71" s="13"/>
      <c r="C71" s="13"/>
      <c r="D71" s="13"/>
      <c r="E71" s="13"/>
      <c r="F71" s="13"/>
      <c r="G71" s="13"/>
      <c r="H71" s="13"/>
      <c r="I71" s="13"/>
      <c r="J71" s="13"/>
    </row>
    <row r="72" spans="1:10">
      <c r="A72" s="842" t="s">
        <v>1052</v>
      </c>
      <c r="B72" s="839"/>
      <c r="C72" s="839"/>
      <c r="D72" s="85"/>
      <c r="E72" s="85"/>
      <c r="F72" s="85"/>
      <c r="G72" s="85"/>
      <c r="H72" s="85"/>
      <c r="I72" s="85"/>
      <c r="J72" s="85"/>
    </row>
    <row r="73" spans="1:10">
      <c r="A73" s="50" t="s">
        <v>291</v>
      </c>
      <c r="B73" s="50" t="s">
        <v>275</v>
      </c>
      <c r="C73" s="50" t="s">
        <v>493</v>
      </c>
      <c r="D73" s="50" t="s">
        <v>214</v>
      </c>
      <c r="E73" s="50" t="s">
        <v>263</v>
      </c>
      <c r="F73" s="50" t="s">
        <v>891</v>
      </c>
      <c r="G73" s="50" t="s">
        <v>892</v>
      </c>
      <c r="H73" s="50" t="s">
        <v>893</v>
      </c>
      <c r="I73" s="50" t="s">
        <v>77</v>
      </c>
      <c r="J73" s="50" t="s">
        <v>11</v>
      </c>
    </row>
    <row r="74" spans="1:10" ht="96.6">
      <c r="A74" s="13" t="s">
        <v>2356</v>
      </c>
      <c r="B74" s="13" t="s">
        <v>701</v>
      </c>
      <c r="C74" s="13" t="s">
        <v>269</v>
      </c>
      <c r="D74" s="13" t="s">
        <v>2357</v>
      </c>
      <c r="E74" s="13"/>
      <c r="F74" s="13" t="s">
        <v>229</v>
      </c>
      <c r="G74" s="13"/>
      <c r="H74" s="13" t="s">
        <v>2358</v>
      </c>
      <c r="I74" s="13" t="s">
        <v>502</v>
      </c>
      <c r="J74" s="13"/>
    </row>
    <row r="75" spans="1:10" ht="110.4">
      <c r="A75" s="13" t="s">
        <v>2359</v>
      </c>
      <c r="B75" s="13" t="s">
        <v>2298</v>
      </c>
      <c r="C75" s="13" t="s">
        <v>269</v>
      </c>
      <c r="D75" s="13" t="s">
        <v>2360</v>
      </c>
      <c r="E75" s="13"/>
      <c r="F75" s="13" t="s">
        <v>229</v>
      </c>
      <c r="G75" s="13"/>
      <c r="H75" s="13" t="s">
        <v>2361</v>
      </c>
      <c r="I75" s="13" t="s">
        <v>502</v>
      </c>
      <c r="J75" s="13"/>
    </row>
    <row r="76" spans="1:10" ht="96.6">
      <c r="A76" s="13" t="s">
        <v>2362</v>
      </c>
      <c r="B76" s="13" t="s">
        <v>2302</v>
      </c>
      <c r="C76" s="13" t="s">
        <v>269</v>
      </c>
      <c r="D76" s="13" t="s">
        <v>2363</v>
      </c>
      <c r="E76" s="13"/>
      <c r="F76" s="13" t="s">
        <v>229</v>
      </c>
      <c r="G76" s="13"/>
      <c r="H76" s="13" t="s">
        <v>2361</v>
      </c>
      <c r="I76" s="13" t="s">
        <v>502</v>
      </c>
      <c r="J76" s="13"/>
    </row>
    <row r="77" spans="1:10" ht="96.6">
      <c r="A77" s="13" t="s">
        <v>2364</v>
      </c>
      <c r="B77" s="13" t="s">
        <v>701</v>
      </c>
      <c r="C77" s="13" t="s">
        <v>749</v>
      </c>
      <c r="D77" s="13" t="s">
        <v>2274</v>
      </c>
      <c r="E77" s="13"/>
      <c r="F77" s="13" t="s">
        <v>229</v>
      </c>
      <c r="G77" s="13"/>
      <c r="H77" s="13" t="s">
        <v>2327</v>
      </c>
      <c r="I77" s="13" t="s">
        <v>502</v>
      </c>
      <c r="J77" s="13"/>
    </row>
    <row r="78" spans="1:10" ht="69">
      <c r="A78" s="13" t="s">
        <v>2365</v>
      </c>
      <c r="B78" s="13" t="s">
        <v>701</v>
      </c>
      <c r="C78" s="13" t="s">
        <v>957</v>
      </c>
      <c r="D78" s="13" t="s">
        <v>1659</v>
      </c>
      <c r="E78" s="13"/>
      <c r="F78" s="13" t="s">
        <v>229</v>
      </c>
      <c r="G78" s="13"/>
      <c r="H78" s="13" t="s">
        <v>2337</v>
      </c>
      <c r="I78" s="13" t="s">
        <v>502</v>
      </c>
      <c r="J78" s="13"/>
    </row>
    <row r="79" spans="1:10" ht="96.6">
      <c r="A79" s="13" t="s">
        <v>2366</v>
      </c>
      <c r="B79" s="13" t="s">
        <v>701</v>
      </c>
      <c r="C79" s="13" t="s">
        <v>148</v>
      </c>
      <c r="D79" s="13" t="s">
        <v>2081</v>
      </c>
      <c r="E79" s="13"/>
      <c r="F79" s="13" t="s">
        <v>229</v>
      </c>
      <c r="G79" s="13"/>
      <c r="H79" s="13" t="s">
        <v>2333</v>
      </c>
      <c r="I79" s="13" t="s">
        <v>502</v>
      </c>
      <c r="J79" s="13"/>
    </row>
    <row r="80" spans="1:10" ht="96.6">
      <c r="A80" s="13" t="s">
        <v>2367</v>
      </c>
      <c r="B80" s="13" t="s">
        <v>701</v>
      </c>
      <c r="C80" s="13" t="s">
        <v>153</v>
      </c>
      <c r="D80" s="13" t="s">
        <v>2368</v>
      </c>
      <c r="E80" s="13"/>
      <c r="F80" s="13" t="s">
        <v>229</v>
      </c>
      <c r="G80" s="13"/>
      <c r="H80" s="13" t="s">
        <v>2334</v>
      </c>
      <c r="I80" s="13" t="s">
        <v>502</v>
      </c>
      <c r="J80" s="13"/>
    </row>
    <row r="81" spans="1:10" ht="110.4">
      <c r="A81" s="13" t="s">
        <v>2369</v>
      </c>
      <c r="B81" s="13" t="s">
        <v>2370</v>
      </c>
      <c r="C81" s="13" t="s">
        <v>1975</v>
      </c>
      <c r="D81" s="13" t="s">
        <v>2371</v>
      </c>
      <c r="E81" s="13"/>
      <c r="F81" s="13" t="s">
        <v>229</v>
      </c>
      <c r="G81" s="13"/>
      <c r="H81" s="13" t="s">
        <v>2372</v>
      </c>
      <c r="I81" s="13" t="s">
        <v>502</v>
      </c>
      <c r="J81" s="13"/>
    </row>
    <row r="82" spans="1:10">
      <c r="A82" s="13"/>
      <c r="B82" s="13"/>
      <c r="C82" s="13"/>
      <c r="D82" s="13"/>
      <c r="E82" s="13"/>
      <c r="F82" s="13"/>
      <c r="G82" s="13"/>
      <c r="H82" s="13"/>
      <c r="I82" s="13"/>
      <c r="J82" s="13"/>
    </row>
    <row r="83" spans="1:10" ht="43.2">
      <c r="A83" s="85" t="s">
        <v>1079</v>
      </c>
      <c r="B83" s="85"/>
      <c r="C83" s="85"/>
      <c r="D83" s="85"/>
      <c r="E83" s="85"/>
      <c r="F83" s="85"/>
      <c r="G83" s="85"/>
      <c r="H83" s="85"/>
      <c r="I83" s="85"/>
      <c r="J83" s="85"/>
    </row>
    <row r="84" spans="1:10">
      <c r="A84" s="50" t="s">
        <v>275</v>
      </c>
      <c r="B84" s="50" t="s">
        <v>895</v>
      </c>
      <c r="C84" s="50" t="s">
        <v>896</v>
      </c>
      <c r="D84" s="50" t="s">
        <v>148</v>
      </c>
      <c r="E84" s="50" t="s">
        <v>153</v>
      </c>
      <c r="F84" s="50" t="s">
        <v>155</v>
      </c>
      <c r="G84" s="50" t="s">
        <v>491</v>
      </c>
      <c r="H84" s="50" t="s">
        <v>897</v>
      </c>
      <c r="I84" s="50" t="s">
        <v>174</v>
      </c>
      <c r="J84" s="50" t="s">
        <v>11</v>
      </c>
    </row>
    <row r="85" spans="1:10" ht="55.2">
      <c r="A85" s="13" t="s">
        <v>701</v>
      </c>
      <c r="B85" s="13">
        <v>0.5</v>
      </c>
      <c r="C85" s="13">
        <v>0.5</v>
      </c>
      <c r="D85" s="13">
        <v>0.5</v>
      </c>
      <c r="E85" s="13">
        <v>0.5</v>
      </c>
      <c r="F85" s="13">
        <v>0.5</v>
      </c>
      <c r="G85" s="13" t="s">
        <v>677</v>
      </c>
      <c r="H85" s="13">
        <v>0.5</v>
      </c>
      <c r="I85" s="13" t="s">
        <v>1201</v>
      </c>
      <c r="J85" s="13" t="s">
        <v>2373</v>
      </c>
    </row>
    <row r="86" spans="1:10" ht="41.4">
      <c r="A86" s="13" t="s">
        <v>2298</v>
      </c>
      <c r="B86" s="13">
        <v>0.5</v>
      </c>
      <c r="C86" s="13">
        <v>0.5</v>
      </c>
      <c r="D86" s="13">
        <v>0.5</v>
      </c>
      <c r="E86" s="13">
        <v>0.5</v>
      </c>
      <c r="F86" s="13">
        <v>0.5</v>
      </c>
      <c r="G86" s="13" t="s">
        <v>677</v>
      </c>
      <c r="H86" s="13">
        <v>0.5</v>
      </c>
      <c r="I86" s="13" t="s">
        <v>1201</v>
      </c>
      <c r="J86" s="13" t="s">
        <v>2374</v>
      </c>
    </row>
    <row r="87" spans="1:10" ht="41.4">
      <c r="A87" s="13" t="s">
        <v>2302</v>
      </c>
      <c r="B87" s="13">
        <v>0.5</v>
      </c>
      <c r="C87" s="13">
        <v>0.5</v>
      </c>
      <c r="D87" s="13">
        <v>0.5</v>
      </c>
      <c r="E87" s="13">
        <v>0.5</v>
      </c>
      <c r="F87" s="13">
        <v>0.5</v>
      </c>
      <c r="G87" s="13" t="s">
        <v>677</v>
      </c>
      <c r="H87" s="13">
        <v>0.5</v>
      </c>
      <c r="I87" s="13" t="s">
        <v>1201</v>
      </c>
      <c r="J87" s="13" t="s">
        <v>2375</v>
      </c>
    </row>
    <row r="88" spans="1:10">
      <c r="A88" s="13"/>
      <c r="B88" s="13"/>
      <c r="C88" s="13"/>
      <c r="D88" s="13"/>
      <c r="E88" s="13"/>
      <c r="F88" s="13"/>
      <c r="G88" s="13"/>
      <c r="H88" s="13"/>
      <c r="I88" s="13"/>
      <c r="J88" s="13"/>
    </row>
    <row r="89" spans="1:10" ht="43.2">
      <c r="A89" s="85" t="s">
        <v>1085</v>
      </c>
      <c r="B89" s="85"/>
      <c r="C89" s="85"/>
      <c r="D89" s="85"/>
      <c r="E89" s="85"/>
      <c r="F89" s="85"/>
      <c r="G89" s="85"/>
      <c r="H89" s="85"/>
      <c r="I89" s="85"/>
      <c r="J89" s="85"/>
    </row>
    <row r="90" spans="1:10" ht="55.2">
      <c r="A90" s="50" t="s">
        <v>905</v>
      </c>
      <c r="B90" s="50" t="s">
        <v>803</v>
      </c>
      <c r="C90" s="50"/>
      <c r="D90" s="50"/>
      <c r="E90" s="50"/>
      <c r="F90" s="50"/>
      <c r="G90" s="50"/>
      <c r="H90" s="50"/>
      <c r="I90" s="50"/>
      <c r="J90" s="50"/>
    </row>
    <row r="91" spans="1:10" ht="207">
      <c r="A91" s="13" t="s">
        <v>1086</v>
      </c>
      <c r="B91" s="13" t="s">
        <v>2376</v>
      </c>
      <c r="C91" s="13"/>
      <c r="D91" s="13"/>
      <c r="E91" s="13"/>
      <c r="F91" s="13"/>
      <c r="G91" s="13"/>
      <c r="H91" s="13"/>
      <c r="I91" s="13"/>
      <c r="J91" s="13"/>
    </row>
    <row r="92" spans="1:10" ht="151.80000000000001">
      <c r="A92" s="13" t="s">
        <v>2090</v>
      </c>
      <c r="B92" s="13" t="s">
        <v>2377</v>
      </c>
      <c r="C92" s="13"/>
      <c r="D92" s="13"/>
      <c r="E92" s="13"/>
      <c r="F92" s="13"/>
      <c r="G92" s="13"/>
      <c r="H92" s="13"/>
      <c r="I92" s="13"/>
      <c r="J92" s="13"/>
    </row>
    <row r="93" spans="1:10" ht="234.6">
      <c r="A93" s="13" t="s">
        <v>1088</v>
      </c>
      <c r="B93" s="13" t="s">
        <v>2378</v>
      </c>
      <c r="C93" s="13"/>
      <c r="D93" s="13"/>
      <c r="E93" s="13"/>
      <c r="F93" s="13"/>
      <c r="G93" s="13"/>
      <c r="H93" s="13"/>
      <c r="I93" s="13"/>
      <c r="J93" s="13"/>
    </row>
    <row r="94" spans="1:10" ht="165.6">
      <c r="A94" s="13" t="s">
        <v>1089</v>
      </c>
      <c r="B94" s="13" t="s">
        <v>2379</v>
      </c>
      <c r="C94" s="13"/>
      <c r="D94" s="13"/>
      <c r="E94" s="13"/>
      <c r="F94" s="13"/>
      <c r="G94" s="13"/>
      <c r="H94" s="13"/>
      <c r="I94" s="13"/>
      <c r="J94" s="13"/>
    </row>
    <row r="95" spans="1:10" ht="165.6">
      <c r="A95" s="13" t="s">
        <v>1090</v>
      </c>
      <c r="B95" s="13" t="s">
        <v>2380</v>
      </c>
      <c r="C95" s="13"/>
      <c r="D95" s="13"/>
      <c r="E95" s="13"/>
      <c r="F95" s="13"/>
      <c r="G95" s="13"/>
      <c r="H95" s="13"/>
      <c r="I95" s="13"/>
      <c r="J95" s="13"/>
    </row>
    <row r="96" spans="1:10" ht="207">
      <c r="A96" s="13" t="s">
        <v>1563</v>
      </c>
      <c r="B96" s="13" t="s">
        <v>1776</v>
      </c>
      <c r="C96" s="13"/>
      <c r="D96" s="13"/>
      <c r="E96" s="13"/>
      <c r="F96" s="13"/>
      <c r="G96" s="13"/>
      <c r="H96" s="13"/>
      <c r="I96" s="13"/>
      <c r="J96" s="13"/>
    </row>
    <row r="98" spans="1:10" ht="15" thickBot="1"/>
    <row r="99" spans="1:10">
      <c r="A99" s="855" t="s">
        <v>5875</v>
      </c>
      <c r="B99" s="856"/>
      <c r="C99" s="856"/>
      <c r="D99" s="857"/>
      <c r="E99" s="856"/>
      <c r="F99" s="856"/>
      <c r="G99" s="857"/>
      <c r="H99" s="857"/>
      <c r="I99" s="857"/>
      <c r="J99" s="858"/>
    </row>
    <row r="100" spans="1:10">
      <c r="A100" s="325" t="s">
        <v>5817</v>
      </c>
      <c r="B100" s="326" t="s">
        <v>77</v>
      </c>
      <c r="C100" s="326" t="s">
        <v>5818</v>
      </c>
      <c r="D100" s="326" t="s">
        <v>5819</v>
      </c>
      <c r="E100" s="326" t="s">
        <v>5841</v>
      </c>
      <c r="F100" s="326" t="s">
        <v>5808</v>
      </c>
      <c r="G100" s="859" t="s">
        <v>5842</v>
      </c>
      <c r="H100" s="859"/>
      <c r="I100" s="859"/>
      <c r="J100" s="860"/>
    </row>
    <row r="101" spans="1:10" ht="26.4">
      <c r="A101" s="327" t="s">
        <v>5820</v>
      </c>
      <c r="B101" s="337" t="s">
        <v>484</v>
      </c>
      <c r="C101" s="329">
        <v>0</v>
      </c>
      <c r="D101" s="329">
        <v>0</v>
      </c>
      <c r="E101" s="196" t="s">
        <v>5881</v>
      </c>
      <c r="F101" s="329">
        <f>IF(AND(C101&lt;&gt;"",D101&lt;&gt;""),D101-C101,"")</f>
        <v>0</v>
      </c>
      <c r="G101" s="861"/>
      <c r="H101" s="861"/>
      <c r="I101" s="861"/>
      <c r="J101" s="862"/>
    </row>
    <row r="102" spans="1:10" ht="26.4">
      <c r="A102" s="330" t="s">
        <v>5821</v>
      </c>
      <c r="B102" s="337" t="s">
        <v>484</v>
      </c>
      <c r="C102" s="331">
        <v>1</v>
      </c>
      <c r="D102" s="331">
        <v>0</v>
      </c>
      <c r="E102" s="314" t="s">
        <v>5882</v>
      </c>
      <c r="F102" s="331">
        <f>IF(AND(C102&lt;&gt;"",D102&lt;&gt;""),D102-C102,"")</f>
        <v>-1</v>
      </c>
      <c r="G102" s="863"/>
      <c r="H102" s="863"/>
      <c r="I102" s="863"/>
      <c r="J102" s="864"/>
    </row>
    <row r="103" spans="1:10">
      <c r="A103" s="327" t="s">
        <v>5822</v>
      </c>
      <c r="B103" s="337" t="s">
        <v>484</v>
      </c>
      <c r="C103" s="331">
        <v>1</v>
      </c>
      <c r="D103" s="331">
        <v>0</v>
      </c>
      <c r="E103" s="314" t="s">
        <v>5882</v>
      </c>
      <c r="F103" s="329">
        <f>IF(AND(C103&lt;&gt;"",D103&lt;&gt;""),D103-C103,"")</f>
        <v>-1</v>
      </c>
      <c r="G103" s="332"/>
      <c r="H103" s="231"/>
      <c r="I103" s="231"/>
      <c r="J103" s="333"/>
    </row>
    <row r="104" spans="1:10">
      <c r="A104" s="330" t="s">
        <v>5823</v>
      </c>
      <c r="B104" s="337" t="s">
        <v>484</v>
      </c>
      <c r="C104" s="331">
        <v>1</v>
      </c>
      <c r="D104" s="331">
        <v>0</v>
      </c>
      <c r="E104" s="314" t="s">
        <v>5882</v>
      </c>
      <c r="F104" s="331">
        <f>IF(AND(C104&lt;&gt;"",D104&lt;&gt;""),D104-C104,"")</f>
        <v>-1</v>
      </c>
      <c r="G104" s="863"/>
      <c r="H104" s="863"/>
      <c r="I104" s="863"/>
      <c r="J104" s="864"/>
    </row>
    <row r="105" spans="1:10">
      <c r="A105" s="327" t="s">
        <v>5168</v>
      </c>
      <c r="B105" s="337" t="s">
        <v>484</v>
      </c>
      <c r="C105" s="331">
        <v>1</v>
      </c>
      <c r="D105" s="331">
        <v>0</v>
      </c>
      <c r="E105" s="314" t="s">
        <v>5882</v>
      </c>
      <c r="F105" s="329">
        <f>IF(AND(C105&lt;&gt;"",D105&lt;&gt;""),D105-C105,"")</f>
        <v>-1</v>
      </c>
      <c r="G105" s="332"/>
      <c r="H105" s="231"/>
      <c r="I105" s="231"/>
      <c r="J105" s="333"/>
    </row>
    <row r="106" spans="1:10" ht="15.6">
      <c r="A106" s="865" t="s">
        <v>5843</v>
      </c>
      <c r="B106" s="713"/>
      <c r="C106" s="334">
        <f>IFERROR(AVERAGE(C101:C105),"")</f>
        <v>0.8</v>
      </c>
      <c r="D106" s="334">
        <f>IFERROR(AVERAGE(D101:D105),"")</f>
        <v>0</v>
      </c>
      <c r="E106" s="866" t="s">
        <v>5844</v>
      </c>
      <c r="F106" s="866"/>
      <c r="G106" s="866"/>
      <c r="H106" s="866"/>
      <c r="I106" s="866"/>
      <c r="J106" s="867"/>
    </row>
    <row r="107" spans="1:10">
      <c r="A107" s="335"/>
      <c r="B107" s="320"/>
      <c r="C107" s="320"/>
      <c r="D107" s="320"/>
      <c r="E107" s="320"/>
      <c r="F107" s="320"/>
      <c r="G107" s="320"/>
      <c r="H107" s="231"/>
      <c r="I107" s="231"/>
      <c r="J107" s="333"/>
    </row>
    <row r="108" spans="1:10">
      <c r="A108" s="876" t="s">
        <v>5876</v>
      </c>
      <c r="B108" s="853"/>
      <c r="C108" s="853"/>
      <c r="D108" s="842"/>
      <c r="E108" s="853"/>
      <c r="F108" s="853"/>
      <c r="G108" s="842"/>
      <c r="H108" s="842"/>
      <c r="I108" s="842"/>
      <c r="J108" s="868"/>
    </row>
    <row r="109" spans="1:10">
      <c r="A109" s="325" t="s">
        <v>4946</v>
      </c>
      <c r="B109" s="326" t="s">
        <v>77</v>
      </c>
      <c r="C109" s="326" t="s">
        <v>5883</v>
      </c>
      <c r="D109" s="326" t="s">
        <v>482</v>
      </c>
      <c r="E109" s="326" t="s">
        <v>572</v>
      </c>
      <c r="F109" s="326" t="s">
        <v>5846</v>
      </c>
      <c r="G109" s="859" t="s">
        <v>5847</v>
      </c>
      <c r="H109" s="859"/>
      <c r="I109" s="859"/>
      <c r="J109" s="860"/>
    </row>
    <row r="110" spans="1:10" ht="26.4">
      <c r="A110" s="330" t="s">
        <v>5809</v>
      </c>
      <c r="B110" s="337" t="s">
        <v>484</v>
      </c>
      <c r="C110" s="336" t="s">
        <v>679</v>
      </c>
      <c r="D110" s="328" t="s">
        <v>679</v>
      </c>
      <c r="E110" s="336">
        <f>IF(D110="Yes",1,0)</f>
        <v>0</v>
      </c>
      <c r="F110" s="877"/>
      <c r="G110" s="877"/>
      <c r="H110" s="877"/>
      <c r="I110" s="877"/>
      <c r="J110" s="878"/>
    </row>
    <row r="111" spans="1:10">
      <c r="A111" s="327" t="s">
        <v>995</v>
      </c>
      <c r="B111" s="337" t="s">
        <v>484</v>
      </c>
      <c r="C111" s="336" t="s">
        <v>679</v>
      </c>
      <c r="D111" s="328" t="s">
        <v>679</v>
      </c>
      <c r="E111" s="328">
        <f t="shared" ref="E111:E117" si="0">IF(D111="Yes",1,0)</f>
        <v>0</v>
      </c>
      <c r="F111" s="877"/>
      <c r="G111" s="877"/>
      <c r="H111" s="877"/>
      <c r="I111" s="877"/>
      <c r="J111" s="878"/>
    </row>
    <row r="112" spans="1:10">
      <c r="A112" s="330" t="s">
        <v>5810</v>
      </c>
      <c r="B112" s="337" t="s">
        <v>484</v>
      </c>
      <c r="C112" s="336" t="s">
        <v>679</v>
      </c>
      <c r="D112" s="328" t="s">
        <v>679</v>
      </c>
      <c r="E112" s="336">
        <f t="shared" si="0"/>
        <v>0</v>
      </c>
      <c r="F112" s="877"/>
      <c r="G112" s="877"/>
      <c r="H112" s="877"/>
      <c r="I112" s="877"/>
      <c r="J112" s="878"/>
    </row>
    <row r="113" spans="1:10">
      <c r="A113" s="327" t="s">
        <v>5824</v>
      </c>
      <c r="B113" s="337" t="s">
        <v>484</v>
      </c>
      <c r="C113" s="336" t="s">
        <v>679</v>
      </c>
      <c r="D113" s="328" t="s">
        <v>679</v>
      </c>
      <c r="E113" s="328">
        <f t="shared" si="0"/>
        <v>0</v>
      </c>
      <c r="F113" s="877"/>
      <c r="G113" s="877"/>
      <c r="H113" s="877"/>
      <c r="I113" s="877"/>
      <c r="J113" s="878"/>
    </row>
    <row r="114" spans="1:10" ht="39.6">
      <c r="A114" s="330" t="s">
        <v>5825</v>
      </c>
      <c r="B114" s="337" t="s">
        <v>484</v>
      </c>
      <c r="C114" s="336" t="s">
        <v>679</v>
      </c>
      <c r="D114" s="328" t="s">
        <v>679</v>
      </c>
      <c r="E114" s="336">
        <f t="shared" si="0"/>
        <v>0</v>
      </c>
      <c r="F114" s="877"/>
      <c r="G114" s="877"/>
      <c r="H114" s="877"/>
      <c r="I114" s="877"/>
      <c r="J114" s="878"/>
    </row>
    <row r="115" spans="1:10" ht="26.4">
      <c r="A115" s="327" t="s">
        <v>5826</v>
      </c>
      <c r="B115" s="337" t="s">
        <v>484</v>
      </c>
      <c r="C115" s="336" t="s">
        <v>679</v>
      </c>
      <c r="D115" s="328" t="s">
        <v>679</v>
      </c>
      <c r="E115" s="328">
        <f t="shared" si="0"/>
        <v>0</v>
      </c>
      <c r="F115" s="877"/>
      <c r="G115" s="877"/>
      <c r="H115" s="877"/>
      <c r="I115" s="877"/>
      <c r="J115" s="878"/>
    </row>
    <row r="116" spans="1:10">
      <c r="A116" s="330" t="s">
        <v>5811</v>
      </c>
      <c r="B116" s="337" t="s">
        <v>484</v>
      </c>
      <c r="C116" s="336" t="s">
        <v>679</v>
      </c>
      <c r="D116" s="328" t="s">
        <v>679</v>
      </c>
      <c r="E116" s="336">
        <f t="shared" si="0"/>
        <v>0</v>
      </c>
      <c r="F116" s="877"/>
      <c r="G116" s="877"/>
      <c r="H116" s="877"/>
      <c r="I116" s="877"/>
      <c r="J116" s="878"/>
    </row>
    <row r="117" spans="1:10" ht="26.4">
      <c r="A117" s="327" t="s">
        <v>5812</v>
      </c>
      <c r="B117" s="337" t="s">
        <v>484</v>
      </c>
      <c r="C117" s="336" t="s">
        <v>679</v>
      </c>
      <c r="D117" s="328" t="s">
        <v>679</v>
      </c>
      <c r="E117" s="328">
        <f t="shared" si="0"/>
        <v>0</v>
      </c>
      <c r="F117" s="877"/>
      <c r="G117" s="877"/>
      <c r="H117" s="877"/>
      <c r="I117" s="877"/>
      <c r="J117" s="878"/>
    </row>
    <row r="118" spans="1:10" ht="15.6">
      <c r="A118" s="865" t="s">
        <v>5848</v>
      </c>
      <c r="B118" s="713"/>
      <c r="C118" s="871" t="str">
        <f>IFERROR(SUM(E110:E117)/COUNTIF(C110:C117,"Yes"),"")</f>
        <v/>
      </c>
      <c r="D118" s="872"/>
      <c r="E118" s="866" t="s">
        <v>5849</v>
      </c>
      <c r="F118" s="866"/>
      <c r="G118" s="866"/>
      <c r="H118" s="866"/>
      <c r="I118" s="866"/>
      <c r="J118" s="867"/>
    </row>
    <row r="119" spans="1:10">
      <c r="A119" s="335"/>
      <c r="B119" s="320"/>
      <c r="C119" s="320"/>
      <c r="D119" s="320"/>
      <c r="E119" s="320"/>
      <c r="F119" s="320"/>
      <c r="G119" s="320"/>
      <c r="H119" s="231"/>
      <c r="I119" s="231"/>
      <c r="J119" s="333"/>
    </row>
    <row r="120" spans="1:10">
      <c r="A120" s="876" t="s">
        <v>5877</v>
      </c>
      <c r="B120" s="853"/>
      <c r="C120" s="853"/>
      <c r="D120" s="842"/>
      <c r="E120" s="853"/>
      <c r="F120" s="853"/>
      <c r="G120" s="842"/>
      <c r="H120" s="842"/>
      <c r="I120" s="842"/>
      <c r="J120" s="868"/>
    </row>
    <row r="121" spans="1:10">
      <c r="A121" s="325" t="s">
        <v>5850</v>
      </c>
      <c r="B121" s="326" t="s">
        <v>77</v>
      </c>
      <c r="C121" s="326" t="s">
        <v>5827</v>
      </c>
      <c r="D121" s="326" t="s">
        <v>5828</v>
      </c>
      <c r="E121" s="326" t="s">
        <v>5829</v>
      </c>
      <c r="F121" s="326" t="s">
        <v>5851</v>
      </c>
      <c r="G121" s="859" t="s">
        <v>5852</v>
      </c>
      <c r="H121" s="859"/>
      <c r="I121" s="859"/>
      <c r="J121" s="860"/>
    </row>
    <row r="122" spans="1:10" ht="26.4">
      <c r="A122" s="330" t="s">
        <v>5830</v>
      </c>
      <c r="B122" s="336" t="s">
        <v>484</v>
      </c>
      <c r="C122" s="336" t="s">
        <v>1096</v>
      </c>
      <c r="D122" s="336" t="s">
        <v>1096</v>
      </c>
      <c r="E122" s="336" t="s">
        <v>1096</v>
      </c>
      <c r="F122" s="336" t="s">
        <v>348</v>
      </c>
      <c r="G122" s="869"/>
      <c r="H122" s="869"/>
      <c r="I122" s="869"/>
      <c r="J122" s="870"/>
    </row>
    <row r="123" spans="1:10">
      <c r="A123" s="327" t="s">
        <v>5831</v>
      </c>
      <c r="B123" s="336" t="s">
        <v>484</v>
      </c>
      <c r="C123" s="336" t="s">
        <v>1096</v>
      </c>
      <c r="D123" s="336" t="s">
        <v>1096</v>
      </c>
      <c r="E123" s="336" t="s">
        <v>1096</v>
      </c>
      <c r="F123" s="336" t="s">
        <v>348</v>
      </c>
      <c r="G123" s="869"/>
      <c r="H123" s="869"/>
      <c r="I123" s="869"/>
      <c r="J123" s="870"/>
    </row>
    <row r="124" spans="1:10">
      <c r="A124" s="330" t="s">
        <v>5853</v>
      </c>
      <c r="B124" s="336" t="s">
        <v>484</v>
      </c>
      <c r="C124" s="336" t="s">
        <v>1096</v>
      </c>
      <c r="D124" s="336" t="s">
        <v>1096</v>
      </c>
      <c r="E124" s="336" t="s">
        <v>1096</v>
      </c>
      <c r="F124" s="336" t="s">
        <v>348</v>
      </c>
      <c r="G124" s="869"/>
      <c r="H124" s="869"/>
      <c r="I124" s="869"/>
      <c r="J124" s="870"/>
    </row>
    <row r="125" spans="1:10">
      <c r="A125" s="327" t="s">
        <v>5832</v>
      </c>
      <c r="B125" s="336" t="s">
        <v>484</v>
      </c>
      <c r="C125" s="336" t="s">
        <v>1096</v>
      </c>
      <c r="D125" s="336" t="s">
        <v>1096</v>
      </c>
      <c r="E125" s="336" t="s">
        <v>1096</v>
      </c>
      <c r="F125" s="336" t="s">
        <v>348</v>
      </c>
      <c r="G125" s="869"/>
      <c r="H125" s="869"/>
      <c r="I125" s="869"/>
      <c r="J125" s="870"/>
    </row>
    <row r="126" spans="1:10" ht="26.4">
      <c r="A126" s="330" t="s">
        <v>5833</v>
      </c>
      <c r="B126" s="336" t="s">
        <v>484</v>
      </c>
      <c r="C126" s="336" t="s">
        <v>1096</v>
      </c>
      <c r="D126" s="336" t="s">
        <v>1096</v>
      </c>
      <c r="E126" s="336" t="s">
        <v>1096</v>
      </c>
      <c r="F126" s="336" t="s">
        <v>348</v>
      </c>
      <c r="G126" s="869"/>
      <c r="H126" s="869"/>
      <c r="I126" s="869"/>
      <c r="J126" s="870"/>
    </row>
    <row r="127" spans="1:10" ht="15.6">
      <c r="A127" s="865" t="s">
        <v>5884</v>
      </c>
      <c r="B127" s="713"/>
      <c r="C127" s="871">
        <f>IFERROR(COUNTIF(E122:E126,"Yes")/COUNTA(A122:A126),"")</f>
        <v>0</v>
      </c>
      <c r="D127" s="872"/>
      <c r="E127" s="866" t="s">
        <v>5855</v>
      </c>
      <c r="F127" s="866"/>
      <c r="G127" s="866"/>
      <c r="H127" s="866"/>
      <c r="I127" s="866"/>
      <c r="J127" s="867"/>
    </row>
    <row r="128" spans="1:10">
      <c r="A128" s="335"/>
      <c r="B128" s="320"/>
      <c r="C128" s="320"/>
      <c r="D128" s="320"/>
      <c r="E128" s="320"/>
      <c r="F128" s="320"/>
      <c r="G128" s="874"/>
      <c r="H128" s="874"/>
      <c r="I128" s="874"/>
      <c r="J128" s="875"/>
    </row>
    <row r="129" spans="1:10">
      <c r="A129" s="876" t="s">
        <v>5878</v>
      </c>
      <c r="B129" s="853"/>
      <c r="C129" s="853"/>
      <c r="D129" s="842"/>
      <c r="E129" s="853"/>
      <c r="F129" s="853"/>
      <c r="G129" s="842"/>
      <c r="H129" s="842"/>
      <c r="I129" s="842"/>
      <c r="J129" s="868"/>
    </row>
    <row r="130" spans="1:10">
      <c r="A130" s="326" t="s">
        <v>5813</v>
      </c>
      <c r="B130" s="326" t="s">
        <v>77</v>
      </c>
      <c r="C130" s="326" t="s">
        <v>5834</v>
      </c>
      <c r="D130" s="326" t="s">
        <v>5835</v>
      </c>
      <c r="E130" s="326" t="s">
        <v>5836</v>
      </c>
      <c r="F130" s="326" t="s">
        <v>5837</v>
      </c>
      <c r="G130" s="859" t="s">
        <v>5885</v>
      </c>
      <c r="H130" s="859"/>
      <c r="I130" s="859"/>
      <c r="J130" s="859"/>
    </row>
    <row r="131" spans="1:10">
      <c r="A131" s="332" t="s">
        <v>153</v>
      </c>
      <c r="B131" s="328" t="s">
        <v>484</v>
      </c>
      <c r="C131" s="328"/>
      <c r="D131" s="328"/>
      <c r="E131" s="328"/>
      <c r="F131" s="329" t="str">
        <f>IFERROR(D131/C131,"")</f>
        <v/>
      </c>
      <c r="G131" s="873"/>
      <c r="H131" s="873"/>
      <c r="I131" s="873"/>
      <c r="J131" s="873"/>
    </row>
    <row r="132" spans="1:10">
      <c r="A132" s="339" t="s">
        <v>155</v>
      </c>
      <c r="B132" s="336" t="s">
        <v>484</v>
      </c>
      <c r="C132" s="336"/>
      <c r="D132" s="336"/>
      <c r="E132" s="336"/>
      <c r="F132" s="331" t="str">
        <f>IFERROR(D132/C132,"")</f>
        <v/>
      </c>
      <c r="G132" s="873"/>
      <c r="H132" s="873"/>
      <c r="I132" s="873"/>
      <c r="J132" s="873"/>
    </row>
    <row r="133" spans="1:10">
      <c r="A133" s="332" t="s">
        <v>4821</v>
      </c>
      <c r="B133" s="328" t="s">
        <v>484</v>
      </c>
      <c r="C133" s="328"/>
      <c r="D133" s="328"/>
      <c r="E133" s="328"/>
      <c r="F133" s="329" t="str">
        <f>IFERROR(D133/C133,"")</f>
        <v/>
      </c>
      <c r="G133" s="873"/>
      <c r="H133" s="873"/>
      <c r="I133" s="873"/>
      <c r="J133" s="873"/>
    </row>
    <row r="134" spans="1:10">
      <c r="A134" s="339" t="s">
        <v>957</v>
      </c>
      <c r="B134" s="336" t="s">
        <v>484</v>
      </c>
      <c r="C134" s="336"/>
      <c r="D134" s="336"/>
      <c r="E134" s="336"/>
      <c r="F134" s="331" t="str">
        <f>IFERROR(D134/C134,"")</f>
        <v/>
      </c>
      <c r="G134" s="873"/>
      <c r="H134" s="873"/>
      <c r="I134" s="873"/>
      <c r="J134" s="873"/>
    </row>
    <row r="135" spans="1:10">
      <c r="A135" s="879" t="s">
        <v>5856</v>
      </c>
      <c r="B135" s="879"/>
      <c r="C135" s="879"/>
      <c r="D135" s="879"/>
      <c r="E135" s="866" t="s">
        <v>5857</v>
      </c>
      <c r="F135" s="866"/>
      <c r="G135" s="866"/>
      <c r="H135" s="866"/>
      <c r="I135" s="866"/>
      <c r="J135" s="866"/>
    </row>
    <row r="136" spans="1:10">
      <c r="A136" s="879"/>
      <c r="B136" s="879"/>
      <c r="C136" s="879"/>
      <c r="D136" s="879"/>
      <c r="E136" s="866"/>
      <c r="F136" s="866"/>
      <c r="G136" s="866"/>
      <c r="H136" s="866"/>
      <c r="I136" s="866"/>
      <c r="J136" s="866"/>
    </row>
    <row r="137" spans="1:10">
      <c r="A137" s="842" t="s">
        <v>5879</v>
      </c>
      <c r="B137" s="842"/>
      <c r="C137" s="842"/>
      <c r="D137" s="842"/>
      <c r="E137" s="842"/>
      <c r="F137" s="842"/>
      <c r="G137" s="842"/>
      <c r="H137" s="842"/>
      <c r="I137" s="842"/>
      <c r="J137" s="842"/>
    </row>
    <row r="138" spans="1:10">
      <c r="A138" s="326" t="s">
        <v>4946</v>
      </c>
      <c r="B138" s="326" t="s">
        <v>77</v>
      </c>
      <c r="C138" s="326" t="s">
        <v>5845</v>
      </c>
      <c r="D138" s="326" t="s">
        <v>482</v>
      </c>
      <c r="E138" s="326" t="s">
        <v>572</v>
      </c>
      <c r="F138" s="326" t="s">
        <v>944</v>
      </c>
      <c r="G138" s="859" t="s">
        <v>5847</v>
      </c>
      <c r="H138" s="859"/>
      <c r="I138" s="859"/>
      <c r="J138" s="859"/>
    </row>
    <row r="139" spans="1:10" ht="26.4">
      <c r="A139" s="332" t="s">
        <v>5814</v>
      </c>
      <c r="B139" s="328" t="s">
        <v>484</v>
      </c>
      <c r="C139" s="328" t="s">
        <v>392</v>
      </c>
      <c r="D139" s="328" t="s">
        <v>1096</v>
      </c>
      <c r="E139" s="328">
        <f t="shared" ref="E139:E144" si="1">IF(D139="Yes",1,0)</f>
        <v>0</v>
      </c>
      <c r="F139" s="328"/>
      <c r="G139" s="873"/>
      <c r="H139" s="873"/>
      <c r="I139" s="873"/>
      <c r="J139" s="873"/>
    </row>
    <row r="140" spans="1:10">
      <c r="A140" s="339" t="s">
        <v>5815</v>
      </c>
      <c r="B140" s="328" t="s">
        <v>484</v>
      </c>
      <c r="C140" s="336" t="s">
        <v>392</v>
      </c>
      <c r="D140" s="328" t="s">
        <v>1096</v>
      </c>
      <c r="E140" s="336">
        <f t="shared" si="1"/>
        <v>0</v>
      </c>
      <c r="F140" s="336"/>
      <c r="G140" s="873"/>
      <c r="H140" s="873"/>
      <c r="I140" s="873"/>
      <c r="J140" s="873"/>
    </row>
    <row r="141" spans="1:10" ht="26.4">
      <c r="A141" s="332" t="s">
        <v>5816</v>
      </c>
      <c r="B141" s="328" t="s">
        <v>484</v>
      </c>
      <c r="C141" s="328" t="s">
        <v>392</v>
      </c>
      <c r="D141" s="328" t="s">
        <v>1096</v>
      </c>
      <c r="E141" s="328">
        <f t="shared" si="1"/>
        <v>0</v>
      </c>
      <c r="F141" s="328"/>
      <c r="G141" s="873"/>
      <c r="H141" s="873"/>
      <c r="I141" s="873"/>
      <c r="J141" s="873"/>
    </row>
    <row r="142" spans="1:10">
      <c r="A142" s="339" t="s">
        <v>5838</v>
      </c>
      <c r="B142" s="328" t="s">
        <v>484</v>
      </c>
      <c r="C142" s="336" t="s">
        <v>392</v>
      </c>
      <c r="D142" s="328" t="s">
        <v>1096</v>
      </c>
      <c r="E142" s="336">
        <f t="shared" si="1"/>
        <v>0</v>
      </c>
      <c r="F142" s="336"/>
      <c r="G142" s="873"/>
      <c r="H142" s="873"/>
      <c r="I142" s="873"/>
      <c r="J142" s="873"/>
    </row>
    <row r="143" spans="1:10" ht="26.4">
      <c r="A143" s="332" t="s">
        <v>5839</v>
      </c>
      <c r="B143" s="328" t="s">
        <v>484</v>
      </c>
      <c r="C143" s="328" t="s">
        <v>392</v>
      </c>
      <c r="D143" s="328" t="s">
        <v>1096</v>
      </c>
      <c r="E143" s="328">
        <f t="shared" si="1"/>
        <v>0</v>
      </c>
      <c r="F143" s="328"/>
      <c r="G143" s="873"/>
      <c r="H143" s="873"/>
      <c r="I143" s="873"/>
      <c r="J143" s="873"/>
    </row>
    <row r="144" spans="1:10" ht="26.4">
      <c r="A144" s="339" t="s">
        <v>5840</v>
      </c>
      <c r="B144" s="328" t="s">
        <v>484</v>
      </c>
      <c r="C144" s="336" t="s">
        <v>392</v>
      </c>
      <c r="D144" s="336" t="s">
        <v>1096</v>
      </c>
      <c r="E144" s="336">
        <f t="shared" si="1"/>
        <v>0</v>
      </c>
      <c r="F144" s="336"/>
      <c r="G144" s="873"/>
      <c r="H144" s="873"/>
      <c r="I144" s="873"/>
      <c r="J144" s="873"/>
    </row>
    <row r="145" spans="1:10" ht="15.6">
      <c r="A145" s="880" t="s">
        <v>5858</v>
      </c>
      <c r="B145" s="713"/>
      <c r="C145" s="871">
        <f>IFERROR(SUM(E139:E144)/COUNTIF(C139:C144,"Yes"),"")</f>
        <v>0</v>
      </c>
      <c r="D145" s="872"/>
      <c r="E145" s="866" t="s">
        <v>5859</v>
      </c>
      <c r="F145" s="866"/>
      <c r="G145" s="866"/>
      <c r="H145" s="866"/>
      <c r="I145" s="866"/>
      <c r="J145" s="866"/>
    </row>
    <row r="146" spans="1:10">
      <c r="A146" s="196"/>
      <c r="B146" s="196"/>
      <c r="C146" s="196"/>
      <c r="D146" s="196"/>
      <c r="E146" s="196"/>
      <c r="F146" s="196"/>
      <c r="G146" s="196"/>
      <c r="H146" s="196"/>
      <c r="I146" s="196"/>
      <c r="J146" s="196"/>
    </row>
    <row r="147" spans="1:10">
      <c r="A147" s="842" t="s">
        <v>5880</v>
      </c>
      <c r="B147" s="853"/>
      <c r="C147" s="853"/>
      <c r="D147" s="321"/>
      <c r="E147" s="321"/>
      <c r="F147" s="321"/>
      <c r="G147" s="321"/>
      <c r="H147" s="321"/>
      <c r="I147" s="321"/>
      <c r="J147" s="321"/>
    </row>
    <row r="148" spans="1:10" ht="55.2">
      <c r="A148" s="322" t="s">
        <v>905</v>
      </c>
      <c r="B148" s="322" t="s">
        <v>830</v>
      </c>
      <c r="C148" s="322"/>
      <c r="D148" s="322"/>
      <c r="E148" s="322"/>
      <c r="F148" s="322"/>
      <c r="G148" s="322"/>
      <c r="H148" s="322"/>
      <c r="I148" s="322"/>
      <c r="J148" s="322"/>
    </row>
    <row r="149" spans="1:10">
      <c r="A149" s="319" t="s">
        <v>1086</v>
      </c>
      <c r="B149" s="852" t="s">
        <v>3292</v>
      </c>
      <c r="C149" s="853"/>
      <c r="D149" s="853"/>
      <c r="E149" s="853"/>
      <c r="F149" s="853"/>
      <c r="G149" s="853"/>
      <c r="H149" s="853"/>
      <c r="I149" s="853"/>
      <c r="J149" s="853"/>
    </row>
    <row r="150" spans="1:10" ht="27.6">
      <c r="A150" s="319" t="s">
        <v>2090</v>
      </c>
      <c r="B150" s="852" t="s">
        <v>3293</v>
      </c>
      <c r="C150" s="853"/>
      <c r="D150" s="853"/>
      <c r="E150" s="853"/>
      <c r="F150" s="853"/>
      <c r="G150" s="853"/>
      <c r="H150" s="853"/>
      <c r="I150" s="853"/>
      <c r="J150" s="853"/>
    </row>
    <row r="151" spans="1:10">
      <c r="A151" s="319" t="s">
        <v>1089</v>
      </c>
      <c r="B151" s="852" t="s">
        <v>3294</v>
      </c>
      <c r="C151" s="853"/>
      <c r="D151" s="853"/>
      <c r="E151" s="853"/>
      <c r="F151" s="853"/>
      <c r="G151" s="853"/>
      <c r="H151" s="853"/>
      <c r="I151" s="853"/>
      <c r="J151" s="853"/>
    </row>
    <row r="152" spans="1:10">
      <c r="A152" s="319" t="s">
        <v>1090</v>
      </c>
      <c r="B152" s="852" t="s">
        <v>3295</v>
      </c>
      <c r="C152" s="853"/>
      <c r="D152" s="853"/>
      <c r="E152" s="853"/>
      <c r="F152" s="853"/>
      <c r="G152" s="853"/>
      <c r="H152" s="853"/>
      <c r="I152" s="853"/>
      <c r="J152" s="853"/>
    </row>
    <row r="153" spans="1:10">
      <c r="A153" s="319" t="s">
        <v>1088</v>
      </c>
      <c r="B153" s="852" t="s">
        <v>3296</v>
      </c>
      <c r="C153" s="853"/>
      <c r="D153" s="853"/>
      <c r="E153" s="853"/>
      <c r="F153" s="853"/>
      <c r="G153" s="853"/>
      <c r="H153" s="853"/>
      <c r="I153" s="853"/>
      <c r="J153" s="853"/>
    </row>
    <row r="154" spans="1:10" ht="27.6">
      <c r="A154" s="319" t="s">
        <v>3297</v>
      </c>
      <c r="B154" s="852" t="s">
        <v>3298</v>
      </c>
      <c r="C154" s="853"/>
      <c r="D154" s="853"/>
      <c r="E154" s="853"/>
      <c r="F154" s="853"/>
      <c r="G154" s="853"/>
      <c r="H154" s="853"/>
      <c r="I154" s="853"/>
      <c r="J154" s="853"/>
    </row>
    <row r="155" spans="1:10">
      <c r="A155" s="319" t="s">
        <v>1563</v>
      </c>
      <c r="B155" s="852" t="s">
        <v>1776</v>
      </c>
      <c r="C155" s="853"/>
      <c r="D155" s="853"/>
      <c r="E155" s="853"/>
      <c r="F155" s="853"/>
      <c r="G155" s="853"/>
      <c r="H155" s="853"/>
      <c r="I155" s="853"/>
      <c r="J155" s="853"/>
    </row>
    <row r="156" spans="1:10">
      <c r="A156" s="231"/>
      <c r="B156" s="231"/>
      <c r="C156" s="231"/>
      <c r="D156" s="231"/>
      <c r="E156" s="231"/>
      <c r="F156" s="231"/>
      <c r="G156" s="231"/>
      <c r="H156" s="231"/>
      <c r="I156" s="231"/>
      <c r="J156" s="231"/>
    </row>
    <row r="157" spans="1:10" ht="17.399999999999999">
      <c r="A157" s="827" t="s">
        <v>5769</v>
      </c>
      <c r="B157" s="827"/>
      <c r="C157" s="827"/>
      <c r="D157" s="827"/>
      <c r="E157" s="827"/>
      <c r="F157" s="827"/>
      <c r="G157" s="827"/>
      <c r="H157" s="827"/>
      <c r="I157" s="231"/>
      <c r="J157" s="231"/>
    </row>
    <row r="158" spans="1:10">
      <c r="A158" s="276" t="s">
        <v>2</v>
      </c>
      <c r="B158" s="828" t="s">
        <v>5770</v>
      </c>
      <c r="C158" s="828"/>
      <c r="D158" s="828"/>
      <c r="E158" s="828"/>
      <c r="F158" s="828"/>
      <c r="G158" s="828"/>
      <c r="H158" s="828"/>
      <c r="I158" s="231"/>
      <c r="J158" s="231"/>
    </row>
    <row r="159" spans="1:10">
      <c r="A159" s="276" t="s">
        <v>5771</v>
      </c>
      <c r="B159" s="828" t="s">
        <v>5772</v>
      </c>
      <c r="C159" s="828"/>
      <c r="D159" s="828"/>
      <c r="E159" s="828"/>
      <c r="F159" s="828"/>
      <c r="G159" s="828"/>
      <c r="H159" s="828"/>
      <c r="I159" s="231"/>
      <c r="J159" s="231"/>
    </row>
    <row r="160" spans="1:10">
      <c r="A160" s="196"/>
      <c r="B160" s="196"/>
      <c r="C160" s="196"/>
      <c r="D160" s="196"/>
      <c r="E160" s="196"/>
      <c r="F160" s="196"/>
      <c r="G160" s="196"/>
      <c r="H160" s="196"/>
      <c r="I160" s="231"/>
      <c r="J160" s="231"/>
    </row>
    <row r="161" spans="1:10">
      <c r="A161" s="323" t="s">
        <v>4946</v>
      </c>
      <c r="B161" s="323" t="s">
        <v>77</v>
      </c>
      <c r="C161" s="323" t="s">
        <v>5773</v>
      </c>
      <c r="D161" s="323" t="s">
        <v>263</v>
      </c>
      <c r="E161" s="323" t="s">
        <v>216</v>
      </c>
      <c r="F161" s="323" t="s">
        <v>5774</v>
      </c>
      <c r="G161" s="323" t="s">
        <v>5775</v>
      </c>
      <c r="H161" s="323" t="s">
        <v>5776</v>
      </c>
      <c r="I161" s="231"/>
      <c r="J161" s="231"/>
    </row>
    <row r="162" spans="1:10" ht="26.4">
      <c r="A162" s="277" t="s">
        <v>5777</v>
      </c>
      <c r="B162" s="278" t="s">
        <v>1096</v>
      </c>
      <c r="C162" s="277"/>
      <c r="D162" s="277"/>
      <c r="E162" s="277"/>
      <c r="F162" s="277"/>
      <c r="G162" s="279" t="str">
        <f t="shared" ref="G162:G169" si="2">IF(OR(B162="Yes",B162="N/A"),"🟢","🟡")</f>
        <v>🟡</v>
      </c>
      <c r="H162" s="277"/>
      <c r="I162" s="231"/>
      <c r="J162" s="231"/>
    </row>
    <row r="163" spans="1:10">
      <c r="A163" s="277" t="s">
        <v>5778</v>
      </c>
      <c r="B163" s="278" t="s">
        <v>1096</v>
      </c>
      <c r="C163" s="277"/>
      <c r="D163" s="277"/>
      <c r="E163" s="277"/>
      <c r="F163" s="277"/>
      <c r="G163" s="279" t="str">
        <f t="shared" si="2"/>
        <v>🟡</v>
      </c>
      <c r="H163" s="277"/>
      <c r="I163" s="231"/>
      <c r="J163" s="231"/>
    </row>
    <row r="164" spans="1:10">
      <c r="A164" s="277" t="s">
        <v>5779</v>
      </c>
      <c r="B164" s="278" t="s">
        <v>1096</v>
      </c>
      <c r="C164" s="277"/>
      <c r="D164" s="277"/>
      <c r="E164" s="277"/>
      <c r="F164" s="277"/>
      <c r="G164" s="279" t="str">
        <f t="shared" si="2"/>
        <v>🟡</v>
      </c>
      <c r="H164" s="277"/>
      <c r="I164" s="231"/>
      <c r="J164" s="231"/>
    </row>
    <row r="165" spans="1:10">
      <c r="A165" s="277" t="s">
        <v>5168</v>
      </c>
      <c r="B165" s="278" t="s">
        <v>1096</v>
      </c>
      <c r="C165" s="277"/>
      <c r="D165" s="277"/>
      <c r="E165" s="277"/>
      <c r="F165" s="277"/>
      <c r="G165" s="279" t="str">
        <f t="shared" si="2"/>
        <v>🟡</v>
      </c>
      <c r="H165" s="277"/>
      <c r="I165" s="231"/>
      <c r="J165" s="231"/>
    </row>
    <row r="166" spans="1:10">
      <c r="A166" s="277" t="s">
        <v>5780</v>
      </c>
      <c r="B166" s="278" t="s">
        <v>1096</v>
      </c>
      <c r="C166" s="277"/>
      <c r="D166" s="277"/>
      <c r="E166" s="277"/>
      <c r="F166" s="277"/>
      <c r="G166" s="279" t="str">
        <f t="shared" si="2"/>
        <v>🟡</v>
      </c>
      <c r="H166" s="277"/>
      <c r="I166" s="231"/>
      <c r="J166" s="231"/>
    </row>
    <row r="167" spans="1:10">
      <c r="A167" s="277" t="s">
        <v>5781</v>
      </c>
      <c r="B167" s="278" t="s">
        <v>1096</v>
      </c>
      <c r="C167" s="277"/>
      <c r="D167" s="277"/>
      <c r="E167" s="277"/>
      <c r="F167" s="277"/>
      <c r="G167" s="279" t="str">
        <f t="shared" si="2"/>
        <v>🟡</v>
      </c>
      <c r="H167" s="277"/>
      <c r="I167" s="231"/>
      <c r="J167" s="231"/>
    </row>
    <row r="168" spans="1:10">
      <c r="A168" s="277" t="s">
        <v>178</v>
      </c>
      <c r="B168" s="278" t="s">
        <v>1096</v>
      </c>
      <c r="C168" s="277"/>
      <c r="D168" s="277"/>
      <c r="E168" s="277"/>
      <c r="F168" s="277"/>
      <c r="G168" s="279" t="str">
        <f t="shared" si="2"/>
        <v>🟡</v>
      </c>
      <c r="H168" s="277"/>
      <c r="I168" s="231"/>
      <c r="J168" s="231"/>
    </row>
    <row r="169" spans="1:10" ht="26.4">
      <c r="A169" s="277" t="s">
        <v>5782</v>
      </c>
      <c r="B169" s="278" t="s">
        <v>1096</v>
      </c>
      <c r="C169" s="277"/>
      <c r="D169" s="277"/>
      <c r="E169" s="277"/>
      <c r="F169" s="277"/>
      <c r="G169" s="279" t="str">
        <f t="shared" si="2"/>
        <v>🟡</v>
      </c>
      <c r="H169" s="277"/>
      <c r="I169" s="231"/>
      <c r="J169" s="231"/>
    </row>
    <row r="170" spans="1:10">
      <c r="A170" s="324" t="s">
        <v>4946</v>
      </c>
      <c r="B170" s="324" t="s">
        <v>5790</v>
      </c>
      <c r="C170" s="196"/>
      <c r="D170" s="196"/>
      <c r="E170" s="324" t="s">
        <v>5791</v>
      </c>
      <c r="F170" s="196"/>
      <c r="G170" s="196"/>
      <c r="H170" s="196"/>
      <c r="I170" s="231"/>
      <c r="J170" s="231"/>
    </row>
    <row r="171" spans="1:10" ht="26.4">
      <c r="A171" s="291" t="s">
        <v>5777</v>
      </c>
      <c r="B171" s="768" t="s">
        <v>5792</v>
      </c>
      <c r="C171" s="768"/>
      <c r="D171" s="768"/>
      <c r="E171" s="768" t="s">
        <v>5793</v>
      </c>
      <c r="F171" s="768"/>
      <c r="G171" s="768"/>
      <c r="H171" s="196"/>
      <c r="I171" s="231"/>
      <c r="J171" s="231"/>
    </row>
    <row r="172" spans="1:10">
      <c r="A172" s="291" t="s">
        <v>5778</v>
      </c>
      <c r="B172" s="768" t="s">
        <v>5794</v>
      </c>
      <c r="C172" s="768"/>
      <c r="D172" s="768"/>
      <c r="E172" s="768" t="s">
        <v>5795</v>
      </c>
      <c r="F172" s="768"/>
      <c r="G172" s="768"/>
      <c r="H172" s="196"/>
      <c r="I172" s="231"/>
      <c r="J172" s="231"/>
    </row>
    <row r="173" spans="1:10">
      <c r="A173" s="291" t="s">
        <v>5779</v>
      </c>
      <c r="B173" s="768" t="s">
        <v>5796</v>
      </c>
      <c r="C173" s="768"/>
      <c r="D173" s="768"/>
      <c r="E173" s="768" t="s">
        <v>5797</v>
      </c>
      <c r="F173" s="768"/>
      <c r="G173" s="768"/>
      <c r="H173" s="196"/>
      <c r="I173" s="231"/>
      <c r="J173" s="231"/>
    </row>
    <row r="174" spans="1:10">
      <c r="A174" s="291" t="s">
        <v>5168</v>
      </c>
      <c r="B174" s="768" t="s">
        <v>5798</v>
      </c>
      <c r="C174" s="768"/>
      <c r="D174" s="768"/>
      <c r="E174" s="768" t="s">
        <v>5799</v>
      </c>
      <c r="F174" s="768"/>
      <c r="G174" s="768"/>
      <c r="H174" s="196"/>
      <c r="I174" s="231"/>
      <c r="J174" s="231"/>
    </row>
    <row r="175" spans="1:10">
      <c r="A175" s="291" t="s">
        <v>5780</v>
      </c>
      <c r="B175" s="768" t="s">
        <v>5800</v>
      </c>
      <c r="C175" s="768"/>
      <c r="D175" s="768"/>
      <c r="E175" s="768" t="s">
        <v>5801</v>
      </c>
      <c r="F175" s="768"/>
      <c r="G175" s="768"/>
      <c r="H175" s="196"/>
      <c r="I175" s="231"/>
      <c r="J175" s="231"/>
    </row>
    <row r="176" spans="1:10">
      <c r="A176" s="291" t="s">
        <v>5781</v>
      </c>
      <c r="B176" s="768" t="s">
        <v>5802</v>
      </c>
      <c r="C176" s="768"/>
      <c r="D176" s="768"/>
      <c r="E176" s="768" t="s">
        <v>5803</v>
      </c>
      <c r="F176" s="768"/>
      <c r="G176" s="768"/>
      <c r="H176" s="196"/>
      <c r="I176" s="231"/>
      <c r="J176" s="231"/>
    </row>
    <row r="177" spans="1:10">
      <c r="A177" s="291" t="s">
        <v>178</v>
      </c>
      <c r="B177" s="768" t="s">
        <v>5804</v>
      </c>
      <c r="C177" s="768"/>
      <c r="D177" s="768"/>
      <c r="E177" s="768" t="s">
        <v>5805</v>
      </c>
      <c r="F177" s="768"/>
      <c r="G177" s="768"/>
      <c r="H177" s="196"/>
      <c r="I177" s="231"/>
      <c r="J177" s="231"/>
    </row>
    <row r="178" spans="1:10" ht="26.4">
      <c r="A178" s="291" t="s">
        <v>5782</v>
      </c>
      <c r="B178" s="768" t="s">
        <v>5806</v>
      </c>
      <c r="C178" s="768"/>
      <c r="D178" s="768"/>
      <c r="E178" s="768" t="s">
        <v>5807</v>
      </c>
      <c r="F178" s="768"/>
      <c r="G178" s="768"/>
      <c r="H178" s="196"/>
      <c r="I178" s="231"/>
      <c r="J178" s="231"/>
    </row>
    <row r="179" spans="1:10">
      <c r="A179" s="276" t="s">
        <v>5783</v>
      </c>
      <c r="B179" s="280" t="str">
        <f>IF(COUNTIF(B162:B169,"No")=0,"🟢 PILOT COMPLETE / ACCEPTANCE READY","🟡 NOT COMPLETE — ACCEPTANCE GATES OPEN")</f>
        <v>🟡 NOT COMPLETE — ACCEPTANCE GATES OPEN</v>
      </c>
      <c r="C179" s="280"/>
      <c r="D179" s="280"/>
      <c r="E179" s="280"/>
      <c r="F179" s="280"/>
      <c r="G179" s="280"/>
      <c r="H179" s="280"/>
    </row>
    <row r="180" spans="1:10">
      <c r="A180" s="276" t="s">
        <v>5784</v>
      </c>
      <c r="B180" s="280">
        <f>COUNTIF(B162:B169,"No")</f>
        <v>8</v>
      </c>
      <c r="C180" s="280"/>
      <c r="D180" s="280"/>
      <c r="E180" s="280"/>
      <c r="F180" s="280"/>
      <c r="G180" s="280"/>
      <c r="H180" s="280"/>
    </row>
    <row r="181" spans="1:10">
      <c r="A181" s="276" t="s">
        <v>5785</v>
      </c>
      <c r="B181" s="280" t="str">
        <f>COUNTIF(B162:B169,"Yes")&amp;" / 8 Complete"</f>
        <v>0 / 8 Complete</v>
      </c>
      <c r="C181" s="280"/>
      <c r="D181" s="280"/>
      <c r="E181" s="280"/>
      <c r="F181" s="280"/>
      <c r="G181" s="280"/>
      <c r="H181" s="280"/>
    </row>
    <row r="182" spans="1:10" ht="93">
      <c r="A182" s="281" t="s">
        <v>5786</v>
      </c>
      <c r="B182" s="282" t="s">
        <v>5787</v>
      </c>
      <c r="C182" s="282"/>
      <c r="D182" s="282"/>
      <c r="E182" s="282"/>
      <c r="F182" s="282"/>
      <c r="G182" s="282"/>
      <c r="H182" s="282"/>
    </row>
    <row r="183" spans="1:10">
      <c r="A183" s="281"/>
      <c r="B183" s="282"/>
      <c r="C183" s="282"/>
      <c r="D183" s="282"/>
      <c r="E183" s="282"/>
      <c r="F183" s="282"/>
      <c r="G183" s="282"/>
      <c r="H183" s="282"/>
    </row>
    <row r="184" spans="1:10" ht="66.599999999999994">
      <c r="A184" s="281" t="s">
        <v>5788</v>
      </c>
      <c r="B184" s="282" t="s">
        <v>5789</v>
      </c>
      <c r="C184" s="282"/>
      <c r="D184" s="282"/>
      <c r="E184" s="282"/>
      <c r="F184" s="282"/>
      <c r="G184" s="282"/>
      <c r="H184" s="282"/>
    </row>
    <row r="185" spans="1:10">
      <c r="A185" s="842" t="s">
        <v>5901</v>
      </c>
      <c r="B185" s="842"/>
      <c r="C185" s="842"/>
      <c r="D185" s="842"/>
      <c r="E185" s="842"/>
      <c r="F185" s="842"/>
      <c r="G185" s="842"/>
      <c r="H185" s="842"/>
      <c r="I185" s="842"/>
      <c r="J185" s="842"/>
    </row>
    <row r="186" spans="1:10">
      <c r="A186" s="340" t="s">
        <v>5886</v>
      </c>
      <c r="B186" s="196"/>
      <c r="C186" s="196"/>
      <c r="D186" s="196"/>
      <c r="E186" s="196"/>
      <c r="F186" s="196"/>
      <c r="G186" s="196"/>
      <c r="H186" s="196"/>
      <c r="I186" s="196"/>
      <c r="J186" s="196"/>
    </row>
    <row r="187" spans="1:10">
      <c r="A187" s="196"/>
      <c r="B187" s="196"/>
      <c r="C187" s="196"/>
      <c r="D187" s="196"/>
      <c r="E187" s="196"/>
      <c r="F187" s="196"/>
      <c r="G187" s="196"/>
      <c r="H187" s="196"/>
      <c r="I187" s="196"/>
      <c r="J187" s="196"/>
    </row>
    <row r="188" spans="1:10">
      <c r="A188" s="196" t="s">
        <v>5887</v>
      </c>
      <c r="B188" s="196"/>
      <c r="C188" s="196"/>
      <c r="D188" s="196"/>
      <c r="E188" s="196"/>
      <c r="F188" s="196"/>
      <c r="G188" s="196"/>
      <c r="H188" s="196"/>
      <c r="I188" s="196"/>
      <c r="J188" s="196"/>
    </row>
    <row r="189" spans="1:10">
      <c r="A189" s="196"/>
      <c r="B189" s="196"/>
      <c r="C189" s="196"/>
      <c r="D189" s="196"/>
      <c r="E189" s="196"/>
      <c r="F189" s="196"/>
      <c r="G189" s="196"/>
      <c r="H189" s="196"/>
      <c r="I189" s="196"/>
      <c r="J189" s="196"/>
    </row>
    <row r="190" spans="1:10">
      <c r="A190" s="196" t="s">
        <v>5888</v>
      </c>
      <c r="B190" s="196"/>
      <c r="C190" s="196"/>
      <c r="D190" s="196"/>
      <c r="E190" s="196"/>
      <c r="F190" s="196"/>
      <c r="G190" s="196"/>
      <c r="H190" s="196"/>
      <c r="I190" s="196"/>
      <c r="J190" s="196"/>
    </row>
    <row r="191" spans="1:10">
      <c r="A191" s="196"/>
      <c r="B191" s="196"/>
      <c r="C191" s="196"/>
      <c r="D191" s="196"/>
      <c r="E191" s="196"/>
      <c r="F191" s="196"/>
      <c r="G191" s="196"/>
      <c r="H191" s="196"/>
      <c r="I191" s="196"/>
      <c r="J191" s="196"/>
    </row>
    <row r="192" spans="1:10">
      <c r="A192" s="196" t="s">
        <v>5889</v>
      </c>
      <c r="B192" s="196"/>
      <c r="C192" s="196"/>
      <c r="D192" s="196"/>
      <c r="E192" s="196"/>
      <c r="F192" s="196"/>
      <c r="G192" s="196"/>
      <c r="H192" s="196"/>
      <c r="I192" s="196"/>
      <c r="J192" s="196"/>
    </row>
    <row r="193" spans="1:10">
      <c r="A193" s="196"/>
      <c r="B193" s="196"/>
      <c r="C193" s="196"/>
      <c r="D193" s="196"/>
      <c r="E193" s="196"/>
      <c r="F193" s="196"/>
      <c r="G193" s="196"/>
      <c r="H193" s="196"/>
      <c r="I193" s="196"/>
      <c r="J193" s="196"/>
    </row>
    <row r="194" spans="1:10">
      <c r="A194" s="196"/>
      <c r="B194" s="196"/>
      <c r="C194" s="196"/>
      <c r="D194" s="196"/>
      <c r="E194" s="196"/>
      <c r="F194" s="196"/>
      <c r="G194" s="196"/>
      <c r="H194" s="196"/>
      <c r="I194" s="196"/>
      <c r="J194" s="196"/>
    </row>
    <row r="195" spans="1:10">
      <c r="A195" s="196"/>
      <c r="B195" s="196"/>
      <c r="C195" s="196"/>
      <c r="D195" s="196"/>
      <c r="E195" s="196"/>
      <c r="F195" s="196"/>
      <c r="G195" s="196"/>
      <c r="H195" s="196"/>
      <c r="I195" s="196"/>
      <c r="J195" s="196"/>
    </row>
    <row r="196" spans="1:10">
      <c r="A196" s="842" t="s">
        <v>5902</v>
      </c>
      <c r="B196" s="842"/>
      <c r="C196" s="842"/>
      <c r="D196" s="842"/>
      <c r="E196" s="842"/>
      <c r="F196" s="842"/>
      <c r="G196" s="842"/>
      <c r="H196" s="842"/>
      <c r="I196" s="842"/>
      <c r="J196" s="842"/>
    </row>
    <row r="197" spans="1:10">
      <c r="A197" s="196"/>
      <c r="B197" s="196"/>
      <c r="C197" s="196"/>
      <c r="D197" s="196"/>
      <c r="E197" s="196"/>
      <c r="F197" s="196"/>
      <c r="G197" s="196"/>
      <c r="H197" s="196"/>
      <c r="I197" s="196"/>
      <c r="J197" s="196"/>
    </row>
    <row r="198" spans="1:10">
      <c r="A198" s="196" t="s">
        <v>5890</v>
      </c>
      <c r="B198" s="196"/>
      <c r="C198" s="196"/>
      <c r="D198" s="196"/>
      <c r="E198" s="196"/>
      <c r="F198" s="196"/>
      <c r="G198" s="196"/>
      <c r="H198" s="196"/>
      <c r="I198" s="196"/>
      <c r="J198" s="196"/>
    </row>
    <row r="199" spans="1:10">
      <c r="A199" s="196"/>
      <c r="B199" s="196"/>
      <c r="C199" s="196"/>
      <c r="D199" s="196"/>
      <c r="E199" s="196"/>
      <c r="F199" s="196"/>
      <c r="G199" s="196"/>
      <c r="H199" s="196"/>
      <c r="I199" s="196"/>
      <c r="J199" s="196"/>
    </row>
    <row r="200" spans="1:10">
      <c r="A200" s="196" t="s">
        <v>5891</v>
      </c>
      <c r="B200" s="196"/>
      <c r="C200" s="196"/>
      <c r="D200" s="196"/>
      <c r="E200" s="196"/>
      <c r="F200" s="196"/>
      <c r="G200" s="196"/>
      <c r="H200" s="196"/>
      <c r="I200" s="196"/>
      <c r="J200" s="196"/>
    </row>
    <row r="201" spans="1:10">
      <c r="A201" s="196"/>
      <c r="B201" s="196"/>
      <c r="C201" s="196"/>
      <c r="D201" s="196"/>
      <c r="E201" s="196"/>
      <c r="F201" s="196"/>
      <c r="G201" s="196"/>
      <c r="H201" s="196"/>
      <c r="I201" s="196"/>
      <c r="J201" s="196"/>
    </row>
    <row r="202" spans="1:10">
      <c r="A202" s="196" t="s">
        <v>5892</v>
      </c>
      <c r="B202" s="196"/>
      <c r="C202" s="196"/>
      <c r="D202" s="196"/>
      <c r="E202" s="196"/>
      <c r="F202" s="196"/>
      <c r="G202" s="196"/>
      <c r="H202" s="196"/>
      <c r="I202" s="196"/>
      <c r="J202" s="196"/>
    </row>
    <row r="203" spans="1:10">
      <c r="A203" s="196"/>
      <c r="B203" s="196"/>
      <c r="C203" s="196"/>
      <c r="D203" s="196"/>
      <c r="E203" s="196"/>
      <c r="F203" s="196"/>
      <c r="G203" s="196"/>
      <c r="H203" s="196"/>
      <c r="I203" s="196"/>
      <c r="J203" s="196"/>
    </row>
    <row r="204" spans="1:10">
      <c r="A204" s="196"/>
      <c r="B204" s="196"/>
      <c r="C204" s="196"/>
      <c r="D204" s="196"/>
      <c r="E204" s="196"/>
      <c r="F204" s="196"/>
      <c r="G204" s="196"/>
      <c r="H204" s="196"/>
      <c r="I204" s="196"/>
      <c r="J204" s="196"/>
    </row>
    <row r="205" spans="1:10">
      <c r="A205" s="196"/>
      <c r="B205" s="196"/>
      <c r="C205" s="196"/>
      <c r="D205" s="196"/>
      <c r="E205" s="196"/>
      <c r="F205" s="196"/>
      <c r="G205" s="196"/>
      <c r="H205" s="196"/>
      <c r="I205" s="196"/>
      <c r="J205" s="196"/>
    </row>
    <row r="206" spans="1:10">
      <c r="A206" s="842" t="s">
        <v>5903</v>
      </c>
      <c r="B206" s="842"/>
      <c r="C206" s="842"/>
      <c r="D206" s="842"/>
      <c r="E206" s="842"/>
      <c r="F206" s="842"/>
      <c r="G206" s="842"/>
      <c r="H206" s="842"/>
      <c r="I206" s="842"/>
      <c r="J206" s="842"/>
    </row>
    <row r="207" spans="1:10">
      <c r="A207" s="196"/>
      <c r="B207" s="196"/>
      <c r="C207" s="196"/>
      <c r="D207" s="196"/>
      <c r="E207" s="196"/>
      <c r="F207" s="196"/>
      <c r="G207" s="196"/>
      <c r="H207" s="196"/>
      <c r="I207" s="196"/>
      <c r="J207" s="196"/>
    </row>
    <row r="208" spans="1:10">
      <c r="A208" s="196" t="s">
        <v>5893</v>
      </c>
      <c r="B208" s="196"/>
      <c r="C208" s="196"/>
      <c r="D208" s="196"/>
      <c r="E208" s="196"/>
      <c r="F208" s="196"/>
      <c r="G208" s="196"/>
      <c r="H208" s="196"/>
      <c r="I208" s="196"/>
      <c r="J208" s="196"/>
    </row>
    <row r="209" spans="1:10">
      <c r="A209" s="196"/>
      <c r="B209" s="196"/>
      <c r="C209" s="196"/>
      <c r="D209" s="196"/>
      <c r="E209" s="196"/>
      <c r="F209" s="196"/>
      <c r="G209" s="196"/>
      <c r="H209" s="196"/>
      <c r="I209" s="196"/>
      <c r="J209" s="196"/>
    </row>
    <row r="210" spans="1:10">
      <c r="A210" s="196" t="s">
        <v>5894</v>
      </c>
      <c r="B210" s="196"/>
      <c r="C210" s="196"/>
      <c r="D210" s="196"/>
      <c r="E210" s="196"/>
      <c r="F210" s="196"/>
      <c r="G210" s="196"/>
      <c r="H210" s="196"/>
      <c r="I210" s="196"/>
      <c r="J210" s="196"/>
    </row>
    <row r="211" spans="1:10">
      <c r="A211" s="196"/>
      <c r="B211" s="196"/>
      <c r="C211" s="196"/>
      <c r="D211" s="196"/>
      <c r="E211" s="196"/>
      <c r="F211" s="196"/>
      <c r="G211" s="196"/>
      <c r="H211" s="196"/>
      <c r="I211" s="196"/>
      <c r="J211" s="196"/>
    </row>
    <row r="212" spans="1:10">
      <c r="A212" s="196" t="s">
        <v>5895</v>
      </c>
      <c r="B212" s="196"/>
      <c r="C212" s="196"/>
      <c r="D212" s="196"/>
      <c r="E212" s="196"/>
      <c r="F212" s="196"/>
      <c r="G212" s="196"/>
      <c r="H212" s="196"/>
      <c r="I212" s="196"/>
      <c r="J212" s="196"/>
    </row>
    <row r="213" spans="1:10">
      <c r="A213" s="196"/>
      <c r="B213" s="196"/>
      <c r="C213" s="196"/>
      <c r="D213" s="196"/>
      <c r="E213" s="196"/>
      <c r="F213" s="196"/>
      <c r="G213" s="196"/>
      <c r="H213" s="196"/>
      <c r="I213" s="196"/>
      <c r="J213" s="196"/>
    </row>
    <row r="214" spans="1:10">
      <c r="A214" s="196" t="s">
        <v>5896</v>
      </c>
      <c r="B214" s="196"/>
      <c r="C214" s="196"/>
      <c r="D214" s="196"/>
      <c r="E214" s="196"/>
      <c r="F214" s="196"/>
      <c r="G214" s="196"/>
      <c r="H214" s="196"/>
      <c r="I214" s="196"/>
      <c r="J214" s="196"/>
    </row>
    <row r="215" spans="1:10">
      <c r="A215" s="196"/>
      <c r="B215" s="196"/>
      <c r="C215" s="196"/>
      <c r="D215" s="196"/>
      <c r="E215" s="196"/>
      <c r="F215" s="196"/>
      <c r="G215" s="196"/>
      <c r="H215" s="196"/>
      <c r="I215" s="196"/>
      <c r="J215" s="196"/>
    </row>
    <row r="216" spans="1:10">
      <c r="A216" s="196"/>
      <c r="B216" s="196"/>
      <c r="C216" s="196"/>
      <c r="D216" s="196"/>
      <c r="E216" s="196"/>
      <c r="F216" s="196"/>
      <c r="G216" s="196"/>
      <c r="H216" s="196"/>
      <c r="I216" s="196"/>
      <c r="J216" s="196"/>
    </row>
    <row r="217" spans="1:10">
      <c r="A217" s="196"/>
      <c r="B217" s="196"/>
      <c r="C217" s="196"/>
      <c r="D217" s="196"/>
      <c r="E217" s="196"/>
      <c r="F217" s="196"/>
      <c r="G217" s="196"/>
      <c r="H217" s="196"/>
      <c r="I217" s="196"/>
      <c r="J217" s="196"/>
    </row>
    <row r="218" spans="1:10">
      <c r="A218" s="842" t="s">
        <v>5904</v>
      </c>
      <c r="B218" s="842"/>
      <c r="C218" s="842"/>
      <c r="D218" s="842"/>
      <c r="E218" s="842"/>
      <c r="F218" s="842"/>
      <c r="G218" s="842"/>
      <c r="H218" s="842"/>
      <c r="I218" s="842"/>
      <c r="J218" s="842"/>
    </row>
    <row r="219" spans="1:10">
      <c r="A219" s="196"/>
      <c r="B219" s="196"/>
      <c r="C219" s="196"/>
      <c r="D219" s="196"/>
      <c r="E219" s="196"/>
      <c r="F219" s="196"/>
      <c r="G219" s="196"/>
      <c r="H219" s="196"/>
      <c r="I219" s="196"/>
      <c r="J219" s="196"/>
    </row>
    <row r="220" spans="1:10">
      <c r="A220" s="196" t="s">
        <v>5897</v>
      </c>
      <c r="B220" s="196"/>
      <c r="C220" s="196"/>
      <c r="D220" s="196"/>
      <c r="E220" s="196"/>
      <c r="F220" s="196"/>
      <c r="G220" s="196"/>
      <c r="H220" s="196"/>
      <c r="I220" s="196"/>
      <c r="J220" s="196"/>
    </row>
    <row r="221" spans="1:10">
      <c r="A221" s="196"/>
      <c r="B221" s="196"/>
      <c r="C221" s="196"/>
      <c r="D221" s="196"/>
      <c r="E221" s="196"/>
      <c r="F221" s="196"/>
      <c r="G221" s="196"/>
      <c r="H221" s="196"/>
      <c r="I221" s="196"/>
      <c r="J221" s="196"/>
    </row>
    <row r="222" spans="1:10">
      <c r="A222" s="196" t="s">
        <v>5898</v>
      </c>
      <c r="B222" s="196"/>
      <c r="C222" s="196"/>
      <c r="D222" s="196"/>
      <c r="E222" s="196"/>
      <c r="F222" s="196"/>
      <c r="G222" s="196"/>
      <c r="H222" s="196"/>
      <c r="I222" s="196"/>
      <c r="J222" s="196"/>
    </row>
    <row r="223" spans="1:10">
      <c r="A223" s="196"/>
      <c r="B223" s="196"/>
      <c r="C223" s="196"/>
      <c r="D223" s="196"/>
      <c r="E223" s="196"/>
      <c r="F223" s="196"/>
      <c r="G223" s="196"/>
      <c r="H223" s="196"/>
      <c r="I223" s="196"/>
      <c r="J223" s="196"/>
    </row>
    <row r="224" spans="1:10">
      <c r="A224" s="196" t="s">
        <v>5899</v>
      </c>
      <c r="B224" s="196"/>
      <c r="C224" s="196"/>
      <c r="D224" s="196"/>
      <c r="E224" s="196"/>
      <c r="F224" s="196"/>
      <c r="G224" s="196"/>
      <c r="H224" s="196"/>
      <c r="I224" s="196"/>
      <c r="J224" s="196"/>
    </row>
    <row r="225" spans="1:10">
      <c r="A225" s="196"/>
      <c r="B225" s="196"/>
      <c r="C225" s="196"/>
      <c r="D225" s="196"/>
      <c r="E225" s="196"/>
      <c r="F225" s="196"/>
      <c r="G225" s="196"/>
      <c r="H225" s="196"/>
      <c r="I225" s="196"/>
      <c r="J225" s="196"/>
    </row>
    <row r="226" spans="1:10">
      <c r="A226" s="196"/>
      <c r="B226" s="196"/>
      <c r="C226" s="196"/>
      <c r="D226" s="196"/>
      <c r="E226" s="196"/>
      <c r="F226" s="196"/>
      <c r="G226" s="196"/>
      <c r="H226" s="196"/>
      <c r="I226" s="196"/>
      <c r="J226" s="196"/>
    </row>
    <row r="227" spans="1:10">
      <c r="A227" s="196"/>
      <c r="B227" s="196"/>
      <c r="C227" s="196"/>
      <c r="D227" s="196"/>
      <c r="E227" s="196"/>
      <c r="F227" s="196"/>
      <c r="G227" s="196"/>
      <c r="H227" s="196"/>
      <c r="I227" s="196"/>
      <c r="J227" s="196"/>
    </row>
    <row r="228" spans="1:10">
      <c r="A228" s="196" t="s">
        <v>5900</v>
      </c>
      <c r="B228" s="196"/>
      <c r="C228" s="196"/>
      <c r="D228" s="196"/>
      <c r="E228" s="196"/>
      <c r="F228" s="196"/>
      <c r="G228" s="196"/>
      <c r="H228" s="196"/>
      <c r="I228" s="196"/>
      <c r="J228" s="196"/>
    </row>
    <row r="229" spans="1:10">
      <c r="A229" s="196"/>
      <c r="B229" s="196"/>
      <c r="C229" s="196"/>
      <c r="D229" s="196"/>
      <c r="E229" s="196"/>
      <c r="F229" s="196"/>
      <c r="G229" s="196"/>
      <c r="H229" s="196"/>
      <c r="I229" s="196"/>
      <c r="J229" s="196"/>
    </row>
    <row r="230" spans="1:10">
      <c r="A230" s="341"/>
      <c r="B230" s="341"/>
      <c r="C230" s="341"/>
      <c r="D230" s="341"/>
      <c r="E230" s="341"/>
      <c r="F230" s="341"/>
      <c r="G230" s="341"/>
      <c r="H230" s="341"/>
      <c r="I230" s="341"/>
      <c r="J230" s="341"/>
    </row>
    <row r="231" spans="1:10">
      <c r="A231" s="341"/>
      <c r="B231" s="341"/>
      <c r="C231" s="341"/>
      <c r="D231" s="341"/>
      <c r="E231" s="341"/>
      <c r="F231" s="341"/>
      <c r="G231" s="341"/>
      <c r="H231" s="341"/>
      <c r="I231" s="341"/>
      <c r="J231" s="341"/>
    </row>
    <row r="232" spans="1:10">
      <c r="A232" s="341"/>
      <c r="B232" s="341"/>
      <c r="C232" s="341"/>
      <c r="D232" s="341"/>
      <c r="E232" s="341"/>
      <c r="F232" s="341"/>
      <c r="G232" s="341"/>
      <c r="H232" s="341"/>
      <c r="I232" s="341"/>
      <c r="J232" s="341"/>
    </row>
    <row r="233" spans="1:10">
      <c r="A233" s="341"/>
      <c r="B233" s="341"/>
      <c r="C233" s="341"/>
      <c r="D233" s="341"/>
      <c r="E233" s="341"/>
      <c r="F233" s="341"/>
      <c r="G233" s="341"/>
      <c r="H233" s="341"/>
      <c r="I233" s="341"/>
      <c r="J233" s="341"/>
    </row>
    <row r="234" spans="1:10">
      <c r="A234" s="341"/>
      <c r="B234" s="341"/>
      <c r="C234" s="341"/>
      <c r="D234" s="341"/>
      <c r="E234" s="341"/>
      <c r="F234" s="341"/>
      <c r="G234" s="341"/>
      <c r="H234" s="341"/>
      <c r="I234" s="341"/>
      <c r="J234" s="341"/>
    </row>
    <row r="235" spans="1:10">
      <c r="A235" s="341"/>
      <c r="B235" s="341"/>
      <c r="C235" s="341"/>
      <c r="D235" s="341"/>
      <c r="E235" s="341"/>
      <c r="F235" s="341"/>
      <c r="G235" s="341"/>
      <c r="H235" s="341"/>
      <c r="I235" s="341"/>
      <c r="J235" s="341"/>
    </row>
    <row r="236" spans="1:10">
      <c r="A236" s="341"/>
      <c r="B236" s="341"/>
      <c r="C236" s="341"/>
      <c r="D236" s="341"/>
      <c r="E236" s="341"/>
      <c r="F236" s="341"/>
      <c r="G236" s="341"/>
      <c r="H236" s="341"/>
      <c r="I236" s="341"/>
      <c r="J236" s="341"/>
    </row>
    <row r="237" spans="1:10">
      <c r="A237" s="341"/>
      <c r="B237" s="341"/>
      <c r="C237" s="341"/>
      <c r="D237" s="341"/>
      <c r="E237" s="341"/>
      <c r="F237" s="341"/>
      <c r="G237" s="341"/>
      <c r="H237" s="341"/>
      <c r="I237" s="341"/>
      <c r="J237" s="341"/>
    </row>
    <row r="238" spans="1:10">
      <c r="A238" s="341"/>
      <c r="B238" s="341"/>
      <c r="C238" s="341"/>
      <c r="D238" s="341"/>
      <c r="E238" s="341"/>
      <c r="F238" s="341"/>
      <c r="G238" s="341"/>
      <c r="H238" s="341"/>
      <c r="I238" s="341"/>
      <c r="J238" s="341"/>
    </row>
    <row r="239" spans="1:10">
      <c r="A239" s="196"/>
      <c r="B239" s="196"/>
      <c r="C239" s="196"/>
      <c r="D239" s="196"/>
      <c r="E239" s="196"/>
      <c r="F239" s="196"/>
      <c r="G239" s="196"/>
      <c r="H239" s="196"/>
      <c r="I239" s="196"/>
      <c r="J239" s="196"/>
    </row>
    <row r="240" spans="1:10">
      <c r="A240" s="320"/>
      <c r="B240" s="320"/>
      <c r="C240" s="320"/>
      <c r="D240" s="320"/>
      <c r="E240" s="320"/>
      <c r="F240" s="320"/>
      <c r="G240" s="874"/>
      <c r="H240" s="874"/>
      <c r="I240" s="874"/>
      <c r="J240" s="874"/>
    </row>
  </sheetData>
  <mergeCells count="112">
    <mergeCell ref="A72:C72"/>
    <mergeCell ref="A1:J1"/>
    <mergeCell ref="A44:C44"/>
    <mergeCell ref="A32:C32"/>
    <mergeCell ref="A14:C14"/>
    <mergeCell ref="A61:C61"/>
    <mergeCell ref="A8:C8"/>
    <mergeCell ref="D6:J6"/>
    <mergeCell ref="A50:C50"/>
    <mergeCell ref="A20:C20"/>
    <mergeCell ref="A38:C38"/>
    <mergeCell ref="A26:C26"/>
    <mergeCell ref="G102:J102"/>
    <mergeCell ref="G104:J104"/>
    <mergeCell ref="A106:B106"/>
    <mergeCell ref="E106:J106"/>
    <mergeCell ref="A108:C108"/>
    <mergeCell ref="D108:F108"/>
    <mergeCell ref="G108:J108"/>
    <mergeCell ref="A99:C99"/>
    <mergeCell ref="D99:F99"/>
    <mergeCell ref="G99:J99"/>
    <mergeCell ref="G100:J100"/>
    <mergeCell ref="G101:J101"/>
    <mergeCell ref="F114:J114"/>
    <mergeCell ref="F115:J115"/>
    <mergeCell ref="F116:J116"/>
    <mergeCell ref="F117:J117"/>
    <mergeCell ref="A118:B118"/>
    <mergeCell ref="C118:D118"/>
    <mergeCell ref="E118:J118"/>
    <mergeCell ref="G109:J109"/>
    <mergeCell ref="F110:J110"/>
    <mergeCell ref="F111:J111"/>
    <mergeCell ref="F112:J112"/>
    <mergeCell ref="F113:J113"/>
    <mergeCell ref="G123:J123"/>
    <mergeCell ref="G124:J124"/>
    <mergeCell ref="G125:J125"/>
    <mergeCell ref="G126:J126"/>
    <mergeCell ref="A127:B127"/>
    <mergeCell ref="C127:D127"/>
    <mergeCell ref="E127:J127"/>
    <mergeCell ref="A120:C120"/>
    <mergeCell ref="D120:F120"/>
    <mergeCell ref="G120:J120"/>
    <mergeCell ref="G121:J121"/>
    <mergeCell ref="G122:J122"/>
    <mergeCell ref="G131:J131"/>
    <mergeCell ref="G132:J132"/>
    <mergeCell ref="G133:J133"/>
    <mergeCell ref="G134:J134"/>
    <mergeCell ref="A135:D136"/>
    <mergeCell ref="E135:J136"/>
    <mergeCell ref="G128:J128"/>
    <mergeCell ref="A129:C129"/>
    <mergeCell ref="D129:F129"/>
    <mergeCell ref="G129:J129"/>
    <mergeCell ref="G130:J130"/>
    <mergeCell ref="G140:J140"/>
    <mergeCell ref="G141:J141"/>
    <mergeCell ref="G142:J142"/>
    <mergeCell ref="G143:J143"/>
    <mergeCell ref="G144:J144"/>
    <mergeCell ref="A137:C137"/>
    <mergeCell ref="D137:F137"/>
    <mergeCell ref="G137:J137"/>
    <mergeCell ref="G138:J138"/>
    <mergeCell ref="G139:J139"/>
    <mergeCell ref="B150:J150"/>
    <mergeCell ref="B151:J151"/>
    <mergeCell ref="B152:J152"/>
    <mergeCell ref="B153:J153"/>
    <mergeCell ref="B154:J154"/>
    <mergeCell ref="A145:B145"/>
    <mergeCell ref="C145:D145"/>
    <mergeCell ref="E145:J145"/>
    <mergeCell ref="A147:C147"/>
    <mergeCell ref="B149:J149"/>
    <mergeCell ref="B172:D172"/>
    <mergeCell ref="E172:G172"/>
    <mergeCell ref="B173:D173"/>
    <mergeCell ref="E173:G173"/>
    <mergeCell ref="B174:D174"/>
    <mergeCell ref="E174:G174"/>
    <mergeCell ref="B155:J155"/>
    <mergeCell ref="A157:H157"/>
    <mergeCell ref="B158:H158"/>
    <mergeCell ref="B159:H159"/>
    <mergeCell ref="B171:D171"/>
    <mergeCell ref="E171:G171"/>
    <mergeCell ref="B178:D178"/>
    <mergeCell ref="E178:G178"/>
    <mergeCell ref="A185:C185"/>
    <mergeCell ref="D185:F185"/>
    <mergeCell ref="G185:J185"/>
    <mergeCell ref="B175:D175"/>
    <mergeCell ref="E175:G175"/>
    <mergeCell ref="B176:D176"/>
    <mergeCell ref="E176:G176"/>
    <mergeCell ref="B177:D177"/>
    <mergeCell ref="E177:G177"/>
    <mergeCell ref="A218:C218"/>
    <mergeCell ref="D218:F218"/>
    <mergeCell ref="G218:J218"/>
    <mergeCell ref="G240:J240"/>
    <mergeCell ref="A196:C196"/>
    <mergeCell ref="D196:F196"/>
    <mergeCell ref="G196:J196"/>
    <mergeCell ref="A206:C206"/>
    <mergeCell ref="D206:F206"/>
    <mergeCell ref="G206:J206"/>
  </mergeCells>
  <conditionalFormatting sqref="B101:B105">
    <cfRule type="expression" dxfId="853" priority="21">
      <formula>B101="Complete"</formula>
    </cfRule>
    <cfRule type="expression" dxfId="852" priority="22">
      <formula>B101="In Progress"</formula>
    </cfRule>
    <cfRule type="expression" dxfId="851" priority="23">
      <formula>B101="At Risk"</formula>
    </cfRule>
    <cfRule type="expression" dxfId="850" priority="24">
      <formula>B101="Blocked"</formula>
    </cfRule>
    <cfRule type="expression" dxfId="849" priority="25">
      <formula>B101="Not Started"</formula>
    </cfRule>
  </conditionalFormatting>
  <conditionalFormatting sqref="B110:B117">
    <cfRule type="expression" dxfId="848" priority="1">
      <formula>B110="Complete"</formula>
    </cfRule>
    <cfRule type="expression" dxfId="847" priority="2">
      <formula>B110="In Progress"</formula>
    </cfRule>
    <cfRule type="expression" dxfId="846" priority="3">
      <formula>B110="At Risk"</formula>
    </cfRule>
    <cfRule type="expression" dxfId="845" priority="4">
      <formula>B110="Blocked"</formula>
    </cfRule>
    <cfRule type="expression" dxfId="844" priority="5">
      <formula>B110="Not Started"</formula>
    </cfRule>
  </conditionalFormatting>
  <conditionalFormatting sqref="B122:B126">
    <cfRule type="expression" dxfId="843" priority="26">
      <formula>B122="Complete"</formula>
    </cfRule>
    <cfRule type="expression" dxfId="842" priority="27">
      <formula>B122="In Progress"</formula>
    </cfRule>
    <cfRule type="expression" dxfId="841" priority="28">
      <formula>B122="At Risk"</formula>
    </cfRule>
    <cfRule type="expression" dxfId="840" priority="29">
      <formula>B122="Blocked"</formula>
    </cfRule>
    <cfRule type="expression" dxfId="839" priority="30">
      <formula>B122="Not Started"</formula>
    </cfRule>
  </conditionalFormatting>
  <conditionalFormatting sqref="B131:B134">
    <cfRule type="expression" dxfId="838" priority="6">
      <formula>B131="Complete"</formula>
    </cfRule>
    <cfRule type="expression" dxfId="837" priority="7">
      <formula>B131="In Progress"</formula>
    </cfRule>
    <cfRule type="expression" dxfId="836" priority="8">
      <formula>B131="At Risk"</formula>
    </cfRule>
    <cfRule type="expression" dxfId="835" priority="9">
      <formula>B131="Blocked"</formula>
    </cfRule>
    <cfRule type="expression" dxfId="834" priority="10">
      <formula>B131="Not Started"</formula>
    </cfRule>
  </conditionalFormatting>
  <conditionalFormatting sqref="B139:B144">
    <cfRule type="expression" dxfId="833" priority="11">
      <formula>B139="Complete"</formula>
    </cfRule>
    <cfRule type="expression" dxfId="832" priority="12">
      <formula>B139="In Progress"</formula>
    </cfRule>
    <cfRule type="expression" dxfId="831" priority="13">
      <formula>B139="At Risk"</formula>
    </cfRule>
    <cfRule type="expression" dxfId="830" priority="14">
      <formula>B139="Blocked"</formula>
    </cfRule>
    <cfRule type="expression" dxfId="829" priority="15">
      <formula>B139="Not Started"</formula>
    </cfRule>
  </conditionalFormatting>
  <conditionalFormatting sqref="B162:B169">
    <cfRule type="expression" dxfId="828" priority="82">
      <formula>B162="Yes"</formula>
    </cfRule>
    <cfRule type="expression" dxfId="827" priority="83">
      <formula>B162="N/A"</formula>
    </cfRule>
    <cfRule type="expression" dxfId="826" priority="84">
      <formula>B162="No"</formula>
    </cfRule>
  </conditionalFormatting>
  <conditionalFormatting sqref="B179:H179">
    <cfRule type="expression" dxfId="825" priority="85">
      <formula>COUNTIF($B$6:$B$13,"No")=0</formula>
    </cfRule>
    <cfRule type="expression" dxfId="824" priority="86">
      <formula>COUNTIF($B$6:$B$13,"No")&gt;0</formula>
    </cfRule>
  </conditionalFormatting>
  <conditionalFormatting sqref="C106:D106">
    <cfRule type="dataBar" priority="37">
      <dataBar>
        <cfvo type="num" val="0"/>
        <cfvo type="num" val="1"/>
        <color rgb="FF5B9BD5"/>
      </dataBar>
    </cfRule>
  </conditionalFormatting>
  <conditionalFormatting sqref="C110:D117">
    <cfRule type="expression" dxfId="823" priority="31">
      <formula>C110="Yes"</formula>
    </cfRule>
    <cfRule type="expression" dxfId="822" priority="32">
      <formula>C110="No"</formula>
    </cfRule>
    <cfRule type="expression" dxfId="821" priority="33">
      <formula>C110="N/A"</formula>
    </cfRule>
  </conditionalFormatting>
  <conditionalFormatting sqref="C118:D118">
    <cfRule type="dataBar" priority="38">
      <dataBar>
        <cfvo type="num" val="0"/>
        <cfvo type="num" val="1"/>
        <color rgb="FF5B9BD5"/>
      </dataBar>
    </cfRule>
  </conditionalFormatting>
  <conditionalFormatting sqref="C127:D127">
    <cfRule type="dataBar" priority="39">
      <dataBar>
        <cfvo type="num" val="0"/>
        <cfvo type="num" val="1"/>
        <color rgb="FF5B9BD5"/>
      </dataBar>
    </cfRule>
  </conditionalFormatting>
  <conditionalFormatting sqref="C139:D144">
    <cfRule type="expression" dxfId="820" priority="16">
      <formula>C139="Yes"</formula>
    </cfRule>
    <cfRule type="expression" dxfId="819" priority="17">
      <formula>C139="No"</formula>
    </cfRule>
    <cfRule type="expression" dxfId="818" priority="18">
      <formula>C139="N/A"</formula>
    </cfRule>
  </conditionalFormatting>
  <conditionalFormatting sqref="C145:D145">
    <cfRule type="dataBar" priority="20">
      <dataBar>
        <cfvo type="num" val="0"/>
        <cfvo type="num" val="1"/>
        <color rgb="FF5B9BD5"/>
      </dataBar>
    </cfRule>
  </conditionalFormatting>
  <conditionalFormatting sqref="E5 G5 I5">
    <cfRule type="expression" dxfId="817" priority="87">
      <formula>E5="Pass"</formula>
    </cfRule>
    <cfRule type="expression" dxfId="816" priority="88">
      <formula>E5="Verify"</formula>
    </cfRule>
    <cfRule type="expression" dxfId="815" priority="89">
      <formula>E5="Fail"</formula>
    </cfRule>
    <cfRule type="expression" dxfId="814" priority="90">
      <formula>E5="Not Started"</formula>
    </cfRule>
  </conditionalFormatting>
  <conditionalFormatting sqref="F3">
    <cfRule type="expression" dxfId="813" priority="91">
      <formula>F3="Yes"</formula>
    </cfRule>
    <cfRule type="expression" dxfId="812" priority="92">
      <formula>F3="No"</formula>
    </cfRule>
  </conditionalFormatting>
  <conditionalFormatting sqref="F122:F126">
    <cfRule type="expression" dxfId="811" priority="34">
      <formula>F122="Pass"</formula>
    </cfRule>
    <cfRule type="expression" dxfId="810" priority="35">
      <formula>F122="Fail"</formula>
    </cfRule>
    <cfRule type="expression" dxfId="809" priority="36">
      <formula>F122="Pending"</formula>
    </cfRule>
  </conditionalFormatting>
  <conditionalFormatting sqref="F131:F134">
    <cfRule type="dataBar" priority="19">
      <dataBar>
        <cfvo type="num" val="0"/>
        <cfvo type="num" val="1"/>
        <color rgb="FF5B9BD5"/>
      </dataBar>
    </cfRule>
  </conditionalFormatting>
  <dataValidations count="5">
    <dataValidation type="list" sqref="B5:B6 D5 F5 H5 H10:H18 H147:I148 I16:I18 J5 H150:I155 D63:D70 H19:I96" xr:uid="{00000000-0002-0000-3000-000000000000}">
      <formula1>"Not Started,Verify,Pass,Fail,N/A,Open,Closed,Partial / Yellow"</formula1>
      <formula2>0</formula2>
    </dataValidation>
    <dataValidation type="list" allowBlank="1" sqref="F122:F126" xr:uid="{FBE5AD08-1140-4BC0-B037-725A1F74F6A4}">
      <formula1>"Pending,Pass,Fail,N/A"</formula1>
    </dataValidation>
    <dataValidation type="list" allowBlank="1" sqref="C110:D117 C139:D144" xr:uid="{DC4594B4-B2C1-4317-9767-720C86676C2C}">
      <formula1>"Yes,No,N/A"</formula1>
    </dataValidation>
    <dataValidation type="list" allowBlank="1" sqref="B131:B134 B122:B126" xr:uid="{530C505F-690C-4F0D-A3C4-D366B04892C0}">
      <formula1>"Not Started,In Progress,Complete,At Risk,Blocked"</formula1>
    </dataValidation>
    <dataValidation type="list" sqref="B162:B169" xr:uid="{7D970B34-6290-475B-AF81-471DC35B5C17}">
      <formula1>"No,Yes,N/A"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4F94BFEB-CDFF-48D4-B13D-226CE24DF694}">
          <x14:formula1>
            <xm:f>Lookup_Lists!$L$37:$L$39</xm:f>
          </x14:formula1>
          <xm:sqref>C122:E126 J2</xm:sqref>
        </x14:dataValidation>
        <x14:dataValidation type="list" allowBlank="1" showInputMessage="1" showErrorMessage="1" xr:uid="{12E86EE3-8D0D-44FE-8175-833374E16865}">
          <x14:formula1>
            <xm:f>Lookup_Lists!$A$36:$A$42</xm:f>
          </x14:formula1>
          <xm:sqref>B101:B105 B110:B117 B139:B144</xm:sqref>
        </x14:dataValidation>
      </x14:dataValidations>
    </ext>
  </extLst>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3CFDF-A3AB-4521-BC31-3CE8CBFF7364}">
  <dimension ref="A1:J240"/>
  <sheetViews>
    <sheetView workbookViewId="0">
      <selection activeCell="D4" sqref="D4"/>
    </sheetView>
  </sheetViews>
  <sheetFormatPr defaultColWidth="8.6640625" defaultRowHeight="14.4"/>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6640625" style="8" customWidth="1"/>
    <col min="13" max="16384" width="8.6640625" style="8"/>
  </cols>
  <sheetData>
    <row r="1" spans="1:10">
      <c r="A1" s="851" t="s">
        <v>2381</v>
      </c>
      <c r="B1" s="839"/>
      <c r="C1" s="839"/>
      <c r="D1" s="839"/>
      <c r="E1" s="839"/>
      <c r="F1" s="839"/>
      <c r="G1" s="839"/>
      <c r="H1" s="839"/>
      <c r="I1" s="839"/>
      <c r="J1" s="839"/>
    </row>
    <row r="2" spans="1:10" s="227" customFormat="1">
      <c r="A2" s="223" t="s">
        <v>142</v>
      </c>
      <c r="B2" s="224" t="s">
        <v>702</v>
      </c>
      <c r="C2" s="223" t="s">
        <v>902</v>
      </c>
      <c r="D2" s="224" t="s">
        <v>1094</v>
      </c>
      <c r="E2" s="223" t="s">
        <v>151</v>
      </c>
      <c r="F2" s="224" t="s">
        <v>1095</v>
      </c>
      <c r="G2" s="223" t="s">
        <v>174</v>
      </c>
      <c r="H2" s="225">
        <v>0.5</v>
      </c>
      <c r="I2" s="223" t="s">
        <v>154</v>
      </c>
      <c r="J2" s="226" t="s">
        <v>1096</v>
      </c>
    </row>
    <row r="3" spans="1:10" s="231" customFormat="1" ht="27.6">
      <c r="A3" s="223" t="s">
        <v>903</v>
      </c>
      <c r="B3" s="228">
        <v>46198.643851793982</v>
      </c>
      <c r="C3" s="229" t="s">
        <v>904</v>
      </c>
      <c r="D3" s="230" t="s">
        <v>721</v>
      </c>
      <c r="E3" s="223" t="s">
        <v>905</v>
      </c>
      <c r="F3" s="230" t="s">
        <v>2382</v>
      </c>
      <c r="G3" s="223" t="s">
        <v>907</v>
      </c>
      <c r="H3" s="230" t="s">
        <v>908</v>
      </c>
      <c r="I3" s="223" t="s">
        <v>551</v>
      </c>
      <c r="J3" s="230" t="s">
        <v>2383</v>
      </c>
    </row>
    <row r="4" spans="1:10" s="231" customFormat="1" ht="220.8">
      <c r="A4" s="223" t="s">
        <v>161</v>
      </c>
      <c r="B4" s="230">
        <v>0</v>
      </c>
      <c r="C4" s="223" t="s">
        <v>199</v>
      </c>
      <c r="D4" s="230">
        <v>0</v>
      </c>
      <c r="E4" s="223" t="s">
        <v>179</v>
      </c>
      <c r="F4" s="230">
        <v>0</v>
      </c>
      <c r="G4" s="223" t="s">
        <v>870</v>
      </c>
      <c r="H4" s="232" t="s">
        <v>2384</v>
      </c>
      <c r="I4" s="233"/>
      <c r="J4" s="233"/>
    </row>
    <row r="5" spans="1:10" s="231" customFormat="1">
      <c r="A5" s="234" t="s">
        <v>911</v>
      </c>
      <c r="B5" s="225" t="s">
        <v>677</v>
      </c>
      <c r="C5" s="235" t="s">
        <v>912</v>
      </c>
      <c r="D5" s="225" t="s">
        <v>677</v>
      </c>
      <c r="E5" s="236" t="s">
        <v>913</v>
      </c>
      <c r="F5" s="225" t="s">
        <v>677</v>
      </c>
      <c r="G5" s="237" t="s">
        <v>914</v>
      </c>
      <c r="H5" s="225" t="s">
        <v>677</v>
      </c>
      <c r="I5" s="237" t="s">
        <v>915</v>
      </c>
      <c r="J5" s="225" t="s">
        <v>677</v>
      </c>
    </row>
    <row r="6" spans="1:10" s="231" customFormat="1" ht="33" customHeight="1">
      <c r="A6" s="238" t="s">
        <v>916</v>
      </c>
      <c r="B6" s="225" t="s">
        <v>677</v>
      </c>
      <c r="C6" s="239" t="s">
        <v>869</v>
      </c>
      <c r="D6" s="854" t="s">
        <v>2385</v>
      </c>
      <c r="E6" s="853"/>
      <c r="F6" s="853"/>
      <c r="G6" s="853"/>
      <c r="H6" s="853"/>
      <c r="I6" s="853"/>
      <c r="J6" s="853"/>
    </row>
    <row r="7" spans="1:10">
      <c r="A7" s="13"/>
      <c r="B7" s="13"/>
      <c r="C7" s="13"/>
      <c r="D7" s="13"/>
      <c r="E7" s="13"/>
      <c r="F7" s="13"/>
      <c r="G7" s="13"/>
      <c r="H7" s="13"/>
      <c r="I7" s="13"/>
      <c r="J7" s="13"/>
    </row>
    <row r="8" spans="1:10">
      <c r="A8" s="842" t="s">
        <v>918</v>
      </c>
      <c r="B8" s="839"/>
      <c r="C8" s="839"/>
      <c r="D8" s="85"/>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82.8">
      <c r="A10" s="13" t="s">
        <v>702</v>
      </c>
      <c r="B10" s="13" t="s">
        <v>2386</v>
      </c>
      <c r="C10" s="13" t="s">
        <v>919</v>
      </c>
      <c r="D10" s="13" t="s">
        <v>2387</v>
      </c>
      <c r="E10" s="13" t="s">
        <v>356</v>
      </c>
      <c r="F10" s="13">
        <v>1</v>
      </c>
      <c r="G10" s="13">
        <v>1</v>
      </c>
      <c r="H10" s="13" t="s">
        <v>677</v>
      </c>
      <c r="I10" s="13" t="s">
        <v>2388</v>
      </c>
      <c r="J10" s="13" t="s">
        <v>2389</v>
      </c>
    </row>
    <row r="11" spans="1:10" ht="110.4">
      <c r="A11" s="13" t="s">
        <v>702</v>
      </c>
      <c r="B11" s="13" t="s">
        <v>2208</v>
      </c>
      <c r="C11" s="13" t="s">
        <v>933</v>
      </c>
      <c r="D11" s="13" t="s">
        <v>2390</v>
      </c>
      <c r="E11" s="13" t="s">
        <v>925</v>
      </c>
      <c r="F11" s="13">
        <v>1</v>
      </c>
      <c r="G11" s="13">
        <v>0</v>
      </c>
      <c r="H11" s="13" t="s">
        <v>677</v>
      </c>
      <c r="I11" s="13" t="s">
        <v>2391</v>
      </c>
      <c r="J11" s="13" t="s">
        <v>2392</v>
      </c>
    </row>
    <row r="12" spans="1:10" ht="69">
      <c r="A12" s="13" t="s">
        <v>702</v>
      </c>
      <c r="B12" s="13" t="s">
        <v>12</v>
      </c>
      <c r="C12" s="13" t="s">
        <v>923</v>
      </c>
      <c r="D12" s="13" t="s">
        <v>2393</v>
      </c>
      <c r="E12" s="13" t="s">
        <v>925</v>
      </c>
      <c r="F12" s="13">
        <v>1</v>
      </c>
      <c r="G12" s="13">
        <v>0</v>
      </c>
      <c r="H12" s="13" t="s">
        <v>677</v>
      </c>
      <c r="I12" s="13" t="s">
        <v>2394</v>
      </c>
      <c r="J12" s="13" t="s">
        <v>2395</v>
      </c>
    </row>
    <row r="13" spans="1:10">
      <c r="A13" s="13"/>
      <c r="B13" s="13"/>
      <c r="C13" s="13"/>
      <c r="D13" s="13"/>
      <c r="E13" s="13"/>
      <c r="F13" s="13"/>
      <c r="G13" s="13"/>
      <c r="H13" s="13"/>
      <c r="I13" s="13"/>
      <c r="J13" s="13"/>
    </row>
    <row r="14" spans="1:10">
      <c r="A14" s="842" t="s">
        <v>936</v>
      </c>
      <c r="B14" s="839"/>
      <c r="C14" s="839"/>
      <c r="D14" s="85"/>
      <c r="E14" s="85"/>
      <c r="F14" s="85"/>
      <c r="G14" s="85"/>
      <c r="H14" s="85"/>
      <c r="I14" s="85"/>
      <c r="J14" s="85"/>
    </row>
    <row r="15" spans="1:10">
      <c r="A15" s="50" t="s">
        <v>275</v>
      </c>
      <c r="B15" s="50" t="s">
        <v>937</v>
      </c>
      <c r="C15" s="50" t="s">
        <v>938</v>
      </c>
      <c r="D15" s="50" t="s">
        <v>939</v>
      </c>
      <c r="E15" s="50" t="s">
        <v>940</v>
      </c>
      <c r="F15" s="50" t="s">
        <v>941</v>
      </c>
      <c r="G15" s="50" t="s">
        <v>942</v>
      </c>
      <c r="H15" s="50" t="s">
        <v>943</v>
      </c>
      <c r="I15" s="50" t="s">
        <v>899</v>
      </c>
      <c r="J15" s="50" t="s">
        <v>944</v>
      </c>
    </row>
    <row r="16" spans="1:10" ht="82.8">
      <c r="A16" s="13" t="s">
        <v>2386</v>
      </c>
      <c r="B16" s="13" t="s">
        <v>677</v>
      </c>
      <c r="C16" s="13" t="s">
        <v>677</v>
      </c>
      <c r="D16" s="13" t="s">
        <v>677</v>
      </c>
      <c r="E16" s="13" t="s">
        <v>677</v>
      </c>
      <c r="F16" s="13" t="s">
        <v>677</v>
      </c>
      <c r="G16" s="13" t="s">
        <v>677</v>
      </c>
      <c r="H16" s="13" t="s">
        <v>677</v>
      </c>
      <c r="I16" s="13" t="s">
        <v>677</v>
      </c>
      <c r="J16" s="13" t="s">
        <v>2306</v>
      </c>
    </row>
    <row r="17" spans="1:10" ht="69">
      <c r="A17" s="13" t="s">
        <v>2208</v>
      </c>
      <c r="B17" s="13" t="s">
        <v>946</v>
      </c>
      <c r="C17" s="13" t="s">
        <v>946</v>
      </c>
      <c r="D17" s="13" t="s">
        <v>946</v>
      </c>
      <c r="E17" s="13" t="s">
        <v>677</v>
      </c>
      <c r="F17" s="13" t="s">
        <v>677</v>
      </c>
      <c r="G17" s="13" t="s">
        <v>677</v>
      </c>
      <c r="H17" s="13" t="s">
        <v>677</v>
      </c>
      <c r="I17" s="13" t="s">
        <v>677</v>
      </c>
      <c r="J17" s="13" t="s">
        <v>2396</v>
      </c>
    </row>
    <row r="18" spans="1:10" ht="69">
      <c r="A18" s="13" t="s">
        <v>12</v>
      </c>
      <c r="B18" s="13" t="s">
        <v>946</v>
      </c>
      <c r="C18" s="13" t="s">
        <v>946</v>
      </c>
      <c r="D18" s="13" t="s">
        <v>946</v>
      </c>
      <c r="E18" s="13" t="s">
        <v>677</v>
      </c>
      <c r="F18" s="13" t="s">
        <v>677</v>
      </c>
      <c r="G18" s="13" t="s">
        <v>677</v>
      </c>
      <c r="H18" s="13" t="s">
        <v>677</v>
      </c>
      <c r="I18" s="13" t="s">
        <v>677</v>
      </c>
      <c r="J18" s="13" t="s">
        <v>2397</v>
      </c>
    </row>
    <row r="19" spans="1:10">
      <c r="A19" s="13"/>
      <c r="B19" s="13"/>
      <c r="C19" s="13"/>
      <c r="D19" s="13"/>
      <c r="E19" s="13"/>
      <c r="F19" s="13"/>
      <c r="G19" s="13"/>
      <c r="H19" s="13"/>
      <c r="I19" s="13"/>
      <c r="J19" s="13"/>
    </row>
    <row r="20" spans="1:10">
      <c r="A20" s="842" t="s">
        <v>951</v>
      </c>
      <c r="B20" s="839"/>
      <c r="C20" s="839"/>
      <c r="D20" s="85"/>
      <c r="E20" s="85"/>
      <c r="F20" s="85"/>
      <c r="G20" s="85"/>
      <c r="H20" s="85"/>
      <c r="I20" s="85"/>
      <c r="J20" s="85"/>
    </row>
    <row r="21" spans="1:10">
      <c r="A21" s="50" t="s">
        <v>275</v>
      </c>
      <c r="B21" s="50" t="s">
        <v>952</v>
      </c>
      <c r="C21" s="50" t="s">
        <v>953</v>
      </c>
      <c r="D21" s="50" t="s">
        <v>954</v>
      </c>
      <c r="E21" s="50" t="s">
        <v>955</v>
      </c>
      <c r="F21" s="50" t="s">
        <v>956</v>
      </c>
      <c r="G21" s="50" t="s">
        <v>957</v>
      </c>
      <c r="H21" s="50" t="s">
        <v>958</v>
      </c>
      <c r="I21" s="50" t="s">
        <v>899</v>
      </c>
      <c r="J21" s="50" t="s">
        <v>959</v>
      </c>
    </row>
    <row r="22" spans="1:10" ht="82.8">
      <c r="A22" s="13" t="s">
        <v>2386</v>
      </c>
      <c r="B22" s="13" t="s">
        <v>677</v>
      </c>
      <c r="C22" s="13" t="s">
        <v>677</v>
      </c>
      <c r="D22" s="13" t="s">
        <v>677</v>
      </c>
      <c r="E22" s="13" t="s">
        <v>677</v>
      </c>
      <c r="F22" s="13" t="s">
        <v>677</v>
      </c>
      <c r="G22" s="13" t="s">
        <v>677</v>
      </c>
      <c r="H22" s="13" t="s">
        <v>677</v>
      </c>
      <c r="I22" s="13" t="s">
        <v>677</v>
      </c>
      <c r="J22" s="13" t="s">
        <v>2214</v>
      </c>
    </row>
    <row r="23" spans="1:10" ht="55.2">
      <c r="A23" s="13" t="s">
        <v>2208</v>
      </c>
      <c r="B23" s="13" t="s">
        <v>677</v>
      </c>
      <c r="C23" s="13" t="s">
        <v>679</v>
      </c>
      <c r="D23" s="13" t="s">
        <v>677</v>
      </c>
      <c r="E23" s="13" t="s">
        <v>677</v>
      </c>
      <c r="F23" s="13" t="s">
        <v>677</v>
      </c>
      <c r="G23" s="13" t="s">
        <v>677</v>
      </c>
      <c r="H23" s="13" t="s">
        <v>677</v>
      </c>
      <c r="I23" s="13" t="s">
        <v>677</v>
      </c>
      <c r="J23" s="13" t="s">
        <v>2215</v>
      </c>
    </row>
    <row r="24" spans="1:10" ht="41.4">
      <c r="A24" s="13" t="s">
        <v>12</v>
      </c>
      <c r="B24" s="13" t="s">
        <v>677</v>
      </c>
      <c r="C24" s="13" t="s">
        <v>679</v>
      </c>
      <c r="D24" s="13" t="s">
        <v>677</v>
      </c>
      <c r="E24" s="13" t="s">
        <v>677</v>
      </c>
      <c r="F24" s="13" t="s">
        <v>677</v>
      </c>
      <c r="G24" s="13" t="s">
        <v>677</v>
      </c>
      <c r="H24" s="13" t="s">
        <v>677</v>
      </c>
      <c r="I24" s="13" t="s">
        <v>677</v>
      </c>
      <c r="J24" s="13" t="s">
        <v>2398</v>
      </c>
    </row>
    <row r="25" spans="1:10">
      <c r="A25" s="13"/>
      <c r="B25" s="13"/>
      <c r="C25" s="13"/>
      <c r="D25" s="13"/>
      <c r="E25" s="13"/>
      <c r="F25" s="13"/>
      <c r="G25" s="13"/>
      <c r="H25" s="13"/>
      <c r="I25" s="13"/>
      <c r="J25" s="13"/>
    </row>
    <row r="26" spans="1:10">
      <c r="A26" s="842" t="s">
        <v>964</v>
      </c>
      <c r="B26" s="839"/>
      <c r="C26" s="839"/>
      <c r="D26" s="85"/>
      <c r="E26" s="85"/>
      <c r="F26" s="85"/>
      <c r="G26" s="85"/>
      <c r="H26" s="85"/>
      <c r="I26" s="85"/>
      <c r="J26" s="85"/>
    </row>
    <row r="27" spans="1:10">
      <c r="A27" s="50" t="s">
        <v>275</v>
      </c>
      <c r="B27" s="50" t="s">
        <v>965</v>
      </c>
      <c r="C27" s="50" t="s">
        <v>966</v>
      </c>
      <c r="D27" s="50" t="s">
        <v>967</v>
      </c>
      <c r="E27" s="50" t="s">
        <v>968</v>
      </c>
      <c r="F27" s="50" t="s">
        <v>969</v>
      </c>
      <c r="G27" s="50" t="s">
        <v>970</v>
      </c>
      <c r="H27" s="50" t="s">
        <v>971</v>
      </c>
      <c r="I27" s="50" t="s">
        <v>899</v>
      </c>
      <c r="J27" s="50" t="s">
        <v>959</v>
      </c>
    </row>
    <row r="28" spans="1:10" ht="110.4">
      <c r="A28" s="13" t="s">
        <v>2386</v>
      </c>
      <c r="B28" s="13" t="s">
        <v>972</v>
      </c>
      <c r="C28" s="13" t="s">
        <v>677</v>
      </c>
      <c r="D28" s="13" t="s">
        <v>677</v>
      </c>
      <c r="E28" s="13" t="s">
        <v>677</v>
      </c>
      <c r="F28" s="13" t="s">
        <v>677</v>
      </c>
      <c r="G28" s="13" t="s">
        <v>677</v>
      </c>
      <c r="H28" s="13" t="s">
        <v>677</v>
      </c>
      <c r="I28" s="13" t="s">
        <v>677</v>
      </c>
      <c r="J28" s="13" t="s">
        <v>2399</v>
      </c>
    </row>
    <row r="29" spans="1:10" ht="55.2">
      <c r="A29" s="13" t="s">
        <v>2208</v>
      </c>
      <c r="B29" s="13" t="s">
        <v>2400</v>
      </c>
      <c r="C29" s="13" t="s">
        <v>677</v>
      </c>
      <c r="D29" s="13" t="s">
        <v>677</v>
      </c>
      <c r="E29" s="13" t="s">
        <v>677</v>
      </c>
      <c r="F29" s="13" t="s">
        <v>677</v>
      </c>
      <c r="G29" s="13" t="s">
        <v>677</v>
      </c>
      <c r="H29" s="13" t="s">
        <v>677</v>
      </c>
      <c r="I29" s="13" t="s">
        <v>677</v>
      </c>
      <c r="J29" s="13" t="s">
        <v>2401</v>
      </c>
    </row>
    <row r="30" spans="1:10" ht="55.2">
      <c r="A30" s="13" t="s">
        <v>12</v>
      </c>
      <c r="B30" s="13" t="s">
        <v>946</v>
      </c>
      <c r="C30" s="13" t="s">
        <v>677</v>
      </c>
      <c r="D30" s="13" t="s">
        <v>677</v>
      </c>
      <c r="E30" s="13" t="s">
        <v>677</v>
      </c>
      <c r="F30" s="13" t="s">
        <v>677</v>
      </c>
      <c r="G30" s="13" t="s">
        <v>677</v>
      </c>
      <c r="H30" s="13" t="s">
        <v>677</v>
      </c>
      <c r="I30" s="13" t="s">
        <v>677</v>
      </c>
      <c r="J30" s="13" t="s">
        <v>2402</v>
      </c>
    </row>
    <row r="31" spans="1:10">
      <c r="A31" s="13"/>
      <c r="B31" s="13"/>
      <c r="C31" s="13"/>
      <c r="D31" s="13"/>
      <c r="E31" s="13"/>
      <c r="F31" s="13"/>
      <c r="G31" s="13"/>
      <c r="H31" s="13"/>
      <c r="I31" s="13"/>
      <c r="J31" s="13"/>
    </row>
    <row r="32" spans="1:10">
      <c r="A32" s="842" t="s">
        <v>977</v>
      </c>
      <c r="B32" s="839"/>
      <c r="C32" s="839"/>
      <c r="D32" s="85"/>
      <c r="E32" s="85"/>
      <c r="F32" s="85"/>
      <c r="G32" s="85"/>
      <c r="H32" s="85"/>
      <c r="I32" s="85"/>
      <c r="J32" s="85"/>
    </row>
    <row r="33" spans="1:10">
      <c r="A33" s="50" t="s">
        <v>275</v>
      </c>
      <c r="B33" s="50" t="s">
        <v>978</v>
      </c>
      <c r="C33" s="50" t="s">
        <v>979</v>
      </c>
      <c r="D33" s="50" t="s">
        <v>980</v>
      </c>
      <c r="E33" s="50" t="s">
        <v>981</v>
      </c>
      <c r="F33" s="50" t="s">
        <v>982</v>
      </c>
      <c r="G33" s="50" t="s">
        <v>983</v>
      </c>
      <c r="H33" s="50" t="s">
        <v>984</v>
      </c>
      <c r="I33" s="50" t="s">
        <v>899</v>
      </c>
      <c r="J33" s="50" t="s">
        <v>11</v>
      </c>
    </row>
    <row r="34" spans="1:10" ht="96.6">
      <c r="A34" s="13" t="s">
        <v>2386</v>
      </c>
      <c r="B34" s="13" t="s">
        <v>677</v>
      </c>
      <c r="C34" s="13" t="s">
        <v>2219</v>
      </c>
      <c r="D34" s="13" t="s">
        <v>677</v>
      </c>
      <c r="E34" s="13" t="s">
        <v>677</v>
      </c>
      <c r="F34" s="13" t="s">
        <v>2403</v>
      </c>
      <c r="G34" s="13" t="s">
        <v>677</v>
      </c>
      <c r="H34" s="13" t="s">
        <v>677</v>
      </c>
      <c r="I34" s="13" t="s">
        <v>677</v>
      </c>
      <c r="J34" s="13" t="s">
        <v>2404</v>
      </c>
    </row>
    <row r="35" spans="1:10" ht="69">
      <c r="A35" s="13" t="s">
        <v>2208</v>
      </c>
      <c r="B35" s="13" t="s">
        <v>988</v>
      </c>
      <c r="C35" s="13" t="s">
        <v>1485</v>
      </c>
      <c r="D35" s="13" t="s">
        <v>988</v>
      </c>
      <c r="E35" s="13" t="s">
        <v>677</v>
      </c>
      <c r="F35" s="13" t="s">
        <v>946</v>
      </c>
      <c r="G35" s="13" t="s">
        <v>677</v>
      </c>
      <c r="H35" s="13" t="s">
        <v>677</v>
      </c>
      <c r="I35" s="13" t="s">
        <v>677</v>
      </c>
      <c r="J35" s="13" t="s">
        <v>2405</v>
      </c>
    </row>
    <row r="36" spans="1:10" ht="41.4">
      <c r="A36" s="13" t="s">
        <v>12</v>
      </c>
      <c r="B36" s="13" t="s">
        <v>946</v>
      </c>
      <c r="C36" s="13" t="s">
        <v>946</v>
      </c>
      <c r="D36" s="13" t="s">
        <v>946</v>
      </c>
      <c r="E36" s="13" t="s">
        <v>677</v>
      </c>
      <c r="F36" s="13" t="s">
        <v>946</v>
      </c>
      <c r="G36" s="13" t="s">
        <v>677</v>
      </c>
      <c r="H36" s="13" t="s">
        <v>677</v>
      </c>
      <c r="I36" s="13" t="s">
        <v>677</v>
      </c>
      <c r="J36" s="13" t="s">
        <v>2406</v>
      </c>
    </row>
    <row r="37" spans="1:10">
      <c r="A37" s="13"/>
      <c r="B37" s="13"/>
      <c r="C37" s="13"/>
      <c r="D37" s="13"/>
      <c r="E37" s="13"/>
      <c r="F37" s="13"/>
      <c r="G37" s="13"/>
      <c r="H37" s="13"/>
      <c r="I37" s="13"/>
      <c r="J37" s="13"/>
    </row>
    <row r="38" spans="1:10">
      <c r="A38" s="842" t="s">
        <v>994</v>
      </c>
      <c r="B38" s="839"/>
      <c r="C38" s="839"/>
      <c r="D38" s="85"/>
      <c r="E38" s="85"/>
      <c r="F38" s="85"/>
      <c r="G38" s="85"/>
      <c r="H38" s="85"/>
      <c r="I38" s="85"/>
      <c r="J38" s="85"/>
    </row>
    <row r="39" spans="1:10">
      <c r="A39" s="50" t="s">
        <v>275</v>
      </c>
      <c r="B39" s="50" t="s">
        <v>995</v>
      </c>
      <c r="C39" s="50" t="s">
        <v>996</v>
      </c>
      <c r="D39" s="50" t="s">
        <v>997</v>
      </c>
      <c r="E39" s="50" t="s">
        <v>998</v>
      </c>
      <c r="F39" s="50" t="s">
        <v>999</v>
      </c>
      <c r="G39" s="50" t="s">
        <v>1000</v>
      </c>
      <c r="H39" s="50" t="s">
        <v>1001</v>
      </c>
      <c r="I39" s="50" t="s">
        <v>899</v>
      </c>
      <c r="J39" s="50" t="s">
        <v>11</v>
      </c>
    </row>
    <row r="40" spans="1:10" ht="110.4">
      <c r="A40" s="13" t="s">
        <v>2386</v>
      </c>
      <c r="B40" s="13" t="s">
        <v>677</v>
      </c>
      <c r="C40" s="13" t="s">
        <v>677</v>
      </c>
      <c r="D40" s="13" t="s">
        <v>677</v>
      </c>
      <c r="E40" s="13" t="s">
        <v>677</v>
      </c>
      <c r="F40" s="13" t="s">
        <v>677</v>
      </c>
      <c r="G40" s="13" t="s">
        <v>677</v>
      </c>
      <c r="H40" s="13" t="s">
        <v>677</v>
      </c>
      <c r="I40" s="13" t="s">
        <v>677</v>
      </c>
      <c r="J40" s="13" t="s">
        <v>2407</v>
      </c>
    </row>
    <row r="41" spans="1:10" ht="82.8">
      <c r="A41" s="13" t="s">
        <v>2208</v>
      </c>
      <c r="B41" s="13" t="s">
        <v>988</v>
      </c>
      <c r="C41" s="13" t="s">
        <v>988</v>
      </c>
      <c r="D41" s="13" t="s">
        <v>988</v>
      </c>
      <c r="E41" s="13" t="s">
        <v>677</v>
      </c>
      <c r="F41" s="13" t="s">
        <v>677</v>
      </c>
      <c r="G41" s="13" t="s">
        <v>677</v>
      </c>
      <c r="H41" s="13" t="s">
        <v>677</v>
      </c>
      <c r="I41" s="13" t="s">
        <v>677</v>
      </c>
      <c r="J41" s="13" t="s">
        <v>2408</v>
      </c>
    </row>
    <row r="42" spans="1:10" ht="55.2">
      <c r="A42" s="13" t="s">
        <v>12</v>
      </c>
      <c r="B42" s="13" t="s">
        <v>988</v>
      </c>
      <c r="C42" s="13" t="s">
        <v>988</v>
      </c>
      <c r="D42" s="13" t="s">
        <v>988</v>
      </c>
      <c r="E42" s="13" t="s">
        <v>677</v>
      </c>
      <c r="F42" s="13" t="s">
        <v>677</v>
      </c>
      <c r="G42" s="13" t="s">
        <v>677</v>
      </c>
      <c r="H42" s="13" t="s">
        <v>677</v>
      </c>
      <c r="I42" s="13" t="s">
        <v>677</v>
      </c>
      <c r="J42" s="13" t="s">
        <v>2409</v>
      </c>
    </row>
    <row r="43" spans="1:10">
      <c r="A43" s="13"/>
      <c r="B43" s="13"/>
      <c r="C43" s="13"/>
      <c r="D43" s="13"/>
      <c r="E43" s="13"/>
      <c r="F43" s="13"/>
      <c r="G43" s="13"/>
      <c r="H43" s="13"/>
      <c r="I43" s="13"/>
      <c r="J43" s="13"/>
    </row>
    <row r="44" spans="1:10">
      <c r="A44" s="842" t="s">
        <v>1007</v>
      </c>
      <c r="B44" s="839"/>
      <c r="C44" s="839"/>
      <c r="D44" s="85"/>
      <c r="E44" s="85"/>
      <c r="F44" s="85"/>
      <c r="G44" s="85"/>
      <c r="H44" s="85"/>
      <c r="I44" s="85"/>
      <c r="J44" s="85"/>
    </row>
    <row r="45" spans="1:10">
      <c r="A45" s="50" t="s">
        <v>275</v>
      </c>
      <c r="B45" s="50" t="s">
        <v>1008</v>
      </c>
      <c r="C45" s="50" t="s">
        <v>1009</v>
      </c>
      <c r="D45" s="50" t="s">
        <v>1010</v>
      </c>
      <c r="E45" s="50" t="s">
        <v>1011</v>
      </c>
      <c r="F45" s="50" t="s">
        <v>1012</v>
      </c>
      <c r="G45" s="50" t="s">
        <v>1013</v>
      </c>
      <c r="H45" s="50" t="s">
        <v>1014</v>
      </c>
      <c r="I45" s="50" t="s">
        <v>899</v>
      </c>
      <c r="J45" s="50" t="s">
        <v>11</v>
      </c>
    </row>
    <row r="46" spans="1:10" ht="82.8">
      <c r="A46" s="13" t="s">
        <v>2386</v>
      </c>
      <c r="B46" s="13" t="s">
        <v>677</v>
      </c>
      <c r="C46" s="13" t="s">
        <v>677</v>
      </c>
      <c r="D46" s="13" t="s">
        <v>677</v>
      </c>
      <c r="E46" s="13" t="s">
        <v>677</v>
      </c>
      <c r="F46" s="13" t="s">
        <v>677</v>
      </c>
      <c r="G46" s="13" t="s">
        <v>677</v>
      </c>
      <c r="H46" s="13" t="s">
        <v>677</v>
      </c>
      <c r="I46" s="13" t="s">
        <v>677</v>
      </c>
      <c r="J46" s="13" t="s">
        <v>2410</v>
      </c>
    </row>
    <row r="47" spans="1:10" ht="69">
      <c r="A47" s="13" t="s">
        <v>2208</v>
      </c>
      <c r="B47" s="13" t="s">
        <v>677</v>
      </c>
      <c r="C47" s="13" t="s">
        <v>677</v>
      </c>
      <c r="D47" s="13" t="s">
        <v>677</v>
      </c>
      <c r="E47" s="13" t="s">
        <v>677</v>
      </c>
      <c r="F47" s="13" t="s">
        <v>677</v>
      </c>
      <c r="G47" s="13" t="s">
        <v>677</v>
      </c>
      <c r="H47" s="13" t="s">
        <v>677</v>
      </c>
      <c r="I47" s="13" t="s">
        <v>677</v>
      </c>
      <c r="J47" s="13" t="s">
        <v>2226</v>
      </c>
    </row>
    <row r="48" spans="1:10" ht="41.4">
      <c r="A48" s="13" t="s">
        <v>12</v>
      </c>
      <c r="B48" s="13" t="s">
        <v>677</v>
      </c>
      <c r="C48" s="13" t="s">
        <v>677</v>
      </c>
      <c r="D48" s="13" t="s">
        <v>677</v>
      </c>
      <c r="E48" s="13" t="s">
        <v>677</v>
      </c>
      <c r="F48" s="13" t="s">
        <v>677</v>
      </c>
      <c r="G48" s="13" t="s">
        <v>677</v>
      </c>
      <c r="H48" s="13" t="s">
        <v>677</v>
      </c>
      <c r="I48" s="13" t="s">
        <v>677</v>
      </c>
      <c r="J48" s="13" t="s">
        <v>2323</v>
      </c>
    </row>
    <row r="49" spans="1:10">
      <c r="A49" s="13"/>
      <c r="B49" s="13"/>
      <c r="C49" s="13"/>
      <c r="D49" s="13"/>
      <c r="E49" s="13"/>
      <c r="F49" s="13"/>
      <c r="G49" s="13"/>
      <c r="H49" s="13"/>
      <c r="I49" s="13"/>
      <c r="J49" s="13"/>
    </row>
    <row r="50" spans="1:10">
      <c r="A50" s="842" t="s">
        <v>1019</v>
      </c>
      <c r="B50" s="839"/>
      <c r="C50" s="839"/>
      <c r="D50" s="85"/>
      <c r="E50" s="85"/>
      <c r="F50" s="85"/>
      <c r="G50" s="85"/>
      <c r="H50" s="85"/>
      <c r="I50" s="85"/>
      <c r="J50" s="85"/>
    </row>
    <row r="51" spans="1:10">
      <c r="A51" s="50" t="s">
        <v>213</v>
      </c>
      <c r="B51" s="50" t="s">
        <v>275</v>
      </c>
      <c r="C51" s="50" t="s">
        <v>573</v>
      </c>
      <c r="D51" s="50" t="s">
        <v>215</v>
      </c>
      <c r="E51" s="50" t="s">
        <v>257</v>
      </c>
      <c r="F51" s="50" t="s">
        <v>572</v>
      </c>
      <c r="G51" s="50" t="s">
        <v>259</v>
      </c>
      <c r="H51" s="50" t="s">
        <v>216</v>
      </c>
      <c r="I51" s="50" t="s">
        <v>77</v>
      </c>
      <c r="J51" s="50" t="s">
        <v>11</v>
      </c>
    </row>
    <row r="52" spans="1:10" ht="69">
      <c r="A52" s="13" t="s">
        <v>2411</v>
      </c>
      <c r="B52" s="13" t="s">
        <v>575</v>
      </c>
      <c r="C52" s="13" t="s">
        <v>2412</v>
      </c>
      <c r="D52" s="13" t="s">
        <v>391</v>
      </c>
      <c r="E52" s="13" t="s">
        <v>488</v>
      </c>
      <c r="F52" s="13">
        <v>6</v>
      </c>
      <c r="G52" s="13" t="s">
        <v>1381</v>
      </c>
      <c r="H52" s="13" t="s">
        <v>1023</v>
      </c>
      <c r="I52" s="13" t="s">
        <v>502</v>
      </c>
      <c r="J52" s="13" t="s">
        <v>2413</v>
      </c>
    </row>
    <row r="53" spans="1:10" ht="69">
      <c r="A53" s="13" t="s">
        <v>2414</v>
      </c>
      <c r="B53" s="13" t="s">
        <v>2386</v>
      </c>
      <c r="C53" s="13" t="s">
        <v>2231</v>
      </c>
      <c r="D53" s="13" t="s">
        <v>391</v>
      </c>
      <c r="E53" s="13" t="s">
        <v>488</v>
      </c>
      <c r="F53" s="13">
        <v>6</v>
      </c>
      <c r="G53" s="13" t="s">
        <v>2232</v>
      </c>
      <c r="H53" s="13" t="s">
        <v>1858</v>
      </c>
      <c r="I53" s="13" t="s">
        <v>502</v>
      </c>
      <c r="J53" s="13" t="s">
        <v>2415</v>
      </c>
    </row>
    <row r="54" spans="1:10" ht="82.8">
      <c r="A54" s="13" t="s">
        <v>2416</v>
      </c>
      <c r="B54" s="13" t="s">
        <v>2417</v>
      </c>
      <c r="C54" s="13" t="s">
        <v>2418</v>
      </c>
      <c r="D54" s="13" t="s">
        <v>492</v>
      </c>
      <c r="E54" s="13" t="s">
        <v>488</v>
      </c>
      <c r="F54" s="13">
        <v>8</v>
      </c>
      <c r="G54" s="13" t="s">
        <v>2236</v>
      </c>
      <c r="H54" s="13" t="s">
        <v>584</v>
      </c>
      <c r="I54" s="13" t="s">
        <v>502</v>
      </c>
      <c r="J54" s="13" t="s">
        <v>2419</v>
      </c>
    </row>
    <row r="55" spans="1:10" ht="82.8">
      <c r="A55" s="13" t="s">
        <v>2420</v>
      </c>
      <c r="B55" s="13" t="s">
        <v>2386</v>
      </c>
      <c r="C55" s="13" t="s">
        <v>593</v>
      </c>
      <c r="D55" s="13" t="s">
        <v>492</v>
      </c>
      <c r="E55" s="13" t="s">
        <v>488</v>
      </c>
      <c r="F55" s="13">
        <v>8</v>
      </c>
      <c r="G55" s="13" t="s">
        <v>2239</v>
      </c>
      <c r="H55" s="13" t="s">
        <v>592</v>
      </c>
      <c r="I55" s="13" t="s">
        <v>502</v>
      </c>
      <c r="J55" s="13" t="s">
        <v>1028</v>
      </c>
    </row>
    <row r="56" spans="1:10" ht="110.4">
      <c r="A56" s="13" t="s">
        <v>2421</v>
      </c>
      <c r="B56" s="13" t="s">
        <v>2386</v>
      </c>
      <c r="C56" s="13" t="s">
        <v>2241</v>
      </c>
      <c r="D56" s="13" t="s">
        <v>391</v>
      </c>
      <c r="E56" s="13" t="s">
        <v>488</v>
      </c>
      <c r="F56" s="13">
        <v>6</v>
      </c>
      <c r="G56" s="13" t="s">
        <v>2422</v>
      </c>
      <c r="H56" s="13" t="s">
        <v>1032</v>
      </c>
      <c r="I56" s="13" t="s">
        <v>502</v>
      </c>
      <c r="J56" s="13" t="s">
        <v>2423</v>
      </c>
    </row>
    <row r="57" spans="1:10" ht="110.4">
      <c r="A57" s="13" t="s">
        <v>2424</v>
      </c>
      <c r="B57" s="13" t="s">
        <v>2386</v>
      </c>
      <c r="C57" s="13" t="s">
        <v>2245</v>
      </c>
      <c r="D57" s="13" t="s">
        <v>391</v>
      </c>
      <c r="E57" s="13" t="s">
        <v>488</v>
      </c>
      <c r="F57" s="13">
        <v>6</v>
      </c>
      <c r="G57" s="13" t="s">
        <v>2246</v>
      </c>
      <c r="H57" s="13" t="s">
        <v>1403</v>
      </c>
      <c r="I57" s="13" t="s">
        <v>502</v>
      </c>
      <c r="J57" s="13" t="s">
        <v>2247</v>
      </c>
    </row>
    <row r="58" spans="1:10" ht="82.8">
      <c r="A58" s="13" t="s">
        <v>2425</v>
      </c>
      <c r="B58" s="13" t="s">
        <v>575</v>
      </c>
      <c r="C58" s="13" t="s">
        <v>2339</v>
      </c>
      <c r="D58" s="13" t="s">
        <v>492</v>
      </c>
      <c r="E58" s="13" t="s">
        <v>488</v>
      </c>
      <c r="F58" s="13">
        <v>8</v>
      </c>
      <c r="G58" s="13" t="s">
        <v>1039</v>
      </c>
      <c r="H58" s="13" t="s">
        <v>584</v>
      </c>
      <c r="I58" s="13" t="s">
        <v>502</v>
      </c>
      <c r="J58" s="13" t="s">
        <v>2426</v>
      </c>
    </row>
    <row r="59" spans="1:10" ht="96.6">
      <c r="A59" s="13" t="s">
        <v>2427</v>
      </c>
      <c r="B59" s="13" t="s">
        <v>575</v>
      </c>
      <c r="C59" s="13" t="s">
        <v>1047</v>
      </c>
      <c r="D59" s="13" t="s">
        <v>391</v>
      </c>
      <c r="E59" s="13" t="s">
        <v>488</v>
      </c>
      <c r="F59" s="13">
        <v>6</v>
      </c>
      <c r="G59" s="13" t="s">
        <v>2252</v>
      </c>
      <c r="H59" s="13" t="s">
        <v>1049</v>
      </c>
      <c r="I59" s="13" t="s">
        <v>502</v>
      </c>
      <c r="J59" s="13" t="s">
        <v>1737</v>
      </c>
    </row>
    <row r="60" spans="1:10">
      <c r="A60" s="13"/>
      <c r="B60" s="13"/>
      <c r="C60" s="13"/>
      <c r="D60" s="13"/>
      <c r="E60" s="13"/>
      <c r="F60" s="13"/>
      <c r="G60" s="13"/>
      <c r="H60" s="13"/>
      <c r="I60" s="13"/>
      <c r="J60" s="13"/>
    </row>
    <row r="61" spans="1:10">
      <c r="A61" s="842" t="s">
        <v>1051</v>
      </c>
      <c r="B61" s="839"/>
      <c r="C61" s="839"/>
      <c r="D61" s="85"/>
      <c r="E61" s="85"/>
      <c r="F61" s="85"/>
      <c r="G61" s="85"/>
      <c r="H61" s="85"/>
      <c r="I61" s="85"/>
      <c r="J61" s="85"/>
    </row>
    <row r="62" spans="1:10">
      <c r="A62" s="50" t="s">
        <v>221</v>
      </c>
      <c r="B62" s="50" t="s">
        <v>222</v>
      </c>
      <c r="C62" s="50" t="s">
        <v>265</v>
      </c>
      <c r="D62" s="50" t="s">
        <v>77</v>
      </c>
      <c r="E62" s="50" t="s">
        <v>878</v>
      </c>
      <c r="F62" s="50" t="s">
        <v>879</v>
      </c>
      <c r="G62" s="50" t="s">
        <v>880</v>
      </c>
      <c r="H62" s="50" t="s">
        <v>494</v>
      </c>
      <c r="I62" s="50" t="s">
        <v>881</v>
      </c>
      <c r="J62" s="50" t="s">
        <v>11</v>
      </c>
    </row>
    <row r="63" spans="1:10" ht="82.8">
      <c r="A63" s="13" t="s">
        <v>2428</v>
      </c>
      <c r="B63" s="13" t="s">
        <v>2429</v>
      </c>
      <c r="C63" s="13" t="s">
        <v>579</v>
      </c>
      <c r="D63" s="13" t="s">
        <v>502</v>
      </c>
      <c r="E63" s="13"/>
      <c r="F63" s="13"/>
      <c r="G63" s="13" t="s">
        <v>580</v>
      </c>
      <c r="H63" s="13"/>
      <c r="I63" s="13"/>
      <c r="J63" s="13"/>
    </row>
    <row r="64" spans="1:10" ht="82.8">
      <c r="A64" s="13" t="s">
        <v>2430</v>
      </c>
      <c r="B64" s="13" t="s">
        <v>2431</v>
      </c>
      <c r="C64" s="13" t="s">
        <v>2432</v>
      </c>
      <c r="D64" s="13" t="s">
        <v>502</v>
      </c>
      <c r="E64" s="13"/>
      <c r="F64" s="13"/>
      <c r="G64" s="13" t="s">
        <v>2433</v>
      </c>
      <c r="H64" s="13"/>
      <c r="I64" s="13"/>
      <c r="J64" s="13"/>
    </row>
    <row r="65" spans="1:10" ht="69">
      <c r="A65" s="13" t="s">
        <v>2434</v>
      </c>
      <c r="B65" s="13" t="s">
        <v>2435</v>
      </c>
      <c r="C65" s="13" t="s">
        <v>587</v>
      </c>
      <c r="D65" s="13" t="s">
        <v>502</v>
      </c>
      <c r="E65" s="13"/>
      <c r="F65" s="13"/>
      <c r="G65" s="13" t="s">
        <v>588</v>
      </c>
      <c r="H65" s="13"/>
      <c r="I65" s="13"/>
      <c r="J65" s="13"/>
    </row>
    <row r="66" spans="1:10" ht="69">
      <c r="A66" s="13" t="s">
        <v>2436</v>
      </c>
      <c r="B66" s="13" t="s">
        <v>2437</v>
      </c>
      <c r="C66" s="13" t="s">
        <v>1858</v>
      </c>
      <c r="D66" s="13" t="s">
        <v>502</v>
      </c>
      <c r="E66" s="13"/>
      <c r="F66" s="13"/>
      <c r="G66" s="13" t="s">
        <v>1859</v>
      </c>
      <c r="H66" s="13"/>
      <c r="I66" s="13"/>
      <c r="J66" s="13"/>
    </row>
    <row r="67" spans="1:10" ht="69">
      <c r="A67" s="13" t="s">
        <v>2438</v>
      </c>
      <c r="B67" s="13" t="s">
        <v>2439</v>
      </c>
      <c r="C67" s="13" t="s">
        <v>601</v>
      </c>
      <c r="D67" s="13" t="s">
        <v>502</v>
      </c>
      <c r="E67" s="13"/>
      <c r="F67" s="13"/>
      <c r="G67" s="13" t="s">
        <v>602</v>
      </c>
      <c r="H67" s="13"/>
      <c r="I67" s="13"/>
      <c r="J67" s="13"/>
    </row>
    <row r="68" spans="1:10" ht="69">
      <c r="A68" s="13" t="s">
        <v>2440</v>
      </c>
      <c r="B68" s="13" t="s">
        <v>2441</v>
      </c>
      <c r="C68" s="13" t="s">
        <v>609</v>
      </c>
      <c r="D68" s="13" t="s">
        <v>502</v>
      </c>
      <c r="E68" s="13"/>
      <c r="F68" s="13"/>
      <c r="G68" s="13" t="s">
        <v>610</v>
      </c>
      <c r="H68" s="13"/>
      <c r="I68" s="13"/>
      <c r="J68" s="13"/>
    </row>
    <row r="69" spans="1:10" ht="96.6">
      <c r="A69" s="13" t="s">
        <v>2442</v>
      </c>
      <c r="B69" s="13" t="s">
        <v>2443</v>
      </c>
      <c r="C69" s="13" t="s">
        <v>616</v>
      </c>
      <c r="D69" s="13" t="s">
        <v>502</v>
      </c>
      <c r="E69" s="13"/>
      <c r="F69" s="13"/>
      <c r="G69" s="13" t="s">
        <v>617</v>
      </c>
      <c r="H69" s="13"/>
      <c r="I69" s="13"/>
      <c r="J69" s="13"/>
    </row>
    <row r="70" spans="1:10" ht="96.6">
      <c r="A70" s="13" t="s">
        <v>2444</v>
      </c>
      <c r="B70" s="13" t="s">
        <v>624</v>
      </c>
      <c r="C70" s="13" t="s">
        <v>622</v>
      </c>
      <c r="D70" s="13" t="s">
        <v>502</v>
      </c>
      <c r="E70" s="13"/>
      <c r="F70" s="13"/>
      <c r="G70" s="13" t="s">
        <v>623</v>
      </c>
      <c r="H70" s="13"/>
      <c r="I70" s="13"/>
      <c r="J70" s="13"/>
    </row>
    <row r="71" spans="1:10">
      <c r="A71" s="13"/>
      <c r="B71" s="13"/>
      <c r="C71" s="13"/>
      <c r="D71" s="13"/>
      <c r="E71" s="13"/>
      <c r="F71" s="13"/>
      <c r="G71" s="13"/>
      <c r="H71" s="13"/>
      <c r="I71" s="13"/>
      <c r="J71" s="13"/>
    </row>
    <row r="72" spans="1:10">
      <c r="A72" s="842" t="s">
        <v>1052</v>
      </c>
      <c r="B72" s="839"/>
      <c r="C72" s="839"/>
      <c r="D72" s="85"/>
      <c r="E72" s="85"/>
      <c r="F72" s="85"/>
      <c r="G72" s="85"/>
      <c r="H72" s="85"/>
      <c r="I72" s="85"/>
      <c r="J72" s="85"/>
    </row>
    <row r="73" spans="1:10">
      <c r="A73" s="50" t="s">
        <v>291</v>
      </c>
      <c r="B73" s="50" t="s">
        <v>275</v>
      </c>
      <c r="C73" s="50" t="s">
        <v>493</v>
      </c>
      <c r="D73" s="50" t="s">
        <v>214</v>
      </c>
      <c r="E73" s="50" t="s">
        <v>263</v>
      </c>
      <c r="F73" s="50" t="s">
        <v>891</v>
      </c>
      <c r="G73" s="50" t="s">
        <v>892</v>
      </c>
      <c r="H73" s="50" t="s">
        <v>893</v>
      </c>
      <c r="I73" s="50" t="s">
        <v>77</v>
      </c>
      <c r="J73" s="50" t="s">
        <v>11</v>
      </c>
    </row>
    <row r="74" spans="1:10" ht="96.6">
      <c r="A74" s="13" t="s">
        <v>2445</v>
      </c>
      <c r="B74" s="13" t="s">
        <v>2386</v>
      </c>
      <c r="C74" s="13" t="s">
        <v>269</v>
      </c>
      <c r="D74" s="13" t="s">
        <v>2446</v>
      </c>
      <c r="E74" s="13"/>
      <c r="F74" s="13" t="s">
        <v>229</v>
      </c>
      <c r="G74" s="13"/>
      <c r="H74" s="13" t="s">
        <v>2447</v>
      </c>
      <c r="I74" s="13" t="s">
        <v>502</v>
      </c>
      <c r="J74" s="13"/>
    </row>
    <row r="75" spans="1:10" ht="110.4">
      <c r="A75" s="13" t="s">
        <v>2448</v>
      </c>
      <c r="B75" s="13" t="s">
        <v>2208</v>
      </c>
      <c r="C75" s="13" t="s">
        <v>269</v>
      </c>
      <c r="D75" s="13" t="s">
        <v>2449</v>
      </c>
      <c r="E75" s="13"/>
      <c r="F75" s="13" t="s">
        <v>229</v>
      </c>
      <c r="G75" s="13"/>
      <c r="H75" s="13" t="s">
        <v>2450</v>
      </c>
      <c r="I75" s="13" t="s">
        <v>502</v>
      </c>
      <c r="J75" s="13"/>
    </row>
    <row r="76" spans="1:10" ht="96.6">
      <c r="A76" s="13" t="s">
        <v>2451</v>
      </c>
      <c r="B76" s="13" t="s">
        <v>12</v>
      </c>
      <c r="C76" s="13" t="s">
        <v>269</v>
      </c>
      <c r="D76" s="13" t="s">
        <v>2452</v>
      </c>
      <c r="E76" s="13"/>
      <c r="F76" s="13" t="s">
        <v>229</v>
      </c>
      <c r="G76" s="13"/>
      <c r="H76" s="13" t="s">
        <v>2450</v>
      </c>
      <c r="I76" s="13" t="s">
        <v>502</v>
      </c>
      <c r="J76" s="13"/>
    </row>
    <row r="77" spans="1:10" ht="124.2">
      <c r="A77" s="13" t="s">
        <v>2453</v>
      </c>
      <c r="B77" s="13" t="s">
        <v>2386</v>
      </c>
      <c r="C77" s="13" t="s">
        <v>749</v>
      </c>
      <c r="D77" s="13" t="s">
        <v>2454</v>
      </c>
      <c r="E77" s="13"/>
      <c r="F77" s="13" t="s">
        <v>229</v>
      </c>
      <c r="G77" s="13"/>
      <c r="H77" s="13" t="s">
        <v>2414</v>
      </c>
      <c r="I77" s="13" t="s">
        <v>502</v>
      </c>
      <c r="J77" s="13"/>
    </row>
    <row r="78" spans="1:10" ht="69">
      <c r="A78" s="13" t="s">
        <v>2455</v>
      </c>
      <c r="B78" s="13" t="s">
        <v>2386</v>
      </c>
      <c r="C78" s="13" t="s">
        <v>957</v>
      </c>
      <c r="D78" s="13" t="s">
        <v>1659</v>
      </c>
      <c r="E78" s="13"/>
      <c r="F78" s="13" t="s">
        <v>229</v>
      </c>
      <c r="G78" s="13"/>
      <c r="H78" s="13" t="s">
        <v>2424</v>
      </c>
      <c r="I78" s="13" t="s">
        <v>502</v>
      </c>
      <c r="J78" s="13"/>
    </row>
    <row r="79" spans="1:10" ht="96.6">
      <c r="A79" s="13" t="s">
        <v>2456</v>
      </c>
      <c r="B79" s="13" t="s">
        <v>2386</v>
      </c>
      <c r="C79" s="13" t="s">
        <v>148</v>
      </c>
      <c r="D79" s="13" t="s">
        <v>2081</v>
      </c>
      <c r="E79" s="13"/>
      <c r="F79" s="13" t="s">
        <v>229</v>
      </c>
      <c r="G79" s="13"/>
      <c r="H79" s="13" t="s">
        <v>2420</v>
      </c>
      <c r="I79" s="13" t="s">
        <v>502</v>
      </c>
      <c r="J79" s="13"/>
    </row>
    <row r="80" spans="1:10" ht="96.6">
      <c r="A80" s="13" t="s">
        <v>2457</v>
      </c>
      <c r="B80" s="13" t="s">
        <v>2386</v>
      </c>
      <c r="C80" s="13" t="s">
        <v>153</v>
      </c>
      <c r="D80" s="13" t="s">
        <v>2458</v>
      </c>
      <c r="E80" s="13"/>
      <c r="F80" s="13" t="s">
        <v>229</v>
      </c>
      <c r="G80" s="13"/>
      <c r="H80" s="13" t="s">
        <v>2421</v>
      </c>
      <c r="I80" s="13" t="s">
        <v>502</v>
      </c>
      <c r="J80" s="13"/>
    </row>
    <row r="81" spans="1:10" ht="110.4">
      <c r="A81" s="13" t="s">
        <v>2459</v>
      </c>
      <c r="B81" s="13" t="s">
        <v>2460</v>
      </c>
      <c r="C81" s="13" t="s">
        <v>1975</v>
      </c>
      <c r="D81" s="13" t="s">
        <v>2461</v>
      </c>
      <c r="E81" s="13"/>
      <c r="F81" s="13" t="s">
        <v>229</v>
      </c>
      <c r="G81" s="13"/>
      <c r="H81" s="13" t="s">
        <v>2462</v>
      </c>
      <c r="I81" s="13" t="s">
        <v>502</v>
      </c>
      <c r="J81" s="13"/>
    </row>
    <row r="82" spans="1:10">
      <c r="A82" s="13"/>
      <c r="B82" s="13"/>
      <c r="C82" s="13"/>
      <c r="D82" s="13"/>
      <c r="E82" s="13"/>
      <c r="F82" s="13"/>
      <c r="G82" s="13"/>
      <c r="H82" s="13"/>
      <c r="I82" s="13"/>
      <c r="J82" s="13"/>
    </row>
    <row r="83" spans="1:10" ht="43.2">
      <c r="A83" s="85" t="s">
        <v>1079</v>
      </c>
      <c r="B83" s="85"/>
      <c r="C83" s="85"/>
      <c r="D83" s="85"/>
      <c r="E83" s="85"/>
      <c r="F83" s="85"/>
      <c r="G83" s="85"/>
      <c r="H83" s="85"/>
      <c r="I83" s="85"/>
      <c r="J83" s="85"/>
    </row>
    <row r="84" spans="1:10">
      <c r="A84" s="50" t="s">
        <v>275</v>
      </c>
      <c r="B84" s="50" t="s">
        <v>895</v>
      </c>
      <c r="C84" s="50" t="s">
        <v>896</v>
      </c>
      <c r="D84" s="50" t="s">
        <v>148</v>
      </c>
      <c r="E84" s="50" t="s">
        <v>153</v>
      </c>
      <c r="F84" s="50" t="s">
        <v>155</v>
      </c>
      <c r="G84" s="50" t="s">
        <v>491</v>
      </c>
      <c r="H84" s="50" t="s">
        <v>897</v>
      </c>
      <c r="I84" s="50" t="s">
        <v>174</v>
      </c>
      <c r="J84" s="50" t="s">
        <v>11</v>
      </c>
    </row>
    <row r="85" spans="1:10" ht="55.2">
      <c r="A85" s="13" t="s">
        <v>2386</v>
      </c>
      <c r="B85" s="13">
        <v>0.5</v>
      </c>
      <c r="C85" s="13">
        <v>0.5</v>
      </c>
      <c r="D85" s="13">
        <v>0.5</v>
      </c>
      <c r="E85" s="13">
        <v>0.5</v>
      </c>
      <c r="F85" s="13">
        <v>0.5</v>
      </c>
      <c r="G85" s="13" t="s">
        <v>677</v>
      </c>
      <c r="H85" s="13">
        <v>0.5</v>
      </c>
      <c r="I85" s="13" t="s">
        <v>1201</v>
      </c>
      <c r="J85" s="13" t="s">
        <v>2463</v>
      </c>
    </row>
    <row r="86" spans="1:10" ht="41.4">
      <c r="A86" s="13" t="s">
        <v>2208</v>
      </c>
      <c r="B86" s="13">
        <v>0.5</v>
      </c>
      <c r="C86" s="13">
        <v>0.5</v>
      </c>
      <c r="D86" s="13">
        <v>0.5</v>
      </c>
      <c r="E86" s="13">
        <v>0.5</v>
      </c>
      <c r="F86" s="13">
        <v>0.5</v>
      </c>
      <c r="G86" s="13" t="s">
        <v>677</v>
      </c>
      <c r="H86" s="13">
        <v>0.5</v>
      </c>
      <c r="I86" s="13" t="s">
        <v>1201</v>
      </c>
      <c r="J86" s="13" t="s">
        <v>2285</v>
      </c>
    </row>
    <row r="87" spans="1:10" ht="41.4">
      <c r="A87" s="13" t="s">
        <v>12</v>
      </c>
      <c r="B87" s="13">
        <v>0.5</v>
      </c>
      <c r="C87" s="13">
        <v>0.5</v>
      </c>
      <c r="D87" s="13">
        <v>0.5</v>
      </c>
      <c r="E87" s="13">
        <v>0.5</v>
      </c>
      <c r="F87" s="13">
        <v>0.5</v>
      </c>
      <c r="G87" s="13" t="s">
        <v>677</v>
      </c>
      <c r="H87" s="13">
        <v>0.5</v>
      </c>
      <c r="I87" s="13" t="s">
        <v>1201</v>
      </c>
      <c r="J87" s="13" t="s">
        <v>2464</v>
      </c>
    </row>
    <row r="88" spans="1:10">
      <c r="A88" s="13"/>
      <c r="B88" s="13"/>
      <c r="C88" s="13"/>
      <c r="D88" s="13"/>
      <c r="E88" s="13"/>
      <c r="F88" s="13"/>
      <c r="G88" s="13"/>
      <c r="H88" s="13"/>
      <c r="I88" s="13"/>
      <c r="J88" s="13"/>
    </row>
    <row r="89" spans="1:10" ht="43.2">
      <c r="A89" s="85" t="s">
        <v>1085</v>
      </c>
      <c r="B89" s="85"/>
      <c r="C89" s="85"/>
      <c r="D89" s="85"/>
      <c r="E89" s="85"/>
      <c r="F89" s="85"/>
      <c r="G89" s="85"/>
      <c r="H89" s="85"/>
      <c r="I89" s="85"/>
      <c r="J89" s="85"/>
    </row>
    <row r="90" spans="1:10" ht="55.2">
      <c r="A90" s="50" t="s">
        <v>905</v>
      </c>
      <c r="B90" s="50" t="s">
        <v>2465</v>
      </c>
      <c r="C90" s="50"/>
      <c r="D90" s="50"/>
      <c r="E90" s="50"/>
      <c r="F90" s="50"/>
      <c r="G90" s="50"/>
      <c r="H90" s="50"/>
      <c r="I90" s="50"/>
      <c r="J90" s="50"/>
    </row>
    <row r="91" spans="1:10" ht="207">
      <c r="A91" s="13" t="s">
        <v>1086</v>
      </c>
      <c r="B91" s="13" t="s">
        <v>2466</v>
      </c>
      <c r="C91" s="13"/>
      <c r="D91" s="13"/>
      <c r="E91" s="13"/>
      <c r="F91" s="13"/>
      <c r="G91" s="13"/>
      <c r="H91" s="13"/>
      <c r="I91" s="13"/>
      <c r="J91" s="13"/>
    </row>
    <row r="92" spans="1:10" ht="151.80000000000001">
      <c r="A92" s="13" t="s">
        <v>2090</v>
      </c>
      <c r="B92" s="13" t="s">
        <v>2467</v>
      </c>
      <c r="C92" s="13"/>
      <c r="D92" s="13"/>
      <c r="E92" s="13"/>
      <c r="F92" s="13"/>
      <c r="G92" s="13"/>
      <c r="H92" s="13"/>
      <c r="I92" s="13"/>
      <c r="J92" s="13"/>
    </row>
    <row r="93" spans="1:10" ht="262.2">
      <c r="A93" s="13" t="s">
        <v>1088</v>
      </c>
      <c r="B93" s="13" t="s">
        <v>2468</v>
      </c>
      <c r="C93" s="13"/>
      <c r="D93" s="13"/>
      <c r="E93" s="13"/>
      <c r="F93" s="13"/>
      <c r="G93" s="13"/>
      <c r="H93" s="13"/>
      <c r="I93" s="13"/>
      <c r="J93" s="13"/>
    </row>
    <row r="94" spans="1:10" ht="179.4">
      <c r="A94" s="13" t="s">
        <v>1089</v>
      </c>
      <c r="B94" s="13" t="s">
        <v>2469</v>
      </c>
      <c r="C94" s="13"/>
      <c r="D94" s="13"/>
      <c r="E94" s="13"/>
      <c r="F94" s="13"/>
      <c r="G94" s="13"/>
      <c r="H94" s="13"/>
      <c r="I94" s="13"/>
      <c r="J94" s="13"/>
    </row>
    <row r="95" spans="1:10" ht="179.4">
      <c r="A95" s="13" t="s">
        <v>1090</v>
      </c>
      <c r="B95" s="13" t="s">
        <v>2470</v>
      </c>
      <c r="C95" s="13"/>
      <c r="D95" s="13"/>
      <c r="E95" s="13"/>
      <c r="F95" s="13"/>
      <c r="G95" s="13"/>
      <c r="H95" s="13"/>
      <c r="I95" s="13"/>
      <c r="J95" s="13"/>
    </row>
    <row r="96" spans="1:10" ht="207">
      <c r="A96" s="13" t="s">
        <v>1563</v>
      </c>
      <c r="B96" s="13" t="s">
        <v>1776</v>
      </c>
      <c r="C96" s="13"/>
      <c r="D96" s="13"/>
      <c r="E96" s="13"/>
      <c r="F96" s="13"/>
      <c r="G96" s="13"/>
      <c r="H96" s="13"/>
      <c r="I96" s="13"/>
      <c r="J96" s="13"/>
    </row>
    <row r="98" spans="1:10" ht="15" thickBot="1"/>
    <row r="99" spans="1:10">
      <c r="A99" s="855" t="s">
        <v>5875</v>
      </c>
      <c r="B99" s="856"/>
      <c r="C99" s="856"/>
      <c r="D99" s="857"/>
      <c r="E99" s="856"/>
      <c r="F99" s="856"/>
      <c r="G99" s="857"/>
      <c r="H99" s="857"/>
      <c r="I99" s="857"/>
      <c r="J99" s="858"/>
    </row>
    <row r="100" spans="1:10">
      <c r="A100" s="325" t="s">
        <v>5817</v>
      </c>
      <c r="B100" s="326" t="s">
        <v>77</v>
      </c>
      <c r="C100" s="326" t="s">
        <v>5818</v>
      </c>
      <c r="D100" s="326" t="s">
        <v>5819</v>
      </c>
      <c r="E100" s="326" t="s">
        <v>5841</v>
      </c>
      <c r="F100" s="326" t="s">
        <v>5808</v>
      </c>
      <c r="G100" s="859" t="s">
        <v>5842</v>
      </c>
      <c r="H100" s="859"/>
      <c r="I100" s="859"/>
      <c r="J100" s="860"/>
    </row>
    <row r="101" spans="1:10" ht="26.4">
      <c r="A101" s="327" t="s">
        <v>5820</v>
      </c>
      <c r="B101" s="337" t="s">
        <v>484</v>
      </c>
      <c r="C101" s="329">
        <v>0</v>
      </c>
      <c r="D101" s="329">
        <v>0</v>
      </c>
      <c r="E101" s="196" t="s">
        <v>5881</v>
      </c>
      <c r="F101" s="329">
        <f>IF(AND(C101&lt;&gt;"",D101&lt;&gt;""),D101-C101,"")</f>
        <v>0</v>
      </c>
      <c r="G101" s="861"/>
      <c r="H101" s="861"/>
      <c r="I101" s="861"/>
      <c r="J101" s="862"/>
    </row>
    <row r="102" spans="1:10" ht="26.4">
      <c r="A102" s="330" t="s">
        <v>5821</v>
      </c>
      <c r="B102" s="337" t="s">
        <v>484</v>
      </c>
      <c r="C102" s="331">
        <v>1</v>
      </c>
      <c r="D102" s="331">
        <v>0</v>
      </c>
      <c r="E102" s="314" t="s">
        <v>5882</v>
      </c>
      <c r="F102" s="331">
        <f>IF(AND(C102&lt;&gt;"",D102&lt;&gt;""),D102-C102,"")</f>
        <v>-1</v>
      </c>
      <c r="G102" s="863"/>
      <c r="H102" s="863"/>
      <c r="I102" s="863"/>
      <c r="J102" s="864"/>
    </row>
    <row r="103" spans="1:10">
      <c r="A103" s="327" t="s">
        <v>5822</v>
      </c>
      <c r="B103" s="337" t="s">
        <v>484</v>
      </c>
      <c r="C103" s="331">
        <v>1</v>
      </c>
      <c r="D103" s="331">
        <v>0</v>
      </c>
      <c r="E103" s="314" t="s">
        <v>5882</v>
      </c>
      <c r="F103" s="329">
        <f>IF(AND(C103&lt;&gt;"",D103&lt;&gt;""),D103-C103,"")</f>
        <v>-1</v>
      </c>
      <c r="G103" s="332"/>
      <c r="H103" s="231"/>
      <c r="I103" s="231"/>
      <c r="J103" s="333"/>
    </row>
    <row r="104" spans="1:10">
      <c r="A104" s="330" t="s">
        <v>5823</v>
      </c>
      <c r="B104" s="337" t="s">
        <v>484</v>
      </c>
      <c r="C104" s="331">
        <v>1</v>
      </c>
      <c r="D104" s="331">
        <v>0</v>
      </c>
      <c r="E104" s="314" t="s">
        <v>5882</v>
      </c>
      <c r="F104" s="331">
        <f>IF(AND(C104&lt;&gt;"",D104&lt;&gt;""),D104-C104,"")</f>
        <v>-1</v>
      </c>
      <c r="G104" s="863"/>
      <c r="H104" s="863"/>
      <c r="I104" s="863"/>
      <c r="J104" s="864"/>
    </row>
    <row r="105" spans="1:10">
      <c r="A105" s="327" t="s">
        <v>5168</v>
      </c>
      <c r="B105" s="337" t="s">
        <v>484</v>
      </c>
      <c r="C105" s="331">
        <v>1</v>
      </c>
      <c r="D105" s="331">
        <v>0</v>
      </c>
      <c r="E105" s="314" t="s">
        <v>5882</v>
      </c>
      <c r="F105" s="329">
        <f>IF(AND(C105&lt;&gt;"",D105&lt;&gt;""),D105-C105,"")</f>
        <v>-1</v>
      </c>
      <c r="G105" s="332"/>
      <c r="H105" s="231"/>
      <c r="I105" s="231"/>
      <c r="J105" s="333"/>
    </row>
    <row r="106" spans="1:10" ht="15.6">
      <c r="A106" s="865" t="s">
        <v>5843</v>
      </c>
      <c r="B106" s="713"/>
      <c r="C106" s="334">
        <f>IFERROR(AVERAGE(C101:C105),"")</f>
        <v>0.8</v>
      </c>
      <c r="D106" s="334">
        <f>IFERROR(AVERAGE(D101:D105),"")</f>
        <v>0</v>
      </c>
      <c r="E106" s="866" t="s">
        <v>5844</v>
      </c>
      <c r="F106" s="866"/>
      <c r="G106" s="866"/>
      <c r="H106" s="866"/>
      <c r="I106" s="866"/>
      <c r="J106" s="867"/>
    </row>
    <row r="107" spans="1:10">
      <c r="A107" s="335"/>
      <c r="B107" s="320"/>
      <c r="C107" s="320"/>
      <c r="D107" s="320"/>
      <c r="E107" s="320"/>
      <c r="F107" s="320"/>
      <c r="G107" s="320"/>
      <c r="H107" s="231"/>
      <c r="I107" s="231"/>
      <c r="J107" s="333"/>
    </row>
    <row r="108" spans="1:10">
      <c r="A108" s="876" t="s">
        <v>5876</v>
      </c>
      <c r="B108" s="853"/>
      <c r="C108" s="853"/>
      <c r="D108" s="842"/>
      <c r="E108" s="853"/>
      <c r="F108" s="853"/>
      <c r="G108" s="842"/>
      <c r="H108" s="842"/>
      <c r="I108" s="842"/>
      <c r="J108" s="868"/>
    </row>
    <row r="109" spans="1:10">
      <c r="A109" s="325" t="s">
        <v>4946</v>
      </c>
      <c r="B109" s="326" t="s">
        <v>77</v>
      </c>
      <c r="C109" s="326" t="s">
        <v>5883</v>
      </c>
      <c r="D109" s="326" t="s">
        <v>482</v>
      </c>
      <c r="E109" s="326" t="s">
        <v>572</v>
      </c>
      <c r="F109" s="326" t="s">
        <v>5846</v>
      </c>
      <c r="G109" s="859" t="s">
        <v>5847</v>
      </c>
      <c r="H109" s="859"/>
      <c r="I109" s="859"/>
      <c r="J109" s="860"/>
    </row>
    <row r="110" spans="1:10" ht="26.4">
      <c r="A110" s="330" t="s">
        <v>5809</v>
      </c>
      <c r="B110" s="337" t="s">
        <v>484</v>
      </c>
      <c r="C110" s="336" t="s">
        <v>679</v>
      </c>
      <c r="D110" s="328" t="s">
        <v>679</v>
      </c>
      <c r="E110" s="336">
        <f>IF(D110="Yes",1,0)</f>
        <v>0</v>
      </c>
      <c r="F110" s="877"/>
      <c r="G110" s="877"/>
      <c r="H110" s="877"/>
      <c r="I110" s="877"/>
      <c r="J110" s="878"/>
    </row>
    <row r="111" spans="1:10">
      <c r="A111" s="327" t="s">
        <v>995</v>
      </c>
      <c r="B111" s="337" t="s">
        <v>484</v>
      </c>
      <c r="C111" s="336" t="s">
        <v>679</v>
      </c>
      <c r="D111" s="328" t="s">
        <v>679</v>
      </c>
      <c r="E111" s="328">
        <f t="shared" ref="E111:E117" si="0">IF(D111="Yes",1,0)</f>
        <v>0</v>
      </c>
      <c r="F111" s="877"/>
      <c r="G111" s="877"/>
      <c r="H111" s="877"/>
      <c r="I111" s="877"/>
      <c r="J111" s="878"/>
    </row>
    <row r="112" spans="1:10">
      <c r="A112" s="330" t="s">
        <v>5810</v>
      </c>
      <c r="B112" s="337" t="s">
        <v>484</v>
      </c>
      <c r="C112" s="336" t="s">
        <v>679</v>
      </c>
      <c r="D112" s="328" t="s">
        <v>679</v>
      </c>
      <c r="E112" s="336">
        <f t="shared" si="0"/>
        <v>0</v>
      </c>
      <c r="F112" s="877"/>
      <c r="G112" s="877"/>
      <c r="H112" s="877"/>
      <c r="I112" s="877"/>
      <c r="J112" s="878"/>
    </row>
    <row r="113" spans="1:10">
      <c r="A113" s="327" t="s">
        <v>5824</v>
      </c>
      <c r="B113" s="337" t="s">
        <v>484</v>
      </c>
      <c r="C113" s="336" t="s">
        <v>679</v>
      </c>
      <c r="D113" s="328" t="s">
        <v>679</v>
      </c>
      <c r="E113" s="328">
        <f t="shared" si="0"/>
        <v>0</v>
      </c>
      <c r="F113" s="877"/>
      <c r="G113" s="877"/>
      <c r="H113" s="877"/>
      <c r="I113" s="877"/>
      <c r="J113" s="878"/>
    </row>
    <row r="114" spans="1:10" ht="39.6">
      <c r="A114" s="330" t="s">
        <v>5825</v>
      </c>
      <c r="B114" s="337" t="s">
        <v>484</v>
      </c>
      <c r="C114" s="336" t="s">
        <v>679</v>
      </c>
      <c r="D114" s="328" t="s">
        <v>679</v>
      </c>
      <c r="E114" s="336">
        <f t="shared" si="0"/>
        <v>0</v>
      </c>
      <c r="F114" s="877"/>
      <c r="G114" s="877"/>
      <c r="H114" s="877"/>
      <c r="I114" s="877"/>
      <c r="J114" s="878"/>
    </row>
    <row r="115" spans="1:10" ht="26.4">
      <c r="A115" s="327" t="s">
        <v>5826</v>
      </c>
      <c r="B115" s="337" t="s">
        <v>484</v>
      </c>
      <c r="C115" s="336" t="s">
        <v>679</v>
      </c>
      <c r="D115" s="328" t="s">
        <v>679</v>
      </c>
      <c r="E115" s="328">
        <f t="shared" si="0"/>
        <v>0</v>
      </c>
      <c r="F115" s="877"/>
      <c r="G115" s="877"/>
      <c r="H115" s="877"/>
      <c r="I115" s="877"/>
      <c r="J115" s="878"/>
    </row>
    <row r="116" spans="1:10">
      <c r="A116" s="330" t="s">
        <v>5811</v>
      </c>
      <c r="B116" s="337" t="s">
        <v>484</v>
      </c>
      <c r="C116" s="336" t="s">
        <v>679</v>
      </c>
      <c r="D116" s="328" t="s">
        <v>679</v>
      </c>
      <c r="E116" s="336">
        <f t="shared" si="0"/>
        <v>0</v>
      </c>
      <c r="F116" s="877"/>
      <c r="G116" s="877"/>
      <c r="H116" s="877"/>
      <c r="I116" s="877"/>
      <c r="J116" s="878"/>
    </row>
    <row r="117" spans="1:10" ht="26.4">
      <c r="A117" s="327" t="s">
        <v>5812</v>
      </c>
      <c r="B117" s="337" t="s">
        <v>484</v>
      </c>
      <c r="C117" s="336" t="s">
        <v>679</v>
      </c>
      <c r="D117" s="328" t="s">
        <v>679</v>
      </c>
      <c r="E117" s="328">
        <f t="shared" si="0"/>
        <v>0</v>
      </c>
      <c r="F117" s="877"/>
      <c r="G117" s="877"/>
      <c r="H117" s="877"/>
      <c r="I117" s="877"/>
      <c r="J117" s="878"/>
    </row>
    <row r="118" spans="1:10" ht="15.6">
      <c r="A118" s="865" t="s">
        <v>5848</v>
      </c>
      <c r="B118" s="713"/>
      <c r="C118" s="871" t="str">
        <f>IFERROR(SUM(E110:E117)/COUNTIF(C110:C117,"Yes"),"")</f>
        <v/>
      </c>
      <c r="D118" s="872"/>
      <c r="E118" s="866" t="s">
        <v>5849</v>
      </c>
      <c r="F118" s="866"/>
      <c r="G118" s="866"/>
      <c r="H118" s="866"/>
      <c r="I118" s="866"/>
      <c r="J118" s="867"/>
    </row>
    <row r="119" spans="1:10">
      <c r="A119" s="335"/>
      <c r="B119" s="320"/>
      <c r="C119" s="320"/>
      <c r="D119" s="320"/>
      <c r="E119" s="320"/>
      <c r="F119" s="320"/>
      <c r="G119" s="320"/>
      <c r="H119" s="231"/>
      <c r="I119" s="231"/>
      <c r="J119" s="333"/>
    </row>
    <row r="120" spans="1:10">
      <c r="A120" s="876" t="s">
        <v>5877</v>
      </c>
      <c r="B120" s="853"/>
      <c r="C120" s="853"/>
      <c r="D120" s="842"/>
      <c r="E120" s="853"/>
      <c r="F120" s="853"/>
      <c r="G120" s="842"/>
      <c r="H120" s="842"/>
      <c r="I120" s="842"/>
      <c r="J120" s="868"/>
    </row>
    <row r="121" spans="1:10">
      <c r="A121" s="325" t="s">
        <v>5850</v>
      </c>
      <c r="B121" s="326" t="s">
        <v>77</v>
      </c>
      <c r="C121" s="326" t="s">
        <v>5827</v>
      </c>
      <c r="D121" s="326" t="s">
        <v>5828</v>
      </c>
      <c r="E121" s="326" t="s">
        <v>5829</v>
      </c>
      <c r="F121" s="326" t="s">
        <v>5851</v>
      </c>
      <c r="G121" s="859" t="s">
        <v>5852</v>
      </c>
      <c r="H121" s="859"/>
      <c r="I121" s="859"/>
      <c r="J121" s="860"/>
    </row>
    <row r="122" spans="1:10" ht="26.4">
      <c r="A122" s="330" t="s">
        <v>5830</v>
      </c>
      <c r="B122" s="336" t="s">
        <v>484</v>
      </c>
      <c r="C122" s="336" t="s">
        <v>1096</v>
      </c>
      <c r="D122" s="336" t="s">
        <v>1096</v>
      </c>
      <c r="E122" s="336" t="s">
        <v>1096</v>
      </c>
      <c r="F122" s="336" t="s">
        <v>348</v>
      </c>
      <c r="G122" s="869"/>
      <c r="H122" s="869"/>
      <c r="I122" s="869"/>
      <c r="J122" s="870"/>
    </row>
    <row r="123" spans="1:10">
      <c r="A123" s="327" t="s">
        <v>5831</v>
      </c>
      <c r="B123" s="336" t="s">
        <v>484</v>
      </c>
      <c r="C123" s="336" t="s">
        <v>1096</v>
      </c>
      <c r="D123" s="336" t="s">
        <v>1096</v>
      </c>
      <c r="E123" s="336" t="s">
        <v>1096</v>
      </c>
      <c r="F123" s="336" t="s">
        <v>348</v>
      </c>
      <c r="G123" s="869"/>
      <c r="H123" s="869"/>
      <c r="I123" s="869"/>
      <c r="J123" s="870"/>
    </row>
    <row r="124" spans="1:10">
      <c r="A124" s="330" t="s">
        <v>5853</v>
      </c>
      <c r="B124" s="336" t="s">
        <v>484</v>
      </c>
      <c r="C124" s="336" t="s">
        <v>1096</v>
      </c>
      <c r="D124" s="336" t="s">
        <v>1096</v>
      </c>
      <c r="E124" s="336" t="s">
        <v>1096</v>
      </c>
      <c r="F124" s="336" t="s">
        <v>348</v>
      </c>
      <c r="G124" s="869"/>
      <c r="H124" s="869"/>
      <c r="I124" s="869"/>
      <c r="J124" s="870"/>
    </row>
    <row r="125" spans="1:10">
      <c r="A125" s="327" t="s">
        <v>5832</v>
      </c>
      <c r="B125" s="336" t="s">
        <v>484</v>
      </c>
      <c r="C125" s="336" t="s">
        <v>1096</v>
      </c>
      <c r="D125" s="336" t="s">
        <v>1096</v>
      </c>
      <c r="E125" s="336" t="s">
        <v>1096</v>
      </c>
      <c r="F125" s="336" t="s">
        <v>348</v>
      </c>
      <c r="G125" s="869"/>
      <c r="H125" s="869"/>
      <c r="I125" s="869"/>
      <c r="J125" s="870"/>
    </row>
    <row r="126" spans="1:10" ht="26.4">
      <c r="A126" s="330" t="s">
        <v>5833</v>
      </c>
      <c r="B126" s="336" t="s">
        <v>484</v>
      </c>
      <c r="C126" s="336" t="s">
        <v>1096</v>
      </c>
      <c r="D126" s="336" t="s">
        <v>1096</v>
      </c>
      <c r="E126" s="336" t="s">
        <v>1096</v>
      </c>
      <c r="F126" s="336" t="s">
        <v>348</v>
      </c>
      <c r="G126" s="869"/>
      <c r="H126" s="869"/>
      <c r="I126" s="869"/>
      <c r="J126" s="870"/>
    </row>
    <row r="127" spans="1:10" ht="15.6">
      <c r="A127" s="865" t="s">
        <v>5884</v>
      </c>
      <c r="B127" s="713"/>
      <c r="C127" s="871">
        <f>IFERROR(COUNTIF(E122:E126,"Yes")/COUNTA(A122:A126),"")</f>
        <v>0</v>
      </c>
      <c r="D127" s="872"/>
      <c r="E127" s="866" t="s">
        <v>5855</v>
      </c>
      <c r="F127" s="866"/>
      <c r="G127" s="866"/>
      <c r="H127" s="866"/>
      <c r="I127" s="866"/>
      <c r="J127" s="867"/>
    </row>
    <row r="128" spans="1:10">
      <c r="A128" s="335"/>
      <c r="B128" s="320"/>
      <c r="C128" s="320"/>
      <c r="D128" s="320"/>
      <c r="E128" s="320"/>
      <c r="F128" s="320"/>
      <c r="G128" s="874"/>
      <c r="H128" s="874"/>
      <c r="I128" s="874"/>
      <c r="J128" s="875"/>
    </row>
    <row r="129" spans="1:10">
      <c r="A129" s="876" t="s">
        <v>5878</v>
      </c>
      <c r="B129" s="853"/>
      <c r="C129" s="853"/>
      <c r="D129" s="842"/>
      <c r="E129" s="853"/>
      <c r="F129" s="853"/>
      <c r="G129" s="842"/>
      <c r="H129" s="842"/>
      <c r="I129" s="842"/>
      <c r="J129" s="868"/>
    </row>
    <row r="130" spans="1:10">
      <c r="A130" s="326" t="s">
        <v>5813</v>
      </c>
      <c r="B130" s="326" t="s">
        <v>77</v>
      </c>
      <c r="C130" s="326" t="s">
        <v>5834</v>
      </c>
      <c r="D130" s="326" t="s">
        <v>5835</v>
      </c>
      <c r="E130" s="326" t="s">
        <v>5836</v>
      </c>
      <c r="F130" s="326" t="s">
        <v>5837</v>
      </c>
      <c r="G130" s="859" t="s">
        <v>5885</v>
      </c>
      <c r="H130" s="859"/>
      <c r="I130" s="859"/>
      <c r="J130" s="859"/>
    </row>
    <row r="131" spans="1:10">
      <c r="A131" s="332" t="s">
        <v>153</v>
      </c>
      <c r="B131" s="328" t="s">
        <v>484</v>
      </c>
      <c r="C131" s="328"/>
      <c r="D131" s="328"/>
      <c r="E131" s="328"/>
      <c r="F131" s="329" t="str">
        <f>IFERROR(D131/C131,"")</f>
        <v/>
      </c>
      <c r="G131" s="873"/>
      <c r="H131" s="873"/>
      <c r="I131" s="873"/>
      <c r="J131" s="873"/>
    </row>
    <row r="132" spans="1:10">
      <c r="A132" s="339" t="s">
        <v>155</v>
      </c>
      <c r="B132" s="336" t="s">
        <v>484</v>
      </c>
      <c r="C132" s="336"/>
      <c r="D132" s="336"/>
      <c r="E132" s="336"/>
      <c r="F132" s="331" t="str">
        <f>IFERROR(D132/C132,"")</f>
        <v/>
      </c>
      <c r="G132" s="873"/>
      <c r="H132" s="873"/>
      <c r="I132" s="873"/>
      <c r="J132" s="873"/>
    </row>
    <row r="133" spans="1:10">
      <c r="A133" s="332" t="s">
        <v>4821</v>
      </c>
      <c r="B133" s="328" t="s">
        <v>484</v>
      </c>
      <c r="C133" s="328"/>
      <c r="D133" s="328"/>
      <c r="E133" s="328"/>
      <c r="F133" s="329" t="str">
        <f>IFERROR(D133/C133,"")</f>
        <v/>
      </c>
      <c r="G133" s="873"/>
      <c r="H133" s="873"/>
      <c r="I133" s="873"/>
      <c r="J133" s="873"/>
    </row>
    <row r="134" spans="1:10">
      <c r="A134" s="339" t="s">
        <v>957</v>
      </c>
      <c r="B134" s="336" t="s">
        <v>484</v>
      </c>
      <c r="C134" s="336"/>
      <c r="D134" s="336"/>
      <c r="E134" s="336"/>
      <c r="F134" s="331" t="str">
        <f>IFERROR(D134/C134,"")</f>
        <v/>
      </c>
      <c r="G134" s="873"/>
      <c r="H134" s="873"/>
      <c r="I134" s="873"/>
      <c r="J134" s="873"/>
    </row>
    <row r="135" spans="1:10">
      <c r="A135" s="879" t="s">
        <v>5856</v>
      </c>
      <c r="B135" s="879"/>
      <c r="C135" s="879"/>
      <c r="D135" s="879"/>
      <c r="E135" s="866" t="s">
        <v>5857</v>
      </c>
      <c r="F135" s="866"/>
      <c r="G135" s="866"/>
      <c r="H135" s="866"/>
      <c r="I135" s="866"/>
      <c r="J135" s="866"/>
    </row>
    <row r="136" spans="1:10">
      <c r="A136" s="879"/>
      <c r="B136" s="879"/>
      <c r="C136" s="879"/>
      <c r="D136" s="879"/>
      <c r="E136" s="866"/>
      <c r="F136" s="866"/>
      <c r="G136" s="866"/>
      <c r="H136" s="866"/>
      <c r="I136" s="866"/>
      <c r="J136" s="866"/>
    </row>
    <row r="137" spans="1:10">
      <c r="A137" s="842" t="s">
        <v>5879</v>
      </c>
      <c r="B137" s="842"/>
      <c r="C137" s="842"/>
      <c r="D137" s="842"/>
      <c r="E137" s="842"/>
      <c r="F137" s="842"/>
      <c r="G137" s="842"/>
      <c r="H137" s="842"/>
      <c r="I137" s="842"/>
      <c r="J137" s="842"/>
    </row>
    <row r="138" spans="1:10">
      <c r="A138" s="326" t="s">
        <v>4946</v>
      </c>
      <c r="B138" s="326" t="s">
        <v>77</v>
      </c>
      <c r="C138" s="326" t="s">
        <v>5845</v>
      </c>
      <c r="D138" s="326" t="s">
        <v>482</v>
      </c>
      <c r="E138" s="326" t="s">
        <v>572</v>
      </c>
      <c r="F138" s="326" t="s">
        <v>944</v>
      </c>
      <c r="G138" s="859" t="s">
        <v>5847</v>
      </c>
      <c r="H138" s="859"/>
      <c r="I138" s="859"/>
      <c r="J138" s="859"/>
    </row>
    <row r="139" spans="1:10" ht="26.4">
      <c r="A139" s="332" t="s">
        <v>5814</v>
      </c>
      <c r="B139" s="328" t="s">
        <v>484</v>
      </c>
      <c r="C139" s="328" t="s">
        <v>392</v>
      </c>
      <c r="D139" s="328" t="s">
        <v>1096</v>
      </c>
      <c r="E139" s="328">
        <f t="shared" ref="E139:E144" si="1">IF(D139="Yes",1,0)</f>
        <v>0</v>
      </c>
      <c r="F139" s="328"/>
      <c r="G139" s="873"/>
      <c r="H139" s="873"/>
      <c r="I139" s="873"/>
      <c r="J139" s="873"/>
    </row>
    <row r="140" spans="1:10">
      <c r="A140" s="339" t="s">
        <v>5815</v>
      </c>
      <c r="B140" s="328" t="s">
        <v>484</v>
      </c>
      <c r="C140" s="336" t="s">
        <v>392</v>
      </c>
      <c r="D140" s="328" t="s">
        <v>1096</v>
      </c>
      <c r="E140" s="336">
        <f t="shared" si="1"/>
        <v>0</v>
      </c>
      <c r="F140" s="336"/>
      <c r="G140" s="873"/>
      <c r="H140" s="873"/>
      <c r="I140" s="873"/>
      <c r="J140" s="873"/>
    </row>
    <row r="141" spans="1:10" ht="26.4">
      <c r="A141" s="332" t="s">
        <v>5816</v>
      </c>
      <c r="B141" s="328" t="s">
        <v>484</v>
      </c>
      <c r="C141" s="328" t="s">
        <v>392</v>
      </c>
      <c r="D141" s="328" t="s">
        <v>1096</v>
      </c>
      <c r="E141" s="328">
        <f t="shared" si="1"/>
        <v>0</v>
      </c>
      <c r="F141" s="328"/>
      <c r="G141" s="873"/>
      <c r="H141" s="873"/>
      <c r="I141" s="873"/>
      <c r="J141" s="873"/>
    </row>
    <row r="142" spans="1:10">
      <c r="A142" s="339" t="s">
        <v>5838</v>
      </c>
      <c r="B142" s="328" t="s">
        <v>484</v>
      </c>
      <c r="C142" s="336" t="s">
        <v>392</v>
      </c>
      <c r="D142" s="328" t="s">
        <v>1096</v>
      </c>
      <c r="E142" s="336">
        <f t="shared" si="1"/>
        <v>0</v>
      </c>
      <c r="F142" s="336"/>
      <c r="G142" s="873"/>
      <c r="H142" s="873"/>
      <c r="I142" s="873"/>
      <c r="J142" s="873"/>
    </row>
    <row r="143" spans="1:10" ht="26.4">
      <c r="A143" s="332" t="s">
        <v>5839</v>
      </c>
      <c r="B143" s="328" t="s">
        <v>484</v>
      </c>
      <c r="C143" s="328" t="s">
        <v>392</v>
      </c>
      <c r="D143" s="328" t="s">
        <v>1096</v>
      </c>
      <c r="E143" s="328">
        <f t="shared" si="1"/>
        <v>0</v>
      </c>
      <c r="F143" s="328"/>
      <c r="G143" s="873"/>
      <c r="H143" s="873"/>
      <c r="I143" s="873"/>
      <c r="J143" s="873"/>
    </row>
    <row r="144" spans="1:10" ht="26.4">
      <c r="A144" s="339" t="s">
        <v>5840</v>
      </c>
      <c r="B144" s="328" t="s">
        <v>484</v>
      </c>
      <c r="C144" s="336" t="s">
        <v>392</v>
      </c>
      <c r="D144" s="336" t="s">
        <v>1096</v>
      </c>
      <c r="E144" s="336">
        <f t="shared" si="1"/>
        <v>0</v>
      </c>
      <c r="F144" s="336"/>
      <c r="G144" s="873"/>
      <c r="H144" s="873"/>
      <c r="I144" s="873"/>
      <c r="J144" s="873"/>
    </row>
    <row r="145" spans="1:10" ht="15.6">
      <c r="A145" s="880" t="s">
        <v>5858</v>
      </c>
      <c r="B145" s="713"/>
      <c r="C145" s="871">
        <f>IFERROR(SUM(E139:E144)/COUNTIF(C139:C144,"Yes"),"")</f>
        <v>0</v>
      </c>
      <c r="D145" s="872"/>
      <c r="E145" s="866" t="s">
        <v>5859</v>
      </c>
      <c r="F145" s="866"/>
      <c r="G145" s="866"/>
      <c r="H145" s="866"/>
      <c r="I145" s="866"/>
      <c r="J145" s="866"/>
    </row>
    <row r="146" spans="1:10">
      <c r="A146" s="196"/>
      <c r="B146" s="196"/>
      <c r="C146" s="196"/>
      <c r="D146" s="196"/>
      <c r="E146" s="196"/>
      <c r="F146" s="196"/>
      <c r="G146" s="196"/>
      <c r="H146" s="196"/>
      <c r="I146" s="196"/>
      <c r="J146" s="196"/>
    </row>
    <row r="147" spans="1:10">
      <c r="A147" s="842" t="s">
        <v>5880</v>
      </c>
      <c r="B147" s="853"/>
      <c r="C147" s="853"/>
      <c r="D147" s="321"/>
      <c r="E147" s="321"/>
      <c r="F147" s="321"/>
      <c r="G147" s="321"/>
      <c r="H147" s="321"/>
      <c r="I147" s="321"/>
      <c r="J147" s="321"/>
    </row>
    <row r="148" spans="1:10" ht="55.2">
      <c r="A148" s="322" t="s">
        <v>905</v>
      </c>
      <c r="B148" s="322" t="s">
        <v>830</v>
      </c>
      <c r="C148" s="322"/>
      <c r="D148" s="322"/>
      <c r="E148" s="322"/>
      <c r="F148" s="322"/>
      <c r="G148" s="322"/>
      <c r="H148" s="322"/>
      <c r="I148" s="322"/>
      <c r="J148" s="322"/>
    </row>
    <row r="149" spans="1:10">
      <c r="A149" s="319" t="s">
        <v>1086</v>
      </c>
      <c r="B149" s="852" t="s">
        <v>3292</v>
      </c>
      <c r="C149" s="853"/>
      <c r="D149" s="853"/>
      <c r="E149" s="853"/>
      <c r="F149" s="853"/>
      <c r="G149" s="853"/>
      <c r="H149" s="853"/>
      <c r="I149" s="853"/>
      <c r="J149" s="853"/>
    </row>
    <row r="150" spans="1:10" ht="27.6">
      <c r="A150" s="319" t="s">
        <v>2090</v>
      </c>
      <c r="B150" s="852" t="s">
        <v>3293</v>
      </c>
      <c r="C150" s="853"/>
      <c r="D150" s="853"/>
      <c r="E150" s="853"/>
      <c r="F150" s="853"/>
      <c r="G150" s="853"/>
      <c r="H150" s="853"/>
      <c r="I150" s="853"/>
      <c r="J150" s="853"/>
    </row>
    <row r="151" spans="1:10">
      <c r="A151" s="319" t="s">
        <v>1089</v>
      </c>
      <c r="B151" s="852" t="s">
        <v>3294</v>
      </c>
      <c r="C151" s="853"/>
      <c r="D151" s="853"/>
      <c r="E151" s="853"/>
      <c r="F151" s="853"/>
      <c r="G151" s="853"/>
      <c r="H151" s="853"/>
      <c r="I151" s="853"/>
      <c r="J151" s="853"/>
    </row>
    <row r="152" spans="1:10">
      <c r="A152" s="319" t="s">
        <v>1090</v>
      </c>
      <c r="B152" s="852" t="s">
        <v>3295</v>
      </c>
      <c r="C152" s="853"/>
      <c r="D152" s="853"/>
      <c r="E152" s="853"/>
      <c r="F152" s="853"/>
      <c r="G152" s="853"/>
      <c r="H152" s="853"/>
      <c r="I152" s="853"/>
      <c r="J152" s="853"/>
    </row>
    <row r="153" spans="1:10">
      <c r="A153" s="319" t="s">
        <v>1088</v>
      </c>
      <c r="B153" s="852" t="s">
        <v>3296</v>
      </c>
      <c r="C153" s="853"/>
      <c r="D153" s="853"/>
      <c r="E153" s="853"/>
      <c r="F153" s="853"/>
      <c r="G153" s="853"/>
      <c r="H153" s="853"/>
      <c r="I153" s="853"/>
      <c r="J153" s="853"/>
    </row>
    <row r="154" spans="1:10" ht="27.6">
      <c r="A154" s="319" t="s">
        <v>3297</v>
      </c>
      <c r="B154" s="852" t="s">
        <v>3298</v>
      </c>
      <c r="C154" s="853"/>
      <c r="D154" s="853"/>
      <c r="E154" s="853"/>
      <c r="F154" s="853"/>
      <c r="G154" s="853"/>
      <c r="H154" s="853"/>
      <c r="I154" s="853"/>
      <c r="J154" s="853"/>
    </row>
    <row r="155" spans="1:10">
      <c r="A155" s="319" t="s">
        <v>1563</v>
      </c>
      <c r="B155" s="852" t="s">
        <v>1776</v>
      </c>
      <c r="C155" s="853"/>
      <c r="D155" s="853"/>
      <c r="E155" s="853"/>
      <c r="F155" s="853"/>
      <c r="G155" s="853"/>
      <c r="H155" s="853"/>
      <c r="I155" s="853"/>
      <c r="J155" s="853"/>
    </row>
    <row r="156" spans="1:10">
      <c r="A156" s="231"/>
      <c r="B156" s="231"/>
      <c r="C156" s="231"/>
      <c r="D156" s="231"/>
      <c r="E156" s="231"/>
      <c r="F156" s="231"/>
      <c r="G156" s="231"/>
      <c r="H156" s="231"/>
      <c r="I156" s="231"/>
      <c r="J156" s="231"/>
    </row>
    <row r="157" spans="1:10" ht="17.399999999999999">
      <c r="A157" s="827" t="s">
        <v>5769</v>
      </c>
      <c r="B157" s="827"/>
      <c r="C157" s="827"/>
      <c r="D157" s="827"/>
      <c r="E157" s="827"/>
      <c r="F157" s="827"/>
      <c r="G157" s="827"/>
      <c r="H157" s="827"/>
      <c r="I157" s="231"/>
      <c r="J157" s="231"/>
    </row>
    <row r="158" spans="1:10">
      <c r="A158" s="276" t="s">
        <v>2</v>
      </c>
      <c r="B158" s="828" t="s">
        <v>5770</v>
      </c>
      <c r="C158" s="828"/>
      <c r="D158" s="828"/>
      <c r="E158" s="828"/>
      <c r="F158" s="828"/>
      <c r="G158" s="828"/>
      <c r="H158" s="828"/>
      <c r="I158" s="231"/>
      <c r="J158" s="231"/>
    </row>
    <row r="159" spans="1:10">
      <c r="A159" s="276" t="s">
        <v>5771</v>
      </c>
      <c r="B159" s="828" t="s">
        <v>5772</v>
      </c>
      <c r="C159" s="828"/>
      <c r="D159" s="828"/>
      <c r="E159" s="828"/>
      <c r="F159" s="828"/>
      <c r="G159" s="828"/>
      <c r="H159" s="828"/>
      <c r="I159" s="231"/>
      <c r="J159" s="231"/>
    </row>
    <row r="160" spans="1:10">
      <c r="A160" s="196"/>
      <c r="B160" s="196"/>
      <c r="C160" s="196"/>
      <c r="D160" s="196"/>
      <c r="E160" s="196"/>
      <c r="F160" s="196"/>
      <c r="G160" s="196"/>
      <c r="H160" s="196"/>
      <c r="I160" s="231"/>
      <c r="J160" s="231"/>
    </row>
    <row r="161" spans="1:10">
      <c r="A161" s="323" t="s">
        <v>4946</v>
      </c>
      <c r="B161" s="323" t="s">
        <v>77</v>
      </c>
      <c r="C161" s="323" t="s">
        <v>5773</v>
      </c>
      <c r="D161" s="323" t="s">
        <v>263</v>
      </c>
      <c r="E161" s="323" t="s">
        <v>216</v>
      </c>
      <c r="F161" s="323" t="s">
        <v>5774</v>
      </c>
      <c r="G161" s="323" t="s">
        <v>5775</v>
      </c>
      <c r="H161" s="323" t="s">
        <v>5776</v>
      </c>
      <c r="I161" s="231"/>
      <c r="J161" s="231"/>
    </row>
    <row r="162" spans="1:10" ht="26.4">
      <c r="A162" s="277" t="s">
        <v>5777</v>
      </c>
      <c r="B162" s="278" t="s">
        <v>1096</v>
      </c>
      <c r="C162" s="277"/>
      <c r="D162" s="277"/>
      <c r="E162" s="277"/>
      <c r="F162" s="277"/>
      <c r="G162" s="279" t="str">
        <f t="shared" ref="G162:G169" si="2">IF(OR(B162="Yes",B162="N/A"),"🟢","🟡")</f>
        <v>🟡</v>
      </c>
      <c r="H162" s="277"/>
      <c r="I162" s="231"/>
      <c r="J162" s="231"/>
    </row>
    <row r="163" spans="1:10">
      <c r="A163" s="277" t="s">
        <v>5778</v>
      </c>
      <c r="B163" s="278" t="s">
        <v>1096</v>
      </c>
      <c r="C163" s="277"/>
      <c r="D163" s="277"/>
      <c r="E163" s="277"/>
      <c r="F163" s="277"/>
      <c r="G163" s="279" t="str">
        <f t="shared" si="2"/>
        <v>🟡</v>
      </c>
      <c r="H163" s="277"/>
      <c r="I163" s="231"/>
      <c r="J163" s="231"/>
    </row>
    <row r="164" spans="1:10">
      <c r="A164" s="277" t="s">
        <v>5779</v>
      </c>
      <c r="B164" s="278" t="s">
        <v>1096</v>
      </c>
      <c r="C164" s="277"/>
      <c r="D164" s="277"/>
      <c r="E164" s="277"/>
      <c r="F164" s="277"/>
      <c r="G164" s="279" t="str">
        <f t="shared" si="2"/>
        <v>🟡</v>
      </c>
      <c r="H164" s="277"/>
      <c r="I164" s="231"/>
      <c r="J164" s="231"/>
    </row>
    <row r="165" spans="1:10">
      <c r="A165" s="277" t="s">
        <v>5168</v>
      </c>
      <c r="B165" s="278" t="s">
        <v>1096</v>
      </c>
      <c r="C165" s="277"/>
      <c r="D165" s="277"/>
      <c r="E165" s="277"/>
      <c r="F165" s="277"/>
      <c r="G165" s="279" t="str">
        <f t="shared" si="2"/>
        <v>🟡</v>
      </c>
      <c r="H165" s="277"/>
      <c r="I165" s="231"/>
      <c r="J165" s="231"/>
    </row>
    <row r="166" spans="1:10">
      <c r="A166" s="277" t="s">
        <v>5780</v>
      </c>
      <c r="B166" s="278" t="s">
        <v>1096</v>
      </c>
      <c r="C166" s="277"/>
      <c r="D166" s="277"/>
      <c r="E166" s="277"/>
      <c r="F166" s="277"/>
      <c r="G166" s="279" t="str">
        <f t="shared" si="2"/>
        <v>🟡</v>
      </c>
      <c r="H166" s="277"/>
      <c r="I166" s="231"/>
      <c r="J166" s="231"/>
    </row>
    <row r="167" spans="1:10">
      <c r="A167" s="277" t="s">
        <v>5781</v>
      </c>
      <c r="B167" s="278" t="s">
        <v>1096</v>
      </c>
      <c r="C167" s="277"/>
      <c r="D167" s="277"/>
      <c r="E167" s="277"/>
      <c r="F167" s="277"/>
      <c r="G167" s="279" t="str">
        <f t="shared" si="2"/>
        <v>🟡</v>
      </c>
      <c r="H167" s="277"/>
      <c r="I167" s="231"/>
      <c r="J167" s="231"/>
    </row>
    <row r="168" spans="1:10">
      <c r="A168" s="277" t="s">
        <v>178</v>
      </c>
      <c r="B168" s="278" t="s">
        <v>1096</v>
      </c>
      <c r="C168" s="277"/>
      <c r="D168" s="277"/>
      <c r="E168" s="277"/>
      <c r="F168" s="277"/>
      <c r="G168" s="279" t="str">
        <f t="shared" si="2"/>
        <v>🟡</v>
      </c>
      <c r="H168" s="277"/>
      <c r="I168" s="231"/>
      <c r="J168" s="231"/>
    </row>
    <row r="169" spans="1:10" ht="26.4">
      <c r="A169" s="277" t="s">
        <v>5782</v>
      </c>
      <c r="B169" s="278" t="s">
        <v>1096</v>
      </c>
      <c r="C169" s="277"/>
      <c r="D169" s="277"/>
      <c r="E169" s="277"/>
      <c r="F169" s="277"/>
      <c r="G169" s="279" t="str">
        <f t="shared" si="2"/>
        <v>🟡</v>
      </c>
      <c r="H169" s="277"/>
      <c r="I169" s="231"/>
      <c r="J169" s="231"/>
    </row>
    <row r="170" spans="1:10">
      <c r="A170" s="324" t="s">
        <v>4946</v>
      </c>
      <c r="B170" s="324" t="s">
        <v>5790</v>
      </c>
      <c r="C170" s="196"/>
      <c r="D170" s="196"/>
      <c r="E170" s="324" t="s">
        <v>5791</v>
      </c>
      <c r="F170" s="196"/>
      <c r="G170" s="196"/>
      <c r="H170" s="196"/>
      <c r="I170" s="231"/>
      <c r="J170" s="231"/>
    </row>
    <row r="171" spans="1:10" ht="26.4">
      <c r="A171" s="291" t="s">
        <v>5777</v>
      </c>
      <c r="B171" s="768" t="s">
        <v>5792</v>
      </c>
      <c r="C171" s="768"/>
      <c r="D171" s="768"/>
      <c r="E171" s="768" t="s">
        <v>5793</v>
      </c>
      <c r="F171" s="768"/>
      <c r="G171" s="768"/>
      <c r="H171" s="196"/>
      <c r="I171" s="231"/>
      <c r="J171" s="231"/>
    </row>
    <row r="172" spans="1:10">
      <c r="A172" s="291" t="s">
        <v>5778</v>
      </c>
      <c r="B172" s="768" t="s">
        <v>5794</v>
      </c>
      <c r="C172" s="768"/>
      <c r="D172" s="768"/>
      <c r="E172" s="768" t="s">
        <v>5795</v>
      </c>
      <c r="F172" s="768"/>
      <c r="G172" s="768"/>
      <c r="H172" s="196"/>
      <c r="I172" s="231"/>
      <c r="J172" s="231"/>
    </row>
    <row r="173" spans="1:10">
      <c r="A173" s="291" t="s">
        <v>5779</v>
      </c>
      <c r="B173" s="768" t="s">
        <v>5796</v>
      </c>
      <c r="C173" s="768"/>
      <c r="D173" s="768"/>
      <c r="E173" s="768" t="s">
        <v>5797</v>
      </c>
      <c r="F173" s="768"/>
      <c r="G173" s="768"/>
      <c r="H173" s="196"/>
      <c r="I173" s="231"/>
      <c r="J173" s="231"/>
    </row>
    <row r="174" spans="1:10">
      <c r="A174" s="291" t="s">
        <v>5168</v>
      </c>
      <c r="B174" s="768" t="s">
        <v>5798</v>
      </c>
      <c r="C174" s="768"/>
      <c r="D174" s="768"/>
      <c r="E174" s="768" t="s">
        <v>5799</v>
      </c>
      <c r="F174" s="768"/>
      <c r="G174" s="768"/>
      <c r="H174" s="196"/>
      <c r="I174" s="231"/>
      <c r="J174" s="231"/>
    </row>
    <row r="175" spans="1:10">
      <c r="A175" s="291" t="s">
        <v>5780</v>
      </c>
      <c r="B175" s="768" t="s">
        <v>5800</v>
      </c>
      <c r="C175" s="768"/>
      <c r="D175" s="768"/>
      <c r="E175" s="768" t="s">
        <v>5801</v>
      </c>
      <c r="F175" s="768"/>
      <c r="G175" s="768"/>
      <c r="H175" s="196"/>
      <c r="I175" s="231"/>
      <c r="J175" s="231"/>
    </row>
    <row r="176" spans="1:10">
      <c r="A176" s="291" t="s">
        <v>5781</v>
      </c>
      <c r="B176" s="768" t="s">
        <v>5802</v>
      </c>
      <c r="C176" s="768"/>
      <c r="D176" s="768"/>
      <c r="E176" s="768" t="s">
        <v>5803</v>
      </c>
      <c r="F176" s="768"/>
      <c r="G176" s="768"/>
      <c r="H176" s="196"/>
      <c r="I176" s="231"/>
      <c r="J176" s="231"/>
    </row>
    <row r="177" spans="1:10">
      <c r="A177" s="291" t="s">
        <v>178</v>
      </c>
      <c r="B177" s="768" t="s">
        <v>5804</v>
      </c>
      <c r="C177" s="768"/>
      <c r="D177" s="768"/>
      <c r="E177" s="768" t="s">
        <v>5805</v>
      </c>
      <c r="F177" s="768"/>
      <c r="G177" s="768"/>
      <c r="H177" s="196"/>
      <c r="I177" s="231"/>
      <c r="J177" s="231"/>
    </row>
    <row r="178" spans="1:10" ht="26.4">
      <c r="A178" s="291" t="s">
        <v>5782</v>
      </c>
      <c r="B178" s="768" t="s">
        <v>5806</v>
      </c>
      <c r="C178" s="768"/>
      <c r="D178" s="768"/>
      <c r="E178" s="768" t="s">
        <v>5807</v>
      </c>
      <c r="F178" s="768"/>
      <c r="G178" s="768"/>
      <c r="H178" s="196"/>
      <c r="I178" s="231"/>
      <c r="J178" s="231"/>
    </row>
    <row r="179" spans="1:10">
      <c r="A179" s="276" t="s">
        <v>5783</v>
      </c>
      <c r="B179" s="280" t="str">
        <f>IF(COUNTIF(B162:B169,"No")=0,"🟢 PILOT COMPLETE / ACCEPTANCE READY","🟡 NOT COMPLETE — ACCEPTANCE GATES OPEN")</f>
        <v>🟡 NOT COMPLETE — ACCEPTANCE GATES OPEN</v>
      </c>
      <c r="C179" s="280"/>
      <c r="D179" s="280"/>
      <c r="E179" s="280"/>
      <c r="F179" s="280"/>
      <c r="G179" s="280"/>
      <c r="H179" s="280"/>
    </row>
    <row r="180" spans="1:10">
      <c r="A180" s="276" t="s">
        <v>5784</v>
      </c>
      <c r="B180" s="280">
        <f>COUNTIF(B162:B169,"No")</f>
        <v>8</v>
      </c>
      <c r="C180" s="280"/>
      <c r="D180" s="280"/>
      <c r="E180" s="280"/>
      <c r="F180" s="280"/>
      <c r="G180" s="280"/>
      <c r="H180" s="280"/>
    </row>
    <row r="181" spans="1:10">
      <c r="A181" s="276" t="s">
        <v>5785</v>
      </c>
      <c r="B181" s="280" t="str">
        <f>COUNTIF(B162:B169,"Yes")&amp;" / 8 Complete"</f>
        <v>0 / 8 Complete</v>
      </c>
      <c r="C181" s="280"/>
      <c r="D181" s="280"/>
      <c r="E181" s="280"/>
      <c r="F181" s="280"/>
      <c r="G181" s="280"/>
      <c r="H181" s="280"/>
    </row>
    <row r="182" spans="1:10" ht="93">
      <c r="A182" s="281" t="s">
        <v>5786</v>
      </c>
      <c r="B182" s="282" t="s">
        <v>5787</v>
      </c>
      <c r="C182" s="282"/>
      <c r="D182" s="282"/>
      <c r="E182" s="282"/>
      <c r="F182" s="282"/>
      <c r="G182" s="282"/>
      <c r="H182" s="282"/>
    </row>
    <row r="183" spans="1:10">
      <c r="A183" s="281"/>
      <c r="B183" s="282"/>
      <c r="C183" s="282"/>
      <c r="D183" s="282"/>
      <c r="E183" s="282"/>
      <c r="F183" s="282"/>
      <c r="G183" s="282"/>
      <c r="H183" s="282"/>
    </row>
    <row r="184" spans="1:10" ht="66.599999999999994">
      <c r="A184" s="281" t="s">
        <v>5788</v>
      </c>
      <c r="B184" s="282" t="s">
        <v>5789</v>
      </c>
      <c r="C184" s="282"/>
      <c r="D184" s="282"/>
      <c r="E184" s="282"/>
      <c r="F184" s="282"/>
      <c r="G184" s="282"/>
      <c r="H184" s="282"/>
    </row>
    <row r="185" spans="1:10">
      <c r="A185" s="842" t="s">
        <v>5901</v>
      </c>
      <c r="B185" s="842"/>
      <c r="C185" s="842"/>
      <c r="D185" s="842"/>
      <c r="E185" s="842"/>
      <c r="F185" s="842"/>
      <c r="G185" s="842"/>
      <c r="H185" s="842"/>
      <c r="I185" s="842"/>
      <c r="J185" s="842"/>
    </row>
    <row r="186" spans="1:10">
      <c r="A186" s="340" t="s">
        <v>5886</v>
      </c>
      <c r="B186" s="196"/>
      <c r="C186" s="196"/>
      <c r="D186" s="196"/>
      <c r="E186" s="196"/>
      <c r="F186" s="196"/>
      <c r="G186" s="196"/>
      <c r="H186" s="196"/>
      <c r="I186" s="196"/>
      <c r="J186" s="196"/>
    </row>
    <row r="187" spans="1:10">
      <c r="A187" s="196"/>
      <c r="B187" s="196"/>
      <c r="C187" s="196"/>
      <c r="D187" s="196"/>
      <c r="E187" s="196"/>
      <c r="F187" s="196"/>
      <c r="G187" s="196"/>
      <c r="H187" s="196"/>
      <c r="I187" s="196"/>
      <c r="J187" s="196"/>
    </row>
    <row r="188" spans="1:10">
      <c r="A188" s="196" t="s">
        <v>5887</v>
      </c>
      <c r="B188" s="196"/>
      <c r="C188" s="196"/>
      <c r="D188" s="196"/>
      <c r="E188" s="196"/>
      <c r="F188" s="196"/>
      <c r="G188" s="196"/>
      <c r="H188" s="196"/>
      <c r="I188" s="196"/>
      <c r="J188" s="196"/>
    </row>
    <row r="189" spans="1:10">
      <c r="A189" s="196"/>
      <c r="B189" s="196"/>
      <c r="C189" s="196"/>
      <c r="D189" s="196"/>
      <c r="E189" s="196"/>
      <c r="F189" s="196"/>
      <c r="G189" s="196"/>
      <c r="H189" s="196"/>
      <c r="I189" s="196"/>
      <c r="J189" s="196"/>
    </row>
    <row r="190" spans="1:10">
      <c r="A190" s="196" t="s">
        <v>5888</v>
      </c>
      <c r="B190" s="196"/>
      <c r="C190" s="196"/>
      <c r="D190" s="196"/>
      <c r="E190" s="196"/>
      <c r="F190" s="196"/>
      <c r="G190" s="196"/>
      <c r="H190" s="196"/>
      <c r="I190" s="196"/>
      <c r="J190" s="196"/>
    </row>
    <row r="191" spans="1:10">
      <c r="A191" s="196"/>
      <c r="B191" s="196"/>
      <c r="C191" s="196"/>
      <c r="D191" s="196"/>
      <c r="E191" s="196"/>
      <c r="F191" s="196"/>
      <c r="G191" s="196"/>
      <c r="H191" s="196"/>
      <c r="I191" s="196"/>
      <c r="J191" s="196"/>
    </row>
    <row r="192" spans="1:10">
      <c r="A192" s="196" t="s">
        <v>5889</v>
      </c>
      <c r="B192" s="196"/>
      <c r="C192" s="196"/>
      <c r="D192" s="196"/>
      <c r="E192" s="196"/>
      <c r="F192" s="196"/>
      <c r="G192" s="196"/>
      <c r="H192" s="196"/>
      <c r="I192" s="196"/>
      <c r="J192" s="196"/>
    </row>
    <row r="193" spans="1:10">
      <c r="A193" s="196"/>
      <c r="B193" s="196"/>
      <c r="C193" s="196"/>
      <c r="D193" s="196"/>
      <c r="E193" s="196"/>
      <c r="F193" s="196"/>
      <c r="G193" s="196"/>
      <c r="H193" s="196"/>
      <c r="I193" s="196"/>
      <c r="J193" s="196"/>
    </row>
    <row r="194" spans="1:10">
      <c r="A194" s="196"/>
      <c r="B194" s="196"/>
      <c r="C194" s="196"/>
      <c r="D194" s="196"/>
      <c r="E194" s="196"/>
      <c r="F194" s="196"/>
      <c r="G194" s="196"/>
      <c r="H194" s="196"/>
      <c r="I194" s="196"/>
      <c r="J194" s="196"/>
    </row>
    <row r="195" spans="1:10">
      <c r="A195" s="196"/>
      <c r="B195" s="196"/>
      <c r="C195" s="196"/>
      <c r="D195" s="196"/>
      <c r="E195" s="196"/>
      <c r="F195" s="196"/>
      <c r="G195" s="196"/>
      <c r="H195" s="196"/>
      <c r="I195" s="196"/>
      <c r="J195" s="196"/>
    </row>
    <row r="196" spans="1:10">
      <c r="A196" s="842" t="s">
        <v>5902</v>
      </c>
      <c r="B196" s="842"/>
      <c r="C196" s="842"/>
      <c r="D196" s="842"/>
      <c r="E196" s="842"/>
      <c r="F196" s="842"/>
      <c r="G196" s="842"/>
      <c r="H196" s="842"/>
      <c r="I196" s="842"/>
      <c r="J196" s="842"/>
    </row>
    <row r="197" spans="1:10">
      <c r="A197" s="196"/>
      <c r="B197" s="196"/>
      <c r="C197" s="196"/>
      <c r="D197" s="196"/>
      <c r="E197" s="196"/>
      <c r="F197" s="196"/>
      <c r="G197" s="196"/>
      <c r="H197" s="196"/>
      <c r="I197" s="196"/>
      <c r="J197" s="196"/>
    </row>
    <row r="198" spans="1:10">
      <c r="A198" s="196" t="s">
        <v>5890</v>
      </c>
      <c r="B198" s="196"/>
      <c r="C198" s="196"/>
      <c r="D198" s="196"/>
      <c r="E198" s="196"/>
      <c r="F198" s="196"/>
      <c r="G198" s="196"/>
      <c r="H198" s="196"/>
      <c r="I198" s="196"/>
      <c r="J198" s="196"/>
    </row>
    <row r="199" spans="1:10">
      <c r="A199" s="196"/>
      <c r="B199" s="196"/>
      <c r="C199" s="196"/>
      <c r="D199" s="196"/>
      <c r="E199" s="196"/>
      <c r="F199" s="196"/>
      <c r="G199" s="196"/>
      <c r="H199" s="196"/>
      <c r="I199" s="196"/>
      <c r="J199" s="196"/>
    </row>
    <row r="200" spans="1:10">
      <c r="A200" s="196" t="s">
        <v>5891</v>
      </c>
      <c r="B200" s="196"/>
      <c r="C200" s="196"/>
      <c r="D200" s="196"/>
      <c r="E200" s="196"/>
      <c r="F200" s="196"/>
      <c r="G200" s="196"/>
      <c r="H200" s="196"/>
      <c r="I200" s="196"/>
      <c r="J200" s="196"/>
    </row>
    <row r="201" spans="1:10">
      <c r="A201" s="196"/>
      <c r="B201" s="196"/>
      <c r="C201" s="196"/>
      <c r="D201" s="196"/>
      <c r="E201" s="196"/>
      <c r="F201" s="196"/>
      <c r="G201" s="196"/>
      <c r="H201" s="196"/>
      <c r="I201" s="196"/>
      <c r="J201" s="196"/>
    </row>
    <row r="202" spans="1:10">
      <c r="A202" s="196" t="s">
        <v>5892</v>
      </c>
      <c r="B202" s="196"/>
      <c r="C202" s="196"/>
      <c r="D202" s="196"/>
      <c r="E202" s="196"/>
      <c r="F202" s="196"/>
      <c r="G202" s="196"/>
      <c r="H202" s="196"/>
      <c r="I202" s="196"/>
      <c r="J202" s="196"/>
    </row>
    <row r="203" spans="1:10">
      <c r="A203" s="196"/>
      <c r="B203" s="196"/>
      <c r="C203" s="196"/>
      <c r="D203" s="196"/>
      <c r="E203" s="196"/>
      <c r="F203" s="196"/>
      <c r="G203" s="196"/>
      <c r="H203" s="196"/>
      <c r="I203" s="196"/>
      <c r="J203" s="196"/>
    </row>
    <row r="204" spans="1:10">
      <c r="A204" s="196"/>
      <c r="B204" s="196"/>
      <c r="C204" s="196"/>
      <c r="D204" s="196"/>
      <c r="E204" s="196"/>
      <c r="F204" s="196"/>
      <c r="G204" s="196"/>
      <c r="H204" s="196"/>
      <c r="I204" s="196"/>
      <c r="J204" s="196"/>
    </row>
    <row r="205" spans="1:10">
      <c r="A205" s="196"/>
      <c r="B205" s="196"/>
      <c r="C205" s="196"/>
      <c r="D205" s="196"/>
      <c r="E205" s="196"/>
      <c r="F205" s="196"/>
      <c r="G205" s="196"/>
      <c r="H205" s="196"/>
      <c r="I205" s="196"/>
      <c r="J205" s="196"/>
    </row>
    <row r="206" spans="1:10">
      <c r="A206" s="842" t="s">
        <v>5903</v>
      </c>
      <c r="B206" s="842"/>
      <c r="C206" s="842"/>
      <c r="D206" s="842"/>
      <c r="E206" s="842"/>
      <c r="F206" s="842"/>
      <c r="G206" s="842"/>
      <c r="H206" s="842"/>
      <c r="I206" s="842"/>
      <c r="J206" s="842"/>
    </row>
    <row r="207" spans="1:10">
      <c r="A207" s="196"/>
      <c r="B207" s="196"/>
      <c r="C207" s="196"/>
      <c r="D207" s="196"/>
      <c r="E207" s="196"/>
      <c r="F207" s="196"/>
      <c r="G207" s="196"/>
      <c r="H207" s="196"/>
      <c r="I207" s="196"/>
      <c r="J207" s="196"/>
    </row>
    <row r="208" spans="1:10">
      <c r="A208" s="196" t="s">
        <v>5893</v>
      </c>
      <c r="B208" s="196"/>
      <c r="C208" s="196"/>
      <c r="D208" s="196"/>
      <c r="E208" s="196"/>
      <c r="F208" s="196"/>
      <c r="G208" s="196"/>
      <c r="H208" s="196"/>
      <c r="I208" s="196"/>
      <c r="J208" s="196"/>
    </row>
    <row r="209" spans="1:10">
      <c r="A209" s="196"/>
      <c r="B209" s="196"/>
      <c r="C209" s="196"/>
      <c r="D209" s="196"/>
      <c r="E209" s="196"/>
      <c r="F209" s="196"/>
      <c r="G209" s="196"/>
      <c r="H209" s="196"/>
      <c r="I209" s="196"/>
      <c r="J209" s="196"/>
    </row>
    <row r="210" spans="1:10">
      <c r="A210" s="196" t="s">
        <v>5894</v>
      </c>
      <c r="B210" s="196"/>
      <c r="C210" s="196"/>
      <c r="D210" s="196"/>
      <c r="E210" s="196"/>
      <c r="F210" s="196"/>
      <c r="G210" s="196"/>
      <c r="H210" s="196"/>
      <c r="I210" s="196"/>
      <c r="J210" s="196"/>
    </row>
    <row r="211" spans="1:10">
      <c r="A211" s="196"/>
      <c r="B211" s="196"/>
      <c r="C211" s="196"/>
      <c r="D211" s="196"/>
      <c r="E211" s="196"/>
      <c r="F211" s="196"/>
      <c r="G211" s="196"/>
      <c r="H211" s="196"/>
      <c r="I211" s="196"/>
      <c r="J211" s="196"/>
    </row>
    <row r="212" spans="1:10">
      <c r="A212" s="196" t="s">
        <v>5895</v>
      </c>
      <c r="B212" s="196"/>
      <c r="C212" s="196"/>
      <c r="D212" s="196"/>
      <c r="E212" s="196"/>
      <c r="F212" s="196"/>
      <c r="G212" s="196"/>
      <c r="H212" s="196"/>
      <c r="I212" s="196"/>
      <c r="J212" s="196"/>
    </row>
    <row r="213" spans="1:10">
      <c r="A213" s="196"/>
      <c r="B213" s="196"/>
      <c r="C213" s="196"/>
      <c r="D213" s="196"/>
      <c r="E213" s="196"/>
      <c r="F213" s="196"/>
      <c r="G213" s="196"/>
      <c r="H213" s="196"/>
      <c r="I213" s="196"/>
      <c r="J213" s="196"/>
    </row>
    <row r="214" spans="1:10">
      <c r="A214" s="196" t="s">
        <v>5896</v>
      </c>
      <c r="B214" s="196"/>
      <c r="C214" s="196"/>
      <c r="D214" s="196"/>
      <c r="E214" s="196"/>
      <c r="F214" s="196"/>
      <c r="G214" s="196"/>
      <c r="H214" s="196"/>
      <c r="I214" s="196"/>
      <c r="J214" s="196"/>
    </row>
    <row r="215" spans="1:10">
      <c r="A215" s="196"/>
      <c r="B215" s="196"/>
      <c r="C215" s="196"/>
      <c r="D215" s="196"/>
      <c r="E215" s="196"/>
      <c r="F215" s="196"/>
      <c r="G215" s="196"/>
      <c r="H215" s="196"/>
      <c r="I215" s="196"/>
      <c r="J215" s="196"/>
    </row>
    <row r="216" spans="1:10">
      <c r="A216" s="196"/>
      <c r="B216" s="196"/>
      <c r="C216" s="196"/>
      <c r="D216" s="196"/>
      <c r="E216" s="196"/>
      <c r="F216" s="196"/>
      <c r="G216" s="196"/>
      <c r="H216" s="196"/>
      <c r="I216" s="196"/>
      <c r="J216" s="196"/>
    </row>
    <row r="217" spans="1:10">
      <c r="A217" s="196"/>
      <c r="B217" s="196"/>
      <c r="C217" s="196"/>
      <c r="D217" s="196"/>
      <c r="E217" s="196"/>
      <c r="F217" s="196"/>
      <c r="G217" s="196"/>
      <c r="H217" s="196"/>
      <c r="I217" s="196"/>
      <c r="J217" s="196"/>
    </row>
    <row r="218" spans="1:10">
      <c r="A218" s="842" t="s">
        <v>5904</v>
      </c>
      <c r="B218" s="842"/>
      <c r="C218" s="842"/>
      <c r="D218" s="842"/>
      <c r="E218" s="842"/>
      <c r="F218" s="842"/>
      <c r="G218" s="842"/>
      <c r="H218" s="842"/>
      <c r="I218" s="842"/>
      <c r="J218" s="842"/>
    </row>
    <row r="219" spans="1:10">
      <c r="A219" s="196"/>
      <c r="B219" s="196"/>
      <c r="C219" s="196"/>
      <c r="D219" s="196"/>
      <c r="E219" s="196"/>
      <c r="F219" s="196"/>
      <c r="G219" s="196"/>
      <c r="H219" s="196"/>
      <c r="I219" s="196"/>
      <c r="J219" s="196"/>
    </row>
    <row r="220" spans="1:10">
      <c r="A220" s="196" t="s">
        <v>5897</v>
      </c>
      <c r="B220" s="196"/>
      <c r="C220" s="196"/>
      <c r="D220" s="196"/>
      <c r="E220" s="196"/>
      <c r="F220" s="196"/>
      <c r="G220" s="196"/>
      <c r="H220" s="196"/>
      <c r="I220" s="196"/>
      <c r="J220" s="196"/>
    </row>
    <row r="221" spans="1:10">
      <c r="A221" s="196"/>
      <c r="B221" s="196"/>
      <c r="C221" s="196"/>
      <c r="D221" s="196"/>
      <c r="E221" s="196"/>
      <c r="F221" s="196"/>
      <c r="G221" s="196"/>
      <c r="H221" s="196"/>
      <c r="I221" s="196"/>
      <c r="J221" s="196"/>
    </row>
    <row r="222" spans="1:10">
      <c r="A222" s="196" t="s">
        <v>5898</v>
      </c>
      <c r="B222" s="196"/>
      <c r="C222" s="196"/>
      <c r="D222" s="196"/>
      <c r="E222" s="196"/>
      <c r="F222" s="196"/>
      <c r="G222" s="196"/>
      <c r="H222" s="196"/>
      <c r="I222" s="196"/>
      <c r="J222" s="196"/>
    </row>
    <row r="223" spans="1:10">
      <c r="A223" s="196"/>
      <c r="B223" s="196"/>
      <c r="C223" s="196"/>
      <c r="D223" s="196"/>
      <c r="E223" s="196"/>
      <c r="F223" s="196"/>
      <c r="G223" s="196"/>
      <c r="H223" s="196"/>
      <c r="I223" s="196"/>
      <c r="J223" s="196"/>
    </row>
    <row r="224" spans="1:10">
      <c r="A224" s="196" t="s">
        <v>5899</v>
      </c>
      <c r="B224" s="196"/>
      <c r="C224" s="196"/>
      <c r="D224" s="196"/>
      <c r="E224" s="196"/>
      <c r="F224" s="196"/>
      <c r="G224" s="196"/>
      <c r="H224" s="196"/>
      <c r="I224" s="196"/>
      <c r="J224" s="196"/>
    </row>
    <row r="225" spans="1:10">
      <c r="A225" s="196"/>
      <c r="B225" s="196"/>
      <c r="C225" s="196"/>
      <c r="D225" s="196"/>
      <c r="E225" s="196"/>
      <c r="F225" s="196"/>
      <c r="G225" s="196"/>
      <c r="H225" s="196"/>
      <c r="I225" s="196"/>
      <c r="J225" s="196"/>
    </row>
    <row r="226" spans="1:10">
      <c r="A226" s="196"/>
      <c r="B226" s="196"/>
      <c r="C226" s="196"/>
      <c r="D226" s="196"/>
      <c r="E226" s="196"/>
      <c r="F226" s="196"/>
      <c r="G226" s="196"/>
      <c r="H226" s="196"/>
      <c r="I226" s="196"/>
      <c r="J226" s="196"/>
    </row>
    <row r="227" spans="1:10">
      <c r="A227" s="196"/>
      <c r="B227" s="196"/>
      <c r="C227" s="196"/>
      <c r="D227" s="196"/>
      <c r="E227" s="196"/>
      <c r="F227" s="196"/>
      <c r="G227" s="196"/>
      <c r="H227" s="196"/>
      <c r="I227" s="196"/>
      <c r="J227" s="196"/>
    </row>
    <row r="228" spans="1:10">
      <c r="A228" s="196" t="s">
        <v>5900</v>
      </c>
      <c r="B228" s="196"/>
      <c r="C228" s="196"/>
      <c r="D228" s="196"/>
      <c r="E228" s="196"/>
      <c r="F228" s="196"/>
      <c r="G228" s="196"/>
      <c r="H228" s="196"/>
      <c r="I228" s="196"/>
      <c r="J228" s="196"/>
    </row>
    <row r="229" spans="1:10">
      <c r="A229" s="196"/>
      <c r="B229" s="196"/>
      <c r="C229" s="196"/>
      <c r="D229" s="196"/>
      <c r="E229" s="196"/>
      <c r="F229" s="196"/>
      <c r="G229" s="196"/>
      <c r="H229" s="196"/>
      <c r="I229" s="196"/>
      <c r="J229" s="196"/>
    </row>
    <row r="230" spans="1:10">
      <c r="A230" s="341"/>
      <c r="B230" s="341"/>
      <c r="C230" s="341"/>
      <c r="D230" s="341"/>
      <c r="E230" s="341"/>
      <c r="F230" s="341"/>
      <c r="G230" s="341"/>
      <c r="H230" s="341"/>
      <c r="I230" s="341"/>
      <c r="J230" s="341"/>
    </row>
    <row r="231" spans="1:10">
      <c r="A231" s="341"/>
      <c r="B231" s="341"/>
      <c r="C231" s="341"/>
      <c r="D231" s="341"/>
      <c r="E231" s="341"/>
      <c r="F231" s="341"/>
      <c r="G231" s="341"/>
      <c r="H231" s="341"/>
      <c r="I231" s="341"/>
      <c r="J231" s="341"/>
    </row>
    <row r="232" spans="1:10">
      <c r="A232" s="341"/>
      <c r="B232" s="341"/>
      <c r="C232" s="341"/>
      <c r="D232" s="341"/>
      <c r="E232" s="341"/>
      <c r="F232" s="341"/>
      <c r="G232" s="341"/>
      <c r="H232" s="341"/>
      <c r="I232" s="341"/>
      <c r="J232" s="341"/>
    </row>
    <row r="233" spans="1:10">
      <c r="A233" s="341"/>
      <c r="B233" s="341"/>
      <c r="C233" s="341"/>
      <c r="D233" s="341"/>
      <c r="E233" s="341"/>
      <c r="F233" s="341"/>
      <c r="G233" s="341"/>
      <c r="H233" s="341"/>
      <c r="I233" s="341"/>
      <c r="J233" s="341"/>
    </row>
    <row r="234" spans="1:10">
      <c r="A234" s="341"/>
      <c r="B234" s="341"/>
      <c r="C234" s="341"/>
      <c r="D234" s="341"/>
      <c r="E234" s="341"/>
      <c r="F234" s="341"/>
      <c r="G234" s="341"/>
      <c r="H234" s="341"/>
      <c r="I234" s="341"/>
      <c r="J234" s="341"/>
    </row>
    <row r="235" spans="1:10">
      <c r="A235" s="341"/>
      <c r="B235" s="341"/>
      <c r="C235" s="341"/>
      <c r="D235" s="341"/>
      <c r="E235" s="341"/>
      <c r="F235" s="341"/>
      <c r="G235" s="341"/>
      <c r="H235" s="341"/>
      <c r="I235" s="341"/>
      <c r="J235" s="341"/>
    </row>
    <row r="236" spans="1:10">
      <c r="A236" s="341"/>
      <c r="B236" s="341"/>
      <c r="C236" s="341"/>
      <c r="D236" s="341"/>
      <c r="E236" s="341"/>
      <c r="F236" s="341"/>
      <c r="G236" s="341"/>
      <c r="H236" s="341"/>
      <c r="I236" s="341"/>
      <c r="J236" s="341"/>
    </row>
    <row r="237" spans="1:10">
      <c r="A237" s="341"/>
      <c r="B237" s="341"/>
      <c r="C237" s="341"/>
      <c r="D237" s="341"/>
      <c r="E237" s="341"/>
      <c r="F237" s="341"/>
      <c r="G237" s="341"/>
      <c r="H237" s="341"/>
      <c r="I237" s="341"/>
      <c r="J237" s="341"/>
    </row>
    <row r="238" spans="1:10">
      <c r="A238" s="341"/>
      <c r="B238" s="341"/>
      <c r="C238" s="341"/>
      <c r="D238" s="341"/>
      <c r="E238" s="341"/>
      <c r="F238" s="341"/>
      <c r="G238" s="341"/>
      <c r="H238" s="341"/>
      <c r="I238" s="341"/>
      <c r="J238" s="341"/>
    </row>
    <row r="239" spans="1:10">
      <c r="A239" s="196"/>
      <c r="B239" s="196"/>
      <c r="C239" s="196"/>
      <c r="D239" s="196"/>
      <c r="E239" s="196"/>
      <c r="F239" s="196"/>
      <c r="G239" s="196"/>
      <c r="H239" s="196"/>
      <c r="I239" s="196"/>
      <c r="J239" s="196"/>
    </row>
    <row r="240" spans="1:10">
      <c r="A240" s="320"/>
      <c r="B240" s="320"/>
      <c r="C240" s="320"/>
      <c r="D240" s="320"/>
      <c r="E240" s="320"/>
      <c r="F240" s="320"/>
      <c r="G240" s="874"/>
      <c r="H240" s="874"/>
      <c r="I240" s="874"/>
      <c r="J240" s="874"/>
    </row>
  </sheetData>
  <mergeCells count="112">
    <mergeCell ref="A72:C72"/>
    <mergeCell ref="A1:J1"/>
    <mergeCell ref="A44:C44"/>
    <mergeCell ref="A32:C32"/>
    <mergeCell ref="A14:C14"/>
    <mergeCell ref="A61:C61"/>
    <mergeCell ref="A8:C8"/>
    <mergeCell ref="D6:J6"/>
    <mergeCell ref="A50:C50"/>
    <mergeCell ref="A20:C20"/>
    <mergeCell ref="A38:C38"/>
    <mergeCell ref="A26:C26"/>
    <mergeCell ref="G102:J102"/>
    <mergeCell ref="G104:J104"/>
    <mergeCell ref="A106:B106"/>
    <mergeCell ref="E106:J106"/>
    <mergeCell ref="A108:C108"/>
    <mergeCell ref="D108:F108"/>
    <mergeCell ref="G108:J108"/>
    <mergeCell ref="A99:C99"/>
    <mergeCell ref="D99:F99"/>
    <mergeCell ref="G99:J99"/>
    <mergeCell ref="G100:J100"/>
    <mergeCell ref="G101:J101"/>
    <mergeCell ref="F114:J114"/>
    <mergeCell ref="F115:J115"/>
    <mergeCell ref="F116:J116"/>
    <mergeCell ref="F117:J117"/>
    <mergeCell ref="A118:B118"/>
    <mergeCell ref="C118:D118"/>
    <mergeCell ref="E118:J118"/>
    <mergeCell ref="G109:J109"/>
    <mergeCell ref="F110:J110"/>
    <mergeCell ref="F111:J111"/>
    <mergeCell ref="F112:J112"/>
    <mergeCell ref="F113:J113"/>
    <mergeCell ref="G123:J123"/>
    <mergeCell ref="G124:J124"/>
    <mergeCell ref="G125:J125"/>
    <mergeCell ref="G126:J126"/>
    <mergeCell ref="A127:B127"/>
    <mergeCell ref="C127:D127"/>
    <mergeCell ref="E127:J127"/>
    <mergeCell ref="A120:C120"/>
    <mergeCell ref="D120:F120"/>
    <mergeCell ref="G120:J120"/>
    <mergeCell ref="G121:J121"/>
    <mergeCell ref="G122:J122"/>
    <mergeCell ref="G131:J131"/>
    <mergeCell ref="G132:J132"/>
    <mergeCell ref="G133:J133"/>
    <mergeCell ref="G134:J134"/>
    <mergeCell ref="A135:D136"/>
    <mergeCell ref="E135:J136"/>
    <mergeCell ref="G128:J128"/>
    <mergeCell ref="A129:C129"/>
    <mergeCell ref="D129:F129"/>
    <mergeCell ref="G129:J129"/>
    <mergeCell ref="G130:J130"/>
    <mergeCell ref="G140:J140"/>
    <mergeCell ref="G141:J141"/>
    <mergeCell ref="G142:J142"/>
    <mergeCell ref="G143:J143"/>
    <mergeCell ref="G144:J144"/>
    <mergeCell ref="A137:C137"/>
    <mergeCell ref="D137:F137"/>
    <mergeCell ref="G137:J137"/>
    <mergeCell ref="G138:J138"/>
    <mergeCell ref="G139:J139"/>
    <mergeCell ref="B150:J150"/>
    <mergeCell ref="B151:J151"/>
    <mergeCell ref="B152:J152"/>
    <mergeCell ref="B153:J153"/>
    <mergeCell ref="B154:J154"/>
    <mergeCell ref="A145:B145"/>
    <mergeCell ref="C145:D145"/>
    <mergeCell ref="E145:J145"/>
    <mergeCell ref="A147:C147"/>
    <mergeCell ref="B149:J149"/>
    <mergeCell ref="B172:D172"/>
    <mergeCell ref="E172:G172"/>
    <mergeCell ref="B173:D173"/>
    <mergeCell ref="E173:G173"/>
    <mergeCell ref="B174:D174"/>
    <mergeCell ref="E174:G174"/>
    <mergeCell ref="B155:J155"/>
    <mergeCell ref="A157:H157"/>
    <mergeCell ref="B158:H158"/>
    <mergeCell ref="B159:H159"/>
    <mergeCell ref="B171:D171"/>
    <mergeCell ref="E171:G171"/>
    <mergeCell ref="B178:D178"/>
    <mergeCell ref="E178:G178"/>
    <mergeCell ref="A185:C185"/>
    <mergeCell ref="D185:F185"/>
    <mergeCell ref="G185:J185"/>
    <mergeCell ref="B175:D175"/>
    <mergeCell ref="E175:G175"/>
    <mergeCell ref="B176:D176"/>
    <mergeCell ref="E176:G176"/>
    <mergeCell ref="B177:D177"/>
    <mergeCell ref="E177:G177"/>
    <mergeCell ref="A218:C218"/>
    <mergeCell ref="D218:F218"/>
    <mergeCell ref="G218:J218"/>
    <mergeCell ref="G240:J240"/>
    <mergeCell ref="A196:C196"/>
    <mergeCell ref="D196:F196"/>
    <mergeCell ref="G196:J196"/>
    <mergeCell ref="A206:C206"/>
    <mergeCell ref="D206:F206"/>
    <mergeCell ref="G206:J206"/>
  </mergeCells>
  <conditionalFormatting sqref="B101:B105">
    <cfRule type="expression" dxfId="808" priority="21">
      <formula>B101="Complete"</formula>
    </cfRule>
    <cfRule type="expression" dxfId="807" priority="22">
      <formula>B101="In Progress"</formula>
    </cfRule>
    <cfRule type="expression" dxfId="806" priority="23">
      <formula>B101="At Risk"</formula>
    </cfRule>
    <cfRule type="expression" dxfId="805" priority="24">
      <formula>B101="Blocked"</formula>
    </cfRule>
    <cfRule type="expression" dxfId="804" priority="25">
      <formula>B101="Not Started"</formula>
    </cfRule>
  </conditionalFormatting>
  <conditionalFormatting sqref="B110:B117">
    <cfRule type="expression" dxfId="803" priority="1">
      <formula>B110="Complete"</formula>
    </cfRule>
    <cfRule type="expression" dxfId="802" priority="2">
      <formula>B110="In Progress"</formula>
    </cfRule>
    <cfRule type="expression" dxfId="801" priority="3">
      <formula>B110="At Risk"</formula>
    </cfRule>
    <cfRule type="expression" dxfId="800" priority="4">
      <formula>B110="Blocked"</formula>
    </cfRule>
    <cfRule type="expression" dxfId="799" priority="5">
      <formula>B110="Not Started"</formula>
    </cfRule>
  </conditionalFormatting>
  <conditionalFormatting sqref="B122:B126">
    <cfRule type="expression" dxfId="798" priority="26">
      <formula>B122="Complete"</formula>
    </cfRule>
    <cfRule type="expression" dxfId="797" priority="27">
      <formula>B122="In Progress"</formula>
    </cfRule>
    <cfRule type="expression" dxfId="796" priority="28">
      <formula>B122="At Risk"</formula>
    </cfRule>
    <cfRule type="expression" dxfId="795" priority="29">
      <formula>B122="Blocked"</formula>
    </cfRule>
    <cfRule type="expression" dxfId="794" priority="30">
      <formula>B122="Not Started"</formula>
    </cfRule>
  </conditionalFormatting>
  <conditionalFormatting sqref="B131:B134">
    <cfRule type="expression" dxfId="793" priority="6">
      <formula>B131="Complete"</formula>
    </cfRule>
    <cfRule type="expression" dxfId="792" priority="7">
      <formula>B131="In Progress"</formula>
    </cfRule>
    <cfRule type="expression" dxfId="791" priority="8">
      <formula>B131="At Risk"</formula>
    </cfRule>
    <cfRule type="expression" dxfId="790" priority="9">
      <formula>B131="Blocked"</formula>
    </cfRule>
    <cfRule type="expression" dxfId="789" priority="10">
      <formula>B131="Not Started"</formula>
    </cfRule>
  </conditionalFormatting>
  <conditionalFormatting sqref="B139:B144">
    <cfRule type="expression" dxfId="788" priority="11">
      <formula>B139="Complete"</formula>
    </cfRule>
    <cfRule type="expression" dxfId="787" priority="12">
      <formula>B139="In Progress"</formula>
    </cfRule>
    <cfRule type="expression" dxfId="786" priority="13">
      <formula>B139="At Risk"</formula>
    </cfRule>
    <cfRule type="expression" dxfId="785" priority="14">
      <formula>B139="Blocked"</formula>
    </cfRule>
    <cfRule type="expression" dxfId="784" priority="15">
      <formula>B139="Not Started"</formula>
    </cfRule>
  </conditionalFormatting>
  <conditionalFormatting sqref="B162:B169">
    <cfRule type="expression" dxfId="783" priority="82">
      <formula>B162="Yes"</formula>
    </cfRule>
    <cfRule type="expression" dxfId="782" priority="83">
      <formula>B162="N/A"</formula>
    </cfRule>
    <cfRule type="expression" dxfId="781" priority="84">
      <formula>B162="No"</formula>
    </cfRule>
  </conditionalFormatting>
  <conditionalFormatting sqref="B179:H179">
    <cfRule type="expression" dxfId="780" priority="85">
      <formula>COUNTIF($B$6:$B$13,"No")=0</formula>
    </cfRule>
    <cfRule type="expression" dxfId="779" priority="86">
      <formula>COUNTIF($B$6:$B$13,"No")&gt;0</formula>
    </cfRule>
  </conditionalFormatting>
  <conditionalFormatting sqref="C106:D106">
    <cfRule type="dataBar" priority="37">
      <dataBar>
        <cfvo type="num" val="0"/>
        <cfvo type="num" val="1"/>
        <color rgb="FF5B9BD5"/>
      </dataBar>
    </cfRule>
  </conditionalFormatting>
  <conditionalFormatting sqref="C110:D117">
    <cfRule type="expression" dxfId="778" priority="31">
      <formula>C110="Yes"</formula>
    </cfRule>
    <cfRule type="expression" dxfId="777" priority="32">
      <formula>C110="No"</formula>
    </cfRule>
    <cfRule type="expression" dxfId="776" priority="33">
      <formula>C110="N/A"</formula>
    </cfRule>
  </conditionalFormatting>
  <conditionalFormatting sqref="C118:D118">
    <cfRule type="dataBar" priority="38">
      <dataBar>
        <cfvo type="num" val="0"/>
        <cfvo type="num" val="1"/>
        <color rgb="FF5B9BD5"/>
      </dataBar>
    </cfRule>
  </conditionalFormatting>
  <conditionalFormatting sqref="C127:D127">
    <cfRule type="dataBar" priority="39">
      <dataBar>
        <cfvo type="num" val="0"/>
        <cfvo type="num" val="1"/>
        <color rgb="FF5B9BD5"/>
      </dataBar>
    </cfRule>
  </conditionalFormatting>
  <conditionalFormatting sqref="C139:D144">
    <cfRule type="expression" dxfId="775" priority="16">
      <formula>C139="Yes"</formula>
    </cfRule>
    <cfRule type="expression" dxfId="774" priority="17">
      <formula>C139="No"</formula>
    </cfRule>
    <cfRule type="expression" dxfId="773" priority="18">
      <formula>C139="N/A"</formula>
    </cfRule>
  </conditionalFormatting>
  <conditionalFormatting sqref="C145:D145">
    <cfRule type="dataBar" priority="20">
      <dataBar>
        <cfvo type="num" val="0"/>
        <cfvo type="num" val="1"/>
        <color rgb="FF5B9BD5"/>
      </dataBar>
    </cfRule>
  </conditionalFormatting>
  <conditionalFormatting sqref="E5 G5 I5">
    <cfRule type="expression" dxfId="772" priority="87">
      <formula>E5="Pass"</formula>
    </cfRule>
    <cfRule type="expression" dxfId="771" priority="88">
      <formula>E5="Verify"</formula>
    </cfRule>
    <cfRule type="expression" dxfId="770" priority="89">
      <formula>E5="Fail"</formula>
    </cfRule>
    <cfRule type="expression" dxfId="769" priority="90">
      <formula>E5="Not Started"</formula>
    </cfRule>
  </conditionalFormatting>
  <conditionalFormatting sqref="F3">
    <cfRule type="expression" dxfId="768" priority="91">
      <formula>F3="Yes"</formula>
    </cfRule>
    <cfRule type="expression" dxfId="767" priority="92">
      <formula>F3="No"</formula>
    </cfRule>
  </conditionalFormatting>
  <conditionalFormatting sqref="F122:F126">
    <cfRule type="expression" dxfId="766" priority="34">
      <formula>F122="Pass"</formula>
    </cfRule>
    <cfRule type="expression" dxfId="765" priority="35">
      <formula>F122="Fail"</formula>
    </cfRule>
    <cfRule type="expression" dxfId="764" priority="36">
      <formula>F122="Pending"</formula>
    </cfRule>
  </conditionalFormatting>
  <conditionalFormatting sqref="F131:F134">
    <cfRule type="dataBar" priority="19">
      <dataBar>
        <cfvo type="num" val="0"/>
        <cfvo type="num" val="1"/>
        <color rgb="FF5B9BD5"/>
      </dataBar>
    </cfRule>
  </conditionalFormatting>
  <dataValidations count="5">
    <dataValidation type="list" sqref="B5:B6 D5 F5 H5 H10:H18 H147:I148 I16:I18 J5 H150:I155 D63:D70 H19:I96" xr:uid="{00000000-0002-0000-3100-000000000000}">
      <formula1>"Not Started,Verify,Pass,Fail,N/A,Open,Closed,Partial / Yellow"</formula1>
      <formula2>0</formula2>
    </dataValidation>
    <dataValidation type="list" allowBlank="1" sqref="F122:F126" xr:uid="{CBF38D97-247E-4A4C-8F29-AA0B3A58DED3}">
      <formula1>"Pending,Pass,Fail,N/A"</formula1>
    </dataValidation>
    <dataValidation type="list" allowBlank="1" sqref="C110:D117 C139:D144" xr:uid="{A5DB0711-205D-42B5-9A1E-7A73EE8C8B91}">
      <formula1>"Yes,No,N/A"</formula1>
    </dataValidation>
    <dataValidation type="list" allowBlank="1" sqref="B131:B134 B122:B126" xr:uid="{08C7FEF8-A67D-41D2-A4D7-3F41746F6C67}">
      <formula1>"Not Started,In Progress,Complete,At Risk,Blocked"</formula1>
    </dataValidation>
    <dataValidation type="list" sqref="B162:B169" xr:uid="{9A14F7DC-2109-4C6B-97DA-17813FC15678}">
      <formula1>"No,Yes,N/A"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E9BE25B1-9478-4B91-B4D1-1AA7FD9A1F4A}">
          <x14:formula1>
            <xm:f>Lookup_Lists!$L$37:$L$39</xm:f>
          </x14:formula1>
          <xm:sqref>C122:E126 J2</xm:sqref>
        </x14:dataValidation>
        <x14:dataValidation type="list" allowBlank="1" showInputMessage="1" showErrorMessage="1" xr:uid="{BF48385E-A2E1-4DEF-A82D-0A1BE17AB6AB}">
          <x14:formula1>
            <xm:f>Lookup_Lists!$A$36:$A$42</xm:f>
          </x14:formula1>
          <xm:sqref>B101:B105 B110:B117 B139:B144</xm:sqref>
        </x14:dataValidation>
      </x14:dataValidations>
    </ext>
  </extLst>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9F6B7-C7D8-47D7-8B8E-4F526668CD28}">
  <dimension ref="A1:J232"/>
  <sheetViews>
    <sheetView workbookViewId="0">
      <selection sqref="A1:J1"/>
    </sheetView>
  </sheetViews>
  <sheetFormatPr defaultColWidth="8.6640625" defaultRowHeight="14.4"/>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6640625" style="8" customWidth="1"/>
    <col min="13" max="16384" width="8.6640625" style="8"/>
  </cols>
  <sheetData>
    <row r="1" spans="1:10" ht="32.25" customHeight="1">
      <c r="A1" s="891" t="s">
        <v>2471</v>
      </c>
      <c r="B1" s="891"/>
      <c r="C1" s="891"/>
      <c r="D1" s="891"/>
      <c r="E1" s="891"/>
      <c r="F1" s="891"/>
      <c r="G1" s="891"/>
      <c r="H1" s="891"/>
      <c r="I1" s="891"/>
      <c r="J1" s="891"/>
    </row>
    <row r="2" spans="1:10" s="227" customFormat="1">
      <c r="A2" s="223" t="s">
        <v>142</v>
      </c>
      <c r="B2" s="224" t="s">
        <v>703</v>
      </c>
      <c r="C2" s="223" t="s">
        <v>902</v>
      </c>
      <c r="D2" s="224" t="s">
        <v>1094</v>
      </c>
      <c r="E2" s="223" t="s">
        <v>151</v>
      </c>
      <c r="F2" s="224" t="s">
        <v>1095</v>
      </c>
      <c r="G2" s="223" t="s">
        <v>174</v>
      </c>
      <c r="H2" s="225">
        <v>0.5</v>
      </c>
      <c r="I2" s="223" t="s">
        <v>154</v>
      </c>
      <c r="J2" s="226" t="s">
        <v>1096</v>
      </c>
    </row>
    <row r="3" spans="1:10" s="231" customFormat="1" ht="27.6">
      <c r="A3" s="223" t="s">
        <v>903</v>
      </c>
      <c r="B3" s="228">
        <v>46198.648720324083</v>
      </c>
      <c r="C3" s="229" t="s">
        <v>904</v>
      </c>
      <c r="D3" s="230" t="s">
        <v>721</v>
      </c>
      <c r="E3" s="223" t="s">
        <v>905</v>
      </c>
      <c r="F3" s="230" t="s">
        <v>2472</v>
      </c>
      <c r="G3" s="223" t="s">
        <v>907</v>
      </c>
      <c r="H3" s="230" t="s">
        <v>908</v>
      </c>
      <c r="I3" s="223" t="s">
        <v>551</v>
      </c>
      <c r="J3" s="230" t="s">
        <v>2473</v>
      </c>
    </row>
    <row r="4" spans="1:10" s="231" customFormat="1" ht="193.2">
      <c r="A4" s="223" t="s">
        <v>161</v>
      </c>
      <c r="B4" s="230">
        <v>0</v>
      </c>
      <c r="C4" s="223" t="s">
        <v>199</v>
      </c>
      <c r="D4" s="230">
        <v>0</v>
      </c>
      <c r="E4" s="223" t="s">
        <v>179</v>
      </c>
      <c r="F4" s="230">
        <v>0</v>
      </c>
      <c r="G4" s="223" t="s">
        <v>870</v>
      </c>
      <c r="H4" s="232" t="s">
        <v>2474</v>
      </c>
      <c r="I4" s="233"/>
      <c r="J4" s="233"/>
    </row>
    <row r="5" spans="1:10" s="231" customFormat="1">
      <c r="A5" s="234" t="s">
        <v>911</v>
      </c>
      <c r="B5" s="225" t="s">
        <v>677</v>
      </c>
      <c r="C5" s="235" t="s">
        <v>912</v>
      </c>
      <c r="D5" s="225" t="s">
        <v>677</v>
      </c>
      <c r="E5" s="236" t="s">
        <v>913</v>
      </c>
      <c r="F5" s="225" t="s">
        <v>677</v>
      </c>
      <c r="G5" s="237" t="s">
        <v>914</v>
      </c>
      <c r="H5" s="225" t="s">
        <v>677</v>
      </c>
      <c r="I5" s="237" t="s">
        <v>915</v>
      </c>
      <c r="J5" s="225" t="s">
        <v>677</v>
      </c>
    </row>
    <row r="6" spans="1:10" s="231" customFormat="1" ht="40.5" customHeight="1">
      <c r="A6" s="238" t="s">
        <v>916</v>
      </c>
      <c r="B6" s="225" t="s">
        <v>677</v>
      </c>
      <c r="C6" s="239" t="s">
        <v>869</v>
      </c>
      <c r="D6" s="854" t="s">
        <v>2475</v>
      </c>
      <c r="E6" s="853"/>
      <c r="F6" s="853"/>
      <c r="G6" s="853"/>
      <c r="H6" s="853"/>
      <c r="I6" s="853"/>
      <c r="J6" s="853"/>
    </row>
    <row r="7" spans="1:10">
      <c r="A7" s="13"/>
      <c r="B7" s="13"/>
      <c r="C7" s="13"/>
      <c r="D7" s="13"/>
      <c r="E7" s="13"/>
      <c r="F7" s="13"/>
      <c r="G7" s="13"/>
      <c r="H7" s="13"/>
      <c r="I7" s="13"/>
      <c r="J7" s="13"/>
    </row>
    <row r="8" spans="1:10">
      <c r="A8" s="842" t="s">
        <v>918</v>
      </c>
      <c r="B8" s="839"/>
      <c r="C8" s="839"/>
      <c r="D8" s="85"/>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82.8">
      <c r="A10" s="13" t="s">
        <v>703</v>
      </c>
      <c r="B10" s="13" t="s">
        <v>2476</v>
      </c>
      <c r="C10" s="13" t="s">
        <v>923</v>
      </c>
      <c r="D10" s="13" t="s">
        <v>2477</v>
      </c>
      <c r="E10" s="13" t="s">
        <v>356</v>
      </c>
      <c r="F10" s="13">
        <v>1</v>
      </c>
      <c r="G10" s="13">
        <v>1</v>
      </c>
      <c r="H10" s="13" t="s">
        <v>677</v>
      </c>
      <c r="I10" s="13" t="s">
        <v>2478</v>
      </c>
      <c r="J10" s="13" t="s">
        <v>2479</v>
      </c>
    </row>
    <row r="11" spans="1:10" ht="110.4">
      <c r="A11" s="13" t="s">
        <v>703</v>
      </c>
      <c r="B11" s="13" t="s">
        <v>2480</v>
      </c>
      <c r="C11" s="13" t="s">
        <v>923</v>
      </c>
      <c r="D11" s="13" t="s">
        <v>2481</v>
      </c>
      <c r="E11" s="13" t="s">
        <v>925</v>
      </c>
      <c r="F11" s="13">
        <v>1</v>
      </c>
      <c r="G11" s="13">
        <v>0</v>
      </c>
      <c r="H11" s="13" t="s">
        <v>677</v>
      </c>
      <c r="I11" s="13" t="s">
        <v>2482</v>
      </c>
      <c r="J11" s="13" t="s">
        <v>2483</v>
      </c>
    </row>
    <row r="12" spans="1:10">
      <c r="A12" s="13"/>
      <c r="B12" s="13"/>
      <c r="C12" s="13"/>
      <c r="D12" s="13"/>
      <c r="E12" s="13"/>
      <c r="F12" s="13"/>
      <c r="G12" s="13"/>
      <c r="H12" s="13"/>
      <c r="I12" s="13"/>
      <c r="J12" s="13"/>
    </row>
    <row r="13" spans="1:10">
      <c r="A13" s="842" t="s">
        <v>936</v>
      </c>
      <c r="B13" s="839"/>
      <c r="C13" s="839"/>
      <c r="D13" s="85"/>
      <c r="E13" s="85"/>
      <c r="F13" s="85"/>
      <c r="G13" s="85"/>
      <c r="H13" s="85"/>
      <c r="I13" s="85"/>
      <c r="J13" s="85"/>
    </row>
    <row r="14" spans="1:10">
      <c r="A14" s="50" t="s">
        <v>275</v>
      </c>
      <c r="B14" s="50" t="s">
        <v>937</v>
      </c>
      <c r="C14" s="50" t="s">
        <v>938</v>
      </c>
      <c r="D14" s="50" t="s">
        <v>939</v>
      </c>
      <c r="E14" s="50" t="s">
        <v>940</v>
      </c>
      <c r="F14" s="50" t="s">
        <v>941</v>
      </c>
      <c r="G14" s="50" t="s">
        <v>942</v>
      </c>
      <c r="H14" s="50" t="s">
        <v>943</v>
      </c>
      <c r="I14" s="50" t="s">
        <v>899</v>
      </c>
      <c r="J14" s="50" t="s">
        <v>944</v>
      </c>
    </row>
    <row r="15" spans="1:10" ht="82.8">
      <c r="A15" s="13" t="s">
        <v>2476</v>
      </c>
      <c r="B15" s="13" t="s">
        <v>677</v>
      </c>
      <c r="C15" s="13" t="s">
        <v>677</v>
      </c>
      <c r="D15" s="13" t="s">
        <v>677</v>
      </c>
      <c r="E15" s="13" t="s">
        <v>677</v>
      </c>
      <c r="F15" s="13" t="s">
        <v>677</v>
      </c>
      <c r="G15" s="13" t="s">
        <v>677</v>
      </c>
      <c r="H15" s="13" t="s">
        <v>677</v>
      </c>
      <c r="I15" s="13" t="s">
        <v>677</v>
      </c>
      <c r="J15" s="13" t="s">
        <v>2484</v>
      </c>
    </row>
    <row r="16" spans="1:10" ht="55.2">
      <c r="A16" s="13" t="s">
        <v>2480</v>
      </c>
      <c r="B16" s="13" t="s">
        <v>946</v>
      </c>
      <c r="C16" s="13" t="s">
        <v>946</v>
      </c>
      <c r="D16" s="13" t="s">
        <v>946</v>
      </c>
      <c r="E16" s="13" t="s">
        <v>677</v>
      </c>
      <c r="F16" s="13" t="s">
        <v>677</v>
      </c>
      <c r="G16" s="13" t="s">
        <v>677</v>
      </c>
      <c r="H16" s="13" t="s">
        <v>677</v>
      </c>
      <c r="I16" s="13" t="s">
        <v>677</v>
      </c>
      <c r="J16" s="13" t="s">
        <v>2485</v>
      </c>
    </row>
    <row r="17" spans="1:10">
      <c r="A17" s="13"/>
      <c r="B17" s="13"/>
      <c r="C17" s="13"/>
      <c r="D17" s="13"/>
      <c r="E17" s="13"/>
      <c r="F17" s="13"/>
      <c r="G17" s="13"/>
      <c r="H17" s="13"/>
      <c r="I17" s="13"/>
      <c r="J17" s="13"/>
    </row>
    <row r="18" spans="1:10">
      <c r="A18" s="842" t="s">
        <v>951</v>
      </c>
      <c r="B18" s="839"/>
      <c r="C18" s="839"/>
      <c r="D18" s="85"/>
      <c r="E18" s="85"/>
      <c r="F18" s="85"/>
      <c r="G18" s="85"/>
      <c r="H18" s="85"/>
      <c r="I18" s="85"/>
      <c r="J18" s="85"/>
    </row>
    <row r="19" spans="1:10">
      <c r="A19" s="50" t="s">
        <v>275</v>
      </c>
      <c r="B19" s="50" t="s">
        <v>952</v>
      </c>
      <c r="C19" s="50" t="s">
        <v>953</v>
      </c>
      <c r="D19" s="50" t="s">
        <v>954</v>
      </c>
      <c r="E19" s="50" t="s">
        <v>955</v>
      </c>
      <c r="F19" s="50" t="s">
        <v>956</v>
      </c>
      <c r="G19" s="50" t="s">
        <v>957</v>
      </c>
      <c r="H19" s="50" t="s">
        <v>958</v>
      </c>
      <c r="I19" s="50" t="s">
        <v>899</v>
      </c>
      <c r="J19" s="50" t="s">
        <v>959</v>
      </c>
    </row>
    <row r="20" spans="1:10" ht="82.8">
      <c r="A20" s="13" t="s">
        <v>2476</v>
      </c>
      <c r="B20" s="13" t="s">
        <v>677</v>
      </c>
      <c r="C20" s="13" t="s">
        <v>677</v>
      </c>
      <c r="D20" s="13" t="s">
        <v>677</v>
      </c>
      <c r="E20" s="13" t="s">
        <v>677</v>
      </c>
      <c r="F20" s="13" t="s">
        <v>677</v>
      </c>
      <c r="G20" s="13" t="s">
        <v>677</v>
      </c>
      <c r="H20" s="13" t="s">
        <v>677</v>
      </c>
      <c r="I20" s="13" t="s">
        <v>677</v>
      </c>
      <c r="J20" s="13" t="s">
        <v>2486</v>
      </c>
    </row>
    <row r="21" spans="1:10" ht="55.2">
      <c r="A21" s="13" t="s">
        <v>2480</v>
      </c>
      <c r="B21" s="13" t="s">
        <v>677</v>
      </c>
      <c r="C21" s="13" t="s">
        <v>679</v>
      </c>
      <c r="D21" s="13" t="s">
        <v>677</v>
      </c>
      <c r="E21" s="13" t="s">
        <v>677</v>
      </c>
      <c r="F21" s="13" t="s">
        <v>677</v>
      </c>
      <c r="G21" s="13" t="s">
        <v>677</v>
      </c>
      <c r="H21" s="13" t="s">
        <v>677</v>
      </c>
      <c r="I21" s="13" t="s">
        <v>677</v>
      </c>
      <c r="J21" s="13" t="s">
        <v>2487</v>
      </c>
    </row>
    <row r="22" spans="1:10">
      <c r="A22" s="13"/>
      <c r="B22" s="13"/>
      <c r="C22" s="13"/>
      <c r="D22" s="13"/>
      <c r="E22" s="13"/>
      <c r="F22" s="13"/>
      <c r="G22" s="13"/>
      <c r="H22" s="13"/>
      <c r="I22" s="13"/>
      <c r="J22" s="13"/>
    </row>
    <row r="23" spans="1:10">
      <c r="A23" s="842" t="s">
        <v>964</v>
      </c>
      <c r="B23" s="839"/>
      <c r="C23" s="839"/>
      <c r="D23" s="85"/>
      <c r="E23" s="85"/>
      <c r="F23" s="85"/>
      <c r="G23" s="85"/>
      <c r="H23" s="85"/>
      <c r="I23" s="85"/>
      <c r="J23" s="85"/>
    </row>
    <row r="24" spans="1:10">
      <c r="A24" s="50" t="s">
        <v>275</v>
      </c>
      <c r="B24" s="50" t="s">
        <v>965</v>
      </c>
      <c r="C24" s="50" t="s">
        <v>966</v>
      </c>
      <c r="D24" s="50" t="s">
        <v>967</v>
      </c>
      <c r="E24" s="50" t="s">
        <v>968</v>
      </c>
      <c r="F24" s="50" t="s">
        <v>969</v>
      </c>
      <c r="G24" s="50" t="s">
        <v>970</v>
      </c>
      <c r="H24" s="50" t="s">
        <v>971</v>
      </c>
      <c r="I24" s="50" t="s">
        <v>899</v>
      </c>
      <c r="J24" s="50" t="s">
        <v>959</v>
      </c>
    </row>
    <row r="25" spans="1:10" ht="96.6">
      <c r="A25" s="13" t="s">
        <v>2476</v>
      </c>
      <c r="B25" s="13" t="s">
        <v>972</v>
      </c>
      <c r="C25" s="13" t="s">
        <v>677</v>
      </c>
      <c r="D25" s="13" t="s">
        <v>677</v>
      </c>
      <c r="E25" s="13" t="s">
        <v>677</v>
      </c>
      <c r="F25" s="13" t="s">
        <v>677</v>
      </c>
      <c r="G25" s="13" t="s">
        <v>677</v>
      </c>
      <c r="H25" s="13" t="s">
        <v>677</v>
      </c>
      <c r="I25" s="13" t="s">
        <v>677</v>
      </c>
      <c r="J25" s="13" t="s">
        <v>2488</v>
      </c>
    </row>
    <row r="26" spans="1:10" ht="55.2">
      <c r="A26" s="13" t="s">
        <v>2480</v>
      </c>
      <c r="B26" s="13" t="s">
        <v>946</v>
      </c>
      <c r="C26" s="13" t="s">
        <v>677</v>
      </c>
      <c r="D26" s="13" t="s">
        <v>677</v>
      </c>
      <c r="E26" s="13" t="s">
        <v>677</v>
      </c>
      <c r="F26" s="13" t="s">
        <v>677</v>
      </c>
      <c r="G26" s="13" t="s">
        <v>677</v>
      </c>
      <c r="H26" s="13" t="s">
        <v>677</v>
      </c>
      <c r="I26" s="13" t="s">
        <v>677</v>
      </c>
      <c r="J26" s="13" t="s">
        <v>2489</v>
      </c>
    </row>
    <row r="27" spans="1:10">
      <c r="A27" s="13"/>
      <c r="B27" s="13"/>
      <c r="C27" s="13"/>
      <c r="D27" s="13"/>
      <c r="E27" s="13"/>
      <c r="F27" s="13"/>
      <c r="G27" s="13"/>
      <c r="H27" s="13"/>
      <c r="I27" s="13"/>
      <c r="J27" s="13"/>
    </row>
    <row r="28" spans="1:10">
      <c r="A28" s="842" t="s">
        <v>977</v>
      </c>
      <c r="B28" s="839"/>
      <c r="C28" s="839"/>
      <c r="D28" s="85"/>
      <c r="E28" s="85"/>
      <c r="F28" s="85"/>
      <c r="G28" s="85"/>
      <c r="H28" s="85"/>
      <c r="I28" s="85"/>
      <c r="J28" s="85"/>
    </row>
    <row r="29" spans="1:10">
      <c r="A29" s="50" t="s">
        <v>275</v>
      </c>
      <c r="B29" s="50" t="s">
        <v>978</v>
      </c>
      <c r="C29" s="50" t="s">
        <v>979</v>
      </c>
      <c r="D29" s="50" t="s">
        <v>980</v>
      </c>
      <c r="E29" s="50" t="s">
        <v>981</v>
      </c>
      <c r="F29" s="50" t="s">
        <v>982</v>
      </c>
      <c r="G29" s="50" t="s">
        <v>983</v>
      </c>
      <c r="H29" s="50" t="s">
        <v>984</v>
      </c>
      <c r="I29" s="50" t="s">
        <v>899</v>
      </c>
      <c r="J29" s="50" t="s">
        <v>11</v>
      </c>
    </row>
    <row r="30" spans="1:10" ht="96.6">
      <c r="A30" s="13" t="s">
        <v>2476</v>
      </c>
      <c r="B30" s="13" t="s">
        <v>677</v>
      </c>
      <c r="C30" s="13" t="s">
        <v>2219</v>
      </c>
      <c r="D30" s="13" t="s">
        <v>677</v>
      </c>
      <c r="E30" s="13" t="s">
        <v>677</v>
      </c>
      <c r="F30" s="13" t="s">
        <v>2490</v>
      </c>
      <c r="G30" s="13" t="s">
        <v>677</v>
      </c>
      <c r="H30" s="13" t="s">
        <v>677</v>
      </c>
      <c r="I30" s="13" t="s">
        <v>677</v>
      </c>
      <c r="J30" s="13" t="s">
        <v>2491</v>
      </c>
    </row>
    <row r="31" spans="1:10" ht="55.2">
      <c r="A31" s="13" t="s">
        <v>2480</v>
      </c>
      <c r="B31" s="13" t="s">
        <v>988</v>
      </c>
      <c r="C31" s="13" t="s">
        <v>1485</v>
      </c>
      <c r="D31" s="13" t="s">
        <v>988</v>
      </c>
      <c r="E31" s="13" t="s">
        <v>677</v>
      </c>
      <c r="F31" s="13" t="s">
        <v>946</v>
      </c>
      <c r="G31" s="13" t="s">
        <v>677</v>
      </c>
      <c r="H31" s="13" t="s">
        <v>677</v>
      </c>
      <c r="I31" s="13" t="s">
        <v>677</v>
      </c>
      <c r="J31" s="13" t="s">
        <v>2222</v>
      </c>
    </row>
    <row r="32" spans="1:10">
      <c r="A32" s="13"/>
      <c r="B32" s="13"/>
      <c r="C32" s="13"/>
      <c r="D32" s="13"/>
      <c r="E32" s="13"/>
      <c r="F32" s="13"/>
      <c r="G32" s="13"/>
      <c r="H32" s="13"/>
      <c r="I32" s="13"/>
      <c r="J32" s="13"/>
    </row>
    <row r="33" spans="1:10">
      <c r="A33" s="842" t="s">
        <v>994</v>
      </c>
      <c r="B33" s="839"/>
      <c r="C33" s="839"/>
      <c r="D33" s="85"/>
      <c r="E33" s="85"/>
      <c r="F33" s="85"/>
      <c r="G33" s="85"/>
      <c r="H33" s="85"/>
      <c r="I33" s="85"/>
      <c r="J33" s="85"/>
    </row>
    <row r="34" spans="1:10">
      <c r="A34" s="50" t="s">
        <v>275</v>
      </c>
      <c r="B34" s="50" t="s">
        <v>995</v>
      </c>
      <c r="C34" s="50" t="s">
        <v>996</v>
      </c>
      <c r="D34" s="50" t="s">
        <v>997</v>
      </c>
      <c r="E34" s="50" t="s">
        <v>998</v>
      </c>
      <c r="F34" s="50" t="s">
        <v>999</v>
      </c>
      <c r="G34" s="50" t="s">
        <v>1000</v>
      </c>
      <c r="H34" s="50" t="s">
        <v>1001</v>
      </c>
      <c r="I34" s="50" t="s">
        <v>899</v>
      </c>
      <c r="J34" s="50" t="s">
        <v>11</v>
      </c>
    </row>
    <row r="35" spans="1:10" ht="96.6">
      <c r="A35" s="13" t="s">
        <v>2476</v>
      </c>
      <c r="B35" s="13" t="s">
        <v>677</v>
      </c>
      <c r="C35" s="13" t="s">
        <v>677</v>
      </c>
      <c r="D35" s="13" t="s">
        <v>677</v>
      </c>
      <c r="E35" s="13" t="s">
        <v>677</v>
      </c>
      <c r="F35" s="13" t="s">
        <v>677</v>
      </c>
      <c r="G35" s="13" t="s">
        <v>677</v>
      </c>
      <c r="H35" s="13" t="s">
        <v>677</v>
      </c>
      <c r="I35" s="13" t="s">
        <v>677</v>
      </c>
      <c r="J35" s="13" t="s">
        <v>2492</v>
      </c>
    </row>
    <row r="36" spans="1:10" ht="69">
      <c r="A36" s="13" t="s">
        <v>2480</v>
      </c>
      <c r="B36" s="13" t="s">
        <v>988</v>
      </c>
      <c r="C36" s="13" t="s">
        <v>988</v>
      </c>
      <c r="D36" s="13" t="s">
        <v>988</v>
      </c>
      <c r="E36" s="13" t="s">
        <v>677</v>
      </c>
      <c r="F36" s="13" t="s">
        <v>677</v>
      </c>
      <c r="G36" s="13" t="s">
        <v>677</v>
      </c>
      <c r="H36" s="13" t="s">
        <v>677</v>
      </c>
      <c r="I36" s="13" t="s">
        <v>677</v>
      </c>
      <c r="J36" s="13" t="s">
        <v>2493</v>
      </c>
    </row>
    <row r="37" spans="1:10">
      <c r="A37" s="13"/>
      <c r="B37" s="13"/>
      <c r="C37" s="13"/>
      <c r="D37" s="13"/>
      <c r="E37" s="13"/>
      <c r="F37" s="13"/>
      <c r="G37" s="13"/>
      <c r="H37" s="13"/>
      <c r="I37" s="13"/>
      <c r="J37" s="13"/>
    </row>
    <row r="38" spans="1:10">
      <c r="A38" s="842" t="s">
        <v>1007</v>
      </c>
      <c r="B38" s="839"/>
      <c r="C38" s="839"/>
      <c r="D38" s="85"/>
      <c r="E38" s="85"/>
      <c r="F38" s="85"/>
      <c r="G38" s="85"/>
      <c r="H38" s="85"/>
      <c r="I38" s="85"/>
      <c r="J38" s="85"/>
    </row>
    <row r="39" spans="1:10">
      <c r="A39" s="50" t="s">
        <v>275</v>
      </c>
      <c r="B39" s="50" t="s">
        <v>1008</v>
      </c>
      <c r="C39" s="50" t="s">
        <v>1009</v>
      </c>
      <c r="D39" s="50" t="s">
        <v>1010</v>
      </c>
      <c r="E39" s="50" t="s">
        <v>1011</v>
      </c>
      <c r="F39" s="50" t="s">
        <v>1012</v>
      </c>
      <c r="G39" s="50" t="s">
        <v>1013</v>
      </c>
      <c r="H39" s="50" t="s">
        <v>1014</v>
      </c>
      <c r="I39" s="50" t="s">
        <v>899</v>
      </c>
      <c r="J39" s="50" t="s">
        <v>11</v>
      </c>
    </row>
    <row r="40" spans="1:10" ht="82.8">
      <c r="A40" s="13" t="s">
        <v>2476</v>
      </c>
      <c r="B40" s="13" t="s">
        <v>677</v>
      </c>
      <c r="C40" s="13" t="s">
        <v>677</v>
      </c>
      <c r="D40" s="13" t="s">
        <v>677</v>
      </c>
      <c r="E40" s="13" t="s">
        <v>677</v>
      </c>
      <c r="F40" s="13" t="s">
        <v>677</v>
      </c>
      <c r="G40" s="13" t="s">
        <v>677</v>
      </c>
      <c r="H40" s="13" t="s">
        <v>677</v>
      </c>
      <c r="I40" s="13" t="s">
        <v>677</v>
      </c>
      <c r="J40" s="13" t="s">
        <v>2494</v>
      </c>
    </row>
    <row r="41" spans="1:10" ht="55.2">
      <c r="A41" s="13" t="s">
        <v>2480</v>
      </c>
      <c r="B41" s="13" t="s">
        <v>677</v>
      </c>
      <c r="C41" s="13" t="s">
        <v>677</v>
      </c>
      <c r="D41" s="13" t="s">
        <v>677</v>
      </c>
      <c r="E41" s="13" t="s">
        <v>677</v>
      </c>
      <c r="F41" s="13" t="s">
        <v>677</v>
      </c>
      <c r="G41" s="13" t="s">
        <v>677</v>
      </c>
      <c r="H41" s="13" t="s">
        <v>677</v>
      </c>
      <c r="I41" s="13" t="s">
        <v>677</v>
      </c>
      <c r="J41" s="13" t="s">
        <v>2495</v>
      </c>
    </row>
    <row r="42" spans="1:10">
      <c r="A42" s="13"/>
      <c r="B42" s="13"/>
      <c r="C42" s="13"/>
      <c r="D42" s="13"/>
      <c r="E42" s="13"/>
      <c r="F42" s="13"/>
      <c r="G42" s="13"/>
      <c r="H42" s="13"/>
      <c r="I42" s="13"/>
      <c r="J42" s="13"/>
    </row>
    <row r="43" spans="1:10">
      <c r="A43" s="842" t="s">
        <v>1019</v>
      </c>
      <c r="B43" s="839"/>
      <c r="C43" s="839"/>
      <c r="D43" s="85"/>
      <c r="E43" s="85"/>
      <c r="F43" s="85"/>
      <c r="G43" s="85"/>
      <c r="H43" s="85"/>
      <c r="I43" s="85"/>
      <c r="J43" s="85"/>
    </row>
    <row r="44" spans="1:10">
      <c r="A44" s="50" t="s">
        <v>213</v>
      </c>
      <c r="B44" s="50" t="s">
        <v>275</v>
      </c>
      <c r="C44" s="50" t="s">
        <v>573</v>
      </c>
      <c r="D44" s="50" t="s">
        <v>215</v>
      </c>
      <c r="E44" s="50" t="s">
        <v>257</v>
      </c>
      <c r="F44" s="50" t="s">
        <v>572</v>
      </c>
      <c r="G44" s="50" t="s">
        <v>259</v>
      </c>
      <c r="H44" s="50" t="s">
        <v>216</v>
      </c>
      <c r="I44" s="50" t="s">
        <v>77</v>
      </c>
      <c r="J44" s="50" t="s">
        <v>11</v>
      </c>
    </row>
    <row r="45" spans="1:10" ht="55.2">
      <c r="A45" s="13" t="s">
        <v>2496</v>
      </c>
      <c r="B45" s="13" t="s">
        <v>575</v>
      </c>
      <c r="C45" s="13" t="s">
        <v>2497</v>
      </c>
      <c r="D45" s="13" t="s">
        <v>391</v>
      </c>
      <c r="E45" s="13" t="s">
        <v>488</v>
      </c>
      <c r="F45" s="13">
        <v>6</v>
      </c>
      <c r="G45" s="13" t="s">
        <v>1381</v>
      </c>
      <c r="H45" s="13" t="s">
        <v>1023</v>
      </c>
      <c r="I45" s="13" t="s">
        <v>502</v>
      </c>
      <c r="J45" s="13" t="s">
        <v>2498</v>
      </c>
    </row>
    <row r="46" spans="1:10" ht="82.8">
      <c r="A46" s="13" t="s">
        <v>2499</v>
      </c>
      <c r="B46" s="13" t="s">
        <v>2480</v>
      </c>
      <c r="C46" s="13" t="s">
        <v>2418</v>
      </c>
      <c r="D46" s="13" t="s">
        <v>492</v>
      </c>
      <c r="E46" s="13" t="s">
        <v>488</v>
      </c>
      <c r="F46" s="13">
        <v>8</v>
      </c>
      <c r="G46" s="13" t="s">
        <v>2236</v>
      </c>
      <c r="H46" s="13" t="s">
        <v>584</v>
      </c>
      <c r="I46" s="13" t="s">
        <v>502</v>
      </c>
      <c r="J46" s="13" t="s">
        <v>2500</v>
      </c>
    </row>
    <row r="47" spans="1:10" ht="110.4">
      <c r="A47" s="13" t="s">
        <v>2501</v>
      </c>
      <c r="B47" s="13" t="s">
        <v>2476</v>
      </c>
      <c r="C47" s="13" t="s">
        <v>2502</v>
      </c>
      <c r="D47" s="13" t="s">
        <v>391</v>
      </c>
      <c r="E47" s="13" t="s">
        <v>488</v>
      </c>
      <c r="F47" s="13">
        <v>6</v>
      </c>
      <c r="G47" s="13" t="s">
        <v>2503</v>
      </c>
      <c r="H47" s="13" t="s">
        <v>2504</v>
      </c>
      <c r="I47" s="13" t="s">
        <v>502</v>
      </c>
      <c r="J47" s="13" t="s">
        <v>2505</v>
      </c>
    </row>
    <row r="48" spans="1:10" ht="82.8">
      <c r="A48" s="13" t="s">
        <v>2506</v>
      </c>
      <c r="B48" s="13" t="s">
        <v>2476</v>
      </c>
      <c r="C48" s="13" t="s">
        <v>593</v>
      </c>
      <c r="D48" s="13" t="s">
        <v>492</v>
      </c>
      <c r="E48" s="13" t="s">
        <v>488</v>
      </c>
      <c r="F48" s="13">
        <v>8</v>
      </c>
      <c r="G48" s="13" t="s">
        <v>2239</v>
      </c>
      <c r="H48" s="13" t="s">
        <v>592</v>
      </c>
      <c r="I48" s="13" t="s">
        <v>502</v>
      </c>
      <c r="J48" s="13" t="s">
        <v>1028</v>
      </c>
    </row>
    <row r="49" spans="1:10" ht="96.6">
      <c r="A49" s="13" t="s">
        <v>2507</v>
      </c>
      <c r="B49" s="13" t="s">
        <v>2476</v>
      </c>
      <c r="C49" s="13" t="s">
        <v>2241</v>
      </c>
      <c r="D49" s="13" t="s">
        <v>391</v>
      </c>
      <c r="E49" s="13" t="s">
        <v>488</v>
      </c>
      <c r="F49" s="13">
        <v>6</v>
      </c>
      <c r="G49" s="13" t="s">
        <v>2508</v>
      </c>
      <c r="H49" s="13" t="s">
        <v>1032</v>
      </c>
      <c r="I49" s="13" t="s">
        <v>502</v>
      </c>
      <c r="J49" s="13" t="s">
        <v>2509</v>
      </c>
    </row>
    <row r="50" spans="1:10" ht="110.4">
      <c r="A50" s="13" t="s">
        <v>2510</v>
      </c>
      <c r="B50" s="13" t="s">
        <v>2476</v>
      </c>
      <c r="C50" s="13" t="s">
        <v>2245</v>
      </c>
      <c r="D50" s="13" t="s">
        <v>391</v>
      </c>
      <c r="E50" s="13" t="s">
        <v>488</v>
      </c>
      <c r="F50" s="13">
        <v>6</v>
      </c>
      <c r="G50" s="13" t="s">
        <v>2246</v>
      </c>
      <c r="H50" s="13" t="s">
        <v>1403</v>
      </c>
      <c r="I50" s="13" t="s">
        <v>502</v>
      </c>
      <c r="J50" s="13" t="s">
        <v>2247</v>
      </c>
    </row>
    <row r="51" spans="1:10" ht="82.8">
      <c r="A51" s="13" t="s">
        <v>2511</v>
      </c>
      <c r="B51" s="13" t="s">
        <v>575</v>
      </c>
      <c r="C51" s="13" t="s">
        <v>2512</v>
      </c>
      <c r="D51" s="13" t="s">
        <v>492</v>
      </c>
      <c r="E51" s="13" t="s">
        <v>488</v>
      </c>
      <c r="F51" s="13">
        <v>8</v>
      </c>
      <c r="G51" s="13" t="s">
        <v>1039</v>
      </c>
      <c r="H51" s="13" t="s">
        <v>584</v>
      </c>
      <c r="I51" s="13" t="s">
        <v>502</v>
      </c>
      <c r="J51" s="13" t="s">
        <v>2513</v>
      </c>
    </row>
    <row r="52" spans="1:10" ht="96.6">
      <c r="A52" s="13" t="s">
        <v>2514</v>
      </c>
      <c r="B52" s="13" t="s">
        <v>575</v>
      </c>
      <c r="C52" s="13" t="s">
        <v>1047</v>
      </c>
      <c r="D52" s="13" t="s">
        <v>391</v>
      </c>
      <c r="E52" s="13" t="s">
        <v>488</v>
      </c>
      <c r="F52" s="13">
        <v>6</v>
      </c>
      <c r="G52" s="13" t="s">
        <v>2252</v>
      </c>
      <c r="H52" s="13" t="s">
        <v>1049</v>
      </c>
      <c r="I52" s="13" t="s">
        <v>502</v>
      </c>
      <c r="J52" s="13" t="s">
        <v>1737</v>
      </c>
    </row>
    <row r="53" spans="1:10">
      <c r="A53" s="13"/>
      <c r="B53" s="13"/>
      <c r="C53" s="13"/>
      <c r="D53" s="13"/>
      <c r="E53" s="13"/>
      <c r="F53" s="13"/>
      <c r="G53" s="13"/>
      <c r="H53" s="13"/>
      <c r="I53" s="13"/>
      <c r="J53" s="13"/>
    </row>
    <row r="54" spans="1:10">
      <c r="A54" s="842" t="s">
        <v>1051</v>
      </c>
      <c r="B54" s="839"/>
      <c r="C54" s="839"/>
      <c r="D54" s="85"/>
      <c r="E54" s="85"/>
      <c r="F54" s="85"/>
      <c r="G54" s="85"/>
      <c r="H54" s="85"/>
      <c r="I54" s="85"/>
      <c r="J54" s="85"/>
    </row>
    <row r="55" spans="1:10">
      <c r="A55" s="50" t="s">
        <v>221</v>
      </c>
      <c r="B55" s="50" t="s">
        <v>222</v>
      </c>
      <c r="C55" s="50" t="s">
        <v>265</v>
      </c>
      <c r="D55" s="50" t="s">
        <v>77</v>
      </c>
      <c r="E55" s="50" t="s">
        <v>878</v>
      </c>
      <c r="F55" s="50" t="s">
        <v>879</v>
      </c>
      <c r="G55" s="50" t="s">
        <v>880</v>
      </c>
      <c r="H55" s="50" t="s">
        <v>494</v>
      </c>
      <c r="I55" s="50" t="s">
        <v>881</v>
      </c>
      <c r="J55" s="50" t="s">
        <v>11</v>
      </c>
    </row>
    <row r="56" spans="1:10" ht="69">
      <c r="A56" s="13" t="s">
        <v>2515</v>
      </c>
      <c r="B56" s="13" t="s">
        <v>2516</v>
      </c>
      <c r="C56" s="13" t="s">
        <v>579</v>
      </c>
      <c r="D56" s="13" t="s">
        <v>502</v>
      </c>
      <c r="E56" s="13"/>
      <c r="F56" s="13"/>
      <c r="G56" s="13" t="s">
        <v>580</v>
      </c>
      <c r="H56" s="13"/>
      <c r="I56" s="13"/>
      <c r="J56" s="13"/>
    </row>
    <row r="57" spans="1:10" ht="55.2">
      <c r="A57" s="13" t="s">
        <v>2517</v>
      </c>
      <c r="B57" s="13" t="s">
        <v>2518</v>
      </c>
      <c r="C57" s="13" t="s">
        <v>587</v>
      </c>
      <c r="D57" s="13" t="s">
        <v>502</v>
      </c>
      <c r="E57" s="13"/>
      <c r="F57" s="13"/>
      <c r="G57" s="13" t="s">
        <v>588</v>
      </c>
      <c r="H57" s="13"/>
      <c r="I57" s="13"/>
      <c r="J57" s="13"/>
    </row>
    <row r="58" spans="1:10" ht="69">
      <c r="A58" s="13" t="s">
        <v>2519</v>
      </c>
      <c r="B58" s="13" t="s">
        <v>2520</v>
      </c>
      <c r="C58" s="13" t="s">
        <v>601</v>
      </c>
      <c r="D58" s="13" t="s">
        <v>502</v>
      </c>
      <c r="E58" s="13"/>
      <c r="F58" s="13"/>
      <c r="G58" s="13" t="s">
        <v>602</v>
      </c>
      <c r="H58" s="13"/>
      <c r="I58" s="13"/>
      <c r="J58" s="13"/>
    </row>
    <row r="59" spans="1:10" ht="69">
      <c r="A59" s="13" t="s">
        <v>2521</v>
      </c>
      <c r="B59" s="13" t="s">
        <v>2522</v>
      </c>
      <c r="C59" s="13" t="s">
        <v>609</v>
      </c>
      <c r="D59" s="13" t="s">
        <v>502</v>
      </c>
      <c r="E59" s="13"/>
      <c r="F59" s="13"/>
      <c r="G59" s="13" t="s">
        <v>610</v>
      </c>
      <c r="H59" s="13"/>
      <c r="I59" s="13"/>
      <c r="J59" s="13"/>
    </row>
    <row r="60" spans="1:10" ht="82.8">
      <c r="A60" s="13" t="s">
        <v>2523</v>
      </c>
      <c r="B60" s="13" t="s">
        <v>2524</v>
      </c>
      <c r="C60" s="13" t="s">
        <v>616</v>
      </c>
      <c r="D60" s="13" t="s">
        <v>502</v>
      </c>
      <c r="E60" s="13"/>
      <c r="F60" s="13"/>
      <c r="G60" s="13" t="s">
        <v>617</v>
      </c>
      <c r="H60" s="13"/>
      <c r="I60" s="13"/>
      <c r="J60" s="13"/>
    </row>
    <row r="61" spans="1:10" ht="96.6">
      <c r="A61" s="13" t="s">
        <v>2525</v>
      </c>
      <c r="B61" s="13" t="s">
        <v>2526</v>
      </c>
      <c r="C61" s="13" t="s">
        <v>1032</v>
      </c>
      <c r="D61" s="13" t="s">
        <v>502</v>
      </c>
      <c r="E61" s="13"/>
      <c r="F61" s="13"/>
      <c r="G61" s="13" t="s">
        <v>2527</v>
      </c>
      <c r="H61" s="13"/>
      <c r="I61" s="13"/>
      <c r="J61" s="13"/>
    </row>
    <row r="62" spans="1:10" ht="96.6">
      <c r="A62" s="13" t="s">
        <v>2528</v>
      </c>
      <c r="B62" s="13" t="s">
        <v>624</v>
      </c>
      <c r="C62" s="13" t="s">
        <v>622</v>
      </c>
      <c r="D62" s="13" t="s">
        <v>502</v>
      </c>
      <c r="E62" s="13"/>
      <c r="F62" s="13"/>
      <c r="G62" s="13" t="s">
        <v>623</v>
      </c>
      <c r="H62" s="13"/>
      <c r="I62" s="13"/>
      <c r="J62" s="13"/>
    </row>
    <row r="63" spans="1:10" ht="82.8">
      <c r="A63" s="13" t="s">
        <v>2529</v>
      </c>
      <c r="B63" s="13" t="s">
        <v>1753</v>
      </c>
      <c r="C63" s="13" t="s">
        <v>1049</v>
      </c>
      <c r="D63" s="13" t="s">
        <v>502</v>
      </c>
      <c r="E63" s="13"/>
      <c r="F63" s="13"/>
      <c r="G63" s="13" t="s">
        <v>631</v>
      </c>
      <c r="H63" s="13"/>
      <c r="I63" s="13"/>
      <c r="J63" s="13"/>
    </row>
    <row r="64" spans="1:10">
      <c r="A64" s="13"/>
      <c r="B64" s="13"/>
      <c r="C64" s="13"/>
      <c r="D64" s="13"/>
      <c r="E64" s="13"/>
      <c r="F64" s="13"/>
      <c r="G64" s="13"/>
      <c r="H64" s="13"/>
      <c r="I64" s="13"/>
      <c r="J64" s="13"/>
    </row>
    <row r="65" spans="1:10">
      <c r="A65" s="842" t="s">
        <v>1052</v>
      </c>
      <c r="B65" s="839"/>
      <c r="C65" s="839"/>
      <c r="D65" s="85"/>
      <c r="E65" s="85"/>
      <c r="F65" s="85"/>
      <c r="G65" s="85"/>
      <c r="H65" s="85"/>
      <c r="I65" s="85"/>
      <c r="J65" s="85"/>
    </row>
    <row r="66" spans="1:10">
      <c r="A66" s="50" t="s">
        <v>291</v>
      </c>
      <c r="B66" s="50" t="s">
        <v>275</v>
      </c>
      <c r="C66" s="50" t="s">
        <v>493</v>
      </c>
      <c r="D66" s="50" t="s">
        <v>214</v>
      </c>
      <c r="E66" s="50" t="s">
        <v>263</v>
      </c>
      <c r="F66" s="50" t="s">
        <v>891</v>
      </c>
      <c r="G66" s="50" t="s">
        <v>892</v>
      </c>
      <c r="H66" s="50" t="s">
        <v>893</v>
      </c>
      <c r="I66" s="50" t="s">
        <v>77</v>
      </c>
      <c r="J66" s="50" t="s">
        <v>11</v>
      </c>
    </row>
    <row r="67" spans="1:10" ht="124.2">
      <c r="A67" s="13" t="s">
        <v>2530</v>
      </c>
      <c r="B67" s="13" t="s">
        <v>2476</v>
      </c>
      <c r="C67" s="13" t="s">
        <v>269</v>
      </c>
      <c r="D67" s="13" t="s">
        <v>2531</v>
      </c>
      <c r="E67" s="13"/>
      <c r="F67" s="13" t="s">
        <v>229</v>
      </c>
      <c r="G67" s="13"/>
      <c r="H67" s="13" t="s">
        <v>2532</v>
      </c>
      <c r="I67" s="13" t="s">
        <v>502</v>
      </c>
      <c r="J67" s="13"/>
    </row>
    <row r="68" spans="1:10" ht="110.4">
      <c r="A68" s="13" t="s">
        <v>2533</v>
      </c>
      <c r="B68" s="13" t="s">
        <v>2480</v>
      </c>
      <c r="C68" s="13" t="s">
        <v>269</v>
      </c>
      <c r="D68" s="13" t="s">
        <v>2534</v>
      </c>
      <c r="E68" s="13"/>
      <c r="F68" s="13" t="s">
        <v>229</v>
      </c>
      <c r="G68" s="13"/>
      <c r="H68" s="13" t="s">
        <v>2535</v>
      </c>
      <c r="I68" s="13" t="s">
        <v>502</v>
      </c>
      <c r="J68" s="13"/>
    </row>
    <row r="69" spans="1:10" ht="69">
      <c r="A69" s="13" t="s">
        <v>2536</v>
      </c>
      <c r="B69" s="13" t="s">
        <v>2476</v>
      </c>
      <c r="C69" s="13" t="s">
        <v>957</v>
      </c>
      <c r="D69" s="13" t="s">
        <v>1659</v>
      </c>
      <c r="E69" s="13"/>
      <c r="F69" s="13" t="s">
        <v>229</v>
      </c>
      <c r="G69" s="13"/>
      <c r="H69" s="13" t="s">
        <v>2510</v>
      </c>
      <c r="I69" s="13" t="s">
        <v>502</v>
      </c>
      <c r="J69" s="13"/>
    </row>
    <row r="70" spans="1:10" ht="96.6">
      <c r="A70" s="13" t="s">
        <v>2537</v>
      </c>
      <c r="B70" s="13" t="s">
        <v>2476</v>
      </c>
      <c r="C70" s="13" t="s">
        <v>148</v>
      </c>
      <c r="D70" s="13" t="s">
        <v>2081</v>
      </c>
      <c r="E70" s="13"/>
      <c r="F70" s="13" t="s">
        <v>229</v>
      </c>
      <c r="G70" s="13"/>
      <c r="H70" s="13" t="s">
        <v>2506</v>
      </c>
      <c r="I70" s="13" t="s">
        <v>502</v>
      </c>
      <c r="J70" s="13"/>
    </row>
    <row r="71" spans="1:10" ht="96.6">
      <c r="A71" s="13" t="s">
        <v>2538</v>
      </c>
      <c r="B71" s="13" t="s">
        <v>2476</v>
      </c>
      <c r="C71" s="13" t="s">
        <v>153</v>
      </c>
      <c r="D71" s="13" t="s">
        <v>2539</v>
      </c>
      <c r="E71" s="13"/>
      <c r="F71" s="13" t="s">
        <v>229</v>
      </c>
      <c r="G71" s="13"/>
      <c r="H71" s="13" t="s">
        <v>2507</v>
      </c>
      <c r="I71" s="13" t="s">
        <v>502</v>
      </c>
      <c r="J71" s="13"/>
    </row>
    <row r="72" spans="1:10" ht="96.6">
      <c r="A72" s="13" t="s">
        <v>2540</v>
      </c>
      <c r="B72" s="13" t="s">
        <v>2541</v>
      </c>
      <c r="C72" s="13" t="s">
        <v>155</v>
      </c>
      <c r="D72" s="13" t="s">
        <v>2542</v>
      </c>
      <c r="E72" s="13"/>
      <c r="F72" s="13" t="s">
        <v>229</v>
      </c>
      <c r="G72" s="13"/>
      <c r="H72" s="13" t="s">
        <v>2511</v>
      </c>
      <c r="I72" s="13" t="s">
        <v>502</v>
      </c>
      <c r="J72" s="13"/>
    </row>
    <row r="73" spans="1:10" ht="110.4">
      <c r="A73" s="13" t="s">
        <v>2543</v>
      </c>
      <c r="B73" s="13" t="s">
        <v>2541</v>
      </c>
      <c r="C73" s="13" t="s">
        <v>556</v>
      </c>
      <c r="D73" s="13" t="s">
        <v>2544</v>
      </c>
      <c r="E73" s="13"/>
      <c r="F73" s="13" t="s">
        <v>229</v>
      </c>
      <c r="G73" s="13"/>
      <c r="H73" s="13" t="s">
        <v>2514</v>
      </c>
      <c r="I73" s="13" t="s">
        <v>502</v>
      </c>
      <c r="J73" s="13"/>
    </row>
    <row r="74" spans="1:10" ht="82.8">
      <c r="A74" s="13" t="s">
        <v>2545</v>
      </c>
      <c r="B74" s="13" t="s">
        <v>575</v>
      </c>
      <c r="C74" s="13" t="s">
        <v>2546</v>
      </c>
      <c r="D74" s="13" t="s">
        <v>2547</v>
      </c>
      <c r="E74" s="13"/>
      <c r="F74" s="13" t="s">
        <v>229</v>
      </c>
      <c r="G74" s="13"/>
      <c r="H74" s="13" t="s">
        <v>2548</v>
      </c>
      <c r="I74" s="13" t="s">
        <v>502</v>
      </c>
      <c r="J74" s="13"/>
    </row>
    <row r="75" spans="1:10">
      <c r="A75" s="13"/>
      <c r="B75" s="13"/>
      <c r="C75" s="13"/>
      <c r="D75" s="13"/>
      <c r="E75" s="13"/>
      <c r="F75" s="13"/>
      <c r="G75" s="13"/>
      <c r="H75" s="13"/>
      <c r="I75" s="13"/>
      <c r="J75" s="13"/>
    </row>
    <row r="76" spans="1:10" ht="43.2">
      <c r="A76" s="85" t="s">
        <v>1079</v>
      </c>
      <c r="B76" s="85"/>
      <c r="C76" s="85"/>
      <c r="D76" s="85"/>
      <c r="E76" s="85"/>
      <c r="F76" s="85"/>
      <c r="G76" s="85"/>
      <c r="H76" s="85"/>
      <c r="I76" s="85"/>
      <c r="J76" s="85"/>
    </row>
    <row r="77" spans="1:10">
      <c r="A77" s="50" t="s">
        <v>275</v>
      </c>
      <c r="B77" s="50" t="s">
        <v>895</v>
      </c>
      <c r="C77" s="50" t="s">
        <v>896</v>
      </c>
      <c r="D77" s="50" t="s">
        <v>148</v>
      </c>
      <c r="E77" s="50" t="s">
        <v>153</v>
      </c>
      <c r="F77" s="50" t="s">
        <v>155</v>
      </c>
      <c r="G77" s="50" t="s">
        <v>491</v>
      </c>
      <c r="H77" s="50" t="s">
        <v>897</v>
      </c>
      <c r="I77" s="50" t="s">
        <v>174</v>
      </c>
      <c r="J77" s="50" t="s">
        <v>11</v>
      </c>
    </row>
    <row r="78" spans="1:10" ht="55.2">
      <c r="A78" s="13" t="s">
        <v>2476</v>
      </c>
      <c r="B78" s="13">
        <v>0.5</v>
      </c>
      <c r="C78" s="13">
        <v>0.5</v>
      </c>
      <c r="D78" s="13">
        <v>0.5</v>
      </c>
      <c r="E78" s="13">
        <v>0.5</v>
      </c>
      <c r="F78" s="13">
        <v>0.5</v>
      </c>
      <c r="G78" s="13" t="s">
        <v>677</v>
      </c>
      <c r="H78" s="13">
        <v>0.5</v>
      </c>
      <c r="I78" s="13" t="s">
        <v>1201</v>
      </c>
      <c r="J78" s="13" t="s">
        <v>2549</v>
      </c>
    </row>
    <row r="79" spans="1:10" ht="41.4">
      <c r="A79" s="13" t="s">
        <v>2480</v>
      </c>
      <c r="B79" s="13">
        <v>0.5</v>
      </c>
      <c r="C79" s="13">
        <v>0.5</v>
      </c>
      <c r="D79" s="13">
        <v>0.5</v>
      </c>
      <c r="E79" s="13">
        <v>0.5</v>
      </c>
      <c r="F79" s="13">
        <v>0.5</v>
      </c>
      <c r="G79" s="13" t="s">
        <v>677</v>
      </c>
      <c r="H79" s="13">
        <v>0.5</v>
      </c>
      <c r="I79" s="13" t="s">
        <v>1201</v>
      </c>
      <c r="J79" s="13" t="s">
        <v>2550</v>
      </c>
    </row>
    <row r="80" spans="1:10">
      <c r="A80" s="13"/>
      <c r="B80" s="13"/>
      <c r="C80" s="13"/>
      <c r="D80" s="13"/>
      <c r="E80" s="13"/>
      <c r="F80" s="13"/>
      <c r="G80" s="13"/>
      <c r="H80" s="13"/>
      <c r="I80" s="13"/>
      <c r="J80" s="13"/>
    </row>
    <row r="81" spans="1:10" ht="43.2">
      <c r="A81" s="85" t="s">
        <v>1085</v>
      </c>
      <c r="B81" s="85"/>
      <c r="C81" s="85"/>
      <c r="D81" s="85"/>
      <c r="E81" s="85"/>
      <c r="F81" s="85"/>
      <c r="G81" s="85"/>
      <c r="H81" s="85"/>
      <c r="I81" s="85"/>
      <c r="J81" s="85"/>
    </row>
    <row r="82" spans="1:10" ht="55.2">
      <c r="A82" s="50" t="s">
        <v>905</v>
      </c>
      <c r="B82" s="50" t="s">
        <v>809</v>
      </c>
      <c r="C82" s="50"/>
      <c r="D82" s="50"/>
      <c r="E82" s="50"/>
      <c r="F82" s="50"/>
      <c r="G82" s="50"/>
      <c r="H82" s="50"/>
      <c r="I82" s="50"/>
      <c r="J82" s="50"/>
    </row>
    <row r="83" spans="1:10" ht="179.4">
      <c r="A83" s="13" t="s">
        <v>1086</v>
      </c>
      <c r="B83" s="13" t="s">
        <v>2551</v>
      </c>
      <c r="C83" s="13"/>
      <c r="D83" s="13"/>
      <c r="E83" s="13"/>
      <c r="F83" s="13"/>
      <c r="G83" s="13"/>
      <c r="H83" s="13"/>
      <c r="I83" s="13"/>
      <c r="J83" s="13"/>
    </row>
    <row r="84" spans="1:10" ht="151.80000000000001">
      <c r="A84" s="13" t="s">
        <v>1455</v>
      </c>
      <c r="B84" s="13" t="s">
        <v>2552</v>
      </c>
      <c r="C84" s="13"/>
      <c r="D84" s="13"/>
      <c r="E84" s="13"/>
      <c r="F84" s="13"/>
      <c r="G84" s="13"/>
      <c r="H84" s="13"/>
      <c r="I84" s="13"/>
      <c r="J84" s="13"/>
    </row>
    <row r="85" spans="1:10" ht="248.4">
      <c r="A85" s="13" t="s">
        <v>1088</v>
      </c>
      <c r="B85" s="13" t="s">
        <v>2553</v>
      </c>
      <c r="C85" s="13"/>
      <c r="D85" s="13"/>
      <c r="E85" s="13"/>
      <c r="F85" s="13"/>
      <c r="G85" s="13"/>
      <c r="H85" s="13"/>
      <c r="I85" s="13"/>
      <c r="J85" s="13"/>
    </row>
    <row r="86" spans="1:10" ht="165.6">
      <c r="A86" s="13" t="s">
        <v>1089</v>
      </c>
      <c r="B86" s="13" t="s">
        <v>2554</v>
      </c>
      <c r="C86" s="13"/>
      <c r="D86" s="13"/>
      <c r="E86" s="13"/>
      <c r="F86" s="13"/>
      <c r="G86" s="13"/>
      <c r="H86" s="13"/>
      <c r="I86" s="13"/>
      <c r="J86" s="13"/>
    </row>
    <row r="87" spans="1:10" ht="207">
      <c r="A87" s="13" t="s">
        <v>1090</v>
      </c>
      <c r="B87" s="13" t="s">
        <v>2555</v>
      </c>
      <c r="C87" s="13"/>
      <c r="D87" s="13"/>
      <c r="E87" s="13"/>
      <c r="F87" s="13"/>
      <c r="G87" s="13"/>
      <c r="H87" s="13"/>
      <c r="I87" s="13"/>
      <c r="J87" s="13"/>
    </row>
    <row r="88" spans="1:10" ht="207">
      <c r="A88" s="13" t="s">
        <v>1563</v>
      </c>
      <c r="B88" s="13" t="s">
        <v>1776</v>
      </c>
      <c r="C88" s="13"/>
      <c r="D88" s="13"/>
      <c r="E88" s="13"/>
      <c r="F88" s="13"/>
      <c r="G88" s="13"/>
      <c r="H88" s="13"/>
      <c r="I88" s="13"/>
      <c r="J88" s="13"/>
    </row>
    <row r="90" spans="1:10" ht="15" thickBot="1"/>
    <row r="91" spans="1:10">
      <c r="A91" s="855" t="s">
        <v>5875</v>
      </c>
      <c r="B91" s="856"/>
      <c r="C91" s="856"/>
      <c r="D91" s="857"/>
      <c r="E91" s="856"/>
      <c r="F91" s="856"/>
      <c r="G91" s="857"/>
      <c r="H91" s="857"/>
      <c r="I91" s="857"/>
      <c r="J91" s="858"/>
    </row>
    <row r="92" spans="1:10">
      <c r="A92" s="325" t="s">
        <v>5817</v>
      </c>
      <c r="B92" s="326" t="s">
        <v>77</v>
      </c>
      <c r="C92" s="326" t="s">
        <v>5818</v>
      </c>
      <c r="D92" s="326" t="s">
        <v>5819</v>
      </c>
      <c r="E92" s="326" t="s">
        <v>5841</v>
      </c>
      <c r="F92" s="326" t="s">
        <v>5808</v>
      </c>
      <c r="G92" s="859" t="s">
        <v>5842</v>
      </c>
      <c r="H92" s="859"/>
      <c r="I92" s="859"/>
      <c r="J92" s="860"/>
    </row>
    <row r="93" spans="1:10" ht="26.4">
      <c r="A93" s="327" t="s">
        <v>5820</v>
      </c>
      <c r="B93" s="337" t="s">
        <v>484</v>
      </c>
      <c r="C93" s="329">
        <v>0</v>
      </c>
      <c r="D93" s="329">
        <v>0</v>
      </c>
      <c r="E93" s="196" t="s">
        <v>5881</v>
      </c>
      <c r="F93" s="329">
        <f>IF(AND(C93&lt;&gt;"",D93&lt;&gt;""),D93-C93,"")</f>
        <v>0</v>
      </c>
      <c r="G93" s="861"/>
      <c r="H93" s="861"/>
      <c r="I93" s="861"/>
      <c r="J93" s="862"/>
    </row>
    <row r="94" spans="1:10" ht="26.4">
      <c r="A94" s="330" t="s">
        <v>5821</v>
      </c>
      <c r="B94" s="337" t="s">
        <v>484</v>
      </c>
      <c r="C94" s="331">
        <v>1</v>
      </c>
      <c r="D94" s="331">
        <v>0</v>
      </c>
      <c r="E94" s="314" t="s">
        <v>5882</v>
      </c>
      <c r="F94" s="331">
        <f>IF(AND(C94&lt;&gt;"",D94&lt;&gt;""),D94-C94,"")</f>
        <v>-1</v>
      </c>
      <c r="G94" s="863"/>
      <c r="H94" s="863"/>
      <c r="I94" s="863"/>
      <c r="J94" s="864"/>
    </row>
    <row r="95" spans="1:10">
      <c r="A95" s="327" t="s">
        <v>5822</v>
      </c>
      <c r="B95" s="337" t="s">
        <v>484</v>
      </c>
      <c r="C95" s="331">
        <v>1</v>
      </c>
      <c r="D95" s="331">
        <v>0</v>
      </c>
      <c r="E95" s="314" t="s">
        <v>5882</v>
      </c>
      <c r="F95" s="329">
        <f>IF(AND(C95&lt;&gt;"",D95&lt;&gt;""),D95-C95,"")</f>
        <v>-1</v>
      </c>
      <c r="G95" s="332"/>
      <c r="H95" s="231"/>
      <c r="I95" s="231"/>
      <c r="J95" s="333"/>
    </row>
    <row r="96" spans="1:10">
      <c r="A96" s="330" t="s">
        <v>5823</v>
      </c>
      <c r="B96" s="337" t="s">
        <v>484</v>
      </c>
      <c r="C96" s="331">
        <v>1</v>
      </c>
      <c r="D96" s="331">
        <v>0</v>
      </c>
      <c r="E96" s="314" t="s">
        <v>5882</v>
      </c>
      <c r="F96" s="331">
        <f>IF(AND(C96&lt;&gt;"",D96&lt;&gt;""),D96-C96,"")</f>
        <v>-1</v>
      </c>
      <c r="G96" s="863"/>
      <c r="H96" s="863"/>
      <c r="I96" s="863"/>
      <c r="J96" s="864"/>
    </row>
    <row r="97" spans="1:10">
      <c r="A97" s="327" t="s">
        <v>5168</v>
      </c>
      <c r="B97" s="337" t="s">
        <v>484</v>
      </c>
      <c r="C97" s="331">
        <v>1</v>
      </c>
      <c r="D97" s="331">
        <v>0</v>
      </c>
      <c r="E97" s="314" t="s">
        <v>5882</v>
      </c>
      <c r="F97" s="329">
        <f>IF(AND(C97&lt;&gt;"",D97&lt;&gt;""),D97-C97,"")</f>
        <v>-1</v>
      </c>
      <c r="G97" s="332"/>
      <c r="H97" s="231"/>
      <c r="I97" s="231"/>
      <c r="J97" s="333"/>
    </row>
    <row r="98" spans="1:10" ht="15.6">
      <c r="A98" s="865" t="s">
        <v>5843</v>
      </c>
      <c r="B98" s="713"/>
      <c r="C98" s="334">
        <f>IFERROR(AVERAGE(C93:C97),"")</f>
        <v>0.8</v>
      </c>
      <c r="D98" s="334">
        <f>IFERROR(AVERAGE(D93:D97),"")</f>
        <v>0</v>
      </c>
      <c r="E98" s="866" t="s">
        <v>5844</v>
      </c>
      <c r="F98" s="866"/>
      <c r="G98" s="866"/>
      <c r="H98" s="866"/>
      <c r="I98" s="866"/>
      <c r="J98" s="867"/>
    </row>
    <row r="99" spans="1:10">
      <c r="A99" s="335"/>
      <c r="B99" s="320"/>
      <c r="C99" s="320"/>
      <c r="D99" s="320"/>
      <c r="E99" s="320"/>
      <c r="F99" s="320"/>
      <c r="G99" s="320"/>
      <c r="H99" s="231"/>
      <c r="I99" s="231"/>
      <c r="J99" s="333"/>
    </row>
    <row r="100" spans="1:10">
      <c r="A100" s="876" t="s">
        <v>5876</v>
      </c>
      <c r="B100" s="853"/>
      <c r="C100" s="853"/>
      <c r="D100" s="842"/>
      <c r="E100" s="853"/>
      <c r="F100" s="853"/>
      <c r="G100" s="842"/>
      <c r="H100" s="842"/>
      <c r="I100" s="842"/>
      <c r="J100" s="868"/>
    </row>
    <row r="101" spans="1:10">
      <c r="A101" s="325" t="s">
        <v>4946</v>
      </c>
      <c r="B101" s="326" t="s">
        <v>77</v>
      </c>
      <c r="C101" s="326" t="s">
        <v>5883</v>
      </c>
      <c r="D101" s="326" t="s">
        <v>482</v>
      </c>
      <c r="E101" s="326" t="s">
        <v>572</v>
      </c>
      <c r="F101" s="326" t="s">
        <v>5846</v>
      </c>
      <c r="G101" s="859" t="s">
        <v>5847</v>
      </c>
      <c r="H101" s="859"/>
      <c r="I101" s="859"/>
      <c r="J101" s="860"/>
    </row>
    <row r="102" spans="1:10" ht="26.4">
      <c r="A102" s="330" t="s">
        <v>5809</v>
      </c>
      <c r="B102" s="337" t="s">
        <v>484</v>
      </c>
      <c r="C102" s="336" t="s">
        <v>679</v>
      </c>
      <c r="D102" s="328" t="s">
        <v>679</v>
      </c>
      <c r="E102" s="336">
        <f>IF(D102="Yes",1,0)</f>
        <v>0</v>
      </c>
      <c r="F102" s="877"/>
      <c r="G102" s="877"/>
      <c r="H102" s="877"/>
      <c r="I102" s="877"/>
      <c r="J102" s="878"/>
    </row>
    <row r="103" spans="1:10">
      <c r="A103" s="327" t="s">
        <v>995</v>
      </c>
      <c r="B103" s="337" t="s">
        <v>484</v>
      </c>
      <c r="C103" s="336" t="s">
        <v>679</v>
      </c>
      <c r="D103" s="328" t="s">
        <v>679</v>
      </c>
      <c r="E103" s="328">
        <f t="shared" ref="E103:E109" si="0">IF(D103="Yes",1,0)</f>
        <v>0</v>
      </c>
      <c r="F103" s="877"/>
      <c r="G103" s="877"/>
      <c r="H103" s="877"/>
      <c r="I103" s="877"/>
      <c r="J103" s="878"/>
    </row>
    <row r="104" spans="1:10">
      <c r="A104" s="330" t="s">
        <v>5810</v>
      </c>
      <c r="B104" s="337" t="s">
        <v>484</v>
      </c>
      <c r="C104" s="336" t="s">
        <v>679</v>
      </c>
      <c r="D104" s="328" t="s">
        <v>679</v>
      </c>
      <c r="E104" s="336">
        <f t="shared" si="0"/>
        <v>0</v>
      </c>
      <c r="F104" s="877"/>
      <c r="G104" s="877"/>
      <c r="H104" s="877"/>
      <c r="I104" s="877"/>
      <c r="J104" s="878"/>
    </row>
    <row r="105" spans="1:10">
      <c r="A105" s="327" t="s">
        <v>5824</v>
      </c>
      <c r="B105" s="337" t="s">
        <v>484</v>
      </c>
      <c r="C105" s="336" t="s">
        <v>679</v>
      </c>
      <c r="D105" s="328" t="s">
        <v>679</v>
      </c>
      <c r="E105" s="328">
        <f t="shared" si="0"/>
        <v>0</v>
      </c>
      <c r="F105" s="877"/>
      <c r="G105" s="877"/>
      <c r="H105" s="877"/>
      <c r="I105" s="877"/>
      <c r="J105" s="878"/>
    </row>
    <row r="106" spans="1:10" ht="39.6">
      <c r="A106" s="330" t="s">
        <v>5825</v>
      </c>
      <c r="B106" s="337" t="s">
        <v>484</v>
      </c>
      <c r="C106" s="336" t="s">
        <v>679</v>
      </c>
      <c r="D106" s="328" t="s">
        <v>679</v>
      </c>
      <c r="E106" s="336">
        <f t="shared" si="0"/>
        <v>0</v>
      </c>
      <c r="F106" s="877"/>
      <c r="G106" s="877"/>
      <c r="H106" s="877"/>
      <c r="I106" s="877"/>
      <c r="J106" s="878"/>
    </row>
    <row r="107" spans="1:10" ht="26.4">
      <c r="A107" s="327" t="s">
        <v>5826</v>
      </c>
      <c r="B107" s="337" t="s">
        <v>484</v>
      </c>
      <c r="C107" s="336" t="s">
        <v>679</v>
      </c>
      <c r="D107" s="328" t="s">
        <v>679</v>
      </c>
      <c r="E107" s="328">
        <f t="shared" si="0"/>
        <v>0</v>
      </c>
      <c r="F107" s="877"/>
      <c r="G107" s="877"/>
      <c r="H107" s="877"/>
      <c r="I107" s="877"/>
      <c r="J107" s="878"/>
    </row>
    <row r="108" spans="1:10">
      <c r="A108" s="330" t="s">
        <v>5811</v>
      </c>
      <c r="B108" s="337" t="s">
        <v>484</v>
      </c>
      <c r="C108" s="336" t="s">
        <v>679</v>
      </c>
      <c r="D108" s="328" t="s">
        <v>679</v>
      </c>
      <c r="E108" s="336">
        <f t="shared" si="0"/>
        <v>0</v>
      </c>
      <c r="F108" s="877"/>
      <c r="G108" s="877"/>
      <c r="H108" s="877"/>
      <c r="I108" s="877"/>
      <c r="J108" s="878"/>
    </row>
    <row r="109" spans="1:10" ht="26.4">
      <c r="A109" s="327" t="s">
        <v>5812</v>
      </c>
      <c r="B109" s="337" t="s">
        <v>484</v>
      </c>
      <c r="C109" s="336" t="s">
        <v>679</v>
      </c>
      <c r="D109" s="328" t="s">
        <v>679</v>
      </c>
      <c r="E109" s="328">
        <f t="shared" si="0"/>
        <v>0</v>
      </c>
      <c r="F109" s="877"/>
      <c r="G109" s="877"/>
      <c r="H109" s="877"/>
      <c r="I109" s="877"/>
      <c r="J109" s="878"/>
    </row>
    <row r="110" spans="1:10" ht="15.6">
      <c r="A110" s="865" t="s">
        <v>5848</v>
      </c>
      <c r="B110" s="713"/>
      <c r="C110" s="871" t="str">
        <f>IFERROR(SUM(E102:E109)/COUNTIF(C102:C109,"Yes"),"")</f>
        <v/>
      </c>
      <c r="D110" s="872"/>
      <c r="E110" s="866" t="s">
        <v>5849</v>
      </c>
      <c r="F110" s="866"/>
      <c r="G110" s="866"/>
      <c r="H110" s="866"/>
      <c r="I110" s="866"/>
      <c r="J110" s="867"/>
    </row>
    <row r="111" spans="1:10">
      <c r="A111" s="335"/>
      <c r="B111" s="320"/>
      <c r="C111" s="320"/>
      <c r="D111" s="320"/>
      <c r="E111" s="320"/>
      <c r="F111" s="320"/>
      <c r="G111" s="320"/>
      <c r="H111" s="231"/>
      <c r="I111" s="231"/>
      <c r="J111" s="333"/>
    </row>
    <row r="112" spans="1:10">
      <c r="A112" s="876" t="s">
        <v>5877</v>
      </c>
      <c r="B112" s="853"/>
      <c r="C112" s="853"/>
      <c r="D112" s="842"/>
      <c r="E112" s="853"/>
      <c r="F112" s="853"/>
      <c r="G112" s="842"/>
      <c r="H112" s="842"/>
      <c r="I112" s="842"/>
      <c r="J112" s="868"/>
    </row>
    <row r="113" spans="1:10">
      <c r="A113" s="325" t="s">
        <v>5850</v>
      </c>
      <c r="B113" s="326" t="s">
        <v>77</v>
      </c>
      <c r="C113" s="326" t="s">
        <v>5827</v>
      </c>
      <c r="D113" s="326" t="s">
        <v>5828</v>
      </c>
      <c r="E113" s="326" t="s">
        <v>5829</v>
      </c>
      <c r="F113" s="326" t="s">
        <v>5851</v>
      </c>
      <c r="G113" s="859" t="s">
        <v>5852</v>
      </c>
      <c r="H113" s="859"/>
      <c r="I113" s="859"/>
      <c r="J113" s="860"/>
    </row>
    <row r="114" spans="1:10" ht="26.4">
      <c r="A114" s="330" t="s">
        <v>5830</v>
      </c>
      <c r="B114" s="336" t="s">
        <v>484</v>
      </c>
      <c r="C114" s="336" t="s">
        <v>1096</v>
      </c>
      <c r="D114" s="336" t="s">
        <v>1096</v>
      </c>
      <c r="E114" s="336" t="s">
        <v>1096</v>
      </c>
      <c r="F114" s="336" t="s">
        <v>348</v>
      </c>
      <c r="G114" s="869"/>
      <c r="H114" s="869"/>
      <c r="I114" s="869"/>
      <c r="J114" s="870"/>
    </row>
    <row r="115" spans="1:10">
      <c r="A115" s="327" t="s">
        <v>5831</v>
      </c>
      <c r="B115" s="336" t="s">
        <v>484</v>
      </c>
      <c r="C115" s="336" t="s">
        <v>1096</v>
      </c>
      <c r="D115" s="336" t="s">
        <v>1096</v>
      </c>
      <c r="E115" s="336" t="s">
        <v>1096</v>
      </c>
      <c r="F115" s="336" t="s">
        <v>348</v>
      </c>
      <c r="G115" s="869"/>
      <c r="H115" s="869"/>
      <c r="I115" s="869"/>
      <c r="J115" s="870"/>
    </row>
    <row r="116" spans="1:10">
      <c r="A116" s="330" t="s">
        <v>5853</v>
      </c>
      <c r="B116" s="336" t="s">
        <v>484</v>
      </c>
      <c r="C116" s="336" t="s">
        <v>1096</v>
      </c>
      <c r="D116" s="336" t="s">
        <v>1096</v>
      </c>
      <c r="E116" s="336" t="s">
        <v>1096</v>
      </c>
      <c r="F116" s="336" t="s">
        <v>348</v>
      </c>
      <c r="G116" s="869"/>
      <c r="H116" s="869"/>
      <c r="I116" s="869"/>
      <c r="J116" s="870"/>
    </row>
    <row r="117" spans="1:10">
      <c r="A117" s="327" t="s">
        <v>5832</v>
      </c>
      <c r="B117" s="336" t="s">
        <v>484</v>
      </c>
      <c r="C117" s="336" t="s">
        <v>1096</v>
      </c>
      <c r="D117" s="336" t="s">
        <v>1096</v>
      </c>
      <c r="E117" s="336" t="s">
        <v>1096</v>
      </c>
      <c r="F117" s="336" t="s">
        <v>348</v>
      </c>
      <c r="G117" s="869"/>
      <c r="H117" s="869"/>
      <c r="I117" s="869"/>
      <c r="J117" s="870"/>
    </row>
    <row r="118" spans="1:10" ht="26.4">
      <c r="A118" s="330" t="s">
        <v>5833</v>
      </c>
      <c r="B118" s="336" t="s">
        <v>484</v>
      </c>
      <c r="C118" s="336" t="s">
        <v>1096</v>
      </c>
      <c r="D118" s="336" t="s">
        <v>1096</v>
      </c>
      <c r="E118" s="336" t="s">
        <v>1096</v>
      </c>
      <c r="F118" s="336" t="s">
        <v>348</v>
      </c>
      <c r="G118" s="869"/>
      <c r="H118" s="869"/>
      <c r="I118" s="869"/>
      <c r="J118" s="870"/>
    </row>
    <row r="119" spans="1:10" ht="15.6">
      <c r="A119" s="865" t="s">
        <v>5884</v>
      </c>
      <c r="B119" s="713"/>
      <c r="C119" s="871">
        <f>IFERROR(COUNTIF(E114:E118,"Yes")/COUNTA(A114:A118),"")</f>
        <v>0</v>
      </c>
      <c r="D119" s="872"/>
      <c r="E119" s="866" t="s">
        <v>5855</v>
      </c>
      <c r="F119" s="866"/>
      <c r="G119" s="866"/>
      <c r="H119" s="866"/>
      <c r="I119" s="866"/>
      <c r="J119" s="867"/>
    </row>
    <row r="120" spans="1:10">
      <c r="A120" s="335"/>
      <c r="B120" s="320"/>
      <c r="C120" s="320"/>
      <c r="D120" s="320"/>
      <c r="E120" s="320"/>
      <c r="F120" s="320"/>
      <c r="G120" s="874"/>
      <c r="H120" s="874"/>
      <c r="I120" s="874"/>
      <c r="J120" s="875"/>
    </row>
    <row r="121" spans="1:10">
      <c r="A121" s="876" t="s">
        <v>5878</v>
      </c>
      <c r="B121" s="853"/>
      <c r="C121" s="853"/>
      <c r="D121" s="842"/>
      <c r="E121" s="853"/>
      <c r="F121" s="853"/>
      <c r="G121" s="842"/>
      <c r="H121" s="842"/>
      <c r="I121" s="842"/>
      <c r="J121" s="868"/>
    </row>
    <row r="122" spans="1:10">
      <c r="A122" s="326" t="s">
        <v>5813</v>
      </c>
      <c r="B122" s="326" t="s">
        <v>77</v>
      </c>
      <c r="C122" s="326" t="s">
        <v>5834</v>
      </c>
      <c r="D122" s="326" t="s">
        <v>5835</v>
      </c>
      <c r="E122" s="326" t="s">
        <v>5836</v>
      </c>
      <c r="F122" s="326" t="s">
        <v>5837</v>
      </c>
      <c r="G122" s="859" t="s">
        <v>5885</v>
      </c>
      <c r="H122" s="859"/>
      <c r="I122" s="859"/>
      <c r="J122" s="859"/>
    </row>
    <row r="123" spans="1:10">
      <c r="A123" s="332" t="s">
        <v>153</v>
      </c>
      <c r="B123" s="328" t="s">
        <v>484</v>
      </c>
      <c r="C123" s="328"/>
      <c r="D123" s="328"/>
      <c r="E123" s="328"/>
      <c r="F123" s="329" t="str">
        <f>IFERROR(D123/C123,"")</f>
        <v/>
      </c>
      <c r="G123" s="873"/>
      <c r="H123" s="873"/>
      <c r="I123" s="873"/>
      <c r="J123" s="873"/>
    </row>
    <row r="124" spans="1:10">
      <c r="A124" s="339" t="s">
        <v>155</v>
      </c>
      <c r="B124" s="336" t="s">
        <v>484</v>
      </c>
      <c r="C124" s="336"/>
      <c r="D124" s="336"/>
      <c r="E124" s="336"/>
      <c r="F124" s="331" t="str">
        <f>IFERROR(D124/C124,"")</f>
        <v/>
      </c>
      <c r="G124" s="873"/>
      <c r="H124" s="873"/>
      <c r="I124" s="873"/>
      <c r="J124" s="873"/>
    </row>
    <row r="125" spans="1:10">
      <c r="A125" s="332" t="s">
        <v>4821</v>
      </c>
      <c r="B125" s="328" t="s">
        <v>484</v>
      </c>
      <c r="C125" s="328"/>
      <c r="D125" s="328"/>
      <c r="E125" s="328"/>
      <c r="F125" s="329" t="str">
        <f>IFERROR(D125/C125,"")</f>
        <v/>
      </c>
      <c r="G125" s="873"/>
      <c r="H125" s="873"/>
      <c r="I125" s="873"/>
      <c r="J125" s="873"/>
    </row>
    <row r="126" spans="1:10">
      <c r="A126" s="339" t="s">
        <v>957</v>
      </c>
      <c r="B126" s="336" t="s">
        <v>484</v>
      </c>
      <c r="C126" s="336"/>
      <c r="D126" s="336"/>
      <c r="E126" s="336"/>
      <c r="F126" s="331" t="str">
        <f>IFERROR(D126/C126,"")</f>
        <v/>
      </c>
      <c r="G126" s="873"/>
      <c r="H126" s="873"/>
      <c r="I126" s="873"/>
      <c r="J126" s="873"/>
    </row>
    <row r="127" spans="1:10">
      <c r="A127" s="879" t="s">
        <v>5856</v>
      </c>
      <c r="B127" s="879"/>
      <c r="C127" s="879"/>
      <c r="D127" s="879"/>
      <c r="E127" s="866" t="s">
        <v>5857</v>
      </c>
      <c r="F127" s="866"/>
      <c r="G127" s="866"/>
      <c r="H127" s="866"/>
      <c r="I127" s="866"/>
      <c r="J127" s="866"/>
    </row>
    <row r="128" spans="1:10">
      <c r="A128" s="879"/>
      <c r="B128" s="879"/>
      <c r="C128" s="879"/>
      <c r="D128" s="879"/>
      <c r="E128" s="866"/>
      <c r="F128" s="866"/>
      <c r="G128" s="866"/>
      <c r="H128" s="866"/>
      <c r="I128" s="866"/>
      <c r="J128" s="866"/>
    </row>
    <row r="129" spans="1:10">
      <c r="A129" s="842" t="s">
        <v>5879</v>
      </c>
      <c r="B129" s="842"/>
      <c r="C129" s="842"/>
      <c r="D129" s="842"/>
      <c r="E129" s="842"/>
      <c r="F129" s="842"/>
      <c r="G129" s="842"/>
      <c r="H129" s="842"/>
      <c r="I129" s="842"/>
      <c r="J129" s="842"/>
    </row>
    <row r="130" spans="1:10">
      <c r="A130" s="326" t="s">
        <v>4946</v>
      </c>
      <c r="B130" s="326" t="s">
        <v>77</v>
      </c>
      <c r="C130" s="326" t="s">
        <v>5845</v>
      </c>
      <c r="D130" s="326" t="s">
        <v>482</v>
      </c>
      <c r="E130" s="326" t="s">
        <v>572</v>
      </c>
      <c r="F130" s="326" t="s">
        <v>944</v>
      </c>
      <c r="G130" s="859" t="s">
        <v>5847</v>
      </c>
      <c r="H130" s="859"/>
      <c r="I130" s="859"/>
      <c r="J130" s="859"/>
    </row>
    <row r="131" spans="1:10" ht="26.4">
      <c r="A131" s="332" t="s">
        <v>5814</v>
      </c>
      <c r="B131" s="328" t="s">
        <v>484</v>
      </c>
      <c r="C131" s="328" t="s">
        <v>392</v>
      </c>
      <c r="D131" s="328" t="s">
        <v>1096</v>
      </c>
      <c r="E131" s="328">
        <f t="shared" ref="E131:E136" si="1">IF(D131="Yes",1,0)</f>
        <v>0</v>
      </c>
      <c r="F131" s="328"/>
      <c r="G131" s="873"/>
      <c r="H131" s="873"/>
      <c r="I131" s="873"/>
      <c r="J131" s="873"/>
    </row>
    <row r="132" spans="1:10">
      <c r="A132" s="339" t="s">
        <v>5815</v>
      </c>
      <c r="B132" s="328" t="s">
        <v>484</v>
      </c>
      <c r="C132" s="336" t="s">
        <v>392</v>
      </c>
      <c r="D132" s="328" t="s">
        <v>1096</v>
      </c>
      <c r="E132" s="336">
        <f t="shared" si="1"/>
        <v>0</v>
      </c>
      <c r="F132" s="336"/>
      <c r="G132" s="873"/>
      <c r="H132" s="873"/>
      <c r="I132" s="873"/>
      <c r="J132" s="873"/>
    </row>
    <row r="133" spans="1:10" ht="26.4">
      <c r="A133" s="332" t="s">
        <v>5816</v>
      </c>
      <c r="B133" s="328" t="s">
        <v>484</v>
      </c>
      <c r="C133" s="328" t="s">
        <v>392</v>
      </c>
      <c r="D133" s="328" t="s">
        <v>1096</v>
      </c>
      <c r="E133" s="328">
        <f t="shared" si="1"/>
        <v>0</v>
      </c>
      <c r="F133" s="328"/>
      <c r="G133" s="873"/>
      <c r="H133" s="873"/>
      <c r="I133" s="873"/>
      <c r="J133" s="873"/>
    </row>
    <row r="134" spans="1:10">
      <c r="A134" s="339" t="s">
        <v>5838</v>
      </c>
      <c r="B134" s="328" t="s">
        <v>484</v>
      </c>
      <c r="C134" s="336" t="s">
        <v>392</v>
      </c>
      <c r="D134" s="328" t="s">
        <v>1096</v>
      </c>
      <c r="E134" s="336">
        <f t="shared" si="1"/>
        <v>0</v>
      </c>
      <c r="F134" s="336"/>
      <c r="G134" s="873"/>
      <c r="H134" s="873"/>
      <c r="I134" s="873"/>
      <c r="J134" s="873"/>
    </row>
    <row r="135" spans="1:10" ht="26.4">
      <c r="A135" s="332" t="s">
        <v>5839</v>
      </c>
      <c r="B135" s="328" t="s">
        <v>484</v>
      </c>
      <c r="C135" s="328" t="s">
        <v>392</v>
      </c>
      <c r="D135" s="328" t="s">
        <v>1096</v>
      </c>
      <c r="E135" s="328">
        <f t="shared" si="1"/>
        <v>0</v>
      </c>
      <c r="F135" s="328"/>
      <c r="G135" s="873"/>
      <c r="H135" s="873"/>
      <c r="I135" s="873"/>
      <c r="J135" s="873"/>
    </row>
    <row r="136" spans="1:10" ht="26.4">
      <c r="A136" s="339" t="s">
        <v>5840</v>
      </c>
      <c r="B136" s="328" t="s">
        <v>484</v>
      </c>
      <c r="C136" s="336" t="s">
        <v>392</v>
      </c>
      <c r="D136" s="336" t="s">
        <v>1096</v>
      </c>
      <c r="E136" s="336">
        <f t="shared" si="1"/>
        <v>0</v>
      </c>
      <c r="F136" s="336"/>
      <c r="G136" s="873"/>
      <c r="H136" s="873"/>
      <c r="I136" s="873"/>
      <c r="J136" s="873"/>
    </row>
    <row r="137" spans="1:10" ht="15.6">
      <c r="A137" s="880" t="s">
        <v>5858</v>
      </c>
      <c r="B137" s="713"/>
      <c r="C137" s="871">
        <f>IFERROR(SUM(E131:E136)/COUNTIF(C131:C136,"Yes"),"")</f>
        <v>0</v>
      </c>
      <c r="D137" s="872"/>
      <c r="E137" s="866" t="s">
        <v>5859</v>
      </c>
      <c r="F137" s="866"/>
      <c r="G137" s="866"/>
      <c r="H137" s="866"/>
      <c r="I137" s="866"/>
      <c r="J137" s="866"/>
    </row>
    <row r="138" spans="1:10">
      <c r="A138" s="196"/>
      <c r="B138" s="196"/>
      <c r="C138" s="196"/>
      <c r="D138" s="196"/>
      <c r="E138" s="196"/>
      <c r="F138" s="196"/>
      <c r="G138" s="196"/>
      <c r="H138" s="196"/>
      <c r="I138" s="196"/>
      <c r="J138" s="196"/>
    </row>
    <row r="139" spans="1:10">
      <c r="A139" s="842" t="s">
        <v>5880</v>
      </c>
      <c r="B139" s="853"/>
      <c r="C139" s="853"/>
      <c r="D139" s="321"/>
      <c r="E139" s="321"/>
      <c r="F139" s="321"/>
      <c r="G139" s="321"/>
      <c r="H139" s="321"/>
      <c r="I139" s="321"/>
      <c r="J139" s="321"/>
    </row>
    <row r="140" spans="1:10" ht="55.2">
      <c r="A140" s="322" t="s">
        <v>905</v>
      </c>
      <c r="B140" s="322" t="s">
        <v>830</v>
      </c>
      <c r="C140" s="322"/>
      <c r="D140" s="322"/>
      <c r="E140" s="322"/>
      <c r="F140" s="322"/>
      <c r="G140" s="322"/>
      <c r="H140" s="322"/>
      <c r="I140" s="322"/>
      <c r="J140" s="322"/>
    </row>
    <row r="141" spans="1:10">
      <c r="A141" s="319" t="s">
        <v>1086</v>
      </c>
      <c r="B141" s="852" t="s">
        <v>3292</v>
      </c>
      <c r="C141" s="853"/>
      <c r="D141" s="853"/>
      <c r="E141" s="853"/>
      <c r="F141" s="853"/>
      <c r="G141" s="853"/>
      <c r="H141" s="853"/>
      <c r="I141" s="853"/>
      <c r="J141" s="853"/>
    </row>
    <row r="142" spans="1:10" ht="27.6">
      <c r="A142" s="319" t="s">
        <v>2090</v>
      </c>
      <c r="B142" s="852" t="s">
        <v>3293</v>
      </c>
      <c r="C142" s="853"/>
      <c r="D142" s="853"/>
      <c r="E142" s="853"/>
      <c r="F142" s="853"/>
      <c r="G142" s="853"/>
      <c r="H142" s="853"/>
      <c r="I142" s="853"/>
      <c r="J142" s="853"/>
    </row>
    <row r="143" spans="1:10">
      <c r="A143" s="319" t="s">
        <v>1089</v>
      </c>
      <c r="B143" s="852" t="s">
        <v>3294</v>
      </c>
      <c r="C143" s="853"/>
      <c r="D143" s="853"/>
      <c r="E143" s="853"/>
      <c r="F143" s="853"/>
      <c r="G143" s="853"/>
      <c r="H143" s="853"/>
      <c r="I143" s="853"/>
      <c r="J143" s="853"/>
    </row>
    <row r="144" spans="1:10">
      <c r="A144" s="319" t="s">
        <v>1090</v>
      </c>
      <c r="B144" s="852" t="s">
        <v>3295</v>
      </c>
      <c r="C144" s="853"/>
      <c r="D144" s="853"/>
      <c r="E144" s="853"/>
      <c r="F144" s="853"/>
      <c r="G144" s="853"/>
      <c r="H144" s="853"/>
      <c r="I144" s="853"/>
      <c r="J144" s="853"/>
    </row>
    <row r="145" spans="1:10">
      <c r="A145" s="319" t="s">
        <v>1088</v>
      </c>
      <c r="B145" s="852" t="s">
        <v>3296</v>
      </c>
      <c r="C145" s="853"/>
      <c r="D145" s="853"/>
      <c r="E145" s="853"/>
      <c r="F145" s="853"/>
      <c r="G145" s="853"/>
      <c r="H145" s="853"/>
      <c r="I145" s="853"/>
      <c r="J145" s="853"/>
    </row>
    <row r="146" spans="1:10" ht="27.6">
      <c r="A146" s="319" t="s">
        <v>3297</v>
      </c>
      <c r="B146" s="852" t="s">
        <v>3298</v>
      </c>
      <c r="C146" s="853"/>
      <c r="D146" s="853"/>
      <c r="E146" s="853"/>
      <c r="F146" s="853"/>
      <c r="G146" s="853"/>
      <c r="H146" s="853"/>
      <c r="I146" s="853"/>
      <c r="J146" s="853"/>
    </row>
    <row r="147" spans="1:10">
      <c r="A147" s="319" t="s">
        <v>1563</v>
      </c>
      <c r="B147" s="852" t="s">
        <v>1776</v>
      </c>
      <c r="C147" s="853"/>
      <c r="D147" s="853"/>
      <c r="E147" s="853"/>
      <c r="F147" s="853"/>
      <c r="G147" s="853"/>
      <c r="H147" s="853"/>
      <c r="I147" s="853"/>
      <c r="J147" s="853"/>
    </row>
    <row r="148" spans="1:10">
      <c r="A148" s="231"/>
      <c r="B148" s="231"/>
      <c r="C148" s="231"/>
      <c r="D148" s="231"/>
      <c r="E148" s="231"/>
      <c r="F148" s="231"/>
      <c r="G148" s="231"/>
      <c r="H148" s="231"/>
      <c r="I148" s="231"/>
      <c r="J148" s="231"/>
    </row>
    <row r="149" spans="1:10" ht="17.399999999999999">
      <c r="A149" s="827" t="s">
        <v>5769</v>
      </c>
      <c r="B149" s="827"/>
      <c r="C149" s="827"/>
      <c r="D149" s="827"/>
      <c r="E149" s="827"/>
      <c r="F149" s="827"/>
      <c r="G149" s="827"/>
      <c r="H149" s="827"/>
      <c r="I149" s="231"/>
      <c r="J149" s="231"/>
    </row>
    <row r="150" spans="1:10">
      <c r="A150" s="276" t="s">
        <v>2</v>
      </c>
      <c r="B150" s="828" t="s">
        <v>5770</v>
      </c>
      <c r="C150" s="828"/>
      <c r="D150" s="828"/>
      <c r="E150" s="828"/>
      <c r="F150" s="828"/>
      <c r="G150" s="828"/>
      <c r="H150" s="828"/>
      <c r="I150" s="231"/>
      <c r="J150" s="231"/>
    </row>
    <row r="151" spans="1:10">
      <c r="A151" s="276" t="s">
        <v>5771</v>
      </c>
      <c r="B151" s="828" t="s">
        <v>5772</v>
      </c>
      <c r="C151" s="828"/>
      <c r="D151" s="828"/>
      <c r="E151" s="828"/>
      <c r="F151" s="828"/>
      <c r="G151" s="828"/>
      <c r="H151" s="828"/>
      <c r="I151" s="231"/>
      <c r="J151" s="231"/>
    </row>
    <row r="152" spans="1:10">
      <c r="A152" s="196"/>
      <c r="B152" s="196"/>
      <c r="C152" s="196"/>
      <c r="D152" s="196"/>
      <c r="E152" s="196"/>
      <c r="F152" s="196"/>
      <c r="G152" s="196"/>
      <c r="H152" s="196"/>
      <c r="I152" s="231"/>
      <c r="J152" s="231"/>
    </row>
    <row r="153" spans="1:10">
      <c r="A153" s="323" t="s">
        <v>4946</v>
      </c>
      <c r="B153" s="323" t="s">
        <v>77</v>
      </c>
      <c r="C153" s="323" t="s">
        <v>5773</v>
      </c>
      <c r="D153" s="323" t="s">
        <v>263</v>
      </c>
      <c r="E153" s="323" t="s">
        <v>216</v>
      </c>
      <c r="F153" s="323" t="s">
        <v>5774</v>
      </c>
      <c r="G153" s="323" t="s">
        <v>5775</v>
      </c>
      <c r="H153" s="323" t="s">
        <v>5776</v>
      </c>
      <c r="I153" s="231"/>
      <c r="J153" s="231"/>
    </row>
    <row r="154" spans="1:10" ht="26.4">
      <c r="A154" s="277" t="s">
        <v>5777</v>
      </c>
      <c r="B154" s="278" t="s">
        <v>1096</v>
      </c>
      <c r="C154" s="277"/>
      <c r="D154" s="277"/>
      <c r="E154" s="277"/>
      <c r="F154" s="277"/>
      <c r="G154" s="279" t="str">
        <f t="shared" ref="G154:G161" si="2">IF(OR(B154="Yes",B154="N/A"),"🟢","🟡")</f>
        <v>🟡</v>
      </c>
      <c r="H154" s="277"/>
      <c r="I154" s="231"/>
      <c r="J154" s="231"/>
    </row>
    <row r="155" spans="1:10">
      <c r="A155" s="277" t="s">
        <v>5778</v>
      </c>
      <c r="B155" s="278" t="s">
        <v>1096</v>
      </c>
      <c r="C155" s="277"/>
      <c r="D155" s="277"/>
      <c r="E155" s="277"/>
      <c r="F155" s="277"/>
      <c r="G155" s="279" t="str">
        <f t="shared" si="2"/>
        <v>🟡</v>
      </c>
      <c r="H155" s="277"/>
      <c r="I155" s="231"/>
      <c r="J155" s="231"/>
    </row>
    <row r="156" spans="1:10">
      <c r="A156" s="277" t="s">
        <v>5779</v>
      </c>
      <c r="B156" s="278" t="s">
        <v>1096</v>
      </c>
      <c r="C156" s="277"/>
      <c r="D156" s="277"/>
      <c r="E156" s="277"/>
      <c r="F156" s="277"/>
      <c r="G156" s="279" t="str">
        <f t="shared" si="2"/>
        <v>🟡</v>
      </c>
      <c r="H156" s="277"/>
      <c r="I156" s="231"/>
      <c r="J156" s="231"/>
    </row>
    <row r="157" spans="1:10">
      <c r="A157" s="277" t="s">
        <v>5168</v>
      </c>
      <c r="B157" s="278" t="s">
        <v>1096</v>
      </c>
      <c r="C157" s="277"/>
      <c r="D157" s="277"/>
      <c r="E157" s="277"/>
      <c r="F157" s="277"/>
      <c r="G157" s="279" t="str">
        <f t="shared" si="2"/>
        <v>🟡</v>
      </c>
      <c r="H157" s="277"/>
      <c r="I157" s="231"/>
      <c r="J157" s="231"/>
    </row>
    <row r="158" spans="1:10">
      <c r="A158" s="277" t="s">
        <v>5780</v>
      </c>
      <c r="B158" s="278" t="s">
        <v>1096</v>
      </c>
      <c r="C158" s="277"/>
      <c r="D158" s="277"/>
      <c r="E158" s="277"/>
      <c r="F158" s="277"/>
      <c r="G158" s="279" t="str">
        <f t="shared" si="2"/>
        <v>🟡</v>
      </c>
      <c r="H158" s="277"/>
      <c r="I158" s="231"/>
      <c r="J158" s="231"/>
    </row>
    <row r="159" spans="1:10">
      <c r="A159" s="277" t="s">
        <v>5781</v>
      </c>
      <c r="B159" s="278" t="s">
        <v>1096</v>
      </c>
      <c r="C159" s="277"/>
      <c r="D159" s="277"/>
      <c r="E159" s="277"/>
      <c r="F159" s="277"/>
      <c r="G159" s="279" t="str">
        <f t="shared" si="2"/>
        <v>🟡</v>
      </c>
      <c r="H159" s="277"/>
      <c r="I159" s="231"/>
      <c r="J159" s="231"/>
    </row>
    <row r="160" spans="1:10">
      <c r="A160" s="277" t="s">
        <v>178</v>
      </c>
      <c r="B160" s="278" t="s">
        <v>1096</v>
      </c>
      <c r="C160" s="277"/>
      <c r="D160" s="277"/>
      <c r="E160" s="277"/>
      <c r="F160" s="277"/>
      <c r="G160" s="279" t="str">
        <f t="shared" si="2"/>
        <v>🟡</v>
      </c>
      <c r="H160" s="277"/>
      <c r="I160" s="231"/>
      <c r="J160" s="231"/>
    </row>
    <row r="161" spans="1:10" ht="26.4">
      <c r="A161" s="277" t="s">
        <v>5782</v>
      </c>
      <c r="B161" s="278" t="s">
        <v>1096</v>
      </c>
      <c r="C161" s="277"/>
      <c r="D161" s="277"/>
      <c r="E161" s="277"/>
      <c r="F161" s="277"/>
      <c r="G161" s="279" t="str">
        <f t="shared" si="2"/>
        <v>🟡</v>
      </c>
      <c r="H161" s="277"/>
      <c r="I161" s="231"/>
      <c r="J161" s="231"/>
    </row>
    <row r="162" spans="1:10">
      <c r="A162" s="324" t="s">
        <v>4946</v>
      </c>
      <c r="B162" s="324" t="s">
        <v>5790</v>
      </c>
      <c r="C162" s="196"/>
      <c r="D162" s="196"/>
      <c r="E162" s="324" t="s">
        <v>5791</v>
      </c>
      <c r="F162" s="196"/>
      <c r="G162" s="196"/>
      <c r="H162" s="196"/>
      <c r="I162" s="231"/>
      <c r="J162" s="231"/>
    </row>
    <row r="163" spans="1:10" ht="26.4">
      <c r="A163" s="291" t="s">
        <v>5777</v>
      </c>
      <c r="B163" s="768" t="s">
        <v>5792</v>
      </c>
      <c r="C163" s="768"/>
      <c r="D163" s="768"/>
      <c r="E163" s="768" t="s">
        <v>5793</v>
      </c>
      <c r="F163" s="768"/>
      <c r="G163" s="768"/>
      <c r="H163" s="196"/>
      <c r="I163" s="231"/>
      <c r="J163" s="231"/>
    </row>
    <row r="164" spans="1:10">
      <c r="A164" s="291" t="s">
        <v>5778</v>
      </c>
      <c r="B164" s="768" t="s">
        <v>5794</v>
      </c>
      <c r="C164" s="768"/>
      <c r="D164" s="768"/>
      <c r="E164" s="768" t="s">
        <v>5795</v>
      </c>
      <c r="F164" s="768"/>
      <c r="G164" s="768"/>
      <c r="H164" s="196"/>
      <c r="I164" s="231"/>
      <c r="J164" s="231"/>
    </row>
    <row r="165" spans="1:10">
      <c r="A165" s="291" t="s">
        <v>5779</v>
      </c>
      <c r="B165" s="768" t="s">
        <v>5796</v>
      </c>
      <c r="C165" s="768"/>
      <c r="D165" s="768"/>
      <c r="E165" s="768" t="s">
        <v>5797</v>
      </c>
      <c r="F165" s="768"/>
      <c r="G165" s="768"/>
      <c r="H165" s="196"/>
      <c r="I165" s="231"/>
      <c r="J165" s="231"/>
    </row>
    <row r="166" spans="1:10">
      <c r="A166" s="291" t="s">
        <v>5168</v>
      </c>
      <c r="B166" s="768" t="s">
        <v>5798</v>
      </c>
      <c r="C166" s="768"/>
      <c r="D166" s="768"/>
      <c r="E166" s="768" t="s">
        <v>5799</v>
      </c>
      <c r="F166" s="768"/>
      <c r="G166" s="768"/>
      <c r="H166" s="196"/>
      <c r="I166" s="231"/>
      <c r="J166" s="231"/>
    </row>
    <row r="167" spans="1:10">
      <c r="A167" s="291" t="s">
        <v>5780</v>
      </c>
      <c r="B167" s="768" t="s">
        <v>5800</v>
      </c>
      <c r="C167" s="768"/>
      <c r="D167" s="768"/>
      <c r="E167" s="768" t="s">
        <v>5801</v>
      </c>
      <c r="F167" s="768"/>
      <c r="G167" s="768"/>
      <c r="H167" s="196"/>
      <c r="I167" s="231"/>
      <c r="J167" s="231"/>
    </row>
    <row r="168" spans="1:10">
      <c r="A168" s="291" t="s">
        <v>5781</v>
      </c>
      <c r="B168" s="768" t="s">
        <v>5802</v>
      </c>
      <c r="C168" s="768"/>
      <c r="D168" s="768"/>
      <c r="E168" s="768" t="s">
        <v>5803</v>
      </c>
      <c r="F168" s="768"/>
      <c r="G168" s="768"/>
      <c r="H168" s="196"/>
      <c r="I168" s="231"/>
      <c r="J168" s="231"/>
    </row>
    <row r="169" spans="1:10">
      <c r="A169" s="291" t="s">
        <v>178</v>
      </c>
      <c r="B169" s="768" t="s">
        <v>5804</v>
      </c>
      <c r="C169" s="768"/>
      <c r="D169" s="768"/>
      <c r="E169" s="768" t="s">
        <v>5805</v>
      </c>
      <c r="F169" s="768"/>
      <c r="G169" s="768"/>
      <c r="H169" s="196"/>
      <c r="I169" s="231"/>
      <c r="J169" s="231"/>
    </row>
    <row r="170" spans="1:10" ht="26.4">
      <c r="A170" s="291" t="s">
        <v>5782</v>
      </c>
      <c r="B170" s="768" t="s">
        <v>5806</v>
      </c>
      <c r="C170" s="768"/>
      <c r="D170" s="768"/>
      <c r="E170" s="768" t="s">
        <v>5807</v>
      </c>
      <c r="F170" s="768"/>
      <c r="G170" s="768"/>
      <c r="H170" s="196"/>
      <c r="I170" s="231"/>
      <c r="J170" s="231"/>
    </row>
    <row r="171" spans="1:10">
      <c r="A171" s="276" t="s">
        <v>5783</v>
      </c>
      <c r="B171" s="280" t="str">
        <f>IF(COUNTIF(B154:B161,"No")=0,"🟢 PILOT COMPLETE / ACCEPTANCE READY","🟡 NOT COMPLETE — ACCEPTANCE GATES OPEN")</f>
        <v>🟡 NOT COMPLETE — ACCEPTANCE GATES OPEN</v>
      </c>
      <c r="C171" s="280"/>
      <c r="D171" s="280"/>
      <c r="E171" s="280"/>
      <c r="F171" s="280"/>
      <c r="G171" s="280"/>
      <c r="H171" s="280"/>
    </row>
    <row r="172" spans="1:10">
      <c r="A172" s="276" t="s">
        <v>5784</v>
      </c>
      <c r="B172" s="280">
        <f>COUNTIF(B154:B161,"No")</f>
        <v>8</v>
      </c>
      <c r="C172" s="280"/>
      <c r="D172" s="280"/>
      <c r="E172" s="280"/>
      <c r="F172" s="280"/>
      <c r="G172" s="280"/>
      <c r="H172" s="280"/>
    </row>
    <row r="173" spans="1:10">
      <c r="A173" s="276" t="s">
        <v>5785</v>
      </c>
      <c r="B173" s="280" t="str">
        <f>COUNTIF(B154:B161,"Yes")&amp;" / 8 Complete"</f>
        <v>0 / 8 Complete</v>
      </c>
      <c r="C173" s="280"/>
      <c r="D173" s="280"/>
      <c r="E173" s="280"/>
      <c r="F173" s="280"/>
      <c r="G173" s="280"/>
      <c r="H173" s="280"/>
    </row>
    <row r="174" spans="1:10" ht="93">
      <c r="A174" s="281" t="s">
        <v>5786</v>
      </c>
      <c r="B174" s="282" t="s">
        <v>5787</v>
      </c>
      <c r="C174" s="282"/>
      <c r="D174" s="282"/>
      <c r="E174" s="282"/>
      <c r="F174" s="282"/>
      <c r="G174" s="282"/>
      <c r="H174" s="282"/>
    </row>
    <row r="175" spans="1:10">
      <c r="A175" s="281"/>
      <c r="B175" s="282"/>
      <c r="C175" s="282"/>
      <c r="D175" s="282"/>
      <c r="E175" s="282"/>
      <c r="F175" s="282"/>
      <c r="G175" s="282"/>
      <c r="H175" s="282"/>
    </row>
    <row r="176" spans="1:10" ht="66.599999999999994">
      <c r="A176" s="281" t="s">
        <v>5788</v>
      </c>
      <c r="B176" s="282" t="s">
        <v>5789</v>
      </c>
      <c r="C176" s="282"/>
      <c r="D176" s="282"/>
      <c r="E176" s="282"/>
      <c r="F176" s="282"/>
      <c r="G176" s="282"/>
      <c r="H176" s="282"/>
    </row>
    <row r="177" spans="1:10">
      <c r="A177" s="842" t="s">
        <v>5901</v>
      </c>
      <c r="B177" s="842"/>
      <c r="C177" s="842"/>
      <c r="D177" s="842"/>
      <c r="E177" s="842"/>
      <c r="F177" s="842"/>
      <c r="G177" s="842"/>
      <c r="H177" s="842"/>
      <c r="I177" s="842"/>
      <c r="J177" s="842"/>
    </row>
    <row r="178" spans="1:10">
      <c r="A178" s="340" t="s">
        <v>5886</v>
      </c>
      <c r="B178" s="196"/>
      <c r="C178" s="196"/>
      <c r="D178" s="196"/>
      <c r="E178" s="196"/>
      <c r="F178" s="196"/>
      <c r="G178" s="196"/>
      <c r="H178" s="196"/>
      <c r="I178" s="196"/>
      <c r="J178" s="196"/>
    </row>
    <row r="179" spans="1:10">
      <c r="A179" s="196"/>
      <c r="B179" s="196"/>
      <c r="C179" s="196"/>
      <c r="D179" s="196"/>
      <c r="E179" s="196"/>
      <c r="F179" s="196"/>
      <c r="G179" s="196"/>
      <c r="H179" s="196"/>
      <c r="I179" s="196"/>
      <c r="J179" s="196"/>
    </row>
    <row r="180" spans="1:10">
      <c r="A180" s="196" t="s">
        <v>5887</v>
      </c>
      <c r="B180" s="196"/>
      <c r="C180" s="196"/>
      <c r="D180" s="196"/>
      <c r="E180" s="196"/>
      <c r="F180" s="196"/>
      <c r="G180" s="196"/>
      <c r="H180" s="196"/>
      <c r="I180" s="196"/>
      <c r="J180" s="196"/>
    </row>
    <row r="181" spans="1:10">
      <c r="A181" s="196"/>
      <c r="B181" s="196"/>
      <c r="C181" s="196"/>
      <c r="D181" s="196"/>
      <c r="E181" s="196"/>
      <c r="F181" s="196"/>
      <c r="G181" s="196"/>
      <c r="H181" s="196"/>
      <c r="I181" s="196"/>
      <c r="J181" s="196"/>
    </row>
    <row r="182" spans="1:10">
      <c r="A182" s="196" t="s">
        <v>5888</v>
      </c>
      <c r="B182" s="196"/>
      <c r="C182" s="196"/>
      <c r="D182" s="196"/>
      <c r="E182" s="196"/>
      <c r="F182" s="196"/>
      <c r="G182" s="196"/>
      <c r="H182" s="196"/>
      <c r="I182" s="196"/>
      <c r="J182" s="196"/>
    </row>
    <row r="183" spans="1:10">
      <c r="A183" s="196"/>
      <c r="B183" s="196"/>
      <c r="C183" s="196"/>
      <c r="D183" s="196"/>
      <c r="E183" s="196"/>
      <c r="F183" s="196"/>
      <c r="G183" s="196"/>
      <c r="H183" s="196"/>
      <c r="I183" s="196"/>
      <c r="J183" s="196"/>
    </row>
    <row r="184" spans="1:10">
      <c r="A184" s="196" t="s">
        <v>5889</v>
      </c>
      <c r="B184" s="196"/>
      <c r="C184" s="196"/>
      <c r="D184" s="196"/>
      <c r="E184" s="196"/>
      <c r="F184" s="196"/>
      <c r="G184" s="196"/>
      <c r="H184" s="196"/>
      <c r="I184" s="196"/>
      <c r="J184" s="196"/>
    </row>
    <row r="185" spans="1:10">
      <c r="A185" s="196"/>
      <c r="B185" s="196"/>
      <c r="C185" s="196"/>
      <c r="D185" s="196"/>
      <c r="E185" s="196"/>
      <c r="F185" s="196"/>
      <c r="G185" s="196"/>
      <c r="H185" s="196"/>
      <c r="I185" s="196"/>
      <c r="J185" s="196"/>
    </row>
    <row r="186" spans="1:10">
      <c r="A186" s="196"/>
      <c r="B186" s="196"/>
      <c r="C186" s="196"/>
      <c r="D186" s="196"/>
      <c r="E186" s="196"/>
      <c r="F186" s="196"/>
      <c r="G186" s="196"/>
      <c r="H186" s="196"/>
      <c r="I186" s="196"/>
      <c r="J186" s="196"/>
    </row>
    <row r="187" spans="1:10">
      <c r="A187" s="196"/>
      <c r="B187" s="196"/>
      <c r="C187" s="196"/>
      <c r="D187" s="196"/>
      <c r="E187" s="196"/>
      <c r="F187" s="196"/>
      <c r="G187" s="196"/>
      <c r="H187" s="196"/>
      <c r="I187" s="196"/>
      <c r="J187" s="196"/>
    </row>
    <row r="188" spans="1:10">
      <c r="A188" s="842" t="s">
        <v>5902</v>
      </c>
      <c r="B188" s="842"/>
      <c r="C188" s="842"/>
      <c r="D188" s="842"/>
      <c r="E188" s="842"/>
      <c r="F188" s="842"/>
      <c r="G188" s="842"/>
      <c r="H188" s="842"/>
      <c r="I188" s="842"/>
      <c r="J188" s="842"/>
    </row>
    <row r="189" spans="1:10">
      <c r="A189" s="196"/>
      <c r="B189" s="196"/>
      <c r="C189" s="196"/>
      <c r="D189" s="196"/>
      <c r="E189" s="196"/>
      <c r="F189" s="196"/>
      <c r="G189" s="196"/>
      <c r="H189" s="196"/>
      <c r="I189" s="196"/>
      <c r="J189" s="196"/>
    </row>
    <row r="190" spans="1:10">
      <c r="A190" s="196" t="s">
        <v>5890</v>
      </c>
      <c r="B190" s="196"/>
      <c r="C190" s="196"/>
      <c r="D190" s="196"/>
      <c r="E190" s="196"/>
      <c r="F190" s="196"/>
      <c r="G190" s="196"/>
      <c r="H190" s="196"/>
      <c r="I190" s="196"/>
      <c r="J190" s="196"/>
    </row>
    <row r="191" spans="1:10">
      <c r="A191" s="196"/>
      <c r="B191" s="196"/>
      <c r="C191" s="196"/>
      <c r="D191" s="196"/>
      <c r="E191" s="196"/>
      <c r="F191" s="196"/>
      <c r="G191" s="196"/>
      <c r="H191" s="196"/>
      <c r="I191" s="196"/>
      <c r="J191" s="196"/>
    </row>
    <row r="192" spans="1:10">
      <c r="A192" s="196" t="s">
        <v>5891</v>
      </c>
      <c r="B192" s="196"/>
      <c r="C192" s="196"/>
      <c r="D192" s="196"/>
      <c r="E192" s="196"/>
      <c r="F192" s="196"/>
      <c r="G192" s="196"/>
      <c r="H192" s="196"/>
      <c r="I192" s="196"/>
      <c r="J192" s="196"/>
    </row>
    <row r="193" spans="1:10">
      <c r="A193" s="196"/>
      <c r="B193" s="196"/>
      <c r="C193" s="196"/>
      <c r="D193" s="196"/>
      <c r="E193" s="196"/>
      <c r="F193" s="196"/>
      <c r="G193" s="196"/>
      <c r="H193" s="196"/>
      <c r="I193" s="196"/>
      <c r="J193" s="196"/>
    </row>
    <row r="194" spans="1:10">
      <c r="A194" s="196" t="s">
        <v>5892</v>
      </c>
      <c r="B194" s="196"/>
      <c r="C194" s="196"/>
      <c r="D194" s="196"/>
      <c r="E194" s="196"/>
      <c r="F194" s="196"/>
      <c r="G194" s="196"/>
      <c r="H194" s="196"/>
      <c r="I194" s="196"/>
      <c r="J194" s="196"/>
    </row>
    <row r="195" spans="1:10">
      <c r="A195" s="196"/>
      <c r="B195" s="196"/>
      <c r="C195" s="196"/>
      <c r="D195" s="196"/>
      <c r="E195" s="196"/>
      <c r="F195" s="196"/>
      <c r="G195" s="196"/>
      <c r="H195" s="196"/>
      <c r="I195" s="196"/>
      <c r="J195" s="196"/>
    </row>
    <row r="196" spans="1:10">
      <c r="A196" s="196"/>
      <c r="B196" s="196"/>
      <c r="C196" s="196"/>
      <c r="D196" s="196"/>
      <c r="E196" s="196"/>
      <c r="F196" s="196"/>
      <c r="G196" s="196"/>
      <c r="H196" s="196"/>
      <c r="I196" s="196"/>
      <c r="J196" s="196"/>
    </row>
    <row r="197" spans="1:10">
      <c r="A197" s="196"/>
      <c r="B197" s="196"/>
      <c r="C197" s="196"/>
      <c r="D197" s="196"/>
      <c r="E197" s="196"/>
      <c r="F197" s="196"/>
      <c r="G197" s="196"/>
      <c r="H197" s="196"/>
      <c r="I197" s="196"/>
      <c r="J197" s="196"/>
    </row>
    <row r="198" spans="1:10">
      <c r="A198" s="842" t="s">
        <v>5903</v>
      </c>
      <c r="B198" s="842"/>
      <c r="C198" s="842"/>
      <c r="D198" s="842"/>
      <c r="E198" s="842"/>
      <c r="F198" s="842"/>
      <c r="G198" s="842"/>
      <c r="H198" s="842"/>
      <c r="I198" s="842"/>
      <c r="J198" s="842"/>
    </row>
    <row r="199" spans="1:10">
      <c r="A199" s="196"/>
      <c r="B199" s="196"/>
      <c r="C199" s="196"/>
      <c r="D199" s="196"/>
      <c r="E199" s="196"/>
      <c r="F199" s="196"/>
      <c r="G199" s="196"/>
      <c r="H199" s="196"/>
      <c r="I199" s="196"/>
      <c r="J199" s="196"/>
    </row>
    <row r="200" spans="1:10">
      <c r="A200" s="196" t="s">
        <v>5893</v>
      </c>
      <c r="B200" s="196"/>
      <c r="C200" s="196"/>
      <c r="D200" s="196"/>
      <c r="E200" s="196"/>
      <c r="F200" s="196"/>
      <c r="G200" s="196"/>
      <c r="H200" s="196"/>
      <c r="I200" s="196"/>
      <c r="J200" s="196"/>
    </row>
    <row r="201" spans="1:10">
      <c r="A201" s="196"/>
      <c r="B201" s="196"/>
      <c r="C201" s="196"/>
      <c r="D201" s="196"/>
      <c r="E201" s="196"/>
      <c r="F201" s="196"/>
      <c r="G201" s="196"/>
      <c r="H201" s="196"/>
      <c r="I201" s="196"/>
      <c r="J201" s="196"/>
    </row>
    <row r="202" spans="1:10">
      <c r="A202" s="196" t="s">
        <v>5894</v>
      </c>
      <c r="B202" s="196"/>
      <c r="C202" s="196"/>
      <c r="D202" s="196"/>
      <c r="E202" s="196"/>
      <c r="F202" s="196"/>
      <c r="G202" s="196"/>
      <c r="H202" s="196"/>
      <c r="I202" s="196"/>
      <c r="J202" s="196"/>
    </row>
    <row r="203" spans="1:10">
      <c r="A203" s="196"/>
      <c r="B203" s="196"/>
      <c r="C203" s="196"/>
      <c r="D203" s="196"/>
      <c r="E203" s="196"/>
      <c r="F203" s="196"/>
      <c r="G203" s="196"/>
      <c r="H203" s="196"/>
      <c r="I203" s="196"/>
      <c r="J203" s="196"/>
    </row>
    <row r="204" spans="1:10">
      <c r="A204" s="196" t="s">
        <v>5895</v>
      </c>
      <c r="B204" s="196"/>
      <c r="C204" s="196"/>
      <c r="D204" s="196"/>
      <c r="E204" s="196"/>
      <c r="F204" s="196"/>
      <c r="G204" s="196"/>
      <c r="H204" s="196"/>
      <c r="I204" s="196"/>
      <c r="J204" s="196"/>
    </row>
    <row r="205" spans="1:10">
      <c r="A205" s="196"/>
      <c r="B205" s="196"/>
      <c r="C205" s="196"/>
      <c r="D205" s="196"/>
      <c r="E205" s="196"/>
      <c r="F205" s="196"/>
      <c r="G205" s="196"/>
      <c r="H205" s="196"/>
      <c r="I205" s="196"/>
      <c r="J205" s="196"/>
    </row>
    <row r="206" spans="1:10">
      <c r="A206" s="196" t="s">
        <v>5896</v>
      </c>
      <c r="B206" s="196"/>
      <c r="C206" s="196"/>
      <c r="D206" s="196"/>
      <c r="E206" s="196"/>
      <c r="F206" s="196"/>
      <c r="G206" s="196"/>
      <c r="H206" s="196"/>
      <c r="I206" s="196"/>
      <c r="J206" s="196"/>
    </row>
    <row r="207" spans="1:10">
      <c r="A207" s="196"/>
      <c r="B207" s="196"/>
      <c r="C207" s="196"/>
      <c r="D207" s="196"/>
      <c r="E207" s="196"/>
      <c r="F207" s="196"/>
      <c r="G207" s="196"/>
      <c r="H207" s="196"/>
      <c r="I207" s="196"/>
      <c r="J207" s="196"/>
    </row>
    <row r="208" spans="1:10">
      <c r="A208" s="196"/>
      <c r="B208" s="196"/>
      <c r="C208" s="196"/>
      <c r="D208" s="196"/>
      <c r="E208" s="196"/>
      <c r="F208" s="196"/>
      <c r="G208" s="196"/>
      <c r="H208" s="196"/>
      <c r="I208" s="196"/>
      <c r="J208" s="196"/>
    </row>
    <row r="209" spans="1:10">
      <c r="A209" s="196"/>
      <c r="B209" s="196"/>
      <c r="C209" s="196"/>
      <c r="D209" s="196"/>
      <c r="E209" s="196"/>
      <c r="F209" s="196"/>
      <c r="G209" s="196"/>
      <c r="H209" s="196"/>
      <c r="I209" s="196"/>
      <c r="J209" s="196"/>
    </row>
    <row r="210" spans="1:10">
      <c r="A210" s="842" t="s">
        <v>5904</v>
      </c>
      <c r="B210" s="842"/>
      <c r="C210" s="842"/>
      <c r="D210" s="842"/>
      <c r="E210" s="842"/>
      <c r="F210" s="842"/>
      <c r="G210" s="842"/>
      <c r="H210" s="842"/>
      <c r="I210" s="842"/>
      <c r="J210" s="842"/>
    </row>
    <row r="211" spans="1:10">
      <c r="A211" s="196"/>
      <c r="B211" s="196"/>
      <c r="C211" s="196"/>
      <c r="D211" s="196"/>
      <c r="E211" s="196"/>
      <c r="F211" s="196"/>
      <c r="G211" s="196"/>
      <c r="H211" s="196"/>
      <c r="I211" s="196"/>
      <c r="J211" s="196"/>
    </row>
    <row r="212" spans="1:10">
      <c r="A212" s="196" t="s">
        <v>5897</v>
      </c>
      <c r="B212" s="196"/>
      <c r="C212" s="196"/>
      <c r="D212" s="196"/>
      <c r="E212" s="196"/>
      <c r="F212" s="196"/>
      <c r="G212" s="196"/>
      <c r="H212" s="196"/>
      <c r="I212" s="196"/>
      <c r="J212" s="196"/>
    </row>
    <row r="213" spans="1:10">
      <c r="A213" s="196"/>
      <c r="B213" s="196"/>
      <c r="C213" s="196"/>
      <c r="D213" s="196"/>
      <c r="E213" s="196"/>
      <c r="F213" s="196"/>
      <c r="G213" s="196"/>
      <c r="H213" s="196"/>
      <c r="I213" s="196"/>
      <c r="J213" s="196"/>
    </row>
    <row r="214" spans="1:10">
      <c r="A214" s="196" t="s">
        <v>5898</v>
      </c>
      <c r="B214" s="196"/>
      <c r="C214" s="196"/>
      <c r="D214" s="196"/>
      <c r="E214" s="196"/>
      <c r="F214" s="196"/>
      <c r="G214" s="196"/>
      <c r="H214" s="196"/>
      <c r="I214" s="196"/>
      <c r="J214" s="196"/>
    </row>
    <row r="215" spans="1:10">
      <c r="A215" s="196"/>
      <c r="B215" s="196"/>
      <c r="C215" s="196"/>
      <c r="D215" s="196"/>
      <c r="E215" s="196"/>
      <c r="F215" s="196"/>
      <c r="G215" s="196"/>
      <c r="H215" s="196"/>
      <c r="I215" s="196"/>
      <c r="J215" s="196"/>
    </row>
    <row r="216" spans="1:10">
      <c r="A216" s="196" t="s">
        <v>5899</v>
      </c>
      <c r="B216" s="196"/>
      <c r="C216" s="196"/>
      <c r="D216" s="196"/>
      <c r="E216" s="196"/>
      <c r="F216" s="196"/>
      <c r="G216" s="196"/>
      <c r="H216" s="196"/>
      <c r="I216" s="196"/>
      <c r="J216" s="196"/>
    </row>
    <row r="217" spans="1:10">
      <c r="A217" s="196"/>
      <c r="B217" s="196"/>
      <c r="C217" s="196"/>
      <c r="D217" s="196"/>
      <c r="E217" s="196"/>
      <c r="F217" s="196"/>
      <c r="G217" s="196"/>
      <c r="H217" s="196"/>
      <c r="I217" s="196"/>
      <c r="J217" s="196"/>
    </row>
    <row r="218" spans="1:10">
      <c r="A218" s="196"/>
      <c r="B218" s="196"/>
      <c r="C218" s="196"/>
      <c r="D218" s="196"/>
      <c r="E218" s="196"/>
      <c r="F218" s="196"/>
      <c r="G218" s="196"/>
      <c r="H218" s="196"/>
      <c r="I218" s="196"/>
      <c r="J218" s="196"/>
    </row>
    <row r="219" spans="1:10">
      <c r="A219" s="196"/>
      <c r="B219" s="196"/>
      <c r="C219" s="196"/>
      <c r="D219" s="196"/>
      <c r="E219" s="196"/>
      <c r="F219" s="196"/>
      <c r="G219" s="196"/>
      <c r="H219" s="196"/>
      <c r="I219" s="196"/>
      <c r="J219" s="196"/>
    </row>
    <row r="220" spans="1:10">
      <c r="A220" s="196" t="s">
        <v>5900</v>
      </c>
      <c r="B220" s="196"/>
      <c r="C220" s="196"/>
      <c r="D220" s="196"/>
      <c r="E220" s="196"/>
      <c r="F220" s="196"/>
      <c r="G220" s="196"/>
      <c r="H220" s="196"/>
      <c r="I220" s="196"/>
      <c r="J220" s="196"/>
    </row>
    <row r="221" spans="1:10">
      <c r="A221" s="196"/>
      <c r="B221" s="196"/>
      <c r="C221" s="196"/>
      <c r="D221" s="196"/>
      <c r="E221" s="196"/>
      <c r="F221" s="196"/>
      <c r="G221" s="196"/>
      <c r="H221" s="196"/>
      <c r="I221" s="196"/>
      <c r="J221" s="196"/>
    </row>
    <row r="222" spans="1:10">
      <c r="A222" s="341"/>
      <c r="B222" s="341"/>
      <c r="C222" s="341"/>
      <c r="D222" s="341"/>
      <c r="E222" s="341"/>
      <c r="F222" s="341"/>
      <c r="G222" s="341"/>
      <c r="H222" s="341"/>
      <c r="I222" s="341"/>
      <c r="J222" s="341"/>
    </row>
    <row r="223" spans="1:10">
      <c r="A223" s="341"/>
      <c r="B223" s="341"/>
      <c r="C223" s="341"/>
      <c r="D223" s="341"/>
      <c r="E223" s="341"/>
      <c r="F223" s="341"/>
      <c r="G223" s="341"/>
      <c r="H223" s="341"/>
      <c r="I223" s="341"/>
      <c r="J223" s="341"/>
    </row>
    <row r="224" spans="1:10">
      <c r="A224" s="341"/>
      <c r="B224" s="341"/>
      <c r="C224" s="341"/>
      <c r="D224" s="341"/>
      <c r="E224" s="341"/>
      <c r="F224" s="341"/>
      <c r="G224" s="341"/>
      <c r="H224" s="341"/>
      <c r="I224" s="341"/>
      <c r="J224" s="341"/>
    </row>
    <row r="225" spans="1:10">
      <c r="A225" s="341"/>
      <c r="B225" s="341"/>
      <c r="C225" s="341"/>
      <c r="D225" s="341"/>
      <c r="E225" s="341"/>
      <c r="F225" s="341"/>
      <c r="G225" s="341"/>
      <c r="H225" s="341"/>
      <c r="I225" s="341"/>
      <c r="J225" s="341"/>
    </row>
    <row r="226" spans="1:10">
      <c r="A226" s="341"/>
      <c r="B226" s="341"/>
      <c r="C226" s="341"/>
      <c r="D226" s="341"/>
      <c r="E226" s="341"/>
      <c r="F226" s="341"/>
      <c r="G226" s="341"/>
      <c r="H226" s="341"/>
      <c r="I226" s="341"/>
      <c r="J226" s="341"/>
    </row>
    <row r="227" spans="1:10">
      <c r="A227" s="341"/>
      <c r="B227" s="341"/>
      <c r="C227" s="341"/>
      <c r="D227" s="341"/>
      <c r="E227" s="341"/>
      <c r="F227" s="341"/>
      <c r="G227" s="341"/>
      <c r="H227" s="341"/>
      <c r="I227" s="341"/>
      <c r="J227" s="341"/>
    </row>
    <row r="228" spans="1:10">
      <c r="A228" s="341"/>
      <c r="B228" s="341"/>
      <c r="C228" s="341"/>
      <c r="D228" s="341"/>
      <c r="E228" s="341"/>
      <c r="F228" s="341"/>
      <c r="G228" s="341"/>
      <c r="H228" s="341"/>
      <c r="I228" s="341"/>
      <c r="J228" s="341"/>
    </row>
    <row r="229" spans="1:10">
      <c r="A229" s="341"/>
      <c r="B229" s="341"/>
      <c r="C229" s="341"/>
      <c r="D229" s="341"/>
      <c r="E229" s="341"/>
      <c r="F229" s="341"/>
      <c r="G229" s="341"/>
      <c r="H229" s="341"/>
      <c r="I229" s="341"/>
      <c r="J229" s="341"/>
    </row>
    <row r="230" spans="1:10">
      <c r="A230" s="341"/>
      <c r="B230" s="341"/>
      <c r="C230" s="341"/>
      <c r="D230" s="341"/>
      <c r="E230" s="341"/>
      <c r="F230" s="341"/>
      <c r="G230" s="341"/>
      <c r="H230" s="341"/>
      <c r="I230" s="341"/>
      <c r="J230" s="341"/>
    </row>
    <row r="231" spans="1:10">
      <c r="A231" s="196"/>
      <c r="B231" s="196"/>
      <c r="C231" s="196"/>
      <c r="D231" s="196"/>
      <c r="E231" s="196"/>
      <c r="F231" s="196"/>
      <c r="G231" s="196"/>
      <c r="H231" s="196"/>
      <c r="I231" s="196"/>
      <c r="J231" s="196"/>
    </row>
    <row r="232" spans="1:10">
      <c r="A232" s="320"/>
      <c r="B232" s="320"/>
      <c r="C232" s="320"/>
      <c r="D232" s="320"/>
      <c r="E232" s="320"/>
      <c r="F232" s="320"/>
      <c r="G232" s="874"/>
      <c r="H232" s="874"/>
      <c r="I232" s="874"/>
      <c r="J232" s="874"/>
    </row>
  </sheetData>
  <mergeCells count="112">
    <mergeCell ref="A1:J1"/>
    <mergeCell ref="D6:J6"/>
    <mergeCell ref="A18:C18"/>
    <mergeCell ref="A65:C65"/>
    <mergeCell ref="A43:C43"/>
    <mergeCell ref="A38:C38"/>
    <mergeCell ref="A54:C54"/>
    <mergeCell ref="A28:C28"/>
    <mergeCell ref="A13:C13"/>
    <mergeCell ref="A33:C33"/>
    <mergeCell ref="A23:C23"/>
    <mergeCell ref="A8:C8"/>
    <mergeCell ref="G94:J94"/>
    <mergeCell ref="G96:J96"/>
    <mergeCell ref="A98:B98"/>
    <mergeCell ref="E98:J98"/>
    <mergeCell ref="A100:C100"/>
    <mergeCell ref="D100:F100"/>
    <mergeCell ref="G100:J100"/>
    <mergeCell ref="A91:C91"/>
    <mergeCell ref="D91:F91"/>
    <mergeCell ref="G91:J91"/>
    <mergeCell ref="G92:J92"/>
    <mergeCell ref="G93:J93"/>
    <mergeCell ref="F106:J106"/>
    <mergeCell ref="F107:J107"/>
    <mergeCell ref="F108:J108"/>
    <mergeCell ref="F109:J109"/>
    <mergeCell ref="A110:B110"/>
    <mergeCell ref="C110:D110"/>
    <mergeCell ref="E110:J110"/>
    <mergeCell ref="G101:J101"/>
    <mergeCell ref="F102:J102"/>
    <mergeCell ref="F103:J103"/>
    <mergeCell ref="F104:J104"/>
    <mergeCell ref="F105:J105"/>
    <mergeCell ref="G115:J115"/>
    <mergeCell ref="G116:J116"/>
    <mergeCell ref="G117:J117"/>
    <mergeCell ref="G118:J118"/>
    <mergeCell ref="A119:B119"/>
    <mergeCell ref="C119:D119"/>
    <mergeCell ref="E119:J119"/>
    <mergeCell ref="A112:C112"/>
    <mergeCell ref="D112:F112"/>
    <mergeCell ref="G112:J112"/>
    <mergeCell ref="G113:J113"/>
    <mergeCell ref="G114:J114"/>
    <mergeCell ref="G123:J123"/>
    <mergeCell ref="G124:J124"/>
    <mergeCell ref="G125:J125"/>
    <mergeCell ref="G126:J126"/>
    <mergeCell ref="A127:D128"/>
    <mergeCell ref="E127:J128"/>
    <mergeCell ref="G120:J120"/>
    <mergeCell ref="A121:C121"/>
    <mergeCell ref="D121:F121"/>
    <mergeCell ref="G121:J121"/>
    <mergeCell ref="G122:J122"/>
    <mergeCell ref="G132:J132"/>
    <mergeCell ref="G133:J133"/>
    <mergeCell ref="G134:J134"/>
    <mergeCell ref="G135:J135"/>
    <mergeCell ref="G136:J136"/>
    <mergeCell ref="A129:C129"/>
    <mergeCell ref="D129:F129"/>
    <mergeCell ref="G129:J129"/>
    <mergeCell ref="G130:J130"/>
    <mergeCell ref="G131:J131"/>
    <mergeCell ref="B142:J142"/>
    <mergeCell ref="B143:J143"/>
    <mergeCell ref="B144:J144"/>
    <mergeCell ref="B145:J145"/>
    <mergeCell ref="B146:J146"/>
    <mergeCell ref="A137:B137"/>
    <mergeCell ref="C137:D137"/>
    <mergeCell ref="E137:J137"/>
    <mergeCell ref="A139:C139"/>
    <mergeCell ref="B141:J141"/>
    <mergeCell ref="B164:D164"/>
    <mergeCell ref="E164:G164"/>
    <mergeCell ref="B165:D165"/>
    <mergeCell ref="E165:G165"/>
    <mergeCell ref="B166:D166"/>
    <mergeCell ref="E166:G166"/>
    <mergeCell ref="B147:J147"/>
    <mergeCell ref="A149:H149"/>
    <mergeCell ref="B150:H150"/>
    <mergeCell ref="B151:H151"/>
    <mergeCell ref="B163:D163"/>
    <mergeCell ref="E163:G163"/>
    <mergeCell ref="B170:D170"/>
    <mergeCell ref="E170:G170"/>
    <mergeCell ref="A177:C177"/>
    <mergeCell ref="D177:F177"/>
    <mergeCell ref="G177:J177"/>
    <mergeCell ref="B167:D167"/>
    <mergeCell ref="E167:G167"/>
    <mergeCell ref="B168:D168"/>
    <mergeCell ref="E168:G168"/>
    <mergeCell ref="B169:D169"/>
    <mergeCell ref="E169:G169"/>
    <mergeCell ref="A210:C210"/>
    <mergeCell ref="D210:F210"/>
    <mergeCell ref="G210:J210"/>
    <mergeCell ref="G232:J232"/>
    <mergeCell ref="A188:C188"/>
    <mergeCell ref="D188:F188"/>
    <mergeCell ref="G188:J188"/>
    <mergeCell ref="A198:C198"/>
    <mergeCell ref="D198:F198"/>
    <mergeCell ref="G198:J198"/>
  </mergeCells>
  <conditionalFormatting sqref="B93:B97">
    <cfRule type="expression" dxfId="763" priority="21">
      <formula>B93="Complete"</formula>
    </cfRule>
    <cfRule type="expression" dxfId="762" priority="22">
      <formula>B93="In Progress"</formula>
    </cfRule>
    <cfRule type="expression" dxfId="761" priority="23">
      <formula>B93="At Risk"</formula>
    </cfRule>
    <cfRule type="expression" dxfId="760" priority="24">
      <formula>B93="Blocked"</formula>
    </cfRule>
    <cfRule type="expression" dxfId="759" priority="25">
      <formula>B93="Not Started"</formula>
    </cfRule>
  </conditionalFormatting>
  <conditionalFormatting sqref="B102:B109">
    <cfRule type="expression" dxfId="758" priority="1">
      <formula>B102="Complete"</formula>
    </cfRule>
    <cfRule type="expression" dxfId="757" priority="2">
      <formula>B102="In Progress"</formula>
    </cfRule>
    <cfRule type="expression" dxfId="756" priority="3">
      <formula>B102="At Risk"</formula>
    </cfRule>
    <cfRule type="expression" dxfId="755" priority="4">
      <formula>B102="Blocked"</formula>
    </cfRule>
    <cfRule type="expression" dxfId="754" priority="5">
      <formula>B102="Not Started"</formula>
    </cfRule>
  </conditionalFormatting>
  <conditionalFormatting sqref="B114:B118">
    <cfRule type="expression" dxfId="753" priority="26">
      <formula>B114="Complete"</formula>
    </cfRule>
    <cfRule type="expression" dxfId="752" priority="27">
      <formula>B114="In Progress"</formula>
    </cfRule>
    <cfRule type="expression" dxfId="751" priority="28">
      <formula>B114="At Risk"</formula>
    </cfRule>
    <cfRule type="expression" dxfId="750" priority="29">
      <formula>B114="Blocked"</formula>
    </cfRule>
    <cfRule type="expression" dxfId="749" priority="30">
      <formula>B114="Not Started"</formula>
    </cfRule>
  </conditionalFormatting>
  <conditionalFormatting sqref="B123:B126">
    <cfRule type="expression" dxfId="748" priority="6">
      <formula>B123="Complete"</formula>
    </cfRule>
    <cfRule type="expression" dxfId="747" priority="7">
      <formula>B123="In Progress"</formula>
    </cfRule>
    <cfRule type="expression" dxfId="746" priority="8">
      <formula>B123="At Risk"</formula>
    </cfRule>
    <cfRule type="expression" dxfId="745" priority="9">
      <formula>B123="Blocked"</formula>
    </cfRule>
    <cfRule type="expression" dxfId="744" priority="10">
      <formula>B123="Not Started"</formula>
    </cfRule>
  </conditionalFormatting>
  <conditionalFormatting sqref="B131:B136">
    <cfRule type="expression" dxfId="743" priority="11">
      <formula>B131="Complete"</formula>
    </cfRule>
    <cfRule type="expression" dxfId="742" priority="12">
      <formula>B131="In Progress"</formula>
    </cfRule>
    <cfRule type="expression" dxfId="741" priority="13">
      <formula>B131="At Risk"</formula>
    </cfRule>
    <cfRule type="expression" dxfId="740" priority="14">
      <formula>B131="Blocked"</formula>
    </cfRule>
    <cfRule type="expression" dxfId="739" priority="15">
      <formula>B131="Not Started"</formula>
    </cfRule>
  </conditionalFormatting>
  <conditionalFormatting sqref="B154:B161">
    <cfRule type="expression" dxfId="738" priority="82">
      <formula>B154="Yes"</formula>
    </cfRule>
    <cfRule type="expression" dxfId="737" priority="83">
      <formula>B154="N/A"</formula>
    </cfRule>
    <cfRule type="expression" dxfId="736" priority="84">
      <formula>B154="No"</formula>
    </cfRule>
  </conditionalFormatting>
  <conditionalFormatting sqref="B171:H171">
    <cfRule type="expression" dxfId="735" priority="85">
      <formula>COUNTIF($B$6:$B$13,"No")=0</formula>
    </cfRule>
    <cfRule type="expression" dxfId="734" priority="86">
      <formula>COUNTIF($B$6:$B$13,"No")&gt;0</formula>
    </cfRule>
  </conditionalFormatting>
  <conditionalFormatting sqref="C98:D98">
    <cfRule type="dataBar" priority="37">
      <dataBar>
        <cfvo type="num" val="0"/>
        <cfvo type="num" val="1"/>
        <color rgb="FF5B9BD5"/>
      </dataBar>
    </cfRule>
  </conditionalFormatting>
  <conditionalFormatting sqref="C102:D109">
    <cfRule type="expression" dxfId="733" priority="31">
      <formula>C102="Yes"</formula>
    </cfRule>
    <cfRule type="expression" dxfId="732" priority="32">
      <formula>C102="No"</formula>
    </cfRule>
    <cfRule type="expression" dxfId="731" priority="33">
      <formula>C102="N/A"</formula>
    </cfRule>
  </conditionalFormatting>
  <conditionalFormatting sqref="C110:D110">
    <cfRule type="dataBar" priority="38">
      <dataBar>
        <cfvo type="num" val="0"/>
        <cfvo type="num" val="1"/>
        <color rgb="FF5B9BD5"/>
      </dataBar>
    </cfRule>
  </conditionalFormatting>
  <conditionalFormatting sqref="C119:D119">
    <cfRule type="dataBar" priority="39">
      <dataBar>
        <cfvo type="num" val="0"/>
        <cfvo type="num" val="1"/>
        <color rgb="FF5B9BD5"/>
      </dataBar>
    </cfRule>
  </conditionalFormatting>
  <conditionalFormatting sqref="C131:D136">
    <cfRule type="expression" dxfId="730" priority="16">
      <formula>C131="Yes"</formula>
    </cfRule>
    <cfRule type="expression" dxfId="729" priority="17">
      <formula>C131="No"</formula>
    </cfRule>
    <cfRule type="expression" dxfId="728" priority="18">
      <formula>C131="N/A"</formula>
    </cfRule>
  </conditionalFormatting>
  <conditionalFormatting sqref="C137:D137">
    <cfRule type="dataBar" priority="20">
      <dataBar>
        <cfvo type="num" val="0"/>
        <cfvo type="num" val="1"/>
        <color rgb="FF5B9BD5"/>
      </dataBar>
    </cfRule>
  </conditionalFormatting>
  <conditionalFormatting sqref="E5 G5 I5">
    <cfRule type="expression" dxfId="727" priority="87">
      <formula>E5="Pass"</formula>
    </cfRule>
    <cfRule type="expression" dxfId="726" priority="88">
      <formula>E5="Verify"</formula>
    </cfRule>
    <cfRule type="expression" dxfId="725" priority="89">
      <formula>E5="Fail"</formula>
    </cfRule>
    <cfRule type="expression" dxfId="724" priority="90">
      <formula>E5="Not Started"</formula>
    </cfRule>
  </conditionalFormatting>
  <conditionalFormatting sqref="F3">
    <cfRule type="expression" dxfId="723" priority="91">
      <formula>F3="Yes"</formula>
    </cfRule>
    <cfRule type="expression" dxfId="722" priority="92">
      <formula>F3="No"</formula>
    </cfRule>
  </conditionalFormatting>
  <conditionalFormatting sqref="F114:F118">
    <cfRule type="expression" dxfId="721" priority="34">
      <formula>F114="Pass"</formula>
    </cfRule>
    <cfRule type="expression" dxfId="720" priority="35">
      <formula>F114="Fail"</formula>
    </cfRule>
    <cfRule type="expression" dxfId="719" priority="36">
      <formula>F114="Pending"</formula>
    </cfRule>
  </conditionalFormatting>
  <conditionalFormatting sqref="F123:F126">
    <cfRule type="dataBar" priority="19">
      <dataBar>
        <cfvo type="num" val="0"/>
        <cfvo type="num" val="1"/>
        <color rgb="FF5B9BD5"/>
      </dataBar>
    </cfRule>
  </conditionalFormatting>
  <dataValidations count="5">
    <dataValidation type="list" sqref="B5:B6 D5 F5 H5 H10:H16 H139:I140 I16 J5 H142:I147 D56:D63 H17:I88" xr:uid="{00000000-0002-0000-3200-000000000000}">
      <formula1>"Not Started,Verify,Pass,Fail,N/A,Open,Closed,Partial / Yellow"</formula1>
      <formula2>0</formula2>
    </dataValidation>
    <dataValidation type="list" allowBlank="1" sqref="F114:F118" xr:uid="{0551FEEC-1032-41A7-95FC-E31C183FCC60}">
      <formula1>"Pending,Pass,Fail,N/A"</formula1>
    </dataValidation>
    <dataValidation type="list" allowBlank="1" sqref="C102:D109 C131:D136" xr:uid="{3B5078A5-8A31-4D25-91F3-EA0B600C6C84}">
      <formula1>"Yes,No,N/A"</formula1>
    </dataValidation>
    <dataValidation type="list" allowBlank="1" sqref="B123:B126 B114:B118" xr:uid="{F1C0BF85-88A3-4B0C-A15D-50CF1051CB31}">
      <formula1>"Not Started,In Progress,Complete,At Risk,Blocked"</formula1>
    </dataValidation>
    <dataValidation type="list" sqref="B154:B161" xr:uid="{EB235A7E-2205-439A-AA96-68B5FA293277}">
      <formula1>"No,Yes,N/A"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AD5ADFEC-57FE-49B7-B5E1-EE347867F367}">
          <x14:formula1>
            <xm:f>Lookup_Lists!$L$37:$L$39</xm:f>
          </x14:formula1>
          <xm:sqref>C114:E118 J2</xm:sqref>
        </x14:dataValidation>
        <x14:dataValidation type="list" allowBlank="1" showInputMessage="1" showErrorMessage="1" xr:uid="{0FC676B1-F386-46AF-B481-5253B4945F53}">
          <x14:formula1>
            <xm:f>Lookup_Lists!$A$36:$A$42</xm:f>
          </x14:formula1>
          <xm:sqref>B93:B97 B102:B109 B131:B136</xm:sqref>
        </x14:dataValidation>
      </x14:dataValidations>
    </ext>
  </extLst>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C5B1F-31BF-4E1A-80E0-4FA95A487344}">
  <dimension ref="A1:J240"/>
  <sheetViews>
    <sheetView workbookViewId="0">
      <selection activeCell="D4" sqref="D4"/>
    </sheetView>
  </sheetViews>
  <sheetFormatPr defaultColWidth="8.6640625" defaultRowHeight="14.4"/>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6640625" style="8" customWidth="1"/>
    <col min="13" max="16384" width="8.6640625" style="8"/>
  </cols>
  <sheetData>
    <row r="1" spans="1:10" ht="7.35" customHeight="1">
      <c r="A1" s="851" t="s">
        <v>2556</v>
      </c>
      <c r="B1" s="839"/>
      <c r="C1" s="839"/>
      <c r="D1" s="839"/>
      <c r="E1" s="839"/>
      <c r="F1" s="839"/>
      <c r="G1" s="839"/>
      <c r="H1" s="839"/>
      <c r="I1" s="839"/>
      <c r="J1" s="839"/>
    </row>
    <row r="2" spans="1:10" s="227" customFormat="1" ht="16.95" customHeight="1">
      <c r="A2" s="223" t="s">
        <v>142</v>
      </c>
      <c r="B2" s="224" t="s">
        <v>2557</v>
      </c>
      <c r="C2" s="223" t="s">
        <v>902</v>
      </c>
      <c r="D2" s="224" t="s">
        <v>1094</v>
      </c>
      <c r="E2" s="223" t="s">
        <v>151</v>
      </c>
      <c r="F2" s="224" t="s">
        <v>1095</v>
      </c>
      <c r="G2" s="223" t="s">
        <v>174</v>
      </c>
      <c r="H2" s="225">
        <v>0.5</v>
      </c>
      <c r="I2" s="223" t="s">
        <v>154</v>
      </c>
      <c r="J2" s="226" t="s">
        <v>1096</v>
      </c>
    </row>
    <row r="3" spans="1:10" s="231" customFormat="1" ht="16.95" customHeight="1">
      <c r="A3" s="223" t="s">
        <v>903</v>
      </c>
      <c r="B3" s="228">
        <v>46198.660769768518</v>
      </c>
      <c r="C3" s="229" t="s">
        <v>904</v>
      </c>
      <c r="D3" s="230" t="s">
        <v>721</v>
      </c>
      <c r="E3" s="223" t="s">
        <v>905</v>
      </c>
      <c r="F3" s="230" t="s">
        <v>2558</v>
      </c>
      <c r="G3" s="223" t="s">
        <v>907</v>
      </c>
      <c r="H3" s="230" t="s">
        <v>908</v>
      </c>
      <c r="I3" s="223" t="s">
        <v>551</v>
      </c>
      <c r="J3" s="230" t="s">
        <v>2559</v>
      </c>
    </row>
    <row r="4" spans="1:10" s="231" customFormat="1" ht="266.39999999999998" customHeight="1">
      <c r="A4" s="223" t="s">
        <v>161</v>
      </c>
      <c r="B4" s="230">
        <v>0</v>
      </c>
      <c r="C4" s="223" t="s">
        <v>199</v>
      </c>
      <c r="D4" s="230">
        <v>0</v>
      </c>
      <c r="E4" s="223" t="s">
        <v>179</v>
      </c>
      <c r="F4" s="230">
        <v>0</v>
      </c>
      <c r="G4" s="223" t="s">
        <v>870</v>
      </c>
      <c r="H4" s="232" t="s">
        <v>2560</v>
      </c>
      <c r="I4" s="233"/>
      <c r="J4" s="233"/>
    </row>
    <row r="5" spans="1:10" s="231" customFormat="1">
      <c r="A5" s="234" t="s">
        <v>911</v>
      </c>
      <c r="B5" s="225" t="s">
        <v>677</v>
      </c>
      <c r="C5" s="235" t="s">
        <v>912</v>
      </c>
      <c r="D5" s="225" t="s">
        <v>677</v>
      </c>
      <c r="E5" s="236" t="s">
        <v>913</v>
      </c>
      <c r="F5" s="225" t="s">
        <v>677</v>
      </c>
      <c r="G5" s="237" t="s">
        <v>914</v>
      </c>
      <c r="H5" s="225" t="s">
        <v>677</v>
      </c>
      <c r="I5" s="237" t="s">
        <v>915</v>
      </c>
      <c r="J5" s="225" t="s">
        <v>677</v>
      </c>
    </row>
    <row r="6" spans="1:10" s="231" customFormat="1" ht="36.75" customHeight="1">
      <c r="A6" s="238" t="s">
        <v>916</v>
      </c>
      <c r="B6" s="225" t="s">
        <v>677</v>
      </c>
      <c r="C6" s="239" t="s">
        <v>869</v>
      </c>
      <c r="D6" s="854" t="s">
        <v>2561</v>
      </c>
      <c r="E6" s="853"/>
      <c r="F6" s="853"/>
      <c r="G6" s="853"/>
      <c r="H6" s="853"/>
      <c r="I6" s="853"/>
      <c r="J6" s="853"/>
    </row>
    <row r="7" spans="1:10" ht="7.35" customHeight="1">
      <c r="A7" s="13"/>
      <c r="B7" s="13"/>
      <c r="C7" s="13"/>
      <c r="D7" s="13"/>
      <c r="E7" s="13"/>
      <c r="F7" s="13"/>
      <c r="G7" s="13"/>
      <c r="H7" s="13"/>
      <c r="I7" s="13"/>
      <c r="J7" s="13"/>
    </row>
    <row r="8" spans="1:10" ht="5.4" customHeight="1">
      <c r="A8" s="842" t="s">
        <v>918</v>
      </c>
      <c r="B8" s="839"/>
      <c r="C8" s="839"/>
      <c r="D8" s="85"/>
      <c r="E8" s="85"/>
      <c r="F8" s="85"/>
      <c r="G8" s="85"/>
      <c r="H8" s="85"/>
      <c r="I8" s="85"/>
      <c r="J8" s="85"/>
    </row>
    <row r="9" spans="1:10" ht="7.35" customHeight="1">
      <c r="A9" s="50" t="s">
        <v>142</v>
      </c>
      <c r="B9" s="50" t="s">
        <v>275</v>
      </c>
      <c r="C9" s="50" t="s">
        <v>884</v>
      </c>
      <c r="D9" s="50" t="s">
        <v>885</v>
      </c>
      <c r="E9" s="50" t="s">
        <v>886</v>
      </c>
      <c r="F9" s="50" t="s">
        <v>887</v>
      </c>
      <c r="G9" s="50" t="s">
        <v>888</v>
      </c>
      <c r="H9" s="50" t="s">
        <v>77</v>
      </c>
      <c r="I9" s="50" t="s">
        <v>889</v>
      </c>
      <c r="J9" s="50" t="s">
        <v>11</v>
      </c>
    </row>
    <row r="10" spans="1:10" ht="47.25" customHeight="1">
      <c r="A10" s="13" t="s">
        <v>2557</v>
      </c>
      <c r="B10" s="13" t="s">
        <v>704</v>
      </c>
      <c r="C10" s="13" t="s">
        <v>919</v>
      </c>
      <c r="D10" s="13" t="s">
        <v>2562</v>
      </c>
      <c r="E10" s="13" t="s">
        <v>356</v>
      </c>
      <c r="F10" s="13">
        <v>1</v>
      </c>
      <c r="G10" s="13">
        <v>1</v>
      </c>
      <c r="H10" s="13" t="s">
        <v>677</v>
      </c>
      <c r="I10" s="13" t="s">
        <v>2563</v>
      </c>
      <c r="J10" s="13" t="s">
        <v>2564</v>
      </c>
    </row>
    <row r="11" spans="1:10" ht="53.7" customHeight="1">
      <c r="A11" s="13" t="s">
        <v>2557</v>
      </c>
      <c r="B11" s="13" t="s">
        <v>2565</v>
      </c>
      <c r="C11" s="13" t="s">
        <v>923</v>
      </c>
      <c r="D11" s="13" t="s">
        <v>2566</v>
      </c>
      <c r="E11" s="13" t="s">
        <v>925</v>
      </c>
      <c r="F11" s="13">
        <v>1</v>
      </c>
      <c r="G11" s="13">
        <v>0</v>
      </c>
      <c r="H11" s="13" t="s">
        <v>677</v>
      </c>
      <c r="I11" s="13" t="s">
        <v>2567</v>
      </c>
      <c r="J11" s="13" t="s">
        <v>2568</v>
      </c>
    </row>
    <row r="12" spans="1:10" ht="40.35" customHeight="1">
      <c r="A12" s="13" t="s">
        <v>2569</v>
      </c>
      <c r="B12" s="13" t="s">
        <v>2570</v>
      </c>
      <c r="C12" s="13" t="s">
        <v>2571</v>
      </c>
      <c r="D12" s="13" t="s">
        <v>2572</v>
      </c>
      <c r="E12" s="13" t="s">
        <v>2573</v>
      </c>
      <c r="F12" s="13">
        <v>0</v>
      </c>
      <c r="G12" s="13">
        <v>0</v>
      </c>
      <c r="H12" s="13" t="s">
        <v>677</v>
      </c>
      <c r="I12" s="13" t="s">
        <v>2574</v>
      </c>
      <c r="J12" s="13" t="s">
        <v>2575</v>
      </c>
    </row>
    <row r="13" spans="1:10" ht="7.35" customHeight="1">
      <c r="A13" s="13"/>
      <c r="B13" s="13"/>
      <c r="C13" s="13"/>
      <c r="D13" s="13"/>
      <c r="E13" s="13"/>
      <c r="F13" s="13"/>
      <c r="G13" s="13"/>
      <c r="H13" s="13"/>
      <c r="I13" s="13"/>
      <c r="J13" s="13"/>
    </row>
    <row r="14" spans="1:10" ht="5.4" customHeight="1">
      <c r="A14" s="842" t="s">
        <v>936</v>
      </c>
      <c r="B14" s="839"/>
      <c r="C14" s="839"/>
      <c r="D14" s="85"/>
      <c r="E14" s="85"/>
      <c r="F14" s="85"/>
      <c r="G14" s="85"/>
      <c r="H14" s="85"/>
      <c r="I14" s="85"/>
      <c r="J14" s="85"/>
    </row>
    <row r="15" spans="1:10" ht="7.35" customHeight="1">
      <c r="A15" s="50" t="s">
        <v>275</v>
      </c>
      <c r="B15" s="50" t="s">
        <v>937</v>
      </c>
      <c r="C15" s="50" t="s">
        <v>938</v>
      </c>
      <c r="D15" s="50" t="s">
        <v>939</v>
      </c>
      <c r="E15" s="50" t="s">
        <v>940</v>
      </c>
      <c r="F15" s="50" t="s">
        <v>941</v>
      </c>
      <c r="G15" s="50" t="s">
        <v>942</v>
      </c>
      <c r="H15" s="50" t="s">
        <v>943</v>
      </c>
      <c r="I15" s="50" t="s">
        <v>899</v>
      </c>
      <c r="J15" s="50" t="s">
        <v>944</v>
      </c>
    </row>
    <row r="16" spans="1:10" ht="40.35" customHeight="1">
      <c r="A16" s="13" t="s">
        <v>704</v>
      </c>
      <c r="B16" s="13" t="s">
        <v>677</v>
      </c>
      <c r="C16" s="13" t="s">
        <v>677</v>
      </c>
      <c r="D16" s="13" t="s">
        <v>677</v>
      </c>
      <c r="E16" s="13" t="s">
        <v>677</v>
      </c>
      <c r="F16" s="13" t="s">
        <v>677</v>
      </c>
      <c r="G16" s="13" t="s">
        <v>677</v>
      </c>
      <c r="H16" s="13" t="s">
        <v>677</v>
      </c>
      <c r="I16" s="13" t="s">
        <v>677</v>
      </c>
      <c r="J16" s="13" t="s">
        <v>2576</v>
      </c>
    </row>
    <row r="17" spans="1:10" ht="26.85" customHeight="1">
      <c r="A17" s="13" t="s">
        <v>2565</v>
      </c>
      <c r="B17" s="13" t="s">
        <v>946</v>
      </c>
      <c r="C17" s="13" t="s">
        <v>946</v>
      </c>
      <c r="D17" s="13" t="s">
        <v>946</v>
      </c>
      <c r="E17" s="13" t="s">
        <v>677</v>
      </c>
      <c r="F17" s="13" t="s">
        <v>677</v>
      </c>
      <c r="G17" s="13" t="s">
        <v>677</v>
      </c>
      <c r="H17" s="13" t="s">
        <v>677</v>
      </c>
      <c r="I17" s="13" t="s">
        <v>677</v>
      </c>
      <c r="J17" s="13" t="s">
        <v>2577</v>
      </c>
    </row>
    <row r="18" spans="1:10" ht="19.95" customHeight="1">
      <c r="A18" s="13" t="s">
        <v>2578</v>
      </c>
      <c r="B18" s="13" t="s">
        <v>677</v>
      </c>
      <c r="C18" s="13" t="s">
        <v>677</v>
      </c>
      <c r="D18" s="13" t="s">
        <v>677</v>
      </c>
      <c r="E18" s="13" t="s">
        <v>677</v>
      </c>
      <c r="F18" s="13" t="s">
        <v>677</v>
      </c>
      <c r="G18" s="13" t="s">
        <v>677</v>
      </c>
      <c r="H18" s="13" t="s">
        <v>677</v>
      </c>
      <c r="I18" s="13" t="s">
        <v>677</v>
      </c>
      <c r="J18" s="13" t="s">
        <v>2579</v>
      </c>
    </row>
    <row r="19" spans="1:10" ht="7.35" customHeight="1">
      <c r="A19" s="13"/>
      <c r="B19" s="13"/>
      <c r="C19" s="13"/>
      <c r="D19" s="13"/>
      <c r="E19" s="13"/>
      <c r="F19" s="13"/>
      <c r="G19" s="13"/>
      <c r="H19" s="13"/>
      <c r="I19" s="13"/>
      <c r="J19" s="13"/>
    </row>
    <row r="20" spans="1:10" ht="5.4" customHeight="1">
      <c r="A20" s="842" t="s">
        <v>951</v>
      </c>
      <c r="B20" s="839"/>
      <c r="C20" s="839"/>
      <c r="D20" s="85"/>
      <c r="E20" s="85"/>
      <c r="F20" s="85"/>
      <c r="G20" s="85"/>
      <c r="H20" s="85"/>
      <c r="I20" s="85"/>
      <c r="J20" s="85"/>
    </row>
    <row r="21" spans="1:10" ht="7.35" customHeight="1">
      <c r="A21" s="50" t="s">
        <v>275</v>
      </c>
      <c r="B21" s="50" t="s">
        <v>952</v>
      </c>
      <c r="C21" s="50" t="s">
        <v>953</v>
      </c>
      <c r="D21" s="50" t="s">
        <v>954</v>
      </c>
      <c r="E21" s="50" t="s">
        <v>955</v>
      </c>
      <c r="F21" s="50" t="s">
        <v>956</v>
      </c>
      <c r="G21" s="50" t="s">
        <v>957</v>
      </c>
      <c r="H21" s="50" t="s">
        <v>958</v>
      </c>
      <c r="I21" s="50" t="s">
        <v>899</v>
      </c>
      <c r="J21" s="50" t="s">
        <v>959</v>
      </c>
    </row>
    <row r="22" spans="1:10" ht="33.75" customHeight="1">
      <c r="A22" s="13" t="s">
        <v>704</v>
      </c>
      <c r="B22" s="13" t="s">
        <v>677</v>
      </c>
      <c r="C22" s="13" t="s">
        <v>677</v>
      </c>
      <c r="D22" s="13" t="s">
        <v>677</v>
      </c>
      <c r="E22" s="13" t="s">
        <v>677</v>
      </c>
      <c r="F22" s="13" t="s">
        <v>677</v>
      </c>
      <c r="G22" s="13" t="s">
        <v>677</v>
      </c>
      <c r="H22" s="13" t="s">
        <v>677</v>
      </c>
      <c r="I22" s="13" t="s">
        <v>677</v>
      </c>
      <c r="J22" s="13" t="s">
        <v>2486</v>
      </c>
    </row>
    <row r="23" spans="1:10" ht="26.85" customHeight="1">
      <c r="A23" s="13" t="s">
        <v>2565</v>
      </c>
      <c r="B23" s="13" t="s">
        <v>677</v>
      </c>
      <c r="C23" s="13" t="s">
        <v>679</v>
      </c>
      <c r="D23" s="13" t="s">
        <v>677</v>
      </c>
      <c r="E23" s="13" t="s">
        <v>677</v>
      </c>
      <c r="F23" s="13" t="s">
        <v>677</v>
      </c>
      <c r="G23" s="13" t="s">
        <v>677</v>
      </c>
      <c r="H23" s="13" t="s">
        <v>677</v>
      </c>
      <c r="I23" s="13" t="s">
        <v>677</v>
      </c>
      <c r="J23" s="13" t="s">
        <v>2580</v>
      </c>
    </row>
    <row r="24" spans="1:10" ht="19.95" customHeight="1">
      <c r="A24" s="13" t="s">
        <v>2578</v>
      </c>
      <c r="B24" s="13" t="s">
        <v>677</v>
      </c>
      <c r="C24" s="13" t="s">
        <v>679</v>
      </c>
      <c r="D24" s="13" t="s">
        <v>677</v>
      </c>
      <c r="E24" s="13" t="s">
        <v>677</v>
      </c>
      <c r="F24" s="13" t="s">
        <v>677</v>
      </c>
      <c r="G24" s="13" t="s">
        <v>677</v>
      </c>
      <c r="H24" s="13" t="s">
        <v>677</v>
      </c>
      <c r="I24" s="13" t="s">
        <v>677</v>
      </c>
      <c r="J24" s="13" t="s">
        <v>2581</v>
      </c>
    </row>
    <row r="25" spans="1:10" ht="7.35" customHeight="1">
      <c r="A25" s="13"/>
      <c r="B25" s="13"/>
      <c r="C25" s="13"/>
      <c r="D25" s="13"/>
      <c r="E25" s="13"/>
      <c r="F25" s="13"/>
      <c r="G25" s="13"/>
      <c r="H25" s="13"/>
      <c r="I25" s="13"/>
      <c r="J25" s="13"/>
    </row>
    <row r="26" spans="1:10" ht="5.4" customHeight="1">
      <c r="A26" s="842" t="s">
        <v>964</v>
      </c>
      <c r="B26" s="839"/>
      <c r="C26" s="839"/>
      <c r="D26" s="85"/>
      <c r="E26" s="85"/>
      <c r="F26" s="85"/>
      <c r="G26" s="85"/>
      <c r="H26" s="85"/>
      <c r="I26" s="85"/>
      <c r="J26" s="85"/>
    </row>
    <row r="27" spans="1:10" ht="7.35" customHeight="1">
      <c r="A27" s="50" t="s">
        <v>275</v>
      </c>
      <c r="B27" s="50" t="s">
        <v>965</v>
      </c>
      <c r="C27" s="50" t="s">
        <v>966</v>
      </c>
      <c r="D27" s="50" t="s">
        <v>967</v>
      </c>
      <c r="E27" s="50" t="s">
        <v>968</v>
      </c>
      <c r="F27" s="50" t="s">
        <v>969</v>
      </c>
      <c r="G27" s="50" t="s">
        <v>970</v>
      </c>
      <c r="H27" s="50" t="s">
        <v>971</v>
      </c>
      <c r="I27" s="50" t="s">
        <v>899</v>
      </c>
      <c r="J27" s="50" t="s">
        <v>959</v>
      </c>
    </row>
    <row r="28" spans="1:10" ht="47.25" customHeight="1">
      <c r="A28" s="13" t="s">
        <v>704</v>
      </c>
      <c r="B28" s="13" t="s">
        <v>972</v>
      </c>
      <c r="C28" s="13" t="s">
        <v>677</v>
      </c>
      <c r="D28" s="13" t="s">
        <v>677</v>
      </c>
      <c r="E28" s="13" t="s">
        <v>677</v>
      </c>
      <c r="F28" s="13" t="s">
        <v>677</v>
      </c>
      <c r="G28" s="13" t="s">
        <v>677</v>
      </c>
      <c r="H28" s="13" t="s">
        <v>677</v>
      </c>
      <c r="I28" s="13" t="s">
        <v>677</v>
      </c>
      <c r="J28" s="13" t="s">
        <v>2582</v>
      </c>
    </row>
    <row r="29" spans="1:10" ht="26.85" customHeight="1">
      <c r="A29" s="13" t="s">
        <v>2565</v>
      </c>
      <c r="B29" s="13" t="s">
        <v>2217</v>
      </c>
      <c r="C29" s="13" t="s">
        <v>677</v>
      </c>
      <c r="D29" s="13" t="s">
        <v>677</v>
      </c>
      <c r="E29" s="13" t="s">
        <v>677</v>
      </c>
      <c r="F29" s="13" t="s">
        <v>677</v>
      </c>
      <c r="G29" s="13" t="s">
        <v>677</v>
      </c>
      <c r="H29" s="13" t="s">
        <v>677</v>
      </c>
      <c r="I29" s="13" t="s">
        <v>677</v>
      </c>
      <c r="J29" s="13" t="s">
        <v>2583</v>
      </c>
    </row>
    <row r="30" spans="1:10" ht="19.95" customHeight="1">
      <c r="A30" s="13" t="s">
        <v>2578</v>
      </c>
      <c r="B30" s="13" t="s">
        <v>679</v>
      </c>
      <c r="C30" s="13" t="s">
        <v>679</v>
      </c>
      <c r="D30" s="13" t="s">
        <v>679</v>
      </c>
      <c r="E30" s="13" t="s">
        <v>679</v>
      </c>
      <c r="F30" s="13" t="s">
        <v>679</v>
      </c>
      <c r="G30" s="13" t="s">
        <v>679</v>
      </c>
      <c r="H30" s="13" t="s">
        <v>679</v>
      </c>
      <c r="I30" s="13" t="s">
        <v>679</v>
      </c>
      <c r="J30" s="13" t="s">
        <v>2584</v>
      </c>
    </row>
    <row r="31" spans="1:10" ht="7.35" customHeight="1">
      <c r="A31" s="13"/>
      <c r="B31" s="13"/>
      <c r="C31" s="13"/>
      <c r="D31" s="13"/>
      <c r="E31" s="13"/>
      <c r="F31" s="13"/>
      <c r="G31" s="13"/>
      <c r="H31" s="13"/>
      <c r="I31" s="13"/>
      <c r="J31" s="13"/>
    </row>
    <row r="32" spans="1:10" ht="5.4" customHeight="1">
      <c r="A32" s="842" t="s">
        <v>977</v>
      </c>
      <c r="B32" s="839"/>
      <c r="C32" s="839"/>
      <c r="D32" s="85"/>
      <c r="E32" s="85"/>
      <c r="F32" s="85"/>
      <c r="G32" s="85"/>
      <c r="H32" s="85"/>
      <c r="I32" s="85"/>
      <c r="J32" s="85"/>
    </row>
    <row r="33" spans="1:10" ht="7.35" customHeight="1">
      <c r="A33" s="50" t="s">
        <v>275</v>
      </c>
      <c r="B33" s="50" t="s">
        <v>978</v>
      </c>
      <c r="C33" s="50" t="s">
        <v>979</v>
      </c>
      <c r="D33" s="50" t="s">
        <v>980</v>
      </c>
      <c r="E33" s="50" t="s">
        <v>981</v>
      </c>
      <c r="F33" s="50" t="s">
        <v>982</v>
      </c>
      <c r="G33" s="50" t="s">
        <v>983</v>
      </c>
      <c r="H33" s="50" t="s">
        <v>984</v>
      </c>
      <c r="I33" s="50" t="s">
        <v>899</v>
      </c>
      <c r="J33" s="50" t="s">
        <v>11</v>
      </c>
    </row>
    <row r="34" spans="1:10" ht="47.25" customHeight="1">
      <c r="A34" s="13" t="s">
        <v>704</v>
      </c>
      <c r="B34" s="13" t="s">
        <v>677</v>
      </c>
      <c r="C34" s="13" t="s">
        <v>985</v>
      </c>
      <c r="D34" s="13" t="s">
        <v>677</v>
      </c>
      <c r="E34" s="13" t="s">
        <v>677</v>
      </c>
      <c r="F34" s="13" t="s">
        <v>2585</v>
      </c>
      <c r="G34" s="13" t="s">
        <v>677</v>
      </c>
      <c r="H34" s="13" t="s">
        <v>677</v>
      </c>
      <c r="I34" s="13" t="s">
        <v>677</v>
      </c>
      <c r="J34" s="13" t="s">
        <v>2586</v>
      </c>
    </row>
    <row r="35" spans="1:10" ht="26.85" customHeight="1">
      <c r="A35" s="13" t="s">
        <v>2565</v>
      </c>
      <c r="B35" s="13" t="s">
        <v>988</v>
      </c>
      <c r="C35" s="13" t="s">
        <v>1485</v>
      </c>
      <c r="D35" s="13" t="s">
        <v>988</v>
      </c>
      <c r="E35" s="13" t="s">
        <v>677</v>
      </c>
      <c r="F35" s="13" t="s">
        <v>946</v>
      </c>
      <c r="G35" s="13" t="s">
        <v>677</v>
      </c>
      <c r="H35" s="13" t="s">
        <v>677</v>
      </c>
      <c r="I35" s="13" t="s">
        <v>677</v>
      </c>
      <c r="J35" s="13" t="s">
        <v>2587</v>
      </c>
    </row>
    <row r="36" spans="1:10" ht="26.85" customHeight="1">
      <c r="A36" s="13" t="s">
        <v>2578</v>
      </c>
      <c r="B36" s="13" t="s">
        <v>679</v>
      </c>
      <c r="C36" s="13" t="s">
        <v>679</v>
      </c>
      <c r="D36" s="13" t="s">
        <v>679</v>
      </c>
      <c r="E36" s="13" t="s">
        <v>679</v>
      </c>
      <c r="F36" s="13" t="s">
        <v>2588</v>
      </c>
      <c r="G36" s="13" t="s">
        <v>677</v>
      </c>
      <c r="H36" s="13" t="s">
        <v>677</v>
      </c>
      <c r="I36" s="13" t="s">
        <v>677</v>
      </c>
      <c r="J36" s="13" t="s">
        <v>2589</v>
      </c>
    </row>
    <row r="37" spans="1:10" ht="7.35" customHeight="1">
      <c r="A37" s="13"/>
      <c r="B37" s="13"/>
      <c r="C37" s="13"/>
      <c r="D37" s="13"/>
      <c r="E37" s="13"/>
      <c r="F37" s="13"/>
      <c r="G37" s="13"/>
      <c r="H37" s="13"/>
      <c r="I37" s="13"/>
      <c r="J37" s="13"/>
    </row>
    <row r="38" spans="1:10" ht="5.4" customHeight="1">
      <c r="A38" s="842" t="s">
        <v>994</v>
      </c>
      <c r="B38" s="839"/>
      <c r="C38" s="839"/>
      <c r="D38" s="85"/>
      <c r="E38" s="85"/>
      <c r="F38" s="85"/>
      <c r="G38" s="85"/>
      <c r="H38" s="85"/>
      <c r="I38" s="85"/>
      <c r="J38" s="85"/>
    </row>
    <row r="39" spans="1:10" ht="7.35" customHeight="1">
      <c r="A39" s="50" t="s">
        <v>275</v>
      </c>
      <c r="B39" s="50" t="s">
        <v>995</v>
      </c>
      <c r="C39" s="50" t="s">
        <v>996</v>
      </c>
      <c r="D39" s="50" t="s">
        <v>997</v>
      </c>
      <c r="E39" s="50" t="s">
        <v>998</v>
      </c>
      <c r="F39" s="50" t="s">
        <v>999</v>
      </c>
      <c r="G39" s="50" t="s">
        <v>1000</v>
      </c>
      <c r="H39" s="50" t="s">
        <v>1001</v>
      </c>
      <c r="I39" s="50" t="s">
        <v>899</v>
      </c>
      <c r="J39" s="50" t="s">
        <v>11</v>
      </c>
    </row>
    <row r="40" spans="1:10" ht="40.35" customHeight="1">
      <c r="A40" s="13" t="s">
        <v>704</v>
      </c>
      <c r="B40" s="13" t="s">
        <v>677</v>
      </c>
      <c r="C40" s="13" t="s">
        <v>677</v>
      </c>
      <c r="D40" s="13" t="s">
        <v>677</v>
      </c>
      <c r="E40" s="13" t="s">
        <v>677</v>
      </c>
      <c r="F40" s="13" t="s">
        <v>677</v>
      </c>
      <c r="G40" s="13" t="s">
        <v>677</v>
      </c>
      <c r="H40" s="13" t="s">
        <v>677</v>
      </c>
      <c r="I40" s="13" t="s">
        <v>677</v>
      </c>
      <c r="J40" s="13" t="s">
        <v>2590</v>
      </c>
    </row>
    <row r="41" spans="1:10" ht="47.25" customHeight="1">
      <c r="A41" s="13" t="s">
        <v>2565</v>
      </c>
      <c r="B41" s="13" t="s">
        <v>988</v>
      </c>
      <c r="C41" s="13" t="s">
        <v>988</v>
      </c>
      <c r="D41" s="13" t="s">
        <v>988</v>
      </c>
      <c r="E41" s="13" t="s">
        <v>677</v>
      </c>
      <c r="F41" s="13" t="s">
        <v>677</v>
      </c>
      <c r="G41" s="13" t="s">
        <v>677</v>
      </c>
      <c r="H41" s="13" t="s">
        <v>677</v>
      </c>
      <c r="I41" s="13" t="s">
        <v>677</v>
      </c>
      <c r="J41" s="13" t="s">
        <v>2591</v>
      </c>
    </row>
    <row r="42" spans="1:10" ht="26.85" customHeight="1">
      <c r="A42" s="13" t="s">
        <v>2578</v>
      </c>
      <c r="B42" s="13" t="s">
        <v>677</v>
      </c>
      <c r="C42" s="13" t="s">
        <v>677</v>
      </c>
      <c r="D42" s="13" t="s">
        <v>677</v>
      </c>
      <c r="E42" s="13" t="s">
        <v>677</v>
      </c>
      <c r="F42" s="13" t="s">
        <v>677</v>
      </c>
      <c r="G42" s="13" t="s">
        <v>677</v>
      </c>
      <c r="H42" s="13" t="s">
        <v>677</v>
      </c>
      <c r="I42" s="13" t="s">
        <v>677</v>
      </c>
      <c r="J42" s="13" t="s">
        <v>2592</v>
      </c>
    </row>
    <row r="43" spans="1:10" ht="7.35" customHeight="1">
      <c r="A43" s="13"/>
      <c r="B43" s="13"/>
      <c r="C43" s="13"/>
      <c r="D43" s="13"/>
      <c r="E43" s="13"/>
      <c r="F43" s="13"/>
      <c r="G43" s="13"/>
      <c r="H43" s="13"/>
      <c r="I43" s="13"/>
      <c r="J43" s="13"/>
    </row>
    <row r="44" spans="1:10" ht="5.4" customHeight="1">
      <c r="A44" s="842" t="s">
        <v>1007</v>
      </c>
      <c r="B44" s="839"/>
      <c r="C44" s="839"/>
      <c r="D44" s="85"/>
      <c r="E44" s="85"/>
      <c r="F44" s="85"/>
      <c r="G44" s="85"/>
      <c r="H44" s="85"/>
      <c r="I44" s="85"/>
      <c r="J44" s="85"/>
    </row>
    <row r="45" spans="1:10" ht="7.35" customHeight="1">
      <c r="A45" s="50" t="s">
        <v>275</v>
      </c>
      <c r="B45" s="50" t="s">
        <v>1008</v>
      </c>
      <c r="C45" s="50" t="s">
        <v>1009</v>
      </c>
      <c r="D45" s="50" t="s">
        <v>1010</v>
      </c>
      <c r="E45" s="50" t="s">
        <v>1011</v>
      </c>
      <c r="F45" s="50" t="s">
        <v>1012</v>
      </c>
      <c r="G45" s="50" t="s">
        <v>1013</v>
      </c>
      <c r="H45" s="50" t="s">
        <v>1014</v>
      </c>
      <c r="I45" s="50" t="s">
        <v>899</v>
      </c>
      <c r="J45" s="50" t="s">
        <v>11</v>
      </c>
    </row>
    <row r="46" spans="1:10" ht="40.35" customHeight="1">
      <c r="A46" s="13" t="s">
        <v>704</v>
      </c>
      <c r="B46" s="13" t="s">
        <v>677</v>
      </c>
      <c r="C46" s="13" t="s">
        <v>677</v>
      </c>
      <c r="D46" s="13" t="s">
        <v>677</v>
      </c>
      <c r="E46" s="13" t="s">
        <v>677</v>
      </c>
      <c r="F46" s="13" t="s">
        <v>677</v>
      </c>
      <c r="G46" s="13" t="s">
        <v>677</v>
      </c>
      <c r="H46" s="13" t="s">
        <v>677</v>
      </c>
      <c r="I46" s="13" t="s">
        <v>677</v>
      </c>
      <c r="J46" s="13" t="s">
        <v>2593</v>
      </c>
    </row>
    <row r="47" spans="1:10" ht="26.85" customHeight="1">
      <c r="A47" s="13" t="s">
        <v>2565</v>
      </c>
      <c r="B47" s="13" t="s">
        <v>677</v>
      </c>
      <c r="C47" s="13" t="s">
        <v>677</v>
      </c>
      <c r="D47" s="13" t="s">
        <v>677</v>
      </c>
      <c r="E47" s="13" t="s">
        <v>677</v>
      </c>
      <c r="F47" s="13" t="s">
        <v>677</v>
      </c>
      <c r="G47" s="13" t="s">
        <v>677</v>
      </c>
      <c r="H47" s="13" t="s">
        <v>677</v>
      </c>
      <c r="I47" s="13" t="s">
        <v>677</v>
      </c>
      <c r="J47" s="13" t="s">
        <v>2594</v>
      </c>
    </row>
    <row r="48" spans="1:10" ht="13.35" customHeight="1">
      <c r="A48" s="13" t="s">
        <v>2578</v>
      </c>
      <c r="B48" s="13" t="s">
        <v>677</v>
      </c>
      <c r="C48" s="13" t="s">
        <v>677</v>
      </c>
      <c r="D48" s="13" t="s">
        <v>677</v>
      </c>
      <c r="E48" s="13" t="s">
        <v>677</v>
      </c>
      <c r="F48" s="13" t="s">
        <v>677</v>
      </c>
      <c r="G48" s="13" t="s">
        <v>677</v>
      </c>
      <c r="H48" s="13" t="s">
        <v>677</v>
      </c>
      <c r="I48" s="13" t="s">
        <v>677</v>
      </c>
      <c r="J48" s="13" t="s">
        <v>2595</v>
      </c>
    </row>
    <row r="49" spans="1:10" ht="7.35" customHeight="1">
      <c r="A49" s="13"/>
      <c r="B49" s="13"/>
      <c r="C49" s="13"/>
      <c r="D49" s="13"/>
      <c r="E49" s="13"/>
      <c r="F49" s="13"/>
      <c r="G49" s="13"/>
      <c r="H49" s="13"/>
      <c r="I49" s="13"/>
      <c r="J49" s="13"/>
    </row>
    <row r="50" spans="1:10" ht="5.4" customHeight="1">
      <c r="A50" s="842" t="s">
        <v>1019</v>
      </c>
      <c r="B50" s="839"/>
      <c r="C50" s="839"/>
      <c r="D50" s="85"/>
      <c r="E50" s="85"/>
      <c r="F50" s="85"/>
      <c r="G50" s="85"/>
      <c r="H50" s="85"/>
      <c r="I50" s="85"/>
      <c r="J50" s="85"/>
    </row>
    <row r="51" spans="1:10" ht="7.35" customHeight="1">
      <c r="A51" s="50" t="s">
        <v>213</v>
      </c>
      <c r="B51" s="50" t="s">
        <v>275</v>
      </c>
      <c r="C51" s="50" t="s">
        <v>573</v>
      </c>
      <c r="D51" s="50" t="s">
        <v>215</v>
      </c>
      <c r="E51" s="50" t="s">
        <v>257</v>
      </c>
      <c r="F51" s="50" t="s">
        <v>572</v>
      </c>
      <c r="G51" s="50" t="s">
        <v>259</v>
      </c>
      <c r="H51" s="50" t="s">
        <v>216</v>
      </c>
      <c r="I51" s="50" t="s">
        <v>77</v>
      </c>
      <c r="J51" s="50" t="s">
        <v>11</v>
      </c>
    </row>
    <row r="52" spans="1:10" ht="26.85" customHeight="1">
      <c r="A52" s="13" t="s">
        <v>2596</v>
      </c>
      <c r="B52" s="13" t="s">
        <v>575</v>
      </c>
      <c r="C52" s="13" t="s">
        <v>2597</v>
      </c>
      <c r="D52" s="13" t="s">
        <v>391</v>
      </c>
      <c r="E52" s="13" t="s">
        <v>488</v>
      </c>
      <c r="F52" s="13">
        <v>6</v>
      </c>
      <c r="G52" s="13" t="s">
        <v>1381</v>
      </c>
      <c r="H52" s="13" t="s">
        <v>1023</v>
      </c>
      <c r="I52" s="13" t="s">
        <v>502</v>
      </c>
      <c r="J52" s="13" t="s">
        <v>2598</v>
      </c>
    </row>
    <row r="53" spans="1:10" ht="26.85" customHeight="1">
      <c r="A53" s="13" t="s">
        <v>2599</v>
      </c>
      <c r="B53" s="13" t="s">
        <v>704</v>
      </c>
      <c r="C53" s="13" t="s">
        <v>2231</v>
      </c>
      <c r="D53" s="13" t="s">
        <v>391</v>
      </c>
      <c r="E53" s="13" t="s">
        <v>488</v>
      </c>
      <c r="F53" s="13">
        <v>6</v>
      </c>
      <c r="G53" s="13" t="s">
        <v>2232</v>
      </c>
      <c r="H53" s="13" t="s">
        <v>1858</v>
      </c>
      <c r="I53" s="13" t="s">
        <v>502</v>
      </c>
      <c r="J53" s="13" t="s">
        <v>2600</v>
      </c>
    </row>
    <row r="54" spans="1:10" ht="33.75" customHeight="1">
      <c r="A54" s="13" t="s">
        <v>2601</v>
      </c>
      <c r="B54" s="13" t="s">
        <v>2565</v>
      </c>
      <c r="C54" s="13" t="s">
        <v>2418</v>
      </c>
      <c r="D54" s="13" t="s">
        <v>492</v>
      </c>
      <c r="E54" s="13" t="s">
        <v>488</v>
      </c>
      <c r="F54" s="13">
        <v>8</v>
      </c>
      <c r="G54" s="13" t="s">
        <v>2236</v>
      </c>
      <c r="H54" s="13" t="s">
        <v>584</v>
      </c>
      <c r="I54" s="13" t="s">
        <v>502</v>
      </c>
      <c r="J54" s="13" t="s">
        <v>2602</v>
      </c>
    </row>
    <row r="55" spans="1:10" ht="40.35" customHeight="1">
      <c r="A55" s="13" t="s">
        <v>2603</v>
      </c>
      <c r="B55" s="13" t="s">
        <v>704</v>
      </c>
      <c r="C55" s="13" t="s">
        <v>593</v>
      </c>
      <c r="D55" s="13" t="s">
        <v>492</v>
      </c>
      <c r="E55" s="13" t="s">
        <v>488</v>
      </c>
      <c r="F55" s="13">
        <v>8</v>
      </c>
      <c r="G55" s="13" t="s">
        <v>2239</v>
      </c>
      <c r="H55" s="13" t="s">
        <v>592</v>
      </c>
      <c r="I55" s="13" t="s">
        <v>502</v>
      </c>
      <c r="J55" s="13" t="s">
        <v>1028</v>
      </c>
    </row>
    <row r="56" spans="1:10" ht="47.25" customHeight="1">
      <c r="A56" s="13" t="s">
        <v>2604</v>
      </c>
      <c r="B56" s="13" t="s">
        <v>704</v>
      </c>
      <c r="C56" s="13" t="s">
        <v>2605</v>
      </c>
      <c r="D56" s="13" t="s">
        <v>391</v>
      </c>
      <c r="E56" s="13" t="s">
        <v>488</v>
      </c>
      <c r="F56" s="13">
        <v>6</v>
      </c>
      <c r="G56" s="13" t="s">
        <v>2606</v>
      </c>
      <c r="H56" s="13" t="s">
        <v>1032</v>
      </c>
      <c r="I56" s="13" t="s">
        <v>502</v>
      </c>
      <c r="J56" s="13" t="s">
        <v>2607</v>
      </c>
    </row>
    <row r="57" spans="1:10" ht="40.35" customHeight="1">
      <c r="A57" s="13" t="s">
        <v>2608</v>
      </c>
      <c r="B57" s="13" t="s">
        <v>2609</v>
      </c>
      <c r="C57" s="13" t="s">
        <v>2610</v>
      </c>
      <c r="D57" s="13" t="s">
        <v>391</v>
      </c>
      <c r="E57" s="13" t="s">
        <v>488</v>
      </c>
      <c r="F57" s="13">
        <v>6</v>
      </c>
      <c r="G57" s="13" t="s">
        <v>2611</v>
      </c>
      <c r="H57" s="13" t="s">
        <v>1037</v>
      </c>
      <c r="I57" s="13" t="s">
        <v>502</v>
      </c>
      <c r="J57" s="13" t="s">
        <v>2612</v>
      </c>
    </row>
    <row r="58" spans="1:10" ht="33.75" customHeight="1">
      <c r="A58" s="13" t="s">
        <v>2613</v>
      </c>
      <c r="B58" s="13" t="s">
        <v>575</v>
      </c>
      <c r="C58" s="13" t="s">
        <v>2614</v>
      </c>
      <c r="D58" s="13" t="s">
        <v>492</v>
      </c>
      <c r="E58" s="13" t="s">
        <v>488</v>
      </c>
      <c r="F58" s="13">
        <v>8</v>
      </c>
      <c r="G58" s="13" t="s">
        <v>1039</v>
      </c>
      <c r="H58" s="13" t="s">
        <v>584</v>
      </c>
      <c r="I58" s="13" t="s">
        <v>502</v>
      </c>
      <c r="J58" s="13" t="s">
        <v>2615</v>
      </c>
    </row>
    <row r="59" spans="1:10" ht="47.25" customHeight="1">
      <c r="A59" s="13" t="s">
        <v>2616</v>
      </c>
      <c r="B59" s="13" t="s">
        <v>575</v>
      </c>
      <c r="C59" s="13" t="s">
        <v>1047</v>
      </c>
      <c r="D59" s="13" t="s">
        <v>391</v>
      </c>
      <c r="E59" s="13" t="s">
        <v>488</v>
      </c>
      <c r="F59" s="13">
        <v>6</v>
      </c>
      <c r="G59" s="13" t="s">
        <v>2252</v>
      </c>
      <c r="H59" s="13" t="s">
        <v>1049</v>
      </c>
      <c r="I59" s="13" t="s">
        <v>502</v>
      </c>
      <c r="J59" s="13" t="s">
        <v>1737</v>
      </c>
    </row>
    <row r="60" spans="1:10" ht="7.35" customHeight="1">
      <c r="A60" s="13"/>
      <c r="B60" s="13"/>
      <c r="C60" s="13"/>
      <c r="D60" s="13"/>
      <c r="E60" s="13"/>
      <c r="F60" s="13"/>
      <c r="G60" s="13"/>
      <c r="H60" s="13"/>
      <c r="I60" s="13"/>
      <c r="J60" s="13"/>
    </row>
    <row r="61" spans="1:10" ht="5.4" customHeight="1">
      <c r="A61" s="842" t="s">
        <v>1051</v>
      </c>
      <c r="B61" s="839"/>
      <c r="C61" s="839"/>
      <c r="D61" s="85"/>
      <c r="E61" s="85"/>
      <c r="F61" s="85"/>
      <c r="G61" s="85"/>
      <c r="H61" s="85"/>
      <c r="I61" s="85"/>
      <c r="J61" s="85"/>
    </row>
    <row r="62" spans="1:10" ht="7.35" customHeight="1">
      <c r="A62" s="50" t="s">
        <v>221</v>
      </c>
      <c r="B62" s="50" t="s">
        <v>222</v>
      </c>
      <c r="C62" s="50" t="s">
        <v>265</v>
      </c>
      <c r="D62" s="50" t="s">
        <v>77</v>
      </c>
      <c r="E62" s="50" t="s">
        <v>878</v>
      </c>
      <c r="F62" s="50" t="s">
        <v>879</v>
      </c>
      <c r="G62" s="50" t="s">
        <v>880</v>
      </c>
      <c r="H62" s="50" t="s">
        <v>494</v>
      </c>
      <c r="I62" s="50" t="s">
        <v>881</v>
      </c>
      <c r="J62" s="50" t="s">
        <v>11</v>
      </c>
    </row>
    <row r="63" spans="1:10" ht="33.75" customHeight="1">
      <c r="A63" s="13" t="s">
        <v>2617</v>
      </c>
      <c r="B63" s="13" t="s">
        <v>2618</v>
      </c>
      <c r="C63" s="13" t="s">
        <v>579</v>
      </c>
      <c r="D63" s="13" t="s">
        <v>502</v>
      </c>
      <c r="E63" s="13"/>
      <c r="F63" s="13"/>
      <c r="G63" s="13" t="s">
        <v>2619</v>
      </c>
      <c r="H63" s="13"/>
      <c r="I63" s="13"/>
      <c r="J63" s="13"/>
    </row>
    <row r="64" spans="1:10" ht="26.85" customHeight="1">
      <c r="A64" s="13" t="s">
        <v>2620</v>
      </c>
      <c r="B64" s="13" t="s">
        <v>2621</v>
      </c>
      <c r="C64" s="13" t="s">
        <v>587</v>
      </c>
      <c r="D64" s="13" t="s">
        <v>502</v>
      </c>
      <c r="E64" s="13"/>
      <c r="F64" s="13"/>
      <c r="G64" s="13" t="s">
        <v>588</v>
      </c>
      <c r="H64" s="13"/>
      <c r="I64" s="13"/>
      <c r="J64" s="13"/>
    </row>
    <row r="65" spans="1:10" ht="26.85" customHeight="1">
      <c r="A65" s="13" t="s">
        <v>2622</v>
      </c>
      <c r="B65" s="13" t="s">
        <v>2623</v>
      </c>
      <c r="C65" s="13" t="s">
        <v>579</v>
      </c>
      <c r="D65" s="13" t="s">
        <v>502</v>
      </c>
      <c r="E65" s="13"/>
      <c r="F65" s="13"/>
      <c r="G65" s="13" t="s">
        <v>2624</v>
      </c>
      <c r="H65" s="13"/>
      <c r="I65" s="13"/>
      <c r="J65" s="13"/>
    </row>
    <row r="66" spans="1:10" ht="26.85" customHeight="1">
      <c r="A66" s="13" t="s">
        <v>2625</v>
      </c>
      <c r="B66" s="13" t="s">
        <v>2626</v>
      </c>
      <c r="C66" s="13" t="s">
        <v>601</v>
      </c>
      <c r="D66" s="13" t="s">
        <v>502</v>
      </c>
      <c r="E66" s="13"/>
      <c r="F66" s="13"/>
      <c r="G66" s="13" t="s">
        <v>602</v>
      </c>
      <c r="H66" s="13"/>
      <c r="I66" s="13"/>
      <c r="J66" s="13"/>
    </row>
    <row r="67" spans="1:10" ht="33.75" customHeight="1">
      <c r="A67" s="13" t="s">
        <v>2627</v>
      </c>
      <c r="B67" s="13" t="s">
        <v>2628</v>
      </c>
      <c r="C67" s="13" t="s">
        <v>609</v>
      </c>
      <c r="D67" s="13" t="s">
        <v>502</v>
      </c>
      <c r="E67" s="13"/>
      <c r="F67" s="13"/>
      <c r="G67" s="13" t="s">
        <v>610</v>
      </c>
      <c r="H67" s="13"/>
      <c r="I67" s="13"/>
      <c r="J67" s="13"/>
    </row>
    <row r="68" spans="1:10" ht="40.35" customHeight="1">
      <c r="A68" s="13" t="s">
        <v>2629</v>
      </c>
      <c r="B68" s="13" t="s">
        <v>2630</v>
      </c>
      <c r="C68" s="13" t="s">
        <v>616</v>
      </c>
      <c r="D68" s="13" t="s">
        <v>502</v>
      </c>
      <c r="E68" s="13"/>
      <c r="F68" s="13"/>
      <c r="G68" s="13" t="s">
        <v>617</v>
      </c>
      <c r="H68" s="13"/>
      <c r="I68" s="13"/>
      <c r="J68" s="13"/>
    </row>
    <row r="69" spans="1:10" ht="33.75" customHeight="1">
      <c r="A69" s="13" t="s">
        <v>2631</v>
      </c>
      <c r="B69" s="13" t="s">
        <v>624</v>
      </c>
      <c r="C69" s="13" t="s">
        <v>622</v>
      </c>
      <c r="D69" s="13" t="s">
        <v>502</v>
      </c>
      <c r="E69" s="13"/>
      <c r="F69" s="13"/>
      <c r="G69" s="13" t="s">
        <v>623</v>
      </c>
      <c r="H69" s="13"/>
      <c r="I69" s="13"/>
      <c r="J69" s="13"/>
    </row>
    <row r="70" spans="1:10" ht="33.75" customHeight="1">
      <c r="A70" s="13" t="s">
        <v>2632</v>
      </c>
      <c r="B70" s="13" t="s">
        <v>1753</v>
      </c>
      <c r="C70" s="13" t="s">
        <v>1049</v>
      </c>
      <c r="D70" s="13" t="s">
        <v>502</v>
      </c>
      <c r="E70" s="13"/>
      <c r="F70" s="13"/>
      <c r="G70" s="13" t="s">
        <v>631</v>
      </c>
      <c r="H70" s="13"/>
      <c r="I70" s="13"/>
      <c r="J70" s="13"/>
    </row>
    <row r="71" spans="1:10" ht="7.35" customHeight="1">
      <c r="A71" s="13"/>
      <c r="B71" s="13"/>
      <c r="C71" s="13"/>
      <c r="D71" s="13"/>
      <c r="E71" s="13"/>
      <c r="F71" s="13"/>
      <c r="G71" s="13"/>
      <c r="H71" s="13"/>
      <c r="I71" s="13"/>
      <c r="J71" s="13"/>
    </row>
    <row r="72" spans="1:10" ht="5.4" customHeight="1">
      <c r="A72" s="842" t="s">
        <v>1052</v>
      </c>
      <c r="B72" s="839"/>
      <c r="C72" s="839"/>
      <c r="D72" s="85"/>
      <c r="E72" s="85"/>
      <c r="F72" s="85"/>
      <c r="G72" s="85"/>
      <c r="H72" s="85"/>
      <c r="I72" s="85"/>
      <c r="J72" s="85"/>
    </row>
    <row r="73" spans="1:10" ht="7.35" customHeight="1">
      <c r="A73" s="50" t="s">
        <v>291</v>
      </c>
      <c r="B73" s="50" t="s">
        <v>275</v>
      </c>
      <c r="C73" s="50" t="s">
        <v>493</v>
      </c>
      <c r="D73" s="50" t="s">
        <v>214</v>
      </c>
      <c r="E73" s="50" t="s">
        <v>263</v>
      </c>
      <c r="F73" s="50" t="s">
        <v>891</v>
      </c>
      <c r="G73" s="50" t="s">
        <v>892</v>
      </c>
      <c r="H73" s="50" t="s">
        <v>893</v>
      </c>
      <c r="I73" s="50" t="s">
        <v>77</v>
      </c>
      <c r="J73" s="50" t="s">
        <v>11</v>
      </c>
    </row>
    <row r="74" spans="1:10" ht="47.25" customHeight="1">
      <c r="A74" s="13" t="s">
        <v>2633</v>
      </c>
      <c r="B74" s="13" t="s">
        <v>704</v>
      </c>
      <c r="C74" s="13" t="s">
        <v>269</v>
      </c>
      <c r="D74" s="13" t="s">
        <v>2634</v>
      </c>
      <c r="E74" s="13"/>
      <c r="F74" s="13" t="s">
        <v>229</v>
      </c>
      <c r="G74" s="13"/>
      <c r="H74" s="13" t="s">
        <v>2635</v>
      </c>
      <c r="I74" s="13" t="s">
        <v>502</v>
      </c>
      <c r="J74" s="13"/>
    </row>
    <row r="75" spans="1:10" ht="60.75" customHeight="1">
      <c r="A75" s="13" t="s">
        <v>2636</v>
      </c>
      <c r="B75" s="13" t="s">
        <v>2565</v>
      </c>
      <c r="C75" s="13" t="s">
        <v>269</v>
      </c>
      <c r="D75" s="13" t="s">
        <v>2637</v>
      </c>
      <c r="E75" s="13"/>
      <c r="F75" s="13" t="s">
        <v>229</v>
      </c>
      <c r="G75" s="13"/>
      <c r="H75" s="13" t="s">
        <v>2638</v>
      </c>
      <c r="I75" s="13" t="s">
        <v>502</v>
      </c>
      <c r="J75" s="13"/>
    </row>
    <row r="76" spans="1:10" ht="26.85" customHeight="1">
      <c r="A76" s="13" t="s">
        <v>2639</v>
      </c>
      <c r="B76" s="13" t="s">
        <v>2578</v>
      </c>
      <c r="C76" s="13" t="s">
        <v>2640</v>
      </c>
      <c r="D76" s="13" t="s">
        <v>2641</v>
      </c>
      <c r="E76" s="13"/>
      <c r="F76" s="13" t="s">
        <v>229</v>
      </c>
      <c r="G76" s="13"/>
      <c r="H76" s="13" t="s">
        <v>2642</v>
      </c>
      <c r="I76" s="13" t="s">
        <v>502</v>
      </c>
      <c r="J76" s="13"/>
    </row>
    <row r="77" spans="1:10" ht="33.75" customHeight="1">
      <c r="A77" s="13" t="s">
        <v>2643</v>
      </c>
      <c r="B77" s="13" t="s">
        <v>704</v>
      </c>
      <c r="C77" s="13" t="s">
        <v>749</v>
      </c>
      <c r="D77" s="13" t="s">
        <v>2274</v>
      </c>
      <c r="E77" s="13"/>
      <c r="F77" s="13" t="s">
        <v>229</v>
      </c>
      <c r="G77" s="13"/>
      <c r="H77" s="13" t="s">
        <v>2599</v>
      </c>
      <c r="I77" s="13" t="s">
        <v>502</v>
      </c>
      <c r="J77" s="13"/>
    </row>
    <row r="78" spans="1:10" ht="26.85" customHeight="1">
      <c r="A78" s="13" t="s">
        <v>2644</v>
      </c>
      <c r="B78" s="13" t="s">
        <v>2645</v>
      </c>
      <c r="C78" s="13" t="s">
        <v>957</v>
      </c>
      <c r="D78" s="13" t="s">
        <v>2646</v>
      </c>
      <c r="E78" s="13"/>
      <c r="F78" s="13" t="s">
        <v>229</v>
      </c>
      <c r="G78" s="13"/>
      <c r="H78" s="13" t="s">
        <v>2608</v>
      </c>
      <c r="I78" s="13" t="s">
        <v>502</v>
      </c>
      <c r="J78" s="13"/>
    </row>
    <row r="79" spans="1:10" ht="40.35" customHeight="1">
      <c r="A79" s="13" t="s">
        <v>2647</v>
      </c>
      <c r="B79" s="13" t="s">
        <v>704</v>
      </c>
      <c r="C79" s="13" t="s">
        <v>148</v>
      </c>
      <c r="D79" s="13" t="s">
        <v>2081</v>
      </c>
      <c r="E79" s="13"/>
      <c r="F79" s="13" t="s">
        <v>229</v>
      </c>
      <c r="G79" s="13"/>
      <c r="H79" s="13" t="s">
        <v>2603</v>
      </c>
      <c r="I79" s="13" t="s">
        <v>502</v>
      </c>
      <c r="J79" s="13"/>
    </row>
    <row r="80" spans="1:10" ht="47.25" customHeight="1">
      <c r="A80" s="13" t="s">
        <v>2648</v>
      </c>
      <c r="B80" s="13" t="s">
        <v>704</v>
      </c>
      <c r="C80" s="13" t="s">
        <v>153</v>
      </c>
      <c r="D80" s="13" t="s">
        <v>2649</v>
      </c>
      <c r="E80" s="13"/>
      <c r="F80" s="13" t="s">
        <v>229</v>
      </c>
      <c r="G80" s="13"/>
      <c r="H80" s="13" t="s">
        <v>2604</v>
      </c>
      <c r="I80" s="13" t="s">
        <v>502</v>
      </c>
      <c r="J80" s="13"/>
    </row>
    <row r="81" spans="1:10" ht="47.25" customHeight="1">
      <c r="A81" s="13" t="s">
        <v>2650</v>
      </c>
      <c r="B81" s="13" t="s">
        <v>2651</v>
      </c>
      <c r="C81" s="13" t="s">
        <v>1975</v>
      </c>
      <c r="D81" s="13" t="s">
        <v>2652</v>
      </c>
      <c r="E81" s="13"/>
      <c r="F81" s="13" t="s">
        <v>229</v>
      </c>
      <c r="G81" s="13"/>
      <c r="H81" s="13" t="s">
        <v>2653</v>
      </c>
      <c r="I81" s="13" t="s">
        <v>502</v>
      </c>
      <c r="J81" s="13"/>
    </row>
    <row r="82" spans="1:10" ht="7.35" customHeight="1">
      <c r="A82" s="13"/>
      <c r="B82" s="13"/>
      <c r="C82" s="13"/>
      <c r="D82" s="13"/>
      <c r="E82" s="13"/>
      <c r="F82" s="13"/>
      <c r="G82" s="13"/>
      <c r="H82" s="13"/>
      <c r="I82" s="13"/>
      <c r="J82" s="13"/>
    </row>
    <row r="83" spans="1:10" ht="5.4" customHeight="1">
      <c r="A83" s="85" t="s">
        <v>1079</v>
      </c>
      <c r="B83" s="85"/>
      <c r="C83" s="85"/>
      <c r="D83" s="85"/>
      <c r="E83" s="85"/>
      <c r="F83" s="85"/>
      <c r="G83" s="85"/>
      <c r="H83" s="85"/>
      <c r="I83" s="85"/>
      <c r="J83" s="85"/>
    </row>
    <row r="84" spans="1:10" ht="7.35" customHeight="1">
      <c r="A84" s="50" t="s">
        <v>275</v>
      </c>
      <c r="B84" s="50" t="s">
        <v>895</v>
      </c>
      <c r="C84" s="50" t="s">
        <v>896</v>
      </c>
      <c r="D84" s="50" t="s">
        <v>148</v>
      </c>
      <c r="E84" s="50" t="s">
        <v>153</v>
      </c>
      <c r="F84" s="50" t="s">
        <v>155</v>
      </c>
      <c r="G84" s="50" t="s">
        <v>491</v>
      </c>
      <c r="H84" s="50" t="s">
        <v>897</v>
      </c>
      <c r="I84" s="50" t="s">
        <v>174</v>
      </c>
      <c r="J84" s="50" t="s">
        <v>11</v>
      </c>
    </row>
    <row r="85" spans="1:10" ht="26.85" customHeight="1">
      <c r="A85" s="13" t="s">
        <v>704</v>
      </c>
      <c r="B85" s="13">
        <v>0.5</v>
      </c>
      <c r="C85" s="13">
        <v>0.5</v>
      </c>
      <c r="D85" s="13">
        <v>0.5</v>
      </c>
      <c r="E85" s="13">
        <v>0.5</v>
      </c>
      <c r="F85" s="13">
        <v>0.5</v>
      </c>
      <c r="G85" s="13" t="s">
        <v>677</v>
      </c>
      <c r="H85" s="13">
        <v>0.5</v>
      </c>
      <c r="I85" s="13" t="s">
        <v>1201</v>
      </c>
      <c r="J85" s="13" t="s">
        <v>2654</v>
      </c>
    </row>
    <row r="86" spans="1:10" ht="19.95" customHeight="1">
      <c r="A86" s="13" t="s">
        <v>2565</v>
      </c>
      <c r="B86" s="13">
        <v>0.5</v>
      </c>
      <c r="C86" s="13">
        <v>0.5</v>
      </c>
      <c r="D86" s="13">
        <v>0.5</v>
      </c>
      <c r="E86" s="13">
        <v>0.5</v>
      </c>
      <c r="F86" s="13">
        <v>0.5</v>
      </c>
      <c r="G86" s="13" t="s">
        <v>677</v>
      </c>
      <c r="H86" s="13">
        <v>0.5</v>
      </c>
      <c r="I86" s="13" t="s">
        <v>1201</v>
      </c>
      <c r="J86" s="13" t="s">
        <v>2655</v>
      </c>
    </row>
    <row r="87" spans="1:10" ht="19.95" customHeight="1">
      <c r="A87" s="13" t="s">
        <v>2578</v>
      </c>
      <c r="B87" s="13">
        <v>0.5</v>
      </c>
      <c r="C87" s="13">
        <v>0.5</v>
      </c>
      <c r="D87" s="13" t="s">
        <v>679</v>
      </c>
      <c r="E87" s="13">
        <v>0.5</v>
      </c>
      <c r="F87" s="13">
        <v>0.5</v>
      </c>
      <c r="G87" s="13" t="s">
        <v>677</v>
      </c>
      <c r="H87" s="13">
        <v>0.5</v>
      </c>
      <c r="I87" s="13" t="s">
        <v>1201</v>
      </c>
      <c r="J87" s="13" t="s">
        <v>2656</v>
      </c>
    </row>
    <row r="88" spans="1:10" ht="7.35" customHeight="1">
      <c r="A88" s="13"/>
      <c r="B88" s="13"/>
      <c r="C88" s="13"/>
      <c r="D88" s="13"/>
      <c r="E88" s="13"/>
      <c r="F88" s="13"/>
      <c r="G88" s="13"/>
      <c r="H88" s="13"/>
      <c r="I88" s="13"/>
      <c r="J88" s="13"/>
    </row>
    <row r="89" spans="1:10" ht="5.4" customHeight="1">
      <c r="A89" s="85" t="s">
        <v>1085</v>
      </c>
      <c r="B89" s="85"/>
      <c r="C89" s="85"/>
      <c r="D89" s="85"/>
      <c r="E89" s="85"/>
      <c r="F89" s="85"/>
      <c r="G89" s="85"/>
      <c r="H89" s="85"/>
      <c r="I89" s="85"/>
      <c r="J89" s="85"/>
    </row>
    <row r="90" spans="1:10" ht="26.85" customHeight="1">
      <c r="A90" s="50" t="s">
        <v>905</v>
      </c>
      <c r="B90" s="50" t="s">
        <v>2657</v>
      </c>
      <c r="C90" s="50"/>
      <c r="D90" s="50"/>
      <c r="E90" s="50"/>
      <c r="F90" s="50"/>
      <c r="G90" s="50"/>
      <c r="H90" s="50"/>
      <c r="I90" s="50"/>
      <c r="J90" s="50"/>
    </row>
    <row r="91" spans="1:10" ht="81" customHeight="1">
      <c r="A91" s="13" t="s">
        <v>1086</v>
      </c>
      <c r="B91" s="13" t="s">
        <v>2658</v>
      </c>
      <c r="C91" s="13"/>
      <c r="D91" s="13"/>
      <c r="E91" s="13"/>
      <c r="F91" s="13"/>
      <c r="G91" s="13"/>
      <c r="H91" s="13"/>
      <c r="I91" s="13"/>
      <c r="J91" s="13"/>
    </row>
    <row r="92" spans="1:10" ht="74.099999999999994" customHeight="1">
      <c r="A92" s="13" t="s">
        <v>2090</v>
      </c>
      <c r="B92" s="13" t="s">
        <v>2659</v>
      </c>
      <c r="C92" s="13"/>
      <c r="D92" s="13"/>
      <c r="E92" s="13"/>
      <c r="F92" s="13"/>
      <c r="G92" s="13"/>
      <c r="H92" s="13"/>
      <c r="I92" s="13"/>
      <c r="J92" s="13"/>
    </row>
    <row r="93" spans="1:10" ht="128.25" customHeight="1">
      <c r="A93" s="13" t="s">
        <v>1088</v>
      </c>
      <c r="B93" s="13" t="s">
        <v>2660</v>
      </c>
      <c r="C93" s="13"/>
      <c r="D93" s="13"/>
      <c r="E93" s="13"/>
      <c r="F93" s="13"/>
      <c r="G93" s="13"/>
      <c r="H93" s="13"/>
      <c r="I93" s="13"/>
      <c r="J93" s="13"/>
    </row>
    <row r="94" spans="1:10" ht="74.099999999999994" customHeight="1">
      <c r="A94" s="13" t="s">
        <v>1089</v>
      </c>
      <c r="B94" s="13" t="s">
        <v>2661</v>
      </c>
      <c r="C94" s="13"/>
      <c r="D94" s="13"/>
      <c r="E94" s="13"/>
      <c r="F94" s="13"/>
      <c r="G94" s="13"/>
      <c r="H94" s="13"/>
      <c r="I94" s="13"/>
      <c r="J94" s="13"/>
    </row>
    <row r="95" spans="1:10" ht="94.5" customHeight="1">
      <c r="A95" s="13" t="s">
        <v>1090</v>
      </c>
      <c r="B95" s="13" t="s">
        <v>2662</v>
      </c>
      <c r="C95" s="13"/>
      <c r="D95" s="13"/>
      <c r="E95" s="13"/>
      <c r="F95" s="13"/>
      <c r="G95" s="13"/>
      <c r="H95" s="13"/>
      <c r="I95" s="13"/>
      <c r="J95" s="13"/>
    </row>
    <row r="96" spans="1:10" ht="94.5" customHeight="1">
      <c r="A96" s="13" t="s">
        <v>1563</v>
      </c>
      <c r="B96" s="13" t="s">
        <v>1776</v>
      </c>
      <c r="C96" s="13"/>
      <c r="D96" s="13"/>
      <c r="E96" s="13"/>
      <c r="F96" s="13"/>
      <c r="G96" s="13"/>
      <c r="H96" s="13"/>
      <c r="I96" s="13"/>
      <c r="J96" s="13"/>
    </row>
    <row r="98" spans="1:10" ht="15" thickBot="1"/>
    <row r="99" spans="1:10" ht="15" customHeight="1">
      <c r="A99" s="855" t="s">
        <v>5875</v>
      </c>
      <c r="B99" s="856"/>
      <c r="C99" s="856"/>
      <c r="D99" s="857"/>
      <c r="E99" s="856"/>
      <c r="F99" s="856"/>
      <c r="G99" s="857"/>
      <c r="H99" s="857"/>
      <c r="I99" s="857"/>
      <c r="J99" s="858"/>
    </row>
    <row r="100" spans="1:10" ht="30" customHeight="1">
      <c r="A100" s="325" t="s">
        <v>5817</v>
      </c>
      <c r="B100" s="326" t="s">
        <v>77</v>
      </c>
      <c r="C100" s="326" t="s">
        <v>5818</v>
      </c>
      <c r="D100" s="326" t="s">
        <v>5819</v>
      </c>
      <c r="E100" s="326" t="s">
        <v>5841</v>
      </c>
      <c r="F100" s="326" t="s">
        <v>5808</v>
      </c>
      <c r="G100" s="859" t="s">
        <v>5842</v>
      </c>
      <c r="H100" s="859"/>
      <c r="I100" s="859"/>
      <c r="J100" s="860"/>
    </row>
    <row r="101" spans="1:10" ht="25.5" customHeight="1">
      <c r="A101" s="327" t="s">
        <v>5820</v>
      </c>
      <c r="B101" s="337" t="s">
        <v>484</v>
      </c>
      <c r="C101" s="329">
        <v>0</v>
      </c>
      <c r="D101" s="329">
        <v>0</v>
      </c>
      <c r="E101" s="196" t="s">
        <v>5881</v>
      </c>
      <c r="F101" s="329">
        <f>IF(AND(C101&lt;&gt;"",D101&lt;&gt;""),D101-C101,"")</f>
        <v>0</v>
      </c>
      <c r="G101" s="861"/>
      <c r="H101" s="861"/>
      <c r="I101" s="861"/>
      <c r="J101" s="862"/>
    </row>
    <row r="102" spans="1:10" ht="25.5" customHeight="1">
      <c r="A102" s="330" t="s">
        <v>5821</v>
      </c>
      <c r="B102" s="337" t="s">
        <v>484</v>
      </c>
      <c r="C102" s="331">
        <v>1</v>
      </c>
      <c r="D102" s="331">
        <v>0</v>
      </c>
      <c r="E102" s="314" t="s">
        <v>5882</v>
      </c>
      <c r="F102" s="331">
        <f>IF(AND(C102&lt;&gt;"",D102&lt;&gt;""),D102-C102,"")</f>
        <v>-1</v>
      </c>
      <c r="G102" s="863"/>
      <c r="H102" s="863"/>
      <c r="I102" s="863"/>
      <c r="J102" s="864"/>
    </row>
    <row r="103" spans="1:10" ht="15" customHeight="1">
      <c r="A103" s="327" t="s">
        <v>5822</v>
      </c>
      <c r="B103" s="337" t="s">
        <v>484</v>
      </c>
      <c r="C103" s="331">
        <v>1</v>
      </c>
      <c r="D103" s="331">
        <v>0</v>
      </c>
      <c r="E103" s="314" t="s">
        <v>5882</v>
      </c>
      <c r="F103" s="329">
        <f>IF(AND(C103&lt;&gt;"",D103&lt;&gt;""),D103-C103,"")</f>
        <v>-1</v>
      </c>
      <c r="G103" s="332"/>
      <c r="H103" s="231"/>
      <c r="I103" s="231"/>
      <c r="J103" s="333"/>
    </row>
    <row r="104" spans="1:10" ht="15" customHeight="1">
      <c r="A104" s="330" t="s">
        <v>5823</v>
      </c>
      <c r="B104" s="337" t="s">
        <v>484</v>
      </c>
      <c r="C104" s="331">
        <v>1</v>
      </c>
      <c r="D104" s="331">
        <v>0</v>
      </c>
      <c r="E104" s="314" t="s">
        <v>5882</v>
      </c>
      <c r="F104" s="331">
        <f>IF(AND(C104&lt;&gt;"",D104&lt;&gt;""),D104-C104,"")</f>
        <v>-1</v>
      </c>
      <c r="G104" s="863"/>
      <c r="H104" s="863"/>
      <c r="I104" s="863"/>
      <c r="J104" s="864"/>
    </row>
    <row r="105" spans="1:10" ht="15" customHeight="1">
      <c r="A105" s="327" t="s">
        <v>5168</v>
      </c>
      <c r="B105" s="337" t="s">
        <v>484</v>
      </c>
      <c r="C105" s="331">
        <v>1</v>
      </c>
      <c r="D105" s="331">
        <v>0</v>
      </c>
      <c r="E105" s="314" t="s">
        <v>5882</v>
      </c>
      <c r="F105" s="329">
        <f>IF(AND(C105&lt;&gt;"",D105&lt;&gt;""),D105-C105,"")</f>
        <v>-1</v>
      </c>
      <c r="G105" s="332"/>
      <c r="H105" s="231"/>
      <c r="I105" s="231"/>
      <c r="J105" s="333"/>
    </row>
    <row r="106" spans="1:10" ht="15.75" customHeight="1">
      <c r="A106" s="865" t="s">
        <v>5843</v>
      </c>
      <c r="B106" s="713"/>
      <c r="C106" s="334">
        <f>IFERROR(AVERAGE(C101:C105),"")</f>
        <v>0.8</v>
      </c>
      <c r="D106" s="334">
        <f>IFERROR(AVERAGE(D101:D105),"")</f>
        <v>0</v>
      </c>
      <c r="E106" s="866" t="s">
        <v>5844</v>
      </c>
      <c r="F106" s="866"/>
      <c r="G106" s="866"/>
      <c r="H106" s="866"/>
      <c r="I106" s="866"/>
      <c r="J106" s="867"/>
    </row>
    <row r="107" spans="1:10" ht="20.25" customHeight="1">
      <c r="A107" s="335"/>
      <c r="B107" s="320"/>
      <c r="C107" s="320"/>
      <c r="D107" s="320"/>
      <c r="E107" s="320"/>
      <c r="F107" s="320"/>
      <c r="G107" s="320"/>
      <c r="H107" s="231"/>
      <c r="I107" s="231"/>
      <c r="J107" s="333"/>
    </row>
    <row r="108" spans="1:10">
      <c r="A108" s="876" t="s">
        <v>5876</v>
      </c>
      <c r="B108" s="853"/>
      <c r="C108" s="853"/>
      <c r="D108" s="842"/>
      <c r="E108" s="853"/>
      <c r="F108" s="853"/>
      <c r="G108" s="842"/>
      <c r="H108" s="842"/>
      <c r="I108" s="842"/>
      <c r="J108" s="868"/>
    </row>
    <row r="109" spans="1:10">
      <c r="A109" s="325" t="s">
        <v>4946</v>
      </c>
      <c r="B109" s="326" t="s">
        <v>77</v>
      </c>
      <c r="C109" s="326" t="s">
        <v>5883</v>
      </c>
      <c r="D109" s="326" t="s">
        <v>482</v>
      </c>
      <c r="E109" s="326" t="s">
        <v>572</v>
      </c>
      <c r="F109" s="326" t="s">
        <v>5846</v>
      </c>
      <c r="G109" s="859" t="s">
        <v>5847</v>
      </c>
      <c r="H109" s="859"/>
      <c r="I109" s="859"/>
      <c r="J109" s="860"/>
    </row>
    <row r="110" spans="1:10" ht="31.5" customHeight="1">
      <c r="A110" s="330" t="s">
        <v>5809</v>
      </c>
      <c r="B110" s="337" t="s">
        <v>484</v>
      </c>
      <c r="C110" s="336" t="s">
        <v>679</v>
      </c>
      <c r="D110" s="328" t="s">
        <v>679</v>
      </c>
      <c r="E110" s="336">
        <f>IF(D110="Yes",1,0)</f>
        <v>0</v>
      </c>
      <c r="F110" s="877"/>
      <c r="G110" s="877"/>
      <c r="H110" s="877"/>
      <c r="I110" s="877"/>
      <c r="J110" s="878"/>
    </row>
    <row r="111" spans="1:10" ht="20.25" customHeight="1">
      <c r="A111" s="327" t="s">
        <v>995</v>
      </c>
      <c r="B111" s="337" t="s">
        <v>484</v>
      </c>
      <c r="C111" s="336" t="s">
        <v>679</v>
      </c>
      <c r="D111" s="328" t="s">
        <v>679</v>
      </c>
      <c r="E111" s="328">
        <f t="shared" ref="E111:E117" si="0">IF(D111="Yes",1,0)</f>
        <v>0</v>
      </c>
      <c r="F111" s="877"/>
      <c r="G111" s="877"/>
      <c r="H111" s="877"/>
      <c r="I111" s="877"/>
      <c r="J111" s="878"/>
    </row>
    <row r="112" spans="1:10" ht="24.75" customHeight="1">
      <c r="A112" s="330" t="s">
        <v>5810</v>
      </c>
      <c r="B112" s="337" t="s">
        <v>484</v>
      </c>
      <c r="C112" s="336" t="s">
        <v>679</v>
      </c>
      <c r="D112" s="328" t="s">
        <v>679</v>
      </c>
      <c r="E112" s="336">
        <f t="shared" si="0"/>
        <v>0</v>
      </c>
      <c r="F112" s="877"/>
      <c r="G112" s="877"/>
      <c r="H112" s="877"/>
      <c r="I112" s="877"/>
      <c r="J112" s="878"/>
    </row>
    <row r="113" spans="1:10">
      <c r="A113" s="327" t="s">
        <v>5824</v>
      </c>
      <c r="B113" s="337" t="s">
        <v>484</v>
      </c>
      <c r="C113" s="336" t="s">
        <v>679</v>
      </c>
      <c r="D113" s="328" t="s">
        <v>679</v>
      </c>
      <c r="E113" s="328">
        <f t="shared" si="0"/>
        <v>0</v>
      </c>
      <c r="F113" s="877"/>
      <c r="G113" s="877"/>
      <c r="H113" s="877"/>
      <c r="I113" s="877"/>
      <c r="J113" s="878"/>
    </row>
    <row r="114" spans="1:10" ht="39.6">
      <c r="A114" s="330" t="s">
        <v>5825</v>
      </c>
      <c r="B114" s="337" t="s">
        <v>484</v>
      </c>
      <c r="C114" s="336" t="s">
        <v>679</v>
      </c>
      <c r="D114" s="328" t="s">
        <v>679</v>
      </c>
      <c r="E114" s="336">
        <f t="shared" si="0"/>
        <v>0</v>
      </c>
      <c r="F114" s="877"/>
      <c r="G114" s="877"/>
      <c r="H114" s="877"/>
      <c r="I114" s="877"/>
      <c r="J114" s="878"/>
    </row>
    <row r="115" spans="1:10" ht="26.4">
      <c r="A115" s="327" t="s">
        <v>5826</v>
      </c>
      <c r="B115" s="337" t="s">
        <v>484</v>
      </c>
      <c r="C115" s="336" t="s">
        <v>679</v>
      </c>
      <c r="D115" s="328" t="s">
        <v>679</v>
      </c>
      <c r="E115" s="328">
        <f t="shared" si="0"/>
        <v>0</v>
      </c>
      <c r="F115" s="877"/>
      <c r="G115" s="877"/>
      <c r="H115" s="877"/>
      <c r="I115" s="877"/>
      <c r="J115" s="878"/>
    </row>
    <row r="116" spans="1:10" ht="18.75" customHeight="1">
      <c r="A116" s="330" t="s">
        <v>5811</v>
      </c>
      <c r="B116" s="337" t="s">
        <v>484</v>
      </c>
      <c r="C116" s="336" t="s">
        <v>679</v>
      </c>
      <c r="D116" s="328" t="s">
        <v>679</v>
      </c>
      <c r="E116" s="336">
        <f t="shared" si="0"/>
        <v>0</v>
      </c>
      <c r="F116" s="877"/>
      <c r="G116" s="877"/>
      <c r="H116" s="877"/>
      <c r="I116" s="877"/>
      <c r="J116" s="878"/>
    </row>
    <row r="117" spans="1:10" ht="26.4">
      <c r="A117" s="327" t="s">
        <v>5812</v>
      </c>
      <c r="B117" s="337" t="s">
        <v>484</v>
      </c>
      <c r="C117" s="336" t="s">
        <v>679</v>
      </c>
      <c r="D117" s="328" t="s">
        <v>679</v>
      </c>
      <c r="E117" s="328">
        <f t="shared" si="0"/>
        <v>0</v>
      </c>
      <c r="F117" s="877"/>
      <c r="G117" s="877"/>
      <c r="H117" s="877"/>
      <c r="I117" s="877"/>
      <c r="J117" s="878"/>
    </row>
    <row r="118" spans="1:10" ht="28.5" customHeight="1">
      <c r="A118" s="865" t="s">
        <v>5848</v>
      </c>
      <c r="B118" s="713"/>
      <c r="C118" s="871" t="str">
        <f>IFERROR(SUM(E110:E117)/COUNTIF(C110:C117,"Yes"),"")</f>
        <v/>
      </c>
      <c r="D118" s="872"/>
      <c r="E118" s="866" t="s">
        <v>5849</v>
      </c>
      <c r="F118" s="866"/>
      <c r="G118" s="866"/>
      <c r="H118" s="866"/>
      <c r="I118" s="866"/>
      <c r="J118" s="867"/>
    </row>
    <row r="119" spans="1:10" ht="20.25" customHeight="1">
      <c r="A119" s="335"/>
      <c r="B119" s="320"/>
      <c r="C119" s="320"/>
      <c r="D119" s="320"/>
      <c r="E119" s="320"/>
      <c r="F119" s="320"/>
      <c r="G119" s="320"/>
      <c r="H119" s="231"/>
      <c r="I119" s="231"/>
      <c r="J119" s="333"/>
    </row>
    <row r="120" spans="1:10">
      <c r="A120" s="876" t="s">
        <v>5877</v>
      </c>
      <c r="B120" s="853"/>
      <c r="C120" s="853"/>
      <c r="D120" s="842"/>
      <c r="E120" s="853"/>
      <c r="F120" s="853"/>
      <c r="G120" s="842"/>
      <c r="H120" s="842"/>
      <c r="I120" s="842"/>
      <c r="J120" s="868"/>
    </row>
    <row r="121" spans="1:10" ht="30" customHeight="1">
      <c r="A121" s="325" t="s">
        <v>5850</v>
      </c>
      <c r="B121" s="326" t="s">
        <v>77</v>
      </c>
      <c r="C121" s="326" t="s">
        <v>5827</v>
      </c>
      <c r="D121" s="326" t="s">
        <v>5828</v>
      </c>
      <c r="E121" s="326" t="s">
        <v>5829</v>
      </c>
      <c r="F121" s="326" t="s">
        <v>5851</v>
      </c>
      <c r="G121" s="859" t="s">
        <v>5852</v>
      </c>
      <c r="H121" s="859"/>
      <c r="I121" s="859"/>
      <c r="J121" s="860"/>
    </row>
    <row r="122" spans="1:10" ht="26.4">
      <c r="A122" s="330" t="s">
        <v>5830</v>
      </c>
      <c r="B122" s="336" t="s">
        <v>484</v>
      </c>
      <c r="C122" s="336" t="s">
        <v>1096</v>
      </c>
      <c r="D122" s="336" t="s">
        <v>1096</v>
      </c>
      <c r="E122" s="336" t="s">
        <v>1096</v>
      </c>
      <c r="F122" s="336" t="s">
        <v>348</v>
      </c>
      <c r="G122" s="869"/>
      <c r="H122" s="869"/>
      <c r="I122" s="869"/>
      <c r="J122" s="870"/>
    </row>
    <row r="123" spans="1:10" ht="53.4" customHeight="1">
      <c r="A123" s="327" t="s">
        <v>5831</v>
      </c>
      <c r="B123" s="336" t="s">
        <v>484</v>
      </c>
      <c r="C123" s="336" t="s">
        <v>1096</v>
      </c>
      <c r="D123" s="336" t="s">
        <v>1096</v>
      </c>
      <c r="E123" s="336" t="s">
        <v>1096</v>
      </c>
      <c r="F123" s="336" t="s">
        <v>348</v>
      </c>
      <c r="G123" s="869"/>
      <c r="H123" s="869"/>
      <c r="I123" s="869"/>
      <c r="J123" s="870"/>
    </row>
    <row r="124" spans="1:10" ht="53.4" customHeight="1">
      <c r="A124" s="330" t="s">
        <v>5853</v>
      </c>
      <c r="B124" s="336" t="s">
        <v>484</v>
      </c>
      <c r="C124" s="336" t="s">
        <v>1096</v>
      </c>
      <c r="D124" s="336" t="s">
        <v>1096</v>
      </c>
      <c r="E124" s="336" t="s">
        <v>1096</v>
      </c>
      <c r="F124" s="336" t="s">
        <v>348</v>
      </c>
      <c r="G124" s="869"/>
      <c r="H124" s="869"/>
      <c r="I124" s="869"/>
      <c r="J124" s="870"/>
    </row>
    <row r="125" spans="1:10" ht="53.4" customHeight="1">
      <c r="A125" s="327" t="s">
        <v>5832</v>
      </c>
      <c r="B125" s="336" t="s">
        <v>484</v>
      </c>
      <c r="C125" s="336" t="s">
        <v>1096</v>
      </c>
      <c r="D125" s="336" t="s">
        <v>1096</v>
      </c>
      <c r="E125" s="336" t="s">
        <v>1096</v>
      </c>
      <c r="F125" s="336" t="s">
        <v>348</v>
      </c>
      <c r="G125" s="869"/>
      <c r="H125" s="869"/>
      <c r="I125" s="869"/>
      <c r="J125" s="870"/>
    </row>
    <row r="126" spans="1:10" ht="53.4" customHeight="1">
      <c r="A126" s="330" t="s">
        <v>5833</v>
      </c>
      <c r="B126" s="336" t="s">
        <v>484</v>
      </c>
      <c r="C126" s="336" t="s">
        <v>1096</v>
      </c>
      <c r="D126" s="336" t="s">
        <v>1096</v>
      </c>
      <c r="E126" s="336" t="s">
        <v>1096</v>
      </c>
      <c r="F126" s="336" t="s">
        <v>348</v>
      </c>
      <c r="G126" s="869"/>
      <c r="H126" s="869"/>
      <c r="I126" s="869"/>
      <c r="J126" s="870"/>
    </row>
    <row r="127" spans="1:10" ht="53.4" customHeight="1">
      <c r="A127" s="865" t="s">
        <v>5884</v>
      </c>
      <c r="B127" s="713"/>
      <c r="C127" s="871">
        <f>IFERROR(COUNTIF(E122:E126,"Yes")/COUNTA(A122:A126),"")</f>
        <v>0</v>
      </c>
      <c r="D127" s="872"/>
      <c r="E127" s="866" t="s">
        <v>5855</v>
      </c>
      <c r="F127" s="866"/>
      <c r="G127" s="866"/>
      <c r="H127" s="866"/>
      <c r="I127" s="866"/>
      <c r="J127" s="867"/>
    </row>
    <row r="128" spans="1:10" ht="20.25" customHeight="1">
      <c r="A128" s="335"/>
      <c r="B128" s="320"/>
      <c r="C128" s="320"/>
      <c r="D128" s="320"/>
      <c r="E128" s="320"/>
      <c r="F128" s="320"/>
      <c r="G128" s="874"/>
      <c r="H128" s="874"/>
      <c r="I128" s="874"/>
      <c r="J128" s="875"/>
    </row>
    <row r="129" spans="1:10" ht="53.4" customHeight="1">
      <c r="A129" s="876" t="s">
        <v>5878</v>
      </c>
      <c r="B129" s="853"/>
      <c r="C129" s="853"/>
      <c r="D129" s="842"/>
      <c r="E129" s="853"/>
      <c r="F129" s="853"/>
      <c r="G129" s="842"/>
      <c r="H129" s="842"/>
      <c r="I129" s="842"/>
      <c r="J129" s="868"/>
    </row>
    <row r="130" spans="1:10" ht="53.4" customHeight="1">
      <c r="A130" s="326" t="s">
        <v>5813</v>
      </c>
      <c r="B130" s="326" t="s">
        <v>77</v>
      </c>
      <c r="C130" s="326" t="s">
        <v>5834</v>
      </c>
      <c r="D130" s="326" t="s">
        <v>5835</v>
      </c>
      <c r="E130" s="326" t="s">
        <v>5836</v>
      </c>
      <c r="F130" s="326" t="s">
        <v>5837</v>
      </c>
      <c r="G130" s="859" t="s">
        <v>5885</v>
      </c>
      <c r="H130" s="859"/>
      <c r="I130" s="859"/>
      <c r="J130" s="859"/>
    </row>
    <row r="131" spans="1:10">
      <c r="A131" s="332" t="s">
        <v>153</v>
      </c>
      <c r="B131" s="328" t="s">
        <v>484</v>
      </c>
      <c r="C131" s="328"/>
      <c r="D131" s="328"/>
      <c r="E131" s="328"/>
      <c r="F131" s="329" t="str">
        <f>IFERROR(D131/C131,"")</f>
        <v/>
      </c>
      <c r="G131" s="873"/>
      <c r="H131" s="873"/>
      <c r="I131" s="873"/>
      <c r="J131" s="873"/>
    </row>
    <row r="132" spans="1:10">
      <c r="A132" s="339" t="s">
        <v>155</v>
      </c>
      <c r="B132" s="336" t="s">
        <v>484</v>
      </c>
      <c r="C132" s="336"/>
      <c r="D132" s="336"/>
      <c r="E132" s="336"/>
      <c r="F132" s="331" t="str">
        <f>IFERROR(D132/C132,"")</f>
        <v/>
      </c>
      <c r="G132" s="873"/>
      <c r="H132" s="873"/>
      <c r="I132" s="873"/>
      <c r="J132" s="873"/>
    </row>
    <row r="133" spans="1:10">
      <c r="A133" s="332" t="s">
        <v>4821</v>
      </c>
      <c r="B133" s="328" t="s">
        <v>484</v>
      </c>
      <c r="C133" s="328"/>
      <c r="D133" s="328"/>
      <c r="E133" s="328"/>
      <c r="F133" s="329" t="str">
        <f>IFERROR(D133/C133,"")</f>
        <v/>
      </c>
      <c r="G133" s="873"/>
      <c r="H133" s="873"/>
      <c r="I133" s="873"/>
      <c r="J133" s="873"/>
    </row>
    <row r="134" spans="1:10">
      <c r="A134" s="339" t="s">
        <v>957</v>
      </c>
      <c r="B134" s="336" t="s">
        <v>484</v>
      </c>
      <c r="C134" s="336"/>
      <c r="D134" s="336"/>
      <c r="E134" s="336"/>
      <c r="F134" s="331" t="str">
        <f>IFERROR(D134/C134,"")</f>
        <v/>
      </c>
      <c r="G134" s="873"/>
      <c r="H134" s="873"/>
      <c r="I134" s="873"/>
      <c r="J134" s="873"/>
    </row>
    <row r="135" spans="1:10">
      <c r="A135" s="879" t="s">
        <v>5856</v>
      </c>
      <c r="B135" s="879"/>
      <c r="C135" s="879"/>
      <c r="D135" s="879"/>
      <c r="E135" s="866" t="s">
        <v>5857</v>
      </c>
      <c r="F135" s="866"/>
      <c r="G135" s="866"/>
      <c r="H135" s="866"/>
      <c r="I135" s="866"/>
      <c r="J135" s="866"/>
    </row>
    <row r="136" spans="1:10">
      <c r="A136" s="879"/>
      <c r="B136" s="879"/>
      <c r="C136" s="879"/>
      <c r="D136" s="879"/>
      <c r="E136" s="866"/>
      <c r="F136" s="866"/>
      <c r="G136" s="866"/>
      <c r="H136" s="866"/>
      <c r="I136" s="866"/>
      <c r="J136" s="866"/>
    </row>
    <row r="137" spans="1:10">
      <c r="A137" s="842" t="s">
        <v>5879</v>
      </c>
      <c r="B137" s="842"/>
      <c r="C137" s="842"/>
      <c r="D137" s="842"/>
      <c r="E137" s="842"/>
      <c r="F137" s="842"/>
      <c r="G137" s="842"/>
      <c r="H137" s="842"/>
      <c r="I137" s="842"/>
      <c r="J137" s="842"/>
    </row>
    <row r="138" spans="1:10">
      <c r="A138" s="326" t="s">
        <v>4946</v>
      </c>
      <c r="B138" s="326" t="s">
        <v>77</v>
      </c>
      <c r="C138" s="326" t="s">
        <v>5845</v>
      </c>
      <c r="D138" s="326" t="s">
        <v>482</v>
      </c>
      <c r="E138" s="326" t="s">
        <v>572</v>
      </c>
      <c r="F138" s="326" t="s">
        <v>944</v>
      </c>
      <c r="G138" s="859" t="s">
        <v>5847</v>
      </c>
      <c r="H138" s="859"/>
      <c r="I138" s="859"/>
      <c r="J138" s="859"/>
    </row>
    <row r="139" spans="1:10" ht="26.4">
      <c r="A139" s="332" t="s">
        <v>5814</v>
      </c>
      <c r="B139" s="328" t="s">
        <v>484</v>
      </c>
      <c r="C139" s="328" t="s">
        <v>392</v>
      </c>
      <c r="D139" s="328" t="s">
        <v>1096</v>
      </c>
      <c r="E139" s="328">
        <f t="shared" ref="E139:E144" si="1">IF(D139="Yes",1,0)</f>
        <v>0</v>
      </c>
      <c r="F139" s="328"/>
      <c r="G139" s="873"/>
      <c r="H139" s="873"/>
      <c r="I139" s="873"/>
      <c r="J139" s="873"/>
    </row>
    <row r="140" spans="1:10">
      <c r="A140" s="339" t="s">
        <v>5815</v>
      </c>
      <c r="B140" s="328" t="s">
        <v>484</v>
      </c>
      <c r="C140" s="336" t="s">
        <v>392</v>
      </c>
      <c r="D140" s="328" t="s">
        <v>1096</v>
      </c>
      <c r="E140" s="336">
        <f t="shared" si="1"/>
        <v>0</v>
      </c>
      <c r="F140" s="336"/>
      <c r="G140" s="873"/>
      <c r="H140" s="873"/>
      <c r="I140" s="873"/>
      <c r="J140" s="873"/>
    </row>
    <row r="141" spans="1:10" ht="26.4">
      <c r="A141" s="332" t="s">
        <v>5816</v>
      </c>
      <c r="B141" s="328" t="s">
        <v>484</v>
      </c>
      <c r="C141" s="328" t="s">
        <v>392</v>
      </c>
      <c r="D141" s="328" t="s">
        <v>1096</v>
      </c>
      <c r="E141" s="328">
        <f t="shared" si="1"/>
        <v>0</v>
      </c>
      <c r="F141" s="328"/>
      <c r="G141" s="873"/>
      <c r="H141" s="873"/>
      <c r="I141" s="873"/>
      <c r="J141" s="873"/>
    </row>
    <row r="142" spans="1:10">
      <c r="A142" s="339" t="s">
        <v>5838</v>
      </c>
      <c r="B142" s="328" t="s">
        <v>484</v>
      </c>
      <c r="C142" s="336" t="s">
        <v>392</v>
      </c>
      <c r="D142" s="328" t="s">
        <v>1096</v>
      </c>
      <c r="E142" s="336">
        <f t="shared" si="1"/>
        <v>0</v>
      </c>
      <c r="F142" s="336"/>
      <c r="G142" s="873"/>
      <c r="H142" s="873"/>
      <c r="I142" s="873"/>
      <c r="J142" s="873"/>
    </row>
    <row r="143" spans="1:10" ht="27.75" customHeight="1">
      <c r="A143" s="332" t="s">
        <v>5839</v>
      </c>
      <c r="B143" s="328" t="s">
        <v>484</v>
      </c>
      <c r="C143" s="328" t="s">
        <v>392</v>
      </c>
      <c r="D143" s="328" t="s">
        <v>1096</v>
      </c>
      <c r="E143" s="328">
        <f t="shared" si="1"/>
        <v>0</v>
      </c>
      <c r="F143" s="328"/>
      <c r="G143" s="873"/>
      <c r="H143" s="873"/>
      <c r="I143" s="873"/>
      <c r="J143" s="873"/>
    </row>
    <row r="144" spans="1:10" ht="29.25" customHeight="1">
      <c r="A144" s="339" t="s">
        <v>5840</v>
      </c>
      <c r="B144" s="328" t="s">
        <v>484</v>
      </c>
      <c r="C144" s="336" t="s">
        <v>392</v>
      </c>
      <c r="D144" s="336" t="s">
        <v>1096</v>
      </c>
      <c r="E144" s="336">
        <f t="shared" si="1"/>
        <v>0</v>
      </c>
      <c r="F144" s="336"/>
      <c r="G144" s="873"/>
      <c r="H144" s="873"/>
      <c r="I144" s="873"/>
      <c r="J144" s="873"/>
    </row>
    <row r="145" spans="1:10" ht="15.6">
      <c r="A145" s="880" t="s">
        <v>5858</v>
      </c>
      <c r="B145" s="713"/>
      <c r="C145" s="871">
        <f>IFERROR(SUM(E139:E144)/COUNTIF(C139:C144,"Yes"),"")</f>
        <v>0</v>
      </c>
      <c r="D145" s="872"/>
      <c r="E145" s="866" t="s">
        <v>5859</v>
      </c>
      <c r="F145" s="866"/>
      <c r="G145" s="866"/>
      <c r="H145" s="866"/>
      <c r="I145" s="866"/>
      <c r="J145" s="866"/>
    </row>
    <row r="146" spans="1:10" ht="20.25" customHeight="1">
      <c r="A146" s="196"/>
      <c r="B146" s="196"/>
      <c r="C146" s="196"/>
      <c r="D146" s="196"/>
      <c r="E146" s="196"/>
      <c r="F146" s="196"/>
      <c r="G146" s="196"/>
      <c r="H146" s="196"/>
      <c r="I146" s="196"/>
      <c r="J146" s="196"/>
    </row>
    <row r="147" spans="1:10">
      <c r="A147" s="842" t="s">
        <v>5880</v>
      </c>
      <c r="B147" s="853"/>
      <c r="C147" s="853"/>
      <c r="D147" s="321"/>
      <c r="E147" s="321"/>
      <c r="F147" s="321"/>
      <c r="G147" s="321"/>
      <c r="H147" s="321"/>
      <c r="I147" s="321"/>
      <c r="J147" s="321"/>
    </row>
    <row r="148" spans="1:10" ht="55.2">
      <c r="A148" s="322" t="s">
        <v>905</v>
      </c>
      <c r="B148" s="322" t="s">
        <v>830</v>
      </c>
      <c r="C148" s="322"/>
      <c r="D148" s="322"/>
      <c r="E148" s="322"/>
      <c r="F148" s="322"/>
      <c r="G148" s="322"/>
      <c r="H148" s="322"/>
      <c r="I148" s="322"/>
      <c r="J148" s="322"/>
    </row>
    <row r="149" spans="1:10">
      <c r="A149" s="319" t="s">
        <v>1086</v>
      </c>
      <c r="B149" s="852" t="s">
        <v>3292</v>
      </c>
      <c r="C149" s="853"/>
      <c r="D149" s="853"/>
      <c r="E149" s="853"/>
      <c r="F149" s="853"/>
      <c r="G149" s="853"/>
      <c r="H149" s="853"/>
      <c r="I149" s="853"/>
      <c r="J149" s="853"/>
    </row>
    <row r="150" spans="1:10" ht="27.6">
      <c r="A150" s="319" t="s">
        <v>2090</v>
      </c>
      <c r="B150" s="852" t="s">
        <v>3293</v>
      </c>
      <c r="C150" s="853"/>
      <c r="D150" s="853"/>
      <c r="E150" s="853"/>
      <c r="F150" s="853"/>
      <c r="G150" s="853"/>
      <c r="H150" s="853"/>
      <c r="I150" s="853"/>
      <c r="J150" s="853"/>
    </row>
    <row r="151" spans="1:10">
      <c r="A151" s="319" t="s">
        <v>1089</v>
      </c>
      <c r="B151" s="852" t="s">
        <v>3294</v>
      </c>
      <c r="C151" s="853"/>
      <c r="D151" s="853"/>
      <c r="E151" s="853"/>
      <c r="F151" s="853"/>
      <c r="G151" s="853"/>
      <c r="H151" s="853"/>
      <c r="I151" s="853"/>
      <c r="J151" s="853"/>
    </row>
    <row r="152" spans="1:10">
      <c r="A152" s="319" t="s">
        <v>1090</v>
      </c>
      <c r="B152" s="852" t="s">
        <v>3295</v>
      </c>
      <c r="C152" s="853"/>
      <c r="D152" s="853"/>
      <c r="E152" s="853"/>
      <c r="F152" s="853"/>
      <c r="G152" s="853"/>
      <c r="H152" s="853"/>
      <c r="I152" s="853"/>
      <c r="J152" s="853"/>
    </row>
    <row r="153" spans="1:10">
      <c r="A153" s="319" t="s">
        <v>1088</v>
      </c>
      <c r="B153" s="852" t="s">
        <v>3296</v>
      </c>
      <c r="C153" s="853"/>
      <c r="D153" s="853"/>
      <c r="E153" s="853"/>
      <c r="F153" s="853"/>
      <c r="G153" s="853"/>
      <c r="H153" s="853"/>
      <c r="I153" s="853"/>
      <c r="J153" s="853"/>
    </row>
    <row r="154" spans="1:10" ht="27.6">
      <c r="A154" s="319" t="s">
        <v>3297</v>
      </c>
      <c r="B154" s="852" t="s">
        <v>3298</v>
      </c>
      <c r="C154" s="853"/>
      <c r="D154" s="853"/>
      <c r="E154" s="853"/>
      <c r="F154" s="853"/>
      <c r="G154" s="853"/>
      <c r="H154" s="853"/>
      <c r="I154" s="853"/>
      <c r="J154" s="853"/>
    </row>
    <row r="155" spans="1:10">
      <c r="A155" s="319" t="s">
        <v>1563</v>
      </c>
      <c r="B155" s="852" t="s">
        <v>1776</v>
      </c>
      <c r="C155" s="853"/>
      <c r="D155" s="853"/>
      <c r="E155" s="853"/>
      <c r="F155" s="853"/>
      <c r="G155" s="853"/>
      <c r="H155" s="853"/>
      <c r="I155" s="853"/>
      <c r="J155" s="853"/>
    </row>
    <row r="156" spans="1:10">
      <c r="A156" s="231"/>
      <c r="B156" s="231"/>
      <c r="C156" s="231"/>
      <c r="D156" s="231"/>
      <c r="E156" s="231"/>
      <c r="F156" s="231"/>
      <c r="G156" s="231"/>
      <c r="H156" s="231"/>
      <c r="I156" s="231"/>
      <c r="J156" s="231"/>
    </row>
    <row r="157" spans="1:10" ht="17.399999999999999" hidden="1">
      <c r="A157" s="827" t="s">
        <v>5769</v>
      </c>
      <c r="B157" s="827"/>
      <c r="C157" s="827"/>
      <c r="D157" s="827"/>
      <c r="E157" s="827"/>
      <c r="F157" s="827"/>
      <c r="G157" s="827"/>
      <c r="H157" s="827"/>
      <c r="I157" s="231"/>
      <c r="J157" s="231"/>
    </row>
    <row r="158" spans="1:10" hidden="1">
      <c r="A158" s="276" t="s">
        <v>2</v>
      </c>
      <c r="B158" s="828" t="s">
        <v>5770</v>
      </c>
      <c r="C158" s="828"/>
      <c r="D158" s="828"/>
      <c r="E158" s="828"/>
      <c r="F158" s="828"/>
      <c r="G158" s="828"/>
      <c r="H158" s="828"/>
      <c r="I158" s="231"/>
      <c r="J158" s="231"/>
    </row>
    <row r="159" spans="1:10" hidden="1">
      <c r="A159" s="276" t="s">
        <v>5771</v>
      </c>
      <c r="B159" s="828" t="s">
        <v>5772</v>
      </c>
      <c r="C159" s="828"/>
      <c r="D159" s="828"/>
      <c r="E159" s="828"/>
      <c r="F159" s="828"/>
      <c r="G159" s="828"/>
      <c r="H159" s="828"/>
      <c r="I159" s="231"/>
      <c r="J159" s="231"/>
    </row>
    <row r="160" spans="1:10" hidden="1">
      <c r="A160" s="196"/>
      <c r="B160" s="196"/>
      <c r="C160" s="196"/>
      <c r="D160" s="196"/>
      <c r="E160" s="196"/>
      <c r="F160" s="196"/>
      <c r="G160" s="196"/>
      <c r="H160" s="196"/>
      <c r="I160" s="231"/>
      <c r="J160" s="231"/>
    </row>
    <row r="161" spans="1:10" hidden="1">
      <c r="A161" s="323" t="s">
        <v>4946</v>
      </c>
      <c r="B161" s="323" t="s">
        <v>77</v>
      </c>
      <c r="C161" s="323" t="s">
        <v>5773</v>
      </c>
      <c r="D161" s="323" t="s">
        <v>263</v>
      </c>
      <c r="E161" s="323" t="s">
        <v>216</v>
      </c>
      <c r="F161" s="323" t="s">
        <v>5774</v>
      </c>
      <c r="G161" s="323" t="s">
        <v>5775</v>
      </c>
      <c r="H161" s="323" t="s">
        <v>5776</v>
      </c>
      <c r="I161" s="231"/>
      <c r="J161" s="231"/>
    </row>
    <row r="162" spans="1:10" ht="26.4" hidden="1">
      <c r="A162" s="277" t="s">
        <v>5777</v>
      </c>
      <c r="B162" s="278" t="s">
        <v>1096</v>
      </c>
      <c r="C162" s="277"/>
      <c r="D162" s="277"/>
      <c r="E162" s="277"/>
      <c r="F162" s="277"/>
      <c r="G162" s="279" t="str">
        <f t="shared" ref="G162:G169" si="2">IF(OR(B162="Yes",B162="N/A"),"🟢","🟡")</f>
        <v>🟡</v>
      </c>
      <c r="H162" s="277"/>
      <c r="I162" s="231"/>
      <c r="J162" s="231"/>
    </row>
    <row r="163" spans="1:10" hidden="1">
      <c r="A163" s="277" t="s">
        <v>5778</v>
      </c>
      <c r="B163" s="278" t="s">
        <v>1096</v>
      </c>
      <c r="C163" s="277"/>
      <c r="D163" s="277"/>
      <c r="E163" s="277"/>
      <c r="F163" s="277"/>
      <c r="G163" s="279" t="str">
        <f t="shared" si="2"/>
        <v>🟡</v>
      </c>
      <c r="H163" s="277"/>
      <c r="I163" s="231"/>
      <c r="J163" s="231"/>
    </row>
    <row r="164" spans="1:10" hidden="1">
      <c r="A164" s="277" t="s">
        <v>5779</v>
      </c>
      <c r="B164" s="278" t="s">
        <v>1096</v>
      </c>
      <c r="C164" s="277"/>
      <c r="D164" s="277"/>
      <c r="E164" s="277"/>
      <c r="F164" s="277"/>
      <c r="G164" s="279" t="str">
        <f t="shared" si="2"/>
        <v>🟡</v>
      </c>
      <c r="H164" s="277"/>
      <c r="I164" s="231"/>
      <c r="J164" s="231"/>
    </row>
    <row r="165" spans="1:10" hidden="1">
      <c r="A165" s="277" t="s">
        <v>5168</v>
      </c>
      <c r="B165" s="278" t="s">
        <v>1096</v>
      </c>
      <c r="C165" s="277"/>
      <c r="D165" s="277"/>
      <c r="E165" s="277"/>
      <c r="F165" s="277"/>
      <c r="G165" s="279" t="str">
        <f t="shared" si="2"/>
        <v>🟡</v>
      </c>
      <c r="H165" s="277"/>
      <c r="I165" s="231"/>
      <c r="J165" s="231"/>
    </row>
    <row r="166" spans="1:10" hidden="1">
      <c r="A166" s="277" t="s">
        <v>5780</v>
      </c>
      <c r="B166" s="278" t="s">
        <v>1096</v>
      </c>
      <c r="C166" s="277"/>
      <c r="D166" s="277"/>
      <c r="E166" s="277"/>
      <c r="F166" s="277"/>
      <c r="G166" s="279" t="str">
        <f t="shared" si="2"/>
        <v>🟡</v>
      </c>
      <c r="H166" s="277"/>
      <c r="I166" s="231"/>
      <c r="J166" s="231"/>
    </row>
    <row r="167" spans="1:10" hidden="1">
      <c r="A167" s="277" t="s">
        <v>5781</v>
      </c>
      <c r="B167" s="278" t="s">
        <v>1096</v>
      </c>
      <c r="C167" s="277"/>
      <c r="D167" s="277"/>
      <c r="E167" s="277"/>
      <c r="F167" s="277"/>
      <c r="G167" s="279" t="str">
        <f t="shared" si="2"/>
        <v>🟡</v>
      </c>
      <c r="H167" s="277"/>
      <c r="I167" s="231"/>
      <c r="J167" s="231"/>
    </row>
    <row r="168" spans="1:10" hidden="1">
      <c r="A168" s="277" t="s">
        <v>178</v>
      </c>
      <c r="B168" s="278" t="s">
        <v>1096</v>
      </c>
      <c r="C168" s="277"/>
      <c r="D168" s="277"/>
      <c r="E168" s="277"/>
      <c r="F168" s="277"/>
      <c r="G168" s="279" t="str">
        <f t="shared" si="2"/>
        <v>🟡</v>
      </c>
      <c r="H168" s="277"/>
      <c r="I168" s="231"/>
      <c r="J168" s="231"/>
    </row>
    <row r="169" spans="1:10" ht="26.4" hidden="1">
      <c r="A169" s="277" t="s">
        <v>5782</v>
      </c>
      <c r="B169" s="278" t="s">
        <v>1096</v>
      </c>
      <c r="C169" s="277"/>
      <c r="D169" s="277"/>
      <c r="E169" s="277"/>
      <c r="F169" s="277"/>
      <c r="G169" s="279" t="str">
        <f t="shared" si="2"/>
        <v>🟡</v>
      </c>
      <c r="H169" s="277"/>
      <c r="I169" s="231"/>
      <c r="J169" s="231"/>
    </row>
    <row r="170" spans="1:10" ht="42" hidden="1" customHeight="1">
      <c r="A170" s="324" t="s">
        <v>4946</v>
      </c>
      <c r="B170" s="324" t="s">
        <v>5790</v>
      </c>
      <c r="C170" s="196"/>
      <c r="D170" s="196"/>
      <c r="E170" s="324" t="s">
        <v>5791</v>
      </c>
      <c r="F170" s="196"/>
      <c r="G170" s="196"/>
      <c r="H170" s="196"/>
      <c r="I170" s="231"/>
      <c r="J170" s="231"/>
    </row>
    <row r="171" spans="1:10" ht="42" hidden="1" customHeight="1">
      <c r="A171" s="291" t="s">
        <v>5777</v>
      </c>
      <c r="B171" s="768" t="s">
        <v>5792</v>
      </c>
      <c r="C171" s="768"/>
      <c r="D171" s="768"/>
      <c r="E171" s="768" t="s">
        <v>5793</v>
      </c>
      <c r="F171" s="768"/>
      <c r="G171" s="768"/>
      <c r="H171" s="196"/>
      <c r="I171" s="231"/>
      <c r="J171" s="231"/>
    </row>
    <row r="172" spans="1:10" ht="42" hidden="1" customHeight="1">
      <c r="A172" s="291" t="s">
        <v>5778</v>
      </c>
      <c r="B172" s="768" t="s">
        <v>5794</v>
      </c>
      <c r="C172" s="768"/>
      <c r="D172" s="768"/>
      <c r="E172" s="768" t="s">
        <v>5795</v>
      </c>
      <c r="F172" s="768"/>
      <c r="G172" s="768"/>
      <c r="H172" s="196"/>
      <c r="I172" s="231"/>
      <c r="J172" s="231"/>
    </row>
    <row r="173" spans="1:10" ht="42" hidden="1" customHeight="1">
      <c r="A173" s="291" t="s">
        <v>5779</v>
      </c>
      <c r="B173" s="768" t="s">
        <v>5796</v>
      </c>
      <c r="C173" s="768"/>
      <c r="D173" s="768"/>
      <c r="E173" s="768" t="s">
        <v>5797</v>
      </c>
      <c r="F173" s="768"/>
      <c r="G173" s="768"/>
      <c r="H173" s="196"/>
      <c r="I173" s="231"/>
      <c r="J173" s="231"/>
    </row>
    <row r="174" spans="1:10" ht="42" hidden="1" customHeight="1">
      <c r="A174" s="291" t="s">
        <v>5168</v>
      </c>
      <c r="B174" s="768" t="s">
        <v>5798</v>
      </c>
      <c r="C174" s="768"/>
      <c r="D174" s="768"/>
      <c r="E174" s="768" t="s">
        <v>5799</v>
      </c>
      <c r="F174" s="768"/>
      <c r="G174" s="768"/>
      <c r="H174" s="196"/>
      <c r="I174" s="231"/>
      <c r="J174" s="231"/>
    </row>
    <row r="175" spans="1:10" ht="42" hidden="1" customHeight="1">
      <c r="A175" s="291" t="s">
        <v>5780</v>
      </c>
      <c r="B175" s="768" t="s">
        <v>5800</v>
      </c>
      <c r="C175" s="768"/>
      <c r="D175" s="768"/>
      <c r="E175" s="768" t="s">
        <v>5801</v>
      </c>
      <c r="F175" s="768"/>
      <c r="G175" s="768"/>
      <c r="H175" s="196"/>
      <c r="I175" s="231"/>
      <c r="J175" s="231"/>
    </row>
    <row r="176" spans="1:10" ht="42" hidden="1" customHeight="1">
      <c r="A176" s="291" t="s">
        <v>5781</v>
      </c>
      <c r="B176" s="768" t="s">
        <v>5802</v>
      </c>
      <c r="C176" s="768"/>
      <c r="D176" s="768"/>
      <c r="E176" s="768" t="s">
        <v>5803</v>
      </c>
      <c r="F176" s="768"/>
      <c r="G176" s="768"/>
      <c r="H176" s="196"/>
      <c r="I176" s="231"/>
      <c r="J176" s="231"/>
    </row>
    <row r="177" spans="1:10" ht="42" hidden="1" customHeight="1">
      <c r="A177" s="291" t="s">
        <v>178</v>
      </c>
      <c r="B177" s="768" t="s">
        <v>5804</v>
      </c>
      <c r="C177" s="768"/>
      <c r="D177" s="768"/>
      <c r="E177" s="768" t="s">
        <v>5805</v>
      </c>
      <c r="F177" s="768"/>
      <c r="G177" s="768"/>
      <c r="H177" s="196"/>
      <c r="I177" s="231"/>
      <c r="J177" s="231"/>
    </row>
    <row r="178" spans="1:10" ht="42" hidden="1" customHeight="1">
      <c r="A178" s="291" t="s">
        <v>5782</v>
      </c>
      <c r="B178" s="768" t="s">
        <v>5806</v>
      </c>
      <c r="C178" s="768"/>
      <c r="D178" s="768"/>
      <c r="E178" s="768" t="s">
        <v>5807</v>
      </c>
      <c r="F178" s="768"/>
      <c r="G178" s="768"/>
      <c r="H178" s="196"/>
      <c r="I178" s="231"/>
      <c r="J178" s="231"/>
    </row>
    <row r="179" spans="1:10" hidden="1">
      <c r="A179" s="276" t="s">
        <v>5783</v>
      </c>
      <c r="B179" s="280" t="str">
        <f>IF(COUNTIF(B162:B169,"No")=0,"🟢 PILOT COMPLETE / ACCEPTANCE READY","🟡 NOT COMPLETE — ACCEPTANCE GATES OPEN")</f>
        <v>🟡 NOT COMPLETE — ACCEPTANCE GATES OPEN</v>
      </c>
      <c r="C179" s="280"/>
      <c r="D179" s="280"/>
      <c r="E179" s="280"/>
      <c r="F179" s="280"/>
      <c r="G179" s="280"/>
      <c r="H179" s="280"/>
    </row>
    <row r="180" spans="1:10" hidden="1">
      <c r="A180" s="276" t="s">
        <v>5784</v>
      </c>
      <c r="B180" s="280">
        <f>COUNTIF(B162:B169,"No")</f>
        <v>8</v>
      </c>
      <c r="C180" s="280"/>
      <c r="D180" s="280"/>
      <c r="E180" s="280"/>
      <c r="F180" s="280"/>
      <c r="G180" s="280"/>
      <c r="H180" s="280"/>
    </row>
    <row r="181" spans="1:10" hidden="1">
      <c r="A181" s="276" t="s">
        <v>5785</v>
      </c>
      <c r="B181" s="280" t="str">
        <f>COUNTIF(B162:B169,"Yes")&amp;" / 8 Complete"</f>
        <v>0 / 8 Complete</v>
      </c>
      <c r="C181" s="280"/>
      <c r="D181" s="280"/>
      <c r="E181" s="280"/>
      <c r="F181" s="280"/>
      <c r="G181" s="280"/>
      <c r="H181" s="280"/>
    </row>
    <row r="182" spans="1:10" ht="93" hidden="1">
      <c r="A182" s="281" t="s">
        <v>5786</v>
      </c>
      <c r="B182" s="282" t="s">
        <v>5787</v>
      </c>
      <c r="C182" s="282"/>
      <c r="D182" s="282"/>
      <c r="E182" s="282"/>
      <c r="F182" s="282"/>
      <c r="G182" s="282"/>
      <c r="H182" s="282"/>
    </row>
    <row r="183" spans="1:10" hidden="1">
      <c r="A183" s="281"/>
      <c r="B183" s="282"/>
      <c r="C183" s="282"/>
      <c r="D183" s="282"/>
      <c r="E183" s="282"/>
      <c r="F183" s="282"/>
      <c r="G183" s="282"/>
      <c r="H183" s="282"/>
    </row>
    <row r="184" spans="1:10" ht="66.599999999999994" hidden="1">
      <c r="A184" s="281" t="s">
        <v>5788</v>
      </c>
      <c r="B184" s="282" t="s">
        <v>5789</v>
      </c>
      <c r="C184" s="282"/>
      <c r="D184" s="282"/>
      <c r="E184" s="282"/>
      <c r="F184" s="282"/>
      <c r="G184" s="282"/>
      <c r="H184" s="282"/>
    </row>
    <row r="185" spans="1:10">
      <c r="A185" s="842" t="s">
        <v>5901</v>
      </c>
      <c r="B185" s="842"/>
      <c r="C185" s="842"/>
      <c r="D185" s="842"/>
      <c r="E185" s="842"/>
      <c r="F185" s="842"/>
      <c r="G185" s="842"/>
      <c r="H185" s="842"/>
      <c r="I185" s="842"/>
      <c r="J185" s="842"/>
    </row>
    <row r="186" spans="1:10">
      <c r="A186" s="340" t="s">
        <v>5886</v>
      </c>
      <c r="B186" s="196"/>
      <c r="C186" s="196"/>
      <c r="D186" s="196"/>
      <c r="E186" s="196"/>
      <c r="F186" s="196"/>
      <c r="G186" s="196"/>
      <c r="H186" s="196"/>
      <c r="I186" s="196"/>
      <c r="J186" s="196"/>
    </row>
    <row r="187" spans="1:10">
      <c r="A187" s="196"/>
      <c r="B187" s="196"/>
      <c r="C187" s="196"/>
      <c r="D187" s="196"/>
      <c r="E187" s="196"/>
      <c r="F187" s="196"/>
      <c r="G187" s="196"/>
      <c r="H187" s="196"/>
      <c r="I187" s="196"/>
      <c r="J187" s="196"/>
    </row>
    <row r="188" spans="1:10">
      <c r="A188" s="196" t="s">
        <v>5887</v>
      </c>
      <c r="B188" s="196"/>
      <c r="C188" s="196"/>
      <c r="D188" s="196"/>
      <c r="E188" s="196"/>
      <c r="F188" s="196"/>
      <c r="G188" s="196"/>
      <c r="H188" s="196"/>
      <c r="I188" s="196"/>
      <c r="J188" s="196"/>
    </row>
    <row r="189" spans="1:10">
      <c r="A189" s="196"/>
      <c r="B189" s="196"/>
      <c r="C189" s="196"/>
      <c r="D189" s="196"/>
      <c r="E189" s="196"/>
      <c r="F189" s="196"/>
      <c r="G189" s="196"/>
      <c r="H189" s="196"/>
      <c r="I189" s="196"/>
      <c r="J189" s="196"/>
    </row>
    <row r="190" spans="1:10">
      <c r="A190" s="196" t="s">
        <v>5888</v>
      </c>
      <c r="B190" s="196"/>
      <c r="C190" s="196"/>
      <c r="D190" s="196"/>
      <c r="E190" s="196"/>
      <c r="F190" s="196"/>
      <c r="G190" s="196"/>
      <c r="H190" s="196"/>
      <c r="I190" s="196"/>
      <c r="J190" s="196"/>
    </row>
    <row r="191" spans="1:10">
      <c r="A191" s="196"/>
      <c r="B191" s="196"/>
      <c r="C191" s="196"/>
      <c r="D191" s="196"/>
      <c r="E191" s="196"/>
      <c r="F191" s="196"/>
      <c r="G191" s="196"/>
      <c r="H191" s="196"/>
      <c r="I191" s="196"/>
      <c r="J191" s="196"/>
    </row>
    <row r="192" spans="1:10">
      <c r="A192" s="196" t="s">
        <v>5889</v>
      </c>
      <c r="B192" s="196"/>
      <c r="C192" s="196"/>
      <c r="D192" s="196"/>
      <c r="E192" s="196"/>
      <c r="F192" s="196"/>
      <c r="G192" s="196"/>
      <c r="H192" s="196"/>
      <c r="I192" s="196"/>
      <c r="J192" s="196"/>
    </row>
    <row r="193" spans="1:10">
      <c r="A193" s="196"/>
      <c r="B193" s="196"/>
      <c r="C193" s="196"/>
      <c r="D193" s="196"/>
      <c r="E193" s="196"/>
      <c r="F193" s="196"/>
      <c r="G193" s="196"/>
      <c r="H193" s="196"/>
      <c r="I193" s="196"/>
      <c r="J193" s="196"/>
    </row>
    <row r="194" spans="1:10">
      <c r="A194" s="196"/>
      <c r="B194" s="196"/>
      <c r="C194" s="196"/>
      <c r="D194" s="196"/>
      <c r="E194" s="196"/>
      <c r="F194" s="196"/>
      <c r="G194" s="196"/>
      <c r="H194" s="196"/>
      <c r="I194" s="196"/>
      <c r="J194" s="196"/>
    </row>
    <row r="195" spans="1:10">
      <c r="A195" s="196"/>
      <c r="B195" s="196"/>
      <c r="C195" s="196"/>
      <c r="D195" s="196"/>
      <c r="E195" s="196"/>
      <c r="F195" s="196"/>
      <c r="G195" s="196"/>
      <c r="H195" s="196"/>
      <c r="I195" s="196"/>
      <c r="J195" s="196"/>
    </row>
    <row r="196" spans="1:10">
      <c r="A196" s="842" t="s">
        <v>5902</v>
      </c>
      <c r="B196" s="842"/>
      <c r="C196" s="842"/>
      <c r="D196" s="842"/>
      <c r="E196" s="842"/>
      <c r="F196" s="842"/>
      <c r="G196" s="842"/>
      <c r="H196" s="842"/>
      <c r="I196" s="842"/>
      <c r="J196" s="842"/>
    </row>
    <row r="197" spans="1:10">
      <c r="A197" s="196"/>
      <c r="B197" s="196"/>
      <c r="C197" s="196"/>
      <c r="D197" s="196"/>
      <c r="E197" s="196"/>
      <c r="F197" s="196"/>
      <c r="G197" s="196"/>
      <c r="H197" s="196"/>
      <c r="I197" s="196"/>
      <c r="J197" s="196"/>
    </row>
    <row r="198" spans="1:10">
      <c r="A198" s="196" t="s">
        <v>5890</v>
      </c>
      <c r="B198" s="196"/>
      <c r="C198" s="196"/>
      <c r="D198" s="196"/>
      <c r="E198" s="196"/>
      <c r="F198" s="196"/>
      <c r="G198" s="196"/>
      <c r="H198" s="196"/>
      <c r="I198" s="196"/>
      <c r="J198" s="196"/>
    </row>
    <row r="199" spans="1:10">
      <c r="A199" s="196"/>
      <c r="B199" s="196"/>
      <c r="C199" s="196"/>
      <c r="D199" s="196"/>
      <c r="E199" s="196"/>
      <c r="F199" s="196"/>
      <c r="G199" s="196"/>
      <c r="H199" s="196"/>
      <c r="I199" s="196"/>
      <c r="J199" s="196"/>
    </row>
    <row r="200" spans="1:10">
      <c r="A200" s="196" t="s">
        <v>5891</v>
      </c>
      <c r="B200" s="196"/>
      <c r="C200" s="196"/>
      <c r="D200" s="196"/>
      <c r="E200" s="196"/>
      <c r="F200" s="196"/>
      <c r="G200" s="196"/>
      <c r="H200" s="196"/>
      <c r="I200" s="196"/>
      <c r="J200" s="196"/>
    </row>
    <row r="201" spans="1:10">
      <c r="A201" s="196"/>
      <c r="B201" s="196"/>
      <c r="C201" s="196"/>
      <c r="D201" s="196"/>
      <c r="E201" s="196"/>
      <c r="F201" s="196"/>
      <c r="G201" s="196"/>
      <c r="H201" s="196"/>
      <c r="I201" s="196"/>
      <c r="J201" s="196"/>
    </row>
    <row r="202" spans="1:10">
      <c r="A202" s="196" t="s">
        <v>5892</v>
      </c>
      <c r="B202" s="196"/>
      <c r="C202" s="196"/>
      <c r="D202" s="196"/>
      <c r="E202" s="196"/>
      <c r="F202" s="196"/>
      <c r="G202" s="196"/>
      <c r="H202" s="196"/>
      <c r="I202" s="196"/>
      <c r="J202" s="196"/>
    </row>
    <row r="203" spans="1:10">
      <c r="A203" s="196"/>
      <c r="B203" s="196"/>
      <c r="C203" s="196"/>
      <c r="D203" s="196"/>
      <c r="E203" s="196"/>
      <c r="F203" s="196"/>
      <c r="G203" s="196"/>
      <c r="H203" s="196"/>
      <c r="I203" s="196"/>
      <c r="J203" s="196"/>
    </row>
    <row r="204" spans="1:10">
      <c r="A204" s="196"/>
      <c r="B204" s="196"/>
      <c r="C204" s="196"/>
      <c r="D204" s="196"/>
      <c r="E204" s="196"/>
      <c r="F204" s="196"/>
      <c r="G204" s="196"/>
      <c r="H204" s="196"/>
      <c r="I204" s="196"/>
      <c r="J204" s="196"/>
    </row>
    <row r="205" spans="1:10">
      <c r="A205" s="196"/>
      <c r="B205" s="196"/>
      <c r="C205" s="196"/>
      <c r="D205" s="196"/>
      <c r="E205" s="196"/>
      <c r="F205" s="196"/>
      <c r="G205" s="196"/>
      <c r="H205" s="196"/>
      <c r="I205" s="196"/>
      <c r="J205" s="196"/>
    </row>
    <row r="206" spans="1:10">
      <c r="A206" s="842" t="s">
        <v>5903</v>
      </c>
      <c r="B206" s="842"/>
      <c r="C206" s="842"/>
      <c r="D206" s="842"/>
      <c r="E206" s="842"/>
      <c r="F206" s="842"/>
      <c r="G206" s="842"/>
      <c r="H206" s="842"/>
      <c r="I206" s="842"/>
      <c r="J206" s="842"/>
    </row>
    <row r="207" spans="1:10">
      <c r="A207" s="196"/>
      <c r="B207" s="196"/>
      <c r="C207" s="196"/>
      <c r="D207" s="196"/>
      <c r="E207" s="196"/>
      <c r="F207" s="196"/>
      <c r="G207" s="196"/>
      <c r="H207" s="196"/>
      <c r="I207" s="196"/>
      <c r="J207" s="196"/>
    </row>
    <row r="208" spans="1:10">
      <c r="A208" s="196" t="s">
        <v>5893</v>
      </c>
      <c r="B208" s="196"/>
      <c r="C208" s="196"/>
      <c r="D208" s="196"/>
      <c r="E208" s="196"/>
      <c r="F208" s="196"/>
      <c r="G208" s="196"/>
      <c r="H208" s="196"/>
      <c r="I208" s="196"/>
      <c r="J208" s="196"/>
    </row>
    <row r="209" spans="1:10">
      <c r="A209" s="196"/>
      <c r="B209" s="196"/>
      <c r="C209" s="196"/>
      <c r="D209" s="196"/>
      <c r="E209" s="196"/>
      <c r="F209" s="196"/>
      <c r="G209" s="196"/>
      <c r="H209" s="196"/>
      <c r="I209" s="196"/>
      <c r="J209" s="196"/>
    </row>
    <row r="210" spans="1:10">
      <c r="A210" s="196" t="s">
        <v>5894</v>
      </c>
      <c r="B210" s="196"/>
      <c r="C210" s="196"/>
      <c r="D210" s="196"/>
      <c r="E210" s="196"/>
      <c r="F210" s="196"/>
      <c r="G210" s="196"/>
      <c r="H210" s="196"/>
      <c r="I210" s="196"/>
      <c r="J210" s="196"/>
    </row>
    <row r="211" spans="1:10">
      <c r="A211" s="196"/>
      <c r="B211" s="196"/>
      <c r="C211" s="196"/>
      <c r="D211" s="196"/>
      <c r="E211" s="196"/>
      <c r="F211" s="196"/>
      <c r="G211" s="196"/>
      <c r="H211" s="196"/>
      <c r="I211" s="196"/>
      <c r="J211" s="196"/>
    </row>
    <row r="212" spans="1:10">
      <c r="A212" s="196" t="s">
        <v>5895</v>
      </c>
      <c r="B212" s="196"/>
      <c r="C212" s="196"/>
      <c r="D212" s="196"/>
      <c r="E212" s="196"/>
      <c r="F212" s="196"/>
      <c r="G212" s="196"/>
      <c r="H212" s="196"/>
      <c r="I212" s="196"/>
      <c r="J212" s="196"/>
    </row>
    <row r="213" spans="1:10">
      <c r="A213" s="196"/>
      <c r="B213" s="196"/>
      <c r="C213" s="196"/>
      <c r="D213" s="196"/>
      <c r="E213" s="196"/>
      <c r="F213" s="196"/>
      <c r="G213" s="196"/>
      <c r="H213" s="196"/>
      <c r="I213" s="196"/>
      <c r="J213" s="196"/>
    </row>
    <row r="214" spans="1:10">
      <c r="A214" s="196" t="s">
        <v>5896</v>
      </c>
      <c r="B214" s="196"/>
      <c r="C214" s="196"/>
      <c r="D214" s="196"/>
      <c r="E214" s="196"/>
      <c r="F214" s="196"/>
      <c r="G214" s="196"/>
      <c r="H214" s="196"/>
      <c r="I214" s="196"/>
      <c r="J214" s="196"/>
    </row>
    <row r="215" spans="1:10">
      <c r="A215" s="196"/>
      <c r="B215" s="196"/>
      <c r="C215" s="196"/>
      <c r="D215" s="196"/>
      <c r="E215" s="196"/>
      <c r="F215" s="196"/>
      <c r="G215" s="196"/>
      <c r="H215" s="196"/>
      <c r="I215" s="196"/>
      <c r="J215" s="196"/>
    </row>
    <row r="216" spans="1:10">
      <c r="A216" s="196"/>
      <c r="B216" s="196"/>
      <c r="C216" s="196"/>
      <c r="D216" s="196"/>
      <c r="E216" s="196"/>
      <c r="F216" s="196"/>
      <c r="G216" s="196"/>
      <c r="H216" s="196"/>
      <c r="I216" s="196"/>
      <c r="J216" s="196"/>
    </row>
    <row r="217" spans="1:10">
      <c r="A217" s="196"/>
      <c r="B217" s="196"/>
      <c r="C217" s="196"/>
      <c r="D217" s="196"/>
      <c r="E217" s="196"/>
      <c r="F217" s="196"/>
      <c r="G217" s="196"/>
      <c r="H217" s="196"/>
      <c r="I217" s="196"/>
      <c r="J217" s="196"/>
    </row>
    <row r="218" spans="1:10">
      <c r="A218" s="842" t="s">
        <v>5904</v>
      </c>
      <c r="B218" s="842"/>
      <c r="C218" s="842"/>
      <c r="D218" s="842"/>
      <c r="E218" s="842"/>
      <c r="F218" s="842"/>
      <c r="G218" s="842"/>
      <c r="H218" s="842"/>
      <c r="I218" s="842"/>
      <c r="J218" s="842"/>
    </row>
    <row r="219" spans="1:10">
      <c r="A219" s="196"/>
      <c r="B219" s="196"/>
      <c r="C219" s="196"/>
      <c r="D219" s="196"/>
      <c r="E219" s="196"/>
      <c r="F219" s="196"/>
      <c r="G219" s="196"/>
      <c r="H219" s="196"/>
      <c r="I219" s="196"/>
      <c r="J219" s="196"/>
    </row>
    <row r="220" spans="1:10">
      <c r="A220" s="196" t="s">
        <v>5897</v>
      </c>
      <c r="B220" s="196"/>
      <c r="C220" s="196"/>
      <c r="D220" s="196"/>
      <c r="E220" s="196"/>
      <c r="F220" s="196"/>
      <c r="G220" s="196"/>
      <c r="H220" s="196"/>
      <c r="I220" s="196"/>
      <c r="J220" s="196"/>
    </row>
    <row r="221" spans="1:10">
      <c r="A221" s="196"/>
      <c r="B221" s="196"/>
      <c r="C221" s="196"/>
      <c r="D221" s="196"/>
      <c r="E221" s="196"/>
      <c r="F221" s="196"/>
      <c r="G221" s="196"/>
      <c r="H221" s="196"/>
      <c r="I221" s="196"/>
      <c r="J221" s="196"/>
    </row>
    <row r="222" spans="1:10">
      <c r="A222" s="196" t="s">
        <v>5898</v>
      </c>
      <c r="B222" s="196"/>
      <c r="C222" s="196"/>
      <c r="D222" s="196"/>
      <c r="E222" s="196"/>
      <c r="F222" s="196"/>
      <c r="G222" s="196"/>
      <c r="H222" s="196"/>
      <c r="I222" s="196"/>
      <c r="J222" s="196"/>
    </row>
    <row r="223" spans="1:10">
      <c r="A223" s="196"/>
      <c r="B223" s="196"/>
      <c r="C223" s="196"/>
      <c r="D223" s="196"/>
      <c r="E223" s="196"/>
      <c r="F223" s="196"/>
      <c r="G223" s="196"/>
      <c r="H223" s="196"/>
      <c r="I223" s="196"/>
      <c r="J223" s="196"/>
    </row>
    <row r="224" spans="1:10">
      <c r="A224" s="196" t="s">
        <v>5899</v>
      </c>
      <c r="B224" s="196"/>
      <c r="C224" s="196"/>
      <c r="D224" s="196"/>
      <c r="E224" s="196"/>
      <c r="F224" s="196"/>
      <c r="G224" s="196"/>
      <c r="H224" s="196"/>
      <c r="I224" s="196"/>
      <c r="J224" s="196"/>
    </row>
    <row r="225" spans="1:10">
      <c r="A225" s="196"/>
      <c r="B225" s="196"/>
      <c r="C225" s="196"/>
      <c r="D225" s="196"/>
      <c r="E225" s="196"/>
      <c r="F225" s="196"/>
      <c r="G225" s="196"/>
      <c r="H225" s="196"/>
      <c r="I225" s="196"/>
      <c r="J225" s="196"/>
    </row>
    <row r="226" spans="1:10">
      <c r="A226" s="196"/>
      <c r="B226" s="196"/>
      <c r="C226" s="196"/>
      <c r="D226" s="196"/>
      <c r="E226" s="196"/>
      <c r="F226" s="196"/>
      <c r="G226" s="196"/>
      <c r="H226" s="196"/>
      <c r="I226" s="196"/>
      <c r="J226" s="196"/>
    </row>
    <row r="227" spans="1:10">
      <c r="A227" s="196"/>
      <c r="B227" s="196"/>
      <c r="C227" s="196"/>
      <c r="D227" s="196"/>
      <c r="E227" s="196"/>
      <c r="F227" s="196"/>
      <c r="G227" s="196"/>
      <c r="H227" s="196"/>
      <c r="I227" s="196"/>
      <c r="J227" s="196"/>
    </row>
    <row r="228" spans="1:10">
      <c r="A228" s="196" t="s">
        <v>5900</v>
      </c>
      <c r="B228" s="196"/>
      <c r="C228" s="196"/>
      <c r="D228" s="196"/>
      <c r="E228" s="196"/>
      <c r="F228" s="196"/>
      <c r="G228" s="196"/>
      <c r="H228" s="196"/>
      <c r="I228" s="196"/>
      <c r="J228" s="196"/>
    </row>
    <row r="229" spans="1:10">
      <c r="A229" s="196"/>
      <c r="B229" s="196"/>
      <c r="C229" s="196"/>
      <c r="D229" s="196"/>
      <c r="E229" s="196"/>
      <c r="F229" s="196"/>
      <c r="G229" s="196"/>
      <c r="H229" s="196"/>
      <c r="I229" s="196"/>
      <c r="J229" s="196"/>
    </row>
    <row r="230" spans="1:10">
      <c r="A230" s="341"/>
      <c r="B230" s="341"/>
      <c r="C230" s="341"/>
      <c r="D230" s="341"/>
      <c r="E230" s="341"/>
      <c r="F230" s="341"/>
      <c r="G230" s="341"/>
      <c r="H230" s="341"/>
      <c r="I230" s="341"/>
      <c r="J230" s="341"/>
    </row>
    <row r="231" spans="1:10">
      <c r="A231" s="341"/>
      <c r="B231" s="341"/>
      <c r="C231" s="341"/>
      <c r="D231" s="341"/>
      <c r="E231" s="341"/>
      <c r="F231" s="341"/>
      <c r="G231" s="341"/>
      <c r="H231" s="341"/>
      <c r="I231" s="341"/>
      <c r="J231" s="341"/>
    </row>
    <row r="232" spans="1:10">
      <c r="A232" s="341"/>
      <c r="B232" s="341"/>
      <c r="C232" s="341"/>
      <c r="D232" s="341"/>
      <c r="E232" s="341"/>
      <c r="F232" s="341"/>
      <c r="G232" s="341"/>
      <c r="H232" s="341"/>
      <c r="I232" s="341"/>
      <c r="J232" s="341"/>
    </row>
    <row r="233" spans="1:10">
      <c r="A233" s="341"/>
      <c r="B233" s="341"/>
      <c r="C233" s="341"/>
      <c r="D233" s="341"/>
      <c r="E233" s="341"/>
      <c r="F233" s="341"/>
      <c r="G233" s="341"/>
      <c r="H233" s="341"/>
      <c r="I233" s="341"/>
      <c r="J233" s="341"/>
    </row>
    <row r="234" spans="1:10">
      <c r="A234" s="341"/>
      <c r="B234" s="341"/>
      <c r="C234" s="341"/>
      <c r="D234" s="341"/>
      <c r="E234" s="341"/>
      <c r="F234" s="341"/>
      <c r="G234" s="341"/>
      <c r="H234" s="341"/>
      <c r="I234" s="341"/>
      <c r="J234" s="341"/>
    </row>
    <row r="235" spans="1:10">
      <c r="A235" s="341"/>
      <c r="B235" s="341"/>
      <c r="C235" s="341"/>
      <c r="D235" s="341"/>
      <c r="E235" s="341"/>
      <c r="F235" s="341"/>
      <c r="G235" s="341"/>
      <c r="H235" s="341"/>
      <c r="I235" s="341"/>
      <c r="J235" s="341"/>
    </row>
    <row r="236" spans="1:10">
      <c r="A236" s="341"/>
      <c r="B236" s="341"/>
      <c r="C236" s="341"/>
      <c r="D236" s="341"/>
      <c r="E236" s="341"/>
      <c r="F236" s="341"/>
      <c r="G236" s="341"/>
      <c r="H236" s="341"/>
      <c r="I236" s="341"/>
      <c r="J236" s="341"/>
    </row>
    <row r="237" spans="1:10">
      <c r="A237" s="341"/>
      <c r="B237" s="341"/>
      <c r="C237" s="341"/>
      <c r="D237" s="341"/>
      <c r="E237" s="341"/>
      <c r="F237" s="341"/>
      <c r="G237" s="341"/>
      <c r="H237" s="341"/>
      <c r="I237" s="341"/>
      <c r="J237" s="341"/>
    </row>
    <row r="238" spans="1:10">
      <c r="A238" s="341"/>
      <c r="B238" s="341"/>
      <c r="C238" s="341"/>
      <c r="D238" s="341"/>
      <c r="E238" s="341"/>
      <c r="F238" s="341"/>
      <c r="G238" s="341"/>
      <c r="H238" s="341"/>
      <c r="I238" s="341"/>
      <c r="J238" s="341"/>
    </row>
    <row r="239" spans="1:10">
      <c r="A239" s="196"/>
      <c r="B239" s="196"/>
      <c r="C239" s="196"/>
      <c r="D239" s="196"/>
      <c r="E239" s="196"/>
      <c r="F239" s="196"/>
      <c r="G239" s="196"/>
      <c r="H239" s="196"/>
      <c r="I239" s="196"/>
      <c r="J239" s="196"/>
    </row>
    <row r="240" spans="1:10">
      <c r="A240" s="320"/>
      <c r="B240" s="320"/>
      <c r="C240" s="320"/>
      <c r="D240" s="320"/>
      <c r="E240" s="320"/>
      <c r="F240" s="320"/>
      <c r="G240" s="874"/>
      <c r="H240" s="874"/>
      <c r="I240" s="874"/>
      <c r="J240" s="874"/>
    </row>
  </sheetData>
  <mergeCells count="112">
    <mergeCell ref="A72:C72"/>
    <mergeCell ref="A1:J1"/>
    <mergeCell ref="A44:C44"/>
    <mergeCell ref="A32:C32"/>
    <mergeCell ref="A14:C14"/>
    <mergeCell ref="A61:C61"/>
    <mergeCell ref="A8:C8"/>
    <mergeCell ref="D6:J6"/>
    <mergeCell ref="A50:C50"/>
    <mergeCell ref="A20:C20"/>
    <mergeCell ref="A38:C38"/>
    <mergeCell ref="A26:C26"/>
    <mergeCell ref="G102:J102"/>
    <mergeCell ref="G104:J104"/>
    <mergeCell ref="A106:B106"/>
    <mergeCell ref="E106:J106"/>
    <mergeCell ref="A108:C108"/>
    <mergeCell ref="D108:F108"/>
    <mergeCell ref="G108:J108"/>
    <mergeCell ref="A99:C99"/>
    <mergeCell ref="D99:F99"/>
    <mergeCell ref="G99:J99"/>
    <mergeCell ref="G100:J100"/>
    <mergeCell ref="G101:J101"/>
    <mergeCell ref="F114:J114"/>
    <mergeCell ref="F115:J115"/>
    <mergeCell ref="F116:J116"/>
    <mergeCell ref="F117:J117"/>
    <mergeCell ref="A118:B118"/>
    <mergeCell ref="C118:D118"/>
    <mergeCell ref="E118:J118"/>
    <mergeCell ref="G109:J109"/>
    <mergeCell ref="F110:J110"/>
    <mergeCell ref="F111:J111"/>
    <mergeCell ref="F112:J112"/>
    <mergeCell ref="F113:J113"/>
    <mergeCell ref="G123:J123"/>
    <mergeCell ref="G124:J124"/>
    <mergeCell ref="G125:J125"/>
    <mergeCell ref="G126:J126"/>
    <mergeCell ref="A127:B127"/>
    <mergeCell ref="C127:D127"/>
    <mergeCell ref="E127:J127"/>
    <mergeCell ref="A120:C120"/>
    <mergeCell ref="D120:F120"/>
    <mergeCell ref="G120:J120"/>
    <mergeCell ref="G121:J121"/>
    <mergeCell ref="G122:J122"/>
    <mergeCell ref="G131:J131"/>
    <mergeCell ref="G132:J132"/>
    <mergeCell ref="G133:J133"/>
    <mergeCell ref="G134:J134"/>
    <mergeCell ref="A135:D136"/>
    <mergeCell ref="E135:J136"/>
    <mergeCell ref="G128:J128"/>
    <mergeCell ref="A129:C129"/>
    <mergeCell ref="D129:F129"/>
    <mergeCell ref="G129:J129"/>
    <mergeCell ref="G130:J130"/>
    <mergeCell ref="G140:J140"/>
    <mergeCell ref="G141:J141"/>
    <mergeCell ref="G142:J142"/>
    <mergeCell ref="G143:J143"/>
    <mergeCell ref="G144:J144"/>
    <mergeCell ref="A137:C137"/>
    <mergeCell ref="D137:F137"/>
    <mergeCell ref="G137:J137"/>
    <mergeCell ref="G138:J138"/>
    <mergeCell ref="G139:J139"/>
    <mergeCell ref="B150:J150"/>
    <mergeCell ref="B151:J151"/>
    <mergeCell ref="B152:J152"/>
    <mergeCell ref="B153:J153"/>
    <mergeCell ref="B154:J154"/>
    <mergeCell ref="A145:B145"/>
    <mergeCell ref="C145:D145"/>
    <mergeCell ref="E145:J145"/>
    <mergeCell ref="A147:C147"/>
    <mergeCell ref="B149:J149"/>
    <mergeCell ref="B172:D172"/>
    <mergeCell ref="E172:G172"/>
    <mergeCell ref="B173:D173"/>
    <mergeCell ref="E173:G173"/>
    <mergeCell ref="B174:D174"/>
    <mergeCell ref="E174:G174"/>
    <mergeCell ref="B155:J155"/>
    <mergeCell ref="A157:H157"/>
    <mergeCell ref="B158:H158"/>
    <mergeCell ref="B159:H159"/>
    <mergeCell ref="B171:D171"/>
    <mergeCell ref="E171:G171"/>
    <mergeCell ref="B178:D178"/>
    <mergeCell ref="E178:G178"/>
    <mergeCell ref="A185:C185"/>
    <mergeCell ref="D185:F185"/>
    <mergeCell ref="G185:J185"/>
    <mergeCell ref="B175:D175"/>
    <mergeCell ref="E175:G175"/>
    <mergeCell ref="B176:D176"/>
    <mergeCell ref="E176:G176"/>
    <mergeCell ref="B177:D177"/>
    <mergeCell ref="E177:G177"/>
    <mergeCell ref="A218:C218"/>
    <mergeCell ref="D218:F218"/>
    <mergeCell ref="G218:J218"/>
    <mergeCell ref="G240:J240"/>
    <mergeCell ref="A196:C196"/>
    <mergeCell ref="D196:F196"/>
    <mergeCell ref="G196:J196"/>
    <mergeCell ref="A206:C206"/>
    <mergeCell ref="D206:F206"/>
    <mergeCell ref="G206:J206"/>
  </mergeCells>
  <conditionalFormatting sqref="B101:B105">
    <cfRule type="expression" dxfId="718" priority="21">
      <formula>B101="Complete"</formula>
    </cfRule>
    <cfRule type="expression" dxfId="717" priority="22">
      <formula>B101="In Progress"</formula>
    </cfRule>
    <cfRule type="expression" dxfId="716" priority="23">
      <formula>B101="At Risk"</formula>
    </cfRule>
    <cfRule type="expression" dxfId="715" priority="24">
      <formula>B101="Blocked"</formula>
    </cfRule>
    <cfRule type="expression" dxfId="714" priority="25">
      <formula>B101="Not Started"</formula>
    </cfRule>
  </conditionalFormatting>
  <conditionalFormatting sqref="B110:B117">
    <cfRule type="expression" dxfId="713" priority="1">
      <formula>B110="Complete"</formula>
    </cfRule>
    <cfRule type="expression" dxfId="712" priority="2">
      <formula>B110="In Progress"</formula>
    </cfRule>
    <cfRule type="expression" dxfId="711" priority="3">
      <formula>B110="At Risk"</formula>
    </cfRule>
    <cfRule type="expression" dxfId="710" priority="4">
      <formula>B110="Blocked"</formula>
    </cfRule>
    <cfRule type="expression" dxfId="709" priority="5">
      <formula>B110="Not Started"</formula>
    </cfRule>
  </conditionalFormatting>
  <conditionalFormatting sqref="B122:B126">
    <cfRule type="expression" dxfId="708" priority="26">
      <formula>B122="Complete"</formula>
    </cfRule>
    <cfRule type="expression" dxfId="707" priority="27">
      <formula>B122="In Progress"</formula>
    </cfRule>
    <cfRule type="expression" dxfId="706" priority="28">
      <formula>B122="At Risk"</formula>
    </cfRule>
    <cfRule type="expression" dxfId="705" priority="29">
      <formula>B122="Blocked"</formula>
    </cfRule>
    <cfRule type="expression" dxfId="704" priority="30">
      <formula>B122="Not Started"</formula>
    </cfRule>
  </conditionalFormatting>
  <conditionalFormatting sqref="B131:B134">
    <cfRule type="expression" dxfId="703" priority="6">
      <formula>B131="Complete"</formula>
    </cfRule>
    <cfRule type="expression" dxfId="702" priority="7">
      <formula>B131="In Progress"</formula>
    </cfRule>
    <cfRule type="expression" dxfId="701" priority="8">
      <formula>B131="At Risk"</formula>
    </cfRule>
    <cfRule type="expression" dxfId="700" priority="9">
      <formula>B131="Blocked"</formula>
    </cfRule>
    <cfRule type="expression" dxfId="699" priority="10">
      <formula>B131="Not Started"</formula>
    </cfRule>
  </conditionalFormatting>
  <conditionalFormatting sqref="B139:B144">
    <cfRule type="expression" dxfId="698" priority="11">
      <formula>B139="Complete"</formula>
    </cfRule>
    <cfRule type="expression" dxfId="697" priority="12">
      <formula>B139="In Progress"</formula>
    </cfRule>
    <cfRule type="expression" dxfId="696" priority="13">
      <formula>B139="At Risk"</formula>
    </cfRule>
    <cfRule type="expression" dxfId="695" priority="14">
      <formula>B139="Blocked"</formula>
    </cfRule>
    <cfRule type="expression" dxfId="694" priority="15">
      <formula>B139="Not Started"</formula>
    </cfRule>
  </conditionalFormatting>
  <conditionalFormatting sqref="B162:B169">
    <cfRule type="expression" dxfId="693" priority="82">
      <formula>B162="Yes"</formula>
    </cfRule>
    <cfRule type="expression" dxfId="692" priority="83">
      <formula>B162="N/A"</formula>
    </cfRule>
    <cfRule type="expression" dxfId="691" priority="84">
      <formula>B162="No"</formula>
    </cfRule>
  </conditionalFormatting>
  <conditionalFormatting sqref="B179:H179">
    <cfRule type="expression" dxfId="690" priority="85">
      <formula>COUNTIF($B$6:$B$13,"No")=0</formula>
    </cfRule>
    <cfRule type="expression" dxfId="689" priority="86">
      <formula>COUNTIF($B$6:$B$13,"No")&gt;0</formula>
    </cfRule>
  </conditionalFormatting>
  <conditionalFormatting sqref="C106:D106">
    <cfRule type="dataBar" priority="37">
      <dataBar>
        <cfvo type="num" val="0"/>
        <cfvo type="num" val="1"/>
        <color rgb="FF5B9BD5"/>
      </dataBar>
    </cfRule>
  </conditionalFormatting>
  <conditionalFormatting sqref="C110:D117">
    <cfRule type="expression" dxfId="688" priority="31">
      <formula>C110="Yes"</formula>
    </cfRule>
    <cfRule type="expression" dxfId="687" priority="32">
      <formula>C110="No"</formula>
    </cfRule>
    <cfRule type="expression" dxfId="686" priority="33">
      <formula>C110="N/A"</formula>
    </cfRule>
  </conditionalFormatting>
  <conditionalFormatting sqref="C118:D118">
    <cfRule type="dataBar" priority="38">
      <dataBar>
        <cfvo type="num" val="0"/>
        <cfvo type="num" val="1"/>
        <color rgb="FF5B9BD5"/>
      </dataBar>
    </cfRule>
  </conditionalFormatting>
  <conditionalFormatting sqref="C127:D127">
    <cfRule type="dataBar" priority="39">
      <dataBar>
        <cfvo type="num" val="0"/>
        <cfvo type="num" val="1"/>
        <color rgb="FF5B9BD5"/>
      </dataBar>
    </cfRule>
  </conditionalFormatting>
  <conditionalFormatting sqref="C139:D144">
    <cfRule type="expression" dxfId="685" priority="16">
      <formula>C139="Yes"</formula>
    </cfRule>
    <cfRule type="expression" dxfId="684" priority="17">
      <formula>C139="No"</formula>
    </cfRule>
    <cfRule type="expression" dxfId="683" priority="18">
      <formula>C139="N/A"</formula>
    </cfRule>
  </conditionalFormatting>
  <conditionalFormatting sqref="C145:D145">
    <cfRule type="dataBar" priority="20">
      <dataBar>
        <cfvo type="num" val="0"/>
        <cfvo type="num" val="1"/>
        <color rgb="FF5B9BD5"/>
      </dataBar>
    </cfRule>
  </conditionalFormatting>
  <conditionalFormatting sqref="E5 G5 I5">
    <cfRule type="expression" dxfId="682" priority="87">
      <formula>E5="Pass"</formula>
    </cfRule>
    <cfRule type="expression" dxfId="681" priority="88">
      <formula>E5="Verify"</formula>
    </cfRule>
    <cfRule type="expression" dxfId="680" priority="89">
      <formula>E5="Fail"</formula>
    </cfRule>
    <cfRule type="expression" dxfId="679" priority="90">
      <formula>E5="Not Started"</formula>
    </cfRule>
  </conditionalFormatting>
  <conditionalFormatting sqref="F3">
    <cfRule type="expression" dxfId="678" priority="91">
      <formula>F3="Yes"</formula>
    </cfRule>
    <cfRule type="expression" dxfId="677" priority="92">
      <formula>F3="No"</formula>
    </cfRule>
  </conditionalFormatting>
  <conditionalFormatting sqref="F122:F126">
    <cfRule type="expression" dxfId="676" priority="34">
      <formula>F122="Pass"</formula>
    </cfRule>
    <cfRule type="expression" dxfId="675" priority="35">
      <formula>F122="Fail"</formula>
    </cfRule>
    <cfRule type="expression" dxfId="674" priority="36">
      <formula>F122="Pending"</formula>
    </cfRule>
  </conditionalFormatting>
  <conditionalFormatting sqref="F131:F134">
    <cfRule type="dataBar" priority="19">
      <dataBar>
        <cfvo type="num" val="0"/>
        <cfvo type="num" val="1"/>
        <color rgb="FF5B9BD5"/>
      </dataBar>
    </cfRule>
  </conditionalFormatting>
  <dataValidations count="5">
    <dataValidation type="list" sqref="B5:B6 D5 F5 H5 H10:H18 H147:I148 I16:I18 J5 H150:I155 D63:D70 H19:I96" xr:uid="{00000000-0002-0000-3300-000000000000}">
      <formula1>"Not Started,Verify,Pass,Fail,N/A,Open,Closed,Partial / Yellow"</formula1>
      <formula2>0</formula2>
    </dataValidation>
    <dataValidation type="list" allowBlank="1" sqref="F122:F126" xr:uid="{3CB3073F-489B-4515-A7A1-5A47D8D54911}">
      <formula1>"Pending,Pass,Fail,N/A"</formula1>
    </dataValidation>
    <dataValidation type="list" allowBlank="1" sqref="C110:D117 C139:D144" xr:uid="{BB3AB965-1C6B-4DE0-977D-A655489D0C98}">
      <formula1>"Yes,No,N/A"</formula1>
    </dataValidation>
    <dataValidation type="list" allowBlank="1" sqref="B131:B134 B122:B126" xr:uid="{03FD3AC0-8732-49B1-BC28-A50F53F5D719}">
      <formula1>"Not Started,In Progress,Complete,At Risk,Blocked"</formula1>
    </dataValidation>
    <dataValidation type="list" sqref="B162:B169" xr:uid="{8A371F0A-C4F2-455D-BCCD-62C8CC04BD35}">
      <formula1>"No,Yes,N/A"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51901D8A-E6FD-45B3-9F15-1E3BDBFED29E}">
          <x14:formula1>
            <xm:f>Lookup_Lists!$L$37:$L$39</xm:f>
          </x14:formula1>
          <xm:sqref>C122:E126 J2</xm:sqref>
        </x14:dataValidation>
        <x14:dataValidation type="list" allowBlank="1" showInputMessage="1" showErrorMessage="1" xr:uid="{04F48040-CDCF-46F3-BEC9-958CEFCDE7F4}">
          <x14:formula1>
            <xm:f>Lookup_Lists!$A$36:$A$42</xm:f>
          </x14:formula1>
          <xm:sqref>B101:B105 B110:B117 B139:B144</xm:sqref>
        </x14:dataValidation>
      </x14:dataValidations>
    </ext>
  </extLst>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12345-1A13-4A33-9C97-4F5616A170E7}">
  <dimension ref="A1:J239"/>
  <sheetViews>
    <sheetView workbookViewId="0">
      <selection activeCell="D4" sqref="D4"/>
    </sheetView>
  </sheetViews>
  <sheetFormatPr defaultColWidth="8.6640625" defaultRowHeight="14.4"/>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6640625" style="8" customWidth="1"/>
    <col min="13" max="16384" width="8.6640625" style="8"/>
  </cols>
  <sheetData>
    <row r="1" spans="1:10">
      <c r="A1" s="851" t="s">
        <v>2663</v>
      </c>
      <c r="B1" s="839"/>
      <c r="C1" s="839"/>
      <c r="D1" s="839"/>
      <c r="E1" s="839"/>
      <c r="F1" s="839"/>
      <c r="G1" s="839"/>
      <c r="H1" s="839"/>
      <c r="I1" s="839"/>
      <c r="J1" s="839"/>
    </row>
    <row r="2" spans="1:10" s="227" customFormat="1">
      <c r="A2" s="223" t="s">
        <v>142</v>
      </c>
      <c r="B2" s="224" t="s">
        <v>705</v>
      </c>
      <c r="C2" s="223" t="s">
        <v>902</v>
      </c>
      <c r="D2" s="224" t="s">
        <v>1094</v>
      </c>
      <c r="E2" s="223" t="s">
        <v>151</v>
      </c>
      <c r="F2" s="224" t="s">
        <v>1095</v>
      </c>
      <c r="G2" s="223" t="s">
        <v>174</v>
      </c>
      <c r="H2" s="225">
        <v>0.5</v>
      </c>
      <c r="I2" s="223" t="s">
        <v>154</v>
      </c>
      <c r="J2" s="226" t="s">
        <v>1096</v>
      </c>
    </row>
    <row r="3" spans="1:10" s="231" customFormat="1" ht="27.6">
      <c r="A3" s="223" t="s">
        <v>903</v>
      </c>
      <c r="B3" s="228">
        <v>46198.666316898147</v>
      </c>
      <c r="C3" s="229" t="s">
        <v>904</v>
      </c>
      <c r="D3" s="230" t="s">
        <v>721</v>
      </c>
      <c r="E3" s="223" t="s">
        <v>905</v>
      </c>
      <c r="F3" s="230" t="s">
        <v>2664</v>
      </c>
      <c r="G3" s="223" t="s">
        <v>907</v>
      </c>
      <c r="H3" s="230" t="s">
        <v>908</v>
      </c>
      <c r="I3" s="223" t="s">
        <v>551</v>
      </c>
      <c r="J3" s="230" t="s">
        <v>2665</v>
      </c>
    </row>
    <row r="4" spans="1:10" s="231" customFormat="1" ht="207">
      <c r="A4" s="223" t="s">
        <v>161</v>
      </c>
      <c r="B4" s="230">
        <v>0</v>
      </c>
      <c r="C4" s="223" t="s">
        <v>199</v>
      </c>
      <c r="D4" s="230">
        <v>0</v>
      </c>
      <c r="E4" s="223" t="s">
        <v>179</v>
      </c>
      <c r="F4" s="230">
        <v>0</v>
      </c>
      <c r="G4" s="223" t="s">
        <v>870</v>
      </c>
      <c r="H4" s="232" t="s">
        <v>2666</v>
      </c>
      <c r="I4" s="233"/>
      <c r="J4" s="233"/>
    </row>
    <row r="5" spans="1:10" s="231" customFormat="1">
      <c r="A5" s="234" t="s">
        <v>911</v>
      </c>
      <c r="B5" s="225" t="s">
        <v>677</v>
      </c>
      <c r="C5" s="235" t="s">
        <v>912</v>
      </c>
      <c r="D5" s="225" t="s">
        <v>677</v>
      </c>
      <c r="E5" s="236" t="s">
        <v>913</v>
      </c>
      <c r="F5" s="225" t="s">
        <v>677</v>
      </c>
      <c r="G5" s="237" t="s">
        <v>914</v>
      </c>
      <c r="H5" s="225" t="s">
        <v>677</v>
      </c>
      <c r="I5" s="237" t="s">
        <v>915</v>
      </c>
      <c r="J5" s="225" t="s">
        <v>677</v>
      </c>
    </row>
    <row r="6" spans="1:10" s="231" customFormat="1" ht="35.25" customHeight="1">
      <c r="A6" s="238" t="s">
        <v>916</v>
      </c>
      <c r="B6" s="225" t="s">
        <v>677</v>
      </c>
      <c r="C6" s="239" t="s">
        <v>869</v>
      </c>
      <c r="D6" s="854" t="s">
        <v>2667</v>
      </c>
      <c r="E6" s="853"/>
      <c r="F6" s="853"/>
      <c r="G6" s="853"/>
      <c r="H6" s="853"/>
      <c r="I6" s="853"/>
      <c r="J6" s="853"/>
    </row>
    <row r="7" spans="1:10">
      <c r="A7" s="13"/>
      <c r="B7" s="13"/>
      <c r="C7" s="13"/>
      <c r="D7" s="13"/>
      <c r="E7" s="13"/>
      <c r="F7" s="13"/>
      <c r="G7" s="13"/>
      <c r="H7" s="13"/>
      <c r="I7" s="13"/>
      <c r="J7" s="13"/>
    </row>
    <row r="8" spans="1:10">
      <c r="A8" s="842" t="s">
        <v>918</v>
      </c>
      <c r="B8" s="839"/>
      <c r="C8" s="839"/>
      <c r="D8" s="85"/>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110.4">
      <c r="A10" s="13" t="s">
        <v>705</v>
      </c>
      <c r="B10" s="13" t="s">
        <v>706</v>
      </c>
      <c r="C10" s="13" t="s">
        <v>919</v>
      </c>
      <c r="D10" s="13" t="s">
        <v>2562</v>
      </c>
      <c r="E10" s="13" t="s">
        <v>356</v>
      </c>
      <c r="F10" s="13">
        <v>1</v>
      </c>
      <c r="G10" s="13">
        <v>1</v>
      </c>
      <c r="H10" s="13" t="s">
        <v>677</v>
      </c>
      <c r="I10" s="13" t="s">
        <v>2668</v>
      </c>
      <c r="J10" s="13" t="s">
        <v>2669</v>
      </c>
    </row>
    <row r="11" spans="1:10" ht="82.8">
      <c r="A11" s="13" t="s">
        <v>705</v>
      </c>
      <c r="B11" s="13" t="s">
        <v>2670</v>
      </c>
      <c r="C11" s="13" t="s">
        <v>919</v>
      </c>
      <c r="D11" s="13" t="s">
        <v>2671</v>
      </c>
      <c r="E11" s="13" t="s">
        <v>925</v>
      </c>
      <c r="F11" s="13">
        <v>1</v>
      </c>
      <c r="G11" s="13">
        <v>0</v>
      </c>
      <c r="H11" s="13" t="s">
        <v>677</v>
      </c>
      <c r="I11" s="13" t="s">
        <v>2672</v>
      </c>
      <c r="J11" s="13" t="s">
        <v>2673</v>
      </c>
    </row>
    <row r="12" spans="1:10" ht="96.6">
      <c r="A12" s="13" t="s">
        <v>705</v>
      </c>
      <c r="B12" s="13" t="s">
        <v>2674</v>
      </c>
      <c r="C12" s="13" t="s">
        <v>933</v>
      </c>
      <c r="D12" s="13" t="s">
        <v>2566</v>
      </c>
      <c r="E12" s="13" t="s">
        <v>925</v>
      </c>
      <c r="F12" s="13">
        <v>1</v>
      </c>
      <c r="G12" s="13">
        <v>0</v>
      </c>
      <c r="H12" s="13" t="s">
        <v>677</v>
      </c>
      <c r="I12" s="13" t="s">
        <v>2672</v>
      </c>
      <c r="J12" s="13" t="s">
        <v>2675</v>
      </c>
    </row>
    <row r="13" spans="1:10">
      <c r="A13" s="13"/>
      <c r="B13" s="13"/>
      <c r="C13" s="13"/>
      <c r="D13" s="13"/>
      <c r="E13" s="13"/>
      <c r="F13" s="13"/>
      <c r="G13" s="13"/>
      <c r="H13" s="13"/>
      <c r="I13" s="13"/>
      <c r="J13" s="13"/>
    </row>
    <row r="14" spans="1:10">
      <c r="A14" s="842" t="s">
        <v>936</v>
      </c>
      <c r="B14" s="839"/>
      <c r="C14" s="839"/>
      <c r="D14" s="85"/>
      <c r="E14" s="85"/>
      <c r="F14" s="85"/>
      <c r="G14" s="85"/>
      <c r="H14" s="85"/>
      <c r="I14" s="85"/>
      <c r="J14" s="85"/>
    </row>
    <row r="15" spans="1:10">
      <c r="A15" s="50" t="s">
        <v>275</v>
      </c>
      <c r="B15" s="50" t="s">
        <v>937</v>
      </c>
      <c r="C15" s="50" t="s">
        <v>938</v>
      </c>
      <c r="D15" s="50" t="s">
        <v>939</v>
      </c>
      <c r="E15" s="50" t="s">
        <v>940</v>
      </c>
      <c r="F15" s="50" t="s">
        <v>941</v>
      </c>
      <c r="G15" s="50" t="s">
        <v>942</v>
      </c>
      <c r="H15" s="50" t="s">
        <v>943</v>
      </c>
      <c r="I15" s="50" t="s">
        <v>899</v>
      </c>
      <c r="J15" s="50" t="s">
        <v>944</v>
      </c>
    </row>
    <row r="16" spans="1:10" ht="82.8">
      <c r="A16" s="13" t="s">
        <v>706</v>
      </c>
      <c r="B16" s="13" t="s">
        <v>677</v>
      </c>
      <c r="C16" s="13" t="s">
        <v>677</v>
      </c>
      <c r="D16" s="13" t="s">
        <v>677</v>
      </c>
      <c r="E16" s="13" t="s">
        <v>677</v>
      </c>
      <c r="F16" s="13" t="s">
        <v>677</v>
      </c>
      <c r="G16" s="13" t="s">
        <v>677</v>
      </c>
      <c r="H16" s="13" t="s">
        <v>677</v>
      </c>
      <c r="I16" s="13" t="s">
        <v>677</v>
      </c>
      <c r="J16" s="13" t="s">
        <v>2676</v>
      </c>
    </row>
    <row r="17" spans="1:10" ht="69">
      <c r="A17" s="13" t="s">
        <v>2670</v>
      </c>
      <c r="B17" s="13" t="s">
        <v>946</v>
      </c>
      <c r="C17" s="13" t="s">
        <v>946</v>
      </c>
      <c r="D17" s="13" t="s">
        <v>946</v>
      </c>
      <c r="E17" s="13" t="s">
        <v>677</v>
      </c>
      <c r="F17" s="13" t="s">
        <v>677</v>
      </c>
      <c r="G17" s="13" t="s">
        <v>677</v>
      </c>
      <c r="H17" s="13" t="s">
        <v>677</v>
      </c>
      <c r="I17" s="13" t="s">
        <v>677</v>
      </c>
      <c r="J17" s="13" t="s">
        <v>2677</v>
      </c>
    </row>
    <row r="18" spans="1:10" ht="55.2">
      <c r="A18" s="13" t="s">
        <v>2674</v>
      </c>
      <c r="B18" s="13" t="s">
        <v>946</v>
      </c>
      <c r="C18" s="13" t="s">
        <v>946</v>
      </c>
      <c r="D18" s="13" t="s">
        <v>946</v>
      </c>
      <c r="E18" s="13" t="s">
        <v>677</v>
      </c>
      <c r="F18" s="13" t="s">
        <v>677</v>
      </c>
      <c r="G18" s="13" t="s">
        <v>677</v>
      </c>
      <c r="H18" s="13" t="s">
        <v>677</v>
      </c>
      <c r="I18" s="13" t="s">
        <v>677</v>
      </c>
      <c r="J18" s="13" t="s">
        <v>2678</v>
      </c>
    </row>
    <row r="19" spans="1:10">
      <c r="A19" s="13"/>
      <c r="B19" s="13"/>
      <c r="C19" s="13"/>
      <c r="D19" s="13"/>
      <c r="E19" s="13"/>
      <c r="F19" s="13"/>
      <c r="G19" s="13"/>
      <c r="H19" s="13"/>
      <c r="I19" s="13"/>
      <c r="J19" s="13"/>
    </row>
    <row r="20" spans="1:10">
      <c r="A20" s="842" t="s">
        <v>951</v>
      </c>
      <c r="B20" s="839"/>
      <c r="C20" s="839"/>
      <c r="D20" s="85"/>
      <c r="E20" s="85"/>
      <c r="F20" s="85"/>
      <c r="G20" s="85"/>
      <c r="H20" s="85"/>
      <c r="I20" s="85"/>
      <c r="J20" s="85"/>
    </row>
    <row r="21" spans="1:10">
      <c r="A21" s="50" t="s">
        <v>275</v>
      </c>
      <c r="B21" s="50" t="s">
        <v>952</v>
      </c>
      <c r="C21" s="50" t="s">
        <v>953</v>
      </c>
      <c r="D21" s="50" t="s">
        <v>954</v>
      </c>
      <c r="E21" s="50" t="s">
        <v>955</v>
      </c>
      <c r="F21" s="50" t="s">
        <v>956</v>
      </c>
      <c r="G21" s="50" t="s">
        <v>957</v>
      </c>
      <c r="H21" s="50" t="s">
        <v>958</v>
      </c>
      <c r="I21" s="50" t="s">
        <v>899</v>
      </c>
      <c r="J21" s="50" t="s">
        <v>959</v>
      </c>
    </row>
    <row r="22" spans="1:10" ht="82.8">
      <c r="A22" s="13" t="s">
        <v>706</v>
      </c>
      <c r="B22" s="13" t="s">
        <v>677</v>
      </c>
      <c r="C22" s="13" t="s">
        <v>677</v>
      </c>
      <c r="D22" s="13" t="s">
        <v>677</v>
      </c>
      <c r="E22" s="13" t="s">
        <v>677</v>
      </c>
      <c r="F22" s="13" t="s">
        <v>677</v>
      </c>
      <c r="G22" s="13" t="s">
        <v>677</v>
      </c>
      <c r="H22" s="13" t="s">
        <v>677</v>
      </c>
      <c r="I22" s="13" t="s">
        <v>677</v>
      </c>
      <c r="J22" s="13" t="s">
        <v>2486</v>
      </c>
    </row>
    <row r="23" spans="1:10" ht="55.2">
      <c r="A23" s="13" t="s">
        <v>2670</v>
      </c>
      <c r="B23" s="13" t="s">
        <v>677</v>
      </c>
      <c r="C23" s="13" t="s">
        <v>679</v>
      </c>
      <c r="D23" s="13" t="s">
        <v>677</v>
      </c>
      <c r="E23" s="13" t="s">
        <v>677</v>
      </c>
      <c r="F23" s="13" t="s">
        <v>677</v>
      </c>
      <c r="G23" s="13" t="s">
        <v>677</v>
      </c>
      <c r="H23" s="13" t="s">
        <v>677</v>
      </c>
      <c r="I23" s="13" t="s">
        <v>677</v>
      </c>
      <c r="J23" s="13" t="s">
        <v>2679</v>
      </c>
    </row>
    <row r="24" spans="1:10" ht="41.4">
      <c r="A24" s="13" t="s">
        <v>2674</v>
      </c>
      <c r="B24" s="13" t="s">
        <v>677</v>
      </c>
      <c r="C24" s="13" t="s">
        <v>679</v>
      </c>
      <c r="D24" s="13" t="s">
        <v>677</v>
      </c>
      <c r="E24" s="13" t="s">
        <v>677</v>
      </c>
      <c r="F24" s="13" t="s">
        <v>677</v>
      </c>
      <c r="G24" s="13" t="s">
        <v>677</v>
      </c>
      <c r="H24" s="13" t="s">
        <v>677</v>
      </c>
      <c r="I24" s="13" t="s">
        <v>677</v>
      </c>
      <c r="J24" s="13" t="s">
        <v>2680</v>
      </c>
    </row>
    <row r="25" spans="1:10">
      <c r="A25" s="13"/>
      <c r="B25" s="13"/>
      <c r="C25" s="13"/>
      <c r="D25" s="13"/>
      <c r="E25" s="13"/>
      <c r="F25" s="13"/>
      <c r="G25" s="13"/>
      <c r="H25" s="13"/>
      <c r="I25" s="13"/>
      <c r="J25" s="13"/>
    </row>
    <row r="26" spans="1:10">
      <c r="A26" s="842" t="s">
        <v>964</v>
      </c>
      <c r="B26" s="839"/>
      <c r="C26" s="839"/>
      <c r="D26" s="85"/>
      <c r="E26" s="85"/>
      <c r="F26" s="85"/>
      <c r="G26" s="85"/>
      <c r="H26" s="85"/>
      <c r="I26" s="85"/>
      <c r="J26" s="85"/>
    </row>
    <row r="27" spans="1:10">
      <c r="A27" s="50" t="s">
        <v>275</v>
      </c>
      <c r="B27" s="50" t="s">
        <v>965</v>
      </c>
      <c r="C27" s="50" t="s">
        <v>966</v>
      </c>
      <c r="D27" s="50" t="s">
        <v>967</v>
      </c>
      <c r="E27" s="50" t="s">
        <v>968</v>
      </c>
      <c r="F27" s="50" t="s">
        <v>969</v>
      </c>
      <c r="G27" s="50" t="s">
        <v>970</v>
      </c>
      <c r="H27" s="50" t="s">
        <v>971</v>
      </c>
      <c r="I27" s="50" t="s">
        <v>899</v>
      </c>
      <c r="J27" s="50" t="s">
        <v>959</v>
      </c>
    </row>
    <row r="28" spans="1:10" ht="96.6">
      <c r="A28" s="13" t="s">
        <v>706</v>
      </c>
      <c r="B28" s="13" t="s">
        <v>972</v>
      </c>
      <c r="C28" s="13" t="s">
        <v>677</v>
      </c>
      <c r="D28" s="13" t="s">
        <v>677</v>
      </c>
      <c r="E28" s="13" t="s">
        <v>677</v>
      </c>
      <c r="F28" s="13" t="s">
        <v>677</v>
      </c>
      <c r="G28" s="13" t="s">
        <v>677</v>
      </c>
      <c r="H28" s="13" t="s">
        <v>677</v>
      </c>
      <c r="I28" s="13" t="s">
        <v>677</v>
      </c>
      <c r="J28" s="13" t="s">
        <v>2681</v>
      </c>
    </row>
    <row r="29" spans="1:10" ht="55.2">
      <c r="A29" s="13" t="s">
        <v>2670</v>
      </c>
      <c r="B29" s="13" t="s">
        <v>946</v>
      </c>
      <c r="C29" s="13" t="s">
        <v>677</v>
      </c>
      <c r="D29" s="13" t="s">
        <v>677</v>
      </c>
      <c r="E29" s="13" t="s">
        <v>677</v>
      </c>
      <c r="F29" s="13" t="s">
        <v>677</v>
      </c>
      <c r="G29" s="13" t="s">
        <v>677</v>
      </c>
      <c r="H29" s="13" t="s">
        <v>677</v>
      </c>
      <c r="I29" s="13" t="s">
        <v>677</v>
      </c>
      <c r="J29" s="13" t="s">
        <v>2682</v>
      </c>
    </row>
    <row r="30" spans="1:10" ht="55.2">
      <c r="A30" s="13" t="s">
        <v>2674</v>
      </c>
      <c r="B30" s="13" t="s">
        <v>946</v>
      </c>
      <c r="C30" s="13" t="s">
        <v>677</v>
      </c>
      <c r="D30" s="13" t="s">
        <v>677</v>
      </c>
      <c r="E30" s="13" t="s">
        <v>677</v>
      </c>
      <c r="F30" s="13" t="s">
        <v>677</v>
      </c>
      <c r="G30" s="13" t="s">
        <v>677</v>
      </c>
      <c r="H30" s="13" t="s">
        <v>677</v>
      </c>
      <c r="I30" s="13" t="s">
        <v>677</v>
      </c>
      <c r="J30" s="13" t="s">
        <v>2683</v>
      </c>
    </row>
    <row r="31" spans="1:10">
      <c r="A31" s="13"/>
      <c r="B31" s="13"/>
      <c r="C31" s="13"/>
      <c r="D31" s="13"/>
      <c r="E31" s="13"/>
      <c r="F31" s="13"/>
      <c r="G31" s="13"/>
      <c r="H31" s="13"/>
      <c r="I31" s="13"/>
      <c r="J31" s="13"/>
    </row>
    <row r="32" spans="1:10">
      <c r="A32" s="842" t="s">
        <v>977</v>
      </c>
      <c r="B32" s="839"/>
      <c r="C32" s="839"/>
      <c r="D32" s="85"/>
      <c r="E32" s="85"/>
      <c r="F32" s="85"/>
      <c r="G32" s="85"/>
      <c r="H32" s="85"/>
      <c r="I32" s="85"/>
      <c r="J32" s="85"/>
    </row>
    <row r="33" spans="1:10">
      <c r="A33" s="50" t="s">
        <v>275</v>
      </c>
      <c r="B33" s="50" t="s">
        <v>978</v>
      </c>
      <c r="C33" s="50" t="s">
        <v>979</v>
      </c>
      <c r="D33" s="50" t="s">
        <v>980</v>
      </c>
      <c r="E33" s="50" t="s">
        <v>981</v>
      </c>
      <c r="F33" s="50" t="s">
        <v>982</v>
      </c>
      <c r="G33" s="50" t="s">
        <v>983</v>
      </c>
      <c r="H33" s="50" t="s">
        <v>984</v>
      </c>
      <c r="I33" s="50" t="s">
        <v>899</v>
      </c>
      <c r="J33" s="50" t="s">
        <v>11</v>
      </c>
    </row>
    <row r="34" spans="1:10" ht="69">
      <c r="A34" s="13" t="s">
        <v>706</v>
      </c>
      <c r="B34" s="13" t="s">
        <v>677</v>
      </c>
      <c r="C34" s="13" t="s">
        <v>985</v>
      </c>
      <c r="D34" s="13" t="s">
        <v>677</v>
      </c>
      <c r="E34" s="13" t="s">
        <v>677</v>
      </c>
      <c r="F34" s="13" t="s">
        <v>2684</v>
      </c>
      <c r="G34" s="13" t="s">
        <v>677</v>
      </c>
      <c r="H34" s="13" t="s">
        <v>677</v>
      </c>
      <c r="I34" s="13" t="s">
        <v>677</v>
      </c>
      <c r="J34" s="13" t="s">
        <v>2685</v>
      </c>
    </row>
    <row r="35" spans="1:10" ht="69">
      <c r="A35" s="13" t="s">
        <v>2670</v>
      </c>
      <c r="B35" s="13" t="s">
        <v>988</v>
      </c>
      <c r="C35" s="13" t="s">
        <v>1485</v>
      </c>
      <c r="D35" s="13" t="s">
        <v>988</v>
      </c>
      <c r="E35" s="13" t="s">
        <v>677</v>
      </c>
      <c r="F35" s="13" t="s">
        <v>946</v>
      </c>
      <c r="G35" s="13" t="s">
        <v>677</v>
      </c>
      <c r="H35" s="13" t="s">
        <v>677</v>
      </c>
      <c r="I35" s="13" t="s">
        <v>677</v>
      </c>
      <c r="J35" s="13" t="s">
        <v>2587</v>
      </c>
    </row>
    <row r="36" spans="1:10" ht="69">
      <c r="A36" s="13" t="s">
        <v>2674</v>
      </c>
      <c r="B36" s="13" t="s">
        <v>988</v>
      </c>
      <c r="C36" s="13" t="s">
        <v>2686</v>
      </c>
      <c r="D36" s="13" t="s">
        <v>988</v>
      </c>
      <c r="E36" s="13" t="s">
        <v>677</v>
      </c>
      <c r="F36" s="13" t="s">
        <v>946</v>
      </c>
      <c r="G36" s="13" t="s">
        <v>677</v>
      </c>
      <c r="H36" s="13" t="s">
        <v>677</v>
      </c>
      <c r="I36" s="13" t="s">
        <v>677</v>
      </c>
      <c r="J36" s="13" t="s">
        <v>2687</v>
      </c>
    </row>
    <row r="37" spans="1:10">
      <c r="A37" s="13"/>
      <c r="B37" s="13"/>
      <c r="C37" s="13"/>
      <c r="D37" s="13"/>
      <c r="E37" s="13"/>
      <c r="F37" s="13"/>
      <c r="G37" s="13"/>
      <c r="H37" s="13"/>
      <c r="I37" s="13"/>
      <c r="J37" s="13"/>
    </row>
    <row r="38" spans="1:10">
      <c r="A38" s="842" t="s">
        <v>994</v>
      </c>
      <c r="B38" s="839"/>
      <c r="C38" s="839"/>
      <c r="D38" s="85"/>
      <c r="E38" s="85"/>
      <c r="F38" s="85"/>
      <c r="G38" s="85"/>
      <c r="H38" s="85"/>
      <c r="I38" s="85"/>
      <c r="J38" s="85"/>
    </row>
    <row r="39" spans="1:10">
      <c r="A39" s="50" t="s">
        <v>275</v>
      </c>
      <c r="B39" s="50" t="s">
        <v>995</v>
      </c>
      <c r="C39" s="50" t="s">
        <v>996</v>
      </c>
      <c r="D39" s="50" t="s">
        <v>997</v>
      </c>
      <c r="E39" s="50" t="s">
        <v>998</v>
      </c>
      <c r="F39" s="50" t="s">
        <v>999</v>
      </c>
      <c r="G39" s="50" t="s">
        <v>1000</v>
      </c>
      <c r="H39" s="50" t="s">
        <v>1001</v>
      </c>
      <c r="I39" s="50" t="s">
        <v>899</v>
      </c>
      <c r="J39" s="50" t="s">
        <v>11</v>
      </c>
    </row>
    <row r="40" spans="1:10" ht="110.4">
      <c r="A40" s="13" t="s">
        <v>706</v>
      </c>
      <c r="B40" s="13" t="s">
        <v>677</v>
      </c>
      <c r="C40" s="13" t="s">
        <v>677</v>
      </c>
      <c r="D40" s="13" t="s">
        <v>677</v>
      </c>
      <c r="E40" s="13" t="s">
        <v>677</v>
      </c>
      <c r="F40" s="13" t="s">
        <v>677</v>
      </c>
      <c r="G40" s="13" t="s">
        <v>677</v>
      </c>
      <c r="H40" s="13" t="s">
        <v>677</v>
      </c>
      <c r="I40" s="13" t="s">
        <v>677</v>
      </c>
      <c r="J40" s="13" t="s">
        <v>2688</v>
      </c>
    </row>
    <row r="41" spans="1:10" ht="82.8">
      <c r="A41" s="13" t="s">
        <v>2670</v>
      </c>
      <c r="B41" s="13" t="s">
        <v>988</v>
      </c>
      <c r="C41" s="13" t="s">
        <v>988</v>
      </c>
      <c r="D41" s="13" t="s">
        <v>988</v>
      </c>
      <c r="E41" s="13" t="s">
        <v>677</v>
      </c>
      <c r="F41" s="13" t="s">
        <v>677</v>
      </c>
      <c r="G41" s="13" t="s">
        <v>677</v>
      </c>
      <c r="H41" s="13" t="s">
        <v>677</v>
      </c>
      <c r="I41" s="13" t="s">
        <v>677</v>
      </c>
      <c r="J41" s="13" t="s">
        <v>2689</v>
      </c>
    </row>
    <row r="42" spans="1:10" ht="82.8">
      <c r="A42" s="13" t="s">
        <v>2674</v>
      </c>
      <c r="B42" s="13" t="s">
        <v>988</v>
      </c>
      <c r="C42" s="13" t="s">
        <v>988</v>
      </c>
      <c r="D42" s="13" t="s">
        <v>988</v>
      </c>
      <c r="E42" s="13" t="s">
        <v>677</v>
      </c>
      <c r="F42" s="13" t="s">
        <v>677</v>
      </c>
      <c r="G42" s="13" t="s">
        <v>677</v>
      </c>
      <c r="H42" s="13" t="s">
        <v>677</v>
      </c>
      <c r="I42" s="13" t="s">
        <v>677</v>
      </c>
      <c r="J42" s="13" t="s">
        <v>2690</v>
      </c>
    </row>
    <row r="43" spans="1:10">
      <c r="A43" s="13"/>
      <c r="B43" s="13"/>
      <c r="C43" s="13"/>
      <c r="D43" s="13"/>
      <c r="E43" s="13"/>
      <c r="F43" s="13"/>
      <c r="G43" s="13"/>
      <c r="H43" s="13"/>
      <c r="I43" s="13"/>
      <c r="J43" s="13"/>
    </row>
    <row r="44" spans="1:10">
      <c r="A44" s="842" t="s">
        <v>1007</v>
      </c>
      <c r="B44" s="839"/>
      <c r="C44" s="839"/>
      <c r="D44" s="85"/>
      <c r="E44" s="85"/>
      <c r="F44" s="85"/>
      <c r="G44" s="85"/>
      <c r="H44" s="85"/>
      <c r="I44" s="85"/>
      <c r="J44" s="85"/>
    </row>
    <row r="45" spans="1:10">
      <c r="A45" s="50" t="s">
        <v>275</v>
      </c>
      <c r="B45" s="50" t="s">
        <v>1008</v>
      </c>
      <c r="C45" s="50" t="s">
        <v>1009</v>
      </c>
      <c r="D45" s="50" t="s">
        <v>1010</v>
      </c>
      <c r="E45" s="50" t="s">
        <v>1011</v>
      </c>
      <c r="F45" s="50" t="s">
        <v>1012</v>
      </c>
      <c r="G45" s="50" t="s">
        <v>1013</v>
      </c>
      <c r="H45" s="50" t="s">
        <v>1014</v>
      </c>
      <c r="I45" s="50" t="s">
        <v>899</v>
      </c>
      <c r="J45" s="50" t="s">
        <v>11</v>
      </c>
    </row>
    <row r="46" spans="1:10" ht="82.8">
      <c r="A46" s="13" t="s">
        <v>706</v>
      </c>
      <c r="B46" s="13" t="s">
        <v>677</v>
      </c>
      <c r="C46" s="13" t="s">
        <v>677</v>
      </c>
      <c r="D46" s="13" t="s">
        <v>677</v>
      </c>
      <c r="E46" s="13" t="s">
        <v>677</v>
      </c>
      <c r="F46" s="13" t="s">
        <v>677</v>
      </c>
      <c r="G46" s="13" t="s">
        <v>677</v>
      </c>
      <c r="H46" s="13" t="s">
        <v>677</v>
      </c>
      <c r="I46" s="13" t="s">
        <v>677</v>
      </c>
      <c r="J46" s="13" t="s">
        <v>2691</v>
      </c>
    </row>
    <row r="47" spans="1:10" ht="55.2">
      <c r="A47" s="13" t="s">
        <v>2670</v>
      </c>
      <c r="B47" s="13" t="s">
        <v>677</v>
      </c>
      <c r="C47" s="13" t="s">
        <v>677</v>
      </c>
      <c r="D47" s="13" t="s">
        <v>677</v>
      </c>
      <c r="E47" s="13" t="s">
        <v>677</v>
      </c>
      <c r="F47" s="13" t="s">
        <v>677</v>
      </c>
      <c r="G47" s="13" t="s">
        <v>677</v>
      </c>
      <c r="H47" s="13" t="s">
        <v>677</v>
      </c>
      <c r="I47" s="13" t="s">
        <v>677</v>
      </c>
      <c r="J47" s="13" t="s">
        <v>2692</v>
      </c>
    </row>
    <row r="48" spans="1:10" ht="55.2">
      <c r="A48" s="13" t="s">
        <v>2674</v>
      </c>
      <c r="B48" s="13" t="s">
        <v>677</v>
      </c>
      <c r="C48" s="13" t="s">
        <v>677</v>
      </c>
      <c r="D48" s="13" t="s">
        <v>677</v>
      </c>
      <c r="E48" s="13" t="s">
        <v>677</v>
      </c>
      <c r="F48" s="13" t="s">
        <v>677</v>
      </c>
      <c r="G48" s="13" t="s">
        <v>677</v>
      </c>
      <c r="H48" s="13" t="s">
        <v>677</v>
      </c>
      <c r="I48" s="13" t="s">
        <v>677</v>
      </c>
      <c r="J48" s="13" t="s">
        <v>2693</v>
      </c>
    </row>
    <row r="49" spans="1:10">
      <c r="A49" s="13"/>
      <c r="B49" s="13"/>
      <c r="C49" s="13"/>
      <c r="D49" s="13"/>
      <c r="E49" s="13"/>
      <c r="F49" s="13"/>
      <c r="G49" s="13"/>
      <c r="H49" s="13"/>
      <c r="I49" s="13"/>
      <c r="J49" s="13"/>
    </row>
    <row r="50" spans="1:10">
      <c r="A50" s="842" t="s">
        <v>1019</v>
      </c>
      <c r="B50" s="839"/>
      <c r="C50" s="839"/>
      <c r="D50" s="85"/>
      <c r="E50" s="85"/>
      <c r="F50" s="85"/>
      <c r="G50" s="85"/>
      <c r="H50" s="85"/>
      <c r="I50" s="85"/>
      <c r="J50" s="85"/>
    </row>
    <row r="51" spans="1:10">
      <c r="A51" s="50" t="s">
        <v>213</v>
      </c>
      <c r="B51" s="50" t="s">
        <v>275</v>
      </c>
      <c r="C51" s="50" t="s">
        <v>573</v>
      </c>
      <c r="D51" s="50" t="s">
        <v>215</v>
      </c>
      <c r="E51" s="50" t="s">
        <v>257</v>
      </c>
      <c r="F51" s="50" t="s">
        <v>572</v>
      </c>
      <c r="G51" s="50" t="s">
        <v>259</v>
      </c>
      <c r="H51" s="50" t="s">
        <v>216</v>
      </c>
      <c r="I51" s="50" t="s">
        <v>77</v>
      </c>
      <c r="J51" s="50" t="s">
        <v>11</v>
      </c>
    </row>
    <row r="52" spans="1:10" ht="55.2">
      <c r="A52" s="13" t="s">
        <v>2694</v>
      </c>
      <c r="B52" s="13" t="s">
        <v>575</v>
      </c>
      <c r="C52" s="13" t="s">
        <v>2695</v>
      </c>
      <c r="D52" s="13" t="s">
        <v>391</v>
      </c>
      <c r="E52" s="13" t="s">
        <v>488</v>
      </c>
      <c r="F52" s="13">
        <v>6</v>
      </c>
      <c r="G52" s="13" t="s">
        <v>1381</v>
      </c>
      <c r="H52" s="13" t="s">
        <v>1023</v>
      </c>
      <c r="I52" s="13" t="s">
        <v>502</v>
      </c>
      <c r="J52" s="13" t="s">
        <v>2696</v>
      </c>
    </row>
    <row r="53" spans="1:10" ht="69">
      <c r="A53" s="13" t="s">
        <v>2697</v>
      </c>
      <c r="B53" s="13" t="s">
        <v>706</v>
      </c>
      <c r="C53" s="13" t="s">
        <v>2698</v>
      </c>
      <c r="D53" s="13" t="s">
        <v>391</v>
      </c>
      <c r="E53" s="13" t="s">
        <v>488</v>
      </c>
      <c r="F53" s="13">
        <v>6</v>
      </c>
      <c r="G53" s="13" t="s">
        <v>2232</v>
      </c>
      <c r="H53" s="13" t="s">
        <v>1858</v>
      </c>
      <c r="I53" s="13" t="s">
        <v>502</v>
      </c>
      <c r="J53" s="13" t="s">
        <v>2699</v>
      </c>
    </row>
    <row r="54" spans="1:10" ht="82.8">
      <c r="A54" s="13" t="s">
        <v>2700</v>
      </c>
      <c r="B54" s="13" t="s">
        <v>2701</v>
      </c>
      <c r="C54" s="13" t="s">
        <v>2418</v>
      </c>
      <c r="D54" s="13" t="s">
        <v>492</v>
      </c>
      <c r="E54" s="13" t="s">
        <v>488</v>
      </c>
      <c r="F54" s="13">
        <v>8</v>
      </c>
      <c r="G54" s="13" t="s">
        <v>2236</v>
      </c>
      <c r="H54" s="13" t="s">
        <v>584</v>
      </c>
      <c r="I54" s="13" t="s">
        <v>502</v>
      </c>
      <c r="J54" s="13" t="s">
        <v>2702</v>
      </c>
    </row>
    <row r="55" spans="1:10" ht="82.8">
      <c r="A55" s="13" t="s">
        <v>2703</v>
      </c>
      <c r="B55" s="13" t="s">
        <v>706</v>
      </c>
      <c r="C55" s="13" t="s">
        <v>593</v>
      </c>
      <c r="D55" s="13" t="s">
        <v>492</v>
      </c>
      <c r="E55" s="13" t="s">
        <v>488</v>
      </c>
      <c r="F55" s="13">
        <v>8</v>
      </c>
      <c r="G55" s="13" t="s">
        <v>2239</v>
      </c>
      <c r="H55" s="13" t="s">
        <v>592</v>
      </c>
      <c r="I55" s="13" t="s">
        <v>502</v>
      </c>
      <c r="J55" s="13" t="s">
        <v>1028</v>
      </c>
    </row>
    <row r="56" spans="1:10" ht="69">
      <c r="A56" s="13" t="s">
        <v>2704</v>
      </c>
      <c r="B56" s="13" t="s">
        <v>706</v>
      </c>
      <c r="C56" s="13" t="s">
        <v>2605</v>
      </c>
      <c r="D56" s="13" t="s">
        <v>391</v>
      </c>
      <c r="E56" s="13" t="s">
        <v>488</v>
      </c>
      <c r="F56" s="13">
        <v>6</v>
      </c>
      <c r="G56" s="13" t="s">
        <v>2705</v>
      </c>
      <c r="H56" s="13" t="s">
        <v>1032</v>
      </c>
      <c r="I56" s="13" t="s">
        <v>502</v>
      </c>
      <c r="J56" s="13" t="s">
        <v>2706</v>
      </c>
    </row>
    <row r="57" spans="1:10" ht="96.6">
      <c r="A57" s="13" t="s">
        <v>2707</v>
      </c>
      <c r="B57" s="13" t="s">
        <v>706</v>
      </c>
      <c r="C57" s="13" t="s">
        <v>2708</v>
      </c>
      <c r="D57" s="13" t="s">
        <v>391</v>
      </c>
      <c r="E57" s="13" t="s">
        <v>488</v>
      </c>
      <c r="F57" s="13">
        <v>6</v>
      </c>
      <c r="G57" s="13" t="s">
        <v>2709</v>
      </c>
      <c r="H57" s="13" t="s">
        <v>1037</v>
      </c>
      <c r="I57" s="13" t="s">
        <v>502</v>
      </c>
      <c r="J57" s="13" t="s">
        <v>2710</v>
      </c>
    </row>
    <row r="58" spans="1:10" ht="82.8">
      <c r="A58" s="13" t="s">
        <v>2711</v>
      </c>
      <c r="B58" s="13" t="s">
        <v>575</v>
      </c>
      <c r="C58" s="13" t="s">
        <v>2712</v>
      </c>
      <c r="D58" s="13" t="s">
        <v>492</v>
      </c>
      <c r="E58" s="13" t="s">
        <v>488</v>
      </c>
      <c r="F58" s="13">
        <v>8</v>
      </c>
      <c r="G58" s="13" t="s">
        <v>1039</v>
      </c>
      <c r="H58" s="13" t="s">
        <v>584</v>
      </c>
      <c r="I58" s="13" t="s">
        <v>502</v>
      </c>
      <c r="J58" s="13" t="s">
        <v>2713</v>
      </c>
    </row>
    <row r="59" spans="1:10" ht="96.6">
      <c r="A59" s="13" t="s">
        <v>2714</v>
      </c>
      <c r="B59" s="13" t="s">
        <v>575</v>
      </c>
      <c r="C59" s="13" t="s">
        <v>1047</v>
      </c>
      <c r="D59" s="13" t="s">
        <v>391</v>
      </c>
      <c r="E59" s="13" t="s">
        <v>488</v>
      </c>
      <c r="F59" s="13">
        <v>6</v>
      </c>
      <c r="G59" s="13" t="s">
        <v>2252</v>
      </c>
      <c r="H59" s="13" t="s">
        <v>1049</v>
      </c>
      <c r="I59" s="13" t="s">
        <v>502</v>
      </c>
      <c r="J59" s="13" t="s">
        <v>1737</v>
      </c>
    </row>
    <row r="60" spans="1:10">
      <c r="A60" s="13"/>
      <c r="B60" s="13"/>
      <c r="C60" s="13"/>
      <c r="D60" s="13"/>
      <c r="E60" s="13"/>
      <c r="F60" s="13"/>
      <c r="G60" s="13"/>
      <c r="H60" s="13"/>
      <c r="I60" s="13"/>
      <c r="J60" s="13"/>
    </row>
    <row r="61" spans="1:10">
      <c r="A61" s="842" t="s">
        <v>1051</v>
      </c>
      <c r="B61" s="839"/>
      <c r="C61" s="839"/>
      <c r="D61" s="85"/>
      <c r="E61" s="85"/>
      <c r="F61" s="85"/>
      <c r="G61" s="85"/>
      <c r="H61" s="85"/>
      <c r="I61" s="85"/>
      <c r="J61" s="85"/>
    </row>
    <row r="62" spans="1:10">
      <c r="A62" s="50" t="s">
        <v>221</v>
      </c>
      <c r="B62" s="50" t="s">
        <v>222</v>
      </c>
      <c r="C62" s="50" t="s">
        <v>265</v>
      </c>
      <c r="D62" s="50" t="s">
        <v>77</v>
      </c>
      <c r="E62" s="50" t="s">
        <v>878</v>
      </c>
      <c r="F62" s="50" t="s">
        <v>879</v>
      </c>
      <c r="G62" s="50" t="s">
        <v>880</v>
      </c>
      <c r="H62" s="50" t="s">
        <v>494</v>
      </c>
      <c r="I62" s="50" t="s">
        <v>881</v>
      </c>
      <c r="J62" s="50" t="s">
        <v>11</v>
      </c>
    </row>
    <row r="63" spans="1:10" ht="69">
      <c r="A63" s="13" t="s">
        <v>2715</v>
      </c>
      <c r="B63" s="13" t="s">
        <v>2716</v>
      </c>
      <c r="C63" s="13" t="s">
        <v>579</v>
      </c>
      <c r="D63" s="13" t="s">
        <v>502</v>
      </c>
      <c r="E63" s="13"/>
      <c r="F63" s="13"/>
      <c r="G63" s="13" t="s">
        <v>2619</v>
      </c>
      <c r="H63" s="13"/>
      <c r="I63" s="13"/>
      <c r="J63" s="13"/>
    </row>
    <row r="64" spans="1:10" ht="82.8">
      <c r="A64" s="13" t="s">
        <v>2717</v>
      </c>
      <c r="B64" s="13" t="s">
        <v>2718</v>
      </c>
      <c r="C64" s="13" t="s">
        <v>2432</v>
      </c>
      <c r="D64" s="13" t="s">
        <v>502</v>
      </c>
      <c r="E64" s="13"/>
      <c r="F64" s="13"/>
      <c r="G64" s="13" t="s">
        <v>2433</v>
      </c>
      <c r="H64" s="13"/>
      <c r="I64" s="13"/>
      <c r="J64" s="13"/>
    </row>
    <row r="65" spans="1:10" ht="55.2">
      <c r="A65" s="13" t="s">
        <v>2719</v>
      </c>
      <c r="B65" s="13" t="s">
        <v>2720</v>
      </c>
      <c r="C65" s="13" t="s">
        <v>587</v>
      </c>
      <c r="D65" s="13" t="s">
        <v>502</v>
      </c>
      <c r="E65" s="13"/>
      <c r="F65" s="13"/>
      <c r="G65" s="13" t="s">
        <v>588</v>
      </c>
      <c r="H65" s="13"/>
      <c r="I65" s="13"/>
      <c r="J65" s="13"/>
    </row>
    <row r="66" spans="1:10" ht="69">
      <c r="A66" s="13" t="s">
        <v>2721</v>
      </c>
      <c r="B66" s="13" t="s">
        <v>2722</v>
      </c>
      <c r="C66" s="13" t="s">
        <v>601</v>
      </c>
      <c r="D66" s="13" t="s">
        <v>502</v>
      </c>
      <c r="E66" s="13"/>
      <c r="F66" s="13"/>
      <c r="G66" s="13" t="s">
        <v>602</v>
      </c>
      <c r="H66" s="13"/>
      <c r="I66" s="13"/>
      <c r="J66" s="13"/>
    </row>
    <row r="67" spans="1:10" ht="69">
      <c r="A67" s="13" t="s">
        <v>2723</v>
      </c>
      <c r="B67" s="13" t="s">
        <v>2724</v>
      </c>
      <c r="C67" s="13" t="s">
        <v>609</v>
      </c>
      <c r="D67" s="13" t="s">
        <v>502</v>
      </c>
      <c r="E67" s="13"/>
      <c r="F67" s="13"/>
      <c r="G67" s="13" t="s">
        <v>610</v>
      </c>
      <c r="H67" s="13"/>
      <c r="I67" s="13"/>
      <c r="J67" s="13"/>
    </row>
    <row r="68" spans="1:10" ht="82.8">
      <c r="A68" s="13" t="s">
        <v>2725</v>
      </c>
      <c r="B68" s="13" t="s">
        <v>2726</v>
      </c>
      <c r="C68" s="13" t="s">
        <v>616</v>
      </c>
      <c r="D68" s="13" t="s">
        <v>502</v>
      </c>
      <c r="E68" s="13"/>
      <c r="F68" s="13"/>
      <c r="G68" s="13" t="s">
        <v>617</v>
      </c>
      <c r="H68" s="13"/>
      <c r="I68" s="13"/>
      <c r="J68" s="13"/>
    </row>
    <row r="69" spans="1:10" ht="96.6">
      <c r="A69" s="13" t="s">
        <v>2727</v>
      </c>
      <c r="B69" s="13" t="s">
        <v>624</v>
      </c>
      <c r="C69" s="13" t="s">
        <v>622</v>
      </c>
      <c r="D69" s="13" t="s">
        <v>502</v>
      </c>
      <c r="E69" s="13"/>
      <c r="F69" s="13"/>
      <c r="G69" s="13" t="s">
        <v>623</v>
      </c>
      <c r="H69" s="13"/>
      <c r="I69" s="13"/>
      <c r="J69" s="13"/>
    </row>
    <row r="70" spans="1:10" ht="82.8">
      <c r="A70" s="13" t="s">
        <v>2728</v>
      </c>
      <c r="B70" s="13" t="s">
        <v>1753</v>
      </c>
      <c r="C70" s="13" t="s">
        <v>1049</v>
      </c>
      <c r="D70" s="13" t="s">
        <v>502</v>
      </c>
      <c r="E70" s="13"/>
      <c r="F70" s="13"/>
      <c r="G70" s="13" t="s">
        <v>631</v>
      </c>
      <c r="H70" s="13"/>
      <c r="I70" s="13"/>
      <c r="J70" s="13"/>
    </row>
    <row r="71" spans="1:10">
      <c r="A71" s="13"/>
      <c r="B71" s="13"/>
      <c r="C71" s="13"/>
      <c r="D71" s="13"/>
      <c r="E71" s="13"/>
      <c r="F71" s="13"/>
      <c r="G71" s="13"/>
      <c r="H71" s="13"/>
      <c r="I71" s="13"/>
      <c r="J71" s="13"/>
    </row>
    <row r="72" spans="1:10">
      <c r="A72" s="842" t="s">
        <v>1052</v>
      </c>
      <c r="B72" s="839"/>
      <c r="C72" s="839"/>
      <c r="D72" s="85"/>
      <c r="E72" s="85"/>
      <c r="F72" s="85"/>
      <c r="G72" s="85"/>
      <c r="H72" s="85"/>
      <c r="I72" s="85"/>
      <c r="J72" s="85"/>
    </row>
    <row r="73" spans="1:10">
      <c r="A73" s="50" t="s">
        <v>291</v>
      </c>
      <c r="B73" s="50" t="s">
        <v>275</v>
      </c>
      <c r="C73" s="50" t="s">
        <v>493</v>
      </c>
      <c r="D73" s="50" t="s">
        <v>214</v>
      </c>
      <c r="E73" s="50" t="s">
        <v>263</v>
      </c>
      <c r="F73" s="50" t="s">
        <v>891</v>
      </c>
      <c r="G73" s="50" t="s">
        <v>892</v>
      </c>
      <c r="H73" s="50" t="s">
        <v>893</v>
      </c>
      <c r="I73" s="50" t="s">
        <v>77</v>
      </c>
      <c r="J73" s="50" t="s">
        <v>11</v>
      </c>
    </row>
    <row r="74" spans="1:10" ht="96.6">
      <c r="A74" s="13" t="s">
        <v>2729</v>
      </c>
      <c r="B74" s="13" t="s">
        <v>706</v>
      </c>
      <c r="C74" s="13" t="s">
        <v>269</v>
      </c>
      <c r="D74" s="13" t="s">
        <v>2730</v>
      </c>
      <c r="E74" s="13"/>
      <c r="F74" s="13" t="s">
        <v>229</v>
      </c>
      <c r="G74" s="13"/>
      <c r="H74" s="13" t="s">
        <v>2731</v>
      </c>
      <c r="I74" s="13" t="s">
        <v>502</v>
      </c>
      <c r="J74" s="13"/>
    </row>
    <row r="75" spans="1:10" ht="96.6">
      <c r="A75" s="13" t="s">
        <v>2732</v>
      </c>
      <c r="B75" s="13" t="s">
        <v>2670</v>
      </c>
      <c r="C75" s="13" t="s">
        <v>269</v>
      </c>
      <c r="D75" s="13" t="s">
        <v>2733</v>
      </c>
      <c r="E75" s="13"/>
      <c r="F75" s="13" t="s">
        <v>229</v>
      </c>
      <c r="G75" s="13"/>
      <c r="H75" s="13" t="s">
        <v>2734</v>
      </c>
      <c r="I75" s="13" t="s">
        <v>502</v>
      </c>
      <c r="J75" s="13"/>
    </row>
    <row r="76" spans="1:10" ht="124.2">
      <c r="A76" s="13" t="s">
        <v>2735</v>
      </c>
      <c r="B76" s="13" t="s">
        <v>2674</v>
      </c>
      <c r="C76" s="13" t="s">
        <v>269</v>
      </c>
      <c r="D76" s="13" t="s">
        <v>2736</v>
      </c>
      <c r="E76" s="13"/>
      <c r="F76" s="13" t="s">
        <v>229</v>
      </c>
      <c r="G76" s="13"/>
      <c r="H76" s="13" t="s">
        <v>2734</v>
      </c>
      <c r="I76" s="13" t="s">
        <v>502</v>
      </c>
      <c r="J76" s="13"/>
    </row>
    <row r="77" spans="1:10" ht="96.6">
      <c r="A77" s="13" t="s">
        <v>2737</v>
      </c>
      <c r="B77" s="13" t="s">
        <v>706</v>
      </c>
      <c r="C77" s="13" t="s">
        <v>749</v>
      </c>
      <c r="D77" s="13" t="s">
        <v>2738</v>
      </c>
      <c r="E77" s="13"/>
      <c r="F77" s="13" t="s">
        <v>229</v>
      </c>
      <c r="G77" s="13"/>
      <c r="H77" s="13" t="s">
        <v>2697</v>
      </c>
      <c r="I77" s="13" t="s">
        <v>502</v>
      </c>
      <c r="J77" s="13"/>
    </row>
    <row r="78" spans="1:10" ht="69">
      <c r="A78" s="13" t="s">
        <v>2739</v>
      </c>
      <c r="B78" s="13" t="s">
        <v>706</v>
      </c>
      <c r="C78" s="13" t="s">
        <v>957</v>
      </c>
      <c r="D78" s="13" t="s">
        <v>1659</v>
      </c>
      <c r="E78" s="13"/>
      <c r="F78" s="13" t="s">
        <v>229</v>
      </c>
      <c r="G78" s="13"/>
      <c r="H78" s="13" t="s">
        <v>2707</v>
      </c>
      <c r="I78" s="13" t="s">
        <v>502</v>
      </c>
      <c r="J78" s="13"/>
    </row>
    <row r="79" spans="1:10" ht="96.6">
      <c r="A79" s="13" t="s">
        <v>2740</v>
      </c>
      <c r="B79" s="13" t="s">
        <v>706</v>
      </c>
      <c r="C79" s="13" t="s">
        <v>148</v>
      </c>
      <c r="D79" s="13" t="s">
        <v>2081</v>
      </c>
      <c r="E79" s="13"/>
      <c r="F79" s="13" t="s">
        <v>229</v>
      </c>
      <c r="G79" s="13"/>
      <c r="H79" s="13" t="s">
        <v>2703</v>
      </c>
      <c r="I79" s="13" t="s">
        <v>502</v>
      </c>
      <c r="J79" s="13"/>
    </row>
    <row r="80" spans="1:10" ht="96.6">
      <c r="A80" s="13" t="s">
        <v>2741</v>
      </c>
      <c r="B80" s="13" t="s">
        <v>706</v>
      </c>
      <c r="C80" s="13" t="s">
        <v>153</v>
      </c>
      <c r="D80" s="13" t="s">
        <v>2742</v>
      </c>
      <c r="E80" s="13"/>
      <c r="F80" s="13" t="s">
        <v>229</v>
      </c>
      <c r="G80" s="13"/>
      <c r="H80" s="13" t="s">
        <v>2704</v>
      </c>
      <c r="I80" s="13" t="s">
        <v>502</v>
      </c>
      <c r="J80" s="13"/>
    </row>
    <row r="81" spans="1:10" ht="110.4">
      <c r="A81" s="13" t="s">
        <v>2743</v>
      </c>
      <c r="B81" s="13" t="s">
        <v>2744</v>
      </c>
      <c r="C81" s="13" t="s">
        <v>1975</v>
      </c>
      <c r="D81" s="13" t="s">
        <v>2745</v>
      </c>
      <c r="E81" s="13"/>
      <c r="F81" s="13" t="s">
        <v>229</v>
      </c>
      <c r="G81" s="13"/>
      <c r="H81" s="13" t="s">
        <v>2746</v>
      </c>
      <c r="I81" s="13" t="s">
        <v>502</v>
      </c>
      <c r="J81" s="13"/>
    </row>
    <row r="82" spans="1:10">
      <c r="A82" s="13"/>
      <c r="B82" s="13"/>
      <c r="C82" s="13"/>
      <c r="D82" s="13"/>
      <c r="E82" s="13"/>
      <c r="F82" s="13"/>
      <c r="G82" s="13"/>
      <c r="H82" s="13"/>
      <c r="I82" s="13"/>
      <c r="J82" s="13"/>
    </row>
    <row r="83" spans="1:10">
      <c r="A83" s="842" t="s">
        <v>1079</v>
      </c>
      <c r="B83" s="839"/>
      <c r="C83" s="839"/>
      <c r="D83" s="85"/>
      <c r="E83" s="85"/>
      <c r="F83" s="85"/>
      <c r="G83" s="85"/>
      <c r="H83" s="85"/>
      <c r="I83" s="85"/>
      <c r="J83" s="85"/>
    </row>
    <row r="84" spans="1:10">
      <c r="A84" s="50" t="s">
        <v>275</v>
      </c>
      <c r="B84" s="50" t="s">
        <v>895</v>
      </c>
      <c r="C84" s="50" t="s">
        <v>896</v>
      </c>
      <c r="D84" s="50" t="s">
        <v>148</v>
      </c>
      <c r="E84" s="50" t="s">
        <v>153</v>
      </c>
      <c r="F84" s="50" t="s">
        <v>155</v>
      </c>
      <c r="G84" s="50" t="s">
        <v>491</v>
      </c>
      <c r="H84" s="50" t="s">
        <v>897</v>
      </c>
      <c r="I84" s="50" t="s">
        <v>174</v>
      </c>
      <c r="J84" s="50" t="s">
        <v>11</v>
      </c>
    </row>
    <row r="85" spans="1:10" ht="55.2">
      <c r="A85" s="13" t="s">
        <v>706</v>
      </c>
      <c r="B85" s="126">
        <v>0.5</v>
      </c>
      <c r="C85" s="126">
        <v>0.5</v>
      </c>
      <c r="D85" s="126">
        <v>0.5</v>
      </c>
      <c r="E85" s="126">
        <v>0.5</v>
      </c>
      <c r="F85" s="126">
        <v>0.5</v>
      </c>
      <c r="G85" s="13" t="s">
        <v>677</v>
      </c>
      <c r="H85" s="126">
        <v>0.5</v>
      </c>
      <c r="I85" s="13" t="s">
        <v>1201</v>
      </c>
      <c r="J85" s="13" t="s">
        <v>2747</v>
      </c>
    </row>
    <row r="86" spans="1:10" ht="41.4">
      <c r="A86" s="13" t="s">
        <v>2670</v>
      </c>
      <c r="B86" s="126">
        <v>0.5</v>
      </c>
      <c r="C86" s="126">
        <v>0.5</v>
      </c>
      <c r="D86" s="126">
        <v>0.5</v>
      </c>
      <c r="E86" s="126">
        <v>0.5</v>
      </c>
      <c r="F86" s="126">
        <v>0.5</v>
      </c>
      <c r="G86" s="13" t="s">
        <v>677</v>
      </c>
      <c r="H86" s="126">
        <v>0.5</v>
      </c>
      <c r="I86" s="13" t="s">
        <v>1201</v>
      </c>
      <c r="J86" s="13" t="s">
        <v>2748</v>
      </c>
    </row>
    <row r="87" spans="1:10" ht="41.4">
      <c r="A87" s="13" t="s">
        <v>2674</v>
      </c>
      <c r="B87" s="126">
        <v>0.5</v>
      </c>
      <c r="C87" s="126">
        <v>0.5</v>
      </c>
      <c r="D87" s="126">
        <v>0.5</v>
      </c>
      <c r="E87" s="126">
        <v>0.5</v>
      </c>
      <c r="F87" s="126">
        <v>0.5</v>
      </c>
      <c r="G87" s="13" t="s">
        <v>677</v>
      </c>
      <c r="H87" s="126">
        <v>0.5</v>
      </c>
      <c r="I87" s="13" t="s">
        <v>1201</v>
      </c>
      <c r="J87" s="13" t="s">
        <v>2749</v>
      </c>
    </row>
    <row r="88" spans="1:10">
      <c r="A88" s="13"/>
      <c r="B88" s="13"/>
      <c r="C88" s="13"/>
      <c r="D88" s="13"/>
      <c r="E88" s="13"/>
      <c r="F88" s="13"/>
      <c r="G88" s="13"/>
      <c r="H88" s="13"/>
      <c r="I88" s="13"/>
      <c r="J88" s="13"/>
    </row>
    <row r="89" spans="1:10">
      <c r="A89" s="842" t="s">
        <v>1085</v>
      </c>
      <c r="B89" s="839"/>
      <c r="C89" s="839"/>
      <c r="D89" s="85"/>
      <c r="E89" s="85"/>
      <c r="F89" s="85"/>
      <c r="G89" s="85"/>
      <c r="H89" s="85"/>
      <c r="I89" s="85"/>
      <c r="J89" s="85"/>
    </row>
    <row r="90" spans="1:10" ht="55.2">
      <c r="A90" s="50" t="s">
        <v>905</v>
      </c>
      <c r="B90" s="50" t="s">
        <v>815</v>
      </c>
      <c r="C90" s="50"/>
      <c r="D90" s="50"/>
      <c r="E90" s="50"/>
      <c r="F90" s="50"/>
      <c r="G90" s="50"/>
      <c r="H90" s="50"/>
      <c r="I90" s="50"/>
      <c r="J90" s="50"/>
    </row>
    <row r="91" spans="1:10">
      <c r="A91" s="13" t="s">
        <v>1086</v>
      </c>
      <c r="B91" s="852" t="s">
        <v>2750</v>
      </c>
      <c r="C91" s="839"/>
      <c r="D91" s="839"/>
      <c r="E91" s="839"/>
      <c r="F91" s="839"/>
      <c r="G91" s="839"/>
      <c r="H91" s="839"/>
      <c r="I91" s="839"/>
      <c r="J91" s="13"/>
    </row>
    <row r="92" spans="1:10" ht="27.6">
      <c r="A92" s="13" t="s">
        <v>2090</v>
      </c>
      <c r="B92" s="852" t="s">
        <v>2751</v>
      </c>
      <c r="C92" s="839"/>
      <c r="D92" s="839"/>
      <c r="E92" s="839"/>
      <c r="F92" s="839"/>
      <c r="G92" s="839"/>
      <c r="H92" s="839"/>
      <c r="I92" s="839"/>
      <c r="J92" s="13"/>
    </row>
    <row r="93" spans="1:10">
      <c r="A93" s="13" t="s">
        <v>1088</v>
      </c>
      <c r="B93" s="852" t="s">
        <v>2752</v>
      </c>
      <c r="C93" s="839"/>
      <c r="D93" s="839"/>
      <c r="E93" s="839"/>
      <c r="F93" s="839"/>
      <c r="G93" s="839"/>
      <c r="H93" s="839"/>
      <c r="I93" s="839"/>
      <c r="J93" s="13"/>
    </row>
    <row r="94" spans="1:10">
      <c r="A94" s="13" t="s">
        <v>1089</v>
      </c>
      <c r="B94" s="852" t="s">
        <v>2753</v>
      </c>
      <c r="C94" s="839"/>
      <c r="D94" s="839"/>
      <c r="E94" s="839"/>
      <c r="F94" s="839"/>
      <c r="G94" s="839"/>
      <c r="H94" s="839"/>
      <c r="I94" s="839"/>
      <c r="J94" s="13"/>
    </row>
    <row r="95" spans="1:10">
      <c r="A95" s="13" t="s">
        <v>1090</v>
      </c>
      <c r="B95" s="852" t="s">
        <v>2754</v>
      </c>
      <c r="C95" s="839"/>
      <c r="D95" s="839"/>
      <c r="E95" s="839"/>
      <c r="F95" s="839"/>
      <c r="G95" s="839"/>
      <c r="H95" s="839"/>
      <c r="I95" s="839"/>
      <c r="J95" s="13"/>
    </row>
    <row r="96" spans="1:10">
      <c r="A96" s="13" t="s">
        <v>1563</v>
      </c>
      <c r="B96" s="852" t="s">
        <v>1776</v>
      </c>
      <c r="C96" s="839"/>
      <c r="D96" s="839"/>
      <c r="E96" s="839"/>
      <c r="F96" s="839"/>
      <c r="G96" s="839"/>
      <c r="H96" s="839"/>
      <c r="I96" s="839"/>
      <c r="J96" s="13"/>
    </row>
    <row r="97" spans="1:10" ht="15" thickBot="1"/>
    <row r="98" spans="1:10">
      <c r="A98" s="855" t="s">
        <v>5875</v>
      </c>
      <c r="B98" s="856"/>
      <c r="C98" s="856"/>
      <c r="D98" s="857"/>
      <c r="E98" s="856"/>
      <c r="F98" s="856"/>
      <c r="G98" s="857"/>
      <c r="H98" s="857"/>
      <c r="I98" s="857"/>
      <c r="J98" s="858"/>
    </row>
    <row r="99" spans="1:10">
      <c r="A99" s="325" t="s">
        <v>5817</v>
      </c>
      <c r="B99" s="326" t="s">
        <v>77</v>
      </c>
      <c r="C99" s="326" t="s">
        <v>5818</v>
      </c>
      <c r="D99" s="326" t="s">
        <v>5819</v>
      </c>
      <c r="E99" s="326" t="s">
        <v>5841</v>
      </c>
      <c r="F99" s="326" t="s">
        <v>5808</v>
      </c>
      <c r="G99" s="859" t="s">
        <v>5842</v>
      </c>
      <c r="H99" s="859"/>
      <c r="I99" s="859"/>
      <c r="J99" s="860"/>
    </row>
    <row r="100" spans="1:10" ht="26.4">
      <c r="A100" s="327" t="s">
        <v>5820</v>
      </c>
      <c r="B100" s="337" t="s">
        <v>484</v>
      </c>
      <c r="C100" s="329">
        <v>0</v>
      </c>
      <c r="D100" s="329">
        <v>0</v>
      </c>
      <c r="E100" s="196" t="s">
        <v>5881</v>
      </c>
      <c r="F100" s="329">
        <f>IF(AND(C100&lt;&gt;"",D100&lt;&gt;""),D100-C100,"")</f>
        <v>0</v>
      </c>
      <c r="G100" s="861"/>
      <c r="H100" s="861"/>
      <c r="I100" s="861"/>
      <c r="J100" s="862"/>
    </row>
    <row r="101" spans="1:10" ht="26.4">
      <c r="A101" s="330" t="s">
        <v>5821</v>
      </c>
      <c r="B101" s="337" t="s">
        <v>484</v>
      </c>
      <c r="C101" s="331">
        <v>1</v>
      </c>
      <c r="D101" s="331">
        <v>0</v>
      </c>
      <c r="E101" s="314" t="s">
        <v>5882</v>
      </c>
      <c r="F101" s="331">
        <f>IF(AND(C101&lt;&gt;"",D101&lt;&gt;""),D101-C101,"")</f>
        <v>-1</v>
      </c>
      <c r="G101" s="863"/>
      <c r="H101" s="863"/>
      <c r="I101" s="863"/>
      <c r="J101" s="864"/>
    </row>
    <row r="102" spans="1:10">
      <c r="A102" s="327" t="s">
        <v>5822</v>
      </c>
      <c r="B102" s="337" t="s">
        <v>484</v>
      </c>
      <c r="C102" s="331">
        <v>1</v>
      </c>
      <c r="D102" s="331">
        <v>0</v>
      </c>
      <c r="E102" s="314" t="s">
        <v>5882</v>
      </c>
      <c r="F102" s="329">
        <f>IF(AND(C102&lt;&gt;"",D102&lt;&gt;""),D102-C102,"")</f>
        <v>-1</v>
      </c>
      <c r="G102" s="332"/>
      <c r="H102" s="231"/>
      <c r="I102" s="231"/>
      <c r="J102" s="333"/>
    </row>
    <row r="103" spans="1:10">
      <c r="A103" s="330" t="s">
        <v>5823</v>
      </c>
      <c r="B103" s="337" t="s">
        <v>484</v>
      </c>
      <c r="C103" s="331">
        <v>1</v>
      </c>
      <c r="D103" s="331">
        <v>0</v>
      </c>
      <c r="E103" s="314" t="s">
        <v>5882</v>
      </c>
      <c r="F103" s="331">
        <f>IF(AND(C103&lt;&gt;"",D103&lt;&gt;""),D103-C103,"")</f>
        <v>-1</v>
      </c>
      <c r="G103" s="863"/>
      <c r="H103" s="863"/>
      <c r="I103" s="863"/>
      <c r="J103" s="864"/>
    </row>
    <row r="104" spans="1:10">
      <c r="A104" s="327" t="s">
        <v>5168</v>
      </c>
      <c r="B104" s="337" t="s">
        <v>484</v>
      </c>
      <c r="C104" s="331">
        <v>1</v>
      </c>
      <c r="D104" s="331">
        <v>0</v>
      </c>
      <c r="E104" s="314" t="s">
        <v>5882</v>
      </c>
      <c r="F104" s="329">
        <f>IF(AND(C104&lt;&gt;"",D104&lt;&gt;""),D104-C104,"")</f>
        <v>-1</v>
      </c>
      <c r="G104" s="332"/>
      <c r="H104" s="231"/>
      <c r="I104" s="231"/>
      <c r="J104" s="333"/>
    </row>
    <row r="105" spans="1:10" ht="15.6">
      <c r="A105" s="865" t="s">
        <v>5843</v>
      </c>
      <c r="B105" s="713"/>
      <c r="C105" s="334">
        <f>IFERROR(AVERAGE(C100:C104),"")</f>
        <v>0.8</v>
      </c>
      <c r="D105" s="334">
        <f>IFERROR(AVERAGE(D100:D104),"")</f>
        <v>0</v>
      </c>
      <c r="E105" s="866" t="s">
        <v>5844</v>
      </c>
      <c r="F105" s="866"/>
      <c r="G105" s="866"/>
      <c r="H105" s="866"/>
      <c r="I105" s="866"/>
      <c r="J105" s="867"/>
    </row>
    <row r="106" spans="1:10">
      <c r="A106" s="335"/>
      <c r="B106" s="320"/>
      <c r="C106" s="320"/>
      <c r="D106" s="320"/>
      <c r="E106" s="320"/>
      <c r="F106" s="320"/>
      <c r="G106" s="320"/>
      <c r="H106" s="231"/>
      <c r="I106" s="231"/>
      <c r="J106" s="333"/>
    </row>
    <row r="107" spans="1:10">
      <c r="A107" s="876" t="s">
        <v>5876</v>
      </c>
      <c r="B107" s="853"/>
      <c r="C107" s="853"/>
      <c r="D107" s="842"/>
      <c r="E107" s="853"/>
      <c r="F107" s="853"/>
      <c r="G107" s="842"/>
      <c r="H107" s="842"/>
      <c r="I107" s="842"/>
      <c r="J107" s="868"/>
    </row>
    <row r="108" spans="1:10">
      <c r="A108" s="325" t="s">
        <v>4946</v>
      </c>
      <c r="B108" s="326" t="s">
        <v>77</v>
      </c>
      <c r="C108" s="326" t="s">
        <v>5883</v>
      </c>
      <c r="D108" s="326" t="s">
        <v>482</v>
      </c>
      <c r="E108" s="326" t="s">
        <v>572</v>
      </c>
      <c r="F108" s="326" t="s">
        <v>5846</v>
      </c>
      <c r="G108" s="859" t="s">
        <v>5847</v>
      </c>
      <c r="H108" s="859"/>
      <c r="I108" s="859"/>
      <c r="J108" s="860"/>
    </row>
    <row r="109" spans="1:10" ht="26.4">
      <c r="A109" s="330" t="s">
        <v>5809</v>
      </c>
      <c r="B109" s="337" t="s">
        <v>484</v>
      </c>
      <c r="C109" s="336" t="s">
        <v>679</v>
      </c>
      <c r="D109" s="328" t="s">
        <v>679</v>
      </c>
      <c r="E109" s="336">
        <f>IF(D109="Yes",1,0)</f>
        <v>0</v>
      </c>
      <c r="F109" s="877"/>
      <c r="G109" s="877"/>
      <c r="H109" s="877"/>
      <c r="I109" s="877"/>
      <c r="J109" s="878"/>
    </row>
    <row r="110" spans="1:10">
      <c r="A110" s="327" t="s">
        <v>995</v>
      </c>
      <c r="B110" s="337" t="s">
        <v>484</v>
      </c>
      <c r="C110" s="336" t="s">
        <v>679</v>
      </c>
      <c r="D110" s="328" t="s">
        <v>679</v>
      </c>
      <c r="E110" s="328">
        <f t="shared" ref="E110:E116" si="0">IF(D110="Yes",1,0)</f>
        <v>0</v>
      </c>
      <c r="F110" s="877"/>
      <c r="G110" s="877"/>
      <c r="H110" s="877"/>
      <c r="I110" s="877"/>
      <c r="J110" s="878"/>
    </row>
    <row r="111" spans="1:10">
      <c r="A111" s="330" t="s">
        <v>5810</v>
      </c>
      <c r="B111" s="337" t="s">
        <v>484</v>
      </c>
      <c r="C111" s="336" t="s">
        <v>679</v>
      </c>
      <c r="D111" s="328" t="s">
        <v>679</v>
      </c>
      <c r="E111" s="336">
        <f t="shared" si="0"/>
        <v>0</v>
      </c>
      <c r="F111" s="877"/>
      <c r="G111" s="877"/>
      <c r="H111" s="877"/>
      <c r="I111" s="877"/>
      <c r="J111" s="878"/>
    </row>
    <row r="112" spans="1:10">
      <c r="A112" s="327" t="s">
        <v>5824</v>
      </c>
      <c r="B112" s="337" t="s">
        <v>484</v>
      </c>
      <c r="C112" s="336" t="s">
        <v>679</v>
      </c>
      <c r="D112" s="328" t="s">
        <v>679</v>
      </c>
      <c r="E112" s="328">
        <f t="shared" si="0"/>
        <v>0</v>
      </c>
      <c r="F112" s="877"/>
      <c r="G112" s="877"/>
      <c r="H112" s="877"/>
      <c r="I112" s="877"/>
      <c r="J112" s="878"/>
    </row>
    <row r="113" spans="1:10" ht="39.6">
      <c r="A113" s="330" t="s">
        <v>5825</v>
      </c>
      <c r="B113" s="337" t="s">
        <v>484</v>
      </c>
      <c r="C113" s="336" t="s">
        <v>679</v>
      </c>
      <c r="D113" s="328" t="s">
        <v>679</v>
      </c>
      <c r="E113" s="336">
        <f t="shared" si="0"/>
        <v>0</v>
      </c>
      <c r="F113" s="877"/>
      <c r="G113" s="877"/>
      <c r="H113" s="877"/>
      <c r="I113" s="877"/>
      <c r="J113" s="878"/>
    </row>
    <row r="114" spans="1:10" ht="26.4">
      <c r="A114" s="327" t="s">
        <v>5826</v>
      </c>
      <c r="B114" s="337" t="s">
        <v>484</v>
      </c>
      <c r="C114" s="336" t="s">
        <v>679</v>
      </c>
      <c r="D114" s="328" t="s">
        <v>679</v>
      </c>
      <c r="E114" s="328">
        <f t="shared" si="0"/>
        <v>0</v>
      </c>
      <c r="F114" s="877"/>
      <c r="G114" s="877"/>
      <c r="H114" s="877"/>
      <c r="I114" s="877"/>
      <c r="J114" s="878"/>
    </row>
    <row r="115" spans="1:10">
      <c r="A115" s="330" t="s">
        <v>5811</v>
      </c>
      <c r="B115" s="337" t="s">
        <v>484</v>
      </c>
      <c r="C115" s="336" t="s">
        <v>679</v>
      </c>
      <c r="D115" s="328" t="s">
        <v>679</v>
      </c>
      <c r="E115" s="336">
        <f t="shared" si="0"/>
        <v>0</v>
      </c>
      <c r="F115" s="877"/>
      <c r="G115" s="877"/>
      <c r="H115" s="877"/>
      <c r="I115" s="877"/>
      <c r="J115" s="878"/>
    </row>
    <row r="116" spans="1:10" ht="26.4">
      <c r="A116" s="327" t="s">
        <v>5812</v>
      </c>
      <c r="B116" s="337" t="s">
        <v>484</v>
      </c>
      <c r="C116" s="336" t="s">
        <v>679</v>
      </c>
      <c r="D116" s="328" t="s">
        <v>679</v>
      </c>
      <c r="E116" s="328">
        <f t="shared" si="0"/>
        <v>0</v>
      </c>
      <c r="F116" s="877"/>
      <c r="G116" s="877"/>
      <c r="H116" s="877"/>
      <c r="I116" s="877"/>
      <c r="J116" s="878"/>
    </row>
    <row r="117" spans="1:10" ht="15.6">
      <c r="A117" s="865" t="s">
        <v>5848</v>
      </c>
      <c r="B117" s="713"/>
      <c r="C117" s="871" t="str">
        <f>IFERROR(SUM(E109:E116)/COUNTIF(C109:C116,"Yes"),"")</f>
        <v/>
      </c>
      <c r="D117" s="872"/>
      <c r="E117" s="866" t="s">
        <v>5849</v>
      </c>
      <c r="F117" s="866"/>
      <c r="G117" s="866"/>
      <c r="H117" s="866"/>
      <c r="I117" s="866"/>
      <c r="J117" s="867"/>
    </row>
    <row r="118" spans="1:10">
      <c r="A118" s="335"/>
      <c r="B118" s="320"/>
      <c r="C118" s="320"/>
      <c r="D118" s="320"/>
      <c r="E118" s="320"/>
      <c r="F118" s="320"/>
      <c r="G118" s="320"/>
      <c r="H118" s="231"/>
      <c r="I118" s="231"/>
      <c r="J118" s="333"/>
    </row>
    <row r="119" spans="1:10">
      <c r="A119" s="876" t="s">
        <v>5877</v>
      </c>
      <c r="B119" s="853"/>
      <c r="C119" s="853"/>
      <c r="D119" s="842"/>
      <c r="E119" s="853"/>
      <c r="F119" s="853"/>
      <c r="G119" s="842"/>
      <c r="H119" s="842"/>
      <c r="I119" s="842"/>
      <c r="J119" s="868"/>
    </row>
    <row r="120" spans="1:10">
      <c r="A120" s="325" t="s">
        <v>5850</v>
      </c>
      <c r="B120" s="326" t="s">
        <v>77</v>
      </c>
      <c r="C120" s="326" t="s">
        <v>5827</v>
      </c>
      <c r="D120" s="326" t="s">
        <v>5828</v>
      </c>
      <c r="E120" s="326" t="s">
        <v>5829</v>
      </c>
      <c r="F120" s="326" t="s">
        <v>5851</v>
      </c>
      <c r="G120" s="859" t="s">
        <v>5852</v>
      </c>
      <c r="H120" s="859"/>
      <c r="I120" s="859"/>
      <c r="J120" s="860"/>
    </row>
    <row r="121" spans="1:10" ht="26.4">
      <c r="A121" s="330" t="s">
        <v>5830</v>
      </c>
      <c r="B121" s="336" t="s">
        <v>484</v>
      </c>
      <c r="C121" s="336" t="s">
        <v>1096</v>
      </c>
      <c r="D121" s="336" t="s">
        <v>1096</v>
      </c>
      <c r="E121" s="336" t="s">
        <v>1096</v>
      </c>
      <c r="F121" s="336" t="s">
        <v>348</v>
      </c>
      <c r="G121" s="869"/>
      <c r="H121" s="869"/>
      <c r="I121" s="869"/>
      <c r="J121" s="870"/>
    </row>
    <row r="122" spans="1:10">
      <c r="A122" s="327" t="s">
        <v>5831</v>
      </c>
      <c r="B122" s="336" t="s">
        <v>484</v>
      </c>
      <c r="C122" s="336" t="s">
        <v>1096</v>
      </c>
      <c r="D122" s="336" t="s">
        <v>1096</v>
      </c>
      <c r="E122" s="336" t="s">
        <v>1096</v>
      </c>
      <c r="F122" s="336" t="s">
        <v>348</v>
      </c>
      <c r="G122" s="869"/>
      <c r="H122" s="869"/>
      <c r="I122" s="869"/>
      <c r="J122" s="870"/>
    </row>
    <row r="123" spans="1:10">
      <c r="A123" s="330" t="s">
        <v>5853</v>
      </c>
      <c r="B123" s="336" t="s">
        <v>484</v>
      </c>
      <c r="C123" s="336" t="s">
        <v>1096</v>
      </c>
      <c r="D123" s="336" t="s">
        <v>1096</v>
      </c>
      <c r="E123" s="336" t="s">
        <v>1096</v>
      </c>
      <c r="F123" s="336" t="s">
        <v>348</v>
      </c>
      <c r="G123" s="869"/>
      <c r="H123" s="869"/>
      <c r="I123" s="869"/>
      <c r="J123" s="870"/>
    </row>
    <row r="124" spans="1:10">
      <c r="A124" s="327" t="s">
        <v>5832</v>
      </c>
      <c r="B124" s="336" t="s">
        <v>484</v>
      </c>
      <c r="C124" s="336" t="s">
        <v>1096</v>
      </c>
      <c r="D124" s="336" t="s">
        <v>1096</v>
      </c>
      <c r="E124" s="336" t="s">
        <v>1096</v>
      </c>
      <c r="F124" s="336" t="s">
        <v>348</v>
      </c>
      <c r="G124" s="869"/>
      <c r="H124" s="869"/>
      <c r="I124" s="869"/>
      <c r="J124" s="870"/>
    </row>
    <row r="125" spans="1:10" ht="26.4">
      <c r="A125" s="330" t="s">
        <v>5833</v>
      </c>
      <c r="B125" s="336" t="s">
        <v>484</v>
      </c>
      <c r="C125" s="336" t="s">
        <v>1096</v>
      </c>
      <c r="D125" s="336" t="s">
        <v>1096</v>
      </c>
      <c r="E125" s="336" t="s">
        <v>1096</v>
      </c>
      <c r="F125" s="336" t="s">
        <v>348</v>
      </c>
      <c r="G125" s="869"/>
      <c r="H125" s="869"/>
      <c r="I125" s="869"/>
      <c r="J125" s="870"/>
    </row>
    <row r="126" spans="1:10" ht="15.6">
      <c r="A126" s="865" t="s">
        <v>5884</v>
      </c>
      <c r="B126" s="713"/>
      <c r="C126" s="871">
        <f>IFERROR(COUNTIF(E121:E125,"Yes")/COUNTA(A121:A125),"")</f>
        <v>0</v>
      </c>
      <c r="D126" s="872"/>
      <c r="E126" s="866" t="s">
        <v>5855</v>
      </c>
      <c r="F126" s="866"/>
      <c r="G126" s="866"/>
      <c r="H126" s="866"/>
      <c r="I126" s="866"/>
      <c r="J126" s="867"/>
    </row>
    <row r="127" spans="1:10">
      <c r="A127" s="335"/>
      <c r="B127" s="320"/>
      <c r="C127" s="320"/>
      <c r="D127" s="320"/>
      <c r="E127" s="320"/>
      <c r="F127" s="320"/>
      <c r="G127" s="874"/>
      <c r="H127" s="874"/>
      <c r="I127" s="874"/>
      <c r="J127" s="875"/>
    </row>
    <row r="128" spans="1:10">
      <c r="A128" s="876" t="s">
        <v>5878</v>
      </c>
      <c r="B128" s="853"/>
      <c r="C128" s="853"/>
      <c r="D128" s="842"/>
      <c r="E128" s="853"/>
      <c r="F128" s="853"/>
      <c r="G128" s="842"/>
      <c r="H128" s="842"/>
      <c r="I128" s="842"/>
      <c r="J128" s="868"/>
    </row>
    <row r="129" spans="1:10">
      <c r="A129" s="326" t="s">
        <v>5813</v>
      </c>
      <c r="B129" s="326" t="s">
        <v>77</v>
      </c>
      <c r="C129" s="326" t="s">
        <v>5834</v>
      </c>
      <c r="D129" s="326" t="s">
        <v>5835</v>
      </c>
      <c r="E129" s="326" t="s">
        <v>5836</v>
      </c>
      <c r="F129" s="326" t="s">
        <v>5837</v>
      </c>
      <c r="G129" s="859" t="s">
        <v>5885</v>
      </c>
      <c r="H129" s="859"/>
      <c r="I129" s="859"/>
      <c r="J129" s="859"/>
    </row>
    <row r="130" spans="1:10">
      <c r="A130" s="332" t="s">
        <v>153</v>
      </c>
      <c r="B130" s="328" t="s">
        <v>484</v>
      </c>
      <c r="C130" s="328"/>
      <c r="D130" s="328"/>
      <c r="E130" s="328"/>
      <c r="F130" s="329" t="str">
        <f>IFERROR(D130/C130,"")</f>
        <v/>
      </c>
      <c r="G130" s="873"/>
      <c r="H130" s="873"/>
      <c r="I130" s="873"/>
      <c r="J130" s="873"/>
    </row>
    <row r="131" spans="1:10">
      <c r="A131" s="339" t="s">
        <v>155</v>
      </c>
      <c r="B131" s="336" t="s">
        <v>484</v>
      </c>
      <c r="C131" s="336"/>
      <c r="D131" s="336"/>
      <c r="E131" s="336"/>
      <c r="F131" s="331" t="str">
        <f>IFERROR(D131/C131,"")</f>
        <v/>
      </c>
      <c r="G131" s="873"/>
      <c r="H131" s="873"/>
      <c r="I131" s="873"/>
      <c r="J131" s="873"/>
    </row>
    <row r="132" spans="1:10">
      <c r="A132" s="332" t="s">
        <v>4821</v>
      </c>
      <c r="B132" s="328" t="s">
        <v>484</v>
      </c>
      <c r="C132" s="328"/>
      <c r="D132" s="328"/>
      <c r="E132" s="328"/>
      <c r="F132" s="329" t="str">
        <f>IFERROR(D132/C132,"")</f>
        <v/>
      </c>
      <c r="G132" s="873"/>
      <c r="H132" s="873"/>
      <c r="I132" s="873"/>
      <c r="J132" s="873"/>
    </row>
    <row r="133" spans="1:10">
      <c r="A133" s="339" t="s">
        <v>957</v>
      </c>
      <c r="B133" s="336" t="s">
        <v>484</v>
      </c>
      <c r="C133" s="336"/>
      <c r="D133" s="336"/>
      <c r="E133" s="336"/>
      <c r="F133" s="331" t="str">
        <f>IFERROR(D133/C133,"")</f>
        <v/>
      </c>
      <c r="G133" s="873"/>
      <c r="H133" s="873"/>
      <c r="I133" s="873"/>
      <c r="J133" s="873"/>
    </row>
    <row r="134" spans="1:10">
      <c r="A134" s="879" t="s">
        <v>5856</v>
      </c>
      <c r="B134" s="879"/>
      <c r="C134" s="879"/>
      <c r="D134" s="879"/>
      <c r="E134" s="866" t="s">
        <v>5857</v>
      </c>
      <c r="F134" s="866"/>
      <c r="G134" s="866"/>
      <c r="H134" s="866"/>
      <c r="I134" s="866"/>
      <c r="J134" s="866"/>
    </row>
    <row r="135" spans="1:10">
      <c r="A135" s="879"/>
      <c r="B135" s="879"/>
      <c r="C135" s="879"/>
      <c r="D135" s="879"/>
      <c r="E135" s="866"/>
      <c r="F135" s="866"/>
      <c r="G135" s="866"/>
      <c r="H135" s="866"/>
      <c r="I135" s="866"/>
      <c r="J135" s="866"/>
    </row>
    <row r="136" spans="1:10">
      <c r="A136" s="842" t="s">
        <v>5879</v>
      </c>
      <c r="B136" s="842"/>
      <c r="C136" s="842"/>
      <c r="D136" s="842"/>
      <c r="E136" s="842"/>
      <c r="F136" s="842"/>
      <c r="G136" s="842"/>
      <c r="H136" s="842"/>
      <c r="I136" s="842"/>
      <c r="J136" s="842"/>
    </row>
    <row r="137" spans="1:10">
      <c r="A137" s="326" t="s">
        <v>4946</v>
      </c>
      <c r="B137" s="326" t="s">
        <v>77</v>
      </c>
      <c r="C137" s="326" t="s">
        <v>5845</v>
      </c>
      <c r="D137" s="326" t="s">
        <v>482</v>
      </c>
      <c r="E137" s="326" t="s">
        <v>572</v>
      </c>
      <c r="F137" s="326" t="s">
        <v>944</v>
      </c>
      <c r="G137" s="859" t="s">
        <v>5847</v>
      </c>
      <c r="H137" s="859"/>
      <c r="I137" s="859"/>
      <c r="J137" s="859"/>
    </row>
    <row r="138" spans="1:10" ht="26.4">
      <c r="A138" s="332" t="s">
        <v>5814</v>
      </c>
      <c r="B138" s="328" t="s">
        <v>484</v>
      </c>
      <c r="C138" s="328" t="s">
        <v>392</v>
      </c>
      <c r="D138" s="328" t="s">
        <v>1096</v>
      </c>
      <c r="E138" s="328">
        <f t="shared" ref="E138:E143" si="1">IF(D138="Yes",1,0)</f>
        <v>0</v>
      </c>
      <c r="F138" s="328"/>
      <c r="G138" s="873"/>
      <c r="H138" s="873"/>
      <c r="I138" s="873"/>
      <c r="J138" s="873"/>
    </row>
    <row r="139" spans="1:10">
      <c r="A139" s="339" t="s">
        <v>5815</v>
      </c>
      <c r="B139" s="328" t="s">
        <v>484</v>
      </c>
      <c r="C139" s="336" t="s">
        <v>392</v>
      </c>
      <c r="D139" s="328" t="s">
        <v>1096</v>
      </c>
      <c r="E139" s="336">
        <f t="shared" si="1"/>
        <v>0</v>
      </c>
      <c r="F139" s="336"/>
      <c r="G139" s="873"/>
      <c r="H139" s="873"/>
      <c r="I139" s="873"/>
      <c r="J139" s="873"/>
    </row>
    <row r="140" spans="1:10" ht="26.4">
      <c r="A140" s="332" t="s">
        <v>5816</v>
      </c>
      <c r="B140" s="328" t="s">
        <v>484</v>
      </c>
      <c r="C140" s="328" t="s">
        <v>392</v>
      </c>
      <c r="D140" s="328" t="s">
        <v>1096</v>
      </c>
      <c r="E140" s="328">
        <f t="shared" si="1"/>
        <v>0</v>
      </c>
      <c r="F140" s="328"/>
      <c r="G140" s="873"/>
      <c r="H140" s="873"/>
      <c r="I140" s="873"/>
      <c r="J140" s="873"/>
    </row>
    <row r="141" spans="1:10">
      <c r="A141" s="339" t="s">
        <v>5838</v>
      </c>
      <c r="B141" s="328" t="s">
        <v>484</v>
      </c>
      <c r="C141" s="336" t="s">
        <v>392</v>
      </c>
      <c r="D141" s="328" t="s">
        <v>1096</v>
      </c>
      <c r="E141" s="336">
        <f t="shared" si="1"/>
        <v>0</v>
      </c>
      <c r="F141" s="336"/>
      <c r="G141" s="873"/>
      <c r="H141" s="873"/>
      <c r="I141" s="873"/>
      <c r="J141" s="873"/>
    </row>
    <row r="142" spans="1:10" ht="26.4">
      <c r="A142" s="332" t="s">
        <v>5839</v>
      </c>
      <c r="B142" s="328" t="s">
        <v>484</v>
      </c>
      <c r="C142" s="328" t="s">
        <v>392</v>
      </c>
      <c r="D142" s="328" t="s">
        <v>1096</v>
      </c>
      <c r="E142" s="328">
        <f t="shared" si="1"/>
        <v>0</v>
      </c>
      <c r="F142" s="328"/>
      <c r="G142" s="873"/>
      <c r="H142" s="873"/>
      <c r="I142" s="873"/>
      <c r="J142" s="873"/>
    </row>
    <row r="143" spans="1:10" ht="26.4">
      <c r="A143" s="339" t="s">
        <v>5840</v>
      </c>
      <c r="B143" s="328" t="s">
        <v>484</v>
      </c>
      <c r="C143" s="336" t="s">
        <v>392</v>
      </c>
      <c r="D143" s="336" t="s">
        <v>1096</v>
      </c>
      <c r="E143" s="336">
        <f t="shared" si="1"/>
        <v>0</v>
      </c>
      <c r="F143" s="336"/>
      <c r="G143" s="873"/>
      <c r="H143" s="873"/>
      <c r="I143" s="873"/>
      <c r="J143" s="873"/>
    </row>
    <row r="144" spans="1:10" ht="15.6">
      <c r="A144" s="880" t="s">
        <v>5858</v>
      </c>
      <c r="B144" s="713"/>
      <c r="C144" s="871">
        <f>IFERROR(SUM(E138:E143)/COUNTIF(C138:C143,"Yes"),"")</f>
        <v>0</v>
      </c>
      <c r="D144" s="872"/>
      <c r="E144" s="866" t="s">
        <v>5859</v>
      </c>
      <c r="F144" s="866"/>
      <c r="G144" s="866"/>
      <c r="H144" s="866"/>
      <c r="I144" s="866"/>
      <c r="J144" s="866"/>
    </row>
    <row r="145" spans="1:10">
      <c r="A145" s="196"/>
      <c r="B145" s="196"/>
      <c r="C145" s="196"/>
      <c r="D145" s="196"/>
      <c r="E145" s="196"/>
      <c r="F145" s="196"/>
      <c r="G145" s="196"/>
      <c r="H145" s="196"/>
      <c r="I145" s="196"/>
      <c r="J145" s="196"/>
    </row>
    <row r="146" spans="1:10">
      <c r="A146" s="842" t="s">
        <v>5880</v>
      </c>
      <c r="B146" s="853"/>
      <c r="C146" s="853"/>
      <c r="D146" s="321"/>
      <c r="E146" s="321"/>
      <c r="F146" s="321"/>
      <c r="G146" s="321"/>
      <c r="H146" s="321"/>
      <c r="I146" s="321"/>
      <c r="J146" s="321"/>
    </row>
    <row r="147" spans="1:10" ht="55.2">
      <c r="A147" s="322" t="s">
        <v>905</v>
      </c>
      <c r="B147" s="322" t="s">
        <v>830</v>
      </c>
      <c r="C147" s="322"/>
      <c r="D147" s="322"/>
      <c r="E147" s="322"/>
      <c r="F147" s="322"/>
      <c r="G147" s="322"/>
      <c r="H147" s="322"/>
      <c r="I147" s="322"/>
      <c r="J147" s="322"/>
    </row>
    <row r="148" spans="1:10">
      <c r="A148" s="319" t="s">
        <v>1086</v>
      </c>
      <c r="B148" s="852" t="s">
        <v>3292</v>
      </c>
      <c r="C148" s="853"/>
      <c r="D148" s="853"/>
      <c r="E148" s="853"/>
      <c r="F148" s="853"/>
      <c r="G148" s="853"/>
      <c r="H148" s="853"/>
      <c r="I148" s="853"/>
      <c r="J148" s="853"/>
    </row>
    <row r="149" spans="1:10" ht="27.6">
      <c r="A149" s="319" t="s">
        <v>2090</v>
      </c>
      <c r="B149" s="852" t="s">
        <v>3293</v>
      </c>
      <c r="C149" s="853"/>
      <c r="D149" s="853"/>
      <c r="E149" s="853"/>
      <c r="F149" s="853"/>
      <c r="G149" s="853"/>
      <c r="H149" s="853"/>
      <c r="I149" s="853"/>
      <c r="J149" s="853"/>
    </row>
    <row r="150" spans="1:10">
      <c r="A150" s="319" t="s">
        <v>1089</v>
      </c>
      <c r="B150" s="852" t="s">
        <v>3294</v>
      </c>
      <c r="C150" s="853"/>
      <c r="D150" s="853"/>
      <c r="E150" s="853"/>
      <c r="F150" s="853"/>
      <c r="G150" s="853"/>
      <c r="H150" s="853"/>
      <c r="I150" s="853"/>
      <c r="J150" s="853"/>
    </row>
    <row r="151" spans="1:10">
      <c r="A151" s="319" t="s">
        <v>1090</v>
      </c>
      <c r="B151" s="852" t="s">
        <v>3295</v>
      </c>
      <c r="C151" s="853"/>
      <c r="D151" s="853"/>
      <c r="E151" s="853"/>
      <c r="F151" s="853"/>
      <c r="G151" s="853"/>
      <c r="H151" s="853"/>
      <c r="I151" s="853"/>
      <c r="J151" s="853"/>
    </row>
    <row r="152" spans="1:10">
      <c r="A152" s="319" t="s">
        <v>1088</v>
      </c>
      <c r="B152" s="852" t="s">
        <v>3296</v>
      </c>
      <c r="C152" s="853"/>
      <c r="D152" s="853"/>
      <c r="E152" s="853"/>
      <c r="F152" s="853"/>
      <c r="G152" s="853"/>
      <c r="H152" s="853"/>
      <c r="I152" s="853"/>
      <c r="J152" s="853"/>
    </row>
    <row r="153" spans="1:10" ht="27.6">
      <c r="A153" s="319" t="s">
        <v>3297</v>
      </c>
      <c r="B153" s="852" t="s">
        <v>3298</v>
      </c>
      <c r="C153" s="853"/>
      <c r="D153" s="853"/>
      <c r="E153" s="853"/>
      <c r="F153" s="853"/>
      <c r="G153" s="853"/>
      <c r="H153" s="853"/>
      <c r="I153" s="853"/>
      <c r="J153" s="853"/>
    </row>
    <row r="154" spans="1:10">
      <c r="A154" s="319" t="s">
        <v>1563</v>
      </c>
      <c r="B154" s="852" t="s">
        <v>1776</v>
      </c>
      <c r="C154" s="853"/>
      <c r="D154" s="853"/>
      <c r="E154" s="853"/>
      <c r="F154" s="853"/>
      <c r="G154" s="853"/>
      <c r="H154" s="853"/>
      <c r="I154" s="853"/>
      <c r="J154" s="853"/>
    </row>
    <row r="155" spans="1:10">
      <c r="A155" s="231"/>
      <c r="B155" s="231"/>
      <c r="C155" s="231"/>
      <c r="D155" s="231"/>
      <c r="E155" s="231"/>
      <c r="F155" s="231"/>
      <c r="G155" s="231"/>
      <c r="H155" s="231"/>
      <c r="I155" s="231"/>
      <c r="J155" s="231"/>
    </row>
    <row r="156" spans="1:10" ht="17.399999999999999">
      <c r="A156" s="827" t="s">
        <v>5769</v>
      </c>
      <c r="B156" s="827"/>
      <c r="C156" s="827"/>
      <c r="D156" s="827"/>
      <c r="E156" s="827"/>
      <c r="F156" s="827"/>
      <c r="G156" s="827"/>
      <c r="H156" s="827"/>
      <c r="I156" s="231"/>
      <c r="J156" s="231"/>
    </row>
    <row r="157" spans="1:10">
      <c r="A157" s="276" t="s">
        <v>2</v>
      </c>
      <c r="B157" s="828" t="s">
        <v>5770</v>
      </c>
      <c r="C157" s="828"/>
      <c r="D157" s="828"/>
      <c r="E157" s="828"/>
      <c r="F157" s="828"/>
      <c r="G157" s="828"/>
      <c r="H157" s="828"/>
      <c r="I157" s="231"/>
      <c r="J157" s="231"/>
    </row>
    <row r="158" spans="1:10">
      <c r="A158" s="276" t="s">
        <v>5771</v>
      </c>
      <c r="B158" s="828" t="s">
        <v>5772</v>
      </c>
      <c r="C158" s="828"/>
      <c r="D158" s="828"/>
      <c r="E158" s="828"/>
      <c r="F158" s="828"/>
      <c r="G158" s="828"/>
      <c r="H158" s="828"/>
      <c r="I158" s="231"/>
      <c r="J158" s="231"/>
    </row>
    <row r="159" spans="1:10">
      <c r="A159" s="196"/>
      <c r="B159" s="196"/>
      <c r="C159" s="196"/>
      <c r="D159" s="196"/>
      <c r="E159" s="196"/>
      <c r="F159" s="196"/>
      <c r="G159" s="196"/>
      <c r="H159" s="196"/>
      <c r="I159" s="231"/>
      <c r="J159" s="231"/>
    </row>
    <row r="160" spans="1:10">
      <c r="A160" s="323" t="s">
        <v>4946</v>
      </c>
      <c r="B160" s="323" t="s">
        <v>77</v>
      </c>
      <c r="C160" s="323" t="s">
        <v>5773</v>
      </c>
      <c r="D160" s="323" t="s">
        <v>263</v>
      </c>
      <c r="E160" s="323" t="s">
        <v>216</v>
      </c>
      <c r="F160" s="323" t="s">
        <v>5774</v>
      </c>
      <c r="G160" s="323" t="s">
        <v>5775</v>
      </c>
      <c r="H160" s="323" t="s">
        <v>5776</v>
      </c>
      <c r="I160" s="231"/>
      <c r="J160" s="231"/>
    </row>
    <row r="161" spans="1:10" ht="26.4">
      <c r="A161" s="277" t="s">
        <v>5777</v>
      </c>
      <c r="B161" s="278" t="s">
        <v>1096</v>
      </c>
      <c r="C161" s="277"/>
      <c r="D161" s="277"/>
      <c r="E161" s="277"/>
      <c r="F161" s="277"/>
      <c r="G161" s="279" t="str">
        <f t="shared" ref="G161:G168" si="2">IF(OR(B161="Yes",B161="N/A"),"🟢","🟡")</f>
        <v>🟡</v>
      </c>
      <c r="H161" s="277"/>
      <c r="I161" s="231"/>
      <c r="J161" s="231"/>
    </row>
    <row r="162" spans="1:10">
      <c r="A162" s="277" t="s">
        <v>5778</v>
      </c>
      <c r="B162" s="278" t="s">
        <v>1096</v>
      </c>
      <c r="C162" s="277"/>
      <c r="D162" s="277"/>
      <c r="E162" s="277"/>
      <c r="F162" s="277"/>
      <c r="G162" s="279" t="str">
        <f t="shared" si="2"/>
        <v>🟡</v>
      </c>
      <c r="H162" s="277"/>
      <c r="I162" s="231"/>
      <c r="J162" s="231"/>
    </row>
    <row r="163" spans="1:10">
      <c r="A163" s="277" t="s">
        <v>5779</v>
      </c>
      <c r="B163" s="278" t="s">
        <v>1096</v>
      </c>
      <c r="C163" s="277"/>
      <c r="D163" s="277"/>
      <c r="E163" s="277"/>
      <c r="F163" s="277"/>
      <c r="G163" s="279" t="str">
        <f t="shared" si="2"/>
        <v>🟡</v>
      </c>
      <c r="H163" s="277"/>
      <c r="I163" s="231"/>
      <c r="J163" s="231"/>
    </row>
    <row r="164" spans="1:10">
      <c r="A164" s="277" t="s">
        <v>5168</v>
      </c>
      <c r="B164" s="278" t="s">
        <v>1096</v>
      </c>
      <c r="C164" s="277"/>
      <c r="D164" s="277"/>
      <c r="E164" s="277"/>
      <c r="F164" s="277"/>
      <c r="G164" s="279" t="str">
        <f t="shared" si="2"/>
        <v>🟡</v>
      </c>
      <c r="H164" s="277"/>
      <c r="I164" s="231"/>
      <c r="J164" s="231"/>
    </row>
    <row r="165" spans="1:10">
      <c r="A165" s="277" t="s">
        <v>5780</v>
      </c>
      <c r="B165" s="278" t="s">
        <v>1096</v>
      </c>
      <c r="C165" s="277"/>
      <c r="D165" s="277"/>
      <c r="E165" s="277"/>
      <c r="F165" s="277"/>
      <c r="G165" s="279" t="str">
        <f t="shared" si="2"/>
        <v>🟡</v>
      </c>
      <c r="H165" s="277"/>
      <c r="I165" s="231"/>
      <c r="J165" s="231"/>
    </row>
    <row r="166" spans="1:10">
      <c r="A166" s="277" t="s">
        <v>5781</v>
      </c>
      <c r="B166" s="278" t="s">
        <v>1096</v>
      </c>
      <c r="C166" s="277"/>
      <c r="D166" s="277"/>
      <c r="E166" s="277"/>
      <c r="F166" s="277"/>
      <c r="G166" s="279" t="str">
        <f t="shared" si="2"/>
        <v>🟡</v>
      </c>
      <c r="H166" s="277"/>
      <c r="I166" s="231"/>
      <c r="J166" s="231"/>
    </row>
    <row r="167" spans="1:10">
      <c r="A167" s="277" t="s">
        <v>178</v>
      </c>
      <c r="B167" s="278" t="s">
        <v>1096</v>
      </c>
      <c r="C167" s="277"/>
      <c r="D167" s="277"/>
      <c r="E167" s="277"/>
      <c r="F167" s="277"/>
      <c r="G167" s="279" t="str">
        <f t="shared" si="2"/>
        <v>🟡</v>
      </c>
      <c r="H167" s="277"/>
      <c r="I167" s="231"/>
      <c r="J167" s="231"/>
    </row>
    <row r="168" spans="1:10" ht="26.4">
      <c r="A168" s="277" t="s">
        <v>5782</v>
      </c>
      <c r="B168" s="278" t="s">
        <v>1096</v>
      </c>
      <c r="C168" s="277"/>
      <c r="D168" s="277"/>
      <c r="E168" s="277"/>
      <c r="F168" s="277"/>
      <c r="G168" s="279" t="str">
        <f t="shared" si="2"/>
        <v>🟡</v>
      </c>
      <c r="H168" s="277"/>
      <c r="I168" s="231"/>
      <c r="J168" s="231"/>
    </row>
    <row r="169" spans="1:10">
      <c r="A169" s="324" t="s">
        <v>4946</v>
      </c>
      <c r="B169" s="324" t="s">
        <v>5790</v>
      </c>
      <c r="C169" s="196"/>
      <c r="D169" s="196"/>
      <c r="E169" s="324" t="s">
        <v>5791</v>
      </c>
      <c r="F169" s="196"/>
      <c r="G169" s="196"/>
      <c r="H169" s="196"/>
      <c r="I169" s="231"/>
      <c r="J169" s="231"/>
    </row>
    <row r="170" spans="1:10" ht="26.4">
      <c r="A170" s="291" t="s">
        <v>5777</v>
      </c>
      <c r="B170" s="768" t="s">
        <v>5792</v>
      </c>
      <c r="C170" s="768"/>
      <c r="D170" s="768"/>
      <c r="E170" s="768" t="s">
        <v>5793</v>
      </c>
      <c r="F170" s="768"/>
      <c r="G170" s="768"/>
      <c r="H170" s="196"/>
      <c r="I170" s="231"/>
      <c r="J170" s="231"/>
    </row>
    <row r="171" spans="1:10">
      <c r="A171" s="291" t="s">
        <v>5778</v>
      </c>
      <c r="B171" s="768" t="s">
        <v>5794</v>
      </c>
      <c r="C171" s="768"/>
      <c r="D171" s="768"/>
      <c r="E171" s="768" t="s">
        <v>5795</v>
      </c>
      <c r="F171" s="768"/>
      <c r="G171" s="768"/>
      <c r="H171" s="196"/>
      <c r="I171" s="231"/>
      <c r="J171" s="231"/>
    </row>
    <row r="172" spans="1:10">
      <c r="A172" s="291" t="s">
        <v>5779</v>
      </c>
      <c r="B172" s="768" t="s">
        <v>5796</v>
      </c>
      <c r="C172" s="768"/>
      <c r="D172" s="768"/>
      <c r="E172" s="768" t="s">
        <v>5797</v>
      </c>
      <c r="F172" s="768"/>
      <c r="G172" s="768"/>
      <c r="H172" s="196"/>
      <c r="I172" s="231"/>
      <c r="J172" s="231"/>
    </row>
    <row r="173" spans="1:10">
      <c r="A173" s="291" t="s">
        <v>5168</v>
      </c>
      <c r="B173" s="768" t="s">
        <v>5798</v>
      </c>
      <c r="C173" s="768"/>
      <c r="D173" s="768"/>
      <c r="E173" s="768" t="s">
        <v>5799</v>
      </c>
      <c r="F173" s="768"/>
      <c r="G173" s="768"/>
      <c r="H173" s="196"/>
      <c r="I173" s="231"/>
      <c r="J173" s="231"/>
    </row>
    <row r="174" spans="1:10">
      <c r="A174" s="291" t="s">
        <v>5780</v>
      </c>
      <c r="B174" s="768" t="s">
        <v>5800</v>
      </c>
      <c r="C174" s="768"/>
      <c r="D174" s="768"/>
      <c r="E174" s="768" t="s">
        <v>5801</v>
      </c>
      <c r="F174" s="768"/>
      <c r="G174" s="768"/>
      <c r="H174" s="196"/>
      <c r="I174" s="231"/>
      <c r="J174" s="231"/>
    </row>
    <row r="175" spans="1:10">
      <c r="A175" s="291" t="s">
        <v>5781</v>
      </c>
      <c r="B175" s="768" t="s">
        <v>5802</v>
      </c>
      <c r="C175" s="768"/>
      <c r="D175" s="768"/>
      <c r="E175" s="768" t="s">
        <v>5803</v>
      </c>
      <c r="F175" s="768"/>
      <c r="G175" s="768"/>
      <c r="H175" s="196"/>
      <c r="I175" s="231"/>
      <c r="J175" s="231"/>
    </row>
    <row r="176" spans="1:10">
      <c r="A176" s="291" t="s">
        <v>178</v>
      </c>
      <c r="B176" s="768" t="s">
        <v>5804</v>
      </c>
      <c r="C176" s="768"/>
      <c r="D176" s="768"/>
      <c r="E176" s="768" t="s">
        <v>5805</v>
      </c>
      <c r="F176" s="768"/>
      <c r="G176" s="768"/>
      <c r="H176" s="196"/>
      <c r="I176" s="231"/>
      <c r="J176" s="231"/>
    </row>
    <row r="177" spans="1:10" ht="26.4">
      <c r="A177" s="291" t="s">
        <v>5782</v>
      </c>
      <c r="B177" s="768" t="s">
        <v>5806</v>
      </c>
      <c r="C177" s="768"/>
      <c r="D177" s="768"/>
      <c r="E177" s="768" t="s">
        <v>5807</v>
      </c>
      <c r="F177" s="768"/>
      <c r="G177" s="768"/>
      <c r="H177" s="196"/>
      <c r="I177" s="231"/>
      <c r="J177" s="231"/>
    </row>
    <row r="178" spans="1:10">
      <c r="A178" s="276" t="s">
        <v>5783</v>
      </c>
      <c r="B178" s="280" t="str">
        <f>IF(COUNTIF(B161:B168,"No")=0,"🟢 PILOT COMPLETE / ACCEPTANCE READY","🟡 NOT COMPLETE — ACCEPTANCE GATES OPEN")</f>
        <v>🟡 NOT COMPLETE — ACCEPTANCE GATES OPEN</v>
      </c>
      <c r="C178" s="280"/>
      <c r="D178" s="280"/>
      <c r="E178" s="280"/>
      <c r="F178" s="280"/>
      <c r="G178" s="280"/>
      <c r="H178" s="280"/>
    </row>
    <row r="179" spans="1:10">
      <c r="A179" s="276" t="s">
        <v>5784</v>
      </c>
      <c r="B179" s="280">
        <f>COUNTIF(B161:B168,"No")</f>
        <v>8</v>
      </c>
      <c r="C179" s="280"/>
      <c r="D179" s="280"/>
      <c r="E179" s="280"/>
      <c r="F179" s="280"/>
      <c r="G179" s="280"/>
      <c r="H179" s="280"/>
    </row>
    <row r="180" spans="1:10">
      <c r="A180" s="276" t="s">
        <v>5785</v>
      </c>
      <c r="B180" s="280" t="str">
        <f>COUNTIF(B161:B168,"Yes")&amp;" / 8 Complete"</f>
        <v>0 / 8 Complete</v>
      </c>
      <c r="C180" s="280"/>
      <c r="D180" s="280"/>
      <c r="E180" s="280"/>
      <c r="F180" s="280"/>
      <c r="G180" s="280"/>
      <c r="H180" s="280"/>
    </row>
    <row r="181" spans="1:10" ht="93">
      <c r="A181" s="281" t="s">
        <v>5786</v>
      </c>
      <c r="B181" s="282" t="s">
        <v>5787</v>
      </c>
      <c r="C181" s="282"/>
      <c r="D181" s="282"/>
      <c r="E181" s="282"/>
      <c r="F181" s="282"/>
      <c r="G181" s="282"/>
      <c r="H181" s="282"/>
    </row>
    <row r="182" spans="1:10">
      <c r="A182" s="281"/>
      <c r="B182" s="282"/>
      <c r="C182" s="282"/>
      <c r="D182" s="282"/>
      <c r="E182" s="282"/>
      <c r="F182" s="282"/>
      <c r="G182" s="282"/>
      <c r="H182" s="282"/>
    </row>
    <row r="183" spans="1:10" ht="66.599999999999994">
      <c r="A183" s="281" t="s">
        <v>5788</v>
      </c>
      <c r="B183" s="282" t="s">
        <v>5789</v>
      </c>
      <c r="C183" s="282"/>
      <c r="D183" s="282"/>
      <c r="E183" s="282"/>
      <c r="F183" s="282"/>
      <c r="G183" s="282"/>
      <c r="H183" s="282"/>
    </row>
    <row r="184" spans="1:10">
      <c r="A184" s="842" t="s">
        <v>5901</v>
      </c>
      <c r="B184" s="842"/>
      <c r="C184" s="842"/>
      <c r="D184" s="842"/>
      <c r="E184" s="842"/>
      <c r="F184" s="842"/>
      <c r="G184" s="842"/>
      <c r="H184" s="842"/>
      <c r="I184" s="842"/>
      <c r="J184" s="842"/>
    </row>
    <row r="185" spans="1:10">
      <c r="A185" s="340" t="s">
        <v>5886</v>
      </c>
      <c r="B185" s="196"/>
      <c r="C185" s="196"/>
      <c r="D185" s="196"/>
      <c r="E185" s="196"/>
      <c r="F185" s="196"/>
      <c r="G185" s="196"/>
      <c r="H185" s="196"/>
      <c r="I185" s="196"/>
      <c r="J185" s="196"/>
    </row>
    <row r="186" spans="1:10">
      <c r="A186" s="196"/>
      <c r="B186" s="196"/>
      <c r="C186" s="196"/>
      <c r="D186" s="196"/>
      <c r="E186" s="196"/>
      <c r="F186" s="196"/>
      <c r="G186" s="196"/>
      <c r="H186" s="196"/>
      <c r="I186" s="196"/>
      <c r="J186" s="196"/>
    </row>
    <row r="187" spans="1:10">
      <c r="A187" s="196" t="s">
        <v>5887</v>
      </c>
      <c r="B187" s="196"/>
      <c r="C187" s="196"/>
      <c r="D187" s="196"/>
      <c r="E187" s="196"/>
      <c r="F187" s="196"/>
      <c r="G187" s="196"/>
      <c r="H187" s="196"/>
      <c r="I187" s="196"/>
      <c r="J187" s="196"/>
    </row>
    <row r="188" spans="1:10">
      <c r="A188" s="196"/>
      <c r="B188" s="196"/>
      <c r="C188" s="196"/>
      <c r="D188" s="196"/>
      <c r="E188" s="196"/>
      <c r="F188" s="196"/>
      <c r="G188" s="196"/>
      <c r="H188" s="196"/>
      <c r="I188" s="196"/>
      <c r="J188" s="196"/>
    </row>
    <row r="189" spans="1:10">
      <c r="A189" s="196" t="s">
        <v>5888</v>
      </c>
      <c r="B189" s="196"/>
      <c r="C189" s="196"/>
      <c r="D189" s="196"/>
      <c r="E189" s="196"/>
      <c r="F189" s="196"/>
      <c r="G189" s="196"/>
      <c r="H189" s="196"/>
      <c r="I189" s="196"/>
      <c r="J189" s="196"/>
    </row>
    <row r="190" spans="1:10">
      <c r="A190" s="196"/>
      <c r="B190" s="196"/>
      <c r="C190" s="196"/>
      <c r="D190" s="196"/>
      <c r="E190" s="196"/>
      <c r="F190" s="196"/>
      <c r="G190" s="196"/>
      <c r="H190" s="196"/>
      <c r="I190" s="196"/>
      <c r="J190" s="196"/>
    </row>
    <row r="191" spans="1:10">
      <c r="A191" s="196" t="s">
        <v>5889</v>
      </c>
      <c r="B191" s="196"/>
      <c r="C191" s="196"/>
      <c r="D191" s="196"/>
      <c r="E191" s="196"/>
      <c r="F191" s="196"/>
      <c r="G191" s="196"/>
      <c r="H191" s="196"/>
      <c r="I191" s="196"/>
      <c r="J191" s="196"/>
    </row>
    <row r="192" spans="1:10">
      <c r="A192" s="196"/>
      <c r="B192" s="196"/>
      <c r="C192" s="196"/>
      <c r="D192" s="196"/>
      <c r="E192" s="196"/>
      <c r="F192" s="196"/>
      <c r="G192" s="196"/>
      <c r="H192" s="196"/>
      <c r="I192" s="196"/>
      <c r="J192" s="196"/>
    </row>
    <row r="193" spans="1:10">
      <c r="A193" s="196"/>
      <c r="B193" s="196"/>
      <c r="C193" s="196"/>
      <c r="D193" s="196"/>
      <c r="E193" s="196"/>
      <c r="F193" s="196"/>
      <c r="G193" s="196"/>
      <c r="H193" s="196"/>
      <c r="I193" s="196"/>
      <c r="J193" s="196"/>
    </row>
    <row r="194" spans="1:10">
      <c r="A194" s="196"/>
      <c r="B194" s="196"/>
      <c r="C194" s="196"/>
      <c r="D194" s="196"/>
      <c r="E194" s="196"/>
      <c r="F194" s="196"/>
      <c r="G194" s="196"/>
      <c r="H194" s="196"/>
      <c r="I194" s="196"/>
      <c r="J194" s="196"/>
    </row>
    <row r="195" spans="1:10">
      <c r="A195" s="842" t="s">
        <v>5902</v>
      </c>
      <c r="B195" s="842"/>
      <c r="C195" s="842"/>
      <c r="D195" s="842"/>
      <c r="E195" s="842"/>
      <c r="F195" s="842"/>
      <c r="G195" s="842"/>
      <c r="H195" s="842"/>
      <c r="I195" s="842"/>
      <c r="J195" s="842"/>
    </row>
    <row r="196" spans="1:10">
      <c r="A196" s="196"/>
      <c r="B196" s="196"/>
      <c r="C196" s="196"/>
      <c r="D196" s="196"/>
      <c r="E196" s="196"/>
      <c r="F196" s="196"/>
      <c r="G196" s="196"/>
      <c r="H196" s="196"/>
      <c r="I196" s="196"/>
      <c r="J196" s="196"/>
    </row>
    <row r="197" spans="1:10">
      <c r="A197" s="196" t="s">
        <v>5890</v>
      </c>
      <c r="B197" s="196"/>
      <c r="C197" s="196"/>
      <c r="D197" s="196"/>
      <c r="E197" s="196"/>
      <c r="F197" s="196"/>
      <c r="G197" s="196"/>
      <c r="H197" s="196"/>
      <c r="I197" s="196"/>
      <c r="J197" s="196"/>
    </row>
    <row r="198" spans="1:10">
      <c r="A198" s="196"/>
      <c r="B198" s="196"/>
      <c r="C198" s="196"/>
      <c r="D198" s="196"/>
      <c r="E198" s="196"/>
      <c r="F198" s="196"/>
      <c r="G198" s="196"/>
      <c r="H198" s="196"/>
      <c r="I198" s="196"/>
      <c r="J198" s="196"/>
    </row>
    <row r="199" spans="1:10">
      <c r="A199" s="196" t="s">
        <v>5891</v>
      </c>
      <c r="B199" s="196"/>
      <c r="C199" s="196"/>
      <c r="D199" s="196"/>
      <c r="E199" s="196"/>
      <c r="F199" s="196"/>
      <c r="G199" s="196"/>
      <c r="H199" s="196"/>
      <c r="I199" s="196"/>
      <c r="J199" s="196"/>
    </row>
    <row r="200" spans="1:10">
      <c r="A200" s="196"/>
      <c r="B200" s="196"/>
      <c r="C200" s="196"/>
      <c r="D200" s="196"/>
      <c r="E200" s="196"/>
      <c r="F200" s="196"/>
      <c r="G200" s="196"/>
      <c r="H200" s="196"/>
      <c r="I200" s="196"/>
      <c r="J200" s="196"/>
    </row>
    <row r="201" spans="1:10">
      <c r="A201" s="196" t="s">
        <v>5892</v>
      </c>
      <c r="B201" s="196"/>
      <c r="C201" s="196"/>
      <c r="D201" s="196"/>
      <c r="E201" s="196"/>
      <c r="F201" s="196"/>
      <c r="G201" s="196"/>
      <c r="H201" s="196"/>
      <c r="I201" s="196"/>
      <c r="J201" s="196"/>
    </row>
    <row r="202" spans="1:10">
      <c r="A202" s="196"/>
      <c r="B202" s="196"/>
      <c r="C202" s="196"/>
      <c r="D202" s="196"/>
      <c r="E202" s="196"/>
      <c r="F202" s="196"/>
      <c r="G202" s="196"/>
      <c r="H202" s="196"/>
      <c r="I202" s="196"/>
      <c r="J202" s="196"/>
    </row>
    <row r="203" spans="1:10">
      <c r="A203" s="196"/>
      <c r="B203" s="196"/>
      <c r="C203" s="196"/>
      <c r="D203" s="196"/>
      <c r="E203" s="196"/>
      <c r="F203" s="196"/>
      <c r="G203" s="196"/>
      <c r="H203" s="196"/>
      <c r="I203" s="196"/>
      <c r="J203" s="196"/>
    </row>
    <row r="204" spans="1:10">
      <c r="A204" s="196"/>
      <c r="B204" s="196"/>
      <c r="C204" s="196"/>
      <c r="D204" s="196"/>
      <c r="E204" s="196"/>
      <c r="F204" s="196"/>
      <c r="G204" s="196"/>
      <c r="H204" s="196"/>
      <c r="I204" s="196"/>
      <c r="J204" s="196"/>
    </row>
    <row r="205" spans="1:10">
      <c r="A205" s="842" t="s">
        <v>5903</v>
      </c>
      <c r="B205" s="842"/>
      <c r="C205" s="842"/>
      <c r="D205" s="842"/>
      <c r="E205" s="842"/>
      <c r="F205" s="842"/>
      <c r="G205" s="842"/>
      <c r="H205" s="842"/>
      <c r="I205" s="842"/>
      <c r="J205" s="842"/>
    </row>
    <row r="206" spans="1:10">
      <c r="A206" s="196"/>
      <c r="B206" s="196"/>
      <c r="C206" s="196"/>
      <c r="D206" s="196"/>
      <c r="E206" s="196"/>
      <c r="F206" s="196"/>
      <c r="G206" s="196"/>
      <c r="H206" s="196"/>
      <c r="I206" s="196"/>
      <c r="J206" s="196"/>
    </row>
    <row r="207" spans="1:10">
      <c r="A207" s="196" t="s">
        <v>5893</v>
      </c>
      <c r="B207" s="196"/>
      <c r="C207" s="196"/>
      <c r="D207" s="196"/>
      <c r="E207" s="196"/>
      <c r="F207" s="196"/>
      <c r="G207" s="196"/>
      <c r="H207" s="196"/>
      <c r="I207" s="196"/>
      <c r="J207" s="196"/>
    </row>
    <row r="208" spans="1:10">
      <c r="A208" s="196"/>
      <c r="B208" s="196"/>
      <c r="C208" s="196"/>
      <c r="D208" s="196"/>
      <c r="E208" s="196"/>
      <c r="F208" s="196"/>
      <c r="G208" s="196"/>
      <c r="H208" s="196"/>
      <c r="I208" s="196"/>
      <c r="J208" s="196"/>
    </row>
    <row r="209" spans="1:10">
      <c r="A209" s="196" t="s">
        <v>5894</v>
      </c>
      <c r="B209" s="196"/>
      <c r="C209" s="196"/>
      <c r="D209" s="196"/>
      <c r="E209" s="196"/>
      <c r="F209" s="196"/>
      <c r="G209" s="196"/>
      <c r="H209" s="196"/>
      <c r="I209" s="196"/>
      <c r="J209" s="196"/>
    </row>
    <row r="210" spans="1:10">
      <c r="A210" s="196"/>
      <c r="B210" s="196"/>
      <c r="C210" s="196"/>
      <c r="D210" s="196"/>
      <c r="E210" s="196"/>
      <c r="F210" s="196"/>
      <c r="G210" s="196"/>
      <c r="H210" s="196"/>
      <c r="I210" s="196"/>
      <c r="J210" s="196"/>
    </row>
    <row r="211" spans="1:10">
      <c r="A211" s="196" t="s">
        <v>5895</v>
      </c>
      <c r="B211" s="196"/>
      <c r="C211" s="196"/>
      <c r="D211" s="196"/>
      <c r="E211" s="196"/>
      <c r="F211" s="196"/>
      <c r="G211" s="196"/>
      <c r="H211" s="196"/>
      <c r="I211" s="196"/>
      <c r="J211" s="196"/>
    </row>
    <row r="212" spans="1:10">
      <c r="A212" s="196"/>
      <c r="B212" s="196"/>
      <c r="C212" s="196"/>
      <c r="D212" s="196"/>
      <c r="E212" s="196"/>
      <c r="F212" s="196"/>
      <c r="G212" s="196"/>
      <c r="H212" s="196"/>
      <c r="I212" s="196"/>
      <c r="J212" s="196"/>
    </row>
    <row r="213" spans="1:10">
      <c r="A213" s="196" t="s">
        <v>5896</v>
      </c>
      <c r="B213" s="196"/>
      <c r="C213" s="196"/>
      <c r="D213" s="196"/>
      <c r="E213" s="196"/>
      <c r="F213" s="196"/>
      <c r="G213" s="196"/>
      <c r="H213" s="196"/>
      <c r="I213" s="196"/>
      <c r="J213" s="196"/>
    </row>
    <row r="214" spans="1:10">
      <c r="A214" s="196"/>
      <c r="B214" s="196"/>
      <c r="C214" s="196"/>
      <c r="D214" s="196"/>
      <c r="E214" s="196"/>
      <c r="F214" s="196"/>
      <c r="G214" s="196"/>
      <c r="H214" s="196"/>
      <c r="I214" s="196"/>
      <c r="J214" s="196"/>
    </row>
    <row r="215" spans="1:10">
      <c r="A215" s="196"/>
      <c r="B215" s="196"/>
      <c r="C215" s="196"/>
      <c r="D215" s="196"/>
      <c r="E215" s="196"/>
      <c r="F215" s="196"/>
      <c r="G215" s="196"/>
      <c r="H215" s="196"/>
      <c r="I215" s="196"/>
      <c r="J215" s="196"/>
    </row>
    <row r="216" spans="1:10">
      <c r="A216" s="196"/>
      <c r="B216" s="196"/>
      <c r="C216" s="196"/>
      <c r="D216" s="196"/>
      <c r="E216" s="196"/>
      <c r="F216" s="196"/>
      <c r="G216" s="196"/>
      <c r="H216" s="196"/>
      <c r="I216" s="196"/>
      <c r="J216" s="196"/>
    </row>
    <row r="217" spans="1:10">
      <c r="A217" s="842" t="s">
        <v>5904</v>
      </c>
      <c r="B217" s="842"/>
      <c r="C217" s="842"/>
      <c r="D217" s="842"/>
      <c r="E217" s="842"/>
      <c r="F217" s="842"/>
      <c r="G217" s="842"/>
      <c r="H217" s="842"/>
      <c r="I217" s="842"/>
      <c r="J217" s="842"/>
    </row>
    <row r="218" spans="1:10">
      <c r="A218" s="196"/>
      <c r="B218" s="196"/>
      <c r="C218" s="196"/>
      <c r="D218" s="196"/>
      <c r="E218" s="196"/>
      <c r="F218" s="196"/>
      <c r="G218" s="196"/>
      <c r="H218" s="196"/>
      <c r="I218" s="196"/>
      <c r="J218" s="196"/>
    </row>
    <row r="219" spans="1:10">
      <c r="A219" s="196" t="s">
        <v>5897</v>
      </c>
      <c r="B219" s="196"/>
      <c r="C219" s="196"/>
      <c r="D219" s="196"/>
      <c r="E219" s="196"/>
      <c r="F219" s="196"/>
      <c r="G219" s="196"/>
      <c r="H219" s="196"/>
      <c r="I219" s="196"/>
      <c r="J219" s="196"/>
    </row>
    <row r="220" spans="1:10">
      <c r="A220" s="196"/>
      <c r="B220" s="196"/>
      <c r="C220" s="196"/>
      <c r="D220" s="196"/>
      <c r="E220" s="196"/>
      <c r="F220" s="196"/>
      <c r="G220" s="196"/>
      <c r="H220" s="196"/>
      <c r="I220" s="196"/>
      <c r="J220" s="196"/>
    </row>
    <row r="221" spans="1:10">
      <c r="A221" s="196" t="s">
        <v>5898</v>
      </c>
      <c r="B221" s="196"/>
      <c r="C221" s="196"/>
      <c r="D221" s="196"/>
      <c r="E221" s="196"/>
      <c r="F221" s="196"/>
      <c r="G221" s="196"/>
      <c r="H221" s="196"/>
      <c r="I221" s="196"/>
      <c r="J221" s="196"/>
    </row>
    <row r="222" spans="1:10">
      <c r="A222" s="196"/>
      <c r="B222" s="196"/>
      <c r="C222" s="196"/>
      <c r="D222" s="196"/>
      <c r="E222" s="196"/>
      <c r="F222" s="196"/>
      <c r="G222" s="196"/>
      <c r="H222" s="196"/>
      <c r="I222" s="196"/>
      <c r="J222" s="196"/>
    </row>
    <row r="223" spans="1:10">
      <c r="A223" s="196" t="s">
        <v>5899</v>
      </c>
      <c r="B223" s="196"/>
      <c r="C223" s="196"/>
      <c r="D223" s="196"/>
      <c r="E223" s="196"/>
      <c r="F223" s="196"/>
      <c r="G223" s="196"/>
      <c r="H223" s="196"/>
      <c r="I223" s="196"/>
      <c r="J223" s="196"/>
    </row>
    <row r="224" spans="1:10">
      <c r="A224" s="196"/>
      <c r="B224" s="196"/>
      <c r="C224" s="196"/>
      <c r="D224" s="196"/>
      <c r="E224" s="196"/>
      <c r="F224" s="196"/>
      <c r="G224" s="196"/>
      <c r="H224" s="196"/>
      <c r="I224" s="196"/>
      <c r="J224" s="196"/>
    </row>
    <row r="225" spans="1:10">
      <c r="A225" s="196"/>
      <c r="B225" s="196"/>
      <c r="C225" s="196"/>
      <c r="D225" s="196"/>
      <c r="E225" s="196"/>
      <c r="F225" s="196"/>
      <c r="G225" s="196"/>
      <c r="H225" s="196"/>
      <c r="I225" s="196"/>
      <c r="J225" s="196"/>
    </row>
    <row r="226" spans="1:10">
      <c r="A226" s="196"/>
      <c r="B226" s="196"/>
      <c r="C226" s="196"/>
      <c r="D226" s="196"/>
      <c r="E226" s="196"/>
      <c r="F226" s="196"/>
      <c r="G226" s="196"/>
      <c r="H226" s="196"/>
      <c r="I226" s="196"/>
      <c r="J226" s="196"/>
    </row>
    <row r="227" spans="1:10">
      <c r="A227" s="196" t="s">
        <v>5900</v>
      </c>
      <c r="B227" s="196"/>
      <c r="C227" s="196"/>
      <c r="D227" s="196"/>
      <c r="E227" s="196"/>
      <c r="F227" s="196"/>
      <c r="G227" s="196"/>
      <c r="H227" s="196"/>
      <c r="I227" s="196"/>
      <c r="J227" s="196"/>
    </row>
    <row r="228" spans="1:10">
      <c r="A228" s="196"/>
      <c r="B228" s="196"/>
      <c r="C228" s="196"/>
      <c r="D228" s="196"/>
      <c r="E228" s="196"/>
      <c r="F228" s="196"/>
      <c r="G228" s="196"/>
      <c r="H228" s="196"/>
      <c r="I228" s="196"/>
      <c r="J228" s="196"/>
    </row>
    <row r="229" spans="1:10">
      <c r="A229" s="341"/>
      <c r="B229" s="341"/>
      <c r="C229" s="341"/>
      <c r="D229" s="341"/>
      <c r="E229" s="341"/>
      <c r="F229" s="341"/>
      <c r="G229" s="341"/>
      <c r="H229" s="341"/>
      <c r="I229" s="341"/>
      <c r="J229" s="341"/>
    </row>
    <row r="230" spans="1:10">
      <c r="A230" s="341"/>
      <c r="B230" s="341"/>
      <c r="C230" s="341"/>
      <c r="D230" s="341"/>
      <c r="E230" s="341"/>
      <c r="F230" s="341"/>
      <c r="G230" s="341"/>
      <c r="H230" s="341"/>
      <c r="I230" s="341"/>
      <c r="J230" s="341"/>
    </row>
    <row r="231" spans="1:10">
      <c r="A231" s="341"/>
      <c r="B231" s="341"/>
      <c r="C231" s="341"/>
      <c r="D231" s="341"/>
      <c r="E231" s="341"/>
      <c r="F231" s="341"/>
      <c r="G231" s="341"/>
      <c r="H231" s="341"/>
      <c r="I231" s="341"/>
      <c r="J231" s="341"/>
    </row>
    <row r="232" spans="1:10">
      <c r="A232" s="341"/>
      <c r="B232" s="341"/>
      <c r="C232" s="341"/>
      <c r="D232" s="341"/>
      <c r="E232" s="341"/>
      <c r="F232" s="341"/>
      <c r="G232" s="341"/>
      <c r="H232" s="341"/>
      <c r="I232" s="341"/>
      <c r="J232" s="341"/>
    </row>
    <row r="233" spans="1:10">
      <c r="A233" s="341"/>
      <c r="B233" s="341"/>
      <c r="C233" s="341"/>
      <c r="D233" s="341"/>
      <c r="E233" s="341"/>
      <c r="F233" s="341"/>
      <c r="G233" s="341"/>
      <c r="H233" s="341"/>
      <c r="I233" s="341"/>
      <c r="J233" s="341"/>
    </row>
    <row r="234" spans="1:10">
      <c r="A234" s="341"/>
      <c r="B234" s="341"/>
      <c r="C234" s="341"/>
      <c r="D234" s="341"/>
      <c r="E234" s="341"/>
      <c r="F234" s="341"/>
      <c r="G234" s="341"/>
      <c r="H234" s="341"/>
      <c r="I234" s="341"/>
      <c r="J234" s="341"/>
    </row>
    <row r="235" spans="1:10">
      <c r="A235" s="341"/>
      <c r="B235" s="341"/>
      <c r="C235" s="341"/>
      <c r="D235" s="341"/>
      <c r="E235" s="341"/>
      <c r="F235" s="341"/>
      <c r="G235" s="341"/>
      <c r="H235" s="341"/>
      <c r="I235" s="341"/>
      <c r="J235" s="341"/>
    </row>
    <row r="236" spans="1:10">
      <c r="A236" s="341"/>
      <c r="B236" s="341"/>
      <c r="C236" s="341"/>
      <c r="D236" s="341"/>
      <c r="E236" s="341"/>
      <c r="F236" s="341"/>
      <c r="G236" s="341"/>
      <c r="H236" s="341"/>
      <c r="I236" s="341"/>
      <c r="J236" s="341"/>
    </row>
    <row r="237" spans="1:10">
      <c r="A237" s="341"/>
      <c r="B237" s="341"/>
      <c r="C237" s="341"/>
      <c r="D237" s="341"/>
      <c r="E237" s="341"/>
      <c r="F237" s="341"/>
      <c r="G237" s="341"/>
      <c r="H237" s="341"/>
      <c r="I237" s="341"/>
      <c r="J237" s="341"/>
    </row>
    <row r="238" spans="1:10">
      <c r="A238" s="196"/>
      <c r="B238" s="196"/>
      <c r="C238" s="196"/>
      <c r="D238" s="196"/>
      <c r="E238" s="196"/>
      <c r="F238" s="196"/>
      <c r="G238" s="196"/>
      <c r="H238" s="196"/>
      <c r="I238" s="196"/>
      <c r="J238" s="196"/>
    </row>
    <row r="239" spans="1:10">
      <c r="A239" s="320"/>
      <c r="B239" s="320"/>
      <c r="C239" s="320"/>
      <c r="D239" s="320"/>
      <c r="E239" s="320"/>
      <c r="F239" s="320"/>
      <c r="G239" s="874"/>
      <c r="H239" s="874"/>
      <c r="I239" s="874"/>
      <c r="J239" s="874"/>
    </row>
  </sheetData>
  <mergeCells count="120">
    <mergeCell ref="A1:J1"/>
    <mergeCell ref="A44:C44"/>
    <mergeCell ref="D6:J6"/>
    <mergeCell ref="A83:C83"/>
    <mergeCell ref="B92:I92"/>
    <mergeCell ref="A61:C61"/>
    <mergeCell ref="B96:I96"/>
    <mergeCell ref="A32:C32"/>
    <mergeCell ref="A14:C14"/>
    <mergeCell ref="A8:C8"/>
    <mergeCell ref="A20:C20"/>
    <mergeCell ref="A38:C38"/>
    <mergeCell ref="A72:C72"/>
    <mergeCell ref="B95:I95"/>
    <mergeCell ref="B94:I94"/>
    <mergeCell ref="B91:I91"/>
    <mergeCell ref="A89:C89"/>
    <mergeCell ref="A50:C50"/>
    <mergeCell ref="A26:C26"/>
    <mergeCell ref="B93:I93"/>
    <mergeCell ref="G101:J101"/>
    <mergeCell ref="G103:J103"/>
    <mergeCell ref="A105:B105"/>
    <mergeCell ref="E105:J105"/>
    <mergeCell ref="A107:C107"/>
    <mergeCell ref="D107:F107"/>
    <mergeCell ref="G107:J107"/>
    <mergeCell ref="A98:C98"/>
    <mergeCell ref="D98:F98"/>
    <mergeCell ref="G98:J98"/>
    <mergeCell ref="G99:J99"/>
    <mergeCell ref="G100:J100"/>
    <mergeCell ref="F113:J113"/>
    <mergeCell ref="F114:J114"/>
    <mergeCell ref="F115:J115"/>
    <mergeCell ref="F116:J116"/>
    <mergeCell ref="A117:B117"/>
    <mergeCell ref="C117:D117"/>
    <mergeCell ref="E117:J117"/>
    <mergeCell ref="G108:J108"/>
    <mergeCell ref="F109:J109"/>
    <mergeCell ref="F110:J110"/>
    <mergeCell ref="F111:J111"/>
    <mergeCell ref="F112:J112"/>
    <mergeCell ref="G122:J122"/>
    <mergeCell ref="G123:J123"/>
    <mergeCell ref="G124:J124"/>
    <mergeCell ref="G125:J125"/>
    <mergeCell ref="A126:B126"/>
    <mergeCell ref="C126:D126"/>
    <mergeCell ref="E126:J126"/>
    <mergeCell ref="A119:C119"/>
    <mergeCell ref="D119:F119"/>
    <mergeCell ref="G119:J119"/>
    <mergeCell ref="G120:J120"/>
    <mergeCell ref="G121:J121"/>
    <mergeCell ref="G130:J130"/>
    <mergeCell ref="G131:J131"/>
    <mergeCell ref="G132:J132"/>
    <mergeCell ref="G133:J133"/>
    <mergeCell ref="A134:D135"/>
    <mergeCell ref="E134:J135"/>
    <mergeCell ref="G127:J127"/>
    <mergeCell ref="A128:C128"/>
    <mergeCell ref="D128:F128"/>
    <mergeCell ref="G128:J128"/>
    <mergeCell ref="G129:J129"/>
    <mergeCell ref="G139:J139"/>
    <mergeCell ref="G140:J140"/>
    <mergeCell ref="G141:J141"/>
    <mergeCell ref="G142:J142"/>
    <mergeCell ref="G143:J143"/>
    <mergeCell ref="A136:C136"/>
    <mergeCell ref="D136:F136"/>
    <mergeCell ref="G136:J136"/>
    <mergeCell ref="G137:J137"/>
    <mergeCell ref="G138:J138"/>
    <mergeCell ref="B149:J149"/>
    <mergeCell ref="B150:J150"/>
    <mergeCell ref="B151:J151"/>
    <mergeCell ref="B152:J152"/>
    <mergeCell ref="B153:J153"/>
    <mergeCell ref="A144:B144"/>
    <mergeCell ref="C144:D144"/>
    <mergeCell ref="E144:J144"/>
    <mergeCell ref="A146:C146"/>
    <mergeCell ref="B148:J148"/>
    <mergeCell ref="B171:D171"/>
    <mergeCell ref="E171:G171"/>
    <mergeCell ref="B172:D172"/>
    <mergeCell ref="E172:G172"/>
    <mergeCell ref="B173:D173"/>
    <mergeCell ref="E173:G173"/>
    <mergeCell ref="B154:J154"/>
    <mergeCell ref="A156:H156"/>
    <mergeCell ref="B157:H157"/>
    <mergeCell ref="B158:H158"/>
    <mergeCell ref="B170:D170"/>
    <mergeCell ref="E170:G170"/>
    <mergeCell ref="B177:D177"/>
    <mergeCell ref="E177:G177"/>
    <mergeCell ref="A184:C184"/>
    <mergeCell ref="D184:F184"/>
    <mergeCell ref="G184:J184"/>
    <mergeCell ref="B174:D174"/>
    <mergeCell ref="E174:G174"/>
    <mergeCell ref="B175:D175"/>
    <mergeCell ref="E175:G175"/>
    <mergeCell ref="B176:D176"/>
    <mergeCell ref="E176:G176"/>
    <mergeCell ref="A217:C217"/>
    <mergeCell ref="D217:F217"/>
    <mergeCell ref="G217:J217"/>
    <mergeCell ref="G239:J239"/>
    <mergeCell ref="A195:C195"/>
    <mergeCell ref="D195:F195"/>
    <mergeCell ref="G195:J195"/>
    <mergeCell ref="A205:C205"/>
    <mergeCell ref="D205:F205"/>
    <mergeCell ref="G205:J205"/>
  </mergeCells>
  <conditionalFormatting sqref="B16">
    <cfRule type="expression" dxfId="673" priority="116">
      <formula>B16="Pass"</formula>
    </cfRule>
    <cfRule type="expression" dxfId="672" priority="117">
      <formula>B16="Verify"</formula>
    </cfRule>
    <cfRule type="expression" dxfId="671" priority="118">
      <formula>B16="Fail"</formula>
    </cfRule>
    <cfRule type="expression" dxfId="670" priority="119">
      <formula>B16="Not Started"</formula>
    </cfRule>
  </conditionalFormatting>
  <conditionalFormatting sqref="B100:B104">
    <cfRule type="expression" dxfId="669" priority="21">
      <formula>B100="Complete"</formula>
    </cfRule>
    <cfRule type="expression" dxfId="668" priority="22">
      <formula>B100="In Progress"</formula>
    </cfRule>
    <cfRule type="expression" dxfId="667" priority="23">
      <formula>B100="At Risk"</formula>
    </cfRule>
    <cfRule type="expression" dxfId="666" priority="24">
      <formula>B100="Blocked"</formula>
    </cfRule>
    <cfRule type="expression" dxfId="665" priority="25">
      <formula>B100="Not Started"</formula>
    </cfRule>
  </conditionalFormatting>
  <conditionalFormatting sqref="B109:B116">
    <cfRule type="expression" dxfId="664" priority="1">
      <formula>B109="Complete"</formula>
    </cfRule>
    <cfRule type="expression" dxfId="663" priority="2">
      <formula>B109="In Progress"</formula>
    </cfRule>
    <cfRule type="expression" dxfId="662" priority="3">
      <formula>B109="At Risk"</formula>
    </cfRule>
    <cfRule type="expression" dxfId="661" priority="4">
      <formula>B109="Blocked"</formula>
    </cfRule>
    <cfRule type="expression" dxfId="660" priority="5">
      <formula>B109="Not Started"</formula>
    </cfRule>
  </conditionalFormatting>
  <conditionalFormatting sqref="B121:B125">
    <cfRule type="expression" dxfId="659" priority="26">
      <formula>B121="Complete"</formula>
    </cfRule>
    <cfRule type="expression" dxfId="658" priority="27">
      <formula>B121="In Progress"</formula>
    </cfRule>
    <cfRule type="expression" dxfId="657" priority="28">
      <formula>B121="At Risk"</formula>
    </cfRule>
    <cfRule type="expression" dxfId="656" priority="29">
      <formula>B121="Blocked"</formula>
    </cfRule>
    <cfRule type="expression" dxfId="655" priority="30">
      <formula>B121="Not Started"</formula>
    </cfRule>
  </conditionalFormatting>
  <conditionalFormatting sqref="B130:B133">
    <cfRule type="expression" dxfId="654" priority="6">
      <formula>B130="Complete"</formula>
    </cfRule>
    <cfRule type="expression" dxfId="653" priority="7">
      <formula>B130="In Progress"</formula>
    </cfRule>
    <cfRule type="expression" dxfId="652" priority="8">
      <formula>B130="At Risk"</formula>
    </cfRule>
    <cfRule type="expression" dxfId="651" priority="9">
      <formula>B130="Blocked"</formula>
    </cfRule>
    <cfRule type="expression" dxfId="650" priority="10">
      <formula>B130="Not Started"</formula>
    </cfRule>
  </conditionalFormatting>
  <conditionalFormatting sqref="B138:B143">
    <cfRule type="expression" dxfId="649" priority="11">
      <formula>B138="Complete"</formula>
    </cfRule>
    <cfRule type="expression" dxfId="648" priority="12">
      <formula>B138="In Progress"</formula>
    </cfRule>
    <cfRule type="expression" dxfId="647" priority="13">
      <formula>B138="At Risk"</formula>
    </cfRule>
    <cfRule type="expression" dxfId="646" priority="14">
      <formula>B138="Blocked"</formula>
    </cfRule>
    <cfRule type="expression" dxfId="645" priority="15">
      <formula>B138="Not Started"</formula>
    </cfRule>
  </conditionalFormatting>
  <conditionalFormatting sqref="B161:B168">
    <cfRule type="expression" dxfId="644" priority="82">
      <formula>B161="Yes"</formula>
    </cfRule>
    <cfRule type="expression" dxfId="643" priority="83">
      <formula>B161="N/A"</formula>
    </cfRule>
    <cfRule type="expression" dxfId="642" priority="84">
      <formula>B161="No"</formula>
    </cfRule>
  </conditionalFormatting>
  <conditionalFormatting sqref="B178:H178">
    <cfRule type="expression" dxfId="641" priority="85">
      <formula>COUNTIF($B$6:$B$13,"No")=0</formula>
    </cfRule>
    <cfRule type="expression" dxfId="640" priority="86">
      <formula>COUNTIF($B$6:$B$13,"No")&gt;0</formula>
    </cfRule>
  </conditionalFormatting>
  <conditionalFormatting sqref="C105:D105">
    <cfRule type="dataBar" priority="37">
      <dataBar>
        <cfvo type="num" val="0"/>
        <cfvo type="num" val="1"/>
        <color rgb="FF5B9BD5"/>
      </dataBar>
    </cfRule>
  </conditionalFormatting>
  <conditionalFormatting sqref="C109:D116">
    <cfRule type="expression" dxfId="639" priority="31">
      <formula>C109="Yes"</formula>
    </cfRule>
    <cfRule type="expression" dxfId="638" priority="32">
      <formula>C109="No"</formula>
    </cfRule>
    <cfRule type="expression" dxfId="637" priority="33">
      <formula>C109="N/A"</formula>
    </cfRule>
  </conditionalFormatting>
  <conditionalFormatting sqref="C117:D117">
    <cfRule type="dataBar" priority="38">
      <dataBar>
        <cfvo type="num" val="0"/>
        <cfvo type="num" val="1"/>
        <color rgb="FF5B9BD5"/>
      </dataBar>
    </cfRule>
  </conditionalFormatting>
  <conditionalFormatting sqref="C126:D126">
    <cfRule type="dataBar" priority="39">
      <dataBar>
        <cfvo type="num" val="0"/>
        <cfvo type="num" val="1"/>
        <color rgb="FF5B9BD5"/>
      </dataBar>
    </cfRule>
  </conditionalFormatting>
  <conditionalFormatting sqref="C138:D143">
    <cfRule type="expression" dxfId="636" priority="16">
      <formula>C138="Yes"</formula>
    </cfRule>
    <cfRule type="expression" dxfId="635" priority="17">
      <formula>C138="No"</formula>
    </cfRule>
    <cfRule type="expression" dxfId="634" priority="18">
      <formula>C138="N/A"</formula>
    </cfRule>
  </conditionalFormatting>
  <conditionalFormatting sqref="C144:D144">
    <cfRule type="dataBar" priority="20">
      <dataBar>
        <cfvo type="num" val="0"/>
        <cfvo type="num" val="1"/>
        <color rgb="FF5B9BD5"/>
      </dataBar>
    </cfRule>
  </conditionalFormatting>
  <conditionalFormatting sqref="E5 G5 I5">
    <cfRule type="expression" dxfId="633" priority="87">
      <formula>E5="Pass"</formula>
    </cfRule>
    <cfRule type="expression" dxfId="632" priority="88">
      <formula>E5="Verify"</formula>
    </cfRule>
    <cfRule type="expression" dxfId="631" priority="89">
      <formula>E5="Fail"</formula>
    </cfRule>
    <cfRule type="expression" dxfId="630" priority="90">
      <formula>E5="Not Started"</formula>
    </cfRule>
  </conditionalFormatting>
  <conditionalFormatting sqref="F3">
    <cfRule type="expression" dxfId="629" priority="91">
      <formula>F3="Yes"</formula>
    </cfRule>
    <cfRule type="expression" dxfId="628" priority="92">
      <formula>F3="No"</formula>
    </cfRule>
  </conditionalFormatting>
  <conditionalFormatting sqref="F121:F125">
    <cfRule type="expression" dxfId="627" priority="34">
      <formula>F121="Pass"</formula>
    </cfRule>
    <cfRule type="expression" dxfId="626" priority="35">
      <formula>F121="Fail"</formula>
    </cfRule>
    <cfRule type="expression" dxfId="625" priority="36">
      <formula>F121="Pending"</formula>
    </cfRule>
  </conditionalFormatting>
  <conditionalFormatting sqref="F130:F133">
    <cfRule type="dataBar" priority="19">
      <dataBar>
        <cfvo type="num" val="0"/>
        <cfvo type="num" val="1"/>
        <color rgb="FF5B9BD5"/>
      </dataBar>
    </cfRule>
  </conditionalFormatting>
  <dataValidations count="6">
    <dataValidation type="list" sqref="B5:B6 D5 F5 H5 H10:H18 H146:I147 H92:I96 I16:I18 J5 H149:I154 D63:D70 H19:I90" xr:uid="{00000000-0002-0000-3400-000000000000}">
      <formula1>"Not Started,Verify,Pass,Fail,N/A,Open,Closed,Partial / Yellow"</formula1>
      <formula2>0</formula2>
    </dataValidation>
    <dataValidation type="list" sqref="B16" xr:uid="{00000000-0002-0000-3400-000001000000}">
      <formula1>"Not Started,Verify,Pass,Fail,N/A"</formula1>
      <formula2>0</formula2>
    </dataValidation>
    <dataValidation type="list" allowBlank="1" sqref="F121:F125" xr:uid="{A6D203E1-A051-4104-882C-E8F78ED7E43F}">
      <formula1>"Pending,Pass,Fail,N/A"</formula1>
    </dataValidation>
    <dataValidation type="list" allowBlank="1" sqref="C109:D116 C138:D143" xr:uid="{516A62DA-2FDA-43BA-B529-ABEEEC47DECA}">
      <formula1>"Yes,No,N/A"</formula1>
    </dataValidation>
    <dataValidation type="list" allowBlank="1" sqref="B130:B133 B121:B125" xr:uid="{A092EAD6-C64E-46C0-8488-DF174EFB7582}">
      <formula1>"Not Started,In Progress,Complete,At Risk,Blocked"</formula1>
    </dataValidation>
    <dataValidation type="list" sqref="B161:B168" xr:uid="{34876FB1-4C24-4C22-B908-A3BE80EA1D70}">
      <formula1>"No,Yes,N/A"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5390F9E9-F1D9-4D7E-9947-EC41755C21D6}">
          <x14:formula1>
            <xm:f>Lookup_Lists!$L$37:$L$39</xm:f>
          </x14:formula1>
          <xm:sqref>C121:E125 J2</xm:sqref>
        </x14:dataValidation>
        <x14:dataValidation type="list" allowBlank="1" showInputMessage="1" showErrorMessage="1" xr:uid="{50B70099-28AA-4319-B25A-A4AC46F2EF11}">
          <x14:formula1>
            <xm:f>Lookup_Lists!$A$36:$A$42</xm:f>
          </x14:formula1>
          <xm:sqref>B100:B104 B109:B116 B138:B143</xm:sqref>
        </x14:dataValidation>
      </x14:dataValidations>
    </ext>
  </extLst>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E8013-0074-4371-A4A1-45AEB9247392}">
  <dimension ref="A1:J231"/>
  <sheetViews>
    <sheetView workbookViewId="0">
      <selection activeCell="D4" sqref="D4"/>
    </sheetView>
  </sheetViews>
  <sheetFormatPr defaultColWidth="8.6640625" defaultRowHeight="14.4"/>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6640625" style="8" customWidth="1"/>
    <col min="13" max="16384" width="8.6640625" style="8"/>
  </cols>
  <sheetData>
    <row r="1" spans="1:10" ht="108">
      <c r="A1" s="116" t="s">
        <v>2755</v>
      </c>
      <c r="B1" s="116"/>
      <c r="C1" s="116"/>
      <c r="D1" s="116"/>
      <c r="E1" s="116"/>
      <c r="F1" s="116"/>
      <c r="G1" s="116"/>
      <c r="H1" s="116"/>
      <c r="I1" s="116"/>
      <c r="J1" s="116"/>
    </row>
    <row r="2" spans="1:10" s="227" customFormat="1">
      <c r="A2" s="223" t="s">
        <v>142</v>
      </c>
      <c r="B2" s="224" t="s">
        <v>2756</v>
      </c>
      <c r="C2" s="223" t="s">
        <v>902</v>
      </c>
      <c r="D2" s="224" t="s">
        <v>1094</v>
      </c>
      <c r="E2" s="223" t="s">
        <v>151</v>
      </c>
      <c r="F2" s="224" t="s">
        <v>1095</v>
      </c>
      <c r="G2" s="223" t="s">
        <v>174</v>
      </c>
      <c r="H2" s="225">
        <v>0.5</v>
      </c>
      <c r="I2" s="223" t="s">
        <v>154</v>
      </c>
      <c r="J2" s="226" t="s">
        <v>1096</v>
      </c>
    </row>
    <row r="3" spans="1:10" s="231" customFormat="1" ht="27.6">
      <c r="A3" s="223" t="s">
        <v>903</v>
      </c>
      <c r="B3" s="228">
        <v>46198.692357534717</v>
      </c>
      <c r="C3" s="229" t="s">
        <v>904</v>
      </c>
      <c r="D3" s="230" t="s">
        <v>721</v>
      </c>
      <c r="E3" s="223" t="s">
        <v>905</v>
      </c>
      <c r="F3" s="230" t="s">
        <v>2757</v>
      </c>
      <c r="G3" s="223" t="s">
        <v>907</v>
      </c>
      <c r="H3" s="230" t="s">
        <v>908</v>
      </c>
      <c r="I3" s="223" t="s">
        <v>551</v>
      </c>
      <c r="J3" s="230" t="s">
        <v>2758</v>
      </c>
    </row>
    <row r="4" spans="1:10" s="231" customFormat="1" ht="248.4">
      <c r="A4" s="223" t="s">
        <v>161</v>
      </c>
      <c r="B4" s="230">
        <v>0</v>
      </c>
      <c r="C4" s="223" t="s">
        <v>199</v>
      </c>
      <c r="D4" s="230">
        <v>0</v>
      </c>
      <c r="E4" s="223" t="s">
        <v>179</v>
      </c>
      <c r="F4" s="230">
        <v>0</v>
      </c>
      <c r="G4" s="223" t="s">
        <v>870</v>
      </c>
      <c r="H4" s="232" t="s">
        <v>2759</v>
      </c>
      <c r="I4" s="233"/>
      <c r="J4" s="233"/>
    </row>
    <row r="5" spans="1:10" s="231" customFormat="1">
      <c r="A5" s="234" t="s">
        <v>911</v>
      </c>
      <c r="B5" s="225" t="s">
        <v>2760</v>
      </c>
      <c r="C5" s="235" t="s">
        <v>912</v>
      </c>
      <c r="D5" s="225" t="s">
        <v>677</v>
      </c>
      <c r="E5" s="236" t="s">
        <v>913</v>
      </c>
      <c r="F5" s="225" t="s">
        <v>677</v>
      </c>
      <c r="G5" s="237" t="s">
        <v>914</v>
      </c>
      <c r="H5" s="225" t="s">
        <v>2761</v>
      </c>
      <c r="I5" s="237" t="s">
        <v>915</v>
      </c>
      <c r="J5" s="225" t="s">
        <v>947</v>
      </c>
    </row>
    <row r="6" spans="1:10" s="231" customFormat="1" ht="32.25" customHeight="1">
      <c r="A6" s="238" t="s">
        <v>916</v>
      </c>
      <c r="B6" s="225" t="s">
        <v>947</v>
      </c>
      <c r="C6" s="239" t="s">
        <v>869</v>
      </c>
      <c r="D6" s="854" t="s">
        <v>2762</v>
      </c>
      <c r="E6" s="853"/>
      <c r="F6" s="853"/>
      <c r="G6" s="853"/>
      <c r="H6" s="853"/>
      <c r="I6" s="853"/>
      <c r="J6" s="853"/>
    </row>
    <row r="7" spans="1:10">
      <c r="A7" s="13"/>
      <c r="B7" s="13"/>
      <c r="C7" s="13"/>
      <c r="D7" s="13"/>
      <c r="E7" s="13"/>
      <c r="F7" s="13"/>
      <c r="G7" s="13"/>
      <c r="H7" s="13"/>
      <c r="I7" s="13"/>
      <c r="J7" s="13"/>
    </row>
    <row r="8" spans="1:10">
      <c r="A8" s="842" t="s">
        <v>918</v>
      </c>
      <c r="B8" s="839"/>
      <c r="C8" s="839"/>
      <c r="D8" s="85"/>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96.6">
      <c r="A10" s="13" t="s">
        <v>2756</v>
      </c>
      <c r="B10" s="13" t="s">
        <v>421</v>
      </c>
      <c r="C10" s="13" t="s">
        <v>919</v>
      </c>
      <c r="D10" s="13" t="s">
        <v>2763</v>
      </c>
      <c r="E10" s="13" t="s">
        <v>2764</v>
      </c>
      <c r="F10" s="13">
        <v>1</v>
      </c>
      <c r="G10" s="13">
        <v>0</v>
      </c>
      <c r="H10" s="13" t="s">
        <v>677</v>
      </c>
      <c r="I10" s="13" t="s">
        <v>2765</v>
      </c>
      <c r="J10" s="13" t="s">
        <v>2766</v>
      </c>
    </row>
    <row r="11" spans="1:10" ht="110.4">
      <c r="A11" s="13" t="s">
        <v>2756</v>
      </c>
      <c r="B11" s="13" t="s">
        <v>2767</v>
      </c>
      <c r="C11" s="13" t="s">
        <v>919</v>
      </c>
      <c r="D11" s="13" t="s">
        <v>2768</v>
      </c>
      <c r="E11" s="13" t="s">
        <v>925</v>
      </c>
      <c r="F11" s="13">
        <v>2</v>
      </c>
      <c r="G11" s="13">
        <v>0</v>
      </c>
      <c r="H11" s="13" t="s">
        <v>677</v>
      </c>
      <c r="I11" s="13" t="s">
        <v>2769</v>
      </c>
      <c r="J11" s="13" t="s">
        <v>2770</v>
      </c>
    </row>
    <row r="12" spans="1:10">
      <c r="A12" s="13"/>
      <c r="B12" s="13"/>
      <c r="C12" s="13"/>
      <c r="D12" s="13"/>
      <c r="E12" s="13"/>
      <c r="F12" s="13"/>
      <c r="G12" s="13"/>
      <c r="H12" s="13"/>
      <c r="I12" s="13"/>
      <c r="J12" s="13"/>
    </row>
    <row r="13" spans="1:10">
      <c r="A13" s="842" t="s">
        <v>936</v>
      </c>
      <c r="B13" s="839"/>
      <c r="C13" s="839"/>
      <c r="D13" s="85"/>
      <c r="E13" s="85"/>
      <c r="F13" s="85"/>
      <c r="G13" s="85"/>
      <c r="H13" s="85"/>
      <c r="I13" s="85"/>
      <c r="J13" s="85"/>
    </row>
    <row r="14" spans="1:10">
      <c r="A14" s="50" t="s">
        <v>275</v>
      </c>
      <c r="B14" s="50" t="s">
        <v>937</v>
      </c>
      <c r="C14" s="50" t="s">
        <v>938</v>
      </c>
      <c r="D14" s="50" t="s">
        <v>939</v>
      </c>
      <c r="E14" s="50" t="s">
        <v>940</v>
      </c>
      <c r="F14" s="50" t="s">
        <v>941</v>
      </c>
      <c r="G14" s="50" t="s">
        <v>942</v>
      </c>
      <c r="H14" s="50" t="s">
        <v>943</v>
      </c>
      <c r="I14" s="50" t="s">
        <v>899</v>
      </c>
      <c r="J14" s="50" t="s">
        <v>944</v>
      </c>
    </row>
    <row r="15" spans="1:10" ht="82.8">
      <c r="A15" s="13" t="s">
        <v>421</v>
      </c>
      <c r="B15" s="13" t="s">
        <v>677</v>
      </c>
      <c r="C15" s="13" t="s">
        <v>677</v>
      </c>
      <c r="D15" s="13" t="s">
        <v>2771</v>
      </c>
      <c r="E15" s="13" t="s">
        <v>677</v>
      </c>
      <c r="F15" s="13" t="s">
        <v>947</v>
      </c>
      <c r="G15" s="13" t="s">
        <v>677</v>
      </c>
      <c r="H15" s="13" t="s">
        <v>677</v>
      </c>
      <c r="I15" s="13" t="s">
        <v>677</v>
      </c>
      <c r="J15" s="13" t="s">
        <v>2772</v>
      </c>
    </row>
    <row r="16" spans="1:10" ht="69">
      <c r="A16" s="13" t="s">
        <v>2767</v>
      </c>
      <c r="B16" s="13" t="s">
        <v>946</v>
      </c>
      <c r="C16" s="13" t="s">
        <v>946</v>
      </c>
      <c r="D16" s="13" t="s">
        <v>946</v>
      </c>
      <c r="E16" s="13" t="s">
        <v>677</v>
      </c>
      <c r="F16" s="13" t="s">
        <v>947</v>
      </c>
      <c r="G16" s="13" t="s">
        <v>677</v>
      </c>
      <c r="H16" s="13" t="s">
        <v>677</v>
      </c>
      <c r="I16" s="13" t="s">
        <v>677</v>
      </c>
      <c r="J16" s="13" t="s">
        <v>2773</v>
      </c>
    </row>
    <row r="17" spans="1:10">
      <c r="A17" s="13"/>
      <c r="B17" s="13"/>
      <c r="C17" s="13"/>
      <c r="D17" s="13"/>
      <c r="E17" s="13"/>
      <c r="F17" s="13"/>
      <c r="G17" s="13"/>
      <c r="H17" s="13"/>
      <c r="I17" s="13"/>
      <c r="J17" s="13"/>
    </row>
    <row r="18" spans="1:10">
      <c r="A18" s="842" t="s">
        <v>951</v>
      </c>
      <c r="B18" s="839"/>
      <c r="C18" s="839"/>
      <c r="D18" s="85"/>
      <c r="E18" s="85"/>
      <c r="F18" s="85"/>
      <c r="G18" s="85"/>
      <c r="H18" s="85"/>
      <c r="I18" s="85"/>
      <c r="J18" s="85"/>
    </row>
    <row r="19" spans="1:10">
      <c r="A19" s="50" t="s">
        <v>275</v>
      </c>
      <c r="B19" s="50" t="s">
        <v>952</v>
      </c>
      <c r="C19" s="50" t="s">
        <v>953</v>
      </c>
      <c r="D19" s="50" t="s">
        <v>954</v>
      </c>
      <c r="E19" s="50" t="s">
        <v>955</v>
      </c>
      <c r="F19" s="50" t="s">
        <v>956</v>
      </c>
      <c r="G19" s="50" t="s">
        <v>957</v>
      </c>
      <c r="H19" s="50" t="s">
        <v>958</v>
      </c>
      <c r="I19" s="50" t="s">
        <v>899</v>
      </c>
      <c r="J19" s="50" t="s">
        <v>959</v>
      </c>
    </row>
    <row r="20" spans="1:10" ht="82.8">
      <c r="A20" s="13" t="s">
        <v>421</v>
      </c>
      <c r="B20" s="13" t="s">
        <v>2774</v>
      </c>
      <c r="C20" s="13" t="s">
        <v>679</v>
      </c>
      <c r="D20" s="13" t="s">
        <v>947</v>
      </c>
      <c r="E20" s="13" t="s">
        <v>947</v>
      </c>
      <c r="F20" s="13" t="s">
        <v>1238</v>
      </c>
      <c r="G20" s="13" t="s">
        <v>677</v>
      </c>
      <c r="H20" s="13" t="s">
        <v>677</v>
      </c>
      <c r="I20" s="13" t="s">
        <v>677</v>
      </c>
      <c r="J20" s="13" t="s">
        <v>2775</v>
      </c>
    </row>
    <row r="21" spans="1:10" ht="41.4">
      <c r="A21" s="13" t="s">
        <v>2767</v>
      </c>
      <c r="B21" s="13" t="s">
        <v>946</v>
      </c>
      <c r="C21" s="13" t="s">
        <v>679</v>
      </c>
      <c r="D21" s="13" t="s">
        <v>947</v>
      </c>
      <c r="E21" s="13" t="s">
        <v>947</v>
      </c>
      <c r="F21" s="13" t="s">
        <v>1238</v>
      </c>
      <c r="G21" s="13" t="s">
        <v>677</v>
      </c>
      <c r="H21" s="13" t="s">
        <v>677</v>
      </c>
      <c r="I21" s="13" t="s">
        <v>677</v>
      </c>
      <c r="J21" s="13" t="s">
        <v>2776</v>
      </c>
    </row>
    <row r="22" spans="1:10">
      <c r="A22" s="13"/>
      <c r="B22" s="13"/>
      <c r="C22" s="13"/>
      <c r="D22" s="13"/>
      <c r="E22" s="13"/>
      <c r="F22" s="13"/>
      <c r="G22" s="13"/>
      <c r="H22" s="13"/>
      <c r="I22" s="13"/>
      <c r="J22" s="13"/>
    </row>
    <row r="23" spans="1:10">
      <c r="A23" s="842" t="s">
        <v>964</v>
      </c>
      <c r="B23" s="839"/>
      <c r="C23" s="839"/>
      <c r="D23" s="85"/>
      <c r="E23" s="85"/>
      <c r="F23" s="85"/>
      <c r="G23" s="85"/>
      <c r="H23" s="85"/>
      <c r="I23" s="85"/>
      <c r="J23" s="85"/>
    </row>
    <row r="24" spans="1:10">
      <c r="A24" s="50" t="s">
        <v>275</v>
      </c>
      <c r="B24" s="50" t="s">
        <v>965</v>
      </c>
      <c r="C24" s="50" t="s">
        <v>966</v>
      </c>
      <c r="D24" s="50" t="s">
        <v>967</v>
      </c>
      <c r="E24" s="50" t="s">
        <v>968</v>
      </c>
      <c r="F24" s="50" t="s">
        <v>969</v>
      </c>
      <c r="G24" s="50" t="s">
        <v>970</v>
      </c>
      <c r="H24" s="50" t="s">
        <v>971</v>
      </c>
      <c r="I24" s="50" t="s">
        <v>899</v>
      </c>
      <c r="J24" s="50" t="s">
        <v>959</v>
      </c>
    </row>
    <row r="25" spans="1:10" ht="69">
      <c r="A25" s="13" t="s">
        <v>421</v>
      </c>
      <c r="B25" s="13" t="s">
        <v>2777</v>
      </c>
      <c r="C25" s="13" t="s">
        <v>679</v>
      </c>
      <c r="D25" s="13" t="s">
        <v>679</v>
      </c>
      <c r="E25" s="13" t="s">
        <v>679</v>
      </c>
      <c r="F25" s="13" t="s">
        <v>679</v>
      </c>
      <c r="G25" s="13" t="s">
        <v>679</v>
      </c>
      <c r="H25" s="13" t="s">
        <v>679</v>
      </c>
      <c r="I25" s="13" t="s">
        <v>679</v>
      </c>
      <c r="J25" s="13" t="s">
        <v>2778</v>
      </c>
    </row>
    <row r="26" spans="1:10" ht="69">
      <c r="A26" s="13" t="s">
        <v>2767</v>
      </c>
      <c r="B26" s="13" t="s">
        <v>2217</v>
      </c>
      <c r="C26" s="13" t="s">
        <v>677</v>
      </c>
      <c r="D26" s="13" t="s">
        <v>677</v>
      </c>
      <c r="E26" s="13" t="s">
        <v>677</v>
      </c>
      <c r="F26" s="13" t="s">
        <v>677</v>
      </c>
      <c r="G26" s="13" t="s">
        <v>677</v>
      </c>
      <c r="H26" s="13" t="s">
        <v>677</v>
      </c>
      <c r="I26" s="13" t="s">
        <v>677</v>
      </c>
      <c r="J26" s="13" t="s">
        <v>2779</v>
      </c>
    </row>
    <row r="27" spans="1:10">
      <c r="A27" s="13"/>
      <c r="B27" s="13"/>
      <c r="C27" s="13"/>
      <c r="D27" s="13"/>
      <c r="E27" s="13"/>
      <c r="F27" s="13"/>
      <c r="G27" s="13"/>
      <c r="H27" s="13"/>
      <c r="I27" s="13"/>
      <c r="J27" s="13"/>
    </row>
    <row r="28" spans="1:10">
      <c r="A28" s="842" t="s">
        <v>977</v>
      </c>
      <c r="B28" s="839"/>
      <c r="C28" s="839"/>
      <c r="D28" s="85"/>
      <c r="E28" s="85"/>
      <c r="F28" s="85"/>
      <c r="G28" s="85"/>
      <c r="H28" s="85"/>
      <c r="I28" s="85"/>
      <c r="J28" s="85"/>
    </row>
    <row r="29" spans="1:10">
      <c r="A29" s="50" t="s">
        <v>275</v>
      </c>
      <c r="B29" s="50" t="s">
        <v>978</v>
      </c>
      <c r="C29" s="50" t="s">
        <v>979</v>
      </c>
      <c r="D29" s="50" t="s">
        <v>980</v>
      </c>
      <c r="E29" s="50" t="s">
        <v>981</v>
      </c>
      <c r="F29" s="50" t="s">
        <v>982</v>
      </c>
      <c r="G29" s="50" t="s">
        <v>983</v>
      </c>
      <c r="H29" s="50" t="s">
        <v>984</v>
      </c>
      <c r="I29" s="50" t="s">
        <v>899</v>
      </c>
      <c r="J29" s="50" t="s">
        <v>11</v>
      </c>
    </row>
    <row r="30" spans="1:10" ht="96.6">
      <c r="A30" s="13" t="s">
        <v>421</v>
      </c>
      <c r="B30" s="13" t="s">
        <v>677</v>
      </c>
      <c r="C30" s="13" t="s">
        <v>2780</v>
      </c>
      <c r="D30" s="13" t="s">
        <v>677</v>
      </c>
      <c r="E30" s="13" t="s">
        <v>677</v>
      </c>
      <c r="F30" s="13" t="s">
        <v>2781</v>
      </c>
      <c r="G30" s="13" t="s">
        <v>677</v>
      </c>
      <c r="H30" s="13" t="s">
        <v>677</v>
      </c>
      <c r="I30" s="13" t="s">
        <v>677</v>
      </c>
      <c r="J30" s="13" t="s">
        <v>2782</v>
      </c>
    </row>
    <row r="31" spans="1:10" ht="69">
      <c r="A31" s="13" t="s">
        <v>2767</v>
      </c>
      <c r="B31" s="13" t="s">
        <v>988</v>
      </c>
      <c r="C31" s="13" t="s">
        <v>1485</v>
      </c>
      <c r="D31" s="13" t="s">
        <v>988</v>
      </c>
      <c r="E31" s="13" t="s">
        <v>677</v>
      </c>
      <c r="F31" s="13" t="s">
        <v>946</v>
      </c>
      <c r="G31" s="13" t="s">
        <v>677</v>
      </c>
      <c r="H31" s="13" t="s">
        <v>677</v>
      </c>
      <c r="I31" s="13" t="s">
        <v>677</v>
      </c>
      <c r="J31" s="13" t="s">
        <v>2783</v>
      </c>
    </row>
    <row r="32" spans="1:10">
      <c r="A32" s="13"/>
      <c r="B32" s="13"/>
      <c r="C32" s="13"/>
      <c r="D32" s="13"/>
      <c r="E32" s="13"/>
      <c r="F32" s="13"/>
      <c r="G32" s="13"/>
      <c r="H32" s="13"/>
      <c r="I32" s="13"/>
      <c r="J32" s="13"/>
    </row>
    <row r="33" spans="1:10">
      <c r="A33" s="842" t="s">
        <v>994</v>
      </c>
      <c r="B33" s="839"/>
      <c r="C33" s="839"/>
      <c r="D33" s="85"/>
      <c r="E33" s="85"/>
      <c r="F33" s="85"/>
      <c r="G33" s="85"/>
      <c r="H33" s="85"/>
      <c r="I33" s="85"/>
      <c r="J33" s="85"/>
    </row>
    <row r="34" spans="1:10">
      <c r="A34" s="50" t="s">
        <v>275</v>
      </c>
      <c r="B34" s="50" t="s">
        <v>995</v>
      </c>
      <c r="C34" s="50" t="s">
        <v>996</v>
      </c>
      <c r="D34" s="50" t="s">
        <v>997</v>
      </c>
      <c r="E34" s="50" t="s">
        <v>998</v>
      </c>
      <c r="F34" s="50" t="s">
        <v>999</v>
      </c>
      <c r="G34" s="50" t="s">
        <v>1000</v>
      </c>
      <c r="H34" s="50" t="s">
        <v>1001</v>
      </c>
      <c r="I34" s="50" t="s">
        <v>899</v>
      </c>
      <c r="J34" s="50" t="s">
        <v>11</v>
      </c>
    </row>
    <row r="35" spans="1:10" ht="96.6">
      <c r="A35" s="13" t="s">
        <v>421</v>
      </c>
      <c r="B35" s="13" t="s">
        <v>677</v>
      </c>
      <c r="C35" s="13" t="s">
        <v>677</v>
      </c>
      <c r="D35" s="13" t="s">
        <v>677</v>
      </c>
      <c r="E35" s="13" t="s">
        <v>677</v>
      </c>
      <c r="F35" s="13" t="s">
        <v>677</v>
      </c>
      <c r="G35" s="13" t="s">
        <v>677</v>
      </c>
      <c r="H35" s="13" t="s">
        <v>677</v>
      </c>
      <c r="I35" s="13" t="s">
        <v>677</v>
      </c>
      <c r="J35" s="13" t="s">
        <v>2784</v>
      </c>
    </row>
    <row r="36" spans="1:10" ht="82.8">
      <c r="A36" s="13" t="s">
        <v>2767</v>
      </c>
      <c r="B36" s="13" t="s">
        <v>988</v>
      </c>
      <c r="C36" s="13" t="s">
        <v>988</v>
      </c>
      <c r="D36" s="13" t="s">
        <v>988</v>
      </c>
      <c r="E36" s="13" t="s">
        <v>677</v>
      </c>
      <c r="F36" s="13" t="s">
        <v>677</v>
      </c>
      <c r="G36" s="13" t="s">
        <v>677</v>
      </c>
      <c r="H36" s="13" t="s">
        <v>677</v>
      </c>
      <c r="I36" s="13" t="s">
        <v>677</v>
      </c>
      <c r="J36" s="13" t="s">
        <v>2785</v>
      </c>
    </row>
    <row r="37" spans="1:10">
      <c r="A37" s="13"/>
      <c r="B37" s="13"/>
      <c r="C37" s="13"/>
      <c r="D37" s="13"/>
      <c r="E37" s="13"/>
      <c r="F37" s="13"/>
      <c r="G37" s="13"/>
      <c r="H37" s="13"/>
      <c r="I37" s="13"/>
      <c r="J37" s="13"/>
    </row>
    <row r="38" spans="1:10">
      <c r="A38" s="842" t="s">
        <v>1007</v>
      </c>
      <c r="B38" s="839"/>
      <c r="C38" s="839"/>
      <c r="D38" s="85"/>
      <c r="E38" s="85"/>
      <c r="F38" s="85"/>
      <c r="G38" s="85"/>
      <c r="H38" s="85"/>
      <c r="I38" s="85"/>
      <c r="J38" s="85"/>
    </row>
    <row r="39" spans="1:10">
      <c r="A39" s="50" t="s">
        <v>275</v>
      </c>
      <c r="B39" s="50" t="s">
        <v>1008</v>
      </c>
      <c r="C39" s="50" t="s">
        <v>1009</v>
      </c>
      <c r="D39" s="50" t="s">
        <v>1010</v>
      </c>
      <c r="E39" s="50" t="s">
        <v>1011</v>
      </c>
      <c r="F39" s="50" t="s">
        <v>1012</v>
      </c>
      <c r="G39" s="50" t="s">
        <v>1013</v>
      </c>
      <c r="H39" s="50" t="s">
        <v>1014</v>
      </c>
      <c r="I39" s="50" t="s">
        <v>899</v>
      </c>
      <c r="J39" s="50" t="s">
        <v>11</v>
      </c>
    </row>
    <row r="40" spans="1:10" ht="69">
      <c r="A40" s="13" t="s">
        <v>421</v>
      </c>
      <c r="B40" s="13" t="s">
        <v>1238</v>
      </c>
      <c r="C40" s="13" t="s">
        <v>1238</v>
      </c>
      <c r="D40" s="13" t="s">
        <v>1238</v>
      </c>
      <c r="E40" s="13" t="s">
        <v>1238</v>
      </c>
      <c r="F40" s="13" t="s">
        <v>947</v>
      </c>
      <c r="G40" s="13" t="s">
        <v>947</v>
      </c>
      <c r="H40" s="13" t="s">
        <v>677</v>
      </c>
      <c r="I40" s="13" t="s">
        <v>677</v>
      </c>
      <c r="J40" s="13" t="s">
        <v>2786</v>
      </c>
    </row>
    <row r="41" spans="1:10" ht="55.2">
      <c r="A41" s="13" t="s">
        <v>2767</v>
      </c>
      <c r="B41" s="13" t="s">
        <v>1238</v>
      </c>
      <c r="C41" s="13" t="s">
        <v>1238</v>
      </c>
      <c r="D41" s="13" t="s">
        <v>1238</v>
      </c>
      <c r="E41" s="13" t="s">
        <v>1238</v>
      </c>
      <c r="F41" s="13" t="s">
        <v>947</v>
      </c>
      <c r="G41" s="13" t="s">
        <v>947</v>
      </c>
      <c r="H41" s="13" t="s">
        <v>677</v>
      </c>
      <c r="I41" s="13" t="s">
        <v>677</v>
      </c>
      <c r="J41" s="13" t="s">
        <v>2787</v>
      </c>
    </row>
    <row r="42" spans="1:10">
      <c r="A42" s="13"/>
      <c r="B42" s="13"/>
      <c r="C42" s="13"/>
      <c r="D42" s="13"/>
      <c r="E42" s="13"/>
      <c r="F42" s="13"/>
      <c r="G42" s="13"/>
      <c r="H42" s="13"/>
      <c r="I42" s="13"/>
      <c r="J42" s="13"/>
    </row>
    <row r="43" spans="1:10">
      <c r="A43" s="842" t="s">
        <v>1019</v>
      </c>
      <c r="B43" s="839"/>
      <c r="C43" s="839"/>
      <c r="D43" s="85"/>
      <c r="E43" s="85"/>
      <c r="F43" s="85"/>
      <c r="G43" s="85"/>
      <c r="H43" s="85"/>
      <c r="I43" s="85"/>
      <c r="J43" s="85"/>
    </row>
    <row r="44" spans="1:10">
      <c r="A44" s="50" t="s">
        <v>213</v>
      </c>
      <c r="B44" s="50" t="s">
        <v>275</v>
      </c>
      <c r="C44" s="50" t="s">
        <v>573</v>
      </c>
      <c r="D44" s="50" t="s">
        <v>215</v>
      </c>
      <c r="E44" s="50" t="s">
        <v>257</v>
      </c>
      <c r="F44" s="50" t="s">
        <v>572</v>
      </c>
      <c r="G44" s="50" t="s">
        <v>259</v>
      </c>
      <c r="H44" s="50" t="s">
        <v>216</v>
      </c>
      <c r="I44" s="50" t="s">
        <v>77</v>
      </c>
      <c r="J44" s="50" t="s">
        <v>11</v>
      </c>
    </row>
    <row r="45" spans="1:10" ht="55.2">
      <c r="A45" s="13" t="s">
        <v>2788</v>
      </c>
      <c r="B45" s="13" t="s">
        <v>575</v>
      </c>
      <c r="C45" s="13" t="s">
        <v>2789</v>
      </c>
      <c r="D45" s="13" t="s">
        <v>391</v>
      </c>
      <c r="E45" s="13" t="s">
        <v>488</v>
      </c>
      <c r="F45" s="13">
        <v>6</v>
      </c>
      <c r="G45" s="13" t="s">
        <v>1381</v>
      </c>
      <c r="H45" s="13" t="s">
        <v>1023</v>
      </c>
      <c r="I45" s="13" t="s">
        <v>502</v>
      </c>
      <c r="J45" s="13" t="s">
        <v>2790</v>
      </c>
    </row>
    <row r="46" spans="1:10" ht="82.8">
      <c r="A46" s="13" t="s">
        <v>2791</v>
      </c>
      <c r="B46" s="13" t="s">
        <v>2792</v>
      </c>
      <c r="C46" s="13" t="s">
        <v>2793</v>
      </c>
      <c r="D46" s="13" t="s">
        <v>492</v>
      </c>
      <c r="E46" s="13" t="s">
        <v>488</v>
      </c>
      <c r="F46" s="13">
        <v>8</v>
      </c>
      <c r="G46" s="13" t="s">
        <v>1025</v>
      </c>
      <c r="H46" s="13" t="s">
        <v>584</v>
      </c>
      <c r="I46" s="13" t="s">
        <v>502</v>
      </c>
      <c r="J46" s="13" t="s">
        <v>2794</v>
      </c>
    </row>
    <row r="47" spans="1:10" ht="55.2">
      <c r="A47" s="13" t="s">
        <v>2795</v>
      </c>
      <c r="B47" s="13" t="s">
        <v>421</v>
      </c>
      <c r="C47" s="13" t="s">
        <v>2796</v>
      </c>
      <c r="D47" s="13" t="s">
        <v>488</v>
      </c>
      <c r="E47" s="13" t="s">
        <v>488</v>
      </c>
      <c r="F47" s="13">
        <v>4</v>
      </c>
      <c r="G47" s="13" t="s">
        <v>2797</v>
      </c>
      <c r="H47" s="13" t="s">
        <v>2798</v>
      </c>
      <c r="I47" s="13" t="s">
        <v>502</v>
      </c>
      <c r="J47" s="13" t="s">
        <v>2799</v>
      </c>
    </row>
    <row r="48" spans="1:10" ht="69">
      <c r="A48" s="13" t="s">
        <v>2800</v>
      </c>
      <c r="B48" s="13" t="s">
        <v>421</v>
      </c>
      <c r="C48" s="13" t="s">
        <v>2801</v>
      </c>
      <c r="D48" s="13" t="s">
        <v>391</v>
      </c>
      <c r="E48" s="13" t="s">
        <v>488</v>
      </c>
      <c r="F48" s="13">
        <v>6</v>
      </c>
      <c r="G48" s="13" t="s">
        <v>2802</v>
      </c>
      <c r="H48" s="13" t="s">
        <v>2803</v>
      </c>
      <c r="I48" s="13" t="s">
        <v>502</v>
      </c>
      <c r="J48" s="13" t="s">
        <v>2804</v>
      </c>
    </row>
    <row r="49" spans="1:10" ht="69">
      <c r="A49" s="13" t="s">
        <v>2805</v>
      </c>
      <c r="B49" s="13" t="s">
        <v>421</v>
      </c>
      <c r="C49" s="13" t="s">
        <v>2806</v>
      </c>
      <c r="D49" s="13" t="s">
        <v>391</v>
      </c>
      <c r="E49" s="13" t="s">
        <v>488</v>
      </c>
      <c r="F49" s="13">
        <v>6</v>
      </c>
      <c r="G49" s="13" t="s">
        <v>2807</v>
      </c>
      <c r="H49" s="13" t="s">
        <v>2808</v>
      </c>
      <c r="I49" s="13" t="s">
        <v>502</v>
      </c>
      <c r="J49" s="13" t="s">
        <v>2809</v>
      </c>
    </row>
    <row r="50" spans="1:10" ht="82.8">
      <c r="A50" s="13" t="s">
        <v>2810</v>
      </c>
      <c r="B50" s="13" t="s">
        <v>575</v>
      </c>
      <c r="C50" s="13" t="s">
        <v>2811</v>
      </c>
      <c r="D50" s="13" t="s">
        <v>391</v>
      </c>
      <c r="E50" s="13" t="s">
        <v>488</v>
      </c>
      <c r="F50" s="13">
        <v>6</v>
      </c>
      <c r="G50" s="13" t="s">
        <v>2812</v>
      </c>
      <c r="H50" s="13" t="s">
        <v>1037</v>
      </c>
      <c r="I50" s="13" t="s">
        <v>502</v>
      </c>
      <c r="J50" s="13" t="s">
        <v>2813</v>
      </c>
    </row>
    <row r="51" spans="1:10" ht="82.8">
      <c r="A51" s="13" t="s">
        <v>2814</v>
      </c>
      <c r="B51" s="13" t="s">
        <v>575</v>
      </c>
      <c r="C51" s="13" t="s">
        <v>2815</v>
      </c>
      <c r="D51" s="13" t="s">
        <v>391</v>
      </c>
      <c r="E51" s="13" t="s">
        <v>488</v>
      </c>
      <c r="F51" s="13">
        <v>6</v>
      </c>
      <c r="G51" s="13" t="s">
        <v>2816</v>
      </c>
      <c r="H51" s="13" t="s">
        <v>622</v>
      </c>
      <c r="I51" s="13" t="s">
        <v>502</v>
      </c>
      <c r="J51" s="13" t="s">
        <v>2817</v>
      </c>
    </row>
    <row r="52" spans="1:10" ht="96.6">
      <c r="A52" s="13" t="s">
        <v>2818</v>
      </c>
      <c r="B52" s="13" t="s">
        <v>575</v>
      </c>
      <c r="C52" s="13" t="s">
        <v>2819</v>
      </c>
      <c r="D52" s="13" t="s">
        <v>391</v>
      </c>
      <c r="E52" s="13" t="s">
        <v>488</v>
      </c>
      <c r="F52" s="13">
        <v>6</v>
      </c>
      <c r="G52" s="13" t="s">
        <v>2820</v>
      </c>
      <c r="H52" s="13" t="s">
        <v>1049</v>
      </c>
      <c r="I52" s="13" t="s">
        <v>502</v>
      </c>
      <c r="J52" s="13" t="s">
        <v>2821</v>
      </c>
    </row>
    <row r="53" spans="1:10">
      <c r="A53" s="13"/>
      <c r="B53" s="13"/>
      <c r="C53" s="13"/>
      <c r="D53" s="13"/>
      <c r="E53" s="13"/>
      <c r="F53" s="13"/>
      <c r="G53" s="13"/>
      <c r="H53" s="13"/>
      <c r="I53" s="13"/>
      <c r="J53" s="13"/>
    </row>
    <row r="54" spans="1:10">
      <c r="A54" s="842" t="s">
        <v>1051</v>
      </c>
      <c r="B54" s="839"/>
      <c r="C54" s="839"/>
      <c r="D54" s="85"/>
      <c r="E54" s="85"/>
      <c r="F54" s="85"/>
      <c r="G54" s="85"/>
      <c r="H54" s="85"/>
      <c r="I54" s="85"/>
      <c r="J54" s="85"/>
    </row>
    <row r="55" spans="1:10">
      <c r="A55" s="50" t="s">
        <v>221</v>
      </c>
      <c r="B55" s="50" t="s">
        <v>222</v>
      </c>
      <c r="C55" s="50" t="s">
        <v>265</v>
      </c>
      <c r="D55" s="50" t="s">
        <v>77</v>
      </c>
      <c r="E55" s="50" t="s">
        <v>878</v>
      </c>
      <c r="F55" s="50" t="s">
        <v>879</v>
      </c>
      <c r="G55" s="50" t="s">
        <v>880</v>
      </c>
      <c r="H55" s="50" t="s">
        <v>494</v>
      </c>
      <c r="I55" s="50" t="s">
        <v>881</v>
      </c>
      <c r="J55" s="50" t="s">
        <v>11</v>
      </c>
    </row>
    <row r="56" spans="1:10" ht="82.8">
      <c r="A56" s="13" t="s">
        <v>2822</v>
      </c>
      <c r="B56" s="13" t="s">
        <v>2823</v>
      </c>
      <c r="C56" s="13" t="s">
        <v>579</v>
      </c>
      <c r="D56" s="13" t="s">
        <v>502</v>
      </c>
      <c r="E56" s="13"/>
      <c r="F56" s="13"/>
      <c r="G56" s="13" t="s">
        <v>2619</v>
      </c>
      <c r="H56" s="13"/>
      <c r="I56" s="13"/>
      <c r="J56" s="13"/>
    </row>
    <row r="57" spans="1:10" ht="69">
      <c r="A57" s="13" t="s">
        <v>2824</v>
      </c>
      <c r="B57" s="13" t="s">
        <v>2825</v>
      </c>
      <c r="C57" s="13" t="s">
        <v>587</v>
      </c>
      <c r="D57" s="13" t="s">
        <v>502</v>
      </c>
      <c r="E57" s="13"/>
      <c r="F57" s="13"/>
      <c r="G57" s="13" t="s">
        <v>588</v>
      </c>
      <c r="H57" s="13"/>
      <c r="I57" s="13"/>
      <c r="J57" s="13"/>
    </row>
    <row r="58" spans="1:10" ht="96.6">
      <c r="A58" s="13" t="s">
        <v>2826</v>
      </c>
      <c r="B58" s="13" t="s">
        <v>2827</v>
      </c>
      <c r="C58" s="13" t="s">
        <v>616</v>
      </c>
      <c r="D58" s="13" t="s">
        <v>502</v>
      </c>
      <c r="E58" s="13"/>
      <c r="F58" s="13"/>
      <c r="G58" s="13" t="s">
        <v>617</v>
      </c>
      <c r="H58" s="13"/>
      <c r="I58" s="13"/>
      <c r="J58" s="13"/>
    </row>
    <row r="59" spans="1:10" ht="96.6">
      <c r="A59" s="13" t="s">
        <v>2828</v>
      </c>
      <c r="B59" s="13" t="s">
        <v>2829</v>
      </c>
      <c r="C59" s="13" t="s">
        <v>2830</v>
      </c>
      <c r="D59" s="13" t="s">
        <v>502</v>
      </c>
      <c r="E59" s="13"/>
      <c r="F59" s="13"/>
      <c r="G59" s="13" t="s">
        <v>2831</v>
      </c>
      <c r="H59" s="13"/>
      <c r="I59" s="13"/>
      <c r="J59" s="13"/>
    </row>
    <row r="60" spans="1:10" ht="82.8">
      <c r="A60" s="13" t="s">
        <v>2832</v>
      </c>
      <c r="B60" s="13" t="s">
        <v>2833</v>
      </c>
      <c r="C60" s="13" t="s">
        <v>2834</v>
      </c>
      <c r="D60" s="13" t="s">
        <v>502</v>
      </c>
      <c r="E60" s="13"/>
      <c r="F60" s="13"/>
      <c r="G60" s="13" t="s">
        <v>2835</v>
      </c>
      <c r="H60" s="13"/>
      <c r="I60" s="13"/>
      <c r="J60" s="13"/>
    </row>
    <row r="61" spans="1:10" ht="69">
      <c r="A61" s="13" t="s">
        <v>2836</v>
      </c>
      <c r="B61" s="13" t="s">
        <v>2837</v>
      </c>
      <c r="C61" s="13" t="s">
        <v>2838</v>
      </c>
      <c r="D61" s="13" t="s">
        <v>502</v>
      </c>
      <c r="E61" s="13"/>
      <c r="F61" s="13"/>
      <c r="G61" s="13" t="s">
        <v>2839</v>
      </c>
      <c r="H61" s="13"/>
      <c r="I61" s="13"/>
      <c r="J61" s="13"/>
    </row>
    <row r="62" spans="1:10" ht="82.8">
      <c r="A62" s="13" t="s">
        <v>2840</v>
      </c>
      <c r="B62" s="13" t="s">
        <v>2841</v>
      </c>
      <c r="C62" s="13" t="s">
        <v>584</v>
      </c>
      <c r="D62" s="13" t="s">
        <v>502</v>
      </c>
      <c r="E62" s="13"/>
      <c r="F62" s="13"/>
      <c r="G62" s="13" t="s">
        <v>2842</v>
      </c>
      <c r="H62" s="13"/>
      <c r="I62" s="13"/>
      <c r="J62" s="13"/>
    </row>
    <row r="63" spans="1:10" ht="69">
      <c r="A63" s="13" t="s">
        <v>2843</v>
      </c>
      <c r="B63" s="13" t="s">
        <v>2844</v>
      </c>
      <c r="C63" s="13" t="s">
        <v>630</v>
      </c>
      <c r="D63" s="13" t="s">
        <v>502</v>
      </c>
      <c r="E63" s="13"/>
      <c r="F63" s="13"/>
      <c r="G63" s="13" t="s">
        <v>631</v>
      </c>
      <c r="H63" s="13"/>
      <c r="I63" s="13"/>
      <c r="J63" s="13"/>
    </row>
    <row r="64" spans="1:10">
      <c r="A64" s="13"/>
      <c r="B64" s="13"/>
      <c r="C64" s="13"/>
      <c r="D64" s="13"/>
      <c r="E64" s="13"/>
      <c r="F64" s="13"/>
      <c r="G64" s="13"/>
      <c r="H64" s="13"/>
      <c r="I64" s="13"/>
      <c r="J64" s="13"/>
    </row>
    <row r="65" spans="1:10">
      <c r="A65" s="842" t="s">
        <v>1052</v>
      </c>
      <c r="B65" s="839"/>
      <c r="C65" s="839"/>
      <c r="D65" s="85"/>
      <c r="E65" s="85"/>
      <c r="F65" s="85"/>
      <c r="G65" s="85"/>
      <c r="H65" s="85"/>
      <c r="I65" s="85"/>
      <c r="J65" s="85"/>
    </row>
    <row r="66" spans="1:10">
      <c r="A66" s="50" t="s">
        <v>291</v>
      </c>
      <c r="B66" s="50" t="s">
        <v>275</v>
      </c>
      <c r="C66" s="50" t="s">
        <v>493</v>
      </c>
      <c r="D66" s="50" t="s">
        <v>214</v>
      </c>
      <c r="E66" s="50" t="s">
        <v>263</v>
      </c>
      <c r="F66" s="50" t="s">
        <v>891</v>
      </c>
      <c r="G66" s="50" t="s">
        <v>892</v>
      </c>
      <c r="H66" s="50" t="s">
        <v>893</v>
      </c>
      <c r="I66" s="50" t="s">
        <v>77</v>
      </c>
      <c r="J66" s="50" t="s">
        <v>11</v>
      </c>
    </row>
    <row r="67" spans="1:10" ht="110.4">
      <c r="A67" s="13" t="s">
        <v>2845</v>
      </c>
      <c r="B67" s="13" t="s">
        <v>421</v>
      </c>
      <c r="C67" s="13" t="s">
        <v>269</v>
      </c>
      <c r="D67" s="13" t="s">
        <v>2846</v>
      </c>
      <c r="E67" s="13"/>
      <c r="F67" s="13" t="s">
        <v>229</v>
      </c>
      <c r="G67" s="13"/>
      <c r="H67" s="13" t="s">
        <v>2847</v>
      </c>
      <c r="I67" s="13" t="s">
        <v>502</v>
      </c>
      <c r="J67" s="13"/>
    </row>
    <row r="68" spans="1:10" ht="110.4">
      <c r="A68" s="13" t="s">
        <v>2848</v>
      </c>
      <c r="B68" s="13" t="s">
        <v>2767</v>
      </c>
      <c r="C68" s="13" t="s">
        <v>269</v>
      </c>
      <c r="D68" s="13" t="s">
        <v>2849</v>
      </c>
      <c r="E68" s="13"/>
      <c r="F68" s="13" t="s">
        <v>229</v>
      </c>
      <c r="G68" s="13"/>
      <c r="H68" s="13" t="s">
        <v>2850</v>
      </c>
      <c r="I68" s="13" t="s">
        <v>502</v>
      </c>
      <c r="J68" s="13"/>
    </row>
    <row r="69" spans="1:10" ht="82.8">
      <c r="A69" s="13" t="s">
        <v>2851</v>
      </c>
      <c r="B69" s="13" t="s">
        <v>2767</v>
      </c>
      <c r="C69" s="13" t="s">
        <v>1058</v>
      </c>
      <c r="D69" s="13" t="s">
        <v>2852</v>
      </c>
      <c r="E69" s="13"/>
      <c r="F69" s="13" t="s">
        <v>229</v>
      </c>
      <c r="G69" s="13"/>
      <c r="H69" s="13" t="s">
        <v>2853</v>
      </c>
      <c r="I69" s="13" t="s">
        <v>502</v>
      </c>
      <c r="J69" s="13"/>
    </row>
    <row r="70" spans="1:10" ht="82.8">
      <c r="A70" s="13" t="s">
        <v>2854</v>
      </c>
      <c r="B70" s="13" t="s">
        <v>2792</v>
      </c>
      <c r="C70" s="13" t="s">
        <v>2640</v>
      </c>
      <c r="D70" s="13" t="s">
        <v>2855</v>
      </c>
      <c r="E70" s="13"/>
      <c r="F70" s="13" t="s">
        <v>229</v>
      </c>
      <c r="G70" s="13"/>
      <c r="H70" s="13" t="s">
        <v>2856</v>
      </c>
      <c r="I70" s="13" t="s">
        <v>502</v>
      </c>
      <c r="J70" s="13"/>
    </row>
    <row r="71" spans="1:10" ht="96.6">
      <c r="A71" s="13" t="s">
        <v>2857</v>
      </c>
      <c r="B71" s="13" t="s">
        <v>421</v>
      </c>
      <c r="C71" s="13" t="s">
        <v>153</v>
      </c>
      <c r="D71" s="13" t="s">
        <v>2858</v>
      </c>
      <c r="E71" s="13"/>
      <c r="F71" s="13" t="s">
        <v>229</v>
      </c>
      <c r="G71" s="13"/>
      <c r="H71" s="13" t="s">
        <v>2805</v>
      </c>
      <c r="I71" s="13" t="s">
        <v>502</v>
      </c>
      <c r="J71" s="13"/>
    </row>
    <row r="72" spans="1:10" ht="96.6">
      <c r="A72" s="13" t="s">
        <v>2859</v>
      </c>
      <c r="B72" s="13" t="s">
        <v>2792</v>
      </c>
      <c r="C72" s="13" t="s">
        <v>155</v>
      </c>
      <c r="D72" s="13" t="s">
        <v>2860</v>
      </c>
      <c r="E72" s="13"/>
      <c r="F72" s="13" t="s">
        <v>229</v>
      </c>
      <c r="G72" s="13"/>
      <c r="H72" s="13" t="s">
        <v>2861</v>
      </c>
      <c r="I72" s="13" t="s">
        <v>502</v>
      </c>
      <c r="J72" s="13"/>
    </row>
    <row r="73" spans="1:10" ht="55.2">
      <c r="A73" s="13" t="s">
        <v>2862</v>
      </c>
      <c r="B73" s="13" t="s">
        <v>575</v>
      </c>
      <c r="C73" s="13" t="s">
        <v>957</v>
      </c>
      <c r="D73" s="13" t="s">
        <v>2863</v>
      </c>
      <c r="E73" s="13"/>
      <c r="F73" s="13" t="s">
        <v>229</v>
      </c>
      <c r="G73" s="13"/>
      <c r="H73" s="13" t="s">
        <v>2814</v>
      </c>
      <c r="I73" s="13" t="s">
        <v>502</v>
      </c>
      <c r="J73" s="13"/>
    </row>
    <row r="74" spans="1:10" ht="82.8">
      <c r="A74" s="13" t="s">
        <v>2864</v>
      </c>
      <c r="B74" s="13" t="s">
        <v>575</v>
      </c>
      <c r="C74" s="13" t="s">
        <v>2865</v>
      </c>
      <c r="D74" s="13" t="s">
        <v>2866</v>
      </c>
      <c r="E74" s="13"/>
      <c r="F74" s="13" t="s">
        <v>229</v>
      </c>
      <c r="G74" s="13"/>
      <c r="H74" s="13" t="s">
        <v>2818</v>
      </c>
      <c r="I74" s="13" t="s">
        <v>502</v>
      </c>
      <c r="J74" s="13"/>
    </row>
    <row r="75" spans="1:10">
      <c r="A75" s="13"/>
      <c r="B75" s="13"/>
      <c r="C75" s="13"/>
      <c r="D75" s="13"/>
      <c r="E75" s="13"/>
      <c r="F75" s="13"/>
      <c r="G75" s="13"/>
      <c r="H75" s="13"/>
      <c r="I75" s="13"/>
      <c r="J75" s="13"/>
    </row>
    <row r="76" spans="1:10">
      <c r="A76" s="842" t="s">
        <v>1079</v>
      </c>
      <c r="B76" s="839"/>
      <c r="C76" s="839"/>
      <c r="D76" s="85"/>
      <c r="E76" s="85"/>
      <c r="F76" s="85"/>
      <c r="G76" s="85"/>
      <c r="H76" s="85"/>
      <c r="I76" s="85"/>
      <c r="J76" s="85"/>
    </row>
    <row r="77" spans="1:10">
      <c r="A77" s="50" t="s">
        <v>275</v>
      </c>
      <c r="B77" s="50" t="s">
        <v>895</v>
      </c>
      <c r="C77" s="50" t="s">
        <v>896</v>
      </c>
      <c r="D77" s="50" t="s">
        <v>148</v>
      </c>
      <c r="E77" s="50" t="s">
        <v>153</v>
      </c>
      <c r="F77" s="50" t="s">
        <v>155</v>
      </c>
      <c r="G77" s="50" t="s">
        <v>491</v>
      </c>
      <c r="H77" s="50" t="s">
        <v>897</v>
      </c>
      <c r="I77" s="50" t="s">
        <v>174</v>
      </c>
      <c r="J77" s="50" t="s">
        <v>11</v>
      </c>
    </row>
    <row r="78" spans="1:10" ht="55.2">
      <c r="A78" s="13" t="s">
        <v>421</v>
      </c>
      <c r="B78" s="126">
        <v>0.5</v>
      </c>
      <c r="C78" s="126">
        <v>0.5</v>
      </c>
      <c r="D78" s="13" t="s">
        <v>1238</v>
      </c>
      <c r="E78" s="126">
        <v>0.5</v>
      </c>
      <c r="F78" s="126">
        <v>0.5</v>
      </c>
      <c r="G78" s="13" t="s">
        <v>677</v>
      </c>
      <c r="H78" s="126">
        <v>0.5</v>
      </c>
      <c r="I78" s="13" t="s">
        <v>1201</v>
      </c>
      <c r="J78" s="13" t="s">
        <v>2867</v>
      </c>
    </row>
    <row r="79" spans="1:10" ht="41.4">
      <c r="A79" s="13" t="s">
        <v>2767</v>
      </c>
      <c r="B79" s="126">
        <v>0.5</v>
      </c>
      <c r="C79" s="126">
        <v>0.5</v>
      </c>
      <c r="D79" s="126">
        <v>0.5</v>
      </c>
      <c r="E79" s="126">
        <v>0.5</v>
      </c>
      <c r="F79" s="126">
        <v>0.5</v>
      </c>
      <c r="G79" s="13" t="s">
        <v>677</v>
      </c>
      <c r="H79" s="126">
        <v>0.5</v>
      </c>
      <c r="I79" s="13" t="s">
        <v>1201</v>
      </c>
      <c r="J79" s="13" t="s">
        <v>2868</v>
      </c>
    </row>
    <row r="80" spans="1:10">
      <c r="A80" s="13"/>
      <c r="B80" s="13"/>
      <c r="C80" s="13"/>
      <c r="D80" s="13"/>
      <c r="E80" s="13"/>
      <c r="F80" s="13"/>
      <c r="G80" s="13"/>
      <c r="H80" s="13"/>
      <c r="I80" s="13"/>
      <c r="J80" s="13"/>
    </row>
    <row r="81" spans="1:10">
      <c r="A81" s="842" t="s">
        <v>1085</v>
      </c>
      <c r="B81" s="839"/>
      <c r="C81" s="839"/>
      <c r="D81" s="85"/>
      <c r="E81" s="85"/>
      <c r="F81" s="85"/>
      <c r="G81" s="85"/>
      <c r="H81" s="85"/>
      <c r="I81" s="85"/>
      <c r="J81" s="85"/>
    </row>
    <row r="82" spans="1:10" ht="55.2">
      <c r="A82" s="50" t="s">
        <v>905</v>
      </c>
      <c r="B82" s="50" t="s">
        <v>2869</v>
      </c>
      <c r="C82" s="50"/>
      <c r="D82" s="50"/>
      <c r="E82" s="50"/>
      <c r="F82" s="50"/>
      <c r="G82" s="50"/>
      <c r="H82" s="50"/>
      <c r="I82" s="50"/>
      <c r="J82" s="50"/>
    </row>
    <row r="83" spans="1:10">
      <c r="A83" s="13" t="s">
        <v>1086</v>
      </c>
      <c r="B83" s="852" t="s">
        <v>2870</v>
      </c>
      <c r="C83" s="839"/>
      <c r="D83" s="839"/>
      <c r="E83" s="839"/>
      <c r="F83" s="839"/>
      <c r="G83" s="839"/>
      <c r="H83" s="839"/>
      <c r="I83" s="839"/>
      <c r="J83" s="839"/>
    </row>
    <row r="84" spans="1:10">
      <c r="A84" s="13" t="s">
        <v>2194</v>
      </c>
      <c r="B84" s="852" t="s">
        <v>2871</v>
      </c>
      <c r="C84" s="839"/>
      <c r="D84" s="839"/>
      <c r="E84" s="839"/>
      <c r="F84" s="839"/>
      <c r="G84" s="839"/>
      <c r="H84" s="839"/>
      <c r="I84" s="839"/>
      <c r="J84" s="839"/>
    </row>
    <row r="85" spans="1:10">
      <c r="A85" s="13" t="s">
        <v>1088</v>
      </c>
      <c r="B85" s="852" t="s">
        <v>2872</v>
      </c>
      <c r="C85" s="839"/>
      <c r="D85" s="839"/>
      <c r="E85" s="839"/>
      <c r="F85" s="839"/>
      <c r="G85" s="839"/>
      <c r="H85" s="839"/>
      <c r="I85" s="839"/>
      <c r="J85" s="839"/>
    </row>
    <row r="86" spans="1:10">
      <c r="A86" s="13" t="s">
        <v>1090</v>
      </c>
      <c r="B86" s="852" t="s">
        <v>2873</v>
      </c>
      <c r="C86" s="839"/>
      <c r="D86" s="839"/>
      <c r="E86" s="839"/>
      <c r="F86" s="839"/>
      <c r="G86" s="839"/>
      <c r="H86" s="839"/>
      <c r="I86" s="839"/>
      <c r="J86" s="839"/>
    </row>
    <row r="87" spans="1:10">
      <c r="A87" s="13" t="s">
        <v>1563</v>
      </c>
      <c r="B87" s="852" t="s">
        <v>2874</v>
      </c>
      <c r="C87" s="839"/>
      <c r="D87" s="839"/>
      <c r="E87" s="839"/>
      <c r="F87" s="839"/>
      <c r="G87" s="839"/>
      <c r="H87" s="839"/>
      <c r="I87" s="839"/>
      <c r="J87" s="839"/>
    </row>
    <row r="88" spans="1:10">
      <c r="A88" s="13" t="s">
        <v>1092</v>
      </c>
      <c r="B88" s="852" t="s">
        <v>2875</v>
      </c>
      <c r="C88" s="839"/>
      <c r="D88" s="839"/>
      <c r="E88" s="839"/>
      <c r="F88" s="839"/>
      <c r="G88" s="839"/>
      <c r="H88" s="839"/>
      <c r="I88" s="839"/>
      <c r="J88" s="839"/>
    </row>
    <row r="89" spans="1:10" ht="15" thickBot="1"/>
    <row r="90" spans="1:10">
      <c r="A90" s="855" t="s">
        <v>5875</v>
      </c>
      <c r="B90" s="856"/>
      <c r="C90" s="856"/>
      <c r="D90" s="857"/>
      <c r="E90" s="856"/>
      <c r="F90" s="856"/>
      <c r="G90" s="857"/>
      <c r="H90" s="857"/>
      <c r="I90" s="857"/>
      <c r="J90" s="858"/>
    </row>
    <row r="91" spans="1:10">
      <c r="A91" s="325" t="s">
        <v>5817</v>
      </c>
      <c r="B91" s="326" t="s">
        <v>77</v>
      </c>
      <c r="C91" s="326" t="s">
        <v>5818</v>
      </c>
      <c r="D91" s="326" t="s">
        <v>5819</v>
      </c>
      <c r="E91" s="326" t="s">
        <v>5841</v>
      </c>
      <c r="F91" s="326" t="s">
        <v>5808</v>
      </c>
      <c r="G91" s="859" t="s">
        <v>5842</v>
      </c>
      <c r="H91" s="859"/>
      <c r="I91" s="859"/>
      <c r="J91" s="860"/>
    </row>
    <row r="92" spans="1:10" ht="26.4">
      <c r="A92" s="327" t="s">
        <v>5820</v>
      </c>
      <c r="B92" s="337" t="s">
        <v>484</v>
      </c>
      <c r="C92" s="329">
        <v>0</v>
      </c>
      <c r="D92" s="329">
        <v>0</v>
      </c>
      <c r="E92" s="196" t="s">
        <v>5881</v>
      </c>
      <c r="F92" s="329">
        <f>IF(AND(C92&lt;&gt;"",D92&lt;&gt;""),D92-C92,"")</f>
        <v>0</v>
      </c>
      <c r="G92" s="861"/>
      <c r="H92" s="861"/>
      <c r="I92" s="861"/>
      <c r="J92" s="862"/>
    </row>
    <row r="93" spans="1:10" ht="26.4">
      <c r="A93" s="330" t="s">
        <v>5821</v>
      </c>
      <c r="B93" s="337" t="s">
        <v>484</v>
      </c>
      <c r="C93" s="331">
        <v>1</v>
      </c>
      <c r="D93" s="331">
        <v>0</v>
      </c>
      <c r="E93" s="314" t="s">
        <v>5882</v>
      </c>
      <c r="F93" s="331">
        <f>IF(AND(C93&lt;&gt;"",D93&lt;&gt;""),D93-C93,"")</f>
        <v>-1</v>
      </c>
      <c r="G93" s="863"/>
      <c r="H93" s="863"/>
      <c r="I93" s="863"/>
      <c r="J93" s="864"/>
    </row>
    <row r="94" spans="1:10">
      <c r="A94" s="327" t="s">
        <v>5822</v>
      </c>
      <c r="B94" s="337" t="s">
        <v>484</v>
      </c>
      <c r="C94" s="331">
        <v>1</v>
      </c>
      <c r="D94" s="331">
        <v>0</v>
      </c>
      <c r="E94" s="314" t="s">
        <v>5882</v>
      </c>
      <c r="F94" s="329">
        <f>IF(AND(C94&lt;&gt;"",D94&lt;&gt;""),D94-C94,"")</f>
        <v>-1</v>
      </c>
      <c r="G94" s="332"/>
      <c r="H94" s="231"/>
      <c r="I94" s="231"/>
      <c r="J94" s="333"/>
    </row>
    <row r="95" spans="1:10">
      <c r="A95" s="330" t="s">
        <v>5823</v>
      </c>
      <c r="B95" s="337" t="s">
        <v>484</v>
      </c>
      <c r="C95" s="331">
        <v>1</v>
      </c>
      <c r="D95" s="331">
        <v>0</v>
      </c>
      <c r="E95" s="314" t="s">
        <v>5882</v>
      </c>
      <c r="F95" s="331">
        <f>IF(AND(C95&lt;&gt;"",D95&lt;&gt;""),D95-C95,"")</f>
        <v>-1</v>
      </c>
      <c r="G95" s="863"/>
      <c r="H95" s="863"/>
      <c r="I95" s="863"/>
      <c r="J95" s="864"/>
    </row>
    <row r="96" spans="1:10">
      <c r="A96" s="327" t="s">
        <v>5168</v>
      </c>
      <c r="B96" s="337" t="s">
        <v>484</v>
      </c>
      <c r="C96" s="331">
        <v>1</v>
      </c>
      <c r="D96" s="331">
        <v>0</v>
      </c>
      <c r="E96" s="314" t="s">
        <v>5882</v>
      </c>
      <c r="F96" s="329">
        <f>IF(AND(C96&lt;&gt;"",D96&lt;&gt;""),D96-C96,"")</f>
        <v>-1</v>
      </c>
      <c r="G96" s="332"/>
      <c r="H96" s="231"/>
      <c r="I96" s="231"/>
      <c r="J96" s="333"/>
    </row>
    <row r="97" spans="1:10" ht="15.6">
      <c r="A97" s="865" t="s">
        <v>5843</v>
      </c>
      <c r="B97" s="713"/>
      <c r="C97" s="334">
        <f>IFERROR(AVERAGE(C92:C96),"")</f>
        <v>0.8</v>
      </c>
      <c r="D97" s="334">
        <f>IFERROR(AVERAGE(D92:D96),"")</f>
        <v>0</v>
      </c>
      <c r="E97" s="866" t="s">
        <v>5844</v>
      </c>
      <c r="F97" s="866"/>
      <c r="G97" s="866"/>
      <c r="H97" s="866"/>
      <c r="I97" s="866"/>
      <c r="J97" s="867"/>
    </row>
    <row r="98" spans="1:10">
      <c r="A98" s="335"/>
      <c r="B98" s="320"/>
      <c r="C98" s="320"/>
      <c r="D98" s="320"/>
      <c r="E98" s="320"/>
      <c r="F98" s="320"/>
      <c r="G98" s="320"/>
      <c r="H98" s="231"/>
      <c r="I98" s="231"/>
      <c r="J98" s="333"/>
    </row>
    <row r="99" spans="1:10">
      <c r="A99" s="876" t="s">
        <v>5876</v>
      </c>
      <c r="B99" s="853"/>
      <c r="C99" s="853"/>
      <c r="D99" s="842"/>
      <c r="E99" s="853"/>
      <c r="F99" s="853"/>
      <c r="G99" s="842"/>
      <c r="H99" s="842"/>
      <c r="I99" s="842"/>
      <c r="J99" s="868"/>
    </row>
    <row r="100" spans="1:10">
      <c r="A100" s="325" t="s">
        <v>4946</v>
      </c>
      <c r="B100" s="326" t="s">
        <v>77</v>
      </c>
      <c r="C100" s="326" t="s">
        <v>5883</v>
      </c>
      <c r="D100" s="326" t="s">
        <v>482</v>
      </c>
      <c r="E100" s="326" t="s">
        <v>572</v>
      </c>
      <c r="F100" s="326" t="s">
        <v>5846</v>
      </c>
      <c r="G100" s="859" t="s">
        <v>5847</v>
      </c>
      <c r="H100" s="859"/>
      <c r="I100" s="859"/>
      <c r="J100" s="860"/>
    </row>
    <row r="101" spans="1:10" ht="26.4">
      <c r="A101" s="330" t="s">
        <v>5809</v>
      </c>
      <c r="B101" s="337" t="s">
        <v>484</v>
      </c>
      <c r="C101" s="336" t="s">
        <v>679</v>
      </c>
      <c r="D101" s="328" t="s">
        <v>679</v>
      </c>
      <c r="E101" s="336">
        <f>IF(D101="Yes",1,0)</f>
        <v>0</v>
      </c>
      <c r="F101" s="877"/>
      <c r="G101" s="877"/>
      <c r="H101" s="877"/>
      <c r="I101" s="877"/>
      <c r="J101" s="878"/>
    </row>
    <row r="102" spans="1:10">
      <c r="A102" s="327" t="s">
        <v>995</v>
      </c>
      <c r="B102" s="337" t="s">
        <v>484</v>
      </c>
      <c r="C102" s="336" t="s">
        <v>679</v>
      </c>
      <c r="D102" s="328" t="s">
        <v>679</v>
      </c>
      <c r="E102" s="328">
        <f t="shared" ref="E102:E108" si="0">IF(D102="Yes",1,0)</f>
        <v>0</v>
      </c>
      <c r="F102" s="877"/>
      <c r="G102" s="877"/>
      <c r="H102" s="877"/>
      <c r="I102" s="877"/>
      <c r="J102" s="878"/>
    </row>
    <row r="103" spans="1:10">
      <c r="A103" s="330" t="s">
        <v>5810</v>
      </c>
      <c r="B103" s="337" t="s">
        <v>484</v>
      </c>
      <c r="C103" s="336" t="s">
        <v>679</v>
      </c>
      <c r="D103" s="328" t="s">
        <v>679</v>
      </c>
      <c r="E103" s="336">
        <f t="shared" si="0"/>
        <v>0</v>
      </c>
      <c r="F103" s="877"/>
      <c r="G103" s="877"/>
      <c r="H103" s="877"/>
      <c r="I103" s="877"/>
      <c r="J103" s="878"/>
    </row>
    <row r="104" spans="1:10">
      <c r="A104" s="327" t="s">
        <v>5824</v>
      </c>
      <c r="B104" s="337" t="s">
        <v>484</v>
      </c>
      <c r="C104" s="336" t="s">
        <v>679</v>
      </c>
      <c r="D104" s="328" t="s">
        <v>679</v>
      </c>
      <c r="E104" s="328">
        <f t="shared" si="0"/>
        <v>0</v>
      </c>
      <c r="F104" s="877"/>
      <c r="G104" s="877"/>
      <c r="H104" s="877"/>
      <c r="I104" s="877"/>
      <c r="J104" s="878"/>
    </row>
    <row r="105" spans="1:10" ht="39.6">
      <c r="A105" s="330" t="s">
        <v>5825</v>
      </c>
      <c r="B105" s="337" t="s">
        <v>484</v>
      </c>
      <c r="C105" s="336" t="s">
        <v>679</v>
      </c>
      <c r="D105" s="328" t="s">
        <v>679</v>
      </c>
      <c r="E105" s="336">
        <f t="shared" si="0"/>
        <v>0</v>
      </c>
      <c r="F105" s="877"/>
      <c r="G105" s="877"/>
      <c r="H105" s="877"/>
      <c r="I105" s="877"/>
      <c r="J105" s="878"/>
    </row>
    <row r="106" spans="1:10" ht="26.4">
      <c r="A106" s="327" t="s">
        <v>5826</v>
      </c>
      <c r="B106" s="337" t="s">
        <v>484</v>
      </c>
      <c r="C106" s="336" t="s">
        <v>679</v>
      </c>
      <c r="D106" s="328" t="s">
        <v>679</v>
      </c>
      <c r="E106" s="328">
        <f t="shared" si="0"/>
        <v>0</v>
      </c>
      <c r="F106" s="877"/>
      <c r="G106" s="877"/>
      <c r="H106" s="877"/>
      <c r="I106" s="877"/>
      <c r="J106" s="878"/>
    </row>
    <row r="107" spans="1:10">
      <c r="A107" s="330" t="s">
        <v>5811</v>
      </c>
      <c r="B107" s="337" t="s">
        <v>484</v>
      </c>
      <c r="C107" s="336" t="s">
        <v>679</v>
      </c>
      <c r="D107" s="328" t="s">
        <v>679</v>
      </c>
      <c r="E107" s="336">
        <f t="shared" si="0"/>
        <v>0</v>
      </c>
      <c r="F107" s="877"/>
      <c r="G107" s="877"/>
      <c r="H107" s="877"/>
      <c r="I107" s="877"/>
      <c r="J107" s="878"/>
    </row>
    <row r="108" spans="1:10" ht="26.4">
      <c r="A108" s="327" t="s">
        <v>5812</v>
      </c>
      <c r="B108" s="337" t="s">
        <v>484</v>
      </c>
      <c r="C108" s="336" t="s">
        <v>679</v>
      </c>
      <c r="D108" s="328" t="s">
        <v>679</v>
      </c>
      <c r="E108" s="328">
        <f t="shared" si="0"/>
        <v>0</v>
      </c>
      <c r="F108" s="877"/>
      <c r="G108" s="877"/>
      <c r="H108" s="877"/>
      <c r="I108" s="877"/>
      <c r="J108" s="878"/>
    </row>
    <row r="109" spans="1:10" ht="15.6">
      <c r="A109" s="865" t="s">
        <v>5848</v>
      </c>
      <c r="B109" s="713"/>
      <c r="C109" s="871" t="str">
        <f>IFERROR(SUM(E101:E108)/COUNTIF(C101:C108,"Yes"),"")</f>
        <v/>
      </c>
      <c r="D109" s="872"/>
      <c r="E109" s="866" t="s">
        <v>5849</v>
      </c>
      <c r="F109" s="866"/>
      <c r="G109" s="866"/>
      <c r="H109" s="866"/>
      <c r="I109" s="866"/>
      <c r="J109" s="867"/>
    </row>
    <row r="110" spans="1:10">
      <c r="A110" s="335"/>
      <c r="B110" s="320"/>
      <c r="C110" s="320"/>
      <c r="D110" s="320"/>
      <c r="E110" s="320"/>
      <c r="F110" s="320"/>
      <c r="G110" s="320"/>
      <c r="H110" s="231"/>
      <c r="I110" s="231"/>
      <c r="J110" s="333"/>
    </row>
    <row r="111" spans="1:10">
      <c r="A111" s="876" t="s">
        <v>5877</v>
      </c>
      <c r="B111" s="853"/>
      <c r="C111" s="853"/>
      <c r="D111" s="842"/>
      <c r="E111" s="853"/>
      <c r="F111" s="853"/>
      <c r="G111" s="842"/>
      <c r="H111" s="842"/>
      <c r="I111" s="842"/>
      <c r="J111" s="868"/>
    </row>
    <row r="112" spans="1:10">
      <c r="A112" s="325" t="s">
        <v>5850</v>
      </c>
      <c r="B112" s="326" t="s">
        <v>77</v>
      </c>
      <c r="C112" s="326" t="s">
        <v>5827</v>
      </c>
      <c r="D112" s="326" t="s">
        <v>5828</v>
      </c>
      <c r="E112" s="326" t="s">
        <v>5829</v>
      </c>
      <c r="F112" s="326" t="s">
        <v>5851</v>
      </c>
      <c r="G112" s="859" t="s">
        <v>5852</v>
      </c>
      <c r="H112" s="859"/>
      <c r="I112" s="859"/>
      <c r="J112" s="860"/>
    </row>
    <row r="113" spans="1:10" ht="26.4">
      <c r="A113" s="330" t="s">
        <v>5830</v>
      </c>
      <c r="B113" s="336" t="s">
        <v>484</v>
      </c>
      <c r="C113" s="336" t="s">
        <v>1096</v>
      </c>
      <c r="D113" s="336" t="s">
        <v>1096</v>
      </c>
      <c r="E113" s="336" t="s">
        <v>1096</v>
      </c>
      <c r="F113" s="336" t="s">
        <v>348</v>
      </c>
      <c r="G113" s="869"/>
      <c r="H113" s="869"/>
      <c r="I113" s="869"/>
      <c r="J113" s="870"/>
    </row>
    <row r="114" spans="1:10">
      <c r="A114" s="327" t="s">
        <v>5831</v>
      </c>
      <c r="B114" s="336" t="s">
        <v>484</v>
      </c>
      <c r="C114" s="336" t="s">
        <v>1096</v>
      </c>
      <c r="D114" s="336" t="s">
        <v>1096</v>
      </c>
      <c r="E114" s="336" t="s">
        <v>1096</v>
      </c>
      <c r="F114" s="336" t="s">
        <v>348</v>
      </c>
      <c r="G114" s="869"/>
      <c r="H114" s="869"/>
      <c r="I114" s="869"/>
      <c r="J114" s="870"/>
    </row>
    <row r="115" spans="1:10">
      <c r="A115" s="330" t="s">
        <v>5853</v>
      </c>
      <c r="B115" s="336" t="s">
        <v>484</v>
      </c>
      <c r="C115" s="336" t="s">
        <v>1096</v>
      </c>
      <c r="D115" s="336" t="s">
        <v>1096</v>
      </c>
      <c r="E115" s="336" t="s">
        <v>1096</v>
      </c>
      <c r="F115" s="336" t="s">
        <v>348</v>
      </c>
      <c r="G115" s="869"/>
      <c r="H115" s="869"/>
      <c r="I115" s="869"/>
      <c r="J115" s="870"/>
    </row>
    <row r="116" spans="1:10">
      <c r="A116" s="327" t="s">
        <v>5832</v>
      </c>
      <c r="B116" s="336" t="s">
        <v>484</v>
      </c>
      <c r="C116" s="336" t="s">
        <v>1096</v>
      </c>
      <c r="D116" s="336" t="s">
        <v>1096</v>
      </c>
      <c r="E116" s="336" t="s">
        <v>1096</v>
      </c>
      <c r="F116" s="336" t="s">
        <v>348</v>
      </c>
      <c r="G116" s="869"/>
      <c r="H116" s="869"/>
      <c r="I116" s="869"/>
      <c r="J116" s="870"/>
    </row>
    <row r="117" spans="1:10" ht="26.4">
      <c r="A117" s="330" t="s">
        <v>5833</v>
      </c>
      <c r="B117" s="336" t="s">
        <v>484</v>
      </c>
      <c r="C117" s="336" t="s">
        <v>1096</v>
      </c>
      <c r="D117" s="336" t="s">
        <v>1096</v>
      </c>
      <c r="E117" s="336" t="s">
        <v>1096</v>
      </c>
      <c r="F117" s="336" t="s">
        <v>348</v>
      </c>
      <c r="G117" s="869"/>
      <c r="H117" s="869"/>
      <c r="I117" s="869"/>
      <c r="J117" s="870"/>
    </row>
    <row r="118" spans="1:10" ht="15.6">
      <c r="A118" s="865" t="s">
        <v>5884</v>
      </c>
      <c r="B118" s="713"/>
      <c r="C118" s="871">
        <f>IFERROR(COUNTIF(E113:E117,"Yes")/COUNTA(A113:A117),"")</f>
        <v>0</v>
      </c>
      <c r="D118" s="872"/>
      <c r="E118" s="866" t="s">
        <v>5855</v>
      </c>
      <c r="F118" s="866"/>
      <c r="G118" s="866"/>
      <c r="H118" s="866"/>
      <c r="I118" s="866"/>
      <c r="J118" s="867"/>
    </row>
    <row r="119" spans="1:10">
      <c r="A119" s="335"/>
      <c r="B119" s="320"/>
      <c r="C119" s="320"/>
      <c r="D119" s="320"/>
      <c r="E119" s="320"/>
      <c r="F119" s="320"/>
      <c r="G119" s="874"/>
      <c r="H119" s="874"/>
      <c r="I119" s="874"/>
      <c r="J119" s="875"/>
    </row>
    <row r="120" spans="1:10">
      <c r="A120" s="876" t="s">
        <v>5878</v>
      </c>
      <c r="B120" s="853"/>
      <c r="C120" s="853"/>
      <c r="D120" s="842"/>
      <c r="E120" s="853"/>
      <c r="F120" s="853"/>
      <c r="G120" s="842"/>
      <c r="H120" s="842"/>
      <c r="I120" s="842"/>
      <c r="J120" s="868"/>
    </row>
    <row r="121" spans="1:10">
      <c r="A121" s="326" t="s">
        <v>5813</v>
      </c>
      <c r="B121" s="326" t="s">
        <v>77</v>
      </c>
      <c r="C121" s="326" t="s">
        <v>5834</v>
      </c>
      <c r="D121" s="326" t="s">
        <v>5835</v>
      </c>
      <c r="E121" s="326" t="s">
        <v>5836</v>
      </c>
      <c r="F121" s="326" t="s">
        <v>5837</v>
      </c>
      <c r="G121" s="859" t="s">
        <v>5885</v>
      </c>
      <c r="H121" s="859"/>
      <c r="I121" s="859"/>
      <c r="J121" s="859"/>
    </row>
    <row r="122" spans="1:10">
      <c r="A122" s="332" t="s">
        <v>153</v>
      </c>
      <c r="B122" s="328" t="s">
        <v>484</v>
      </c>
      <c r="C122" s="328"/>
      <c r="D122" s="328"/>
      <c r="E122" s="328"/>
      <c r="F122" s="329" t="str">
        <f>IFERROR(D122/C122,"")</f>
        <v/>
      </c>
      <c r="G122" s="873"/>
      <c r="H122" s="873"/>
      <c r="I122" s="873"/>
      <c r="J122" s="873"/>
    </row>
    <row r="123" spans="1:10">
      <c r="A123" s="339" t="s">
        <v>155</v>
      </c>
      <c r="B123" s="336" t="s">
        <v>484</v>
      </c>
      <c r="C123" s="336"/>
      <c r="D123" s="336"/>
      <c r="E123" s="336"/>
      <c r="F123" s="331" t="str">
        <f>IFERROR(D123/C123,"")</f>
        <v/>
      </c>
      <c r="G123" s="873"/>
      <c r="H123" s="873"/>
      <c r="I123" s="873"/>
      <c r="J123" s="873"/>
    </row>
    <row r="124" spans="1:10">
      <c r="A124" s="332" t="s">
        <v>4821</v>
      </c>
      <c r="B124" s="328" t="s">
        <v>484</v>
      </c>
      <c r="C124" s="328"/>
      <c r="D124" s="328"/>
      <c r="E124" s="328"/>
      <c r="F124" s="329" t="str">
        <f>IFERROR(D124/C124,"")</f>
        <v/>
      </c>
      <c r="G124" s="873"/>
      <c r="H124" s="873"/>
      <c r="I124" s="873"/>
      <c r="J124" s="873"/>
    </row>
    <row r="125" spans="1:10">
      <c r="A125" s="339" t="s">
        <v>957</v>
      </c>
      <c r="B125" s="336" t="s">
        <v>484</v>
      </c>
      <c r="C125" s="336"/>
      <c r="D125" s="336"/>
      <c r="E125" s="336"/>
      <c r="F125" s="331" t="str">
        <f>IFERROR(D125/C125,"")</f>
        <v/>
      </c>
      <c r="G125" s="873"/>
      <c r="H125" s="873"/>
      <c r="I125" s="873"/>
      <c r="J125" s="873"/>
    </row>
    <row r="126" spans="1:10">
      <c r="A126" s="879" t="s">
        <v>5856</v>
      </c>
      <c r="B126" s="879"/>
      <c r="C126" s="879"/>
      <c r="D126" s="879"/>
      <c r="E126" s="866" t="s">
        <v>5857</v>
      </c>
      <c r="F126" s="866"/>
      <c r="G126" s="866"/>
      <c r="H126" s="866"/>
      <c r="I126" s="866"/>
      <c r="J126" s="866"/>
    </row>
    <row r="127" spans="1:10">
      <c r="A127" s="879"/>
      <c r="B127" s="879"/>
      <c r="C127" s="879"/>
      <c r="D127" s="879"/>
      <c r="E127" s="866"/>
      <c r="F127" s="866"/>
      <c r="G127" s="866"/>
      <c r="H127" s="866"/>
      <c r="I127" s="866"/>
      <c r="J127" s="866"/>
    </row>
    <row r="128" spans="1:10">
      <c r="A128" s="842" t="s">
        <v>5879</v>
      </c>
      <c r="B128" s="842"/>
      <c r="C128" s="842"/>
      <c r="D128" s="842"/>
      <c r="E128" s="842"/>
      <c r="F128" s="842"/>
      <c r="G128" s="842"/>
      <c r="H128" s="842"/>
      <c r="I128" s="842"/>
      <c r="J128" s="842"/>
    </row>
    <row r="129" spans="1:10">
      <c r="A129" s="326" t="s">
        <v>4946</v>
      </c>
      <c r="B129" s="326" t="s">
        <v>77</v>
      </c>
      <c r="C129" s="326" t="s">
        <v>5845</v>
      </c>
      <c r="D129" s="326" t="s">
        <v>482</v>
      </c>
      <c r="E129" s="326" t="s">
        <v>572</v>
      </c>
      <c r="F129" s="326" t="s">
        <v>944</v>
      </c>
      <c r="G129" s="859" t="s">
        <v>5847</v>
      </c>
      <c r="H129" s="859"/>
      <c r="I129" s="859"/>
      <c r="J129" s="859"/>
    </row>
    <row r="130" spans="1:10" ht="26.4">
      <c r="A130" s="332" t="s">
        <v>5814</v>
      </c>
      <c r="B130" s="328" t="s">
        <v>484</v>
      </c>
      <c r="C130" s="328" t="s">
        <v>392</v>
      </c>
      <c r="D130" s="328" t="s">
        <v>1096</v>
      </c>
      <c r="E130" s="328">
        <f t="shared" ref="E130:E135" si="1">IF(D130="Yes",1,0)</f>
        <v>0</v>
      </c>
      <c r="F130" s="328"/>
      <c r="G130" s="873"/>
      <c r="H130" s="873"/>
      <c r="I130" s="873"/>
      <c r="J130" s="873"/>
    </row>
    <row r="131" spans="1:10">
      <c r="A131" s="339" t="s">
        <v>5815</v>
      </c>
      <c r="B131" s="328" t="s">
        <v>484</v>
      </c>
      <c r="C131" s="336" t="s">
        <v>392</v>
      </c>
      <c r="D131" s="328" t="s">
        <v>1096</v>
      </c>
      <c r="E131" s="336">
        <f t="shared" si="1"/>
        <v>0</v>
      </c>
      <c r="F131" s="336"/>
      <c r="G131" s="873"/>
      <c r="H131" s="873"/>
      <c r="I131" s="873"/>
      <c r="J131" s="873"/>
    </row>
    <row r="132" spans="1:10" ht="26.4">
      <c r="A132" s="332" t="s">
        <v>5816</v>
      </c>
      <c r="B132" s="328" t="s">
        <v>484</v>
      </c>
      <c r="C132" s="328" t="s">
        <v>392</v>
      </c>
      <c r="D132" s="328" t="s">
        <v>1096</v>
      </c>
      <c r="E132" s="328">
        <f t="shared" si="1"/>
        <v>0</v>
      </c>
      <c r="F132" s="328"/>
      <c r="G132" s="873"/>
      <c r="H132" s="873"/>
      <c r="I132" s="873"/>
      <c r="J132" s="873"/>
    </row>
    <row r="133" spans="1:10">
      <c r="A133" s="339" t="s">
        <v>5838</v>
      </c>
      <c r="B133" s="328" t="s">
        <v>484</v>
      </c>
      <c r="C133" s="336" t="s">
        <v>392</v>
      </c>
      <c r="D133" s="328" t="s">
        <v>1096</v>
      </c>
      <c r="E133" s="336">
        <f t="shared" si="1"/>
        <v>0</v>
      </c>
      <c r="F133" s="336"/>
      <c r="G133" s="873"/>
      <c r="H133" s="873"/>
      <c r="I133" s="873"/>
      <c r="J133" s="873"/>
    </row>
    <row r="134" spans="1:10" ht="26.4">
      <c r="A134" s="332" t="s">
        <v>5839</v>
      </c>
      <c r="B134" s="328" t="s">
        <v>484</v>
      </c>
      <c r="C134" s="328" t="s">
        <v>392</v>
      </c>
      <c r="D134" s="328" t="s">
        <v>1096</v>
      </c>
      <c r="E134" s="328">
        <f t="shared" si="1"/>
        <v>0</v>
      </c>
      <c r="F134" s="328"/>
      <c r="G134" s="873"/>
      <c r="H134" s="873"/>
      <c r="I134" s="873"/>
      <c r="J134" s="873"/>
    </row>
    <row r="135" spans="1:10" ht="26.4">
      <c r="A135" s="339" t="s">
        <v>5840</v>
      </c>
      <c r="B135" s="328" t="s">
        <v>484</v>
      </c>
      <c r="C135" s="336" t="s">
        <v>392</v>
      </c>
      <c r="D135" s="336" t="s">
        <v>1096</v>
      </c>
      <c r="E135" s="336">
        <f t="shared" si="1"/>
        <v>0</v>
      </c>
      <c r="F135" s="336"/>
      <c r="G135" s="873"/>
      <c r="H135" s="873"/>
      <c r="I135" s="873"/>
      <c r="J135" s="873"/>
    </row>
    <row r="136" spans="1:10" ht="15.6">
      <c r="A136" s="880" t="s">
        <v>5858</v>
      </c>
      <c r="B136" s="713"/>
      <c r="C136" s="871">
        <f>IFERROR(SUM(E130:E135)/COUNTIF(C130:C135,"Yes"),"")</f>
        <v>0</v>
      </c>
      <c r="D136" s="872"/>
      <c r="E136" s="866" t="s">
        <v>5859</v>
      </c>
      <c r="F136" s="866"/>
      <c r="G136" s="866"/>
      <c r="H136" s="866"/>
      <c r="I136" s="866"/>
      <c r="J136" s="866"/>
    </row>
    <row r="137" spans="1:10">
      <c r="A137" s="196"/>
      <c r="B137" s="196"/>
      <c r="C137" s="196"/>
      <c r="D137" s="196"/>
      <c r="E137" s="196"/>
      <c r="F137" s="196"/>
      <c r="G137" s="196"/>
      <c r="H137" s="196"/>
      <c r="I137" s="196"/>
      <c r="J137" s="196"/>
    </row>
    <row r="138" spans="1:10">
      <c r="A138" s="842" t="s">
        <v>5880</v>
      </c>
      <c r="B138" s="853"/>
      <c r="C138" s="853"/>
      <c r="D138" s="321"/>
      <c r="E138" s="321"/>
      <c r="F138" s="321"/>
      <c r="G138" s="321"/>
      <c r="H138" s="321"/>
      <c r="I138" s="321"/>
      <c r="J138" s="321"/>
    </row>
    <row r="139" spans="1:10" ht="55.2">
      <c r="A139" s="322" t="s">
        <v>905</v>
      </c>
      <c r="B139" s="322" t="s">
        <v>830</v>
      </c>
      <c r="C139" s="322"/>
      <c r="D139" s="322"/>
      <c r="E139" s="322"/>
      <c r="F139" s="322"/>
      <c r="G139" s="322"/>
      <c r="H139" s="322"/>
      <c r="I139" s="322"/>
      <c r="J139" s="322"/>
    </row>
    <row r="140" spans="1:10">
      <c r="A140" s="319" t="s">
        <v>1086</v>
      </c>
      <c r="B140" s="852" t="s">
        <v>3292</v>
      </c>
      <c r="C140" s="853"/>
      <c r="D140" s="853"/>
      <c r="E140" s="853"/>
      <c r="F140" s="853"/>
      <c r="G140" s="853"/>
      <c r="H140" s="853"/>
      <c r="I140" s="853"/>
      <c r="J140" s="853"/>
    </row>
    <row r="141" spans="1:10" ht="27.6">
      <c r="A141" s="319" t="s">
        <v>2090</v>
      </c>
      <c r="B141" s="852" t="s">
        <v>3293</v>
      </c>
      <c r="C141" s="853"/>
      <c r="D141" s="853"/>
      <c r="E141" s="853"/>
      <c r="F141" s="853"/>
      <c r="G141" s="853"/>
      <c r="H141" s="853"/>
      <c r="I141" s="853"/>
      <c r="J141" s="853"/>
    </row>
    <row r="142" spans="1:10">
      <c r="A142" s="319" t="s">
        <v>1089</v>
      </c>
      <c r="B142" s="852" t="s">
        <v>3294</v>
      </c>
      <c r="C142" s="853"/>
      <c r="D142" s="853"/>
      <c r="E142" s="853"/>
      <c r="F142" s="853"/>
      <c r="G142" s="853"/>
      <c r="H142" s="853"/>
      <c r="I142" s="853"/>
      <c r="J142" s="853"/>
    </row>
    <row r="143" spans="1:10">
      <c r="A143" s="319" t="s">
        <v>1090</v>
      </c>
      <c r="B143" s="852" t="s">
        <v>3295</v>
      </c>
      <c r="C143" s="853"/>
      <c r="D143" s="853"/>
      <c r="E143" s="853"/>
      <c r="F143" s="853"/>
      <c r="G143" s="853"/>
      <c r="H143" s="853"/>
      <c r="I143" s="853"/>
      <c r="J143" s="853"/>
    </row>
    <row r="144" spans="1:10">
      <c r="A144" s="319" t="s">
        <v>1088</v>
      </c>
      <c r="B144" s="852" t="s">
        <v>3296</v>
      </c>
      <c r="C144" s="853"/>
      <c r="D144" s="853"/>
      <c r="E144" s="853"/>
      <c r="F144" s="853"/>
      <c r="G144" s="853"/>
      <c r="H144" s="853"/>
      <c r="I144" s="853"/>
      <c r="J144" s="853"/>
    </row>
    <row r="145" spans="1:10" ht="27.6">
      <c r="A145" s="319" t="s">
        <v>3297</v>
      </c>
      <c r="B145" s="852" t="s">
        <v>3298</v>
      </c>
      <c r="C145" s="853"/>
      <c r="D145" s="853"/>
      <c r="E145" s="853"/>
      <c r="F145" s="853"/>
      <c r="G145" s="853"/>
      <c r="H145" s="853"/>
      <c r="I145" s="853"/>
      <c r="J145" s="853"/>
    </row>
    <row r="146" spans="1:10">
      <c r="A146" s="319" t="s">
        <v>1563</v>
      </c>
      <c r="B146" s="852" t="s">
        <v>1776</v>
      </c>
      <c r="C146" s="853"/>
      <c r="D146" s="853"/>
      <c r="E146" s="853"/>
      <c r="F146" s="853"/>
      <c r="G146" s="853"/>
      <c r="H146" s="853"/>
      <c r="I146" s="853"/>
      <c r="J146" s="853"/>
    </row>
    <row r="147" spans="1:10">
      <c r="A147" s="231"/>
      <c r="B147" s="231"/>
      <c r="C147" s="231"/>
      <c r="D147" s="231"/>
      <c r="E147" s="231"/>
      <c r="F147" s="231"/>
      <c r="G147" s="231"/>
      <c r="H147" s="231"/>
      <c r="I147" s="231"/>
      <c r="J147" s="231"/>
    </row>
    <row r="148" spans="1:10" ht="17.399999999999999">
      <c r="A148" s="827" t="s">
        <v>5769</v>
      </c>
      <c r="B148" s="827"/>
      <c r="C148" s="827"/>
      <c r="D148" s="827"/>
      <c r="E148" s="827"/>
      <c r="F148" s="827"/>
      <c r="G148" s="827"/>
      <c r="H148" s="827"/>
      <c r="I148" s="231"/>
      <c r="J148" s="231"/>
    </row>
    <row r="149" spans="1:10">
      <c r="A149" s="276" t="s">
        <v>2</v>
      </c>
      <c r="B149" s="828" t="s">
        <v>5770</v>
      </c>
      <c r="C149" s="828"/>
      <c r="D149" s="828"/>
      <c r="E149" s="828"/>
      <c r="F149" s="828"/>
      <c r="G149" s="828"/>
      <c r="H149" s="828"/>
      <c r="I149" s="231"/>
      <c r="J149" s="231"/>
    </row>
    <row r="150" spans="1:10">
      <c r="A150" s="276" t="s">
        <v>5771</v>
      </c>
      <c r="B150" s="828" t="s">
        <v>5772</v>
      </c>
      <c r="C150" s="828"/>
      <c r="D150" s="828"/>
      <c r="E150" s="828"/>
      <c r="F150" s="828"/>
      <c r="G150" s="828"/>
      <c r="H150" s="828"/>
      <c r="I150" s="231"/>
      <c r="J150" s="231"/>
    </row>
    <row r="151" spans="1:10">
      <c r="A151" s="196"/>
      <c r="B151" s="196"/>
      <c r="C151" s="196"/>
      <c r="D151" s="196"/>
      <c r="E151" s="196"/>
      <c r="F151" s="196"/>
      <c r="G151" s="196"/>
      <c r="H151" s="196"/>
      <c r="I151" s="231"/>
      <c r="J151" s="231"/>
    </row>
    <row r="152" spans="1:10">
      <c r="A152" s="323" t="s">
        <v>4946</v>
      </c>
      <c r="B152" s="323" t="s">
        <v>77</v>
      </c>
      <c r="C152" s="323" t="s">
        <v>5773</v>
      </c>
      <c r="D152" s="323" t="s">
        <v>263</v>
      </c>
      <c r="E152" s="323" t="s">
        <v>216</v>
      </c>
      <c r="F152" s="323" t="s">
        <v>5774</v>
      </c>
      <c r="G152" s="323" t="s">
        <v>5775</v>
      </c>
      <c r="H152" s="323" t="s">
        <v>5776</v>
      </c>
      <c r="I152" s="231"/>
      <c r="J152" s="231"/>
    </row>
    <row r="153" spans="1:10" ht="26.4">
      <c r="A153" s="277" t="s">
        <v>5777</v>
      </c>
      <c r="B153" s="278" t="s">
        <v>1096</v>
      </c>
      <c r="C153" s="277"/>
      <c r="D153" s="277"/>
      <c r="E153" s="277"/>
      <c r="F153" s="277"/>
      <c r="G153" s="279" t="str">
        <f t="shared" ref="G153:G160" si="2">IF(OR(B153="Yes",B153="N/A"),"🟢","🟡")</f>
        <v>🟡</v>
      </c>
      <c r="H153" s="277"/>
      <c r="I153" s="231"/>
      <c r="J153" s="231"/>
    </row>
    <row r="154" spans="1:10">
      <c r="A154" s="277" t="s">
        <v>5778</v>
      </c>
      <c r="B154" s="278" t="s">
        <v>1096</v>
      </c>
      <c r="C154" s="277"/>
      <c r="D154" s="277"/>
      <c r="E154" s="277"/>
      <c r="F154" s="277"/>
      <c r="G154" s="279" t="str">
        <f t="shared" si="2"/>
        <v>🟡</v>
      </c>
      <c r="H154" s="277"/>
      <c r="I154" s="231"/>
      <c r="J154" s="231"/>
    </row>
    <row r="155" spans="1:10">
      <c r="A155" s="277" t="s">
        <v>5779</v>
      </c>
      <c r="B155" s="278" t="s">
        <v>1096</v>
      </c>
      <c r="C155" s="277"/>
      <c r="D155" s="277"/>
      <c r="E155" s="277"/>
      <c r="F155" s="277"/>
      <c r="G155" s="279" t="str">
        <f t="shared" si="2"/>
        <v>🟡</v>
      </c>
      <c r="H155" s="277"/>
      <c r="I155" s="231"/>
      <c r="J155" s="231"/>
    </row>
    <row r="156" spans="1:10">
      <c r="A156" s="277" t="s">
        <v>5168</v>
      </c>
      <c r="B156" s="278" t="s">
        <v>1096</v>
      </c>
      <c r="C156" s="277"/>
      <c r="D156" s="277"/>
      <c r="E156" s="277"/>
      <c r="F156" s="277"/>
      <c r="G156" s="279" t="str">
        <f t="shared" si="2"/>
        <v>🟡</v>
      </c>
      <c r="H156" s="277"/>
      <c r="I156" s="231"/>
      <c r="J156" s="231"/>
    </row>
    <row r="157" spans="1:10">
      <c r="A157" s="277" t="s">
        <v>5780</v>
      </c>
      <c r="B157" s="278" t="s">
        <v>1096</v>
      </c>
      <c r="C157" s="277"/>
      <c r="D157" s="277"/>
      <c r="E157" s="277"/>
      <c r="F157" s="277"/>
      <c r="G157" s="279" t="str">
        <f t="shared" si="2"/>
        <v>🟡</v>
      </c>
      <c r="H157" s="277"/>
      <c r="I157" s="231"/>
      <c r="J157" s="231"/>
    </row>
    <row r="158" spans="1:10">
      <c r="A158" s="277" t="s">
        <v>5781</v>
      </c>
      <c r="B158" s="278" t="s">
        <v>1096</v>
      </c>
      <c r="C158" s="277"/>
      <c r="D158" s="277"/>
      <c r="E158" s="277"/>
      <c r="F158" s="277"/>
      <c r="G158" s="279" t="str">
        <f t="shared" si="2"/>
        <v>🟡</v>
      </c>
      <c r="H158" s="277"/>
      <c r="I158" s="231"/>
      <c r="J158" s="231"/>
    </row>
    <row r="159" spans="1:10">
      <c r="A159" s="277" t="s">
        <v>178</v>
      </c>
      <c r="B159" s="278" t="s">
        <v>1096</v>
      </c>
      <c r="C159" s="277"/>
      <c r="D159" s="277"/>
      <c r="E159" s="277"/>
      <c r="F159" s="277"/>
      <c r="G159" s="279" t="str">
        <f t="shared" si="2"/>
        <v>🟡</v>
      </c>
      <c r="H159" s="277"/>
      <c r="I159" s="231"/>
      <c r="J159" s="231"/>
    </row>
    <row r="160" spans="1:10" ht="26.4">
      <c r="A160" s="277" t="s">
        <v>5782</v>
      </c>
      <c r="B160" s="278" t="s">
        <v>1096</v>
      </c>
      <c r="C160" s="277"/>
      <c r="D160" s="277"/>
      <c r="E160" s="277"/>
      <c r="F160" s="277"/>
      <c r="G160" s="279" t="str">
        <f t="shared" si="2"/>
        <v>🟡</v>
      </c>
      <c r="H160" s="277"/>
      <c r="I160" s="231"/>
      <c r="J160" s="231"/>
    </row>
    <row r="161" spans="1:10">
      <c r="A161" s="324" t="s">
        <v>4946</v>
      </c>
      <c r="B161" s="324" t="s">
        <v>5790</v>
      </c>
      <c r="C161" s="196"/>
      <c r="D161" s="196"/>
      <c r="E161" s="324" t="s">
        <v>5791</v>
      </c>
      <c r="F161" s="196"/>
      <c r="G161" s="196"/>
      <c r="H161" s="196"/>
      <c r="I161" s="231"/>
      <c r="J161" s="231"/>
    </row>
    <row r="162" spans="1:10" ht="26.4">
      <c r="A162" s="291" t="s">
        <v>5777</v>
      </c>
      <c r="B162" s="768" t="s">
        <v>5792</v>
      </c>
      <c r="C162" s="768"/>
      <c r="D162" s="768"/>
      <c r="E162" s="768" t="s">
        <v>5793</v>
      </c>
      <c r="F162" s="768"/>
      <c r="G162" s="768"/>
      <c r="H162" s="196"/>
      <c r="I162" s="231"/>
      <c r="J162" s="231"/>
    </row>
    <row r="163" spans="1:10">
      <c r="A163" s="291" t="s">
        <v>5778</v>
      </c>
      <c r="B163" s="768" t="s">
        <v>5794</v>
      </c>
      <c r="C163" s="768"/>
      <c r="D163" s="768"/>
      <c r="E163" s="768" t="s">
        <v>5795</v>
      </c>
      <c r="F163" s="768"/>
      <c r="G163" s="768"/>
      <c r="H163" s="196"/>
      <c r="I163" s="231"/>
      <c r="J163" s="231"/>
    </row>
    <row r="164" spans="1:10">
      <c r="A164" s="291" t="s">
        <v>5779</v>
      </c>
      <c r="B164" s="768" t="s">
        <v>5796</v>
      </c>
      <c r="C164" s="768"/>
      <c r="D164" s="768"/>
      <c r="E164" s="768" t="s">
        <v>5797</v>
      </c>
      <c r="F164" s="768"/>
      <c r="G164" s="768"/>
      <c r="H164" s="196"/>
      <c r="I164" s="231"/>
      <c r="J164" s="231"/>
    </row>
    <row r="165" spans="1:10">
      <c r="A165" s="291" t="s">
        <v>5168</v>
      </c>
      <c r="B165" s="768" t="s">
        <v>5798</v>
      </c>
      <c r="C165" s="768"/>
      <c r="D165" s="768"/>
      <c r="E165" s="768" t="s">
        <v>5799</v>
      </c>
      <c r="F165" s="768"/>
      <c r="G165" s="768"/>
      <c r="H165" s="196"/>
      <c r="I165" s="231"/>
      <c r="J165" s="231"/>
    </row>
    <row r="166" spans="1:10">
      <c r="A166" s="291" t="s">
        <v>5780</v>
      </c>
      <c r="B166" s="768" t="s">
        <v>5800</v>
      </c>
      <c r="C166" s="768"/>
      <c r="D166" s="768"/>
      <c r="E166" s="768" t="s">
        <v>5801</v>
      </c>
      <c r="F166" s="768"/>
      <c r="G166" s="768"/>
      <c r="H166" s="196"/>
      <c r="I166" s="231"/>
      <c r="J166" s="231"/>
    </row>
    <row r="167" spans="1:10">
      <c r="A167" s="291" t="s">
        <v>5781</v>
      </c>
      <c r="B167" s="768" t="s">
        <v>5802</v>
      </c>
      <c r="C167" s="768"/>
      <c r="D167" s="768"/>
      <c r="E167" s="768" t="s">
        <v>5803</v>
      </c>
      <c r="F167" s="768"/>
      <c r="G167" s="768"/>
      <c r="H167" s="196"/>
      <c r="I167" s="231"/>
      <c r="J167" s="231"/>
    </row>
    <row r="168" spans="1:10">
      <c r="A168" s="291" t="s">
        <v>178</v>
      </c>
      <c r="B168" s="768" t="s">
        <v>5804</v>
      </c>
      <c r="C168" s="768"/>
      <c r="D168" s="768"/>
      <c r="E168" s="768" t="s">
        <v>5805</v>
      </c>
      <c r="F168" s="768"/>
      <c r="G168" s="768"/>
      <c r="H168" s="196"/>
      <c r="I168" s="231"/>
      <c r="J168" s="231"/>
    </row>
    <row r="169" spans="1:10" ht="26.4">
      <c r="A169" s="291" t="s">
        <v>5782</v>
      </c>
      <c r="B169" s="768" t="s">
        <v>5806</v>
      </c>
      <c r="C169" s="768"/>
      <c r="D169" s="768"/>
      <c r="E169" s="768" t="s">
        <v>5807</v>
      </c>
      <c r="F169" s="768"/>
      <c r="G169" s="768"/>
      <c r="H169" s="196"/>
      <c r="I169" s="231"/>
      <c r="J169" s="231"/>
    </row>
    <row r="170" spans="1:10">
      <c r="A170" s="276" t="s">
        <v>5783</v>
      </c>
      <c r="B170" s="280" t="str">
        <f>IF(COUNTIF(B153:B160,"No")=0,"🟢 PILOT COMPLETE / ACCEPTANCE READY","🟡 NOT COMPLETE — ACCEPTANCE GATES OPEN")</f>
        <v>🟡 NOT COMPLETE — ACCEPTANCE GATES OPEN</v>
      </c>
      <c r="C170" s="280"/>
      <c r="D170" s="280"/>
      <c r="E170" s="280"/>
      <c r="F170" s="280"/>
      <c r="G170" s="280"/>
      <c r="H170" s="280"/>
    </row>
    <row r="171" spans="1:10">
      <c r="A171" s="276" t="s">
        <v>5784</v>
      </c>
      <c r="B171" s="280">
        <f>COUNTIF(B153:B160,"No")</f>
        <v>8</v>
      </c>
      <c r="C171" s="280"/>
      <c r="D171" s="280"/>
      <c r="E171" s="280"/>
      <c r="F171" s="280"/>
      <c r="G171" s="280"/>
      <c r="H171" s="280"/>
    </row>
    <row r="172" spans="1:10">
      <c r="A172" s="276" t="s">
        <v>5785</v>
      </c>
      <c r="B172" s="280" t="str">
        <f>COUNTIF(B153:B160,"Yes")&amp;" / 8 Complete"</f>
        <v>0 / 8 Complete</v>
      </c>
      <c r="C172" s="280"/>
      <c r="D172" s="280"/>
      <c r="E172" s="280"/>
      <c r="F172" s="280"/>
      <c r="G172" s="280"/>
      <c r="H172" s="280"/>
    </row>
    <row r="173" spans="1:10" ht="93">
      <c r="A173" s="281" t="s">
        <v>5786</v>
      </c>
      <c r="B173" s="282" t="s">
        <v>5787</v>
      </c>
      <c r="C173" s="282"/>
      <c r="D173" s="282"/>
      <c r="E173" s="282"/>
      <c r="F173" s="282"/>
      <c r="G173" s="282"/>
      <c r="H173" s="282"/>
    </row>
    <row r="174" spans="1:10">
      <c r="A174" s="281"/>
      <c r="B174" s="282"/>
      <c r="C174" s="282"/>
      <c r="D174" s="282"/>
      <c r="E174" s="282"/>
      <c r="F174" s="282"/>
      <c r="G174" s="282"/>
      <c r="H174" s="282"/>
    </row>
    <row r="175" spans="1:10" ht="66.599999999999994">
      <c r="A175" s="281" t="s">
        <v>5788</v>
      </c>
      <c r="B175" s="282" t="s">
        <v>5789</v>
      </c>
      <c r="C175" s="282"/>
      <c r="D175" s="282"/>
      <c r="E175" s="282"/>
      <c r="F175" s="282"/>
      <c r="G175" s="282"/>
      <c r="H175" s="282"/>
    </row>
    <row r="176" spans="1:10">
      <c r="A176" s="842" t="s">
        <v>5901</v>
      </c>
      <c r="B176" s="842"/>
      <c r="C176" s="842"/>
      <c r="D176" s="842"/>
      <c r="E176" s="842"/>
      <c r="F176" s="842"/>
      <c r="G176" s="842"/>
      <c r="H176" s="842"/>
      <c r="I176" s="842"/>
      <c r="J176" s="842"/>
    </row>
    <row r="177" spans="1:10">
      <c r="A177" s="340" t="s">
        <v>5886</v>
      </c>
      <c r="B177" s="196"/>
      <c r="C177" s="196"/>
      <c r="D177" s="196"/>
      <c r="E177" s="196"/>
      <c r="F177" s="196"/>
      <c r="G177" s="196"/>
      <c r="H177" s="196"/>
      <c r="I177" s="196"/>
      <c r="J177" s="196"/>
    </row>
    <row r="178" spans="1:10">
      <c r="A178" s="196"/>
      <c r="B178" s="196"/>
      <c r="C178" s="196"/>
      <c r="D178" s="196"/>
      <c r="E178" s="196"/>
      <c r="F178" s="196"/>
      <c r="G178" s="196"/>
      <c r="H178" s="196"/>
      <c r="I178" s="196"/>
      <c r="J178" s="196"/>
    </row>
    <row r="179" spans="1:10">
      <c r="A179" s="196" t="s">
        <v>5887</v>
      </c>
      <c r="B179" s="196"/>
      <c r="C179" s="196"/>
      <c r="D179" s="196"/>
      <c r="E179" s="196"/>
      <c r="F179" s="196"/>
      <c r="G179" s="196"/>
      <c r="H179" s="196"/>
      <c r="I179" s="196"/>
      <c r="J179" s="196"/>
    </row>
    <row r="180" spans="1:10">
      <c r="A180" s="196"/>
      <c r="B180" s="196"/>
      <c r="C180" s="196"/>
      <c r="D180" s="196"/>
      <c r="E180" s="196"/>
      <c r="F180" s="196"/>
      <c r="G180" s="196"/>
      <c r="H180" s="196"/>
      <c r="I180" s="196"/>
      <c r="J180" s="196"/>
    </row>
    <row r="181" spans="1:10">
      <c r="A181" s="196" t="s">
        <v>5888</v>
      </c>
      <c r="B181" s="196"/>
      <c r="C181" s="196"/>
      <c r="D181" s="196"/>
      <c r="E181" s="196"/>
      <c r="F181" s="196"/>
      <c r="G181" s="196"/>
      <c r="H181" s="196"/>
      <c r="I181" s="196"/>
      <c r="J181" s="196"/>
    </row>
    <row r="182" spans="1:10">
      <c r="A182" s="196"/>
      <c r="B182" s="196"/>
      <c r="C182" s="196"/>
      <c r="D182" s="196"/>
      <c r="E182" s="196"/>
      <c r="F182" s="196"/>
      <c r="G182" s="196"/>
      <c r="H182" s="196"/>
      <c r="I182" s="196"/>
      <c r="J182" s="196"/>
    </row>
    <row r="183" spans="1:10">
      <c r="A183" s="196" t="s">
        <v>5889</v>
      </c>
      <c r="B183" s="196"/>
      <c r="C183" s="196"/>
      <c r="D183" s="196"/>
      <c r="E183" s="196"/>
      <c r="F183" s="196"/>
      <c r="G183" s="196"/>
      <c r="H183" s="196"/>
      <c r="I183" s="196"/>
      <c r="J183" s="196"/>
    </row>
    <row r="184" spans="1:10">
      <c r="A184" s="196"/>
      <c r="B184" s="196"/>
      <c r="C184" s="196"/>
      <c r="D184" s="196"/>
      <c r="E184" s="196"/>
      <c r="F184" s="196"/>
      <c r="G184" s="196"/>
      <c r="H184" s="196"/>
      <c r="I184" s="196"/>
      <c r="J184" s="196"/>
    </row>
    <row r="185" spans="1:10">
      <c r="A185" s="196"/>
      <c r="B185" s="196"/>
      <c r="C185" s="196"/>
      <c r="D185" s="196"/>
      <c r="E185" s="196"/>
      <c r="F185" s="196"/>
      <c r="G185" s="196"/>
      <c r="H185" s="196"/>
      <c r="I185" s="196"/>
      <c r="J185" s="196"/>
    </row>
    <row r="186" spans="1:10">
      <c r="A186" s="196"/>
      <c r="B186" s="196"/>
      <c r="C186" s="196"/>
      <c r="D186" s="196"/>
      <c r="E186" s="196"/>
      <c r="F186" s="196"/>
      <c r="G186" s="196"/>
      <c r="H186" s="196"/>
      <c r="I186" s="196"/>
      <c r="J186" s="196"/>
    </row>
    <row r="187" spans="1:10">
      <c r="A187" s="842" t="s">
        <v>5902</v>
      </c>
      <c r="B187" s="842"/>
      <c r="C187" s="842"/>
      <c r="D187" s="842"/>
      <c r="E187" s="842"/>
      <c r="F187" s="842"/>
      <c r="G187" s="842"/>
      <c r="H187" s="842"/>
      <c r="I187" s="842"/>
      <c r="J187" s="842"/>
    </row>
    <row r="188" spans="1:10">
      <c r="A188" s="196"/>
      <c r="B188" s="196"/>
      <c r="C188" s="196"/>
      <c r="D188" s="196"/>
      <c r="E188" s="196"/>
      <c r="F188" s="196"/>
      <c r="G188" s="196"/>
      <c r="H188" s="196"/>
      <c r="I188" s="196"/>
      <c r="J188" s="196"/>
    </row>
    <row r="189" spans="1:10">
      <c r="A189" s="196" t="s">
        <v>5890</v>
      </c>
      <c r="B189" s="196"/>
      <c r="C189" s="196"/>
      <c r="D189" s="196"/>
      <c r="E189" s="196"/>
      <c r="F189" s="196"/>
      <c r="G189" s="196"/>
      <c r="H189" s="196"/>
      <c r="I189" s="196"/>
      <c r="J189" s="196"/>
    </row>
    <row r="190" spans="1:10">
      <c r="A190" s="196"/>
      <c r="B190" s="196"/>
      <c r="C190" s="196"/>
      <c r="D190" s="196"/>
      <c r="E190" s="196"/>
      <c r="F190" s="196"/>
      <c r="G190" s="196"/>
      <c r="H190" s="196"/>
      <c r="I190" s="196"/>
      <c r="J190" s="196"/>
    </row>
    <row r="191" spans="1:10">
      <c r="A191" s="196" t="s">
        <v>5891</v>
      </c>
      <c r="B191" s="196"/>
      <c r="C191" s="196"/>
      <c r="D191" s="196"/>
      <c r="E191" s="196"/>
      <c r="F191" s="196"/>
      <c r="G191" s="196"/>
      <c r="H191" s="196"/>
      <c r="I191" s="196"/>
      <c r="J191" s="196"/>
    </row>
    <row r="192" spans="1:10">
      <c r="A192" s="196"/>
      <c r="B192" s="196"/>
      <c r="C192" s="196"/>
      <c r="D192" s="196"/>
      <c r="E192" s="196"/>
      <c r="F192" s="196"/>
      <c r="G192" s="196"/>
      <c r="H192" s="196"/>
      <c r="I192" s="196"/>
      <c r="J192" s="196"/>
    </row>
    <row r="193" spans="1:10">
      <c r="A193" s="196" t="s">
        <v>5892</v>
      </c>
      <c r="B193" s="196"/>
      <c r="C193" s="196"/>
      <c r="D193" s="196"/>
      <c r="E193" s="196"/>
      <c r="F193" s="196"/>
      <c r="G193" s="196"/>
      <c r="H193" s="196"/>
      <c r="I193" s="196"/>
      <c r="J193" s="196"/>
    </row>
    <row r="194" spans="1:10">
      <c r="A194" s="196"/>
      <c r="B194" s="196"/>
      <c r="C194" s="196"/>
      <c r="D194" s="196"/>
      <c r="E194" s="196"/>
      <c r="F194" s="196"/>
      <c r="G194" s="196"/>
      <c r="H194" s="196"/>
      <c r="I194" s="196"/>
      <c r="J194" s="196"/>
    </row>
    <row r="195" spans="1:10">
      <c r="A195" s="196"/>
      <c r="B195" s="196"/>
      <c r="C195" s="196"/>
      <c r="D195" s="196"/>
      <c r="E195" s="196"/>
      <c r="F195" s="196"/>
      <c r="G195" s="196"/>
      <c r="H195" s="196"/>
      <c r="I195" s="196"/>
      <c r="J195" s="196"/>
    </row>
    <row r="196" spans="1:10">
      <c r="A196" s="196"/>
      <c r="B196" s="196"/>
      <c r="C196" s="196"/>
      <c r="D196" s="196"/>
      <c r="E196" s="196"/>
      <c r="F196" s="196"/>
      <c r="G196" s="196"/>
      <c r="H196" s="196"/>
      <c r="I196" s="196"/>
      <c r="J196" s="196"/>
    </row>
    <row r="197" spans="1:10">
      <c r="A197" s="842" t="s">
        <v>5903</v>
      </c>
      <c r="B197" s="842"/>
      <c r="C197" s="842"/>
      <c r="D197" s="842"/>
      <c r="E197" s="842"/>
      <c r="F197" s="842"/>
      <c r="G197" s="842"/>
      <c r="H197" s="842"/>
      <c r="I197" s="842"/>
      <c r="J197" s="842"/>
    </row>
    <row r="198" spans="1:10">
      <c r="A198" s="196"/>
      <c r="B198" s="196"/>
      <c r="C198" s="196"/>
      <c r="D198" s="196"/>
      <c r="E198" s="196"/>
      <c r="F198" s="196"/>
      <c r="G198" s="196"/>
      <c r="H198" s="196"/>
      <c r="I198" s="196"/>
      <c r="J198" s="196"/>
    </row>
    <row r="199" spans="1:10">
      <c r="A199" s="196" t="s">
        <v>5893</v>
      </c>
      <c r="B199" s="196"/>
      <c r="C199" s="196"/>
      <c r="D199" s="196"/>
      <c r="E199" s="196"/>
      <c r="F199" s="196"/>
      <c r="G199" s="196"/>
      <c r="H199" s="196"/>
      <c r="I199" s="196"/>
      <c r="J199" s="196"/>
    </row>
    <row r="200" spans="1:10">
      <c r="A200" s="196"/>
      <c r="B200" s="196"/>
      <c r="C200" s="196"/>
      <c r="D200" s="196"/>
      <c r="E200" s="196"/>
      <c r="F200" s="196"/>
      <c r="G200" s="196"/>
      <c r="H200" s="196"/>
      <c r="I200" s="196"/>
      <c r="J200" s="196"/>
    </row>
    <row r="201" spans="1:10">
      <c r="A201" s="196" t="s">
        <v>5894</v>
      </c>
      <c r="B201" s="196"/>
      <c r="C201" s="196"/>
      <c r="D201" s="196"/>
      <c r="E201" s="196"/>
      <c r="F201" s="196"/>
      <c r="G201" s="196"/>
      <c r="H201" s="196"/>
      <c r="I201" s="196"/>
      <c r="J201" s="196"/>
    </row>
    <row r="202" spans="1:10">
      <c r="A202" s="196"/>
      <c r="B202" s="196"/>
      <c r="C202" s="196"/>
      <c r="D202" s="196"/>
      <c r="E202" s="196"/>
      <c r="F202" s="196"/>
      <c r="G202" s="196"/>
      <c r="H202" s="196"/>
      <c r="I202" s="196"/>
      <c r="J202" s="196"/>
    </row>
    <row r="203" spans="1:10">
      <c r="A203" s="196" t="s">
        <v>5895</v>
      </c>
      <c r="B203" s="196"/>
      <c r="C203" s="196"/>
      <c r="D203" s="196"/>
      <c r="E203" s="196"/>
      <c r="F203" s="196"/>
      <c r="G203" s="196"/>
      <c r="H203" s="196"/>
      <c r="I203" s="196"/>
      <c r="J203" s="196"/>
    </row>
    <row r="204" spans="1:10">
      <c r="A204" s="196"/>
      <c r="B204" s="196"/>
      <c r="C204" s="196"/>
      <c r="D204" s="196"/>
      <c r="E204" s="196"/>
      <c r="F204" s="196"/>
      <c r="G204" s="196"/>
      <c r="H204" s="196"/>
      <c r="I204" s="196"/>
      <c r="J204" s="196"/>
    </row>
    <row r="205" spans="1:10">
      <c r="A205" s="196" t="s">
        <v>5896</v>
      </c>
      <c r="B205" s="196"/>
      <c r="C205" s="196"/>
      <c r="D205" s="196"/>
      <c r="E205" s="196"/>
      <c r="F205" s="196"/>
      <c r="G205" s="196"/>
      <c r="H205" s="196"/>
      <c r="I205" s="196"/>
      <c r="J205" s="196"/>
    </row>
    <row r="206" spans="1:10">
      <c r="A206" s="196"/>
      <c r="B206" s="196"/>
      <c r="C206" s="196"/>
      <c r="D206" s="196"/>
      <c r="E206" s="196"/>
      <c r="F206" s="196"/>
      <c r="G206" s="196"/>
      <c r="H206" s="196"/>
      <c r="I206" s="196"/>
      <c r="J206" s="196"/>
    </row>
    <row r="207" spans="1:10">
      <c r="A207" s="196"/>
      <c r="B207" s="196"/>
      <c r="C207" s="196"/>
      <c r="D207" s="196"/>
      <c r="E207" s="196"/>
      <c r="F207" s="196"/>
      <c r="G207" s="196"/>
      <c r="H207" s="196"/>
      <c r="I207" s="196"/>
      <c r="J207" s="196"/>
    </row>
    <row r="208" spans="1:10">
      <c r="A208" s="196"/>
      <c r="B208" s="196"/>
      <c r="C208" s="196"/>
      <c r="D208" s="196"/>
      <c r="E208" s="196"/>
      <c r="F208" s="196"/>
      <c r="G208" s="196"/>
      <c r="H208" s="196"/>
      <c r="I208" s="196"/>
      <c r="J208" s="196"/>
    </row>
    <row r="209" spans="1:10">
      <c r="A209" s="842" t="s">
        <v>5904</v>
      </c>
      <c r="B209" s="842"/>
      <c r="C209" s="842"/>
      <c r="D209" s="842"/>
      <c r="E209" s="842"/>
      <c r="F209" s="842"/>
      <c r="G209" s="842"/>
      <c r="H209" s="842"/>
      <c r="I209" s="842"/>
      <c r="J209" s="842"/>
    </row>
    <row r="210" spans="1:10">
      <c r="A210" s="196"/>
      <c r="B210" s="196"/>
      <c r="C210" s="196"/>
      <c r="D210" s="196"/>
      <c r="E210" s="196"/>
      <c r="F210" s="196"/>
      <c r="G210" s="196"/>
      <c r="H210" s="196"/>
      <c r="I210" s="196"/>
      <c r="J210" s="196"/>
    </row>
    <row r="211" spans="1:10">
      <c r="A211" s="196" t="s">
        <v>5897</v>
      </c>
      <c r="B211" s="196"/>
      <c r="C211" s="196"/>
      <c r="D211" s="196"/>
      <c r="E211" s="196"/>
      <c r="F211" s="196"/>
      <c r="G211" s="196"/>
      <c r="H211" s="196"/>
      <c r="I211" s="196"/>
      <c r="J211" s="196"/>
    </row>
    <row r="212" spans="1:10">
      <c r="A212" s="196"/>
      <c r="B212" s="196"/>
      <c r="C212" s="196"/>
      <c r="D212" s="196"/>
      <c r="E212" s="196"/>
      <c r="F212" s="196"/>
      <c r="G212" s="196"/>
      <c r="H212" s="196"/>
      <c r="I212" s="196"/>
      <c r="J212" s="196"/>
    </row>
    <row r="213" spans="1:10">
      <c r="A213" s="196" t="s">
        <v>5898</v>
      </c>
      <c r="B213" s="196"/>
      <c r="C213" s="196"/>
      <c r="D213" s="196"/>
      <c r="E213" s="196"/>
      <c r="F213" s="196"/>
      <c r="G213" s="196"/>
      <c r="H213" s="196"/>
      <c r="I213" s="196"/>
      <c r="J213" s="196"/>
    </row>
    <row r="214" spans="1:10">
      <c r="A214" s="196"/>
      <c r="B214" s="196"/>
      <c r="C214" s="196"/>
      <c r="D214" s="196"/>
      <c r="E214" s="196"/>
      <c r="F214" s="196"/>
      <c r="G214" s="196"/>
      <c r="H214" s="196"/>
      <c r="I214" s="196"/>
      <c r="J214" s="196"/>
    </row>
    <row r="215" spans="1:10">
      <c r="A215" s="196" t="s">
        <v>5899</v>
      </c>
      <c r="B215" s="196"/>
      <c r="C215" s="196"/>
      <c r="D215" s="196"/>
      <c r="E215" s="196"/>
      <c r="F215" s="196"/>
      <c r="G215" s="196"/>
      <c r="H215" s="196"/>
      <c r="I215" s="196"/>
      <c r="J215" s="196"/>
    </row>
    <row r="216" spans="1:10">
      <c r="A216" s="196"/>
      <c r="B216" s="196"/>
      <c r="C216" s="196"/>
      <c r="D216" s="196"/>
      <c r="E216" s="196"/>
      <c r="F216" s="196"/>
      <c r="G216" s="196"/>
      <c r="H216" s="196"/>
      <c r="I216" s="196"/>
      <c r="J216" s="196"/>
    </row>
    <row r="217" spans="1:10">
      <c r="A217" s="196"/>
      <c r="B217" s="196"/>
      <c r="C217" s="196"/>
      <c r="D217" s="196"/>
      <c r="E217" s="196"/>
      <c r="F217" s="196"/>
      <c r="G217" s="196"/>
      <c r="H217" s="196"/>
      <c r="I217" s="196"/>
      <c r="J217" s="196"/>
    </row>
    <row r="218" spans="1:10">
      <c r="A218" s="196"/>
      <c r="B218" s="196"/>
      <c r="C218" s="196"/>
      <c r="D218" s="196"/>
      <c r="E218" s="196"/>
      <c r="F218" s="196"/>
      <c r="G218" s="196"/>
      <c r="H218" s="196"/>
      <c r="I218" s="196"/>
      <c r="J218" s="196"/>
    </row>
    <row r="219" spans="1:10">
      <c r="A219" s="196" t="s">
        <v>5900</v>
      </c>
      <c r="B219" s="196"/>
      <c r="C219" s="196"/>
      <c r="D219" s="196"/>
      <c r="E219" s="196"/>
      <c r="F219" s="196"/>
      <c r="G219" s="196"/>
      <c r="H219" s="196"/>
      <c r="I219" s="196"/>
      <c r="J219" s="196"/>
    </row>
    <row r="220" spans="1:10">
      <c r="A220" s="196"/>
      <c r="B220" s="196"/>
      <c r="C220" s="196"/>
      <c r="D220" s="196"/>
      <c r="E220" s="196"/>
      <c r="F220" s="196"/>
      <c r="G220" s="196"/>
      <c r="H220" s="196"/>
      <c r="I220" s="196"/>
      <c r="J220" s="196"/>
    </row>
    <row r="221" spans="1:10">
      <c r="A221" s="341"/>
      <c r="B221" s="341"/>
      <c r="C221" s="341"/>
      <c r="D221" s="341"/>
      <c r="E221" s="341"/>
      <c r="F221" s="341"/>
      <c r="G221" s="341"/>
      <c r="H221" s="341"/>
      <c r="I221" s="341"/>
      <c r="J221" s="341"/>
    </row>
    <row r="222" spans="1:10">
      <c r="A222" s="341"/>
      <c r="B222" s="341"/>
      <c r="C222" s="341"/>
      <c r="D222" s="341"/>
      <c r="E222" s="341"/>
      <c r="F222" s="341"/>
      <c r="G222" s="341"/>
      <c r="H222" s="341"/>
      <c r="I222" s="341"/>
      <c r="J222" s="341"/>
    </row>
    <row r="223" spans="1:10">
      <c r="A223" s="341"/>
      <c r="B223" s="341"/>
      <c r="C223" s="341"/>
      <c r="D223" s="341"/>
      <c r="E223" s="341"/>
      <c r="F223" s="341"/>
      <c r="G223" s="341"/>
      <c r="H223" s="341"/>
      <c r="I223" s="341"/>
      <c r="J223" s="341"/>
    </row>
    <row r="224" spans="1:10">
      <c r="A224" s="341"/>
      <c r="B224" s="341"/>
      <c r="C224" s="341"/>
      <c r="D224" s="341"/>
      <c r="E224" s="341"/>
      <c r="F224" s="341"/>
      <c r="G224" s="341"/>
      <c r="H224" s="341"/>
      <c r="I224" s="341"/>
      <c r="J224" s="341"/>
    </row>
    <row r="225" spans="1:10">
      <c r="A225" s="341"/>
      <c r="B225" s="341"/>
      <c r="C225" s="341"/>
      <c r="D225" s="341"/>
      <c r="E225" s="341"/>
      <c r="F225" s="341"/>
      <c r="G225" s="341"/>
      <c r="H225" s="341"/>
      <c r="I225" s="341"/>
      <c r="J225" s="341"/>
    </row>
    <row r="226" spans="1:10">
      <c r="A226" s="341"/>
      <c r="B226" s="341"/>
      <c r="C226" s="341"/>
      <c r="D226" s="341"/>
      <c r="E226" s="341"/>
      <c r="F226" s="341"/>
      <c r="G226" s="341"/>
      <c r="H226" s="341"/>
      <c r="I226" s="341"/>
      <c r="J226" s="341"/>
    </row>
    <row r="227" spans="1:10">
      <c r="A227" s="341"/>
      <c r="B227" s="341"/>
      <c r="C227" s="341"/>
      <c r="D227" s="341"/>
      <c r="E227" s="341"/>
      <c r="F227" s="341"/>
      <c r="G227" s="341"/>
      <c r="H227" s="341"/>
      <c r="I227" s="341"/>
      <c r="J227" s="341"/>
    </row>
    <row r="228" spans="1:10">
      <c r="A228" s="341"/>
      <c r="B228" s="341"/>
      <c r="C228" s="341"/>
      <c r="D228" s="341"/>
      <c r="E228" s="341"/>
      <c r="F228" s="341"/>
      <c r="G228" s="341"/>
      <c r="H228" s="341"/>
      <c r="I228" s="341"/>
      <c r="J228" s="341"/>
    </row>
    <row r="229" spans="1:10">
      <c r="A229" s="341"/>
      <c r="B229" s="341"/>
      <c r="C229" s="341"/>
      <c r="D229" s="341"/>
      <c r="E229" s="341"/>
      <c r="F229" s="341"/>
      <c r="G229" s="341"/>
      <c r="H229" s="341"/>
      <c r="I229" s="341"/>
      <c r="J229" s="341"/>
    </row>
    <row r="230" spans="1:10">
      <c r="A230" s="196"/>
      <c r="B230" s="196"/>
      <c r="C230" s="196"/>
      <c r="D230" s="196"/>
      <c r="E230" s="196"/>
      <c r="F230" s="196"/>
      <c r="G230" s="196"/>
      <c r="H230" s="196"/>
      <c r="I230" s="196"/>
      <c r="J230" s="196"/>
    </row>
    <row r="231" spans="1:10">
      <c r="A231" s="320"/>
      <c r="B231" s="320"/>
      <c r="C231" s="320"/>
      <c r="D231" s="320"/>
      <c r="E231" s="320"/>
      <c r="F231" s="320"/>
      <c r="G231" s="874"/>
      <c r="H231" s="874"/>
      <c r="I231" s="874"/>
      <c r="J231" s="874"/>
    </row>
  </sheetData>
  <mergeCells count="119">
    <mergeCell ref="B88:J88"/>
    <mergeCell ref="B87:J87"/>
    <mergeCell ref="A33:C33"/>
    <mergeCell ref="A76:C76"/>
    <mergeCell ref="A23:C23"/>
    <mergeCell ref="B85:J85"/>
    <mergeCell ref="D6:J6"/>
    <mergeCell ref="A65:C65"/>
    <mergeCell ref="A54:C54"/>
    <mergeCell ref="B86:J86"/>
    <mergeCell ref="A8:C8"/>
    <mergeCell ref="B84:J84"/>
    <mergeCell ref="B83:J83"/>
    <mergeCell ref="A43:C43"/>
    <mergeCell ref="A81:C81"/>
    <mergeCell ref="A38:C38"/>
    <mergeCell ref="A28:C28"/>
    <mergeCell ref="A13:C13"/>
    <mergeCell ref="A18:C18"/>
    <mergeCell ref="G93:J93"/>
    <mergeCell ref="G95:J95"/>
    <mergeCell ref="A97:B97"/>
    <mergeCell ref="E97:J97"/>
    <mergeCell ref="A99:C99"/>
    <mergeCell ref="D99:F99"/>
    <mergeCell ref="G99:J99"/>
    <mergeCell ref="A90:C90"/>
    <mergeCell ref="D90:F90"/>
    <mergeCell ref="G90:J90"/>
    <mergeCell ref="G91:J91"/>
    <mergeCell ref="G92:J92"/>
    <mergeCell ref="F105:J105"/>
    <mergeCell ref="F106:J106"/>
    <mergeCell ref="F107:J107"/>
    <mergeCell ref="F108:J108"/>
    <mergeCell ref="A109:B109"/>
    <mergeCell ref="C109:D109"/>
    <mergeCell ref="E109:J109"/>
    <mergeCell ref="G100:J100"/>
    <mergeCell ref="F101:J101"/>
    <mergeCell ref="F102:J102"/>
    <mergeCell ref="F103:J103"/>
    <mergeCell ref="F104:J104"/>
    <mergeCell ref="G114:J114"/>
    <mergeCell ref="G115:J115"/>
    <mergeCell ref="G116:J116"/>
    <mergeCell ref="G117:J117"/>
    <mergeCell ref="A118:B118"/>
    <mergeCell ref="C118:D118"/>
    <mergeCell ref="E118:J118"/>
    <mergeCell ref="A111:C111"/>
    <mergeCell ref="D111:F111"/>
    <mergeCell ref="G111:J111"/>
    <mergeCell ref="G112:J112"/>
    <mergeCell ref="G113:J113"/>
    <mergeCell ref="G122:J122"/>
    <mergeCell ref="G123:J123"/>
    <mergeCell ref="G124:J124"/>
    <mergeCell ref="G125:J125"/>
    <mergeCell ref="A126:D127"/>
    <mergeCell ref="E126:J127"/>
    <mergeCell ref="G119:J119"/>
    <mergeCell ref="A120:C120"/>
    <mergeCell ref="D120:F120"/>
    <mergeCell ref="G120:J120"/>
    <mergeCell ref="G121:J121"/>
    <mergeCell ref="G131:J131"/>
    <mergeCell ref="G132:J132"/>
    <mergeCell ref="G133:J133"/>
    <mergeCell ref="G134:J134"/>
    <mergeCell ref="G135:J135"/>
    <mergeCell ref="A128:C128"/>
    <mergeCell ref="D128:F128"/>
    <mergeCell ref="G128:J128"/>
    <mergeCell ref="G129:J129"/>
    <mergeCell ref="G130:J130"/>
    <mergeCell ref="B141:J141"/>
    <mergeCell ref="B142:J142"/>
    <mergeCell ref="B143:J143"/>
    <mergeCell ref="B144:J144"/>
    <mergeCell ref="B145:J145"/>
    <mergeCell ref="A136:B136"/>
    <mergeCell ref="C136:D136"/>
    <mergeCell ref="E136:J136"/>
    <mergeCell ref="A138:C138"/>
    <mergeCell ref="B140:J140"/>
    <mergeCell ref="B163:D163"/>
    <mergeCell ref="E163:G163"/>
    <mergeCell ref="B164:D164"/>
    <mergeCell ref="E164:G164"/>
    <mergeCell ref="B165:D165"/>
    <mergeCell ref="E165:G165"/>
    <mergeCell ref="B146:J146"/>
    <mergeCell ref="A148:H148"/>
    <mergeCell ref="B149:H149"/>
    <mergeCell ref="B150:H150"/>
    <mergeCell ref="B162:D162"/>
    <mergeCell ref="E162:G162"/>
    <mergeCell ref="B169:D169"/>
    <mergeCell ref="E169:G169"/>
    <mergeCell ref="A176:C176"/>
    <mergeCell ref="D176:F176"/>
    <mergeCell ref="G176:J176"/>
    <mergeCell ref="B166:D166"/>
    <mergeCell ref="E166:G166"/>
    <mergeCell ref="B167:D167"/>
    <mergeCell ref="E167:G167"/>
    <mergeCell ref="B168:D168"/>
    <mergeCell ref="E168:G168"/>
    <mergeCell ref="A209:C209"/>
    <mergeCell ref="D209:F209"/>
    <mergeCell ref="G209:J209"/>
    <mergeCell ref="G231:J231"/>
    <mergeCell ref="A187:C187"/>
    <mergeCell ref="D187:F187"/>
    <mergeCell ref="G187:J187"/>
    <mergeCell ref="A197:C197"/>
    <mergeCell ref="D197:F197"/>
    <mergeCell ref="G197:J197"/>
  </mergeCells>
  <conditionalFormatting sqref="B92:B96">
    <cfRule type="expression" dxfId="624" priority="21">
      <formula>B92="Complete"</formula>
    </cfRule>
    <cfRule type="expression" dxfId="623" priority="22">
      <formula>B92="In Progress"</formula>
    </cfRule>
    <cfRule type="expression" dxfId="622" priority="23">
      <formula>B92="At Risk"</formula>
    </cfRule>
    <cfRule type="expression" dxfId="621" priority="24">
      <formula>B92="Blocked"</formula>
    </cfRule>
    <cfRule type="expression" dxfId="620" priority="25">
      <formula>B92="Not Started"</formula>
    </cfRule>
  </conditionalFormatting>
  <conditionalFormatting sqref="B101:B108">
    <cfRule type="expression" dxfId="619" priority="1">
      <formula>B101="Complete"</formula>
    </cfRule>
    <cfRule type="expression" dxfId="618" priority="2">
      <formula>B101="In Progress"</formula>
    </cfRule>
    <cfRule type="expression" dxfId="617" priority="3">
      <formula>B101="At Risk"</formula>
    </cfRule>
    <cfRule type="expression" dxfId="616" priority="4">
      <formula>B101="Blocked"</formula>
    </cfRule>
    <cfRule type="expression" dxfId="615" priority="5">
      <formula>B101="Not Started"</formula>
    </cfRule>
  </conditionalFormatting>
  <conditionalFormatting sqref="B113:B117">
    <cfRule type="expression" dxfId="614" priority="26">
      <formula>B113="Complete"</formula>
    </cfRule>
    <cfRule type="expression" dxfId="613" priority="27">
      <formula>B113="In Progress"</formula>
    </cfRule>
    <cfRule type="expression" dxfId="612" priority="28">
      <formula>B113="At Risk"</formula>
    </cfRule>
    <cfRule type="expression" dxfId="611" priority="29">
      <formula>B113="Blocked"</formula>
    </cfRule>
    <cfRule type="expression" dxfId="610" priority="30">
      <formula>B113="Not Started"</formula>
    </cfRule>
  </conditionalFormatting>
  <conditionalFormatting sqref="B122:B125">
    <cfRule type="expression" dxfId="609" priority="6">
      <formula>B122="Complete"</formula>
    </cfRule>
    <cfRule type="expression" dxfId="608" priority="7">
      <formula>B122="In Progress"</formula>
    </cfRule>
    <cfRule type="expression" dxfId="607" priority="8">
      <formula>B122="At Risk"</formula>
    </cfRule>
    <cfRule type="expression" dxfId="606" priority="9">
      <formula>B122="Blocked"</formula>
    </cfRule>
    <cfRule type="expression" dxfId="605" priority="10">
      <formula>B122="Not Started"</formula>
    </cfRule>
  </conditionalFormatting>
  <conditionalFormatting sqref="B130:B135">
    <cfRule type="expression" dxfId="604" priority="11">
      <formula>B130="Complete"</formula>
    </cfRule>
    <cfRule type="expression" dxfId="603" priority="12">
      <formula>B130="In Progress"</formula>
    </cfRule>
    <cfRule type="expression" dxfId="602" priority="13">
      <formula>B130="At Risk"</formula>
    </cfRule>
    <cfRule type="expression" dxfId="601" priority="14">
      <formula>B130="Blocked"</formula>
    </cfRule>
    <cfRule type="expression" dxfId="600" priority="15">
      <formula>B130="Not Started"</formula>
    </cfRule>
  </conditionalFormatting>
  <conditionalFormatting sqref="B153:B160">
    <cfRule type="expression" dxfId="599" priority="82">
      <formula>B153="Yes"</formula>
    </cfRule>
    <cfRule type="expression" dxfId="598" priority="83">
      <formula>B153="N/A"</formula>
    </cfRule>
    <cfRule type="expression" dxfId="597" priority="84">
      <formula>B153="No"</formula>
    </cfRule>
  </conditionalFormatting>
  <conditionalFormatting sqref="B170:H170">
    <cfRule type="expression" dxfId="596" priority="85">
      <formula>COUNTIF($B$6:$B$13,"No")=0</formula>
    </cfRule>
    <cfRule type="expression" dxfId="595" priority="86">
      <formula>COUNTIF($B$6:$B$13,"No")&gt;0</formula>
    </cfRule>
  </conditionalFormatting>
  <conditionalFormatting sqref="C97:D97">
    <cfRule type="dataBar" priority="37">
      <dataBar>
        <cfvo type="num" val="0"/>
        <cfvo type="num" val="1"/>
        <color rgb="FF5B9BD5"/>
      </dataBar>
    </cfRule>
  </conditionalFormatting>
  <conditionalFormatting sqref="C101:D108">
    <cfRule type="expression" dxfId="594" priority="31">
      <formula>C101="Yes"</formula>
    </cfRule>
    <cfRule type="expression" dxfId="593" priority="32">
      <formula>C101="No"</formula>
    </cfRule>
    <cfRule type="expression" dxfId="592" priority="33">
      <formula>C101="N/A"</formula>
    </cfRule>
  </conditionalFormatting>
  <conditionalFormatting sqref="C109:D109">
    <cfRule type="dataBar" priority="38">
      <dataBar>
        <cfvo type="num" val="0"/>
        <cfvo type="num" val="1"/>
        <color rgb="FF5B9BD5"/>
      </dataBar>
    </cfRule>
  </conditionalFormatting>
  <conditionalFormatting sqref="C118:D118">
    <cfRule type="dataBar" priority="39">
      <dataBar>
        <cfvo type="num" val="0"/>
        <cfvo type="num" val="1"/>
        <color rgb="FF5B9BD5"/>
      </dataBar>
    </cfRule>
  </conditionalFormatting>
  <conditionalFormatting sqref="C130:D135">
    <cfRule type="expression" dxfId="591" priority="16">
      <formula>C130="Yes"</formula>
    </cfRule>
    <cfRule type="expression" dxfId="590" priority="17">
      <formula>C130="No"</formula>
    </cfRule>
    <cfRule type="expression" dxfId="589" priority="18">
      <formula>C130="N/A"</formula>
    </cfRule>
  </conditionalFormatting>
  <conditionalFormatting sqref="C136:D136">
    <cfRule type="dataBar" priority="20">
      <dataBar>
        <cfvo type="num" val="0"/>
        <cfvo type="num" val="1"/>
        <color rgb="FF5B9BD5"/>
      </dataBar>
    </cfRule>
  </conditionalFormatting>
  <conditionalFormatting sqref="E5 G5 I5">
    <cfRule type="expression" dxfId="588" priority="87">
      <formula>E5="Pass"</formula>
    </cfRule>
    <cfRule type="expression" dxfId="587" priority="88">
      <formula>E5="Verify"</formula>
    </cfRule>
    <cfRule type="expression" dxfId="586" priority="89">
      <formula>E5="Fail"</formula>
    </cfRule>
    <cfRule type="expression" dxfId="585" priority="90">
      <formula>E5="Not Started"</formula>
    </cfRule>
  </conditionalFormatting>
  <conditionalFormatting sqref="F3">
    <cfRule type="expression" dxfId="584" priority="91">
      <formula>F3="Yes"</formula>
    </cfRule>
    <cfRule type="expression" dxfId="583" priority="92">
      <formula>F3="No"</formula>
    </cfRule>
  </conditionalFormatting>
  <conditionalFormatting sqref="F113:F117">
    <cfRule type="expression" dxfId="582" priority="34">
      <formula>F113="Pass"</formula>
    </cfRule>
    <cfRule type="expression" dxfId="581" priority="35">
      <formula>F113="Fail"</formula>
    </cfRule>
    <cfRule type="expression" dxfId="580" priority="36">
      <formula>F113="Pending"</formula>
    </cfRule>
  </conditionalFormatting>
  <conditionalFormatting sqref="F122:F125">
    <cfRule type="dataBar" priority="19">
      <dataBar>
        <cfvo type="num" val="0"/>
        <cfvo type="num" val="1"/>
        <color rgb="FF5B9BD5"/>
      </dataBar>
    </cfRule>
  </conditionalFormatting>
  <dataValidations count="6">
    <dataValidation type="list" sqref="B5:B6 B15:C15 B35:I35 D5 D26:I26 D30:E30 E15:E16 E31 E36:I36 F5 G15:G16 G20:I21 G30:I31 H5 H10:H16 H17:I19 H22:I25 H27:I29 H32:I34 J5 H84:I88 I15:I16 D56:D63 H37:I82" xr:uid="{00000000-0002-0000-3500-000000000000}">
      <formula1>"Not Started,Verify,Pass,Fail,N/A,Open,Closed,Partial / Yellow,Excluded / Verify Existing,Excluded / Firestop Only"</formula1>
      <formula2>0</formula2>
    </dataValidation>
    <dataValidation type="list" allowBlank="1" sqref="F113:F117" xr:uid="{FE9C2356-D2F6-4709-BFC4-FF13B71CEC47}">
      <formula1>"Pending,Pass,Fail,N/A"</formula1>
    </dataValidation>
    <dataValidation type="list" allowBlank="1" sqref="C101:D108 C130:D135" xr:uid="{D0C31AD9-00FD-4666-9F1E-4CC52E73260D}">
      <formula1>"Yes,No,N/A"</formula1>
    </dataValidation>
    <dataValidation type="list" allowBlank="1" sqref="B122:B125 B113:B117" xr:uid="{63E45432-2FFB-4764-AD31-303391C157F9}">
      <formula1>"Not Started,In Progress,Complete,At Risk,Blocked"</formula1>
    </dataValidation>
    <dataValidation type="list" sqref="B153:B160" xr:uid="{62A916C6-C258-4E07-882A-74B48093BA94}">
      <formula1>"No,Yes,N/A"</formula1>
    </dataValidation>
    <dataValidation type="list" sqref="H141:I146 H138:I139" xr:uid="{27CF35F4-048C-4729-AE32-BBC97D10AA16}">
      <formula1>"Not Started,Verify,Pass,Fail,N/A,Open,Closed,Partial / Yellow"</formula1>
      <formula2>0</formula2>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DEE8913B-5250-406D-8146-5F81EFEAEAC7}">
          <x14:formula1>
            <xm:f>Lookup_Lists!$L$37:$L$39</xm:f>
          </x14:formula1>
          <xm:sqref>C113:E117 J2</xm:sqref>
        </x14:dataValidation>
        <x14:dataValidation type="list" allowBlank="1" showInputMessage="1" showErrorMessage="1" xr:uid="{E9831A99-A7F8-4B3C-A0F9-83CE6D6EC88E}">
          <x14:formula1>
            <xm:f>Lookup_Lists!$A$36:$A$42</xm:f>
          </x14:formula1>
          <xm:sqref>B92:B96 B101:B108 B130:B135</xm:sqref>
        </x14:dataValidation>
      </x14:dataValidations>
    </ext>
  </extLst>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EB881-7C8B-43CB-BDF2-76006CB8ED00}">
  <dimension ref="A1:J239"/>
  <sheetViews>
    <sheetView workbookViewId="0">
      <selection activeCell="D4" sqref="D4"/>
    </sheetView>
  </sheetViews>
  <sheetFormatPr defaultColWidth="8.6640625" defaultRowHeight="14.4"/>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6640625" style="8" customWidth="1"/>
    <col min="13" max="16384" width="8.6640625" style="8"/>
  </cols>
  <sheetData>
    <row r="1" spans="1:10">
      <c r="A1" s="851" t="s">
        <v>2876</v>
      </c>
      <c r="B1" s="839"/>
      <c r="C1" s="839"/>
      <c r="D1" s="839"/>
      <c r="E1" s="839"/>
      <c r="F1" s="839"/>
      <c r="G1" s="839"/>
      <c r="H1" s="839"/>
      <c r="I1" s="839"/>
      <c r="J1" s="839"/>
    </row>
    <row r="2" spans="1:10" s="227" customFormat="1">
      <c r="A2" s="223" t="s">
        <v>142</v>
      </c>
      <c r="B2" s="224" t="s">
        <v>2877</v>
      </c>
      <c r="C2" s="223" t="s">
        <v>902</v>
      </c>
      <c r="D2" s="224" t="s">
        <v>1094</v>
      </c>
      <c r="E2" s="223" t="s">
        <v>151</v>
      </c>
      <c r="F2" s="224" t="s">
        <v>1095</v>
      </c>
      <c r="G2" s="223" t="s">
        <v>174</v>
      </c>
      <c r="H2" s="225">
        <v>0.5</v>
      </c>
      <c r="I2" s="223" t="s">
        <v>154</v>
      </c>
      <c r="J2" s="226" t="s">
        <v>1096</v>
      </c>
    </row>
    <row r="3" spans="1:10" s="231" customFormat="1" ht="27.6">
      <c r="A3" s="223" t="s">
        <v>903</v>
      </c>
      <c r="B3" s="228">
        <v>46198.709031967592</v>
      </c>
      <c r="C3" s="229" t="s">
        <v>904</v>
      </c>
      <c r="D3" s="230" t="s">
        <v>721</v>
      </c>
      <c r="E3" s="223" t="s">
        <v>905</v>
      </c>
      <c r="F3" s="230" t="s">
        <v>2878</v>
      </c>
      <c r="G3" s="223" t="s">
        <v>907</v>
      </c>
      <c r="H3" s="230" t="s">
        <v>908</v>
      </c>
      <c r="I3" s="223" t="s">
        <v>551</v>
      </c>
      <c r="J3" s="230" t="s">
        <v>2879</v>
      </c>
    </row>
    <row r="4" spans="1:10" s="231" customFormat="1" ht="331.2">
      <c r="A4" s="223" t="s">
        <v>161</v>
      </c>
      <c r="B4" s="230">
        <v>0</v>
      </c>
      <c r="C4" s="223" t="s">
        <v>199</v>
      </c>
      <c r="D4" s="230">
        <v>0</v>
      </c>
      <c r="E4" s="223" t="s">
        <v>179</v>
      </c>
      <c r="F4" s="230">
        <v>0</v>
      </c>
      <c r="G4" s="223" t="s">
        <v>870</v>
      </c>
      <c r="H4" s="232" t="s">
        <v>2880</v>
      </c>
      <c r="I4" s="233"/>
      <c r="J4" s="233"/>
    </row>
    <row r="5" spans="1:10" s="231" customFormat="1">
      <c r="A5" s="234" t="s">
        <v>911</v>
      </c>
      <c r="B5" s="225" t="s">
        <v>677</v>
      </c>
      <c r="C5" s="235" t="s">
        <v>912</v>
      </c>
      <c r="D5" s="225" t="s">
        <v>677</v>
      </c>
      <c r="E5" s="236" t="s">
        <v>913</v>
      </c>
      <c r="F5" s="225" t="s">
        <v>677</v>
      </c>
      <c r="G5" s="237" t="s">
        <v>914</v>
      </c>
      <c r="H5" s="225" t="s">
        <v>2761</v>
      </c>
      <c r="I5" s="237" t="s">
        <v>915</v>
      </c>
      <c r="J5" s="225" t="s">
        <v>947</v>
      </c>
    </row>
    <row r="6" spans="1:10" s="231" customFormat="1" ht="31.5" customHeight="1">
      <c r="A6" s="238" t="s">
        <v>916</v>
      </c>
      <c r="B6" s="225" t="s">
        <v>947</v>
      </c>
      <c r="C6" s="239" t="s">
        <v>869</v>
      </c>
      <c r="D6" s="854" t="s">
        <v>2881</v>
      </c>
      <c r="E6" s="853"/>
      <c r="F6" s="853"/>
      <c r="G6" s="853"/>
      <c r="H6" s="853"/>
      <c r="I6" s="853"/>
      <c r="J6" s="853"/>
    </row>
    <row r="7" spans="1:10">
      <c r="A7" s="13"/>
      <c r="B7" s="13"/>
      <c r="C7" s="13"/>
      <c r="D7" s="13"/>
      <c r="E7" s="13"/>
      <c r="F7" s="13"/>
      <c r="G7" s="13"/>
      <c r="H7" s="13"/>
      <c r="I7" s="13"/>
      <c r="J7" s="13"/>
    </row>
    <row r="8" spans="1:10">
      <c r="A8" s="842" t="s">
        <v>918</v>
      </c>
      <c r="B8" s="839"/>
      <c r="C8" s="839"/>
      <c r="D8" s="85"/>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124.2">
      <c r="A10" s="13" t="s">
        <v>2877</v>
      </c>
      <c r="B10" s="13" t="s">
        <v>425</v>
      </c>
      <c r="C10" s="13" t="s">
        <v>919</v>
      </c>
      <c r="D10" s="13" t="s">
        <v>2882</v>
      </c>
      <c r="E10" s="13" t="s">
        <v>2764</v>
      </c>
      <c r="F10" s="13">
        <v>1</v>
      </c>
      <c r="G10" s="13">
        <v>0</v>
      </c>
      <c r="H10" s="13" t="s">
        <v>677</v>
      </c>
      <c r="I10" s="13" t="s">
        <v>2883</v>
      </c>
      <c r="J10" s="13" t="s">
        <v>2884</v>
      </c>
    </row>
    <row r="11" spans="1:10" ht="96.6">
      <c r="A11" s="13" t="s">
        <v>2877</v>
      </c>
      <c r="B11" s="13" t="s">
        <v>2885</v>
      </c>
      <c r="C11" s="13" t="s">
        <v>923</v>
      </c>
      <c r="D11" s="13" t="s">
        <v>2886</v>
      </c>
      <c r="E11" s="13" t="s">
        <v>925</v>
      </c>
      <c r="F11" s="13">
        <v>1</v>
      </c>
      <c r="G11" s="13">
        <v>0</v>
      </c>
      <c r="H11" s="13" t="s">
        <v>677</v>
      </c>
      <c r="I11" s="13" t="s">
        <v>2887</v>
      </c>
      <c r="J11" s="13" t="s">
        <v>2888</v>
      </c>
    </row>
    <row r="12" spans="1:10" ht="96.6">
      <c r="A12" s="13" t="s">
        <v>2889</v>
      </c>
      <c r="B12" s="13" t="s">
        <v>2890</v>
      </c>
      <c r="C12" s="13" t="s">
        <v>2891</v>
      </c>
      <c r="D12" s="13" t="s">
        <v>2886</v>
      </c>
      <c r="E12" s="13" t="s">
        <v>2892</v>
      </c>
      <c r="F12" s="13">
        <v>2</v>
      </c>
      <c r="G12" s="13">
        <v>0</v>
      </c>
      <c r="H12" s="13" t="s">
        <v>677</v>
      </c>
      <c r="I12" s="13" t="s">
        <v>2893</v>
      </c>
      <c r="J12" s="13" t="s">
        <v>2894</v>
      </c>
    </row>
    <row r="13" spans="1:10">
      <c r="A13" s="13"/>
      <c r="B13" s="13"/>
      <c r="C13" s="13"/>
      <c r="D13" s="13"/>
      <c r="E13" s="13"/>
      <c r="F13" s="13"/>
      <c r="G13" s="13"/>
      <c r="H13" s="13"/>
      <c r="I13" s="13"/>
      <c r="J13" s="13"/>
    </row>
    <row r="14" spans="1:10">
      <c r="A14" s="842" t="s">
        <v>936</v>
      </c>
      <c r="B14" s="839"/>
      <c r="C14" s="839"/>
      <c r="D14" s="85"/>
      <c r="E14" s="85"/>
      <c r="F14" s="85"/>
      <c r="G14" s="85"/>
      <c r="H14" s="85"/>
      <c r="I14" s="85"/>
      <c r="J14" s="85"/>
    </row>
    <row r="15" spans="1:10">
      <c r="A15" s="50" t="s">
        <v>275</v>
      </c>
      <c r="B15" s="50" t="s">
        <v>937</v>
      </c>
      <c r="C15" s="50" t="s">
        <v>938</v>
      </c>
      <c r="D15" s="50" t="s">
        <v>939</v>
      </c>
      <c r="E15" s="50" t="s">
        <v>940</v>
      </c>
      <c r="F15" s="50" t="s">
        <v>941</v>
      </c>
      <c r="G15" s="50" t="s">
        <v>942</v>
      </c>
      <c r="H15" s="50" t="s">
        <v>943</v>
      </c>
      <c r="I15" s="50" t="s">
        <v>899</v>
      </c>
      <c r="J15" s="50" t="s">
        <v>944</v>
      </c>
    </row>
    <row r="16" spans="1:10" ht="96.6">
      <c r="A16" s="13" t="s">
        <v>425</v>
      </c>
      <c r="B16" s="13" t="s">
        <v>677</v>
      </c>
      <c r="C16" s="13" t="s">
        <v>677</v>
      </c>
      <c r="D16" s="13" t="s">
        <v>2771</v>
      </c>
      <c r="E16" s="13" t="s">
        <v>677</v>
      </c>
      <c r="F16" s="13" t="s">
        <v>947</v>
      </c>
      <c r="G16" s="13" t="s">
        <v>677</v>
      </c>
      <c r="H16" s="13" t="s">
        <v>677</v>
      </c>
      <c r="I16" s="13" t="s">
        <v>677</v>
      </c>
      <c r="J16" s="13" t="s">
        <v>2895</v>
      </c>
    </row>
    <row r="17" spans="1:10" ht="55.2">
      <c r="A17" s="13" t="s">
        <v>2885</v>
      </c>
      <c r="B17" s="13" t="s">
        <v>946</v>
      </c>
      <c r="C17" s="13" t="s">
        <v>946</v>
      </c>
      <c r="D17" s="13" t="s">
        <v>946</v>
      </c>
      <c r="E17" s="13" t="s">
        <v>677</v>
      </c>
      <c r="F17" s="13" t="s">
        <v>947</v>
      </c>
      <c r="G17" s="13" t="s">
        <v>677</v>
      </c>
      <c r="H17" s="13" t="s">
        <v>677</v>
      </c>
      <c r="I17" s="13" t="s">
        <v>677</v>
      </c>
      <c r="J17" s="13" t="s">
        <v>2896</v>
      </c>
    </row>
    <row r="18" spans="1:10" ht="55.2">
      <c r="A18" s="13" t="s">
        <v>2890</v>
      </c>
      <c r="B18" s="13" t="s">
        <v>946</v>
      </c>
      <c r="C18" s="13" t="s">
        <v>946</v>
      </c>
      <c r="D18" s="13" t="s">
        <v>946</v>
      </c>
      <c r="E18" s="13" t="s">
        <v>677</v>
      </c>
      <c r="F18" s="13" t="s">
        <v>947</v>
      </c>
      <c r="G18" s="13" t="s">
        <v>677</v>
      </c>
      <c r="H18" s="13" t="s">
        <v>677</v>
      </c>
      <c r="I18" s="13" t="s">
        <v>677</v>
      </c>
      <c r="J18" s="13" t="s">
        <v>2897</v>
      </c>
    </row>
    <row r="19" spans="1:10">
      <c r="A19" s="13"/>
      <c r="B19" s="13"/>
      <c r="C19" s="13"/>
      <c r="D19" s="13"/>
      <c r="E19" s="13"/>
      <c r="F19" s="13"/>
      <c r="G19" s="13"/>
      <c r="H19" s="13"/>
      <c r="I19" s="13"/>
      <c r="J19" s="13"/>
    </row>
    <row r="20" spans="1:10">
      <c r="A20" s="842" t="s">
        <v>951</v>
      </c>
      <c r="B20" s="839"/>
      <c r="C20" s="839"/>
      <c r="D20" s="85"/>
      <c r="E20" s="85"/>
      <c r="F20" s="85"/>
      <c r="G20" s="85"/>
      <c r="H20" s="85"/>
      <c r="I20" s="85"/>
      <c r="J20" s="85"/>
    </row>
    <row r="21" spans="1:10">
      <c r="A21" s="50" t="s">
        <v>275</v>
      </c>
      <c r="B21" s="50" t="s">
        <v>952</v>
      </c>
      <c r="C21" s="50" t="s">
        <v>953</v>
      </c>
      <c r="D21" s="50" t="s">
        <v>954</v>
      </c>
      <c r="E21" s="50" t="s">
        <v>955</v>
      </c>
      <c r="F21" s="50" t="s">
        <v>956</v>
      </c>
      <c r="G21" s="50" t="s">
        <v>957</v>
      </c>
      <c r="H21" s="50" t="s">
        <v>958</v>
      </c>
      <c r="I21" s="50" t="s">
        <v>899</v>
      </c>
      <c r="J21" s="50" t="s">
        <v>959</v>
      </c>
    </row>
    <row r="22" spans="1:10" ht="82.8">
      <c r="A22" s="13" t="s">
        <v>425</v>
      </c>
      <c r="B22" s="13" t="s">
        <v>2774</v>
      </c>
      <c r="C22" s="13" t="s">
        <v>679</v>
      </c>
      <c r="D22" s="13" t="s">
        <v>947</v>
      </c>
      <c r="E22" s="13" t="s">
        <v>947</v>
      </c>
      <c r="F22" s="13" t="s">
        <v>1238</v>
      </c>
      <c r="G22" s="13" t="s">
        <v>677</v>
      </c>
      <c r="H22" s="13" t="s">
        <v>677</v>
      </c>
      <c r="I22" s="13" t="s">
        <v>677</v>
      </c>
      <c r="J22" s="13" t="s">
        <v>2898</v>
      </c>
    </row>
    <row r="23" spans="1:10" ht="41.4">
      <c r="A23" s="13" t="s">
        <v>2885</v>
      </c>
      <c r="B23" s="13" t="s">
        <v>946</v>
      </c>
      <c r="C23" s="13" t="s">
        <v>679</v>
      </c>
      <c r="D23" s="13" t="s">
        <v>947</v>
      </c>
      <c r="E23" s="13" t="s">
        <v>947</v>
      </c>
      <c r="F23" s="13" t="s">
        <v>1238</v>
      </c>
      <c r="G23" s="13" t="s">
        <v>677</v>
      </c>
      <c r="H23" s="13" t="s">
        <v>677</v>
      </c>
      <c r="I23" s="13" t="s">
        <v>677</v>
      </c>
      <c r="J23" s="13" t="s">
        <v>2899</v>
      </c>
    </row>
    <row r="24" spans="1:10" ht="41.4">
      <c r="A24" s="13" t="s">
        <v>2890</v>
      </c>
      <c r="B24" s="13" t="s">
        <v>946</v>
      </c>
      <c r="C24" s="13" t="s">
        <v>679</v>
      </c>
      <c r="D24" s="13" t="s">
        <v>947</v>
      </c>
      <c r="E24" s="13" t="s">
        <v>947</v>
      </c>
      <c r="F24" s="13" t="s">
        <v>1238</v>
      </c>
      <c r="G24" s="13" t="s">
        <v>677</v>
      </c>
      <c r="H24" s="13" t="s">
        <v>677</v>
      </c>
      <c r="I24" s="13" t="s">
        <v>677</v>
      </c>
      <c r="J24" s="13" t="s">
        <v>2900</v>
      </c>
    </row>
    <row r="25" spans="1:10">
      <c r="A25" s="13"/>
      <c r="B25" s="13"/>
      <c r="C25" s="13"/>
      <c r="D25" s="13"/>
      <c r="E25" s="13"/>
      <c r="F25" s="13"/>
      <c r="G25" s="13"/>
      <c r="H25" s="13"/>
      <c r="I25" s="13"/>
      <c r="J25" s="13"/>
    </row>
    <row r="26" spans="1:10">
      <c r="A26" s="842" t="s">
        <v>964</v>
      </c>
      <c r="B26" s="839"/>
      <c r="C26" s="839"/>
      <c r="D26" s="85"/>
      <c r="E26" s="85"/>
      <c r="F26" s="85"/>
      <c r="G26" s="85"/>
      <c r="H26" s="85"/>
      <c r="I26" s="85"/>
      <c r="J26" s="85"/>
    </row>
    <row r="27" spans="1:10">
      <c r="A27" s="50" t="s">
        <v>275</v>
      </c>
      <c r="B27" s="50" t="s">
        <v>965</v>
      </c>
      <c r="C27" s="50" t="s">
        <v>966</v>
      </c>
      <c r="D27" s="50" t="s">
        <v>967</v>
      </c>
      <c r="E27" s="50" t="s">
        <v>968</v>
      </c>
      <c r="F27" s="50" t="s">
        <v>969</v>
      </c>
      <c r="G27" s="50" t="s">
        <v>970</v>
      </c>
      <c r="H27" s="50" t="s">
        <v>971</v>
      </c>
      <c r="I27" s="50" t="s">
        <v>899</v>
      </c>
      <c r="J27" s="50" t="s">
        <v>959</v>
      </c>
    </row>
    <row r="28" spans="1:10" ht="69">
      <c r="A28" s="13" t="s">
        <v>425</v>
      </c>
      <c r="B28" s="13" t="s">
        <v>2901</v>
      </c>
      <c r="C28" s="13" t="s">
        <v>677</v>
      </c>
      <c r="D28" s="13" t="s">
        <v>677</v>
      </c>
      <c r="E28" s="13" t="s">
        <v>677</v>
      </c>
      <c r="F28" s="13" t="s">
        <v>677</v>
      </c>
      <c r="G28" s="13" t="s">
        <v>677</v>
      </c>
      <c r="H28" s="13" t="s">
        <v>677</v>
      </c>
      <c r="I28" s="13" t="s">
        <v>677</v>
      </c>
      <c r="J28" s="13" t="s">
        <v>2902</v>
      </c>
    </row>
    <row r="29" spans="1:10" ht="41.4">
      <c r="A29" s="13" t="s">
        <v>2885</v>
      </c>
      <c r="B29" s="13" t="s">
        <v>946</v>
      </c>
      <c r="C29" s="13" t="s">
        <v>677</v>
      </c>
      <c r="D29" s="13" t="s">
        <v>677</v>
      </c>
      <c r="E29" s="13" t="s">
        <v>677</v>
      </c>
      <c r="F29" s="13" t="s">
        <v>677</v>
      </c>
      <c r="G29" s="13" t="s">
        <v>677</v>
      </c>
      <c r="H29" s="13" t="s">
        <v>677</v>
      </c>
      <c r="I29" s="13" t="s">
        <v>677</v>
      </c>
      <c r="J29" s="13" t="s">
        <v>2903</v>
      </c>
    </row>
    <row r="30" spans="1:10" ht="55.2">
      <c r="A30" s="13" t="s">
        <v>2890</v>
      </c>
      <c r="B30" s="13" t="s">
        <v>946</v>
      </c>
      <c r="C30" s="13" t="s">
        <v>677</v>
      </c>
      <c r="D30" s="13" t="s">
        <v>677</v>
      </c>
      <c r="E30" s="13" t="s">
        <v>677</v>
      </c>
      <c r="F30" s="13" t="s">
        <v>677</v>
      </c>
      <c r="G30" s="13" t="s">
        <v>677</v>
      </c>
      <c r="H30" s="13" t="s">
        <v>677</v>
      </c>
      <c r="I30" s="13" t="s">
        <v>677</v>
      </c>
      <c r="J30" s="13" t="s">
        <v>2904</v>
      </c>
    </row>
    <row r="31" spans="1:10">
      <c r="A31" s="13"/>
      <c r="B31" s="13"/>
      <c r="C31" s="13"/>
      <c r="D31" s="13"/>
      <c r="E31" s="13"/>
      <c r="F31" s="13"/>
      <c r="G31" s="13"/>
      <c r="H31" s="13"/>
      <c r="I31" s="13"/>
      <c r="J31" s="13"/>
    </row>
    <row r="32" spans="1:10">
      <c r="A32" s="842" t="s">
        <v>977</v>
      </c>
      <c r="B32" s="839"/>
      <c r="C32" s="839"/>
      <c r="D32" s="85"/>
      <c r="E32" s="85"/>
      <c r="F32" s="85"/>
      <c r="G32" s="85"/>
      <c r="H32" s="85"/>
      <c r="I32" s="85"/>
      <c r="J32" s="85"/>
    </row>
    <row r="33" spans="1:10">
      <c r="A33" s="50" t="s">
        <v>275</v>
      </c>
      <c r="B33" s="50" t="s">
        <v>978</v>
      </c>
      <c r="C33" s="50" t="s">
        <v>979</v>
      </c>
      <c r="D33" s="50" t="s">
        <v>980</v>
      </c>
      <c r="E33" s="50" t="s">
        <v>981</v>
      </c>
      <c r="F33" s="50" t="s">
        <v>982</v>
      </c>
      <c r="G33" s="50" t="s">
        <v>983</v>
      </c>
      <c r="H33" s="50" t="s">
        <v>984</v>
      </c>
      <c r="I33" s="50" t="s">
        <v>899</v>
      </c>
      <c r="J33" s="50" t="s">
        <v>11</v>
      </c>
    </row>
    <row r="34" spans="1:10" ht="110.4">
      <c r="A34" s="13" t="s">
        <v>425</v>
      </c>
      <c r="B34" s="13" t="s">
        <v>677</v>
      </c>
      <c r="C34" s="13" t="s">
        <v>2780</v>
      </c>
      <c r="D34" s="13" t="s">
        <v>677</v>
      </c>
      <c r="E34" s="13" t="s">
        <v>677</v>
      </c>
      <c r="F34" s="13" t="s">
        <v>2905</v>
      </c>
      <c r="G34" s="13" t="s">
        <v>677</v>
      </c>
      <c r="H34" s="13" t="s">
        <v>677</v>
      </c>
      <c r="I34" s="13" t="s">
        <v>677</v>
      </c>
      <c r="J34" s="13" t="s">
        <v>2906</v>
      </c>
    </row>
    <row r="35" spans="1:10" ht="69">
      <c r="A35" s="13" t="s">
        <v>2885</v>
      </c>
      <c r="B35" s="13" t="s">
        <v>988</v>
      </c>
      <c r="C35" s="13" t="s">
        <v>2686</v>
      </c>
      <c r="D35" s="13" t="s">
        <v>988</v>
      </c>
      <c r="E35" s="13" t="s">
        <v>677</v>
      </c>
      <c r="F35" s="13" t="s">
        <v>946</v>
      </c>
      <c r="G35" s="13" t="s">
        <v>677</v>
      </c>
      <c r="H35" s="13" t="s">
        <v>677</v>
      </c>
      <c r="I35" s="13" t="s">
        <v>677</v>
      </c>
      <c r="J35" s="13" t="s">
        <v>2907</v>
      </c>
    </row>
    <row r="36" spans="1:10" ht="69">
      <c r="A36" s="13" t="s">
        <v>2890</v>
      </c>
      <c r="B36" s="13" t="s">
        <v>988</v>
      </c>
      <c r="C36" s="13" t="s">
        <v>2686</v>
      </c>
      <c r="D36" s="13" t="s">
        <v>988</v>
      </c>
      <c r="E36" s="13" t="s">
        <v>677</v>
      </c>
      <c r="F36" s="13" t="s">
        <v>946</v>
      </c>
      <c r="G36" s="13" t="s">
        <v>677</v>
      </c>
      <c r="H36" s="13" t="s">
        <v>677</v>
      </c>
      <c r="I36" s="13" t="s">
        <v>677</v>
      </c>
      <c r="J36" s="13" t="s">
        <v>2908</v>
      </c>
    </row>
    <row r="37" spans="1:10">
      <c r="A37" s="13"/>
      <c r="B37" s="13"/>
      <c r="C37" s="13"/>
      <c r="D37" s="13"/>
      <c r="E37" s="13"/>
      <c r="F37" s="13"/>
      <c r="G37" s="13"/>
      <c r="H37" s="13"/>
      <c r="I37" s="13"/>
      <c r="J37" s="13"/>
    </row>
    <row r="38" spans="1:10">
      <c r="A38" s="842" t="s">
        <v>994</v>
      </c>
      <c r="B38" s="839"/>
      <c r="C38" s="839"/>
      <c r="D38" s="85"/>
      <c r="E38" s="85"/>
      <c r="F38" s="85"/>
      <c r="G38" s="85"/>
      <c r="H38" s="85"/>
      <c r="I38" s="85"/>
      <c r="J38" s="85"/>
    </row>
    <row r="39" spans="1:10">
      <c r="A39" s="50" t="s">
        <v>275</v>
      </c>
      <c r="B39" s="50" t="s">
        <v>995</v>
      </c>
      <c r="C39" s="50" t="s">
        <v>996</v>
      </c>
      <c r="D39" s="50" t="s">
        <v>997</v>
      </c>
      <c r="E39" s="50" t="s">
        <v>998</v>
      </c>
      <c r="F39" s="50" t="s">
        <v>999</v>
      </c>
      <c r="G39" s="50" t="s">
        <v>1000</v>
      </c>
      <c r="H39" s="50" t="s">
        <v>1001</v>
      </c>
      <c r="I39" s="50" t="s">
        <v>899</v>
      </c>
      <c r="J39" s="50" t="s">
        <v>11</v>
      </c>
    </row>
    <row r="40" spans="1:10" ht="82.8">
      <c r="A40" s="13" t="s">
        <v>425</v>
      </c>
      <c r="B40" s="13" t="s">
        <v>677</v>
      </c>
      <c r="C40" s="13" t="s">
        <v>677</v>
      </c>
      <c r="D40" s="13" t="s">
        <v>677</v>
      </c>
      <c r="E40" s="13" t="s">
        <v>677</v>
      </c>
      <c r="F40" s="13" t="s">
        <v>677</v>
      </c>
      <c r="G40" s="13" t="s">
        <v>677</v>
      </c>
      <c r="H40" s="13" t="s">
        <v>677</v>
      </c>
      <c r="I40" s="13" t="s">
        <v>677</v>
      </c>
      <c r="J40" s="13" t="s">
        <v>2909</v>
      </c>
    </row>
    <row r="41" spans="1:10" ht="69">
      <c r="A41" s="13" t="s">
        <v>2885</v>
      </c>
      <c r="B41" s="13" t="s">
        <v>988</v>
      </c>
      <c r="C41" s="13" t="s">
        <v>988</v>
      </c>
      <c r="D41" s="13" t="s">
        <v>988</v>
      </c>
      <c r="E41" s="13" t="s">
        <v>677</v>
      </c>
      <c r="F41" s="13" t="s">
        <v>677</v>
      </c>
      <c r="G41" s="13" t="s">
        <v>677</v>
      </c>
      <c r="H41" s="13" t="s">
        <v>677</v>
      </c>
      <c r="I41" s="13" t="s">
        <v>677</v>
      </c>
      <c r="J41" s="13" t="s">
        <v>2910</v>
      </c>
    </row>
    <row r="42" spans="1:10" ht="82.8">
      <c r="A42" s="13" t="s">
        <v>2890</v>
      </c>
      <c r="B42" s="13" t="s">
        <v>988</v>
      </c>
      <c r="C42" s="13" t="s">
        <v>988</v>
      </c>
      <c r="D42" s="13" t="s">
        <v>988</v>
      </c>
      <c r="E42" s="13" t="s">
        <v>677</v>
      </c>
      <c r="F42" s="13" t="s">
        <v>677</v>
      </c>
      <c r="G42" s="13" t="s">
        <v>677</v>
      </c>
      <c r="H42" s="13" t="s">
        <v>677</v>
      </c>
      <c r="I42" s="13" t="s">
        <v>677</v>
      </c>
      <c r="J42" s="13" t="s">
        <v>2911</v>
      </c>
    </row>
    <row r="43" spans="1:10">
      <c r="A43" s="13"/>
      <c r="B43" s="13"/>
      <c r="C43" s="13"/>
      <c r="D43" s="13"/>
      <c r="E43" s="13"/>
      <c r="F43" s="13"/>
      <c r="G43" s="13"/>
      <c r="H43" s="13"/>
      <c r="I43" s="13"/>
      <c r="J43" s="13"/>
    </row>
    <row r="44" spans="1:10">
      <c r="A44" s="842" t="s">
        <v>1007</v>
      </c>
      <c r="B44" s="839"/>
      <c r="C44" s="839"/>
      <c r="D44" s="85"/>
      <c r="E44" s="85"/>
      <c r="F44" s="85"/>
      <c r="G44" s="85"/>
      <c r="H44" s="85"/>
      <c r="I44" s="85"/>
      <c r="J44" s="85"/>
    </row>
    <row r="45" spans="1:10">
      <c r="A45" s="50" t="s">
        <v>275</v>
      </c>
      <c r="B45" s="50" t="s">
        <v>1008</v>
      </c>
      <c r="C45" s="50" t="s">
        <v>1009</v>
      </c>
      <c r="D45" s="50" t="s">
        <v>1010</v>
      </c>
      <c r="E45" s="50" t="s">
        <v>1011</v>
      </c>
      <c r="F45" s="50" t="s">
        <v>1012</v>
      </c>
      <c r="G45" s="50" t="s">
        <v>1013</v>
      </c>
      <c r="H45" s="50" t="s">
        <v>1014</v>
      </c>
      <c r="I45" s="50" t="s">
        <v>899</v>
      </c>
      <c r="J45" s="50" t="s">
        <v>11</v>
      </c>
    </row>
    <row r="46" spans="1:10" ht="82.8">
      <c r="A46" s="13" t="s">
        <v>425</v>
      </c>
      <c r="B46" s="13" t="s">
        <v>1238</v>
      </c>
      <c r="C46" s="13" t="s">
        <v>1238</v>
      </c>
      <c r="D46" s="13" t="s">
        <v>1238</v>
      </c>
      <c r="E46" s="13" t="s">
        <v>1238</v>
      </c>
      <c r="F46" s="13" t="s">
        <v>947</v>
      </c>
      <c r="G46" s="13" t="s">
        <v>947</v>
      </c>
      <c r="H46" s="13" t="s">
        <v>677</v>
      </c>
      <c r="I46" s="13" t="s">
        <v>677</v>
      </c>
      <c r="J46" s="13" t="s">
        <v>2912</v>
      </c>
    </row>
    <row r="47" spans="1:10" ht="27.6">
      <c r="A47" s="13" t="s">
        <v>2885</v>
      </c>
      <c r="B47" s="13" t="s">
        <v>1238</v>
      </c>
      <c r="C47" s="13" t="s">
        <v>1238</v>
      </c>
      <c r="D47" s="13" t="s">
        <v>1238</v>
      </c>
      <c r="E47" s="13" t="s">
        <v>1238</v>
      </c>
      <c r="F47" s="13" t="s">
        <v>947</v>
      </c>
      <c r="G47" s="13" t="s">
        <v>947</v>
      </c>
      <c r="H47" s="13" t="s">
        <v>677</v>
      </c>
      <c r="I47" s="13" t="s">
        <v>677</v>
      </c>
      <c r="J47" s="13" t="s">
        <v>2913</v>
      </c>
    </row>
    <row r="48" spans="1:10" ht="41.4">
      <c r="A48" s="13" t="s">
        <v>2890</v>
      </c>
      <c r="B48" s="13" t="s">
        <v>1238</v>
      </c>
      <c r="C48" s="13" t="s">
        <v>1238</v>
      </c>
      <c r="D48" s="13" t="s">
        <v>1238</v>
      </c>
      <c r="E48" s="13" t="s">
        <v>1238</v>
      </c>
      <c r="F48" s="13" t="s">
        <v>947</v>
      </c>
      <c r="G48" s="13" t="s">
        <v>947</v>
      </c>
      <c r="H48" s="13" t="s">
        <v>677</v>
      </c>
      <c r="I48" s="13" t="s">
        <v>677</v>
      </c>
      <c r="J48" s="13" t="s">
        <v>2914</v>
      </c>
    </row>
    <row r="49" spans="1:10">
      <c r="A49" s="13"/>
      <c r="B49" s="13"/>
      <c r="C49" s="13"/>
      <c r="D49" s="13"/>
      <c r="E49" s="13"/>
      <c r="F49" s="13"/>
      <c r="G49" s="13"/>
      <c r="H49" s="13"/>
      <c r="I49" s="13"/>
      <c r="J49" s="13"/>
    </row>
    <row r="50" spans="1:10">
      <c r="A50" s="842" t="s">
        <v>1019</v>
      </c>
      <c r="B50" s="839"/>
      <c r="C50" s="839"/>
      <c r="D50" s="85"/>
      <c r="E50" s="85"/>
      <c r="F50" s="85"/>
      <c r="G50" s="85"/>
      <c r="H50" s="85"/>
      <c r="I50" s="85"/>
      <c r="J50" s="85"/>
    </row>
    <row r="51" spans="1:10">
      <c r="A51" s="50" t="s">
        <v>213</v>
      </c>
      <c r="B51" s="50" t="s">
        <v>275</v>
      </c>
      <c r="C51" s="50" t="s">
        <v>573</v>
      </c>
      <c r="D51" s="50" t="s">
        <v>215</v>
      </c>
      <c r="E51" s="50" t="s">
        <v>257</v>
      </c>
      <c r="F51" s="50" t="s">
        <v>572</v>
      </c>
      <c r="G51" s="50" t="s">
        <v>259</v>
      </c>
      <c r="H51" s="50" t="s">
        <v>216</v>
      </c>
      <c r="I51" s="50" t="s">
        <v>77</v>
      </c>
      <c r="J51" s="50" t="s">
        <v>11</v>
      </c>
    </row>
    <row r="52" spans="1:10" ht="55.2">
      <c r="A52" s="13" t="s">
        <v>2915</v>
      </c>
      <c r="B52" s="13" t="s">
        <v>575</v>
      </c>
      <c r="C52" s="13" t="s">
        <v>2916</v>
      </c>
      <c r="D52" s="13" t="s">
        <v>391</v>
      </c>
      <c r="E52" s="13" t="s">
        <v>488</v>
      </c>
      <c r="F52" s="13">
        <v>6</v>
      </c>
      <c r="G52" s="13" t="s">
        <v>1381</v>
      </c>
      <c r="H52" s="13" t="s">
        <v>1023</v>
      </c>
      <c r="I52" s="13" t="s">
        <v>502</v>
      </c>
      <c r="J52" s="13" t="s">
        <v>2917</v>
      </c>
    </row>
    <row r="53" spans="1:10" ht="82.8">
      <c r="A53" s="13" t="s">
        <v>2918</v>
      </c>
      <c r="B53" s="13" t="s">
        <v>2919</v>
      </c>
      <c r="C53" s="13" t="s">
        <v>2920</v>
      </c>
      <c r="D53" s="13" t="s">
        <v>492</v>
      </c>
      <c r="E53" s="13" t="s">
        <v>488</v>
      </c>
      <c r="F53" s="13">
        <v>8</v>
      </c>
      <c r="G53" s="13" t="s">
        <v>1025</v>
      </c>
      <c r="H53" s="13" t="s">
        <v>584</v>
      </c>
      <c r="I53" s="13" t="s">
        <v>502</v>
      </c>
      <c r="J53" s="13" t="s">
        <v>2921</v>
      </c>
    </row>
    <row r="54" spans="1:10" ht="82.8">
      <c r="A54" s="13" t="s">
        <v>2922</v>
      </c>
      <c r="B54" s="13" t="s">
        <v>425</v>
      </c>
      <c r="C54" s="13" t="s">
        <v>2923</v>
      </c>
      <c r="D54" s="13" t="s">
        <v>391</v>
      </c>
      <c r="E54" s="13" t="s">
        <v>488</v>
      </c>
      <c r="F54" s="13">
        <v>6</v>
      </c>
      <c r="G54" s="13" t="s">
        <v>2924</v>
      </c>
      <c r="H54" s="13" t="s">
        <v>1505</v>
      </c>
      <c r="I54" s="13" t="s">
        <v>502</v>
      </c>
      <c r="J54" s="13" t="s">
        <v>2925</v>
      </c>
    </row>
    <row r="55" spans="1:10" ht="82.8">
      <c r="A55" s="13" t="s">
        <v>2926</v>
      </c>
      <c r="B55" s="13" t="s">
        <v>575</v>
      </c>
      <c r="C55" s="13" t="s">
        <v>2927</v>
      </c>
      <c r="D55" s="13" t="s">
        <v>391</v>
      </c>
      <c r="E55" s="13" t="s">
        <v>488</v>
      </c>
      <c r="F55" s="13">
        <v>6</v>
      </c>
      <c r="G55" s="13" t="s">
        <v>2928</v>
      </c>
      <c r="H55" s="13" t="s">
        <v>2150</v>
      </c>
      <c r="I55" s="13" t="s">
        <v>502</v>
      </c>
      <c r="J55" s="13" t="s">
        <v>2929</v>
      </c>
    </row>
    <row r="56" spans="1:10" ht="69">
      <c r="A56" s="13" t="s">
        <v>2930</v>
      </c>
      <c r="B56" s="13" t="s">
        <v>425</v>
      </c>
      <c r="C56" s="13" t="s">
        <v>2806</v>
      </c>
      <c r="D56" s="13" t="s">
        <v>391</v>
      </c>
      <c r="E56" s="13" t="s">
        <v>488</v>
      </c>
      <c r="F56" s="13">
        <v>6</v>
      </c>
      <c r="G56" s="13" t="s">
        <v>2807</v>
      </c>
      <c r="H56" s="13" t="s">
        <v>2808</v>
      </c>
      <c r="I56" s="13" t="s">
        <v>502</v>
      </c>
      <c r="J56" s="13" t="s">
        <v>2931</v>
      </c>
    </row>
    <row r="57" spans="1:10" ht="82.8">
      <c r="A57" s="13" t="s">
        <v>2932</v>
      </c>
      <c r="B57" s="13" t="s">
        <v>575</v>
      </c>
      <c r="C57" s="13" t="s">
        <v>2933</v>
      </c>
      <c r="D57" s="13" t="s">
        <v>391</v>
      </c>
      <c r="E57" s="13" t="s">
        <v>488</v>
      </c>
      <c r="F57" s="13">
        <v>6</v>
      </c>
      <c r="G57" s="13" t="s">
        <v>2812</v>
      </c>
      <c r="H57" s="13" t="s">
        <v>1037</v>
      </c>
      <c r="I57" s="13" t="s">
        <v>502</v>
      </c>
      <c r="J57" s="13" t="s">
        <v>2934</v>
      </c>
    </row>
    <row r="58" spans="1:10" ht="82.8">
      <c r="A58" s="13" t="s">
        <v>2935</v>
      </c>
      <c r="B58" s="13" t="s">
        <v>575</v>
      </c>
      <c r="C58" s="13" t="s">
        <v>2936</v>
      </c>
      <c r="D58" s="13" t="s">
        <v>391</v>
      </c>
      <c r="E58" s="13" t="s">
        <v>488</v>
      </c>
      <c r="F58" s="13">
        <v>6</v>
      </c>
      <c r="G58" s="13" t="s">
        <v>2937</v>
      </c>
      <c r="H58" s="13" t="s">
        <v>622</v>
      </c>
      <c r="I58" s="13" t="s">
        <v>502</v>
      </c>
      <c r="J58" s="13" t="s">
        <v>2938</v>
      </c>
    </row>
    <row r="59" spans="1:10" ht="96.6">
      <c r="A59" s="13" t="s">
        <v>2939</v>
      </c>
      <c r="B59" s="13" t="s">
        <v>575</v>
      </c>
      <c r="C59" s="13" t="s">
        <v>2819</v>
      </c>
      <c r="D59" s="13" t="s">
        <v>391</v>
      </c>
      <c r="E59" s="13" t="s">
        <v>488</v>
      </c>
      <c r="F59" s="13">
        <v>6</v>
      </c>
      <c r="G59" s="13" t="s">
        <v>2820</v>
      </c>
      <c r="H59" s="13" t="s">
        <v>1049</v>
      </c>
      <c r="I59" s="13" t="s">
        <v>502</v>
      </c>
      <c r="J59" s="13" t="s">
        <v>2940</v>
      </c>
    </row>
    <row r="60" spans="1:10">
      <c r="A60" s="13"/>
      <c r="B60" s="13"/>
      <c r="C60" s="13"/>
      <c r="D60" s="13"/>
      <c r="E60" s="13"/>
      <c r="F60" s="13"/>
      <c r="G60" s="13"/>
      <c r="H60" s="13"/>
      <c r="I60" s="13"/>
      <c r="J60" s="13"/>
    </row>
    <row r="61" spans="1:10">
      <c r="A61" s="842" t="s">
        <v>1051</v>
      </c>
      <c r="B61" s="839"/>
      <c r="C61" s="839"/>
      <c r="D61" s="85"/>
      <c r="E61" s="85"/>
      <c r="F61" s="85"/>
      <c r="G61" s="85"/>
      <c r="H61" s="85"/>
      <c r="I61" s="85"/>
      <c r="J61" s="85"/>
    </row>
    <row r="62" spans="1:10">
      <c r="A62" s="50" t="s">
        <v>221</v>
      </c>
      <c r="B62" s="50" t="s">
        <v>222</v>
      </c>
      <c r="C62" s="50" t="s">
        <v>265</v>
      </c>
      <c r="D62" s="50" t="s">
        <v>77</v>
      </c>
      <c r="E62" s="50" t="s">
        <v>878</v>
      </c>
      <c r="F62" s="50" t="s">
        <v>879</v>
      </c>
      <c r="G62" s="50" t="s">
        <v>880</v>
      </c>
      <c r="H62" s="50" t="s">
        <v>494</v>
      </c>
      <c r="I62" s="50" t="s">
        <v>881</v>
      </c>
      <c r="J62" s="50" t="s">
        <v>11</v>
      </c>
    </row>
    <row r="63" spans="1:10" ht="82.8">
      <c r="A63" s="13" t="s">
        <v>2941</v>
      </c>
      <c r="B63" s="13" t="s">
        <v>2942</v>
      </c>
      <c r="C63" s="13" t="s">
        <v>579</v>
      </c>
      <c r="D63" s="13" t="s">
        <v>502</v>
      </c>
      <c r="E63" s="13"/>
      <c r="F63" s="13"/>
      <c r="G63" s="13" t="s">
        <v>2619</v>
      </c>
      <c r="H63" s="13"/>
      <c r="I63" s="13"/>
      <c r="J63" s="13"/>
    </row>
    <row r="64" spans="1:10" ht="82.8">
      <c r="A64" s="13" t="s">
        <v>2943</v>
      </c>
      <c r="B64" s="13" t="s">
        <v>2944</v>
      </c>
      <c r="C64" s="13" t="s">
        <v>2432</v>
      </c>
      <c r="D64" s="13" t="s">
        <v>502</v>
      </c>
      <c r="E64" s="13"/>
      <c r="F64" s="13"/>
      <c r="G64" s="13" t="s">
        <v>2433</v>
      </c>
      <c r="H64" s="13"/>
      <c r="I64" s="13"/>
      <c r="J64" s="13"/>
    </row>
    <row r="65" spans="1:10" ht="69">
      <c r="A65" s="13" t="s">
        <v>2945</v>
      </c>
      <c r="B65" s="13" t="s">
        <v>2946</v>
      </c>
      <c r="C65" s="13" t="s">
        <v>587</v>
      </c>
      <c r="D65" s="13" t="s">
        <v>502</v>
      </c>
      <c r="E65" s="13"/>
      <c r="F65" s="13"/>
      <c r="G65" s="13" t="s">
        <v>588</v>
      </c>
      <c r="H65" s="13"/>
      <c r="I65" s="13"/>
      <c r="J65" s="13"/>
    </row>
    <row r="66" spans="1:10" ht="55.2">
      <c r="A66" s="13" t="s">
        <v>2947</v>
      </c>
      <c r="B66" s="13" t="s">
        <v>2948</v>
      </c>
      <c r="C66" s="13" t="s">
        <v>579</v>
      </c>
      <c r="D66" s="13" t="s">
        <v>502</v>
      </c>
      <c r="E66" s="13"/>
      <c r="F66" s="13"/>
      <c r="G66" s="13" t="s">
        <v>2949</v>
      </c>
      <c r="H66" s="13"/>
      <c r="I66" s="13"/>
      <c r="J66" s="13"/>
    </row>
    <row r="67" spans="1:10" ht="96.6">
      <c r="A67" s="13" t="s">
        <v>2950</v>
      </c>
      <c r="B67" s="13" t="s">
        <v>2951</v>
      </c>
      <c r="C67" s="13" t="s">
        <v>616</v>
      </c>
      <c r="D67" s="13" t="s">
        <v>502</v>
      </c>
      <c r="E67" s="13"/>
      <c r="F67" s="13"/>
      <c r="G67" s="13" t="s">
        <v>617</v>
      </c>
      <c r="H67" s="13"/>
      <c r="I67" s="13"/>
      <c r="J67" s="13"/>
    </row>
    <row r="68" spans="1:10" ht="69">
      <c r="A68" s="13" t="s">
        <v>2952</v>
      </c>
      <c r="B68" s="13" t="s">
        <v>2953</v>
      </c>
      <c r="C68" s="13" t="s">
        <v>2838</v>
      </c>
      <c r="D68" s="13" t="s">
        <v>502</v>
      </c>
      <c r="E68" s="13"/>
      <c r="F68" s="13"/>
      <c r="G68" s="13" t="s">
        <v>2839</v>
      </c>
      <c r="H68" s="13"/>
      <c r="I68" s="13"/>
      <c r="J68" s="13"/>
    </row>
    <row r="69" spans="1:10" ht="82.8">
      <c r="A69" s="13" t="s">
        <v>2954</v>
      </c>
      <c r="B69" s="13" t="s">
        <v>2841</v>
      </c>
      <c r="C69" s="13" t="s">
        <v>584</v>
      </c>
      <c r="D69" s="13" t="s">
        <v>502</v>
      </c>
      <c r="E69" s="13"/>
      <c r="F69" s="13"/>
      <c r="G69" s="13" t="s">
        <v>2842</v>
      </c>
      <c r="H69" s="13"/>
      <c r="I69" s="13"/>
      <c r="J69" s="13"/>
    </row>
    <row r="70" spans="1:10" ht="69">
      <c r="A70" s="13" t="s">
        <v>2955</v>
      </c>
      <c r="B70" s="13" t="s">
        <v>2844</v>
      </c>
      <c r="C70" s="13" t="s">
        <v>630</v>
      </c>
      <c r="D70" s="13" t="s">
        <v>502</v>
      </c>
      <c r="E70" s="13"/>
      <c r="F70" s="13"/>
      <c r="G70" s="13" t="s">
        <v>631</v>
      </c>
      <c r="H70" s="13"/>
      <c r="I70" s="13"/>
      <c r="J70" s="13"/>
    </row>
    <row r="71" spans="1:10">
      <c r="A71" s="13"/>
      <c r="B71" s="13"/>
      <c r="C71" s="13"/>
      <c r="D71" s="13"/>
      <c r="E71" s="13"/>
      <c r="F71" s="13"/>
      <c r="G71" s="13"/>
      <c r="H71" s="13"/>
      <c r="I71" s="13"/>
      <c r="J71" s="13"/>
    </row>
    <row r="72" spans="1:10">
      <c r="A72" s="842" t="s">
        <v>1052</v>
      </c>
      <c r="B72" s="839"/>
      <c r="C72" s="839"/>
      <c r="D72" s="85"/>
      <c r="E72" s="85"/>
      <c r="F72" s="85"/>
      <c r="G72" s="85"/>
      <c r="H72" s="85"/>
      <c r="I72" s="85"/>
      <c r="J72" s="85"/>
    </row>
    <row r="73" spans="1:10">
      <c r="A73" s="50" t="s">
        <v>291</v>
      </c>
      <c r="B73" s="50" t="s">
        <v>275</v>
      </c>
      <c r="C73" s="50" t="s">
        <v>493</v>
      </c>
      <c r="D73" s="50" t="s">
        <v>214</v>
      </c>
      <c r="E73" s="50" t="s">
        <v>263</v>
      </c>
      <c r="F73" s="50" t="s">
        <v>891</v>
      </c>
      <c r="G73" s="50" t="s">
        <v>892</v>
      </c>
      <c r="H73" s="50" t="s">
        <v>893</v>
      </c>
      <c r="I73" s="50" t="s">
        <v>77</v>
      </c>
      <c r="J73" s="50" t="s">
        <v>11</v>
      </c>
    </row>
    <row r="74" spans="1:10" ht="124.2">
      <c r="A74" s="13" t="s">
        <v>2956</v>
      </c>
      <c r="B74" s="13" t="s">
        <v>425</v>
      </c>
      <c r="C74" s="13" t="s">
        <v>269</v>
      </c>
      <c r="D74" s="13" t="s">
        <v>2957</v>
      </c>
      <c r="E74" s="13"/>
      <c r="F74" s="13" t="s">
        <v>229</v>
      </c>
      <c r="G74" s="13"/>
      <c r="H74" s="13" t="s">
        <v>2958</v>
      </c>
      <c r="I74" s="13" t="s">
        <v>502</v>
      </c>
      <c r="J74" s="13"/>
    </row>
    <row r="75" spans="1:10" ht="96.6">
      <c r="A75" s="13" t="s">
        <v>2959</v>
      </c>
      <c r="B75" s="13" t="s">
        <v>2885</v>
      </c>
      <c r="C75" s="13" t="s">
        <v>269</v>
      </c>
      <c r="D75" s="13" t="s">
        <v>2960</v>
      </c>
      <c r="E75" s="13"/>
      <c r="F75" s="13" t="s">
        <v>229</v>
      </c>
      <c r="G75" s="13"/>
      <c r="H75" s="13" t="s">
        <v>2961</v>
      </c>
      <c r="I75" s="13" t="s">
        <v>502</v>
      </c>
      <c r="J75" s="13"/>
    </row>
    <row r="76" spans="1:10" ht="96.6">
      <c r="A76" s="13" t="s">
        <v>2962</v>
      </c>
      <c r="B76" s="13" t="s">
        <v>2890</v>
      </c>
      <c r="C76" s="13" t="s">
        <v>269</v>
      </c>
      <c r="D76" s="13" t="s">
        <v>2963</v>
      </c>
      <c r="E76" s="13"/>
      <c r="F76" s="13" t="s">
        <v>229</v>
      </c>
      <c r="G76" s="13"/>
      <c r="H76" s="13" t="s">
        <v>2964</v>
      </c>
      <c r="I76" s="13" t="s">
        <v>502</v>
      </c>
      <c r="J76" s="13"/>
    </row>
    <row r="77" spans="1:10" ht="96.6">
      <c r="A77" s="13" t="s">
        <v>2965</v>
      </c>
      <c r="B77" s="13" t="s">
        <v>2966</v>
      </c>
      <c r="C77" s="13" t="s">
        <v>2640</v>
      </c>
      <c r="D77" s="13" t="s">
        <v>2967</v>
      </c>
      <c r="E77" s="13"/>
      <c r="F77" s="13" t="s">
        <v>229</v>
      </c>
      <c r="G77" s="13"/>
      <c r="H77" s="13" t="s">
        <v>2968</v>
      </c>
      <c r="I77" s="13" t="s">
        <v>502</v>
      </c>
      <c r="J77" s="13"/>
    </row>
    <row r="78" spans="1:10" ht="82.8">
      <c r="A78" s="13" t="s">
        <v>2969</v>
      </c>
      <c r="B78" s="13" t="s">
        <v>425</v>
      </c>
      <c r="C78" s="13" t="s">
        <v>153</v>
      </c>
      <c r="D78" s="13" t="s">
        <v>2970</v>
      </c>
      <c r="E78" s="13"/>
      <c r="F78" s="13" t="s">
        <v>229</v>
      </c>
      <c r="G78" s="13"/>
      <c r="H78" s="13" t="s">
        <v>2930</v>
      </c>
      <c r="I78" s="13" t="s">
        <v>502</v>
      </c>
      <c r="J78" s="13"/>
    </row>
    <row r="79" spans="1:10" ht="96.6">
      <c r="A79" s="13" t="s">
        <v>2971</v>
      </c>
      <c r="B79" s="13" t="s">
        <v>2919</v>
      </c>
      <c r="C79" s="13" t="s">
        <v>155</v>
      </c>
      <c r="D79" s="13" t="s">
        <v>2972</v>
      </c>
      <c r="E79" s="13"/>
      <c r="F79" s="13" t="s">
        <v>229</v>
      </c>
      <c r="G79" s="13"/>
      <c r="H79" s="13" t="s">
        <v>2973</v>
      </c>
      <c r="I79" s="13" t="s">
        <v>502</v>
      </c>
      <c r="J79" s="13"/>
    </row>
    <row r="80" spans="1:10" ht="69">
      <c r="A80" s="13" t="s">
        <v>2974</v>
      </c>
      <c r="B80" s="13" t="s">
        <v>575</v>
      </c>
      <c r="C80" s="13" t="s">
        <v>957</v>
      </c>
      <c r="D80" s="13" t="s">
        <v>2975</v>
      </c>
      <c r="E80" s="13"/>
      <c r="F80" s="13" t="s">
        <v>229</v>
      </c>
      <c r="G80" s="13"/>
      <c r="H80" s="13" t="s">
        <v>2935</v>
      </c>
      <c r="I80" s="13" t="s">
        <v>502</v>
      </c>
      <c r="J80" s="13"/>
    </row>
    <row r="81" spans="1:10" ht="82.8">
      <c r="A81" s="13" t="s">
        <v>2976</v>
      </c>
      <c r="B81" s="13" t="s">
        <v>575</v>
      </c>
      <c r="C81" s="13" t="s">
        <v>2865</v>
      </c>
      <c r="D81" s="13" t="s">
        <v>2866</v>
      </c>
      <c r="E81" s="13"/>
      <c r="F81" s="13" t="s">
        <v>229</v>
      </c>
      <c r="G81" s="13"/>
      <c r="H81" s="13" t="s">
        <v>2939</v>
      </c>
      <c r="I81" s="13" t="s">
        <v>502</v>
      </c>
      <c r="J81" s="13"/>
    </row>
    <row r="82" spans="1:10">
      <c r="A82" s="13"/>
      <c r="B82" s="13"/>
      <c r="C82" s="13"/>
      <c r="D82" s="13"/>
      <c r="E82" s="13"/>
      <c r="F82" s="13"/>
      <c r="G82" s="13"/>
      <c r="H82" s="13"/>
      <c r="I82" s="13"/>
      <c r="J82" s="13"/>
    </row>
    <row r="83" spans="1:10">
      <c r="A83" s="842" t="s">
        <v>1079</v>
      </c>
      <c r="B83" s="839"/>
      <c r="C83" s="839"/>
      <c r="D83" s="85"/>
      <c r="E83" s="85"/>
      <c r="F83" s="85"/>
      <c r="G83" s="85"/>
      <c r="H83" s="85"/>
      <c r="I83" s="85"/>
      <c r="J83" s="85"/>
    </row>
    <row r="84" spans="1:10">
      <c r="A84" s="50" t="s">
        <v>275</v>
      </c>
      <c r="B84" s="50" t="s">
        <v>895</v>
      </c>
      <c r="C84" s="50" t="s">
        <v>896</v>
      </c>
      <c r="D84" s="50" t="s">
        <v>148</v>
      </c>
      <c r="E84" s="50" t="s">
        <v>153</v>
      </c>
      <c r="F84" s="50" t="s">
        <v>155</v>
      </c>
      <c r="G84" s="50" t="s">
        <v>491</v>
      </c>
      <c r="H84" s="50" t="s">
        <v>897</v>
      </c>
      <c r="I84" s="50" t="s">
        <v>174</v>
      </c>
      <c r="J84" s="50" t="s">
        <v>11</v>
      </c>
    </row>
    <row r="85" spans="1:10" ht="55.2">
      <c r="A85" s="13" t="s">
        <v>425</v>
      </c>
      <c r="B85" s="13">
        <v>0.5</v>
      </c>
      <c r="C85" s="13">
        <v>0.5</v>
      </c>
      <c r="D85" s="13">
        <v>0.5</v>
      </c>
      <c r="E85" s="13">
        <v>0.5</v>
      </c>
      <c r="F85" s="13">
        <v>0.5</v>
      </c>
      <c r="G85" s="13" t="s">
        <v>677</v>
      </c>
      <c r="H85" s="13">
        <v>0.5</v>
      </c>
      <c r="I85" s="13" t="s">
        <v>1201</v>
      </c>
      <c r="J85" s="13" t="s">
        <v>2977</v>
      </c>
    </row>
    <row r="86" spans="1:10" ht="41.4">
      <c r="A86" s="13" t="s">
        <v>2885</v>
      </c>
      <c r="B86" s="13">
        <v>0.5</v>
      </c>
      <c r="C86" s="13">
        <v>0.5</v>
      </c>
      <c r="D86" s="13">
        <v>0.5</v>
      </c>
      <c r="E86" s="13">
        <v>0.5</v>
      </c>
      <c r="F86" s="13">
        <v>0.5</v>
      </c>
      <c r="G86" s="13" t="s">
        <v>677</v>
      </c>
      <c r="H86" s="13">
        <v>0.5</v>
      </c>
      <c r="I86" s="13" t="s">
        <v>1201</v>
      </c>
      <c r="J86" s="13" t="s">
        <v>2978</v>
      </c>
    </row>
    <row r="87" spans="1:10" ht="41.4">
      <c r="A87" s="13" t="s">
        <v>2890</v>
      </c>
      <c r="B87" s="13">
        <v>0.5</v>
      </c>
      <c r="C87" s="13">
        <v>0.5</v>
      </c>
      <c r="D87" s="13">
        <v>0.5</v>
      </c>
      <c r="E87" s="13">
        <v>0.5</v>
      </c>
      <c r="F87" s="13">
        <v>0.5</v>
      </c>
      <c r="G87" s="13" t="s">
        <v>677</v>
      </c>
      <c r="H87" s="13">
        <v>0.5</v>
      </c>
      <c r="I87" s="13" t="s">
        <v>1201</v>
      </c>
      <c r="J87" s="13" t="s">
        <v>2979</v>
      </c>
    </row>
    <row r="88" spans="1:10">
      <c r="A88" s="13"/>
      <c r="B88" s="13"/>
      <c r="C88" s="13"/>
      <c r="D88" s="13"/>
      <c r="E88" s="13"/>
      <c r="F88" s="13"/>
      <c r="G88" s="13"/>
      <c r="H88" s="13"/>
      <c r="I88" s="13"/>
      <c r="J88" s="13"/>
    </row>
    <row r="89" spans="1:10">
      <c r="A89" s="842" t="s">
        <v>1085</v>
      </c>
      <c r="B89" s="839"/>
      <c r="C89" s="839"/>
      <c r="D89" s="85"/>
      <c r="E89" s="85"/>
      <c r="F89" s="85"/>
      <c r="G89" s="85"/>
      <c r="H89" s="85"/>
      <c r="I89" s="85"/>
      <c r="J89" s="85"/>
    </row>
    <row r="90" spans="1:10" ht="55.2">
      <c r="A90" s="50" t="s">
        <v>905</v>
      </c>
      <c r="B90" s="50" t="s">
        <v>821</v>
      </c>
      <c r="C90" s="50"/>
      <c r="D90" s="50"/>
      <c r="E90" s="50"/>
      <c r="F90" s="50"/>
      <c r="G90" s="50"/>
      <c r="H90" s="50"/>
      <c r="I90" s="50"/>
      <c r="J90" s="50"/>
    </row>
    <row r="91" spans="1:10">
      <c r="A91" s="13" t="s">
        <v>1086</v>
      </c>
      <c r="B91" s="852" t="s">
        <v>2980</v>
      </c>
      <c r="C91" s="839"/>
      <c r="D91" s="839"/>
      <c r="E91" s="839"/>
      <c r="F91" s="839"/>
      <c r="G91" s="839"/>
      <c r="H91" s="839"/>
      <c r="I91" s="839"/>
      <c r="J91" s="839"/>
    </row>
    <row r="92" spans="1:10">
      <c r="A92" s="13" t="s">
        <v>2194</v>
      </c>
      <c r="B92" s="852" t="s">
        <v>2981</v>
      </c>
      <c r="C92" s="839"/>
      <c r="D92" s="839"/>
      <c r="E92" s="839"/>
      <c r="F92" s="839"/>
      <c r="G92" s="839"/>
      <c r="H92" s="839"/>
      <c r="I92" s="839"/>
      <c r="J92" s="839"/>
    </row>
    <row r="93" spans="1:10">
      <c r="A93" s="13" t="s">
        <v>1088</v>
      </c>
      <c r="B93" s="852" t="s">
        <v>2982</v>
      </c>
      <c r="C93" s="839"/>
      <c r="D93" s="839"/>
      <c r="E93" s="839"/>
      <c r="F93" s="839"/>
      <c r="G93" s="839"/>
      <c r="H93" s="839"/>
      <c r="I93" s="839"/>
      <c r="J93" s="839"/>
    </row>
    <row r="94" spans="1:10" ht="27.6">
      <c r="A94" s="13" t="s">
        <v>2983</v>
      </c>
      <c r="B94" s="852" t="s">
        <v>2984</v>
      </c>
      <c r="C94" s="839"/>
      <c r="D94" s="839"/>
      <c r="E94" s="839"/>
      <c r="F94" s="839"/>
      <c r="G94" s="839"/>
      <c r="H94" s="839"/>
      <c r="I94" s="839"/>
      <c r="J94" s="839"/>
    </row>
    <row r="95" spans="1:10">
      <c r="A95" s="13" t="s">
        <v>1563</v>
      </c>
      <c r="B95" s="852" t="s">
        <v>2874</v>
      </c>
      <c r="C95" s="839"/>
      <c r="D95" s="839"/>
      <c r="E95" s="839"/>
      <c r="F95" s="839"/>
      <c r="G95" s="839"/>
      <c r="H95" s="839"/>
      <c r="I95" s="839"/>
      <c r="J95" s="839"/>
    </row>
    <row r="96" spans="1:10">
      <c r="A96" s="13" t="s">
        <v>1092</v>
      </c>
      <c r="B96" s="852" t="s">
        <v>2985</v>
      </c>
      <c r="C96" s="839"/>
      <c r="D96" s="839"/>
      <c r="E96" s="839"/>
      <c r="F96" s="839"/>
      <c r="G96" s="839"/>
      <c r="H96" s="839"/>
      <c r="I96" s="839"/>
      <c r="J96" s="839"/>
    </row>
    <row r="97" spans="1:10" ht="15" thickBot="1"/>
    <row r="98" spans="1:10">
      <c r="A98" s="855" t="s">
        <v>5875</v>
      </c>
      <c r="B98" s="856"/>
      <c r="C98" s="856"/>
      <c r="D98" s="857"/>
      <c r="E98" s="856"/>
      <c r="F98" s="856"/>
      <c r="G98" s="857"/>
      <c r="H98" s="857"/>
      <c r="I98" s="857"/>
      <c r="J98" s="858"/>
    </row>
    <row r="99" spans="1:10">
      <c r="A99" s="325" t="s">
        <v>5817</v>
      </c>
      <c r="B99" s="326" t="s">
        <v>77</v>
      </c>
      <c r="C99" s="326" t="s">
        <v>5818</v>
      </c>
      <c r="D99" s="326" t="s">
        <v>5819</v>
      </c>
      <c r="E99" s="326" t="s">
        <v>5841</v>
      </c>
      <c r="F99" s="326" t="s">
        <v>5808</v>
      </c>
      <c r="G99" s="859" t="s">
        <v>5842</v>
      </c>
      <c r="H99" s="859"/>
      <c r="I99" s="859"/>
      <c r="J99" s="860"/>
    </row>
    <row r="100" spans="1:10" ht="26.4">
      <c r="A100" s="327" t="s">
        <v>5820</v>
      </c>
      <c r="B100" s="337" t="s">
        <v>484</v>
      </c>
      <c r="C100" s="329">
        <v>0</v>
      </c>
      <c r="D100" s="329">
        <v>0</v>
      </c>
      <c r="E100" s="196" t="s">
        <v>5881</v>
      </c>
      <c r="F100" s="329">
        <f>IF(AND(C100&lt;&gt;"",D100&lt;&gt;""),D100-C100,"")</f>
        <v>0</v>
      </c>
      <c r="G100" s="861"/>
      <c r="H100" s="861"/>
      <c r="I100" s="861"/>
      <c r="J100" s="862"/>
    </row>
    <row r="101" spans="1:10" ht="26.4">
      <c r="A101" s="330" t="s">
        <v>5821</v>
      </c>
      <c r="B101" s="337" t="s">
        <v>484</v>
      </c>
      <c r="C101" s="331">
        <v>1</v>
      </c>
      <c r="D101" s="331">
        <v>0</v>
      </c>
      <c r="E101" s="314" t="s">
        <v>5882</v>
      </c>
      <c r="F101" s="331">
        <f>IF(AND(C101&lt;&gt;"",D101&lt;&gt;""),D101-C101,"")</f>
        <v>-1</v>
      </c>
      <c r="G101" s="863"/>
      <c r="H101" s="863"/>
      <c r="I101" s="863"/>
      <c r="J101" s="864"/>
    </row>
    <row r="102" spans="1:10">
      <c r="A102" s="327" t="s">
        <v>5822</v>
      </c>
      <c r="B102" s="337" t="s">
        <v>484</v>
      </c>
      <c r="C102" s="331">
        <v>1</v>
      </c>
      <c r="D102" s="331">
        <v>0</v>
      </c>
      <c r="E102" s="314" t="s">
        <v>5882</v>
      </c>
      <c r="F102" s="329">
        <f>IF(AND(C102&lt;&gt;"",D102&lt;&gt;""),D102-C102,"")</f>
        <v>-1</v>
      </c>
      <c r="G102" s="332"/>
      <c r="H102" s="231"/>
      <c r="I102" s="231"/>
      <c r="J102" s="333"/>
    </row>
    <row r="103" spans="1:10">
      <c r="A103" s="330" t="s">
        <v>5823</v>
      </c>
      <c r="B103" s="337" t="s">
        <v>484</v>
      </c>
      <c r="C103" s="331">
        <v>1</v>
      </c>
      <c r="D103" s="331">
        <v>0</v>
      </c>
      <c r="E103" s="314" t="s">
        <v>5882</v>
      </c>
      <c r="F103" s="331">
        <f>IF(AND(C103&lt;&gt;"",D103&lt;&gt;""),D103-C103,"")</f>
        <v>-1</v>
      </c>
      <c r="G103" s="863"/>
      <c r="H103" s="863"/>
      <c r="I103" s="863"/>
      <c r="J103" s="864"/>
    </row>
    <row r="104" spans="1:10">
      <c r="A104" s="327" t="s">
        <v>5168</v>
      </c>
      <c r="B104" s="337" t="s">
        <v>484</v>
      </c>
      <c r="C104" s="331">
        <v>1</v>
      </c>
      <c r="D104" s="331">
        <v>0</v>
      </c>
      <c r="E104" s="314" t="s">
        <v>5882</v>
      </c>
      <c r="F104" s="329">
        <f>IF(AND(C104&lt;&gt;"",D104&lt;&gt;""),D104-C104,"")</f>
        <v>-1</v>
      </c>
      <c r="G104" s="332"/>
      <c r="H104" s="231"/>
      <c r="I104" s="231"/>
      <c r="J104" s="333"/>
    </row>
    <row r="105" spans="1:10" ht="15.6">
      <c r="A105" s="865" t="s">
        <v>5843</v>
      </c>
      <c r="B105" s="713"/>
      <c r="C105" s="334">
        <f>IFERROR(AVERAGE(C100:C104),"")</f>
        <v>0.8</v>
      </c>
      <c r="D105" s="334">
        <f>IFERROR(AVERAGE(D100:D104),"")</f>
        <v>0</v>
      </c>
      <c r="E105" s="866" t="s">
        <v>5844</v>
      </c>
      <c r="F105" s="866"/>
      <c r="G105" s="866"/>
      <c r="H105" s="866"/>
      <c r="I105" s="866"/>
      <c r="J105" s="867"/>
    </row>
    <row r="106" spans="1:10">
      <c r="A106" s="335"/>
      <c r="B106" s="320"/>
      <c r="C106" s="320"/>
      <c r="D106" s="320"/>
      <c r="E106" s="320"/>
      <c r="F106" s="320"/>
      <c r="G106" s="320"/>
      <c r="H106" s="231"/>
      <c r="I106" s="231"/>
      <c r="J106" s="333"/>
    </row>
    <row r="107" spans="1:10">
      <c r="A107" s="876" t="s">
        <v>5876</v>
      </c>
      <c r="B107" s="853"/>
      <c r="C107" s="853"/>
      <c r="D107" s="842"/>
      <c r="E107" s="853"/>
      <c r="F107" s="853"/>
      <c r="G107" s="842"/>
      <c r="H107" s="842"/>
      <c r="I107" s="842"/>
      <c r="J107" s="868"/>
    </row>
    <row r="108" spans="1:10">
      <c r="A108" s="325" t="s">
        <v>4946</v>
      </c>
      <c r="B108" s="326" t="s">
        <v>77</v>
      </c>
      <c r="C108" s="326" t="s">
        <v>5883</v>
      </c>
      <c r="D108" s="326" t="s">
        <v>482</v>
      </c>
      <c r="E108" s="326" t="s">
        <v>572</v>
      </c>
      <c r="F108" s="326" t="s">
        <v>5846</v>
      </c>
      <c r="G108" s="859" t="s">
        <v>5847</v>
      </c>
      <c r="H108" s="859"/>
      <c r="I108" s="859"/>
      <c r="J108" s="860"/>
    </row>
    <row r="109" spans="1:10" ht="26.4">
      <c r="A109" s="330" t="s">
        <v>5809</v>
      </c>
      <c r="B109" s="337" t="s">
        <v>484</v>
      </c>
      <c r="C109" s="336" t="s">
        <v>679</v>
      </c>
      <c r="D109" s="328" t="s">
        <v>679</v>
      </c>
      <c r="E109" s="336">
        <f>IF(D109="Yes",1,0)</f>
        <v>0</v>
      </c>
      <c r="F109" s="877"/>
      <c r="G109" s="877"/>
      <c r="H109" s="877"/>
      <c r="I109" s="877"/>
      <c r="J109" s="878"/>
    </row>
    <row r="110" spans="1:10">
      <c r="A110" s="327" t="s">
        <v>995</v>
      </c>
      <c r="B110" s="337" t="s">
        <v>484</v>
      </c>
      <c r="C110" s="336" t="s">
        <v>679</v>
      </c>
      <c r="D110" s="328" t="s">
        <v>679</v>
      </c>
      <c r="E110" s="328">
        <f t="shared" ref="E110:E116" si="0">IF(D110="Yes",1,0)</f>
        <v>0</v>
      </c>
      <c r="F110" s="877"/>
      <c r="G110" s="877"/>
      <c r="H110" s="877"/>
      <c r="I110" s="877"/>
      <c r="J110" s="878"/>
    </row>
    <row r="111" spans="1:10">
      <c r="A111" s="330" t="s">
        <v>5810</v>
      </c>
      <c r="B111" s="337" t="s">
        <v>484</v>
      </c>
      <c r="C111" s="336" t="s">
        <v>679</v>
      </c>
      <c r="D111" s="328" t="s">
        <v>679</v>
      </c>
      <c r="E111" s="336">
        <f t="shared" si="0"/>
        <v>0</v>
      </c>
      <c r="F111" s="877"/>
      <c r="G111" s="877"/>
      <c r="H111" s="877"/>
      <c r="I111" s="877"/>
      <c r="J111" s="878"/>
    </row>
    <row r="112" spans="1:10">
      <c r="A112" s="327" t="s">
        <v>5824</v>
      </c>
      <c r="B112" s="337" t="s">
        <v>484</v>
      </c>
      <c r="C112" s="336" t="s">
        <v>679</v>
      </c>
      <c r="D112" s="328" t="s">
        <v>679</v>
      </c>
      <c r="E112" s="328">
        <f t="shared" si="0"/>
        <v>0</v>
      </c>
      <c r="F112" s="877"/>
      <c r="G112" s="877"/>
      <c r="H112" s="877"/>
      <c r="I112" s="877"/>
      <c r="J112" s="878"/>
    </row>
    <row r="113" spans="1:10" ht="39.6">
      <c r="A113" s="330" t="s">
        <v>5825</v>
      </c>
      <c r="B113" s="337" t="s">
        <v>484</v>
      </c>
      <c r="C113" s="336" t="s">
        <v>679</v>
      </c>
      <c r="D113" s="328" t="s">
        <v>679</v>
      </c>
      <c r="E113" s="336">
        <f t="shared" si="0"/>
        <v>0</v>
      </c>
      <c r="F113" s="877"/>
      <c r="G113" s="877"/>
      <c r="H113" s="877"/>
      <c r="I113" s="877"/>
      <c r="J113" s="878"/>
    </row>
    <row r="114" spans="1:10" ht="26.4">
      <c r="A114" s="327" t="s">
        <v>5826</v>
      </c>
      <c r="B114" s="337" t="s">
        <v>484</v>
      </c>
      <c r="C114" s="336" t="s">
        <v>679</v>
      </c>
      <c r="D114" s="328" t="s">
        <v>679</v>
      </c>
      <c r="E114" s="328">
        <f t="shared" si="0"/>
        <v>0</v>
      </c>
      <c r="F114" s="877"/>
      <c r="G114" s="877"/>
      <c r="H114" s="877"/>
      <c r="I114" s="877"/>
      <c r="J114" s="878"/>
    </row>
    <row r="115" spans="1:10">
      <c r="A115" s="330" t="s">
        <v>5811</v>
      </c>
      <c r="B115" s="337" t="s">
        <v>484</v>
      </c>
      <c r="C115" s="336" t="s">
        <v>679</v>
      </c>
      <c r="D115" s="328" t="s">
        <v>679</v>
      </c>
      <c r="E115" s="336">
        <f t="shared" si="0"/>
        <v>0</v>
      </c>
      <c r="F115" s="877"/>
      <c r="G115" s="877"/>
      <c r="H115" s="877"/>
      <c r="I115" s="877"/>
      <c r="J115" s="878"/>
    </row>
    <row r="116" spans="1:10" ht="26.4">
      <c r="A116" s="327" t="s">
        <v>5812</v>
      </c>
      <c r="B116" s="337" t="s">
        <v>484</v>
      </c>
      <c r="C116" s="336" t="s">
        <v>679</v>
      </c>
      <c r="D116" s="328" t="s">
        <v>679</v>
      </c>
      <c r="E116" s="328">
        <f t="shared" si="0"/>
        <v>0</v>
      </c>
      <c r="F116" s="877"/>
      <c r="G116" s="877"/>
      <c r="H116" s="877"/>
      <c r="I116" s="877"/>
      <c r="J116" s="878"/>
    </row>
    <row r="117" spans="1:10" ht="15.6">
      <c r="A117" s="865" t="s">
        <v>5848</v>
      </c>
      <c r="B117" s="713"/>
      <c r="C117" s="871" t="str">
        <f>IFERROR(SUM(E109:E116)/COUNTIF(C109:C116,"Yes"),"")</f>
        <v/>
      </c>
      <c r="D117" s="872"/>
      <c r="E117" s="866" t="s">
        <v>5849</v>
      </c>
      <c r="F117" s="866"/>
      <c r="G117" s="866"/>
      <c r="H117" s="866"/>
      <c r="I117" s="866"/>
      <c r="J117" s="867"/>
    </row>
    <row r="118" spans="1:10">
      <c r="A118" s="335"/>
      <c r="B118" s="320"/>
      <c r="C118" s="320"/>
      <c r="D118" s="320"/>
      <c r="E118" s="320"/>
      <c r="F118" s="320"/>
      <c r="G118" s="320"/>
      <c r="H118" s="231"/>
      <c r="I118" s="231"/>
      <c r="J118" s="333"/>
    </row>
    <row r="119" spans="1:10">
      <c r="A119" s="876" t="s">
        <v>5877</v>
      </c>
      <c r="B119" s="853"/>
      <c r="C119" s="853"/>
      <c r="D119" s="842"/>
      <c r="E119" s="853"/>
      <c r="F119" s="853"/>
      <c r="G119" s="842"/>
      <c r="H119" s="842"/>
      <c r="I119" s="842"/>
      <c r="J119" s="868"/>
    </row>
    <row r="120" spans="1:10">
      <c r="A120" s="325" t="s">
        <v>5850</v>
      </c>
      <c r="B120" s="326" t="s">
        <v>77</v>
      </c>
      <c r="C120" s="326" t="s">
        <v>5827</v>
      </c>
      <c r="D120" s="326" t="s">
        <v>5828</v>
      </c>
      <c r="E120" s="326" t="s">
        <v>5829</v>
      </c>
      <c r="F120" s="326" t="s">
        <v>5851</v>
      </c>
      <c r="G120" s="859" t="s">
        <v>5852</v>
      </c>
      <c r="H120" s="859"/>
      <c r="I120" s="859"/>
      <c r="J120" s="860"/>
    </row>
    <row r="121" spans="1:10" ht="26.4">
      <c r="A121" s="330" t="s">
        <v>5830</v>
      </c>
      <c r="B121" s="336" t="s">
        <v>484</v>
      </c>
      <c r="C121" s="336" t="s">
        <v>1096</v>
      </c>
      <c r="D121" s="336" t="s">
        <v>1096</v>
      </c>
      <c r="E121" s="336" t="s">
        <v>1096</v>
      </c>
      <c r="F121" s="336" t="s">
        <v>348</v>
      </c>
      <c r="G121" s="869"/>
      <c r="H121" s="869"/>
      <c r="I121" s="869"/>
      <c r="J121" s="870"/>
    </row>
    <row r="122" spans="1:10">
      <c r="A122" s="327" t="s">
        <v>5831</v>
      </c>
      <c r="B122" s="336" t="s">
        <v>484</v>
      </c>
      <c r="C122" s="336" t="s">
        <v>1096</v>
      </c>
      <c r="D122" s="336" t="s">
        <v>1096</v>
      </c>
      <c r="E122" s="336" t="s">
        <v>1096</v>
      </c>
      <c r="F122" s="336" t="s">
        <v>348</v>
      </c>
      <c r="G122" s="869"/>
      <c r="H122" s="869"/>
      <c r="I122" s="869"/>
      <c r="J122" s="870"/>
    </row>
    <row r="123" spans="1:10">
      <c r="A123" s="330" t="s">
        <v>5853</v>
      </c>
      <c r="B123" s="336" t="s">
        <v>484</v>
      </c>
      <c r="C123" s="336" t="s">
        <v>1096</v>
      </c>
      <c r="D123" s="336" t="s">
        <v>1096</v>
      </c>
      <c r="E123" s="336" t="s">
        <v>1096</v>
      </c>
      <c r="F123" s="336" t="s">
        <v>348</v>
      </c>
      <c r="G123" s="869"/>
      <c r="H123" s="869"/>
      <c r="I123" s="869"/>
      <c r="J123" s="870"/>
    </row>
    <row r="124" spans="1:10">
      <c r="A124" s="327" t="s">
        <v>5832</v>
      </c>
      <c r="B124" s="336" t="s">
        <v>484</v>
      </c>
      <c r="C124" s="336" t="s">
        <v>1096</v>
      </c>
      <c r="D124" s="336" t="s">
        <v>1096</v>
      </c>
      <c r="E124" s="336" t="s">
        <v>1096</v>
      </c>
      <c r="F124" s="336" t="s">
        <v>348</v>
      </c>
      <c r="G124" s="869"/>
      <c r="H124" s="869"/>
      <c r="I124" s="869"/>
      <c r="J124" s="870"/>
    </row>
    <row r="125" spans="1:10" ht="26.4">
      <c r="A125" s="330" t="s">
        <v>5833</v>
      </c>
      <c r="B125" s="336" t="s">
        <v>484</v>
      </c>
      <c r="C125" s="336" t="s">
        <v>1096</v>
      </c>
      <c r="D125" s="336" t="s">
        <v>1096</v>
      </c>
      <c r="E125" s="336" t="s">
        <v>1096</v>
      </c>
      <c r="F125" s="336" t="s">
        <v>348</v>
      </c>
      <c r="G125" s="869"/>
      <c r="H125" s="869"/>
      <c r="I125" s="869"/>
      <c r="J125" s="870"/>
    </row>
    <row r="126" spans="1:10" ht="15.6">
      <c r="A126" s="865" t="s">
        <v>5884</v>
      </c>
      <c r="B126" s="713"/>
      <c r="C126" s="871">
        <f>IFERROR(COUNTIF(E121:E125,"Yes")/COUNTA(A121:A125),"")</f>
        <v>0</v>
      </c>
      <c r="D126" s="872"/>
      <c r="E126" s="866" t="s">
        <v>5855</v>
      </c>
      <c r="F126" s="866"/>
      <c r="G126" s="866"/>
      <c r="H126" s="866"/>
      <c r="I126" s="866"/>
      <c r="J126" s="867"/>
    </row>
    <row r="127" spans="1:10">
      <c r="A127" s="335"/>
      <c r="B127" s="320"/>
      <c r="C127" s="320"/>
      <c r="D127" s="320"/>
      <c r="E127" s="320"/>
      <c r="F127" s="320"/>
      <c r="G127" s="874"/>
      <c r="H127" s="874"/>
      <c r="I127" s="874"/>
      <c r="J127" s="875"/>
    </row>
    <row r="128" spans="1:10">
      <c r="A128" s="876" t="s">
        <v>5878</v>
      </c>
      <c r="B128" s="853"/>
      <c r="C128" s="853"/>
      <c r="D128" s="842"/>
      <c r="E128" s="853"/>
      <c r="F128" s="853"/>
      <c r="G128" s="842"/>
      <c r="H128" s="842"/>
      <c r="I128" s="842"/>
      <c r="J128" s="868"/>
    </row>
    <row r="129" spans="1:10">
      <c r="A129" s="326" t="s">
        <v>5813</v>
      </c>
      <c r="B129" s="326" t="s">
        <v>77</v>
      </c>
      <c r="C129" s="326" t="s">
        <v>5834</v>
      </c>
      <c r="D129" s="326" t="s">
        <v>5835</v>
      </c>
      <c r="E129" s="326" t="s">
        <v>5836</v>
      </c>
      <c r="F129" s="326" t="s">
        <v>5837</v>
      </c>
      <c r="G129" s="859" t="s">
        <v>5885</v>
      </c>
      <c r="H129" s="859"/>
      <c r="I129" s="859"/>
      <c r="J129" s="859"/>
    </row>
    <row r="130" spans="1:10">
      <c r="A130" s="332" t="s">
        <v>153</v>
      </c>
      <c r="B130" s="328" t="s">
        <v>484</v>
      </c>
      <c r="C130" s="328"/>
      <c r="D130" s="328"/>
      <c r="E130" s="328"/>
      <c r="F130" s="329" t="str">
        <f>IFERROR(D130/C130,"")</f>
        <v/>
      </c>
      <c r="G130" s="873"/>
      <c r="H130" s="873"/>
      <c r="I130" s="873"/>
      <c r="J130" s="873"/>
    </row>
    <row r="131" spans="1:10">
      <c r="A131" s="339" t="s">
        <v>155</v>
      </c>
      <c r="B131" s="336" t="s">
        <v>484</v>
      </c>
      <c r="C131" s="336"/>
      <c r="D131" s="336"/>
      <c r="E131" s="336"/>
      <c r="F131" s="331" t="str">
        <f>IFERROR(D131/C131,"")</f>
        <v/>
      </c>
      <c r="G131" s="873"/>
      <c r="H131" s="873"/>
      <c r="I131" s="873"/>
      <c r="J131" s="873"/>
    </row>
    <row r="132" spans="1:10">
      <c r="A132" s="332" t="s">
        <v>4821</v>
      </c>
      <c r="B132" s="328" t="s">
        <v>484</v>
      </c>
      <c r="C132" s="328"/>
      <c r="D132" s="328"/>
      <c r="E132" s="328"/>
      <c r="F132" s="329" t="str">
        <f>IFERROR(D132/C132,"")</f>
        <v/>
      </c>
      <c r="G132" s="873"/>
      <c r="H132" s="873"/>
      <c r="I132" s="873"/>
      <c r="J132" s="873"/>
    </row>
    <row r="133" spans="1:10">
      <c r="A133" s="339" t="s">
        <v>957</v>
      </c>
      <c r="B133" s="336" t="s">
        <v>484</v>
      </c>
      <c r="C133" s="336"/>
      <c r="D133" s="336"/>
      <c r="E133" s="336"/>
      <c r="F133" s="331" t="str">
        <f>IFERROR(D133/C133,"")</f>
        <v/>
      </c>
      <c r="G133" s="873"/>
      <c r="H133" s="873"/>
      <c r="I133" s="873"/>
      <c r="J133" s="873"/>
    </row>
    <row r="134" spans="1:10">
      <c r="A134" s="879" t="s">
        <v>5856</v>
      </c>
      <c r="B134" s="879"/>
      <c r="C134" s="879"/>
      <c r="D134" s="879"/>
      <c r="E134" s="866" t="s">
        <v>5857</v>
      </c>
      <c r="F134" s="866"/>
      <c r="G134" s="866"/>
      <c r="H134" s="866"/>
      <c r="I134" s="866"/>
      <c r="J134" s="866"/>
    </row>
    <row r="135" spans="1:10">
      <c r="A135" s="879"/>
      <c r="B135" s="879"/>
      <c r="C135" s="879"/>
      <c r="D135" s="879"/>
      <c r="E135" s="866"/>
      <c r="F135" s="866"/>
      <c r="G135" s="866"/>
      <c r="H135" s="866"/>
      <c r="I135" s="866"/>
      <c r="J135" s="866"/>
    </row>
    <row r="136" spans="1:10">
      <c r="A136" s="842" t="s">
        <v>5879</v>
      </c>
      <c r="B136" s="842"/>
      <c r="C136" s="842"/>
      <c r="D136" s="842"/>
      <c r="E136" s="842"/>
      <c r="F136" s="842"/>
      <c r="G136" s="842"/>
      <c r="H136" s="842"/>
      <c r="I136" s="842"/>
      <c r="J136" s="842"/>
    </row>
    <row r="137" spans="1:10">
      <c r="A137" s="326" t="s">
        <v>4946</v>
      </c>
      <c r="B137" s="326" t="s">
        <v>77</v>
      </c>
      <c r="C137" s="326" t="s">
        <v>5845</v>
      </c>
      <c r="D137" s="326" t="s">
        <v>482</v>
      </c>
      <c r="E137" s="326" t="s">
        <v>572</v>
      </c>
      <c r="F137" s="326" t="s">
        <v>944</v>
      </c>
      <c r="G137" s="859" t="s">
        <v>5847</v>
      </c>
      <c r="H137" s="859"/>
      <c r="I137" s="859"/>
      <c r="J137" s="859"/>
    </row>
    <row r="138" spans="1:10" ht="26.4">
      <c r="A138" s="332" t="s">
        <v>5814</v>
      </c>
      <c r="B138" s="328" t="s">
        <v>484</v>
      </c>
      <c r="C138" s="328" t="s">
        <v>392</v>
      </c>
      <c r="D138" s="328" t="s">
        <v>1096</v>
      </c>
      <c r="E138" s="328">
        <f t="shared" ref="E138:E143" si="1">IF(D138="Yes",1,0)</f>
        <v>0</v>
      </c>
      <c r="F138" s="328"/>
      <c r="G138" s="873"/>
      <c r="H138" s="873"/>
      <c r="I138" s="873"/>
      <c r="J138" s="873"/>
    </row>
    <row r="139" spans="1:10">
      <c r="A139" s="339" t="s">
        <v>5815</v>
      </c>
      <c r="B139" s="328" t="s">
        <v>484</v>
      </c>
      <c r="C139" s="336" t="s">
        <v>392</v>
      </c>
      <c r="D139" s="328" t="s">
        <v>1096</v>
      </c>
      <c r="E139" s="336">
        <f t="shared" si="1"/>
        <v>0</v>
      </c>
      <c r="F139" s="336"/>
      <c r="G139" s="873"/>
      <c r="H139" s="873"/>
      <c r="I139" s="873"/>
      <c r="J139" s="873"/>
    </row>
    <row r="140" spans="1:10" ht="26.4">
      <c r="A140" s="332" t="s">
        <v>5816</v>
      </c>
      <c r="B140" s="328" t="s">
        <v>484</v>
      </c>
      <c r="C140" s="328" t="s">
        <v>392</v>
      </c>
      <c r="D140" s="328" t="s">
        <v>1096</v>
      </c>
      <c r="E140" s="328">
        <f t="shared" si="1"/>
        <v>0</v>
      </c>
      <c r="F140" s="328"/>
      <c r="G140" s="873"/>
      <c r="H140" s="873"/>
      <c r="I140" s="873"/>
      <c r="J140" s="873"/>
    </row>
    <row r="141" spans="1:10">
      <c r="A141" s="339" t="s">
        <v>5838</v>
      </c>
      <c r="B141" s="328" t="s">
        <v>484</v>
      </c>
      <c r="C141" s="336" t="s">
        <v>392</v>
      </c>
      <c r="D141" s="328" t="s">
        <v>1096</v>
      </c>
      <c r="E141" s="336">
        <f t="shared" si="1"/>
        <v>0</v>
      </c>
      <c r="F141" s="336"/>
      <c r="G141" s="873"/>
      <c r="H141" s="873"/>
      <c r="I141" s="873"/>
      <c r="J141" s="873"/>
    </row>
    <row r="142" spans="1:10" ht="26.4">
      <c r="A142" s="332" t="s">
        <v>5839</v>
      </c>
      <c r="B142" s="328" t="s">
        <v>484</v>
      </c>
      <c r="C142" s="328" t="s">
        <v>392</v>
      </c>
      <c r="D142" s="328" t="s">
        <v>1096</v>
      </c>
      <c r="E142" s="328">
        <f t="shared" si="1"/>
        <v>0</v>
      </c>
      <c r="F142" s="328"/>
      <c r="G142" s="873"/>
      <c r="H142" s="873"/>
      <c r="I142" s="873"/>
      <c r="J142" s="873"/>
    </row>
    <row r="143" spans="1:10" ht="26.4">
      <c r="A143" s="339" t="s">
        <v>5840</v>
      </c>
      <c r="B143" s="328" t="s">
        <v>484</v>
      </c>
      <c r="C143" s="336" t="s">
        <v>392</v>
      </c>
      <c r="D143" s="336" t="s">
        <v>1096</v>
      </c>
      <c r="E143" s="336">
        <f t="shared" si="1"/>
        <v>0</v>
      </c>
      <c r="F143" s="336"/>
      <c r="G143" s="873"/>
      <c r="H143" s="873"/>
      <c r="I143" s="873"/>
      <c r="J143" s="873"/>
    </row>
    <row r="144" spans="1:10" ht="15.6">
      <c r="A144" s="880" t="s">
        <v>5858</v>
      </c>
      <c r="B144" s="713"/>
      <c r="C144" s="871">
        <f>IFERROR(SUM(E138:E143)/COUNTIF(C138:C143,"Yes"),"")</f>
        <v>0</v>
      </c>
      <c r="D144" s="872"/>
      <c r="E144" s="866" t="s">
        <v>5859</v>
      </c>
      <c r="F144" s="866"/>
      <c r="G144" s="866"/>
      <c r="H144" s="866"/>
      <c r="I144" s="866"/>
      <c r="J144" s="866"/>
    </row>
    <row r="145" spans="1:10">
      <c r="A145" s="196"/>
      <c r="B145" s="196"/>
      <c r="C145" s="196"/>
      <c r="D145" s="196"/>
      <c r="E145" s="196"/>
      <c r="F145" s="196"/>
      <c r="G145" s="196"/>
      <c r="H145" s="196"/>
      <c r="I145" s="196"/>
      <c r="J145" s="196"/>
    </row>
    <row r="146" spans="1:10">
      <c r="A146" s="842" t="s">
        <v>5880</v>
      </c>
      <c r="B146" s="853"/>
      <c r="C146" s="853"/>
      <c r="D146" s="321"/>
      <c r="E146" s="321"/>
      <c r="F146" s="321"/>
      <c r="G146" s="321"/>
      <c r="H146" s="321"/>
      <c r="I146" s="321"/>
      <c r="J146" s="321"/>
    </row>
    <row r="147" spans="1:10" ht="55.2">
      <c r="A147" s="322" t="s">
        <v>905</v>
      </c>
      <c r="B147" s="322" t="s">
        <v>830</v>
      </c>
      <c r="C147" s="322"/>
      <c r="D147" s="322"/>
      <c r="E147" s="322"/>
      <c r="F147" s="322"/>
      <c r="G147" s="322"/>
      <c r="H147" s="322"/>
      <c r="I147" s="322"/>
      <c r="J147" s="322"/>
    </row>
    <row r="148" spans="1:10">
      <c r="A148" s="319" t="s">
        <v>1086</v>
      </c>
      <c r="B148" s="852" t="s">
        <v>3292</v>
      </c>
      <c r="C148" s="853"/>
      <c r="D148" s="853"/>
      <c r="E148" s="853"/>
      <c r="F148" s="853"/>
      <c r="G148" s="853"/>
      <c r="H148" s="853"/>
      <c r="I148" s="853"/>
      <c r="J148" s="853"/>
    </row>
    <row r="149" spans="1:10" ht="27.6">
      <c r="A149" s="319" t="s">
        <v>2090</v>
      </c>
      <c r="B149" s="852" t="s">
        <v>3293</v>
      </c>
      <c r="C149" s="853"/>
      <c r="D149" s="853"/>
      <c r="E149" s="853"/>
      <c r="F149" s="853"/>
      <c r="G149" s="853"/>
      <c r="H149" s="853"/>
      <c r="I149" s="853"/>
      <c r="J149" s="853"/>
    </row>
    <row r="150" spans="1:10">
      <c r="A150" s="319" t="s">
        <v>1089</v>
      </c>
      <c r="B150" s="852" t="s">
        <v>3294</v>
      </c>
      <c r="C150" s="853"/>
      <c r="D150" s="853"/>
      <c r="E150" s="853"/>
      <c r="F150" s="853"/>
      <c r="G150" s="853"/>
      <c r="H150" s="853"/>
      <c r="I150" s="853"/>
      <c r="J150" s="853"/>
    </row>
    <row r="151" spans="1:10">
      <c r="A151" s="319" t="s">
        <v>1090</v>
      </c>
      <c r="B151" s="852" t="s">
        <v>3295</v>
      </c>
      <c r="C151" s="853"/>
      <c r="D151" s="853"/>
      <c r="E151" s="853"/>
      <c r="F151" s="853"/>
      <c r="G151" s="853"/>
      <c r="H151" s="853"/>
      <c r="I151" s="853"/>
      <c r="J151" s="853"/>
    </row>
    <row r="152" spans="1:10">
      <c r="A152" s="319" t="s">
        <v>1088</v>
      </c>
      <c r="B152" s="852" t="s">
        <v>3296</v>
      </c>
      <c r="C152" s="853"/>
      <c r="D152" s="853"/>
      <c r="E152" s="853"/>
      <c r="F152" s="853"/>
      <c r="G152" s="853"/>
      <c r="H152" s="853"/>
      <c r="I152" s="853"/>
      <c r="J152" s="853"/>
    </row>
    <row r="153" spans="1:10" ht="27.6">
      <c r="A153" s="319" t="s">
        <v>3297</v>
      </c>
      <c r="B153" s="852" t="s">
        <v>3298</v>
      </c>
      <c r="C153" s="853"/>
      <c r="D153" s="853"/>
      <c r="E153" s="853"/>
      <c r="F153" s="853"/>
      <c r="G153" s="853"/>
      <c r="H153" s="853"/>
      <c r="I153" s="853"/>
      <c r="J153" s="853"/>
    </row>
    <row r="154" spans="1:10">
      <c r="A154" s="319" t="s">
        <v>1563</v>
      </c>
      <c r="B154" s="852" t="s">
        <v>1776</v>
      </c>
      <c r="C154" s="853"/>
      <c r="D154" s="853"/>
      <c r="E154" s="853"/>
      <c r="F154" s="853"/>
      <c r="G154" s="853"/>
      <c r="H154" s="853"/>
      <c r="I154" s="853"/>
      <c r="J154" s="853"/>
    </row>
    <row r="155" spans="1:10">
      <c r="A155" s="231"/>
      <c r="B155" s="231"/>
      <c r="C155" s="231"/>
      <c r="D155" s="231"/>
      <c r="E155" s="231"/>
      <c r="F155" s="231"/>
      <c r="G155" s="231"/>
      <c r="H155" s="231"/>
      <c r="I155" s="231"/>
      <c r="J155" s="231"/>
    </row>
    <row r="156" spans="1:10" ht="17.399999999999999">
      <c r="A156" s="827" t="s">
        <v>5769</v>
      </c>
      <c r="B156" s="827"/>
      <c r="C156" s="827"/>
      <c r="D156" s="827"/>
      <c r="E156" s="827"/>
      <c r="F156" s="827"/>
      <c r="G156" s="827"/>
      <c r="H156" s="827"/>
      <c r="I156" s="231"/>
      <c r="J156" s="231"/>
    </row>
    <row r="157" spans="1:10">
      <c r="A157" s="276" t="s">
        <v>2</v>
      </c>
      <c r="B157" s="828" t="s">
        <v>5770</v>
      </c>
      <c r="C157" s="828"/>
      <c r="D157" s="828"/>
      <c r="E157" s="828"/>
      <c r="F157" s="828"/>
      <c r="G157" s="828"/>
      <c r="H157" s="828"/>
      <c r="I157" s="231"/>
      <c r="J157" s="231"/>
    </row>
    <row r="158" spans="1:10">
      <c r="A158" s="276" t="s">
        <v>5771</v>
      </c>
      <c r="B158" s="828" t="s">
        <v>5772</v>
      </c>
      <c r="C158" s="828"/>
      <c r="D158" s="828"/>
      <c r="E158" s="828"/>
      <c r="F158" s="828"/>
      <c r="G158" s="828"/>
      <c r="H158" s="828"/>
      <c r="I158" s="231"/>
      <c r="J158" s="231"/>
    </row>
    <row r="159" spans="1:10">
      <c r="A159" s="196"/>
      <c r="B159" s="196"/>
      <c r="C159" s="196"/>
      <c r="D159" s="196"/>
      <c r="E159" s="196"/>
      <c r="F159" s="196"/>
      <c r="G159" s="196"/>
      <c r="H159" s="196"/>
      <c r="I159" s="231"/>
      <c r="J159" s="231"/>
    </row>
    <row r="160" spans="1:10">
      <c r="A160" s="323" t="s">
        <v>4946</v>
      </c>
      <c r="B160" s="323" t="s">
        <v>77</v>
      </c>
      <c r="C160" s="323" t="s">
        <v>5773</v>
      </c>
      <c r="D160" s="323" t="s">
        <v>263</v>
      </c>
      <c r="E160" s="323" t="s">
        <v>216</v>
      </c>
      <c r="F160" s="323" t="s">
        <v>5774</v>
      </c>
      <c r="G160" s="323" t="s">
        <v>5775</v>
      </c>
      <c r="H160" s="323" t="s">
        <v>5776</v>
      </c>
      <c r="I160" s="231"/>
      <c r="J160" s="231"/>
    </row>
    <row r="161" spans="1:10" ht="26.4">
      <c r="A161" s="277" t="s">
        <v>5777</v>
      </c>
      <c r="B161" s="278" t="s">
        <v>1096</v>
      </c>
      <c r="C161" s="277"/>
      <c r="D161" s="277"/>
      <c r="E161" s="277"/>
      <c r="F161" s="277"/>
      <c r="G161" s="279" t="str">
        <f t="shared" ref="G161:G168" si="2">IF(OR(B161="Yes",B161="N/A"),"🟢","🟡")</f>
        <v>🟡</v>
      </c>
      <c r="H161" s="277"/>
      <c r="I161" s="231"/>
      <c r="J161" s="231"/>
    </row>
    <row r="162" spans="1:10">
      <c r="A162" s="277" t="s">
        <v>5778</v>
      </c>
      <c r="B162" s="278" t="s">
        <v>1096</v>
      </c>
      <c r="C162" s="277"/>
      <c r="D162" s="277"/>
      <c r="E162" s="277"/>
      <c r="F162" s="277"/>
      <c r="G162" s="279" t="str">
        <f t="shared" si="2"/>
        <v>🟡</v>
      </c>
      <c r="H162" s="277"/>
      <c r="I162" s="231"/>
      <c r="J162" s="231"/>
    </row>
    <row r="163" spans="1:10">
      <c r="A163" s="277" t="s">
        <v>5779</v>
      </c>
      <c r="B163" s="278" t="s">
        <v>1096</v>
      </c>
      <c r="C163" s="277"/>
      <c r="D163" s="277"/>
      <c r="E163" s="277"/>
      <c r="F163" s="277"/>
      <c r="G163" s="279" t="str">
        <f t="shared" si="2"/>
        <v>🟡</v>
      </c>
      <c r="H163" s="277"/>
      <c r="I163" s="231"/>
      <c r="J163" s="231"/>
    </row>
    <row r="164" spans="1:10">
      <c r="A164" s="277" t="s">
        <v>5168</v>
      </c>
      <c r="B164" s="278" t="s">
        <v>1096</v>
      </c>
      <c r="C164" s="277"/>
      <c r="D164" s="277"/>
      <c r="E164" s="277"/>
      <c r="F164" s="277"/>
      <c r="G164" s="279" t="str">
        <f t="shared" si="2"/>
        <v>🟡</v>
      </c>
      <c r="H164" s="277"/>
      <c r="I164" s="231"/>
      <c r="J164" s="231"/>
    </row>
    <row r="165" spans="1:10">
      <c r="A165" s="277" t="s">
        <v>5780</v>
      </c>
      <c r="B165" s="278" t="s">
        <v>1096</v>
      </c>
      <c r="C165" s="277"/>
      <c r="D165" s="277"/>
      <c r="E165" s="277"/>
      <c r="F165" s="277"/>
      <c r="G165" s="279" t="str">
        <f t="shared" si="2"/>
        <v>🟡</v>
      </c>
      <c r="H165" s="277"/>
      <c r="I165" s="231"/>
      <c r="J165" s="231"/>
    </row>
    <row r="166" spans="1:10">
      <c r="A166" s="277" t="s">
        <v>5781</v>
      </c>
      <c r="B166" s="278" t="s">
        <v>1096</v>
      </c>
      <c r="C166" s="277"/>
      <c r="D166" s="277"/>
      <c r="E166" s="277"/>
      <c r="F166" s="277"/>
      <c r="G166" s="279" t="str">
        <f t="shared" si="2"/>
        <v>🟡</v>
      </c>
      <c r="H166" s="277"/>
      <c r="I166" s="231"/>
      <c r="J166" s="231"/>
    </row>
    <row r="167" spans="1:10">
      <c r="A167" s="277" t="s">
        <v>178</v>
      </c>
      <c r="B167" s="278" t="s">
        <v>1096</v>
      </c>
      <c r="C167" s="277"/>
      <c r="D167" s="277"/>
      <c r="E167" s="277"/>
      <c r="F167" s="277"/>
      <c r="G167" s="279" t="str">
        <f t="shared" si="2"/>
        <v>🟡</v>
      </c>
      <c r="H167" s="277"/>
      <c r="I167" s="231"/>
      <c r="J167" s="231"/>
    </row>
    <row r="168" spans="1:10" ht="26.4">
      <c r="A168" s="277" t="s">
        <v>5782</v>
      </c>
      <c r="B168" s="278" t="s">
        <v>1096</v>
      </c>
      <c r="C168" s="277"/>
      <c r="D168" s="277"/>
      <c r="E168" s="277"/>
      <c r="F168" s="277"/>
      <c r="G168" s="279" t="str">
        <f t="shared" si="2"/>
        <v>🟡</v>
      </c>
      <c r="H168" s="277"/>
      <c r="I168" s="231"/>
      <c r="J168" s="231"/>
    </row>
    <row r="169" spans="1:10">
      <c r="A169" s="324" t="s">
        <v>4946</v>
      </c>
      <c r="B169" s="324" t="s">
        <v>5790</v>
      </c>
      <c r="C169" s="196"/>
      <c r="D169" s="196"/>
      <c r="E169" s="324" t="s">
        <v>5791</v>
      </c>
      <c r="F169" s="196"/>
      <c r="G169" s="196"/>
      <c r="H169" s="196"/>
      <c r="I169" s="231"/>
      <c r="J169" s="231"/>
    </row>
    <row r="170" spans="1:10" ht="26.4">
      <c r="A170" s="291" t="s">
        <v>5777</v>
      </c>
      <c r="B170" s="768" t="s">
        <v>5792</v>
      </c>
      <c r="C170" s="768"/>
      <c r="D170" s="768"/>
      <c r="E170" s="768" t="s">
        <v>5793</v>
      </c>
      <c r="F170" s="768"/>
      <c r="G170" s="768"/>
      <c r="H170" s="196"/>
      <c r="I170" s="231"/>
      <c r="J170" s="231"/>
    </row>
    <row r="171" spans="1:10">
      <c r="A171" s="291" t="s">
        <v>5778</v>
      </c>
      <c r="B171" s="768" t="s">
        <v>5794</v>
      </c>
      <c r="C171" s="768"/>
      <c r="D171" s="768"/>
      <c r="E171" s="768" t="s">
        <v>5795</v>
      </c>
      <c r="F171" s="768"/>
      <c r="G171" s="768"/>
      <c r="H171" s="196"/>
      <c r="I171" s="231"/>
      <c r="J171" s="231"/>
    </row>
    <row r="172" spans="1:10">
      <c r="A172" s="291" t="s">
        <v>5779</v>
      </c>
      <c r="B172" s="768" t="s">
        <v>5796</v>
      </c>
      <c r="C172" s="768"/>
      <c r="D172" s="768"/>
      <c r="E172" s="768" t="s">
        <v>5797</v>
      </c>
      <c r="F172" s="768"/>
      <c r="G172" s="768"/>
      <c r="H172" s="196"/>
      <c r="I172" s="231"/>
      <c r="J172" s="231"/>
    </row>
    <row r="173" spans="1:10">
      <c r="A173" s="291" t="s">
        <v>5168</v>
      </c>
      <c r="B173" s="768" t="s">
        <v>5798</v>
      </c>
      <c r="C173" s="768"/>
      <c r="D173" s="768"/>
      <c r="E173" s="768" t="s">
        <v>5799</v>
      </c>
      <c r="F173" s="768"/>
      <c r="G173" s="768"/>
      <c r="H173" s="196"/>
      <c r="I173" s="231"/>
      <c r="J173" s="231"/>
    </row>
    <row r="174" spans="1:10">
      <c r="A174" s="291" t="s">
        <v>5780</v>
      </c>
      <c r="B174" s="768" t="s">
        <v>5800</v>
      </c>
      <c r="C174" s="768"/>
      <c r="D174" s="768"/>
      <c r="E174" s="768" t="s">
        <v>5801</v>
      </c>
      <c r="F174" s="768"/>
      <c r="G174" s="768"/>
      <c r="H174" s="196"/>
      <c r="I174" s="231"/>
      <c r="J174" s="231"/>
    </row>
    <row r="175" spans="1:10">
      <c r="A175" s="291" t="s">
        <v>5781</v>
      </c>
      <c r="B175" s="768" t="s">
        <v>5802</v>
      </c>
      <c r="C175" s="768"/>
      <c r="D175" s="768"/>
      <c r="E175" s="768" t="s">
        <v>5803</v>
      </c>
      <c r="F175" s="768"/>
      <c r="G175" s="768"/>
      <c r="H175" s="196"/>
      <c r="I175" s="231"/>
      <c r="J175" s="231"/>
    </row>
    <row r="176" spans="1:10">
      <c r="A176" s="291" t="s">
        <v>178</v>
      </c>
      <c r="B176" s="768" t="s">
        <v>5804</v>
      </c>
      <c r="C176" s="768"/>
      <c r="D176" s="768"/>
      <c r="E176" s="768" t="s">
        <v>5805</v>
      </c>
      <c r="F176" s="768"/>
      <c r="G176" s="768"/>
      <c r="H176" s="196"/>
      <c r="I176" s="231"/>
      <c r="J176" s="231"/>
    </row>
    <row r="177" spans="1:10" ht="26.4">
      <c r="A177" s="291" t="s">
        <v>5782</v>
      </c>
      <c r="B177" s="768" t="s">
        <v>5806</v>
      </c>
      <c r="C177" s="768"/>
      <c r="D177" s="768"/>
      <c r="E177" s="768" t="s">
        <v>5807</v>
      </c>
      <c r="F177" s="768"/>
      <c r="G177" s="768"/>
      <c r="H177" s="196"/>
      <c r="I177" s="231"/>
      <c r="J177" s="231"/>
    </row>
    <row r="178" spans="1:10">
      <c r="A178" s="276" t="s">
        <v>5783</v>
      </c>
      <c r="B178" s="280" t="str">
        <f>IF(COUNTIF(B161:B168,"No")=0,"🟢 PILOT COMPLETE / ACCEPTANCE READY","🟡 NOT COMPLETE — ACCEPTANCE GATES OPEN")</f>
        <v>🟡 NOT COMPLETE — ACCEPTANCE GATES OPEN</v>
      </c>
      <c r="C178" s="280"/>
      <c r="D178" s="280"/>
      <c r="E178" s="280"/>
      <c r="F178" s="280"/>
      <c r="G178" s="280"/>
      <c r="H178" s="280"/>
    </row>
    <row r="179" spans="1:10">
      <c r="A179" s="276" t="s">
        <v>5784</v>
      </c>
      <c r="B179" s="280">
        <f>COUNTIF(B161:B168,"No")</f>
        <v>8</v>
      </c>
      <c r="C179" s="280"/>
      <c r="D179" s="280"/>
      <c r="E179" s="280"/>
      <c r="F179" s="280"/>
      <c r="G179" s="280"/>
      <c r="H179" s="280"/>
    </row>
    <row r="180" spans="1:10">
      <c r="A180" s="276" t="s">
        <v>5785</v>
      </c>
      <c r="B180" s="280" t="str">
        <f>COUNTIF(B161:B168,"Yes")&amp;" / 8 Complete"</f>
        <v>0 / 8 Complete</v>
      </c>
      <c r="C180" s="280"/>
      <c r="D180" s="280"/>
      <c r="E180" s="280"/>
      <c r="F180" s="280"/>
      <c r="G180" s="280"/>
      <c r="H180" s="280"/>
    </row>
    <row r="181" spans="1:10" ht="93">
      <c r="A181" s="281" t="s">
        <v>5786</v>
      </c>
      <c r="B181" s="282" t="s">
        <v>5787</v>
      </c>
      <c r="C181" s="282"/>
      <c r="D181" s="282"/>
      <c r="E181" s="282"/>
      <c r="F181" s="282"/>
      <c r="G181" s="282"/>
      <c r="H181" s="282"/>
    </row>
    <row r="182" spans="1:10">
      <c r="A182" s="281"/>
      <c r="B182" s="282"/>
      <c r="C182" s="282"/>
      <c r="D182" s="282"/>
      <c r="E182" s="282"/>
      <c r="F182" s="282"/>
      <c r="G182" s="282"/>
      <c r="H182" s="282"/>
    </row>
    <row r="183" spans="1:10" ht="66.599999999999994">
      <c r="A183" s="281" t="s">
        <v>5788</v>
      </c>
      <c r="B183" s="282" t="s">
        <v>5789</v>
      </c>
      <c r="C183" s="282"/>
      <c r="D183" s="282"/>
      <c r="E183" s="282"/>
      <c r="F183" s="282"/>
      <c r="G183" s="282"/>
      <c r="H183" s="282"/>
    </row>
    <row r="184" spans="1:10">
      <c r="A184" s="842" t="s">
        <v>5901</v>
      </c>
      <c r="B184" s="842"/>
      <c r="C184" s="842"/>
      <c r="D184" s="842"/>
      <c r="E184" s="842"/>
      <c r="F184" s="842"/>
      <c r="G184" s="842"/>
      <c r="H184" s="842"/>
      <c r="I184" s="842"/>
      <c r="J184" s="842"/>
    </row>
    <row r="185" spans="1:10">
      <c r="A185" s="340" t="s">
        <v>5886</v>
      </c>
      <c r="B185" s="196"/>
      <c r="C185" s="196"/>
      <c r="D185" s="196"/>
      <c r="E185" s="196"/>
      <c r="F185" s="196"/>
      <c r="G185" s="196"/>
      <c r="H185" s="196"/>
      <c r="I185" s="196"/>
      <c r="J185" s="196"/>
    </row>
    <row r="186" spans="1:10">
      <c r="A186" s="196"/>
      <c r="B186" s="196"/>
      <c r="C186" s="196"/>
      <c r="D186" s="196"/>
      <c r="E186" s="196"/>
      <c r="F186" s="196"/>
      <c r="G186" s="196"/>
      <c r="H186" s="196"/>
      <c r="I186" s="196"/>
      <c r="J186" s="196"/>
    </row>
    <row r="187" spans="1:10">
      <c r="A187" s="196" t="s">
        <v>5887</v>
      </c>
      <c r="B187" s="196"/>
      <c r="C187" s="196"/>
      <c r="D187" s="196"/>
      <c r="E187" s="196"/>
      <c r="F187" s="196"/>
      <c r="G187" s="196"/>
      <c r="H187" s="196"/>
      <c r="I187" s="196"/>
      <c r="J187" s="196"/>
    </row>
    <row r="188" spans="1:10">
      <c r="A188" s="196"/>
      <c r="B188" s="196"/>
      <c r="C188" s="196"/>
      <c r="D188" s="196"/>
      <c r="E188" s="196"/>
      <c r="F188" s="196"/>
      <c r="G188" s="196"/>
      <c r="H188" s="196"/>
      <c r="I188" s="196"/>
      <c r="J188" s="196"/>
    </row>
    <row r="189" spans="1:10">
      <c r="A189" s="196" t="s">
        <v>5888</v>
      </c>
      <c r="B189" s="196"/>
      <c r="C189" s="196"/>
      <c r="D189" s="196"/>
      <c r="E189" s="196"/>
      <c r="F189" s="196"/>
      <c r="G189" s="196"/>
      <c r="H189" s="196"/>
      <c r="I189" s="196"/>
      <c r="J189" s="196"/>
    </row>
    <row r="190" spans="1:10">
      <c r="A190" s="196"/>
      <c r="B190" s="196"/>
      <c r="C190" s="196"/>
      <c r="D190" s="196"/>
      <c r="E190" s="196"/>
      <c r="F190" s="196"/>
      <c r="G190" s="196"/>
      <c r="H190" s="196"/>
      <c r="I190" s="196"/>
      <c r="J190" s="196"/>
    </row>
    <row r="191" spans="1:10">
      <c r="A191" s="196" t="s">
        <v>5889</v>
      </c>
      <c r="B191" s="196"/>
      <c r="C191" s="196"/>
      <c r="D191" s="196"/>
      <c r="E191" s="196"/>
      <c r="F191" s="196"/>
      <c r="G191" s="196"/>
      <c r="H191" s="196"/>
      <c r="I191" s="196"/>
      <c r="J191" s="196"/>
    </row>
    <row r="192" spans="1:10">
      <c r="A192" s="196"/>
      <c r="B192" s="196"/>
      <c r="C192" s="196"/>
      <c r="D192" s="196"/>
      <c r="E192" s="196"/>
      <c r="F192" s="196"/>
      <c r="G192" s="196"/>
      <c r="H192" s="196"/>
      <c r="I192" s="196"/>
      <c r="J192" s="196"/>
    </row>
    <row r="193" spans="1:10">
      <c r="A193" s="196"/>
      <c r="B193" s="196"/>
      <c r="C193" s="196"/>
      <c r="D193" s="196"/>
      <c r="E193" s="196"/>
      <c r="F193" s="196"/>
      <c r="G193" s="196"/>
      <c r="H193" s="196"/>
      <c r="I193" s="196"/>
      <c r="J193" s="196"/>
    </row>
    <row r="194" spans="1:10">
      <c r="A194" s="196"/>
      <c r="B194" s="196"/>
      <c r="C194" s="196"/>
      <c r="D194" s="196"/>
      <c r="E194" s="196"/>
      <c r="F194" s="196"/>
      <c r="G194" s="196"/>
      <c r="H194" s="196"/>
      <c r="I194" s="196"/>
      <c r="J194" s="196"/>
    </row>
    <row r="195" spans="1:10">
      <c r="A195" s="842" t="s">
        <v>5902</v>
      </c>
      <c r="B195" s="842"/>
      <c r="C195" s="842"/>
      <c r="D195" s="842"/>
      <c r="E195" s="842"/>
      <c r="F195" s="842"/>
      <c r="G195" s="842"/>
      <c r="H195" s="842"/>
      <c r="I195" s="842"/>
      <c r="J195" s="842"/>
    </row>
    <row r="196" spans="1:10">
      <c r="A196" s="196"/>
      <c r="B196" s="196"/>
      <c r="C196" s="196"/>
      <c r="D196" s="196"/>
      <c r="E196" s="196"/>
      <c r="F196" s="196"/>
      <c r="G196" s="196"/>
      <c r="H196" s="196"/>
      <c r="I196" s="196"/>
      <c r="J196" s="196"/>
    </row>
    <row r="197" spans="1:10">
      <c r="A197" s="196" t="s">
        <v>5890</v>
      </c>
      <c r="B197" s="196"/>
      <c r="C197" s="196"/>
      <c r="D197" s="196"/>
      <c r="E197" s="196"/>
      <c r="F197" s="196"/>
      <c r="G197" s="196"/>
      <c r="H197" s="196"/>
      <c r="I197" s="196"/>
      <c r="J197" s="196"/>
    </row>
    <row r="198" spans="1:10">
      <c r="A198" s="196"/>
      <c r="B198" s="196"/>
      <c r="C198" s="196"/>
      <c r="D198" s="196"/>
      <c r="E198" s="196"/>
      <c r="F198" s="196"/>
      <c r="G198" s="196"/>
      <c r="H198" s="196"/>
      <c r="I198" s="196"/>
      <c r="J198" s="196"/>
    </row>
    <row r="199" spans="1:10">
      <c r="A199" s="196" t="s">
        <v>5891</v>
      </c>
      <c r="B199" s="196"/>
      <c r="C199" s="196"/>
      <c r="D199" s="196"/>
      <c r="E199" s="196"/>
      <c r="F199" s="196"/>
      <c r="G199" s="196"/>
      <c r="H199" s="196"/>
      <c r="I199" s="196"/>
      <c r="J199" s="196"/>
    </row>
    <row r="200" spans="1:10">
      <c r="A200" s="196"/>
      <c r="B200" s="196"/>
      <c r="C200" s="196"/>
      <c r="D200" s="196"/>
      <c r="E200" s="196"/>
      <c r="F200" s="196"/>
      <c r="G200" s="196"/>
      <c r="H200" s="196"/>
      <c r="I200" s="196"/>
      <c r="J200" s="196"/>
    </row>
    <row r="201" spans="1:10">
      <c r="A201" s="196" t="s">
        <v>5892</v>
      </c>
      <c r="B201" s="196"/>
      <c r="C201" s="196"/>
      <c r="D201" s="196"/>
      <c r="E201" s="196"/>
      <c r="F201" s="196"/>
      <c r="G201" s="196"/>
      <c r="H201" s="196"/>
      <c r="I201" s="196"/>
      <c r="J201" s="196"/>
    </row>
    <row r="202" spans="1:10">
      <c r="A202" s="196"/>
      <c r="B202" s="196"/>
      <c r="C202" s="196"/>
      <c r="D202" s="196"/>
      <c r="E202" s="196"/>
      <c r="F202" s="196"/>
      <c r="G202" s="196"/>
      <c r="H202" s="196"/>
      <c r="I202" s="196"/>
      <c r="J202" s="196"/>
    </row>
    <row r="203" spans="1:10">
      <c r="A203" s="196"/>
      <c r="B203" s="196"/>
      <c r="C203" s="196"/>
      <c r="D203" s="196"/>
      <c r="E203" s="196"/>
      <c r="F203" s="196"/>
      <c r="G203" s="196"/>
      <c r="H203" s="196"/>
      <c r="I203" s="196"/>
      <c r="J203" s="196"/>
    </row>
    <row r="204" spans="1:10">
      <c r="A204" s="196"/>
      <c r="B204" s="196"/>
      <c r="C204" s="196"/>
      <c r="D204" s="196"/>
      <c r="E204" s="196"/>
      <c r="F204" s="196"/>
      <c r="G204" s="196"/>
      <c r="H204" s="196"/>
      <c r="I204" s="196"/>
      <c r="J204" s="196"/>
    </row>
    <row r="205" spans="1:10">
      <c r="A205" s="842" t="s">
        <v>5903</v>
      </c>
      <c r="B205" s="842"/>
      <c r="C205" s="842"/>
      <c r="D205" s="842"/>
      <c r="E205" s="842"/>
      <c r="F205" s="842"/>
      <c r="G205" s="842"/>
      <c r="H205" s="842"/>
      <c r="I205" s="842"/>
      <c r="J205" s="842"/>
    </row>
    <row r="206" spans="1:10">
      <c r="A206" s="196"/>
      <c r="B206" s="196"/>
      <c r="C206" s="196"/>
      <c r="D206" s="196"/>
      <c r="E206" s="196"/>
      <c r="F206" s="196"/>
      <c r="G206" s="196"/>
      <c r="H206" s="196"/>
      <c r="I206" s="196"/>
      <c r="J206" s="196"/>
    </row>
    <row r="207" spans="1:10">
      <c r="A207" s="196" t="s">
        <v>5893</v>
      </c>
      <c r="B207" s="196"/>
      <c r="C207" s="196"/>
      <c r="D207" s="196"/>
      <c r="E207" s="196"/>
      <c r="F207" s="196"/>
      <c r="G207" s="196"/>
      <c r="H207" s="196"/>
      <c r="I207" s="196"/>
      <c r="J207" s="196"/>
    </row>
    <row r="208" spans="1:10">
      <c r="A208" s="196"/>
      <c r="B208" s="196"/>
      <c r="C208" s="196"/>
      <c r="D208" s="196"/>
      <c r="E208" s="196"/>
      <c r="F208" s="196"/>
      <c r="G208" s="196"/>
      <c r="H208" s="196"/>
      <c r="I208" s="196"/>
      <c r="J208" s="196"/>
    </row>
    <row r="209" spans="1:10">
      <c r="A209" s="196" t="s">
        <v>5894</v>
      </c>
      <c r="B209" s="196"/>
      <c r="C209" s="196"/>
      <c r="D209" s="196"/>
      <c r="E209" s="196"/>
      <c r="F209" s="196"/>
      <c r="G209" s="196"/>
      <c r="H209" s="196"/>
      <c r="I209" s="196"/>
      <c r="J209" s="196"/>
    </row>
    <row r="210" spans="1:10">
      <c r="A210" s="196"/>
      <c r="B210" s="196"/>
      <c r="C210" s="196"/>
      <c r="D210" s="196"/>
      <c r="E210" s="196"/>
      <c r="F210" s="196"/>
      <c r="G210" s="196"/>
      <c r="H210" s="196"/>
      <c r="I210" s="196"/>
      <c r="J210" s="196"/>
    </row>
    <row r="211" spans="1:10">
      <c r="A211" s="196" t="s">
        <v>5895</v>
      </c>
      <c r="B211" s="196"/>
      <c r="C211" s="196"/>
      <c r="D211" s="196"/>
      <c r="E211" s="196"/>
      <c r="F211" s="196"/>
      <c r="G211" s="196"/>
      <c r="H211" s="196"/>
      <c r="I211" s="196"/>
      <c r="J211" s="196"/>
    </row>
    <row r="212" spans="1:10">
      <c r="A212" s="196"/>
      <c r="B212" s="196"/>
      <c r="C212" s="196"/>
      <c r="D212" s="196"/>
      <c r="E212" s="196"/>
      <c r="F212" s="196"/>
      <c r="G212" s="196"/>
      <c r="H212" s="196"/>
      <c r="I212" s="196"/>
      <c r="J212" s="196"/>
    </row>
    <row r="213" spans="1:10">
      <c r="A213" s="196" t="s">
        <v>5896</v>
      </c>
      <c r="B213" s="196"/>
      <c r="C213" s="196"/>
      <c r="D213" s="196"/>
      <c r="E213" s="196"/>
      <c r="F213" s="196"/>
      <c r="G213" s="196"/>
      <c r="H213" s="196"/>
      <c r="I213" s="196"/>
      <c r="J213" s="196"/>
    </row>
    <row r="214" spans="1:10">
      <c r="A214" s="196"/>
      <c r="B214" s="196"/>
      <c r="C214" s="196"/>
      <c r="D214" s="196"/>
      <c r="E214" s="196"/>
      <c r="F214" s="196"/>
      <c r="G214" s="196"/>
      <c r="H214" s="196"/>
      <c r="I214" s="196"/>
      <c r="J214" s="196"/>
    </row>
    <row r="215" spans="1:10">
      <c r="A215" s="196"/>
      <c r="B215" s="196"/>
      <c r="C215" s="196"/>
      <c r="D215" s="196"/>
      <c r="E215" s="196"/>
      <c r="F215" s="196"/>
      <c r="G215" s="196"/>
      <c r="H215" s="196"/>
      <c r="I215" s="196"/>
      <c r="J215" s="196"/>
    </row>
    <row r="216" spans="1:10">
      <c r="A216" s="196"/>
      <c r="B216" s="196"/>
      <c r="C216" s="196"/>
      <c r="D216" s="196"/>
      <c r="E216" s="196"/>
      <c r="F216" s="196"/>
      <c r="G216" s="196"/>
      <c r="H216" s="196"/>
      <c r="I216" s="196"/>
      <c r="J216" s="196"/>
    </row>
    <row r="217" spans="1:10">
      <c r="A217" s="842" t="s">
        <v>5904</v>
      </c>
      <c r="B217" s="842"/>
      <c r="C217" s="842"/>
      <c r="D217" s="842"/>
      <c r="E217" s="842"/>
      <c r="F217" s="842"/>
      <c r="G217" s="842"/>
      <c r="H217" s="842"/>
      <c r="I217" s="842"/>
      <c r="J217" s="842"/>
    </row>
    <row r="218" spans="1:10">
      <c r="A218" s="196"/>
      <c r="B218" s="196"/>
      <c r="C218" s="196"/>
      <c r="D218" s="196"/>
      <c r="E218" s="196"/>
      <c r="F218" s="196"/>
      <c r="G218" s="196"/>
      <c r="H218" s="196"/>
      <c r="I218" s="196"/>
      <c r="J218" s="196"/>
    </row>
    <row r="219" spans="1:10">
      <c r="A219" s="196" t="s">
        <v>5897</v>
      </c>
      <c r="B219" s="196"/>
      <c r="C219" s="196"/>
      <c r="D219" s="196"/>
      <c r="E219" s="196"/>
      <c r="F219" s="196"/>
      <c r="G219" s="196"/>
      <c r="H219" s="196"/>
      <c r="I219" s="196"/>
      <c r="J219" s="196"/>
    </row>
    <row r="220" spans="1:10">
      <c r="A220" s="196"/>
      <c r="B220" s="196"/>
      <c r="C220" s="196"/>
      <c r="D220" s="196"/>
      <c r="E220" s="196"/>
      <c r="F220" s="196"/>
      <c r="G220" s="196"/>
      <c r="H220" s="196"/>
      <c r="I220" s="196"/>
      <c r="J220" s="196"/>
    </row>
    <row r="221" spans="1:10">
      <c r="A221" s="196" t="s">
        <v>5898</v>
      </c>
      <c r="B221" s="196"/>
      <c r="C221" s="196"/>
      <c r="D221" s="196"/>
      <c r="E221" s="196"/>
      <c r="F221" s="196"/>
      <c r="G221" s="196"/>
      <c r="H221" s="196"/>
      <c r="I221" s="196"/>
      <c r="J221" s="196"/>
    </row>
    <row r="222" spans="1:10">
      <c r="A222" s="196"/>
      <c r="B222" s="196"/>
      <c r="C222" s="196"/>
      <c r="D222" s="196"/>
      <c r="E222" s="196"/>
      <c r="F222" s="196"/>
      <c r="G222" s="196"/>
      <c r="H222" s="196"/>
      <c r="I222" s="196"/>
      <c r="J222" s="196"/>
    </row>
    <row r="223" spans="1:10">
      <c r="A223" s="196" t="s">
        <v>5899</v>
      </c>
      <c r="B223" s="196"/>
      <c r="C223" s="196"/>
      <c r="D223" s="196"/>
      <c r="E223" s="196"/>
      <c r="F223" s="196"/>
      <c r="G223" s="196"/>
      <c r="H223" s="196"/>
      <c r="I223" s="196"/>
      <c r="J223" s="196"/>
    </row>
    <row r="224" spans="1:10">
      <c r="A224" s="196"/>
      <c r="B224" s="196"/>
      <c r="C224" s="196"/>
      <c r="D224" s="196"/>
      <c r="E224" s="196"/>
      <c r="F224" s="196"/>
      <c r="G224" s="196"/>
      <c r="H224" s="196"/>
      <c r="I224" s="196"/>
      <c r="J224" s="196"/>
    </row>
    <row r="225" spans="1:10">
      <c r="A225" s="196"/>
      <c r="B225" s="196"/>
      <c r="C225" s="196"/>
      <c r="D225" s="196"/>
      <c r="E225" s="196"/>
      <c r="F225" s="196"/>
      <c r="G225" s="196"/>
      <c r="H225" s="196"/>
      <c r="I225" s="196"/>
      <c r="J225" s="196"/>
    </row>
    <row r="226" spans="1:10">
      <c r="A226" s="196"/>
      <c r="B226" s="196"/>
      <c r="C226" s="196"/>
      <c r="D226" s="196"/>
      <c r="E226" s="196"/>
      <c r="F226" s="196"/>
      <c r="G226" s="196"/>
      <c r="H226" s="196"/>
      <c r="I226" s="196"/>
      <c r="J226" s="196"/>
    </row>
    <row r="227" spans="1:10">
      <c r="A227" s="196" t="s">
        <v>5900</v>
      </c>
      <c r="B227" s="196"/>
      <c r="C227" s="196"/>
      <c r="D227" s="196"/>
      <c r="E227" s="196"/>
      <c r="F227" s="196"/>
      <c r="G227" s="196"/>
      <c r="H227" s="196"/>
      <c r="I227" s="196"/>
      <c r="J227" s="196"/>
    </row>
    <row r="228" spans="1:10">
      <c r="A228" s="196"/>
      <c r="B228" s="196"/>
      <c r="C228" s="196"/>
      <c r="D228" s="196"/>
      <c r="E228" s="196"/>
      <c r="F228" s="196"/>
      <c r="G228" s="196"/>
      <c r="H228" s="196"/>
      <c r="I228" s="196"/>
      <c r="J228" s="196"/>
    </row>
    <row r="229" spans="1:10">
      <c r="A229" s="341"/>
      <c r="B229" s="341"/>
      <c r="C229" s="341"/>
      <c r="D229" s="341"/>
      <c r="E229" s="341"/>
      <c r="F229" s="341"/>
      <c r="G229" s="341"/>
      <c r="H229" s="341"/>
      <c r="I229" s="341"/>
      <c r="J229" s="341"/>
    </row>
    <row r="230" spans="1:10">
      <c r="A230" s="341"/>
      <c r="B230" s="341"/>
      <c r="C230" s="341"/>
      <c r="D230" s="341"/>
      <c r="E230" s="341"/>
      <c r="F230" s="341"/>
      <c r="G230" s="341"/>
      <c r="H230" s="341"/>
      <c r="I230" s="341"/>
      <c r="J230" s="341"/>
    </row>
    <row r="231" spans="1:10">
      <c r="A231" s="341"/>
      <c r="B231" s="341"/>
      <c r="C231" s="341"/>
      <c r="D231" s="341"/>
      <c r="E231" s="341"/>
      <c r="F231" s="341"/>
      <c r="G231" s="341"/>
      <c r="H231" s="341"/>
      <c r="I231" s="341"/>
      <c r="J231" s="341"/>
    </row>
    <row r="232" spans="1:10">
      <c r="A232" s="341"/>
      <c r="B232" s="341"/>
      <c r="C232" s="341"/>
      <c r="D232" s="341"/>
      <c r="E232" s="341"/>
      <c r="F232" s="341"/>
      <c r="G232" s="341"/>
      <c r="H232" s="341"/>
      <c r="I232" s="341"/>
      <c r="J232" s="341"/>
    </row>
    <row r="233" spans="1:10">
      <c r="A233" s="341"/>
      <c r="B233" s="341"/>
      <c r="C233" s="341"/>
      <c r="D233" s="341"/>
      <c r="E233" s="341"/>
      <c r="F233" s="341"/>
      <c r="G233" s="341"/>
      <c r="H233" s="341"/>
      <c r="I233" s="341"/>
      <c r="J233" s="341"/>
    </row>
    <row r="234" spans="1:10">
      <c r="A234" s="341"/>
      <c r="B234" s="341"/>
      <c r="C234" s="341"/>
      <c r="D234" s="341"/>
      <c r="E234" s="341"/>
      <c r="F234" s="341"/>
      <c r="G234" s="341"/>
      <c r="H234" s="341"/>
      <c r="I234" s="341"/>
      <c r="J234" s="341"/>
    </row>
    <row r="235" spans="1:10">
      <c r="A235" s="341"/>
      <c r="B235" s="341"/>
      <c r="C235" s="341"/>
      <c r="D235" s="341"/>
      <c r="E235" s="341"/>
      <c r="F235" s="341"/>
      <c r="G235" s="341"/>
      <c r="H235" s="341"/>
      <c r="I235" s="341"/>
      <c r="J235" s="341"/>
    </row>
    <row r="236" spans="1:10">
      <c r="A236" s="341"/>
      <c r="B236" s="341"/>
      <c r="C236" s="341"/>
      <c r="D236" s="341"/>
      <c r="E236" s="341"/>
      <c r="F236" s="341"/>
      <c r="G236" s="341"/>
      <c r="H236" s="341"/>
      <c r="I236" s="341"/>
      <c r="J236" s="341"/>
    </row>
    <row r="237" spans="1:10">
      <c r="A237" s="341"/>
      <c r="B237" s="341"/>
      <c r="C237" s="341"/>
      <c r="D237" s="341"/>
      <c r="E237" s="341"/>
      <c r="F237" s="341"/>
      <c r="G237" s="341"/>
      <c r="H237" s="341"/>
      <c r="I237" s="341"/>
      <c r="J237" s="341"/>
    </row>
    <row r="238" spans="1:10">
      <c r="A238" s="196"/>
      <c r="B238" s="196"/>
      <c r="C238" s="196"/>
      <c r="D238" s="196"/>
      <c r="E238" s="196"/>
      <c r="F238" s="196"/>
      <c r="G238" s="196"/>
      <c r="H238" s="196"/>
      <c r="I238" s="196"/>
      <c r="J238" s="196"/>
    </row>
    <row r="239" spans="1:10">
      <c r="A239" s="320"/>
      <c r="B239" s="320"/>
      <c r="C239" s="320"/>
      <c r="D239" s="320"/>
      <c r="E239" s="320"/>
      <c r="F239" s="320"/>
      <c r="G239" s="874"/>
      <c r="H239" s="874"/>
      <c r="I239" s="874"/>
      <c r="J239" s="874"/>
    </row>
  </sheetData>
  <mergeCells count="120">
    <mergeCell ref="A1:J1"/>
    <mergeCell ref="B95:J95"/>
    <mergeCell ref="A44:C44"/>
    <mergeCell ref="B94:J94"/>
    <mergeCell ref="D6:J6"/>
    <mergeCell ref="A83:C83"/>
    <mergeCell ref="B91:J91"/>
    <mergeCell ref="A61:C61"/>
    <mergeCell ref="B93:J93"/>
    <mergeCell ref="A89:C89"/>
    <mergeCell ref="A50:C50"/>
    <mergeCell ref="A26:C26"/>
    <mergeCell ref="A32:C32"/>
    <mergeCell ref="A8:C8"/>
    <mergeCell ref="A14:C14"/>
    <mergeCell ref="A20:C20"/>
    <mergeCell ref="A98:C98"/>
    <mergeCell ref="B96:J96"/>
    <mergeCell ref="B92:J92"/>
    <mergeCell ref="A38:C38"/>
    <mergeCell ref="A72:C72"/>
    <mergeCell ref="G103:J103"/>
    <mergeCell ref="A105:B105"/>
    <mergeCell ref="E105:J105"/>
    <mergeCell ref="A107:C107"/>
    <mergeCell ref="D107:F107"/>
    <mergeCell ref="G107:J107"/>
    <mergeCell ref="D98:F98"/>
    <mergeCell ref="G98:J98"/>
    <mergeCell ref="G99:J99"/>
    <mergeCell ref="G100:J100"/>
    <mergeCell ref="G101:J101"/>
    <mergeCell ref="F113:J113"/>
    <mergeCell ref="F114:J114"/>
    <mergeCell ref="F115:J115"/>
    <mergeCell ref="F116:J116"/>
    <mergeCell ref="A117:B117"/>
    <mergeCell ref="C117:D117"/>
    <mergeCell ref="E117:J117"/>
    <mergeCell ref="G108:J108"/>
    <mergeCell ref="F109:J109"/>
    <mergeCell ref="F110:J110"/>
    <mergeCell ref="F111:J111"/>
    <mergeCell ref="F112:J112"/>
    <mergeCell ref="G122:J122"/>
    <mergeCell ref="G123:J123"/>
    <mergeCell ref="G124:J124"/>
    <mergeCell ref="G125:J125"/>
    <mergeCell ref="A126:B126"/>
    <mergeCell ref="C126:D126"/>
    <mergeCell ref="E126:J126"/>
    <mergeCell ref="A119:C119"/>
    <mergeCell ref="D119:F119"/>
    <mergeCell ref="G119:J119"/>
    <mergeCell ref="G120:J120"/>
    <mergeCell ref="G121:J121"/>
    <mergeCell ref="G130:J130"/>
    <mergeCell ref="G131:J131"/>
    <mergeCell ref="G132:J132"/>
    <mergeCell ref="G133:J133"/>
    <mergeCell ref="A134:D135"/>
    <mergeCell ref="E134:J135"/>
    <mergeCell ref="G127:J127"/>
    <mergeCell ref="A128:C128"/>
    <mergeCell ref="D128:F128"/>
    <mergeCell ref="G128:J128"/>
    <mergeCell ref="G129:J129"/>
    <mergeCell ref="G139:J139"/>
    <mergeCell ref="G140:J140"/>
    <mergeCell ref="G141:J141"/>
    <mergeCell ref="G142:J142"/>
    <mergeCell ref="G143:J143"/>
    <mergeCell ref="A136:C136"/>
    <mergeCell ref="D136:F136"/>
    <mergeCell ref="G136:J136"/>
    <mergeCell ref="G137:J137"/>
    <mergeCell ref="G138:J138"/>
    <mergeCell ref="B149:J149"/>
    <mergeCell ref="B150:J150"/>
    <mergeCell ref="B151:J151"/>
    <mergeCell ref="B152:J152"/>
    <mergeCell ref="B153:J153"/>
    <mergeCell ref="A144:B144"/>
    <mergeCell ref="C144:D144"/>
    <mergeCell ref="E144:J144"/>
    <mergeCell ref="A146:C146"/>
    <mergeCell ref="B148:J148"/>
    <mergeCell ref="B171:D171"/>
    <mergeCell ref="E171:G171"/>
    <mergeCell ref="B172:D172"/>
    <mergeCell ref="E172:G172"/>
    <mergeCell ref="B173:D173"/>
    <mergeCell ref="E173:G173"/>
    <mergeCell ref="B154:J154"/>
    <mergeCell ref="A156:H156"/>
    <mergeCell ref="B157:H157"/>
    <mergeCell ref="B158:H158"/>
    <mergeCell ref="B170:D170"/>
    <mergeCell ref="E170:G170"/>
    <mergeCell ref="B177:D177"/>
    <mergeCell ref="E177:G177"/>
    <mergeCell ref="A184:C184"/>
    <mergeCell ref="D184:F184"/>
    <mergeCell ref="G184:J184"/>
    <mergeCell ref="B174:D174"/>
    <mergeCell ref="E174:G174"/>
    <mergeCell ref="B175:D175"/>
    <mergeCell ref="E175:G175"/>
    <mergeCell ref="B176:D176"/>
    <mergeCell ref="E176:G176"/>
    <mergeCell ref="A217:C217"/>
    <mergeCell ref="D217:F217"/>
    <mergeCell ref="G217:J217"/>
    <mergeCell ref="G239:J239"/>
    <mergeCell ref="A195:C195"/>
    <mergeCell ref="D195:F195"/>
    <mergeCell ref="G195:J195"/>
    <mergeCell ref="A205:C205"/>
    <mergeCell ref="D205:F205"/>
    <mergeCell ref="G205:J205"/>
  </mergeCells>
  <conditionalFormatting sqref="B100:B104">
    <cfRule type="expression" dxfId="579" priority="21">
      <formula>B100="Complete"</formula>
    </cfRule>
    <cfRule type="expression" dxfId="578" priority="22">
      <formula>B100="In Progress"</formula>
    </cfRule>
    <cfRule type="expression" dxfId="577" priority="23">
      <formula>B100="At Risk"</formula>
    </cfRule>
    <cfRule type="expression" dxfId="576" priority="24">
      <formula>B100="Blocked"</formula>
    </cfRule>
    <cfRule type="expression" dxfId="575" priority="25">
      <formula>B100="Not Started"</formula>
    </cfRule>
  </conditionalFormatting>
  <conditionalFormatting sqref="B109:B116">
    <cfRule type="expression" dxfId="574" priority="1">
      <formula>B109="Complete"</formula>
    </cfRule>
    <cfRule type="expression" dxfId="573" priority="2">
      <formula>B109="In Progress"</formula>
    </cfRule>
    <cfRule type="expression" dxfId="572" priority="3">
      <formula>B109="At Risk"</formula>
    </cfRule>
    <cfRule type="expression" dxfId="571" priority="4">
      <formula>B109="Blocked"</formula>
    </cfRule>
    <cfRule type="expression" dxfId="570" priority="5">
      <formula>B109="Not Started"</formula>
    </cfRule>
  </conditionalFormatting>
  <conditionalFormatting sqref="B121:B125">
    <cfRule type="expression" dxfId="569" priority="26">
      <formula>B121="Complete"</formula>
    </cfRule>
    <cfRule type="expression" dxfId="568" priority="27">
      <formula>B121="In Progress"</formula>
    </cfRule>
    <cfRule type="expression" dxfId="567" priority="28">
      <formula>B121="At Risk"</formula>
    </cfRule>
    <cfRule type="expression" dxfId="566" priority="29">
      <formula>B121="Blocked"</formula>
    </cfRule>
    <cfRule type="expression" dxfId="565" priority="30">
      <formula>B121="Not Started"</formula>
    </cfRule>
  </conditionalFormatting>
  <conditionalFormatting sqref="B130:B133">
    <cfRule type="expression" dxfId="564" priority="6">
      <formula>B130="Complete"</formula>
    </cfRule>
    <cfRule type="expression" dxfId="563" priority="7">
      <formula>B130="In Progress"</formula>
    </cfRule>
    <cfRule type="expression" dxfId="562" priority="8">
      <formula>B130="At Risk"</formula>
    </cfRule>
    <cfRule type="expression" dxfId="561" priority="9">
      <formula>B130="Blocked"</formula>
    </cfRule>
    <cfRule type="expression" dxfId="560" priority="10">
      <formula>B130="Not Started"</formula>
    </cfRule>
  </conditionalFormatting>
  <conditionalFormatting sqref="B138:B143">
    <cfRule type="expression" dxfId="559" priority="11">
      <formula>B138="Complete"</formula>
    </cfRule>
    <cfRule type="expression" dxfId="558" priority="12">
      <formula>B138="In Progress"</formula>
    </cfRule>
    <cfRule type="expression" dxfId="557" priority="13">
      <formula>B138="At Risk"</formula>
    </cfRule>
    <cfRule type="expression" dxfId="556" priority="14">
      <formula>B138="Blocked"</formula>
    </cfRule>
    <cfRule type="expression" dxfId="555" priority="15">
      <formula>B138="Not Started"</formula>
    </cfRule>
  </conditionalFormatting>
  <conditionalFormatting sqref="B161:B168">
    <cfRule type="expression" dxfId="554" priority="82">
      <formula>B161="Yes"</formula>
    </cfRule>
    <cfRule type="expression" dxfId="553" priority="83">
      <formula>B161="N/A"</formula>
    </cfRule>
    <cfRule type="expression" dxfId="552" priority="84">
      <formula>B161="No"</formula>
    </cfRule>
  </conditionalFormatting>
  <conditionalFormatting sqref="B178:H178">
    <cfRule type="expression" dxfId="551" priority="85">
      <formula>COUNTIF($B$6:$B$13,"No")=0</formula>
    </cfRule>
    <cfRule type="expression" dxfId="550" priority="86">
      <formula>COUNTIF($B$6:$B$13,"No")&gt;0</formula>
    </cfRule>
  </conditionalFormatting>
  <conditionalFormatting sqref="C105:D105">
    <cfRule type="dataBar" priority="37">
      <dataBar>
        <cfvo type="num" val="0"/>
        <cfvo type="num" val="1"/>
        <color rgb="FF5B9BD5"/>
      </dataBar>
    </cfRule>
  </conditionalFormatting>
  <conditionalFormatting sqref="C109:D116">
    <cfRule type="expression" dxfId="549" priority="31">
      <formula>C109="Yes"</formula>
    </cfRule>
    <cfRule type="expression" dxfId="548" priority="32">
      <formula>C109="No"</formula>
    </cfRule>
    <cfRule type="expression" dxfId="547" priority="33">
      <formula>C109="N/A"</formula>
    </cfRule>
  </conditionalFormatting>
  <conditionalFormatting sqref="C117:D117">
    <cfRule type="dataBar" priority="38">
      <dataBar>
        <cfvo type="num" val="0"/>
        <cfvo type="num" val="1"/>
        <color rgb="FF5B9BD5"/>
      </dataBar>
    </cfRule>
  </conditionalFormatting>
  <conditionalFormatting sqref="C126:D126">
    <cfRule type="dataBar" priority="39">
      <dataBar>
        <cfvo type="num" val="0"/>
        <cfvo type="num" val="1"/>
        <color rgb="FF5B9BD5"/>
      </dataBar>
    </cfRule>
  </conditionalFormatting>
  <conditionalFormatting sqref="C138:D143">
    <cfRule type="expression" dxfId="546" priority="16">
      <formula>C138="Yes"</formula>
    </cfRule>
    <cfRule type="expression" dxfId="545" priority="17">
      <formula>C138="No"</formula>
    </cfRule>
    <cfRule type="expression" dxfId="544" priority="18">
      <formula>C138="N/A"</formula>
    </cfRule>
  </conditionalFormatting>
  <conditionalFormatting sqref="C144:D144">
    <cfRule type="dataBar" priority="20">
      <dataBar>
        <cfvo type="num" val="0"/>
        <cfvo type="num" val="1"/>
        <color rgb="FF5B9BD5"/>
      </dataBar>
    </cfRule>
  </conditionalFormatting>
  <conditionalFormatting sqref="E5 G5 I5">
    <cfRule type="expression" dxfId="543" priority="87">
      <formula>E5="Pass"</formula>
    </cfRule>
    <cfRule type="expression" dxfId="542" priority="88">
      <formula>E5="Verify"</formula>
    </cfRule>
    <cfRule type="expression" dxfId="541" priority="89">
      <formula>E5="Fail"</formula>
    </cfRule>
    <cfRule type="expression" dxfId="540" priority="90">
      <formula>E5="Not Started"</formula>
    </cfRule>
  </conditionalFormatting>
  <conditionalFormatting sqref="F3">
    <cfRule type="expression" dxfId="539" priority="91">
      <formula>F3="Yes"</formula>
    </cfRule>
    <cfRule type="expression" dxfId="538" priority="92">
      <formula>F3="No"</formula>
    </cfRule>
  </conditionalFormatting>
  <conditionalFormatting sqref="F121:F125">
    <cfRule type="expression" dxfId="537" priority="34">
      <formula>F121="Pass"</formula>
    </cfRule>
    <cfRule type="expression" dxfId="536" priority="35">
      <formula>F121="Fail"</formula>
    </cfRule>
    <cfRule type="expression" dxfId="535" priority="36">
      <formula>F121="Pending"</formula>
    </cfRule>
  </conditionalFormatting>
  <conditionalFormatting sqref="F130:F133">
    <cfRule type="dataBar" priority="19">
      <dataBar>
        <cfvo type="num" val="0"/>
        <cfvo type="num" val="1"/>
        <color rgb="FF5B9BD5"/>
      </dataBar>
    </cfRule>
  </conditionalFormatting>
  <dataValidations count="6">
    <dataValidation type="list" sqref="B5:B6 D5 F5 H5 H10:H18 J5 H92:I96 I16:I18 D63:D70 H19:I90" xr:uid="{00000000-0002-0000-3600-000000000000}">
      <formula1>"Not Started,Verify,Pass,Fail,N/A,Open,Closed,Partial / Yellow,Excluded / Verify Existing,Excluded / Firestop Only"</formula1>
      <formula2>0</formula2>
    </dataValidation>
    <dataValidation type="list" allowBlank="1" sqref="F121:F125" xr:uid="{EB17ED79-5980-428E-BFF1-B09DDF0090E0}">
      <formula1>"Pending,Pass,Fail,N/A"</formula1>
    </dataValidation>
    <dataValidation type="list" allowBlank="1" sqref="C109:D116 C138:D143" xr:uid="{D8318E8F-6063-45A8-8AF2-73B02EFC2AF6}">
      <formula1>"Yes,No,N/A"</formula1>
    </dataValidation>
    <dataValidation type="list" allowBlank="1" sqref="B130:B133 B121:B125" xr:uid="{0951AB97-A24D-46EE-A52F-0A6D0D4636E9}">
      <formula1>"Not Started,In Progress,Complete,At Risk,Blocked"</formula1>
    </dataValidation>
    <dataValidation type="list" sqref="B161:B168" xr:uid="{59C7C2BC-1466-47E0-AEB0-DD22FD5A6AF6}">
      <formula1>"No,Yes,N/A"</formula1>
    </dataValidation>
    <dataValidation type="list" sqref="H149:I154 H146:I147" xr:uid="{A37609DC-82BB-4AB6-B3CB-DFF40A80CC5B}">
      <formula1>"Not Started,Verify,Pass,Fail,N/A,Open,Closed,Partial / Yellow"</formula1>
      <formula2>0</formula2>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D7227D35-BFC9-498B-A669-5E2FBE822DFD}">
          <x14:formula1>
            <xm:f>Lookup_Lists!$L$37:$L$39</xm:f>
          </x14:formula1>
          <xm:sqref>C121:E125 J2</xm:sqref>
        </x14:dataValidation>
        <x14:dataValidation type="list" allowBlank="1" showInputMessage="1" showErrorMessage="1" xr:uid="{736EB1F5-915E-4DF5-AED9-AB5BA4D7D62C}">
          <x14:formula1>
            <xm:f>Lookup_Lists!$A$36:$A$42</xm:f>
          </x14:formula1>
          <xm:sqref>B100:B104 B109:B116 B138:B143</xm:sqref>
        </x14:dataValidation>
      </x14:dataValidations>
    </ext>
  </extLst>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9295C-579B-4D24-8E2F-2F1107D7A5E2}">
  <dimension ref="A1:J233"/>
  <sheetViews>
    <sheetView topLeftCell="A50" workbookViewId="0">
      <selection activeCell="D4" sqref="D4"/>
    </sheetView>
  </sheetViews>
  <sheetFormatPr defaultColWidth="8.6640625" defaultRowHeight="14.4"/>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6640625" style="8" customWidth="1"/>
    <col min="13" max="16384" width="8.6640625" style="8"/>
  </cols>
  <sheetData>
    <row r="1" spans="1:10">
      <c r="A1" s="851" t="s">
        <v>2986</v>
      </c>
      <c r="B1" s="839"/>
      <c r="C1" s="839"/>
      <c r="D1" s="839"/>
      <c r="E1" s="839"/>
      <c r="F1" s="839"/>
      <c r="G1" s="839"/>
      <c r="H1" s="839"/>
      <c r="I1" s="839"/>
      <c r="J1" s="839"/>
    </row>
    <row r="2" spans="1:10" s="227" customFormat="1">
      <c r="A2" s="223" t="s">
        <v>142</v>
      </c>
      <c r="B2" s="224" t="s">
        <v>707</v>
      </c>
      <c r="C2" s="223" t="s">
        <v>902</v>
      </c>
      <c r="D2" s="224" t="s">
        <v>1094</v>
      </c>
      <c r="E2" s="223" t="s">
        <v>151</v>
      </c>
      <c r="F2" s="224" t="s">
        <v>1095</v>
      </c>
      <c r="G2" s="223" t="s">
        <v>174</v>
      </c>
      <c r="H2" s="225">
        <v>0.5</v>
      </c>
      <c r="I2" s="223" t="s">
        <v>154</v>
      </c>
      <c r="J2" s="226" t="s">
        <v>1096</v>
      </c>
    </row>
    <row r="3" spans="1:10" s="231" customFormat="1" ht="27.6">
      <c r="A3" s="223" t="s">
        <v>903</v>
      </c>
      <c r="B3" s="228">
        <v>46198.716311979173</v>
      </c>
      <c r="C3" s="229" t="s">
        <v>904</v>
      </c>
      <c r="D3" s="230" t="s">
        <v>721</v>
      </c>
      <c r="E3" s="223" t="s">
        <v>905</v>
      </c>
      <c r="F3" s="230" t="s">
        <v>2987</v>
      </c>
      <c r="G3" s="223" t="s">
        <v>907</v>
      </c>
      <c r="H3" s="230" t="s">
        <v>908</v>
      </c>
      <c r="I3" s="223" t="s">
        <v>551</v>
      </c>
      <c r="J3" s="230" t="s">
        <v>2988</v>
      </c>
    </row>
    <row r="4" spans="1:10" s="231" customFormat="1" ht="248.4">
      <c r="A4" s="223" t="s">
        <v>161</v>
      </c>
      <c r="B4" s="230">
        <v>0</v>
      </c>
      <c r="C4" s="223" t="s">
        <v>199</v>
      </c>
      <c r="D4" s="230">
        <v>0</v>
      </c>
      <c r="E4" s="223" t="s">
        <v>179</v>
      </c>
      <c r="F4" s="230">
        <v>0</v>
      </c>
      <c r="G4" s="223" t="s">
        <v>870</v>
      </c>
      <c r="H4" s="232" t="s">
        <v>2989</v>
      </c>
      <c r="I4" s="233"/>
      <c r="J4" s="233"/>
    </row>
    <row r="5" spans="1:10" s="231" customFormat="1">
      <c r="A5" s="234" t="s">
        <v>911</v>
      </c>
      <c r="B5" s="225" t="s">
        <v>2760</v>
      </c>
      <c r="C5" s="235" t="s">
        <v>912</v>
      </c>
      <c r="D5" s="225" t="s">
        <v>677</v>
      </c>
      <c r="E5" s="236" t="s">
        <v>913</v>
      </c>
      <c r="F5" s="225" t="s">
        <v>677</v>
      </c>
      <c r="G5" s="237" t="s">
        <v>914</v>
      </c>
      <c r="H5" s="225" t="s">
        <v>2761</v>
      </c>
      <c r="I5" s="237" t="s">
        <v>915</v>
      </c>
      <c r="J5" s="225" t="s">
        <v>947</v>
      </c>
    </row>
    <row r="6" spans="1:10" s="231" customFormat="1" ht="32.25" customHeight="1">
      <c r="A6" s="238" t="s">
        <v>916</v>
      </c>
      <c r="B6" s="225" t="s">
        <v>947</v>
      </c>
      <c r="C6" s="239" t="s">
        <v>869</v>
      </c>
      <c r="D6" s="854" t="s">
        <v>2990</v>
      </c>
      <c r="E6" s="853"/>
      <c r="F6" s="853"/>
      <c r="G6" s="853"/>
      <c r="H6" s="853"/>
      <c r="I6" s="853"/>
      <c r="J6" s="853"/>
    </row>
    <row r="7" spans="1:10">
      <c r="A7" s="13"/>
      <c r="B7" s="13"/>
      <c r="C7" s="13"/>
      <c r="D7" s="13"/>
      <c r="E7" s="13"/>
      <c r="F7" s="13"/>
      <c r="G7" s="13"/>
      <c r="H7" s="13"/>
      <c r="I7" s="13"/>
      <c r="J7" s="13"/>
    </row>
    <row r="8" spans="1:10">
      <c r="A8" s="842" t="s">
        <v>918</v>
      </c>
      <c r="B8" s="839"/>
      <c r="C8" s="839"/>
      <c r="D8" s="85"/>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96.6">
      <c r="A10" s="13" t="s">
        <v>707</v>
      </c>
      <c r="B10" s="13" t="s">
        <v>714</v>
      </c>
      <c r="C10" s="13" t="s">
        <v>919</v>
      </c>
      <c r="D10" s="13" t="s">
        <v>2991</v>
      </c>
      <c r="E10" s="13" t="s">
        <v>2764</v>
      </c>
      <c r="F10" s="13">
        <v>1</v>
      </c>
      <c r="G10" s="13">
        <v>0</v>
      </c>
      <c r="H10" s="13" t="s">
        <v>677</v>
      </c>
      <c r="I10" s="13" t="s">
        <v>2992</v>
      </c>
      <c r="J10" s="13" t="s">
        <v>2993</v>
      </c>
    </row>
    <row r="11" spans="1:10" ht="96.6">
      <c r="A11" s="13" t="s">
        <v>707</v>
      </c>
      <c r="B11" s="13" t="s">
        <v>2994</v>
      </c>
      <c r="C11" s="13" t="s">
        <v>919</v>
      </c>
      <c r="D11" s="13" t="s">
        <v>2995</v>
      </c>
      <c r="E11" s="13" t="s">
        <v>925</v>
      </c>
      <c r="F11" s="13">
        <v>1</v>
      </c>
      <c r="G11" s="13">
        <v>0</v>
      </c>
      <c r="H11" s="13" t="s">
        <v>677</v>
      </c>
      <c r="I11" s="13" t="s">
        <v>2996</v>
      </c>
      <c r="J11" s="13" t="s">
        <v>2997</v>
      </c>
    </row>
    <row r="12" spans="1:10">
      <c r="A12" s="13"/>
      <c r="B12" s="13"/>
      <c r="C12" s="13"/>
      <c r="D12" s="13"/>
      <c r="E12" s="13"/>
      <c r="F12" s="13"/>
      <c r="G12" s="13"/>
      <c r="H12" s="13"/>
      <c r="I12" s="13"/>
      <c r="J12" s="13"/>
    </row>
    <row r="13" spans="1:10">
      <c r="A13" s="842" t="s">
        <v>936</v>
      </c>
      <c r="B13" s="839"/>
      <c r="C13" s="839"/>
      <c r="D13" s="85"/>
      <c r="E13" s="85"/>
      <c r="F13" s="85"/>
      <c r="G13" s="85"/>
      <c r="H13" s="85"/>
      <c r="I13" s="85"/>
      <c r="J13" s="85"/>
    </row>
    <row r="14" spans="1:10">
      <c r="A14" s="50" t="s">
        <v>275</v>
      </c>
      <c r="B14" s="50" t="s">
        <v>937</v>
      </c>
      <c r="C14" s="50" t="s">
        <v>938</v>
      </c>
      <c r="D14" s="50" t="s">
        <v>939</v>
      </c>
      <c r="E14" s="50" t="s">
        <v>940</v>
      </c>
      <c r="F14" s="50" t="s">
        <v>941</v>
      </c>
      <c r="G14" s="50" t="s">
        <v>942</v>
      </c>
      <c r="H14" s="50" t="s">
        <v>943</v>
      </c>
      <c r="I14" s="50" t="s">
        <v>899</v>
      </c>
      <c r="J14" s="50" t="s">
        <v>944</v>
      </c>
    </row>
    <row r="15" spans="1:10" ht="82.8">
      <c r="A15" s="13" t="s">
        <v>714</v>
      </c>
      <c r="B15" s="13" t="s">
        <v>677</v>
      </c>
      <c r="C15" s="13" t="s">
        <v>677</v>
      </c>
      <c r="D15" s="13" t="s">
        <v>2998</v>
      </c>
      <c r="E15" s="13" t="s">
        <v>677</v>
      </c>
      <c r="F15" s="13" t="s">
        <v>947</v>
      </c>
      <c r="G15" s="13" t="s">
        <v>677</v>
      </c>
      <c r="H15" s="13" t="s">
        <v>677</v>
      </c>
      <c r="I15" s="13" t="s">
        <v>677</v>
      </c>
      <c r="J15" s="13" t="s">
        <v>2999</v>
      </c>
    </row>
    <row r="16" spans="1:10" ht="69">
      <c r="A16" s="13" t="s">
        <v>2994</v>
      </c>
      <c r="B16" s="13" t="s">
        <v>946</v>
      </c>
      <c r="C16" s="13" t="s">
        <v>946</v>
      </c>
      <c r="D16" s="13" t="s">
        <v>946</v>
      </c>
      <c r="E16" s="13" t="s">
        <v>677</v>
      </c>
      <c r="F16" s="13" t="s">
        <v>947</v>
      </c>
      <c r="G16" s="13" t="s">
        <v>677</v>
      </c>
      <c r="H16" s="13" t="s">
        <v>677</v>
      </c>
      <c r="I16" s="13" t="s">
        <v>677</v>
      </c>
      <c r="J16" s="13" t="s">
        <v>3000</v>
      </c>
    </row>
    <row r="17" spans="1:10">
      <c r="A17" s="13"/>
      <c r="B17" s="13"/>
      <c r="C17" s="13"/>
      <c r="D17" s="13"/>
      <c r="E17" s="13"/>
      <c r="F17" s="13"/>
      <c r="G17" s="13"/>
      <c r="H17" s="13"/>
      <c r="I17" s="13"/>
      <c r="J17" s="13"/>
    </row>
    <row r="18" spans="1:10">
      <c r="A18" s="842" t="s">
        <v>951</v>
      </c>
      <c r="B18" s="839"/>
      <c r="C18" s="839"/>
      <c r="D18" s="85"/>
      <c r="E18" s="85"/>
      <c r="F18" s="85"/>
      <c r="G18" s="85"/>
      <c r="H18" s="85"/>
      <c r="I18" s="85"/>
      <c r="J18" s="85"/>
    </row>
    <row r="19" spans="1:10">
      <c r="A19" s="50" t="s">
        <v>275</v>
      </c>
      <c r="B19" s="50" t="s">
        <v>952</v>
      </c>
      <c r="C19" s="50" t="s">
        <v>953</v>
      </c>
      <c r="D19" s="50" t="s">
        <v>954</v>
      </c>
      <c r="E19" s="50" t="s">
        <v>955</v>
      </c>
      <c r="F19" s="50" t="s">
        <v>956</v>
      </c>
      <c r="G19" s="50" t="s">
        <v>957</v>
      </c>
      <c r="H19" s="50" t="s">
        <v>958</v>
      </c>
      <c r="I19" s="50" t="s">
        <v>899</v>
      </c>
      <c r="J19" s="50" t="s">
        <v>959</v>
      </c>
    </row>
    <row r="20" spans="1:10" ht="82.8">
      <c r="A20" s="13" t="s">
        <v>714</v>
      </c>
      <c r="B20" s="13" t="s">
        <v>2774</v>
      </c>
      <c r="C20" s="13" t="s">
        <v>679</v>
      </c>
      <c r="D20" s="13" t="s">
        <v>947</v>
      </c>
      <c r="E20" s="13" t="s">
        <v>947</v>
      </c>
      <c r="F20" s="13" t="s">
        <v>1238</v>
      </c>
      <c r="G20" s="13" t="s">
        <v>677</v>
      </c>
      <c r="H20" s="13" t="s">
        <v>677</v>
      </c>
      <c r="I20" s="13" t="s">
        <v>677</v>
      </c>
      <c r="J20" s="13" t="s">
        <v>3001</v>
      </c>
    </row>
    <row r="21" spans="1:10" ht="41.4">
      <c r="A21" s="13" t="s">
        <v>2994</v>
      </c>
      <c r="B21" s="13" t="s">
        <v>946</v>
      </c>
      <c r="C21" s="13" t="s">
        <v>679</v>
      </c>
      <c r="D21" s="13" t="s">
        <v>947</v>
      </c>
      <c r="E21" s="13" t="s">
        <v>947</v>
      </c>
      <c r="F21" s="13" t="s">
        <v>1238</v>
      </c>
      <c r="G21" s="13" t="s">
        <v>677</v>
      </c>
      <c r="H21" s="13" t="s">
        <v>677</v>
      </c>
      <c r="I21" s="13" t="s">
        <v>677</v>
      </c>
      <c r="J21" s="13" t="s">
        <v>3002</v>
      </c>
    </row>
    <row r="22" spans="1:10">
      <c r="A22" s="13"/>
      <c r="B22" s="13"/>
      <c r="C22" s="13"/>
      <c r="D22" s="13"/>
      <c r="E22" s="13"/>
      <c r="F22" s="13"/>
      <c r="G22" s="13"/>
      <c r="H22" s="13"/>
      <c r="I22" s="13"/>
      <c r="J22" s="13"/>
    </row>
    <row r="23" spans="1:10">
      <c r="A23" s="842" t="s">
        <v>964</v>
      </c>
      <c r="B23" s="839"/>
      <c r="C23" s="839"/>
      <c r="D23" s="85"/>
      <c r="E23" s="85"/>
      <c r="F23" s="85"/>
      <c r="G23" s="85"/>
      <c r="H23" s="85"/>
      <c r="I23" s="85"/>
      <c r="J23" s="85"/>
    </row>
    <row r="24" spans="1:10">
      <c r="A24" s="50" t="s">
        <v>275</v>
      </c>
      <c r="B24" s="50" t="s">
        <v>965</v>
      </c>
      <c r="C24" s="50" t="s">
        <v>966</v>
      </c>
      <c r="D24" s="50" t="s">
        <v>967</v>
      </c>
      <c r="E24" s="50" t="s">
        <v>968</v>
      </c>
      <c r="F24" s="50" t="s">
        <v>969</v>
      </c>
      <c r="G24" s="50" t="s">
        <v>970</v>
      </c>
      <c r="H24" s="50" t="s">
        <v>971</v>
      </c>
      <c r="I24" s="50" t="s">
        <v>899</v>
      </c>
      <c r="J24" s="50" t="s">
        <v>959</v>
      </c>
    </row>
    <row r="25" spans="1:10" ht="69">
      <c r="A25" s="13" t="s">
        <v>714</v>
      </c>
      <c r="B25" s="13" t="s">
        <v>2777</v>
      </c>
      <c r="C25" s="13" t="s">
        <v>679</v>
      </c>
      <c r="D25" s="13" t="s">
        <v>679</v>
      </c>
      <c r="E25" s="13" t="s">
        <v>679</v>
      </c>
      <c r="F25" s="13" t="s">
        <v>679</v>
      </c>
      <c r="G25" s="13" t="s">
        <v>679</v>
      </c>
      <c r="H25" s="13" t="s">
        <v>679</v>
      </c>
      <c r="I25" s="13" t="s">
        <v>679</v>
      </c>
      <c r="J25" s="13" t="s">
        <v>3003</v>
      </c>
    </row>
    <row r="26" spans="1:10" ht="55.2">
      <c r="A26" s="13" t="s">
        <v>2994</v>
      </c>
      <c r="B26" s="13" t="s">
        <v>946</v>
      </c>
      <c r="C26" s="13" t="s">
        <v>677</v>
      </c>
      <c r="D26" s="13" t="s">
        <v>677</v>
      </c>
      <c r="E26" s="13" t="s">
        <v>677</v>
      </c>
      <c r="F26" s="13" t="s">
        <v>677</v>
      </c>
      <c r="G26" s="13" t="s">
        <v>677</v>
      </c>
      <c r="H26" s="13" t="s">
        <v>677</v>
      </c>
      <c r="I26" s="13" t="s">
        <v>677</v>
      </c>
      <c r="J26" s="13" t="s">
        <v>3004</v>
      </c>
    </row>
    <row r="27" spans="1:10">
      <c r="A27" s="13"/>
      <c r="B27" s="13"/>
      <c r="C27" s="13"/>
      <c r="D27" s="13"/>
      <c r="E27" s="13"/>
      <c r="F27" s="13"/>
      <c r="G27" s="13"/>
      <c r="H27" s="13"/>
      <c r="I27" s="13"/>
      <c r="J27" s="13"/>
    </row>
    <row r="28" spans="1:10">
      <c r="A28" s="842" t="s">
        <v>977</v>
      </c>
      <c r="B28" s="839"/>
      <c r="C28" s="839"/>
      <c r="D28" s="85"/>
      <c r="E28" s="85"/>
      <c r="F28" s="85"/>
      <c r="G28" s="85"/>
      <c r="H28" s="85"/>
      <c r="I28" s="85"/>
      <c r="J28" s="85"/>
    </row>
    <row r="29" spans="1:10">
      <c r="A29" s="50" t="s">
        <v>275</v>
      </c>
      <c r="B29" s="50" t="s">
        <v>978</v>
      </c>
      <c r="C29" s="50" t="s">
        <v>979</v>
      </c>
      <c r="D29" s="50" t="s">
        <v>980</v>
      </c>
      <c r="E29" s="50" t="s">
        <v>981</v>
      </c>
      <c r="F29" s="50" t="s">
        <v>982</v>
      </c>
      <c r="G29" s="50" t="s">
        <v>983</v>
      </c>
      <c r="H29" s="50" t="s">
        <v>984</v>
      </c>
      <c r="I29" s="50" t="s">
        <v>899</v>
      </c>
      <c r="J29" s="50" t="s">
        <v>11</v>
      </c>
    </row>
    <row r="30" spans="1:10" ht="96.6">
      <c r="A30" s="13" t="s">
        <v>714</v>
      </c>
      <c r="B30" s="13" t="s">
        <v>677</v>
      </c>
      <c r="C30" s="13" t="s">
        <v>2780</v>
      </c>
      <c r="D30" s="13" t="s">
        <v>677</v>
      </c>
      <c r="E30" s="13" t="s">
        <v>677</v>
      </c>
      <c r="F30" s="13" t="s">
        <v>3005</v>
      </c>
      <c r="G30" s="13" t="s">
        <v>677</v>
      </c>
      <c r="H30" s="13" t="s">
        <v>677</v>
      </c>
      <c r="I30" s="13" t="s">
        <v>677</v>
      </c>
      <c r="J30" s="13" t="s">
        <v>3006</v>
      </c>
    </row>
    <row r="31" spans="1:10" ht="82.8">
      <c r="A31" s="13" t="s">
        <v>2994</v>
      </c>
      <c r="B31" s="13" t="s">
        <v>988</v>
      </c>
      <c r="C31" s="13" t="s">
        <v>3007</v>
      </c>
      <c r="D31" s="13" t="s">
        <v>988</v>
      </c>
      <c r="E31" s="13" t="s">
        <v>677</v>
      </c>
      <c r="F31" s="13" t="s">
        <v>946</v>
      </c>
      <c r="G31" s="13" t="s">
        <v>677</v>
      </c>
      <c r="H31" s="13" t="s">
        <v>677</v>
      </c>
      <c r="I31" s="13" t="s">
        <v>677</v>
      </c>
      <c r="J31" s="13" t="s">
        <v>3008</v>
      </c>
    </row>
    <row r="32" spans="1:10">
      <c r="A32" s="13"/>
      <c r="B32" s="13"/>
      <c r="C32" s="13"/>
      <c r="D32" s="13"/>
      <c r="E32" s="13"/>
      <c r="F32" s="13"/>
      <c r="G32" s="13"/>
      <c r="H32" s="13"/>
      <c r="I32" s="13"/>
      <c r="J32" s="13"/>
    </row>
    <row r="33" spans="1:10">
      <c r="A33" s="842" t="s">
        <v>994</v>
      </c>
      <c r="B33" s="839"/>
      <c r="C33" s="839"/>
      <c r="D33" s="85"/>
      <c r="E33" s="85"/>
      <c r="F33" s="85"/>
      <c r="G33" s="85"/>
      <c r="H33" s="85"/>
      <c r="I33" s="85"/>
      <c r="J33" s="85"/>
    </row>
    <row r="34" spans="1:10">
      <c r="A34" s="50" t="s">
        <v>275</v>
      </c>
      <c r="B34" s="50" t="s">
        <v>995</v>
      </c>
      <c r="C34" s="50" t="s">
        <v>996</v>
      </c>
      <c r="D34" s="50" t="s">
        <v>997</v>
      </c>
      <c r="E34" s="50" t="s">
        <v>998</v>
      </c>
      <c r="F34" s="50" t="s">
        <v>999</v>
      </c>
      <c r="G34" s="50" t="s">
        <v>1000</v>
      </c>
      <c r="H34" s="50" t="s">
        <v>1001</v>
      </c>
      <c r="I34" s="50" t="s">
        <v>899</v>
      </c>
      <c r="J34" s="50" t="s">
        <v>11</v>
      </c>
    </row>
    <row r="35" spans="1:10" ht="96.6">
      <c r="A35" s="13" t="s">
        <v>714</v>
      </c>
      <c r="B35" s="13" t="s">
        <v>677</v>
      </c>
      <c r="C35" s="13" t="s">
        <v>677</v>
      </c>
      <c r="D35" s="13" t="s">
        <v>677</v>
      </c>
      <c r="E35" s="13" t="s">
        <v>677</v>
      </c>
      <c r="F35" s="13" t="s">
        <v>677</v>
      </c>
      <c r="G35" s="13" t="s">
        <v>677</v>
      </c>
      <c r="H35" s="13" t="s">
        <v>677</v>
      </c>
      <c r="I35" s="13" t="s">
        <v>677</v>
      </c>
      <c r="J35" s="13" t="s">
        <v>3009</v>
      </c>
    </row>
    <row r="36" spans="1:10" ht="82.8">
      <c r="A36" s="13" t="s">
        <v>2994</v>
      </c>
      <c r="B36" s="13" t="s">
        <v>988</v>
      </c>
      <c r="C36" s="13" t="s">
        <v>988</v>
      </c>
      <c r="D36" s="13" t="s">
        <v>988</v>
      </c>
      <c r="E36" s="13" t="s">
        <v>677</v>
      </c>
      <c r="F36" s="13" t="s">
        <v>677</v>
      </c>
      <c r="G36" s="13" t="s">
        <v>677</v>
      </c>
      <c r="H36" s="13" t="s">
        <v>677</v>
      </c>
      <c r="I36" s="13" t="s">
        <v>677</v>
      </c>
      <c r="J36" s="13" t="s">
        <v>3010</v>
      </c>
    </row>
    <row r="37" spans="1:10">
      <c r="A37" s="13"/>
      <c r="B37" s="13"/>
      <c r="C37" s="13"/>
      <c r="D37" s="13"/>
      <c r="E37" s="13"/>
      <c r="F37" s="13"/>
      <c r="G37" s="13"/>
      <c r="H37" s="13"/>
      <c r="I37" s="13"/>
      <c r="J37" s="13"/>
    </row>
    <row r="38" spans="1:10">
      <c r="A38" s="842" t="s">
        <v>1007</v>
      </c>
      <c r="B38" s="839"/>
      <c r="C38" s="839"/>
      <c r="D38" s="85"/>
      <c r="E38" s="85"/>
      <c r="F38" s="85"/>
      <c r="G38" s="85"/>
      <c r="H38" s="85"/>
      <c r="I38" s="85"/>
      <c r="J38" s="85"/>
    </row>
    <row r="39" spans="1:10">
      <c r="A39" s="50" t="s">
        <v>275</v>
      </c>
      <c r="B39" s="50" t="s">
        <v>1008</v>
      </c>
      <c r="C39" s="50" t="s">
        <v>1009</v>
      </c>
      <c r="D39" s="50" t="s">
        <v>1010</v>
      </c>
      <c r="E39" s="50" t="s">
        <v>1011</v>
      </c>
      <c r="F39" s="50" t="s">
        <v>1012</v>
      </c>
      <c r="G39" s="50" t="s">
        <v>1013</v>
      </c>
      <c r="H39" s="50" t="s">
        <v>1014</v>
      </c>
      <c r="I39" s="50" t="s">
        <v>899</v>
      </c>
      <c r="J39" s="50" t="s">
        <v>11</v>
      </c>
    </row>
    <row r="40" spans="1:10" ht="69">
      <c r="A40" s="13" t="s">
        <v>714</v>
      </c>
      <c r="B40" s="13" t="s">
        <v>1238</v>
      </c>
      <c r="C40" s="13" t="s">
        <v>1238</v>
      </c>
      <c r="D40" s="13" t="s">
        <v>1238</v>
      </c>
      <c r="E40" s="13" t="s">
        <v>1238</v>
      </c>
      <c r="F40" s="13" t="s">
        <v>947</v>
      </c>
      <c r="G40" s="13" t="s">
        <v>947</v>
      </c>
      <c r="H40" s="13" t="s">
        <v>677</v>
      </c>
      <c r="I40" s="13" t="s">
        <v>677</v>
      </c>
      <c r="J40" s="13" t="s">
        <v>3011</v>
      </c>
    </row>
    <row r="41" spans="1:10" ht="41.4">
      <c r="A41" s="13" t="s">
        <v>2994</v>
      </c>
      <c r="B41" s="13" t="s">
        <v>1238</v>
      </c>
      <c r="C41" s="13" t="s">
        <v>1238</v>
      </c>
      <c r="D41" s="13" t="s">
        <v>1238</v>
      </c>
      <c r="E41" s="13" t="s">
        <v>1238</v>
      </c>
      <c r="F41" s="13" t="s">
        <v>947</v>
      </c>
      <c r="G41" s="13" t="s">
        <v>947</v>
      </c>
      <c r="H41" s="13" t="s">
        <v>677</v>
      </c>
      <c r="I41" s="13" t="s">
        <v>677</v>
      </c>
      <c r="J41" s="13" t="s">
        <v>3012</v>
      </c>
    </row>
    <row r="42" spans="1:10">
      <c r="A42" s="13"/>
      <c r="B42" s="13"/>
      <c r="C42" s="13"/>
      <c r="D42" s="13"/>
      <c r="E42" s="13"/>
      <c r="F42" s="13"/>
      <c r="G42" s="13"/>
      <c r="H42" s="13"/>
      <c r="I42" s="13"/>
      <c r="J42" s="13"/>
    </row>
    <row r="43" spans="1:10">
      <c r="A43" s="842" t="s">
        <v>1019</v>
      </c>
      <c r="B43" s="839"/>
      <c r="C43" s="839"/>
      <c r="D43" s="85"/>
      <c r="E43" s="85"/>
      <c r="F43" s="85"/>
      <c r="G43" s="85"/>
      <c r="H43" s="85"/>
      <c r="I43" s="85"/>
      <c r="J43" s="85"/>
    </row>
    <row r="44" spans="1:10">
      <c r="A44" s="50" t="s">
        <v>213</v>
      </c>
      <c r="B44" s="50" t="s">
        <v>275</v>
      </c>
      <c r="C44" s="50" t="s">
        <v>573</v>
      </c>
      <c r="D44" s="50" t="s">
        <v>215</v>
      </c>
      <c r="E44" s="50" t="s">
        <v>257</v>
      </c>
      <c r="F44" s="50" t="s">
        <v>572</v>
      </c>
      <c r="G44" s="50" t="s">
        <v>259</v>
      </c>
      <c r="H44" s="50" t="s">
        <v>216</v>
      </c>
      <c r="I44" s="50" t="s">
        <v>77</v>
      </c>
      <c r="J44" s="50" t="s">
        <v>11</v>
      </c>
    </row>
    <row r="45" spans="1:10" ht="55.2">
      <c r="A45" s="13" t="s">
        <v>3013</v>
      </c>
      <c r="B45" s="13" t="s">
        <v>575</v>
      </c>
      <c r="C45" s="13" t="s">
        <v>3014</v>
      </c>
      <c r="D45" s="13" t="s">
        <v>391</v>
      </c>
      <c r="E45" s="13" t="s">
        <v>488</v>
      </c>
      <c r="F45" s="13">
        <v>6</v>
      </c>
      <c r="G45" s="13" t="s">
        <v>1381</v>
      </c>
      <c r="H45" s="13" t="s">
        <v>1023</v>
      </c>
      <c r="I45" s="13" t="s">
        <v>502</v>
      </c>
      <c r="J45" s="13" t="s">
        <v>3015</v>
      </c>
    </row>
    <row r="46" spans="1:10" ht="82.8">
      <c r="A46" s="13" t="s">
        <v>3016</v>
      </c>
      <c r="B46" s="13" t="s">
        <v>3017</v>
      </c>
      <c r="C46" s="13" t="s">
        <v>3018</v>
      </c>
      <c r="D46" s="13" t="s">
        <v>492</v>
      </c>
      <c r="E46" s="13" t="s">
        <v>488</v>
      </c>
      <c r="F46" s="13">
        <v>8</v>
      </c>
      <c r="G46" s="13" t="s">
        <v>1025</v>
      </c>
      <c r="H46" s="13" t="s">
        <v>584</v>
      </c>
      <c r="I46" s="13" t="s">
        <v>502</v>
      </c>
      <c r="J46" s="13" t="s">
        <v>3019</v>
      </c>
    </row>
    <row r="47" spans="1:10" ht="82.8">
      <c r="A47" s="13" t="s">
        <v>3020</v>
      </c>
      <c r="B47" s="13" t="s">
        <v>714</v>
      </c>
      <c r="C47" s="13" t="s">
        <v>3021</v>
      </c>
      <c r="D47" s="13" t="s">
        <v>488</v>
      </c>
      <c r="E47" s="13" t="s">
        <v>488</v>
      </c>
      <c r="F47" s="13">
        <v>4</v>
      </c>
      <c r="G47" s="13" t="s">
        <v>3022</v>
      </c>
      <c r="H47" s="13" t="s">
        <v>2798</v>
      </c>
      <c r="I47" s="13" t="s">
        <v>502</v>
      </c>
      <c r="J47" s="13" t="s">
        <v>3023</v>
      </c>
    </row>
    <row r="48" spans="1:10" ht="69">
      <c r="A48" s="13" t="s">
        <v>3024</v>
      </c>
      <c r="B48" s="13" t="s">
        <v>714</v>
      </c>
      <c r="C48" s="13" t="s">
        <v>3025</v>
      </c>
      <c r="D48" s="13" t="s">
        <v>391</v>
      </c>
      <c r="E48" s="13" t="s">
        <v>488</v>
      </c>
      <c r="F48" s="13">
        <v>6</v>
      </c>
      <c r="G48" s="13" t="s">
        <v>3026</v>
      </c>
      <c r="H48" s="13" t="s">
        <v>2803</v>
      </c>
      <c r="I48" s="13" t="s">
        <v>502</v>
      </c>
      <c r="J48" s="13" t="s">
        <v>2804</v>
      </c>
    </row>
    <row r="49" spans="1:10" ht="69">
      <c r="A49" s="13" t="s">
        <v>3027</v>
      </c>
      <c r="B49" s="13" t="s">
        <v>714</v>
      </c>
      <c r="C49" s="13" t="s">
        <v>2806</v>
      </c>
      <c r="D49" s="13" t="s">
        <v>391</v>
      </c>
      <c r="E49" s="13" t="s">
        <v>488</v>
      </c>
      <c r="F49" s="13">
        <v>6</v>
      </c>
      <c r="G49" s="13" t="s">
        <v>2807</v>
      </c>
      <c r="H49" s="13" t="s">
        <v>2808</v>
      </c>
      <c r="I49" s="13" t="s">
        <v>502</v>
      </c>
      <c r="J49" s="13" t="s">
        <v>2809</v>
      </c>
    </row>
    <row r="50" spans="1:10" ht="82.8">
      <c r="A50" s="13" t="s">
        <v>3028</v>
      </c>
      <c r="B50" s="13" t="s">
        <v>575</v>
      </c>
      <c r="C50" s="13" t="s">
        <v>3029</v>
      </c>
      <c r="D50" s="13" t="s">
        <v>391</v>
      </c>
      <c r="E50" s="13" t="s">
        <v>488</v>
      </c>
      <c r="F50" s="13">
        <v>6</v>
      </c>
      <c r="G50" s="13" t="s">
        <v>2812</v>
      </c>
      <c r="H50" s="13" t="s">
        <v>1037</v>
      </c>
      <c r="I50" s="13" t="s">
        <v>502</v>
      </c>
      <c r="J50" s="13" t="s">
        <v>3030</v>
      </c>
    </row>
    <row r="51" spans="1:10" ht="82.8">
      <c r="A51" s="13" t="s">
        <v>3031</v>
      </c>
      <c r="B51" s="13" t="s">
        <v>575</v>
      </c>
      <c r="C51" s="13" t="s">
        <v>2815</v>
      </c>
      <c r="D51" s="13" t="s">
        <v>391</v>
      </c>
      <c r="E51" s="13" t="s">
        <v>488</v>
      </c>
      <c r="F51" s="13">
        <v>6</v>
      </c>
      <c r="G51" s="13" t="s">
        <v>2816</v>
      </c>
      <c r="H51" s="13" t="s">
        <v>622</v>
      </c>
      <c r="I51" s="13" t="s">
        <v>502</v>
      </c>
      <c r="J51" s="13" t="s">
        <v>3032</v>
      </c>
    </row>
    <row r="52" spans="1:10" ht="82.8">
      <c r="A52" s="13" t="s">
        <v>3033</v>
      </c>
      <c r="B52" s="13" t="s">
        <v>3034</v>
      </c>
      <c r="C52" s="13" t="s">
        <v>3035</v>
      </c>
      <c r="D52" s="13" t="s">
        <v>391</v>
      </c>
      <c r="E52" s="13" t="s">
        <v>488</v>
      </c>
      <c r="F52" s="13">
        <v>6</v>
      </c>
      <c r="G52" s="13" t="s">
        <v>3036</v>
      </c>
      <c r="H52" s="13" t="s">
        <v>584</v>
      </c>
      <c r="I52" s="13" t="s">
        <v>502</v>
      </c>
      <c r="J52" s="13" t="s">
        <v>3037</v>
      </c>
    </row>
    <row r="53" spans="1:10">
      <c r="A53" s="13"/>
      <c r="B53" s="13"/>
      <c r="C53" s="13"/>
      <c r="D53" s="13"/>
      <c r="E53" s="13"/>
      <c r="F53" s="13"/>
      <c r="G53" s="13"/>
      <c r="H53" s="13"/>
      <c r="I53" s="13"/>
      <c r="J53" s="13"/>
    </row>
    <row r="54" spans="1:10">
      <c r="A54" s="842" t="s">
        <v>1051</v>
      </c>
      <c r="B54" s="839"/>
      <c r="C54" s="839"/>
      <c r="D54" s="85"/>
      <c r="E54" s="85"/>
      <c r="F54" s="85"/>
      <c r="G54" s="85"/>
      <c r="H54" s="85"/>
      <c r="I54" s="85"/>
      <c r="J54" s="85"/>
    </row>
    <row r="55" spans="1:10">
      <c r="A55" s="50" t="s">
        <v>221</v>
      </c>
      <c r="B55" s="50" t="s">
        <v>222</v>
      </c>
      <c r="C55" s="50" t="s">
        <v>265</v>
      </c>
      <c r="D55" s="50" t="s">
        <v>77</v>
      </c>
      <c r="E55" s="50" t="s">
        <v>878</v>
      </c>
      <c r="F55" s="50" t="s">
        <v>879</v>
      </c>
      <c r="G55" s="50" t="s">
        <v>880</v>
      </c>
      <c r="H55" s="50" t="s">
        <v>494</v>
      </c>
      <c r="I55" s="50" t="s">
        <v>881</v>
      </c>
      <c r="J55" s="50" t="s">
        <v>11</v>
      </c>
    </row>
    <row r="56" spans="1:10" ht="82.8">
      <c r="A56" s="13" t="s">
        <v>3038</v>
      </c>
      <c r="B56" s="13" t="s">
        <v>3039</v>
      </c>
      <c r="C56" s="13" t="s">
        <v>579</v>
      </c>
      <c r="D56" s="13" t="s">
        <v>502</v>
      </c>
      <c r="E56" s="13"/>
      <c r="F56" s="13"/>
      <c r="G56" s="13" t="s">
        <v>2619</v>
      </c>
      <c r="H56" s="13"/>
      <c r="I56" s="13"/>
      <c r="J56" s="13"/>
    </row>
    <row r="57" spans="1:10" ht="55.2">
      <c r="A57" s="13" t="s">
        <v>3040</v>
      </c>
      <c r="B57" s="13" t="s">
        <v>3041</v>
      </c>
      <c r="C57" s="13" t="s">
        <v>587</v>
      </c>
      <c r="D57" s="13" t="s">
        <v>502</v>
      </c>
      <c r="E57" s="13"/>
      <c r="F57" s="13"/>
      <c r="G57" s="13" t="s">
        <v>588</v>
      </c>
      <c r="H57" s="13"/>
      <c r="I57" s="13"/>
      <c r="J57" s="13"/>
    </row>
    <row r="58" spans="1:10" ht="96.6">
      <c r="A58" s="13" t="s">
        <v>3042</v>
      </c>
      <c r="B58" s="13" t="s">
        <v>3043</v>
      </c>
      <c r="C58" s="13" t="s">
        <v>616</v>
      </c>
      <c r="D58" s="13" t="s">
        <v>502</v>
      </c>
      <c r="E58" s="13"/>
      <c r="F58" s="13"/>
      <c r="G58" s="13" t="s">
        <v>617</v>
      </c>
      <c r="H58" s="13"/>
      <c r="I58" s="13"/>
      <c r="J58" s="13"/>
    </row>
    <row r="59" spans="1:10" ht="96.6">
      <c r="A59" s="13" t="s">
        <v>3044</v>
      </c>
      <c r="B59" s="13" t="s">
        <v>3045</v>
      </c>
      <c r="C59" s="13" t="s">
        <v>2830</v>
      </c>
      <c r="D59" s="13" t="s">
        <v>502</v>
      </c>
      <c r="E59" s="13"/>
      <c r="F59" s="13"/>
      <c r="G59" s="13" t="s">
        <v>2831</v>
      </c>
      <c r="H59" s="13"/>
      <c r="I59" s="13"/>
      <c r="J59" s="13"/>
    </row>
    <row r="60" spans="1:10" ht="82.8">
      <c r="A60" s="13" t="s">
        <v>3046</v>
      </c>
      <c r="B60" s="13" t="s">
        <v>3047</v>
      </c>
      <c r="C60" s="13" t="s">
        <v>2834</v>
      </c>
      <c r="D60" s="13" t="s">
        <v>502</v>
      </c>
      <c r="E60" s="13"/>
      <c r="F60" s="13"/>
      <c r="G60" s="13" t="s">
        <v>2835</v>
      </c>
      <c r="H60" s="13"/>
      <c r="I60" s="13"/>
      <c r="J60" s="13"/>
    </row>
    <row r="61" spans="1:10" ht="69">
      <c r="A61" s="13" t="s">
        <v>3048</v>
      </c>
      <c r="B61" s="13" t="s">
        <v>3049</v>
      </c>
      <c r="C61" s="13" t="s">
        <v>2838</v>
      </c>
      <c r="D61" s="13" t="s">
        <v>502</v>
      </c>
      <c r="E61" s="13"/>
      <c r="F61" s="13"/>
      <c r="G61" s="13" t="s">
        <v>2839</v>
      </c>
      <c r="H61" s="13"/>
      <c r="I61" s="13"/>
      <c r="J61" s="13"/>
    </row>
    <row r="62" spans="1:10" ht="82.8">
      <c r="A62" s="13" t="s">
        <v>3050</v>
      </c>
      <c r="B62" s="13" t="s">
        <v>2841</v>
      </c>
      <c r="C62" s="13" t="s">
        <v>584</v>
      </c>
      <c r="D62" s="13" t="s">
        <v>502</v>
      </c>
      <c r="E62" s="13"/>
      <c r="F62" s="13"/>
      <c r="G62" s="13" t="s">
        <v>2842</v>
      </c>
      <c r="H62" s="13"/>
      <c r="I62" s="13"/>
      <c r="J62" s="13"/>
    </row>
    <row r="63" spans="1:10" ht="69">
      <c r="A63" s="13" t="s">
        <v>3051</v>
      </c>
      <c r="B63" s="13" t="s">
        <v>3052</v>
      </c>
      <c r="C63" s="13" t="s">
        <v>579</v>
      </c>
      <c r="D63" s="13" t="s">
        <v>502</v>
      </c>
      <c r="E63" s="13"/>
      <c r="F63" s="13"/>
      <c r="G63" s="13" t="s">
        <v>3053</v>
      </c>
      <c r="H63" s="13"/>
      <c r="I63" s="13"/>
      <c r="J63" s="13"/>
    </row>
    <row r="64" spans="1:10">
      <c r="A64" s="13"/>
      <c r="B64" s="13"/>
      <c r="C64" s="13"/>
      <c r="D64" s="13"/>
      <c r="E64" s="13"/>
      <c r="F64" s="13"/>
      <c r="G64" s="13"/>
      <c r="H64" s="13"/>
      <c r="I64" s="13"/>
      <c r="J64" s="13"/>
    </row>
    <row r="65" spans="1:10">
      <c r="A65" s="842" t="s">
        <v>1052</v>
      </c>
      <c r="B65" s="839"/>
      <c r="C65" s="839"/>
      <c r="D65" s="85"/>
      <c r="E65" s="85"/>
      <c r="F65" s="85"/>
      <c r="G65" s="85"/>
      <c r="H65" s="85"/>
      <c r="I65" s="85"/>
      <c r="J65" s="85"/>
    </row>
    <row r="66" spans="1:10">
      <c r="A66" s="50" t="s">
        <v>291</v>
      </c>
      <c r="B66" s="50" t="s">
        <v>275</v>
      </c>
      <c r="C66" s="50" t="s">
        <v>493</v>
      </c>
      <c r="D66" s="50" t="s">
        <v>214</v>
      </c>
      <c r="E66" s="50" t="s">
        <v>263</v>
      </c>
      <c r="F66" s="50" t="s">
        <v>891</v>
      </c>
      <c r="G66" s="50" t="s">
        <v>892</v>
      </c>
      <c r="H66" s="50" t="s">
        <v>893</v>
      </c>
      <c r="I66" s="50" t="s">
        <v>77</v>
      </c>
      <c r="J66" s="50" t="s">
        <v>11</v>
      </c>
    </row>
    <row r="67" spans="1:10" ht="110.4">
      <c r="A67" s="13" t="s">
        <v>3054</v>
      </c>
      <c r="B67" s="13" t="s">
        <v>714</v>
      </c>
      <c r="C67" s="13" t="s">
        <v>269</v>
      </c>
      <c r="D67" s="13" t="s">
        <v>3055</v>
      </c>
      <c r="E67" s="13"/>
      <c r="F67" s="13" t="s">
        <v>229</v>
      </c>
      <c r="G67" s="13"/>
      <c r="H67" s="13" t="s">
        <v>3056</v>
      </c>
      <c r="I67" s="13" t="s">
        <v>502</v>
      </c>
      <c r="J67" s="13"/>
    </row>
    <row r="68" spans="1:10" ht="96.6">
      <c r="A68" s="13" t="s">
        <v>3057</v>
      </c>
      <c r="B68" s="13" t="s">
        <v>2994</v>
      </c>
      <c r="C68" s="13" t="s">
        <v>269</v>
      </c>
      <c r="D68" s="13" t="s">
        <v>3058</v>
      </c>
      <c r="E68" s="13"/>
      <c r="F68" s="13" t="s">
        <v>229</v>
      </c>
      <c r="G68" s="13"/>
      <c r="H68" s="13" t="s">
        <v>3059</v>
      </c>
      <c r="I68" s="13" t="s">
        <v>502</v>
      </c>
      <c r="J68" s="13"/>
    </row>
    <row r="69" spans="1:10" ht="82.8">
      <c r="A69" s="13" t="s">
        <v>3060</v>
      </c>
      <c r="B69" s="13" t="s">
        <v>3034</v>
      </c>
      <c r="C69" s="13" t="s">
        <v>1058</v>
      </c>
      <c r="D69" s="13" t="s">
        <v>3061</v>
      </c>
      <c r="E69" s="13"/>
      <c r="F69" s="13" t="s">
        <v>229</v>
      </c>
      <c r="G69" s="13"/>
      <c r="H69" s="13" t="s">
        <v>3033</v>
      </c>
      <c r="I69" s="13" t="s">
        <v>502</v>
      </c>
      <c r="J69" s="13"/>
    </row>
    <row r="70" spans="1:10" ht="96.6">
      <c r="A70" s="13" t="s">
        <v>3062</v>
      </c>
      <c r="B70" s="13" t="s">
        <v>3017</v>
      </c>
      <c r="C70" s="13" t="s">
        <v>2640</v>
      </c>
      <c r="D70" s="13" t="s">
        <v>3063</v>
      </c>
      <c r="E70" s="13"/>
      <c r="F70" s="13" t="s">
        <v>229</v>
      </c>
      <c r="G70" s="13"/>
      <c r="H70" s="13" t="s">
        <v>3064</v>
      </c>
      <c r="I70" s="13" t="s">
        <v>502</v>
      </c>
      <c r="J70" s="13"/>
    </row>
    <row r="71" spans="1:10" ht="82.8">
      <c r="A71" s="13" t="s">
        <v>3065</v>
      </c>
      <c r="B71" s="13" t="s">
        <v>714</v>
      </c>
      <c r="C71" s="13" t="s">
        <v>153</v>
      </c>
      <c r="D71" s="13" t="s">
        <v>2970</v>
      </c>
      <c r="E71" s="13"/>
      <c r="F71" s="13" t="s">
        <v>229</v>
      </c>
      <c r="G71" s="13"/>
      <c r="H71" s="13" t="s">
        <v>3027</v>
      </c>
      <c r="I71" s="13" t="s">
        <v>502</v>
      </c>
      <c r="J71" s="13"/>
    </row>
    <row r="72" spans="1:10" ht="96.6">
      <c r="A72" s="13" t="s">
        <v>3066</v>
      </c>
      <c r="B72" s="13" t="s">
        <v>3017</v>
      </c>
      <c r="C72" s="13" t="s">
        <v>155</v>
      </c>
      <c r="D72" s="13" t="s">
        <v>3067</v>
      </c>
      <c r="E72" s="13"/>
      <c r="F72" s="13" t="s">
        <v>229</v>
      </c>
      <c r="G72" s="13"/>
      <c r="H72" s="13" t="s">
        <v>3068</v>
      </c>
      <c r="I72" s="13" t="s">
        <v>502</v>
      </c>
      <c r="J72" s="13"/>
    </row>
    <row r="73" spans="1:10" ht="69">
      <c r="A73" s="13" t="s">
        <v>3069</v>
      </c>
      <c r="B73" s="13" t="s">
        <v>575</v>
      </c>
      <c r="C73" s="13" t="s">
        <v>957</v>
      </c>
      <c r="D73" s="13" t="s">
        <v>2975</v>
      </c>
      <c r="E73" s="13"/>
      <c r="F73" s="13" t="s">
        <v>229</v>
      </c>
      <c r="G73" s="13"/>
      <c r="H73" s="13" t="s">
        <v>3031</v>
      </c>
      <c r="I73" s="13" t="s">
        <v>502</v>
      </c>
      <c r="J73" s="13"/>
    </row>
    <row r="74" spans="1:10" ht="82.8">
      <c r="A74" s="13" t="s">
        <v>3070</v>
      </c>
      <c r="B74" s="13" t="s">
        <v>575</v>
      </c>
      <c r="C74" s="13" t="s">
        <v>2865</v>
      </c>
      <c r="D74" s="13" t="s">
        <v>2866</v>
      </c>
      <c r="E74" s="13"/>
      <c r="F74" s="13" t="s">
        <v>229</v>
      </c>
      <c r="G74" s="13"/>
      <c r="H74" s="13" t="s">
        <v>3033</v>
      </c>
      <c r="I74" s="13" t="s">
        <v>502</v>
      </c>
      <c r="J74" s="13"/>
    </row>
    <row r="75" spans="1:10">
      <c r="A75" s="13"/>
      <c r="B75" s="13"/>
      <c r="C75" s="13"/>
      <c r="D75" s="13"/>
      <c r="E75" s="13"/>
      <c r="F75" s="13"/>
      <c r="G75" s="13"/>
      <c r="H75" s="13"/>
      <c r="I75" s="13"/>
      <c r="J75" s="13"/>
    </row>
    <row r="76" spans="1:10">
      <c r="A76" s="842" t="s">
        <v>1079</v>
      </c>
      <c r="B76" s="839"/>
      <c r="C76" s="839"/>
      <c r="D76" s="85"/>
      <c r="E76" s="85"/>
      <c r="F76" s="85"/>
      <c r="G76" s="85"/>
      <c r="H76" s="85"/>
      <c r="I76" s="85"/>
      <c r="J76" s="85"/>
    </row>
    <row r="77" spans="1:10">
      <c r="A77" s="50" t="s">
        <v>275</v>
      </c>
      <c r="B77" s="50" t="s">
        <v>895</v>
      </c>
      <c r="C77" s="50" t="s">
        <v>896</v>
      </c>
      <c r="D77" s="50" t="s">
        <v>148</v>
      </c>
      <c r="E77" s="50" t="s">
        <v>153</v>
      </c>
      <c r="F77" s="50" t="s">
        <v>155</v>
      </c>
      <c r="G77" s="50" t="s">
        <v>491</v>
      </c>
      <c r="H77" s="50" t="s">
        <v>897</v>
      </c>
      <c r="I77" s="50" t="s">
        <v>174</v>
      </c>
      <c r="J77" s="50" t="s">
        <v>11</v>
      </c>
    </row>
    <row r="78" spans="1:10" ht="55.2">
      <c r="A78" s="13" t="s">
        <v>714</v>
      </c>
      <c r="B78" s="13">
        <v>0.5</v>
      </c>
      <c r="C78" s="13">
        <v>0.5</v>
      </c>
      <c r="D78" s="13" t="s">
        <v>1238</v>
      </c>
      <c r="E78" s="13">
        <v>0.5</v>
      </c>
      <c r="F78" s="13">
        <v>0.5</v>
      </c>
      <c r="G78" s="13" t="s">
        <v>677</v>
      </c>
      <c r="H78" s="13">
        <v>0.5</v>
      </c>
      <c r="I78" s="13" t="s">
        <v>1201</v>
      </c>
      <c r="J78" s="13" t="s">
        <v>3071</v>
      </c>
    </row>
    <row r="79" spans="1:10" ht="41.4">
      <c r="A79" s="13" t="s">
        <v>2994</v>
      </c>
      <c r="B79" s="13">
        <v>0.5</v>
      </c>
      <c r="C79" s="13">
        <v>0.5</v>
      </c>
      <c r="D79" s="13">
        <v>0.5</v>
      </c>
      <c r="E79" s="13">
        <v>0.5</v>
      </c>
      <c r="F79" s="13">
        <v>0.5</v>
      </c>
      <c r="G79" s="13" t="s">
        <v>677</v>
      </c>
      <c r="H79" s="13">
        <v>0.5</v>
      </c>
      <c r="I79" s="13" t="s">
        <v>1201</v>
      </c>
      <c r="J79" s="13" t="s">
        <v>3072</v>
      </c>
    </row>
    <row r="80" spans="1:10">
      <c r="A80" s="13"/>
      <c r="B80" s="13"/>
      <c r="C80" s="13"/>
      <c r="D80" s="13"/>
      <c r="E80" s="13"/>
      <c r="F80" s="13"/>
      <c r="G80" s="13"/>
      <c r="H80" s="13"/>
      <c r="I80" s="13"/>
      <c r="J80" s="13"/>
    </row>
    <row r="81" spans="1:10">
      <c r="A81" s="842" t="s">
        <v>1085</v>
      </c>
      <c r="B81" s="839"/>
      <c r="C81" s="839"/>
      <c r="D81" s="85"/>
      <c r="E81" s="85"/>
      <c r="F81" s="85"/>
      <c r="G81" s="85"/>
      <c r="H81" s="85"/>
      <c r="I81" s="85"/>
      <c r="J81" s="85"/>
    </row>
    <row r="82" spans="1:10" ht="55.2">
      <c r="A82" s="50" t="s">
        <v>905</v>
      </c>
      <c r="B82" s="50" t="s">
        <v>824</v>
      </c>
      <c r="C82" s="50"/>
      <c r="D82" s="50"/>
      <c r="E82" s="50"/>
      <c r="F82" s="50"/>
      <c r="G82" s="50"/>
      <c r="H82" s="50"/>
      <c r="I82" s="50"/>
      <c r="J82" s="50"/>
    </row>
    <row r="83" spans="1:10" ht="220.8">
      <c r="A83" s="13" t="s">
        <v>1086</v>
      </c>
      <c r="B83" s="13" t="s">
        <v>3073</v>
      </c>
      <c r="C83" s="13"/>
      <c r="D83" s="13"/>
      <c r="E83" s="13"/>
      <c r="F83" s="13"/>
      <c r="G83" s="13"/>
      <c r="H83" s="13"/>
      <c r="I83" s="13"/>
      <c r="J83" s="13"/>
    </row>
    <row r="84" spans="1:10" ht="96.6">
      <c r="A84" s="13" t="s">
        <v>2194</v>
      </c>
      <c r="B84" s="13" t="s">
        <v>3074</v>
      </c>
      <c r="C84" s="13"/>
      <c r="D84" s="13"/>
      <c r="E84" s="13"/>
      <c r="F84" s="13"/>
      <c r="G84" s="13"/>
      <c r="H84" s="13"/>
      <c r="I84" s="13"/>
      <c r="J84" s="13"/>
    </row>
    <row r="85" spans="1:10" ht="331.2">
      <c r="A85" s="13" t="s">
        <v>1088</v>
      </c>
      <c r="B85" s="13" t="s">
        <v>3075</v>
      </c>
      <c r="C85" s="13"/>
      <c r="D85" s="13"/>
      <c r="E85" s="13"/>
      <c r="F85" s="13"/>
      <c r="G85" s="13"/>
      <c r="H85" s="13"/>
      <c r="I85" s="13"/>
      <c r="J85" s="13"/>
    </row>
    <row r="86" spans="1:10" ht="179.4">
      <c r="A86" s="13" t="s">
        <v>3076</v>
      </c>
      <c r="B86" s="13" t="s">
        <v>3077</v>
      </c>
      <c r="C86" s="13"/>
      <c r="D86" s="13"/>
      <c r="E86" s="13"/>
      <c r="F86" s="13"/>
      <c r="G86" s="13"/>
      <c r="H86" s="13"/>
      <c r="I86" s="13"/>
      <c r="J86" s="13"/>
    </row>
    <row r="87" spans="1:10" ht="138">
      <c r="A87" s="13" t="s">
        <v>1090</v>
      </c>
      <c r="B87" s="13" t="s">
        <v>3078</v>
      </c>
      <c r="C87" s="13"/>
      <c r="D87" s="13"/>
      <c r="E87" s="13"/>
      <c r="F87" s="13"/>
      <c r="G87" s="13"/>
      <c r="H87" s="13"/>
      <c r="I87" s="13"/>
      <c r="J87" s="13"/>
    </row>
    <row r="88" spans="1:10" ht="193.2">
      <c r="A88" s="13" t="s">
        <v>1563</v>
      </c>
      <c r="B88" s="13" t="s">
        <v>2874</v>
      </c>
      <c r="C88" s="13"/>
      <c r="D88" s="13"/>
      <c r="E88" s="13"/>
      <c r="F88" s="13"/>
      <c r="G88" s="13"/>
      <c r="H88" s="13"/>
      <c r="I88" s="13"/>
      <c r="J88" s="13"/>
    </row>
    <row r="89" spans="1:10" ht="138">
      <c r="A89" s="13" t="s">
        <v>1092</v>
      </c>
      <c r="B89" s="13" t="s">
        <v>3079</v>
      </c>
      <c r="C89" s="13"/>
      <c r="D89" s="13"/>
      <c r="E89" s="13"/>
      <c r="F89" s="13"/>
      <c r="G89" s="13"/>
      <c r="H89" s="13"/>
      <c r="I89" s="13"/>
      <c r="J89" s="13"/>
    </row>
    <row r="91" spans="1:10" ht="15" thickBot="1"/>
    <row r="92" spans="1:10">
      <c r="A92" s="855" t="s">
        <v>5875</v>
      </c>
      <c r="B92" s="856"/>
      <c r="C92" s="856"/>
      <c r="D92" s="857"/>
      <c r="E92" s="856"/>
      <c r="F92" s="856"/>
      <c r="G92" s="857"/>
      <c r="H92" s="857"/>
      <c r="I92" s="857"/>
      <c r="J92" s="858"/>
    </row>
    <row r="93" spans="1:10">
      <c r="A93" s="325" t="s">
        <v>5817</v>
      </c>
      <c r="B93" s="326" t="s">
        <v>77</v>
      </c>
      <c r="C93" s="326" t="s">
        <v>5818</v>
      </c>
      <c r="D93" s="326" t="s">
        <v>5819</v>
      </c>
      <c r="E93" s="326" t="s">
        <v>5841</v>
      </c>
      <c r="F93" s="326" t="s">
        <v>5808</v>
      </c>
      <c r="G93" s="859" t="s">
        <v>5842</v>
      </c>
      <c r="H93" s="859"/>
      <c r="I93" s="859"/>
      <c r="J93" s="860"/>
    </row>
    <row r="94" spans="1:10" ht="26.4">
      <c r="A94" s="327" t="s">
        <v>5820</v>
      </c>
      <c r="B94" s="337" t="s">
        <v>484</v>
      </c>
      <c r="C94" s="329">
        <v>0</v>
      </c>
      <c r="D94" s="329">
        <v>0</v>
      </c>
      <c r="E94" s="196" t="s">
        <v>5881</v>
      </c>
      <c r="F94" s="329">
        <f>IF(AND(C94&lt;&gt;"",D94&lt;&gt;""),D94-C94,"")</f>
        <v>0</v>
      </c>
      <c r="G94" s="861"/>
      <c r="H94" s="861"/>
      <c r="I94" s="861"/>
      <c r="J94" s="862"/>
    </row>
    <row r="95" spans="1:10" ht="26.4">
      <c r="A95" s="330" t="s">
        <v>5821</v>
      </c>
      <c r="B95" s="337" t="s">
        <v>484</v>
      </c>
      <c r="C95" s="331">
        <v>1</v>
      </c>
      <c r="D95" s="331">
        <v>0</v>
      </c>
      <c r="E95" s="314" t="s">
        <v>5882</v>
      </c>
      <c r="F95" s="331">
        <f>IF(AND(C95&lt;&gt;"",D95&lt;&gt;""),D95-C95,"")</f>
        <v>-1</v>
      </c>
      <c r="G95" s="863"/>
      <c r="H95" s="863"/>
      <c r="I95" s="863"/>
      <c r="J95" s="864"/>
    </row>
    <row r="96" spans="1:10">
      <c r="A96" s="327" t="s">
        <v>5822</v>
      </c>
      <c r="B96" s="337" t="s">
        <v>484</v>
      </c>
      <c r="C96" s="331">
        <v>1</v>
      </c>
      <c r="D96" s="331">
        <v>0</v>
      </c>
      <c r="E96" s="314" t="s">
        <v>5882</v>
      </c>
      <c r="F96" s="329">
        <f>IF(AND(C96&lt;&gt;"",D96&lt;&gt;""),D96-C96,"")</f>
        <v>-1</v>
      </c>
      <c r="G96" s="332"/>
      <c r="H96" s="231"/>
      <c r="I96" s="231"/>
      <c r="J96" s="333"/>
    </row>
    <row r="97" spans="1:10">
      <c r="A97" s="330" t="s">
        <v>5823</v>
      </c>
      <c r="B97" s="337" t="s">
        <v>484</v>
      </c>
      <c r="C97" s="331">
        <v>1</v>
      </c>
      <c r="D97" s="331">
        <v>0</v>
      </c>
      <c r="E97" s="314" t="s">
        <v>5882</v>
      </c>
      <c r="F97" s="331">
        <f>IF(AND(C97&lt;&gt;"",D97&lt;&gt;""),D97-C97,"")</f>
        <v>-1</v>
      </c>
      <c r="G97" s="863"/>
      <c r="H97" s="863"/>
      <c r="I97" s="863"/>
      <c r="J97" s="864"/>
    </row>
    <row r="98" spans="1:10">
      <c r="A98" s="327" t="s">
        <v>5168</v>
      </c>
      <c r="B98" s="337" t="s">
        <v>484</v>
      </c>
      <c r="C98" s="331">
        <v>1</v>
      </c>
      <c r="D98" s="331">
        <v>0</v>
      </c>
      <c r="E98" s="314" t="s">
        <v>5882</v>
      </c>
      <c r="F98" s="329">
        <f>IF(AND(C98&lt;&gt;"",D98&lt;&gt;""),D98-C98,"")</f>
        <v>-1</v>
      </c>
      <c r="G98" s="332"/>
      <c r="H98" s="231"/>
      <c r="I98" s="231"/>
      <c r="J98" s="333"/>
    </row>
    <row r="99" spans="1:10" ht="15.6">
      <c r="A99" s="865" t="s">
        <v>5843</v>
      </c>
      <c r="B99" s="713"/>
      <c r="C99" s="334">
        <f>IFERROR(AVERAGE(C94:C98),"")</f>
        <v>0.8</v>
      </c>
      <c r="D99" s="334">
        <f>IFERROR(AVERAGE(D94:D98),"")</f>
        <v>0</v>
      </c>
      <c r="E99" s="866" t="s">
        <v>5844</v>
      </c>
      <c r="F99" s="866"/>
      <c r="G99" s="866"/>
      <c r="H99" s="866"/>
      <c r="I99" s="866"/>
      <c r="J99" s="867"/>
    </row>
    <row r="100" spans="1:10">
      <c r="A100" s="335"/>
      <c r="B100" s="320"/>
      <c r="C100" s="320"/>
      <c r="D100" s="320"/>
      <c r="E100" s="320"/>
      <c r="F100" s="320"/>
      <c r="G100" s="320"/>
      <c r="H100" s="231"/>
      <c r="I100" s="231"/>
      <c r="J100" s="333"/>
    </row>
    <row r="101" spans="1:10">
      <c r="A101" s="876" t="s">
        <v>5876</v>
      </c>
      <c r="B101" s="853"/>
      <c r="C101" s="853"/>
      <c r="D101" s="842"/>
      <c r="E101" s="853"/>
      <c r="F101" s="853"/>
      <c r="G101" s="842"/>
      <c r="H101" s="842"/>
      <c r="I101" s="842"/>
      <c r="J101" s="868"/>
    </row>
    <row r="102" spans="1:10">
      <c r="A102" s="325" t="s">
        <v>4946</v>
      </c>
      <c r="B102" s="326" t="s">
        <v>77</v>
      </c>
      <c r="C102" s="326" t="s">
        <v>5883</v>
      </c>
      <c r="D102" s="326" t="s">
        <v>482</v>
      </c>
      <c r="E102" s="326" t="s">
        <v>572</v>
      </c>
      <c r="F102" s="326" t="s">
        <v>5846</v>
      </c>
      <c r="G102" s="859" t="s">
        <v>5847</v>
      </c>
      <c r="H102" s="859"/>
      <c r="I102" s="859"/>
      <c r="J102" s="860"/>
    </row>
    <row r="103" spans="1:10" ht="26.4">
      <c r="A103" s="330" t="s">
        <v>5809</v>
      </c>
      <c r="B103" s="337" t="s">
        <v>484</v>
      </c>
      <c r="C103" s="336" t="s">
        <v>679</v>
      </c>
      <c r="D103" s="328" t="s">
        <v>679</v>
      </c>
      <c r="E103" s="336">
        <f>IF(D103="Yes",1,0)</f>
        <v>0</v>
      </c>
      <c r="F103" s="877"/>
      <c r="G103" s="877"/>
      <c r="H103" s="877"/>
      <c r="I103" s="877"/>
      <c r="J103" s="878"/>
    </row>
    <row r="104" spans="1:10">
      <c r="A104" s="327" t="s">
        <v>995</v>
      </c>
      <c r="B104" s="337" t="s">
        <v>484</v>
      </c>
      <c r="C104" s="336" t="s">
        <v>679</v>
      </c>
      <c r="D104" s="328" t="s">
        <v>679</v>
      </c>
      <c r="E104" s="328">
        <f t="shared" ref="E104:E110" si="0">IF(D104="Yes",1,0)</f>
        <v>0</v>
      </c>
      <c r="F104" s="877"/>
      <c r="G104" s="877"/>
      <c r="H104" s="877"/>
      <c r="I104" s="877"/>
      <c r="J104" s="878"/>
    </row>
    <row r="105" spans="1:10">
      <c r="A105" s="330" t="s">
        <v>5810</v>
      </c>
      <c r="B105" s="337" t="s">
        <v>484</v>
      </c>
      <c r="C105" s="336" t="s">
        <v>679</v>
      </c>
      <c r="D105" s="328" t="s">
        <v>679</v>
      </c>
      <c r="E105" s="336">
        <f t="shared" si="0"/>
        <v>0</v>
      </c>
      <c r="F105" s="877"/>
      <c r="G105" s="877"/>
      <c r="H105" s="877"/>
      <c r="I105" s="877"/>
      <c r="J105" s="878"/>
    </row>
    <row r="106" spans="1:10">
      <c r="A106" s="327" t="s">
        <v>5824</v>
      </c>
      <c r="B106" s="337" t="s">
        <v>484</v>
      </c>
      <c r="C106" s="336" t="s">
        <v>679</v>
      </c>
      <c r="D106" s="328" t="s">
        <v>679</v>
      </c>
      <c r="E106" s="328">
        <f t="shared" si="0"/>
        <v>0</v>
      </c>
      <c r="F106" s="877"/>
      <c r="G106" s="877"/>
      <c r="H106" s="877"/>
      <c r="I106" s="877"/>
      <c r="J106" s="878"/>
    </row>
    <row r="107" spans="1:10" ht="39.6">
      <c r="A107" s="330" t="s">
        <v>5825</v>
      </c>
      <c r="B107" s="337" t="s">
        <v>484</v>
      </c>
      <c r="C107" s="336" t="s">
        <v>679</v>
      </c>
      <c r="D107" s="328" t="s">
        <v>679</v>
      </c>
      <c r="E107" s="336">
        <f t="shared" si="0"/>
        <v>0</v>
      </c>
      <c r="F107" s="877"/>
      <c r="G107" s="877"/>
      <c r="H107" s="877"/>
      <c r="I107" s="877"/>
      <c r="J107" s="878"/>
    </row>
    <row r="108" spans="1:10" ht="26.4">
      <c r="A108" s="327" t="s">
        <v>5826</v>
      </c>
      <c r="B108" s="337" t="s">
        <v>484</v>
      </c>
      <c r="C108" s="336" t="s">
        <v>679</v>
      </c>
      <c r="D108" s="328" t="s">
        <v>679</v>
      </c>
      <c r="E108" s="328">
        <f t="shared" si="0"/>
        <v>0</v>
      </c>
      <c r="F108" s="877"/>
      <c r="G108" s="877"/>
      <c r="H108" s="877"/>
      <c r="I108" s="877"/>
      <c r="J108" s="878"/>
    </row>
    <row r="109" spans="1:10">
      <c r="A109" s="330" t="s">
        <v>5811</v>
      </c>
      <c r="B109" s="337" t="s">
        <v>484</v>
      </c>
      <c r="C109" s="336" t="s">
        <v>679</v>
      </c>
      <c r="D109" s="328" t="s">
        <v>679</v>
      </c>
      <c r="E109" s="336">
        <f t="shared" si="0"/>
        <v>0</v>
      </c>
      <c r="F109" s="877"/>
      <c r="G109" s="877"/>
      <c r="H109" s="877"/>
      <c r="I109" s="877"/>
      <c r="J109" s="878"/>
    </row>
    <row r="110" spans="1:10" ht="26.4">
      <c r="A110" s="327" t="s">
        <v>5812</v>
      </c>
      <c r="B110" s="337" t="s">
        <v>484</v>
      </c>
      <c r="C110" s="336" t="s">
        <v>679</v>
      </c>
      <c r="D110" s="328" t="s">
        <v>679</v>
      </c>
      <c r="E110" s="328">
        <f t="shared" si="0"/>
        <v>0</v>
      </c>
      <c r="F110" s="877"/>
      <c r="G110" s="877"/>
      <c r="H110" s="877"/>
      <c r="I110" s="877"/>
      <c r="J110" s="878"/>
    </row>
    <row r="111" spans="1:10" ht="15.6">
      <c r="A111" s="865" t="s">
        <v>5848</v>
      </c>
      <c r="B111" s="713"/>
      <c r="C111" s="871" t="str">
        <f>IFERROR(SUM(E103:E110)/COUNTIF(C103:C110,"Yes"),"")</f>
        <v/>
      </c>
      <c r="D111" s="872"/>
      <c r="E111" s="866" t="s">
        <v>5849</v>
      </c>
      <c r="F111" s="866"/>
      <c r="G111" s="866"/>
      <c r="H111" s="866"/>
      <c r="I111" s="866"/>
      <c r="J111" s="867"/>
    </row>
    <row r="112" spans="1:10">
      <c r="A112" s="335"/>
      <c r="B112" s="320"/>
      <c r="C112" s="320"/>
      <c r="D112" s="320"/>
      <c r="E112" s="320"/>
      <c r="F112" s="320"/>
      <c r="G112" s="320"/>
      <c r="H112" s="231"/>
      <c r="I112" s="231"/>
      <c r="J112" s="333"/>
    </row>
    <row r="113" spans="1:10">
      <c r="A113" s="876" t="s">
        <v>5877</v>
      </c>
      <c r="B113" s="853"/>
      <c r="C113" s="853"/>
      <c r="D113" s="842"/>
      <c r="E113" s="853"/>
      <c r="F113" s="853"/>
      <c r="G113" s="842"/>
      <c r="H113" s="842"/>
      <c r="I113" s="842"/>
      <c r="J113" s="868"/>
    </row>
    <row r="114" spans="1:10">
      <c r="A114" s="325" t="s">
        <v>5850</v>
      </c>
      <c r="B114" s="326" t="s">
        <v>77</v>
      </c>
      <c r="C114" s="326" t="s">
        <v>5827</v>
      </c>
      <c r="D114" s="326" t="s">
        <v>5828</v>
      </c>
      <c r="E114" s="326" t="s">
        <v>5829</v>
      </c>
      <c r="F114" s="326" t="s">
        <v>5851</v>
      </c>
      <c r="G114" s="859" t="s">
        <v>5852</v>
      </c>
      <c r="H114" s="859"/>
      <c r="I114" s="859"/>
      <c r="J114" s="860"/>
    </row>
    <row r="115" spans="1:10" ht="26.4">
      <c r="A115" s="330" t="s">
        <v>5830</v>
      </c>
      <c r="B115" s="336" t="s">
        <v>484</v>
      </c>
      <c r="C115" s="336" t="s">
        <v>1096</v>
      </c>
      <c r="D115" s="336" t="s">
        <v>1096</v>
      </c>
      <c r="E115" s="336" t="s">
        <v>1096</v>
      </c>
      <c r="F115" s="336" t="s">
        <v>348</v>
      </c>
      <c r="G115" s="869"/>
      <c r="H115" s="869"/>
      <c r="I115" s="869"/>
      <c r="J115" s="870"/>
    </row>
    <row r="116" spans="1:10">
      <c r="A116" s="327" t="s">
        <v>5831</v>
      </c>
      <c r="B116" s="336" t="s">
        <v>484</v>
      </c>
      <c r="C116" s="336" t="s">
        <v>1096</v>
      </c>
      <c r="D116" s="336" t="s">
        <v>1096</v>
      </c>
      <c r="E116" s="336" t="s">
        <v>1096</v>
      </c>
      <c r="F116" s="336" t="s">
        <v>348</v>
      </c>
      <c r="G116" s="869"/>
      <c r="H116" s="869"/>
      <c r="I116" s="869"/>
      <c r="J116" s="870"/>
    </row>
    <row r="117" spans="1:10">
      <c r="A117" s="330" t="s">
        <v>5853</v>
      </c>
      <c r="B117" s="336" t="s">
        <v>484</v>
      </c>
      <c r="C117" s="336" t="s">
        <v>1096</v>
      </c>
      <c r="D117" s="336" t="s">
        <v>1096</v>
      </c>
      <c r="E117" s="336" t="s">
        <v>1096</v>
      </c>
      <c r="F117" s="336" t="s">
        <v>348</v>
      </c>
      <c r="G117" s="869"/>
      <c r="H117" s="869"/>
      <c r="I117" s="869"/>
      <c r="J117" s="870"/>
    </row>
    <row r="118" spans="1:10">
      <c r="A118" s="327" t="s">
        <v>5832</v>
      </c>
      <c r="B118" s="336" t="s">
        <v>484</v>
      </c>
      <c r="C118" s="336" t="s">
        <v>1096</v>
      </c>
      <c r="D118" s="336" t="s">
        <v>1096</v>
      </c>
      <c r="E118" s="336" t="s">
        <v>1096</v>
      </c>
      <c r="F118" s="336" t="s">
        <v>348</v>
      </c>
      <c r="G118" s="869"/>
      <c r="H118" s="869"/>
      <c r="I118" s="869"/>
      <c r="J118" s="870"/>
    </row>
    <row r="119" spans="1:10" ht="26.4">
      <c r="A119" s="330" t="s">
        <v>5833</v>
      </c>
      <c r="B119" s="336" t="s">
        <v>484</v>
      </c>
      <c r="C119" s="336" t="s">
        <v>1096</v>
      </c>
      <c r="D119" s="336" t="s">
        <v>1096</v>
      </c>
      <c r="E119" s="336" t="s">
        <v>1096</v>
      </c>
      <c r="F119" s="336" t="s">
        <v>348</v>
      </c>
      <c r="G119" s="869"/>
      <c r="H119" s="869"/>
      <c r="I119" s="869"/>
      <c r="J119" s="870"/>
    </row>
    <row r="120" spans="1:10" ht="15.6">
      <c r="A120" s="865" t="s">
        <v>5884</v>
      </c>
      <c r="B120" s="713"/>
      <c r="C120" s="871">
        <f>IFERROR(COUNTIF(E115:E119,"Yes")/COUNTA(A115:A119),"")</f>
        <v>0</v>
      </c>
      <c r="D120" s="872"/>
      <c r="E120" s="866" t="s">
        <v>5855</v>
      </c>
      <c r="F120" s="866"/>
      <c r="G120" s="866"/>
      <c r="H120" s="866"/>
      <c r="I120" s="866"/>
      <c r="J120" s="867"/>
    </row>
    <row r="121" spans="1:10">
      <c r="A121" s="335"/>
      <c r="B121" s="320"/>
      <c r="C121" s="320"/>
      <c r="D121" s="320"/>
      <c r="E121" s="320"/>
      <c r="F121" s="320"/>
      <c r="G121" s="874"/>
      <c r="H121" s="874"/>
      <c r="I121" s="874"/>
      <c r="J121" s="875"/>
    </row>
    <row r="122" spans="1:10">
      <c r="A122" s="876" t="s">
        <v>5878</v>
      </c>
      <c r="B122" s="853"/>
      <c r="C122" s="853"/>
      <c r="D122" s="842"/>
      <c r="E122" s="853"/>
      <c r="F122" s="853"/>
      <c r="G122" s="842"/>
      <c r="H122" s="842"/>
      <c r="I122" s="842"/>
      <c r="J122" s="868"/>
    </row>
    <row r="123" spans="1:10">
      <c r="A123" s="326" t="s">
        <v>5813</v>
      </c>
      <c r="B123" s="326" t="s">
        <v>77</v>
      </c>
      <c r="C123" s="326" t="s">
        <v>5834</v>
      </c>
      <c r="D123" s="326" t="s">
        <v>5835</v>
      </c>
      <c r="E123" s="326" t="s">
        <v>5836</v>
      </c>
      <c r="F123" s="326" t="s">
        <v>5837</v>
      </c>
      <c r="G123" s="859" t="s">
        <v>5885</v>
      </c>
      <c r="H123" s="859"/>
      <c r="I123" s="859"/>
      <c r="J123" s="859"/>
    </row>
    <row r="124" spans="1:10">
      <c r="A124" s="332" t="s">
        <v>153</v>
      </c>
      <c r="B124" s="328" t="s">
        <v>484</v>
      </c>
      <c r="C124" s="328"/>
      <c r="D124" s="328"/>
      <c r="E124" s="328"/>
      <c r="F124" s="329" t="str">
        <f>IFERROR(D124/C124,"")</f>
        <v/>
      </c>
      <c r="G124" s="873"/>
      <c r="H124" s="873"/>
      <c r="I124" s="873"/>
      <c r="J124" s="873"/>
    </row>
    <row r="125" spans="1:10">
      <c r="A125" s="339" t="s">
        <v>155</v>
      </c>
      <c r="B125" s="336" t="s">
        <v>484</v>
      </c>
      <c r="C125" s="336"/>
      <c r="D125" s="336"/>
      <c r="E125" s="336"/>
      <c r="F125" s="331" t="str">
        <f>IFERROR(D125/C125,"")</f>
        <v/>
      </c>
      <c r="G125" s="873"/>
      <c r="H125" s="873"/>
      <c r="I125" s="873"/>
      <c r="J125" s="873"/>
    </row>
    <row r="126" spans="1:10">
      <c r="A126" s="332" t="s">
        <v>4821</v>
      </c>
      <c r="B126" s="328" t="s">
        <v>484</v>
      </c>
      <c r="C126" s="328"/>
      <c r="D126" s="328"/>
      <c r="E126" s="328"/>
      <c r="F126" s="329" t="str">
        <f>IFERROR(D126/C126,"")</f>
        <v/>
      </c>
      <c r="G126" s="873"/>
      <c r="H126" s="873"/>
      <c r="I126" s="873"/>
      <c r="J126" s="873"/>
    </row>
    <row r="127" spans="1:10">
      <c r="A127" s="339" t="s">
        <v>957</v>
      </c>
      <c r="B127" s="336" t="s">
        <v>484</v>
      </c>
      <c r="C127" s="336"/>
      <c r="D127" s="336"/>
      <c r="E127" s="336"/>
      <c r="F127" s="331" t="str">
        <f>IFERROR(D127/C127,"")</f>
        <v/>
      </c>
      <c r="G127" s="873"/>
      <c r="H127" s="873"/>
      <c r="I127" s="873"/>
      <c r="J127" s="873"/>
    </row>
    <row r="128" spans="1:10">
      <c r="A128" s="879" t="s">
        <v>5856</v>
      </c>
      <c r="B128" s="879"/>
      <c r="C128" s="879"/>
      <c r="D128" s="879"/>
      <c r="E128" s="866" t="s">
        <v>5857</v>
      </c>
      <c r="F128" s="866"/>
      <c r="G128" s="866"/>
      <c r="H128" s="866"/>
      <c r="I128" s="866"/>
      <c r="J128" s="866"/>
    </row>
    <row r="129" spans="1:10">
      <c r="A129" s="879"/>
      <c r="B129" s="879"/>
      <c r="C129" s="879"/>
      <c r="D129" s="879"/>
      <c r="E129" s="866"/>
      <c r="F129" s="866"/>
      <c r="G129" s="866"/>
      <c r="H129" s="866"/>
      <c r="I129" s="866"/>
      <c r="J129" s="866"/>
    </row>
    <row r="130" spans="1:10">
      <c r="A130" s="842" t="s">
        <v>5879</v>
      </c>
      <c r="B130" s="842"/>
      <c r="C130" s="842"/>
      <c r="D130" s="842"/>
      <c r="E130" s="842"/>
      <c r="F130" s="842"/>
      <c r="G130" s="842"/>
      <c r="H130" s="842"/>
      <c r="I130" s="842"/>
      <c r="J130" s="842"/>
    </row>
    <row r="131" spans="1:10">
      <c r="A131" s="326" t="s">
        <v>4946</v>
      </c>
      <c r="B131" s="326" t="s">
        <v>77</v>
      </c>
      <c r="C131" s="326" t="s">
        <v>5845</v>
      </c>
      <c r="D131" s="326" t="s">
        <v>482</v>
      </c>
      <c r="E131" s="326" t="s">
        <v>572</v>
      </c>
      <c r="F131" s="326" t="s">
        <v>944</v>
      </c>
      <c r="G131" s="859" t="s">
        <v>5847</v>
      </c>
      <c r="H131" s="859"/>
      <c r="I131" s="859"/>
      <c r="J131" s="859"/>
    </row>
    <row r="132" spans="1:10" ht="26.4">
      <c r="A132" s="332" t="s">
        <v>5814</v>
      </c>
      <c r="B132" s="328" t="s">
        <v>484</v>
      </c>
      <c r="C132" s="328" t="s">
        <v>392</v>
      </c>
      <c r="D132" s="328" t="s">
        <v>1096</v>
      </c>
      <c r="E132" s="328">
        <f t="shared" ref="E132:E137" si="1">IF(D132="Yes",1,0)</f>
        <v>0</v>
      </c>
      <c r="F132" s="328"/>
      <c r="G132" s="873"/>
      <c r="H132" s="873"/>
      <c r="I132" s="873"/>
      <c r="J132" s="873"/>
    </row>
    <row r="133" spans="1:10">
      <c r="A133" s="339" t="s">
        <v>5815</v>
      </c>
      <c r="B133" s="328" t="s">
        <v>484</v>
      </c>
      <c r="C133" s="336" t="s">
        <v>392</v>
      </c>
      <c r="D133" s="328" t="s">
        <v>1096</v>
      </c>
      <c r="E133" s="336">
        <f t="shared" si="1"/>
        <v>0</v>
      </c>
      <c r="F133" s="336"/>
      <c r="G133" s="873"/>
      <c r="H133" s="873"/>
      <c r="I133" s="873"/>
      <c r="J133" s="873"/>
    </row>
    <row r="134" spans="1:10" ht="26.4">
      <c r="A134" s="332" t="s">
        <v>5816</v>
      </c>
      <c r="B134" s="328" t="s">
        <v>484</v>
      </c>
      <c r="C134" s="328" t="s">
        <v>392</v>
      </c>
      <c r="D134" s="328" t="s">
        <v>1096</v>
      </c>
      <c r="E134" s="328">
        <f t="shared" si="1"/>
        <v>0</v>
      </c>
      <c r="F134" s="328"/>
      <c r="G134" s="873"/>
      <c r="H134" s="873"/>
      <c r="I134" s="873"/>
      <c r="J134" s="873"/>
    </row>
    <row r="135" spans="1:10">
      <c r="A135" s="339" t="s">
        <v>5838</v>
      </c>
      <c r="B135" s="328" t="s">
        <v>484</v>
      </c>
      <c r="C135" s="336" t="s">
        <v>392</v>
      </c>
      <c r="D135" s="328" t="s">
        <v>1096</v>
      </c>
      <c r="E135" s="336">
        <f t="shared" si="1"/>
        <v>0</v>
      </c>
      <c r="F135" s="336"/>
      <c r="G135" s="873"/>
      <c r="H135" s="873"/>
      <c r="I135" s="873"/>
      <c r="J135" s="873"/>
    </row>
    <row r="136" spans="1:10" ht="26.4">
      <c r="A136" s="332" t="s">
        <v>5839</v>
      </c>
      <c r="B136" s="328" t="s">
        <v>484</v>
      </c>
      <c r="C136" s="328" t="s">
        <v>392</v>
      </c>
      <c r="D136" s="328" t="s">
        <v>1096</v>
      </c>
      <c r="E136" s="328">
        <f t="shared" si="1"/>
        <v>0</v>
      </c>
      <c r="F136" s="328"/>
      <c r="G136" s="873"/>
      <c r="H136" s="873"/>
      <c r="I136" s="873"/>
      <c r="J136" s="873"/>
    </row>
    <row r="137" spans="1:10" ht="26.4">
      <c r="A137" s="339" t="s">
        <v>5840</v>
      </c>
      <c r="B137" s="328" t="s">
        <v>484</v>
      </c>
      <c r="C137" s="336" t="s">
        <v>392</v>
      </c>
      <c r="D137" s="336" t="s">
        <v>1096</v>
      </c>
      <c r="E137" s="336">
        <f t="shared" si="1"/>
        <v>0</v>
      </c>
      <c r="F137" s="336"/>
      <c r="G137" s="873"/>
      <c r="H137" s="873"/>
      <c r="I137" s="873"/>
      <c r="J137" s="873"/>
    </row>
    <row r="138" spans="1:10" ht="15.6">
      <c r="A138" s="880" t="s">
        <v>5858</v>
      </c>
      <c r="B138" s="713"/>
      <c r="C138" s="871">
        <f>IFERROR(SUM(E132:E137)/COUNTIF(C132:C137,"Yes"),"")</f>
        <v>0</v>
      </c>
      <c r="D138" s="872"/>
      <c r="E138" s="866" t="s">
        <v>5859</v>
      </c>
      <c r="F138" s="866"/>
      <c r="G138" s="866"/>
      <c r="H138" s="866"/>
      <c r="I138" s="866"/>
      <c r="J138" s="866"/>
    </row>
    <row r="139" spans="1:10">
      <c r="A139" s="196"/>
      <c r="B139" s="196"/>
      <c r="C139" s="196"/>
      <c r="D139" s="196"/>
      <c r="E139" s="196"/>
      <c r="F139" s="196"/>
      <c r="G139" s="196"/>
      <c r="H139" s="196"/>
      <c r="I139" s="196"/>
      <c r="J139" s="196"/>
    </row>
    <row r="140" spans="1:10">
      <c r="A140" s="842" t="s">
        <v>5880</v>
      </c>
      <c r="B140" s="853"/>
      <c r="C140" s="853"/>
      <c r="D140" s="321"/>
      <c r="E140" s="321"/>
      <c r="F140" s="321"/>
      <c r="G140" s="321"/>
      <c r="H140" s="321"/>
      <c r="I140" s="321"/>
      <c r="J140" s="321"/>
    </row>
    <row r="141" spans="1:10" ht="55.2">
      <c r="A141" s="322" t="s">
        <v>905</v>
      </c>
      <c r="B141" s="322" t="s">
        <v>830</v>
      </c>
      <c r="C141" s="322"/>
      <c r="D141" s="322"/>
      <c r="E141" s="322"/>
      <c r="F141" s="322"/>
      <c r="G141" s="322"/>
      <c r="H141" s="322"/>
      <c r="I141" s="322"/>
      <c r="J141" s="322"/>
    </row>
    <row r="142" spans="1:10">
      <c r="A142" s="319" t="s">
        <v>1086</v>
      </c>
      <c r="B142" s="852" t="s">
        <v>3292</v>
      </c>
      <c r="C142" s="853"/>
      <c r="D142" s="853"/>
      <c r="E142" s="853"/>
      <c r="F142" s="853"/>
      <c r="G142" s="853"/>
      <c r="H142" s="853"/>
      <c r="I142" s="853"/>
      <c r="J142" s="853"/>
    </row>
    <row r="143" spans="1:10" ht="27.6">
      <c r="A143" s="319" t="s">
        <v>2090</v>
      </c>
      <c r="B143" s="852" t="s">
        <v>3293</v>
      </c>
      <c r="C143" s="853"/>
      <c r="D143" s="853"/>
      <c r="E143" s="853"/>
      <c r="F143" s="853"/>
      <c r="G143" s="853"/>
      <c r="H143" s="853"/>
      <c r="I143" s="853"/>
      <c r="J143" s="853"/>
    </row>
    <row r="144" spans="1:10">
      <c r="A144" s="319" t="s">
        <v>1089</v>
      </c>
      <c r="B144" s="852" t="s">
        <v>3294</v>
      </c>
      <c r="C144" s="853"/>
      <c r="D144" s="853"/>
      <c r="E144" s="853"/>
      <c r="F144" s="853"/>
      <c r="G144" s="853"/>
      <c r="H144" s="853"/>
      <c r="I144" s="853"/>
      <c r="J144" s="853"/>
    </row>
    <row r="145" spans="1:10">
      <c r="A145" s="319" t="s">
        <v>1090</v>
      </c>
      <c r="B145" s="852" t="s">
        <v>3295</v>
      </c>
      <c r="C145" s="853"/>
      <c r="D145" s="853"/>
      <c r="E145" s="853"/>
      <c r="F145" s="853"/>
      <c r="G145" s="853"/>
      <c r="H145" s="853"/>
      <c r="I145" s="853"/>
      <c r="J145" s="853"/>
    </row>
    <row r="146" spans="1:10">
      <c r="A146" s="319" t="s">
        <v>1088</v>
      </c>
      <c r="B146" s="852" t="s">
        <v>3296</v>
      </c>
      <c r="C146" s="853"/>
      <c r="D146" s="853"/>
      <c r="E146" s="853"/>
      <c r="F146" s="853"/>
      <c r="G146" s="853"/>
      <c r="H146" s="853"/>
      <c r="I146" s="853"/>
      <c r="J146" s="853"/>
    </row>
    <row r="147" spans="1:10" ht="27.6">
      <c r="A147" s="319" t="s">
        <v>3297</v>
      </c>
      <c r="B147" s="852" t="s">
        <v>3298</v>
      </c>
      <c r="C147" s="853"/>
      <c r="D147" s="853"/>
      <c r="E147" s="853"/>
      <c r="F147" s="853"/>
      <c r="G147" s="853"/>
      <c r="H147" s="853"/>
      <c r="I147" s="853"/>
      <c r="J147" s="853"/>
    </row>
    <row r="148" spans="1:10">
      <c r="A148" s="319" t="s">
        <v>1563</v>
      </c>
      <c r="B148" s="852" t="s">
        <v>1776</v>
      </c>
      <c r="C148" s="853"/>
      <c r="D148" s="853"/>
      <c r="E148" s="853"/>
      <c r="F148" s="853"/>
      <c r="G148" s="853"/>
      <c r="H148" s="853"/>
      <c r="I148" s="853"/>
      <c r="J148" s="853"/>
    </row>
    <row r="149" spans="1:10">
      <c r="A149" s="231"/>
      <c r="B149" s="231"/>
      <c r="C149" s="231"/>
      <c r="D149" s="231"/>
      <c r="E149" s="231"/>
      <c r="F149" s="231"/>
      <c r="G149" s="231"/>
      <c r="H149" s="231"/>
      <c r="I149" s="231"/>
      <c r="J149" s="231"/>
    </row>
    <row r="150" spans="1:10" ht="17.399999999999999">
      <c r="A150" s="827" t="s">
        <v>5769</v>
      </c>
      <c r="B150" s="827"/>
      <c r="C150" s="827"/>
      <c r="D150" s="827"/>
      <c r="E150" s="827"/>
      <c r="F150" s="827"/>
      <c r="G150" s="827"/>
      <c r="H150" s="827"/>
      <c r="I150" s="231"/>
      <c r="J150" s="231"/>
    </row>
    <row r="151" spans="1:10">
      <c r="A151" s="276" t="s">
        <v>2</v>
      </c>
      <c r="B151" s="828" t="s">
        <v>5770</v>
      </c>
      <c r="C151" s="828"/>
      <c r="D151" s="828"/>
      <c r="E151" s="828"/>
      <c r="F151" s="828"/>
      <c r="G151" s="828"/>
      <c r="H151" s="828"/>
      <c r="I151" s="231"/>
      <c r="J151" s="231"/>
    </row>
    <row r="152" spans="1:10">
      <c r="A152" s="276" t="s">
        <v>5771</v>
      </c>
      <c r="B152" s="828" t="s">
        <v>5772</v>
      </c>
      <c r="C152" s="828"/>
      <c r="D152" s="828"/>
      <c r="E152" s="828"/>
      <c r="F152" s="828"/>
      <c r="G152" s="828"/>
      <c r="H152" s="828"/>
      <c r="I152" s="231"/>
      <c r="J152" s="231"/>
    </row>
    <row r="153" spans="1:10">
      <c r="A153" s="196"/>
      <c r="B153" s="196"/>
      <c r="C153" s="196"/>
      <c r="D153" s="196"/>
      <c r="E153" s="196"/>
      <c r="F153" s="196"/>
      <c r="G153" s="196"/>
      <c r="H153" s="196"/>
      <c r="I153" s="231"/>
      <c r="J153" s="231"/>
    </row>
    <row r="154" spans="1:10">
      <c r="A154" s="323" t="s">
        <v>4946</v>
      </c>
      <c r="B154" s="323" t="s">
        <v>77</v>
      </c>
      <c r="C154" s="323" t="s">
        <v>5773</v>
      </c>
      <c r="D154" s="323" t="s">
        <v>263</v>
      </c>
      <c r="E154" s="323" t="s">
        <v>216</v>
      </c>
      <c r="F154" s="323" t="s">
        <v>5774</v>
      </c>
      <c r="G154" s="323" t="s">
        <v>5775</v>
      </c>
      <c r="H154" s="323" t="s">
        <v>5776</v>
      </c>
      <c r="I154" s="231"/>
      <c r="J154" s="231"/>
    </row>
    <row r="155" spans="1:10" ht="26.4">
      <c r="A155" s="277" t="s">
        <v>5777</v>
      </c>
      <c r="B155" s="278" t="s">
        <v>1096</v>
      </c>
      <c r="C155" s="277"/>
      <c r="D155" s="277"/>
      <c r="E155" s="277"/>
      <c r="F155" s="277"/>
      <c r="G155" s="279" t="str">
        <f t="shared" ref="G155:G162" si="2">IF(OR(B155="Yes",B155="N/A"),"🟢","🟡")</f>
        <v>🟡</v>
      </c>
      <c r="H155" s="277"/>
      <c r="I155" s="231"/>
      <c r="J155" s="231"/>
    </row>
    <row r="156" spans="1:10">
      <c r="A156" s="277" t="s">
        <v>5778</v>
      </c>
      <c r="B156" s="278" t="s">
        <v>1096</v>
      </c>
      <c r="C156" s="277"/>
      <c r="D156" s="277"/>
      <c r="E156" s="277"/>
      <c r="F156" s="277"/>
      <c r="G156" s="279" t="str">
        <f t="shared" si="2"/>
        <v>🟡</v>
      </c>
      <c r="H156" s="277"/>
      <c r="I156" s="231"/>
      <c r="J156" s="231"/>
    </row>
    <row r="157" spans="1:10">
      <c r="A157" s="277" t="s">
        <v>5779</v>
      </c>
      <c r="B157" s="278" t="s">
        <v>1096</v>
      </c>
      <c r="C157" s="277"/>
      <c r="D157" s="277"/>
      <c r="E157" s="277"/>
      <c r="F157" s="277"/>
      <c r="G157" s="279" t="str">
        <f t="shared" si="2"/>
        <v>🟡</v>
      </c>
      <c r="H157" s="277"/>
      <c r="I157" s="231"/>
      <c r="J157" s="231"/>
    </row>
    <row r="158" spans="1:10">
      <c r="A158" s="277" t="s">
        <v>5168</v>
      </c>
      <c r="B158" s="278" t="s">
        <v>1096</v>
      </c>
      <c r="C158" s="277"/>
      <c r="D158" s="277"/>
      <c r="E158" s="277"/>
      <c r="F158" s="277"/>
      <c r="G158" s="279" t="str">
        <f t="shared" si="2"/>
        <v>🟡</v>
      </c>
      <c r="H158" s="277"/>
      <c r="I158" s="231"/>
      <c r="J158" s="231"/>
    </row>
    <row r="159" spans="1:10">
      <c r="A159" s="277" t="s">
        <v>5780</v>
      </c>
      <c r="B159" s="278" t="s">
        <v>1096</v>
      </c>
      <c r="C159" s="277"/>
      <c r="D159" s="277"/>
      <c r="E159" s="277"/>
      <c r="F159" s="277"/>
      <c r="G159" s="279" t="str">
        <f t="shared" si="2"/>
        <v>🟡</v>
      </c>
      <c r="H159" s="277"/>
      <c r="I159" s="231"/>
      <c r="J159" s="231"/>
    </row>
    <row r="160" spans="1:10">
      <c r="A160" s="277" t="s">
        <v>5781</v>
      </c>
      <c r="B160" s="278" t="s">
        <v>1096</v>
      </c>
      <c r="C160" s="277"/>
      <c r="D160" s="277"/>
      <c r="E160" s="277"/>
      <c r="F160" s="277"/>
      <c r="G160" s="279" t="str">
        <f t="shared" si="2"/>
        <v>🟡</v>
      </c>
      <c r="H160" s="277"/>
      <c r="I160" s="231"/>
      <c r="J160" s="231"/>
    </row>
    <row r="161" spans="1:10">
      <c r="A161" s="277" t="s">
        <v>178</v>
      </c>
      <c r="B161" s="278" t="s">
        <v>1096</v>
      </c>
      <c r="C161" s="277"/>
      <c r="D161" s="277"/>
      <c r="E161" s="277"/>
      <c r="F161" s="277"/>
      <c r="G161" s="279" t="str">
        <f t="shared" si="2"/>
        <v>🟡</v>
      </c>
      <c r="H161" s="277"/>
      <c r="I161" s="231"/>
      <c r="J161" s="231"/>
    </row>
    <row r="162" spans="1:10" ht="26.4">
      <c r="A162" s="277" t="s">
        <v>5782</v>
      </c>
      <c r="B162" s="278" t="s">
        <v>1096</v>
      </c>
      <c r="C162" s="277"/>
      <c r="D162" s="277"/>
      <c r="E162" s="277"/>
      <c r="F162" s="277"/>
      <c r="G162" s="279" t="str">
        <f t="shared" si="2"/>
        <v>🟡</v>
      </c>
      <c r="H162" s="277"/>
      <c r="I162" s="231"/>
      <c r="J162" s="231"/>
    </row>
    <row r="163" spans="1:10">
      <c r="A163" s="324" t="s">
        <v>4946</v>
      </c>
      <c r="B163" s="324" t="s">
        <v>5790</v>
      </c>
      <c r="C163" s="196"/>
      <c r="D163" s="196"/>
      <c r="E163" s="324" t="s">
        <v>5791</v>
      </c>
      <c r="F163" s="196"/>
      <c r="G163" s="196"/>
      <c r="H163" s="196"/>
      <c r="I163" s="231"/>
      <c r="J163" s="231"/>
    </row>
    <row r="164" spans="1:10" ht="26.4">
      <c r="A164" s="291" t="s">
        <v>5777</v>
      </c>
      <c r="B164" s="768" t="s">
        <v>5792</v>
      </c>
      <c r="C164" s="768"/>
      <c r="D164" s="768"/>
      <c r="E164" s="768" t="s">
        <v>5793</v>
      </c>
      <c r="F164" s="768"/>
      <c r="G164" s="768"/>
      <c r="H164" s="196"/>
      <c r="I164" s="231"/>
      <c r="J164" s="231"/>
    </row>
    <row r="165" spans="1:10">
      <c r="A165" s="291" t="s">
        <v>5778</v>
      </c>
      <c r="B165" s="768" t="s">
        <v>5794</v>
      </c>
      <c r="C165" s="768"/>
      <c r="D165" s="768"/>
      <c r="E165" s="768" t="s">
        <v>5795</v>
      </c>
      <c r="F165" s="768"/>
      <c r="G165" s="768"/>
      <c r="H165" s="196"/>
      <c r="I165" s="231"/>
      <c r="J165" s="231"/>
    </row>
    <row r="166" spans="1:10">
      <c r="A166" s="291" t="s">
        <v>5779</v>
      </c>
      <c r="B166" s="768" t="s">
        <v>5796</v>
      </c>
      <c r="C166" s="768"/>
      <c r="D166" s="768"/>
      <c r="E166" s="768" t="s">
        <v>5797</v>
      </c>
      <c r="F166" s="768"/>
      <c r="G166" s="768"/>
      <c r="H166" s="196"/>
      <c r="I166" s="231"/>
      <c r="J166" s="231"/>
    </row>
    <row r="167" spans="1:10">
      <c r="A167" s="291" t="s">
        <v>5168</v>
      </c>
      <c r="B167" s="768" t="s">
        <v>5798</v>
      </c>
      <c r="C167" s="768"/>
      <c r="D167" s="768"/>
      <c r="E167" s="768" t="s">
        <v>5799</v>
      </c>
      <c r="F167" s="768"/>
      <c r="G167" s="768"/>
      <c r="H167" s="196"/>
      <c r="I167" s="231"/>
      <c r="J167" s="231"/>
    </row>
    <row r="168" spans="1:10">
      <c r="A168" s="291" t="s">
        <v>5780</v>
      </c>
      <c r="B168" s="768" t="s">
        <v>5800</v>
      </c>
      <c r="C168" s="768"/>
      <c r="D168" s="768"/>
      <c r="E168" s="768" t="s">
        <v>5801</v>
      </c>
      <c r="F168" s="768"/>
      <c r="G168" s="768"/>
      <c r="H168" s="196"/>
      <c r="I168" s="231"/>
      <c r="J168" s="231"/>
    </row>
    <row r="169" spans="1:10">
      <c r="A169" s="291" t="s">
        <v>5781</v>
      </c>
      <c r="B169" s="768" t="s">
        <v>5802</v>
      </c>
      <c r="C169" s="768"/>
      <c r="D169" s="768"/>
      <c r="E169" s="768" t="s">
        <v>5803</v>
      </c>
      <c r="F169" s="768"/>
      <c r="G169" s="768"/>
      <c r="H169" s="196"/>
      <c r="I169" s="231"/>
      <c r="J169" s="231"/>
    </row>
    <row r="170" spans="1:10">
      <c r="A170" s="291" t="s">
        <v>178</v>
      </c>
      <c r="B170" s="768" t="s">
        <v>5804</v>
      </c>
      <c r="C170" s="768"/>
      <c r="D170" s="768"/>
      <c r="E170" s="768" t="s">
        <v>5805</v>
      </c>
      <c r="F170" s="768"/>
      <c r="G170" s="768"/>
      <c r="H170" s="196"/>
      <c r="I170" s="231"/>
      <c r="J170" s="231"/>
    </row>
    <row r="171" spans="1:10" ht="26.4">
      <c r="A171" s="291" t="s">
        <v>5782</v>
      </c>
      <c r="B171" s="768" t="s">
        <v>5806</v>
      </c>
      <c r="C171" s="768"/>
      <c r="D171" s="768"/>
      <c r="E171" s="768" t="s">
        <v>5807</v>
      </c>
      <c r="F171" s="768"/>
      <c r="G171" s="768"/>
      <c r="H171" s="196"/>
      <c r="I171" s="231"/>
      <c r="J171" s="231"/>
    </row>
    <row r="172" spans="1:10">
      <c r="A172" s="276" t="s">
        <v>5783</v>
      </c>
      <c r="B172" s="280" t="str">
        <f>IF(COUNTIF(B155:B162,"No")=0,"🟢 PILOT COMPLETE / ACCEPTANCE READY","🟡 NOT COMPLETE — ACCEPTANCE GATES OPEN")</f>
        <v>🟡 NOT COMPLETE — ACCEPTANCE GATES OPEN</v>
      </c>
      <c r="C172" s="280"/>
      <c r="D172" s="280"/>
      <c r="E172" s="280"/>
      <c r="F172" s="280"/>
      <c r="G172" s="280"/>
      <c r="H172" s="280"/>
    </row>
    <row r="173" spans="1:10">
      <c r="A173" s="276" t="s">
        <v>5784</v>
      </c>
      <c r="B173" s="280">
        <f>COUNTIF(B155:B162,"No")</f>
        <v>8</v>
      </c>
      <c r="C173" s="280"/>
      <c r="D173" s="280"/>
      <c r="E173" s="280"/>
      <c r="F173" s="280"/>
      <c r="G173" s="280"/>
      <c r="H173" s="280"/>
    </row>
    <row r="174" spans="1:10">
      <c r="A174" s="276" t="s">
        <v>5785</v>
      </c>
      <c r="B174" s="280" t="str">
        <f>COUNTIF(B155:B162,"Yes")&amp;" / 8 Complete"</f>
        <v>0 / 8 Complete</v>
      </c>
      <c r="C174" s="280"/>
      <c r="D174" s="280"/>
      <c r="E174" s="280"/>
      <c r="F174" s="280"/>
      <c r="G174" s="280"/>
      <c r="H174" s="280"/>
    </row>
    <row r="175" spans="1:10" ht="93">
      <c r="A175" s="281" t="s">
        <v>5786</v>
      </c>
      <c r="B175" s="282" t="s">
        <v>5787</v>
      </c>
      <c r="C175" s="282"/>
      <c r="D175" s="282"/>
      <c r="E175" s="282"/>
      <c r="F175" s="282"/>
      <c r="G175" s="282"/>
      <c r="H175" s="282"/>
    </row>
    <row r="176" spans="1:10">
      <c r="A176" s="281"/>
      <c r="B176" s="282"/>
      <c r="C176" s="282"/>
      <c r="D176" s="282"/>
      <c r="E176" s="282"/>
      <c r="F176" s="282"/>
      <c r="G176" s="282"/>
      <c r="H176" s="282"/>
    </row>
    <row r="177" spans="1:10" ht="66.599999999999994">
      <c r="A177" s="281" t="s">
        <v>5788</v>
      </c>
      <c r="B177" s="282" t="s">
        <v>5789</v>
      </c>
      <c r="C177" s="282"/>
      <c r="D177" s="282"/>
      <c r="E177" s="282"/>
      <c r="F177" s="282"/>
      <c r="G177" s="282"/>
      <c r="H177" s="282"/>
    </row>
    <row r="178" spans="1:10">
      <c r="A178" s="842" t="s">
        <v>5901</v>
      </c>
      <c r="B178" s="842"/>
      <c r="C178" s="842"/>
      <c r="D178" s="842"/>
      <c r="E178" s="842"/>
      <c r="F178" s="842"/>
      <c r="G178" s="842"/>
      <c r="H178" s="842"/>
      <c r="I178" s="842"/>
      <c r="J178" s="842"/>
    </row>
    <row r="179" spans="1:10">
      <c r="A179" s="340" t="s">
        <v>5886</v>
      </c>
      <c r="B179" s="196"/>
      <c r="C179" s="196"/>
      <c r="D179" s="196"/>
      <c r="E179" s="196"/>
      <c r="F179" s="196"/>
      <c r="G179" s="196"/>
      <c r="H179" s="196"/>
      <c r="I179" s="196"/>
      <c r="J179" s="196"/>
    </row>
    <row r="180" spans="1:10">
      <c r="A180" s="196"/>
      <c r="B180" s="196"/>
      <c r="C180" s="196"/>
      <c r="D180" s="196"/>
      <c r="E180" s="196"/>
      <c r="F180" s="196"/>
      <c r="G180" s="196"/>
      <c r="H180" s="196"/>
      <c r="I180" s="196"/>
      <c r="J180" s="196"/>
    </row>
    <row r="181" spans="1:10">
      <c r="A181" s="196" t="s">
        <v>5887</v>
      </c>
      <c r="B181" s="196"/>
      <c r="C181" s="196"/>
      <c r="D181" s="196"/>
      <c r="E181" s="196"/>
      <c r="F181" s="196"/>
      <c r="G181" s="196"/>
      <c r="H181" s="196"/>
      <c r="I181" s="196"/>
      <c r="J181" s="196"/>
    </row>
    <row r="182" spans="1:10">
      <c r="A182" s="196"/>
      <c r="B182" s="196"/>
      <c r="C182" s="196"/>
      <c r="D182" s="196"/>
      <c r="E182" s="196"/>
      <c r="F182" s="196"/>
      <c r="G182" s="196"/>
      <c r="H182" s="196"/>
      <c r="I182" s="196"/>
      <c r="J182" s="196"/>
    </row>
    <row r="183" spans="1:10">
      <c r="A183" s="196" t="s">
        <v>5888</v>
      </c>
      <c r="B183" s="196"/>
      <c r="C183" s="196"/>
      <c r="D183" s="196"/>
      <c r="E183" s="196"/>
      <c r="F183" s="196"/>
      <c r="G183" s="196"/>
      <c r="H183" s="196"/>
      <c r="I183" s="196"/>
      <c r="J183" s="196"/>
    </row>
    <row r="184" spans="1:10">
      <c r="A184" s="196"/>
      <c r="B184" s="196"/>
      <c r="C184" s="196"/>
      <c r="D184" s="196"/>
      <c r="E184" s="196"/>
      <c r="F184" s="196"/>
      <c r="G184" s="196"/>
      <c r="H184" s="196"/>
      <c r="I184" s="196"/>
      <c r="J184" s="196"/>
    </row>
    <row r="185" spans="1:10">
      <c r="A185" s="196" t="s">
        <v>5889</v>
      </c>
      <c r="B185" s="196"/>
      <c r="C185" s="196"/>
      <c r="D185" s="196"/>
      <c r="E185" s="196"/>
      <c r="F185" s="196"/>
      <c r="G185" s="196"/>
      <c r="H185" s="196"/>
      <c r="I185" s="196"/>
      <c r="J185" s="196"/>
    </row>
    <row r="186" spans="1:10">
      <c r="A186" s="196"/>
      <c r="B186" s="196"/>
      <c r="C186" s="196"/>
      <c r="D186" s="196"/>
      <c r="E186" s="196"/>
      <c r="F186" s="196"/>
      <c r="G186" s="196"/>
      <c r="H186" s="196"/>
      <c r="I186" s="196"/>
      <c r="J186" s="196"/>
    </row>
    <row r="187" spans="1:10">
      <c r="A187" s="196"/>
      <c r="B187" s="196"/>
      <c r="C187" s="196"/>
      <c r="D187" s="196"/>
      <c r="E187" s="196"/>
      <c r="F187" s="196"/>
      <c r="G187" s="196"/>
      <c r="H187" s="196"/>
      <c r="I187" s="196"/>
      <c r="J187" s="196"/>
    </row>
    <row r="188" spans="1:10">
      <c r="A188" s="196"/>
      <c r="B188" s="196"/>
      <c r="C188" s="196"/>
      <c r="D188" s="196"/>
      <c r="E188" s="196"/>
      <c r="F188" s="196"/>
      <c r="G188" s="196"/>
      <c r="H188" s="196"/>
      <c r="I188" s="196"/>
      <c r="J188" s="196"/>
    </row>
    <row r="189" spans="1:10">
      <c r="A189" s="842" t="s">
        <v>5902</v>
      </c>
      <c r="B189" s="842"/>
      <c r="C189" s="842"/>
      <c r="D189" s="842"/>
      <c r="E189" s="842"/>
      <c r="F189" s="842"/>
      <c r="G189" s="842"/>
      <c r="H189" s="842"/>
      <c r="I189" s="842"/>
      <c r="J189" s="842"/>
    </row>
    <row r="190" spans="1:10">
      <c r="A190" s="196"/>
      <c r="B190" s="196"/>
      <c r="C190" s="196"/>
      <c r="D190" s="196"/>
      <c r="E190" s="196"/>
      <c r="F190" s="196"/>
      <c r="G190" s="196"/>
      <c r="H190" s="196"/>
      <c r="I190" s="196"/>
      <c r="J190" s="196"/>
    </row>
    <row r="191" spans="1:10">
      <c r="A191" s="196" t="s">
        <v>5890</v>
      </c>
      <c r="B191" s="196"/>
      <c r="C191" s="196"/>
      <c r="D191" s="196"/>
      <c r="E191" s="196"/>
      <c r="F191" s="196"/>
      <c r="G191" s="196"/>
      <c r="H191" s="196"/>
      <c r="I191" s="196"/>
      <c r="J191" s="196"/>
    </row>
    <row r="192" spans="1:10">
      <c r="A192" s="196"/>
      <c r="B192" s="196"/>
      <c r="C192" s="196"/>
      <c r="D192" s="196"/>
      <c r="E192" s="196"/>
      <c r="F192" s="196"/>
      <c r="G192" s="196"/>
      <c r="H192" s="196"/>
      <c r="I192" s="196"/>
      <c r="J192" s="196"/>
    </row>
    <row r="193" spans="1:10">
      <c r="A193" s="196" t="s">
        <v>5891</v>
      </c>
      <c r="B193" s="196"/>
      <c r="C193" s="196"/>
      <c r="D193" s="196"/>
      <c r="E193" s="196"/>
      <c r="F193" s="196"/>
      <c r="G193" s="196"/>
      <c r="H193" s="196"/>
      <c r="I193" s="196"/>
      <c r="J193" s="196"/>
    </row>
    <row r="194" spans="1:10">
      <c r="A194" s="196"/>
      <c r="B194" s="196"/>
      <c r="C194" s="196"/>
      <c r="D194" s="196"/>
      <c r="E194" s="196"/>
      <c r="F194" s="196"/>
      <c r="G194" s="196"/>
      <c r="H194" s="196"/>
      <c r="I194" s="196"/>
      <c r="J194" s="196"/>
    </row>
    <row r="195" spans="1:10">
      <c r="A195" s="196" t="s">
        <v>5892</v>
      </c>
      <c r="B195" s="196"/>
      <c r="C195" s="196"/>
      <c r="D195" s="196"/>
      <c r="E195" s="196"/>
      <c r="F195" s="196"/>
      <c r="G195" s="196"/>
      <c r="H195" s="196"/>
      <c r="I195" s="196"/>
      <c r="J195" s="196"/>
    </row>
    <row r="196" spans="1:10">
      <c r="A196" s="196"/>
      <c r="B196" s="196"/>
      <c r="C196" s="196"/>
      <c r="D196" s="196"/>
      <c r="E196" s="196"/>
      <c r="F196" s="196"/>
      <c r="G196" s="196"/>
      <c r="H196" s="196"/>
      <c r="I196" s="196"/>
      <c r="J196" s="196"/>
    </row>
    <row r="197" spans="1:10">
      <c r="A197" s="196"/>
      <c r="B197" s="196"/>
      <c r="C197" s="196"/>
      <c r="D197" s="196"/>
      <c r="E197" s="196"/>
      <c r="F197" s="196"/>
      <c r="G197" s="196"/>
      <c r="H197" s="196"/>
      <c r="I197" s="196"/>
      <c r="J197" s="196"/>
    </row>
    <row r="198" spans="1:10">
      <c r="A198" s="196"/>
      <c r="B198" s="196"/>
      <c r="C198" s="196"/>
      <c r="D198" s="196"/>
      <c r="E198" s="196"/>
      <c r="F198" s="196"/>
      <c r="G198" s="196"/>
      <c r="H198" s="196"/>
      <c r="I198" s="196"/>
      <c r="J198" s="196"/>
    </row>
    <row r="199" spans="1:10">
      <c r="A199" s="842" t="s">
        <v>5903</v>
      </c>
      <c r="B199" s="842"/>
      <c r="C199" s="842"/>
      <c r="D199" s="842"/>
      <c r="E199" s="842"/>
      <c r="F199" s="842"/>
      <c r="G199" s="842"/>
      <c r="H199" s="842"/>
      <c r="I199" s="842"/>
      <c r="J199" s="842"/>
    </row>
    <row r="200" spans="1:10">
      <c r="A200" s="196"/>
      <c r="B200" s="196"/>
      <c r="C200" s="196"/>
      <c r="D200" s="196"/>
      <c r="E200" s="196"/>
      <c r="F200" s="196"/>
      <c r="G200" s="196"/>
      <c r="H200" s="196"/>
      <c r="I200" s="196"/>
      <c r="J200" s="196"/>
    </row>
    <row r="201" spans="1:10">
      <c r="A201" s="196" t="s">
        <v>5893</v>
      </c>
      <c r="B201" s="196"/>
      <c r="C201" s="196"/>
      <c r="D201" s="196"/>
      <c r="E201" s="196"/>
      <c r="F201" s="196"/>
      <c r="G201" s="196"/>
      <c r="H201" s="196"/>
      <c r="I201" s="196"/>
      <c r="J201" s="196"/>
    </row>
    <row r="202" spans="1:10">
      <c r="A202" s="196"/>
      <c r="B202" s="196"/>
      <c r="C202" s="196"/>
      <c r="D202" s="196"/>
      <c r="E202" s="196"/>
      <c r="F202" s="196"/>
      <c r="G202" s="196"/>
      <c r="H202" s="196"/>
      <c r="I202" s="196"/>
      <c r="J202" s="196"/>
    </row>
    <row r="203" spans="1:10">
      <c r="A203" s="196" t="s">
        <v>5894</v>
      </c>
      <c r="B203" s="196"/>
      <c r="C203" s="196"/>
      <c r="D203" s="196"/>
      <c r="E203" s="196"/>
      <c r="F203" s="196"/>
      <c r="G203" s="196"/>
      <c r="H203" s="196"/>
      <c r="I203" s="196"/>
      <c r="J203" s="196"/>
    </row>
    <row r="204" spans="1:10">
      <c r="A204" s="196"/>
      <c r="B204" s="196"/>
      <c r="C204" s="196"/>
      <c r="D204" s="196"/>
      <c r="E204" s="196"/>
      <c r="F204" s="196"/>
      <c r="G204" s="196"/>
      <c r="H204" s="196"/>
      <c r="I204" s="196"/>
      <c r="J204" s="196"/>
    </row>
    <row r="205" spans="1:10">
      <c r="A205" s="196" t="s">
        <v>5895</v>
      </c>
      <c r="B205" s="196"/>
      <c r="C205" s="196"/>
      <c r="D205" s="196"/>
      <c r="E205" s="196"/>
      <c r="F205" s="196"/>
      <c r="G205" s="196"/>
      <c r="H205" s="196"/>
      <c r="I205" s="196"/>
      <c r="J205" s="196"/>
    </row>
    <row r="206" spans="1:10">
      <c r="A206" s="196"/>
      <c r="B206" s="196"/>
      <c r="C206" s="196"/>
      <c r="D206" s="196"/>
      <c r="E206" s="196"/>
      <c r="F206" s="196"/>
      <c r="G206" s="196"/>
      <c r="H206" s="196"/>
      <c r="I206" s="196"/>
      <c r="J206" s="196"/>
    </row>
    <row r="207" spans="1:10">
      <c r="A207" s="196" t="s">
        <v>5896</v>
      </c>
      <c r="B207" s="196"/>
      <c r="C207" s="196"/>
      <c r="D207" s="196"/>
      <c r="E207" s="196"/>
      <c r="F207" s="196"/>
      <c r="G207" s="196"/>
      <c r="H207" s="196"/>
      <c r="I207" s="196"/>
      <c r="J207" s="196"/>
    </row>
    <row r="208" spans="1:10">
      <c r="A208" s="196"/>
      <c r="B208" s="196"/>
      <c r="C208" s="196"/>
      <c r="D208" s="196"/>
      <c r="E208" s="196"/>
      <c r="F208" s="196"/>
      <c r="G208" s="196"/>
      <c r="H208" s="196"/>
      <c r="I208" s="196"/>
      <c r="J208" s="196"/>
    </row>
    <row r="209" spans="1:10">
      <c r="A209" s="196"/>
      <c r="B209" s="196"/>
      <c r="C209" s="196"/>
      <c r="D209" s="196"/>
      <c r="E209" s="196"/>
      <c r="F209" s="196"/>
      <c r="G209" s="196"/>
      <c r="H209" s="196"/>
      <c r="I209" s="196"/>
      <c r="J209" s="196"/>
    </row>
    <row r="210" spans="1:10">
      <c r="A210" s="196"/>
      <c r="B210" s="196"/>
      <c r="C210" s="196"/>
      <c r="D210" s="196"/>
      <c r="E210" s="196"/>
      <c r="F210" s="196"/>
      <c r="G210" s="196"/>
      <c r="H210" s="196"/>
      <c r="I210" s="196"/>
      <c r="J210" s="196"/>
    </row>
    <row r="211" spans="1:10">
      <c r="A211" s="842" t="s">
        <v>5904</v>
      </c>
      <c r="B211" s="842"/>
      <c r="C211" s="842"/>
      <c r="D211" s="842"/>
      <c r="E211" s="842"/>
      <c r="F211" s="842"/>
      <c r="G211" s="842"/>
      <c r="H211" s="842"/>
      <c r="I211" s="842"/>
      <c r="J211" s="842"/>
    </row>
    <row r="212" spans="1:10">
      <c r="A212" s="196"/>
      <c r="B212" s="196"/>
      <c r="C212" s="196"/>
      <c r="D212" s="196"/>
      <c r="E212" s="196"/>
      <c r="F212" s="196"/>
      <c r="G212" s="196"/>
      <c r="H212" s="196"/>
      <c r="I212" s="196"/>
      <c r="J212" s="196"/>
    </row>
    <row r="213" spans="1:10">
      <c r="A213" s="196" t="s">
        <v>5897</v>
      </c>
      <c r="B213" s="196"/>
      <c r="C213" s="196"/>
      <c r="D213" s="196"/>
      <c r="E213" s="196"/>
      <c r="F213" s="196"/>
      <c r="G213" s="196"/>
      <c r="H213" s="196"/>
      <c r="I213" s="196"/>
      <c r="J213" s="196"/>
    </row>
    <row r="214" spans="1:10">
      <c r="A214" s="196"/>
      <c r="B214" s="196"/>
      <c r="C214" s="196"/>
      <c r="D214" s="196"/>
      <c r="E214" s="196"/>
      <c r="F214" s="196"/>
      <c r="G214" s="196"/>
      <c r="H214" s="196"/>
      <c r="I214" s="196"/>
      <c r="J214" s="196"/>
    </row>
    <row r="215" spans="1:10">
      <c r="A215" s="196" t="s">
        <v>5898</v>
      </c>
      <c r="B215" s="196"/>
      <c r="C215" s="196"/>
      <c r="D215" s="196"/>
      <c r="E215" s="196"/>
      <c r="F215" s="196"/>
      <c r="G215" s="196"/>
      <c r="H215" s="196"/>
      <c r="I215" s="196"/>
      <c r="J215" s="196"/>
    </row>
    <row r="216" spans="1:10">
      <c r="A216" s="196"/>
      <c r="B216" s="196"/>
      <c r="C216" s="196"/>
      <c r="D216" s="196"/>
      <c r="E216" s="196"/>
      <c r="F216" s="196"/>
      <c r="G216" s="196"/>
      <c r="H216" s="196"/>
      <c r="I216" s="196"/>
      <c r="J216" s="196"/>
    </row>
    <row r="217" spans="1:10">
      <c r="A217" s="196" t="s">
        <v>5899</v>
      </c>
      <c r="B217" s="196"/>
      <c r="C217" s="196"/>
      <c r="D217" s="196"/>
      <c r="E217" s="196"/>
      <c r="F217" s="196"/>
      <c r="G217" s="196"/>
      <c r="H217" s="196"/>
      <c r="I217" s="196"/>
      <c r="J217" s="196"/>
    </row>
    <row r="218" spans="1:10">
      <c r="A218" s="196"/>
      <c r="B218" s="196"/>
      <c r="C218" s="196"/>
      <c r="D218" s="196"/>
      <c r="E218" s="196"/>
      <c r="F218" s="196"/>
      <c r="G218" s="196"/>
      <c r="H218" s="196"/>
      <c r="I218" s="196"/>
      <c r="J218" s="196"/>
    </row>
    <row r="219" spans="1:10">
      <c r="A219" s="196"/>
      <c r="B219" s="196"/>
      <c r="C219" s="196"/>
      <c r="D219" s="196"/>
      <c r="E219" s="196"/>
      <c r="F219" s="196"/>
      <c r="G219" s="196"/>
      <c r="H219" s="196"/>
      <c r="I219" s="196"/>
      <c r="J219" s="196"/>
    </row>
    <row r="220" spans="1:10">
      <c r="A220" s="196"/>
      <c r="B220" s="196"/>
      <c r="C220" s="196"/>
      <c r="D220" s="196"/>
      <c r="E220" s="196"/>
      <c r="F220" s="196"/>
      <c r="G220" s="196"/>
      <c r="H220" s="196"/>
      <c r="I220" s="196"/>
      <c r="J220" s="196"/>
    </row>
    <row r="221" spans="1:10">
      <c r="A221" s="196" t="s">
        <v>5900</v>
      </c>
      <c r="B221" s="196"/>
      <c r="C221" s="196"/>
      <c r="D221" s="196"/>
      <c r="E221" s="196"/>
      <c r="F221" s="196"/>
      <c r="G221" s="196"/>
      <c r="H221" s="196"/>
      <c r="I221" s="196"/>
      <c r="J221" s="196"/>
    </row>
    <row r="222" spans="1:10">
      <c r="A222" s="196"/>
      <c r="B222" s="196"/>
      <c r="C222" s="196"/>
      <c r="D222" s="196"/>
      <c r="E222" s="196"/>
      <c r="F222" s="196"/>
      <c r="G222" s="196"/>
      <c r="H222" s="196"/>
      <c r="I222" s="196"/>
      <c r="J222" s="196"/>
    </row>
    <row r="223" spans="1:10">
      <c r="A223" s="341"/>
      <c r="B223" s="341"/>
      <c r="C223" s="341"/>
      <c r="D223" s="341"/>
      <c r="E223" s="341"/>
      <c r="F223" s="341"/>
      <c r="G223" s="341"/>
      <c r="H223" s="341"/>
      <c r="I223" s="341"/>
      <c r="J223" s="341"/>
    </row>
    <row r="224" spans="1:10">
      <c r="A224" s="341"/>
      <c r="B224" s="341"/>
      <c r="C224" s="341"/>
      <c r="D224" s="341"/>
      <c r="E224" s="341"/>
      <c r="F224" s="341"/>
      <c r="G224" s="341"/>
      <c r="H224" s="341"/>
      <c r="I224" s="341"/>
      <c r="J224" s="341"/>
    </row>
    <row r="225" spans="1:10">
      <c r="A225" s="341"/>
      <c r="B225" s="341"/>
      <c r="C225" s="341"/>
      <c r="D225" s="341"/>
      <c r="E225" s="341"/>
      <c r="F225" s="341"/>
      <c r="G225" s="341"/>
      <c r="H225" s="341"/>
      <c r="I225" s="341"/>
      <c r="J225" s="341"/>
    </row>
    <row r="226" spans="1:10">
      <c r="A226" s="341"/>
      <c r="B226" s="341"/>
      <c r="C226" s="341"/>
      <c r="D226" s="341"/>
      <c r="E226" s="341"/>
      <c r="F226" s="341"/>
      <c r="G226" s="341"/>
      <c r="H226" s="341"/>
      <c r="I226" s="341"/>
      <c r="J226" s="341"/>
    </row>
    <row r="227" spans="1:10">
      <c r="A227" s="341"/>
      <c r="B227" s="341"/>
      <c r="C227" s="341"/>
      <c r="D227" s="341"/>
      <c r="E227" s="341"/>
      <c r="F227" s="341"/>
      <c r="G227" s="341"/>
      <c r="H227" s="341"/>
      <c r="I227" s="341"/>
      <c r="J227" s="341"/>
    </row>
    <row r="228" spans="1:10">
      <c r="A228" s="341"/>
      <c r="B228" s="341"/>
      <c r="C228" s="341"/>
      <c r="D228" s="341"/>
      <c r="E228" s="341"/>
      <c r="F228" s="341"/>
      <c r="G228" s="341"/>
      <c r="H228" s="341"/>
      <c r="I228" s="341"/>
      <c r="J228" s="341"/>
    </row>
    <row r="229" spans="1:10">
      <c r="A229" s="341"/>
      <c r="B229" s="341"/>
      <c r="C229" s="341"/>
      <c r="D229" s="341"/>
      <c r="E229" s="341"/>
      <c r="F229" s="341"/>
      <c r="G229" s="341"/>
      <c r="H229" s="341"/>
      <c r="I229" s="341"/>
      <c r="J229" s="341"/>
    </row>
    <row r="230" spans="1:10">
      <c r="A230" s="341"/>
      <c r="B230" s="341"/>
      <c r="C230" s="341"/>
      <c r="D230" s="341"/>
      <c r="E230" s="341"/>
      <c r="F230" s="341"/>
      <c r="G230" s="341"/>
      <c r="H230" s="341"/>
      <c r="I230" s="341"/>
      <c r="J230" s="341"/>
    </row>
    <row r="231" spans="1:10">
      <c r="A231" s="341"/>
      <c r="B231" s="341"/>
      <c r="C231" s="341"/>
      <c r="D231" s="341"/>
      <c r="E231" s="341"/>
      <c r="F231" s="341"/>
      <c r="G231" s="341"/>
      <c r="H231" s="341"/>
      <c r="I231" s="341"/>
      <c r="J231" s="341"/>
    </row>
    <row r="232" spans="1:10">
      <c r="A232" s="196"/>
      <c r="B232" s="196"/>
      <c r="C232" s="196"/>
      <c r="D232" s="196"/>
      <c r="E232" s="196"/>
      <c r="F232" s="196"/>
      <c r="G232" s="196"/>
      <c r="H232" s="196"/>
      <c r="I232" s="196"/>
      <c r="J232" s="196"/>
    </row>
    <row r="233" spans="1:10">
      <c r="A233" s="320"/>
      <c r="B233" s="320"/>
      <c r="C233" s="320"/>
      <c r="D233" s="320"/>
      <c r="E233" s="320"/>
      <c r="F233" s="320"/>
      <c r="G233" s="874"/>
      <c r="H233" s="874"/>
      <c r="I233" s="874"/>
      <c r="J233" s="874"/>
    </row>
  </sheetData>
  <mergeCells count="114">
    <mergeCell ref="A81:C81"/>
    <mergeCell ref="A28:C28"/>
    <mergeCell ref="A1:J1"/>
    <mergeCell ref="A76:C76"/>
    <mergeCell ref="A13:C13"/>
    <mergeCell ref="A33:C33"/>
    <mergeCell ref="A23:C23"/>
    <mergeCell ref="A8:C8"/>
    <mergeCell ref="D6:J6"/>
    <mergeCell ref="A18:C18"/>
    <mergeCell ref="A54:C54"/>
    <mergeCell ref="A65:C65"/>
    <mergeCell ref="A43:C43"/>
    <mergeCell ref="A38:C38"/>
    <mergeCell ref="G95:J95"/>
    <mergeCell ref="G97:J97"/>
    <mergeCell ref="A99:B99"/>
    <mergeCell ref="E99:J99"/>
    <mergeCell ref="A101:C101"/>
    <mergeCell ref="D101:F101"/>
    <mergeCell ref="G101:J101"/>
    <mergeCell ref="A92:C92"/>
    <mergeCell ref="D92:F92"/>
    <mergeCell ref="G92:J92"/>
    <mergeCell ref="G93:J93"/>
    <mergeCell ref="G94:J94"/>
    <mergeCell ref="F107:J107"/>
    <mergeCell ref="F108:J108"/>
    <mergeCell ref="F109:J109"/>
    <mergeCell ref="F110:J110"/>
    <mergeCell ref="A111:B111"/>
    <mergeCell ref="C111:D111"/>
    <mergeCell ref="E111:J111"/>
    <mergeCell ref="G102:J102"/>
    <mergeCell ref="F103:J103"/>
    <mergeCell ref="F104:J104"/>
    <mergeCell ref="F105:J105"/>
    <mergeCell ref="F106:J106"/>
    <mergeCell ref="G116:J116"/>
    <mergeCell ref="G117:J117"/>
    <mergeCell ref="G118:J118"/>
    <mergeCell ref="G119:J119"/>
    <mergeCell ref="A120:B120"/>
    <mergeCell ref="C120:D120"/>
    <mergeCell ref="E120:J120"/>
    <mergeCell ref="A113:C113"/>
    <mergeCell ref="D113:F113"/>
    <mergeCell ref="G113:J113"/>
    <mergeCell ref="G114:J114"/>
    <mergeCell ref="G115:J115"/>
    <mergeCell ref="G124:J124"/>
    <mergeCell ref="G125:J125"/>
    <mergeCell ref="G126:J126"/>
    <mergeCell ref="G127:J127"/>
    <mergeCell ref="A128:D129"/>
    <mergeCell ref="E128:J129"/>
    <mergeCell ref="G121:J121"/>
    <mergeCell ref="A122:C122"/>
    <mergeCell ref="D122:F122"/>
    <mergeCell ref="G122:J122"/>
    <mergeCell ref="G123:J123"/>
    <mergeCell ref="G133:J133"/>
    <mergeCell ref="G134:J134"/>
    <mergeCell ref="G135:J135"/>
    <mergeCell ref="G136:J136"/>
    <mergeCell ref="G137:J137"/>
    <mergeCell ref="A130:C130"/>
    <mergeCell ref="D130:F130"/>
    <mergeCell ref="G130:J130"/>
    <mergeCell ref="G131:J131"/>
    <mergeCell ref="G132:J132"/>
    <mergeCell ref="B143:J143"/>
    <mergeCell ref="B144:J144"/>
    <mergeCell ref="B145:J145"/>
    <mergeCell ref="B146:J146"/>
    <mergeCell ref="B147:J147"/>
    <mergeCell ref="A138:B138"/>
    <mergeCell ref="C138:D138"/>
    <mergeCell ref="E138:J138"/>
    <mergeCell ref="A140:C140"/>
    <mergeCell ref="B142:J142"/>
    <mergeCell ref="B165:D165"/>
    <mergeCell ref="E165:G165"/>
    <mergeCell ref="B166:D166"/>
    <mergeCell ref="E166:G166"/>
    <mergeCell ref="B167:D167"/>
    <mergeCell ref="E167:G167"/>
    <mergeCell ref="B148:J148"/>
    <mergeCell ref="A150:H150"/>
    <mergeCell ref="B151:H151"/>
    <mergeCell ref="B152:H152"/>
    <mergeCell ref="B164:D164"/>
    <mergeCell ref="E164:G164"/>
    <mergeCell ref="B171:D171"/>
    <mergeCell ref="E171:G171"/>
    <mergeCell ref="A178:C178"/>
    <mergeCell ref="D178:F178"/>
    <mergeCell ref="G178:J178"/>
    <mergeCell ref="B168:D168"/>
    <mergeCell ref="E168:G168"/>
    <mergeCell ref="B169:D169"/>
    <mergeCell ref="E169:G169"/>
    <mergeCell ref="B170:D170"/>
    <mergeCell ref="E170:G170"/>
    <mergeCell ref="A211:C211"/>
    <mergeCell ref="D211:F211"/>
    <mergeCell ref="G211:J211"/>
    <mergeCell ref="G233:J233"/>
    <mergeCell ref="A189:C189"/>
    <mergeCell ref="D189:F189"/>
    <mergeCell ref="G189:J189"/>
    <mergeCell ref="A199:C199"/>
    <mergeCell ref="D199:F199"/>
    <mergeCell ref="G199:J199"/>
  </mergeCells>
  <conditionalFormatting sqref="B94:B98">
    <cfRule type="expression" dxfId="534" priority="21">
      <formula>B94="Complete"</formula>
    </cfRule>
    <cfRule type="expression" dxfId="533" priority="22">
      <formula>B94="In Progress"</formula>
    </cfRule>
    <cfRule type="expression" dxfId="532" priority="23">
      <formula>B94="At Risk"</formula>
    </cfRule>
    <cfRule type="expression" dxfId="531" priority="24">
      <formula>B94="Blocked"</formula>
    </cfRule>
    <cfRule type="expression" dxfId="530" priority="25">
      <formula>B94="Not Started"</formula>
    </cfRule>
  </conditionalFormatting>
  <conditionalFormatting sqref="B103:B110">
    <cfRule type="expression" dxfId="529" priority="1">
      <formula>B103="Complete"</formula>
    </cfRule>
    <cfRule type="expression" dxfId="528" priority="2">
      <formula>B103="In Progress"</formula>
    </cfRule>
    <cfRule type="expression" dxfId="527" priority="3">
      <formula>B103="At Risk"</formula>
    </cfRule>
    <cfRule type="expression" dxfId="526" priority="4">
      <formula>B103="Blocked"</formula>
    </cfRule>
    <cfRule type="expression" dxfId="525" priority="5">
      <formula>B103="Not Started"</formula>
    </cfRule>
  </conditionalFormatting>
  <conditionalFormatting sqref="B115:B119">
    <cfRule type="expression" dxfId="524" priority="26">
      <formula>B115="Complete"</formula>
    </cfRule>
    <cfRule type="expression" dxfId="523" priority="27">
      <formula>B115="In Progress"</formula>
    </cfRule>
    <cfRule type="expression" dxfId="522" priority="28">
      <formula>B115="At Risk"</formula>
    </cfRule>
    <cfRule type="expression" dxfId="521" priority="29">
      <formula>B115="Blocked"</formula>
    </cfRule>
    <cfRule type="expression" dxfId="520" priority="30">
      <formula>B115="Not Started"</formula>
    </cfRule>
  </conditionalFormatting>
  <conditionalFormatting sqref="B124:B127">
    <cfRule type="expression" dxfId="519" priority="6">
      <formula>B124="Complete"</formula>
    </cfRule>
    <cfRule type="expression" dxfId="518" priority="7">
      <formula>B124="In Progress"</formula>
    </cfRule>
    <cfRule type="expression" dxfId="517" priority="8">
      <formula>B124="At Risk"</formula>
    </cfRule>
    <cfRule type="expression" dxfId="516" priority="9">
      <formula>B124="Blocked"</formula>
    </cfRule>
    <cfRule type="expression" dxfId="515" priority="10">
      <formula>B124="Not Started"</formula>
    </cfRule>
  </conditionalFormatting>
  <conditionalFormatting sqref="B132:B137">
    <cfRule type="expression" dxfId="514" priority="11">
      <formula>B132="Complete"</formula>
    </cfRule>
    <cfRule type="expression" dxfId="513" priority="12">
      <formula>B132="In Progress"</formula>
    </cfRule>
    <cfRule type="expression" dxfId="512" priority="13">
      <formula>B132="At Risk"</formula>
    </cfRule>
    <cfRule type="expression" dxfId="511" priority="14">
      <formula>B132="Blocked"</formula>
    </cfRule>
    <cfRule type="expression" dxfId="510" priority="15">
      <formula>B132="Not Started"</formula>
    </cfRule>
  </conditionalFormatting>
  <conditionalFormatting sqref="B155:B162">
    <cfRule type="expression" dxfId="509" priority="82">
      <formula>B155="Yes"</formula>
    </cfRule>
    <cfRule type="expression" dxfId="508" priority="83">
      <formula>B155="N/A"</formula>
    </cfRule>
    <cfRule type="expression" dxfId="507" priority="84">
      <formula>B155="No"</formula>
    </cfRule>
  </conditionalFormatting>
  <conditionalFormatting sqref="B172:H172">
    <cfRule type="expression" dxfId="506" priority="85">
      <formula>COUNTIF($B$6:$B$13,"No")=0</formula>
    </cfRule>
    <cfRule type="expression" dxfId="505" priority="86">
      <formula>COUNTIF($B$6:$B$13,"No")&gt;0</formula>
    </cfRule>
  </conditionalFormatting>
  <conditionalFormatting sqref="C99:D99">
    <cfRule type="dataBar" priority="37">
      <dataBar>
        <cfvo type="num" val="0"/>
        <cfvo type="num" val="1"/>
        <color rgb="FF5B9BD5"/>
      </dataBar>
    </cfRule>
  </conditionalFormatting>
  <conditionalFormatting sqref="C103:D110">
    <cfRule type="expression" dxfId="504" priority="31">
      <formula>C103="Yes"</formula>
    </cfRule>
    <cfRule type="expression" dxfId="503" priority="32">
      <formula>C103="No"</formula>
    </cfRule>
    <cfRule type="expression" dxfId="502" priority="33">
      <formula>C103="N/A"</formula>
    </cfRule>
  </conditionalFormatting>
  <conditionalFormatting sqref="C111:D111">
    <cfRule type="dataBar" priority="38">
      <dataBar>
        <cfvo type="num" val="0"/>
        <cfvo type="num" val="1"/>
        <color rgb="FF5B9BD5"/>
      </dataBar>
    </cfRule>
  </conditionalFormatting>
  <conditionalFormatting sqref="C120:D120">
    <cfRule type="dataBar" priority="39">
      <dataBar>
        <cfvo type="num" val="0"/>
        <cfvo type="num" val="1"/>
        <color rgb="FF5B9BD5"/>
      </dataBar>
    </cfRule>
  </conditionalFormatting>
  <conditionalFormatting sqref="C132:D137">
    <cfRule type="expression" dxfId="501" priority="16">
      <formula>C132="Yes"</formula>
    </cfRule>
    <cfRule type="expression" dxfId="500" priority="17">
      <formula>C132="No"</formula>
    </cfRule>
    <cfRule type="expression" dxfId="499" priority="18">
      <formula>C132="N/A"</formula>
    </cfRule>
  </conditionalFormatting>
  <conditionalFormatting sqref="C138:D138">
    <cfRule type="dataBar" priority="20">
      <dataBar>
        <cfvo type="num" val="0"/>
        <cfvo type="num" val="1"/>
        <color rgb="FF5B9BD5"/>
      </dataBar>
    </cfRule>
  </conditionalFormatting>
  <conditionalFormatting sqref="E5 G5 I5">
    <cfRule type="expression" dxfId="498" priority="87">
      <formula>E5="Pass"</formula>
    </cfRule>
    <cfRule type="expression" dxfId="497" priority="88">
      <formula>E5="Verify"</formula>
    </cfRule>
    <cfRule type="expression" dxfId="496" priority="89">
      <formula>E5="Fail"</formula>
    </cfRule>
    <cfRule type="expression" dxfId="495" priority="90">
      <formula>E5="Not Started"</formula>
    </cfRule>
  </conditionalFormatting>
  <conditionalFormatting sqref="F3">
    <cfRule type="expression" dxfId="494" priority="91">
      <formula>F3="Yes"</formula>
    </cfRule>
    <cfRule type="expression" dxfId="493" priority="92">
      <formula>F3="No"</formula>
    </cfRule>
  </conditionalFormatting>
  <conditionalFormatting sqref="F115:F119">
    <cfRule type="expression" dxfId="492" priority="34">
      <formula>F115="Pass"</formula>
    </cfRule>
    <cfRule type="expression" dxfId="491" priority="35">
      <formula>F115="Fail"</formula>
    </cfRule>
    <cfRule type="expression" dxfId="490" priority="36">
      <formula>F115="Pending"</formula>
    </cfRule>
  </conditionalFormatting>
  <conditionalFormatting sqref="F124:F127">
    <cfRule type="dataBar" priority="19">
      <dataBar>
        <cfvo type="num" val="0"/>
        <cfvo type="num" val="1"/>
        <color rgb="FF5B9BD5"/>
      </dataBar>
    </cfRule>
  </conditionalFormatting>
  <dataValidations count="6">
    <dataValidation type="list" sqref="B5:B6 D5 F5 H5 H10:H16 J5 I16 D56:D63 H17:I89" xr:uid="{00000000-0002-0000-3700-000000000000}">
      <formula1>"Not Started,Verify,Pass,Fail,N/A,Open,Closed,Partial / Yellow,Excluded / Verify Existing,Excluded / Firestop Only"</formula1>
      <formula2>0</formula2>
    </dataValidation>
    <dataValidation type="list" allowBlank="1" sqref="F115:F119" xr:uid="{298A153A-5737-4339-AF1E-DEFCCB1A430E}">
      <formula1>"Pending,Pass,Fail,N/A"</formula1>
    </dataValidation>
    <dataValidation type="list" allowBlank="1" sqref="C103:D110 C132:D137" xr:uid="{07881901-5707-4DC3-8683-4F1C61610EC0}">
      <formula1>"Yes,No,N/A"</formula1>
    </dataValidation>
    <dataValidation type="list" allowBlank="1" sqref="B124:B127 B115:B119" xr:uid="{EF03642F-DAE8-4856-9812-EB76FFF41C90}">
      <formula1>"Not Started,In Progress,Complete,At Risk,Blocked"</formula1>
    </dataValidation>
    <dataValidation type="list" sqref="B155:B162" xr:uid="{1FF10BFC-DC3B-46DA-9338-6B4F2D429E9C}">
      <formula1>"No,Yes,N/A"</formula1>
    </dataValidation>
    <dataValidation type="list" sqref="H143:I148 H140:I141" xr:uid="{6DA472DB-E1F2-4FA6-854B-457C458A67CD}">
      <formula1>"Not Started,Verify,Pass,Fail,N/A,Open,Closed,Partial / Yellow"</formula1>
      <formula2>0</formula2>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9B81A9A9-C7E5-4A22-9F28-F2C73AF8AFFD}">
          <x14:formula1>
            <xm:f>Lookup_Lists!$L$37:$L$39</xm:f>
          </x14:formula1>
          <xm:sqref>C115:E119 J2</xm:sqref>
        </x14:dataValidation>
        <x14:dataValidation type="list" allowBlank="1" showInputMessage="1" showErrorMessage="1" xr:uid="{DA1CD9C4-11D6-4A89-937F-A4A6EFFEB665}">
          <x14:formula1>
            <xm:f>Lookup_Lists!$A$36:$A$42</xm:f>
          </x14:formula1>
          <xm:sqref>B94:B98 B103:B110 B132:B137</xm:sqref>
        </x14:dataValidation>
      </x14:dataValidations>
    </ext>
  </extLst>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B5C88-D74F-4ED4-9B47-40321463A9EE}">
  <dimension ref="A1:J232"/>
  <sheetViews>
    <sheetView topLeftCell="A207" workbookViewId="0">
      <selection activeCell="D4" sqref="D4"/>
    </sheetView>
  </sheetViews>
  <sheetFormatPr defaultColWidth="8.6640625" defaultRowHeight="14.4"/>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6640625" style="8" customWidth="1"/>
    <col min="13" max="16384" width="8.6640625" style="8"/>
  </cols>
  <sheetData>
    <row r="1" spans="1:10">
      <c r="A1" s="851" t="s">
        <v>3080</v>
      </c>
      <c r="B1" s="839"/>
      <c r="C1" s="839"/>
      <c r="D1" s="839"/>
      <c r="E1" s="839"/>
      <c r="F1" s="839"/>
      <c r="G1" s="839"/>
      <c r="H1" s="839"/>
      <c r="I1" s="839"/>
      <c r="J1" s="839"/>
    </row>
    <row r="2" spans="1:10" s="227" customFormat="1">
      <c r="A2" s="223" t="s">
        <v>142</v>
      </c>
      <c r="B2" s="224" t="s">
        <v>372</v>
      </c>
      <c r="C2" s="223" t="s">
        <v>902</v>
      </c>
      <c r="D2" s="224" t="s">
        <v>1094</v>
      </c>
      <c r="E2" s="223" t="s">
        <v>151</v>
      </c>
      <c r="F2" s="224" t="s">
        <v>1095</v>
      </c>
      <c r="G2" s="223" t="s">
        <v>174</v>
      </c>
      <c r="H2" s="225">
        <v>0.5</v>
      </c>
      <c r="I2" s="223" t="s">
        <v>154</v>
      </c>
      <c r="J2" s="226" t="s">
        <v>1096</v>
      </c>
    </row>
    <row r="3" spans="1:10" s="231" customFormat="1" ht="27.6">
      <c r="A3" s="223" t="s">
        <v>903</v>
      </c>
      <c r="B3" s="228">
        <v>46198.772415590283</v>
      </c>
      <c r="C3" s="229" t="s">
        <v>904</v>
      </c>
      <c r="D3" s="230" t="s">
        <v>721</v>
      </c>
      <c r="E3" s="223" t="s">
        <v>905</v>
      </c>
      <c r="F3" s="230" t="s">
        <v>3081</v>
      </c>
      <c r="G3" s="223" t="s">
        <v>907</v>
      </c>
      <c r="H3" s="230" t="s">
        <v>908</v>
      </c>
      <c r="I3" s="223" t="s">
        <v>551</v>
      </c>
      <c r="J3" s="230" t="s">
        <v>3082</v>
      </c>
    </row>
    <row r="4" spans="1:10" s="231" customFormat="1" ht="276">
      <c r="A4" s="223" t="s">
        <v>161</v>
      </c>
      <c r="B4" s="230">
        <v>0</v>
      </c>
      <c r="C4" s="223" t="s">
        <v>199</v>
      </c>
      <c r="D4" s="230">
        <v>0</v>
      </c>
      <c r="E4" s="223" t="s">
        <v>179</v>
      </c>
      <c r="F4" s="230">
        <v>0</v>
      </c>
      <c r="G4" s="223" t="s">
        <v>870</v>
      </c>
      <c r="H4" s="232" t="s">
        <v>3083</v>
      </c>
      <c r="I4" s="233"/>
      <c r="J4" s="233"/>
    </row>
    <row r="5" spans="1:10" s="231" customFormat="1">
      <c r="A5" s="234" t="s">
        <v>911</v>
      </c>
      <c r="B5" s="225" t="s">
        <v>2760</v>
      </c>
      <c r="C5" s="235" t="s">
        <v>912</v>
      </c>
      <c r="D5" s="225" t="s">
        <v>677</v>
      </c>
      <c r="E5" s="236" t="s">
        <v>913</v>
      </c>
      <c r="F5" s="225" t="s">
        <v>677</v>
      </c>
      <c r="G5" s="237" t="s">
        <v>914</v>
      </c>
      <c r="H5" s="225" t="s">
        <v>2761</v>
      </c>
      <c r="I5" s="237" t="s">
        <v>915</v>
      </c>
      <c r="J5" s="225" t="s">
        <v>947</v>
      </c>
    </row>
    <row r="6" spans="1:10" s="231" customFormat="1" ht="31.5" customHeight="1">
      <c r="A6" s="238" t="s">
        <v>916</v>
      </c>
      <c r="B6" s="225" t="s">
        <v>947</v>
      </c>
      <c r="C6" s="239" t="s">
        <v>869</v>
      </c>
      <c r="D6" s="854" t="s">
        <v>3084</v>
      </c>
      <c r="E6" s="853"/>
      <c r="F6" s="853"/>
      <c r="G6" s="853"/>
      <c r="H6" s="853"/>
      <c r="I6" s="853"/>
      <c r="J6" s="853"/>
    </row>
    <row r="7" spans="1:10">
      <c r="A7" s="13"/>
      <c r="B7" s="13"/>
      <c r="C7" s="13"/>
      <c r="D7" s="13"/>
      <c r="E7" s="13"/>
      <c r="F7" s="13"/>
      <c r="G7" s="13"/>
      <c r="H7" s="13"/>
      <c r="I7" s="13"/>
      <c r="J7" s="13"/>
    </row>
    <row r="8" spans="1:10">
      <c r="A8" s="842" t="s">
        <v>918</v>
      </c>
      <c r="B8" s="839"/>
      <c r="C8" s="839"/>
      <c r="D8" s="85"/>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96.6">
      <c r="A10" s="13" t="s">
        <v>372</v>
      </c>
      <c r="B10" s="13" t="s">
        <v>428</v>
      </c>
      <c r="C10" s="13" t="s">
        <v>923</v>
      </c>
      <c r="D10" s="13" t="s">
        <v>3085</v>
      </c>
      <c r="E10" s="13" t="s">
        <v>2764</v>
      </c>
      <c r="F10" s="13">
        <v>1</v>
      </c>
      <c r="G10" s="13">
        <v>0</v>
      </c>
      <c r="H10" s="13" t="s">
        <v>677</v>
      </c>
      <c r="I10" s="13" t="s">
        <v>3086</v>
      </c>
      <c r="J10" s="13" t="s">
        <v>3087</v>
      </c>
    </row>
    <row r="11" spans="1:10" ht="124.2">
      <c r="A11" s="13" t="s">
        <v>372</v>
      </c>
      <c r="B11" s="13" t="s">
        <v>42</v>
      </c>
      <c r="C11" s="13" t="s">
        <v>3088</v>
      </c>
      <c r="D11" s="13" t="s">
        <v>3089</v>
      </c>
      <c r="E11" s="13" t="s">
        <v>925</v>
      </c>
      <c r="F11" s="13">
        <v>2</v>
      </c>
      <c r="G11" s="13">
        <v>0</v>
      </c>
      <c r="H11" s="13" t="s">
        <v>677</v>
      </c>
      <c r="I11" s="13" t="s">
        <v>3090</v>
      </c>
      <c r="J11" s="13" t="s">
        <v>3091</v>
      </c>
    </row>
    <row r="12" spans="1:10">
      <c r="A12" s="13"/>
      <c r="B12" s="13"/>
      <c r="C12" s="13"/>
      <c r="D12" s="13"/>
      <c r="E12" s="13"/>
      <c r="F12" s="13"/>
      <c r="G12" s="13"/>
      <c r="H12" s="13"/>
      <c r="I12" s="13"/>
      <c r="J12" s="13"/>
    </row>
    <row r="13" spans="1:10">
      <c r="A13" s="842" t="s">
        <v>936</v>
      </c>
      <c r="B13" s="839"/>
      <c r="C13" s="839"/>
      <c r="D13" s="85"/>
      <c r="E13" s="85"/>
      <c r="F13" s="85"/>
      <c r="G13" s="85"/>
      <c r="H13" s="85"/>
      <c r="I13" s="85"/>
      <c r="J13" s="85"/>
    </row>
    <row r="14" spans="1:10">
      <c r="A14" s="50" t="s">
        <v>275</v>
      </c>
      <c r="B14" s="50" t="s">
        <v>937</v>
      </c>
      <c r="C14" s="50" t="s">
        <v>938</v>
      </c>
      <c r="D14" s="50" t="s">
        <v>939</v>
      </c>
      <c r="E14" s="50" t="s">
        <v>940</v>
      </c>
      <c r="F14" s="50" t="s">
        <v>941</v>
      </c>
      <c r="G14" s="50" t="s">
        <v>942</v>
      </c>
      <c r="H14" s="50" t="s">
        <v>943</v>
      </c>
      <c r="I14" s="50" t="s">
        <v>899</v>
      </c>
      <c r="J14" s="50" t="s">
        <v>944</v>
      </c>
    </row>
    <row r="15" spans="1:10" ht="82.8">
      <c r="A15" s="13" t="s">
        <v>428</v>
      </c>
      <c r="B15" s="13" t="s">
        <v>677</v>
      </c>
      <c r="C15" s="13" t="s">
        <v>677</v>
      </c>
      <c r="D15" s="13" t="s">
        <v>2771</v>
      </c>
      <c r="E15" s="13" t="s">
        <v>677</v>
      </c>
      <c r="F15" s="13" t="s">
        <v>947</v>
      </c>
      <c r="G15" s="13" t="s">
        <v>677</v>
      </c>
      <c r="H15" s="13" t="s">
        <v>677</v>
      </c>
      <c r="I15" s="13" t="s">
        <v>677</v>
      </c>
      <c r="J15" s="13" t="s">
        <v>3092</v>
      </c>
    </row>
    <row r="16" spans="1:10" ht="82.8">
      <c r="A16" s="13" t="s">
        <v>42</v>
      </c>
      <c r="B16" s="13" t="s">
        <v>946</v>
      </c>
      <c r="C16" s="13" t="s">
        <v>946</v>
      </c>
      <c r="D16" s="13" t="s">
        <v>946</v>
      </c>
      <c r="E16" s="13" t="s">
        <v>677</v>
      </c>
      <c r="F16" s="13" t="s">
        <v>947</v>
      </c>
      <c r="G16" s="13" t="s">
        <v>677</v>
      </c>
      <c r="H16" s="13" t="s">
        <v>677</v>
      </c>
      <c r="I16" s="13" t="s">
        <v>677</v>
      </c>
      <c r="J16" s="13" t="s">
        <v>3093</v>
      </c>
    </row>
    <row r="17" spans="1:10">
      <c r="A17" s="13"/>
      <c r="B17" s="13"/>
      <c r="C17" s="13"/>
      <c r="D17" s="13"/>
      <c r="E17" s="13"/>
      <c r="F17" s="13"/>
      <c r="G17" s="13"/>
      <c r="H17" s="13"/>
      <c r="I17" s="13"/>
      <c r="J17" s="13"/>
    </row>
    <row r="18" spans="1:10">
      <c r="A18" s="842" t="s">
        <v>951</v>
      </c>
      <c r="B18" s="839"/>
      <c r="C18" s="839"/>
      <c r="D18" s="85"/>
      <c r="E18" s="85"/>
      <c r="F18" s="85"/>
      <c r="G18" s="85"/>
      <c r="H18" s="85"/>
      <c r="I18" s="85"/>
      <c r="J18" s="85"/>
    </row>
    <row r="19" spans="1:10">
      <c r="A19" s="50" t="s">
        <v>275</v>
      </c>
      <c r="B19" s="50" t="s">
        <v>952</v>
      </c>
      <c r="C19" s="50" t="s">
        <v>953</v>
      </c>
      <c r="D19" s="50" t="s">
        <v>954</v>
      </c>
      <c r="E19" s="50" t="s">
        <v>955</v>
      </c>
      <c r="F19" s="50" t="s">
        <v>956</v>
      </c>
      <c r="G19" s="50" t="s">
        <v>957</v>
      </c>
      <c r="H19" s="50" t="s">
        <v>958</v>
      </c>
      <c r="I19" s="50" t="s">
        <v>899</v>
      </c>
      <c r="J19" s="50" t="s">
        <v>959</v>
      </c>
    </row>
    <row r="20" spans="1:10" ht="82.8">
      <c r="A20" s="13" t="s">
        <v>428</v>
      </c>
      <c r="B20" s="13" t="s">
        <v>2774</v>
      </c>
      <c r="C20" s="13" t="s">
        <v>679</v>
      </c>
      <c r="D20" s="13" t="s">
        <v>947</v>
      </c>
      <c r="E20" s="13" t="s">
        <v>947</v>
      </c>
      <c r="F20" s="13" t="s">
        <v>1238</v>
      </c>
      <c r="G20" s="13" t="s">
        <v>677</v>
      </c>
      <c r="H20" s="13" t="s">
        <v>677</v>
      </c>
      <c r="I20" s="13" t="s">
        <v>677</v>
      </c>
      <c r="J20" s="13" t="s">
        <v>3094</v>
      </c>
    </row>
    <row r="21" spans="1:10" ht="41.4">
      <c r="A21" s="13" t="s">
        <v>42</v>
      </c>
      <c r="B21" s="13" t="s">
        <v>946</v>
      </c>
      <c r="C21" s="13" t="s">
        <v>679</v>
      </c>
      <c r="D21" s="13" t="s">
        <v>947</v>
      </c>
      <c r="E21" s="13" t="s">
        <v>947</v>
      </c>
      <c r="F21" s="13" t="s">
        <v>1238</v>
      </c>
      <c r="G21" s="13" t="s">
        <v>677</v>
      </c>
      <c r="H21" s="13" t="s">
        <v>677</v>
      </c>
      <c r="I21" s="13" t="s">
        <v>677</v>
      </c>
      <c r="J21" s="13" t="s">
        <v>3095</v>
      </c>
    </row>
    <row r="22" spans="1:10">
      <c r="A22" s="13"/>
      <c r="B22" s="13"/>
      <c r="C22" s="13"/>
      <c r="D22" s="13"/>
      <c r="E22" s="13"/>
      <c r="F22" s="13"/>
      <c r="G22" s="13"/>
      <c r="H22" s="13"/>
      <c r="I22" s="13"/>
      <c r="J22" s="13"/>
    </row>
    <row r="23" spans="1:10">
      <c r="A23" s="842" t="s">
        <v>964</v>
      </c>
      <c r="B23" s="839"/>
      <c r="C23" s="839"/>
      <c r="D23" s="85"/>
      <c r="E23" s="85"/>
      <c r="F23" s="85"/>
      <c r="G23" s="85"/>
      <c r="H23" s="85"/>
      <c r="I23" s="85"/>
      <c r="J23" s="85"/>
    </row>
    <row r="24" spans="1:10">
      <c r="A24" s="50" t="s">
        <v>275</v>
      </c>
      <c r="B24" s="50" t="s">
        <v>965</v>
      </c>
      <c r="C24" s="50" t="s">
        <v>966</v>
      </c>
      <c r="D24" s="50" t="s">
        <v>967</v>
      </c>
      <c r="E24" s="50" t="s">
        <v>968</v>
      </c>
      <c r="F24" s="50" t="s">
        <v>969</v>
      </c>
      <c r="G24" s="50" t="s">
        <v>970</v>
      </c>
      <c r="H24" s="50" t="s">
        <v>971</v>
      </c>
      <c r="I24" s="50" t="s">
        <v>899</v>
      </c>
      <c r="J24" s="50" t="s">
        <v>959</v>
      </c>
    </row>
    <row r="25" spans="1:10" ht="69">
      <c r="A25" s="13" t="s">
        <v>428</v>
      </c>
      <c r="B25" s="13" t="s">
        <v>2777</v>
      </c>
      <c r="C25" s="13" t="s">
        <v>679</v>
      </c>
      <c r="D25" s="13" t="s">
        <v>679</v>
      </c>
      <c r="E25" s="13" t="s">
        <v>679</v>
      </c>
      <c r="F25" s="13" t="s">
        <v>679</v>
      </c>
      <c r="G25" s="13" t="s">
        <v>679</v>
      </c>
      <c r="H25" s="13" t="s">
        <v>679</v>
      </c>
      <c r="I25" s="13" t="s">
        <v>679</v>
      </c>
      <c r="J25" s="13" t="s">
        <v>3096</v>
      </c>
    </row>
    <row r="26" spans="1:10" ht="69">
      <c r="A26" s="13" t="s">
        <v>42</v>
      </c>
      <c r="B26" s="13" t="s">
        <v>2217</v>
      </c>
      <c r="C26" s="13" t="s">
        <v>677</v>
      </c>
      <c r="D26" s="13" t="s">
        <v>677</v>
      </c>
      <c r="E26" s="13" t="s">
        <v>677</v>
      </c>
      <c r="F26" s="13" t="s">
        <v>677</v>
      </c>
      <c r="G26" s="13" t="s">
        <v>677</v>
      </c>
      <c r="H26" s="13" t="s">
        <v>677</v>
      </c>
      <c r="I26" s="13" t="s">
        <v>677</v>
      </c>
      <c r="J26" s="13" t="s">
        <v>3097</v>
      </c>
    </row>
    <row r="27" spans="1:10">
      <c r="A27" s="13"/>
      <c r="B27" s="13"/>
      <c r="C27" s="13"/>
      <c r="D27" s="13"/>
      <c r="E27" s="13"/>
      <c r="F27" s="13"/>
      <c r="G27" s="13"/>
      <c r="H27" s="13"/>
      <c r="I27" s="13"/>
      <c r="J27" s="13"/>
    </row>
    <row r="28" spans="1:10">
      <c r="A28" s="842" t="s">
        <v>977</v>
      </c>
      <c r="B28" s="839"/>
      <c r="C28" s="839"/>
      <c r="D28" s="85"/>
      <c r="E28" s="85"/>
      <c r="F28" s="85"/>
      <c r="G28" s="85"/>
      <c r="H28" s="85"/>
      <c r="I28" s="85"/>
      <c r="J28" s="85"/>
    </row>
    <row r="29" spans="1:10">
      <c r="A29" s="50" t="s">
        <v>275</v>
      </c>
      <c r="B29" s="50" t="s">
        <v>978</v>
      </c>
      <c r="C29" s="50" t="s">
        <v>979</v>
      </c>
      <c r="D29" s="50" t="s">
        <v>980</v>
      </c>
      <c r="E29" s="50" t="s">
        <v>981</v>
      </c>
      <c r="F29" s="50" t="s">
        <v>982</v>
      </c>
      <c r="G29" s="50" t="s">
        <v>983</v>
      </c>
      <c r="H29" s="50" t="s">
        <v>984</v>
      </c>
      <c r="I29" s="50" t="s">
        <v>899</v>
      </c>
      <c r="J29" s="50" t="s">
        <v>11</v>
      </c>
    </row>
    <row r="30" spans="1:10" ht="96.6">
      <c r="A30" s="13" t="s">
        <v>428</v>
      </c>
      <c r="B30" s="13" t="s">
        <v>677</v>
      </c>
      <c r="C30" s="13" t="s">
        <v>2780</v>
      </c>
      <c r="D30" s="13" t="s">
        <v>677</v>
      </c>
      <c r="E30" s="13" t="s">
        <v>677</v>
      </c>
      <c r="F30" s="13" t="s">
        <v>3098</v>
      </c>
      <c r="G30" s="13" t="s">
        <v>677</v>
      </c>
      <c r="H30" s="13" t="s">
        <v>677</v>
      </c>
      <c r="I30" s="13" t="s">
        <v>677</v>
      </c>
      <c r="J30" s="13" t="s">
        <v>3099</v>
      </c>
    </row>
    <row r="31" spans="1:10" ht="82.8">
      <c r="A31" s="13" t="s">
        <v>42</v>
      </c>
      <c r="B31" s="13" t="s">
        <v>988</v>
      </c>
      <c r="C31" s="13" t="s">
        <v>3100</v>
      </c>
      <c r="D31" s="13" t="s">
        <v>988</v>
      </c>
      <c r="E31" s="13" t="s">
        <v>677</v>
      </c>
      <c r="F31" s="13" t="s">
        <v>946</v>
      </c>
      <c r="G31" s="13" t="s">
        <v>677</v>
      </c>
      <c r="H31" s="13" t="s">
        <v>677</v>
      </c>
      <c r="I31" s="13" t="s">
        <v>677</v>
      </c>
      <c r="J31" s="13" t="s">
        <v>3101</v>
      </c>
    </row>
    <row r="32" spans="1:10">
      <c r="A32" s="13"/>
      <c r="B32" s="13"/>
      <c r="C32" s="13"/>
      <c r="D32" s="13"/>
      <c r="E32" s="13"/>
      <c r="F32" s="13"/>
      <c r="G32" s="13"/>
      <c r="H32" s="13"/>
      <c r="I32" s="13"/>
      <c r="J32" s="13"/>
    </row>
    <row r="33" spans="1:10">
      <c r="A33" s="842" t="s">
        <v>994</v>
      </c>
      <c r="B33" s="839"/>
      <c r="C33" s="839"/>
      <c r="D33" s="85"/>
      <c r="E33" s="85"/>
      <c r="F33" s="85"/>
      <c r="G33" s="85"/>
      <c r="H33" s="85"/>
      <c r="I33" s="85"/>
      <c r="J33" s="85"/>
    </row>
    <row r="34" spans="1:10">
      <c r="A34" s="50" t="s">
        <v>275</v>
      </c>
      <c r="B34" s="50" t="s">
        <v>995</v>
      </c>
      <c r="C34" s="50" t="s">
        <v>996</v>
      </c>
      <c r="D34" s="50" t="s">
        <v>997</v>
      </c>
      <c r="E34" s="50" t="s">
        <v>998</v>
      </c>
      <c r="F34" s="50" t="s">
        <v>999</v>
      </c>
      <c r="G34" s="50" t="s">
        <v>1000</v>
      </c>
      <c r="H34" s="50" t="s">
        <v>1001</v>
      </c>
      <c r="I34" s="50" t="s">
        <v>899</v>
      </c>
      <c r="J34" s="50" t="s">
        <v>11</v>
      </c>
    </row>
    <row r="35" spans="1:10" ht="96.6">
      <c r="A35" s="13" t="s">
        <v>428</v>
      </c>
      <c r="B35" s="13" t="s">
        <v>677</v>
      </c>
      <c r="C35" s="13" t="s">
        <v>677</v>
      </c>
      <c r="D35" s="13" t="s">
        <v>677</v>
      </c>
      <c r="E35" s="13" t="s">
        <v>677</v>
      </c>
      <c r="F35" s="13" t="s">
        <v>677</v>
      </c>
      <c r="G35" s="13" t="s">
        <v>677</v>
      </c>
      <c r="H35" s="13" t="s">
        <v>677</v>
      </c>
      <c r="I35" s="13" t="s">
        <v>677</v>
      </c>
      <c r="J35" s="13" t="s">
        <v>3102</v>
      </c>
    </row>
    <row r="36" spans="1:10" ht="82.8">
      <c r="A36" s="13" t="s">
        <v>42</v>
      </c>
      <c r="B36" s="13" t="s">
        <v>988</v>
      </c>
      <c r="C36" s="13" t="s">
        <v>988</v>
      </c>
      <c r="D36" s="13" t="s">
        <v>988</v>
      </c>
      <c r="E36" s="13" t="s">
        <v>677</v>
      </c>
      <c r="F36" s="13" t="s">
        <v>677</v>
      </c>
      <c r="G36" s="13" t="s">
        <v>677</v>
      </c>
      <c r="H36" s="13" t="s">
        <v>677</v>
      </c>
      <c r="I36" s="13" t="s">
        <v>677</v>
      </c>
      <c r="J36" s="13" t="s">
        <v>3103</v>
      </c>
    </row>
    <row r="37" spans="1:10">
      <c r="A37" s="13"/>
      <c r="B37" s="13"/>
      <c r="C37" s="13"/>
      <c r="D37" s="13"/>
      <c r="E37" s="13"/>
      <c r="F37" s="13"/>
      <c r="G37" s="13"/>
      <c r="H37" s="13"/>
      <c r="I37" s="13"/>
      <c r="J37" s="13"/>
    </row>
    <row r="38" spans="1:10">
      <c r="A38" s="842" t="s">
        <v>1007</v>
      </c>
      <c r="B38" s="839"/>
      <c r="C38" s="839"/>
      <c r="D38" s="85"/>
      <c r="E38" s="85"/>
      <c r="F38" s="85"/>
      <c r="G38" s="85"/>
      <c r="H38" s="85"/>
      <c r="I38" s="85"/>
      <c r="J38" s="85"/>
    </row>
    <row r="39" spans="1:10">
      <c r="A39" s="50" t="s">
        <v>275</v>
      </c>
      <c r="B39" s="50" t="s">
        <v>1008</v>
      </c>
      <c r="C39" s="50" t="s">
        <v>1009</v>
      </c>
      <c r="D39" s="50" t="s">
        <v>1010</v>
      </c>
      <c r="E39" s="50" t="s">
        <v>1011</v>
      </c>
      <c r="F39" s="50" t="s">
        <v>1012</v>
      </c>
      <c r="G39" s="50" t="s">
        <v>1013</v>
      </c>
      <c r="H39" s="50" t="s">
        <v>1014</v>
      </c>
      <c r="I39" s="50" t="s">
        <v>899</v>
      </c>
      <c r="J39" s="50" t="s">
        <v>11</v>
      </c>
    </row>
    <row r="40" spans="1:10" ht="69">
      <c r="A40" s="13" t="s">
        <v>428</v>
      </c>
      <c r="B40" s="13" t="s">
        <v>1238</v>
      </c>
      <c r="C40" s="13" t="s">
        <v>1238</v>
      </c>
      <c r="D40" s="13" t="s">
        <v>1238</v>
      </c>
      <c r="E40" s="13" t="s">
        <v>1238</v>
      </c>
      <c r="F40" s="13" t="s">
        <v>947</v>
      </c>
      <c r="G40" s="13" t="s">
        <v>947</v>
      </c>
      <c r="H40" s="13" t="s">
        <v>677</v>
      </c>
      <c r="I40" s="13" t="s">
        <v>677</v>
      </c>
      <c r="J40" s="13" t="s">
        <v>3104</v>
      </c>
    </row>
    <row r="41" spans="1:10" ht="69">
      <c r="A41" s="13" t="s">
        <v>42</v>
      </c>
      <c r="B41" s="13" t="s">
        <v>947</v>
      </c>
      <c r="C41" s="13" t="s">
        <v>947</v>
      </c>
      <c r="D41" s="13" t="s">
        <v>947</v>
      </c>
      <c r="E41" s="13" t="s">
        <v>947</v>
      </c>
      <c r="F41" s="13" t="s">
        <v>947</v>
      </c>
      <c r="G41" s="13" t="s">
        <v>947</v>
      </c>
      <c r="H41" s="13" t="s">
        <v>677</v>
      </c>
      <c r="I41" s="13" t="s">
        <v>677</v>
      </c>
      <c r="J41" s="13" t="s">
        <v>3105</v>
      </c>
    </row>
    <row r="42" spans="1:10">
      <c r="A42" s="13"/>
      <c r="B42" s="13"/>
      <c r="C42" s="13"/>
      <c r="D42" s="13"/>
      <c r="E42" s="13"/>
      <c r="F42" s="13"/>
      <c r="G42" s="13"/>
      <c r="H42" s="13"/>
      <c r="I42" s="13"/>
      <c r="J42" s="13"/>
    </row>
    <row r="43" spans="1:10">
      <c r="A43" s="842" t="s">
        <v>1019</v>
      </c>
      <c r="B43" s="839"/>
      <c r="C43" s="839"/>
      <c r="D43" s="85"/>
      <c r="E43" s="85"/>
      <c r="F43" s="85"/>
      <c r="G43" s="85"/>
      <c r="H43" s="85"/>
      <c r="I43" s="85"/>
      <c r="J43" s="85"/>
    </row>
    <row r="44" spans="1:10">
      <c r="A44" s="50" t="s">
        <v>213</v>
      </c>
      <c r="B44" s="50" t="s">
        <v>275</v>
      </c>
      <c r="C44" s="50" t="s">
        <v>573</v>
      </c>
      <c r="D44" s="50" t="s">
        <v>215</v>
      </c>
      <c r="E44" s="50" t="s">
        <v>257</v>
      </c>
      <c r="F44" s="50" t="s">
        <v>572</v>
      </c>
      <c r="G44" s="50" t="s">
        <v>259</v>
      </c>
      <c r="H44" s="50" t="s">
        <v>216</v>
      </c>
      <c r="I44" s="50" t="s">
        <v>77</v>
      </c>
      <c r="J44" s="50" t="s">
        <v>11</v>
      </c>
    </row>
    <row r="45" spans="1:10" ht="55.2">
      <c r="A45" s="13" t="s">
        <v>3106</v>
      </c>
      <c r="B45" s="13" t="s">
        <v>575</v>
      </c>
      <c r="C45" s="13" t="s">
        <v>3107</v>
      </c>
      <c r="D45" s="13" t="s">
        <v>391</v>
      </c>
      <c r="E45" s="13" t="s">
        <v>488</v>
      </c>
      <c r="F45" s="13">
        <v>6</v>
      </c>
      <c r="G45" s="13" t="s">
        <v>1381</v>
      </c>
      <c r="H45" s="13" t="s">
        <v>1023</v>
      </c>
      <c r="I45" s="13" t="s">
        <v>502</v>
      </c>
      <c r="J45" s="13" t="s">
        <v>3108</v>
      </c>
    </row>
    <row r="46" spans="1:10" ht="82.8">
      <c r="A46" s="13" t="s">
        <v>3109</v>
      </c>
      <c r="B46" s="13" t="s">
        <v>3110</v>
      </c>
      <c r="C46" s="13" t="s">
        <v>3111</v>
      </c>
      <c r="D46" s="13" t="s">
        <v>492</v>
      </c>
      <c r="E46" s="13" t="s">
        <v>488</v>
      </c>
      <c r="F46" s="13">
        <v>8</v>
      </c>
      <c r="G46" s="13" t="s">
        <v>1025</v>
      </c>
      <c r="H46" s="13" t="s">
        <v>584</v>
      </c>
      <c r="I46" s="13" t="s">
        <v>502</v>
      </c>
      <c r="J46" s="13" t="s">
        <v>3112</v>
      </c>
    </row>
    <row r="47" spans="1:10" ht="82.8">
      <c r="A47" s="13" t="s">
        <v>3113</v>
      </c>
      <c r="B47" s="13" t="s">
        <v>428</v>
      </c>
      <c r="C47" s="13" t="s">
        <v>3114</v>
      </c>
      <c r="D47" s="13" t="s">
        <v>488</v>
      </c>
      <c r="E47" s="13" t="s">
        <v>488</v>
      </c>
      <c r="F47" s="13">
        <v>4</v>
      </c>
      <c r="G47" s="13" t="s">
        <v>3022</v>
      </c>
      <c r="H47" s="13" t="s">
        <v>2798</v>
      </c>
      <c r="I47" s="13" t="s">
        <v>502</v>
      </c>
      <c r="J47" s="13" t="s">
        <v>3115</v>
      </c>
    </row>
    <row r="48" spans="1:10" ht="69">
      <c r="A48" s="13" t="s">
        <v>3116</v>
      </c>
      <c r="B48" s="13" t="s">
        <v>428</v>
      </c>
      <c r="C48" s="13" t="s">
        <v>3117</v>
      </c>
      <c r="D48" s="13" t="s">
        <v>391</v>
      </c>
      <c r="E48" s="13" t="s">
        <v>488</v>
      </c>
      <c r="F48" s="13">
        <v>6</v>
      </c>
      <c r="G48" s="13" t="s">
        <v>3026</v>
      </c>
      <c r="H48" s="13" t="s">
        <v>2803</v>
      </c>
      <c r="I48" s="13" t="s">
        <v>502</v>
      </c>
      <c r="J48" s="13" t="s">
        <v>2804</v>
      </c>
    </row>
    <row r="49" spans="1:10" ht="69">
      <c r="A49" s="13" t="s">
        <v>3118</v>
      </c>
      <c r="B49" s="13" t="s">
        <v>428</v>
      </c>
      <c r="C49" s="13" t="s">
        <v>2806</v>
      </c>
      <c r="D49" s="13" t="s">
        <v>391</v>
      </c>
      <c r="E49" s="13" t="s">
        <v>488</v>
      </c>
      <c r="F49" s="13">
        <v>6</v>
      </c>
      <c r="G49" s="13" t="s">
        <v>2807</v>
      </c>
      <c r="H49" s="13" t="s">
        <v>2808</v>
      </c>
      <c r="I49" s="13" t="s">
        <v>502</v>
      </c>
      <c r="J49" s="13" t="s">
        <v>2809</v>
      </c>
    </row>
    <row r="50" spans="1:10" ht="82.8">
      <c r="A50" s="13" t="s">
        <v>3119</v>
      </c>
      <c r="B50" s="13" t="s">
        <v>575</v>
      </c>
      <c r="C50" s="13" t="s">
        <v>3120</v>
      </c>
      <c r="D50" s="13" t="s">
        <v>391</v>
      </c>
      <c r="E50" s="13" t="s">
        <v>488</v>
      </c>
      <c r="F50" s="13">
        <v>6</v>
      </c>
      <c r="G50" s="13" t="s">
        <v>2812</v>
      </c>
      <c r="H50" s="13" t="s">
        <v>1037</v>
      </c>
      <c r="I50" s="13" t="s">
        <v>502</v>
      </c>
      <c r="J50" s="13" t="s">
        <v>3121</v>
      </c>
    </row>
    <row r="51" spans="1:10" ht="82.8">
      <c r="A51" s="13" t="s">
        <v>3122</v>
      </c>
      <c r="B51" s="13" t="s">
        <v>575</v>
      </c>
      <c r="C51" s="13" t="s">
        <v>2815</v>
      </c>
      <c r="D51" s="13" t="s">
        <v>391</v>
      </c>
      <c r="E51" s="13" t="s">
        <v>488</v>
      </c>
      <c r="F51" s="13">
        <v>6</v>
      </c>
      <c r="G51" s="13" t="s">
        <v>2816</v>
      </c>
      <c r="H51" s="13" t="s">
        <v>622</v>
      </c>
      <c r="I51" s="13" t="s">
        <v>502</v>
      </c>
      <c r="J51" s="13" t="s">
        <v>3123</v>
      </c>
    </row>
    <row r="52" spans="1:10" ht="82.8">
      <c r="A52" s="13" t="s">
        <v>3124</v>
      </c>
      <c r="B52" s="13" t="s">
        <v>3125</v>
      </c>
      <c r="C52" s="13" t="s">
        <v>3126</v>
      </c>
      <c r="D52" s="13" t="s">
        <v>391</v>
      </c>
      <c r="E52" s="13" t="s">
        <v>488</v>
      </c>
      <c r="F52" s="13">
        <v>6</v>
      </c>
      <c r="G52" s="13" t="s">
        <v>3127</v>
      </c>
      <c r="H52" s="13" t="s">
        <v>584</v>
      </c>
      <c r="I52" s="13" t="s">
        <v>502</v>
      </c>
      <c r="J52" s="13" t="s">
        <v>3128</v>
      </c>
    </row>
    <row r="53" spans="1:10">
      <c r="A53" s="13"/>
      <c r="B53" s="13"/>
      <c r="C53" s="13"/>
      <c r="D53" s="13"/>
      <c r="E53" s="13"/>
      <c r="F53" s="13"/>
      <c r="G53" s="13"/>
      <c r="H53" s="13"/>
      <c r="I53" s="13"/>
      <c r="J53" s="13"/>
    </row>
    <row r="54" spans="1:10">
      <c r="A54" s="842" t="s">
        <v>1051</v>
      </c>
      <c r="B54" s="839"/>
      <c r="C54" s="839"/>
      <c r="D54" s="85"/>
      <c r="E54" s="85"/>
      <c r="F54" s="85"/>
      <c r="G54" s="85"/>
      <c r="H54" s="85"/>
      <c r="I54" s="85"/>
      <c r="J54" s="85"/>
    </row>
    <row r="55" spans="1:10">
      <c r="A55" s="50" t="s">
        <v>221</v>
      </c>
      <c r="B55" s="50" t="s">
        <v>222</v>
      </c>
      <c r="C55" s="50" t="s">
        <v>265</v>
      </c>
      <c r="D55" s="50" t="s">
        <v>77</v>
      </c>
      <c r="E55" s="50" t="s">
        <v>878</v>
      </c>
      <c r="F55" s="50" t="s">
        <v>879</v>
      </c>
      <c r="G55" s="50" t="s">
        <v>880</v>
      </c>
      <c r="H55" s="50" t="s">
        <v>494</v>
      </c>
      <c r="I55" s="50" t="s">
        <v>881</v>
      </c>
      <c r="J55" s="50" t="s">
        <v>11</v>
      </c>
    </row>
    <row r="56" spans="1:10" ht="69">
      <c r="A56" s="13" t="s">
        <v>3129</v>
      </c>
      <c r="B56" s="13" t="s">
        <v>3130</v>
      </c>
      <c r="C56" s="13" t="s">
        <v>579</v>
      </c>
      <c r="D56" s="13" t="s">
        <v>502</v>
      </c>
      <c r="E56" s="13"/>
      <c r="F56" s="13"/>
      <c r="G56" s="13" t="s">
        <v>2619</v>
      </c>
      <c r="H56" s="13"/>
      <c r="I56" s="13"/>
      <c r="J56" s="13"/>
    </row>
    <row r="57" spans="1:10" ht="55.2">
      <c r="A57" s="13" t="s">
        <v>3131</v>
      </c>
      <c r="B57" s="13" t="s">
        <v>3132</v>
      </c>
      <c r="C57" s="13" t="s">
        <v>587</v>
      </c>
      <c r="D57" s="13" t="s">
        <v>502</v>
      </c>
      <c r="E57" s="13"/>
      <c r="F57" s="13"/>
      <c r="G57" s="13" t="s">
        <v>588</v>
      </c>
      <c r="H57" s="13"/>
      <c r="I57" s="13"/>
      <c r="J57" s="13"/>
    </row>
    <row r="58" spans="1:10" ht="96.6">
      <c r="A58" s="13" t="s">
        <v>3133</v>
      </c>
      <c r="B58" s="13" t="s">
        <v>3134</v>
      </c>
      <c r="C58" s="13" t="s">
        <v>616</v>
      </c>
      <c r="D58" s="13" t="s">
        <v>502</v>
      </c>
      <c r="E58" s="13"/>
      <c r="F58" s="13"/>
      <c r="G58" s="13" t="s">
        <v>617</v>
      </c>
      <c r="H58" s="13"/>
      <c r="I58" s="13"/>
      <c r="J58" s="13"/>
    </row>
    <row r="59" spans="1:10" ht="96.6">
      <c r="A59" s="13" t="s">
        <v>3135</v>
      </c>
      <c r="B59" s="13" t="s">
        <v>3136</v>
      </c>
      <c r="C59" s="13" t="s">
        <v>2830</v>
      </c>
      <c r="D59" s="13" t="s">
        <v>502</v>
      </c>
      <c r="E59" s="13"/>
      <c r="F59" s="13"/>
      <c r="G59" s="13" t="s">
        <v>2831</v>
      </c>
      <c r="H59" s="13"/>
      <c r="I59" s="13"/>
      <c r="J59" s="13"/>
    </row>
    <row r="60" spans="1:10" ht="96.6">
      <c r="A60" s="13" t="s">
        <v>3137</v>
      </c>
      <c r="B60" s="13" t="s">
        <v>3138</v>
      </c>
      <c r="C60" s="13" t="s">
        <v>2834</v>
      </c>
      <c r="D60" s="13" t="s">
        <v>502</v>
      </c>
      <c r="E60" s="13"/>
      <c r="F60" s="13"/>
      <c r="G60" s="13" t="s">
        <v>2835</v>
      </c>
      <c r="H60" s="13"/>
      <c r="I60" s="13"/>
      <c r="J60" s="13"/>
    </row>
    <row r="61" spans="1:10" ht="69">
      <c r="A61" s="13" t="s">
        <v>3139</v>
      </c>
      <c r="B61" s="13" t="s">
        <v>3140</v>
      </c>
      <c r="C61" s="13" t="s">
        <v>2838</v>
      </c>
      <c r="D61" s="13" t="s">
        <v>502</v>
      </c>
      <c r="E61" s="13"/>
      <c r="F61" s="13"/>
      <c r="G61" s="13" t="s">
        <v>2839</v>
      </c>
      <c r="H61" s="13"/>
      <c r="I61" s="13"/>
      <c r="J61" s="13"/>
    </row>
    <row r="62" spans="1:10" ht="82.8">
      <c r="A62" s="13" t="s">
        <v>3141</v>
      </c>
      <c r="B62" s="13" t="s">
        <v>2841</v>
      </c>
      <c r="C62" s="13" t="s">
        <v>584</v>
      </c>
      <c r="D62" s="13" t="s">
        <v>502</v>
      </c>
      <c r="E62" s="13"/>
      <c r="F62" s="13"/>
      <c r="G62" s="13" t="s">
        <v>2842</v>
      </c>
      <c r="H62" s="13"/>
      <c r="I62" s="13"/>
      <c r="J62" s="13"/>
    </row>
    <row r="63" spans="1:10" ht="69">
      <c r="A63" s="13" t="s">
        <v>3142</v>
      </c>
      <c r="B63" s="13" t="s">
        <v>3143</v>
      </c>
      <c r="C63" s="13" t="s">
        <v>579</v>
      </c>
      <c r="D63" s="13" t="s">
        <v>502</v>
      </c>
      <c r="E63" s="13"/>
      <c r="F63" s="13"/>
      <c r="G63" s="13" t="s">
        <v>3144</v>
      </c>
      <c r="H63" s="13"/>
      <c r="I63" s="13"/>
      <c r="J63" s="13"/>
    </row>
    <row r="64" spans="1:10">
      <c r="A64" s="13"/>
      <c r="B64" s="13"/>
      <c r="C64" s="13"/>
      <c r="D64" s="13"/>
      <c r="E64" s="13"/>
      <c r="F64" s="13"/>
      <c r="G64" s="13"/>
      <c r="H64" s="13"/>
      <c r="I64" s="13"/>
      <c r="J64" s="13"/>
    </row>
    <row r="65" spans="1:10">
      <c r="A65" s="842" t="s">
        <v>1052</v>
      </c>
      <c r="B65" s="839"/>
      <c r="C65" s="839"/>
      <c r="D65" s="85"/>
      <c r="E65" s="85"/>
      <c r="F65" s="85"/>
      <c r="G65" s="85"/>
      <c r="H65" s="85"/>
      <c r="I65" s="85"/>
      <c r="J65" s="85"/>
    </row>
    <row r="66" spans="1:10">
      <c r="A66" s="50" t="s">
        <v>291</v>
      </c>
      <c r="B66" s="50" t="s">
        <v>275</v>
      </c>
      <c r="C66" s="50" t="s">
        <v>493</v>
      </c>
      <c r="D66" s="50" t="s">
        <v>214</v>
      </c>
      <c r="E66" s="50" t="s">
        <v>263</v>
      </c>
      <c r="F66" s="50" t="s">
        <v>891</v>
      </c>
      <c r="G66" s="50" t="s">
        <v>892</v>
      </c>
      <c r="H66" s="50" t="s">
        <v>893</v>
      </c>
      <c r="I66" s="50" t="s">
        <v>77</v>
      </c>
      <c r="J66" s="50" t="s">
        <v>11</v>
      </c>
    </row>
    <row r="67" spans="1:10" ht="110.4">
      <c r="A67" s="13" t="s">
        <v>3145</v>
      </c>
      <c r="B67" s="13" t="s">
        <v>428</v>
      </c>
      <c r="C67" s="13" t="s">
        <v>269</v>
      </c>
      <c r="D67" s="13" t="s">
        <v>3146</v>
      </c>
      <c r="E67" s="13"/>
      <c r="F67" s="13" t="s">
        <v>229</v>
      </c>
      <c r="G67" s="13"/>
      <c r="H67" s="13" t="s">
        <v>3147</v>
      </c>
      <c r="I67" s="13" t="s">
        <v>502</v>
      </c>
      <c r="J67" s="13"/>
    </row>
    <row r="68" spans="1:10" ht="124.2">
      <c r="A68" s="13" t="s">
        <v>3148</v>
      </c>
      <c r="B68" s="13" t="s">
        <v>42</v>
      </c>
      <c r="C68" s="13" t="s">
        <v>269</v>
      </c>
      <c r="D68" s="13" t="s">
        <v>3149</v>
      </c>
      <c r="E68" s="13"/>
      <c r="F68" s="13" t="s">
        <v>229</v>
      </c>
      <c r="G68" s="13"/>
      <c r="H68" s="13" t="s">
        <v>3150</v>
      </c>
      <c r="I68" s="13" t="s">
        <v>502</v>
      </c>
      <c r="J68" s="13"/>
    </row>
    <row r="69" spans="1:10" ht="96.6">
      <c r="A69" s="13" t="s">
        <v>3151</v>
      </c>
      <c r="B69" s="13" t="s">
        <v>42</v>
      </c>
      <c r="C69" s="13" t="s">
        <v>1058</v>
      </c>
      <c r="D69" s="13" t="s">
        <v>3152</v>
      </c>
      <c r="E69" s="13"/>
      <c r="F69" s="13" t="s">
        <v>229</v>
      </c>
      <c r="G69" s="13"/>
      <c r="H69" s="13" t="s">
        <v>3153</v>
      </c>
      <c r="I69" s="13" t="s">
        <v>502</v>
      </c>
      <c r="J69" s="13"/>
    </row>
    <row r="70" spans="1:10" ht="110.4">
      <c r="A70" s="13" t="s">
        <v>3154</v>
      </c>
      <c r="B70" s="13" t="s">
        <v>3110</v>
      </c>
      <c r="C70" s="13" t="s">
        <v>2640</v>
      </c>
      <c r="D70" s="13" t="s">
        <v>3155</v>
      </c>
      <c r="E70" s="13"/>
      <c r="F70" s="13" t="s">
        <v>229</v>
      </c>
      <c r="G70" s="13"/>
      <c r="H70" s="13" t="s">
        <v>3156</v>
      </c>
      <c r="I70" s="13" t="s">
        <v>502</v>
      </c>
      <c r="J70" s="13"/>
    </row>
    <row r="71" spans="1:10" ht="82.8">
      <c r="A71" s="13" t="s">
        <v>3157</v>
      </c>
      <c r="B71" s="13" t="s">
        <v>428</v>
      </c>
      <c r="C71" s="13" t="s">
        <v>153</v>
      </c>
      <c r="D71" s="13" t="s">
        <v>2970</v>
      </c>
      <c r="E71" s="13"/>
      <c r="F71" s="13" t="s">
        <v>229</v>
      </c>
      <c r="G71" s="13"/>
      <c r="H71" s="13" t="s">
        <v>3118</v>
      </c>
      <c r="I71" s="13" t="s">
        <v>502</v>
      </c>
      <c r="J71" s="13"/>
    </row>
    <row r="72" spans="1:10" ht="96.6">
      <c r="A72" s="13" t="s">
        <v>3158</v>
      </c>
      <c r="B72" s="13" t="s">
        <v>3110</v>
      </c>
      <c r="C72" s="13" t="s">
        <v>155</v>
      </c>
      <c r="D72" s="13" t="s">
        <v>3159</v>
      </c>
      <c r="E72" s="13"/>
      <c r="F72" s="13" t="s">
        <v>229</v>
      </c>
      <c r="G72" s="13"/>
      <c r="H72" s="13" t="s">
        <v>3153</v>
      </c>
      <c r="I72" s="13" t="s">
        <v>502</v>
      </c>
      <c r="J72" s="13"/>
    </row>
    <row r="73" spans="1:10" ht="69">
      <c r="A73" s="13" t="s">
        <v>3160</v>
      </c>
      <c r="B73" s="13" t="s">
        <v>575</v>
      </c>
      <c r="C73" s="13" t="s">
        <v>957</v>
      </c>
      <c r="D73" s="13" t="s">
        <v>2975</v>
      </c>
      <c r="E73" s="13"/>
      <c r="F73" s="13" t="s">
        <v>229</v>
      </c>
      <c r="G73" s="13"/>
      <c r="H73" s="13" t="s">
        <v>3122</v>
      </c>
      <c r="I73" s="13" t="s">
        <v>502</v>
      </c>
      <c r="J73" s="13"/>
    </row>
    <row r="74" spans="1:10" ht="82.8">
      <c r="A74" s="13" t="s">
        <v>3161</v>
      </c>
      <c r="B74" s="13" t="s">
        <v>3162</v>
      </c>
      <c r="C74" s="13" t="s">
        <v>2865</v>
      </c>
      <c r="D74" s="13" t="s">
        <v>3163</v>
      </c>
      <c r="E74" s="13"/>
      <c r="F74" s="13" t="s">
        <v>229</v>
      </c>
      <c r="G74" s="13"/>
      <c r="H74" s="13" t="s">
        <v>3124</v>
      </c>
      <c r="I74" s="13" t="s">
        <v>502</v>
      </c>
      <c r="J74" s="13"/>
    </row>
    <row r="75" spans="1:10">
      <c r="A75" s="13"/>
      <c r="B75" s="13"/>
      <c r="C75" s="13"/>
      <c r="D75" s="13"/>
      <c r="E75" s="13"/>
      <c r="F75" s="13"/>
      <c r="G75" s="13"/>
      <c r="H75" s="13"/>
      <c r="I75" s="13"/>
      <c r="J75" s="13"/>
    </row>
    <row r="76" spans="1:10">
      <c r="A76" s="842" t="s">
        <v>1079</v>
      </c>
      <c r="B76" s="839"/>
      <c r="C76" s="839"/>
      <c r="D76" s="85"/>
      <c r="E76" s="85"/>
      <c r="F76" s="85"/>
      <c r="G76" s="85"/>
      <c r="H76" s="85"/>
      <c r="I76" s="85"/>
      <c r="J76" s="85"/>
    </row>
    <row r="77" spans="1:10">
      <c r="A77" s="50" t="s">
        <v>275</v>
      </c>
      <c r="B77" s="50" t="s">
        <v>895</v>
      </c>
      <c r="C77" s="50" t="s">
        <v>896</v>
      </c>
      <c r="D77" s="50" t="s">
        <v>148</v>
      </c>
      <c r="E77" s="50" t="s">
        <v>153</v>
      </c>
      <c r="F77" s="50" t="s">
        <v>155</v>
      </c>
      <c r="G77" s="50" t="s">
        <v>491</v>
      </c>
      <c r="H77" s="50" t="s">
        <v>897</v>
      </c>
      <c r="I77" s="50" t="s">
        <v>174</v>
      </c>
      <c r="J77" s="50" t="s">
        <v>11</v>
      </c>
    </row>
    <row r="78" spans="1:10" ht="55.2">
      <c r="A78" s="13" t="s">
        <v>428</v>
      </c>
      <c r="B78" s="13">
        <v>0.5</v>
      </c>
      <c r="C78" s="13">
        <v>0.5</v>
      </c>
      <c r="D78" s="13" t="s">
        <v>1238</v>
      </c>
      <c r="E78" s="13">
        <v>0.5</v>
      </c>
      <c r="F78" s="13">
        <v>0.5</v>
      </c>
      <c r="G78" s="13" t="s">
        <v>677</v>
      </c>
      <c r="H78" s="13">
        <v>0.5</v>
      </c>
      <c r="I78" s="13" t="s">
        <v>1201</v>
      </c>
      <c r="J78" s="13" t="s">
        <v>3164</v>
      </c>
    </row>
    <row r="79" spans="1:10" ht="41.4">
      <c r="A79" s="13" t="s">
        <v>42</v>
      </c>
      <c r="B79" s="13">
        <v>0.5</v>
      </c>
      <c r="C79" s="13">
        <v>0.5</v>
      </c>
      <c r="D79" s="13">
        <v>0.5</v>
      </c>
      <c r="E79" s="13">
        <v>0.5</v>
      </c>
      <c r="F79" s="13">
        <v>0.5</v>
      </c>
      <c r="G79" s="13" t="s">
        <v>677</v>
      </c>
      <c r="H79" s="13">
        <v>0.5</v>
      </c>
      <c r="I79" s="13" t="s">
        <v>1201</v>
      </c>
      <c r="J79" s="13" t="s">
        <v>3165</v>
      </c>
    </row>
    <row r="80" spans="1:10">
      <c r="A80" s="13"/>
      <c r="B80" s="13"/>
      <c r="C80" s="13"/>
      <c r="D80" s="13"/>
      <c r="E80" s="13"/>
      <c r="F80" s="13"/>
      <c r="G80" s="13"/>
      <c r="H80" s="13"/>
      <c r="I80" s="13"/>
      <c r="J80" s="13"/>
    </row>
    <row r="81" spans="1:10">
      <c r="A81" s="842" t="s">
        <v>1085</v>
      </c>
      <c r="B81" s="839"/>
      <c r="C81" s="839"/>
      <c r="D81" s="85"/>
      <c r="E81" s="85"/>
      <c r="F81" s="85"/>
      <c r="G81" s="85"/>
      <c r="H81" s="85"/>
      <c r="I81" s="85"/>
      <c r="J81" s="85"/>
    </row>
    <row r="82" spans="1:10" ht="55.2">
      <c r="A82" s="50" t="s">
        <v>905</v>
      </c>
      <c r="B82" s="50" t="s">
        <v>827</v>
      </c>
      <c r="C82" s="50"/>
      <c r="D82" s="50"/>
      <c r="E82" s="50"/>
      <c r="F82" s="50"/>
      <c r="G82" s="50"/>
      <c r="H82" s="50"/>
      <c r="I82" s="50"/>
      <c r="J82" s="50"/>
    </row>
    <row r="83" spans="1:10">
      <c r="A83" s="13" t="s">
        <v>1086</v>
      </c>
      <c r="B83" s="852" t="s">
        <v>3166</v>
      </c>
      <c r="C83" s="839"/>
      <c r="D83" s="839"/>
      <c r="E83" s="839"/>
      <c r="F83" s="839"/>
      <c r="G83" s="839"/>
      <c r="H83" s="839"/>
      <c r="I83" s="839"/>
      <c r="J83" s="839"/>
    </row>
    <row r="84" spans="1:10">
      <c r="A84" s="13" t="s">
        <v>2194</v>
      </c>
      <c r="B84" s="852" t="s">
        <v>3167</v>
      </c>
      <c r="C84" s="839"/>
      <c r="D84" s="839"/>
      <c r="E84" s="839"/>
      <c r="F84" s="839"/>
      <c r="G84" s="839"/>
      <c r="H84" s="839"/>
      <c r="I84" s="839"/>
      <c r="J84" s="839"/>
    </row>
    <row r="85" spans="1:10">
      <c r="A85" s="13" t="s">
        <v>1088</v>
      </c>
      <c r="B85" s="852" t="s">
        <v>3168</v>
      </c>
      <c r="C85" s="839"/>
      <c r="D85" s="839"/>
      <c r="E85" s="839"/>
      <c r="F85" s="839"/>
      <c r="G85" s="839"/>
      <c r="H85" s="839"/>
      <c r="I85" s="839"/>
      <c r="J85" s="839"/>
    </row>
    <row r="86" spans="1:10" ht="27.6">
      <c r="A86" s="13" t="s">
        <v>3076</v>
      </c>
      <c r="B86" s="852" t="s">
        <v>3169</v>
      </c>
      <c r="C86" s="839"/>
      <c r="D86" s="839"/>
      <c r="E86" s="839"/>
      <c r="F86" s="839"/>
      <c r="G86" s="839"/>
      <c r="H86" s="839"/>
      <c r="I86" s="839"/>
      <c r="J86" s="839"/>
    </row>
    <row r="87" spans="1:10">
      <c r="A87" s="13" t="s">
        <v>1090</v>
      </c>
      <c r="B87" s="852" t="s">
        <v>3170</v>
      </c>
      <c r="C87" s="839"/>
      <c r="D87" s="839"/>
      <c r="E87" s="839"/>
      <c r="F87" s="839"/>
      <c r="G87" s="839"/>
      <c r="H87" s="839"/>
      <c r="I87" s="839"/>
      <c r="J87" s="839"/>
    </row>
    <row r="88" spans="1:10">
      <c r="A88" s="13" t="s">
        <v>1563</v>
      </c>
      <c r="B88" s="852" t="s">
        <v>2874</v>
      </c>
      <c r="C88" s="839"/>
      <c r="D88" s="839"/>
      <c r="E88" s="839"/>
      <c r="F88" s="839"/>
      <c r="G88" s="839"/>
      <c r="H88" s="839"/>
      <c r="I88" s="839"/>
      <c r="J88" s="839"/>
    </row>
    <row r="89" spans="1:10">
      <c r="A89" s="13" t="s">
        <v>1092</v>
      </c>
      <c r="B89" s="852" t="s">
        <v>3171</v>
      </c>
      <c r="C89" s="839"/>
      <c r="D89" s="839"/>
      <c r="E89" s="839"/>
      <c r="F89" s="839"/>
      <c r="G89" s="839"/>
      <c r="H89" s="839"/>
      <c r="I89" s="839"/>
      <c r="J89" s="839"/>
    </row>
    <row r="90" spans="1:10" ht="15" thickBot="1"/>
    <row r="91" spans="1:10">
      <c r="A91" s="855" t="s">
        <v>5875</v>
      </c>
      <c r="B91" s="856"/>
      <c r="C91" s="856"/>
      <c r="D91" s="857"/>
      <c r="E91" s="856"/>
      <c r="F91" s="856"/>
      <c r="G91" s="857"/>
      <c r="H91" s="857"/>
      <c r="I91" s="857"/>
      <c r="J91" s="858"/>
    </row>
    <row r="92" spans="1:10">
      <c r="A92" s="325" t="s">
        <v>5817</v>
      </c>
      <c r="B92" s="326" t="s">
        <v>77</v>
      </c>
      <c r="C92" s="326" t="s">
        <v>5818</v>
      </c>
      <c r="D92" s="326" t="s">
        <v>5819</v>
      </c>
      <c r="E92" s="326" t="s">
        <v>5841</v>
      </c>
      <c r="F92" s="326" t="s">
        <v>5808</v>
      </c>
      <c r="G92" s="859" t="s">
        <v>5842</v>
      </c>
      <c r="H92" s="859"/>
      <c r="I92" s="859"/>
      <c r="J92" s="860"/>
    </row>
    <row r="93" spans="1:10" ht="26.4">
      <c r="A93" s="327" t="s">
        <v>5820</v>
      </c>
      <c r="B93" s="337" t="s">
        <v>484</v>
      </c>
      <c r="C93" s="329">
        <v>0</v>
      </c>
      <c r="D93" s="329">
        <v>0</v>
      </c>
      <c r="E93" s="196" t="s">
        <v>5881</v>
      </c>
      <c r="F93" s="329">
        <f>IF(AND(C93&lt;&gt;"",D93&lt;&gt;""),D93-C93,"")</f>
        <v>0</v>
      </c>
      <c r="G93" s="861"/>
      <c r="H93" s="861"/>
      <c r="I93" s="861"/>
      <c r="J93" s="862"/>
    </row>
    <row r="94" spans="1:10" ht="26.4">
      <c r="A94" s="330" t="s">
        <v>5821</v>
      </c>
      <c r="B94" s="337" t="s">
        <v>484</v>
      </c>
      <c r="C94" s="331">
        <v>1</v>
      </c>
      <c r="D94" s="331">
        <v>0</v>
      </c>
      <c r="E94" s="314" t="s">
        <v>5882</v>
      </c>
      <c r="F94" s="331">
        <f>IF(AND(C94&lt;&gt;"",D94&lt;&gt;""),D94-C94,"")</f>
        <v>-1</v>
      </c>
      <c r="G94" s="863"/>
      <c r="H94" s="863"/>
      <c r="I94" s="863"/>
      <c r="J94" s="864"/>
    </row>
    <row r="95" spans="1:10">
      <c r="A95" s="327" t="s">
        <v>5822</v>
      </c>
      <c r="B95" s="337" t="s">
        <v>484</v>
      </c>
      <c r="C95" s="331">
        <v>1</v>
      </c>
      <c r="D95" s="331">
        <v>0</v>
      </c>
      <c r="E95" s="314" t="s">
        <v>5882</v>
      </c>
      <c r="F95" s="329">
        <f>IF(AND(C95&lt;&gt;"",D95&lt;&gt;""),D95-C95,"")</f>
        <v>-1</v>
      </c>
      <c r="G95" s="332"/>
      <c r="H95" s="231"/>
      <c r="I95" s="231"/>
      <c r="J95" s="333"/>
    </row>
    <row r="96" spans="1:10">
      <c r="A96" s="330" t="s">
        <v>5823</v>
      </c>
      <c r="B96" s="337" t="s">
        <v>484</v>
      </c>
      <c r="C96" s="331">
        <v>1</v>
      </c>
      <c r="D96" s="331">
        <v>0</v>
      </c>
      <c r="E96" s="314" t="s">
        <v>5882</v>
      </c>
      <c r="F96" s="331">
        <f>IF(AND(C96&lt;&gt;"",D96&lt;&gt;""),D96-C96,"")</f>
        <v>-1</v>
      </c>
      <c r="G96" s="863"/>
      <c r="H96" s="863"/>
      <c r="I96" s="863"/>
      <c r="J96" s="864"/>
    </row>
    <row r="97" spans="1:10">
      <c r="A97" s="327" t="s">
        <v>5168</v>
      </c>
      <c r="B97" s="337" t="s">
        <v>484</v>
      </c>
      <c r="C97" s="331">
        <v>1</v>
      </c>
      <c r="D97" s="331">
        <v>0</v>
      </c>
      <c r="E97" s="314" t="s">
        <v>5882</v>
      </c>
      <c r="F97" s="329">
        <f>IF(AND(C97&lt;&gt;"",D97&lt;&gt;""),D97-C97,"")</f>
        <v>-1</v>
      </c>
      <c r="G97" s="332"/>
      <c r="H97" s="231"/>
      <c r="I97" s="231"/>
      <c r="J97" s="333"/>
    </row>
    <row r="98" spans="1:10" ht="15.6">
      <c r="A98" s="865" t="s">
        <v>5843</v>
      </c>
      <c r="B98" s="713"/>
      <c r="C98" s="334">
        <f>IFERROR(AVERAGE(C93:C97),"")</f>
        <v>0.8</v>
      </c>
      <c r="D98" s="334">
        <f>IFERROR(AVERAGE(D93:D97),"")</f>
        <v>0</v>
      </c>
      <c r="E98" s="866" t="s">
        <v>5844</v>
      </c>
      <c r="F98" s="866"/>
      <c r="G98" s="866"/>
      <c r="H98" s="866"/>
      <c r="I98" s="866"/>
      <c r="J98" s="867"/>
    </row>
    <row r="99" spans="1:10">
      <c r="A99" s="335"/>
      <c r="B99" s="320"/>
      <c r="C99" s="320"/>
      <c r="D99" s="320"/>
      <c r="E99" s="320"/>
      <c r="F99" s="320"/>
      <c r="G99" s="320"/>
      <c r="H99" s="231"/>
      <c r="I99" s="231"/>
      <c r="J99" s="333"/>
    </row>
    <row r="100" spans="1:10">
      <c r="A100" s="876" t="s">
        <v>5876</v>
      </c>
      <c r="B100" s="853"/>
      <c r="C100" s="853"/>
      <c r="D100" s="842"/>
      <c r="E100" s="853"/>
      <c r="F100" s="853"/>
      <c r="G100" s="842"/>
      <c r="H100" s="842"/>
      <c r="I100" s="842"/>
      <c r="J100" s="868"/>
    </row>
    <row r="101" spans="1:10">
      <c r="A101" s="325" t="s">
        <v>4946</v>
      </c>
      <c r="B101" s="326" t="s">
        <v>77</v>
      </c>
      <c r="C101" s="326" t="s">
        <v>5883</v>
      </c>
      <c r="D101" s="326" t="s">
        <v>482</v>
      </c>
      <c r="E101" s="326" t="s">
        <v>572</v>
      </c>
      <c r="F101" s="326" t="s">
        <v>5846</v>
      </c>
      <c r="G101" s="859" t="s">
        <v>5847</v>
      </c>
      <c r="H101" s="859"/>
      <c r="I101" s="859"/>
      <c r="J101" s="860"/>
    </row>
    <row r="102" spans="1:10" ht="26.4">
      <c r="A102" s="330" t="s">
        <v>5809</v>
      </c>
      <c r="B102" s="337" t="s">
        <v>484</v>
      </c>
      <c r="C102" s="336" t="s">
        <v>679</v>
      </c>
      <c r="D102" s="328" t="s">
        <v>679</v>
      </c>
      <c r="E102" s="336">
        <f>IF(D102="Yes",1,0)</f>
        <v>0</v>
      </c>
      <c r="F102" s="877"/>
      <c r="G102" s="877"/>
      <c r="H102" s="877"/>
      <c r="I102" s="877"/>
      <c r="J102" s="878"/>
    </row>
    <row r="103" spans="1:10">
      <c r="A103" s="327" t="s">
        <v>995</v>
      </c>
      <c r="B103" s="337" t="s">
        <v>484</v>
      </c>
      <c r="C103" s="336" t="s">
        <v>679</v>
      </c>
      <c r="D103" s="328" t="s">
        <v>679</v>
      </c>
      <c r="E103" s="328">
        <f t="shared" ref="E103:E109" si="0">IF(D103="Yes",1,0)</f>
        <v>0</v>
      </c>
      <c r="F103" s="877"/>
      <c r="G103" s="877"/>
      <c r="H103" s="877"/>
      <c r="I103" s="877"/>
      <c r="J103" s="878"/>
    </row>
    <row r="104" spans="1:10">
      <c r="A104" s="330" t="s">
        <v>5810</v>
      </c>
      <c r="B104" s="337" t="s">
        <v>484</v>
      </c>
      <c r="C104" s="336" t="s">
        <v>679</v>
      </c>
      <c r="D104" s="328" t="s">
        <v>679</v>
      </c>
      <c r="E104" s="336">
        <f t="shared" si="0"/>
        <v>0</v>
      </c>
      <c r="F104" s="877"/>
      <c r="G104" s="877"/>
      <c r="H104" s="877"/>
      <c r="I104" s="877"/>
      <c r="J104" s="878"/>
    </row>
    <row r="105" spans="1:10">
      <c r="A105" s="327" t="s">
        <v>5824</v>
      </c>
      <c r="B105" s="337" t="s">
        <v>484</v>
      </c>
      <c r="C105" s="336" t="s">
        <v>679</v>
      </c>
      <c r="D105" s="328" t="s">
        <v>679</v>
      </c>
      <c r="E105" s="328">
        <f t="shared" si="0"/>
        <v>0</v>
      </c>
      <c r="F105" s="877"/>
      <c r="G105" s="877"/>
      <c r="H105" s="877"/>
      <c r="I105" s="877"/>
      <c r="J105" s="878"/>
    </row>
    <row r="106" spans="1:10" ht="39.6">
      <c r="A106" s="330" t="s">
        <v>5825</v>
      </c>
      <c r="B106" s="337" t="s">
        <v>484</v>
      </c>
      <c r="C106" s="336" t="s">
        <v>679</v>
      </c>
      <c r="D106" s="328" t="s">
        <v>679</v>
      </c>
      <c r="E106" s="336">
        <f t="shared" si="0"/>
        <v>0</v>
      </c>
      <c r="F106" s="877"/>
      <c r="G106" s="877"/>
      <c r="H106" s="877"/>
      <c r="I106" s="877"/>
      <c r="J106" s="878"/>
    </row>
    <row r="107" spans="1:10" ht="26.4">
      <c r="A107" s="327" t="s">
        <v>5826</v>
      </c>
      <c r="B107" s="337" t="s">
        <v>484</v>
      </c>
      <c r="C107" s="336" t="s">
        <v>679</v>
      </c>
      <c r="D107" s="328" t="s">
        <v>679</v>
      </c>
      <c r="E107" s="328">
        <f t="shared" si="0"/>
        <v>0</v>
      </c>
      <c r="F107" s="877"/>
      <c r="G107" s="877"/>
      <c r="H107" s="877"/>
      <c r="I107" s="877"/>
      <c r="J107" s="878"/>
    </row>
    <row r="108" spans="1:10">
      <c r="A108" s="330" t="s">
        <v>5811</v>
      </c>
      <c r="B108" s="337" t="s">
        <v>484</v>
      </c>
      <c r="C108" s="336" t="s">
        <v>679</v>
      </c>
      <c r="D108" s="328" t="s">
        <v>679</v>
      </c>
      <c r="E108" s="336">
        <f t="shared" si="0"/>
        <v>0</v>
      </c>
      <c r="F108" s="877"/>
      <c r="G108" s="877"/>
      <c r="H108" s="877"/>
      <c r="I108" s="877"/>
      <c r="J108" s="878"/>
    </row>
    <row r="109" spans="1:10" ht="26.4">
      <c r="A109" s="327" t="s">
        <v>5812</v>
      </c>
      <c r="B109" s="337" t="s">
        <v>484</v>
      </c>
      <c r="C109" s="336" t="s">
        <v>679</v>
      </c>
      <c r="D109" s="328" t="s">
        <v>679</v>
      </c>
      <c r="E109" s="328">
        <f t="shared" si="0"/>
        <v>0</v>
      </c>
      <c r="F109" s="877"/>
      <c r="G109" s="877"/>
      <c r="H109" s="877"/>
      <c r="I109" s="877"/>
      <c r="J109" s="878"/>
    </row>
    <row r="110" spans="1:10" ht="15.6">
      <c r="A110" s="865" t="s">
        <v>5848</v>
      </c>
      <c r="B110" s="713"/>
      <c r="C110" s="871" t="str">
        <f>IFERROR(SUM(E102:E109)/COUNTIF(C102:C109,"Yes"),"")</f>
        <v/>
      </c>
      <c r="D110" s="872"/>
      <c r="E110" s="866" t="s">
        <v>5849</v>
      </c>
      <c r="F110" s="866"/>
      <c r="G110" s="866"/>
      <c r="H110" s="866"/>
      <c r="I110" s="866"/>
      <c r="J110" s="867"/>
    </row>
    <row r="111" spans="1:10">
      <c r="A111" s="335"/>
      <c r="B111" s="320"/>
      <c r="C111" s="320"/>
      <c r="D111" s="320"/>
      <c r="E111" s="320"/>
      <c r="F111" s="320"/>
      <c r="G111" s="320"/>
      <c r="H111" s="231"/>
      <c r="I111" s="231"/>
      <c r="J111" s="333"/>
    </row>
    <row r="112" spans="1:10">
      <c r="A112" s="876" t="s">
        <v>5877</v>
      </c>
      <c r="B112" s="853"/>
      <c r="C112" s="853"/>
      <c r="D112" s="842"/>
      <c r="E112" s="853"/>
      <c r="F112" s="853"/>
      <c r="G112" s="842"/>
      <c r="H112" s="842"/>
      <c r="I112" s="842"/>
      <c r="J112" s="868"/>
    </row>
    <row r="113" spans="1:10">
      <c r="A113" s="325" t="s">
        <v>5850</v>
      </c>
      <c r="B113" s="326" t="s">
        <v>77</v>
      </c>
      <c r="C113" s="326" t="s">
        <v>5827</v>
      </c>
      <c r="D113" s="326" t="s">
        <v>5828</v>
      </c>
      <c r="E113" s="326" t="s">
        <v>5829</v>
      </c>
      <c r="F113" s="326" t="s">
        <v>5851</v>
      </c>
      <c r="G113" s="859" t="s">
        <v>5852</v>
      </c>
      <c r="H113" s="859"/>
      <c r="I113" s="859"/>
      <c r="J113" s="860"/>
    </row>
    <row r="114" spans="1:10" ht="26.4">
      <c r="A114" s="330" t="s">
        <v>5830</v>
      </c>
      <c r="B114" s="336" t="s">
        <v>484</v>
      </c>
      <c r="C114" s="336" t="s">
        <v>1096</v>
      </c>
      <c r="D114" s="336" t="s">
        <v>1096</v>
      </c>
      <c r="E114" s="336" t="s">
        <v>1096</v>
      </c>
      <c r="F114" s="336" t="s">
        <v>348</v>
      </c>
      <c r="G114" s="869"/>
      <c r="H114" s="869"/>
      <c r="I114" s="869"/>
      <c r="J114" s="870"/>
    </row>
    <row r="115" spans="1:10">
      <c r="A115" s="327" t="s">
        <v>5831</v>
      </c>
      <c r="B115" s="336" t="s">
        <v>484</v>
      </c>
      <c r="C115" s="336" t="s">
        <v>1096</v>
      </c>
      <c r="D115" s="336" t="s">
        <v>1096</v>
      </c>
      <c r="E115" s="336" t="s">
        <v>1096</v>
      </c>
      <c r="F115" s="336" t="s">
        <v>348</v>
      </c>
      <c r="G115" s="869"/>
      <c r="H115" s="869"/>
      <c r="I115" s="869"/>
      <c r="J115" s="870"/>
    </row>
    <row r="116" spans="1:10">
      <c r="A116" s="330" t="s">
        <v>5853</v>
      </c>
      <c r="B116" s="336" t="s">
        <v>484</v>
      </c>
      <c r="C116" s="336" t="s">
        <v>1096</v>
      </c>
      <c r="D116" s="336" t="s">
        <v>1096</v>
      </c>
      <c r="E116" s="336" t="s">
        <v>1096</v>
      </c>
      <c r="F116" s="336" t="s">
        <v>348</v>
      </c>
      <c r="G116" s="869"/>
      <c r="H116" s="869"/>
      <c r="I116" s="869"/>
      <c r="J116" s="870"/>
    </row>
    <row r="117" spans="1:10">
      <c r="A117" s="327" t="s">
        <v>5832</v>
      </c>
      <c r="B117" s="336" t="s">
        <v>484</v>
      </c>
      <c r="C117" s="336" t="s">
        <v>1096</v>
      </c>
      <c r="D117" s="336" t="s">
        <v>1096</v>
      </c>
      <c r="E117" s="336" t="s">
        <v>1096</v>
      </c>
      <c r="F117" s="336" t="s">
        <v>348</v>
      </c>
      <c r="G117" s="869"/>
      <c r="H117" s="869"/>
      <c r="I117" s="869"/>
      <c r="J117" s="870"/>
    </row>
    <row r="118" spans="1:10" ht="26.4">
      <c r="A118" s="330" t="s">
        <v>5833</v>
      </c>
      <c r="B118" s="336" t="s">
        <v>484</v>
      </c>
      <c r="C118" s="336" t="s">
        <v>1096</v>
      </c>
      <c r="D118" s="336" t="s">
        <v>1096</v>
      </c>
      <c r="E118" s="336" t="s">
        <v>1096</v>
      </c>
      <c r="F118" s="336" t="s">
        <v>348</v>
      </c>
      <c r="G118" s="869"/>
      <c r="H118" s="869"/>
      <c r="I118" s="869"/>
      <c r="J118" s="870"/>
    </row>
    <row r="119" spans="1:10" ht="15.6">
      <c r="A119" s="865" t="s">
        <v>5884</v>
      </c>
      <c r="B119" s="713"/>
      <c r="C119" s="871">
        <f>IFERROR(COUNTIF(E114:E118,"Yes")/COUNTA(A114:A118),"")</f>
        <v>0</v>
      </c>
      <c r="D119" s="872"/>
      <c r="E119" s="866" t="s">
        <v>5855</v>
      </c>
      <c r="F119" s="866"/>
      <c r="G119" s="866"/>
      <c r="H119" s="866"/>
      <c r="I119" s="866"/>
      <c r="J119" s="867"/>
    </row>
    <row r="120" spans="1:10">
      <c r="A120" s="335"/>
      <c r="B120" s="320"/>
      <c r="C120" s="320"/>
      <c r="D120" s="320"/>
      <c r="E120" s="320"/>
      <c r="F120" s="320"/>
      <c r="G120" s="874"/>
      <c r="H120" s="874"/>
      <c r="I120" s="874"/>
      <c r="J120" s="875"/>
    </row>
    <row r="121" spans="1:10">
      <c r="A121" s="876" t="s">
        <v>5878</v>
      </c>
      <c r="B121" s="853"/>
      <c r="C121" s="853"/>
      <c r="D121" s="842"/>
      <c r="E121" s="853"/>
      <c r="F121" s="853"/>
      <c r="G121" s="842"/>
      <c r="H121" s="842"/>
      <c r="I121" s="842"/>
      <c r="J121" s="868"/>
    </row>
    <row r="122" spans="1:10">
      <c r="A122" s="326" t="s">
        <v>5813</v>
      </c>
      <c r="B122" s="326" t="s">
        <v>77</v>
      </c>
      <c r="C122" s="326" t="s">
        <v>5834</v>
      </c>
      <c r="D122" s="326" t="s">
        <v>5835</v>
      </c>
      <c r="E122" s="326" t="s">
        <v>5836</v>
      </c>
      <c r="F122" s="326" t="s">
        <v>5837</v>
      </c>
      <c r="G122" s="859" t="s">
        <v>5885</v>
      </c>
      <c r="H122" s="859"/>
      <c r="I122" s="859"/>
      <c r="J122" s="859"/>
    </row>
    <row r="123" spans="1:10">
      <c r="A123" s="332" t="s">
        <v>153</v>
      </c>
      <c r="B123" s="328" t="s">
        <v>484</v>
      </c>
      <c r="C123" s="328"/>
      <c r="D123" s="328"/>
      <c r="E123" s="328"/>
      <c r="F123" s="329" t="str">
        <f>IFERROR(D123/C123,"")</f>
        <v/>
      </c>
      <c r="G123" s="873"/>
      <c r="H123" s="873"/>
      <c r="I123" s="873"/>
      <c r="J123" s="873"/>
    </row>
    <row r="124" spans="1:10">
      <c r="A124" s="339" t="s">
        <v>155</v>
      </c>
      <c r="B124" s="336" t="s">
        <v>484</v>
      </c>
      <c r="C124" s="336"/>
      <c r="D124" s="336"/>
      <c r="E124" s="336"/>
      <c r="F124" s="331" t="str">
        <f>IFERROR(D124/C124,"")</f>
        <v/>
      </c>
      <c r="G124" s="873"/>
      <c r="H124" s="873"/>
      <c r="I124" s="873"/>
      <c r="J124" s="873"/>
    </row>
    <row r="125" spans="1:10">
      <c r="A125" s="332" t="s">
        <v>4821</v>
      </c>
      <c r="B125" s="328" t="s">
        <v>484</v>
      </c>
      <c r="C125" s="328"/>
      <c r="D125" s="328"/>
      <c r="E125" s="328"/>
      <c r="F125" s="329" t="str">
        <f>IFERROR(D125/C125,"")</f>
        <v/>
      </c>
      <c r="G125" s="873"/>
      <c r="H125" s="873"/>
      <c r="I125" s="873"/>
      <c r="J125" s="873"/>
    </row>
    <row r="126" spans="1:10">
      <c r="A126" s="339" t="s">
        <v>957</v>
      </c>
      <c r="B126" s="336" t="s">
        <v>484</v>
      </c>
      <c r="C126" s="336"/>
      <c r="D126" s="336"/>
      <c r="E126" s="336"/>
      <c r="F126" s="331" t="str">
        <f>IFERROR(D126/C126,"")</f>
        <v/>
      </c>
      <c r="G126" s="873"/>
      <c r="H126" s="873"/>
      <c r="I126" s="873"/>
      <c r="J126" s="873"/>
    </row>
    <row r="127" spans="1:10">
      <c r="A127" s="879" t="s">
        <v>5856</v>
      </c>
      <c r="B127" s="879"/>
      <c r="C127" s="879"/>
      <c r="D127" s="879"/>
      <c r="E127" s="866" t="s">
        <v>5857</v>
      </c>
      <c r="F127" s="866"/>
      <c r="G127" s="866"/>
      <c r="H127" s="866"/>
      <c r="I127" s="866"/>
      <c r="J127" s="866"/>
    </row>
    <row r="128" spans="1:10">
      <c r="A128" s="879"/>
      <c r="B128" s="879"/>
      <c r="C128" s="879"/>
      <c r="D128" s="879"/>
      <c r="E128" s="866"/>
      <c r="F128" s="866"/>
      <c r="G128" s="866"/>
      <c r="H128" s="866"/>
      <c r="I128" s="866"/>
      <c r="J128" s="866"/>
    </row>
    <row r="129" spans="1:10">
      <c r="A129" s="842" t="s">
        <v>5879</v>
      </c>
      <c r="B129" s="842"/>
      <c r="C129" s="842"/>
      <c r="D129" s="842"/>
      <c r="E129" s="842"/>
      <c r="F129" s="842"/>
      <c r="G129" s="842"/>
      <c r="H129" s="842"/>
      <c r="I129" s="842"/>
      <c r="J129" s="842"/>
    </row>
    <row r="130" spans="1:10">
      <c r="A130" s="326" t="s">
        <v>4946</v>
      </c>
      <c r="B130" s="326" t="s">
        <v>77</v>
      </c>
      <c r="C130" s="326" t="s">
        <v>5845</v>
      </c>
      <c r="D130" s="326" t="s">
        <v>482</v>
      </c>
      <c r="E130" s="326" t="s">
        <v>572</v>
      </c>
      <c r="F130" s="326" t="s">
        <v>944</v>
      </c>
      <c r="G130" s="859" t="s">
        <v>5847</v>
      </c>
      <c r="H130" s="859"/>
      <c r="I130" s="859"/>
      <c r="J130" s="859"/>
    </row>
    <row r="131" spans="1:10" ht="26.4">
      <c r="A131" s="332" t="s">
        <v>5814</v>
      </c>
      <c r="B131" s="328" t="s">
        <v>484</v>
      </c>
      <c r="C131" s="328" t="s">
        <v>392</v>
      </c>
      <c r="D131" s="328" t="s">
        <v>1096</v>
      </c>
      <c r="E131" s="328">
        <f t="shared" ref="E131:E136" si="1">IF(D131="Yes",1,0)</f>
        <v>0</v>
      </c>
      <c r="F131" s="328"/>
      <c r="G131" s="873"/>
      <c r="H131" s="873"/>
      <c r="I131" s="873"/>
      <c r="J131" s="873"/>
    </row>
    <row r="132" spans="1:10">
      <c r="A132" s="339" t="s">
        <v>5815</v>
      </c>
      <c r="B132" s="328" t="s">
        <v>484</v>
      </c>
      <c r="C132" s="336" t="s">
        <v>392</v>
      </c>
      <c r="D132" s="328" t="s">
        <v>1096</v>
      </c>
      <c r="E132" s="336">
        <f t="shared" si="1"/>
        <v>0</v>
      </c>
      <c r="F132" s="336"/>
      <c r="G132" s="873"/>
      <c r="H132" s="873"/>
      <c r="I132" s="873"/>
      <c r="J132" s="873"/>
    </row>
    <row r="133" spans="1:10" ht="26.4">
      <c r="A133" s="332" t="s">
        <v>5816</v>
      </c>
      <c r="B133" s="328" t="s">
        <v>484</v>
      </c>
      <c r="C133" s="328" t="s">
        <v>392</v>
      </c>
      <c r="D133" s="328" t="s">
        <v>1096</v>
      </c>
      <c r="E133" s="328">
        <f t="shared" si="1"/>
        <v>0</v>
      </c>
      <c r="F133" s="328"/>
      <c r="G133" s="873"/>
      <c r="H133" s="873"/>
      <c r="I133" s="873"/>
      <c r="J133" s="873"/>
    </row>
    <row r="134" spans="1:10">
      <c r="A134" s="339" t="s">
        <v>5838</v>
      </c>
      <c r="B134" s="328" t="s">
        <v>484</v>
      </c>
      <c r="C134" s="336" t="s">
        <v>392</v>
      </c>
      <c r="D134" s="328" t="s">
        <v>1096</v>
      </c>
      <c r="E134" s="336">
        <f t="shared" si="1"/>
        <v>0</v>
      </c>
      <c r="F134" s="336"/>
      <c r="G134" s="873"/>
      <c r="H134" s="873"/>
      <c r="I134" s="873"/>
      <c r="J134" s="873"/>
    </row>
    <row r="135" spans="1:10" ht="26.4">
      <c r="A135" s="332" t="s">
        <v>5839</v>
      </c>
      <c r="B135" s="328" t="s">
        <v>484</v>
      </c>
      <c r="C135" s="328" t="s">
        <v>392</v>
      </c>
      <c r="D135" s="328" t="s">
        <v>1096</v>
      </c>
      <c r="E135" s="328">
        <f t="shared" si="1"/>
        <v>0</v>
      </c>
      <c r="F135" s="328"/>
      <c r="G135" s="873"/>
      <c r="H135" s="873"/>
      <c r="I135" s="873"/>
      <c r="J135" s="873"/>
    </row>
    <row r="136" spans="1:10" ht="26.4">
      <c r="A136" s="339" t="s">
        <v>5840</v>
      </c>
      <c r="B136" s="328" t="s">
        <v>484</v>
      </c>
      <c r="C136" s="336" t="s">
        <v>392</v>
      </c>
      <c r="D136" s="336" t="s">
        <v>1096</v>
      </c>
      <c r="E136" s="336">
        <f t="shared" si="1"/>
        <v>0</v>
      </c>
      <c r="F136" s="336"/>
      <c r="G136" s="873"/>
      <c r="H136" s="873"/>
      <c r="I136" s="873"/>
      <c r="J136" s="873"/>
    </row>
    <row r="137" spans="1:10" ht="15.6">
      <c r="A137" s="880" t="s">
        <v>5858</v>
      </c>
      <c r="B137" s="713"/>
      <c r="C137" s="871">
        <f>IFERROR(SUM(E131:E136)/COUNTIF(C131:C136,"Yes"),"")</f>
        <v>0</v>
      </c>
      <c r="D137" s="872"/>
      <c r="E137" s="866" t="s">
        <v>5859</v>
      </c>
      <c r="F137" s="866"/>
      <c r="G137" s="866"/>
      <c r="H137" s="866"/>
      <c r="I137" s="866"/>
      <c r="J137" s="866"/>
    </row>
    <row r="138" spans="1:10">
      <c r="A138" s="196"/>
      <c r="B138" s="196"/>
      <c r="C138" s="196"/>
      <c r="D138" s="196"/>
      <c r="E138" s="196"/>
      <c r="F138" s="196"/>
      <c r="G138" s="196"/>
      <c r="H138" s="196"/>
      <c r="I138" s="196"/>
      <c r="J138" s="196"/>
    </row>
    <row r="139" spans="1:10">
      <c r="A139" s="842" t="s">
        <v>5880</v>
      </c>
      <c r="B139" s="853"/>
      <c r="C139" s="853"/>
      <c r="D139" s="321"/>
      <c r="E139" s="321"/>
      <c r="F139" s="321"/>
      <c r="G139" s="321"/>
      <c r="H139" s="321"/>
      <c r="I139" s="321"/>
      <c r="J139" s="321"/>
    </row>
    <row r="140" spans="1:10" ht="55.2">
      <c r="A140" s="322" t="s">
        <v>905</v>
      </c>
      <c r="B140" s="322" t="s">
        <v>830</v>
      </c>
      <c r="C140" s="322"/>
      <c r="D140" s="322"/>
      <c r="E140" s="322"/>
      <c r="F140" s="322"/>
      <c r="G140" s="322"/>
      <c r="H140" s="322"/>
      <c r="I140" s="322"/>
      <c r="J140" s="322"/>
    </row>
    <row r="141" spans="1:10">
      <c r="A141" s="319" t="s">
        <v>1086</v>
      </c>
      <c r="B141" s="852" t="s">
        <v>3292</v>
      </c>
      <c r="C141" s="853"/>
      <c r="D141" s="853"/>
      <c r="E141" s="853"/>
      <c r="F141" s="853"/>
      <c r="G141" s="853"/>
      <c r="H141" s="853"/>
      <c r="I141" s="853"/>
      <c r="J141" s="853"/>
    </row>
    <row r="142" spans="1:10" ht="27.6">
      <c r="A142" s="319" t="s">
        <v>2090</v>
      </c>
      <c r="B142" s="852" t="s">
        <v>3293</v>
      </c>
      <c r="C142" s="853"/>
      <c r="D142" s="853"/>
      <c r="E142" s="853"/>
      <c r="F142" s="853"/>
      <c r="G142" s="853"/>
      <c r="H142" s="853"/>
      <c r="I142" s="853"/>
      <c r="J142" s="853"/>
    </row>
    <row r="143" spans="1:10">
      <c r="A143" s="319" t="s">
        <v>1089</v>
      </c>
      <c r="B143" s="852" t="s">
        <v>3294</v>
      </c>
      <c r="C143" s="853"/>
      <c r="D143" s="853"/>
      <c r="E143" s="853"/>
      <c r="F143" s="853"/>
      <c r="G143" s="853"/>
      <c r="H143" s="853"/>
      <c r="I143" s="853"/>
      <c r="J143" s="853"/>
    </row>
    <row r="144" spans="1:10">
      <c r="A144" s="319" t="s">
        <v>1090</v>
      </c>
      <c r="B144" s="852" t="s">
        <v>3295</v>
      </c>
      <c r="C144" s="853"/>
      <c r="D144" s="853"/>
      <c r="E144" s="853"/>
      <c r="F144" s="853"/>
      <c r="G144" s="853"/>
      <c r="H144" s="853"/>
      <c r="I144" s="853"/>
      <c r="J144" s="853"/>
    </row>
    <row r="145" spans="1:10">
      <c r="A145" s="319" t="s">
        <v>1088</v>
      </c>
      <c r="B145" s="852" t="s">
        <v>3296</v>
      </c>
      <c r="C145" s="853"/>
      <c r="D145" s="853"/>
      <c r="E145" s="853"/>
      <c r="F145" s="853"/>
      <c r="G145" s="853"/>
      <c r="H145" s="853"/>
      <c r="I145" s="853"/>
      <c r="J145" s="853"/>
    </row>
    <row r="146" spans="1:10" ht="27.6">
      <c r="A146" s="319" t="s">
        <v>3297</v>
      </c>
      <c r="B146" s="852" t="s">
        <v>3298</v>
      </c>
      <c r="C146" s="853"/>
      <c r="D146" s="853"/>
      <c r="E146" s="853"/>
      <c r="F146" s="853"/>
      <c r="G146" s="853"/>
      <c r="H146" s="853"/>
      <c r="I146" s="853"/>
      <c r="J146" s="853"/>
    </row>
    <row r="147" spans="1:10">
      <c r="A147" s="319" t="s">
        <v>1563</v>
      </c>
      <c r="B147" s="852" t="s">
        <v>1776</v>
      </c>
      <c r="C147" s="853"/>
      <c r="D147" s="853"/>
      <c r="E147" s="853"/>
      <c r="F147" s="853"/>
      <c r="G147" s="853"/>
      <c r="H147" s="853"/>
      <c r="I147" s="853"/>
      <c r="J147" s="853"/>
    </row>
    <row r="148" spans="1:10">
      <c r="A148" s="231"/>
      <c r="B148" s="231"/>
      <c r="C148" s="231"/>
      <c r="D148" s="231"/>
      <c r="E148" s="231"/>
      <c r="F148" s="231"/>
      <c r="G148" s="231"/>
      <c r="H148" s="231"/>
      <c r="I148" s="231"/>
      <c r="J148" s="231"/>
    </row>
    <row r="149" spans="1:10" ht="17.399999999999999">
      <c r="A149" s="827" t="s">
        <v>5769</v>
      </c>
      <c r="B149" s="827"/>
      <c r="C149" s="827"/>
      <c r="D149" s="827"/>
      <c r="E149" s="827"/>
      <c r="F149" s="827"/>
      <c r="G149" s="827"/>
      <c r="H149" s="827"/>
      <c r="I149" s="231"/>
      <c r="J149" s="231"/>
    </row>
    <row r="150" spans="1:10">
      <c r="A150" s="276" t="s">
        <v>2</v>
      </c>
      <c r="B150" s="828" t="s">
        <v>5770</v>
      </c>
      <c r="C150" s="828"/>
      <c r="D150" s="828"/>
      <c r="E150" s="828"/>
      <c r="F150" s="828"/>
      <c r="G150" s="828"/>
      <c r="H150" s="828"/>
      <c r="I150" s="231"/>
      <c r="J150" s="231"/>
    </row>
    <row r="151" spans="1:10">
      <c r="A151" s="276" t="s">
        <v>5771</v>
      </c>
      <c r="B151" s="828" t="s">
        <v>5772</v>
      </c>
      <c r="C151" s="828"/>
      <c r="D151" s="828"/>
      <c r="E151" s="828"/>
      <c r="F151" s="828"/>
      <c r="G151" s="828"/>
      <c r="H151" s="828"/>
      <c r="I151" s="231"/>
      <c r="J151" s="231"/>
    </row>
    <row r="152" spans="1:10">
      <c r="A152" s="196"/>
      <c r="B152" s="196"/>
      <c r="C152" s="196"/>
      <c r="D152" s="196"/>
      <c r="E152" s="196"/>
      <c r="F152" s="196"/>
      <c r="G152" s="196"/>
      <c r="H152" s="196"/>
      <c r="I152" s="231"/>
      <c r="J152" s="231"/>
    </row>
    <row r="153" spans="1:10">
      <c r="A153" s="323" t="s">
        <v>4946</v>
      </c>
      <c r="B153" s="323" t="s">
        <v>77</v>
      </c>
      <c r="C153" s="323" t="s">
        <v>5773</v>
      </c>
      <c r="D153" s="323" t="s">
        <v>263</v>
      </c>
      <c r="E153" s="323" t="s">
        <v>216</v>
      </c>
      <c r="F153" s="323" t="s">
        <v>5774</v>
      </c>
      <c r="G153" s="323" t="s">
        <v>5775</v>
      </c>
      <c r="H153" s="323" t="s">
        <v>5776</v>
      </c>
      <c r="I153" s="231"/>
      <c r="J153" s="231"/>
    </row>
    <row r="154" spans="1:10" ht="26.4">
      <c r="A154" s="277" t="s">
        <v>5777</v>
      </c>
      <c r="B154" s="278" t="s">
        <v>1096</v>
      </c>
      <c r="C154" s="277"/>
      <c r="D154" s="277"/>
      <c r="E154" s="277"/>
      <c r="F154" s="277"/>
      <c r="G154" s="279" t="str">
        <f t="shared" ref="G154:G161" si="2">IF(OR(B154="Yes",B154="N/A"),"🟢","🟡")</f>
        <v>🟡</v>
      </c>
      <c r="H154" s="277"/>
      <c r="I154" s="231"/>
      <c r="J154" s="231"/>
    </row>
    <row r="155" spans="1:10">
      <c r="A155" s="277" t="s">
        <v>5778</v>
      </c>
      <c r="B155" s="278" t="s">
        <v>1096</v>
      </c>
      <c r="C155" s="277"/>
      <c r="D155" s="277"/>
      <c r="E155" s="277"/>
      <c r="F155" s="277"/>
      <c r="G155" s="279" t="str">
        <f t="shared" si="2"/>
        <v>🟡</v>
      </c>
      <c r="H155" s="277"/>
      <c r="I155" s="231"/>
      <c r="J155" s="231"/>
    </row>
    <row r="156" spans="1:10">
      <c r="A156" s="277" t="s">
        <v>5779</v>
      </c>
      <c r="B156" s="278" t="s">
        <v>1096</v>
      </c>
      <c r="C156" s="277"/>
      <c r="D156" s="277"/>
      <c r="E156" s="277"/>
      <c r="F156" s="277"/>
      <c r="G156" s="279" t="str">
        <f t="shared" si="2"/>
        <v>🟡</v>
      </c>
      <c r="H156" s="277"/>
      <c r="I156" s="231"/>
      <c r="J156" s="231"/>
    </row>
    <row r="157" spans="1:10">
      <c r="A157" s="277" t="s">
        <v>5168</v>
      </c>
      <c r="B157" s="278" t="s">
        <v>1096</v>
      </c>
      <c r="C157" s="277"/>
      <c r="D157" s="277"/>
      <c r="E157" s="277"/>
      <c r="F157" s="277"/>
      <c r="G157" s="279" t="str">
        <f t="shared" si="2"/>
        <v>🟡</v>
      </c>
      <c r="H157" s="277"/>
      <c r="I157" s="231"/>
      <c r="J157" s="231"/>
    </row>
    <row r="158" spans="1:10">
      <c r="A158" s="277" t="s">
        <v>5780</v>
      </c>
      <c r="B158" s="278" t="s">
        <v>1096</v>
      </c>
      <c r="C158" s="277"/>
      <c r="D158" s="277"/>
      <c r="E158" s="277"/>
      <c r="F158" s="277"/>
      <c r="G158" s="279" t="str">
        <f t="shared" si="2"/>
        <v>🟡</v>
      </c>
      <c r="H158" s="277"/>
      <c r="I158" s="231"/>
      <c r="J158" s="231"/>
    </row>
    <row r="159" spans="1:10">
      <c r="A159" s="277" t="s">
        <v>5781</v>
      </c>
      <c r="B159" s="278" t="s">
        <v>1096</v>
      </c>
      <c r="C159" s="277"/>
      <c r="D159" s="277"/>
      <c r="E159" s="277"/>
      <c r="F159" s="277"/>
      <c r="G159" s="279" t="str">
        <f t="shared" si="2"/>
        <v>🟡</v>
      </c>
      <c r="H159" s="277"/>
      <c r="I159" s="231"/>
      <c r="J159" s="231"/>
    </row>
    <row r="160" spans="1:10">
      <c r="A160" s="277" t="s">
        <v>178</v>
      </c>
      <c r="B160" s="278" t="s">
        <v>1096</v>
      </c>
      <c r="C160" s="277"/>
      <c r="D160" s="277"/>
      <c r="E160" s="277"/>
      <c r="F160" s="277"/>
      <c r="G160" s="279" t="str">
        <f t="shared" si="2"/>
        <v>🟡</v>
      </c>
      <c r="H160" s="277"/>
      <c r="I160" s="231"/>
      <c r="J160" s="231"/>
    </row>
    <row r="161" spans="1:10" ht="26.4">
      <c r="A161" s="277" t="s">
        <v>5782</v>
      </c>
      <c r="B161" s="278" t="s">
        <v>1096</v>
      </c>
      <c r="C161" s="277"/>
      <c r="D161" s="277"/>
      <c r="E161" s="277"/>
      <c r="F161" s="277"/>
      <c r="G161" s="279" t="str">
        <f t="shared" si="2"/>
        <v>🟡</v>
      </c>
      <c r="H161" s="277"/>
      <c r="I161" s="231"/>
      <c r="J161" s="231"/>
    </row>
    <row r="162" spans="1:10">
      <c r="A162" s="324" t="s">
        <v>4946</v>
      </c>
      <c r="B162" s="324" t="s">
        <v>5790</v>
      </c>
      <c r="C162" s="196"/>
      <c r="D162" s="196"/>
      <c r="E162" s="324" t="s">
        <v>5791</v>
      </c>
      <c r="F162" s="196"/>
      <c r="G162" s="196"/>
      <c r="H162" s="196"/>
      <c r="I162" s="231"/>
      <c r="J162" s="231"/>
    </row>
    <row r="163" spans="1:10" ht="26.4">
      <c r="A163" s="291" t="s">
        <v>5777</v>
      </c>
      <c r="B163" s="768" t="s">
        <v>5792</v>
      </c>
      <c r="C163" s="768"/>
      <c r="D163" s="768"/>
      <c r="E163" s="768" t="s">
        <v>5793</v>
      </c>
      <c r="F163" s="768"/>
      <c r="G163" s="768"/>
      <c r="H163" s="196"/>
      <c r="I163" s="231"/>
      <c r="J163" s="231"/>
    </row>
    <row r="164" spans="1:10">
      <c r="A164" s="291" t="s">
        <v>5778</v>
      </c>
      <c r="B164" s="768" t="s">
        <v>5794</v>
      </c>
      <c r="C164" s="768"/>
      <c r="D164" s="768"/>
      <c r="E164" s="768" t="s">
        <v>5795</v>
      </c>
      <c r="F164" s="768"/>
      <c r="G164" s="768"/>
      <c r="H164" s="196"/>
      <c r="I164" s="231"/>
      <c r="J164" s="231"/>
    </row>
    <row r="165" spans="1:10">
      <c r="A165" s="291" t="s">
        <v>5779</v>
      </c>
      <c r="B165" s="768" t="s">
        <v>5796</v>
      </c>
      <c r="C165" s="768"/>
      <c r="D165" s="768"/>
      <c r="E165" s="768" t="s">
        <v>5797</v>
      </c>
      <c r="F165" s="768"/>
      <c r="G165" s="768"/>
      <c r="H165" s="196"/>
      <c r="I165" s="231"/>
      <c r="J165" s="231"/>
    </row>
    <row r="166" spans="1:10">
      <c r="A166" s="291" t="s">
        <v>5168</v>
      </c>
      <c r="B166" s="768" t="s">
        <v>5798</v>
      </c>
      <c r="C166" s="768"/>
      <c r="D166" s="768"/>
      <c r="E166" s="768" t="s">
        <v>5799</v>
      </c>
      <c r="F166" s="768"/>
      <c r="G166" s="768"/>
      <c r="H166" s="196"/>
      <c r="I166" s="231"/>
      <c r="J166" s="231"/>
    </row>
    <row r="167" spans="1:10">
      <c r="A167" s="291" t="s">
        <v>5780</v>
      </c>
      <c r="B167" s="768" t="s">
        <v>5800</v>
      </c>
      <c r="C167" s="768"/>
      <c r="D167" s="768"/>
      <c r="E167" s="768" t="s">
        <v>5801</v>
      </c>
      <c r="F167" s="768"/>
      <c r="G167" s="768"/>
      <c r="H167" s="196"/>
      <c r="I167" s="231"/>
      <c r="J167" s="231"/>
    </row>
    <row r="168" spans="1:10">
      <c r="A168" s="291" t="s">
        <v>5781</v>
      </c>
      <c r="B168" s="768" t="s">
        <v>5802</v>
      </c>
      <c r="C168" s="768"/>
      <c r="D168" s="768"/>
      <c r="E168" s="768" t="s">
        <v>5803</v>
      </c>
      <c r="F168" s="768"/>
      <c r="G168" s="768"/>
      <c r="H168" s="196"/>
      <c r="I168" s="231"/>
      <c r="J168" s="231"/>
    </row>
    <row r="169" spans="1:10">
      <c r="A169" s="291" t="s">
        <v>178</v>
      </c>
      <c r="B169" s="768" t="s">
        <v>5804</v>
      </c>
      <c r="C169" s="768"/>
      <c r="D169" s="768"/>
      <c r="E169" s="768" t="s">
        <v>5805</v>
      </c>
      <c r="F169" s="768"/>
      <c r="G169" s="768"/>
      <c r="H169" s="196"/>
      <c r="I169" s="231"/>
      <c r="J169" s="231"/>
    </row>
    <row r="170" spans="1:10" ht="26.4">
      <c r="A170" s="291" t="s">
        <v>5782</v>
      </c>
      <c r="B170" s="768" t="s">
        <v>5806</v>
      </c>
      <c r="C170" s="768"/>
      <c r="D170" s="768"/>
      <c r="E170" s="768" t="s">
        <v>5807</v>
      </c>
      <c r="F170" s="768"/>
      <c r="G170" s="768"/>
      <c r="H170" s="196"/>
      <c r="I170" s="231"/>
      <c r="J170" s="231"/>
    </row>
    <row r="171" spans="1:10">
      <c r="A171" s="276" t="s">
        <v>5783</v>
      </c>
      <c r="B171" s="280" t="str">
        <f>IF(COUNTIF(B154:B161,"No")=0,"🟢 PILOT COMPLETE / ACCEPTANCE READY","🟡 NOT COMPLETE — ACCEPTANCE GATES OPEN")</f>
        <v>🟡 NOT COMPLETE — ACCEPTANCE GATES OPEN</v>
      </c>
      <c r="C171" s="280"/>
      <c r="D171" s="280"/>
      <c r="E171" s="280"/>
      <c r="F171" s="280"/>
      <c r="G171" s="280"/>
      <c r="H171" s="280"/>
    </row>
    <row r="172" spans="1:10">
      <c r="A172" s="276" t="s">
        <v>5784</v>
      </c>
      <c r="B172" s="280">
        <f>COUNTIF(B154:B161,"No")</f>
        <v>8</v>
      </c>
      <c r="C172" s="280"/>
      <c r="D172" s="280"/>
      <c r="E172" s="280"/>
      <c r="F172" s="280"/>
      <c r="G172" s="280"/>
      <c r="H172" s="280"/>
    </row>
    <row r="173" spans="1:10">
      <c r="A173" s="276" t="s">
        <v>5785</v>
      </c>
      <c r="B173" s="280" t="str">
        <f>COUNTIF(B154:B161,"Yes")&amp;" / 8 Complete"</f>
        <v>0 / 8 Complete</v>
      </c>
      <c r="C173" s="280"/>
      <c r="D173" s="280"/>
      <c r="E173" s="280"/>
      <c r="F173" s="280"/>
      <c r="G173" s="280"/>
      <c r="H173" s="280"/>
    </row>
    <row r="174" spans="1:10" ht="93">
      <c r="A174" s="281" t="s">
        <v>5786</v>
      </c>
      <c r="B174" s="282" t="s">
        <v>5787</v>
      </c>
      <c r="C174" s="282"/>
      <c r="D174" s="282"/>
      <c r="E174" s="282"/>
      <c r="F174" s="282"/>
      <c r="G174" s="282"/>
      <c r="H174" s="282"/>
    </row>
    <row r="175" spans="1:10">
      <c r="A175" s="281"/>
      <c r="B175" s="282"/>
      <c r="C175" s="282"/>
      <c r="D175" s="282"/>
      <c r="E175" s="282"/>
      <c r="F175" s="282"/>
      <c r="G175" s="282"/>
      <c r="H175" s="282"/>
    </row>
    <row r="176" spans="1:10" ht="66.599999999999994">
      <c r="A176" s="281" t="s">
        <v>5788</v>
      </c>
      <c r="B176" s="282" t="s">
        <v>5789</v>
      </c>
      <c r="C176" s="282"/>
      <c r="D176" s="282"/>
      <c r="E176" s="282"/>
      <c r="F176" s="282"/>
      <c r="G176" s="282"/>
      <c r="H176" s="282"/>
    </row>
    <row r="177" spans="1:10">
      <c r="A177" s="842" t="s">
        <v>5901</v>
      </c>
      <c r="B177" s="842"/>
      <c r="C177" s="842"/>
      <c r="D177" s="842"/>
      <c r="E177" s="842"/>
      <c r="F177" s="842"/>
      <c r="G177" s="842"/>
      <c r="H177" s="842"/>
      <c r="I177" s="842"/>
      <c r="J177" s="842"/>
    </row>
    <row r="178" spans="1:10">
      <c r="A178" s="340" t="s">
        <v>5886</v>
      </c>
      <c r="B178" s="196"/>
      <c r="C178" s="196"/>
      <c r="D178" s="196"/>
      <c r="E178" s="196"/>
      <c r="F178" s="196"/>
      <c r="G178" s="196"/>
      <c r="H178" s="196"/>
      <c r="I178" s="196"/>
      <c r="J178" s="196"/>
    </row>
    <row r="179" spans="1:10">
      <c r="A179" s="196"/>
      <c r="B179" s="196"/>
      <c r="C179" s="196"/>
      <c r="D179" s="196"/>
      <c r="E179" s="196"/>
      <c r="F179" s="196"/>
      <c r="G179" s="196"/>
      <c r="H179" s="196"/>
      <c r="I179" s="196"/>
      <c r="J179" s="196"/>
    </row>
    <row r="180" spans="1:10">
      <c r="A180" s="196" t="s">
        <v>5887</v>
      </c>
      <c r="B180" s="196"/>
      <c r="C180" s="196"/>
      <c r="D180" s="196"/>
      <c r="E180" s="196"/>
      <c r="F180" s="196"/>
      <c r="G180" s="196"/>
      <c r="H180" s="196"/>
      <c r="I180" s="196"/>
      <c r="J180" s="196"/>
    </row>
    <row r="181" spans="1:10">
      <c r="A181" s="196"/>
      <c r="B181" s="196"/>
      <c r="C181" s="196"/>
      <c r="D181" s="196"/>
      <c r="E181" s="196"/>
      <c r="F181" s="196"/>
      <c r="G181" s="196"/>
      <c r="H181" s="196"/>
      <c r="I181" s="196"/>
      <c r="J181" s="196"/>
    </row>
    <row r="182" spans="1:10">
      <c r="A182" s="196" t="s">
        <v>5888</v>
      </c>
      <c r="B182" s="196"/>
      <c r="C182" s="196"/>
      <c r="D182" s="196"/>
      <c r="E182" s="196"/>
      <c r="F182" s="196"/>
      <c r="G182" s="196"/>
      <c r="H182" s="196"/>
      <c r="I182" s="196"/>
      <c r="J182" s="196"/>
    </row>
    <row r="183" spans="1:10">
      <c r="A183" s="196"/>
      <c r="B183" s="196"/>
      <c r="C183" s="196"/>
      <c r="D183" s="196"/>
      <c r="E183" s="196"/>
      <c r="F183" s="196"/>
      <c r="G183" s="196"/>
      <c r="H183" s="196"/>
      <c r="I183" s="196"/>
      <c r="J183" s="196"/>
    </row>
    <row r="184" spans="1:10">
      <c r="A184" s="196" t="s">
        <v>5889</v>
      </c>
      <c r="B184" s="196"/>
      <c r="C184" s="196"/>
      <c r="D184" s="196"/>
      <c r="E184" s="196"/>
      <c r="F184" s="196"/>
      <c r="G184" s="196"/>
      <c r="H184" s="196"/>
      <c r="I184" s="196"/>
      <c r="J184" s="196"/>
    </row>
    <row r="185" spans="1:10">
      <c r="A185" s="196"/>
      <c r="B185" s="196"/>
      <c r="C185" s="196"/>
      <c r="D185" s="196"/>
      <c r="E185" s="196"/>
      <c r="F185" s="196"/>
      <c r="G185" s="196"/>
      <c r="H185" s="196"/>
      <c r="I185" s="196"/>
      <c r="J185" s="196"/>
    </row>
    <row r="186" spans="1:10">
      <c r="A186" s="196"/>
      <c r="B186" s="196"/>
      <c r="C186" s="196"/>
      <c r="D186" s="196"/>
      <c r="E186" s="196"/>
      <c r="F186" s="196"/>
      <c r="G186" s="196"/>
      <c r="H186" s="196"/>
      <c r="I186" s="196"/>
      <c r="J186" s="196"/>
    </row>
    <row r="187" spans="1:10">
      <c r="A187" s="196"/>
      <c r="B187" s="196"/>
      <c r="C187" s="196"/>
      <c r="D187" s="196"/>
      <c r="E187" s="196"/>
      <c r="F187" s="196"/>
      <c r="G187" s="196"/>
      <c r="H187" s="196"/>
      <c r="I187" s="196"/>
      <c r="J187" s="196"/>
    </row>
    <row r="188" spans="1:10">
      <c r="A188" s="842" t="s">
        <v>5902</v>
      </c>
      <c r="B188" s="842"/>
      <c r="C188" s="842"/>
      <c r="D188" s="842"/>
      <c r="E188" s="842"/>
      <c r="F188" s="842"/>
      <c r="G188" s="842"/>
      <c r="H188" s="842"/>
      <c r="I188" s="842"/>
      <c r="J188" s="842"/>
    </row>
    <row r="189" spans="1:10">
      <c r="A189" s="196"/>
      <c r="B189" s="196"/>
      <c r="C189" s="196"/>
      <c r="D189" s="196"/>
      <c r="E189" s="196"/>
      <c r="F189" s="196"/>
      <c r="G189" s="196"/>
      <c r="H189" s="196"/>
      <c r="I189" s="196"/>
      <c r="J189" s="196"/>
    </row>
    <row r="190" spans="1:10">
      <c r="A190" s="196" t="s">
        <v>5890</v>
      </c>
      <c r="B190" s="196"/>
      <c r="C190" s="196"/>
      <c r="D190" s="196"/>
      <c r="E190" s="196"/>
      <c r="F190" s="196"/>
      <c r="G190" s="196"/>
      <c r="H190" s="196"/>
      <c r="I190" s="196"/>
      <c r="J190" s="196"/>
    </row>
    <row r="191" spans="1:10">
      <c r="A191" s="196"/>
      <c r="B191" s="196"/>
      <c r="C191" s="196"/>
      <c r="D191" s="196"/>
      <c r="E191" s="196"/>
      <c r="F191" s="196"/>
      <c r="G191" s="196"/>
      <c r="H191" s="196"/>
      <c r="I191" s="196"/>
      <c r="J191" s="196"/>
    </row>
    <row r="192" spans="1:10">
      <c r="A192" s="196" t="s">
        <v>5891</v>
      </c>
      <c r="B192" s="196"/>
      <c r="C192" s="196"/>
      <c r="D192" s="196"/>
      <c r="E192" s="196"/>
      <c r="F192" s="196"/>
      <c r="G192" s="196"/>
      <c r="H192" s="196"/>
      <c r="I192" s="196"/>
      <c r="J192" s="196"/>
    </row>
    <row r="193" spans="1:10">
      <c r="A193" s="196"/>
      <c r="B193" s="196"/>
      <c r="C193" s="196"/>
      <c r="D193" s="196"/>
      <c r="E193" s="196"/>
      <c r="F193" s="196"/>
      <c r="G193" s="196"/>
      <c r="H193" s="196"/>
      <c r="I193" s="196"/>
      <c r="J193" s="196"/>
    </row>
    <row r="194" spans="1:10">
      <c r="A194" s="196" t="s">
        <v>5892</v>
      </c>
      <c r="B194" s="196"/>
      <c r="C194" s="196"/>
      <c r="D194" s="196"/>
      <c r="E194" s="196"/>
      <c r="F194" s="196"/>
      <c r="G194" s="196"/>
      <c r="H194" s="196"/>
      <c r="I194" s="196"/>
      <c r="J194" s="196"/>
    </row>
    <row r="195" spans="1:10">
      <c r="A195" s="196"/>
      <c r="B195" s="196"/>
      <c r="C195" s="196"/>
      <c r="D195" s="196"/>
      <c r="E195" s="196"/>
      <c r="F195" s="196"/>
      <c r="G195" s="196"/>
      <c r="H195" s="196"/>
      <c r="I195" s="196"/>
      <c r="J195" s="196"/>
    </row>
    <row r="196" spans="1:10">
      <c r="A196" s="196"/>
      <c r="B196" s="196"/>
      <c r="C196" s="196"/>
      <c r="D196" s="196"/>
      <c r="E196" s="196"/>
      <c r="F196" s="196"/>
      <c r="G196" s="196"/>
      <c r="H196" s="196"/>
      <c r="I196" s="196"/>
      <c r="J196" s="196"/>
    </row>
    <row r="197" spans="1:10">
      <c r="A197" s="196"/>
      <c r="B197" s="196"/>
      <c r="C197" s="196"/>
      <c r="D197" s="196"/>
      <c r="E197" s="196"/>
      <c r="F197" s="196"/>
      <c r="G197" s="196"/>
      <c r="H197" s="196"/>
      <c r="I197" s="196"/>
      <c r="J197" s="196"/>
    </row>
    <row r="198" spans="1:10">
      <c r="A198" s="842" t="s">
        <v>5903</v>
      </c>
      <c r="B198" s="842"/>
      <c r="C198" s="842"/>
      <c r="D198" s="842"/>
      <c r="E198" s="842"/>
      <c r="F198" s="842"/>
      <c r="G198" s="842"/>
      <c r="H198" s="842"/>
      <c r="I198" s="842"/>
      <c r="J198" s="842"/>
    </row>
    <row r="199" spans="1:10">
      <c r="A199" s="196"/>
      <c r="B199" s="196"/>
      <c r="C199" s="196"/>
      <c r="D199" s="196"/>
      <c r="E199" s="196"/>
      <c r="F199" s="196"/>
      <c r="G199" s="196"/>
      <c r="H199" s="196"/>
      <c r="I199" s="196"/>
      <c r="J199" s="196"/>
    </row>
    <row r="200" spans="1:10">
      <c r="A200" s="196" t="s">
        <v>5893</v>
      </c>
      <c r="B200" s="196"/>
      <c r="C200" s="196"/>
      <c r="D200" s="196"/>
      <c r="E200" s="196"/>
      <c r="F200" s="196"/>
      <c r="G200" s="196"/>
      <c r="H200" s="196"/>
      <c r="I200" s="196"/>
      <c r="J200" s="196"/>
    </row>
    <row r="201" spans="1:10">
      <c r="A201" s="196"/>
      <c r="B201" s="196"/>
      <c r="C201" s="196"/>
      <c r="D201" s="196"/>
      <c r="E201" s="196"/>
      <c r="F201" s="196"/>
      <c r="G201" s="196"/>
      <c r="H201" s="196"/>
      <c r="I201" s="196"/>
      <c r="J201" s="196"/>
    </row>
    <row r="202" spans="1:10">
      <c r="A202" s="196" t="s">
        <v>5894</v>
      </c>
      <c r="B202" s="196"/>
      <c r="C202" s="196"/>
      <c r="D202" s="196"/>
      <c r="E202" s="196"/>
      <c r="F202" s="196"/>
      <c r="G202" s="196"/>
      <c r="H202" s="196"/>
      <c r="I202" s="196"/>
      <c r="J202" s="196"/>
    </row>
    <row r="203" spans="1:10">
      <c r="A203" s="196"/>
      <c r="B203" s="196"/>
      <c r="C203" s="196"/>
      <c r="D203" s="196"/>
      <c r="E203" s="196"/>
      <c r="F203" s="196"/>
      <c r="G203" s="196"/>
      <c r="H203" s="196"/>
      <c r="I203" s="196"/>
      <c r="J203" s="196"/>
    </row>
    <row r="204" spans="1:10">
      <c r="A204" s="196" t="s">
        <v>5895</v>
      </c>
      <c r="B204" s="196"/>
      <c r="C204" s="196"/>
      <c r="D204" s="196"/>
      <c r="E204" s="196"/>
      <c r="F204" s="196"/>
      <c r="G204" s="196"/>
      <c r="H204" s="196"/>
      <c r="I204" s="196"/>
      <c r="J204" s="196"/>
    </row>
    <row r="205" spans="1:10">
      <c r="A205" s="196"/>
      <c r="B205" s="196"/>
      <c r="C205" s="196"/>
      <c r="D205" s="196"/>
      <c r="E205" s="196"/>
      <c r="F205" s="196"/>
      <c r="G205" s="196"/>
      <c r="H205" s="196"/>
      <c r="I205" s="196"/>
      <c r="J205" s="196"/>
    </row>
    <row r="206" spans="1:10">
      <c r="A206" s="196" t="s">
        <v>5896</v>
      </c>
      <c r="B206" s="196"/>
      <c r="C206" s="196"/>
      <c r="D206" s="196"/>
      <c r="E206" s="196"/>
      <c r="F206" s="196"/>
      <c r="G206" s="196"/>
      <c r="H206" s="196"/>
      <c r="I206" s="196"/>
      <c r="J206" s="196"/>
    </row>
    <row r="207" spans="1:10">
      <c r="A207" s="196"/>
      <c r="B207" s="196"/>
      <c r="C207" s="196"/>
      <c r="D207" s="196"/>
      <c r="E207" s="196"/>
      <c r="F207" s="196"/>
      <c r="G207" s="196"/>
      <c r="H207" s="196"/>
      <c r="I207" s="196"/>
      <c r="J207" s="196"/>
    </row>
    <row r="208" spans="1:10">
      <c r="A208" s="196"/>
      <c r="B208" s="196"/>
      <c r="C208" s="196"/>
      <c r="D208" s="196"/>
      <c r="E208" s="196"/>
      <c r="F208" s="196"/>
      <c r="G208" s="196"/>
      <c r="H208" s="196"/>
      <c r="I208" s="196"/>
      <c r="J208" s="196"/>
    </row>
    <row r="209" spans="1:10">
      <c r="A209" s="196"/>
      <c r="B209" s="196"/>
      <c r="C209" s="196"/>
      <c r="D209" s="196"/>
      <c r="E209" s="196"/>
      <c r="F209" s="196"/>
      <c r="G209" s="196"/>
      <c r="H209" s="196"/>
      <c r="I209" s="196"/>
      <c r="J209" s="196"/>
    </row>
    <row r="210" spans="1:10">
      <c r="A210" s="842" t="s">
        <v>5904</v>
      </c>
      <c r="B210" s="842"/>
      <c r="C210" s="842"/>
      <c r="D210" s="842"/>
      <c r="E210" s="842"/>
      <c r="F210" s="842"/>
      <c r="G210" s="842"/>
      <c r="H210" s="842"/>
      <c r="I210" s="842"/>
      <c r="J210" s="842"/>
    </row>
    <row r="211" spans="1:10">
      <c r="A211" s="196"/>
      <c r="B211" s="196"/>
      <c r="C211" s="196"/>
      <c r="D211" s="196"/>
      <c r="E211" s="196"/>
      <c r="F211" s="196"/>
      <c r="G211" s="196"/>
      <c r="H211" s="196"/>
      <c r="I211" s="196"/>
      <c r="J211" s="196"/>
    </row>
    <row r="212" spans="1:10">
      <c r="A212" s="196" t="s">
        <v>5897</v>
      </c>
      <c r="B212" s="196"/>
      <c r="C212" s="196"/>
      <c r="D212" s="196"/>
      <c r="E212" s="196"/>
      <c r="F212" s="196"/>
      <c r="G212" s="196"/>
      <c r="H212" s="196"/>
      <c r="I212" s="196"/>
      <c r="J212" s="196"/>
    </row>
    <row r="213" spans="1:10">
      <c r="A213" s="196"/>
      <c r="B213" s="196"/>
      <c r="C213" s="196"/>
      <c r="D213" s="196"/>
      <c r="E213" s="196"/>
      <c r="F213" s="196"/>
      <c r="G213" s="196"/>
      <c r="H213" s="196"/>
      <c r="I213" s="196"/>
      <c r="J213" s="196"/>
    </row>
    <row r="214" spans="1:10">
      <c r="A214" s="196" t="s">
        <v>5898</v>
      </c>
      <c r="B214" s="196"/>
      <c r="C214" s="196"/>
      <c r="D214" s="196"/>
      <c r="E214" s="196"/>
      <c r="F214" s="196"/>
      <c r="G214" s="196"/>
      <c r="H214" s="196"/>
      <c r="I214" s="196"/>
      <c r="J214" s="196"/>
    </row>
    <row r="215" spans="1:10">
      <c r="A215" s="196"/>
      <c r="B215" s="196"/>
      <c r="C215" s="196"/>
      <c r="D215" s="196"/>
      <c r="E215" s="196"/>
      <c r="F215" s="196"/>
      <c r="G215" s="196"/>
      <c r="H215" s="196"/>
      <c r="I215" s="196"/>
      <c r="J215" s="196"/>
    </row>
    <row r="216" spans="1:10">
      <c r="A216" s="196" t="s">
        <v>5899</v>
      </c>
      <c r="B216" s="196"/>
      <c r="C216" s="196"/>
      <c r="D216" s="196"/>
      <c r="E216" s="196"/>
      <c r="F216" s="196"/>
      <c r="G216" s="196"/>
      <c r="H216" s="196"/>
      <c r="I216" s="196"/>
      <c r="J216" s="196"/>
    </row>
    <row r="217" spans="1:10">
      <c r="A217" s="196"/>
      <c r="B217" s="196"/>
      <c r="C217" s="196"/>
      <c r="D217" s="196"/>
      <c r="E217" s="196"/>
      <c r="F217" s="196"/>
      <c r="G217" s="196"/>
      <c r="H217" s="196"/>
      <c r="I217" s="196"/>
      <c r="J217" s="196"/>
    </row>
    <row r="218" spans="1:10">
      <c r="A218" s="196"/>
      <c r="B218" s="196"/>
      <c r="C218" s="196"/>
      <c r="D218" s="196"/>
      <c r="E218" s="196"/>
      <c r="F218" s="196"/>
      <c r="G218" s="196"/>
      <c r="H218" s="196"/>
      <c r="I218" s="196"/>
      <c r="J218" s="196"/>
    </row>
    <row r="219" spans="1:10">
      <c r="A219" s="196"/>
      <c r="B219" s="196"/>
      <c r="C219" s="196"/>
      <c r="D219" s="196"/>
      <c r="E219" s="196"/>
      <c r="F219" s="196"/>
      <c r="G219" s="196"/>
      <c r="H219" s="196"/>
      <c r="I219" s="196"/>
      <c r="J219" s="196"/>
    </row>
    <row r="220" spans="1:10">
      <c r="A220" s="196" t="s">
        <v>5900</v>
      </c>
      <c r="B220" s="196"/>
      <c r="C220" s="196"/>
      <c r="D220" s="196"/>
      <c r="E220" s="196"/>
      <c r="F220" s="196"/>
      <c r="G220" s="196"/>
      <c r="H220" s="196"/>
      <c r="I220" s="196"/>
      <c r="J220" s="196"/>
    </row>
    <row r="221" spans="1:10">
      <c r="A221" s="196"/>
      <c r="B221" s="196"/>
      <c r="C221" s="196"/>
      <c r="D221" s="196"/>
      <c r="E221" s="196"/>
      <c r="F221" s="196"/>
      <c r="G221" s="196"/>
      <c r="H221" s="196"/>
      <c r="I221" s="196"/>
      <c r="J221" s="196"/>
    </row>
    <row r="222" spans="1:10">
      <c r="A222" s="341"/>
      <c r="B222" s="341"/>
      <c r="C222" s="341"/>
      <c r="D222" s="341"/>
      <c r="E222" s="341"/>
      <c r="F222" s="341"/>
      <c r="G222" s="341"/>
      <c r="H222" s="341"/>
      <c r="I222" s="341"/>
      <c r="J222" s="341"/>
    </row>
    <row r="223" spans="1:10">
      <c r="A223" s="341"/>
      <c r="B223" s="341"/>
      <c r="C223" s="341"/>
      <c r="D223" s="341"/>
      <c r="E223" s="341"/>
      <c r="F223" s="341"/>
      <c r="G223" s="341"/>
      <c r="H223" s="341"/>
      <c r="I223" s="341"/>
      <c r="J223" s="341"/>
    </row>
    <row r="224" spans="1:10">
      <c r="A224" s="341"/>
      <c r="B224" s="341"/>
      <c r="C224" s="341"/>
      <c r="D224" s="341"/>
      <c r="E224" s="341"/>
      <c r="F224" s="341"/>
      <c r="G224" s="341"/>
      <c r="H224" s="341"/>
      <c r="I224" s="341"/>
      <c r="J224" s="341"/>
    </row>
    <row r="225" spans="1:10">
      <c r="A225" s="341"/>
      <c r="B225" s="341"/>
      <c r="C225" s="341"/>
      <c r="D225" s="341"/>
      <c r="E225" s="341"/>
      <c r="F225" s="341"/>
      <c r="G225" s="341"/>
      <c r="H225" s="341"/>
      <c r="I225" s="341"/>
      <c r="J225" s="341"/>
    </row>
    <row r="226" spans="1:10">
      <c r="A226" s="341"/>
      <c r="B226" s="341"/>
      <c r="C226" s="341"/>
      <c r="D226" s="341"/>
      <c r="E226" s="341"/>
      <c r="F226" s="341"/>
      <c r="G226" s="341"/>
      <c r="H226" s="341"/>
      <c r="I226" s="341"/>
      <c r="J226" s="341"/>
    </row>
    <row r="227" spans="1:10">
      <c r="A227" s="341"/>
      <c r="B227" s="341"/>
      <c r="C227" s="341"/>
      <c r="D227" s="341"/>
      <c r="E227" s="341"/>
      <c r="F227" s="341"/>
      <c r="G227" s="341"/>
      <c r="H227" s="341"/>
      <c r="I227" s="341"/>
      <c r="J227" s="341"/>
    </row>
    <row r="228" spans="1:10">
      <c r="A228" s="341"/>
      <c r="B228" s="341"/>
      <c r="C228" s="341"/>
      <c r="D228" s="341"/>
      <c r="E228" s="341"/>
      <c r="F228" s="341"/>
      <c r="G228" s="341"/>
      <c r="H228" s="341"/>
      <c r="I228" s="341"/>
      <c r="J228" s="341"/>
    </row>
    <row r="229" spans="1:10">
      <c r="A229" s="341"/>
      <c r="B229" s="341"/>
      <c r="C229" s="341"/>
      <c r="D229" s="341"/>
      <c r="E229" s="341"/>
      <c r="F229" s="341"/>
      <c r="G229" s="341"/>
      <c r="H229" s="341"/>
      <c r="I229" s="341"/>
      <c r="J229" s="341"/>
    </row>
    <row r="230" spans="1:10">
      <c r="A230" s="341"/>
      <c r="B230" s="341"/>
      <c r="C230" s="341"/>
      <c r="D230" s="341"/>
      <c r="E230" s="341"/>
      <c r="F230" s="341"/>
      <c r="G230" s="341"/>
      <c r="H230" s="341"/>
      <c r="I230" s="341"/>
      <c r="J230" s="341"/>
    </row>
    <row r="231" spans="1:10">
      <c r="A231" s="196"/>
      <c r="B231" s="196"/>
      <c r="C231" s="196"/>
      <c r="D231" s="196"/>
      <c r="E231" s="196"/>
      <c r="F231" s="196"/>
      <c r="G231" s="196"/>
      <c r="H231" s="196"/>
      <c r="I231" s="196"/>
      <c r="J231" s="196"/>
    </row>
    <row r="232" spans="1:10">
      <c r="A232" s="320"/>
      <c r="B232" s="320"/>
      <c r="C232" s="320"/>
      <c r="D232" s="320"/>
      <c r="E232" s="320"/>
      <c r="F232" s="320"/>
      <c r="G232" s="874"/>
      <c r="H232" s="874"/>
      <c r="I232" s="874"/>
      <c r="J232" s="874"/>
    </row>
  </sheetData>
  <mergeCells count="121">
    <mergeCell ref="A1:J1"/>
    <mergeCell ref="A13:C13"/>
    <mergeCell ref="B89:J89"/>
    <mergeCell ref="B85:J85"/>
    <mergeCell ref="D6:J6"/>
    <mergeCell ref="A65:C65"/>
    <mergeCell ref="A54:C54"/>
    <mergeCell ref="B86:J86"/>
    <mergeCell ref="A8:C8"/>
    <mergeCell ref="B84:J84"/>
    <mergeCell ref="B83:J83"/>
    <mergeCell ref="A43:C43"/>
    <mergeCell ref="A81:C81"/>
    <mergeCell ref="A38:C38"/>
    <mergeCell ref="A28:C28"/>
    <mergeCell ref="A18:C18"/>
    <mergeCell ref="B88:J88"/>
    <mergeCell ref="B87:J87"/>
    <mergeCell ref="A33:C33"/>
    <mergeCell ref="A76:C76"/>
    <mergeCell ref="A23:C23"/>
    <mergeCell ref="G94:J94"/>
    <mergeCell ref="G96:J96"/>
    <mergeCell ref="A98:B98"/>
    <mergeCell ref="E98:J98"/>
    <mergeCell ref="A100:C100"/>
    <mergeCell ref="D100:F100"/>
    <mergeCell ref="G100:J100"/>
    <mergeCell ref="A91:C91"/>
    <mergeCell ref="D91:F91"/>
    <mergeCell ref="G91:J91"/>
    <mergeCell ref="G92:J92"/>
    <mergeCell ref="G93:J93"/>
    <mergeCell ref="F106:J106"/>
    <mergeCell ref="F107:J107"/>
    <mergeCell ref="F108:J108"/>
    <mergeCell ref="F109:J109"/>
    <mergeCell ref="A110:B110"/>
    <mergeCell ref="C110:D110"/>
    <mergeCell ref="E110:J110"/>
    <mergeCell ref="G101:J101"/>
    <mergeCell ref="F102:J102"/>
    <mergeCell ref="F103:J103"/>
    <mergeCell ref="F104:J104"/>
    <mergeCell ref="F105:J105"/>
    <mergeCell ref="G115:J115"/>
    <mergeCell ref="G116:J116"/>
    <mergeCell ref="G117:J117"/>
    <mergeCell ref="G118:J118"/>
    <mergeCell ref="A119:B119"/>
    <mergeCell ref="C119:D119"/>
    <mergeCell ref="E119:J119"/>
    <mergeCell ref="A112:C112"/>
    <mergeCell ref="D112:F112"/>
    <mergeCell ref="G112:J112"/>
    <mergeCell ref="G113:J113"/>
    <mergeCell ref="G114:J114"/>
    <mergeCell ref="G123:J123"/>
    <mergeCell ref="G124:J124"/>
    <mergeCell ref="G125:J125"/>
    <mergeCell ref="G126:J126"/>
    <mergeCell ref="A127:D128"/>
    <mergeCell ref="E127:J128"/>
    <mergeCell ref="G120:J120"/>
    <mergeCell ref="A121:C121"/>
    <mergeCell ref="D121:F121"/>
    <mergeCell ref="G121:J121"/>
    <mergeCell ref="G122:J122"/>
    <mergeCell ref="G132:J132"/>
    <mergeCell ref="G133:J133"/>
    <mergeCell ref="G134:J134"/>
    <mergeCell ref="G135:J135"/>
    <mergeCell ref="G136:J136"/>
    <mergeCell ref="A129:C129"/>
    <mergeCell ref="D129:F129"/>
    <mergeCell ref="G129:J129"/>
    <mergeCell ref="G130:J130"/>
    <mergeCell ref="G131:J131"/>
    <mergeCell ref="B142:J142"/>
    <mergeCell ref="B143:J143"/>
    <mergeCell ref="B144:J144"/>
    <mergeCell ref="B145:J145"/>
    <mergeCell ref="B146:J146"/>
    <mergeCell ref="A137:B137"/>
    <mergeCell ref="C137:D137"/>
    <mergeCell ref="E137:J137"/>
    <mergeCell ref="A139:C139"/>
    <mergeCell ref="B141:J141"/>
    <mergeCell ref="B164:D164"/>
    <mergeCell ref="E164:G164"/>
    <mergeCell ref="B165:D165"/>
    <mergeCell ref="E165:G165"/>
    <mergeCell ref="B166:D166"/>
    <mergeCell ref="E166:G166"/>
    <mergeCell ref="B147:J147"/>
    <mergeCell ref="A149:H149"/>
    <mergeCell ref="B150:H150"/>
    <mergeCell ref="B151:H151"/>
    <mergeCell ref="B163:D163"/>
    <mergeCell ref="E163:G163"/>
    <mergeCell ref="B170:D170"/>
    <mergeCell ref="E170:G170"/>
    <mergeCell ref="A177:C177"/>
    <mergeCell ref="D177:F177"/>
    <mergeCell ref="G177:J177"/>
    <mergeCell ref="B167:D167"/>
    <mergeCell ref="E167:G167"/>
    <mergeCell ref="B168:D168"/>
    <mergeCell ref="E168:G168"/>
    <mergeCell ref="B169:D169"/>
    <mergeCell ref="E169:G169"/>
    <mergeCell ref="A210:C210"/>
    <mergeCell ref="D210:F210"/>
    <mergeCell ref="G210:J210"/>
    <mergeCell ref="G232:J232"/>
    <mergeCell ref="A188:C188"/>
    <mergeCell ref="D188:F188"/>
    <mergeCell ref="G188:J188"/>
    <mergeCell ref="A198:C198"/>
    <mergeCell ref="D198:F198"/>
    <mergeCell ref="G198:J198"/>
  </mergeCells>
  <conditionalFormatting sqref="B93:B97">
    <cfRule type="expression" dxfId="489" priority="21">
      <formula>B93="Complete"</formula>
    </cfRule>
    <cfRule type="expression" dxfId="488" priority="22">
      <formula>B93="In Progress"</formula>
    </cfRule>
    <cfRule type="expression" dxfId="487" priority="23">
      <formula>B93="At Risk"</formula>
    </cfRule>
    <cfRule type="expression" dxfId="486" priority="24">
      <formula>B93="Blocked"</formula>
    </cfRule>
    <cfRule type="expression" dxfId="485" priority="25">
      <formula>B93="Not Started"</formula>
    </cfRule>
  </conditionalFormatting>
  <conditionalFormatting sqref="B102:B109">
    <cfRule type="expression" dxfId="484" priority="1">
      <formula>B102="Complete"</formula>
    </cfRule>
    <cfRule type="expression" dxfId="483" priority="2">
      <formula>B102="In Progress"</formula>
    </cfRule>
    <cfRule type="expression" dxfId="482" priority="3">
      <formula>B102="At Risk"</formula>
    </cfRule>
    <cfRule type="expression" dxfId="481" priority="4">
      <formula>B102="Blocked"</formula>
    </cfRule>
    <cfRule type="expression" dxfId="480" priority="5">
      <formula>B102="Not Started"</formula>
    </cfRule>
  </conditionalFormatting>
  <conditionalFormatting sqref="B114:B118">
    <cfRule type="expression" dxfId="479" priority="26">
      <formula>B114="Complete"</formula>
    </cfRule>
    <cfRule type="expression" dxfId="478" priority="27">
      <formula>B114="In Progress"</formula>
    </cfRule>
    <cfRule type="expression" dxfId="477" priority="28">
      <formula>B114="At Risk"</formula>
    </cfRule>
    <cfRule type="expression" dxfId="476" priority="29">
      <formula>B114="Blocked"</formula>
    </cfRule>
    <cfRule type="expression" dxfId="475" priority="30">
      <formula>B114="Not Started"</formula>
    </cfRule>
  </conditionalFormatting>
  <conditionalFormatting sqref="B123:B126">
    <cfRule type="expression" dxfId="474" priority="6">
      <formula>B123="Complete"</formula>
    </cfRule>
    <cfRule type="expression" dxfId="473" priority="7">
      <formula>B123="In Progress"</formula>
    </cfRule>
    <cfRule type="expression" dxfId="472" priority="8">
      <formula>B123="At Risk"</formula>
    </cfRule>
    <cfRule type="expression" dxfId="471" priority="9">
      <formula>B123="Blocked"</formula>
    </cfRule>
    <cfRule type="expression" dxfId="470" priority="10">
      <formula>B123="Not Started"</formula>
    </cfRule>
  </conditionalFormatting>
  <conditionalFormatting sqref="B131:B136">
    <cfRule type="expression" dxfId="469" priority="11">
      <formula>B131="Complete"</formula>
    </cfRule>
    <cfRule type="expression" dxfId="468" priority="12">
      <formula>B131="In Progress"</formula>
    </cfRule>
    <cfRule type="expression" dxfId="467" priority="13">
      <formula>B131="At Risk"</formula>
    </cfRule>
    <cfRule type="expression" dxfId="466" priority="14">
      <formula>B131="Blocked"</formula>
    </cfRule>
    <cfRule type="expression" dxfId="465" priority="15">
      <formula>B131="Not Started"</formula>
    </cfRule>
  </conditionalFormatting>
  <conditionalFormatting sqref="B154:B161">
    <cfRule type="expression" dxfId="464" priority="82">
      <formula>B154="Yes"</formula>
    </cfRule>
    <cfRule type="expression" dxfId="463" priority="83">
      <formula>B154="N/A"</formula>
    </cfRule>
    <cfRule type="expression" dxfId="462" priority="84">
      <formula>B154="No"</formula>
    </cfRule>
  </conditionalFormatting>
  <conditionalFormatting sqref="B171:H171">
    <cfRule type="expression" dxfId="461" priority="85">
      <formula>COUNTIF($B$6:$B$13,"No")=0</formula>
    </cfRule>
    <cfRule type="expression" dxfId="460" priority="86">
      <formula>COUNTIF($B$6:$B$13,"No")&gt;0</formula>
    </cfRule>
  </conditionalFormatting>
  <conditionalFormatting sqref="C98:D98">
    <cfRule type="dataBar" priority="37">
      <dataBar>
        <cfvo type="num" val="0"/>
        <cfvo type="num" val="1"/>
        <color rgb="FF5B9BD5"/>
      </dataBar>
    </cfRule>
  </conditionalFormatting>
  <conditionalFormatting sqref="C102:D109">
    <cfRule type="expression" dxfId="459" priority="31">
      <formula>C102="Yes"</formula>
    </cfRule>
    <cfRule type="expression" dxfId="458" priority="32">
      <formula>C102="No"</formula>
    </cfRule>
    <cfRule type="expression" dxfId="457" priority="33">
      <formula>C102="N/A"</formula>
    </cfRule>
  </conditionalFormatting>
  <conditionalFormatting sqref="C110:D110">
    <cfRule type="dataBar" priority="38">
      <dataBar>
        <cfvo type="num" val="0"/>
        <cfvo type="num" val="1"/>
        <color rgb="FF5B9BD5"/>
      </dataBar>
    </cfRule>
  </conditionalFormatting>
  <conditionalFormatting sqref="C119:D119">
    <cfRule type="dataBar" priority="39">
      <dataBar>
        <cfvo type="num" val="0"/>
        <cfvo type="num" val="1"/>
        <color rgb="FF5B9BD5"/>
      </dataBar>
    </cfRule>
  </conditionalFormatting>
  <conditionalFormatting sqref="C131:D136">
    <cfRule type="expression" dxfId="456" priority="16">
      <formula>C131="Yes"</formula>
    </cfRule>
    <cfRule type="expression" dxfId="455" priority="17">
      <formula>C131="No"</formula>
    </cfRule>
    <cfRule type="expression" dxfId="454" priority="18">
      <formula>C131="N/A"</formula>
    </cfRule>
  </conditionalFormatting>
  <conditionalFormatting sqref="C137:D137">
    <cfRule type="dataBar" priority="20">
      <dataBar>
        <cfvo type="num" val="0"/>
        <cfvo type="num" val="1"/>
        <color rgb="FF5B9BD5"/>
      </dataBar>
    </cfRule>
  </conditionalFormatting>
  <conditionalFormatting sqref="E5 G5 I5">
    <cfRule type="expression" dxfId="453" priority="87">
      <formula>E5="Pass"</formula>
    </cfRule>
    <cfRule type="expression" dxfId="452" priority="88">
      <formula>E5="Verify"</formula>
    </cfRule>
    <cfRule type="expression" dxfId="451" priority="89">
      <formula>E5="Fail"</formula>
    </cfRule>
    <cfRule type="expression" dxfId="450" priority="90">
      <formula>E5="Not Started"</formula>
    </cfRule>
  </conditionalFormatting>
  <conditionalFormatting sqref="F3">
    <cfRule type="expression" dxfId="449" priority="91">
      <formula>F3="Yes"</formula>
    </cfRule>
    <cfRule type="expression" dxfId="448" priority="92">
      <formula>F3="No"</formula>
    </cfRule>
  </conditionalFormatting>
  <conditionalFormatting sqref="F114:F118">
    <cfRule type="expression" dxfId="447" priority="34">
      <formula>F114="Pass"</formula>
    </cfRule>
    <cfRule type="expression" dxfId="446" priority="35">
      <formula>F114="Fail"</formula>
    </cfRule>
    <cfRule type="expression" dxfId="445" priority="36">
      <formula>F114="Pending"</formula>
    </cfRule>
  </conditionalFormatting>
  <conditionalFormatting sqref="F123:F126">
    <cfRule type="dataBar" priority="19">
      <dataBar>
        <cfvo type="num" val="0"/>
        <cfvo type="num" val="1"/>
        <color rgb="FF5B9BD5"/>
      </dataBar>
    </cfRule>
  </conditionalFormatting>
  <dataValidations count="6">
    <dataValidation type="list" sqref="B5:B6 B35:I35 D5 D26:I26 E15:E16 E36:I36 F5 G20:I21 G30:I31 H5 H10:H16 H17:I19 H22:I25 H27:I29 H32:I34 J5 H84:I89 I16 D56:D63 H37:I82" xr:uid="{00000000-0002-0000-3800-000000000000}">
      <formula1>"Not Started,Verify,Pass,Fail,N/A,Open,Closed,Partial / Yellow,Excluded / Verify Existing,Excluded / Firestop Only"</formula1>
      <formula2>0</formula2>
    </dataValidation>
    <dataValidation type="list" allowBlank="1" sqref="F114:F118" xr:uid="{F6DB8BC0-EA38-429E-84F4-38DCF887E451}">
      <formula1>"Pending,Pass,Fail,N/A"</formula1>
    </dataValidation>
    <dataValidation type="list" allowBlank="1" sqref="C102:D109 C131:D136" xr:uid="{A64B2F90-33AB-48CE-A5E7-7CFD0097CD48}">
      <formula1>"Yes,No,N/A"</formula1>
    </dataValidation>
    <dataValidation type="list" allowBlank="1" sqref="B123:B126 B114:B118" xr:uid="{FC7B6BBF-B6AE-4854-907C-6C619050A897}">
      <formula1>"Not Started,In Progress,Complete,At Risk,Blocked"</formula1>
    </dataValidation>
    <dataValidation type="list" sqref="B154:B161" xr:uid="{88337CCC-9542-427C-BBBA-5FCC03E24FD0}">
      <formula1>"No,Yes,N/A"</formula1>
    </dataValidation>
    <dataValidation type="list" sqref="H142:I147 H139:I140" xr:uid="{0BAE5B19-5EFC-4585-B8FD-E9FEB5B88EB6}">
      <formula1>"Not Started,Verify,Pass,Fail,N/A,Open,Closed,Partial / Yellow"</formula1>
      <formula2>0</formula2>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DC11A705-5392-4C13-AFDA-8A449275051D}">
          <x14:formula1>
            <xm:f>Lookup_Lists!$L$37:$L$39</xm:f>
          </x14:formula1>
          <xm:sqref>C114:E118 J2</xm:sqref>
        </x14:dataValidation>
        <x14:dataValidation type="list" allowBlank="1" showInputMessage="1" showErrorMessage="1" xr:uid="{130F8A96-35D8-4631-81FD-44D3A621BF22}">
          <x14:formula1>
            <xm:f>Lookup_Lists!$A$36:$A$42</xm:f>
          </x14:formula1>
          <xm:sqref>B93:B97 B102:B109 B131:B136</xm:sqref>
        </x14:dataValidation>
      </x14:dataValidations>
    </ext>
  </extLst>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174E2-79C6-41A2-8430-366679F4726D}">
  <dimension ref="A1:J277"/>
  <sheetViews>
    <sheetView showGridLines="0" workbookViewId="0">
      <selection activeCell="N5" sqref="N5"/>
    </sheetView>
  </sheetViews>
  <sheetFormatPr defaultColWidth="8.6640625" defaultRowHeight="14.4"/>
  <cols>
    <col min="1" max="1" width="16" style="8" customWidth="1"/>
    <col min="2" max="2" width="18" style="8" customWidth="1"/>
    <col min="3" max="3" width="16" style="8" customWidth="1"/>
    <col min="4" max="4" width="20" style="8" customWidth="1"/>
    <col min="5" max="6" width="18" style="8" customWidth="1"/>
    <col min="7" max="7" width="20" style="8" customWidth="1"/>
    <col min="8" max="8" width="28" style="8" customWidth="1"/>
    <col min="9" max="9" width="18" style="8" customWidth="1"/>
    <col min="10" max="10" width="36" style="8" customWidth="1"/>
    <col min="11" max="11" width="10" style="8" customWidth="1"/>
    <col min="12" max="13" width="8.6640625" style="8" customWidth="1"/>
    <col min="14" max="16384" width="8.6640625" style="8"/>
  </cols>
  <sheetData>
    <row r="1" spans="1:10" ht="30" customHeight="1">
      <c r="A1" s="892" t="s">
        <v>3299</v>
      </c>
      <c r="B1" s="839"/>
      <c r="C1" s="839"/>
      <c r="D1" s="839"/>
      <c r="E1" s="839"/>
      <c r="F1" s="839"/>
      <c r="G1" s="839"/>
      <c r="H1" s="839"/>
      <c r="I1" s="839"/>
      <c r="J1" s="839"/>
    </row>
    <row r="2" spans="1:10" s="227" customFormat="1" ht="31.95" customHeight="1">
      <c r="A2" s="223" t="s">
        <v>142</v>
      </c>
      <c r="B2" s="224">
        <v>62</v>
      </c>
      <c r="C2" s="223" t="s">
        <v>902</v>
      </c>
      <c r="D2" s="224" t="s">
        <v>1094</v>
      </c>
      <c r="E2" s="223" t="s">
        <v>151</v>
      </c>
      <c r="F2" s="224" t="s">
        <v>1095</v>
      </c>
      <c r="G2" s="223" t="s">
        <v>174</v>
      </c>
      <c r="H2" s="225">
        <v>0.5</v>
      </c>
      <c r="I2" s="223" t="s">
        <v>154</v>
      </c>
      <c r="J2" s="226" t="s">
        <v>1096</v>
      </c>
    </row>
    <row r="3" spans="1:10" s="231" customFormat="1" ht="16.95" customHeight="1">
      <c r="A3" s="223" t="s">
        <v>903</v>
      </c>
      <c r="B3" s="228">
        <v>46198.520956712957</v>
      </c>
      <c r="C3" s="229" t="s">
        <v>904</v>
      </c>
      <c r="D3" s="230" t="s">
        <v>721</v>
      </c>
      <c r="E3" s="223" t="s">
        <v>905</v>
      </c>
      <c r="F3" s="230" t="s">
        <v>3300</v>
      </c>
      <c r="G3" s="223" t="s">
        <v>907</v>
      </c>
      <c r="H3" s="230" t="s">
        <v>908</v>
      </c>
      <c r="I3" s="223" t="s">
        <v>551</v>
      </c>
      <c r="J3" s="230" t="s">
        <v>3301</v>
      </c>
    </row>
    <row r="4" spans="1:10" s="231" customFormat="1" ht="82.95" customHeight="1">
      <c r="A4" s="223" t="s">
        <v>161</v>
      </c>
      <c r="B4" s="230">
        <f>SUMPRODUCT(--(LEFT($A$1:$A$300,5)="B62-R"),--(($I$1:$I$300="Open")+($I$1:$I$300="In Progress")))</f>
        <v>0</v>
      </c>
      <c r="C4" s="223" t="s">
        <v>199</v>
      </c>
      <c r="D4" s="230">
        <v>0</v>
      </c>
      <c r="E4" s="223" t="s">
        <v>179</v>
      </c>
      <c r="F4" s="230">
        <v>0</v>
      </c>
      <c r="G4" s="223" t="s">
        <v>870</v>
      </c>
      <c r="H4" s="232" t="s">
        <v>3302</v>
      </c>
      <c r="I4" s="233"/>
      <c r="J4" s="233"/>
    </row>
    <row r="5" spans="1:10" s="231" customFormat="1">
      <c r="A5" s="234" t="s">
        <v>911</v>
      </c>
      <c r="B5" s="225" t="s">
        <v>677</v>
      </c>
      <c r="C5" s="235" t="s">
        <v>912</v>
      </c>
      <c r="D5" s="225" t="s">
        <v>677</v>
      </c>
      <c r="E5" s="236" t="s">
        <v>913</v>
      </c>
      <c r="F5" s="225" t="s">
        <v>677</v>
      </c>
      <c r="G5" s="237" t="s">
        <v>914</v>
      </c>
      <c r="H5" s="225" t="s">
        <v>677</v>
      </c>
      <c r="I5" s="237" t="s">
        <v>915</v>
      </c>
      <c r="J5" s="225" t="s">
        <v>677</v>
      </c>
    </row>
    <row r="6" spans="1:10" s="231" customFormat="1">
      <c r="A6" s="238" t="s">
        <v>916</v>
      </c>
      <c r="B6" s="225" t="s">
        <v>677</v>
      </c>
      <c r="C6" s="239" t="s">
        <v>869</v>
      </c>
      <c r="D6" s="854" t="s">
        <v>3303</v>
      </c>
      <c r="E6" s="853"/>
      <c r="F6" s="853"/>
      <c r="G6" s="853"/>
      <c r="H6" s="853"/>
      <c r="I6" s="853"/>
      <c r="J6" s="853"/>
    </row>
    <row r="7" spans="1:10" ht="14.25" customHeight="1">
      <c r="A7" s="129"/>
      <c r="B7" s="129"/>
      <c r="C7" s="129"/>
      <c r="D7" s="129"/>
      <c r="E7" s="129"/>
      <c r="F7" s="129"/>
      <c r="G7" s="129"/>
      <c r="H7" s="129"/>
      <c r="I7" s="129"/>
      <c r="J7" s="129"/>
    </row>
    <row r="8" spans="1:10" ht="17.25" customHeight="1">
      <c r="A8" s="842" t="s">
        <v>918</v>
      </c>
      <c r="B8" s="839"/>
      <c r="C8" s="839"/>
      <c r="D8" s="85"/>
      <c r="E8" s="85"/>
      <c r="F8" s="85"/>
      <c r="G8" s="85"/>
      <c r="H8" s="85"/>
      <c r="I8" s="85"/>
      <c r="J8" s="85"/>
    </row>
    <row r="9" spans="1:10" ht="20.25" customHeight="1">
      <c r="A9" s="130" t="s">
        <v>142</v>
      </c>
      <c r="B9" s="130" t="s">
        <v>275</v>
      </c>
      <c r="C9" s="130" t="s">
        <v>884</v>
      </c>
      <c r="D9" s="130" t="s">
        <v>885</v>
      </c>
      <c r="E9" s="130" t="s">
        <v>886</v>
      </c>
      <c r="F9" s="130" t="s">
        <v>887</v>
      </c>
      <c r="G9" s="130" t="s">
        <v>888</v>
      </c>
      <c r="H9" s="130" t="s">
        <v>77</v>
      </c>
      <c r="I9" s="130" t="s">
        <v>889</v>
      </c>
      <c r="J9" s="130" t="s">
        <v>11</v>
      </c>
    </row>
    <row r="10" spans="1:10" ht="14.25" customHeight="1">
      <c r="A10" s="13" t="s">
        <v>376</v>
      </c>
      <c r="B10" s="13" t="s">
        <v>434</v>
      </c>
      <c r="C10" s="13" t="s">
        <v>923</v>
      </c>
      <c r="D10" s="13" t="s">
        <v>3304</v>
      </c>
      <c r="E10" s="13" t="s">
        <v>369</v>
      </c>
      <c r="F10" s="13">
        <v>1</v>
      </c>
      <c r="G10" s="13">
        <v>1</v>
      </c>
      <c r="H10" s="13" t="s">
        <v>677</v>
      </c>
      <c r="I10" s="13" t="s">
        <v>3305</v>
      </c>
      <c r="J10" s="13"/>
    </row>
    <row r="11" spans="1:10" ht="14.25" customHeight="1">
      <c r="A11" s="13" t="s">
        <v>376</v>
      </c>
      <c r="B11" s="13" t="s">
        <v>710</v>
      </c>
      <c r="C11" s="13" t="s">
        <v>919</v>
      </c>
      <c r="D11" s="13" t="s">
        <v>3306</v>
      </c>
      <c r="E11" s="13" t="s">
        <v>369</v>
      </c>
      <c r="F11" s="13">
        <v>1</v>
      </c>
      <c r="G11" s="13">
        <v>1</v>
      </c>
      <c r="H11" s="13" t="s">
        <v>677</v>
      </c>
      <c r="I11" s="13" t="s">
        <v>3305</v>
      </c>
      <c r="J11" s="13"/>
    </row>
    <row r="12" spans="1:10" ht="14.25" customHeight="1">
      <c r="A12" s="13" t="s">
        <v>376</v>
      </c>
      <c r="B12" s="13" t="s">
        <v>711</v>
      </c>
      <c r="C12" s="13" t="s">
        <v>933</v>
      </c>
      <c r="D12" s="13" t="s">
        <v>3307</v>
      </c>
      <c r="E12" s="13" t="s">
        <v>369</v>
      </c>
      <c r="F12" s="13">
        <v>1</v>
      </c>
      <c r="G12" s="13">
        <v>1</v>
      </c>
      <c r="H12" s="13" t="s">
        <v>677</v>
      </c>
      <c r="I12" s="13" t="s">
        <v>3305</v>
      </c>
      <c r="J12" s="13"/>
    </row>
    <row r="13" spans="1:10" ht="14.25" customHeight="1">
      <c r="A13" s="129"/>
      <c r="B13" s="129"/>
      <c r="C13" s="129"/>
      <c r="D13" s="129"/>
      <c r="E13" s="129"/>
      <c r="F13" s="129"/>
      <c r="G13" s="129"/>
      <c r="H13" s="129"/>
      <c r="I13" s="129"/>
      <c r="J13" s="129"/>
    </row>
    <row r="14" spans="1:10" ht="14.25" customHeight="1">
      <c r="A14" s="129"/>
      <c r="B14" s="129"/>
      <c r="C14" s="129"/>
      <c r="D14" s="129"/>
      <c r="E14" s="129"/>
      <c r="F14" s="129"/>
      <c r="G14" s="129"/>
      <c r="H14" s="129"/>
      <c r="I14" s="129"/>
      <c r="J14" s="129"/>
    </row>
    <row r="15" spans="1:10" ht="17.25" customHeight="1">
      <c r="A15" s="842" t="s">
        <v>936</v>
      </c>
      <c r="B15" s="839"/>
      <c r="C15" s="839"/>
      <c r="D15" s="85"/>
      <c r="E15" s="85"/>
      <c r="F15" s="85"/>
      <c r="G15" s="85"/>
      <c r="H15" s="85"/>
      <c r="I15" s="85"/>
      <c r="J15" s="85"/>
    </row>
    <row r="16" spans="1:10" ht="20.25" customHeight="1">
      <c r="A16" s="130" t="s">
        <v>275</v>
      </c>
      <c r="B16" s="130" t="s">
        <v>3308</v>
      </c>
      <c r="C16" s="130" t="s">
        <v>938</v>
      </c>
      <c r="D16" s="130" t="s">
        <v>884</v>
      </c>
      <c r="E16" s="130" t="s">
        <v>940</v>
      </c>
      <c r="F16" s="130" t="s">
        <v>941</v>
      </c>
      <c r="G16" s="130" t="s">
        <v>942</v>
      </c>
      <c r="H16" s="130" t="s">
        <v>943</v>
      </c>
      <c r="I16" s="130" t="s">
        <v>899</v>
      </c>
      <c r="J16" s="130" t="s">
        <v>944</v>
      </c>
    </row>
    <row r="17" spans="1:10" ht="14.25" customHeight="1">
      <c r="A17" s="13" t="s">
        <v>434</v>
      </c>
      <c r="B17" s="13" t="s">
        <v>677</v>
      </c>
      <c r="C17" s="13" t="s">
        <v>677</v>
      </c>
      <c r="D17" s="13" t="s">
        <v>677</v>
      </c>
      <c r="E17" s="13" t="s">
        <v>677</v>
      </c>
      <c r="F17" s="13" t="s">
        <v>677</v>
      </c>
      <c r="G17" s="13" t="s">
        <v>677</v>
      </c>
      <c r="H17" s="13" t="s">
        <v>546</v>
      </c>
      <c r="I17" s="13" t="str">
        <f>IF(COUNTIF(B17:H17,"Fail")&gt;0,"Fail",IF(COUNTIF(B17:H17,"Verify")&gt;0,"Verify",IF(COUNTIF(B17:H17,"Not Started")&gt;0,"Not Started","Pass")))</f>
        <v>Verify</v>
      </c>
      <c r="J17" s="13"/>
    </row>
    <row r="18" spans="1:10" ht="14.25" customHeight="1">
      <c r="A18" s="13" t="s">
        <v>710</v>
      </c>
      <c r="B18" s="13" t="s">
        <v>677</v>
      </c>
      <c r="C18" s="13" t="s">
        <v>677</v>
      </c>
      <c r="D18" s="13" t="s">
        <v>677</v>
      </c>
      <c r="E18" s="13" t="s">
        <v>677</v>
      </c>
      <c r="F18" s="13" t="s">
        <v>677</v>
      </c>
      <c r="G18" s="13" t="s">
        <v>677</v>
      </c>
      <c r="H18" s="13" t="s">
        <v>677</v>
      </c>
      <c r="I18" s="13" t="str">
        <f>IF(COUNTIF(B18:H18,"Fail")&gt;0,"Fail",IF(COUNTIF(B18:H18,"Verify")&gt;0,"Verify",IF(COUNTIF(B18:H18,"Not Started")&gt;0,"Not Started","Pass")))</f>
        <v>Verify</v>
      </c>
      <c r="J18" s="13"/>
    </row>
    <row r="19" spans="1:10" ht="14.25" customHeight="1">
      <c r="A19" s="13" t="s">
        <v>711</v>
      </c>
      <c r="B19" s="13" t="s">
        <v>677</v>
      </c>
      <c r="C19" s="13" t="s">
        <v>677</v>
      </c>
      <c r="D19" s="13" t="s">
        <v>677</v>
      </c>
      <c r="E19" s="13" t="s">
        <v>677</v>
      </c>
      <c r="F19" s="13" t="s">
        <v>677</v>
      </c>
      <c r="G19" s="13" t="s">
        <v>677</v>
      </c>
      <c r="H19" s="13" t="s">
        <v>677</v>
      </c>
      <c r="I19" s="13" t="str">
        <f>IF(COUNTIF(B19:H19,"Fail")&gt;0,"Fail",IF(COUNTIF(B19:H19,"Verify")&gt;0,"Verify",IF(COUNTIF(B19:H19,"Not Started")&gt;0,"Not Started","Pass")))</f>
        <v>Verify</v>
      </c>
      <c r="J19" s="13"/>
    </row>
    <row r="20" spans="1:10" ht="14.25" customHeight="1">
      <c r="A20" s="129"/>
      <c r="B20" s="129"/>
      <c r="C20" s="129"/>
      <c r="D20" s="129"/>
      <c r="E20" s="129"/>
      <c r="F20" s="129"/>
      <c r="G20" s="129"/>
      <c r="H20" s="129"/>
      <c r="I20" s="129"/>
      <c r="J20" s="129"/>
    </row>
    <row r="21" spans="1:10" ht="14.25" customHeight="1">
      <c r="A21" s="129"/>
      <c r="B21" s="129"/>
      <c r="C21" s="129"/>
      <c r="D21" s="129"/>
      <c r="E21" s="129"/>
      <c r="F21" s="129"/>
      <c r="G21" s="129"/>
      <c r="H21" s="129"/>
      <c r="I21" s="129"/>
      <c r="J21" s="129"/>
    </row>
    <row r="22" spans="1:10" ht="17.25" customHeight="1">
      <c r="A22" s="842" t="s">
        <v>951</v>
      </c>
      <c r="B22" s="839"/>
      <c r="C22" s="839"/>
      <c r="D22" s="85"/>
      <c r="E22" s="85"/>
      <c r="F22" s="85"/>
      <c r="G22" s="85"/>
      <c r="H22" s="85"/>
      <c r="I22" s="85"/>
      <c r="J22" s="85"/>
    </row>
    <row r="23" spans="1:10" ht="20.25" customHeight="1">
      <c r="A23" s="130" t="s">
        <v>275</v>
      </c>
      <c r="B23" s="130" t="s">
        <v>952</v>
      </c>
      <c r="C23" s="130" t="s">
        <v>953</v>
      </c>
      <c r="D23" s="130" t="s">
        <v>954</v>
      </c>
      <c r="E23" s="130" t="s">
        <v>955</v>
      </c>
      <c r="F23" s="130" t="s">
        <v>956</v>
      </c>
      <c r="G23" s="130" t="s">
        <v>957</v>
      </c>
      <c r="H23" s="130" t="s">
        <v>958</v>
      </c>
      <c r="I23" s="130" t="s">
        <v>899</v>
      </c>
      <c r="J23" s="130" t="s">
        <v>959</v>
      </c>
    </row>
    <row r="24" spans="1:10" ht="14.25" customHeight="1">
      <c r="A24" s="13" t="s">
        <v>434</v>
      </c>
      <c r="B24" s="13" t="s">
        <v>677</v>
      </c>
      <c r="C24" s="13" t="s">
        <v>677</v>
      </c>
      <c r="D24" s="13" t="s">
        <v>677</v>
      </c>
      <c r="E24" s="13" t="s">
        <v>677</v>
      </c>
      <c r="F24" s="13" t="s">
        <v>677</v>
      </c>
      <c r="G24" s="13" t="s">
        <v>677</v>
      </c>
      <c r="H24" s="13" t="s">
        <v>677</v>
      </c>
      <c r="I24" s="13" t="str">
        <f>IF(COUNTIF(B24:H24,"Fail")&gt;0,"Fail",IF(COUNTIF(B24:H24,"Verify")&gt;0,"Verify",IF(COUNTIF(B24:H24,"Not Started")&gt;0,"Not Started","Pass")))</f>
        <v>Verify</v>
      </c>
      <c r="J24" s="13"/>
    </row>
    <row r="25" spans="1:10" ht="14.25" customHeight="1">
      <c r="A25" s="13" t="s">
        <v>710</v>
      </c>
      <c r="B25" s="13" t="s">
        <v>677</v>
      </c>
      <c r="C25" s="13" t="s">
        <v>677</v>
      </c>
      <c r="D25" s="13" t="s">
        <v>677</v>
      </c>
      <c r="E25" s="13" t="s">
        <v>677</v>
      </c>
      <c r="F25" s="13" t="s">
        <v>677</v>
      </c>
      <c r="G25" s="13" t="s">
        <v>677</v>
      </c>
      <c r="H25" s="13" t="s">
        <v>677</v>
      </c>
      <c r="I25" s="13" t="str">
        <f>IF(COUNTIF(B25:H25,"Fail")&gt;0,"Fail",IF(COUNTIF(B25:H25,"Verify")&gt;0,"Verify",IF(COUNTIF(B25:H25,"Not Started")&gt;0,"Not Started","Pass")))</f>
        <v>Verify</v>
      </c>
      <c r="J25" s="13"/>
    </row>
    <row r="26" spans="1:10" ht="14.25" customHeight="1">
      <c r="A26" s="13" t="s">
        <v>711</v>
      </c>
      <c r="B26" s="13" t="s">
        <v>677</v>
      </c>
      <c r="C26" s="13" t="s">
        <v>677</v>
      </c>
      <c r="D26" s="13" t="s">
        <v>677</v>
      </c>
      <c r="E26" s="13" t="s">
        <v>677</v>
      </c>
      <c r="F26" s="13" t="s">
        <v>677</v>
      </c>
      <c r="G26" s="13" t="s">
        <v>677</v>
      </c>
      <c r="H26" s="13" t="s">
        <v>677</v>
      </c>
      <c r="I26" s="13" t="str">
        <f>IF(COUNTIF(B26:H26,"Fail")&gt;0,"Fail",IF(COUNTIF(B26:H26,"Verify")&gt;0,"Verify",IF(COUNTIF(B26:H26,"Not Started")&gt;0,"Not Started","Pass")))</f>
        <v>Verify</v>
      </c>
      <c r="J26" s="13"/>
    </row>
    <row r="27" spans="1:10" ht="14.25" customHeight="1">
      <c r="A27" s="129"/>
      <c r="B27" s="129"/>
      <c r="C27" s="129"/>
      <c r="D27" s="129"/>
      <c r="E27" s="129"/>
      <c r="F27" s="129"/>
      <c r="G27" s="129"/>
      <c r="H27" s="129"/>
      <c r="I27" s="129"/>
      <c r="J27" s="129"/>
    </row>
    <row r="28" spans="1:10" ht="14.25" customHeight="1">
      <c r="A28" s="129"/>
      <c r="B28" s="129"/>
      <c r="C28" s="129"/>
      <c r="D28" s="129"/>
      <c r="E28" s="129"/>
      <c r="F28" s="129"/>
      <c r="G28" s="129"/>
      <c r="H28" s="129"/>
      <c r="I28" s="129"/>
      <c r="J28" s="129"/>
    </row>
    <row r="29" spans="1:10" ht="17.25" customHeight="1">
      <c r="A29" s="842" t="s">
        <v>964</v>
      </c>
      <c r="B29" s="839"/>
      <c r="C29" s="839"/>
      <c r="D29" s="85"/>
      <c r="E29" s="85"/>
      <c r="F29" s="85"/>
      <c r="G29" s="85"/>
      <c r="H29" s="85"/>
      <c r="I29" s="85"/>
      <c r="J29" s="85"/>
    </row>
    <row r="30" spans="1:10" ht="20.25" customHeight="1">
      <c r="A30" s="130" t="s">
        <v>275</v>
      </c>
      <c r="B30" s="130" t="s">
        <v>965</v>
      </c>
      <c r="C30" s="130" t="s">
        <v>966</v>
      </c>
      <c r="D30" s="130" t="s">
        <v>967</v>
      </c>
      <c r="E30" s="130" t="s">
        <v>3309</v>
      </c>
      <c r="F30" s="130" t="s">
        <v>969</v>
      </c>
      <c r="G30" s="130" t="s">
        <v>970</v>
      </c>
      <c r="H30" s="130" t="s">
        <v>971</v>
      </c>
      <c r="I30" s="130" t="s">
        <v>899</v>
      </c>
      <c r="J30" s="130" t="s">
        <v>959</v>
      </c>
    </row>
    <row r="31" spans="1:10" ht="14.25" customHeight="1">
      <c r="A31" s="13" t="s">
        <v>434</v>
      </c>
      <c r="B31" s="13" t="s">
        <v>677</v>
      </c>
      <c r="C31" s="13" t="s">
        <v>677</v>
      </c>
      <c r="D31" s="13" t="s">
        <v>677</v>
      </c>
      <c r="E31" s="13" t="s">
        <v>677</v>
      </c>
      <c r="F31" s="13" t="s">
        <v>677</v>
      </c>
      <c r="G31" s="13" t="s">
        <v>677</v>
      </c>
      <c r="H31" s="13" t="s">
        <v>677</v>
      </c>
      <c r="I31" s="13" t="str">
        <f>IF(COUNTIF(B31:H31,"Fail")&gt;0,"Fail",IF(COUNTIF(B31:H31,"Verify")&gt;0,"Verify",IF(COUNTIF(B31:H31,"Not Started")&gt;0,"Not Started","Pass")))</f>
        <v>Verify</v>
      </c>
      <c r="J31" s="13"/>
    </row>
    <row r="32" spans="1:10" ht="14.25" customHeight="1">
      <c r="A32" s="13" t="s">
        <v>710</v>
      </c>
      <c r="B32" s="13" t="s">
        <v>677</v>
      </c>
      <c r="C32" s="13" t="s">
        <v>677</v>
      </c>
      <c r="D32" s="13" t="s">
        <v>677</v>
      </c>
      <c r="E32" s="13" t="s">
        <v>677</v>
      </c>
      <c r="F32" s="13" t="s">
        <v>677</v>
      </c>
      <c r="G32" s="13" t="s">
        <v>677</v>
      </c>
      <c r="H32" s="13" t="s">
        <v>677</v>
      </c>
      <c r="I32" s="13" t="str">
        <f>IF(COUNTIF(B32:H32,"Fail")&gt;0,"Fail",IF(COUNTIF(B32:H32,"Verify")&gt;0,"Verify",IF(COUNTIF(B32:H32,"Not Started")&gt;0,"Not Started","Pass")))</f>
        <v>Verify</v>
      </c>
      <c r="J32" s="13"/>
    </row>
    <row r="33" spans="1:10" ht="14.25" customHeight="1">
      <c r="A33" s="13" t="s">
        <v>711</v>
      </c>
      <c r="B33" s="13" t="s">
        <v>677</v>
      </c>
      <c r="C33" s="13" t="s">
        <v>677</v>
      </c>
      <c r="D33" s="13" t="s">
        <v>677</v>
      </c>
      <c r="E33" s="13" t="s">
        <v>677</v>
      </c>
      <c r="F33" s="13" t="s">
        <v>677</v>
      </c>
      <c r="G33" s="13" t="s">
        <v>677</v>
      </c>
      <c r="H33" s="13" t="s">
        <v>677</v>
      </c>
      <c r="I33" s="13" t="str">
        <f>IF(COUNTIF(B33:H33,"Fail")&gt;0,"Fail",IF(COUNTIF(B33:H33,"Verify")&gt;0,"Verify",IF(COUNTIF(B33:H33,"Not Started")&gt;0,"Not Started","Pass")))</f>
        <v>Verify</v>
      </c>
      <c r="J33" s="13"/>
    </row>
    <row r="34" spans="1:10" ht="14.25" customHeight="1">
      <c r="A34" s="129"/>
      <c r="B34" s="129"/>
      <c r="C34" s="129"/>
      <c r="D34" s="129"/>
      <c r="E34" s="129"/>
      <c r="F34" s="129"/>
      <c r="G34" s="129"/>
      <c r="H34" s="129"/>
      <c r="I34" s="129"/>
      <c r="J34" s="129"/>
    </row>
    <row r="35" spans="1:10" ht="14.25" customHeight="1">
      <c r="A35" s="129"/>
      <c r="B35" s="129"/>
      <c r="C35" s="129"/>
      <c r="D35" s="129"/>
      <c r="E35" s="129"/>
      <c r="F35" s="129"/>
      <c r="G35" s="129"/>
      <c r="H35" s="129"/>
      <c r="I35" s="129"/>
      <c r="J35" s="129"/>
    </row>
    <row r="36" spans="1:10" ht="17.25" customHeight="1">
      <c r="A36" s="842" t="s">
        <v>977</v>
      </c>
      <c r="B36" s="839"/>
      <c r="C36" s="839"/>
      <c r="D36" s="85"/>
      <c r="E36" s="85"/>
      <c r="F36" s="85"/>
      <c r="G36" s="85"/>
      <c r="H36" s="85"/>
      <c r="I36" s="85"/>
      <c r="J36" s="85"/>
    </row>
    <row r="37" spans="1:10" ht="20.25" customHeight="1">
      <c r="A37" s="130" t="s">
        <v>275</v>
      </c>
      <c r="B37" s="130" t="s">
        <v>978</v>
      </c>
      <c r="C37" s="130" t="s">
        <v>979</v>
      </c>
      <c r="D37" s="130" t="s">
        <v>980</v>
      </c>
      <c r="E37" s="130" t="s">
        <v>981</v>
      </c>
      <c r="F37" s="130" t="s">
        <v>982</v>
      </c>
      <c r="G37" s="130" t="s">
        <v>983</v>
      </c>
      <c r="H37" s="130" t="s">
        <v>984</v>
      </c>
      <c r="I37" s="130" t="s">
        <v>899</v>
      </c>
      <c r="J37" s="130" t="s">
        <v>11</v>
      </c>
    </row>
    <row r="38" spans="1:10" ht="14.25" customHeight="1">
      <c r="A38" s="13" t="s">
        <v>434</v>
      </c>
      <c r="B38" s="13" t="s">
        <v>677</v>
      </c>
      <c r="C38" s="13" t="s">
        <v>1366</v>
      </c>
      <c r="D38" s="13" t="s">
        <v>677</v>
      </c>
      <c r="E38" s="13" t="s">
        <v>677</v>
      </c>
      <c r="F38" s="13" t="s">
        <v>677</v>
      </c>
      <c r="G38" s="13" t="s">
        <v>677</v>
      </c>
      <c r="H38" s="13" t="s">
        <v>677</v>
      </c>
      <c r="I38" s="13" t="str">
        <f>IF(COUNTIF(B38:H38,"Fail")&gt;0,"Fail",IF(COUNTIF(B38:H38,"Verify")&gt;0,"Verify",IF(COUNTIF(B38:H38,"Not Started")&gt;0,"Not Started","Pass")))</f>
        <v>Verify</v>
      </c>
      <c r="J38" s="13"/>
    </row>
    <row r="39" spans="1:10" ht="14.25" customHeight="1">
      <c r="A39" s="13" t="s">
        <v>710</v>
      </c>
      <c r="B39" s="13" t="s">
        <v>677</v>
      </c>
      <c r="C39" s="13" t="s">
        <v>1366</v>
      </c>
      <c r="D39" s="13" t="s">
        <v>677</v>
      </c>
      <c r="E39" s="13" t="s">
        <v>677</v>
      </c>
      <c r="F39" s="13" t="s">
        <v>677</v>
      </c>
      <c r="G39" s="13" t="s">
        <v>677</v>
      </c>
      <c r="H39" s="13" t="s">
        <v>677</v>
      </c>
      <c r="I39" s="13" t="str">
        <f>IF(COUNTIF(B39:H39,"Fail")&gt;0,"Fail",IF(COUNTIF(B39:H39,"Verify")&gt;0,"Verify",IF(COUNTIF(B39:H39,"Not Started")&gt;0,"Not Started","Pass")))</f>
        <v>Verify</v>
      </c>
      <c r="J39" s="13"/>
    </row>
    <row r="40" spans="1:10" ht="14.25" customHeight="1">
      <c r="A40" s="13" t="s">
        <v>711</v>
      </c>
      <c r="B40" s="13" t="s">
        <v>677</v>
      </c>
      <c r="C40" s="13" t="s">
        <v>1366</v>
      </c>
      <c r="D40" s="13" t="s">
        <v>677</v>
      </c>
      <c r="E40" s="13" t="s">
        <v>677</v>
      </c>
      <c r="F40" s="13" t="s">
        <v>677</v>
      </c>
      <c r="G40" s="13" t="s">
        <v>677</v>
      </c>
      <c r="H40" s="13" t="s">
        <v>677</v>
      </c>
      <c r="I40" s="13" t="str">
        <f>IF(COUNTIF(B40:H40,"Fail")&gt;0,"Fail",IF(COUNTIF(B40:H40,"Verify")&gt;0,"Verify",IF(COUNTIF(B40:H40,"Not Started")&gt;0,"Not Started","Pass")))</f>
        <v>Verify</v>
      </c>
      <c r="J40" s="13"/>
    </row>
    <row r="41" spans="1:10" ht="14.25" customHeight="1">
      <c r="A41" s="129"/>
      <c r="B41" s="129"/>
      <c r="C41" s="129"/>
      <c r="D41" s="129"/>
      <c r="E41" s="129"/>
      <c r="F41" s="129"/>
      <c r="G41" s="129"/>
      <c r="H41" s="129"/>
      <c r="I41" s="129"/>
      <c r="J41" s="129"/>
    </row>
    <row r="42" spans="1:10" ht="14.25" customHeight="1">
      <c r="A42" s="129"/>
      <c r="B42" s="129"/>
      <c r="C42" s="129"/>
      <c r="D42" s="129"/>
      <c r="E42" s="129"/>
      <c r="F42" s="129"/>
      <c r="G42" s="129"/>
      <c r="H42" s="129"/>
      <c r="I42" s="129"/>
      <c r="J42" s="129"/>
    </row>
    <row r="43" spans="1:10" ht="17.25" customHeight="1">
      <c r="A43" s="842" t="s">
        <v>3310</v>
      </c>
      <c r="B43" s="839"/>
      <c r="C43" s="839"/>
      <c r="D43" s="85"/>
      <c r="E43" s="85"/>
      <c r="F43" s="85"/>
      <c r="G43" s="85"/>
      <c r="H43" s="85"/>
      <c r="I43" s="85"/>
      <c r="J43" s="85"/>
    </row>
    <row r="44" spans="1:10" ht="20.25" customHeight="1">
      <c r="A44" s="130" t="s">
        <v>275</v>
      </c>
      <c r="B44" s="130" t="s">
        <v>995</v>
      </c>
      <c r="C44" s="130" t="s">
        <v>996</v>
      </c>
      <c r="D44" s="130" t="s">
        <v>997</v>
      </c>
      <c r="E44" s="130" t="s">
        <v>998</v>
      </c>
      <c r="F44" s="130" t="s">
        <v>999</v>
      </c>
      <c r="G44" s="130" t="s">
        <v>1000</v>
      </c>
      <c r="H44" s="130" t="s">
        <v>1001</v>
      </c>
      <c r="I44" s="130" t="s">
        <v>899</v>
      </c>
      <c r="J44" s="130" t="s">
        <v>11</v>
      </c>
    </row>
    <row r="45" spans="1:10" ht="14.25" customHeight="1">
      <c r="A45" s="13" t="s">
        <v>434</v>
      </c>
      <c r="B45" s="13" t="s">
        <v>677</v>
      </c>
      <c r="C45" s="13" t="s">
        <v>677</v>
      </c>
      <c r="D45" s="13" t="s">
        <v>677</v>
      </c>
      <c r="E45" s="13" t="s">
        <v>677</v>
      </c>
      <c r="F45" s="13" t="s">
        <v>677</v>
      </c>
      <c r="G45" s="13" t="s">
        <v>677</v>
      </c>
      <c r="H45" s="13" t="s">
        <v>677</v>
      </c>
      <c r="I45" s="13" t="str">
        <f>IF(COUNTIF(B45:H45,"Fail")&gt;0,"Fail",IF(COUNTIF(B45:H45,"Verify")&gt;0,"Verify",IF(COUNTIF(B45:H45,"Not Started")&gt;0,"Not Started","Pass")))</f>
        <v>Verify</v>
      </c>
      <c r="J45" s="13"/>
    </row>
    <row r="46" spans="1:10" ht="14.25" customHeight="1">
      <c r="A46" s="13" t="s">
        <v>710</v>
      </c>
      <c r="B46" s="13" t="s">
        <v>677</v>
      </c>
      <c r="C46" s="13" t="s">
        <v>677</v>
      </c>
      <c r="D46" s="13" t="s">
        <v>677</v>
      </c>
      <c r="E46" s="13" t="s">
        <v>677</v>
      </c>
      <c r="F46" s="13" t="s">
        <v>677</v>
      </c>
      <c r="G46" s="13" t="s">
        <v>677</v>
      </c>
      <c r="H46" s="13" t="s">
        <v>677</v>
      </c>
      <c r="I46" s="13" t="str">
        <f>IF(COUNTIF(B46:H46,"Fail")&gt;0,"Fail",IF(COUNTIF(B46:H46,"Verify")&gt;0,"Verify",IF(COUNTIF(B46:H46,"Not Started")&gt;0,"Not Started","Pass")))</f>
        <v>Verify</v>
      </c>
      <c r="J46" s="13"/>
    </row>
    <row r="47" spans="1:10" ht="14.25" customHeight="1">
      <c r="A47" s="13" t="s">
        <v>711</v>
      </c>
      <c r="B47" s="13" t="s">
        <v>677</v>
      </c>
      <c r="C47" s="13" t="s">
        <v>677</v>
      </c>
      <c r="D47" s="13" t="s">
        <v>677</v>
      </c>
      <c r="E47" s="13" t="s">
        <v>677</v>
      </c>
      <c r="F47" s="13" t="s">
        <v>677</v>
      </c>
      <c r="G47" s="13" t="s">
        <v>677</v>
      </c>
      <c r="H47" s="13" t="s">
        <v>677</v>
      </c>
      <c r="I47" s="13" t="str">
        <f>IF(COUNTIF(B47:H47,"Fail")&gt;0,"Fail",IF(COUNTIF(B47:H47,"Verify")&gt;0,"Verify",IF(COUNTIF(B47:H47,"Not Started")&gt;0,"Not Started","Pass")))</f>
        <v>Verify</v>
      </c>
      <c r="J47" s="13"/>
    </row>
    <row r="48" spans="1:10" ht="14.25" customHeight="1">
      <c r="A48" s="129"/>
      <c r="B48" s="129"/>
      <c r="C48" s="129"/>
      <c r="D48" s="129"/>
      <c r="E48" s="129"/>
      <c r="F48" s="129"/>
      <c r="G48" s="129"/>
      <c r="H48" s="129"/>
      <c r="I48" s="129"/>
      <c r="J48" s="129"/>
    </row>
    <row r="49" spans="1:10" ht="14.25" customHeight="1">
      <c r="A49" s="129"/>
      <c r="B49" s="129"/>
      <c r="C49" s="129"/>
      <c r="D49" s="129"/>
      <c r="E49" s="129"/>
      <c r="F49" s="129"/>
      <c r="G49" s="129"/>
      <c r="H49" s="129"/>
      <c r="I49" s="129"/>
      <c r="J49" s="129"/>
    </row>
    <row r="50" spans="1:10" ht="17.25" customHeight="1">
      <c r="A50" s="842" t="s">
        <v>3311</v>
      </c>
      <c r="B50" s="839"/>
      <c r="C50" s="839"/>
      <c r="D50" s="85"/>
      <c r="E50" s="85"/>
      <c r="F50" s="85"/>
      <c r="G50" s="85"/>
      <c r="H50" s="85"/>
      <c r="I50" s="85"/>
      <c r="J50" s="85"/>
    </row>
    <row r="51" spans="1:10" ht="20.25" customHeight="1">
      <c r="A51" s="130" t="s">
        <v>213</v>
      </c>
      <c r="B51" s="130" t="s">
        <v>275</v>
      </c>
      <c r="C51" s="130" t="s">
        <v>573</v>
      </c>
      <c r="D51" s="130" t="s">
        <v>215</v>
      </c>
      <c r="E51" s="130" t="s">
        <v>257</v>
      </c>
      <c r="F51" s="130" t="s">
        <v>572</v>
      </c>
      <c r="G51" s="130" t="s">
        <v>259</v>
      </c>
      <c r="H51" s="130" t="s">
        <v>216</v>
      </c>
      <c r="I51" s="130" t="s">
        <v>77</v>
      </c>
      <c r="J51" s="130" t="s">
        <v>11</v>
      </c>
    </row>
    <row r="52" spans="1:10" ht="39" customHeight="1">
      <c r="A52" s="13" t="s">
        <v>3312</v>
      </c>
      <c r="B52" s="13" t="s">
        <v>575</v>
      </c>
      <c r="C52" s="13" t="s">
        <v>3313</v>
      </c>
      <c r="D52" s="13" t="s">
        <v>391</v>
      </c>
      <c r="E52" s="13" t="s">
        <v>488</v>
      </c>
      <c r="F52" s="13">
        <f>IF(D52="Critical",4,IF(D52="High",3,IF(D52="Medium",2,1)))*IF(E52="High",3,IF(E52="Medium",2,1))</f>
        <v>6</v>
      </c>
      <c r="G52" s="13" t="s">
        <v>3314</v>
      </c>
      <c r="H52" s="13" t="s">
        <v>2798</v>
      </c>
      <c r="I52" s="13" t="s">
        <v>502</v>
      </c>
      <c r="J52" s="13"/>
    </row>
    <row r="53" spans="1:10" ht="39" customHeight="1">
      <c r="A53" s="13" t="s">
        <v>3315</v>
      </c>
      <c r="B53" s="13" t="s">
        <v>575</v>
      </c>
      <c r="C53" s="13" t="s">
        <v>3316</v>
      </c>
      <c r="D53" s="13" t="s">
        <v>391</v>
      </c>
      <c r="E53" s="13" t="s">
        <v>488</v>
      </c>
      <c r="F53" s="13">
        <f>IF(D53="Critical",4,IF(D53="High",3,IF(D53="Medium",2,1)))*IF(E53="High",3,IF(E53="Medium",2,1))</f>
        <v>6</v>
      </c>
      <c r="G53" s="13" t="s">
        <v>3317</v>
      </c>
      <c r="H53" s="13" t="s">
        <v>241</v>
      </c>
      <c r="I53" s="13" t="s">
        <v>502</v>
      </c>
      <c r="J53" s="13"/>
    </row>
    <row r="54" spans="1:10" ht="26.25" customHeight="1">
      <c r="A54" s="13" t="s">
        <v>3318</v>
      </c>
      <c r="B54" s="13" t="s">
        <v>575</v>
      </c>
      <c r="C54" s="13" t="s">
        <v>3319</v>
      </c>
      <c r="D54" s="13" t="s">
        <v>488</v>
      </c>
      <c r="E54" s="13" t="s">
        <v>391</v>
      </c>
      <c r="F54" s="13">
        <f>IF(D54="Critical",4,IF(D54="High",3,IF(D54="Medium",2,1)))*IF(E54="High",3,IF(E54="Medium",2,1))</f>
        <v>6</v>
      </c>
      <c r="G54" s="13" t="s">
        <v>3320</v>
      </c>
      <c r="H54" s="13" t="s">
        <v>241</v>
      </c>
      <c r="I54" s="13" t="s">
        <v>502</v>
      </c>
      <c r="J54" s="13"/>
    </row>
    <row r="55" spans="1:10" ht="26.25" customHeight="1">
      <c r="A55" s="13" t="s">
        <v>3321</v>
      </c>
      <c r="B55" s="13" t="s">
        <v>575</v>
      </c>
      <c r="C55" s="13" t="s">
        <v>3322</v>
      </c>
      <c r="D55" s="13" t="s">
        <v>391</v>
      </c>
      <c r="E55" s="13" t="s">
        <v>488</v>
      </c>
      <c r="F55" s="13">
        <f>IF(D55="Critical",4,IF(D55="High",3,IF(D55="Medium",2,1)))*IF(E55="High",3,IF(E55="Medium",2,1))</f>
        <v>6</v>
      </c>
      <c r="G55" s="13" t="s">
        <v>3323</v>
      </c>
      <c r="H55" s="13" t="s">
        <v>1023</v>
      </c>
      <c r="I55" s="13" t="s">
        <v>502</v>
      </c>
      <c r="J55" s="13"/>
    </row>
    <row r="56" spans="1:10" ht="14.25" customHeight="1">
      <c r="A56" s="129"/>
      <c r="B56" s="129"/>
      <c r="C56" s="129"/>
      <c r="D56" s="129"/>
      <c r="E56" s="129"/>
      <c r="F56" s="129"/>
      <c r="G56" s="129"/>
      <c r="H56" s="129"/>
      <c r="I56" s="129"/>
      <c r="J56" s="129"/>
    </row>
    <row r="57" spans="1:10" ht="14.25" customHeight="1">
      <c r="A57" s="129"/>
      <c r="B57" s="129"/>
      <c r="C57" s="129"/>
      <c r="D57" s="129"/>
      <c r="E57" s="129"/>
      <c r="F57" s="129"/>
      <c r="G57" s="129"/>
      <c r="H57" s="129"/>
      <c r="I57" s="129"/>
      <c r="J57" s="129"/>
    </row>
    <row r="58" spans="1:10" ht="17.25" customHeight="1">
      <c r="A58" s="842" t="s">
        <v>3324</v>
      </c>
      <c r="B58" s="839"/>
      <c r="C58" s="839"/>
      <c r="D58" s="85"/>
      <c r="E58" s="85"/>
      <c r="F58" s="85"/>
      <c r="G58" s="85"/>
      <c r="H58" s="85"/>
      <c r="I58" s="85"/>
      <c r="J58" s="85"/>
    </row>
    <row r="59" spans="1:10" ht="20.25" customHeight="1">
      <c r="A59" s="130" t="s">
        <v>221</v>
      </c>
      <c r="B59" s="130" t="s">
        <v>222</v>
      </c>
      <c r="C59" s="130" t="s">
        <v>265</v>
      </c>
      <c r="D59" s="130" t="s">
        <v>77</v>
      </c>
      <c r="E59" s="130" t="s">
        <v>878</v>
      </c>
      <c r="F59" s="130" t="s">
        <v>879</v>
      </c>
      <c r="G59" s="130" t="s">
        <v>880</v>
      </c>
      <c r="H59" s="130" t="s">
        <v>494</v>
      </c>
      <c r="I59" s="130" t="s">
        <v>881</v>
      </c>
      <c r="J59" s="130" t="s">
        <v>11</v>
      </c>
    </row>
    <row r="60" spans="1:10" ht="26.25" customHeight="1">
      <c r="A60" s="13" t="s">
        <v>3325</v>
      </c>
      <c r="B60" s="13" t="s">
        <v>3326</v>
      </c>
      <c r="C60" s="13" t="s">
        <v>3327</v>
      </c>
      <c r="D60" s="13" t="s">
        <v>502</v>
      </c>
      <c r="E60" s="13"/>
      <c r="F60" s="13"/>
      <c r="G60" s="13" t="s">
        <v>3328</v>
      </c>
      <c r="H60" s="13"/>
      <c r="I60" s="13"/>
      <c r="J60" s="13"/>
    </row>
    <row r="61" spans="1:10" ht="39" customHeight="1">
      <c r="A61" s="13" t="s">
        <v>3329</v>
      </c>
      <c r="B61" s="13" t="s">
        <v>3330</v>
      </c>
      <c r="C61" s="13" t="s">
        <v>3331</v>
      </c>
      <c r="D61" s="13" t="s">
        <v>502</v>
      </c>
      <c r="E61" s="13"/>
      <c r="F61" s="13"/>
      <c r="G61" s="13" t="s">
        <v>3332</v>
      </c>
      <c r="H61" s="13"/>
      <c r="I61" s="13"/>
      <c r="J61" s="13"/>
    </row>
    <row r="62" spans="1:10" ht="39" customHeight="1">
      <c r="A62" s="13" t="s">
        <v>3333</v>
      </c>
      <c r="B62" s="13" t="s">
        <v>3334</v>
      </c>
      <c r="C62" s="13" t="s">
        <v>3335</v>
      </c>
      <c r="D62" s="13" t="s">
        <v>502</v>
      </c>
      <c r="E62" s="13"/>
      <c r="F62" s="13"/>
      <c r="G62" s="13" t="s">
        <v>3336</v>
      </c>
      <c r="H62" s="13"/>
      <c r="I62" s="13"/>
      <c r="J62" s="13"/>
    </row>
    <row r="63" spans="1:10" ht="39" customHeight="1">
      <c r="A63" s="13" t="s">
        <v>3337</v>
      </c>
      <c r="B63" s="13" t="s">
        <v>3338</v>
      </c>
      <c r="C63" s="13" t="s">
        <v>3339</v>
      </c>
      <c r="D63" s="13" t="s">
        <v>502</v>
      </c>
      <c r="E63" s="13"/>
      <c r="F63" s="13"/>
      <c r="G63" s="13" t="s">
        <v>623</v>
      </c>
      <c r="H63" s="13"/>
      <c r="I63" s="13"/>
      <c r="J63" s="13"/>
    </row>
    <row r="64" spans="1:10" ht="14.25" customHeight="1">
      <c r="A64" s="129"/>
      <c r="B64" s="129"/>
      <c r="C64" s="129"/>
      <c r="D64" s="129"/>
      <c r="E64" s="129"/>
      <c r="F64" s="129"/>
      <c r="G64" s="129"/>
      <c r="H64" s="129"/>
      <c r="I64" s="129"/>
      <c r="J64" s="129"/>
    </row>
    <row r="65" spans="1:10" ht="14.25" customHeight="1">
      <c r="A65" s="129"/>
      <c r="B65" s="129"/>
      <c r="C65" s="129"/>
      <c r="D65" s="129"/>
      <c r="E65" s="129"/>
      <c r="F65" s="129"/>
      <c r="G65" s="129"/>
      <c r="H65" s="129"/>
      <c r="I65" s="129"/>
      <c r="J65" s="129"/>
    </row>
    <row r="66" spans="1:10" ht="17.25" customHeight="1">
      <c r="A66" s="842" t="s">
        <v>3340</v>
      </c>
      <c r="B66" s="839"/>
      <c r="C66" s="839"/>
      <c r="D66" s="85"/>
      <c r="E66" s="85"/>
      <c r="F66" s="85"/>
      <c r="G66" s="85"/>
      <c r="H66" s="85"/>
      <c r="I66" s="85"/>
      <c r="J66" s="85"/>
    </row>
    <row r="67" spans="1:10" ht="20.25" customHeight="1">
      <c r="A67" s="130" t="s">
        <v>291</v>
      </c>
      <c r="B67" s="130" t="s">
        <v>275</v>
      </c>
      <c r="C67" s="130" t="s">
        <v>493</v>
      </c>
      <c r="D67" s="130" t="s">
        <v>214</v>
      </c>
      <c r="E67" s="130" t="s">
        <v>263</v>
      </c>
      <c r="F67" s="130" t="s">
        <v>891</v>
      </c>
      <c r="G67" s="130" t="s">
        <v>892</v>
      </c>
      <c r="H67" s="130" t="s">
        <v>893</v>
      </c>
      <c r="I67" s="130" t="s">
        <v>77</v>
      </c>
      <c r="J67" s="130" t="s">
        <v>11</v>
      </c>
    </row>
    <row r="68" spans="1:10" ht="14.25" customHeight="1">
      <c r="A68" s="13" t="s">
        <v>3341</v>
      </c>
      <c r="B68" s="13" t="s">
        <v>434</v>
      </c>
      <c r="C68" s="13" t="s">
        <v>269</v>
      </c>
      <c r="D68" s="13" t="s">
        <v>3342</v>
      </c>
      <c r="E68" s="63"/>
      <c r="F68" s="13" t="s">
        <v>229</v>
      </c>
      <c r="G68" s="13"/>
      <c r="H68" s="13"/>
      <c r="I68" s="13" t="s">
        <v>502</v>
      </c>
      <c r="J68" s="13"/>
    </row>
    <row r="69" spans="1:10" ht="14.25" customHeight="1">
      <c r="A69" s="13" t="s">
        <v>3343</v>
      </c>
      <c r="B69" s="13" t="s">
        <v>710</v>
      </c>
      <c r="C69" s="13" t="s">
        <v>269</v>
      </c>
      <c r="D69" s="13" t="s">
        <v>3342</v>
      </c>
      <c r="E69" s="63"/>
      <c r="F69" s="13" t="s">
        <v>229</v>
      </c>
      <c r="G69" s="13"/>
      <c r="H69" s="13"/>
      <c r="I69" s="13" t="s">
        <v>502</v>
      </c>
      <c r="J69" s="13"/>
    </row>
    <row r="70" spans="1:10" ht="14.25" customHeight="1">
      <c r="A70" s="13" t="s">
        <v>3344</v>
      </c>
      <c r="B70" s="13" t="s">
        <v>711</v>
      </c>
      <c r="C70" s="13" t="s">
        <v>269</v>
      </c>
      <c r="D70" s="13" t="s">
        <v>3342</v>
      </c>
      <c r="E70" s="63"/>
      <c r="F70" s="13" t="s">
        <v>229</v>
      </c>
      <c r="G70" s="13"/>
      <c r="H70" s="13"/>
      <c r="I70" s="13" t="s">
        <v>502</v>
      </c>
      <c r="J70" s="13"/>
    </row>
    <row r="71" spans="1:10" ht="26.25" customHeight="1">
      <c r="A71" s="13" t="s">
        <v>3345</v>
      </c>
      <c r="B71" s="13" t="s">
        <v>575</v>
      </c>
      <c r="C71" s="13" t="s">
        <v>957</v>
      </c>
      <c r="D71" s="13" t="s">
        <v>3346</v>
      </c>
      <c r="E71" s="63"/>
      <c r="F71" s="13" t="s">
        <v>229</v>
      </c>
      <c r="G71" s="13"/>
      <c r="H71" s="13" t="s">
        <v>3315</v>
      </c>
      <c r="I71" s="13" t="s">
        <v>502</v>
      </c>
      <c r="J71" s="13"/>
    </row>
    <row r="72" spans="1:10" ht="14.25" customHeight="1">
      <c r="A72" s="129"/>
      <c r="B72" s="129"/>
      <c r="C72" s="129"/>
      <c r="D72" s="129"/>
      <c r="E72" s="129"/>
      <c r="F72" s="129"/>
      <c r="G72" s="129"/>
      <c r="H72" s="129"/>
      <c r="I72" s="129"/>
      <c r="J72" s="129"/>
    </row>
    <row r="73" spans="1:10" ht="14.25" customHeight="1">
      <c r="A73" s="129"/>
      <c r="B73" s="129"/>
      <c r="C73" s="129"/>
      <c r="D73" s="129"/>
      <c r="E73" s="129"/>
      <c r="F73" s="129"/>
      <c r="G73" s="129"/>
      <c r="H73" s="129"/>
      <c r="I73" s="129"/>
      <c r="J73" s="129"/>
    </row>
    <row r="74" spans="1:10" ht="17.25" customHeight="1">
      <c r="A74" s="842" t="s">
        <v>3347</v>
      </c>
      <c r="B74" s="839"/>
      <c r="C74" s="839"/>
      <c r="D74" s="85"/>
      <c r="E74" s="85"/>
      <c r="F74" s="85"/>
      <c r="G74" s="85"/>
      <c r="H74" s="85"/>
      <c r="I74" s="85"/>
      <c r="J74" s="85"/>
    </row>
    <row r="75" spans="1:10" ht="20.25" customHeight="1">
      <c r="A75" s="130" t="s">
        <v>275</v>
      </c>
      <c r="B75" s="130" t="s">
        <v>895</v>
      </c>
      <c r="C75" s="130" t="s">
        <v>896</v>
      </c>
      <c r="D75" s="130" t="s">
        <v>148</v>
      </c>
      <c r="E75" s="130" t="s">
        <v>153</v>
      </c>
      <c r="F75" s="130" t="s">
        <v>155</v>
      </c>
      <c r="G75" s="130" t="s">
        <v>491</v>
      </c>
      <c r="H75" s="130" t="s">
        <v>897</v>
      </c>
      <c r="I75" s="130" t="s">
        <v>174</v>
      </c>
      <c r="J75" s="130" t="s">
        <v>11</v>
      </c>
    </row>
    <row r="76" spans="1:10" ht="14.25" customHeight="1">
      <c r="A76" s="13" t="s">
        <v>434</v>
      </c>
      <c r="B76" s="126">
        <f>IF(I17="Pass",1,IF(I17="Verify",0.5,IF(I17="Not Started",0,IF(I17="N/A",1,0))))</f>
        <v>0.5</v>
      </c>
      <c r="C76" s="126">
        <f>IF(I24="Pass",1,IF(I24="Verify",0.5,IF(I24="Not Started",0,IF(I24="N/A",1,0))))</f>
        <v>0.5</v>
      </c>
      <c r="D76" s="126">
        <f>IF(I31="Pass",1,IF(I31="Verify",0.5,IF(I31="Not Started",0,IF(I31="N/A",1,0))))</f>
        <v>0.5</v>
      </c>
      <c r="E76" s="126">
        <f>IF(I38="Pass",1,IF(I38="Verify",0.5,IF(I38="Not Started",0,IF(I38="N/A",1,0))))</f>
        <v>0.5</v>
      </c>
      <c r="F76" s="126">
        <f>IF(I45="Pass",1,IF(I45="Verify",0.5,IF(I45="Not Started",0,IF(I45="N/A",1,0))))</f>
        <v>0.5</v>
      </c>
      <c r="G76" s="126" t="s">
        <v>677</v>
      </c>
      <c r="H76" s="126">
        <f>AVERAGE(B76:G76)</f>
        <v>0.5</v>
      </c>
      <c r="I76" s="13" t="str">
        <f>IF(H76&gt;=0.8,"Ready / Green",IF(H76&gt;=0.5,"Partial / Yellow","At Risk / Red"))</f>
        <v>Partial / Yellow</v>
      </c>
      <c r="J76" s="13"/>
    </row>
    <row r="77" spans="1:10" ht="14.25" customHeight="1">
      <c r="A77" s="13" t="s">
        <v>710</v>
      </c>
      <c r="B77" s="126">
        <f>IF(I18="Pass",1,IF(I18="Verify",0.5,IF(I18="Not Started",0,IF(I18="N/A",1,0))))</f>
        <v>0.5</v>
      </c>
      <c r="C77" s="126">
        <f>IF(I25="Pass",1,IF(I25="Verify",0.5,IF(I25="Not Started",0,IF(I25="N/A",1,0))))</f>
        <v>0.5</v>
      </c>
      <c r="D77" s="126">
        <f>IF(I32="Pass",1,IF(I32="Verify",0.5,IF(I32="Not Started",0,IF(I32="N/A",1,0))))</f>
        <v>0.5</v>
      </c>
      <c r="E77" s="126">
        <f>IF(I39="Pass",1,IF(I39="Verify",0.5,IF(I39="Not Started",0,IF(I39="N/A",1,0))))</f>
        <v>0.5</v>
      </c>
      <c r="F77" s="126">
        <f>IF(I46="Pass",1,IF(I46="Verify",0.5,IF(I46="Not Started",0,IF(I46="N/A",1,0))))</f>
        <v>0.5</v>
      </c>
      <c r="G77" s="126" t="s">
        <v>677</v>
      </c>
      <c r="H77" s="126">
        <f>AVERAGE(B77:G77)</f>
        <v>0.5</v>
      </c>
      <c r="I77" s="13" t="str">
        <f>IF(H77&gt;=0.8,"Ready / Green",IF(H77&gt;=0.5,"Partial / Yellow","At Risk / Red"))</f>
        <v>Partial / Yellow</v>
      </c>
      <c r="J77" s="13"/>
    </row>
    <row r="78" spans="1:10" ht="14.25" customHeight="1">
      <c r="A78" s="13" t="s">
        <v>711</v>
      </c>
      <c r="B78" s="126">
        <f>IF(I19="Pass",1,IF(I19="Verify",0.5,IF(I19="Not Started",0,IF(I19="N/A",1,0))))</f>
        <v>0.5</v>
      </c>
      <c r="C78" s="126">
        <f>IF(I26="Pass",1,IF(I26="Verify",0.5,IF(I26="Not Started",0,IF(I26="N/A",1,0))))</f>
        <v>0.5</v>
      </c>
      <c r="D78" s="126">
        <f>IF(I33="Pass",1,IF(I33="Verify",0.5,IF(I33="Not Started",0,IF(I33="N/A",1,0))))</f>
        <v>0.5</v>
      </c>
      <c r="E78" s="126">
        <f>IF(I40="Pass",1,IF(I40="Verify",0.5,IF(I40="Not Started",0,IF(I40="N/A",1,0))))</f>
        <v>0.5</v>
      </c>
      <c r="F78" s="126">
        <f>IF(I47="Pass",1,IF(I47="Verify",0.5,IF(I47="Not Started",0,IF(I47="N/A",1,0))))</f>
        <v>0.5</v>
      </c>
      <c r="G78" s="126" t="s">
        <v>677</v>
      </c>
      <c r="H78" s="126">
        <f>AVERAGE(B78:G78)</f>
        <v>0.5</v>
      </c>
      <c r="I78" s="13" t="str">
        <f>IF(H78&gt;=0.8,"Ready / Green",IF(H78&gt;=0.5,"Partial / Yellow","At Risk / Red"))</f>
        <v>Partial / Yellow</v>
      </c>
      <c r="J78" s="13"/>
    </row>
    <row r="79" spans="1:10" ht="14.25" customHeight="1" thickBot="1">
      <c r="A79" s="129"/>
      <c r="B79" s="129"/>
      <c r="C79" s="129"/>
      <c r="D79" s="129"/>
      <c r="E79" s="129"/>
      <c r="F79" s="129"/>
      <c r="G79" s="129"/>
      <c r="H79" s="129"/>
      <c r="I79" s="129"/>
      <c r="J79" s="129"/>
    </row>
    <row r="80" spans="1:10" ht="15" customHeight="1">
      <c r="A80" s="855" t="s">
        <v>5875</v>
      </c>
      <c r="B80" s="856"/>
      <c r="C80" s="856"/>
      <c r="D80" s="857"/>
      <c r="E80" s="856"/>
      <c r="F80" s="856"/>
      <c r="G80" s="857"/>
      <c r="H80" s="857"/>
      <c r="I80" s="857"/>
      <c r="J80" s="858"/>
    </row>
    <row r="81" spans="1:10" ht="30" customHeight="1">
      <c r="A81" s="325" t="s">
        <v>5817</v>
      </c>
      <c r="B81" s="326" t="s">
        <v>77</v>
      </c>
      <c r="C81" s="326" t="s">
        <v>5818</v>
      </c>
      <c r="D81" s="326" t="s">
        <v>5819</v>
      </c>
      <c r="E81" s="326" t="s">
        <v>5841</v>
      </c>
      <c r="F81" s="326" t="s">
        <v>5808</v>
      </c>
      <c r="G81" s="859" t="s">
        <v>5842</v>
      </c>
      <c r="H81" s="859"/>
      <c r="I81" s="859"/>
      <c r="J81" s="860"/>
    </row>
    <row r="82" spans="1:10" ht="25.5" customHeight="1">
      <c r="A82" s="327" t="s">
        <v>5820</v>
      </c>
      <c r="B82" s="337" t="s">
        <v>484</v>
      </c>
      <c r="C82" s="329">
        <v>0</v>
      </c>
      <c r="D82" s="329">
        <v>0</v>
      </c>
      <c r="E82" s="196" t="s">
        <v>5881</v>
      </c>
      <c r="F82" s="329">
        <f>IF(AND(C82&lt;&gt;"",D82&lt;&gt;""),D82-C82,"")</f>
        <v>0</v>
      </c>
      <c r="G82" s="861"/>
      <c r="H82" s="861"/>
      <c r="I82" s="861"/>
      <c r="J82" s="862"/>
    </row>
    <row r="83" spans="1:10" ht="25.5" customHeight="1">
      <c r="A83" s="330" t="s">
        <v>5821</v>
      </c>
      <c r="B83" s="337" t="s">
        <v>484</v>
      </c>
      <c r="C83" s="331">
        <v>1</v>
      </c>
      <c r="D83" s="331">
        <v>0</v>
      </c>
      <c r="E83" s="314" t="s">
        <v>5882</v>
      </c>
      <c r="F83" s="331">
        <f>IF(AND(C83&lt;&gt;"",D83&lt;&gt;""),D83-C83,"")</f>
        <v>-1</v>
      </c>
      <c r="G83" s="863"/>
      <c r="H83" s="863"/>
      <c r="I83" s="863"/>
      <c r="J83" s="864"/>
    </row>
    <row r="84" spans="1:10" ht="15" customHeight="1">
      <c r="A84" s="327" t="s">
        <v>5822</v>
      </c>
      <c r="B84" s="337" t="s">
        <v>484</v>
      </c>
      <c r="C84" s="331">
        <v>1</v>
      </c>
      <c r="D84" s="331">
        <v>0</v>
      </c>
      <c r="E84" s="314" t="s">
        <v>5882</v>
      </c>
      <c r="F84" s="329">
        <f>IF(AND(C84&lt;&gt;"",D84&lt;&gt;""),D84-C84,"")</f>
        <v>-1</v>
      </c>
      <c r="G84" s="332"/>
      <c r="H84" s="231"/>
      <c r="I84" s="231"/>
      <c r="J84" s="333"/>
    </row>
    <row r="85" spans="1:10" ht="15" customHeight="1">
      <c r="A85" s="330" t="s">
        <v>5823</v>
      </c>
      <c r="B85" s="337" t="s">
        <v>484</v>
      </c>
      <c r="C85" s="331">
        <v>1</v>
      </c>
      <c r="D85" s="331">
        <v>0</v>
      </c>
      <c r="E85" s="314" t="s">
        <v>5882</v>
      </c>
      <c r="F85" s="331">
        <f>IF(AND(C85&lt;&gt;"",D85&lt;&gt;""),D85-C85,"")</f>
        <v>-1</v>
      </c>
      <c r="G85" s="863"/>
      <c r="H85" s="863"/>
      <c r="I85" s="863"/>
      <c r="J85" s="864"/>
    </row>
    <row r="86" spans="1:10" ht="15" customHeight="1">
      <c r="A86" s="327" t="s">
        <v>5168</v>
      </c>
      <c r="B86" s="337" t="s">
        <v>484</v>
      </c>
      <c r="C86" s="331">
        <v>1</v>
      </c>
      <c r="D86" s="331">
        <v>0</v>
      </c>
      <c r="E86" s="314" t="s">
        <v>5882</v>
      </c>
      <c r="F86" s="329">
        <f>IF(AND(C86&lt;&gt;"",D86&lt;&gt;""),D86-C86,"")</f>
        <v>-1</v>
      </c>
      <c r="G86" s="332"/>
      <c r="H86" s="231"/>
      <c r="I86" s="231"/>
      <c r="J86" s="333"/>
    </row>
    <row r="87" spans="1:10" ht="15.75" customHeight="1">
      <c r="A87" s="865" t="s">
        <v>5843</v>
      </c>
      <c r="B87" s="713"/>
      <c r="C87" s="334">
        <f>IFERROR(AVERAGE(C82:C86),"")</f>
        <v>0.8</v>
      </c>
      <c r="D87" s="334">
        <f>IFERROR(AVERAGE(D82:D86),"")</f>
        <v>0</v>
      </c>
      <c r="E87" s="866" t="s">
        <v>5844</v>
      </c>
      <c r="F87" s="866"/>
      <c r="G87" s="866"/>
      <c r="H87" s="866"/>
      <c r="I87" s="866"/>
      <c r="J87" s="867"/>
    </row>
    <row r="88" spans="1:10" ht="20.25" customHeight="1">
      <c r="A88" s="335"/>
      <c r="B88" s="320"/>
      <c r="C88" s="320"/>
      <c r="D88" s="320"/>
      <c r="E88" s="320"/>
      <c r="F88" s="320"/>
      <c r="G88" s="320"/>
      <c r="H88" s="231"/>
      <c r="I88" s="231"/>
      <c r="J88" s="333"/>
    </row>
    <row r="89" spans="1:10">
      <c r="A89" s="876" t="s">
        <v>5876</v>
      </c>
      <c r="B89" s="853"/>
      <c r="C89" s="853"/>
      <c r="D89" s="842"/>
      <c r="E89" s="853"/>
      <c r="F89" s="853"/>
      <c r="G89" s="842"/>
      <c r="H89" s="842"/>
      <c r="I89" s="842"/>
      <c r="J89" s="868"/>
    </row>
    <row r="90" spans="1:10">
      <c r="A90" s="325" t="s">
        <v>4946</v>
      </c>
      <c r="B90" s="326" t="s">
        <v>77</v>
      </c>
      <c r="C90" s="326" t="s">
        <v>5883</v>
      </c>
      <c r="D90" s="326" t="s">
        <v>482</v>
      </c>
      <c r="E90" s="326" t="s">
        <v>572</v>
      </c>
      <c r="F90" s="326" t="s">
        <v>5846</v>
      </c>
      <c r="G90" s="859" t="s">
        <v>5847</v>
      </c>
      <c r="H90" s="859"/>
      <c r="I90" s="859"/>
      <c r="J90" s="860"/>
    </row>
    <row r="91" spans="1:10" ht="31.5" customHeight="1">
      <c r="A91" s="330" t="s">
        <v>5809</v>
      </c>
      <c r="B91" s="337" t="s">
        <v>484</v>
      </c>
      <c r="C91" s="336" t="s">
        <v>679</v>
      </c>
      <c r="D91" s="328" t="s">
        <v>679</v>
      </c>
      <c r="E91" s="336">
        <f>IF(D91="Yes",1,0)</f>
        <v>0</v>
      </c>
      <c r="F91" s="877"/>
      <c r="G91" s="877"/>
      <c r="H91" s="877"/>
      <c r="I91" s="877"/>
      <c r="J91" s="878"/>
    </row>
    <row r="92" spans="1:10" ht="20.25" customHeight="1">
      <c r="A92" s="327" t="s">
        <v>995</v>
      </c>
      <c r="B92" s="337" t="s">
        <v>484</v>
      </c>
      <c r="C92" s="336" t="s">
        <v>679</v>
      </c>
      <c r="D92" s="328" t="s">
        <v>679</v>
      </c>
      <c r="E92" s="328">
        <f t="shared" ref="E92:E98" si="0">IF(D92="Yes",1,0)</f>
        <v>0</v>
      </c>
      <c r="F92" s="877"/>
      <c r="G92" s="877"/>
      <c r="H92" s="877"/>
      <c r="I92" s="877"/>
      <c r="J92" s="878"/>
    </row>
    <row r="93" spans="1:10" ht="24.75" customHeight="1">
      <c r="A93" s="330" t="s">
        <v>5810</v>
      </c>
      <c r="B93" s="337" t="s">
        <v>484</v>
      </c>
      <c r="C93" s="336" t="s">
        <v>679</v>
      </c>
      <c r="D93" s="328" t="s">
        <v>679</v>
      </c>
      <c r="E93" s="336">
        <f t="shared" si="0"/>
        <v>0</v>
      </c>
      <c r="F93" s="877"/>
      <c r="G93" s="877"/>
      <c r="H93" s="877"/>
      <c r="I93" s="877"/>
      <c r="J93" s="878"/>
    </row>
    <row r="94" spans="1:10">
      <c r="A94" s="327" t="s">
        <v>5824</v>
      </c>
      <c r="B94" s="337" t="s">
        <v>484</v>
      </c>
      <c r="C94" s="336" t="s">
        <v>679</v>
      </c>
      <c r="D94" s="328" t="s">
        <v>679</v>
      </c>
      <c r="E94" s="328">
        <f t="shared" si="0"/>
        <v>0</v>
      </c>
      <c r="F94" s="877"/>
      <c r="G94" s="877"/>
      <c r="H94" s="877"/>
      <c r="I94" s="877"/>
      <c r="J94" s="878"/>
    </row>
    <row r="95" spans="1:10" ht="39.6">
      <c r="A95" s="330" t="s">
        <v>5825</v>
      </c>
      <c r="B95" s="337" t="s">
        <v>484</v>
      </c>
      <c r="C95" s="336" t="s">
        <v>679</v>
      </c>
      <c r="D95" s="328" t="s">
        <v>679</v>
      </c>
      <c r="E95" s="336">
        <f t="shared" si="0"/>
        <v>0</v>
      </c>
      <c r="F95" s="877"/>
      <c r="G95" s="877"/>
      <c r="H95" s="877"/>
      <c r="I95" s="877"/>
      <c r="J95" s="878"/>
    </row>
    <row r="96" spans="1:10" ht="26.4">
      <c r="A96" s="327" t="s">
        <v>5826</v>
      </c>
      <c r="B96" s="337" t="s">
        <v>484</v>
      </c>
      <c r="C96" s="336" t="s">
        <v>679</v>
      </c>
      <c r="D96" s="328" t="s">
        <v>679</v>
      </c>
      <c r="E96" s="328">
        <f t="shared" si="0"/>
        <v>0</v>
      </c>
      <c r="F96" s="877"/>
      <c r="G96" s="877"/>
      <c r="H96" s="877"/>
      <c r="I96" s="877"/>
      <c r="J96" s="878"/>
    </row>
    <row r="97" spans="1:10" ht="18.75" customHeight="1">
      <c r="A97" s="330" t="s">
        <v>5811</v>
      </c>
      <c r="B97" s="337" t="s">
        <v>484</v>
      </c>
      <c r="C97" s="336" t="s">
        <v>679</v>
      </c>
      <c r="D97" s="328" t="s">
        <v>679</v>
      </c>
      <c r="E97" s="336">
        <f t="shared" si="0"/>
        <v>0</v>
      </c>
      <c r="F97" s="877"/>
      <c r="G97" s="877"/>
      <c r="H97" s="877"/>
      <c r="I97" s="877"/>
      <c r="J97" s="878"/>
    </row>
    <row r="98" spans="1:10" ht="26.4">
      <c r="A98" s="327" t="s">
        <v>5812</v>
      </c>
      <c r="B98" s="337" t="s">
        <v>484</v>
      </c>
      <c r="C98" s="336" t="s">
        <v>679</v>
      </c>
      <c r="D98" s="328" t="s">
        <v>679</v>
      </c>
      <c r="E98" s="328">
        <f t="shared" si="0"/>
        <v>0</v>
      </c>
      <c r="F98" s="877"/>
      <c r="G98" s="877"/>
      <c r="H98" s="877"/>
      <c r="I98" s="877"/>
      <c r="J98" s="878"/>
    </row>
    <row r="99" spans="1:10" ht="28.5" customHeight="1">
      <c r="A99" s="865" t="s">
        <v>5848</v>
      </c>
      <c r="B99" s="713"/>
      <c r="C99" s="871" t="str">
        <f>IFERROR(SUM(E91:E98)/COUNTIF(C91:C98,"Yes"),"")</f>
        <v/>
      </c>
      <c r="D99" s="872"/>
      <c r="E99" s="866" t="s">
        <v>5849</v>
      </c>
      <c r="F99" s="866"/>
      <c r="G99" s="866"/>
      <c r="H99" s="866"/>
      <c r="I99" s="866"/>
      <c r="J99" s="867"/>
    </row>
    <row r="100" spans="1:10" ht="20.25" customHeight="1">
      <c r="A100" s="335"/>
      <c r="B100" s="320"/>
      <c r="C100" s="320"/>
      <c r="D100" s="320"/>
      <c r="E100" s="320"/>
      <c r="F100" s="320"/>
      <c r="G100" s="320"/>
      <c r="H100" s="231"/>
      <c r="I100" s="231"/>
      <c r="J100" s="333"/>
    </row>
    <row r="101" spans="1:10">
      <c r="A101" s="876" t="s">
        <v>5877</v>
      </c>
      <c r="B101" s="853"/>
      <c r="C101" s="853"/>
      <c r="D101" s="842"/>
      <c r="E101" s="853"/>
      <c r="F101" s="853"/>
      <c r="G101" s="842"/>
      <c r="H101" s="842"/>
      <c r="I101" s="842"/>
      <c r="J101" s="868"/>
    </row>
    <row r="102" spans="1:10" ht="30" customHeight="1">
      <c r="A102" s="325" t="s">
        <v>5850</v>
      </c>
      <c r="B102" s="326" t="s">
        <v>77</v>
      </c>
      <c r="C102" s="326" t="s">
        <v>5827</v>
      </c>
      <c r="D102" s="326" t="s">
        <v>5828</v>
      </c>
      <c r="E102" s="326" t="s">
        <v>5829</v>
      </c>
      <c r="F102" s="326" t="s">
        <v>5851</v>
      </c>
      <c r="G102" s="859" t="s">
        <v>5852</v>
      </c>
      <c r="H102" s="859"/>
      <c r="I102" s="859"/>
      <c r="J102" s="860"/>
    </row>
    <row r="103" spans="1:10" ht="26.4">
      <c r="A103" s="330" t="s">
        <v>5830</v>
      </c>
      <c r="B103" s="336" t="s">
        <v>484</v>
      </c>
      <c r="C103" s="336" t="s">
        <v>1096</v>
      </c>
      <c r="D103" s="336" t="s">
        <v>1096</v>
      </c>
      <c r="E103" s="336" t="s">
        <v>1096</v>
      </c>
      <c r="F103" s="336" t="s">
        <v>348</v>
      </c>
      <c r="G103" s="869"/>
      <c r="H103" s="869"/>
      <c r="I103" s="869"/>
      <c r="J103" s="870"/>
    </row>
    <row r="104" spans="1:10" ht="53.4" customHeight="1">
      <c r="A104" s="327" t="s">
        <v>5831</v>
      </c>
      <c r="B104" s="336" t="s">
        <v>484</v>
      </c>
      <c r="C104" s="336" t="s">
        <v>1096</v>
      </c>
      <c r="D104" s="336" t="s">
        <v>1096</v>
      </c>
      <c r="E104" s="336" t="s">
        <v>1096</v>
      </c>
      <c r="F104" s="336" t="s">
        <v>348</v>
      </c>
      <c r="G104" s="869"/>
      <c r="H104" s="869"/>
      <c r="I104" s="869"/>
      <c r="J104" s="870"/>
    </row>
    <row r="105" spans="1:10" ht="53.4" customHeight="1">
      <c r="A105" s="330" t="s">
        <v>5853</v>
      </c>
      <c r="B105" s="336" t="s">
        <v>484</v>
      </c>
      <c r="C105" s="336" t="s">
        <v>1096</v>
      </c>
      <c r="D105" s="336" t="s">
        <v>1096</v>
      </c>
      <c r="E105" s="336" t="s">
        <v>1096</v>
      </c>
      <c r="F105" s="336" t="s">
        <v>348</v>
      </c>
      <c r="G105" s="869"/>
      <c r="H105" s="869"/>
      <c r="I105" s="869"/>
      <c r="J105" s="870"/>
    </row>
    <row r="106" spans="1:10" ht="53.4" customHeight="1">
      <c r="A106" s="327" t="s">
        <v>5832</v>
      </c>
      <c r="B106" s="336" t="s">
        <v>484</v>
      </c>
      <c r="C106" s="336" t="s">
        <v>1096</v>
      </c>
      <c r="D106" s="336" t="s">
        <v>1096</v>
      </c>
      <c r="E106" s="336" t="s">
        <v>1096</v>
      </c>
      <c r="F106" s="336" t="s">
        <v>348</v>
      </c>
      <c r="G106" s="869"/>
      <c r="H106" s="869"/>
      <c r="I106" s="869"/>
      <c r="J106" s="870"/>
    </row>
    <row r="107" spans="1:10" ht="53.4" customHeight="1">
      <c r="A107" s="330" t="s">
        <v>5833</v>
      </c>
      <c r="B107" s="336" t="s">
        <v>484</v>
      </c>
      <c r="C107" s="336" t="s">
        <v>1096</v>
      </c>
      <c r="D107" s="336" t="s">
        <v>1096</v>
      </c>
      <c r="E107" s="336" t="s">
        <v>1096</v>
      </c>
      <c r="F107" s="336" t="s">
        <v>348</v>
      </c>
      <c r="G107" s="869"/>
      <c r="H107" s="869"/>
      <c r="I107" s="869"/>
      <c r="J107" s="870"/>
    </row>
    <row r="108" spans="1:10" ht="53.4" customHeight="1">
      <c r="A108" s="865" t="s">
        <v>5884</v>
      </c>
      <c r="B108" s="713"/>
      <c r="C108" s="871">
        <f>IFERROR(COUNTIF(E103:E107,"Yes")/COUNTA(A103:A107),"")</f>
        <v>0</v>
      </c>
      <c r="D108" s="872"/>
      <c r="E108" s="866" t="s">
        <v>5855</v>
      </c>
      <c r="F108" s="866"/>
      <c r="G108" s="866"/>
      <c r="H108" s="866"/>
      <c r="I108" s="866"/>
      <c r="J108" s="867"/>
    </row>
    <row r="109" spans="1:10" ht="20.25" customHeight="1">
      <c r="A109" s="335"/>
      <c r="B109" s="320"/>
      <c r="C109" s="320"/>
      <c r="D109" s="320"/>
      <c r="E109" s="320"/>
      <c r="F109" s="320"/>
      <c r="G109" s="874"/>
      <c r="H109" s="874"/>
      <c r="I109" s="874"/>
      <c r="J109" s="875"/>
    </row>
    <row r="110" spans="1:10" ht="53.4" customHeight="1">
      <c r="A110" s="876" t="s">
        <v>5878</v>
      </c>
      <c r="B110" s="853"/>
      <c r="C110" s="853"/>
      <c r="D110" s="842"/>
      <c r="E110" s="853"/>
      <c r="F110" s="853"/>
      <c r="G110" s="842"/>
      <c r="H110" s="842"/>
      <c r="I110" s="842"/>
      <c r="J110" s="868"/>
    </row>
    <row r="111" spans="1:10" ht="53.4" customHeight="1">
      <c r="A111" s="326" t="s">
        <v>5813</v>
      </c>
      <c r="B111" s="326" t="s">
        <v>77</v>
      </c>
      <c r="C111" s="326" t="s">
        <v>5834</v>
      </c>
      <c r="D111" s="326" t="s">
        <v>5835</v>
      </c>
      <c r="E111" s="326" t="s">
        <v>5836</v>
      </c>
      <c r="F111" s="326" t="s">
        <v>5837</v>
      </c>
      <c r="G111" s="859" t="s">
        <v>5885</v>
      </c>
      <c r="H111" s="859"/>
      <c r="I111" s="859"/>
      <c r="J111" s="859"/>
    </row>
    <row r="112" spans="1:10">
      <c r="A112" s="332" t="s">
        <v>153</v>
      </c>
      <c r="B112" s="328" t="s">
        <v>484</v>
      </c>
      <c r="C112" s="328"/>
      <c r="D112" s="328"/>
      <c r="E112" s="328"/>
      <c r="F112" s="329" t="str">
        <f>IFERROR(D112/C112,"")</f>
        <v/>
      </c>
      <c r="G112" s="873"/>
      <c r="H112" s="873"/>
      <c r="I112" s="873"/>
      <c r="J112" s="873"/>
    </row>
    <row r="113" spans="1:10">
      <c r="A113" s="339" t="s">
        <v>155</v>
      </c>
      <c r="B113" s="336" t="s">
        <v>484</v>
      </c>
      <c r="C113" s="336"/>
      <c r="D113" s="336"/>
      <c r="E113" s="336"/>
      <c r="F113" s="331" t="str">
        <f>IFERROR(D113/C113,"")</f>
        <v/>
      </c>
      <c r="G113" s="873"/>
      <c r="H113" s="873"/>
      <c r="I113" s="873"/>
      <c r="J113" s="873"/>
    </row>
    <row r="114" spans="1:10">
      <c r="A114" s="332" t="s">
        <v>4821</v>
      </c>
      <c r="B114" s="328" t="s">
        <v>484</v>
      </c>
      <c r="C114" s="328"/>
      <c r="D114" s="328"/>
      <c r="E114" s="328"/>
      <c r="F114" s="329" t="str">
        <f>IFERROR(D114/C114,"")</f>
        <v/>
      </c>
      <c r="G114" s="873"/>
      <c r="H114" s="873"/>
      <c r="I114" s="873"/>
      <c r="J114" s="873"/>
    </row>
    <row r="115" spans="1:10">
      <c r="A115" s="339" t="s">
        <v>957</v>
      </c>
      <c r="B115" s="336" t="s">
        <v>484</v>
      </c>
      <c r="C115" s="336"/>
      <c r="D115" s="336"/>
      <c r="E115" s="336"/>
      <c r="F115" s="331" t="str">
        <f>IFERROR(D115/C115,"")</f>
        <v/>
      </c>
      <c r="G115" s="873"/>
      <c r="H115" s="873"/>
      <c r="I115" s="873"/>
      <c r="J115" s="873"/>
    </row>
    <row r="116" spans="1:10">
      <c r="A116" s="879" t="s">
        <v>5856</v>
      </c>
      <c r="B116" s="879"/>
      <c r="C116" s="879"/>
      <c r="D116" s="879"/>
      <c r="E116" s="866" t="s">
        <v>5857</v>
      </c>
      <c r="F116" s="866"/>
      <c r="G116" s="866"/>
      <c r="H116" s="866"/>
      <c r="I116" s="866"/>
      <c r="J116" s="866"/>
    </row>
    <row r="117" spans="1:10">
      <c r="A117" s="879"/>
      <c r="B117" s="879"/>
      <c r="C117" s="879"/>
      <c r="D117" s="879"/>
      <c r="E117" s="866"/>
      <c r="F117" s="866"/>
      <c r="G117" s="866"/>
      <c r="H117" s="866"/>
      <c r="I117" s="866"/>
      <c r="J117" s="866"/>
    </row>
    <row r="118" spans="1:10">
      <c r="A118" s="842" t="s">
        <v>5879</v>
      </c>
      <c r="B118" s="842"/>
      <c r="C118" s="842"/>
      <c r="D118" s="842"/>
      <c r="E118" s="842"/>
      <c r="F118" s="842"/>
      <c r="G118" s="842"/>
      <c r="H118" s="842"/>
      <c r="I118" s="842"/>
      <c r="J118" s="842"/>
    </row>
    <row r="119" spans="1:10">
      <c r="A119" s="326" t="s">
        <v>4946</v>
      </c>
      <c r="B119" s="326" t="s">
        <v>77</v>
      </c>
      <c r="C119" s="326" t="s">
        <v>5845</v>
      </c>
      <c r="D119" s="326" t="s">
        <v>482</v>
      </c>
      <c r="E119" s="326" t="s">
        <v>572</v>
      </c>
      <c r="F119" s="326" t="s">
        <v>944</v>
      </c>
      <c r="G119" s="859" t="s">
        <v>5847</v>
      </c>
      <c r="H119" s="859"/>
      <c r="I119" s="859"/>
      <c r="J119" s="859"/>
    </row>
    <row r="120" spans="1:10" ht="26.4">
      <c r="A120" s="332" t="s">
        <v>5814</v>
      </c>
      <c r="B120" s="328" t="s">
        <v>484</v>
      </c>
      <c r="C120" s="328" t="s">
        <v>392</v>
      </c>
      <c r="D120" s="328" t="s">
        <v>1096</v>
      </c>
      <c r="E120" s="328">
        <f t="shared" ref="E120:E125" si="1">IF(D120="Yes",1,0)</f>
        <v>0</v>
      </c>
      <c r="F120" s="328"/>
      <c r="G120" s="873"/>
      <c r="H120" s="873"/>
      <c r="I120" s="873"/>
      <c r="J120" s="873"/>
    </row>
    <row r="121" spans="1:10">
      <c r="A121" s="339" t="s">
        <v>5815</v>
      </c>
      <c r="B121" s="328" t="s">
        <v>484</v>
      </c>
      <c r="C121" s="336" t="s">
        <v>392</v>
      </c>
      <c r="D121" s="328" t="s">
        <v>1096</v>
      </c>
      <c r="E121" s="336">
        <f t="shared" si="1"/>
        <v>0</v>
      </c>
      <c r="F121" s="336"/>
      <c r="G121" s="873"/>
      <c r="H121" s="873"/>
      <c r="I121" s="873"/>
      <c r="J121" s="873"/>
    </row>
    <row r="122" spans="1:10" ht="26.4">
      <c r="A122" s="332" t="s">
        <v>5816</v>
      </c>
      <c r="B122" s="328" t="s">
        <v>484</v>
      </c>
      <c r="C122" s="328" t="s">
        <v>392</v>
      </c>
      <c r="D122" s="328" t="s">
        <v>1096</v>
      </c>
      <c r="E122" s="328">
        <f t="shared" si="1"/>
        <v>0</v>
      </c>
      <c r="F122" s="328"/>
      <c r="G122" s="873"/>
      <c r="H122" s="873"/>
      <c r="I122" s="873"/>
      <c r="J122" s="873"/>
    </row>
    <row r="123" spans="1:10">
      <c r="A123" s="339" t="s">
        <v>5838</v>
      </c>
      <c r="B123" s="328" t="s">
        <v>484</v>
      </c>
      <c r="C123" s="336" t="s">
        <v>392</v>
      </c>
      <c r="D123" s="328" t="s">
        <v>1096</v>
      </c>
      <c r="E123" s="336">
        <f t="shared" si="1"/>
        <v>0</v>
      </c>
      <c r="F123" s="336"/>
      <c r="G123" s="873"/>
      <c r="H123" s="873"/>
      <c r="I123" s="873"/>
      <c r="J123" s="873"/>
    </row>
    <row r="124" spans="1:10" ht="27.75" customHeight="1">
      <c r="A124" s="332" t="s">
        <v>5839</v>
      </c>
      <c r="B124" s="328" t="s">
        <v>484</v>
      </c>
      <c r="C124" s="328" t="s">
        <v>392</v>
      </c>
      <c r="D124" s="328" t="s">
        <v>1096</v>
      </c>
      <c r="E124" s="328">
        <f t="shared" si="1"/>
        <v>0</v>
      </c>
      <c r="F124" s="328"/>
      <c r="G124" s="873"/>
      <c r="H124" s="873"/>
      <c r="I124" s="873"/>
      <c r="J124" s="873"/>
    </row>
    <row r="125" spans="1:10" ht="29.25" customHeight="1">
      <c r="A125" s="339" t="s">
        <v>5840</v>
      </c>
      <c r="B125" s="328" t="s">
        <v>484</v>
      </c>
      <c r="C125" s="336" t="s">
        <v>392</v>
      </c>
      <c r="D125" s="336" t="s">
        <v>1096</v>
      </c>
      <c r="E125" s="336">
        <f t="shared" si="1"/>
        <v>0</v>
      </c>
      <c r="F125" s="336"/>
      <c r="G125" s="873"/>
      <c r="H125" s="873"/>
      <c r="I125" s="873"/>
      <c r="J125" s="873"/>
    </row>
    <row r="126" spans="1:10" ht="15.6">
      <c r="A126" s="880" t="s">
        <v>5858</v>
      </c>
      <c r="B126" s="713"/>
      <c r="C126" s="871">
        <f>IFERROR(SUM(E120:E125)/COUNTIF(C120:C125,"Yes"),"")</f>
        <v>0</v>
      </c>
      <c r="D126" s="872"/>
      <c r="E126" s="866" t="s">
        <v>5859</v>
      </c>
      <c r="F126" s="866"/>
      <c r="G126" s="866"/>
      <c r="H126" s="866"/>
      <c r="I126" s="866"/>
      <c r="J126" s="866"/>
    </row>
    <row r="127" spans="1:10" ht="20.25" customHeight="1">
      <c r="A127" s="196"/>
      <c r="B127" s="196"/>
      <c r="C127" s="196"/>
      <c r="D127" s="196"/>
      <c r="E127" s="196"/>
      <c r="F127" s="196"/>
      <c r="G127" s="196"/>
      <c r="H127" s="196"/>
      <c r="I127" s="196"/>
      <c r="J127" s="196"/>
    </row>
    <row r="128" spans="1:10" hidden="1">
      <c r="A128" s="842" t="s">
        <v>5880</v>
      </c>
      <c r="B128" s="853"/>
      <c r="C128" s="853"/>
      <c r="D128" s="321"/>
      <c r="E128" s="321"/>
      <c r="F128" s="321"/>
      <c r="G128" s="321"/>
      <c r="H128" s="321"/>
      <c r="I128" s="321"/>
      <c r="J128" s="321"/>
    </row>
    <row r="129" spans="1:10" ht="55.2" hidden="1">
      <c r="A129" s="322" t="s">
        <v>905</v>
      </c>
      <c r="B129" s="322" t="s">
        <v>830</v>
      </c>
      <c r="C129" s="322"/>
      <c r="D129" s="322"/>
      <c r="E129" s="322"/>
      <c r="F129" s="322"/>
      <c r="G129" s="322"/>
      <c r="H129" s="322"/>
      <c r="I129" s="322"/>
      <c r="J129" s="322"/>
    </row>
    <row r="130" spans="1:10" hidden="1">
      <c r="A130" s="319" t="s">
        <v>1086</v>
      </c>
      <c r="B130" s="852" t="s">
        <v>3292</v>
      </c>
      <c r="C130" s="853"/>
      <c r="D130" s="853"/>
      <c r="E130" s="853"/>
      <c r="F130" s="853"/>
      <c r="G130" s="853"/>
      <c r="H130" s="853"/>
      <c r="I130" s="853"/>
      <c r="J130" s="853"/>
    </row>
    <row r="131" spans="1:10" ht="27.6" hidden="1">
      <c r="A131" s="319" t="s">
        <v>2090</v>
      </c>
      <c r="B131" s="852" t="s">
        <v>3293</v>
      </c>
      <c r="C131" s="853"/>
      <c r="D131" s="853"/>
      <c r="E131" s="853"/>
      <c r="F131" s="853"/>
      <c r="G131" s="853"/>
      <c r="H131" s="853"/>
      <c r="I131" s="853"/>
      <c r="J131" s="853"/>
    </row>
    <row r="132" spans="1:10" hidden="1">
      <c r="A132" s="319" t="s">
        <v>1089</v>
      </c>
      <c r="B132" s="852" t="s">
        <v>3294</v>
      </c>
      <c r="C132" s="853"/>
      <c r="D132" s="853"/>
      <c r="E132" s="853"/>
      <c r="F132" s="853"/>
      <c r="G132" s="853"/>
      <c r="H132" s="853"/>
      <c r="I132" s="853"/>
      <c r="J132" s="853"/>
    </row>
    <row r="133" spans="1:10" hidden="1">
      <c r="A133" s="319" t="s">
        <v>1090</v>
      </c>
      <c r="B133" s="852" t="s">
        <v>3295</v>
      </c>
      <c r="C133" s="853"/>
      <c r="D133" s="853"/>
      <c r="E133" s="853"/>
      <c r="F133" s="853"/>
      <c r="G133" s="853"/>
      <c r="H133" s="853"/>
      <c r="I133" s="853"/>
      <c r="J133" s="853"/>
    </row>
    <row r="134" spans="1:10" hidden="1">
      <c r="A134" s="319" t="s">
        <v>1088</v>
      </c>
      <c r="B134" s="852" t="s">
        <v>3296</v>
      </c>
      <c r="C134" s="853"/>
      <c r="D134" s="853"/>
      <c r="E134" s="853"/>
      <c r="F134" s="853"/>
      <c r="G134" s="853"/>
      <c r="H134" s="853"/>
      <c r="I134" s="853"/>
      <c r="J134" s="853"/>
    </row>
    <row r="135" spans="1:10" ht="27.6" hidden="1">
      <c r="A135" s="319" t="s">
        <v>3297</v>
      </c>
      <c r="B135" s="852" t="s">
        <v>3298</v>
      </c>
      <c r="C135" s="853"/>
      <c r="D135" s="853"/>
      <c r="E135" s="853"/>
      <c r="F135" s="853"/>
      <c r="G135" s="853"/>
      <c r="H135" s="853"/>
      <c r="I135" s="853"/>
      <c r="J135" s="853"/>
    </row>
    <row r="136" spans="1:10" hidden="1">
      <c r="A136" s="319" t="s">
        <v>1563</v>
      </c>
      <c r="B136" s="852" t="s">
        <v>1776</v>
      </c>
      <c r="C136" s="853"/>
      <c r="D136" s="853"/>
      <c r="E136" s="853"/>
      <c r="F136" s="853"/>
      <c r="G136" s="853"/>
      <c r="H136" s="853"/>
      <c r="I136" s="853"/>
      <c r="J136" s="853"/>
    </row>
    <row r="137" spans="1:10">
      <c r="A137" s="231"/>
      <c r="B137" s="231"/>
      <c r="C137" s="231"/>
      <c r="D137" s="231"/>
      <c r="E137" s="231"/>
      <c r="F137" s="231"/>
      <c r="G137" s="231"/>
      <c r="H137" s="231"/>
      <c r="I137" s="231"/>
      <c r="J137" s="231"/>
    </row>
    <row r="138" spans="1:10" ht="17.399999999999999" hidden="1">
      <c r="A138" s="827" t="s">
        <v>5769</v>
      </c>
      <c r="B138" s="827"/>
      <c r="C138" s="827"/>
      <c r="D138" s="827"/>
      <c r="E138" s="827"/>
      <c r="F138" s="827"/>
      <c r="G138" s="827"/>
      <c r="H138" s="827"/>
      <c r="I138" s="231"/>
      <c r="J138" s="231"/>
    </row>
    <row r="139" spans="1:10" hidden="1">
      <c r="A139" s="276" t="s">
        <v>2</v>
      </c>
      <c r="B139" s="828" t="s">
        <v>5770</v>
      </c>
      <c r="C139" s="828"/>
      <c r="D139" s="828"/>
      <c r="E139" s="828"/>
      <c r="F139" s="828"/>
      <c r="G139" s="828"/>
      <c r="H139" s="828"/>
      <c r="I139" s="231"/>
      <c r="J139" s="231"/>
    </row>
    <row r="140" spans="1:10" hidden="1">
      <c r="A140" s="276" t="s">
        <v>5771</v>
      </c>
      <c r="B140" s="828" t="s">
        <v>5772</v>
      </c>
      <c r="C140" s="828"/>
      <c r="D140" s="828"/>
      <c r="E140" s="828"/>
      <c r="F140" s="828"/>
      <c r="G140" s="828"/>
      <c r="H140" s="828"/>
      <c r="I140" s="231"/>
      <c r="J140" s="231"/>
    </row>
    <row r="141" spans="1:10" hidden="1">
      <c r="A141" s="196"/>
      <c r="B141" s="196"/>
      <c r="C141" s="196"/>
      <c r="D141" s="196"/>
      <c r="E141" s="196"/>
      <c r="F141" s="196"/>
      <c r="G141" s="196"/>
      <c r="H141" s="196"/>
      <c r="I141" s="231"/>
      <c r="J141" s="231"/>
    </row>
    <row r="142" spans="1:10" hidden="1">
      <c r="A142" s="323" t="s">
        <v>4946</v>
      </c>
      <c r="B142" s="323" t="s">
        <v>77</v>
      </c>
      <c r="C142" s="323" t="s">
        <v>5773</v>
      </c>
      <c r="D142" s="323" t="s">
        <v>263</v>
      </c>
      <c r="E142" s="323" t="s">
        <v>216</v>
      </c>
      <c r="F142" s="323" t="s">
        <v>5774</v>
      </c>
      <c r="G142" s="323" t="s">
        <v>5775</v>
      </c>
      <c r="H142" s="323" t="s">
        <v>5776</v>
      </c>
      <c r="I142" s="231"/>
      <c r="J142" s="231"/>
    </row>
    <row r="143" spans="1:10" ht="26.4" hidden="1">
      <c r="A143" s="277" t="s">
        <v>5777</v>
      </c>
      <c r="B143" s="278" t="s">
        <v>1096</v>
      </c>
      <c r="C143" s="277"/>
      <c r="D143" s="277"/>
      <c r="E143" s="277"/>
      <c r="F143" s="277"/>
      <c r="G143" s="279" t="str">
        <f t="shared" ref="G143:G150" si="2">IF(OR(B143="Yes",B143="N/A"),"🟢","🟡")</f>
        <v>🟡</v>
      </c>
      <c r="H143" s="277"/>
      <c r="I143" s="231"/>
      <c r="J143" s="231"/>
    </row>
    <row r="144" spans="1:10" hidden="1">
      <c r="A144" s="277" t="s">
        <v>5778</v>
      </c>
      <c r="B144" s="278" t="s">
        <v>1096</v>
      </c>
      <c r="C144" s="277"/>
      <c r="D144" s="277"/>
      <c r="E144" s="277"/>
      <c r="F144" s="277"/>
      <c r="G144" s="279" t="str">
        <f t="shared" si="2"/>
        <v>🟡</v>
      </c>
      <c r="H144" s="277"/>
      <c r="I144" s="231"/>
      <c r="J144" s="231"/>
    </row>
    <row r="145" spans="1:10" hidden="1">
      <c r="A145" s="277" t="s">
        <v>5779</v>
      </c>
      <c r="B145" s="278" t="s">
        <v>1096</v>
      </c>
      <c r="C145" s="277"/>
      <c r="D145" s="277"/>
      <c r="E145" s="277"/>
      <c r="F145" s="277"/>
      <c r="G145" s="279" t="str">
        <f t="shared" si="2"/>
        <v>🟡</v>
      </c>
      <c r="H145" s="277"/>
      <c r="I145" s="231"/>
      <c r="J145" s="231"/>
    </row>
    <row r="146" spans="1:10" hidden="1">
      <c r="A146" s="277" t="s">
        <v>5168</v>
      </c>
      <c r="B146" s="278" t="s">
        <v>1096</v>
      </c>
      <c r="C146" s="277"/>
      <c r="D146" s="277"/>
      <c r="E146" s="277"/>
      <c r="F146" s="277"/>
      <c r="G146" s="279" t="str">
        <f t="shared" si="2"/>
        <v>🟡</v>
      </c>
      <c r="H146" s="277"/>
      <c r="I146" s="231"/>
      <c r="J146" s="231"/>
    </row>
    <row r="147" spans="1:10" hidden="1">
      <c r="A147" s="277" t="s">
        <v>5780</v>
      </c>
      <c r="B147" s="278" t="s">
        <v>1096</v>
      </c>
      <c r="C147" s="277"/>
      <c r="D147" s="277"/>
      <c r="E147" s="277"/>
      <c r="F147" s="277"/>
      <c r="G147" s="279" t="str">
        <f t="shared" si="2"/>
        <v>🟡</v>
      </c>
      <c r="H147" s="277"/>
      <c r="I147" s="231"/>
      <c r="J147" s="231"/>
    </row>
    <row r="148" spans="1:10" hidden="1">
      <c r="A148" s="277" t="s">
        <v>5781</v>
      </c>
      <c r="B148" s="278" t="s">
        <v>1096</v>
      </c>
      <c r="C148" s="277"/>
      <c r="D148" s="277"/>
      <c r="E148" s="277"/>
      <c r="F148" s="277"/>
      <c r="G148" s="279" t="str">
        <f t="shared" si="2"/>
        <v>🟡</v>
      </c>
      <c r="H148" s="277"/>
      <c r="I148" s="231"/>
      <c r="J148" s="231"/>
    </row>
    <row r="149" spans="1:10" hidden="1">
      <c r="A149" s="277" t="s">
        <v>178</v>
      </c>
      <c r="B149" s="278" t="s">
        <v>1096</v>
      </c>
      <c r="C149" s="277"/>
      <c r="D149" s="277"/>
      <c r="E149" s="277"/>
      <c r="F149" s="277"/>
      <c r="G149" s="279" t="str">
        <f t="shared" si="2"/>
        <v>🟡</v>
      </c>
      <c r="H149" s="277"/>
      <c r="I149" s="231"/>
      <c r="J149" s="231"/>
    </row>
    <row r="150" spans="1:10" ht="26.4" hidden="1">
      <c r="A150" s="277" t="s">
        <v>5782</v>
      </c>
      <c r="B150" s="278" t="s">
        <v>1096</v>
      </c>
      <c r="C150" s="277"/>
      <c r="D150" s="277"/>
      <c r="E150" s="277"/>
      <c r="F150" s="277"/>
      <c r="G150" s="279" t="str">
        <f t="shared" si="2"/>
        <v>🟡</v>
      </c>
      <c r="H150" s="277"/>
      <c r="I150" s="231"/>
      <c r="J150" s="231"/>
    </row>
    <row r="151" spans="1:10" ht="42" hidden="1" customHeight="1">
      <c r="A151" s="324" t="s">
        <v>4946</v>
      </c>
      <c r="B151" s="324" t="s">
        <v>5790</v>
      </c>
      <c r="C151" s="196"/>
      <c r="D151" s="196"/>
      <c r="E151" s="324" t="s">
        <v>5791</v>
      </c>
      <c r="F151" s="196"/>
      <c r="G151" s="196"/>
      <c r="H151" s="196"/>
      <c r="I151" s="231"/>
      <c r="J151" s="231"/>
    </row>
    <row r="152" spans="1:10" ht="42" hidden="1" customHeight="1">
      <c r="A152" s="291" t="s">
        <v>5777</v>
      </c>
      <c r="B152" s="768" t="s">
        <v>5792</v>
      </c>
      <c r="C152" s="768"/>
      <c r="D152" s="768"/>
      <c r="E152" s="768" t="s">
        <v>5793</v>
      </c>
      <c r="F152" s="768"/>
      <c r="G152" s="768"/>
      <c r="H152" s="196"/>
      <c r="I152" s="231"/>
      <c r="J152" s="231"/>
    </row>
    <row r="153" spans="1:10" ht="42" hidden="1" customHeight="1">
      <c r="A153" s="291" t="s">
        <v>5778</v>
      </c>
      <c r="B153" s="768" t="s">
        <v>5794</v>
      </c>
      <c r="C153" s="768"/>
      <c r="D153" s="768"/>
      <c r="E153" s="768" t="s">
        <v>5795</v>
      </c>
      <c r="F153" s="768"/>
      <c r="G153" s="768"/>
      <c r="H153" s="196"/>
      <c r="I153" s="231"/>
      <c r="J153" s="231"/>
    </row>
    <row r="154" spans="1:10" ht="42" hidden="1" customHeight="1">
      <c r="A154" s="291" t="s">
        <v>5779</v>
      </c>
      <c r="B154" s="768" t="s">
        <v>5796</v>
      </c>
      <c r="C154" s="768"/>
      <c r="D154" s="768"/>
      <c r="E154" s="768" t="s">
        <v>5797</v>
      </c>
      <c r="F154" s="768"/>
      <c r="G154" s="768"/>
      <c r="H154" s="196"/>
      <c r="I154" s="231"/>
      <c r="J154" s="231"/>
    </row>
    <row r="155" spans="1:10" ht="42" hidden="1" customHeight="1">
      <c r="A155" s="291" t="s">
        <v>5168</v>
      </c>
      <c r="B155" s="768" t="s">
        <v>5798</v>
      </c>
      <c r="C155" s="768"/>
      <c r="D155" s="768"/>
      <c r="E155" s="768" t="s">
        <v>5799</v>
      </c>
      <c r="F155" s="768"/>
      <c r="G155" s="768"/>
      <c r="H155" s="196"/>
      <c r="I155" s="231"/>
      <c r="J155" s="231"/>
    </row>
    <row r="156" spans="1:10" ht="42" hidden="1" customHeight="1">
      <c r="A156" s="291" t="s">
        <v>5780</v>
      </c>
      <c r="B156" s="768" t="s">
        <v>5800</v>
      </c>
      <c r="C156" s="768"/>
      <c r="D156" s="768"/>
      <c r="E156" s="768" t="s">
        <v>5801</v>
      </c>
      <c r="F156" s="768"/>
      <c r="G156" s="768"/>
      <c r="H156" s="196"/>
      <c r="I156" s="231"/>
      <c r="J156" s="231"/>
    </row>
    <row r="157" spans="1:10" ht="42" hidden="1" customHeight="1">
      <c r="A157" s="291" t="s">
        <v>5781</v>
      </c>
      <c r="B157" s="768" t="s">
        <v>5802</v>
      </c>
      <c r="C157" s="768"/>
      <c r="D157" s="768"/>
      <c r="E157" s="768" t="s">
        <v>5803</v>
      </c>
      <c r="F157" s="768"/>
      <c r="G157" s="768"/>
      <c r="H157" s="196"/>
      <c r="I157" s="231"/>
      <c r="J157" s="231"/>
    </row>
    <row r="158" spans="1:10" ht="42" hidden="1" customHeight="1">
      <c r="A158" s="291" t="s">
        <v>178</v>
      </c>
      <c r="B158" s="768" t="s">
        <v>5804</v>
      </c>
      <c r="C158" s="768"/>
      <c r="D158" s="768"/>
      <c r="E158" s="768" t="s">
        <v>5805</v>
      </c>
      <c r="F158" s="768"/>
      <c r="G158" s="768"/>
      <c r="H158" s="196"/>
      <c r="I158" s="231"/>
      <c r="J158" s="231"/>
    </row>
    <row r="159" spans="1:10" ht="42" hidden="1" customHeight="1">
      <c r="A159" s="291" t="s">
        <v>5782</v>
      </c>
      <c r="B159" s="768" t="s">
        <v>5806</v>
      </c>
      <c r="C159" s="768"/>
      <c r="D159" s="768"/>
      <c r="E159" s="768" t="s">
        <v>5807</v>
      </c>
      <c r="F159" s="768"/>
      <c r="G159" s="768"/>
      <c r="H159" s="196"/>
      <c r="I159" s="231"/>
      <c r="J159" s="231"/>
    </row>
    <row r="160" spans="1:10" hidden="1">
      <c r="A160" s="276" t="s">
        <v>5783</v>
      </c>
      <c r="B160" s="280" t="str">
        <f>IF(COUNTIF(B143:B150,"No")=0,"🟢 PILOT COMPLETE / ACCEPTANCE READY","🟡 NOT COMPLETE — ACCEPTANCE GATES OPEN")</f>
        <v>🟡 NOT COMPLETE — ACCEPTANCE GATES OPEN</v>
      </c>
      <c r="C160" s="280"/>
      <c r="D160" s="280"/>
      <c r="E160" s="280"/>
      <c r="F160" s="280"/>
      <c r="G160" s="280"/>
      <c r="H160" s="280"/>
    </row>
    <row r="161" spans="1:10" hidden="1">
      <c r="A161" s="276" t="s">
        <v>5784</v>
      </c>
      <c r="B161" s="280">
        <f>COUNTIF(B143:B150,"No")</f>
        <v>8</v>
      </c>
      <c r="C161" s="280"/>
      <c r="D161" s="280"/>
      <c r="E161" s="280"/>
      <c r="F161" s="280"/>
      <c r="G161" s="280"/>
      <c r="H161" s="280"/>
    </row>
    <row r="162" spans="1:10" hidden="1">
      <c r="A162" s="276" t="s">
        <v>5785</v>
      </c>
      <c r="B162" s="280" t="str">
        <f>COUNTIF(B143:B150,"Yes")&amp;" / 8 Complete"</f>
        <v>0 / 8 Complete</v>
      </c>
      <c r="C162" s="280"/>
      <c r="D162" s="280"/>
      <c r="E162" s="280"/>
      <c r="F162" s="280"/>
      <c r="G162" s="280"/>
      <c r="H162" s="280"/>
    </row>
    <row r="163" spans="1:10" ht="93" hidden="1">
      <c r="A163" s="281" t="s">
        <v>5786</v>
      </c>
      <c r="B163" s="282" t="s">
        <v>5787</v>
      </c>
      <c r="C163" s="282"/>
      <c r="D163" s="282"/>
      <c r="E163" s="282"/>
      <c r="F163" s="282"/>
      <c r="G163" s="282"/>
      <c r="H163" s="282"/>
    </row>
    <row r="164" spans="1:10" hidden="1">
      <c r="A164" s="281"/>
      <c r="B164" s="282"/>
      <c r="C164" s="282"/>
      <c r="D164" s="282"/>
      <c r="E164" s="282"/>
      <c r="F164" s="282"/>
      <c r="G164" s="282"/>
      <c r="H164" s="282"/>
    </row>
    <row r="165" spans="1:10" ht="66.599999999999994" hidden="1">
      <c r="A165" s="281" t="s">
        <v>5788</v>
      </c>
      <c r="B165" s="282" t="s">
        <v>5789</v>
      </c>
      <c r="C165" s="282"/>
      <c r="D165" s="282"/>
      <c r="E165" s="282"/>
      <c r="F165" s="282"/>
      <c r="G165" s="282"/>
      <c r="H165" s="282"/>
    </row>
    <row r="166" spans="1:10">
      <c r="A166" s="842" t="s">
        <v>5901</v>
      </c>
      <c r="B166" s="842"/>
      <c r="C166" s="842"/>
      <c r="D166" s="842"/>
      <c r="E166" s="842"/>
      <c r="F166" s="842"/>
      <c r="G166" s="842"/>
      <c r="H166" s="842"/>
      <c r="I166" s="842"/>
      <c r="J166" s="842"/>
    </row>
    <row r="167" spans="1:10">
      <c r="A167" s="340" t="s">
        <v>5886</v>
      </c>
      <c r="B167" s="196"/>
      <c r="C167" s="196"/>
      <c r="D167" s="196"/>
      <c r="E167" s="196"/>
      <c r="F167" s="196"/>
      <c r="G167" s="196"/>
      <c r="H167" s="196"/>
      <c r="I167" s="196"/>
      <c r="J167" s="196"/>
    </row>
    <row r="168" spans="1:10">
      <c r="A168" s="196"/>
      <c r="B168" s="196"/>
      <c r="C168" s="196"/>
      <c r="D168" s="196"/>
      <c r="E168" s="196"/>
      <c r="F168" s="196"/>
      <c r="G168" s="196"/>
      <c r="H168" s="196"/>
      <c r="I168" s="196"/>
      <c r="J168" s="196"/>
    </row>
    <row r="169" spans="1:10">
      <c r="A169" s="196" t="s">
        <v>5887</v>
      </c>
      <c r="B169" s="196"/>
      <c r="C169" s="196"/>
      <c r="D169" s="196"/>
      <c r="E169" s="196"/>
      <c r="F169" s="196"/>
      <c r="G169" s="196"/>
      <c r="H169" s="196"/>
      <c r="I169" s="196"/>
      <c r="J169" s="196"/>
    </row>
    <row r="170" spans="1:10">
      <c r="A170" s="196"/>
      <c r="B170" s="196"/>
      <c r="C170" s="196"/>
      <c r="D170" s="196"/>
      <c r="E170" s="196"/>
      <c r="F170" s="196"/>
      <c r="G170" s="196"/>
      <c r="H170" s="196"/>
      <c r="I170" s="196"/>
      <c r="J170" s="196"/>
    </row>
    <row r="171" spans="1:10">
      <c r="A171" s="196" t="s">
        <v>5888</v>
      </c>
      <c r="B171" s="196"/>
      <c r="C171" s="196"/>
      <c r="D171" s="196"/>
      <c r="E171" s="196"/>
      <c r="F171" s="196"/>
      <c r="G171" s="196"/>
      <c r="H171" s="196"/>
      <c r="I171" s="196"/>
      <c r="J171" s="196"/>
    </row>
    <row r="172" spans="1:10">
      <c r="A172" s="196"/>
      <c r="B172" s="196"/>
      <c r="C172" s="196"/>
      <c r="D172" s="196"/>
      <c r="E172" s="196"/>
      <c r="F172" s="196"/>
      <c r="G172" s="196"/>
      <c r="H172" s="196"/>
      <c r="I172" s="196"/>
      <c r="J172" s="196"/>
    </row>
    <row r="173" spans="1:10">
      <c r="A173" s="196" t="s">
        <v>5889</v>
      </c>
      <c r="B173" s="196"/>
      <c r="C173" s="196"/>
      <c r="D173" s="196"/>
      <c r="E173" s="196"/>
      <c r="F173" s="196"/>
      <c r="G173" s="196"/>
      <c r="H173" s="196"/>
      <c r="I173" s="196"/>
      <c r="J173" s="196"/>
    </row>
    <row r="174" spans="1:10">
      <c r="A174" s="196"/>
      <c r="B174" s="196"/>
      <c r="C174" s="196"/>
      <c r="D174" s="196"/>
      <c r="E174" s="196"/>
      <c r="F174" s="196"/>
      <c r="G174" s="196"/>
      <c r="H174" s="196"/>
      <c r="I174" s="196"/>
      <c r="J174" s="196"/>
    </row>
    <row r="175" spans="1:10">
      <c r="A175" s="196"/>
      <c r="B175" s="196"/>
      <c r="C175" s="196"/>
      <c r="D175" s="196"/>
      <c r="E175" s="196"/>
      <c r="F175" s="196"/>
      <c r="G175" s="196"/>
      <c r="H175" s="196"/>
      <c r="I175" s="196"/>
      <c r="J175" s="196"/>
    </row>
    <row r="176" spans="1:10">
      <c r="A176" s="196"/>
      <c r="B176" s="196"/>
      <c r="C176" s="196"/>
      <c r="D176" s="196"/>
      <c r="E176" s="196"/>
      <c r="F176" s="196"/>
      <c r="G176" s="196"/>
      <c r="H176" s="196"/>
      <c r="I176" s="196"/>
      <c r="J176" s="196"/>
    </row>
    <row r="177" spans="1:10">
      <c r="A177" s="842" t="s">
        <v>5902</v>
      </c>
      <c r="B177" s="842"/>
      <c r="C177" s="842"/>
      <c r="D177" s="842"/>
      <c r="E177" s="842"/>
      <c r="F177" s="842"/>
      <c r="G177" s="842"/>
      <c r="H177" s="842"/>
      <c r="I177" s="842"/>
      <c r="J177" s="842"/>
    </row>
    <row r="178" spans="1:10">
      <c r="A178" s="196"/>
      <c r="B178" s="196"/>
      <c r="C178" s="196"/>
      <c r="D178" s="196"/>
      <c r="E178" s="196"/>
      <c r="F178" s="196"/>
      <c r="G178" s="196"/>
      <c r="H178" s="196"/>
      <c r="I178" s="196"/>
      <c r="J178" s="196"/>
    </row>
    <row r="179" spans="1:10">
      <c r="A179" s="196" t="s">
        <v>5890</v>
      </c>
      <c r="B179" s="196"/>
      <c r="C179" s="196"/>
      <c r="D179" s="196"/>
      <c r="E179" s="196"/>
      <c r="F179" s="196"/>
      <c r="G179" s="196"/>
      <c r="H179" s="196"/>
      <c r="I179" s="196"/>
      <c r="J179" s="196"/>
    </row>
    <row r="180" spans="1:10">
      <c r="A180" s="196"/>
      <c r="B180" s="196"/>
      <c r="C180" s="196"/>
      <c r="D180" s="196"/>
      <c r="E180" s="196"/>
      <c r="F180" s="196"/>
      <c r="G180" s="196"/>
      <c r="H180" s="196"/>
      <c r="I180" s="196"/>
      <c r="J180" s="196"/>
    </row>
    <row r="181" spans="1:10">
      <c r="A181" s="196" t="s">
        <v>5891</v>
      </c>
      <c r="B181" s="196"/>
      <c r="C181" s="196"/>
      <c r="D181" s="196"/>
      <c r="E181" s="196"/>
      <c r="F181" s="196"/>
      <c r="G181" s="196"/>
      <c r="H181" s="196"/>
      <c r="I181" s="196"/>
      <c r="J181" s="196"/>
    </row>
    <row r="182" spans="1:10">
      <c r="A182" s="196"/>
      <c r="B182" s="196"/>
      <c r="C182" s="196"/>
      <c r="D182" s="196"/>
      <c r="E182" s="196"/>
      <c r="F182" s="196"/>
      <c r="G182" s="196"/>
      <c r="H182" s="196"/>
      <c r="I182" s="196"/>
      <c r="J182" s="196"/>
    </row>
    <row r="183" spans="1:10">
      <c r="A183" s="196" t="s">
        <v>5892</v>
      </c>
      <c r="B183" s="196"/>
      <c r="C183" s="196"/>
      <c r="D183" s="196"/>
      <c r="E183" s="196"/>
      <c r="F183" s="196"/>
      <c r="G183" s="196"/>
      <c r="H183" s="196"/>
      <c r="I183" s="196"/>
      <c r="J183" s="196"/>
    </row>
    <row r="184" spans="1:10">
      <c r="A184" s="196"/>
      <c r="B184" s="196"/>
      <c r="C184" s="196"/>
      <c r="D184" s="196"/>
      <c r="E184" s="196"/>
      <c r="F184" s="196"/>
      <c r="G184" s="196"/>
      <c r="H184" s="196"/>
      <c r="I184" s="196"/>
      <c r="J184" s="196"/>
    </row>
    <row r="185" spans="1:10">
      <c r="A185" s="196"/>
      <c r="B185" s="196"/>
      <c r="C185" s="196"/>
      <c r="D185" s="196"/>
      <c r="E185" s="196"/>
      <c r="F185" s="196"/>
      <c r="G185" s="196"/>
      <c r="H185" s="196"/>
      <c r="I185" s="196"/>
      <c r="J185" s="196"/>
    </row>
    <row r="186" spans="1:10">
      <c r="A186" s="196"/>
      <c r="B186" s="196"/>
      <c r="C186" s="196"/>
      <c r="D186" s="196"/>
      <c r="E186" s="196"/>
      <c r="F186" s="196"/>
      <c r="G186" s="196"/>
      <c r="H186" s="196"/>
      <c r="I186" s="196"/>
      <c r="J186" s="196"/>
    </row>
    <row r="187" spans="1:10">
      <c r="A187" s="842" t="s">
        <v>5903</v>
      </c>
      <c r="B187" s="842"/>
      <c r="C187" s="842"/>
      <c r="D187" s="842"/>
      <c r="E187" s="842"/>
      <c r="F187" s="842"/>
      <c r="G187" s="842"/>
      <c r="H187" s="842"/>
      <c r="I187" s="842"/>
      <c r="J187" s="842"/>
    </row>
    <row r="188" spans="1:10">
      <c r="A188" s="196"/>
      <c r="B188" s="196"/>
      <c r="C188" s="196"/>
      <c r="D188" s="196"/>
      <c r="E188" s="196"/>
      <c r="F188" s="196"/>
      <c r="G188" s="196"/>
      <c r="H188" s="196"/>
      <c r="I188" s="196"/>
      <c r="J188" s="196"/>
    </row>
    <row r="189" spans="1:10">
      <c r="A189" s="196" t="s">
        <v>5893</v>
      </c>
      <c r="B189" s="196"/>
      <c r="C189" s="196"/>
      <c r="D189" s="196"/>
      <c r="E189" s="196"/>
      <c r="F189" s="196"/>
      <c r="G189" s="196"/>
      <c r="H189" s="196"/>
      <c r="I189" s="196"/>
      <c r="J189" s="196"/>
    </row>
    <row r="190" spans="1:10">
      <c r="A190" s="196"/>
      <c r="B190" s="196"/>
      <c r="C190" s="196"/>
      <c r="D190" s="196"/>
      <c r="E190" s="196"/>
      <c r="F190" s="196"/>
      <c r="G190" s="196"/>
      <c r="H190" s="196"/>
      <c r="I190" s="196"/>
      <c r="J190" s="196"/>
    </row>
    <row r="191" spans="1:10">
      <c r="A191" s="196" t="s">
        <v>5894</v>
      </c>
      <c r="B191" s="196"/>
      <c r="C191" s="196"/>
      <c r="D191" s="196"/>
      <c r="E191" s="196"/>
      <c r="F191" s="196"/>
      <c r="G191" s="196"/>
      <c r="H191" s="196"/>
      <c r="I191" s="196"/>
      <c r="J191" s="196"/>
    </row>
    <row r="192" spans="1:10">
      <c r="A192" s="196"/>
      <c r="B192" s="196"/>
      <c r="C192" s="196"/>
      <c r="D192" s="196"/>
      <c r="E192" s="196"/>
      <c r="F192" s="196"/>
      <c r="G192" s="196"/>
      <c r="H192" s="196"/>
      <c r="I192" s="196"/>
      <c r="J192" s="196"/>
    </row>
    <row r="193" spans="1:10">
      <c r="A193" s="196" t="s">
        <v>5895</v>
      </c>
      <c r="B193" s="196"/>
      <c r="C193" s="196"/>
      <c r="D193" s="196"/>
      <c r="E193" s="196"/>
      <c r="F193" s="196"/>
      <c r="G193" s="196"/>
      <c r="H193" s="196"/>
      <c r="I193" s="196"/>
      <c r="J193" s="196"/>
    </row>
    <row r="194" spans="1:10">
      <c r="A194" s="196"/>
      <c r="B194" s="196"/>
      <c r="C194" s="196"/>
      <c r="D194" s="196"/>
      <c r="E194" s="196"/>
      <c r="F194" s="196"/>
      <c r="G194" s="196"/>
      <c r="H194" s="196"/>
      <c r="I194" s="196"/>
      <c r="J194" s="196"/>
    </row>
    <row r="195" spans="1:10">
      <c r="A195" s="196" t="s">
        <v>5896</v>
      </c>
      <c r="B195" s="196"/>
      <c r="C195" s="196"/>
      <c r="D195" s="196"/>
      <c r="E195" s="196"/>
      <c r="F195" s="196"/>
      <c r="G195" s="196"/>
      <c r="H195" s="196"/>
      <c r="I195" s="196"/>
      <c r="J195" s="196"/>
    </row>
    <row r="196" spans="1:10">
      <c r="A196" s="196"/>
      <c r="B196" s="196"/>
      <c r="C196" s="196"/>
      <c r="D196" s="196"/>
      <c r="E196" s="196"/>
      <c r="F196" s="196"/>
      <c r="G196" s="196"/>
      <c r="H196" s="196"/>
      <c r="I196" s="196"/>
      <c r="J196" s="196"/>
    </row>
    <row r="197" spans="1:10">
      <c r="A197" s="196"/>
      <c r="B197" s="196"/>
      <c r="C197" s="196"/>
      <c r="D197" s="196"/>
      <c r="E197" s="196"/>
      <c r="F197" s="196"/>
      <c r="G197" s="196"/>
      <c r="H197" s="196"/>
      <c r="I197" s="196"/>
      <c r="J197" s="196"/>
    </row>
    <row r="198" spans="1:10">
      <c r="A198" s="196"/>
      <c r="B198" s="196"/>
      <c r="C198" s="196"/>
      <c r="D198" s="196"/>
      <c r="E198" s="196"/>
      <c r="F198" s="196"/>
      <c r="G198" s="196"/>
      <c r="H198" s="196"/>
      <c r="I198" s="196"/>
      <c r="J198" s="196"/>
    </row>
    <row r="199" spans="1:10">
      <c r="A199" s="842" t="s">
        <v>5904</v>
      </c>
      <c r="B199" s="842"/>
      <c r="C199" s="842"/>
      <c r="D199" s="842"/>
      <c r="E199" s="842"/>
      <c r="F199" s="842"/>
      <c r="G199" s="842"/>
      <c r="H199" s="842"/>
      <c r="I199" s="842"/>
      <c r="J199" s="842"/>
    </row>
    <row r="200" spans="1:10">
      <c r="A200" s="196"/>
      <c r="B200" s="196"/>
      <c r="C200" s="196"/>
      <c r="D200" s="196"/>
      <c r="E200" s="196"/>
      <c r="F200" s="196"/>
      <c r="G200" s="196"/>
      <c r="H200" s="196"/>
      <c r="I200" s="196"/>
      <c r="J200" s="196"/>
    </row>
    <row r="201" spans="1:10">
      <c r="A201" s="196" t="s">
        <v>5897</v>
      </c>
      <c r="B201" s="196"/>
      <c r="C201" s="196"/>
      <c r="D201" s="196"/>
      <c r="E201" s="196"/>
      <c r="F201" s="196"/>
      <c r="G201" s="196"/>
      <c r="H201" s="196"/>
      <c r="I201" s="196"/>
      <c r="J201" s="196"/>
    </row>
    <row r="202" spans="1:10">
      <c r="A202" s="196"/>
      <c r="B202" s="196"/>
      <c r="C202" s="196"/>
      <c r="D202" s="196"/>
      <c r="E202" s="196"/>
      <c r="F202" s="196"/>
      <c r="G202" s="196"/>
      <c r="H202" s="196"/>
      <c r="I202" s="196"/>
      <c r="J202" s="196"/>
    </row>
    <row r="203" spans="1:10">
      <c r="A203" s="196" t="s">
        <v>5898</v>
      </c>
      <c r="B203" s="196"/>
      <c r="C203" s="196"/>
      <c r="D203" s="196"/>
      <c r="E203" s="196"/>
      <c r="F203" s="196"/>
      <c r="G203" s="196"/>
      <c r="H203" s="196"/>
      <c r="I203" s="196"/>
      <c r="J203" s="196"/>
    </row>
    <row r="204" spans="1:10">
      <c r="A204" s="196"/>
      <c r="B204" s="196"/>
      <c r="C204" s="196"/>
      <c r="D204" s="196"/>
      <c r="E204" s="196"/>
      <c r="F204" s="196"/>
      <c r="G204" s="196"/>
      <c r="H204" s="196"/>
      <c r="I204" s="196"/>
      <c r="J204" s="196"/>
    </row>
    <row r="205" spans="1:10">
      <c r="A205" s="196" t="s">
        <v>5899</v>
      </c>
      <c r="B205" s="196"/>
      <c r="C205" s="196"/>
      <c r="D205" s="196"/>
      <c r="E205" s="196"/>
      <c r="F205" s="196"/>
      <c r="G205" s="196"/>
      <c r="H205" s="196"/>
      <c r="I205" s="196"/>
      <c r="J205" s="196"/>
    </row>
    <row r="206" spans="1:10">
      <c r="A206" s="196"/>
      <c r="B206" s="196"/>
      <c r="C206" s="196"/>
      <c r="D206" s="196"/>
      <c r="E206" s="196"/>
      <c r="F206" s="196"/>
      <c r="G206" s="196"/>
      <c r="H206" s="196"/>
      <c r="I206" s="196"/>
      <c r="J206" s="196"/>
    </row>
    <row r="207" spans="1:10">
      <c r="A207" s="196"/>
      <c r="B207" s="196"/>
      <c r="C207" s="196"/>
      <c r="D207" s="196"/>
      <c r="E207" s="196"/>
      <c r="F207" s="196"/>
      <c r="G207" s="196"/>
      <c r="H207" s="196"/>
      <c r="I207" s="196"/>
      <c r="J207" s="196"/>
    </row>
    <row r="208" spans="1:10">
      <c r="A208" s="196"/>
      <c r="B208" s="196"/>
      <c r="C208" s="196"/>
      <c r="D208" s="196"/>
      <c r="E208" s="196"/>
      <c r="F208" s="196"/>
      <c r="G208" s="196"/>
      <c r="H208" s="196"/>
      <c r="I208" s="196"/>
      <c r="J208" s="196"/>
    </row>
    <row r="209" spans="1:10">
      <c r="A209" s="196" t="s">
        <v>5900</v>
      </c>
      <c r="B209" s="196"/>
      <c r="C209" s="196"/>
      <c r="D209" s="196"/>
      <c r="E209" s="196"/>
      <c r="F209" s="196"/>
      <c r="G209" s="196"/>
      <c r="H209" s="196"/>
      <c r="I209" s="196"/>
      <c r="J209" s="196"/>
    </row>
    <row r="210" spans="1:10">
      <c r="A210" s="196"/>
      <c r="B210" s="196"/>
      <c r="C210" s="196"/>
      <c r="D210" s="196"/>
      <c r="E210" s="196"/>
      <c r="F210" s="196"/>
      <c r="G210" s="196"/>
      <c r="H210" s="196"/>
      <c r="I210" s="196"/>
      <c r="J210" s="196"/>
    </row>
    <row r="211" spans="1:10">
      <c r="A211" s="341"/>
      <c r="B211" s="341"/>
      <c r="C211" s="341"/>
      <c r="D211" s="341"/>
      <c r="E211" s="341"/>
      <c r="F211" s="341"/>
      <c r="G211" s="341"/>
      <c r="H211" s="341"/>
      <c r="I211" s="341"/>
      <c r="J211" s="341"/>
    </row>
    <row r="212" spans="1:10">
      <c r="A212" s="341"/>
      <c r="B212" s="341"/>
      <c r="C212" s="341"/>
      <c r="D212" s="341"/>
      <c r="E212" s="341"/>
      <c r="F212" s="341"/>
      <c r="G212" s="341"/>
      <c r="H212" s="341"/>
      <c r="I212" s="341"/>
      <c r="J212" s="341"/>
    </row>
    <row r="213" spans="1:10">
      <c r="A213" s="341"/>
      <c r="B213" s="341"/>
      <c r="C213" s="341"/>
      <c r="D213" s="341"/>
      <c r="E213" s="341"/>
      <c r="F213" s="341"/>
      <c r="G213" s="341"/>
      <c r="H213" s="341"/>
      <c r="I213" s="341"/>
      <c r="J213" s="341"/>
    </row>
    <row r="214" spans="1:10">
      <c r="A214" s="341"/>
      <c r="B214" s="341"/>
      <c r="C214" s="341"/>
      <c r="D214" s="341"/>
      <c r="E214" s="341"/>
      <c r="F214" s="341"/>
      <c r="G214" s="341"/>
      <c r="H214" s="341"/>
      <c r="I214" s="341"/>
      <c r="J214" s="341"/>
    </row>
    <row r="215" spans="1:10">
      <c r="A215" s="341"/>
      <c r="B215" s="341"/>
      <c r="C215" s="341"/>
      <c r="D215" s="341"/>
      <c r="E215" s="341"/>
      <c r="F215" s="341"/>
      <c r="G215" s="341"/>
      <c r="H215" s="341"/>
      <c r="I215" s="341"/>
      <c r="J215" s="341"/>
    </row>
    <row r="216" spans="1:10">
      <c r="A216" s="341"/>
      <c r="B216" s="341"/>
      <c r="C216" s="341"/>
      <c r="D216" s="341"/>
      <c r="E216" s="341"/>
      <c r="F216" s="341"/>
      <c r="G216" s="341"/>
      <c r="H216" s="341"/>
      <c r="I216" s="341"/>
      <c r="J216" s="341"/>
    </row>
    <row r="217" spans="1:10">
      <c r="A217" s="341"/>
      <c r="B217" s="341"/>
      <c r="C217" s="341"/>
      <c r="D217" s="341"/>
      <c r="E217" s="341"/>
      <c r="F217" s="341"/>
      <c r="G217" s="341"/>
      <c r="H217" s="341"/>
      <c r="I217" s="341"/>
      <c r="J217" s="341"/>
    </row>
    <row r="218" spans="1:10">
      <c r="A218" s="341"/>
      <c r="B218" s="341"/>
      <c r="C218" s="341"/>
      <c r="D218" s="341"/>
      <c r="E218" s="341"/>
      <c r="F218" s="341"/>
      <c r="G218" s="341"/>
      <c r="H218" s="341"/>
      <c r="I218" s="341"/>
      <c r="J218" s="341"/>
    </row>
    <row r="219" spans="1:10">
      <c r="A219" s="341"/>
      <c r="B219" s="341"/>
      <c r="C219" s="341"/>
      <c r="D219" s="341"/>
      <c r="E219" s="341"/>
      <c r="F219" s="341"/>
      <c r="G219" s="341"/>
      <c r="H219" s="341"/>
      <c r="I219" s="341"/>
      <c r="J219" s="341"/>
    </row>
    <row r="220" spans="1:10">
      <c r="A220" s="196"/>
      <c r="B220" s="196"/>
      <c r="C220" s="196"/>
      <c r="D220" s="196"/>
      <c r="E220" s="196"/>
      <c r="F220" s="196"/>
      <c r="G220" s="196"/>
      <c r="H220" s="196"/>
      <c r="I220" s="196"/>
      <c r="J220" s="196"/>
    </row>
    <row r="221" spans="1:10">
      <c r="A221" s="320"/>
      <c r="B221" s="320"/>
      <c r="C221" s="320"/>
      <c r="D221" s="320"/>
      <c r="E221" s="320"/>
      <c r="F221" s="320"/>
      <c r="G221" s="874"/>
      <c r="H221" s="874"/>
      <c r="I221" s="874"/>
      <c r="J221" s="874"/>
    </row>
    <row r="223" spans="1:10" ht="14.25" customHeight="1">
      <c r="A223" s="134"/>
    </row>
    <row r="224" spans="1:10" ht="14.25" customHeight="1">
      <c r="A224" s="134" t="s">
        <v>3350</v>
      </c>
    </row>
    <row r="225" spans="1:2" ht="14.25" customHeight="1">
      <c r="A225" s="134" t="s">
        <v>3351</v>
      </c>
    </row>
    <row r="226" spans="1:2" ht="14.25" customHeight="1">
      <c r="A226" s="134" t="s">
        <v>3352</v>
      </c>
    </row>
    <row r="227" spans="1:2" ht="14.25" customHeight="1">
      <c r="A227" s="134" t="s">
        <v>3353</v>
      </c>
    </row>
    <row r="228" spans="1:2" ht="14.25" customHeight="1">
      <c r="A228" s="134" t="s">
        <v>3354</v>
      </c>
    </row>
    <row r="229" spans="1:2" ht="14.25" customHeight="1">
      <c r="A229" s="134" t="s">
        <v>3355</v>
      </c>
    </row>
    <row r="230" spans="1:2" ht="14.25" customHeight="1">
      <c r="A230" s="134" t="s">
        <v>3356</v>
      </c>
    </row>
    <row r="231" spans="1:2" ht="14.25" customHeight="1">
      <c r="A231" s="134" t="s">
        <v>3357</v>
      </c>
    </row>
    <row r="232" spans="1:2" ht="14.25" customHeight="1">
      <c r="A232" s="134" t="s">
        <v>3358</v>
      </c>
    </row>
    <row r="233" spans="1:2" ht="14.25" customHeight="1">
      <c r="A233" s="134" t="s">
        <v>3359</v>
      </c>
    </row>
    <row r="234" spans="1:2" ht="14.25" customHeight="1">
      <c r="A234" s="134" t="s">
        <v>3360</v>
      </c>
    </row>
    <row r="236" spans="1:2" ht="22.5" customHeight="1">
      <c r="A236" s="131" t="s">
        <v>3361</v>
      </c>
    </row>
    <row r="238" spans="1:2" ht="14.25" customHeight="1">
      <c r="A238" s="8" t="s">
        <v>3362</v>
      </c>
    </row>
    <row r="240" spans="1:2" ht="14.25" customHeight="1">
      <c r="A240" s="132" t="s">
        <v>3363</v>
      </c>
      <c r="B240" s="132" t="s">
        <v>3364</v>
      </c>
    </row>
    <row r="241" spans="1:2" ht="14.25" customHeight="1">
      <c r="A241" s="133" t="s">
        <v>142</v>
      </c>
      <c r="B241" s="133">
        <v>62</v>
      </c>
    </row>
    <row r="242" spans="1:2" ht="14.25" customHeight="1">
      <c r="A242" s="133" t="s">
        <v>275</v>
      </c>
      <c r="B242" s="133" t="s">
        <v>3365</v>
      </c>
    </row>
    <row r="243" spans="1:2" ht="27" customHeight="1">
      <c r="A243" s="133" t="s">
        <v>884</v>
      </c>
      <c r="B243" s="133" t="s">
        <v>3366</v>
      </c>
    </row>
    <row r="244" spans="1:2" ht="41.25" customHeight="1">
      <c r="A244" s="133" t="s">
        <v>885</v>
      </c>
      <c r="B244" s="133" t="s">
        <v>3367</v>
      </c>
    </row>
    <row r="245" spans="1:2" ht="14.25" customHeight="1">
      <c r="A245" s="133" t="s">
        <v>3368</v>
      </c>
      <c r="B245" s="133" t="s">
        <v>369</v>
      </c>
    </row>
    <row r="246" spans="1:2" ht="14.25" customHeight="1">
      <c r="A246" s="133" t="s">
        <v>887</v>
      </c>
      <c r="B246" s="133" t="s">
        <v>3369</v>
      </c>
    </row>
    <row r="247" spans="1:2" ht="27" customHeight="1">
      <c r="A247" s="133" t="s">
        <v>3370</v>
      </c>
      <c r="B247" s="133" t="s">
        <v>3371</v>
      </c>
    </row>
    <row r="248" spans="1:2" ht="27" customHeight="1">
      <c r="A248" s="133" t="s">
        <v>3372</v>
      </c>
      <c r="B248" s="133" t="s">
        <v>3373</v>
      </c>
    </row>
    <row r="249" spans="1:2" ht="41.25" customHeight="1">
      <c r="A249" s="133" t="s">
        <v>3374</v>
      </c>
      <c r="B249" s="133" t="s">
        <v>3371</v>
      </c>
    </row>
    <row r="250" spans="1:2" ht="27" customHeight="1">
      <c r="A250" s="133" t="s">
        <v>3375</v>
      </c>
      <c r="B250" s="133" t="s">
        <v>3376</v>
      </c>
    </row>
    <row r="251" spans="1:2" ht="14.25" customHeight="1">
      <c r="A251" s="133" t="s">
        <v>978</v>
      </c>
      <c r="B251" s="133" t="s">
        <v>3371</v>
      </c>
    </row>
    <row r="252" spans="1:2" ht="14.25" customHeight="1">
      <c r="A252" s="133" t="s">
        <v>979</v>
      </c>
      <c r="B252" s="133" t="s">
        <v>1366</v>
      </c>
    </row>
    <row r="253" spans="1:2" ht="27" customHeight="1">
      <c r="A253" s="133" t="s">
        <v>3377</v>
      </c>
      <c r="B253" s="133" t="s">
        <v>3371</v>
      </c>
    </row>
    <row r="254" spans="1:2" ht="27" customHeight="1">
      <c r="A254" s="133" t="s">
        <v>3378</v>
      </c>
      <c r="B254" s="133" t="s">
        <v>3371</v>
      </c>
    </row>
    <row r="255" spans="1:2" ht="27" customHeight="1">
      <c r="A255" s="133" t="s">
        <v>3379</v>
      </c>
      <c r="B255" s="133" t="s">
        <v>3371</v>
      </c>
    </row>
    <row r="256" spans="1:2" ht="27" customHeight="1">
      <c r="A256" s="133" t="s">
        <v>3380</v>
      </c>
      <c r="B256" s="133" t="s">
        <v>3371</v>
      </c>
    </row>
    <row r="257" spans="1:2" ht="14.25" customHeight="1">
      <c r="A257" s="133" t="s">
        <v>941</v>
      </c>
      <c r="B257" s="133" t="s">
        <v>3371</v>
      </c>
    </row>
    <row r="258" spans="1:2" ht="14.25" customHeight="1">
      <c r="A258" s="133" t="s">
        <v>1012</v>
      </c>
      <c r="B258" s="133" t="s">
        <v>3371</v>
      </c>
    </row>
    <row r="259" spans="1:2" ht="14.25" customHeight="1">
      <c r="A259" s="133" t="s">
        <v>161</v>
      </c>
      <c r="B259" s="133" t="s">
        <v>11</v>
      </c>
    </row>
    <row r="260" spans="1:2" ht="14.25" customHeight="1">
      <c r="A260" s="133" t="s">
        <v>3381</v>
      </c>
      <c r="B260" s="133" t="s">
        <v>11</v>
      </c>
    </row>
    <row r="261" spans="1:2" ht="27" customHeight="1">
      <c r="A261" s="133" t="s">
        <v>3382</v>
      </c>
      <c r="B261" s="133" t="s">
        <v>3383</v>
      </c>
    </row>
    <row r="262" spans="1:2" ht="41.25" customHeight="1">
      <c r="A262" s="133" t="s">
        <v>77</v>
      </c>
      <c r="B262" s="133" t="s">
        <v>3384</v>
      </c>
    </row>
    <row r="264" spans="1:2" ht="22.5" customHeight="1">
      <c r="A264" s="131" t="s">
        <v>3385</v>
      </c>
    </row>
    <row r="266" spans="1:2" ht="14.25" customHeight="1">
      <c r="A266" s="8" t="s">
        <v>3386</v>
      </c>
    </row>
    <row r="267" spans="1:2" ht="14.25" customHeight="1">
      <c r="A267" s="134"/>
    </row>
    <row r="268" spans="1:2" ht="14.25" customHeight="1">
      <c r="A268" s="134" t="s">
        <v>3387</v>
      </c>
    </row>
    <row r="269" spans="1:2" ht="14.25" customHeight="1">
      <c r="A269" s="134" t="s">
        <v>3388</v>
      </c>
    </row>
    <row r="270" spans="1:2" ht="14.25" customHeight="1">
      <c r="A270" s="134" t="s">
        <v>3389</v>
      </c>
    </row>
    <row r="271" spans="1:2" ht="14.25" customHeight="1">
      <c r="A271" s="134" t="s">
        <v>3390</v>
      </c>
    </row>
    <row r="272" spans="1:2" ht="14.25" customHeight="1">
      <c r="A272" s="134" t="s">
        <v>3391</v>
      </c>
    </row>
    <row r="273" spans="1:1" ht="14.25" customHeight="1">
      <c r="A273" s="134" t="s">
        <v>3392</v>
      </c>
    </row>
    <row r="274" spans="1:1" ht="14.25" customHeight="1">
      <c r="A274" s="134" t="s">
        <v>3393</v>
      </c>
    </row>
    <row r="275" spans="1:1" ht="14.25" customHeight="1">
      <c r="A275" s="134" t="s">
        <v>3394</v>
      </c>
    </row>
    <row r="276" spans="1:1" ht="14.25" customHeight="1">
      <c r="A276" s="134" t="s">
        <v>3395</v>
      </c>
    </row>
    <row r="277" spans="1:1" ht="14.25" customHeight="1">
      <c r="A277" s="134" t="s">
        <v>3396</v>
      </c>
    </row>
  </sheetData>
  <mergeCells count="112">
    <mergeCell ref="A74:C74"/>
    <mergeCell ref="A22:C22"/>
    <mergeCell ref="D6:J6"/>
    <mergeCell ref="A50:C50"/>
    <mergeCell ref="A43:C43"/>
    <mergeCell ref="A29:C29"/>
    <mergeCell ref="A15:C15"/>
    <mergeCell ref="A1:J1"/>
    <mergeCell ref="A36:C36"/>
    <mergeCell ref="A66:C66"/>
    <mergeCell ref="A8:C8"/>
    <mergeCell ref="A58:C58"/>
    <mergeCell ref="G83:J83"/>
    <mergeCell ref="G85:J85"/>
    <mergeCell ref="A87:B87"/>
    <mergeCell ref="E87:J87"/>
    <mergeCell ref="A89:C89"/>
    <mergeCell ref="D89:F89"/>
    <mergeCell ref="G89:J89"/>
    <mergeCell ref="A80:C80"/>
    <mergeCell ref="D80:F80"/>
    <mergeCell ref="G80:J80"/>
    <mergeCell ref="G81:J81"/>
    <mergeCell ref="G82:J82"/>
    <mergeCell ref="F95:J95"/>
    <mergeCell ref="F96:J96"/>
    <mergeCell ref="F97:J97"/>
    <mergeCell ref="F98:J98"/>
    <mergeCell ref="A99:B99"/>
    <mergeCell ref="C99:D99"/>
    <mergeCell ref="E99:J99"/>
    <mergeCell ref="G90:J90"/>
    <mergeCell ref="F91:J91"/>
    <mergeCell ref="F92:J92"/>
    <mergeCell ref="F93:J93"/>
    <mergeCell ref="F94:J94"/>
    <mergeCell ref="G104:J104"/>
    <mergeCell ref="G105:J105"/>
    <mergeCell ref="G106:J106"/>
    <mergeCell ref="G107:J107"/>
    <mergeCell ref="A108:B108"/>
    <mergeCell ref="C108:D108"/>
    <mergeCell ref="E108:J108"/>
    <mergeCell ref="A101:C101"/>
    <mergeCell ref="D101:F101"/>
    <mergeCell ref="G101:J101"/>
    <mergeCell ref="G102:J102"/>
    <mergeCell ref="G103:J103"/>
    <mergeCell ref="G112:J112"/>
    <mergeCell ref="G113:J113"/>
    <mergeCell ref="G114:J114"/>
    <mergeCell ref="G115:J115"/>
    <mergeCell ref="A116:D117"/>
    <mergeCell ref="E116:J117"/>
    <mergeCell ref="G109:J109"/>
    <mergeCell ref="A110:C110"/>
    <mergeCell ref="D110:F110"/>
    <mergeCell ref="G110:J110"/>
    <mergeCell ref="G111:J111"/>
    <mergeCell ref="G121:J121"/>
    <mergeCell ref="G122:J122"/>
    <mergeCell ref="G123:J123"/>
    <mergeCell ref="G124:J124"/>
    <mergeCell ref="G125:J125"/>
    <mergeCell ref="A118:C118"/>
    <mergeCell ref="D118:F118"/>
    <mergeCell ref="G118:J118"/>
    <mergeCell ref="G119:J119"/>
    <mergeCell ref="G120:J120"/>
    <mergeCell ref="B131:J131"/>
    <mergeCell ref="B132:J132"/>
    <mergeCell ref="B133:J133"/>
    <mergeCell ref="B134:J134"/>
    <mergeCell ref="B135:J135"/>
    <mergeCell ref="A126:B126"/>
    <mergeCell ref="C126:D126"/>
    <mergeCell ref="E126:J126"/>
    <mergeCell ref="A128:C128"/>
    <mergeCell ref="B130:J130"/>
    <mergeCell ref="B153:D153"/>
    <mergeCell ref="E153:G153"/>
    <mergeCell ref="B154:D154"/>
    <mergeCell ref="E154:G154"/>
    <mergeCell ref="B155:D155"/>
    <mergeCell ref="E155:G155"/>
    <mergeCell ref="B136:J136"/>
    <mergeCell ref="A138:H138"/>
    <mergeCell ref="B139:H139"/>
    <mergeCell ref="B140:H140"/>
    <mergeCell ref="B152:D152"/>
    <mergeCell ref="E152:G152"/>
    <mergeCell ref="B159:D159"/>
    <mergeCell ref="E159:G159"/>
    <mergeCell ref="A166:C166"/>
    <mergeCell ref="D166:F166"/>
    <mergeCell ref="G166:J166"/>
    <mergeCell ref="B156:D156"/>
    <mergeCell ref="E156:G156"/>
    <mergeCell ref="B157:D157"/>
    <mergeCell ref="E157:G157"/>
    <mergeCell ref="B158:D158"/>
    <mergeCell ref="E158:G158"/>
    <mergeCell ref="A199:C199"/>
    <mergeCell ref="D199:F199"/>
    <mergeCell ref="G199:J199"/>
    <mergeCell ref="G221:J221"/>
    <mergeCell ref="A177:C177"/>
    <mergeCell ref="D177:F177"/>
    <mergeCell ref="G177:J177"/>
    <mergeCell ref="A187:C187"/>
    <mergeCell ref="D187:F187"/>
    <mergeCell ref="G187:J187"/>
  </mergeCells>
  <conditionalFormatting sqref="B38:B40">
    <cfRule type="expression" dxfId="444" priority="132">
      <formula>B38="Pass"</formula>
    </cfRule>
    <cfRule type="expression" dxfId="443" priority="133">
      <formula>B38="Verify"</formula>
    </cfRule>
    <cfRule type="expression" dxfId="442" priority="134">
      <formula>B38="Fail"</formula>
    </cfRule>
    <cfRule type="expression" dxfId="441" priority="135">
      <formula>B38="Not Started"</formula>
    </cfRule>
  </conditionalFormatting>
  <conditionalFormatting sqref="B82:B86">
    <cfRule type="expression" dxfId="440" priority="21">
      <formula>B82="Complete"</formula>
    </cfRule>
    <cfRule type="expression" dxfId="439" priority="22">
      <formula>B82="In Progress"</formula>
    </cfRule>
    <cfRule type="expression" dxfId="438" priority="23">
      <formula>B82="At Risk"</formula>
    </cfRule>
    <cfRule type="expression" dxfId="437" priority="24">
      <formula>B82="Blocked"</formula>
    </cfRule>
    <cfRule type="expression" dxfId="436" priority="25">
      <formula>B82="Not Started"</formula>
    </cfRule>
  </conditionalFormatting>
  <conditionalFormatting sqref="B91:B98">
    <cfRule type="expression" dxfId="435" priority="1">
      <formula>B91="Complete"</formula>
    </cfRule>
    <cfRule type="expression" dxfId="434" priority="2">
      <formula>B91="In Progress"</formula>
    </cfRule>
    <cfRule type="expression" dxfId="433" priority="3">
      <formula>B91="At Risk"</formula>
    </cfRule>
    <cfRule type="expression" dxfId="432" priority="4">
      <formula>B91="Blocked"</formula>
    </cfRule>
    <cfRule type="expression" dxfId="431" priority="5">
      <formula>B91="Not Started"</formula>
    </cfRule>
  </conditionalFormatting>
  <conditionalFormatting sqref="B103:B107">
    <cfRule type="expression" dxfId="430" priority="26">
      <formula>B103="Complete"</formula>
    </cfRule>
    <cfRule type="expression" dxfId="429" priority="27">
      <formula>B103="In Progress"</formula>
    </cfRule>
    <cfRule type="expression" dxfId="428" priority="28">
      <formula>B103="At Risk"</formula>
    </cfRule>
    <cfRule type="expression" dxfId="427" priority="29">
      <formula>B103="Blocked"</formula>
    </cfRule>
    <cfRule type="expression" dxfId="426" priority="30">
      <formula>B103="Not Started"</formula>
    </cfRule>
  </conditionalFormatting>
  <conditionalFormatting sqref="B112:B115">
    <cfRule type="expression" dxfId="425" priority="6">
      <formula>B112="Complete"</formula>
    </cfRule>
    <cfRule type="expression" dxfId="424" priority="7">
      <formula>B112="In Progress"</formula>
    </cfRule>
    <cfRule type="expression" dxfId="423" priority="8">
      <formula>B112="At Risk"</formula>
    </cfRule>
    <cfRule type="expression" dxfId="422" priority="9">
      <formula>B112="Blocked"</formula>
    </cfRule>
    <cfRule type="expression" dxfId="421" priority="10">
      <formula>B112="Not Started"</formula>
    </cfRule>
  </conditionalFormatting>
  <conditionalFormatting sqref="B120:B125">
    <cfRule type="expression" dxfId="420" priority="11">
      <formula>B120="Complete"</formula>
    </cfRule>
    <cfRule type="expression" dxfId="419" priority="12">
      <formula>B120="In Progress"</formula>
    </cfRule>
    <cfRule type="expression" dxfId="418" priority="13">
      <formula>B120="At Risk"</formula>
    </cfRule>
    <cfRule type="expression" dxfId="417" priority="14">
      <formula>B120="Blocked"</formula>
    </cfRule>
    <cfRule type="expression" dxfId="416" priority="15">
      <formula>B120="Not Started"</formula>
    </cfRule>
  </conditionalFormatting>
  <conditionalFormatting sqref="B143:B150">
    <cfRule type="expression" dxfId="415" priority="82">
      <formula>B143="Yes"</formula>
    </cfRule>
    <cfRule type="expression" dxfId="414" priority="83">
      <formula>B143="N/A"</formula>
    </cfRule>
    <cfRule type="expression" dxfId="413" priority="84">
      <formula>B143="No"</formula>
    </cfRule>
  </conditionalFormatting>
  <conditionalFormatting sqref="B160:H160">
    <cfRule type="expression" dxfId="412" priority="85">
      <formula>COUNTIF($B$6:$B$13,"No")=0</formula>
    </cfRule>
    <cfRule type="expression" dxfId="411" priority="86">
      <formula>COUNTIF($B$6:$B$13,"No")&gt;0</formula>
    </cfRule>
  </conditionalFormatting>
  <conditionalFormatting sqref="B17:I19">
    <cfRule type="expression" dxfId="410" priority="120">
      <formula>B17="Pass"</formula>
    </cfRule>
    <cfRule type="expression" dxfId="409" priority="121">
      <formula>B17="Verify"</formula>
    </cfRule>
    <cfRule type="expression" dxfId="408" priority="122">
      <formula>B17="Fail"</formula>
    </cfRule>
    <cfRule type="expression" dxfId="407" priority="123">
      <formula>B17="Not Started"</formula>
    </cfRule>
  </conditionalFormatting>
  <conditionalFormatting sqref="B24:I26">
    <cfRule type="expression" dxfId="406" priority="124">
      <formula>B24="Pass"</formula>
    </cfRule>
    <cfRule type="expression" dxfId="405" priority="125">
      <formula>B24="Verify"</formula>
    </cfRule>
    <cfRule type="expression" dxfId="404" priority="126">
      <formula>B24="Fail"</formula>
    </cfRule>
    <cfRule type="expression" dxfId="403" priority="127">
      <formula>B24="Not Started"</formula>
    </cfRule>
  </conditionalFormatting>
  <conditionalFormatting sqref="B31:I33">
    <cfRule type="expression" dxfId="402" priority="128">
      <formula>B31="Pass"</formula>
    </cfRule>
    <cfRule type="expression" dxfId="401" priority="129">
      <formula>B31="Verify"</formula>
    </cfRule>
    <cfRule type="expression" dxfId="400" priority="130">
      <formula>B31="Fail"</formula>
    </cfRule>
    <cfRule type="expression" dxfId="399" priority="131">
      <formula>B31="Not Started"</formula>
    </cfRule>
  </conditionalFormatting>
  <conditionalFormatting sqref="B45:I47">
    <cfRule type="expression" dxfId="398" priority="140">
      <formula>B45="Pass"</formula>
    </cfRule>
    <cfRule type="expression" dxfId="397" priority="141">
      <formula>B45="Verify"</formula>
    </cfRule>
    <cfRule type="expression" dxfId="396" priority="142">
      <formula>B45="Fail"</formula>
    </cfRule>
    <cfRule type="expression" dxfId="395" priority="143">
      <formula>B45="Not Started"</formula>
    </cfRule>
  </conditionalFormatting>
  <conditionalFormatting sqref="C87:D87">
    <cfRule type="dataBar" priority="37">
      <dataBar>
        <cfvo type="num" val="0"/>
        <cfvo type="num" val="1"/>
        <color rgb="FF5B9BD5"/>
      </dataBar>
    </cfRule>
  </conditionalFormatting>
  <conditionalFormatting sqref="C91:D98">
    <cfRule type="expression" dxfId="394" priority="31">
      <formula>C91="Yes"</formula>
    </cfRule>
    <cfRule type="expression" dxfId="393" priority="32">
      <formula>C91="No"</formula>
    </cfRule>
    <cfRule type="expression" dxfId="392" priority="33">
      <formula>C91="N/A"</formula>
    </cfRule>
  </conditionalFormatting>
  <conditionalFormatting sqref="C99:D99">
    <cfRule type="dataBar" priority="38">
      <dataBar>
        <cfvo type="num" val="0"/>
        <cfvo type="num" val="1"/>
        <color rgb="FF5B9BD5"/>
      </dataBar>
    </cfRule>
  </conditionalFormatting>
  <conditionalFormatting sqref="C108:D108">
    <cfRule type="dataBar" priority="39">
      <dataBar>
        <cfvo type="num" val="0"/>
        <cfvo type="num" val="1"/>
        <color rgb="FF5B9BD5"/>
      </dataBar>
    </cfRule>
  </conditionalFormatting>
  <conditionalFormatting sqref="C120:D125">
    <cfRule type="expression" dxfId="391" priority="16">
      <formula>C120="Yes"</formula>
    </cfRule>
    <cfRule type="expression" dxfId="390" priority="17">
      <formula>C120="No"</formula>
    </cfRule>
    <cfRule type="expression" dxfId="389" priority="18">
      <formula>C120="N/A"</formula>
    </cfRule>
  </conditionalFormatting>
  <conditionalFormatting sqref="C126:D126">
    <cfRule type="dataBar" priority="20">
      <dataBar>
        <cfvo type="num" val="0"/>
        <cfvo type="num" val="1"/>
        <color rgb="FF5B9BD5"/>
      </dataBar>
    </cfRule>
  </conditionalFormatting>
  <conditionalFormatting sqref="D38:I40">
    <cfRule type="expression" dxfId="388" priority="136">
      <formula>D38="Pass"</formula>
    </cfRule>
    <cfRule type="expression" dxfId="387" priority="137">
      <formula>D38="Verify"</formula>
    </cfRule>
    <cfRule type="expression" dxfId="386" priority="138">
      <formula>D38="Fail"</formula>
    </cfRule>
    <cfRule type="expression" dxfId="385" priority="139">
      <formula>D38="Not Started"</formula>
    </cfRule>
  </conditionalFormatting>
  <conditionalFormatting sqref="E5 G5 I5">
    <cfRule type="expression" dxfId="384" priority="87">
      <formula>E5="Pass"</formula>
    </cfRule>
    <cfRule type="expression" dxfId="383" priority="88">
      <formula>E5="Verify"</formula>
    </cfRule>
    <cfRule type="expression" dxfId="382" priority="89">
      <formula>E5="Fail"</formula>
    </cfRule>
    <cfRule type="expression" dxfId="381" priority="90">
      <formula>E5="Not Started"</formula>
    </cfRule>
  </conditionalFormatting>
  <conditionalFormatting sqref="F3">
    <cfRule type="expression" dxfId="380" priority="91">
      <formula>F3="Yes"</formula>
    </cfRule>
    <cfRule type="expression" dxfId="379" priority="92">
      <formula>F3="No"</formula>
    </cfRule>
  </conditionalFormatting>
  <conditionalFormatting sqref="F103:F107">
    <cfRule type="expression" dxfId="378" priority="34">
      <formula>F103="Pass"</formula>
    </cfRule>
    <cfRule type="expression" dxfId="377" priority="35">
      <formula>F103="Fail"</formula>
    </cfRule>
    <cfRule type="expression" dxfId="376" priority="36">
      <formula>F103="Pending"</formula>
    </cfRule>
  </conditionalFormatting>
  <conditionalFormatting sqref="F112:F115">
    <cfRule type="dataBar" priority="19">
      <dataBar>
        <cfvo type="num" val="0"/>
        <cfvo type="num" val="1"/>
        <color rgb="FF5B9BD5"/>
      </dataBar>
    </cfRule>
  </conditionalFormatting>
  <conditionalFormatting sqref="H10:H12">
    <cfRule type="expression" dxfId="375" priority="116">
      <formula>H10="Pass"</formula>
    </cfRule>
    <cfRule type="expression" dxfId="374" priority="117">
      <formula>H10="Verify"</formula>
    </cfRule>
    <cfRule type="expression" dxfId="373" priority="118">
      <formula>H10="Fail"</formula>
    </cfRule>
    <cfRule type="expression" dxfId="372" priority="119">
      <formula>H10="Not Started"</formula>
    </cfRule>
  </conditionalFormatting>
  <conditionalFormatting sqref="I76:I78">
    <cfRule type="expression" dxfId="371" priority="144">
      <formula>LEFT(I76,5)="Ready"</formula>
    </cfRule>
    <cfRule type="expression" dxfId="370" priority="145">
      <formula>LEFT(I76,7)="Partial"</formula>
    </cfRule>
    <cfRule type="expression" dxfId="369" priority="146">
      <formula>LEFT(I76,7)="At Risk"</formula>
    </cfRule>
  </conditionalFormatting>
  <dataValidations count="10">
    <dataValidation type="list" sqref="E52:E55" xr:uid="{00000000-0002-0000-3A00-000000000000}">
      <formula1>"Low,Medium,High"</formula1>
      <formula2>0</formula2>
    </dataValidation>
    <dataValidation type="list" sqref="D52:D55" xr:uid="{00000000-0002-0000-3A00-000001000000}">
      <formula1>"Low,Medium,High,Critical"</formula1>
      <formula2>0</formula2>
    </dataValidation>
    <dataValidation type="list" sqref="B5:B6 B17:I19 B24:I26 B31:I33 B38:B40 B45:I47 D5:J5 D38:I40 H10:H12" xr:uid="{00000000-0002-0000-3A00-000002000000}">
      <formula1>"Not Started,Verify,Pass,Fail,N/A"</formula1>
      <formula2>0</formula2>
    </dataValidation>
    <dataValidation type="list" sqref="G76:G78" xr:uid="{00000000-0002-0000-3A00-000005000000}">
      <formula1>"Pass,Verify,Fail,Not Started,N/A"</formula1>
      <formula2>0</formula2>
    </dataValidation>
    <dataValidation type="list" sqref="I68:I71 D60:D63 I52:I55" xr:uid="{00000000-0002-0000-3A00-000006000000}">
      <formula1>"Open,In Progress,Answered,Closed"</formula1>
      <formula2>0</formula2>
    </dataValidation>
    <dataValidation type="list" allowBlank="1" sqref="F103:F107" xr:uid="{5FC5BB73-47A0-4011-8F44-03185315C3F7}">
      <formula1>"Pending,Pass,Fail,N/A"</formula1>
    </dataValidation>
    <dataValidation type="list" allowBlank="1" sqref="C91:D98 C120:D125" xr:uid="{42C813CD-0988-43D2-B676-8E22FCCDAACF}">
      <formula1>"Yes,No,N/A"</formula1>
    </dataValidation>
    <dataValidation type="list" allowBlank="1" sqref="B112:B115 B103:B107" xr:uid="{F3440C45-E10F-4A90-AB93-9C5D6112C803}">
      <formula1>"Not Started,In Progress,Complete,At Risk,Blocked"</formula1>
    </dataValidation>
    <dataValidation type="list" sqref="B143:B150" xr:uid="{071E60D4-EB37-4F9E-BE6B-3E761B1B2B57}">
      <formula1>"No,Yes,N/A"</formula1>
    </dataValidation>
    <dataValidation type="list" sqref="H131:I136 H128:I129" xr:uid="{F05BD14A-EB4F-4673-BB31-F4CE020065A9}">
      <formula1>"Not Started,Verify,Pass,Fail,N/A,Open,Closed,Partial / Yellow"</formula1>
      <formula2>0</formula2>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3BD885E2-0E89-47A8-9824-D8C5C0392BDB}">
          <x14:formula1>
            <xm:f>Lookup_Lists!$L$37:$L$39</xm:f>
          </x14:formula1>
          <xm:sqref>C103:E107 J2</xm:sqref>
        </x14:dataValidation>
        <x14:dataValidation type="list" allowBlank="1" showInputMessage="1" showErrorMessage="1" xr:uid="{21DD88FD-F3B4-45D3-B9F3-37905D3E048D}">
          <x14:formula1>
            <xm:f>Lookup_Lists!$A$36:$A$42</xm:f>
          </x14:formula1>
          <xm:sqref>B82:B86 B91:B98 B120:B125</xm:sqref>
        </x14:dataValidation>
      </x14:dataValidations>
    </ext>
  </extLst>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D1500-AD04-4E85-BA25-532EC7020A08}">
  <dimension ref="A1:J353"/>
  <sheetViews>
    <sheetView showGridLines="0" workbookViewId="0">
      <selection activeCell="D14" sqref="D14"/>
    </sheetView>
  </sheetViews>
  <sheetFormatPr defaultColWidth="8.6640625" defaultRowHeight="14.4"/>
  <cols>
    <col min="1" max="1" width="16" style="8" customWidth="1"/>
    <col min="2" max="2" width="18" style="8" customWidth="1"/>
    <col min="3" max="3" width="16" style="8" customWidth="1"/>
    <col min="4" max="4" width="20" style="8" customWidth="1"/>
    <col min="5" max="6" width="18" style="8" customWidth="1"/>
    <col min="7" max="7" width="20" style="8" customWidth="1"/>
    <col min="8" max="8" width="28" style="8" customWidth="1"/>
    <col min="9" max="9" width="18" style="8" customWidth="1"/>
    <col min="10" max="10" width="36" style="8" customWidth="1"/>
    <col min="11" max="12" width="8.6640625" style="8" customWidth="1"/>
    <col min="13" max="16384" width="8.6640625" style="8"/>
  </cols>
  <sheetData>
    <row r="1" spans="1:10" ht="30" customHeight="1">
      <c r="A1" s="892" t="s">
        <v>3397</v>
      </c>
      <c r="B1" s="839"/>
      <c r="C1" s="839"/>
      <c r="D1" s="839"/>
      <c r="E1" s="839"/>
      <c r="F1" s="839"/>
      <c r="G1" s="839"/>
      <c r="H1" s="839"/>
      <c r="I1" s="839"/>
      <c r="J1" s="839"/>
    </row>
    <row r="2" spans="1:10" s="227" customFormat="1" ht="16.95" customHeight="1">
      <c r="A2" s="223" t="s">
        <v>142</v>
      </c>
      <c r="B2" s="224">
        <v>70</v>
      </c>
      <c r="C2" s="223" t="s">
        <v>902</v>
      </c>
      <c r="D2" s="224" t="s">
        <v>1094</v>
      </c>
      <c r="E2" s="223" t="s">
        <v>151</v>
      </c>
      <c r="F2" s="224" t="s">
        <v>1095</v>
      </c>
      <c r="G2" s="223" t="s">
        <v>174</v>
      </c>
      <c r="H2" s="257">
        <v>0.5</v>
      </c>
      <c r="I2" s="223" t="s">
        <v>154</v>
      </c>
      <c r="J2" s="226" t="s">
        <v>1096</v>
      </c>
    </row>
    <row r="3" spans="1:10" s="231" customFormat="1" ht="16.95" customHeight="1">
      <c r="A3" s="223" t="s">
        <v>903</v>
      </c>
      <c r="B3" s="228">
        <v>46198.520971412043</v>
      </c>
      <c r="C3" s="229" t="s">
        <v>904</v>
      </c>
      <c r="D3" s="230" t="s">
        <v>721</v>
      </c>
      <c r="E3" s="223" t="s">
        <v>905</v>
      </c>
      <c r="F3" s="230" t="s">
        <v>3398</v>
      </c>
      <c r="G3" s="223" t="s">
        <v>907</v>
      </c>
      <c r="H3" s="230" t="s">
        <v>908</v>
      </c>
      <c r="I3" s="223" t="s">
        <v>551</v>
      </c>
      <c r="J3" s="230" t="s">
        <v>3399</v>
      </c>
    </row>
    <row r="4" spans="1:10" s="231" customFormat="1" ht="266.39999999999998" customHeight="1">
      <c r="A4" s="223" t="s">
        <v>161</v>
      </c>
      <c r="B4" s="230">
        <f>COUNTIFS($A$1:$A$353,"B70-R*",$I$1:$I$353,"Open")+COUNTIFS($A$1:$A$353,"B70-R*",$I$1:$I$353,"In Progress")</f>
        <v>0</v>
      </c>
      <c r="C4" s="223" t="s">
        <v>199</v>
      </c>
      <c r="D4" s="230">
        <v>0</v>
      </c>
      <c r="E4" s="223" t="s">
        <v>179</v>
      </c>
      <c r="F4" s="230">
        <v>0</v>
      </c>
      <c r="G4" s="223" t="s">
        <v>870</v>
      </c>
      <c r="H4" s="232" t="s">
        <v>3400</v>
      </c>
      <c r="I4" s="233"/>
      <c r="J4" s="233"/>
    </row>
    <row r="5" spans="1:10" s="231" customFormat="1">
      <c r="A5" s="234" t="s">
        <v>911</v>
      </c>
      <c r="B5" s="225" t="s">
        <v>677</v>
      </c>
      <c r="C5" s="235" t="s">
        <v>912</v>
      </c>
      <c r="D5" s="225" t="s">
        <v>677</v>
      </c>
      <c r="E5" s="236" t="s">
        <v>913</v>
      </c>
      <c r="F5" s="225" t="s">
        <v>677</v>
      </c>
      <c r="G5" s="237" t="s">
        <v>914</v>
      </c>
      <c r="H5" s="225" t="s">
        <v>677</v>
      </c>
      <c r="I5" s="237" t="s">
        <v>915</v>
      </c>
      <c r="J5" s="225" t="s">
        <v>677</v>
      </c>
    </row>
    <row r="6" spans="1:10" s="231" customFormat="1">
      <c r="A6" s="238" t="s">
        <v>916</v>
      </c>
      <c r="B6" s="225" t="s">
        <v>677</v>
      </c>
      <c r="C6" s="239" t="s">
        <v>869</v>
      </c>
      <c r="D6" s="854" t="s">
        <v>3401</v>
      </c>
      <c r="E6" s="853"/>
      <c r="F6" s="853"/>
      <c r="G6" s="853"/>
      <c r="H6" s="853"/>
      <c r="I6" s="853"/>
      <c r="J6" s="853"/>
    </row>
    <row r="7" spans="1:10" ht="14.25" customHeight="1">
      <c r="A7" s="129"/>
      <c r="B7" s="129"/>
      <c r="C7" s="129"/>
      <c r="D7" s="129"/>
      <c r="E7" s="129"/>
      <c r="F7" s="129"/>
      <c r="G7" s="129"/>
      <c r="H7" s="129"/>
      <c r="I7" s="129"/>
      <c r="J7" s="129"/>
    </row>
    <row r="8" spans="1:10" ht="17.25" customHeight="1">
      <c r="A8" s="842" t="s">
        <v>918</v>
      </c>
      <c r="B8" s="839"/>
      <c r="C8" s="839"/>
      <c r="D8" s="85"/>
      <c r="E8" s="85"/>
      <c r="F8" s="85"/>
      <c r="G8" s="85"/>
      <c r="H8" s="85"/>
      <c r="I8" s="85"/>
      <c r="J8" s="85"/>
    </row>
    <row r="9" spans="1:10" ht="20.25" customHeight="1">
      <c r="A9" s="130" t="s">
        <v>142</v>
      </c>
      <c r="B9" s="130" t="s">
        <v>275</v>
      </c>
      <c r="C9" s="130" t="s">
        <v>884</v>
      </c>
      <c r="D9" s="130" t="s">
        <v>885</v>
      </c>
      <c r="E9" s="130" t="s">
        <v>886</v>
      </c>
      <c r="F9" s="130" t="s">
        <v>887</v>
      </c>
      <c r="G9" s="130" t="s">
        <v>888</v>
      </c>
      <c r="H9" s="130" t="s">
        <v>77</v>
      </c>
      <c r="I9" s="130" t="s">
        <v>889</v>
      </c>
      <c r="J9" s="130" t="s">
        <v>11</v>
      </c>
    </row>
    <row r="10" spans="1:10" ht="26.25" customHeight="1">
      <c r="A10" s="13" t="s">
        <v>379</v>
      </c>
      <c r="B10" s="13" t="s">
        <v>438</v>
      </c>
      <c r="C10" s="13" t="s">
        <v>923</v>
      </c>
      <c r="D10" s="13" t="s">
        <v>3402</v>
      </c>
      <c r="E10" s="13" t="s">
        <v>369</v>
      </c>
      <c r="F10" s="13">
        <v>1</v>
      </c>
      <c r="G10" s="13">
        <v>1</v>
      </c>
      <c r="H10" s="13" t="s">
        <v>677</v>
      </c>
      <c r="I10" s="13" t="s">
        <v>3403</v>
      </c>
      <c r="J10" s="13" t="s">
        <v>3404</v>
      </c>
    </row>
    <row r="11" spans="1:10" ht="26.25" customHeight="1">
      <c r="A11" s="13" t="s">
        <v>379</v>
      </c>
      <c r="B11" s="13" t="s">
        <v>3405</v>
      </c>
      <c r="C11" s="13" t="s">
        <v>919</v>
      </c>
      <c r="D11" s="13" t="s">
        <v>3406</v>
      </c>
      <c r="E11" s="13" t="s">
        <v>369</v>
      </c>
      <c r="F11" s="13">
        <v>1</v>
      </c>
      <c r="G11" s="13">
        <v>1</v>
      </c>
      <c r="H11" s="13" t="s">
        <v>677</v>
      </c>
      <c r="I11" s="13" t="s">
        <v>3403</v>
      </c>
      <c r="J11" s="13" t="s">
        <v>3407</v>
      </c>
    </row>
    <row r="12" spans="1:10" ht="26.25" customHeight="1">
      <c r="A12" s="13" t="s">
        <v>379</v>
      </c>
      <c r="B12" s="13" t="s">
        <v>440</v>
      </c>
      <c r="C12" s="13" t="s">
        <v>933</v>
      </c>
      <c r="D12" s="13" t="s">
        <v>3406</v>
      </c>
      <c r="E12" s="13" t="s">
        <v>369</v>
      </c>
      <c r="F12" s="13">
        <v>1</v>
      </c>
      <c r="G12" s="13">
        <v>1</v>
      </c>
      <c r="H12" s="13" t="s">
        <v>677</v>
      </c>
      <c r="I12" s="13" t="s">
        <v>3403</v>
      </c>
      <c r="J12" s="13" t="s">
        <v>3408</v>
      </c>
    </row>
    <row r="13" spans="1:10" ht="14.25" customHeight="1">
      <c r="A13" s="129"/>
      <c r="B13" s="129"/>
      <c r="C13" s="129"/>
      <c r="D13" s="129"/>
      <c r="E13" s="129"/>
      <c r="F13" s="129"/>
      <c r="G13" s="129"/>
      <c r="H13" s="129"/>
      <c r="I13" s="129"/>
      <c r="J13" s="129"/>
    </row>
    <row r="14" spans="1:10" ht="14.25" customHeight="1">
      <c r="A14" s="129"/>
      <c r="B14" s="129"/>
      <c r="C14" s="129"/>
      <c r="D14" s="129"/>
      <c r="E14" s="129"/>
      <c r="F14" s="129"/>
      <c r="G14" s="129"/>
      <c r="H14" s="129"/>
      <c r="I14" s="129"/>
      <c r="J14" s="129"/>
    </row>
    <row r="15" spans="1:10" ht="17.25" customHeight="1">
      <c r="A15" s="842" t="s">
        <v>936</v>
      </c>
      <c r="B15" s="839"/>
      <c r="C15" s="839"/>
      <c r="D15" s="85"/>
      <c r="E15" s="85"/>
      <c r="F15" s="85"/>
      <c r="G15" s="85"/>
      <c r="H15" s="85"/>
      <c r="I15" s="85"/>
      <c r="J15" s="85"/>
    </row>
    <row r="16" spans="1:10" ht="20.25" customHeight="1">
      <c r="A16" s="130" t="s">
        <v>275</v>
      </c>
      <c r="B16" s="130" t="s">
        <v>937</v>
      </c>
      <c r="C16" s="130" t="s">
        <v>938</v>
      </c>
      <c r="D16" s="130" t="s">
        <v>939</v>
      </c>
      <c r="E16" s="130" t="s">
        <v>940</v>
      </c>
      <c r="F16" s="130" t="s">
        <v>941</v>
      </c>
      <c r="G16" s="130" t="s">
        <v>942</v>
      </c>
      <c r="H16" s="130" t="s">
        <v>943</v>
      </c>
      <c r="I16" s="130" t="s">
        <v>899</v>
      </c>
      <c r="J16" s="130" t="s">
        <v>944</v>
      </c>
    </row>
    <row r="17" spans="1:10" ht="14.25" customHeight="1">
      <c r="A17" s="13" t="s">
        <v>438</v>
      </c>
      <c r="B17" s="13" t="s">
        <v>677</v>
      </c>
      <c r="C17" s="13" t="s">
        <v>677</v>
      </c>
      <c r="D17" s="13" t="s">
        <v>677</v>
      </c>
      <c r="E17" s="13" t="s">
        <v>677</v>
      </c>
      <c r="F17" s="13" t="s">
        <v>677</v>
      </c>
      <c r="G17" s="13" t="s">
        <v>677</v>
      </c>
      <c r="H17" s="13" t="s">
        <v>677</v>
      </c>
      <c r="I17" s="13" t="str">
        <f>IF(COUNTIF(B17:H17,"Fail")&gt;0,"Fail",IF(COUNTIF(B17:H17,"Verify")&gt;0,"Verify",IF(COUNTIF(B17:H17,"Not Started")&gt;0,"Not Started","Pass")))</f>
        <v>Verify</v>
      </c>
      <c r="J17" s="13"/>
    </row>
    <row r="18" spans="1:10" ht="14.25" customHeight="1">
      <c r="A18" s="13" t="s">
        <v>3405</v>
      </c>
      <c r="B18" s="13" t="s">
        <v>677</v>
      </c>
      <c r="C18" s="13" t="s">
        <v>677</v>
      </c>
      <c r="D18" s="13" t="s">
        <v>677</v>
      </c>
      <c r="E18" s="13" t="s">
        <v>677</v>
      </c>
      <c r="F18" s="13" t="s">
        <v>677</v>
      </c>
      <c r="G18" s="13" t="s">
        <v>677</v>
      </c>
      <c r="H18" s="13" t="s">
        <v>677</v>
      </c>
      <c r="I18" s="13" t="str">
        <f>IF(COUNTIF(B18:H18,"Fail")&gt;0,"Fail",IF(COUNTIF(B18:H18,"Verify")&gt;0,"Verify",IF(COUNTIF(B18:H18,"Not Started")&gt;0,"Not Started","Pass")))</f>
        <v>Verify</v>
      </c>
      <c r="J18" s="13"/>
    </row>
    <row r="19" spans="1:10" ht="14.25" customHeight="1">
      <c r="A19" s="13" t="s">
        <v>440</v>
      </c>
      <c r="B19" s="13" t="s">
        <v>677</v>
      </c>
      <c r="C19" s="13" t="s">
        <v>677</v>
      </c>
      <c r="D19" s="13" t="s">
        <v>677</v>
      </c>
      <c r="E19" s="13" t="s">
        <v>677</v>
      </c>
      <c r="F19" s="13" t="s">
        <v>677</v>
      </c>
      <c r="G19" s="13" t="s">
        <v>677</v>
      </c>
      <c r="H19" s="13" t="s">
        <v>677</v>
      </c>
      <c r="I19" s="13" t="str">
        <f>IF(COUNTIF(B19:H19,"Fail")&gt;0,"Fail",IF(COUNTIF(B19:H19,"Verify")&gt;0,"Verify",IF(COUNTIF(B19:H19,"Not Started")&gt;0,"Not Started","Pass")))</f>
        <v>Verify</v>
      </c>
      <c r="J19" s="13"/>
    </row>
    <row r="20" spans="1:10" ht="14.25" customHeight="1">
      <c r="A20" s="129"/>
      <c r="B20" s="129"/>
      <c r="C20" s="129"/>
      <c r="D20" s="129"/>
      <c r="E20" s="129"/>
      <c r="F20" s="129"/>
      <c r="G20" s="129"/>
      <c r="H20" s="129"/>
      <c r="I20" s="129"/>
      <c r="J20" s="129"/>
    </row>
    <row r="21" spans="1:10" ht="14.25" customHeight="1">
      <c r="A21" s="129"/>
      <c r="B21" s="129"/>
      <c r="C21" s="129"/>
      <c r="D21" s="129"/>
      <c r="E21" s="129"/>
      <c r="F21" s="129"/>
      <c r="G21" s="129"/>
      <c r="H21" s="129"/>
      <c r="I21" s="129"/>
      <c r="J21" s="129"/>
    </row>
    <row r="22" spans="1:10" ht="17.25" customHeight="1">
      <c r="A22" s="842" t="s">
        <v>951</v>
      </c>
      <c r="B22" s="839"/>
      <c r="C22" s="839"/>
      <c r="D22" s="85"/>
      <c r="E22" s="85"/>
      <c r="F22" s="85"/>
      <c r="G22" s="85"/>
      <c r="H22" s="85"/>
      <c r="I22" s="85"/>
      <c r="J22" s="85"/>
    </row>
    <row r="23" spans="1:10" ht="20.25" customHeight="1">
      <c r="A23" s="130" t="s">
        <v>275</v>
      </c>
      <c r="B23" s="130" t="s">
        <v>952</v>
      </c>
      <c r="C23" s="130" t="s">
        <v>953</v>
      </c>
      <c r="D23" s="130" t="s">
        <v>954</v>
      </c>
      <c r="E23" s="130" t="s">
        <v>955</v>
      </c>
      <c r="F23" s="130" t="s">
        <v>956</v>
      </c>
      <c r="G23" s="130" t="s">
        <v>957</v>
      </c>
      <c r="H23" s="130" t="s">
        <v>958</v>
      </c>
      <c r="I23" s="130" t="s">
        <v>899</v>
      </c>
      <c r="J23" s="130" t="s">
        <v>959</v>
      </c>
    </row>
    <row r="24" spans="1:10" ht="14.25" customHeight="1">
      <c r="A24" s="13" t="s">
        <v>438</v>
      </c>
      <c r="B24" s="13" t="s">
        <v>677</v>
      </c>
      <c r="C24" s="13" t="s">
        <v>677</v>
      </c>
      <c r="D24" s="13" t="s">
        <v>677</v>
      </c>
      <c r="E24" s="13" t="s">
        <v>677</v>
      </c>
      <c r="F24" s="13" t="s">
        <v>677</v>
      </c>
      <c r="G24" s="13" t="s">
        <v>677</v>
      </c>
      <c r="H24" s="13" t="s">
        <v>677</v>
      </c>
      <c r="I24" s="13" t="str">
        <f>IF(COUNTIF(B24:H24,"Fail")&gt;0,"Fail",IF(COUNTIF(B24:H24,"Verify")&gt;0,"Verify",IF(COUNTIF(B24:H24,"Not Started")&gt;0,"Not Started","Pass")))</f>
        <v>Verify</v>
      </c>
      <c r="J24" s="13"/>
    </row>
    <row r="25" spans="1:10" ht="14.25" customHeight="1">
      <c r="A25" s="13" t="s">
        <v>3405</v>
      </c>
      <c r="B25" s="13" t="s">
        <v>677</v>
      </c>
      <c r="C25" s="13" t="s">
        <v>677</v>
      </c>
      <c r="D25" s="13" t="s">
        <v>677</v>
      </c>
      <c r="E25" s="13" t="s">
        <v>677</v>
      </c>
      <c r="F25" s="13" t="s">
        <v>677</v>
      </c>
      <c r="G25" s="13" t="s">
        <v>677</v>
      </c>
      <c r="H25" s="13" t="s">
        <v>677</v>
      </c>
      <c r="I25" s="13" t="str">
        <f>IF(COUNTIF(B25:H25,"Fail")&gt;0,"Fail",IF(COUNTIF(B25:H25,"Verify")&gt;0,"Verify",IF(COUNTIF(B25:H25,"Not Started")&gt;0,"Not Started","Pass")))</f>
        <v>Verify</v>
      </c>
      <c r="J25" s="13"/>
    </row>
    <row r="26" spans="1:10" ht="14.25" customHeight="1">
      <c r="A26" s="13" t="s">
        <v>440</v>
      </c>
      <c r="B26" s="13" t="s">
        <v>677</v>
      </c>
      <c r="C26" s="13" t="s">
        <v>677</v>
      </c>
      <c r="D26" s="13" t="s">
        <v>677</v>
      </c>
      <c r="E26" s="13" t="s">
        <v>677</v>
      </c>
      <c r="F26" s="13" t="s">
        <v>677</v>
      </c>
      <c r="G26" s="13" t="s">
        <v>677</v>
      </c>
      <c r="H26" s="13" t="s">
        <v>677</v>
      </c>
      <c r="I26" s="13" t="str">
        <f>IF(COUNTIF(B26:H26,"Fail")&gt;0,"Fail",IF(COUNTIF(B26:H26,"Verify")&gt;0,"Verify",IF(COUNTIF(B26:H26,"Not Started")&gt;0,"Not Started","Pass")))</f>
        <v>Verify</v>
      </c>
      <c r="J26" s="13"/>
    </row>
    <row r="27" spans="1:10" ht="14.25" customHeight="1">
      <c r="A27" s="129"/>
      <c r="B27" s="129"/>
      <c r="C27" s="129"/>
      <c r="D27" s="129"/>
      <c r="E27" s="129"/>
      <c r="F27" s="129"/>
      <c r="G27" s="129"/>
      <c r="H27" s="129"/>
      <c r="I27" s="129"/>
      <c r="J27" s="129"/>
    </row>
    <row r="28" spans="1:10" ht="14.25" customHeight="1">
      <c r="A28" s="129"/>
      <c r="B28" s="129"/>
      <c r="C28" s="129"/>
      <c r="D28" s="129"/>
      <c r="E28" s="129"/>
      <c r="F28" s="129"/>
      <c r="G28" s="129"/>
      <c r="H28" s="129"/>
      <c r="I28" s="129"/>
      <c r="J28" s="129"/>
    </row>
    <row r="29" spans="1:10" ht="17.25" customHeight="1">
      <c r="A29" s="842" t="s">
        <v>964</v>
      </c>
      <c r="B29" s="839"/>
      <c r="C29" s="839"/>
      <c r="D29" s="85"/>
      <c r="E29" s="85"/>
      <c r="F29" s="85"/>
      <c r="G29" s="85"/>
      <c r="H29" s="85"/>
      <c r="I29" s="85"/>
      <c r="J29" s="85"/>
    </row>
    <row r="30" spans="1:10" ht="20.25" customHeight="1">
      <c r="A30" s="130" t="s">
        <v>275</v>
      </c>
      <c r="B30" s="130" t="s">
        <v>965</v>
      </c>
      <c r="C30" s="130" t="s">
        <v>966</v>
      </c>
      <c r="D30" s="130" t="s">
        <v>967</v>
      </c>
      <c r="E30" s="130" t="s">
        <v>968</v>
      </c>
      <c r="F30" s="130" t="s">
        <v>969</v>
      </c>
      <c r="G30" s="130" t="s">
        <v>970</v>
      </c>
      <c r="H30" s="130" t="s">
        <v>971</v>
      </c>
      <c r="I30" s="130" t="s">
        <v>899</v>
      </c>
      <c r="J30" s="130" t="s">
        <v>959</v>
      </c>
    </row>
    <row r="31" spans="1:10" ht="14.25" customHeight="1">
      <c r="A31" s="13" t="s">
        <v>438</v>
      </c>
      <c r="B31" s="13" t="s">
        <v>677</v>
      </c>
      <c r="C31" s="13" t="s">
        <v>677</v>
      </c>
      <c r="D31" s="13" t="s">
        <v>677</v>
      </c>
      <c r="E31" s="13" t="s">
        <v>677</v>
      </c>
      <c r="F31" s="13" t="s">
        <v>677</v>
      </c>
      <c r="G31" s="13" t="s">
        <v>677</v>
      </c>
      <c r="H31" s="13" t="s">
        <v>677</v>
      </c>
      <c r="I31" s="13" t="str">
        <f>IF(COUNTIF(B31:H31,"Fail")&gt;0,"Fail",IF(COUNTIF(B31:H31,"Verify")&gt;0,"Verify",IF(COUNTIF(B31:H31,"Not Started")&gt;0,"Not Started","Pass")))</f>
        <v>Verify</v>
      </c>
      <c r="J31" s="13"/>
    </row>
    <row r="32" spans="1:10" ht="14.25" customHeight="1">
      <c r="A32" s="13" t="s">
        <v>3405</v>
      </c>
      <c r="B32" s="13" t="s">
        <v>677</v>
      </c>
      <c r="C32" s="13" t="s">
        <v>677</v>
      </c>
      <c r="D32" s="13" t="s">
        <v>677</v>
      </c>
      <c r="E32" s="13" t="s">
        <v>677</v>
      </c>
      <c r="F32" s="13" t="s">
        <v>677</v>
      </c>
      <c r="G32" s="13" t="s">
        <v>677</v>
      </c>
      <c r="H32" s="13" t="s">
        <v>677</v>
      </c>
      <c r="I32" s="13" t="str">
        <f>IF(COUNTIF(B32:H32,"Fail")&gt;0,"Fail",IF(COUNTIF(B32:H32,"Verify")&gt;0,"Verify",IF(COUNTIF(B32:H32,"Not Started")&gt;0,"Not Started","Pass")))</f>
        <v>Verify</v>
      </c>
      <c r="J32" s="13"/>
    </row>
    <row r="33" spans="1:10" ht="14.25" customHeight="1">
      <c r="A33" s="13" t="s">
        <v>440</v>
      </c>
      <c r="B33" s="13" t="s">
        <v>677</v>
      </c>
      <c r="C33" s="13" t="s">
        <v>677</v>
      </c>
      <c r="D33" s="13" t="s">
        <v>677</v>
      </c>
      <c r="E33" s="13" t="s">
        <v>677</v>
      </c>
      <c r="F33" s="13" t="s">
        <v>677</v>
      </c>
      <c r="G33" s="13" t="s">
        <v>677</v>
      </c>
      <c r="H33" s="13" t="s">
        <v>677</v>
      </c>
      <c r="I33" s="13" t="str">
        <f>IF(COUNTIF(B33:H33,"Fail")&gt;0,"Fail",IF(COUNTIF(B33:H33,"Verify")&gt;0,"Verify",IF(COUNTIF(B33:H33,"Not Started")&gt;0,"Not Started","Pass")))</f>
        <v>Verify</v>
      </c>
      <c r="J33" s="13"/>
    </row>
    <row r="34" spans="1:10" ht="14.25" customHeight="1">
      <c r="A34" s="129"/>
      <c r="B34" s="129"/>
      <c r="C34" s="129"/>
      <c r="D34" s="129"/>
      <c r="E34" s="129"/>
      <c r="F34" s="129"/>
      <c r="G34" s="129"/>
      <c r="H34" s="129"/>
      <c r="I34" s="129"/>
      <c r="J34" s="129"/>
    </row>
    <row r="35" spans="1:10" ht="14.25" customHeight="1">
      <c r="A35" s="129"/>
      <c r="B35" s="129"/>
      <c r="C35" s="129"/>
      <c r="D35" s="129"/>
      <c r="E35" s="129"/>
      <c r="F35" s="129"/>
      <c r="G35" s="129"/>
      <c r="H35" s="129"/>
      <c r="I35" s="129"/>
      <c r="J35" s="129"/>
    </row>
    <row r="36" spans="1:10" ht="17.25" customHeight="1">
      <c r="A36" s="842" t="s">
        <v>977</v>
      </c>
      <c r="B36" s="839"/>
      <c r="C36" s="839"/>
      <c r="D36" s="85"/>
      <c r="E36" s="85"/>
      <c r="F36" s="85"/>
      <c r="G36" s="85"/>
      <c r="H36" s="85"/>
      <c r="I36" s="85"/>
      <c r="J36" s="85"/>
    </row>
    <row r="37" spans="1:10" ht="20.25" customHeight="1">
      <c r="A37" s="130" t="s">
        <v>275</v>
      </c>
      <c r="B37" s="130" t="s">
        <v>978</v>
      </c>
      <c r="C37" s="130" t="s">
        <v>979</v>
      </c>
      <c r="D37" s="130" t="s">
        <v>980</v>
      </c>
      <c r="E37" s="130" t="s">
        <v>981</v>
      </c>
      <c r="F37" s="130" t="s">
        <v>982</v>
      </c>
      <c r="G37" s="130" t="s">
        <v>983</v>
      </c>
      <c r="H37" s="130" t="s">
        <v>984</v>
      </c>
      <c r="I37" s="130" t="s">
        <v>899</v>
      </c>
      <c r="J37" s="130" t="s">
        <v>11</v>
      </c>
    </row>
    <row r="38" spans="1:10" ht="14.25" customHeight="1">
      <c r="A38" s="13" t="s">
        <v>438</v>
      </c>
      <c r="B38" s="13" t="s">
        <v>677</v>
      </c>
      <c r="C38" s="13" t="s">
        <v>1366</v>
      </c>
      <c r="D38" s="13" t="s">
        <v>677</v>
      </c>
      <c r="E38" s="13" t="s">
        <v>677</v>
      </c>
      <c r="F38" s="13" t="s">
        <v>677</v>
      </c>
      <c r="G38" s="13" t="s">
        <v>677</v>
      </c>
      <c r="H38" s="13" t="s">
        <v>677</v>
      </c>
      <c r="I38" s="13" t="str">
        <f>IF(COUNTIF(B38:H38,"Fail")&gt;0,"Fail",IF(COUNTIF(B38:H38,"Verify")&gt;0,"Verify",IF(COUNTIF(B38:H38,"Not Started")&gt;0,"Not Started","Pass")))</f>
        <v>Verify</v>
      </c>
      <c r="J38" s="13"/>
    </row>
    <row r="39" spans="1:10" ht="14.25" customHeight="1">
      <c r="A39" s="13" t="s">
        <v>3405</v>
      </c>
      <c r="B39" s="13" t="s">
        <v>677</v>
      </c>
      <c r="C39" s="13" t="s">
        <v>1366</v>
      </c>
      <c r="D39" s="13" t="s">
        <v>677</v>
      </c>
      <c r="E39" s="13" t="s">
        <v>677</v>
      </c>
      <c r="F39" s="13" t="s">
        <v>677</v>
      </c>
      <c r="G39" s="13" t="s">
        <v>677</v>
      </c>
      <c r="H39" s="13" t="s">
        <v>677</v>
      </c>
      <c r="I39" s="13" t="str">
        <f>IF(COUNTIF(B39:H39,"Fail")&gt;0,"Fail",IF(COUNTIF(B39:H39,"Verify")&gt;0,"Verify",IF(COUNTIF(B39:H39,"Not Started")&gt;0,"Not Started","Pass")))</f>
        <v>Verify</v>
      </c>
      <c r="J39" s="13"/>
    </row>
    <row r="40" spans="1:10" ht="14.25" customHeight="1">
      <c r="A40" s="13" t="s">
        <v>440</v>
      </c>
      <c r="B40" s="13" t="s">
        <v>677</v>
      </c>
      <c r="C40" s="13" t="s">
        <v>1366</v>
      </c>
      <c r="D40" s="13" t="s">
        <v>677</v>
      </c>
      <c r="E40" s="13" t="s">
        <v>677</v>
      </c>
      <c r="F40" s="13" t="s">
        <v>677</v>
      </c>
      <c r="G40" s="13" t="s">
        <v>677</v>
      </c>
      <c r="H40" s="13" t="s">
        <v>677</v>
      </c>
      <c r="I40" s="13" t="str">
        <f>IF(COUNTIF(B40:H40,"Fail")&gt;0,"Fail",IF(COUNTIF(B40:H40,"Verify")&gt;0,"Verify",IF(COUNTIF(B40:H40,"Not Started")&gt;0,"Not Started","Pass")))</f>
        <v>Verify</v>
      </c>
      <c r="J40" s="13"/>
    </row>
    <row r="41" spans="1:10" ht="14.25" customHeight="1">
      <c r="A41" s="129"/>
      <c r="B41" s="129"/>
      <c r="C41" s="129"/>
      <c r="D41" s="129"/>
      <c r="E41" s="129"/>
      <c r="F41" s="129"/>
      <c r="G41" s="129"/>
      <c r="H41" s="129"/>
      <c r="I41" s="129"/>
      <c r="J41" s="129"/>
    </row>
    <row r="42" spans="1:10" ht="14.25" customHeight="1">
      <c r="A42" s="129"/>
      <c r="B42" s="129"/>
      <c r="C42" s="129"/>
      <c r="D42" s="129"/>
      <c r="E42" s="129"/>
      <c r="F42" s="129"/>
      <c r="G42" s="129"/>
      <c r="H42" s="129"/>
      <c r="I42" s="129"/>
      <c r="J42" s="129"/>
    </row>
    <row r="43" spans="1:10" ht="17.25" customHeight="1">
      <c r="A43" s="842" t="s">
        <v>3310</v>
      </c>
      <c r="B43" s="839"/>
      <c r="C43" s="839"/>
      <c r="D43" s="85"/>
      <c r="E43" s="85"/>
      <c r="F43" s="85"/>
      <c r="G43" s="85"/>
      <c r="H43" s="85"/>
      <c r="I43" s="85"/>
      <c r="J43" s="85"/>
    </row>
    <row r="44" spans="1:10" ht="20.25" customHeight="1">
      <c r="A44" s="130" t="s">
        <v>275</v>
      </c>
      <c r="B44" s="130" t="s">
        <v>995</v>
      </c>
      <c r="C44" s="130" t="s">
        <v>996</v>
      </c>
      <c r="D44" s="130" t="s">
        <v>997</v>
      </c>
      <c r="E44" s="130" t="s">
        <v>998</v>
      </c>
      <c r="F44" s="130" t="s">
        <v>999</v>
      </c>
      <c r="G44" s="130" t="s">
        <v>1000</v>
      </c>
      <c r="H44" s="130" t="s">
        <v>1001</v>
      </c>
      <c r="I44" s="130" t="s">
        <v>899</v>
      </c>
      <c r="J44" s="130" t="s">
        <v>11</v>
      </c>
    </row>
    <row r="45" spans="1:10" ht="14.25" customHeight="1">
      <c r="A45" s="13" t="s">
        <v>438</v>
      </c>
      <c r="B45" s="13" t="s">
        <v>677</v>
      </c>
      <c r="C45" s="13" t="s">
        <v>677</v>
      </c>
      <c r="D45" s="13" t="s">
        <v>677</v>
      </c>
      <c r="E45" s="13" t="s">
        <v>677</v>
      </c>
      <c r="F45" s="13" t="s">
        <v>677</v>
      </c>
      <c r="G45" s="13" t="s">
        <v>677</v>
      </c>
      <c r="H45" s="13" t="s">
        <v>677</v>
      </c>
      <c r="I45" s="13" t="str">
        <f>IF(COUNTIF(B45:H45,"Fail")&gt;0,"Fail",IF(COUNTIF(B45:H45,"Verify")&gt;0,"Verify",IF(COUNTIF(B45:H45,"Not Started")&gt;0,"Not Started","Pass")))</f>
        <v>Verify</v>
      </c>
      <c r="J45" s="13"/>
    </row>
    <row r="46" spans="1:10" ht="14.25" customHeight="1">
      <c r="A46" s="13" t="s">
        <v>3405</v>
      </c>
      <c r="B46" s="13" t="s">
        <v>677</v>
      </c>
      <c r="C46" s="13" t="s">
        <v>677</v>
      </c>
      <c r="D46" s="13" t="s">
        <v>677</v>
      </c>
      <c r="E46" s="13" t="s">
        <v>677</v>
      </c>
      <c r="F46" s="13" t="s">
        <v>677</v>
      </c>
      <c r="G46" s="13" t="s">
        <v>677</v>
      </c>
      <c r="H46" s="13" t="s">
        <v>677</v>
      </c>
      <c r="I46" s="13" t="str">
        <f>IF(COUNTIF(B46:H46,"Fail")&gt;0,"Fail",IF(COUNTIF(B46:H46,"Verify")&gt;0,"Verify",IF(COUNTIF(B46:H46,"Not Started")&gt;0,"Not Started","Pass")))</f>
        <v>Verify</v>
      </c>
      <c r="J46" s="13"/>
    </row>
    <row r="47" spans="1:10" ht="14.25" customHeight="1">
      <c r="A47" s="13" t="s">
        <v>440</v>
      </c>
      <c r="B47" s="13" t="s">
        <v>677</v>
      </c>
      <c r="C47" s="13" t="s">
        <v>677</v>
      </c>
      <c r="D47" s="13" t="s">
        <v>677</v>
      </c>
      <c r="E47" s="13" t="s">
        <v>677</v>
      </c>
      <c r="F47" s="13" t="s">
        <v>677</v>
      </c>
      <c r="G47" s="13" t="s">
        <v>677</v>
      </c>
      <c r="H47" s="13" t="s">
        <v>677</v>
      </c>
      <c r="I47" s="13" t="str">
        <f>IF(COUNTIF(B47:H47,"Fail")&gt;0,"Fail",IF(COUNTIF(B47:H47,"Verify")&gt;0,"Verify",IF(COUNTIF(B47:H47,"Not Started")&gt;0,"Not Started","Pass")))</f>
        <v>Verify</v>
      </c>
      <c r="J47" s="13"/>
    </row>
    <row r="48" spans="1:10" ht="14.25" customHeight="1">
      <c r="A48" s="129"/>
      <c r="B48" s="129"/>
      <c r="C48" s="129"/>
      <c r="D48" s="129"/>
      <c r="E48" s="129"/>
      <c r="F48" s="129"/>
      <c r="G48" s="129"/>
      <c r="H48" s="129"/>
      <c r="I48" s="129"/>
      <c r="J48" s="129"/>
    </row>
    <row r="49" spans="1:10" ht="14.25" customHeight="1">
      <c r="A49" s="129"/>
      <c r="B49" s="129"/>
      <c r="C49" s="129"/>
      <c r="D49" s="129"/>
      <c r="E49" s="129"/>
      <c r="F49" s="129"/>
      <c r="G49" s="129"/>
      <c r="H49" s="129"/>
      <c r="I49" s="129"/>
      <c r="J49" s="129"/>
    </row>
    <row r="50" spans="1:10" ht="17.25" customHeight="1">
      <c r="A50" s="842" t="s">
        <v>3311</v>
      </c>
      <c r="B50" s="839"/>
      <c r="C50" s="839"/>
      <c r="D50" s="85"/>
      <c r="E50" s="85"/>
      <c r="F50" s="85"/>
      <c r="G50" s="85"/>
      <c r="H50" s="85"/>
      <c r="I50" s="85"/>
      <c r="J50" s="85"/>
    </row>
    <row r="51" spans="1:10" ht="20.25" customHeight="1">
      <c r="A51" s="130" t="s">
        <v>213</v>
      </c>
      <c r="B51" s="130" t="s">
        <v>275</v>
      </c>
      <c r="C51" s="130" t="s">
        <v>573</v>
      </c>
      <c r="D51" s="130" t="s">
        <v>215</v>
      </c>
      <c r="E51" s="130" t="s">
        <v>257</v>
      </c>
      <c r="F51" s="130" t="s">
        <v>572</v>
      </c>
      <c r="G51" s="130" t="s">
        <v>259</v>
      </c>
      <c r="H51" s="130" t="s">
        <v>216</v>
      </c>
      <c r="I51" s="130" t="s">
        <v>77</v>
      </c>
      <c r="J51" s="130" t="s">
        <v>11</v>
      </c>
    </row>
    <row r="52" spans="1:10" ht="52.5" customHeight="1">
      <c r="A52" s="13" t="s">
        <v>3409</v>
      </c>
      <c r="B52" s="13" t="s">
        <v>575</v>
      </c>
      <c r="C52" s="13" t="s">
        <v>3410</v>
      </c>
      <c r="D52" s="13" t="s">
        <v>391</v>
      </c>
      <c r="E52" s="13" t="s">
        <v>488</v>
      </c>
      <c r="F52" s="13">
        <f>IF(D52="Critical",4,IF(D52="High",3,IF(D52="Medium",2,1)))*IF(E52="High",3,IF(E52="Medium",2,1))</f>
        <v>6</v>
      </c>
      <c r="G52" s="13" t="s">
        <v>3411</v>
      </c>
      <c r="H52" s="13" t="s">
        <v>2798</v>
      </c>
      <c r="I52" s="13" t="s">
        <v>502</v>
      </c>
      <c r="J52" s="13"/>
    </row>
    <row r="53" spans="1:10" ht="52.5" customHeight="1">
      <c r="A53" s="13" t="s">
        <v>3412</v>
      </c>
      <c r="B53" s="13" t="s">
        <v>575</v>
      </c>
      <c r="C53" s="13" t="s">
        <v>3413</v>
      </c>
      <c r="D53" s="13" t="s">
        <v>391</v>
      </c>
      <c r="E53" s="13" t="s">
        <v>488</v>
      </c>
      <c r="F53" s="13">
        <f>IF(D53="Critical",4,IF(D53="High",3,IF(D53="Medium",2,1)))*IF(E53="High",3,IF(E53="Medium",2,1))</f>
        <v>6</v>
      </c>
      <c r="G53" s="13" t="s">
        <v>3414</v>
      </c>
      <c r="H53" s="13" t="s">
        <v>241</v>
      </c>
      <c r="I53" s="13" t="s">
        <v>502</v>
      </c>
      <c r="J53" s="13"/>
    </row>
    <row r="54" spans="1:10" ht="52.5" customHeight="1">
      <c r="A54" s="13" t="s">
        <v>3415</v>
      </c>
      <c r="B54" s="13" t="s">
        <v>438</v>
      </c>
      <c r="C54" s="13" t="s">
        <v>3416</v>
      </c>
      <c r="D54" s="13" t="s">
        <v>488</v>
      </c>
      <c r="E54" s="13" t="s">
        <v>391</v>
      </c>
      <c r="F54" s="13">
        <f>IF(D54="Critical",4,IF(D54="High",3,IF(D54="Medium",2,1)))*IF(E54="High",3,IF(E54="Medium",2,1))</f>
        <v>6</v>
      </c>
      <c r="G54" s="13" t="s">
        <v>3417</v>
      </c>
      <c r="H54" s="13" t="s">
        <v>241</v>
      </c>
      <c r="I54" s="13" t="s">
        <v>502</v>
      </c>
      <c r="J54" s="13"/>
    </row>
    <row r="55" spans="1:10" ht="39" customHeight="1">
      <c r="A55" s="13" t="s">
        <v>3418</v>
      </c>
      <c r="B55" s="13" t="s">
        <v>575</v>
      </c>
      <c r="C55" s="13" t="s">
        <v>3419</v>
      </c>
      <c r="D55" s="13" t="s">
        <v>391</v>
      </c>
      <c r="E55" s="13" t="s">
        <v>488</v>
      </c>
      <c r="F55" s="13">
        <f>IF(D55="Critical",4,IF(D55="High",3,IF(D55="Medium",2,1)))*IF(E55="High",3,IF(E55="Medium",2,1))</f>
        <v>6</v>
      </c>
      <c r="G55" s="13" t="s">
        <v>3420</v>
      </c>
      <c r="H55" s="13" t="s">
        <v>1023</v>
      </c>
      <c r="I55" s="13" t="s">
        <v>502</v>
      </c>
      <c r="J55" s="13"/>
    </row>
    <row r="56" spans="1:10" ht="39" customHeight="1">
      <c r="A56" s="13" t="s">
        <v>3421</v>
      </c>
      <c r="B56" s="13" t="s">
        <v>575</v>
      </c>
      <c r="C56" s="13" t="s">
        <v>3322</v>
      </c>
      <c r="D56" s="13" t="s">
        <v>391</v>
      </c>
      <c r="E56" s="13" t="s">
        <v>488</v>
      </c>
      <c r="F56" s="13">
        <f>IF(D56="Critical",4,IF(D56="High",3,IF(D56="Medium",2,1)))*IF(E56="High",3,IF(E56="Medium",2,1))</f>
        <v>6</v>
      </c>
      <c r="G56" s="13" t="s">
        <v>3422</v>
      </c>
      <c r="H56" s="13" t="s">
        <v>1023</v>
      </c>
      <c r="I56" s="13" t="s">
        <v>502</v>
      </c>
      <c r="J56" s="13"/>
    </row>
    <row r="57" spans="1:10" ht="14.25" customHeight="1">
      <c r="A57" s="129"/>
      <c r="B57" s="129"/>
      <c r="C57" s="129"/>
      <c r="D57" s="129"/>
      <c r="E57" s="129"/>
      <c r="F57" s="129"/>
      <c r="G57" s="129"/>
      <c r="H57" s="129"/>
      <c r="I57" s="129"/>
      <c r="J57" s="129"/>
    </row>
    <row r="58" spans="1:10" ht="14.25" customHeight="1">
      <c r="A58" s="129"/>
      <c r="B58" s="129"/>
      <c r="C58" s="129"/>
      <c r="D58" s="129"/>
      <c r="E58" s="129"/>
      <c r="F58" s="129"/>
      <c r="G58" s="129"/>
      <c r="H58" s="129"/>
      <c r="I58" s="129"/>
      <c r="J58" s="129"/>
    </row>
    <row r="59" spans="1:10" ht="17.25" customHeight="1">
      <c r="A59" s="842" t="s">
        <v>3324</v>
      </c>
      <c r="B59" s="839"/>
      <c r="C59" s="839"/>
      <c r="D59" s="85"/>
      <c r="E59" s="85"/>
      <c r="F59" s="85"/>
      <c r="G59" s="85"/>
      <c r="H59" s="85"/>
      <c r="I59" s="85"/>
      <c r="J59" s="85"/>
    </row>
    <row r="60" spans="1:10" ht="20.25" customHeight="1">
      <c r="A60" s="130" t="s">
        <v>221</v>
      </c>
      <c r="B60" s="130" t="s">
        <v>222</v>
      </c>
      <c r="C60" s="130" t="s">
        <v>265</v>
      </c>
      <c r="D60" s="130" t="s">
        <v>77</v>
      </c>
      <c r="E60" s="130" t="s">
        <v>878</v>
      </c>
      <c r="F60" s="130" t="s">
        <v>879</v>
      </c>
      <c r="G60" s="130" t="s">
        <v>880</v>
      </c>
      <c r="H60" s="130" t="s">
        <v>494</v>
      </c>
      <c r="I60" s="130" t="s">
        <v>881</v>
      </c>
      <c r="J60" s="130" t="s">
        <v>11</v>
      </c>
    </row>
    <row r="61" spans="1:10" ht="52.5" customHeight="1">
      <c r="A61" s="13" t="s">
        <v>3423</v>
      </c>
      <c r="B61" s="13" t="s">
        <v>1745</v>
      </c>
      <c r="C61" s="13" t="s">
        <v>3327</v>
      </c>
      <c r="D61" s="13" t="s">
        <v>502</v>
      </c>
      <c r="E61" s="13"/>
      <c r="F61" s="13"/>
      <c r="G61" s="13" t="s">
        <v>3328</v>
      </c>
      <c r="H61" s="13"/>
      <c r="I61" s="13"/>
      <c r="J61" s="13"/>
    </row>
    <row r="62" spans="1:10" ht="52.5" customHeight="1">
      <c r="A62" s="13" t="s">
        <v>3424</v>
      </c>
      <c r="B62" s="13" t="s">
        <v>3425</v>
      </c>
      <c r="C62" s="13" t="s">
        <v>3331</v>
      </c>
      <c r="D62" s="13" t="s">
        <v>502</v>
      </c>
      <c r="E62" s="13"/>
      <c r="F62" s="13"/>
      <c r="G62" s="13" t="s">
        <v>3332</v>
      </c>
      <c r="H62" s="13"/>
      <c r="I62" s="13"/>
      <c r="J62" s="13"/>
    </row>
    <row r="63" spans="1:10" ht="52.5" customHeight="1">
      <c r="A63" s="13" t="s">
        <v>3426</v>
      </c>
      <c r="B63" s="13" t="s">
        <v>3427</v>
      </c>
      <c r="C63" s="13" t="s">
        <v>3335</v>
      </c>
      <c r="D63" s="13" t="s">
        <v>502</v>
      </c>
      <c r="E63" s="13"/>
      <c r="F63" s="13"/>
      <c r="G63" s="13" t="s">
        <v>3428</v>
      </c>
      <c r="H63" s="13"/>
      <c r="I63" s="13"/>
      <c r="J63" s="13"/>
    </row>
    <row r="64" spans="1:10" ht="52.5" customHeight="1">
      <c r="A64" s="13" t="s">
        <v>3429</v>
      </c>
      <c r="B64" s="13" t="s">
        <v>3430</v>
      </c>
      <c r="C64" s="13" t="s">
        <v>3339</v>
      </c>
      <c r="D64" s="13" t="s">
        <v>502</v>
      </c>
      <c r="E64" s="13"/>
      <c r="F64" s="13"/>
      <c r="G64" s="13" t="s">
        <v>623</v>
      </c>
      <c r="H64" s="13"/>
      <c r="I64" s="13"/>
      <c r="J64" s="13"/>
    </row>
    <row r="65" spans="1:10" ht="66" customHeight="1">
      <c r="A65" s="13" t="s">
        <v>3431</v>
      </c>
      <c r="B65" s="13" t="s">
        <v>3432</v>
      </c>
      <c r="C65" s="13" t="s">
        <v>3433</v>
      </c>
      <c r="D65" s="13" t="s">
        <v>502</v>
      </c>
      <c r="E65" s="13"/>
      <c r="F65" s="13"/>
      <c r="G65" s="13" t="s">
        <v>3434</v>
      </c>
      <c r="H65" s="13"/>
      <c r="I65" s="13"/>
      <c r="J65" s="13"/>
    </row>
    <row r="66" spans="1:10" ht="14.25" customHeight="1">
      <c r="A66" s="129"/>
      <c r="B66" s="129"/>
      <c r="C66" s="129"/>
      <c r="D66" s="129"/>
      <c r="E66" s="129"/>
      <c r="F66" s="129"/>
      <c r="G66" s="129"/>
      <c r="H66" s="129"/>
      <c r="I66" s="129"/>
      <c r="J66" s="129"/>
    </row>
    <row r="67" spans="1:10" ht="14.25" customHeight="1">
      <c r="A67" s="129"/>
      <c r="B67" s="129"/>
      <c r="C67" s="129"/>
      <c r="D67" s="129"/>
      <c r="E67" s="129"/>
      <c r="F67" s="129"/>
      <c r="G67" s="129"/>
      <c r="H67" s="129"/>
      <c r="I67" s="129"/>
      <c r="J67" s="129"/>
    </row>
    <row r="68" spans="1:10" ht="17.25" customHeight="1">
      <c r="A68" s="842" t="s">
        <v>3340</v>
      </c>
      <c r="B68" s="839"/>
      <c r="C68" s="839"/>
      <c r="D68" s="85"/>
      <c r="E68" s="85"/>
      <c r="F68" s="85"/>
      <c r="G68" s="85"/>
      <c r="H68" s="85"/>
      <c r="I68" s="85"/>
      <c r="J68" s="85"/>
    </row>
    <row r="69" spans="1:10" ht="20.25" customHeight="1">
      <c r="A69" s="130" t="s">
        <v>291</v>
      </c>
      <c r="B69" s="130" t="s">
        <v>275</v>
      </c>
      <c r="C69" s="130" t="s">
        <v>493</v>
      </c>
      <c r="D69" s="130" t="s">
        <v>214</v>
      </c>
      <c r="E69" s="130" t="s">
        <v>263</v>
      </c>
      <c r="F69" s="130" t="s">
        <v>891</v>
      </c>
      <c r="G69" s="130" t="s">
        <v>892</v>
      </c>
      <c r="H69" s="130" t="s">
        <v>893</v>
      </c>
      <c r="I69" s="130" t="s">
        <v>77</v>
      </c>
      <c r="J69" s="130" t="s">
        <v>11</v>
      </c>
    </row>
    <row r="70" spans="1:10" ht="26.25" customHeight="1">
      <c r="A70" s="13" t="s">
        <v>3435</v>
      </c>
      <c r="B70" s="13" t="s">
        <v>438</v>
      </c>
      <c r="C70" s="13" t="s">
        <v>269</v>
      </c>
      <c r="D70" s="13" t="s">
        <v>3436</v>
      </c>
      <c r="E70" s="63"/>
      <c r="F70" s="13" t="s">
        <v>229</v>
      </c>
      <c r="G70" s="13"/>
      <c r="H70" s="13" t="s">
        <v>3415</v>
      </c>
      <c r="I70" s="13" t="s">
        <v>502</v>
      </c>
      <c r="J70" s="13"/>
    </row>
    <row r="71" spans="1:10" ht="26.25" customHeight="1">
      <c r="A71" s="13" t="s">
        <v>3437</v>
      </c>
      <c r="B71" s="13" t="s">
        <v>3405</v>
      </c>
      <c r="C71" s="13" t="s">
        <v>269</v>
      </c>
      <c r="D71" s="13" t="s">
        <v>3438</v>
      </c>
      <c r="E71" s="63"/>
      <c r="F71" s="13" t="s">
        <v>229</v>
      </c>
      <c r="G71" s="13"/>
      <c r="H71" s="13"/>
      <c r="I71" s="13" t="s">
        <v>502</v>
      </c>
      <c r="J71" s="13"/>
    </row>
    <row r="72" spans="1:10" ht="26.25" customHeight="1">
      <c r="A72" s="13" t="s">
        <v>3439</v>
      </c>
      <c r="B72" s="13" t="s">
        <v>440</v>
      </c>
      <c r="C72" s="13" t="s">
        <v>269</v>
      </c>
      <c r="D72" s="13" t="s">
        <v>3440</v>
      </c>
      <c r="E72" s="63"/>
      <c r="F72" s="13" t="s">
        <v>229</v>
      </c>
      <c r="G72" s="13"/>
      <c r="H72" s="13"/>
      <c r="I72" s="13" t="s">
        <v>502</v>
      </c>
      <c r="J72" s="13"/>
    </row>
    <row r="73" spans="1:10" ht="26.25" customHeight="1">
      <c r="A73" s="13" t="s">
        <v>3441</v>
      </c>
      <c r="B73" s="13" t="s">
        <v>575</v>
      </c>
      <c r="C73" s="13" t="s">
        <v>957</v>
      </c>
      <c r="D73" s="13" t="s">
        <v>3346</v>
      </c>
      <c r="E73" s="63"/>
      <c r="F73" s="13" t="s">
        <v>229</v>
      </c>
      <c r="G73" s="13"/>
      <c r="H73" s="13" t="s">
        <v>3412</v>
      </c>
      <c r="I73" s="13" t="s">
        <v>502</v>
      </c>
      <c r="J73" s="13"/>
    </row>
    <row r="74" spans="1:10" ht="26.25" customHeight="1">
      <c r="A74" s="13" t="s">
        <v>3442</v>
      </c>
      <c r="B74" s="13" t="s">
        <v>575</v>
      </c>
      <c r="C74" s="13" t="s">
        <v>148</v>
      </c>
      <c r="D74" s="13" t="s">
        <v>3443</v>
      </c>
      <c r="E74" s="63"/>
      <c r="F74" s="13" t="s">
        <v>229</v>
      </c>
      <c r="G74" s="13"/>
      <c r="H74" s="13" t="s">
        <v>3444</v>
      </c>
      <c r="I74" s="13" t="s">
        <v>502</v>
      </c>
      <c r="J74" s="13"/>
    </row>
    <row r="75" spans="1:10" ht="14.25" customHeight="1">
      <c r="A75" s="129"/>
      <c r="B75" s="129"/>
      <c r="C75" s="129"/>
      <c r="D75" s="129"/>
      <c r="E75" s="129"/>
      <c r="F75" s="129"/>
      <c r="G75" s="129"/>
      <c r="H75" s="129"/>
      <c r="I75" s="129"/>
      <c r="J75" s="129"/>
    </row>
    <row r="76" spans="1:10" ht="14.25" customHeight="1">
      <c r="A76" s="129"/>
      <c r="B76" s="129"/>
      <c r="C76" s="129"/>
      <c r="D76" s="129"/>
      <c r="E76" s="129"/>
      <c r="F76" s="129"/>
      <c r="G76" s="129"/>
      <c r="H76" s="129"/>
      <c r="I76" s="129"/>
      <c r="J76" s="129"/>
    </row>
    <row r="77" spans="1:10" ht="17.25" customHeight="1">
      <c r="A77" s="842" t="s">
        <v>3347</v>
      </c>
      <c r="B77" s="839"/>
      <c r="C77" s="839"/>
      <c r="D77" s="85"/>
      <c r="E77" s="85"/>
      <c r="F77" s="85"/>
      <c r="G77" s="85"/>
      <c r="H77" s="85"/>
      <c r="I77" s="85"/>
      <c r="J77" s="85"/>
    </row>
    <row r="78" spans="1:10" ht="20.25" customHeight="1">
      <c r="A78" s="130" t="s">
        <v>275</v>
      </c>
      <c r="B78" s="130" t="s">
        <v>895</v>
      </c>
      <c r="C78" s="130" t="s">
        <v>896</v>
      </c>
      <c r="D78" s="130" t="s">
        <v>148</v>
      </c>
      <c r="E78" s="130" t="s">
        <v>153</v>
      </c>
      <c r="F78" s="130" t="s">
        <v>155</v>
      </c>
      <c r="G78" s="130" t="s">
        <v>491</v>
      </c>
      <c r="H78" s="130" t="s">
        <v>897</v>
      </c>
      <c r="I78" s="130" t="s">
        <v>174</v>
      </c>
      <c r="J78" s="130" t="s">
        <v>11</v>
      </c>
    </row>
    <row r="79" spans="1:10" ht="14.25" customHeight="1">
      <c r="A79" s="13" t="s">
        <v>438</v>
      </c>
      <c r="B79" s="126">
        <f>IF(I17="Pass",1,IF(I17="Verify",0.5,IF(I17="Not Started",0,IF(I17="N/A",1,0))))</f>
        <v>0.5</v>
      </c>
      <c r="C79" s="126">
        <f>IF(I24="Pass",1,IF(I24="Verify",0.5,IF(I24="Not Started",0,IF(I24="N/A",1,0))))</f>
        <v>0.5</v>
      </c>
      <c r="D79" s="126">
        <f>IF(I31="Pass",1,IF(I31="Verify",0.5,IF(I31="Not Started",0,IF(I31="N/A",1,0))))</f>
        <v>0.5</v>
      </c>
      <c r="E79" s="126">
        <f>IF(I38="Pass",1,IF(I38="Verify",0.5,IF(I38="Not Started",0,IF(I38="N/A",1,0))))</f>
        <v>0.5</v>
      </c>
      <c r="F79" s="126">
        <f>IF(I45="Pass",1,IF(I45="Verify",0.5,IF(I45="Not Started",0,IF(I45="N/A",1,0))))</f>
        <v>0.5</v>
      </c>
      <c r="G79" s="126" t="s">
        <v>677</v>
      </c>
      <c r="H79" s="126">
        <f>AVERAGE(B79:G79)</f>
        <v>0.5</v>
      </c>
      <c r="I79" s="13" t="str">
        <f>IF(H79&gt;=0.8,"Ready / Green",IF(H79&gt;=0.5,"Partial / Yellow","At Risk / Red"))</f>
        <v>Partial / Yellow</v>
      </c>
      <c r="J79" s="13"/>
    </row>
    <row r="80" spans="1:10" ht="14.25" customHeight="1">
      <c r="A80" s="13" t="s">
        <v>3405</v>
      </c>
      <c r="B80" s="126">
        <f>IF(I18="Pass",1,IF(I18="Verify",0.5,IF(I18="Not Started",0,IF(I18="N/A",1,0))))</f>
        <v>0.5</v>
      </c>
      <c r="C80" s="126">
        <f>IF(I25="Pass",1,IF(I25="Verify",0.5,IF(I25="Not Started",0,IF(I25="N/A",1,0))))</f>
        <v>0.5</v>
      </c>
      <c r="D80" s="126">
        <f>IF(I32="Pass",1,IF(I32="Verify",0.5,IF(I32="Not Started",0,IF(I32="N/A",1,0))))</f>
        <v>0.5</v>
      </c>
      <c r="E80" s="126">
        <f>IF(I39="Pass",1,IF(I39="Verify",0.5,IF(I39="Not Started",0,IF(I39="N/A",1,0))))</f>
        <v>0.5</v>
      </c>
      <c r="F80" s="126">
        <f>IF(I46="Pass",1,IF(I46="Verify",0.5,IF(I46="Not Started",0,IF(I46="N/A",1,0))))</f>
        <v>0.5</v>
      </c>
      <c r="G80" s="126" t="s">
        <v>677</v>
      </c>
      <c r="H80" s="126">
        <f>AVERAGE(B80:G80)</f>
        <v>0.5</v>
      </c>
      <c r="I80" s="13" t="str">
        <f>IF(H80&gt;=0.8,"Ready / Green",IF(H80&gt;=0.5,"Partial / Yellow","At Risk / Red"))</f>
        <v>Partial / Yellow</v>
      </c>
      <c r="J80" s="13"/>
    </row>
    <row r="81" spans="1:10" ht="14.25" customHeight="1">
      <c r="A81" s="13" t="s">
        <v>440</v>
      </c>
      <c r="B81" s="126">
        <f>IF(I19="Pass",1,IF(I19="Verify",0.5,IF(I19="Not Started",0,IF(I19="N/A",1,0))))</f>
        <v>0.5</v>
      </c>
      <c r="C81" s="126">
        <f>IF(I26="Pass",1,IF(I26="Verify",0.5,IF(I26="Not Started",0,IF(I26="N/A",1,0))))</f>
        <v>0.5</v>
      </c>
      <c r="D81" s="126">
        <f>IF(I33="Pass",1,IF(I33="Verify",0.5,IF(I33="Not Started",0,IF(I33="N/A",1,0))))</f>
        <v>0.5</v>
      </c>
      <c r="E81" s="126">
        <f>IF(I40="Pass",1,IF(I40="Verify",0.5,IF(I40="Not Started",0,IF(I40="N/A",1,0))))</f>
        <v>0.5</v>
      </c>
      <c r="F81" s="126">
        <f>IF(I47="Pass",1,IF(I47="Verify",0.5,IF(I47="Not Started",0,IF(I47="N/A",1,0))))</f>
        <v>0.5</v>
      </c>
      <c r="G81" s="126" t="s">
        <v>677</v>
      </c>
      <c r="H81" s="126">
        <f>AVERAGE(B81:G81)</f>
        <v>0.5</v>
      </c>
      <c r="I81" s="13" t="str">
        <f>IF(H81&gt;=0.8,"Ready / Green",IF(H81&gt;=0.5,"Partial / Yellow","At Risk / Red"))</f>
        <v>Partial / Yellow</v>
      </c>
      <c r="J81" s="13"/>
    </row>
    <row r="82" spans="1:10" ht="14.25" customHeight="1">
      <c r="A82" s="129"/>
      <c r="B82" s="129"/>
      <c r="C82" s="129"/>
      <c r="D82" s="129"/>
      <c r="E82" s="129"/>
      <c r="F82" s="129"/>
      <c r="G82" s="129"/>
      <c r="H82" s="129"/>
      <c r="I82" s="129"/>
      <c r="J82" s="129"/>
    </row>
    <row r="83" spans="1:10" ht="14.25" customHeight="1" thickBot="1">
      <c r="A83" s="129"/>
      <c r="B83" s="129"/>
      <c r="C83" s="129"/>
      <c r="D83" s="129"/>
      <c r="E83" s="129"/>
      <c r="F83" s="129"/>
      <c r="G83" s="129"/>
      <c r="H83" s="129"/>
      <c r="I83" s="129"/>
      <c r="J83" s="129"/>
    </row>
    <row r="84" spans="1:10" ht="15" customHeight="1">
      <c r="A84" s="855" t="s">
        <v>5875</v>
      </c>
      <c r="B84" s="856"/>
      <c r="C84" s="856"/>
      <c r="D84" s="857"/>
      <c r="E84" s="856"/>
      <c r="F84" s="856"/>
      <c r="G84" s="857"/>
      <c r="H84" s="857"/>
      <c r="I84" s="857"/>
      <c r="J84" s="858"/>
    </row>
    <row r="85" spans="1:10" ht="30" customHeight="1">
      <c r="A85" s="325" t="s">
        <v>5817</v>
      </c>
      <c r="B85" s="326" t="s">
        <v>77</v>
      </c>
      <c r="C85" s="326" t="s">
        <v>5818</v>
      </c>
      <c r="D85" s="326" t="s">
        <v>5819</v>
      </c>
      <c r="E85" s="326" t="s">
        <v>5841</v>
      </c>
      <c r="F85" s="326" t="s">
        <v>5808</v>
      </c>
      <c r="G85" s="859" t="s">
        <v>5842</v>
      </c>
      <c r="H85" s="859"/>
      <c r="I85" s="859"/>
      <c r="J85" s="860"/>
    </row>
    <row r="86" spans="1:10" ht="25.5" customHeight="1">
      <c r="A86" s="327" t="s">
        <v>5820</v>
      </c>
      <c r="B86" s="337" t="s">
        <v>484</v>
      </c>
      <c r="C86" s="329">
        <v>0</v>
      </c>
      <c r="D86" s="329">
        <v>0</v>
      </c>
      <c r="E86" s="196" t="s">
        <v>5881</v>
      </c>
      <c r="F86" s="329">
        <f>IF(AND(C86&lt;&gt;"",D86&lt;&gt;""),D86-C86,"")</f>
        <v>0</v>
      </c>
      <c r="G86" s="861"/>
      <c r="H86" s="861"/>
      <c r="I86" s="861"/>
      <c r="J86" s="862"/>
    </row>
    <row r="87" spans="1:10" ht="25.5" customHeight="1">
      <c r="A87" s="330" t="s">
        <v>5821</v>
      </c>
      <c r="B87" s="337" t="s">
        <v>484</v>
      </c>
      <c r="C87" s="331">
        <v>1</v>
      </c>
      <c r="D87" s="331">
        <v>0</v>
      </c>
      <c r="E87" s="314" t="s">
        <v>5882</v>
      </c>
      <c r="F87" s="331">
        <f>IF(AND(C87&lt;&gt;"",D87&lt;&gt;""),D87-C87,"")</f>
        <v>-1</v>
      </c>
      <c r="G87" s="863"/>
      <c r="H87" s="863"/>
      <c r="I87" s="863"/>
      <c r="J87" s="864"/>
    </row>
    <row r="88" spans="1:10" ht="15" customHeight="1">
      <c r="A88" s="327" t="s">
        <v>5822</v>
      </c>
      <c r="B88" s="337" t="s">
        <v>484</v>
      </c>
      <c r="C88" s="331">
        <v>1</v>
      </c>
      <c r="D88" s="331">
        <v>0</v>
      </c>
      <c r="E88" s="314" t="s">
        <v>5882</v>
      </c>
      <c r="F88" s="329">
        <f>IF(AND(C88&lt;&gt;"",D88&lt;&gt;""),D88-C88,"")</f>
        <v>-1</v>
      </c>
      <c r="G88" s="332"/>
      <c r="H88" s="231"/>
      <c r="I88" s="231"/>
      <c r="J88" s="333"/>
    </row>
    <row r="89" spans="1:10" ht="15" customHeight="1">
      <c r="A89" s="330" t="s">
        <v>5823</v>
      </c>
      <c r="B89" s="337" t="s">
        <v>484</v>
      </c>
      <c r="C89" s="331">
        <v>1</v>
      </c>
      <c r="D89" s="331">
        <v>0</v>
      </c>
      <c r="E89" s="314" t="s">
        <v>5882</v>
      </c>
      <c r="F89" s="331">
        <f>IF(AND(C89&lt;&gt;"",D89&lt;&gt;""),D89-C89,"")</f>
        <v>-1</v>
      </c>
      <c r="G89" s="863"/>
      <c r="H89" s="863"/>
      <c r="I89" s="863"/>
      <c r="J89" s="864"/>
    </row>
    <row r="90" spans="1:10" ht="15" customHeight="1">
      <c r="A90" s="327" t="s">
        <v>5168</v>
      </c>
      <c r="B90" s="337" t="s">
        <v>484</v>
      </c>
      <c r="C90" s="331">
        <v>1</v>
      </c>
      <c r="D90" s="331">
        <v>0</v>
      </c>
      <c r="E90" s="314" t="s">
        <v>5882</v>
      </c>
      <c r="F90" s="329">
        <f>IF(AND(C90&lt;&gt;"",D90&lt;&gt;""),D90-C90,"")</f>
        <v>-1</v>
      </c>
      <c r="G90" s="332"/>
      <c r="H90" s="231"/>
      <c r="I90" s="231"/>
      <c r="J90" s="333"/>
    </row>
    <row r="91" spans="1:10" ht="15.75" customHeight="1">
      <c r="A91" s="865" t="s">
        <v>5843</v>
      </c>
      <c r="B91" s="713"/>
      <c r="C91" s="334">
        <f>IFERROR(AVERAGE(C86:C90),"")</f>
        <v>0.8</v>
      </c>
      <c r="D91" s="334">
        <f>IFERROR(AVERAGE(D86:D90),"")</f>
        <v>0</v>
      </c>
      <c r="E91" s="866" t="s">
        <v>5844</v>
      </c>
      <c r="F91" s="866"/>
      <c r="G91" s="866"/>
      <c r="H91" s="866"/>
      <c r="I91" s="866"/>
      <c r="J91" s="867"/>
    </row>
    <row r="92" spans="1:10" ht="20.25" customHeight="1">
      <c r="A92" s="335"/>
      <c r="B92" s="320"/>
      <c r="C92" s="320"/>
      <c r="D92" s="320"/>
      <c r="E92" s="320"/>
      <c r="F92" s="320"/>
      <c r="G92" s="320"/>
      <c r="H92" s="231"/>
      <c r="I92" s="231"/>
      <c r="J92" s="333"/>
    </row>
    <row r="93" spans="1:10">
      <c r="A93" s="876" t="s">
        <v>5876</v>
      </c>
      <c r="B93" s="853"/>
      <c r="C93" s="853"/>
      <c r="D93" s="842"/>
      <c r="E93" s="853"/>
      <c r="F93" s="853"/>
      <c r="G93" s="842"/>
      <c r="H93" s="842"/>
      <c r="I93" s="842"/>
      <c r="J93" s="868"/>
    </row>
    <row r="94" spans="1:10">
      <c r="A94" s="325" t="s">
        <v>4946</v>
      </c>
      <c r="B94" s="326" t="s">
        <v>77</v>
      </c>
      <c r="C94" s="326" t="s">
        <v>5883</v>
      </c>
      <c r="D94" s="326" t="s">
        <v>482</v>
      </c>
      <c r="E94" s="326" t="s">
        <v>572</v>
      </c>
      <c r="F94" s="326" t="s">
        <v>5846</v>
      </c>
      <c r="G94" s="859" t="s">
        <v>5847</v>
      </c>
      <c r="H94" s="859"/>
      <c r="I94" s="859"/>
      <c r="J94" s="860"/>
    </row>
    <row r="95" spans="1:10" ht="31.5" customHeight="1">
      <c r="A95" s="330" t="s">
        <v>5809</v>
      </c>
      <c r="B95" s="337" t="s">
        <v>484</v>
      </c>
      <c r="C95" s="336" t="s">
        <v>679</v>
      </c>
      <c r="D95" s="328" t="s">
        <v>679</v>
      </c>
      <c r="E95" s="336">
        <f>IF(D95="Yes",1,0)</f>
        <v>0</v>
      </c>
      <c r="F95" s="877"/>
      <c r="G95" s="877"/>
      <c r="H95" s="877"/>
      <c r="I95" s="877"/>
      <c r="J95" s="878"/>
    </row>
    <row r="96" spans="1:10" ht="20.25" customHeight="1">
      <c r="A96" s="327" t="s">
        <v>995</v>
      </c>
      <c r="B96" s="337" t="s">
        <v>484</v>
      </c>
      <c r="C96" s="336" t="s">
        <v>679</v>
      </c>
      <c r="D96" s="328" t="s">
        <v>679</v>
      </c>
      <c r="E96" s="328">
        <f t="shared" ref="E96:E102" si="0">IF(D96="Yes",1,0)</f>
        <v>0</v>
      </c>
      <c r="F96" s="877"/>
      <c r="G96" s="877"/>
      <c r="H96" s="877"/>
      <c r="I96" s="877"/>
      <c r="J96" s="878"/>
    </row>
    <row r="97" spans="1:10" ht="24.75" customHeight="1">
      <c r="A97" s="330" t="s">
        <v>5810</v>
      </c>
      <c r="B97" s="337" t="s">
        <v>484</v>
      </c>
      <c r="C97" s="336" t="s">
        <v>679</v>
      </c>
      <c r="D97" s="328" t="s">
        <v>679</v>
      </c>
      <c r="E97" s="336">
        <f t="shared" si="0"/>
        <v>0</v>
      </c>
      <c r="F97" s="877"/>
      <c r="G97" s="877"/>
      <c r="H97" s="877"/>
      <c r="I97" s="877"/>
      <c r="J97" s="878"/>
    </row>
    <row r="98" spans="1:10">
      <c r="A98" s="327" t="s">
        <v>5824</v>
      </c>
      <c r="B98" s="337" t="s">
        <v>484</v>
      </c>
      <c r="C98" s="336" t="s">
        <v>679</v>
      </c>
      <c r="D98" s="328" t="s">
        <v>679</v>
      </c>
      <c r="E98" s="328">
        <f t="shared" si="0"/>
        <v>0</v>
      </c>
      <c r="F98" s="877"/>
      <c r="G98" s="877"/>
      <c r="H98" s="877"/>
      <c r="I98" s="877"/>
      <c r="J98" s="878"/>
    </row>
    <row r="99" spans="1:10" ht="39.6">
      <c r="A99" s="330" t="s">
        <v>5825</v>
      </c>
      <c r="B99" s="337" t="s">
        <v>484</v>
      </c>
      <c r="C99" s="336" t="s">
        <v>679</v>
      </c>
      <c r="D99" s="328" t="s">
        <v>679</v>
      </c>
      <c r="E99" s="336">
        <f t="shared" si="0"/>
        <v>0</v>
      </c>
      <c r="F99" s="877"/>
      <c r="G99" s="877"/>
      <c r="H99" s="877"/>
      <c r="I99" s="877"/>
      <c r="J99" s="878"/>
    </row>
    <row r="100" spans="1:10" ht="26.4">
      <c r="A100" s="327" t="s">
        <v>5826</v>
      </c>
      <c r="B100" s="337" t="s">
        <v>484</v>
      </c>
      <c r="C100" s="336" t="s">
        <v>679</v>
      </c>
      <c r="D100" s="328" t="s">
        <v>679</v>
      </c>
      <c r="E100" s="328">
        <f t="shared" si="0"/>
        <v>0</v>
      </c>
      <c r="F100" s="877"/>
      <c r="G100" s="877"/>
      <c r="H100" s="877"/>
      <c r="I100" s="877"/>
      <c r="J100" s="878"/>
    </row>
    <row r="101" spans="1:10" ht="18.75" customHeight="1">
      <c r="A101" s="330" t="s">
        <v>5811</v>
      </c>
      <c r="B101" s="337" t="s">
        <v>484</v>
      </c>
      <c r="C101" s="336" t="s">
        <v>679</v>
      </c>
      <c r="D101" s="328" t="s">
        <v>679</v>
      </c>
      <c r="E101" s="336">
        <f t="shared" si="0"/>
        <v>0</v>
      </c>
      <c r="F101" s="877"/>
      <c r="G101" s="877"/>
      <c r="H101" s="877"/>
      <c r="I101" s="877"/>
      <c r="J101" s="878"/>
    </row>
    <row r="102" spans="1:10" ht="26.4">
      <c r="A102" s="327" t="s">
        <v>5812</v>
      </c>
      <c r="B102" s="337" t="s">
        <v>484</v>
      </c>
      <c r="C102" s="336" t="s">
        <v>679</v>
      </c>
      <c r="D102" s="328" t="s">
        <v>679</v>
      </c>
      <c r="E102" s="328">
        <f t="shared" si="0"/>
        <v>0</v>
      </c>
      <c r="F102" s="877"/>
      <c r="G102" s="877"/>
      <c r="H102" s="877"/>
      <c r="I102" s="877"/>
      <c r="J102" s="878"/>
    </row>
    <row r="103" spans="1:10" ht="28.5" customHeight="1">
      <c r="A103" s="865" t="s">
        <v>5848</v>
      </c>
      <c r="B103" s="713"/>
      <c r="C103" s="871" t="str">
        <f>IFERROR(SUM(E95:E102)/COUNTIF(C95:C102,"Yes"),"")</f>
        <v/>
      </c>
      <c r="D103" s="872"/>
      <c r="E103" s="866" t="s">
        <v>5849</v>
      </c>
      <c r="F103" s="866"/>
      <c r="G103" s="866"/>
      <c r="H103" s="866"/>
      <c r="I103" s="866"/>
      <c r="J103" s="867"/>
    </row>
    <row r="104" spans="1:10" ht="20.25" customHeight="1">
      <c r="A104" s="335"/>
      <c r="B104" s="320"/>
      <c r="C104" s="320"/>
      <c r="D104" s="320"/>
      <c r="E104" s="320"/>
      <c r="F104" s="320"/>
      <c r="G104" s="320"/>
      <c r="H104" s="231"/>
      <c r="I104" s="231"/>
      <c r="J104" s="333"/>
    </row>
    <row r="105" spans="1:10">
      <c r="A105" s="876" t="s">
        <v>5877</v>
      </c>
      <c r="B105" s="853"/>
      <c r="C105" s="853"/>
      <c r="D105" s="842"/>
      <c r="E105" s="853"/>
      <c r="F105" s="853"/>
      <c r="G105" s="842"/>
      <c r="H105" s="842"/>
      <c r="I105" s="842"/>
      <c r="J105" s="868"/>
    </row>
    <row r="106" spans="1:10" ht="30" customHeight="1">
      <c r="A106" s="325" t="s">
        <v>5850</v>
      </c>
      <c r="B106" s="326" t="s">
        <v>77</v>
      </c>
      <c r="C106" s="326" t="s">
        <v>5827</v>
      </c>
      <c r="D106" s="326" t="s">
        <v>5828</v>
      </c>
      <c r="E106" s="326" t="s">
        <v>5829</v>
      </c>
      <c r="F106" s="326" t="s">
        <v>5851</v>
      </c>
      <c r="G106" s="859" t="s">
        <v>5852</v>
      </c>
      <c r="H106" s="859"/>
      <c r="I106" s="859"/>
      <c r="J106" s="860"/>
    </row>
    <row r="107" spans="1:10" ht="26.4">
      <c r="A107" s="330" t="s">
        <v>5830</v>
      </c>
      <c r="B107" s="336" t="s">
        <v>484</v>
      </c>
      <c r="C107" s="336" t="s">
        <v>1096</v>
      </c>
      <c r="D107" s="336" t="s">
        <v>1096</v>
      </c>
      <c r="E107" s="336" t="s">
        <v>1096</v>
      </c>
      <c r="F107" s="336" t="s">
        <v>348</v>
      </c>
      <c r="G107" s="869"/>
      <c r="H107" s="869"/>
      <c r="I107" s="869"/>
      <c r="J107" s="870"/>
    </row>
    <row r="108" spans="1:10" ht="53.4" customHeight="1">
      <c r="A108" s="327" t="s">
        <v>5831</v>
      </c>
      <c r="B108" s="336" t="s">
        <v>484</v>
      </c>
      <c r="C108" s="336" t="s">
        <v>1096</v>
      </c>
      <c r="D108" s="336" t="s">
        <v>1096</v>
      </c>
      <c r="E108" s="336" t="s">
        <v>1096</v>
      </c>
      <c r="F108" s="336" t="s">
        <v>348</v>
      </c>
      <c r="G108" s="869"/>
      <c r="H108" s="869"/>
      <c r="I108" s="869"/>
      <c r="J108" s="870"/>
    </row>
    <row r="109" spans="1:10" ht="53.4" customHeight="1">
      <c r="A109" s="330" t="s">
        <v>5853</v>
      </c>
      <c r="B109" s="336" t="s">
        <v>484</v>
      </c>
      <c r="C109" s="336" t="s">
        <v>1096</v>
      </c>
      <c r="D109" s="336" t="s">
        <v>1096</v>
      </c>
      <c r="E109" s="336" t="s">
        <v>1096</v>
      </c>
      <c r="F109" s="336" t="s">
        <v>348</v>
      </c>
      <c r="G109" s="869"/>
      <c r="H109" s="869"/>
      <c r="I109" s="869"/>
      <c r="J109" s="870"/>
    </row>
    <row r="110" spans="1:10" ht="53.4" customHeight="1">
      <c r="A110" s="327" t="s">
        <v>5832</v>
      </c>
      <c r="B110" s="336" t="s">
        <v>484</v>
      </c>
      <c r="C110" s="336" t="s">
        <v>1096</v>
      </c>
      <c r="D110" s="336" t="s">
        <v>1096</v>
      </c>
      <c r="E110" s="336" t="s">
        <v>1096</v>
      </c>
      <c r="F110" s="336" t="s">
        <v>348</v>
      </c>
      <c r="G110" s="869"/>
      <c r="H110" s="869"/>
      <c r="I110" s="869"/>
      <c r="J110" s="870"/>
    </row>
    <row r="111" spans="1:10" ht="53.4" customHeight="1">
      <c r="A111" s="330" t="s">
        <v>5833</v>
      </c>
      <c r="B111" s="336" t="s">
        <v>484</v>
      </c>
      <c r="C111" s="336" t="s">
        <v>1096</v>
      </c>
      <c r="D111" s="336" t="s">
        <v>1096</v>
      </c>
      <c r="E111" s="336" t="s">
        <v>1096</v>
      </c>
      <c r="F111" s="336" t="s">
        <v>348</v>
      </c>
      <c r="G111" s="869"/>
      <c r="H111" s="869"/>
      <c r="I111" s="869"/>
      <c r="J111" s="870"/>
    </row>
    <row r="112" spans="1:10" ht="53.4" customHeight="1">
      <c r="A112" s="865" t="s">
        <v>5884</v>
      </c>
      <c r="B112" s="713"/>
      <c r="C112" s="871">
        <f>IFERROR(COUNTIF(E107:E111,"Yes")/COUNTA(A107:A111),"")</f>
        <v>0</v>
      </c>
      <c r="D112" s="872"/>
      <c r="E112" s="866" t="s">
        <v>5855</v>
      </c>
      <c r="F112" s="866"/>
      <c r="G112" s="866"/>
      <c r="H112" s="866"/>
      <c r="I112" s="866"/>
      <c r="J112" s="867"/>
    </row>
    <row r="113" spans="1:10" ht="20.25" customHeight="1">
      <c r="A113" s="335"/>
      <c r="B113" s="320"/>
      <c r="C113" s="320"/>
      <c r="D113" s="320"/>
      <c r="E113" s="320"/>
      <c r="F113" s="320"/>
      <c r="G113" s="874"/>
      <c r="H113" s="874"/>
      <c r="I113" s="874"/>
      <c r="J113" s="875"/>
    </row>
    <row r="114" spans="1:10" ht="53.4" customHeight="1">
      <c r="A114" s="876" t="s">
        <v>5878</v>
      </c>
      <c r="B114" s="853"/>
      <c r="C114" s="853"/>
      <c r="D114" s="842"/>
      <c r="E114" s="853"/>
      <c r="F114" s="853"/>
      <c r="G114" s="842"/>
      <c r="H114" s="842"/>
      <c r="I114" s="842"/>
      <c r="J114" s="868"/>
    </row>
    <row r="115" spans="1:10" ht="53.4" customHeight="1">
      <c r="A115" s="326" t="s">
        <v>5813</v>
      </c>
      <c r="B115" s="326" t="s">
        <v>77</v>
      </c>
      <c r="C115" s="326" t="s">
        <v>5834</v>
      </c>
      <c r="D115" s="326" t="s">
        <v>5835</v>
      </c>
      <c r="E115" s="326" t="s">
        <v>5836</v>
      </c>
      <c r="F115" s="326" t="s">
        <v>5837</v>
      </c>
      <c r="G115" s="859" t="s">
        <v>5885</v>
      </c>
      <c r="H115" s="859"/>
      <c r="I115" s="859"/>
      <c r="J115" s="859"/>
    </row>
    <row r="116" spans="1:10">
      <c r="A116" s="332" t="s">
        <v>153</v>
      </c>
      <c r="B116" s="328" t="s">
        <v>484</v>
      </c>
      <c r="C116" s="328"/>
      <c r="D116" s="328"/>
      <c r="E116" s="328"/>
      <c r="F116" s="329" t="str">
        <f>IFERROR(D116/C116,"")</f>
        <v/>
      </c>
      <c r="G116" s="873"/>
      <c r="H116" s="873"/>
      <c r="I116" s="873"/>
      <c r="J116" s="873"/>
    </row>
    <row r="117" spans="1:10">
      <c r="A117" s="339" t="s">
        <v>155</v>
      </c>
      <c r="B117" s="336" t="s">
        <v>484</v>
      </c>
      <c r="C117" s="336"/>
      <c r="D117" s="336"/>
      <c r="E117" s="336"/>
      <c r="F117" s="331" t="str">
        <f>IFERROR(D117/C117,"")</f>
        <v/>
      </c>
      <c r="G117" s="873"/>
      <c r="H117" s="873"/>
      <c r="I117" s="873"/>
      <c r="J117" s="873"/>
    </row>
    <row r="118" spans="1:10">
      <c r="A118" s="332" t="s">
        <v>4821</v>
      </c>
      <c r="B118" s="328" t="s">
        <v>484</v>
      </c>
      <c r="C118" s="328"/>
      <c r="D118" s="328"/>
      <c r="E118" s="328"/>
      <c r="F118" s="329" t="str">
        <f>IFERROR(D118/C118,"")</f>
        <v/>
      </c>
      <c r="G118" s="873"/>
      <c r="H118" s="873"/>
      <c r="I118" s="873"/>
      <c r="J118" s="873"/>
    </row>
    <row r="119" spans="1:10">
      <c r="A119" s="339" t="s">
        <v>957</v>
      </c>
      <c r="B119" s="336" t="s">
        <v>484</v>
      </c>
      <c r="C119" s="336"/>
      <c r="D119" s="336"/>
      <c r="E119" s="336"/>
      <c r="F119" s="331" t="str">
        <f>IFERROR(D119/C119,"")</f>
        <v/>
      </c>
      <c r="G119" s="873"/>
      <c r="H119" s="873"/>
      <c r="I119" s="873"/>
      <c r="J119" s="873"/>
    </row>
    <row r="120" spans="1:10">
      <c r="A120" s="879" t="s">
        <v>5856</v>
      </c>
      <c r="B120" s="879"/>
      <c r="C120" s="879"/>
      <c r="D120" s="879"/>
      <c r="E120" s="866" t="s">
        <v>5857</v>
      </c>
      <c r="F120" s="866"/>
      <c r="G120" s="866"/>
      <c r="H120" s="866"/>
      <c r="I120" s="866"/>
      <c r="J120" s="866"/>
    </row>
    <row r="121" spans="1:10">
      <c r="A121" s="879"/>
      <c r="B121" s="879"/>
      <c r="C121" s="879"/>
      <c r="D121" s="879"/>
      <c r="E121" s="866"/>
      <c r="F121" s="866"/>
      <c r="G121" s="866"/>
      <c r="H121" s="866"/>
      <c r="I121" s="866"/>
      <c r="J121" s="866"/>
    </row>
    <row r="122" spans="1:10">
      <c r="A122" s="842" t="s">
        <v>5879</v>
      </c>
      <c r="B122" s="842"/>
      <c r="C122" s="842"/>
      <c r="D122" s="842"/>
      <c r="E122" s="842"/>
      <c r="F122" s="842"/>
      <c r="G122" s="842"/>
      <c r="H122" s="842"/>
      <c r="I122" s="842"/>
      <c r="J122" s="842"/>
    </row>
    <row r="123" spans="1:10">
      <c r="A123" s="326" t="s">
        <v>4946</v>
      </c>
      <c r="B123" s="326" t="s">
        <v>77</v>
      </c>
      <c r="C123" s="326" t="s">
        <v>5845</v>
      </c>
      <c r="D123" s="326" t="s">
        <v>482</v>
      </c>
      <c r="E123" s="326" t="s">
        <v>572</v>
      </c>
      <c r="F123" s="326" t="s">
        <v>944</v>
      </c>
      <c r="G123" s="859" t="s">
        <v>5847</v>
      </c>
      <c r="H123" s="859"/>
      <c r="I123" s="859"/>
      <c r="J123" s="859"/>
    </row>
    <row r="124" spans="1:10" ht="26.4">
      <c r="A124" s="332" t="s">
        <v>5814</v>
      </c>
      <c r="B124" s="328" t="s">
        <v>484</v>
      </c>
      <c r="C124" s="328" t="s">
        <v>392</v>
      </c>
      <c r="D124" s="328" t="s">
        <v>1096</v>
      </c>
      <c r="E124" s="328">
        <f t="shared" ref="E124:E129" si="1">IF(D124="Yes",1,0)</f>
        <v>0</v>
      </c>
      <c r="F124" s="328"/>
      <c r="G124" s="873"/>
      <c r="H124" s="873"/>
      <c r="I124" s="873"/>
      <c r="J124" s="873"/>
    </row>
    <row r="125" spans="1:10">
      <c r="A125" s="339" t="s">
        <v>5815</v>
      </c>
      <c r="B125" s="328" t="s">
        <v>484</v>
      </c>
      <c r="C125" s="336" t="s">
        <v>392</v>
      </c>
      <c r="D125" s="328" t="s">
        <v>1096</v>
      </c>
      <c r="E125" s="336">
        <f t="shared" si="1"/>
        <v>0</v>
      </c>
      <c r="F125" s="336"/>
      <c r="G125" s="873"/>
      <c r="H125" s="873"/>
      <c r="I125" s="873"/>
      <c r="J125" s="873"/>
    </row>
    <row r="126" spans="1:10" ht="26.4">
      <c r="A126" s="332" t="s">
        <v>5816</v>
      </c>
      <c r="B126" s="328" t="s">
        <v>484</v>
      </c>
      <c r="C126" s="328" t="s">
        <v>392</v>
      </c>
      <c r="D126" s="328" t="s">
        <v>1096</v>
      </c>
      <c r="E126" s="328">
        <f t="shared" si="1"/>
        <v>0</v>
      </c>
      <c r="F126" s="328"/>
      <c r="G126" s="873"/>
      <c r="H126" s="873"/>
      <c r="I126" s="873"/>
      <c r="J126" s="873"/>
    </row>
    <row r="127" spans="1:10">
      <c r="A127" s="339" t="s">
        <v>5838</v>
      </c>
      <c r="B127" s="328" t="s">
        <v>484</v>
      </c>
      <c r="C127" s="336" t="s">
        <v>392</v>
      </c>
      <c r="D127" s="328" t="s">
        <v>1096</v>
      </c>
      <c r="E127" s="336">
        <f t="shared" si="1"/>
        <v>0</v>
      </c>
      <c r="F127" s="336"/>
      <c r="G127" s="873"/>
      <c r="H127" s="873"/>
      <c r="I127" s="873"/>
      <c r="J127" s="873"/>
    </row>
    <row r="128" spans="1:10" ht="27.75" customHeight="1">
      <c r="A128" s="332" t="s">
        <v>5839</v>
      </c>
      <c r="B128" s="328" t="s">
        <v>484</v>
      </c>
      <c r="C128" s="328" t="s">
        <v>392</v>
      </c>
      <c r="D128" s="328" t="s">
        <v>1096</v>
      </c>
      <c r="E128" s="328">
        <f t="shared" si="1"/>
        <v>0</v>
      </c>
      <c r="F128" s="328"/>
      <c r="G128" s="873"/>
      <c r="H128" s="873"/>
      <c r="I128" s="873"/>
      <c r="J128" s="873"/>
    </row>
    <row r="129" spans="1:10" ht="29.25" customHeight="1">
      <c r="A129" s="339" t="s">
        <v>5840</v>
      </c>
      <c r="B129" s="328" t="s">
        <v>484</v>
      </c>
      <c r="C129" s="336" t="s">
        <v>392</v>
      </c>
      <c r="D129" s="336" t="s">
        <v>1096</v>
      </c>
      <c r="E129" s="336">
        <f t="shared" si="1"/>
        <v>0</v>
      </c>
      <c r="F129" s="336"/>
      <c r="G129" s="873"/>
      <c r="H129" s="873"/>
      <c r="I129" s="873"/>
      <c r="J129" s="873"/>
    </row>
    <row r="130" spans="1:10" ht="15.6">
      <c r="A130" s="880" t="s">
        <v>5858</v>
      </c>
      <c r="B130" s="713"/>
      <c r="C130" s="871">
        <f>IFERROR(SUM(E124:E129)/COUNTIF(C124:C129,"Yes"),"")</f>
        <v>0</v>
      </c>
      <c r="D130" s="872"/>
      <c r="E130" s="866" t="s">
        <v>5859</v>
      </c>
      <c r="F130" s="866"/>
      <c r="G130" s="866"/>
      <c r="H130" s="866"/>
      <c r="I130" s="866"/>
      <c r="J130" s="866"/>
    </row>
    <row r="131" spans="1:10" ht="20.25" customHeight="1">
      <c r="A131" s="196"/>
      <c r="B131" s="196"/>
      <c r="C131" s="196"/>
      <c r="D131" s="196"/>
      <c r="E131" s="196"/>
      <c r="F131" s="196"/>
      <c r="G131" s="196"/>
      <c r="H131" s="196"/>
      <c r="I131" s="196"/>
      <c r="J131" s="196"/>
    </row>
    <row r="132" spans="1:10" hidden="1">
      <c r="A132" s="842" t="s">
        <v>5880</v>
      </c>
      <c r="B132" s="853"/>
      <c r="C132" s="853"/>
      <c r="D132" s="321"/>
      <c r="E132" s="321"/>
      <c r="F132" s="321"/>
      <c r="G132" s="321"/>
      <c r="H132" s="321"/>
      <c r="I132" s="321"/>
      <c r="J132" s="321"/>
    </row>
    <row r="133" spans="1:10" ht="55.2" hidden="1">
      <c r="A133" s="322" t="s">
        <v>905</v>
      </c>
      <c r="B133" s="322" t="s">
        <v>830</v>
      </c>
      <c r="C133" s="322"/>
      <c r="D133" s="322"/>
      <c r="E133" s="322"/>
      <c r="F133" s="322"/>
      <c r="G133" s="322"/>
      <c r="H133" s="322"/>
      <c r="I133" s="322"/>
      <c r="J133" s="322"/>
    </row>
    <row r="134" spans="1:10" hidden="1">
      <c r="A134" s="319" t="s">
        <v>1086</v>
      </c>
      <c r="B134" s="852" t="s">
        <v>3292</v>
      </c>
      <c r="C134" s="853"/>
      <c r="D134" s="853"/>
      <c r="E134" s="853"/>
      <c r="F134" s="853"/>
      <c r="G134" s="853"/>
      <c r="H134" s="853"/>
      <c r="I134" s="853"/>
      <c r="J134" s="853"/>
    </row>
    <row r="135" spans="1:10" ht="27.6" hidden="1">
      <c r="A135" s="319" t="s">
        <v>2090</v>
      </c>
      <c r="B135" s="852" t="s">
        <v>3293</v>
      </c>
      <c r="C135" s="853"/>
      <c r="D135" s="853"/>
      <c r="E135" s="853"/>
      <c r="F135" s="853"/>
      <c r="G135" s="853"/>
      <c r="H135" s="853"/>
      <c r="I135" s="853"/>
      <c r="J135" s="853"/>
    </row>
    <row r="136" spans="1:10" hidden="1">
      <c r="A136" s="319" t="s">
        <v>1089</v>
      </c>
      <c r="B136" s="852" t="s">
        <v>3294</v>
      </c>
      <c r="C136" s="853"/>
      <c r="D136" s="853"/>
      <c r="E136" s="853"/>
      <c r="F136" s="853"/>
      <c r="G136" s="853"/>
      <c r="H136" s="853"/>
      <c r="I136" s="853"/>
      <c r="J136" s="853"/>
    </row>
    <row r="137" spans="1:10" hidden="1">
      <c r="A137" s="319" t="s">
        <v>1090</v>
      </c>
      <c r="B137" s="852" t="s">
        <v>3295</v>
      </c>
      <c r="C137" s="853"/>
      <c r="D137" s="853"/>
      <c r="E137" s="853"/>
      <c r="F137" s="853"/>
      <c r="G137" s="853"/>
      <c r="H137" s="853"/>
      <c r="I137" s="853"/>
      <c r="J137" s="853"/>
    </row>
    <row r="138" spans="1:10" hidden="1">
      <c r="A138" s="319" t="s">
        <v>1088</v>
      </c>
      <c r="B138" s="852" t="s">
        <v>3296</v>
      </c>
      <c r="C138" s="853"/>
      <c r="D138" s="853"/>
      <c r="E138" s="853"/>
      <c r="F138" s="853"/>
      <c r="G138" s="853"/>
      <c r="H138" s="853"/>
      <c r="I138" s="853"/>
      <c r="J138" s="853"/>
    </row>
    <row r="139" spans="1:10" ht="27.6" hidden="1">
      <c r="A139" s="319" t="s">
        <v>3297</v>
      </c>
      <c r="B139" s="852" t="s">
        <v>3298</v>
      </c>
      <c r="C139" s="853"/>
      <c r="D139" s="853"/>
      <c r="E139" s="853"/>
      <c r="F139" s="853"/>
      <c r="G139" s="853"/>
      <c r="H139" s="853"/>
      <c r="I139" s="853"/>
      <c r="J139" s="853"/>
    </row>
    <row r="140" spans="1:10" hidden="1">
      <c r="A140" s="319" t="s">
        <v>1563</v>
      </c>
      <c r="B140" s="852" t="s">
        <v>1776</v>
      </c>
      <c r="C140" s="853"/>
      <c r="D140" s="853"/>
      <c r="E140" s="853"/>
      <c r="F140" s="853"/>
      <c r="G140" s="853"/>
      <c r="H140" s="853"/>
      <c r="I140" s="853"/>
      <c r="J140" s="853"/>
    </row>
    <row r="141" spans="1:10" hidden="1">
      <c r="A141" s="231"/>
      <c r="B141" s="231"/>
      <c r="C141" s="231"/>
      <c r="D141" s="231"/>
      <c r="E141" s="231"/>
      <c r="F141" s="231"/>
      <c r="G141" s="231"/>
      <c r="H141" s="231"/>
      <c r="I141" s="231"/>
      <c r="J141" s="231"/>
    </row>
    <row r="142" spans="1:10" ht="17.399999999999999" hidden="1">
      <c r="A142" s="827" t="s">
        <v>5769</v>
      </c>
      <c r="B142" s="827"/>
      <c r="C142" s="827"/>
      <c r="D142" s="827"/>
      <c r="E142" s="827"/>
      <c r="F142" s="827"/>
      <c r="G142" s="827"/>
      <c r="H142" s="827"/>
      <c r="I142" s="231"/>
      <c r="J142" s="231"/>
    </row>
    <row r="143" spans="1:10" hidden="1">
      <c r="A143" s="276" t="s">
        <v>2</v>
      </c>
      <c r="B143" s="828" t="s">
        <v>5770</v>
      </c>
      <c r="C143" s="828"/>
      <c r="D143" s="828"/>
      <c r="E143" s="828"/>
      <c r="F143" s="828"/>
      <c r="G143" s="828"/>
      <c r="H143" s="828"/>
      <c r="I143" s="231"/>
      <c r="J143" s="231"/>
    </row>
    <row r="144" spans="1:10" hidden="1">
      <c r="A144" s="276" t="s">
        <v>5771</v>
      </c>
      <c r="B144" s="828" t="s">
        <v>5772</v>
      </c>
      <c r="C144" s="828"/>
      <c r="D144" s="828"/>
      <c r="E144" s="828"/>
      <c r="F144" s="828"/>
      <c r="G144" s="828"/>
      <c r="H144" s="828"/>
      <c r="I144" s="231"/>
      <c r="J144" s="231"/>
    </row>
    <row r="145" spans="1:10" hidden="1">
      <c r="A145" s="196"/>
      <c r="B145" s="196"/>
      <c r="C145" s="196"/>
      <c r="D145" s="196"/>
      <c r="E145" s="196"/>
      <c r="F145" s="196"/>
      <c r="G145" s="196"/>
      <c r="H145" s="196"/>
      <c r="I145" s="231"/>
      <c r="J145" s="231"/>
    </row>
    <row r="146" spans="1:10" hidden="1">
      <c r="A146" s="323" t="s">
        <v>4946</v>
      </c>
      <c r="B146" s="323" t="s">
        <v>77</v>
      </c>
      <c r="C146" s="323" t="s">
        <v>5773</v>
      </c>
      <c r="D146" s="323" t="s">
        <v>263</v>
      </c>
      <c r="E146" s="323" t="s">
        <v>216</v>
      </c>
      <c r="F146" s="323" t="s">
        <v>5774</v>
      </c>
      <c r="G146" s="323" t="s">
        <v>5775</v>
      </c>
      <c r="H146" s="323" t="s">
        <v>5776</v>
      </c>
      <c r="I146" s="231"/>
      <c r="J146" s="231"/>
    </row>
    <row r="147" spans="1:10" ht="26.4" hidden="1">
      <c r="A147" s="277" t="s">
        <v>5777</v>
      </c>
      <c r="B147" s="278" t="s">
        <v>1096</v>
      </c>
      <c r="C147" s="277"/>
      <c r="D147" s="277"/>
      <c r="E147" s="277"/>
      <c r="F147" s="277"/>
      <c r="G147" s="279" t="str">
        <f t="shared" ref="G147:G154" si="2">IF(OR(B147="Yes",B147="N/A"),"🟢","🟡")</f>
        <v>🟡</v>
      </c>
      <c r="H147" s="277"/>
      <c r="I147" s="231"/>
      <c r="J147" s="231"/>
    </row>
    <row r="148" spans="1:10" hidden="1">
      <c r="A148" s="277" t="s">
        <v>5778</v>
      </c>
      <c r="B148" s="278" t="s">
        <v>1096</v>
      </c>
      <c r="C148" s="277"/>
      <c r="D148" s="277"/>
      <c r="E148" s="277"/>
      <c r="F148" s="277"/>
      <c r="G148" s="279" t="str">
        <f t="shared" si="2"/>
        <v>🟡</v>
      </c>
      <c r="H148" s="277"/>
      <c r="I148" s="231"/>
      <c r="J148" s="231"/>
    </row>
    <row r="149" spans="1:10" hidden="1">
      <c r="A149" s="277" t="s">
        <v>5779</v>
      </c>
      <c r="B149" s="278" t="s">
        <v>1096</v>
      </c>
      <c r="C149" s="277"/>
      <c r="D149" s="277"/>
      <c r="E149" s="277"/>
      <c r="F149" s="277"/>
      <c r="G149" s="279" t="str">
        <f t="shared" si="2"/>
        <v>🟡</v>
      </c>
      <c r="H149" s="277"/>
      <c r="I149" s="231"/>
      <c r="J149" s="231"/>
    </row>
    <row r="150" spans="1:10" hidden="1">
      <c r="A150" s="277" t="s">
        <v>5168</v>
      </c>
      <c r="B150" s="278" t="s">
        <v>1096</v>
      </c>
      <c r="C150" s="277"/>
      <c r="D150" s="277"/>
      <c r="E150" s="277"/>
      <c r="F150" s="277"/>
      <c r="G150" s="279" t="str">
        <f t="shared" si="2"/>
        <v>🟡</v>
      </c>
      <c r="H150" s="277"/>
      <c r="I150" s="231"/>
      <c r="J150" s="231"/>
    </row>
    <row r="151" spans="1:10" hidden="1">
      <c r="A151" s="277" t="s">
        <v>5780</v>
      </c>
      <c r="B151" s="278" t="s">
        <v>1096</v>
      </c>
      <c r="C151" s="277"/>
      <c r="D151" s="277"/>
      <c r="E151" s="277"/>
      <c r="F151" s="277"/>
      <c r="G151" s="279" t="str">
        <f t="shared" si="2"/>
        <v>🟡</v>
      </c>
      <c r="H151" s="277"/>
      <c r="I151" s="231"/>
      <c r="J151" s="231"/>
    </row>
    <row r="152" spans="1:10" hidden="1">
      <c r="A152" s="277" t="s">
        <v>5781</v>
      </c>
      <c r="B152" s="278" t="s">
        <v>1096</v>
      </c>
      <c r="C152" s="277"/>
      <c r="D152" s="277"/>
      <c r="E152" s="277"/>
      <c r="F152" s="277"/>
      <c r="G152" s="279" t="str">
        <f t="shared" si="2"/>
        <v>🟡</v>
      </c>
      <c r="H152" s="277"/>
      <c r="I152" s="231"/>
      <c r="J152" s="231"/>
    </row>
    <row r="153" spans="1:10" hidden="1">
      <c r="A153" s="277" t="s">
        <v>178</v>
      </c>
      <c r="B153" s="278" t="s">
        <v>1096</v>
      </c>
      <c r="C153" s="277"/>
      <c r="D153" s="277"/>
      <c r="E153" s="277"/>
      <c r="F153" s="277"/>
      <c r="G153" s="279" t="str">
        <f t="shared" si="2"/>
        <v>🟡</v>
      </c>
      <c r="H153" s="277"/>
      <c r="I153" s="231"/>
      <c r="J153" s="231"/>
    </row>
    <row r="154" spans="1:10" ht="26.4" hidden="1">
      <c r="A154" s="277" t="s">
        <v>5782</v>
      </c>
      <c r="B154" s="278" t="s">
        <v>1096</v>
      </c>
      <c r="C154" s="277"/>
      <c r="D154" s="277"/>
      <c r="E154" s="277"/>
      <c r="F154" s="277"/>
      <c r="G154" s="279" t="str">
        <f t="shared" si="2"/>
        <v>🟡</v>
      </c>
      <c r="H154" s="277"/>
      <c r="I154" s="231"/>
      <c r="J154" s="231"/>
    </row>
    <row r="155" spans="1:10" hidden="1">
      <c r="A155" s="324" t="s">
        <v>4946</v>
      </c>
      <c r="B155" s="324" t="s">
        <v>5790</v>
      </c>
      <c r="C155" s="196"/>
      <c r="D155" s="196"/>
      <c r="E155" s="324" t="s">
        <v>5791</v>
      </c>
      <c r="F155" s="196"/>
      <c r="G155" s="196"/>
      <c r="H155" s="196"/>
      <c r="I155" s="231"/>
      <c r="J155" s="231"/>
    </row>
    <row r="156" spans="1:10" ht="26.4" hidden="1">
      <c r="A156" s="291" t="s">
        <v>5777</v>
      </c>
      <c r="B156" s="768" t="s">
        <v>5792</v>
      </c>
      <c r="C156" s="768"/>
      <c r="D156" s="768"/>
      <c r="E156" s="768" t="s">
        <v>5793</v>
      </c>
      <c r="F156" s="768"/>
      <c r="G156" s="768"/>
      <c r="H156" s="196"/>
      <c r="I156" s="231"/>
      <c r="J156" s="231"/>
    </row>
    <row r="157" spans="1:10" hidden="1">
      <c r="A157" s="291" t="s">
        <v>5778</v>
      </c>
      <c r="B157" s="768" t="s">
        <v>5794</v>
      </c>
      <c r="C157" s="768"/>
      <c r="D157" s="768"/>
      <c r="E157" s="768" t="s">
        <v>5795</v>
      </c>
      <c r="F157" s="768"/>
      <c r="G157" s="768"/>
      <c r="H157" s="196"/>
      <c r="I157" s="231"/>
      <c r="J157" s="231"/>
    </row>
    <row r="158" spans="1:10" hidden="1">
      <c r="A158" s="291" t="s">
        <v>5779</v>
      </c>
      <c r="B158" s="768" t="s">
        <v>5796</v>
      </c>
      <c r="C158" s="768"/>
      <c r="D158" s="768"/>
      <c r="E158" s="768" t="s">
        <v>5797</v>
      </c>
      <c r="F158" s="768"/>
      <c r="G158" s="768"/>
      <c r="H158" s="196"/>
      <c r="I158" s="231"/>
      <c r="J158" s="231"/>
    </row>
    <row r="159" spans="1:10" hidden="1">
      <c r="A159" s="291" t="s">
        <v>5168</v>
      </c>
      <c r="B159" s="768" t="s">
        <v>5798</v>
      </c>
      <c r="C159" s="768"/>
      <c r="D159" s="768"/>
      <c r="E159" s="768" t="s">
        <v>5799</v>
      </c>
      <c r="F159" s="768"/>
      <c r="G159" s="768"/>
      <c r="H159" s="196"/>
      <c r="I159" s="231"/>
      <c r="J159" s="231"/>
    </row>
    <row r="160" spans="1:10" hidden="1">
      <c r="A160" s="291" t="s">
        <v>5780</v>
      </c>
      <c r="B160" s="768" t="s">
        <v>5800</v>
      </c>
      <c r="C160" s="768"/>
      <c r="D160" s="768"/>
      <c r="E160" s="768" t="s">
        <v>5801</v>
      </c>
      <c r="F160" s="768"/>
      <c r="G160" s="768"/>
      <c r="H160" s="196"/>
      <c r="I160" s="231"/>
      <c r="J160" s="231"/>
    </row>
    <row r="161" spans="1:10" hidden="1">
      <c r="A161" s="291" t="s">
        <v>5781</v>
      </c>
      <c r="B161" s="768" t="s">
        <v>5802</v>
      </c>
      <c r="C161" s="768"/>
      <c r="D161" s="768"/>
      <c r="E161" s="768" t="s">
        <v>5803</v>
      </c>
      <c r="F161" s="768"/>
      <c r="G161" s="768"/>
      <c r="H161" s="196"/>
      <c r="I161" s="231"/>
      <c r="J161" s="231"/>
    </row>
    <row r="162" spans="1:10" hidden="1">
      <c r="A162" s="291" t="s">
        <v>178</v>
      </c>
      <c r="B162" s="768" t="s">
        <v>5804</v>
      </c>
      <c r="C162" s="768"/>
      <c r="D162" s="768"/>
      <c r="E162" s="768" t="s">
        <v>5805</v>
      </c>
      <c r="F162" s="768"/>
      <c r="G162" s="768"/>
      <c r="H162" s="196"/>
      <c r="I162" s="231"/>
      <c r="J162" s="231"/>
    </row>
    <row r="163" spans="1:10" ht="26.4" hidden="1">
      <c r="A163" s="291" t="s">
        <v>5782</v>
      </c>
      <c r="B163" s="768" t="s">
        <v>5806</v>
      </c>
      <c r="C163" s="768"/>
      <c r="D163" s="768"/>
      <c r="E163" s="768" t="s">
        <v>5807</v>
      </c>
      <c r="F163" s="768"/>
      <c r="G163" s="768"/>
      <c r="H163" s="196"/>
      <c r="I163" s="231"/>
      <c r="J163" s="231"/>
    </row>
    <row r="164" spans="1:10" hidden="1">
      <c r="A164" s="276" t="s">
        <v>5783</v>
      </c>
      <c r="B164" s="280" t="str">
        <f>IF(COUNTIF(B147:B154,"No")=0,"🟢 PILOT COMPLETE / ACCEPTANCE READY","🟡 NOT COMPLETE — ACCEPTANCE GATES OPEN")</f>
        <v>🟡 NOT COMPLETE — ACCEPTANCE GATES OPEN</v>
      </c>
      <c r="C164" s="280"/>
      <c r="D164" s="280"/>
      <c r="E164" s="280"/>
      <c r="F164" s="280"/>
      <c r="G164" s="280"/>
      <c r="H164" s="280"/>
    </row>
    <row r="165" spans="1:10" hidden="1">
      <c r="A165" s="276" t="s">
        <v>5784</v>
      </c>
      <c r="B165" s="280">
        <f>COUNTIF(B147:B154,"No")</f>
        <v>8</v>
      </c>
      <c r="C165" s="280"/>
      <c r="D165" s="280"/>
      <c r="E165" s="280"/>
      <c r="F165" s="280"/>
      <c r="G165" s="280"/>
      <c r="H165" s="280"/>
    </row>
    <row r="166" spans="1:10" hidden="1">
      <c r="A166" s="276" t="s">
        <v>5785</v>
      </c>
      <c r="B166" s="280" t="str">
        <f>COUNTIF(B147:B154,"Yes")&amp;" / 8 Complete"</f>
        <v>0 / 8 Complete</v>
      </c>
      <c r="C166" s="280"/>
      <c r="D166" s="280"/>
      <c r="E166" s="280"/>
      <c r="F166" s="280"/>
      <c r="G166" s="280"/>
      <c r="H166" s="280"/>
    </row>
    <row r="167" spans="1:10" ht="93" hidden="1">
      <c r="A167" s="281" t="s">
        <v>5786</v>
      </c>
      <c r="B167" s="282" t="s">
        <v>5787</v>
      </c>
      <c r="C167" s="282"/>
      <c r="D167" s="282"/>
      <c r="E167" s="282"/>
      <c r="F167" s="282"/>
      <c r="G167" s="282"/>
      <c r="H167" s="282"/>
    </row>
    <row r="168" spans="1:10" hidden="1">
      <c r="A168" s="281"/>
      <c r="B168" s="282"/>
      <c r="C168" s="282"/>
      <c r="D168" s="282"/>
      <c r="E168" s="282"/>
      <c r="F168" s="282"/>
      <c r="G168" s="282"/>
      <c r="H168" s="282"/>
    </row>
    <row r="169" spans="1:10" ht="66.599999999999994" hidden="1">
      <c r="A169" s="281" t="s">
        <v>5788</v>
      </c>
      <c r="B169" s="282" t="s">
        <v>5789</v>
      </c>
      <c r="C169" s="282"/>
      <c r="D169" s="282"/>
      <c r="E169" s="282"/>
      <c r="F169" s="282"/>
      <c r="G169" s="282"/>
      <c r="H169" s="282"/>
    </row>
    <row r="170" spans="1:10">
      <c r="A170" s="842" t="s">
        <v>5901</v>
      </c>
      <c r="B170" s="842"/>
      <c r="C170" s="842"/>
      <c r="D170" s="842"/>
      <c r="E170" s="842"/>
      <c r="F170" s="842"/>
      <c r="G170" s="842"/>
      <c r="H170" s="842"/>
      <c r="I170" s="842"/>
      <c r="J170" s="842"/>
    </row>
    <row r="171" spans="1:10">
      <c r="A171" s="340" t="s">
        <v>5886</v>
      </c>
      <c r="B171" s="196"/>
      <c r="C171" s="196"/>
      <c r="D171" s="196"/>
      <c r="E171" s="196"/>
      <c r="F171" s="196"/>
      <c r="G171" s="196"/>
      <c r="H171" s="196"/>
      <c r="I171" s="196"/>
      <c r="J171" s="196"/>
    </row>
    <row r="172" spans="1:10">
      <c r="A172" s="196"/>
      <c r="B172" s="196"/>
      <c r="C172" s="196"/>
      <c r="D172" s="196"/>
      <c r="E172" s="196"/>
      <c r="F172" s="196"/>
      <c r="G172" s="196"/>
      <c r="H172" s="196"/>
      <c r="I172" s="196"/>
      <c r="J172" s="196"/>
    </row>
    <row r="173" spans="1:10">
      <c r="A173" s="196" t="s">
        <v>5887</v>
      </c>
      <c r="B173" s="196"/>
      <c r="C173" s="196"/>
      <c r="D173" s="196"/>
      <c r="E173" s="196"/>
      <c r="F173" s="196"/>
      <c r="G173" s="196"/>
      <c r="H173" s="196"/>
      <c r="I173" s="196"/>
      <c r="J173" s="196"/>
    </row>
    <row r="174" spans="1:10">
      <c r="A174" s="196"/>
      <c r="B174" s="196"/>
      <c r="C174" s="196"/>
      <c r="D174" s="196"/>
      <c r="E174" s="196"/>
      <c r="F174" s="196"/>
      <c r="G174" s="196"/>
      <c r="H174" s="196"/>
      <c r="I174" s="196"/>
      <c r="J174" s="196"/>
    </row>
    <row r="175" spans="1:10">
      <c r="A175" s="196" t="s">
        <v>5888</v>
      </c>
      <c r="B175" s="196"/>
      <c r="C175" s="196"/>
      <c r="D175" s="196"/>
      <c r="E175" s="196"/>
      <c r="F175" s="196"/>
      <c r="G175" s="196"/>
      <c r="H175" s="196"/>
      <c r="I175" s="196"/>
      <c r="J175" s="196"/>
    </row>
    <row r="176" spans="1:10">
      <c r="A176" s="196"/>
      <c r="B176" s="196"/>
      <c r="C176" s="196"/>
      <c r="D176" s="196"/>
      <c r="E176" s="196"/>
      <c r="F176" s="196"/>
      <c r="G176" s="196"/>
      <c r="H176" s="196"/>
      <c r="I176" s="196"/>
      <c r="J176" s="196"/>
    </row>
    <row r="177" spans="1:10">
      <c r="A177" s="196" t="s">
        <v>5889</v>
      </c>
      <c r="B177" s="196"/>
      <c r="C177" s="196"/>
      <c r="D177" s="196"/>
      <c r="E177" s="196"/>
      <c r="F177" s="196"/>
      <c r="G177" s="196"/>
      <c r="H177" s="196"/>
      <c r="I177" s="196"/>
      <c r="J177" s="196"/>
    </row>
    <row r="178" spans="1:10">
      <c r="A178" s="196"/>
      <c r="B178" s="196"/>
      <c r="C178" s="196"/>
      <c r="D178" s="196"/>
      <c r="E178" s="196"/>
      <c r="F178" s="196"/>
      <c r="G178" s="196"/>
      <c r="H178" s="196"/>
      <c r="I178" s="196"/>
      <c r="J178" s="196"/>
    </row>
    <row r="179" spans="1:10">
      <c r="A179" s="196"/>
      <c r="B179" s="196"/>
      <c r="C179" s="196"/>
      <c r="D179" s="196"/>
      <c r="E179" s="196"/>
      <c r="F179" s="196"/>
      <c r="G179" s="196"/>
      <c r="H179" s="196"/>
      <c r="I179" s="196"/>
      <c r="J179" s="196"/>
    </row>
    <row r="180" spans="1:10">
      <c r="A180" s="196"/>
      <c r="B180" s="196"/>
      <c r="C180" s="196"/>
      <c r="D180" s="196"/>
      <c r="E180" s="196"/>
      <c r="F180" s="196"/>
      <c r="G180" s="196"/>
      <c r="H180" s="196"/>
      <c r="I180" s="196"/>
      <c r="J180" s="196"/>
    </row>
    <row r="181" spans="1:10">
      <c r="A181" s="842" t="s">
        <v>5902</v>
      </c>
      <c r="B181" s="842"/>
      <c r="C181" s="842"/>
      <c r="D181" s="842"/>
      <c r="E181" s="842"/>
      <c r="F181" s="842"/>
      <c r="G181" s="842"/>
      <c r="H181" s="842"/>
      <c r="I181" s="842"/>
      <c r="J181" s="842"/>
    </row>
    <row r="182" spans="1:10">
      <c r="A182" s="196"/>
      <c r="B182" s="196"/>
      <c r="C182" s="196"/>
      <c r="D182" s="196"/>
      <c r="E182" s="196"/>
      <c r="F182" s="196"/>
      <c r="G182" s="196"/>
      <c r="H182" s="196"/>
      <c r="I182" s="196"/>
      <c r="J182" s="196"/>
    </row>
    <row r="183" spans="1:10">
      <c r="A183" s="196" t="s">
        <v>5890</v>
      </c>
      <c r="B183" s="196"/>
      <c r="C183" s="196"/>
      <c r="D183" s="196"/>
      <c r="E183" s="196"/>
      <c r="F183" s="196"/>
      <c r="G183" s="196"/>
      <c r="H183" s="196"/>
      <c r="I183" s="196"/>
      <c r="J183" s="196"/>
    </row>
    <row r="184" spans="1:10">
      <c r="A184" s="196"/>
      <c r="B184" s="196"/>
      <c r="C184" s="196"/>
      <c r="D184" s="196"/>
      <c r="E184" s="196"/>
      <c r="F184" s="196"/>
      <c r="G184" s="196"/>
      <c r="H184" s="196"/>
      <c r="I184" s="196"/>
      <c r="J184" s="196"/>
    </row>
    <row r="185" spans="1:10">
      <c r="A185" s="196" t="s">
        <v>5891</v>
      </c>
      <c r="B185" s="196"/>
      <c r="C185" s="196"/>
      <c r="D185" s="196"/>
      <c r="E185" s="196"/>
      <c r="F185" s="196"/>
      <c r="G185" s="196"/>
      <c r="H185" s="196"/>
      <c r="I185" s="196"/>
      <c r="J185" s="196"/>
    </row>
    <row r="186" spans="1:10">
      <c r="A186" s="196"/>
      <c r="B186" s="196"/>
      <c r="C186" s="196"/>
      <c r="D186" s="196"/>
      <c r="E186" s="196"/>
      <c r="F186" s="196"/>
      <c r="G186" s="196"/>
      <c r="H186" s="196"/>
      <c r="I186" s="196"/>
      <c r="J186" s="196"/>
    </row>
    <row r="187" spans="1:10">
      <c r="A187" s="196" t="s">
        <v>5892</v>
      </c>
      <c r="B187" s="196"/>
      <c r="C187" s="196"/>
      <c r="D187" s="196"/>
      <c r="E187" s="196"/>
      <c r="F187" s="196"/>
      <c r="G187" s="196"/>
      <c r="H187" s="196"/>
      <c r="I187" s="196"/>
      <c r="J187" s="196"/>
    </row>
    <row r="188" spans="1:10">
      <c r="A188" s="196"/>
      <c r="B188" s="196"/>
      <c r="C188" s="196"/>
      <c r="D188" s="196"/>
      <c r="E188" s="196"/>
      <c r="F188" s="196"/>
      <c r="G188" s="196"/>
      <c r="H188" s="196"/>
      <c r="I188" s="196"/>
      <c r="J188" s="196"/>
    </row>
    <row r="189" spans="1:10">
      <c r="A189" s="196"/>
      <c r="B189" s="196"/>
      <c r="C189" s="196"/>
      <c r="D189" s="196"/>
      <c r="E189" s="196"/>
      <c r="F189" s="196"/>
      <c r="G189" s="196"/>
      <c r="H189" s="196"/>
      <c r="I189" s="196"/>
      <c r="J189" s="196"/>
    </row>
    <row r="190" spans="1:10">
      <c r="A190" s="196"/>
      <c r="B190" s="196"/>
      <c r="C190" s="196"/>
      <c r="D190" s="196"/>
      <c r="E190" s="196"/>
      <c r="F190" s="196"/>
      <c r="G190" s="196"/>
      <c r="H190" s="196"/>
      <c r="I190" s="196"/>
      <c r="J190" s="196"/>
    </row>
    <row r="191" spans="1:10">
      <c r="A191" s="842" t="s">
        <v>5903</v>
      </c>
      <c r="B191" s="842"/>
      <c r="C191" s="842"/>
      <c r="D191" s="842"/>
      <c r="E191" s="842"/>
      <c r="F191" s="842"/>
      <c r="G191" s="842"/>
      <c r="H191" s="842"/>
      <c r="I191" s="842"/>
      <c r="J191" s="842"/>
    </row>
    <row r="192" spans="1:10">
      <c r="A192" s="196"/>
      <c r="B192" s="196"/>
      <c r="C192" s="196"/>
      <c r="D192" s="196"/>
      <c r="E192" s="196"/>
      <c r="F192" s="196"/>
      <c r="G192" s="196"/>
      <c r="H192" s="196"/>
      <c r="I192" s="196"/>
      <c r="J192" s="196"/>
    </row>
    <row r="193" spans="1:10">
      <c r="A193" s="196" t="s">
        <v>5893</v>
      </c>
      <c r="B193" s="196"/>
      <c r="C193" s="196"/>
      <c r="D193" s="196"/>
      <c r="E193" s="196"/>
      <c r="F193" s="196"/>
      <c r="G193" s="196"/>
      <c r="H193" s="196"/>
      <c r="I193" s="196"/>
      <c r="J193" s="196"/>
    </row>
    <row r="194" spans="1:10">
      <c r="A194" s="196"/>
      <c r="B194" s="196"/>
      <c r="C194" s="196"/>
      <c r="D194" s="196"/>
      <c r="E194" s="196"/>
      <c r="F194" s="196"/>
      <c r="G194" s="196"/>
      <c r="H194" s="196"/>
      <c r="I194" s="196"/>
      <c r="J194" s="196"/>
    </row>
    <row r="195" spans="1:10">
      <c r="A195" s="196" t="s">
        <v>5894</v>
      </c>
      <c r="C195" s="196"/>
      <c r="D195" s="196"/>
      <c r="E195" s="196"/>
      <c r="F195" s="196"/>
      <c r="G195" s="196"/>
      <c r="H195" s="196"/>
      <c r="I195" s="196"/>
      <c r="J195" s="196"/>
    </row>
    <row r="196" spans="1:10">
      <c r="A196" s="196"/>
      <c r="C196" s="196"/>
      <c r="D196" s="196"/>
      <c r="E196" s="196"/>
      <c r="F196" s="196"/>
      <c r="G196" s="196"/>
      <c r="H196" s="196"/>
      <c r="I196" s="196"/>
      <c r="J196" s="196"/>
    </row>
    <row r="197" spans="1:10">
      <c r="A197" s="196" t="s">
        <v>5895</v>
      </c>
      <c r="B197" s="196"/>
      <c r="C197" s="196"/>
      <c r="D197" s="196"/>
      <c r="E197" s="196"/>
      <c r="F197" s="196"/>
      <c r="G197" s="196"/>
      <c r="H197" s="196"/>
      <c r="I197" s="196"/>
      <c r="J197" s="196"/>
    </row>
    <row r="198" spans="1:10">
      <c r="A198" s="196"/>
      <c r="B198" s="196"/>
      <c r="C198" s="196"/>
      <c r="D198" s="196"/>
      <c r="E198" s="196"/>
      <c r="F198" s="196"/>
      <c r="G198" s="196"/>
      <c r="H198" s="196"/>
      <c r="I198" s="196"/>
      <c r="J198" s="196"/>
    </row>
    <row r="199" spans="1:10">
      <c r="A199" s="196" t="s">
        <v>5896</v>
      </c>
      <c r="B199" s="196"/>
      <c r="C199" s="196"/>
      <c r="D199" s="196"/>
      <c r="E199" s="196"/>
      <c r="F199" s="196"/>
      <c r="G199" s="196"/>
      <c r="H199" s="196"/>
      <c r="I199" s="196"/>
      <c r="J199" s="196"/>
    </row>
    <row r="200" spans="1:10">
      <c r="A200" s="196"/>
      <c r="B200" s="196"/>
      <c r="C200" s="196"/>
      <c r="D200" s="196"/>
      <c r="E200" s="196"/>
      <c r="F200" s="196"/>
      <c r="G200" s="196"/>
      <c r="H200" s="196"/>
      <c r="I200" s="196"/>
      <c r="J200" s="196"/>
    </row>
    <row r="201" spans="1:10">
      <c r="A201" s="196"/>
      <c r="B201" s="196"/>
      <c r="C201" s="196"/>
      <c r="D201" s="196"/>
      <c r="E201" s="196"/>
      <c r="F201" s="196"/>
      <c r="G201" s="196"/>
      <c r="H201" s="196"/>
      <c r="I201" s="196"/>
      <c r="J201" s="196"/>
    </row>
    <row r="202" spans="1:10">
      <c r="A202" s="196"/>
      <c r="B202" s="196"/>
      <c r="C202" s="196"/>
      <c r="D202" s="196"/>
      <c r="E202" s="196"/>
      <c r="F202" s="196"/>
      <c r="G202" s="196"/>
      <c r="H202" s="196"/>
      <c r="I202" s="196"/>
      <c r="J202" s="196"/>
    </row>
    <row r="203" spans="1:10">
      <c r="A203" s="842" t="s">
        <v>5904</v>
      </c>
      <c r="B203" s="842"/>
      <c r="C203" s="842"/>
      <c r="D203" s="842"/>
      <c r="E203" s="842"/>
      <c r="F203" s="842"/>
      <c r="G203" s="842"/>
      <c r="H203" s="842"/>
      <c r="I203" s="842"/>
      <c r="J203" s="842"/>
    </row>
    <row r="204" spans="1:10">
      <c r="A204" s="196"/>
      <c r="B204" s="196"/>
      <c r="C204" s="196"/>
      <c r="D204" s="196"/>
      <c r="E204" s="196"/>
      <c r="F204" s="196"/>
      <c r="G204" s="196"/>
      <c r="H204" s="196"/>
      <c r="I204" s="196"/>
      <c r="J204" s="196"/>
    </row>
    <row r="205" spans="1:10">
      <c r="A205" s="196" t="s">
        <v>5897</v>
      </c>
      <c r="B205" s="196"/>
      <c r="C205" s="196"/>
      <c r="D205" s="196"/>
      <c r="E205" s="196"/>
      <c r="F205" s="196"/>
      <c r="G205" s="196"/>
      <c r="H205" s="196"/>
      <c r="I205" s="196"/>
      <c r="J205" s="196"/>
    </row>
    <row r="206" spans="1:10">
      <c r="A206" s="196"/>
      <c r="B206" s="196"/>
      <c r="C206" s="196"/>
      <c r="D206" s="196"/>
      <c r="E206" s="196"/>
      <c r="F206" s="196"/>
      <c r="G206" s="196"/>
      <c r="H206" s="196"/>
      <c r="I206" s="196"/>
      <c r="J206" s="196"/>
    </row>
    <row r="207" spans="1:10">
      <c r="A207" s="196" t="s">
        <v>5898</v>
      </c>
      <c r="B207" s="196"/>
      <c r="C207" s="196"/>
      <c r="D207" s="196"/>
      <c r="E207" s="196"/>
      <c r="F207" s="196"/>
      <c r="G207" s="196"/>
      <c r="H207" s="196"/>
      <c r="I207" s="196"/>
      <c r="J207" s="196"/>
    </row>
    <row r="208" spans="1:10">
      <c r="A208" s="196"/>
      <c r="B208" s="196"/>
      <c r="C208" s="196"/>
      <c r="D208" s="196"/>
      <c r="E208" s="196"/>
      <c r="F208" s="196"/>
      <c r="G208" s="196"/>
      <c r="H208" s="196"/>
      <c r="I208" s="196"/>
      <c r="J208" s="196"/>
    </row>
    <row r="209" spans="1:10">
      <c r="A209" s="196" t="s">
        <v>5899</v>
      </c>
      <c r="B209" s="196"/>
      <c r="C209" s="196"/>
      <c r="D209" s="196"/>
      <c r="E209" s="196"/>
      <c r="F209" s="196"/>
      <c r="G209" s="196"/>
      <c r="H209" s="196"/>
      <c r="I209" s="196"/>
      <c r="J209" s="196"/>
    </row>
    <row r="210" spans="1:10">
      <c r="A210" s="196"/>
      <c r="B210" s="196"/>
      <c r="C210" s="196"/>
      <c r="D210" s="196"/>
      <c r="E210" s="196"/>
      <c r="F210" s="196"/>
      <c r="G210" s="196"/>
      <c r="H210" s="196"/>
      <c r="I210" s="196"/>
      <c r="J210" s="196"/>
    </row>
    <row r="211" spans="1:10">
      <c r="A211" s="196"/>
      <c r="B211" s="196"/>
      <c r="C211" s="196"/>
      <c r="D211" s="196"/>
      <c r="E211" s="196"/>
      <c r="F211" s="196"/>
      <c r="G211" s="196"/>
      <c r="H211" s="196"/>
      <c r="I211" s="196"/>
      <c r="J211" s="196"/>
    </row>
    <row r="212" spans="1:10">
      <c r="A212" s="196"/>
      <c r="B212" s="196"/>
      <c r="C212" s="196"/>
      <c r="D212" s="196"/>
      <c r="E212" s="196"/>
      <c r="F212" s="196"/>
      <c r="G212" s="196"/>
      <c r="H212" s="196"/>
      <c r="I212" s="196"/>
      <c r="J212" s="196"/>
    </row>
    <row r="213" spans="1:10">
      <c r="A213" s="196" t="s">
        <v>5900</v>
      </c>
      <c r="B213" s="196"/>
      <c r="C213" s="196"/>
      <c r="D213" s="196"/>
      <c r="E213" s="196"/>
      <c r="F213" s="196"/>
      <c r="G213" s="196"/>
      <c r="H213" s="196"/>
      <c r="I213" s="196"/>
      <c r="J213" s="196"/>
    </row>
    <row r="214" spans="1:10">
      <c r="A214" s="196"/>
      <c r="B214" s="196"/>
      <c r="C214" s="196"/>
      <c r="D214" s="196"/>
      <c r="E214" s="196"/>
      <c r="F214" s="196"/>
      <c r="G214" s="196"/>
      <c r="H214" s="196"/>
      <c r="I214" s="196"/>
      <c r="J214" s="196"/>
    </row>
    <row r="215" spans="1:10">
      <c r="A215" s="341"/>
      <c r="B215" s="341"/>
      <c r="C215" s="341"/>
      <c r="D215" s="341"/>
      <c r="E215" s="341"/>
      <c r="F215" s="341"/>
      <c r="G215" s="341"/>
      <c r="H215" s="341"/>
      <c r="I215" s="341"/>
      <c r="J215" s="341"/>
    </row>
    <row r="216" spans="1:10">
      <c r="A216" s="341"/>
      <c r="B216" s="341"/>
      <c r="C216" s="341"/>
      <c r="D216" s="341"/>
      <c r="E216" s="341"/>
      <c r="F216" s="341"/>
      <c r="G216" s="341"/>
      <c r="H216" s="341"/>
      <c r="I216" s="341"/>
      <c r="J216" s="341"/>
    </row>
    <row r="217" spans="1:10">
      <c r="A217" s="341"/>
      <c r="B217" s="341"/>
      <c r="C217" s="341"/>
      <c r="D217" s="341"/>
      <c r="E217" s="341"/>
      <c r="F217" s="341"/>
      <c r="G217" s="341"/>
      <c r="H217" s="341"/>
      <c r="I217" s="341"/>
      <c r="J217" s="341"/>
    </row>
    <row r="218" spans="1:10">
      <c r="A218" s="341"/>
      <c r="B218" s="341"/>
      <c r="C218" s="341"/>
      <c r="D218" s="341"/>
      <c r="E218" s="341"/>
      <c r="F218" s="341"/>
      <c r="G218" s="341"/>
      <c r="H218" s="341"/>
      <c r="I218" s="341"/>
      <c r="J218" s="341"/>
    </row>
    <row r="219" spans="1:10">
      <c r="A219" s="341"/>
      <c r="B219" s="341"/>
      <c r="C219" s="341"/>
      <c r="D219" s="341"/>
      <c r="E219" s="341"/>
      <c r="F219" s="341"/>
      <c r="G219" s="341"/>
      <c r="H219" s="341"/>
      <c r="I219" s="341"/>
      <c r="J219" s="341"/>
    </row>
    <row r="220" spans="1:10">
      <c r="A220" s="341"/>
      <c r="B220" s="341"/>
      <c r="C220" s="341"/>
      <c r="D220" s="341"/>
      <c r="E220" s="341"/>
      <c r="F220" s="341"/>
      <c r="G220" s="341"/>
      <c r="H220" s="341"/>
      <c r="I220" s="341"/>
      <c r="J220" s="341"/>
    </row>
    <row r="221" spans="1:10">
      <c r="A221" s="341"/>
      <c r="B221" s="341"/>
      <c r="C221" s="341"/>
      <c r="D221" s="341"/>
      <c r="E221" s="341"/>
      <c r="F221" s="341"/>
      <c r="G221" s="341"/>
      <c r="H221" s="341"/>
      <c r="I221" s="341"/>
      <c r="J221" s="341"/>
    </row>
    <row r="222" spans="1:10">
      <c r="A222" s="341"/>
      <c r="B222" s="341"/>
      <c r="C222" s="341"/>
      <c r="D222" s="341"/>
      <c r="E222" s="341"/>
      <c r="F222" s="341"/>
      <c r="G222" s="341"/>
      <c r="H222" s="341"/>
      <c r="I222" s="341"/>
      <c r="J222" s="341"/>
    </row>
    <row r="223" spans="1:10">
      <c r="A223" s="341"/>
      <c r="B223" s="341"/>
      <c r="C223" s="341"/>
      <c r="D223" s="341"/>
      <c r="E223" s="341"/>
      <c r="F223" s="341"/>
      <c r="G223" s="341"/>
      <c r="H223" s="341"/>
      <c r="I223" s="341"/>
      <c r="J223" s="341"/>
    </row>
    <row r="224" spans="1:10">
      <c r="A224" s="196"/>
      <c r="B224" s="196"/>
      <c r="C224" s="196"/>
      <c r="D224" s="196"/>
      <c r="E224" s="196"/>
      <c r="F224" s="196"/>
      <c r="G224" s="196"/>
      <c r="H224" s="196"/>
      <c r="I224" s="196"/>
      <c r="J224" s="196"/>
    </row>
    <row r="225" spans="1:10">
      <c r="A225" s="320"/>
      <c r="B225" s="320"/>
      <c r="C225" s="320"/>
      <c r="D225" s="320"/>
      <c r="E225" s="320"/>
      <c r="F225" s="320"/>
      <c r="G225" s="874"/>
      <c r="H225" s="874"/>
      <c r="I225" s="874"/>
      <c r="J225" s="874"/>
    </row>
    <row r="226" spans="1:10" ht="17.25" customHeight="1">
      <c r="A226" s="842" t="s">
        <v>3445</v>
      </c>
      <c r="B226" s="839"/>
      <c r="C226" s="839"/>
      <c r="D226" s="85"/>
      <c r="E226" s="85"/>
      <c r="F226" s="85"/>
      <c r="G226" s="85"/>
      <c r="H226" s="85"/>
      <c r="I226" s="85"/>
      <c r="J226" s="85"/>
    </row>
    <row r="227" spans="1:10" ht="39" customHeight="1">
      <c r="A227" s="39" t="s">
        <v>3446</v>
      </c>
      <c r="B227" s="39" t="s">
        <v>836</v>
      </c>
      <c r="C227" s="39"/>
      <c r="D227" s="39"/>
      <c r="E227" s="39"/>
      <c r="F227" s="39"/>
      <c r="G227" s="39"/>
      <c r="H227" s="39"/>
      <c r="I227" s="39"/>
      <c r="J227" s="39"/>
    </row>
    <row r="228" spans="1:10" ht="21.75" customHeight="1">
      <c r="A228" s="39" t="s">
        <v>3447</v>
      </c>
      <c r="B228" s="893" t="s">
        <v>3448</v>
      </c>
      <c r="C228" s="839"/>
      <c r="D228" s="839"/>
      <c r="E228" s="839"/>
      <c r="F228" s="839"/>
      <c r="G228" s="839"/>
      <c r="H228" s="839"/>
      <c r="I228" s="839"/>
      <c r="J228" s="839"/>
    </row>
    <row r="229" spans="1:10" ht="22.5" customHeight="1">
      <c r="A229" s="39" t="s">
        <v>3449</v>
      </c>
      <c r="B229" s="893" t="s">
        <v>3450</v>
      </c>
      <c r="C229" s="839"/>
      <c r="D229" s="839"/>
      <c r="E229" s="839"/>
      <c r="F229" s="839"/>
      <c r="G229" s="839"/>
      <c r="H229" s="839"/>
      <c r="I229" s="839"/>
      <c r="J229" s="839"/>
    </row>
    <row r="230" spans="1:10" ht="32.25" customHeight="1">
      <c r="A230" s="39" t="s">
        <v>3451</v>
      </c>
      <c r="B230" s="893" t="s">
        <v>3452</v>
      </c>
      <c r="C230" s="839"/>
      <c r="D230" s="839"/>
      <c r="E230" s="839"/>
      <c r="F230" s="839"/>
      <c r="G230" s="839"/>
      <c r="H230" s="839"/>
      <c r="I230" s="839"/>
      <c r="J230" s="839"/>
    </row>
    <row r="231" spans="1:10" ht="92.25" customHeight="1">
      <c r="A231" s="39" t="s">
        <v>3453</v>
      </c>
      <c r="B231" s="893" t="s">
        <v>3454</v>
      </c>
      <c r="C231" s="839"/>
      <c r="D231" s="839"/>
      <c r="E231" s="839"/>
      <c r="F231" s="839"/>
      <c r="G231" s="839"/>
      <c r="H231" s="839"/>
      <c r="I231" s="839"/>
      <c r="J231" s="839"/>
    </row>
    <row r="233" spans="1:10" ht="14.25" customHeight="1">
      <c r="A233" s="129"/>
    </row>
    <row r="234" spans="1:10" s="231" customFormat="1" ht="14.25" customHeight="1">
      <c r="A234" s="347"/>
    </row>
    <row r="235" spans="1:10" ht="14.25" customHeight="1">
      <c r="A235" s="8" t="s">
        <v>3455</v>
      </c>
    </row>
    <row r="236" spans="1:10" ht="14.25" customHeight="1"/>
    <row r="237" spans="1:10" ht="30" customHeight="1">
      <c r="A237" s="135" t="s">
        <v>3456</v>
      </c>
    </row>
    <row r="238" spans="1:10" ht="14.25" customHeight="1"/>
    <row r="239" spans="1:10" ht="17.25" customHeight="1">
      <c r="A239" s="136" t="s">
        <v>3457</v>
      </c>
    </row>
    <row r="240" spans="1:10" ht="14.25" customHeight="1">
      <c r="A240" s="134"/>
    </row>
    <row r="241" spans="1:1" ht="14.25" customHeight="1">
      <c r="A241" s="134" t="s">
        <v>3458</v>
      </c>
    </row>
    <row r="242" spans="1:1" ht="14.25" customHeight="1">
      <c r="A242" s="134" t="s">
        <v>3459</v>
      </c>
    </row>
    <row r="243" spans="1:1" ht="14.25" customHeight="1">
      <c r="A243" s="134" t="s">
        <v>3460</v>
      </c>
    </row>
    <row r="244" spans="1:1" ht="14.25" customHeight="1">
      <c r="A244" s="134" t="s">
        <v>3461</v>
      </c>
    </row>
    <row r="245" spans="1:1" ht="14.25" customHeight="1">
      <c r="A245" s="134" t="s">
        <v>3462</v>
      </c>
    </row>
    <row r="246" spans="1:1" ht="14.25" customHeight="1"/>
    <row r="247" spans="1:1" ht="17.25" customHeight="1">
      <c r="A247" s="136" t="s">
        <v>3463</v>
      </c>
    </row>
    <row r="248" spans="1:1" ht="14.25" customHeight="1">
      <c r="A248" s="134"/>
    </row>
    <row r="249" spans="1:1" ht="14.25" customHeight="1">
      <c r="A249" s="134" t="s">
        <v>3464</v>
      </c>
    </row>
    <row r="250" spans="1:1" ht="14.25" customHeight="1">
      <c r="A250" s="134" t="s">
        <v>3465</v>
      </c>
    </row>
    <row r="251" spans="1:1" ht="14.25" customHeight="1">
      <c r="A251" s="134" t="s">
        <v>3466</v>
      </c>
    </row>
    <row r="252" spans="1:1" ht="14.25" customHeight="1">
      <c r="A252" s="134" t="s">
        <v>3467</v>
      </c>
    </row>
    <row r="253" spans="1:1" ht="14.25" customHeight="1">
      <c r="A253" s="134" t="s">
        <v>3468</v>
      </c>
    </row>
    <row r="254" spans="1:1" ht="14.25" customHeight="1"/>
    <row r="255" spans="1:1" ht="17.25" customHeight="1">
      <c r="A255" s="136" t="s">
        <v>146</v>
      </c>
    </row>
    <row r="256" spans="1:1" ht="14.25" customHeight="1">
      <c r="A256" s="134"/>
    </row>
    <row r="257" spans="1:1" ht="14.25" customHeight="1">
      <c r="A257" s="134" t="s">
        <v>3469</v>
      </c>
    </row>
    <row r="258" spans="1:1" ht="14.25" customHeight="1">
      <c r="A258" s="134" t="s">
        <v>3470</v>
      </c>
    </row>
    <row r="259" spans="1:1" ht="14.25" customHeight="1">
      <c r="A259" s="134" t="s">
        <v>3471</v>
      </c>
    </row>
    <row r="260" spans="1:1" ht="14.25" customHeight="1">
      <c r="A260" s="134" t="s">
        <v>3472</v>
      </c>
    </row>
    <row r="261" spans="1:1" ht="14.25" customHeight="1">
      <c r="A261" s="134" t="s">
        <v>3473</v>
      </c>
    </row>
    <row r="262" spans="1:1" ht="14.25" customHeight="1">
      <c r="A262" s="134" t="s">
        <v>3474</v>
      </c>
    </row>
    <row r="263" spans="1:1" ht="14.25" customHeight="1"/>
    <row r="264" spans="1:1" ht="17.25" customHeight="1">
      <c r="A264" s="136" t="s">
        <v>157</v>
      </c>
    </row>
    <row r="265" spans="1:1" ht="14.25" customHeight="1">
      <c r="A265" s="134"/>
    </row>
    <row r="266" spans="1:1" ht="14.25" customHeight="1">
      <c r="A266" s="134" t="s">
        <v>3475</v>
      </c>
    </row>
    <row r="267" spans="1:1" ht="14.25" customHeight="1">
      <c r="A267" s="134" t="s">
        <v>3476</v>
      </c>
    </row>
    <row r="268" spans="1:1" ht="14.25" customHeight="1">
      <c r="A268" s="134" t="s">
        <v>3477</v>
      </c>
    </row>
    <row r="269" spans="1:1" ht="14.25" customHeight="1">
      <c r="A269" s="134" t="s">
        <v>3478</v>
      </c>
    </row>
    <row r="270" spans="1:1" ht="14.25" customHeight="1">
      <c r="A270" s="134" t="s">
        <v>3479</v>
      </c>
    </row>
    <row r="272" spans="1:1" ht="17.25" customHeight="1">
      <c r="A272" s="136" t="s">
        <v>3480</v>
      </c>
    </row>
    <row r="273" spans="1:1" ht="14.25" customHeight="1">
      <c r="A273" s="134"/>
    </row>
    <row r="274" spans="1:1" ht="14.25" customHeight="1">
      <c r="A274" s="134" t="s">
        <v>3481</v>
      </c>
    </row>
    <row r="275" spans="1:1" ht="14.25" customHeight="1">
      <c r="A275" s="134" t="s">
        <v>3482</v>
      </c>
    </row>
    <row r="276" spans="1:1" ht="14.25" customHeight="1">
      <c r="A276" s="134" t="s">
        <v>3483</v>
      </c>
    </row>
    <row r="277" spans="1:1" ht="14.25" customHeight="1">
      <c r="A277" s="134" t="s">
        <v>3484</v>
      </c>
    </row>
    <row r="278" spans="1:1" ht="14.25" customHeight="1">
      <c r="A278" s="134" t="s">
        <v>3485</v>
      </c>
    </row>
    <row r="279" spans="1:1" ht="14.25" customHeight="1">
      <c r="A279" s="134" t="s">
        <v>3486</v>
      </c>
    </row>
    <row r="280" spans="1:1" ht="14.25" customHeight="1">
      <c r="A280" s="134" t="s">
        <v>3487</v>
      </c>
    </row>
    <row r="282" spans="1:1" ht="17.25" customHeight="1">
      <c r="A282" s="136" t="s">
        <v>153</v>
      </c>
    </row>
    <row r="283" spans="1:1" ht="14.25" customHeight="1">
      <c r="A283" s="134"/>
    </row>
    <row r="284" spans="1:1" ht="14.25" customHeight="1">
      <c r="A284" s="134" t="s">
        <v>3488</v>
      </c>
    </row>
    <row r="285" spans="1:1" ht="14.25" customHeight="1">
      <c r="A285" s="134" t="s">
        <v>3489</v>
      </c>
    </row>
    <row r="286" spans="1:1" ht="14.25" customHeight="1">
      <c r="A286" s="134" t="s">
        <v>3490</v>
      </c>
    </row>
    <row r="287" spans="1:1" ht="14.25" customHeight="1">
      <c r="A287" s="134" t="s">
        <v>3491</v>
      </c>
    </row>
    <row r="288" spans="1:1" ht="14.25" customHeight="1">
      <c r="A288" s="134" t="s">
        <v>3492</v>
      </c>
    </row>
    <row r="289" spans="1:1" ht="14.25" customHeight="1">
      <c r="A289" s="134" t="s">
        <v>3493</v>
      </c>
    </row>
    <row r="290" spans="1:1" ht="14.25" customHeight="1">
      <c r="A290" s="134" t="s">
        <v>3494</v>
      </c>
    </row>
    <row r="292" spans="1:1" ht="17.25" customHeight="1">
      <c r="A292" s="136" t="s">
        <v>3495</v>
      </c>
    </row>
    <row r="293" spans="1:1" ht="14.25" customHeight="1">
      <c r="A293" s="134"/>
    </row>
    <row r="294" spans="1:1" ht="14.25" customHeight="1">
      <c r="A294" s="134" t="s">
        <v>3496</v>
      </c>
    </row>
    <row r="295" spans="1:1" ht="14.25" customHeight="1">
      <c r="A295" s="134" t="s">
        <v>3497</v>
      </c>
    </row>
    <row r="296" spans="1:1" ht="14.25" customHeight="1">
      <c r="A296" s="134" t="s">
        <v>3498</v>
      </c>
    </row>
    <row r="297" spans="1:1" ht="14.25" customHeight="1">
      <c r="A297" s="134" t="s">
        <v>3499</v>
      </c>
    </row>
    <row r="298" spans="1:1" ht="14.25" customHeight="1">
      <c r="A298" s="134" t="s">
        <v>3500</v>
      </c>
    </row>
    <row r="299" spans="1:1" ht="14.25" customHeight="1">
      <c r="A299" s="134" t="s">
        <v>3501</v>
      </c>
    </row>
    <row r="300" spans="1:1" ht="14.25" customHeight="1">
      <c r="A300" s="134" t="s">
        <v>3502</v>
      </c>
    </row>
    <row r="301" spans="1:1" ht="14.25" customHeight="1">
      <c r="A301" s="134" t="s">
        <v>3503</v>
      </c>
    </row>
    <row r="302" spans="1:1" ht="14.25" customHeight="1">
      <c r="A302" s="134" t="s">
        <v>3504</v>
      </c>
    </row>
    <row r="304" spans="1:1" ht="17.25" customHeight="1">
      <c r="A304" s="136" t="s">
        <v>556</v>
      </c>
    </row>
    <row r="305" spans="1:1" ht="14.25" customHeight="1">
      <c r="A305" s="134"/>
    </row>
    <row r="306" spans="1:1" ht="14.25" customHeight="1">
      <c r="A306" s="134" t="s">
        <v>3505</v>
      </c>
    </row>
    <row r="307" spans="1:1" ht="14.25" customHeight="1">
      <c r="A307" s="134" t="s">
        <v>3506</v>
      </c>
    </row>
    <row r="308" spans="1:1" ht="14.25" customHeight="1">
      <c r="A308" s="134" t="s">
        <v>3507</v>
      </c>
    </row>
    <row r="309" spans="1:1" ht="14.25" customHeight="1">
      <c r="A309" s="134" t="s">
        <v>3508</v>
      </c>
    </row>
    <row r="310" spans="1:1" ht="14.25" customHeight="1">
      <c r="A310" s="134" t="s">
        <v>3509</v>
      </c>
    </row>
    <row r="312" spans="1:1" ht="17.25" customHeight="1">
      <c r="A312" s="136" t="s">
        <v>3510</v>
      </c>
    </row>
    <row r="313" spans="1:1" ht="14.25" customHeight="1">
      <c r="A313" s="134"/>
    </row>
    <row r="314" spans="1:1" ht="14.25" customHeight="1">
      <c r="A314" s="134" t="s">
        <v>3511</v>
      </c>
    </row>
    <row r="315" spans="1:1" ht="14.25" customHeight="1">
      <c r="A315" s="134" t="s">
        <v>3512</v>
      </c>
    </row>
    <row r="316" spans="1:1" ht="14.25" customHeight="1">
      <c r="A316" s="134" t="s">
        <v>3513</v>
      </c>
    </row>
    <row r="317" spans="1:1" ht="14.25" customHeight="1">
      <c r="A317" s="134" t="s">
        <v>3514</v>
      </c>
    </row>
    <row r="318" spans="1:1" ht="14.25" customHeight="1">
      <c r="A318" s="134" t="s">
        <v>3515</v>
      </c>
    </row>
    <row r="320" spans="1:1" ht="17.25" customHeight="1">
      <c r="A320" s="136" t="s">
        <v>3516</v>
      </c>
    </row>
    <row r="321" spans="1:1" ht="14.25" customHeight="1">
      <c r="A321" s="134"/>
    </row>
    <row r="322" spans="1:1" ht="14.25" customHeight="1">
      <c r="A322" s="134" t="s">
        <v>3517</v>
      </c>
    </row>
    <row r="323" spans="1:1" ht="14.25" customHeight="1">
      <c r="A323" s="134" t="s">
        <v>3518</v>
      </c>
    </row>
    <row r="324" spans="1:1" ht="14.25" customHeight="1">
      <c r="A324" s="134" t="s">
        <v>3519</v>
      </c>
    </row>
    <row r="325" spans="1:1" ht="14.25" customHeight="1">
      <c r="A325" s="134" t="s">
        <v>3520</v>
      </c>
    </row>
    <row r="326" spans="1:1" ht="14.25" customHeight="1">
      <c r="A326" s="134" t="s">
        <v>3521</v>
      </c>
    </row>
    <row r="327" spans="1:1" ht="14.25" customHeight="1">
      <c r="A327" s="134" t="s">
        <v>3522</v>
      </c>
    </row>
    <row r="328" spans="1:1" ht="14.25" customHeight="1">
      <c r="A328" s="134" t="s">
        <v>3523</v>
      </c>
    </row>
    <row r="329" spans="1:1" ht="14.25" customHeight="1">
      <c r="A329" s="134" t="s">
        <v>3524</v>
      </c>
    </row>
    <row r="331" spans="1:1" ht="30" customHeight="1">
      <c r="A331" s="135" t="s">
        <v>3525</v>
      </c>
    </row>
    <row r="333" spans="1:1" ht="17.25" customHeight="1">
      <c r="A333" s="136" t="s">
        <v>3526</v>
      </c>
    </row>
    <row r="334" spans="1:1" ht="14.25" customHeight="1">
      <c r="A334" s="134"/>
    </row>
    <row r="335" spans="1:1" ht="14.25" customHeight="1">
      <c r="A335" s="134" t="s">
        <v>3527</v>
      </c>
    </row>
    <row r="336" spans="1:1" ht="14.25" customHeight="1">
      <c r="A336" s="134" t="s">
        <v>3528</v>
      </c>
    </row>
    <row r="337" spans="1:1" ht="14.25" customHeight="1">
      <c r="A337" s="134" t="s">
        <v>3529</v>
      </c>
    </row>
    <row r="338" spans="1:1" ht="14.25" customHeight="1">
      <c r="A338" s="134" t="s">
        <v>3530</v>
      </c>
    </row>
    <row r="339" spans="1:1" ht="14.25" customHeight="1">
      <c r="A339" s="134" t="s">
        <v>3531</v>
      </c>
    </row>
    <row r="341" spans="1:1" ht="17.25" customHeight="1">
      <c r="A341" s="136" t="s">
        <v>3532</v>
      </c>
    </row>
    <row r="342" spans="1:1" ht="14.25" customHeight="1">
      <c r="A342" s="134"/>
    </row>
    <row r="343" spans="1:1" ht="14.25" customHeight="1">
      <c r="A343" s="134" t="s">
        <v>3533</v>
      </c>
    </row>
    <row r="344" spans="1:1" ht="14.25" customHeight="1">
      <c r="A344" s="134" t="s">
        <v>3534</v>
      </c>
    </row>
    <row r="345" spans="1:1" ht="14.25" customHeight="1">
      <c r="A345" s="134" t="s">
        <v>3535</v>
      </c>
    </row>
    <row r="346" spans="1:1" ht="14.25" customHeight="1">
      <c r="A346" s="134" t="s">
        <v>3536</v>
      </c>
    </row>
    <row r="347" spans="1:1" ht="14.25" customHeight="1">
      <c r="A347" s="134" t="s">
        <v>3537</v>
      </c>
    </row>
    <row r="349" spans="1:1" ht="17.25" customHeight="1">
      <c r="A349" s="136" t="s">
        <v>3538</v>
      </c>
    </row>
    <row r="350" spans="1:1" ht="14.25" customHeight="1">
      <c r="A350" s="134"/>
    </row>
    <row r="351" spans="1:1" ht="14.25" customHeight="1">
      <c r="A351" s="134" t="s">
        <v>3539</v>
      </c>
    </row>
    <row r="352" spans="1:1" ht="14.25" customHeight="1">
      <c r="A352" s="134" t="s">
        <v>3540</v>
      </c>
    </row>
    <row r="353" spans="1:1" ht="14.25" customHeight="1">
      <c r="A353" s="134" t="s">
        <v>3541</v>
      </c>
    </row>
  </sheetData>
  <mergeCells count="117">
    <mergeCell ref="A1:J1"/>
    <mergeCell ref="B229:J229"/>
    <mergeCell ref="A36:C36"/>
    <mergeCell ref="A68:C68"/>
    <mergeCell ref="D6:J6"/>
    <mergeCell ref="B231:J231"/>
    <mergeCell ref="A226:C226"/>
    <mergeCell ref="A29:C29"/>
    <mergeCell ref="A8:C8"/>
    <mergeCell ref="A22:C22"/>
    <mergeCell ref="B230:J230"/>
    <mergeCell ref="A77:C77"/>
    <mergeCell ref="A50:C50"/>
    <mergeCell ref="A59:C59"/>
    <mergeCell ref="A43:C43"/>
    <mergeCell ref="B228:J228"/>
    <mergeCell ref="A15:C15"/>
    <mergeCell ref="G87:J87"/>
    <mergeCell ref="G89:J89"/>
    <mergeCell ref="A91:B91"/>
    <mergeCell ref="E91:J91"/>
    <mergeCell ref="A93:C93"/>
    <mergeCell ref="D93:F93"/>
    <mergeCell ref="G93:J93"/>
    <mergeCell ref="A84:C84"/>
    <mergeCell ref="D84:F84"/>
    <mergeCell ref="G84:J84"/>
    <mergeCell ref="G85:J85"/>
    <mergeCell ref="G86:J86"/>
    <mergeCell ref="F99:J99"/>
    <mergeCell ref="F100:J100"/>
    <mergeCell ref="F101:J101"/>
    <mergeCell ref="F102:J102"/>
    <mergeCell ref="A103:B103"/>
    <mergeCell ref="C103:D103"/>
    <mergeCell ref="E103:J103"/>
    <mergeCell ref="G94:J94"/>
    <mergeCell ref="F95:J95"/>
    <mergeCell ref="F96:J96"/>
    <mergeCell ref="F97:J97"/>
    <mergeCell ref="F98:J98"/>
    <mergeCell ref="G108:J108"/>
    <mergeCell ref="G109:J109"/>
    <mergeCell ref="G110:J110"/>
    <mergeCell ref="G111:J111"/>
    <mergeCell ref="A112:B112"/>
    <mergeCell ref="C112:D112"/>
    <mergeCell ref="E112:J112"/>
    <mergeCell ref="A105:C105"/>
    <mergeCell ref="D105:F105"/>
    <mergeCell ref="G105:J105"/>
    <mergeCell ref="G106:J106"/>
    <mergeCell ref="G107:J107"/>
    <mergeCell ref="G116:J116"/>
    <mergeCell ref="G117:J117"/>
    <mergeCell ref="G118:J118"/>
    <mergeCell ref="G119:J119"/>
    <mergeCell ref="A120:D121"/>
    <mergeCell ref="E120:J121"/>
    <mergeCell ref="G113:J113"/>
    <mergeCell ref="A114:C114"/>
    <mergeCell ref="D114:F114"/>
    <mergeCell ref="G114:J114"/>
    <mergeCell ref="G115:J115"/>
    <mergeCell ref="G125:J125"/>
    <mergeCell ref="G126:J126"/>
    <mergeCell ref="G127:J127"/>
    <mergeCell ref="G128:J128"/>
    <mergeCell ref="G129:J129"/>
    <mergeCell ref="A122:C122"/>
    <mergeCell ref="D122:F122"/>
    <mergeCell ref="G122:J122"/>
    <mergeCell ref="G123:J123"/>
    <mergeCell ref="G124:J124"/>
    <mergeCell ref="B135:J135"/>
    <mergeCell ref="B136:J136"/>
    <mergeCell ref="B137:J137"/>
    <mergeCell ref="B138:J138"/>
    <mergeCell ref="B139:J139"/>
    <mergeCell ref="A130:B130"/>
    <mergeCell ref="C130:D130"/>
    <mergeCell ref="E130:J130"/>
    <mergeCell ref="A132:C132"/>
    <mergeCell ref="B134:J134"/>
    <mergeCell ref="B157:D157"/>
    <mergeCell ref="E157:G157"/>
    <mergeCell ref="B158:D158"/>
    <mergeCell ref="E158:G158"/>
    <mergeCell ref="B159:D159"/>
    <mergeCell ref="E159:G159"/>
    <mergeCell ref="B140:J140"/>
    <mergeCell ref="A142:H142"/>
    <mergeCell ref="B143:H143"/>
    <mergeCell ref="B144:H144"/>
    <mergeCell ref="B156:D156"/>
    <mergeCell ref="E156:G156"/>
    <mergeCell ref="B163:D163"/>
    <mergeCell ref="E163:G163"/>
    <mergeCell ref="A170:C170"/>
    <mergeCell ref="D170:F170"/>
    <mergeCell ref="G170:J170"/>
    <mergeCell ref="B160:D160"/>
    <mergeCell ref="E160:G160"/>
    <mergeCell ref="B161:D161"/>
    <mergeCell ref="E161:G161"/>
    <mergeCell ref="B162:D162"/>
    <mergeCell ref="E162:G162"/>
    <mergeCell ref="A203:C203"/>
    <mergeCell ref="D203:F203"/>
    <mergeCell ref="G203:J203"/>
    <mergeCell ref="G225:J225"/>
    <mergeCell ref="A181:C181"/>
    <mergeCell ref="D181:F181"/>
    <mergeCell ref="G181:J181"/>
    <mergeCell ref="A191:C191"/>
    <mergeCell ref="D191:F191"/>
    <mergeCell ref="G191:J191"/>
  </mergeCells>
  <conditionalFormatting sqref="B38:B40">
    <cfRule type="expression" dxfId="368" priority="132">
      <formula>B38="Pass"</formula>
    </cfRule>
    <cfRule type="expression" dxfId="367" priority="133">
      <formula>B38="Verify"</formula>
    </cfRule>
    <cfRule type="expression" dxfId="366" priority="134">
      <formula>B38="Fail"</formula>
    </cfRule>
    <cfRule type="expression" dxfId="365" priority="135">
      <formula>B38="Not Started"</formula>
    </cfRule>
  </conditionalFormatting>
  <conditionalFormatting sqref="B86:B90">
    <cfRule type="expression" dxfId="364" priority="21">
      <formula>B86="Complete"</formula>
    </cfRule>
    <cfRule type="expression" dxfId="363" priority="22">
      <formula>B86="In Progress"</formula>
    </cfRule>
    <cfRule type="expression" dxfId="362" priority="23">
      <formula>B86="At Risk"</formula>
    </cfRule>
    <cfRule type="expression" dxfId="361" priority="24">
      <formula>B86="Blocked"</formula>
    </cfRule>
    <cfRule type="expression" dxfId="360" priority="25">
      <formula>B86="Not Started"</formula>
    </cfRule>
  </conditionalFormatting>
  <conditionalFormatting sqref="B95:B102">
    <cfRule type="expression" dxfId="359" priority="1">
      <formula>B95="Complete"</formula>
    </cfRule>
    <cfRule type="expression" dxfId="358" priority="2">
      <formula>B95="In Progress"</formula>
    </cfRule>
    <cfRule type="expression" dxfId="357" priority="3">
      <formula>B95="At Risk"</formula>
    </cfRule>
    <cfRule type="expression" dxfId="356" priority="4">
      <formula>B95="Blocked"</formula>
    </cfRule>
    <cfRule type="expression" dxfId="355" priority="5">
      <formula>B95="Not Started"</formula>
    </cfRule>
  </conditionalFormatting>
  <conditionalFormatting sqref="B107:B111">
    <cfRule type="expression" dxfId="354" priority="26">
      <formula>B107="Complete"</formula>
    </cfRule>
    <cfRule type="expression" dxfId="353" priority="27">
      <formula>B107="In Progress"</formula>
    </cfRule>
    <cfRule type="expression" dxfId="352" priority="28">
      <formula>B107="At Risk"</formula>
    </cfRule>
    <cfRule type="expression" dxfId="351" priority="29">
      <formula>B107="Blocked"</formula>
    </cfRule>
    <cfRule type="expression" dxfId="350" priority="30">
      <formula>B107="Not Started"</formula>
    </cfRule>
  </conditionalFormatting>
  <conditionalFormatting sqref="B116:B119">
    <cfRule type="expression" dxfId="349" priority="6">
      <formula>B116="Complete"</formula>
    </cfRule>
    <cfRule type="expression" dxfId="348" priority="7">
      <formula>B116="In Progress"</formula>
    </cfRule>
    <cfRule type="expression" dxfId="347" priority="8">
      <formula>B116="At Risk"</formula>
    </cfRule>
    <cfRule type="expression" dxfId="346" priority="9">
      <formula>B116="Blocked"</formula>
    </cfRule>
    <cfRule type="expression" dxfId="345" priority="10">
      <formula>B116="Not Started"</formula>
    </cfRule>
  </conditionalFormatting>
  <conditionalFormatting sqref="B124:B129">
    <cfRule type="expression" dxfId="344" priority="11">
      <formula>B124="Complete"</formula>
    </cfRule>
    <cfRule type="expression" dxfId="343" priority="12">
      <formula>B124="In Progress"</formula>
    </cfRule>
    <cfRule type="expression" dxfId="342" priority="13">
      <formula>B124="At Risk"</formula>
    </cfRule>
    <cfRule type="expression" dxfId="341" priority="14">
      <formula>B124="Blocked"</formula>
    </cfRule>
    <cfRule type="expression" dxfId="340" priority="15">
      <formula>B124="Not Started"</formula>
    </cfRule>
  </conditionalFormatting>
  <conditionalFormatting sqref="B147:B154">
    <cfRule type="expression" dxfId="339" priority="82">
      <formula>B147="Yes"</formula>
    </cfRule>
    <cfRule type="expression" dxfId="338" priority="83">
      <formula>B147="N/A"</formula>
    </cfRule>
    <cfRule type="expression" dxfId="337" priority="84">
      <formula>B147="No"</formula>
    </cfRule>
  </conditionalFormatting>
  <conditionalFormatting sqref="B164:H164">
    <cfRule type="expression" dxfId="336" priority="85">
      <formula>COUNTIF($B$6:$B$13,"No")=0</formula>
    </cfRule>
    <cfRule type="expression" dxfId="335" priority="86">
      <formula>COUNTIF($B$6:$B$13,"No")&gt;0</formula>
    </cfRule>
  </conditionalFormatting>
  <conditionalFormatting sqref="B17:I19">
    <cfRule type="expression" dxfId="334" priority="120">
      <formula>B17="Pass"</formula>
    </cfRule>
    <cfRule type="expression" dxfId="333" priority="121">
      <formula>B17="Verify"</formula>
    </cfRule>
    <cfRule type="expression" dxfId="332" priority="122">
      <formula>B17="Fail"</formula>
    </cfRule>
    <cfRule type="expression" dxfId="331" priority="123">
      <formula>B17="Not Started"</formula>
    </cfRule>
  </conditionalFormatting>
  <conditionalFormatting sqref="B24:I26">
    <cfRule type="expression" dxfId="330" priority="124">
      <formula>B24="Pass"</formula>
    </cfRule>
    <cfRule type="expression" dxfId="329" priority="125">
      <formula>B24="Verify"</formula>
    </cfRule>
    <cfRule type="expression" dxfId="328" priority="126">
      <formula>B24="Fail"</formula>
    </cfRule>
    <cfRule type="expression" dxfId="327" priority="127">
      <formula>B24="Not Started"</formula>
    </cfRule>
  </conditionalFormatting>
  <conditionalFormatting sqref="B31:I33">
    <cfRule type="expression" dxfId="326" priority="128">
      <formula>B31="Pass"</formula>
    </cfRule>
    <cfRule type="expression" dxfId="325" priority="129">
      <formula>B31="Verify"</formula>
    </cfRule>
    <cfRule type="expression" dxfId="324" priority="130">
      <formula>B31="Fail"</formula>
    </cfRule>
    <cfRule type="expression" dxfId="323" priority="131">
      <formula>B31="Not Started"</formula>
    </cfRule>
  </conditionalFormatting>
  <conditionalFormatting sqref="B45:I47">
    <cfRule type="expression" dxfId="322" priority="140">
      <formula>B45="Pass"</formula>
    </cfRule>
    <cfRule type="expression" dxfId="321" priority="141">
      <formula>B45="Verify"</formula>
    </cfRule>
    <cfRule type="expression" dxfId="320" priority="142">
      <formula>B45="Fail"</formula>
    </cfRule>
    <cfRule type="expression" dxfId="319" priority="143">
      <formula>B45="Not Started"</formula>
    </cfRule>
  </conditionalFormatting>
  <conditionalFormatting sqref="C91:D91">
    <cfRule type="dataBar" priority="37">
      <dataBar>
        <cfvo type="num" val="0"/>
        <cfvo type="num" val="1"/>
        <color rgb="FF5B9BD5"/>
      </dataBar>
    </cfRule>
  </conditionalFormatting>
  <conditionalFormatting sqref="C95:D102">
    <cfRule type="expression" dxfId="318" priority="31">
      <formula>C95="Yes"</formula>
    </cfRule>
    <cfRule type="expression" dxfId="317" priority="32">
      <formula>C95="No"</formula>
    </cfRule>
    <cfRule type="expression" dxfId="316" priority="33">
      <formula>C95="N/A"</formula>
    </cfRule>
  </conditionalFormatting>
  <conditionalFormatting sqref="C103:D103">
    <cfRule type="dataBar" priority="38">
      <dataBar>
        <cfvo type="num" val="0"/>
        <cfvo type="num" val="1"/>
        <color rgb="FF5B9BD5"/>
      </dataBar>
    </cfRule>
  </conditionalFormatting>
  <conditionalFormatting sqref="C112:D112">
    <cfRule type="dataBar" priority="39">
      <dataBar>
        <cfvo type="num" val="0"/>
        <cfvo type="num" val="1"/>
        <color rgb="FF5B9BD5"/>
      </dataBar>
    </cfRule>
  </conditionalFormatting>
  <conditionalFormatting sqref="C124:D129">
    <cfRule type="expression" dxfId="315" priority="16">
      <formula>C124="Yes"</formula>
    </cfRule>
    <cfRule type="expression" dxfId="314" priority="17">
      <formula>C124="No"</formula>
    </cfRule>
    <cfRule type="expression" dxfId="313" priority="18">
      <formula>C124="N/A"</formula>
    </cfRule>
  </conditionalFormatting>
  <conditionalFormatting sqref="C130:D130">
    <cfRule type="dataBar" priority="20">
      <dataBar>
        <cfvo type="num" val="0"/>
        <cfvo type="num" val="1"/>
        <color rgb="FF5B9BD5"/>
      </dataBar>
    </cfRule>
  </conditionalFormatting>
  <conditionalFormatting sqref="D38:I40">
    <cfRule type="expression" dxfId="312" priority="136">
      <formula>D38="Pass"</formula>
    </cfRule>
    <cfRule type="expression" dxfId="311" priority="137">
      <formula>D38="Verify"</formula>
    </cfRule>
    <cfRule type="expression" dxfId="310" priority="138">
      <formula>D38="Fail"</formula>
    </cfRule>
    <cfRule type="expression" dxfId="309" priority="139">
      <formula>D38="Not Started"</formula>
    </cfRule>
  </conditionalFormatting>
  <conditionalFormatting sqref="E5 G5 I5">
    <cfRule type="expression" dxfId="308" priority="87">
      <formula>E5="Pass"</formula>
    </cfRule>
    <cfRule type="expression" dxfId="307" priority="88">
      <formula>E5="Verify"</formula>
    </cfRule>
    <cfRule type="expression" dxfId="306" priority="89">
      <formula>E5="Fail"</formula>
    </cfRule>
    <cfRule type="expression" dxfId="305" priority="90">
      <formula>E5="Not Started"</formula>
    </cfRule>
  </conditionalFormatting>
  <conditionalFormatting sqref="F3">
    <cfRule type="expression" dxfId="304" priority="91">
      <formula>F3="Yes"</formula>
    </cfRule>
    <cfRule type="expression" dxfId="303" priority="92">
      <formula>F3="No"</formula>
    </cfRule>
  </conditionalFormatting>
  <conditionalFormatting sqref="F107:F111">
    <cfRule type="expression" dxfId="302" priority="34">
      <formula>F107="Pass"</formula>
    </cfRule>
    <cfRule type="expression" dxfId="301" priority="35">
      <formula>F107="Fail"</formula>
    </cfRule>
    <cfRule type="expression" dxfId="300" priority="36">
      <formula>F107="Pending"</formula>
    </cfRule>
  </conditionalFormatting>
  <conditionalFormatting sqref="F116:F119">
    <cfRule type="dataBar" priority="19">
      <dataBar>
        <cfvo type="num" val="0"/>
        <cfvo type="num" val="1"/>
        <color rgb="FF5B9BD5"/>
      </dataBar>
    </cfRule>
  </conditionalFormatting>
  <conditionalFormatting sqref="H10:H12">
    <cfRule type="expression" dxfId="299" priority="116">
      <formula>H10="Pass"</formula>
    </cfRule>
    <cfRule type="expression" dxfId="298" priority="117">
      <formula>H10="Verify"</formula>
    </cfRule>
    <cfRule type="expression" dxfId="297" priority="118">
      <formula>H10="Fail"</formula>
    </cfRule>
    <cfRule type="expression" dxfId="296" priority="119">
      <formula>H10="Not Started"</formula>
    </cfRule>
  </conditionalFormatting>
  <conditionalFormatting sqref="I79:I81">
    <cfRule type="expression" dxfId="295" priority="144">
      <formula>LEFT(I79,5)="Ready"</formula>
    </cfRule>
    <cfRule type="expression" dxfId="294" priority="145">
      <formula>LEFT(I79,7)="Partial"</formula>
    </cfRule>
    <cfRule type="expression" dxfId="293" priority="146">
      <formula>LEFT(I79,7)="At Risk"</formula>
    </cfRule>
  </conditionalFormatting>
  <dataValidations count="10">
    <dataValidation type="list" sqref="E52:E56" xr:uid="{00000000-0002-0000-3B00-000000000000}">
      <formula1>"Low,Medium,High"</formula1>
      <formula2>0</formula2>
    </dataValidation>
    <dataValidation type="list" sqref="D52:D56" xr:uid="{00000000-0002-0000-3B00-000001000000}">
      <formula1>"Low,Medium,High,Critical"</formula1>
      <formula2>0</formula2>
    </dataValidation>
    <dataValidation type="list" sqref="B5:B6 B17:I19 B24:I26 B31:I33 B38:B40 B45:I47 D5:J5 D38:I40 H10:H12" xr:uid="{00000000-0002-0000-3B00-000002000000}">
      <formula1>"Not Started,Verify,Pass,Fail,N/A"</formula1>
      <formula2>0</formula2>
    </dataValidation>
    <dataValidation type="list" sqref="G79:G81" xr:uid="{00000000-0002-0000-3B00-000005000000}">
      <formula1>"Pass,Verify,Fail,Not Started,N/A"</formula1>
      <formula2>0</formula2>
    </dataValidation>
    <dataValidation type="list" sqref="I70:I74 D61:D65 I52:I56" xr:uid="{00000000-0002-0000-3B00-000006000000}">
      <formula1>"Open,In Progress,Answered,Closed"</formula1>
      <formula2>0</formula2>
    </dataValidation>
    <dataValidation type="list" sqref="H135:I140 H132:I133" xr:uid="{CAC329C9-DE65-4E88-B7BC-E5682F91300D}">
      <formula1>"Not Started,Verify,Pass,Fail,N/A,Open,Closed,Partial / Yellow"</formula1>
      <formula2>0</formula2>
    </dataValidation>
    <dataValidation type="list" sqref="B147:B154" xr:uid="{CCEABE4A-F6E0-4592-A20C-86DDEC52EE4E}">
      <formula1>"No,Yes,N/A"</formula1>
    </dataValidation>
    <dataValidation type="list" allowBlank="1" sqref="B116:B119 B107:B111" xr:uid="{4659AEE6-EA0A-428A-A89B-4798BA4E49CC}">
      <formula1>"Not Started,In Progress,Complete,At Risk,Blocked"</formula1>
    </dataValidation>
    <dataValidation type="list" allowBlank="1" sqref="C95:D102 C124:D129" xr:uid="{C4491410-2537-4FAE-B09F-4E3897A6AD26}">
      <formula1>"Yes,No,N/A"</formula1>
    </dataValidation>
    <dataValidation type="list" allowBlank="1" sqref="F107:F111" xr:uid="{1AB52D18-DC13-42FF-B9C6-68FC9F9548F6}">
      <formula1>"Pending,Pass,Fail,N/A"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D6239EBA-03BC-4EE3-88CA-8ADBEAD406CD}">
          <x14:formula1>
            <xm:f>Lookup_Lists!$L$37:$L$39</xm:f>
          </x14:formula1>
          <xm:sqref>C107:E111 J2</xm:sqref>
        </x14:dataValidation>
        <x14:dataValidation type="list" allowBlank="1" showInputMessage="1" showErrorMessage="1" xr:uid="{7170639D-E193-41D3-8A7F-3A371200FD45}">
          <x14:formula1>
            <xm:f>Lookup_Lists!$A$36:$A$42</xm:f>
          </x14:formula1>
          <xm:sqref>B86:B90 B95:B102 B124:B129</xm:sqref>
        </x14:dataValidation>
      </x14:dataValidations>
    </ext>
  </extLst>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144B3-77FC-4880-BB25-C97DEC10C2C5}">
  <dimension ref="A1:J283"/>
  <sheetViews>
    <sheetView topLeftCell="A18" workbookViewId="0">
      <selection activeCell="B4" sqref="B4"/>
    </sheetView>
  </sheetViews>
  <sheetFormatPr defaultColWidth="8.6640625" defaultRowHeight="14.4"/>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6640625" style="8" customWidth="1"/>
    <col min="13" max="16384" width="8.6640625" style="8"/>
  </cols>
  <sheetData>
    <row r="1" spans="1:10">
      <c r="A1" s="851" t="s">
        <v>3542</v>
      </c>
      <c r="B1" s="839"/>
      <c r="C1" s="839"/>
      <c r="D1" s="839"/>
      <c r="E1" s="839"/>
      <c r="F1" s="839"/>
      <c r="G1" s="839"/>
      <c r="H1" s="839"/>
      <c r="I1" s="839"/>
      <c r="J1" s="839"/>
    </row>
    <row r="2" spans="1:10" s="227" customFormat="1">
      <c r="A2" s="223" t="s">
        <v>142</v>
      </c>
      <c r="B2" s="224">
        <v>78</v>
      </c>
      <c r="C2" s="223" t="s">
        <v>902</v>
      </c>
      <c r="D2" s="224" t="s">
        <v>1094</v>
      </c>
      <c r="E2" s="223" t="s">
        <v>151</v>
      </c>
      <c r="F2" s="224" t="s">
        <v>1095</v>
      </c>
      <c r="G2" s="223" t="s">
        <v>174</v>
      </c>
      <c r="H2" s="257">
        <v>0.5</v>
      </c>
      <c r="I2" s="223" t="s">
        <v>154</v>
      </c>
      <c r="J2" s="226" t="s">
        <v>1096</v>
      </c>
    </row>
    <row r="3" spans="1:10" s="231" customFormat="1" ht="27.6">
      <c r="A3" s="223" t="s">
        <v>903</v>
      </c>
      <c r="B3" s="228">
        <v>46198.803445266203</v>
      </c>
      <c r="C3" s="229" t="s">
        <v>904</v>
      </c>
      <c r="D3" s="230" t="s">
        <v>721</v>
      </c>
      <c r="E3" s="223" t="s">
        <v>905</v>
      </c>
      <c r="F3" s="230" t="s">
        <v>3543</v>
      </c>
      <c r="G3" s="223" t="s">
        <v>907</v>
      </c>
      <c r="H3" s="230" t="s">
        <v>908</v>
      </c>
      <c r="I3" s="223" t="s">
        <v>551</v>
      </c>
      <c r="J3" s="230" t="s">
        <v>3544</v>
      </c>
    </row>
    <row r="4" spans="1:10" s="231" customFormat="1" ht="303.60000000000002">
      <c r="A4" s="223" t="s">
        <v>161</v>
      </c>
      <c r="B4" s="230">
        <v>0</v>
      </c>
      <c r="C4" s="223" t="s">
        <v>199</v>
      </c>
      <c r="D4" s="230">
        <v>0</v>
      </c>
      <c r="E4" s="223" t="s">
        <v>179</v>
      </c>
      <c r="F4" s="230">
        <v>0</v>
      </c>
      <c r="G4" s="223" t="s">
        <v>870</v>
      </c>
      <c r="H4" s="232" t="s">
        <v>3545</v>
      </c>
      <c r="I4" s="233"/>
      <c r="J4" s="233"/>
    </row>
    <row r="5" spans="1:10" s="231" customFormat="1">
      <c r="A5" s="234" t="s">
        <v>911</v>
      </c>
      <c r="B5" s="225" t="s">
        <v>677</v>
      </c>
      <c r="C5" s="235" t="s">
        <v>912</v>
      </c>
      <c r="D5" s="225" t="s">
        <v>677</v>
      </c>
      <c r="E5" s="236" t="s">
        <v>913</v>
      </c>
      <c r="F5" s="225" t="s">
        <v>677</v>
      </c>
      <c r="G5" s="237" t="s">
        <v>914</v>
      </c>
      <c r="H5" s="225" t="s">
        <v>677</v>
      </c>
      <c r="I5" s="237" t="s">
        <v>915</v>
      </c>
      <c r="J5" s="225" t="s">
        <v>677</v>
      </c>
    </row>
    <row r="6" spans="1:10" s="231" customFormat="1" ht="39.75" customHeight="1">
      <c r="A6" s="238" t="s">
        <v>916</v>
      </c>
      <c r="B6" s="225" t="s">
        <v>677</v>
      </c>
      <c r="C6" s="239" t="s">
        <v>869</v>
      </c>
      <c r="D6" s="854" t="s">
        <v>3546</v>
      </c>
      <c r="E6" s="853"/>
      <c r="F6" s="853"/>
      <c r="G6" s="853"/>
      <c r="H6" s="853"/>
      <c r="I6" s="853"/>
      <c r="J6" s="853"/>
    </row>
    <row r="7" spans="1:10">
      <c r="A7" s="13"/>
      <c r="B7" s="13"/>
      <c r="C7" s="13"/>
      <c r="D7" s="13"/>
      <c r="E7" s="13"/>
      <c r="F7" s="13"/>
      <c r="G7" s="13"/>
      <c r="H7" s="13"/>
      <c r="I7" s="13"/>
      <c r="J7" s="13"/>
    </row>
    <row r="8" spans="1:10">
      <c r="A8" s="842" t="s">
        <v>918</v>
      </c>
      <c r="B8" s="839"/>
      <c r="C8" s="839"/>
      <c r="D8" s="85"/>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82.8">
      <c r="A10" s="13" t="s">
        <v>3547</v>
      </c>
      <c r="B10" s="13" t="s">
        <v>443</v>
      </c>
      <c r="C10" s="13" t="s">
        <v>923</v>
      </c>
      <c r="D10" s="13" t="s">
        <v>3548</v>
      </c>
      <c r="E10" s="13" t="s">
        <v>356</v>
      </c>
      <c r="F10" s="13">
        <v>2</v>
      </c>
      <c r="G10" s="13">
        <v>1</v>
      </c>
      <c r="H10" s="13" t="s">
        <v>677</v>
      </c>
      <c r="I10" s="13" t="s">
        <v>3549</v>
      </c>
      <c r="J10" s="13" t="s">
        <v>3550</v>
      </c>
    </row>
    <row r="11" spans="1:10" ht="82.8">
      <c r="A11" s="13" t="s">
        <v>3547</v>
      </c>
      <c r="B11" s="13" t="s">
        <v>3551</v>
      </c>
      <c r="C11" s="13" t="s">
        <v>923</v>
      </c>
      <c r="D11" s="13" t="s">
        <v>3548</v>
      </c>
      <c r="E11" s="13" t="s">
        <v>356</v>
      </c>
      <c r="F11" s="13">
        <v>1</v>
      </c>
      <c r="G11" s="13">
        <v>1</v>
      </c>
      <c r="H11" s="13" t="s">
        <v>677</v>
      </c>
      <c r="I11" s="13" t="s">
        <v>3552</v>
      </c>
      <c r="J11" s="13" t="s">
        <v>3553</v>
      </c>
    </row>
    <row r="12" spans="1:10" ht="96.6">
      <c r="A12" s="13" t="s">
        <v>3547</v>
      </c>
      <c r="B12" s="13" t="s">
        <v>712</v>
      </c>
      <c r="C12" s="13" t="s">
        <v>919</v>
      </c>
      <c r="D12" s="13" t="s">
        <v>3554</v>
      </c>
      <c r="E12" s="13" t="s">
        <v>356</v>
      </c>
      <c r="F12" s="13">
        <v>1</v>
      </c>
      <c r="G12" s="13">
        <v>1</v>
      </c>
      <c r="H12" s="13" t="s">
        <v>677</v>
      </c>
      <c r="I12" s="13" t="s">
        <v>3555</v>
      </c>
      <c r="J12" s="13" t="s">
        <v>3556</v>
      </c>
    </row>
    <row r="13" spans="1:10" ht="96.6">
      <c r="A13" s="13" t="s">
        <v>3547</v>
      </c>
      <c r="B13" s="13" t="s">
        <v>446</v>
      </c>
      <c r="C13" s="13" t="s">
        <v>933</v>
      </c>
      <c r="D13" s="13" t="s">
        <v>3557</v>
      </c>
      <c r="E13" s="13" t="s">
        <v>356</v>
      </c>
      <c r="F13" s="13">
        <v>1</v>
      </c>
      <c r="G13" s="13">
        <v>1</v>
      </c>
      <c r="H13" s="13" t="s">
        <v>677</v>
      </c>
      <c r="I13" s="13" t="s">
        <v>3558</v>
      </c>
      <c r="J13" s="13" t="s">
        <v>3559</v>
      </c>
    </row>
    <row r="14" spans="1:10" ht="69">
      <c r="A14" s="13" t="s">
        <v>3547</v>
      </c>
      <c r="B14" s="13" t="s">
        <v>684</v>
      </c>
      <c r="C14" s="13" t="s">
        <v>1107</v>
      </c>
      <c r="D14" s="13" t="s">
        <v>3560</v>
      </c>
      <c r="E14" s="13" t="s">
        <v>356</v>
      </c>
      <c r="F14" s="13">
        <v>2</v>
      </c>
      <c r="G14" s="13">
        <v>1</v>
      </c>
      <c r="H14" s="13" t="s">
        <v>677</v>
      </c>
      <c r="I14" s="13" t="s">
        <v>3561</v>
      </c>
      <c r="J14" s="13" t="s">
        <v>3562</v>
      </c>
    </row>
    <row r="15" spans="1:10" ht="69">
      <c r="A15" s="13" t="s">
        <v>3547</v>
      </c>
      <c r="B15" s="13" t="s">
        <v>713</v>
      </c>
      <c r="C15" s="13" t="s">
        <v>3563</v>
      </c>
      <c r="D15" s="13" t="s">
        <v>3564</v>
      </c>
      <c r="E15" s="13" t="s">
        <v>356</v>
      </c>
      <c r="F15" s="13">
        <v>1</v>
      </c>
      <c r="G15" s="13">
        <v>1</v>
      </c>
      <c r="H15" s="13" t="s">
        <v>677</v>
      </c>
      <c r="I15" s="13" t="s">
        <v>3565</v>
      </c>
      <c r="J15" s="13" t="s">
        <v>3566</v>
      </c>
    </row>
    <row r="16" spans="1:10" ht="82.8">
      <c r="A16" s="13" t="s">
        <v>3547</v>
      </c>
      <c r="B16" s="13" t="s">
        <v>3567</v>
      </c>
      <c r="C16" s="13" t="s">
        <v>3568</v>
      </c>
      <c r="D16" s="13" t="s">
        <v>3569</v>
      </c>
      <c r="E16" s="13" t="s">
        <v>1118</v>
      </c>
      <c r="F16" s="13">
        <v>5</v>
      </c>
      <c r="G16" s="13">
        <v>0</v>
      </c>
      <c r="H16" s="13" t="s">
        <v>677</v>
      </c>
      <c r="I16" s="13" t="s">
        <v>3570</v>
      </c>
      <c r="J16" s="13" t="s">
        <v>3571</v>
      </c>
    </row>
    <row r="17" spans="1:10">
      <c r="A17" s="13"/>
      <c r="B17" s="13"/>
      <c r="C17" s="13"/>
      <c r="D17" s="13"/>
      <c r="E17" s="13"/>
      <c r="F17" s="13"/>
      <c r="G17" s="13"/>
      <c r="H17" s="13"/>
      <c r="I17" s="13"/>
      <c r="J17" s="13"/>
    </row>
    <row r="18" spans="1:10">
      <c r="A18" s="842" t="s">
        <v>936</v>
      </c>
      <c r="B18" s="839"/>
      <c r="C18" s="839"/>
      <c r="D18" s="85"/>
      <c r="E18" s="85"/>
      <c r="F18" s="85"/>
      <c r="G18" s="85"/>
      <c r="H18" s="85"/>
      <c r="I18" s="85"/>
      <c r="J18" s="85"/>
    </row>
    <row r="19" spans="1:10">
      <c r="A19" s="50" t="s">
        <v>275</v>
      </c>
      <c r="B19" s="50" t="s">
        <v>937</v>
      </c>
      <c r="C19" s="50" t="s">
        <v>938</v>
      </c>
      <c r="D19" s="50" t="s">
        <v>939</v>
      </c>
      <c r="E19" s="50" t="s">
        <v>940</v>
      </c>
      <c r="F19" s="50" t="s">
        <v>941</v>
      </c>
      <c r="G19" s="50" t="s">
        <v>942</v>
      </c>
      <c r="H19" s="50" t="s">
        <v>943</v>
      </c>
      <c r="I19" s="50" t="s">
        <v>899</v>
      </c>
      <c r="J19" s="50" t="s">
        <v>944</v>
      </c>
    </row>
    <row r="20" spans="1:10" ht="69">
      <c r="A20" s="13" t="s">
        <v>443</v>
      </c>
      <c r="B20" s="13" t="s">
        <v>677</v>
      </c>
      <c r="C20" s="13" t="s">
        <v>677</v>
      </c>
      <c r="D20" s="13" t="s">
        <v>677</v>
      </c>
      <c r="E20" s="13" t="s">
        <v>677</v>
      </c>
      <c r="F20" s="13" t="s">
        <v>677</v>
      </c>
      <c r="G20" s="13" t="s">
        <v>677</v>
      </c>
      <c r="H20" s="13" t="s">
        <v>677</v>
      </c>
      <c r="I20" s="13" t="s">
        <v>677</v>
      </c>
      <c r="J20" s="13" t="s">
        <v>3572</v>
      </c>
    </row>
    <row r="21" spans="1:10" ht="55.2">
      <c r="A21" s="13" t="s">
        <v>3551</v>
      </c>
      <c r="B21" s="13" t="s">
        <v>677</v>
      </c>
      <c r="C21" s="13" t="s">
        <v>677</v>
      </c>
      <c r="D21" s="13" t="s">
        <v>677</v>
      </c>
      <c r="E21" s="13" t="s">
        <v>677</v>
      </c>
      <c r="F21" s="13" t="s">
        <v>677</v>
      </c>
      <c r="G21" s="13" t="s">
        <v>677</v>
      </c>
      <c r="H21" s="13" t="s">
        <v>677</v>
      </c>
      <c r="I21" s="13" t="s">
        <v>677</v>
      </c>
      <c r="J21" s="13" t="s">
        <v>3573</v>
      </c>
    </row>
    <row r="22" spans="1:10" ht="55.2">
      <c r="A22" s="13" t="s">
        <v>712</v>
      </c>
      <c r="B22" s="13" t="s">
        <v>677</v>
      </c>
      <c r="C22" s="13" t="s">
        <v>677</v>
      </c>
      <c r="D22" s="13" t="s">
        <v>677</v>
      </c>
      <c r="E22" s="13" t="s">
        <v>677</v>
      </c>
      <c r="F22" s="13" t="s">
        <v>677</v>
      </c>
      <c r="G22" s="13" t="s">
        <v>677</v>
      </c>
      <c r="H22" s="13" t="s">
        <v>677</v>
      </c>
      <c r="I22" s="13" t="s">
        <v>677</v>
      </c>
      <c r="J22" s="13" t="s">
        <v>3574</v>
      </c>
    </row>
    <row r="23" spans="1:10" ht="55.2">
      <c r="A23" s="13" t="s">
        <v>446</v>
      </c>
      <c r="B23" s="13" t="s">
        <v>677</v>
      </c>
      <c r="C23" s="13" t="s">
        <v>677</v>
      </c>
      <c r="D23" s="13" t="s">
        <v>677</v>
      </c>
      <c r="E23" s="13" t="s">
        <v>677</v>
      </c>
      <c r="F23" s="13" t="s">
        <v>677</v>
      </c>
      <c r="G23" s="13" t="s">
        <v>677</v>
      </c>
      <c r="H23" s="13" t="s">
        <v>677</v>
      </c>
      <c r="I23" s="13" t="s">
        <v>677</v>
      </c>
      <c r="J23" s="13" t="s">
        <v>3575</v>
      </c>
    </row>
    <row r="24" spans="1:10" ht="41.4">
      <c r="A24" s="13" t="s">
        <v>684</v>
      </c>
      <c r="B24" s="13" t="s">
        <v>677</v>
      </c>
      <c r="C24" s="13" t="s">
        <v>677</v>
      </c>
      <c r="D24" s="13" t="s">
        <v>677</v>
      </c>
      <c r="E24" s="13" t="s">
        <v>677</v>
      </c>
      <c r="F24" s="13" t="s">
        <v>677</v>
      </c>
      <c r="G24" s="13" t="s">
        <v>677</v>
      </c>
      <c r="H24" s="13" t="s">
        <v>677</v>
      </c>
      <c r="I24" s="13" t="s">
        <v>677</v>
      </c>
      <c r="J24" s="13" t="s">
        <v>3576</v>
      </c>
    </row>
    <row r="25" spans="1:10" ht="41.4">
      <c r="A25" s="13" t="s">
        <v>713</v>
      </c>
      <c r="B25" s="13" t="s">
        <v>677</v>
      </c>
      <c r="C25" s="13" t="s">
        <v>677</v>
      </c>
      <c r="D25" s="13" t="s">
        <v>677</v>
      </c>
      <c r="E25" s="13" t="s">
        <v>677</v>
      </c>
      <c r="F25" s="13" t="s">
        <v>677</v>
      </c>
      <c r="G25" s="13" t="s">
        <v>677</v>
      </c>
      <c r="H25" s="13" t="s">
        <v>677</v>
      </c>
      <c r="I25" s="13" t="s">
        <v>677</v>
      </c>
      <c r="J25" s="13" t="s">
        <v>3577</v>
      </c>
    </row>
    <row r="26" spans="1:10" ht="55.2">
      <c r="A26" s="13" t="s">
        <v>606</v>
      </c>
      <c r="B26" s="13" t="s">
        <v>946</v>
      </c>
      <c r="C26" s="13" t="s">
        <v>946</v>
      </c>
      <c r="D26" s="13" t="s">
        <v>946</v>
      </c>
      <c r="E26" s="13" t="s">
        <v>677</v>
      </c>
      <c r="F26" s="13" t="s">
        <v>677</v>
      </c>
      <c r="G26" s="13" t="s">
        <v>677</v>
      </c>
      <c r="H26" s="13" t="s">
        <v>677</v>
      </c>
      <c r="I26" s="13" t="s">
        <v>677</v>
      </c>
      <c r="J26" s="13" t="s">
        <v>3578</v>
      </c>
    </row>
    <row r="27" spans="1:10">
      <c r="A27" s="13"/>
      <c r="B27" s="13"/>
      <c r="C27" s="13"/>
      <c r="D27" s="13"/>
      <c r="E27" s="13"/>
      <c r="F27" s="13"/>
      <c r="G27" s="13"/>
      <c r="H27" s="13"/>
      <c r="I27" s="13"/>
      <c r="J27" s="13"/>
    </row>
    <row r="28" spans="1:10">
      <c r="A28" s="842" t="s">
        <v>951</v>
      </c>
      <c r="B28" s="839"/>
      <c r="C28" s="839"/>
      <c r="D28" s="85"/>
      <c r="E28" s="85"/>
      <c r="F28" s="85"/>
      <c r="G28" s="85"/>
      <c r="H28" s="85"/>
      <c r="I28" s="85"/>
      <c r="J28" s="85"/>
    </row>
    <row r="29" spans="1:10">
      <c r="A29" s="50" t="s">
        <v>275</v>
      </c>
      <c r="B29" s="50" t="s">
        <v>952</v>
      </c>
      <c r="C29" s="50" t="s">
        <v>953</v>
      </c>
      <c r="D29" s="50" t="s">
        <v>954</v>
      </c>
      <c r="E29" s="50" t="s">
        <v>955</v>
      </c>
      <c r="F29" s="50" t="s">
        <v>956</v>
      </c>
      <c r="G29" s="50" t="s">
        <v>957</v>
      </c>
      <c r="H29" s="50" t="s">
        <v>958</v>
      </c>
      <c r="I29" s="50" t="s">
        <v>899</v>
      </c>
      <c r="J29" s="50" t="s">
        <v>959</v>
      </c>
    </row>
    <row r="30" spans="1:10" ht="55.2">
      <c r="A30" s="13" t="s">
        <v>443</v>
      </c>
      <c r="B30" s="13" t="s">
        <v>677</v>
      </c>
      <c r="C30" s="13" t="s">
        <v>677</v>
      </c>
      <c r="D30" s="13" t="s">
        <v>677</v>
      </c>
      <c r="E30" s="13" t="s">
        <v>677</v>
      </c>
      <c r="F30" s="13" t="s">
        <v>677</v>
      </c>
      <c r="G30" s="13" t="s">
        <v>677</v>
      </c>
      <c r="H30" s="13" t="s">
        <v>677</v>
      </c>
      <c r="I30" s="13" t="s">
        <v>677</v>
      </c>
      <c r="J30" s="13" t="s">
        <v>3579</v>
      </c>
    </row>
    <row r="31" spans="1:10" ht="41.4">
      <c r="A31" s="13" t="s">
        <v>3551</v>
      </c>
      <c r="B31" s="13" t="s">
        <v>677</v>
      </c>
      <c r="C31" s="13" t="s">
        <v>677</v>
      </c>
      <c r="D31" s="13" t="s">
        <v>677</v>
      </c>
      <c r="E31" s="13" t="s">
        <v>677</v>
      </c>
      <c r="F31" s="13" t="s">
        <v>677</v>
      </c>
      <c r="G31" s="13" t="s">
        <v>677</v>
      </c>
      <c r="H31" s="13" t="s">
        <v>677</v>
      </c>
      <c r="I31" s="13" t="s">
        <v>677</v>
      </c>
      <c r="J31" s="13" t="s">
        <v>3580</v>
      </c>
    </row>
    <row r="32" spans="1:10" ht="27.6">
      <c r="A32" s="13" t="s">
        <v>712</v>
      </c>
      <c r="B32" s="13" t="s">
        <v>677</v>
      </c>
      <c r="C32" s="13" t="s">
        <v>677</v>
      </c>
      <c r="D32" s="13" t="s">
        <v>677</v>
      </c>
      <c r="E32" s="13" t="s">
        <v>677</v>
      </c>
      <c r="F32" s="13" t="s">
        <v>677</v>
      </c>
      <c r="G32" s="13" t="s">
        <v>677</v>
      </c>
      <c r="H32" s="13" t="s">
        <v>677</v>
      </c>
      <c r="I32" s="13" t="s">
        <v>677</v>
      </c>
      <c r="J32" s="13" t="s">
        <v>3581</v>
      </c>
    </row>
    <row r="33" spans="1:10" ht="41.4">
      <c r="A33" s="13" t="s">
        <v>446</v>
      </c>
      <c r="B33" s="13" t="s">
        <v>677</v>
      </c>
      <c r="C33" s="13" t="s">
        <v>677</v>
      </c>
      <c r="D33" s="13" t="s">
        <v>677</v>
      </c>
      <c r="E33" s="13" t="s">
        <v>677</v>
      </c>
      <c r="F33" s="13" t="s">
        <v>677</v>
      </c>
      <c r="G33" s="13" t="s">
        <v>677</v>
      </c>
      <c r="H33" s="13" t="s">
        <v>677</v>
      </c>
      <c r="I33" s="13" t="s">
        <v>677</v>
      </c>
      <c r="J33" s="13" t="s">
        <v>3582</v>
      </c>
    </row>
    <row r="34" spans="1:10" ht="27.6">
      <c r="A34" s="13" t="s">
        <v>684</v>
      </c>
      <c r="B34" s="13" t="s">
        <v>677</v>
      </c>
      <c r="C34" s="13" t="s">
        <v>677</v>
      </c>
      <c r="D34" s="13" t="s">
        <v>677</v>
      </c>
      <c r="E34" s="13" t="s">
        <v>677</v>
      </c>
      <c r="F34" s="13" t="s">
        <v>677</v>
      </c>
      <c r="G34" s="13" t="s">
        <v>677</v>
      </c>
      <c r="H34" s="13" t="s">
        <v>677</v>
      </c>
      <c r="I34" s="13" t="s">
        <v>677</v>
      </c>
      <c r="J34" s="13" t="s">
        <v>3583</v>
      </c>
    </row>
    <row r="35" spans="1:10" ht="27.6">
      <c r="A35" s="13" t="s">
        <v>713</v>
      </c>
      <c r="B35" s="13" t="s">
        <v>677</v>
      </c>
      <c r="C35" s="13" t="s">
        <v>677</v>
      </c>
      <c r="D35" s="13" t="s">
        <v>677</v>
      </c>
      <c r="E35" s="13" t="s">
        <v>677</v>
      </c>
      <c r="F35" s="13" t="s">
        <v>677</v>
      </c>
      <c r="G35" s="13" t="s">
        <v>677</v>
      </c>
      <c r="H35" s="13" t="s">
        <v>677</v>
      </c>
      <c r="I35" s="13" t="s">
        <v>677</v>
      </c>
      <c r="J35" s="13" t="s">
        <v>3584</v>
      </c>
    </row>
    <row r="36" spans="1:10" ht="41.4">
      <c r="A36" s="13" t="s">
        <v>606</v>
      </c>
      <c r="B36" s="13" t="s">
        <v>677</v>
      </c>
      <c r="C36" s="13" t="s">
        <v>679</v>
      </c>
      <c r="D36" s="13" t="s">
        <v>677</v>
      </c>
      <c r="E36" s="13" t="s">
        <v>677</v>
      </c>
      <c r="F36" s="13" t="s">
        <v>677</v>
      </c>
      <c r="G36" s="13" t="s">
        <v>677</v>
      </c>
      <c r="H36" s="13" t="s">
        <v>677</v>
      </c>
      <c r="I36" s="13" t="s">
        <v>677</v>
      </c>
      <c r="J36" s="13" t="s">
        <v>3585</v>
      </c>
    </row>
    <row r="37" spans="1:10">
      <c r="A37" s="13"/>
      <c r="B37" s="13"/>
      <c r="C37" s="13"/>
      <c r="D37" s="13"/>
      <c r="E37" s="13"/>
      <c r="F37" s="13"/>
      <c r="G37" s="13"/>
      <c r="H37" s="13"/>
      <c r="I37" s="13"/>
      <c r="J37" s="13"/>
    </row>
    <row r="38" spans="1:10">
      <c r="A38" s="842" t="s">
        <v>964</v>
      </c>
      <c r="B38" s="839"/>
      <c r="C38" s="839"/>
      <c r="D38" s="85"/>
      <c r="E38" s="85"/>
      <c r="F38" s="85"/>
      <c r="G38" s="85"/>
      <c r="H38" s="85"/>
      <c r="I38" s="85"/>
      <c r="J38" s="85"/>
    </row>
    <row r="39" spans="1:10">
      <c r="A39" s="50" t="s">
        <v>275</v>
      </c>
      <c r="B39" s="50" t="s">
        <v>965</v>
      </c>
      <c r="C39" s="50" t="s">
        <v>966</v>
      </c>
      <c r="D39" s="50" t="s">
        <v>967</v>
      </c>
      <c r="E39" s="50" t="s">
        <v>968</v>
      </c>
      <c r="F39" s="50" t="s">
        <v>969</v>
      </c>
      <c r="G39" s="50" t="s">
        <v>970</v>
      </c>
      <c r="H39" s="50" t="s">
        <v>971</v>
      </c>
      <c r="I39" s="50" t="s">
        <v>899</v>
      </c>
      <c r="J39" s="50" t="s">
        <v>959</v>
      </c>
    </row>
    <row r="40" spans="1:10" ht="69">
      <c r="A40" s="13" t="s">
        <v>443</v>
      </c>
      <c r="B40" s="13" t="s">
        <v>3586</v>
      </c>
      <c r="C40" s="13" t="s">
        <v>677</v>
      </c>
      <c r="D40" s="13" t="s">
        <v>677</v>
      </c>
      <c r="E40" s="13" t="s">
        <v>677</v>
      </c>
      <c r="F40" s="13" t="s">
        <v>677</v>
      </c>
      <c r="G40" s="13" t="s">
        <v>677</v>
      </c>
      <c r="H40" s="13" t="s">
        <v>677</v>
      </c>
      <c r="I40" s="13" t="s">
        <v>677</v>
      </c>
      <c r="J40" s="13" t="s">
        <v>3587</v>
      </c>
    </row>
    <row r="41" spans="1:10" ht="27.6">
      <c r="A41" s="13" t="s">
        <v>3551</v>
      </c>
      <c r="B41" s="13" t="s">
        <v>3586</v>
      </c>
      <c r="C41" s="13" t="s">
        <v>677</v>
      </c>
      <c r="D41" s="13" t="s">
        <v>677</v>
      </c>
      <c r="E41" s="13" t="s">
        <v>677</v>
      </c>
      <c r="F41" s="13" t="s">
        <v>677</v>
      </c>
      <c r="G41" s="13" t="s">
        <v>677</v>
      </c>
      <c r="H41" s="13" t="s">
        <v>677</v>
      </c>
      <c r="I41" s="13" t="s">
        <v>677</v>
      </c>
      <c r="J41" s="13" t="s">
        <v>3588</v>
      </c>
    </row>
    <row r="42" spans="1:10" ht="27.6">
      <c r="A42" s="13" t="s">
        <v>712</v>
      </c>
      <c r="B42" s="13" t="s">
        <v>3586</v>
      </c>
      <c r="C42" s="13" t="s">
        <v>677</v>
      </c>
      <c r="D42" s="13" t="s">
        <v>677</v>
      </c>
      <c r="E42" s="13" t="s">
        <v>677</v>
      </c>
      <c r="F42" s="13" t="s">
        <v>677</v>
      </c>
      <c r="G42" s="13" t="s">
        <v>677</v>
      </c>
      <c r="H42" s="13" t="s">
        <v>677</v>
      </c>
      <c r="I42" s="13" t="s">
        <v>677</v>
      </c>
      <c r="J42" s="13" t="s">
        <v>3589</v>
      </c>
    </row>
    <row r="43" spans="1:10" ht="27.6">
      <c r="A43" s="13" t="s">
        <v>446</v>
      </c>
      <c r="B43" s="13" t="s">
        <v>3586</v>
      </c>
      <c r="C43" s="13" t="s">
        <v>677</v>
      </c>
      <c r="D43" s="13" t="s">
        <v>677</v>
      </c>
      <c r="E43" s="13" t="s">
        <v>677</v>
      </c>
      <c r="F43" s="13" t="s">
        <v>677</v>
      </c>
      <c r="G43" s="13" t="s">
        <v>677</v>
      </c>
      <c r="H43" s="13" t="s">
        <v>677</v>
      </c>
      <c r="I43" s="13" t="s">
        <v>677</v>
      </c>
      <c r="J43" s="13" t="s">
        <v>3590</v>
      </c>
    </row>
    <row r="44" spans="1:10" ht="27.6">
      <c r="A44" s="13" t="s">
        <v>684</v>
      </c>
      <c r="B44" s="13" t="s">
        <v>3586</v>
      </c>
      <c r="C44" s="13" t="s">
        <v>677</v>
      </c>
      <c r="D44" s="13" t="s">
        <v>677</v>
      </c>
      <c r="E44" s="13" t="s">
        <v>677</v>
      </c>
      <c r="F44" s="13" t="s">
        <v>677</v>
      </c>
      <c r="G44" s="13" t="s">
        <v>677</v>
      </c>
      <c r="H44" s="13" t="s">
        <v>677</v>
      </c>
      <c r="I44" s="13" t="s">
        <v>677</v>
      </c>
      <c r="J44" s="13" t="s">
        <v>3591</v>
      </c>
    </row>
    <row r="45" spans="1:10" ht="27.6">
      <c r="A45" s="13" t="s">
        <v>713</v>
      </c>
      <c r="B45" s="13" t="s">
        <v>3586</v>
      </c>
      <c r="C45" s="13" t="s">
        <v>677</v>
      </c>
      <c r="D45" s="13" t="s">
        <v>677</v>
      </c>
      <c r="E45" s="13" t="s">
        <v>677</v>
      </c>
      <c r="F45" s="13" t="s">
        <v>677</v>
      </c>
      <c r="G45" s="13" t="s">
        <v>677</v>
      </c>
      <c r="H45" s="13" t="s">
        <v>677</v>
      </c>
      <c r="I45" s="13" t="s">
        <v>677</v>
      </c>
      <c r="J45" s="13" t="s">
        <v>3592</v>
      </c>
    </row>
    <row r="46" spans="1:10" ht="55.2">
      <c r="A46" s="13" t="s">
        <v>606</v>
      </c>
      <c r="B46" s="13" t="s">
        <v>946</v>
      </c>
      <c r="C46" s="13" t="s">
        <v>677</v>
      </c>
      <c r="D46" s="13" t="s">
        <v>677</v>
      </c>
      <c r="E46" s="13" t="s">
        <v>677</v>
      </c>
      <c r="F46" s="13" t="s">
        <v>677</v>
      </c>
      <c r="G46" s="13" t="s">
        <v>677</v>
      </c>
      <c r="H46" s="13" t="s">
        <v>677</v>
      </c>
      <c r="I46" s="13" t="s">
        <v>677</v>
      </c>
      <c r="J46" s="13" t="s">
        <v>3593</v>
      </c>
    </row>
    <row r="47" spans="1:10">
      <c r="A47" s="13"/>
      <c r="B47" s="13"/>
      <c r="C47" s="13"/>
      <c r="D47" s="13"/>
      <c r="E47" s="13"/>
      <c r="F47" s="13"/>
      <c r="G47" s="13"/>
      <c r="H47" s="13"/>
      <c r="I47" s="13"/>
      <c r="J47" s="13"/>
    </row>
    <row r="48" spans="1:10">
      <c r="A48" s="842" t="s">
        <v>977</v>
      </c>
      <c r="B48" s="839"/>
      <c r="C48" s="839"/>
      <c r="D48" s="85"/>
      <c r="E48" s="85"/>
      <c r="F48" s="85"/>
      <c r="G48" s="85"/>
      <c r="H48" s="85"/>
      <c r="I48" s="85"/>
      <c r="J48" s="85"/>
    </row>
    <row r="49" spans="1:10">
      <c r="A49" s="50" t="s">
        <v>275</v>
      </c>
      <c r="B49" s="50" t="s">
        <v>978</v>
      </c>
      <c r="C49" s="50" t="s">
        <v>979</v>
      </c>
      <c r="D49" s="50" t="s">
        <v>980</v>
      </c>
      <c r="E49" s="50" t="s">
        <v>981</v>
      </c>
      <c r="F49" s="50" t="s">
        <v>982</v>
      </c>
      <c r="G49" s="50" t="s">
        <v>983</v>
      </c>
      <c r="H49" s="50" t="s">
        <v>984</v>
      </c>
      <c r="I49" s="50" t="s">
        <v>899</v>
      </c>
      <c r="J49" s="50" t="s">
        <v>11</v>
      </c>
    </row>
    <row r="50" spans="1:10" ht="69">
      <c r="A50" s="13" t="s">
        <v>443</v>
      </c>
      <c r="B50" s="13" t="s">
        <v>677</v>
      </c>
      <c r="C50" s="13" t="s">
        <v>985</v>
      </c>
      <c r="D50" s="13" t="s">
        <v>677</v>
      </c>
      <c r="E50" s="13" t="s">
        <v>677</v>
      </c>
      <c r="F50" s="13" t="s">
        <v>3594</v>
      </c>
      <c r="G50" s="13" t="s">
        <v>677</v>
      </c>
      <c r="H50" s="13" t="s">
        <v>677</v>
      </c>
      <c r="I50" s="13" t="s">
        <v>677</v>
      </c>
      <c r="J50" s="13" t="s">
        <v>3595</v>
      </c>
    </row>
    <row r="51" spans="1:10" ht="41.4">
      <c r="A51" s="13" t="s">
        <v>3551</v>
      </c>
      <c r="B51" s="13" t="s">
        <v>677</v>
      </c>
      <c r="C51" s="13" t="s">
        <v>985</v>
      </c>
      <c r="D51" s="13" t="s">
        <v>677</v>
      </c>
      <c r="E51" s="13" t="s">
        <v>677</v>
      </c>
      <c r="F51" s="13" t="s">
        <v>3596</v>
      </c>
      <c r="G51" s="13" t="s">
        <v>677</v>
      </c>
      <c r="H51" s="13" t="s">
        <v>677</v>
      </c>
      <c r="I51" s="13" t="s">
        <v>677</v>
      </c>
      <c r="J51" s="13" t="s">
        <v>3597</v>
      </c>
    </row>
    <row r="52" spans="1:10" ht="41.4">
      <c r="A52" s="13" t="s">
        <v>712</v>
      </c>
      <c r="B52" s="13" t="s">
        <v>677</v>
      </c>
      <c r="C52" s="13" t="s">
        <v>985</v>
      </c>
      <c r="D52" s="13" t="s">
        <v>677</v>
      </c>
      <c r="E52" s="13" t="s">
        <v>677</v>
      </c>
      <c r="F52" s="13" t="s">
        <v>3598</v>
      </c>
      <c r="G52" s="13" t="s">
        <v>677</v>
      </c>
      <c r="H52" s="13" t="s">
        <v>677</v>
      </c>
      <c r="I52" s="13" t="s">
        <v>677</v>
      </c>
      <c r="J52" s="13" t="s">
        <v>3599</v>
      </c>
    </row>
    <row r="53" spans="1:10" ht="41.4">
      <c r="A53" s="13" t="s">
        <v>446</v>
      </c>
      <c r="B53" s="13" t="s">
        <v>677</v>
      </c>
      <c r="C53" s="13" t="s">
        <v>985</v>
      </c>
      <c r="D53" s="13" t="s">
        <v>677</v>
      </c>
      <c r="E53" s="13" t="s">
        <v>677</v>
      </c>
      <c r="F53" s="13" t="s">
        <v>3600</v>
      </c>
      <c r="G53" s="13" t="s">
        <v>677</v>
      </c>
      <c r="H53" s="13" t="s">
        <v>677</v>
      </c>
      <c r="I53" s="13" t="s">
        <v>677</v>
      </c>
      <c r="J53" s="13" t="s">
        <v>3601</v>
      </c>
    </row>
    <row r="54" spans="1:10" ht="41.4">
      <c r="A54" s="13" t="s">
        <v>684</v>
      </c>
      <c r="B54" s="13" t="s">
        <v>677</v>
      </c>
      <c r="C54" s="13" t="s">
        <v>985</v>
      </c>
      <c r="D54" s="13" t="s">
        <v>677</v>
      </c>
      <c r="E54" s="13" t="s">
        <v>677</v>
      </c>
      <c r="F54" s="13" t="s">
        <v>3602</v>
      </c>
      <c r="G54" s="13" t="s">
        <v>677</v>
      </c>
      <c r="H54" s="13" t="s">
        <v>677</v>
      </c>
      <c r="I54" s="13" t="s">
        <v>677</v>
      </c>
      <c r="J54" s="13" t="s">
        <v>3603</v>
      </c>
    </row>
    <row r="55" spans="1:10" ht="27.6">
      <c r="A55" s="13" t="s">
        <v>713</v>
      </c>
      <c r="B55" s="13" t="s">
        <v>677</v>
      </c>
      <c r="C55" s="13" t="s">
        <v>985</v>
      </c>
      <c r="D55" s="13" t="s">
        <v>677</v>
      </c>
      <c r="E55" s="13" t="s">
        <v>677</v>
      </c>
      <c r="F55" s="13" t="s">
        <v>3604</v>
      </c>
      <c r="G55" s="13" t="s">
        <v>677</v>
      </c>
      <c r="H55" s="13" t="s">
        <v>677</v>
      </c>
      <c r="I55" s="13" t="s">
        <v>677</v>
      </c>
      <c r="J55" s="13" t="s">
        <v>3605</v>
      </c>
    </row>
    <row r="56" spans="1:10" ht="55.2">
      <c r="A56" s="13" t="s">
        <v>606</v>
      </c>
      <c r="B56" s="13" t="s">
        <v>946</v>
      </c>
      <c r="C56" s="13" t="s">
        <v>3606</v>
      </c>
      <c r="D56" s="13" t="s">
        <v>946</v>
      </c>
      <c r="E56" s="13" t="s">
        <v>677</v>
      </c>
      <c r="F56" s="13" t="s">
        <v>3607</v>
      </c>
      <c r="G56" s="13" t="s">
        <v>677</v>
      </c>
      <c r="H56" s="13" t="s">
        <v>677</v>
      </c>
      <c r="I56" s="13" t="s">
        <v>677</v>
      </c>
      <c r="J56" s="13" t="s">
        <v>3608</v>
      </c>
    </row>
    <row r="57" spans="1:10">
      <c r="A57" s="13"/>
      <c r="B57" s="13"/>
      <c r="C57" s="13"/>
      <c r="D57" s="13"/>
      <c r="E57" s="13"/>
      <c r="F57" s="13"/>
      <c r="G57" s="13"/>
      <c r="H57" s="13"/>
      <c r="I57" s="13"/>
      <c r="J57" s="13"/>
    </row>
    <row r="58" spans="1:10">
      <c r="A58" s="842" t="s">
        <v>994</v>
      </c>
      <c r="B58" s="839"/>
      <c r="C58" s="839"/>
      <c r="D58" s="85"/>
      <c r="E58" s="85"/>
      <c r="F58" s="85"/>
      <c r="G58" s="85"/>
      <c r="H58" s="85"/>
      <c r="I58" s="85"/>
      <c r="J58" s="85"/>
    </row>
    <row r="59" spans="1:10">
      <c r="A59" s="50" t="s">
        <v>275</v>
      </c>
      <c r="B59" s="50" t="s">
        <v>995</v>
      </c>
      <c r="C59" s="50" t="s">
        <v>996</v>
      </c>
      <c r="D59" s="50" t="s">
        <v>997</v>
      </c>
      <c r="E59" s="50" t="s">
        <v>998</v>
      </c>
      <c r="F59" s="50" t="s">
        <v>999</v>
      </c>
      <c r="G59" s="50" t="s">
        <v>1000</v>
      </c>
      <c r="H59" s="50" t="s">
        <v>1001</v>
      </c>
      <c r="I59" s="50" t="s">
        <v>899</v>
      </c>
      <c r="J59" s="50" t="s">
        <v>11</v>
      </c>
    </row>
    <row r="60" spans="1:10" ht="55.2">
      <c r="A60" s="13" t="s">
        <v>443</v>
      </c>
      <c r="B60" s="13" t="s">
        <v>677</v>
      </c>
      <c r="C60" s="13" t="s">
        <v>677</v>
      </c>
      <c r="D60" s="13" t="s">
        <v>677</v>
      </c>
      <c r="E60" s="13" t="s">
        <v>677</v>
      </c>
      <c r="F60" s="13" t="s">
        <v>677</v>
      </c>
      <c r="G60" s="13" t="s">
        <v>677</v>
      </c>
      <c r="H60" s="13" t="s">
        <v>677</v>
      </c>
      <c r="I60" s="13" t="s">
        <v>677</v>
      </c>
      <c r="J60" s="13" t="s">
        <v>3609</v>
      </c>
    </row>
    <row r="61" spans="1:10" ht="55.2">
      <c r="A61" s="13" t="s">
        <v>3551</v>
      </c>
      <c r="B61" s="13" t="s">
        <v>677</v>
      </c>
      <c r="C61" s="13" t="s">
        <v>677</v>
      </c>
      <c r="D61" s="13" t="s">
        <v>677</v>
      </c>
      <c r="E61" s="13" t="s">
        <v>677</v>
      </c>
      <c r="F61" s="13" t="s">
        <v>677</v>
      </c>
      <c r="G61" s="13" t="s">
        <v>677</v>
      </c>
      <c r="H61" s="13" t="s">
        <v>677</v>
      </c>
      <c r="I61" s="13" t="s">
        <v>677</v>
      </c>
      <c r="J61" s="13" t="s">
        <v>3610</v>
      </c>
    </row>
    <row r="62" spans="1:10" ht="55.2">
      <c r="A62" s="13" t="s">
        <v>712</v>
      </c>
      <c r="B62" s="13" t="s">
        <v>677</v>
      </c>
      <c r="C62" s="13" t="s">
        <v>677</v>
      </c>
      <c r="D62" s="13" t="s">
        <v>677</v>
      </c>
      <c r="E62" s="13" t="s">
        <v>677</v>
      </c>
      <c r="F62" s="13" t="s">
        <v>677</v>
      </c>
      <c r="G62" s="13" t="s">
        <v>677</v>
      </c>
      <c r="H62" s="13" t="s">
        <v>677</v>
      </c>
      <c r="I62" s="13" t="s">
        <v>677</v>
      </c>
      <c r="J62" s="13" t="s">
        <v>3611</v>
      </c>
    </row>
    <row r="63" spans="1:10" ht="55.2">
      <c r="A63" s="13" t="s">
        <v>446</v>
      </c>
      <c r="B63" s="13" t="s">
        <v>677</v>
      </c>
      <c r="C63" s="13" t="s">
        <v>677</v>
      </c>
      <c r="D63" s="13" t="s">
        <v>677</v>
      </c>
      <c r="E63" s="13" t="s">
        <v>677</v>
      </c>
      <c r="F63" s="13" t="s">
        <v>677</v>
      </c>
      <c r="G63" s="13" t="s">
        <v>677</v>
      </c>
      <c r="H63" s="13" t="s">
        <v>677</v>
      </c>
      <c r="I63" s="13" t="s">
        <v>677</v>
      </c>
      <c r="J63" s="13" t="s">
        <v>3612</v>
      </c>
    </row>
    <row r="64" spans="1:10" ht="41.4">
      <c r="A64" s="13" t="s">
        <v>684</v>
      </c>
      <c r="B64" s="13" t="s">
        <v>677</v>
      </c>
      <c r="C64" s="13" t="s">
        <v>677</v>
      </c>
      <c r="D64" s="13" t="s">
        <v>677</v>
      </c>
      <c r="E64" s="13" t="s">
        <v>677</v>
      </c>
      <c r="F64" s="13" t="s">
        <v>677</v>
      </c>
      <c r="G64" s="13" t="s">
        <v>677</v>
      </c>
      <c r="H64" s="13" t="s">
        <v>677</v>
      </c>
      <c r="I64" s="13" t="s">
        <v>677</v>
      </c>
      <c r="J64" s="13" t="s">
        <v>3613</v>
      </c>
    </row>
    <row r="65" spans="1:10" ht="41.4">
      <c r="A65" s="13" t="s">
        <v>713</v>
      </c>
      <c r="B65" s="13" t="s">
        <v>677</v>
      </c>
      <c r="C65" s="13" t="s">
        <v>677</v>
      </c>
      <c r="D65" s="13" t="s">
        <v>677</v>
      </c>
      <c r="E65" s="13" t="s">
        <v>677</v>
      </c>
      <c r="F65" s="13" t="s">
        <v>677</v>
      </c>
      <c r="G65" s="13" t="s">
        <v>677</v>
      </c>
      <c r="H65" s="13" t="s">
        <v>677</v>
      </c>
      <c r="I65" s="13" t="s">
        <v>677</v>
      </c>
      <c r="J65" s="13" t="s">
        <v>3614</v>
      </c>
    </row>
    <row r="66" spans="1:10" ht="55.2">
      <c r="A66" s="13" t="s">
        <v>606</v>
      </c>
      <c r="B66" s="13" t="s">
        <v>946</v>
      </c>
      <c r="C66" s="13" t="s">
        <v>946</v>
      </c>
      <c r="D66" s="13" t="s">
        <v>946</v>
      </c>
      <c r="E66" s="13" t="s">
        <v>677</v>
      </c>
      <c r="F66" s="13" t="s">
        <v>677</v>
      </c>
      <c r="G66" s="13" t="s">
        <v>677</v>
      </c>
      <c r="H66" s="13" t="s">
        <v>677</v>
      </c>
      <c r="I66" s="13" t="s">
        <v>677</v>
      </c>
      <c r="J66" s="13" t="s">
        <v>3615</v>
      </c>
    </row>
    <row r="67" spans="1:10">
      <c r="A67" s="13"/>
      <c r="B67" s="13"/>
      <c r="C67" s="13"/>
      <c r="D67" s="13"/>
      <c r="E67" s="13"/>
      <c r="F67" s="13"/>
      <c r="G67" s="13"/>
      <c r="H67" s="13"/>
      <c r="I67" s="13"/>
      <c r="J67" s="13"/>
    </row>
    <row r="68" spans="1:10">
      <c r="A68" s="842" t="s">
        <v>1007</v>
      </c>
      <c r="B68" s="839"/>
      <c r="C68" s="839"/>
      <c r="D68" s="85"/>
      <c r="E68" s="85"/>
      <c r="F68" s="85"/>
      <c r="G68" s="85"/>
      <c r="H68" s="85"/>
      <c r="I68" s="85"/>
      <c r="J68" s="85"/>
    </row>
    <row r="69" spans="1:10">
      <c r="A69" s="50" t="s">
        <v>275</v>
      </c>
      <c r="B69" s="50" t="s">
        <v>1008</v>
      </c>
      <c r="C69" s="50" t="s">
        <v>1009</v>
      </c>
      <c r="D69" s="50" t="s">
        <v>1010</v>
      </c>
      <c r="E69" s="50" t="s">
        <v>1011</v>
      </c>
      <c r="F69" s="50" t="s">
        <v>1012</v>
      </c>
      <c r="G69" s="50" t="s">
        <v>1013</v>
      </c>
      <c r="H69" s="50" t="s">
        <v>1014</v>
      </c>
      <c r="I69" s="50" t="s">
        <v>899</v>
      </c>
      <c r="J69" s="50" t="s">
        <v>11</v>
      </c>
    </row>
    <row r="70" spans="1:10" ht="55.2">
      <c r="A70" s="13" t="s">
        <v>443</v>
      </c>
      <c r="B70" s="13" t="s">
        <v>677</v>
      </c>
      <c r="C70" s="13" t="s">
        <v>677</v>
      </c>
      <c r="D70" s="13" t="s">
        <v>677</v>
      </c>
      <c r="E70" s="13" t="s">
        <v>677</v>
      </c>
      <c r="F70" s="13" t="s">
        <v>677</v>
      </c>
      <c r="G70" s="13" t="s">
        <v>677</v>
      </c>
      <c r="H70" s="13" t="s">
        <v>677</v>
      </c>
      <c r="I70" s="13" t="s">
        <v>677</v>
      </c>
      <c r="J70" s="13" t="s">
        <v>3616</v>
      </c>
    </row>
    <row r="71" spans="1:10" ht="27.6">
      <c r="A71" s="13" t="s">
        <v>3551</v>
      </c>
      <c r="B71" s="13" t="s">
        <v>677</v>
      </c>
      <c r="C71" s="13" t="s">
        <v>677</v>
      </c>
      <c r="D71" s="13" t="s">
        <v>677</v>
      </c>
      <c r="E71" s="13" t="s">
        <v>677</v>
      </c>
      <c r="F71" s="13" t="s">
        <v>677</v>
      </c>
      <c r="G71" s="13" t="s">
        <v>677</v>
      </c>
      <c r="H71" s="13" t="s">
        <v>677</v>
      </c>
      <c r="I71" s="13" t="s">
        <v>677</v>
      </c>
      <c r="J71" s="13" t="s">
        <v>3617</v>
      </c>
    </row>
    <row r="72" spans="1:10" ht="27.6">
      <c r="A72" s="13" t="s">
        <v>712</v>
      </c>
      <c r="B72" s="13" t="s">
        <v>677</v>
      </c>
      <c r="C72" s="13" t="s">
        <v>677</v>
      </c>
      <c r="D72" s="13" t="s">
        <v>677</v>
      </c>
      <c r="E72" s="13" t="s">
        <v>677</v>
      </c>
      <c r="F72" s="13" t="s">
        <v>677</v>
      </c>
      <c r="G72" s="13" t="s">
        <v>677</v>
      </c>
      <c r="H72" s="13" t="s">
        <v>677</v>
      </c>
      <c r="I72" s="13" t="s">
        <v>677</v>
      </c>
      <c r="J72" s="13" t="s">
        <v>3618</v>
      </c>
    </row>
    <row r="73" spans="1:10" ht="27.6">
      <c r="A73" s="13" t="s">
        <v>446</v>
      </c>
      <c r="B73" s="13" t="s">
        <v>677</v>
      </c>
      <c r="C73" s="13" t="s">
        <v>677</v>
      </c>
      <c r="D73" s="13" t="s">
        <v>677</v>
      </c>
      <c r="E73" s="13" t="s">
        <v>677</v>
      </c>
      <c r="F73" s="13" t="s">
        <v>677</v>
      </c>
      <c r="G73" s="13" t="s">
        <v>677</v>
      </c>
      <c r="H73" s="13" t="s">
        <v>677</v>
      </c>
      <c r="I73" s="13" t="s">
        <v>677</v>
      </c>
      <c r="J73" s="13" t="s">
        <v>3619</v>
      </c>
    </row>
    <row r="74" spans="1:10" ht="27.6">
      <c r="A74" s="13" t="s">
        <v>684</v>
      </c>
      <c r="B74" s="13" t="s">
        <v>677</v>
      </c>
      <c r="C74" s="13" t="s">
        <v>677</v>
      </c>
      <c r="D74" s="13" t="s">
        <v>677</v>
      </c>
      <c r="E74" s="13" t="s">
        <v>677</v>
      </c>
      <c r="F74" s="13" t="s">
        <v>677</v>
      </c>
      <c r="G74" s="13" t="s">
        <v>677</v>
      </c>
      <c r="H74" s="13" t="s">
        <v>677</v>
      </c>
      <c r="I74" s="13" t="s">
        <v>677</v>
      </c>
      <c r="J74" s="13" t="s">
        <v>3620</v>
      </c>
    </row>
    <row r="75" spans="1:10" ht="27.6">
      <c r="A75" s="13" t="s">
        <v>713</v>
      </c>
      <c r="B75" s="13" t="s">
        <v>677</v>
      </c>
      <c r="C75" s="13" t="s">
        <v>677</v>
      </c>
      <c r="D75" s="13" t="s">
        <v>677</v>
      </c>
      <c r="E75" s="13" t="s">
        <v>677</v>
      </c>
      <c r="F75" s="13" t="s">
        <v>677</v>
      </c>
      <c r="G75" s="13" t="s">
        <v>677</v>
      </c>
      <c r="H75" s="13" t="s">
        <v>677</v>
      </c>
      <c r="I75" s="13" t="s">
        <v>677</v>
      </c>
      <c r="J75" s="13" t="s">
        <v>3621</v>
      </c>
    </row>
    <row r="76" spans="1:10" ht="41.4">
      <c r="A76" s="13" t="s">
        <v>606</v>
      </c>
      <c r="B76" s="13" t="s">
        <v>946</v>
      </c>
      <c r="C76" s="13" t="s">
        <v>946</v>
      </c>
      <c r="D76" s="13" t="s">
        <v>946</v>
      </c>
      <c r="E76" s="13" t="s">
        <v>946</v>
      </c>
      <c r="F76" s="13" t="s">
        <v>677</v>
      </c>
      <c r="G76" s="13" t="s">
        <v>677</v>
      </c>
      <c r="H76" s="13" t="s">
        <v>677</v>
      </c>
      <c r="I76" s="13" t="s">
        <v>677</v>
      </c>
      <c r="J76" s="13" t="s">
        <v>3622</v>
      </c>
    </row>
    <row r="77" spans="1:10">
      <c r="A77" s="13"/>
      <c r="B77" s="13"/>
      <c r="C77" s="13"/>
      <c r="D77" s="13"/>
      <c r="E77" s="13"/>
      <c r="F77" s="13"/>
      <c r="G77" s="13"/>
      <c r="H77" s="13"/>
      <c r="I77" s="13"/>
      <c r="J77" s="13"/>
    </row>
    <row r="78" spans="1:10">
      <c r="A78" s="842" t="s">
        <v>1019</v>
      </c>
      <c r="B78" s="839"/>
      <c r="C78" s="839"/>
      <c r="D78" s="85"/>
      <c r="E78" s="85"/>
      <c r="F78" s="85"/>
      <c r="G78" s="85"/>
      <c r="H78" s="85"/>
      <c r="I78" s="85"/>
      <c r="J78" s="85"/>
    </row>
    <row r="79" spans="1:10">
      <c r="A79" s="50" t="s">
        <v>213</v>
      </c>
      <c r="B79" s="50" t="s">
        <v>275</v>
      </c>
      <c r="C79" s="50" t="s">
        <v>573</v>
      </c>
      <c r="D79" s="50" t="s">
        <v>215</v>
      </c>
      <c r="E79" s="50" t="s">
        <v>257</v>
      </c>
      <c r="F79" s="50" t="s">
        <v>572</v>
      </c>
      <c r="G79" s="50" t="s">
        <v>259</v>
      </c>
      <c r="H79" s="50" t="s">
        <v>216</v>
      </c>
      <c r="I79" s="50" t="s">
        <v>77</v>
      </c>
      <c r="J79" s="50" t="s">
        <v>11</v>
      </c>
    </row>
    <row r="80" spans="1:10" ht="69">
      <c r="A80" s="13" t="s">
        <v>3623</v>
      </c>
      <c r="B80" s="13" t="s">
        <v>575</v>
      </c>
      <c r="C80" s="13" t="s">
        <v>3624</v>
      </c>
      <c r="D80" s="13" t="s">
        <v>391</v>
      </c>
      <c r="E80" s="13" t="s">
        <v>488</v>
      </c>
      <c r="F80" s="13">
        <v>6</v>
      </c>
      <c r="G80" s="13" t="s">
        <v>3625</v>
      </c>
      <c r="H80" s="13" t="s">
        <v>1023</v>
      </c>
      <c r="I80" s="13" t="s">
        <v>502</v>
      </c>
      <c r="J80" s="13" t="s">
        <v>3626</v>
      </c>
    </row>
    <row r="81" spans="1:10" ht="82.8">
      <c r="A81" s="13" t="s">
        <v>3627</v>
      </c>
      <c r="B81" s="13" t="s">
        <v>3628</v>
      </c>
      <c r="C81" s="13" t="s">
        <v>3629</v>
      </c>
      <c r="D81" s="13" t="s">
        <v>391</v>
      </c>
      <c r="E81" s="13" t="s">
        <v>488</v>
      </c>
      <c r="F81" s="13">
        <v>6</v>
      </c>
      <c r="G81" s="13" t="s">
        <v>3630</v>
      </c>
      <c r="H81" s="13" t="s">
        <v>1858</v>
      </c>
      <c r="I81" s="13" t="s">
        <v>502</v>
      </c>
      <c r="J81" s="13" t="s">
        <v>3631</v>
      </c>
    </row>
    <row r="82" spans="1:10" ht="69">
      <c r="A82" s="13" t="s">
        <v>3632</v>
      </c>
      <c r="B82" s="13" t="s">
        <v>606</v>
      </c>
      <c r="C82" s="13" t="s">
        <v>2418</v>
      </c>
      <c r="D82" s="13" t="s">
        <v>492</v>
      </c>
      <c r="E82" s="13" t="s">
        <v>488</v>
      </c>
      <c r="F82" s="13">
        <v>8</v>
      </c>
      <c r="G82" s="13" t="s">
        <v>3633</v>
      </c>
      <c r="H82" s="13" t="s">
        <v>584</v>
      </c>
      <c r="I82" s="13" t="s">
        <v>502</v>
      </c>
      <c r="J82" s="13" t="s">
        <v>3634</v>
      </c>
    </row>
    <row r="83" spans="1:10" ht="82.8">
      <c r="A83" s="13" t="s">
        <v>3635</v>
      </c>
      <c r="B83" s="13" t="s">
        <v>1159</v>
      </c>
      <c r="C83" s="13" t="s">
        <v>3636</v>
      </c>
      <c r="D83" s="13" t="s">
        <v>492</v>
      </c>
      <c r="E83" s="13" t="s">
        <v>488</v>
      </c>
      <c r="F83" s="13">
        <v>8</v>
      </c>
      <c r="G83" s="13" t="s">
        <v>3637</v>
      </c>
      <c r="H83" s="13" t="s">
        <v>592</v>
      </c>
      <c r="I83" s="13" t="s">
        <v>502</v>
      </c>
      <c r="J83" s="13" t="s">
        <v>3638</v>
      </c>
    </row>
    <row r="84" spans="1:10" ht="82.8">
      <c r="A84" s="13" t="s">
        <v>3639</v>
      </c>
      <c r="B84" s="13" t="s">
        <v>1159</v>
      </c>
      <c r="C84" s="13" t="s">
        <v>3238</v>
      </c>
      <c r="D84" s="13" t="s">
        <v>492</v>
      </c>
      <c r="E84" s="13" t="s">
        <v>488</v>
      </c>
      <c r="F84" s="13">
        <v>8</v>
      </c>
      <c r="G84" s="13" t="s">
        <v>3640</v>
      </c>
      <c r="H84" s="13" t="s">
        <v>1032</v>
      </c>
      <c r="I84" s="13" t="s">
        <v>502</v>
      </c>
      <c r="J84" s="13" t="s">
        <v>3641</v>
      </c>
    </row>
    <row r="85" spans="1:10" ht="82.8">
      <c r="A85" s="13" t="s">
        <v>3642</v>
      </c>
      <c r="B85" s="13" t="s">
        <v>575</v>
      </c>
      <c r="C85" s="13" t="s">
        <v>3242</v>
      </c>
      <c r="D85" s="13" t="s">
        <v>391</v>
      </c>
      <c r="E85" s="13" t="s">
        <v>488</v>
      </c>
      <c r="F85" s="13">
        <v>6</v>
      </c>
      <c r="G85" s="13" t="s">
        <v>3643</v>
      </c>
      <c r="H85" s="13" t="s">
        <v>1037</v>
      </c>
      <c r="I85" s="13" t="s">
        <v>502</v>
      </c>
      <c r="J85" s="13" t="s">
        <v>3644</v>
      </c>
    </row>
    <row r="86" spans="1:10" ht="82.8">
      <c r="A86" s="13" t="s">
        <v>3645</v>
      </c>
      <c r="B86" s="13" t="s">
        <v>575</v>
      </c>
      <c r="C86" s="13" t="s">
        <v>3646</v>
      </c>
      <c r="D86" s="13" t="s">
        <v>492</v>
      </c>
      <c r="E86" s="13" t="s">
        <v>488</v>
      </c>
      <c r="F86" s="13">
        <v>8</v>
      </c>
      <c r="G86" s="13" t="s">
        <v>1039</v>
      </c>
      <c r="H86" s="13" t="s">
        <v>584</v>
      </c>
      <c r="I86" s="13" t="s">
        <v>502</v>
      </c>
      <c r="J86" s="13" t="s">
        <v>3647</v>
      </c>
    </row>
    <row r="87" spans="1:10" ht="82.8">
      <c r="A87" s="13" t="s">
        <v>3648</v>
      </c>
      <c r="B87" s="13" t="s">
        <v>575</v>
      </c>
      <c r="C87" s="13" t="s">
        <v>1047</v>
      </c>
      <c r="D87" s="13" t="s">
        <v>391</v>
      </c>
      <c r="E87" s="13" t="s">
        <v>488</v>
      </c>
      <c r="F87" s="13">
        <v>6</v>
      </c>
      <c r="G87" s="13" t="s">
        <v>1048</v>
      </c>
      <c r="H87" s="13" t="s">
        <v>1049</v>
      </c>
      <c r="I87" s="13" t="s">
        <v>502</v>
      </c>
      <c r="J87" s="13" t="s">
        <v>3649</v>
      </c>
    </row>
    <row r="88" spans="1:10">
      <c r="A88" s="13"/>
      <c r="B88" s="13"/>
      <c r="C88" s="13"/>
      <c r="D88" s="13"/>
      <c r="E88" s="13"/>
      <c r="F88" s="13"/>
      <c r="G88" s="13"/>
      <c r="H88" s="13"/>
      <c r="I88" s="13"/>
      <c r="J88" s="13"/>
    </row>
    <row r="89" spans="1:10">
      <c r="A89" s="842" t="s">
        <v>1051</v>
      </c>
      <c r="B89" s="839"/>
      <c r="C89" s="839"/>
      <c r="D89" s="85"/>
      <c r="E89" s="85"/>
      <c r="F89" s="85"/>
      <c r="G89" s="85"/>
      <c r="H89" s="85"/>
      <c r="I89" s="85"/>
      <c r="J89" s="85"/>
    </row>
    <row r="90" spans="1:10">
      <c r="A90" s="50" t="s">
        <v>221</v>
      </c>
      <c r="B90" s="50" t="s">
        <v>222</v>
      </c>
      <c r="C90" s="50" t="s">
        <v>265</v>
      </c>
      <c r="D90" s="50" t="s">
        <v>77</v>
      </c>
      <c r="E90" s="50" t="s">
        <v>878</v>
      </c>
      <c r="F90" s="50" t="s">
        <v>879</v>
      </c>
      <c r="G90" s="50" t="s">
        <v>880</v>
      </c>
      <c r="H90" s="50" t="s">
        <v>494</v>
      </c>
      <c r="I90" s="50" t="s">
        <v>881</v>
      </c>
      <c r="J90" s="50" t="s">
        <v>11</v>
      </c>
    </row>
    <row r="91" spans="1:10" ht="110.4">
      <c r="A91" s="13" t="s">
        <v>3650</v>
      </c>
      <c r="B91" s="13" t="s">
        <v>3651</v>
      </c>
      <c r="C91" s="13" t="s">
        <v>579</v>
      </c>
      <c r="D91" s="13" t="s">
        <v>502</v>
      </c>
      <c r="E91" s="13"/>
      <c r="F91" s="13"/>
      <c r="G91" s="13" t="s">
        <v>580</v>
      </c>
      <c r="H91" s="13"/>
      <c r="I91" s="13"/>
      <c r="J91" s="13"/>
    </row>
    <row r="92" spans="1:10" ht="82.8">
      <c r="A92" s="13" t="s">
        <v>3652</v>
      </c>
      <c r="B92" s="13" t="s">
        <v>3653</v>
      </c>
      <c r="C92" s="13" t="s">
        <v>587</v>
      </c>
      <c r="D92" s="13" t="s">
        <v>502</v>
      </c>
      <c r="E92" s="13"/>
      <c r="F92" s="13"/>
      <c r="G92" s="13" t="s">
        <v>3254</v>
      </c>
      <c r="H92" s="13"/>
      <c r="I92" s="13"/>
      <c r="J92" s="13"/>
    </row>
    <row r="93" spans="1:10" ht="82.8">
      <c r="A93" s="13" t="s">
        <v>3654</v>
      </c>
      <c r="B93" s="13" t="s">
        <v>3655</v>
      </c>
      <c r="C93" s="13" t="s">
        <v>2432</v>
      </c>
      <c r="D93" s="13" t="s">
        <v>502</v>
      </c>
      <c r="E93" s="13"/>
      <c r="F93" s="13"/>
      <c r="G93" s="13" t="s">
        <v>3656</v>
      </c>
      <c r="H93" s="13"/>
      <c r="I93" s="13"/>
      <c r="J93" s="13"/>
    </row>
    <row r="94" spans="1:10" ht="82.8">
      <c r="A94" s="13" t="s">
        <v>3657</v>
      </c>
      <c r="B94" s="13" t="s">
        <v>3658</v>
      </c>
      <c r="C94" s="13" t="s">
        <v>601</v>
      </c>
      <c r="D94" s="13" t="s">
        <v>502</v>
      </c>
      <c r="E94" s="13"/>
      <c r="F94" s="13"/>
      <c r="G94" s="13" t="s">
        <v>602</v>
      </c>
      <c r="H94" s="13"/>
      <c r="I94" s="13"/>
      <c r="J94" s="13"/>
    </row>
    <row r="95" spans="1:10" ht="69">
      <c r="A95" s="13" t="s">
        <v>3659</v>
      </c>
      <c r="B95" s="13" t="s">
        <v>3261</v>
      </c>
      <c r="C95" s="13" t="s">
        <v>609</v>
      </c>
      <c r="D95" s="13" t="s">
        <v>502</v>
      </c>
      <c r="E95" s="13"/>
      <c r="F95" s="13"/>
      <c r="G95" s="13" t="s">
        <v>610</v>
      </c>
      <c r="H95" s="13"/>
      <c r="I95" s="13"/>
      <c r="J95" s="13"/>
    </row>
    <row r="96" spans="1:10" ht="96.6">
      <c r="A96" s="13" t="s">
        <v>3660</v>
      </c>
      <c r="B96" s="13" t="s">
        <v>3263</v>
      </c>
      <c r="C96" s="13" t="s">
        <v>616</v>
      </c>
      <c r="D96" s="13" t="s">
        <v>502</v>
      </c>
      <c r="E96" s="13"/>
      <c r="F96" s="13"/>
      <c r="G96" s="13" t="s">
        <v>617</v>
      </c>
      <c r="H96" s="13"/>
      <c r="I96" s="13"/>
      <c r="J96" s="13"/>
    </row>
    <row r="97" spans="1:10" ht="110.4">
      <c r="A97" s="13" t="s">
        <v>3661</v>
      </c>
      <c r="B97" s="13" t="s">
        <v>3265</v>
      </c>
      <c r="C97" s="13" t="s">
        <v>622</v>
      </c>
      <c r="D97" s="13" t="s">
        <v>502</v>
      </c>
      <c r="E97" s="13"/>
      <c r="F97" s="13"/>
      <c r="G97" s="13" t="s">
        <v>623</v>
      </c>
      <c r="H97" s="13"/>
      <c r="I97" s="13"/>
      <c r="J97" s="13"/>
    </row>
    <row r="98" spans="1:10" ht="96.6">
      <c r="A98" s="13" t="s">
        <v>3662</v>
      </c>
      <c r="B98" s="13" t="s">
        <v>3267</v>
      </c>
      <c r="C98" s="13" t="s">
        <v>630</v>
      </c>
      <c r="D98" s="13" t="s">
        <v>502</v>
      </c>
      <c r="E98" s="13"/>
      <c r="F98" s="13"/>
      <c r="G98" s="13" t="s">
        <v>631</v>
      </c>
      <c r="H98" s="13"/>
      <c r="I98" s="13"/>
      <c r="J98" s="13"/>
    </row>
    <row r="99" spans="1:10">
      <c r="A99" s="13"/>
      <c r="B99" s="13"/>
      <c r="C99" s="13"/>
      <c r="D99" s="13"/>
      <c r="E99" s="13"/>
      <c r="F99" s="13"/>
      <c r="G99" s="13"/>
      <c r="H99" s="13"/>
      <c r="I99" s="13"/>
      <c r="J99" s="13"/>
    </row>
    <row r="100" spans="1:10">
      <c r="A100" s="842" t="s">
        <v>1052</v>
      </c>
      <c r="B100" s="839"/>
      <c r="C100" s="839"/>
      <c r="D100" s="85"/>
      <c r="E100" s="85"/>
      <c r="F100" s="85"/>
      <c r="G100" s="85"/>
      <c r="H100" s="85"/>
      <c r="I100" s="85"/>
      <c r="J100" s="85"/>
    </row>
    <row r="101" spans="1:10">
      <c r="A101" s="50" t="s">
        <v>291</v>
      </c>
      <c r="B101" s="50" t="s">
        <v>275</v>
      </c>
      <c r="C101" s="50" t="s">
        <v>493</v>
      </c>
      <c r="D101" s="50" t="s">
        <v>214</v>
      </c>
      <c r="E101" s="50" t="s">
        <v>263</v>
      </c>
      <c r="F101" s="50" t="s">
        <v>891</v>
      </c>
      <c r="G101" s="50" t="s">
        <v>892</v>
      </c>
      <c r="H101" s="50" t="s">
        <v>893</v>
      </c>
      <c r="I101" s="50" t="s">
        <v>77</v>
      </c>
      <c r="J101" s="50" t="s">
        <v>11</v>
      </c>
    </row>
    <row r="102" spans="1:10" ht="96.6">
      <c r="A102" s="13" t="s">
        <v>3663</v>
      </c>
      <c r="B102" s="13" t="s">
        <v>443</v>
      </c>
      <c r="C102" s="13" t="s">
        <v>269</v>
      </c>
      <c r="D102" s="13" t="s">
        <v>3664</v>
      </c>
      <c r="E102" s="13"/>
      <c r="F102" s="13" t="s">
        <v>229</v>
      </c>
      <c r="G102" s="13"/>
      <c r="H102" s="13" t="s">
        <v>3665</v>
      </c>
      <c r="I102" s="13" t="s">
        <v>502</v>
      </c>
      <c r="J102" s="13"/>
    </row>
    <row r="103" spans="1:10" ht="110.4">
      <c r="A103" s="13" t="s">
        <v>3666</v>
      </c>
      <c r="B103" s="13" t="s">
        <v>3551</v>
      </c>
      <c r="C103" s="13" t="s">
        <v>269</v>
      </c>
      <c r="D103" s="13" t="s">
        <v>3667</v>
      </c>
      <c r="E103" s="13"/>
      <c r="F103" s="13" t="s">
        <v>229</v>
      </c>
      <c r="G103" s="13"/>
      <c r="H103" s="13" t="s">
        <v>3668</v>
      </c>
      <c r="I103" s="13" t="s">
        <v>502</v>
      </c>
      <c r="J103" s="13"/>
    </row>
    <row r="104" spans="1:10" ht="110.4">
      <c r="A104" s="13" t="s">
        <v>3669</v>
      </c>
      <c r="B104" s="13" t="s">
        <v>3670</v>
      </c>
      <c r="C104" s="13" t="s">
        <v>269</v>
      </c>
      <c r="D104" s="13" t="s">
        <v>3671</v>
      </c>
      <c r="E104" s="13"/>
      <c r="F104" s="13" t="s">
        <v>229</v>
      </c>
      <c r="G104" s="13"/>
      <c r="H104" s="13" t="s">
        <v>3668</v>
      </c>
      <c r="I104" s="13" t="s">
        <v>502</v>
      </c>
      <c r="J104" s="13"/>
    </row>
    <row r="105" spans="1:10" ht="110.4">
      <c r="A105" s="13" t="s">
        <v>3672</v>
      </c>
      <c r="B105" s="13" t="s">
        <v>3673</v>
      </c>
      <c r="C105" s="13" t="s">
        <v>269</v>
      </c>
      <c r="D105" s="13" t="s">
        <v>3674</v>
      </c>
      <c r="E105" s="13"/>
      <c r="F105" s="13" t="s">
        <v>229</v>
      </c>
      <c r="G105" s="13"/>
      <c r="H105" s="13" t="s">
        <v>3668</v>
      </c>
      <c r="I105" s="13" t="s">
        <v>502</v>
      </c>
      <c r="J105" s="13"/>
    </row>
    <row r="106" spans="1:10" ht="110.4">
      <c r="A106" s="13" t="s">
        <v>3675</v>
      </c>
      <c r="B106" s="13" t="s">
        <v>3676</v>
      </c>
      <c r="C106" s="13" t="s">
        <v>269</v>
      </c>
      <c r="D106" s="13" t="s">
        <v>3677</v>
      </c>
      <c r="E106" s="13"/>
      <c r="F106" s="13" t="s">
        <v>229</v>
      </c>
      <c r="G106" s="13"/>
      <c r="H106" s="13" t="s">
        <v>3668</v>
      </c>
      <c r="I106" s="13" t="s">
        <v>502</v>
      </c>
      <c r="J106" s="13"/>
    </row>
    <row r="107" spans="1:10" ht="96.6">
      <c r="A107" s="13" t="s">
        <v>3678</v>
      </c>
      <c r="B107" s="13" t="s">
        <v>3679</v>
      </c>
      <c r="C107" s="13" t="s">
        <v>269</v>
      </c>
      <c r="D107" s="13" t="s">
        <v>3680</v>
      </c>
      <c r="E107" s="13"/>
      <c r="F107" s="13" t="s">
        <v>229</v>
      </c>
      <c r="G107" s="13"/>
      <c r="H107" s="13" t="s">
        <v>3668</v>
      </c>
      <c r="I107" s="13" t="s">
        <v>502</v>
      </c>
      <c r="J107" s="13"/>
    </row>
    <row r="108" spans="1:10" ht="110.4">
      <c r="A108" s="13" t="s">
        <v>3681</v>
      </c>
      <c r="B108" s="13" t="s">
        <v>575</v>
      </c>
      <c r="C108" s="13" t="s">
        <v>1072</v>
      </c>
      <c r="D108" s="13" t="s">
        <v>3682</v>
      </c>
      <c r="E108" s="13"/>
      <c r="F108" s="13" t="s">
        <v>229</v>
      </c>
      <c r="G108" s="13"/>
      <c r="H108" s="13" t="s">
        <v>3642</v>
      </c>
      <c r="I108" s="13" t="s">
        <v>502</v>
      </c>
      <c r="J108" s="13"/>
    </row>
    <row r="109" spans="1:10" ht="96.6">
      <c r="A109" s="13" t="s">
        <v>3683</v>
      </c>
      <c r="B109" s="13" t="s">
        <v>575</v>
      </c>
      <c r="C109" s="13" t="s">
        <v>3684</v>
      </c>
      <c r="D109" s="13" t="s">
        <v>3685</v>
      </c>
      <c r="E109" s="13"/>
      <c r="F109" s="13" t="s">
        <v>229</v>
      </c>
      <c r="G109" s="13"/>
      <c r="H109" s="13" t="s">
        <v>3686</v>
      </c>
      <c r="I109" s="13" t="s">
        <v>502</v>
      </c>
      <c r="J109" s="13"/>
    </row>
    <row r="110" spans="1:10">
      <c r="A110" s="13"/>
      <c r="B110" s="13"/>
      <c r="C110" s="13"/>
      <c r="D110" s="13"/>
      <c r="E110" s="13"/>
      <c r="F110" s="13"/>
      <c r="G110" s="13"/>
      <c r="H110" s="13"/>
      <c r="I110" s="13"/>
      <c r="J110" s="13"/>
    </row>
    <row r="111" spans="1:10">
      <c r="A111" s="842" t="s">
        <v>1079</v>
      </c>
      <c r="B111" s="839"/>
      <c r="C111" s="839"/>
      <c r="D111" s="85"/>
      <c r="E111" s="85"/>
      <c r="F111" s="85"/>
      <c r="G111" s="85"/>
      <c r="H111" s="85"/>
      <c r="I111" s="85"/>
      <c r="J111" s="85"/>
    </row>
    <row r="112" spans="1:10">
      <c r="A112" s="50" t="s">
        <v>275</v>
      </c>
      <c r="B112" s="50" t="s">
        <v>895</v>
      </c>
      <c r="C112" s="50" t="s">
        <v>896</v>
      </c>
      <c r="D112" s="50" t="s">
        <v>148</v>
      </c>
      <c r="E112" s="50" t="s">
        <v>153</v>
      </c>
      <c r="F112" s="50" t="s">
        <v>155</v>
      </c>
      <c r="G112" s="50" t="s">
        <v>491</v>
      </c>
      <c r="H112" s="50" t="s">
        <v>897</v>
      </c>
      <c r="I112" s="50" t="s">
        <v>174</v>
      </c>
      <c r="J112" s="50" t="s">
        <v>11</v>
      </c>
    </row>
    <row r="113" spans="1:10" ht="55.2">
      <c r="A113" s="13" t="s">
        <v>443</v>
      </c>
      <c r="B113" s="13">
        <v>0.5</v>
      </c>
      <c r="C113" s="13">
        <v>0.5</v>
      </c>
      <c r="D113" s="13">
        <v>0.5</v>
      </c>
      <c r="E113" s="13">
        <v>0.5</v>
      </c>
      <c r="F113" s="13">
        <v>0.5</v>
      </c>
      <c r="G113" s="13" t="s">
        <v>677</v>
      </c>
      <c r="H113" s="13">
        <v>0.5</v>
      </c>
      <c r="I113" s="13" t="s">
        <v>1201</v>
      </c>
      <c r="J113" s="13" t="s">
        <v>3687</v>
      </c>
    </row>
    <row r="114" spans="1:10" ht="41.4">
      <c r="A114" s="13" t="s">
        <v>3551</v>
      </c>
      <c r="B114" s="13">
        <v>0.5</v>
      </c>
      <c r="C114" s="13">
        <v>0.5</v>
      </c>
      <c r="D114" s="13">
        <v>0.5</v>
      </c>
      <c r="E114" s="13">
        <v>0.5</v>
      </c>
      <c r="F114" s="13">
        <v>0.5</v>
      </c>
      <c r="G114" s="13" t="s">
        <v>677</v>
      </c>
      <c r="H114" s="13">
        <v>0.5</v>
      </c>
      <c r="I114" s="13" t="s">
        <v>1201</v>
      </c>
      <c r="J114" s="13" t="s">
        <v>3688</v>
      </c>
    </row>
    <row r="115" spans="1:10" ht="41.4">
      <c r="A115" s="13" t="s">
        <v>712</v>
      </c>
      <c r="B115" s="13">
        <v>0.5</v>
      </c>
      <c r="C115" s="13">
        <v>0.5</v>
      </c>
      <c r="D115" s="13">
        <v>0.5</v>
      </c>
      <c r="E115" s="13">
        <v>0.5</v>
      </c>
      <c r="F115" s="13">
        <v>0.5</v>
      </c>
      <c r="G115" s="13" t="s">
        <v>677</v>
      </c>
      <c r="H115" s="13">
        <v>0.5</v>
      </c>
      <c r="I115" s="13" t="s">
        <v>1201</v>
      </c>
      <c r="J115" s="13" t="s">
        <v>3689</v>
      </c>
    </row>
    <row r="116" spans="1:10" ht="41.4">
      <c r="A116" s="13" t="s">
        <v>446</v>
      </c>
      <c r="B116" s="13">
        <v>0.5</v>
      </c>
      <c r="C116" s="13">
        <v>0.5</v>
      </c>
      <c r="D116" s="13">
        <v>0.5</v>
      </c>
      <c r="E116" s="13">
        <v>0.5</v>
      </c>
      <c r="F116" s="13">
        <v>0.5</v>
      </c>
      <c r="G116" s="13" t="s">
        <v>677</v>
      </c>
      <c r="H116" s="13">
        <v>0.5</v>
      </c>
      <c r="I116" s="13" t="s">
        <v>1201</v>
      </c>
      <c r="J116" s="13" t="s">
        <v>3690</v>
      </c>
    </row>
    <row r="117" spans="1:10" ht="41.4">
      <c r="A117" s="13" t="s">
        <v>684</v>
      </c>
      <c r="B117" s="13">
        <v>0.5</v>
      </c>
      <c r="C117" s="13">
        <v>0.5</v>
      </c>
      <c r="D117" s="13">
        <v>0.5</v>
      </c>
      <c r="E117" s="13">
        <v>0.5</v>
      </c>
      <c r="F117" s="13">
        <v>0.5</v>
      </c>
      <c r="G117" s="13" t="s">
        <v>677</v>
      </c>
      <c r="H117" s="13">
        <v>0.5</v>
      </c>
      <c r="I117" s="13" t="s">
        <v>1201</v>
      </c>
      <c r="J117" s="13" t="s">
        <v>3691</v>
      </c>
    </row>
    <row r="118" spans="1:10" ht="41.4">
      <c r="A118" s="13" t="s">
        <v>713</v>
      </c>
      <c r="B118" s="13">
        <v>0.5</v>
      </c>
      <c r="C118" s="13">
        <v>0.5</v>
      </c>
      <c r="D118" s="13">
        <v>0.5</v>
      </c>
      <c r="E118" s="13">
        <v>0.5</v>
      </c>
      <c r="F118" s="13">
        <v>0.5</v>
      </c>
      <c r="G118" s="13" t="s">
        <v>677</v>
      </c>
      <c r="H118" s="13">
        <v>0.5</v>
      </c>
      <c r="I118" s="13" t="s">
        <v>1201</v>
      </c>
      <c r="J118" s="13" t="s">
        <v>3692</v>
      </c>
    </row>
    <row r="119" spans="1:10" ht="41.4">
      <c r="A119" s="13" t="s">
        <v>606</v>
      </c>
      <c r="B119" s="13">
        <v>0.5</v>
      </c>
      <c r="C119" s="13">
        <v>0.5</v>
      </c>
      <c r="D119" s="13">
        <v>0.5</v>
      </c>
      <c r="E119" s="13">
        <v>0.5</v>
      </c>
      <c r="F119" s="13">
        <v>0.5</v>
      </c>
      <c r="G119" s="13" t="s">
        <v>677</v>
      </c>
      <c r="H119" s="13">
        <v>0.5</v>
      </c>
      <c r="I119" s="13" t="s">
        <v>1201</v>
      </c>
      <c r="J119" s="13" t="s">
        <v>3693</v>
      </c>
    </row>
    <row r="120" spans="1:10">
      <c r="A120" s="13"/>
      <c r="B120" s="13"/>
      <c r="C120" s="13"/>
      <c r="D120" s="13"/>
      <c r="E120" s="13"/>
      <c r="F120" s="13"/>
      <c r="G120" s="13"/>
      <c r="H120" s="13"/>
      <c r="I120" s="13"/>
      <c r="J120" s="13"/>
    </row>
    <row r="131" spans="1:10" ht="15" thickBot="1"/>
    <row r="132" spans="1:10">
      <c r="A132" s="855" t="s">
        <v>5875</v>
      </c>
      <c r="B132" s="856"/>
      <c r="C132" s="856"/>
      <c r="D132" s="857"/>
      <c r="E132" s="856"/>
      <c r="F132" s="856"/>
      <c r="G132" s="857"/>
      <c r="H132" s="857"/>
      <c r="I132" s="857"/>
      <c r="J132" s="858"/>
    </row>
    <row r="133" spans="1:10">
      <c r="A133" s="325" t="s">
        <v>5817</v>
      </c>
      <c r="B133" s="326" t="s">
        <v>77</v>
      </c>
      <c r="C133" s="326" t="s">
        <v>5818</v>
      </c>
      <c r="D133" s="326" t="s">
        <v>5819</v>
      </c>
      <c r="E133" s="326" t="s">
        <v>5841</v>
      </c>
      <c r="F133" s="326" t="s">
        <v>5808</v>
      </c>
      <c r="G133" s="859" t="s">
        <v>5842</v>
      </c>
      <c r="H133" s="859"/>
      <c r="I133" s="859"/>
      <c r="J133" s="860"/>
    </row>
    <row r="134" spans="1:10" ht="26.4">
      <c r="A134" s="327" t="s">
        <v>5820</v>
      </c>
      <c r="B134" s="337" t="s">
        <v>484</v>
      </c>
      <c r="C134" s="329">
        <v>0</v>
      </c>
      <c r="D134" s="329">
        <v>0</v>
      </c>
      <c r="E134" s="196" t="s">
        <v>5881</v>
      </c>
      <c r="F134" s="329">
        <f>IF(AND(C134&lt;&gt;"",D134&lt;&gt;""),D134-C134,"")</f>
        <v>0</v>
      </c>
      <c r="G134" s="861"/>
      <c r="H134" s="861"/>
      <c r="I134" s="861"/>
      <c r="J134" s="862"/>
    </row>
    <row r="135" spans="1:10" ht="26.4">
      <c r="A135" s="330" t="s">
        <v>5821</v>
      </c>
      <c r="B135" s="337" t="s">
        <v>484</v>
      </c>
      <c r="C135" s="331">
        <v>1</v>
      </c>
      <c r="D135" s="331">
        <v>0</v>
      </c>
      <c r="E135" s="314" t="s">
        <v>5882</v>
      </c>
      <c r="F135" s="331">
        <f>IF(AND(C135&lt;&gt;"",D135&lt;&gt;""),D135-C135,"")</f>
        <v>-1</v>
      </c>
      <c r="G135" s="863"/>
      <c r="H135" s="863"/>
      <c r="I135" s="863"/>
      <c r="J135" s="864"/>
    </row>
    <row r="136" spans="1:10">
      <c r="A136" s="327" t="s">
        <v>5822</v>
      </c>
      <c r="B136" s="337" t="s">
        <v>484</v>
      </c>
      <c r="C136" s="331">
        <v>1</v>
      </c>
      <c r="D136" s="331">
        <v>0</v>
      </c>
      <c r="E136" s="314" t="s">
        <v>5882</v>
      </c>
      <c r="F136" s="329">
        <f>IF(AND(C136&lt;&gt;"",D136&lt;&gt;""),D136-C136,"")</f>
        <v>-1</v>
      </c>
      <c r="G136" s="332"/>
      <c r="H136" s="231"/>
      <c r="I136" s="231"/>
      <c r="J136" s="333"/>
    </row>
    <row r="137" spans="1:10">
      <c r="A137" s="330" t="s">
        <v>5823</v>
      </c>
      <c r="B137" s="337" t="s">
        <v>484</v>
      </c>
      <c r="C137" s="331">
        <v>1</v>
      </c>
      <c r="D137" s="331">
        <v>0</v>
      </c>
      <c r="E137" s="314" t="s">
        <v>5882</v>
      </c>
      <c r="F137" s="331">
        <f>IF(AND(C137&lt;&gt;"",D137&lt;&gt;""),D137-C137,"")</f>
        <v>-1</v>
      </c>
      <c r="G137" s="863"/>
      <c r="H137" s="863"/>
      <c r="I137" s="863"/>
      <c r="J137" s="864"/>
    </row>
    <row r="138" spans="1:10">
      <c r="A138" s="327" t="s">
        <v>5168</v>
      </c>
      <c r="B138" s="337" t="s">
        <v>484</v>
      </c>
      <c r="C138" s="331">
        <v>1</v>
      </c>
      <c r="D138" s="331">
        <v>0</v>
      </c>
      <c r="E138" s="314" t="s">
        <v>5882</v>
      </c>
      <c r="F138" s="329">
        <f>IF(AND(C138&lt;&gt;"",D138&lt;&gt;""),D138-C138,"")</f>
        <v>-1</v>
      </c>
      <c r="G138" s="332"/>
      <c r="H138" s="231"/>
      <c r="I138" s="231"/>
      <c r="J138" s="333"/>
    </row>
    <row r="139" spans="1:10" ht="15.6">
      <c r="A139" s="865" t="s">
        <v>5843</v>
      </c>
      <c r="B139" s="713"/>
      <c r="C139" s="334">
        <f>IFERROR(AVERAGE(C134:C138),"")</f>
        <v>0.8</v>
      </c>
      <c r="D139" s="334">
        <f>IFERROR(AVERAGE(D134:D138),"")</f>
        <v>0</v>
      </c>
      <c r="E139" s="866" t="s">
        <v>5844</v>
      </c>
      <c r="F139" s="866"/>
      <c r="G139" s="866"/>
      <c r="H139" s="866"/>
      <c r="I139" s="866"/>
      <c r="J139" s="867"/>
    </row>
    <row r="140" spans="1:10">
      <c r="A140" s="335"/>
      <c r="B140" s="320"/>
      <c r="C140" s="320"/>
      <c r="D140" s="320"/>
      <c r="E140" s="320"/>
      <c r="F140" s="320"/>
      <c r="G140" s="320"/>
      <c r="H140" s="231"/>
      <c r="I140" s="231"/>
      <c r="J140" s="333"/>
    </row>
    <row r="141" spans="1:10">
      <c r="A141" s="876" t="s">
        <v>5876</v>
      </c>
      <c r="B141" s="853"/>
      <c r="C141" s="853"/>
      <c r="D141" s="842"/>
      <c r="E141" s="853"/>
      <c r="F141" s="853"/>
      <c r="G141" s="842"/>
      <c r="H141" s="842"/>
      <c r="I141" s="842"/>
      <c r="J141" s="868"/>
    </row>
    <row r="142" spans="1:10">
      <c r="A142" s="325" t="s">
        <v>4946</v>
      </c>
      <c r="B142" s="326" t="s">
        <v>77</v>
      </c>
      <c r="C142" s="326" t="s">
        <v>5883</v>
      </c>
      <c r="D142" s="326" t="s">
        <v>482</v>
      </c>
      <c r="E142" s="326" t="s">
        <v>572</v>
      </c>
      <c r="F142" s="326" t="s">
        <v>5846</v>
      </c>
      <c r="G142" s="859" t="s">
        <v>5847</v>
      </c>
      <c r="H142" s="859"/>
      <c r="I142" s="859"/>
      <c r="J142" s="860"/>
    </row>
    <row r="143" spans="1:10" ht="26.4">
      <c r="A143" s="330" t="s">
        <v>5809</v>
      </c>
      <c r="B143" s="337" t="s">
        <v>484</v>
      </c>
      <c r="C143" s="336" t="s">
        <v>679</v>
      </c>
      <c r="D143" s="328" t="s">
        <v>679</v>
      </c>
      <c r="E143" s="336">
        <f>IF(D143="Yes",1,0)</f>
        <v>0</v>
      </c>
      <c r="F143" s="877"/>
      <c r="G143" s="877"/>
      <c r="H143" s="877"/>
      <c r="I143" s="877"/>
      <c r="J143" s="878"/>
    </row>
    <row r="144" spans="1:10">
      <c r="A144" s="327" t="s">
        <v>995</v>
      </c>
      <c r="B144" s="337" t="s">
        <v>484</v>
      </c>
      <c r="C144" s="336" t="s">
        <v>679</v>
      </c>
      <c r="D144" s="328" t="s">
        <v>679</v>
      </c>
      <c r="E144" s="328">
        <f t="shared" ref="E144:E150" si="0">IF(D144="Yes",1,0)</f>
        <v>0</v>
      </c>
      <c r="F144" s="877"/>
      <c r="G144" s="877"/>
      <c r="H144" s="877"/>
      <c r="I144" s="877"/>
      <c r="J144" s="878"/>
    </row>
    <row r="145" spans="1:10">
      <c r="A145" s="330" t="s">
        <v>5810</v>
      </c>
      <c r="B145" s="337" t="s">
        <v>484</v>
      </c>
      <c r="C145" s="336" t="s">
        <v>679</v>
      </c>
      <c r="D145" s="328" t="s">
        <v>679</v>
      </c>
      <c r="E145" s="336">
        <f t="shared" si="0"/>
        <v>0</v>
      </c>
      <c r="F145" s="877"/>
      <c r="G145" s="877"/>
      <c r="H145" s="877"/>
      <c r="I145" s="877"/>
      <c r="J145" s="878"/>
    </row>
    <row r="146" spans="1:10">
      <c r="A146" s="327" t="s">
        <v>5824</v>
      </c>
      <c r="B146" s="337" t="s">
        <v>484</v>
      </c>
      <c r="C146" s="336" t="s">
        <v>679</v>
      </c>
      <c r="D146" s="328" t="s">
        <v>679</v>
      </c>
      <c r="E146" s="328">
        <f t="shared" si="0"/>
        <v>0</v>
      </c>
      <c r="F146" s="877"/>
      <c r="G146" s="877"/>
      <c r="H146" s="877"/>
      <c r="I146" s="877"/>
      <c r="J146" s="878"/>
    </row>
    <row r="147" spans="1:10" ht="39.6">
      <c r="A147" s="330" t="s">
        <v>5825</v>
      </c>
      <c r="B147" s="337" t="s">
        <v>484</v>
      </c>
      <c r="C147" s="336" t="s">
        <v>679</v>
      </c>
      <c r="D147" s="328" t="s">
        <v>679</v>
      </c>
      <c r="E147" s="336">
        <f t="shared" si="0"/>
        <v>0</v>
      </c>
      <c r="F147" s="877"/>
      <c r="G147" s="877"/>
      <c r="H147" s="877"/>
      <c r="I147" s="877"/>
      <c r="J147" s="878"/>
    </row>
    <row r="148" spans="1:10" ht="26.4">
      <c r="A148" s="327" t="s">
        <v>5826</v>
      </c>
      <c r="B148" s="337" t="s">
        <v>484</v>
      </c>
      <c r="C148" s="336" t="s">
        <v>679</v>
      </c>
      <c r="D148" s="328" t="s">
        <v>679</v>
      </c>
      <c r="E148" s="328">
        <f t="shared" si="0"/>
        <v>0</v>
      </c>
      <c r="F148" s="877"/>
      <c r="G148" s="877"/>
      <c r="H148" s="877"/>
      <c r="I148" s="877"/>
      <c r="J148" s="878"/>
    </row>
    <row r="149" spans="1:10">
      <c r="A149" s="330" t="s">
        <v>5811</v>
      </c>
      <c r="B149" s="337" t="s">
        <v>484</v>
      </c>
      <c r="C149" s="336" t="s">
        <v>679</v>
      </c>
      <c r="D149" s="328" t="s">
        <v>679</v>
      </c>
      <c r="E149" s="336">
        <f t="shared" si="0"/>
        <v>0</v>
      </c>
      <c r="F149" s="877"/>
      <c r="G149" s="877"/>
      <c r="H149" s="877"/>
      <c r="I149" s="877"/>
      <c r="J149" s="878"/>
    </row>
    <row r="150" spans="1:10" ht="26.4">
      <c r="A150" s="327" t="s">
        <v>5812</v>
      </c>
      <c r="B150" s="337" t="s">
        <v>484</v>
      </c>
      <c r="C150" s="336" t="s">
        <v>679</v>
      </c>
      <c r="D150" s="328" t="s">
        <v>679</v>
      </c>
      <c r="E150" s="328">
        <f t="shared" si="0"/>
        <v>0</v>
      </c>
      <c r="F150" s="877"/>
      <c r="G150" s="877"/>
      <c r="H150" s="877"/>
      <c r="I150" s="877"/>
      <c r="J150" s="878"/>
    </row>
    <row r="151" spans="1:10" ht="15.6">
      <c r="A151" s="865" t="s">
        <v>5848</v>
      </c>
      <c r="B151" s="713"/>
      <c r="C151" s="871" t="str">
        <f>IFERROR(SUM(E143:E150)/COUNTIF(C143:C150,"Yes"),"")</f>
        <v/>
      </c>
      <c r="D151" s="872"/>
      <c r="E151" s="866" t="s">
        <v>5849</v>
      </c>
      <c r="F151" s="866"/>
      <c r="G151" s="866"/>
      <c r="H151" s="866"/>
      <c r="I151" s="866"/>
      <c r="J151" s="867"/>
    </row>
    <row r="152" spans="1:10">
      <c r="A152" s="335"/>
      <c r="B152" s="320"/>
      <c r="C152" s="320"/>
      <c r="D152" s="320"/>
      <c r="E152" s="320"/>
      <c r="F152" s="320"/>
      <c r="G152" s="320"/>
      <c r="H152" s="231"/>
      <c r="I152" s="231"/>
      <c r="J152" s="333"/>
    </row>
    <row r="153" spans="1:10">
      <c r="A153" s="876" t="s">
        <v>5877</v>
      </c>
      <c r="B153" s="853"/>
      <c r="C153" s="853"/>
      <c r="D153" s="842"/>
      <c r="E153" s="853"/>
      <c r="F153" s="853"/>
      <c r="G153" s="842"/>
      <c r="H153" s="842"/>
      <c r="I153" s="842"/>
      <c r="J153" s="868"/>
    </row>
    <row r="154" spans="1:10">
      <c r="A154" s="325" t="s">
        <v>5850</v>
      </c>
      <c r="B154" s="326" t="s">
        <v>77</v>
      </c>
      <c r="C154" s="326" t="s">
        <v>5827</v>
      </c>
      <c r="D154" s="326" t="s">
        <v>5828</v>
      </c>
      <c r="E154" s="326" t="s">
        <v>5829</v>
      </c>
      <c r="F154" s="326" t="s">
        <v>5851</v>
      </c>
      <c r="G154" s="859" t="s">
        <v>5852</v>
      </c>
      <c r="H154" s="859"/>
      <c r="I154" s="859"/>
      <c r="J154" s="860"/>
    </row>
    <row r="155" spans="1:10" ht="26.4">
      <c r="A155" s="330" t="s">
        <v>5830</v>
      </c>
      <c r="B155" s="336" t="s">
        <v>484</v>
      </c>
      <c r="C155" s="336" t="s">
        <v>1096</v>
      </c>
      <c r="D155" s="336" t="s">
        <v>1096</v>
      </c>
      <c r="E155" s="336" t="s">
        <v>1096</v>
      </c>
      <c r="F155" s="336" t="s">
        <v>348</v>
      </c>
      <c r="G155" s="869"/>
      <c r="H155" s="869"/>
      <c r="I155" s="869"/>
      <c r="J155" s="870"/>
    </row>
    <row r="156" spans="1:10">
      <c r="A156" s="327" t="s">
        <v>5831</v>
      </c>
      <c r="B156" s="336" t="s">
        <v>484</v>
      </c>
      <c r="C156" s="336" t="s">
        <v>1096</v>
      </c>
      <c r="D156" s="336" t="s">
        <v>1096</v>
      </c>
      <c r="E156" s="336" t="s">
        <v>1096</v>
      </c>
      <c r="F156" s="336" t="s">
        <v>348</v>
      </c>
      <c r="G156" s="869"/>
      <c r="H156" s="869"/>
      <c r="I156" s="869"/>
      <c r="J156" s="870"/>
    </row>
    <row r="157" spans="1:10">
      <c r="A157" s="330" t="s">
        <v>5853</v>
      </c>
      <c r="B157" s="336" t="s">
        <v>484</v>
      </c>
      <c r="C157" s="336" t="s">
        <v>1096</v>
      </c>
      <c r="D157" s="336" t="s">
        <v>1096</v>
      </c>
      <c r="E157" s="336" t="s">
        <v>1096</v>
      </c>
      <c r="F157" s="336" t="s">
        <v>348</v>
      </c>
      <c r="G157" s="869"/>
      <c r="H157" s="869"/>
      <c r="I157" s="869"/>
      <c r="J157" s="870"/>
    </row>
    <row r="158" spans="1:10">
      <c r="A158" s="327" t="s">
        <v>5832</v>
      </c>
      <c r="B158" s="336" t="s">
        <v>484</v>
      </c>
      <c r="C158" s="336" t="s">
        <v>1096</v>
      </c>
      <c r="D158" s="336" t="s">
        <v>1096</v>
      </c>
      <c r="E158" s="336" t="s">
        <v>1096</v>
      </c>
      <c r="F158" s="336" t="s">
        <v>348</v>
      </c>
      <c r="G158" s="869"/>
      <c r="H158" s="869"/>
      <c r="I158" s="869"/>
      <c r="J158" s="870"/>
    </row>
    <row r="159" spans="1:10" ht="26.4">
      <c r="A159" s="330" t="s">
        <v>5833</v>
      </c>
      <c r="B159" s="336" t="s">
        <v>484</v>
      </c>
      <c r="C159" s="336" t="s">
        <v>1096</v>
      </c>
      <c r="D159" s="336" t="s">
        <v>1096</v>
      </c>
      <c r="E159" s="336" t="s">
        <v>1096</v>
      </c>
      <c r="F159" s="336" t="s">
        <v>348</v>
      </c>
      <c r="G159" s="869"/>
      <c r="H159" s="869"/>
      <c r="I159" s="869"/>
      <c r="J159" s="870"/>
    </row>
    <row r="160" spans="1:10" ht="15.6">
      <c r="A160" s="865" t="s">
        <v>5884</v>
      </c>
      <c r="B160" s="713"/>
      <c r="C160" s="871">
        <f>IFERROR(COUNTIF(E155:E159,"Yes")/COUNTA(A155:A159),"")</f>
        <v>0</v>
      </c>
      <c r="D160" s="872"/>
      <c r="E160" s="866" t="s">
        <v>5855</v>
      </c>
      <c r="F160" s="866"/>
      <c r="G160" s="866"/>
      <c r="H160" s="866"/>
      <c r="I160" s="866"/>
      <c r="J160" s="867"/>
    </row>
    <row r="161" spans="1:10">
      <c r="A161" s="335"/>
      <c r="B161" s="320"/>
      <c r="C161" s="320"/>
      <c r="D161" s="320"/>
      <c r="E161" s="320"/>
      <c r="F161" s="320"/>
      <c r="G161" s="874"/>
      <c r="H161" s="874"/>
      <c r="I161" s="874"/>
      <c r="J161" s="875"/>
    </row>
    <row r="162" spans="1:10">
      <c r="A162" s="876" t="s">
        <v>5878</v>
      </c>
      <c r="B162" s="853"/>
      <c r="C162" s="853"/>
      <c r="D162" s="842"/>
      <c r="E162" s="853"/>
      <c r="F162" s="853"/>
      <c r="G162" s="842"/>
      <c r="H162" s="842"/>
      <c r="I162" s="842"/>
      <c r="J162" s="868"/>
    </row>
    <row r="163" spans="1:10">
      <c r="A163" s="326" t="s">
        <v>5813</v>
      </c>
      <c r="B163" s="326" t="s">
        <v>77</v>
      </c>
      <c r="C163" s="326" t="s">
        <v>5834</v>
      </c>
      <c r="D163" s="326" t="s">
        <v>5835</v>
      </c>
      <c r="E163" s="326" t="s">
        <v>5836</v>
      </c>
      <c r="F163" s="326" t="s">
        <v>5837</v>
      </c>
      <c r="G163" s="859" t="s">
        <v>5885</v>
      </c>
      <c r="H163" s="859"/>
      <c r="I163" s="859"/>
      <c r="J163" s="859"/>
    </row>
    <row r="164" spans="1:10">
      <c r="A164" s="332" t="s">
        <v>153</v>
      </c>
      <c r="B164" s="328" t="s">
        <v>484</v>
      </c>
      <c r="C164" s="328"/>
      <c r="D164" s="328"/>
      <c r="E164" s="328"/>
      <c r="F164" s="329" t="str">
        <f>IFERROR(D164/C164,"")</f>
        <v/>
      </c>
      <c r="G164" s="873"/>
      <c r="H164" s="873"/>
      <c r="I164" s="873"/>
      <c r="J164" s="873"/>
    </row>
    <row r="165" spans="1:10">
      <c r="A165" s="339" t="s">
        <v>155</v>
      </c>
      <c r="B165" s="336" t="s">
        <v>484</v>
      </c>
      <c r="C165" s="336"/>
      <c r="D165" s="336"/>
      <c r="E165" s="336"/>
      <c r="F165" s="331" t="str">
        <f>IFERROR(D165/C165,"")</f>
        <v/>
      </c>
      <c r="G165" s="873"/>
      <c r="H165" s="873"/>
      <c r="I165" s="873"/>
      <c r="J165" s="873"/>
    </row>
    <row r="166" spans="1:10">
      <c r="A166" s="332" t="s">
        <v>4821</v>
      </c>
      <c r="B166" s="328" t="s">
        <v>484</v>
      </c>
      <c r="C166" s="328"/>
      <c r="D166" s="328"/>
      <c r="E166" s="328"/>
      <c r="F166" s="329" t="str">
        <f>IFERROR(D166/C166,"")</f>
        <v/>
      </c>
      <c r="G166" s="873"/>
      <c r="H166" s="873"/>
      <c r="I166" s="873"/>
      <c r="J166" s="873"/>
    </row>
    <row r="167" spans="1:10">
      <c r="A167" s="339" t="s">
        <v>957</v>
      </c>
      <c r="B167" s="336" t="s">
        <v>484</v>
      </c>
      <c r="C167" s="336"/>
      <c r="D167" s="336"/>
      <c r="E167" s="336"/>
      <c r="F167" s="331" t="str">
        <f>IFERROR(D167/C167,"")</f>
        <v/>
      </c>
      <c r="G167" s="873"/>
      <c r="H167" s="873"/>
      <c r="I167" s="873"/>
      <c r="J167" s="873"/>
    </row>
    <row r="168" spans="1:10">
      <c r="A168" s="879" t="s">
        <v>5856</v>
      </c>
      <c r="B168" s="879"/>
      <c r="C168" s="879"/>
      <c r="D168" s="879"/>
      <c r="E168" s="866" t="s">
        <v>5857</v>
      </c>
      <c r="F168" s="866"/>
      <c r="G168" s="866"/>
      <c r="H168" s="866"/>
      <c r="I168" s="866"/>
      <c r="J168" s="866"/>
    </row>
    <row r="169" spans="1:10">
      <c r="A169" s="879"/>
      <c r="B169" s="879"/>
      <c r="C169" s="879"/>
      <c r="D169" s="879"/>
      <c r="E169" s="866"/>
      <c r="F169" s="866"/>
      <c r="G169" s="866"/>
      <c r="H169" s="866"/>
      <c r="I169" s="866"/>
      <c r="J169" s="866"/>
    </row>
    <row r="170" spans="1:10">
      <c r="A170" s="842" t="s">
        <v>5879</v>
      </c>
      <c r="B170" s="842"/>
      <c r="C170" s="842"/>
      <c r="D170" s="842"/>
      <c r="E170" s="842"/>
      <c r="F170" s="842"/>
      <c r="G170" s="842"/>
      <c r="H170" s="842"/>
      <c r="I170" s="842"/>
      <c r="J170" s="842"/>
    </row>
    <row r="171" spans="1:10">
      <c r="A171" s="326" t="s">
        <v>4946</v>
      </c>
      <c r="B171" s="326" t="s">
        <v>77</v>
      </c>
      <c r="C171" s="326" t="s">
        <v>5845</v>
      </c>
      <c r="D171" s="326" t="s">
        <v>482</v>
      </c>
      <c r="E171" s="326" t="s">
        <v>572</v>
      </c>
      <c r="F171" s="326" t="s">
        <v>944</v>
      </c>
      <c r="G171" s="859" t="s">
        <v>5847</v>
      </c>
      <c r="H171" s="859"/>
      <c r="I171" s="859"/>
      <c r="J171" s="859"/>
    </row>
    <row r="172" spans="1:10" ht="26.4">
      <c r="A172" s="332" t="s">
        <v>5814</v>
      </c>
      <c r="B172" s="328" t="s">
        <v>484</v>
      </c>
      <c r="C172" s="328" t="s">
        <v>392</v>
      </c>
      <c r="D172" s="328" t="s">
        <v>1096</v>
      </c>
      <c r="E172" s="328">
        <f t="shared" ref="E172:E177" si="1">IF(D172="Yes",1,0)</f>
        <v>0</v>
      </c>
      <c r="F172" s="328"/>
      <c r="G172" s="873"/>
      <c r="H172" s="873"/>
      <c r="I172" s="873"/>
      <c r="J172" s="873"/>
    </row>
    <row r="173" spans="1:10">
      <c r="A173" s="339" t="s">
        <v>5815</v>
      </c>
      <c r="B173" s="328" t="s">
        <v>484</v>
      </c>
      <c r="C173" s="336" t="s">
        <v>392</v>
      </c>
      <c r="D173" s="328" t="s">
        <v>1096</v>
      </c>
      <c r="E173" s="336">
        <f t="shared" si="1"/>
        <v>0</v>
      </c>
      <c r="F173" s="336"/>
      <c r="G173" s="873"/>
      <c r="H173" s="873"/>
      <c r="I173" s="873"/>
      <c r="J173" s="873"/>
    </row>
    <row r="174" spans="1:10" ht="26.4">
      <c r="A174" s="332" t="s">
        <v>5816</v>
      </c>
      <c r="B174" s="328" t="s">
        <v>484</v>
      </c>
      <c r="C174" s="328" t="s">
        <v>392</v>
      </c>
      <c r="D174" s="328" t="s">
        <v>1096</v>
      </c>
      <c r="E174" s="328">
        <f t="shared" si="1"/>
        <v>0</v>
      </c>
      <c r="F174" s="328"/>
      <c r="G174" s="873"/>
      <c r="H174" s="873"/>
      <c r="I174" s="873"/>
      <c r="J174" s="873"/>
    </row>
    <row r="175" spans="1:10">
      <c r="A175" s="339" t="s">
        <v>5838</v>
      </c>
      <c r="B175" s="328" t="s">
        <v>484</v>
      </c>
      <c r="C175" s="336" t="s">
        <v>392</v>
      </c>
      <c r="D175" s="328" t="s">
        <v>1096</v>
      </c>
      <c r="E175" s="336">
        <f t="shared" si="1"/>
        <v>0</v>
      </c>
      <c r="F175" s="336"/>
      <c r="G175" s="873"/>
      <c r="H175" s="873"/>
      <c r="I175" s="873"/>
      <c r="J175" s="873"/>
    </row>
    <row r="176" spans="1:10" ht="26.4">
      <c r="A176" s="332" t="s">
        <v>5839</v>
      </c>
      <c r="B176" s="328" t="s">
        <v>484</v>
      </c>
      <c r="C176" s="328" t="s">
        <v>392</v>
      </c>
      <c r="D176" s="328" t="s">
        <v>1096</v>
      </c>
      <c r="E176" s="328">
        <f t="shared" si="1"/>
        <v>0</v>
      </c>
      <c r="F176" s="328"/>
      <c r="G176" s="873"/>
      <c r="H176" s="873"/>
      <c r="I176" s="873"/>
      <c r="J176" s="873"/>
    </row>
    <row r="177" spans="1:10" ht="26.4">
      <c r="A177" s="339" t="s">
        <v>5840</v>
      </c>
      <c r="B177" s="328" t="s">
        <v>484</v>
      </c>
      <c r="C177" s="336" t="s">
        <v>392</v>
      </c>
      <c r="D177" s="336" t="s">
        <v>1096</v>
      </c>
      <c r="E177" s="336">
        <f t="shared" si="1"/>
        <v>0</v>
      </c>
      <c r="F177" s="336"/>
      <c r="G177" s="873"/>
      <c r="H177" s="873"/>
      <c r="I177" s="873"/>
      <c r="J177" s="873"/>
    </row>
    <row r="178" spans="1:10" ht="15.6">
      <c r="A178" s="880" t="s">
        <v>5858</v>
      </c>
      <c r="B178" s="713"/>
      <c r="C178" s="871">
        <f>IFERROR(SUM(E172:E177)/COUNTIF(C172:C177,"Yes"),"")</f>
        <v>0</v>
      </c>
      <c r="D178" s="872"/>
      <c r="E178" s="866" t="s">
        <v>5859</v>
      </c>
      <c r="F178" s="866"/>
      <c r="G178" s="866"/>
      <c r="H178" s="866"/>
      <c r="I178" s="866"/>
      <c r="J178" s="866"/>
    </row>
    <row r="179" spans="1:10">
      <c r="A179" s="196"/>
      <c r="B179" s="196"/>
      <c r="C179" s="196"/>
      <c r="D179" s="196"/>
      <c r="E179" s="196"/>
      <c r="F179" s="196"/>
      <c r="G179" s="196"/>
      <c r="H179" s="196"/>
      <c r="I179" s="196"/>
      <c r="J179" s="196"/>
    </row>
    <row r="180" spans="1:10">
      <c r="A180" s="842" t="s">
        <v>5880</v>
      </c>
      <c r="B180" s="853"/>
      <c r="C180" s="853"/>
      <c r="D180" s="321"/>
      <c r="E180" s="321"/>
      <c r="F180" s="321"/>
      <c r="G180" s="321"/>
      <c r="H180" s="321"/>
      <c r="I180" s="321"/>
      <c r="J180" s="321"/>
    </row>
    <row r="181" spans="1:10" ht="55.2">
      <c r="A181" s="322" t="s">
        <v>905</v>
      </c>
      <c r="B181" s="322" t="s">
        <v>830</v>
      </c>
      <c r="C181" s="322"/>
      <c r="D181" s="322"/>
      <c r="E181" s="322"/>
      <c r="F181" s="322"/>
      <c r="G181" s="322"/>
      <c r="H181" s="322"/>
      <c r="I181" s="322"/>
      <c r="J181" s="322"/>
    </row>
    <row r="182" spans="1:10">
      <c r="A182" s="319" t="s">
        <v>1086</v>
      </c>
      <c r="B182" s="852" t="s">
        <v>3292</v>
      </c>
      <c r="C182" s="853"/>
      <c r="D182" s="853"/>
      <c r="E182" s="853"/>
      <c r="F182" s="853"/>
      <c r="G182" s="853"/>
      <c r="H182" s="853"/>
      <c r="I182" s="853"/>
      <c r="J182" s="853"/>
    </row>
    <row r="183" spans="1:10" ht="27.6">
      <c r="A183" s="319" t="s">
        <v>2090</v>
      </c>
      <c r="B183" s="852" t="s">
        <v>3293</v>
      </c>
      <c r="C183" s="853"/>
      <c r="D183" s="853"/>
      <c r="E183" s="853"/>
      <c r="F183" s="853"/>
      <c r="G183" s="853"/>
      <c r="H183" s="853"/>
      <c r="I183" s="853"/>
      <c r="J183" s="853"/>
    </row>
    <row r="184" spans="1:10">
      <c r="A184" s="319" t="s">
        <v>1089</v>
      </c>
      <c r="B184" s="852" t="s">
        <v>3294</v>
      </c>
      <c r="C184" s="853"/>
      <c r="D184" s="853"/>
      <c r="E184" s="853"/>
      <c r="F184" s="853"/>
      <c r="G184" s="853"/>
      <c r="H184" s="853"/>
      <c r="I184" s="853"/>
      <c r="J184" s="853"/>
    </row>
    <row r="185" spans="1:10">
      <c r="A185" s="319" t="s">
        <v>1090</v>
      </c>
      <c r="B185" s="852" t="s">
        <v>3295</v>
      </c>
      <c r="C185" s="853"/>
      <c r="D185" s="853"/>
      <c r="E185" s="853"/>
      <c r="F185" s="853"/>
      <c r="G185" s="853"/>
      <c r="H185" s="853"/>
      <c r="I185" s="853"/>
      <c r="J185" s="853"/>
    </row>
    <row r="186" spans="1:10">
      <c r="A186" s="319" t="s">
        <v>1088</v>
      </c>
      <c r="B186" s="852" t="s">
        <v>3296</v>
      </c>
      <c r="C186" s="853"/>
      <c r="D186" s="853"/>
      <c r="E186" s="853"/>
      <c r="F186" s="853"/>
      <c r="G186" s="853"/>
      <c r="H186" s="853"/>
      <c r="I186" s="853"/>
      <c r="J186" s="853"/>
    </row>
    <row r="187" spans="1:10" ht="27.6">
      <c r="A187" s="319" t="s">
        <v>3297</v>
      </c>
      <c r="B187" s="852" t="s">
        <v>3298</v>
      </c>
      <c r="C187" s="853"/>
      <c r="D187" s="853"/>
      <c r="E187" s="853"/>
      <c r="F187" s="853"/>
      <c r="G187" s="853"/>
      <c r="H187" s="853"/>
      <c r="I187" s="853"/>
      <c r="J187" s="853"/>
    </row>
    <row r="188" spans="1:10">
      <c r="A188" s="319" t="s">
        <v>1563</v>
      </c>
      <c r="B188" s="852" t="s">
        <v>1776</v>
      </c>
      <c r="C188" s="853"/>
      <c r="D188" s="853"/>
      <c r="E188" s="853"/>
      <c r="F188" s="853"/>
      <c r="G188" s="853"/>
      <c r="H188" s="853"/>
      <c r="I188" s="853"/>
      <c r="J188" s="853"/>
    </row>
    <row r="189" spans="1:10">
      <c r="A189" s="231"/>
      <c r="B189" s="231"/>
      <c r="C189" s="231"/>
      <c r="D189" s="231"/>
      <c r="E189" s="231"/>
      <c r="F189" s="231"/>
      <c r="G189" s="231"/>
      <c r="H189" s="231"/>
      <c r="I189" s="231"/>
      <c r="J189" s="231"/>
    </row>
    <row r="190" spans="1:10" ht="17.399999999999999">
      <c r="A190" s="827" t="s">
        <v>5769</v>
      </c>
      <c r="B190" s="827"/>
      <c r="C190" s="827"/>
      <c r="D190" s="827"/>
      <c r="E190" s="827"/>
      <c r="F190" s="827"/>
      <c r="G190" s="827"/>
      <c r="H190" s="827"/>
      <c r="I190" s="231"/>
      <c r="J190" s="231"/>
    </row>
    <row r="191" spans="1:10">
      <c r="A191" s="276" t="s">
        <v>2</v>
      </c>
      <c r="B191" s="828" t="s">
        <v>5770</v>
      </c>
      <c r="C191" s="828"/>
      <c r="D191" s="828"/>
      <c r="E191" s="828"/>
      <c r="F191" s="828"/>
      <c r="G191" s="828"/>
      <c r="H191" s="828"/>
      <c r="I191" s="231"/>
      <c r="J191" s="231"/>
    </row>
    <row r="192" spans="1:10">
      <c r="A192" s="276" t="s">
        <v>5771</v>
      </c>
      <c r="B192" s="828" t="s">
        <v>5772</v>
      </c>
      <c r="C192" s="828"/>
      <c r="D192" s="828"/>
      <c r="E192" s="828"/>
      <c r="F192" s="828"/>
      <c r="G192" s="828"/>
      <c r="H192" s="828"/>
      <c r="I192" s="231"/>
      <c r="J192" s="231"/>
    </row>
    <row r="193" spans="1:10">
      <c r="A193" s="196"/>
      <c r="B193" s="196"/>
      <c r="C193" s="196"/>
      <c r="D193" s="196"/>
      <c r="E193" s="196"/>
      <c r="F193" s="196"/>
      <c r="G193" s="196"/>
      <c r="H193" s="196"/>
      <c r="I193" s="231"/>
      <c r="J193" s="231"/>
    </row>
    <row r="194" spans="1:10">
      <c r="A194" s="323" t="s">
        <v>4946</v>
      </c>
      <c r="B194" s="323" t="s">
        <v>77</v>
      </c>
      <c r="C194" s="323" t="s">
        <v>5773</v>
      </c>
      <c r="D194" s="323" t="s">
        <v>263</v>
      </c>
      <c r="E194" s="323" t="s">
        <v>216</v>
      </c>
      <c r="F194" s="323" t="s">
        <v>5774</v>
      </c>
      <c r="G194" s="323" t="s">
        <v>5775</v>
      </c>
      <c r="H194" s="323" t="s">
        <v>5776</v>
      </c>
      <c r="I194" s="231"/>
      <c r="J194" s="231"/>
    </row>
    <row r="195" spans="1:10" ht="26.4">
      <c r="A195" s="277" t="s">
        <v>5777</v>
      </c>
      <c r="B195" s="278" t="s">
        <v>1096</v>
      </c>
      <c r="C195" s="277"/>
      <c r="D195" s="277"/>
      <c r="E195" s="277"/>
      <c r="F195" s="277"/>
      <c r="G195" s="279" t="str">
        <f t="shared" ref="G195:G202" si="2">IF(OR(B195="Yes",B195="N/A"),"🟢","🟡")</f>
        <v>🟡</v>
      </c>
      <c r="H195" s="277"/>
      <c r="I195" s="231"/>
      <c r="J195" s="231"/>
    </row>
    <row r="196" spans="1:10">
      <c r="A196" s="277" t="s">
        <v>5778</v>
      </c>
      <c r="B196" s="278" t="s">
        <v>1096</v>
      </c>
      <c r="C196" s="277"/>
      <c r="D196" s="277"/>
      <c r="E196" s="277"/>
      <c r="F196" s="277"/>
      <c r="G196" s="279" t="str">
        <f t="shared" si="2"/>
        <v>🟡</v>
      </c>
      <c r="H196" s="277"/>
      <c r="I196" s="231"/>
      <c r="J196" s="231"/>
    </row>
    <row r="197" spans="1:10">
      <c r="A197" s="277" t="s">
        <v>5779</v>
      </c>
      <c r="B197" s="278" t="s">
        <v>1096</v>
      </c>
      <c r="C197" s="277"/>
      <c r="D197" s="277"/>
      <c r="E197" s="277"/>
      <c r="F197" s="277"/>
      <c r="G197" s="279" t="str">
        <f t="shared" si="2"/>
        <v>🟡</v>
      </c>
      <c r="H197" s="277"/>
      <c r="I197" s="231"/>
      <c r="J197" s="231"/>
    </row>
    <row r="198" spans="1:10">
      <c r="A198" s="277" t="s">
        <v>5168</v>
      </c>
      <c r="B198" s="278" t="s">
        <v>1096</v>
      </c>
      <c r="C198" s="277"/>
      <c r="D198" s="277"/>
      <c r="E198" s="277"/>
      <c r="F198" s="277"/>
      <c r="G198" s="279" t="str">
        <f t="shared" si="2"/>
        <v>🟡</v>
      </c>
      <c r="H198" s="277"/>
      <c r="I198" s="231"/>
      <c r="J198" s="231"/>
    </row>
    <row r="199" spans="1:10">
      <c r="A199" s="277" t="s">
        <v>5780</v>
      </c>
      <c r="B199" s="278" t="s">
        <v>1096</v>
      </c>
      <c r="C199" s="277"/>
      <c r="D199" s="277"/>
      <c r="E199" s="277"/>
      <c r="F199" s="277"/>
      <c r="G199" s="279" t="str">
        <f t="shared" si="2"/>
        <v>🟡</v>
      </c>
      <c r="H199" s="277"/>
      <c r="I199" s="231"/>
      <c r="J199" s="231"/>
    </row>
    <row r="200" spans="1:10">
      <c r="A200" s="277" t="s">
        <v>5781</v>
      </c>
      <c r="B200" s="278" t="s">
        <v>1096</v>
      </c>
      <c r="C200" s="277"/>
      <c r="D200" s="277"/>
      <c r="E200" s="277"/>
      <c r="F200" s="277"/>
      <c r="G200" s="279" t="str">
        <f t="shared" si="2"/>
        <v>🟡</v>
      </c>
      <c r="H200" s="277"/>
      <c r="I200" s="231"/>
      <c r="J200" s="231"/>
    </row>
    <row r="201" spans="1:10">
      <c r="A201" s="277" t="s">
        <v>178</v>
      </c>
      <c r="B201" s="278" t="s">
        <v>1096</v>
      </c>
      <c r="C201" s="277"/>
      <c r="D201" s="277"/>
      <c r="E201" s="277"/>
      <c r="F201" s="277"/>
      <c r="G201" s="279" t="str">
        <f t="shared" si="2"/>
        <v>🟡</v>
      </c>
      <c r="H201" s="277"/>
      <c r="I201" s="231"/>
      <c r="J201" s="231"/>
    </row>
    <row r="202" spans="1:10" ht="26.4">
      <c r="A202" s="277" t="s">
        <v>5782</v>
      </c>
      <c r="B202" s="278" t="s">
        <v>1096</v>
      </c>
      <c r="C202" s="277"/>
      <c r="D202" s="277"/>
      <c r="E202" s="277"/>
      <c r="F202" s="277"/>
      <c r="G202" s="279" t="str">
        <f t="shared" si="2"/>
        <v>🟡</v>
      </c>
      <c r="H202" s="277"/>
      <c r="I202" s="231"/>
      <c r="J202" s="231"/>
    </row>
    <row r="203" spans="1:10">
      <c r="A203" s="324" t="s">
        <v>4946</v>
      </c>
      <c r="B203" s="324" t="s">
        <v>5790</v>
      </c>
      <c r="C203" s="196"/>
      <c r="D203" s="196"/>
      <c r="E203" s="324" t="s">
        <v>5791</v>
      </c>
      <c r="F203" s="196"/>
      <c r="G203" s="196"/>
      <c r="H203" s="196"/>
      <c r="I203" s="231"/>
      <c r="J203" s="231"/>
    </row>
    <row r="204" spans="1:10" ht="26.4">
      <c r="A204" s="291" t="s">
        <v>5777</v>
      </c>
      <c r="B204" s="768" t="s">
        <v>5792</v>
      </c>
      <c r="C204" s="768"/>
      <c r="D204" s="768"/>
      <c r="E204" s="768" t="s">
        <v>5793</v>
      </c>
      <c r="F204" s="768"/>
      <c r="G204" s="768"/>
      <c r="H204" s="196"/>
      <c r="I204" s="231"/>
      <c r="J204" s="231"/>
    </row>
    <row r="205" spans="1:10">
      <c r="A205" s="291" t="s">
        <v>5778</v>
      </c>
      <c r="B205" s="768" t="s">
        <v>5794</v>
      </c>
      <c r="C205" s="768"/>
      <c r="D205" s="768"/>
      <c r="E205" s="768" t="s">
        <v>5795</v>
      </c>
      <c r="F205" s="768"/>
      <c r="G205" s="768"/>
      <c r="H205" s="196"/>
      <c r="I205" s="231"/>
      <c r="J205" s="231"/>
    </row>
    <row r="206" spans="1:10">
      <c r="A206" s="291" t="s">
        <v>5779</v>
      </c>
      <c r="B206" s="768" t="s">
        <v>5796</v>
      </c>
      <c r="C206" s="768"/>
      <c r="D206" s="768"/>
      <c r="E206" s="768" t="s">
        <v>5797</v>
      </c>
      <c r="F206" s="768"/>
      <c r="G206" s="768"/>
      <c r="H206" s="196"/>
      <c r="I206" s="231"/>
      <c r="J206" s="231"/>
    </row>
    <row r="207" spans="1:10">
      <c r="A207" s="291" t="s">
        <v>5168</v>
      </c>
      <c r="B207" s="768" t="s">
        <v>5798</v>
      </c>
      <c r="C207" s="768"/>
      <c r="D207" s="768"/>
      <c r="E207" s="768" t="s">
        <v>5799</v>
      </c>
      <c r="F207" s="768"/>
      <c r="G207" s="768"/>
      <c r="H207" s="196"/>
      <c r="I207" s="231"/>
      <c r="J207" s="231"/>
    </row>
    <row r="208" spans="1:10">
      <c r="A208" s="291" t="s">
        <v>5780</v>
      </c>
      <c r="B208" s="768" t="s">
        <v>5800</v>
      </c>
      <c r="C208" s="768"/>
      <c r="D208" s="768"/>
      <c r="E208" s="768" t="s">
        <v>5801</v>
      </c>
      <c r="F208" s="768"/>
      <c r="G208" s="768"/>
      <c r="H208" s="196"/>
      <c r="I208" s="231"/>
      <c r="J208" s="231"/>
    </row>
    <row r="209" spans="1:10">
      <c r="A209" s="291" t="s">
        <v>5781</v>
      </c>
      <c r="B209" s="768" t="s">
        <v>5802</v>
      </c>
      <c r="C209" s="768"/>
      <c r="D209" s="768"/>
      <c r="E209" s="768" t="s">
        <v>5803</v>
      </c>
      <c r="F209" s="768"/>
      <c r="G209" s="768"/>
      <c r="H209" s="196"/>
      <c r="I209" s="231"/>
      <c r="J209" s="231"/>
    </row>
    <row r="210" spans="1:10">
      <c r="A210" s="291" t="s">
        <v>178</v>
      </c>
      <c r="B210" s="768" t="s">
        <v>5804</v>
      </c>
      <c r="C210" s="768"/>
      <c r="D210" s="768"/>
      <c r="E210" s="768" t="s">
        <v>5805</v>
      </c>
      <c r="F210" s="768"/>
      <c r="G210" s="768"/>
      <c r="H210" s="196"/>
      <c r="I210" s="231"/>
      <c r="J210" s="231"/>
    </row>
    <row r="211" spans="1:10" ht="26.4">
      <c r="A211" s="291" t="s">
        <v>5782</v>
      </c>
      <c r="B211" s="768" t="s">
        <v>5806</v>
      </c>
      <c r="C211" s="768"/>
      <c r="D211" s="768"/>
      <c r="E211" s="768" t="s">
        <v>5807</v>
      </c>
      <c r="F211" s="768"/>
      <c r="G211" s="768"/>
      <c r="H211" s="196"/>
      <c r="I211" s="231"/>
      <c r="J211" s="231"/>
    </row>
    <row r="212" spans="1:10">
      <c r="A212" s="276" t="s">
        <v>5783</v>
      </c>
      <c r="B212" s="280" t="str">
        <f>IF(COUNTIF(B195:B202,"No")=0,"🟢 PILOT COMPLETE / ACCEPTANCE READY","🟡 NOT COMPLETE — ACCEPTANCE GATES OPEN")</f>
        <v>🟡 NOT COMPLETE — ACCEPTANCE GATES OPEN</v>
      </c>
      <c r="C212" s="280"/>
      <c r="D212" s="280"/>
      <c r="E212" s="280"/>
      <c r="F212" s="280"/>
      <c r="G212" s="280"/>
      <c r="H212" s="280"/>
    </row>
    <row r="213" spans="1:10">
      <c r="A213" s="276" t="s">
        <v>5784</v>
      </c>
      <c r="B213" s="280">
        <f>COUNTIF(B195:B202,"No")</f>
        <v>8</v>
      </c>
      <c r="C213" s="280"/>
      <c r="D213" s="280"/>
      <c r="E213" s="280"/>
      <c r="F213" s="280"/>
      <c r="G213" s="280"/>
      <c r="H213" s="280"/>
    </row>
    <row r="214" spans="1:10">
      <c r="A214" s="276" t="s">
        <v>5785</v>
      </c>
      <c r="B214" s="280" t="str">
        <f>COUNTIF(B195:B202,"Yes")&amp;" / 8 Complete"</f>
        <v>0 / 8 Complete</v>
      </c>
      <c r="C214" s="280"/>
      <c r="D214" s="280"/>
      <c r="E214" s="280"/>
      <c r="F214" s="280"/>
      <c r="G214" s="280"/>
      <c r="H214" s="280"/>
    </row>
    <row r="215" spans="1:10" ht="93">
      <c r="A215" s="281" t="s">
        <v>5786</v>
      </c>
      <c r="B215" s="282" t="s">
        <v>5787</v>
      </c>
      <c r="C215" s="282"/>
      <c r="D215" s="282"/>
      <c r="E215" s="282"/>
      <c r="F215" s="282"/>
      <c r="G215" s="282"/>
      <c r="H215" s="282"/>
    </row>
    <row r="216" spans="1:10">
      <c r="A216" s="281"/>
      <c r="B216" s="282"/>
      <c r="C216" s="282"/>
      <c r="D216" s="282"/>
      <c r="E216" s="282"/>
      <c r="F216" s="282"/>
      <c r="G216" s="282"/>
      <c r="H216" s="282"/>
    </row>
    <row r="217" spans="1:10" ht="66.599999999999994">
      <c r="A217" s="281" t="s">
        <v>5788</v>
      </c>
      <c r="B217" s="282" t="s">
        <v>5789</v>
      </c>
      <c r="C217" s="282"/>
      <c r="D217" s="282"/>
      <c r="E217" s="282"/>
      <c r="F217" s="282"/>
      <c r="G217" s="282"/>
      <c r="H217" s="282"/>
    </row>
    <row r="218" spans="1:10">
      <c r="A218" s="842" t="s">
        <v>5901</v>
      </c>
      <c r="B218" s="842"/>
      <c r="C218" s="842"/>
      <c r="D218" s="842"/>
      <c r="E218" s="842"/>
      <c r="F218" s="842"/>
      <c r="G218" s="842"/>
      <c r="H218" s="842"/>
      <c r="I218" s="842"/>
      <c r="J218" s="842"/>
    </row>
    <row r="219" spans="1:10">
      <c r="A219" s="340" t="s">
        <v>5886</v>
      </c>
      <c r="B219" s="196"/>
      <c r="C219" s="196"/>
      <c r="D219" s="196"/>
      <c r="E219" s="196"/>
      <c r="F219" s="196"/>
      <c r="G219" s="196"/>
      <c r="H219" s="196"/>
      <c r="I219" s="196"/>
      <c r="J219" s="196"/>
    </row>
    <row r="220" spans="1:10">
      <c r="A220" s="196"/>
      <c r="B220" s="196"/>
      <c r="C220" s="196"/>
      <c r="D220" s="196"/>
      <c r="E220" s="196"/>
      <c r="F220" s="196"/>
      <c r="G220" s="196"/>
      <c r="H220" s="196"/>
      <c r="I220" s="196"/>
      <c r="J220" s="196"/>
    </row>
    <row r="221" spans="1:10">
      <c r="A221" s="196" t="s">
        <v>5887</v>
      </c>
      <c r="B221" s="196"/>
      <c r="C221" s="196"/>
      <c r="D221" s="196"/>
      <c r="E221" s="196"/>
      <c r="F221" s="196"/>
      <c r="G221" s="196"/>
      <c r="H221" s="196"/>
      <c r="I221" s="196"/>
      <c r="J221" s="196"/>
    </row>
    <row r="222" spans="1:10">
      <c r="A222" s="196"/>
      <c r="B222" s="196"/>
      <c r="C222" s="196"/>
      <c r="D222" s="196"/>
      <c r="E222" s="196"/>
      <c r="F222" s="196"/>
      <c r="G222" s="196"/>
      <c r="H222" s="196"/>
      <c r="I222" s="196"/>
      <c r="J222" s="196"/>
    </row>
    <row r="223" spans="1:10">
      <c r="A223" s="196" t="s">
        <v>5888</v>
      </c>
      <c r="B223" s="196"/>
      <c r="C223" s="196"/>
      <c r="D223" s="196"/>
      <c r="E223" s="196"/>
      <c r="F223" s="196"/>
      <c r="G223" s="196"/>
      <c r="H223" s="196"/>
      <c r="I223" s="196"/>
      <c r="J223" s="196"/>
    </row>
    <row r="224" spans="1:10">
      <c r="A224" s="196"/>
      <c r="B224" s="196"/>
      <c r="C224" s="196"/>
      <c r="D224" s="196"/>
      <c r="E224" s="196"/>
      <c r="F224" s="196"/>
      <c r="G224" s="196"/>
      <c r="H224" s="196"/>
      <c r="I224" s="196"/>
      <c r="J224" s="196"/>
    </row>
    <row r="225" spans="1:10">
      <c r="A225" s="196" t="s">
        <v>5889</v>
      </c>
      <c r="B225" s="196"/>
      <c r="C225" s="196"/>
      <c r="D225" s="196"/>
      <c r="E225" s="196"/>
      <c r="F225" s="196"/>
      <c r="G225" s="196"/>
      <c r="H225" s="196"/>
      <c r="I225" s="196"/>
      <c r="J225" s="196"/>
    </row>
    <row r="226" spans="1:10">
      <c r="A226" s="196"/>
      <c r="B226" s="196"/>
      <c r="C226" s="196"/>
      <c r="D226" s="196"/>
      <c r="E226" s="196"/>
      <c r="F226" s="196"/>
      <c r="G226" s="196"/>
      <c r="H226" s="196"/>
      <c r="I226" s="196"/>
      <c r="J226" s="196"/>
    </row>
    <row r="227" spans="1:10">
      <c r="A227" s="196"/>
      <c r="B227" s="196"/>
      <c r="C227" s="196"/>
      <c r="D227" s="196"/>
      <c r="E227" s="196"/>
      <c r="F227" s="196"/>
      <c r="G227" s="196"/>
      <c r="H227" s="196"/>
      <c r="I227" s="196"/>
      <c r="J227" s="196"/>
    </row>
    <row r="228" spans="1:10">
      <c r="A228" s="196"/>
      <c r="B228" s="196"/>
      <c r="C228" s="196"/>
      <c r="D228" s="196"/>
      <c r="E228" s="196"/>
      <c r="F228" s="196"/>
      <c r="G228" s="196"/>
      <c r="H228" s="196"/>
      <c r="I228" s="196"/>
      <c r="J228" s="196"/>
    </row>
    <row r="229" spans="1:10">
      <c r="A229" s="842" t="s">
        <v>5902</v>
      </c>
      <c r="B229" s="842"/>
      <c r="C229" s="842"/>
      <c r="D229" s="842"/>
      <c r="E229" s="842"/>
      <c r="F229" s="842"/>
      <c r="G229" s="842"/>
      <c r="H229" s="842"/>
      <c r="I229" s="842"/>
      <c r="J229" s="842"/>
    </row>
    <row r="230" spans="1:10">
      <c r="A230" s="196"/>
      <c r="B230" s="196"/>
      <c r="C230" s="196"/>
      <c r="D230" s="196"/>
      <c r="E230" s="196"/>
      <c r="F230" s="196"/>
      <c r="G230" s="196"/>
      <c r="H230" s="196"/>
      <c r="I230" s="196"/>
      <c r="J230" s="196"/>
    </row>
    <row r="231" spans="1:10">
      <c r="A231" s="196" t="s">
        <v>5890</v>
      </c>
      <c r="B231" s="196"/>
      <c r="C231" s="196"/>
      <c r="D231" s="196"/>
      <c r="E231" s="196"/>
      <c r="F231" s="196"/>
      <c r="G231" s="196"/>
      <c r="H231" s="196"/>
      <c r="I231" s="196"/>
      <c r="J231" s="196"/>
    </row>
    <row r="232" spans="1:10">
      <c r="A232" s="196"/>
      <c r="B232" s="196"/>
      <c r="C232" s="196"/>
      <c r="D232" s="196"/>
      <c r="E232" s="196"/>
      <c r="F232" s="196"/>
      <c r="G232" s="196"/>
      <c r="H232" s="196"/>
      <c r="I232" s="196"/>
      <c r="J232" s="196"/>
    </row>
    <row r="233" spans="1:10">
      <c r="A233" s="196" t="s">
        <v>5891</v>
      </c>
      <c r="B233" s="196"/>
      <c r="C233" s="196"/>
      <c r="D233" s="196"/>
      <c r="E233" s="196"/>
      <c r="F233" s="196"/>
      <c r="G233" s="196"/>
      <c r="H233" s="196"/>
      <c r="I233" s="196"/>
      <c r="J233" s="196"/>
    </row>
    <row r="234" spans="1:10">
      <c r="A234" s="196"/>
      <c r="B234" s="196"/>
      <c r="C234" s="196"/>
      <c r="D234" s="196"/>
      <c r="E234" s="196"/>
      <c r="F234" s="196"/>
      <c r="G234" s="196"/>
      <c r="H234" s="196"/>
      <c r="I234" s="196"/>
      <c r="J234" s="196"/>
    </row>
    <row r="235" spans="1:10">
      <c r="A235" s="196" t="s">
        <v>5892</v>
      </c>
      <c r="B235" s="196"/>
      <c r="C235" s="196"/>
      <c r="D235" s="196"/>
      <c r="E235" s="196"/>
      <c r="F235" s="196"/>
      <c r="G235" s="196"/>
      <c r="H235" s="196"/>
      <c r="I235" s="196"/>
      <c r="J235" s="196"/>
    </row>
    <row r="236" spans="1:10">
      <c r="A236" s="196"/>
      <c r="B236" s="196"/>
      <c r="C236" s="196"/>
      <c r="D236" s="196"/>
      <c r="E236" s="196"/>
      <c r="F236" s="196"/>
      <c r="G236" s="196"/>
      <c r="H236" s="196"/>
      <c r="I236" s="196"/>
      <c r="J236" s="196"/>
    </row>
    <row r="237" spans="1:10">
      <c r="A237" s="196"/>
      <c r="B237" s="196"/>
      <c r="C237" s="196"/>
      <c r="D237" s="196"/>
      <c r="E237" s="196"/>
      <c r="F237" s="196"/>
      <c r="G237" s="196"/>
      <c r="H237" s="196"/>
      <c r="I237" s="196"/>
      <c r="J237" s="196"/>
    </row>
    <row r="238" spans="1:10">
      <c r="A238" s="196"/>
      <c r="B238" s="196"/>
      <c r="C238" s="196"/>
      <c r="D238" s="196"/>
      <c r="E238" s="196"/>
      <c r="F238" s="196"/>
      <c r="G238" s="196"/>
      <c r="H238" s="196"/>
      <c r="I238" s="196"/>
      <c r="J238" s="196"/>
    </row>
    <row r="239" spans="1:10">
      <c r="A239" s="842" t="s">
        <v>5903</v>
      </c>
      <c r="B239" s="842"/>
      <c r="C239" s="842"/>
      <c r="D239" s="842"/>
      <c r="E239" s="842"/>
      <c r="F239" s="842"/>
      <c r="G239" s="842"/>
      <c r="H239" s="842"/>
      <c r="I239" s="842"/>
      <c r="J239" s="842"/>
    </row>
    <row r="240" spans="1:10">
      <c r="A240" s="196"/>
      <c r="B240" s="196"/>
      <c r="C240" s="196"/>
      <c r="D240" s="196"/>
      <c r="E240" s="196"/>
      <c r="F240" s="196"/>
      <c r="G240" s="196"/>
      <c r="H240" s="196"/>
      <c r="I240" s="196"/>
      <c r="J240" s="196"/>
    </row>
    <row r="241" spans="1:10">
      <c r="A241" s="196" t="s">
        <v>5893</v>
      </c>
      <c r="B241" s="196"/>
      <c r="C241" s="196"/>
      <c r="D241" s="196"/>
      <c r="E241" s="196"/>
      <c r="F241" s="196"/>
      <c r="G241" s="196"/>
      <c r="H241" s="196"/>
      <c r="I241" s="196"/>
      <c r="J241" s="196"/>
    </row>
    <row r="242" spans="1:10">
      <c r="A242" s="196"/>
      <c r="B242" s="196"/>
      <c r="C242" s="196"/>
      <c r="D242" s="196"/>
      <c r="E242" s="196"/>
      <c r="F242" s="196"/>
      <c r="G242" s="196"/>
      <c r="H242" s="196"/>
      <c r="I242" s="196"/>
      <c r="J242" s="196"/>
    </row>
    <row r="243" spans="1:10">
      <c r="A243" s="196" t="s">
        <v>5894</v>
      </c>
      <c r="B243" s="196"/>
      <c r="C243" s="196"/>
      <c r="D243" s="196"/>
      <c r="E243" s="196"/>
      <c r="F243" s="196"/>
      <c r="G243" s="196"/>
      <c r="H243" s="196"/>
      <c r="I243" s="196"/>
      <c r="J243" s="196"/>
    </row>
    <row r="244" spans="1:10">
      <c r="A244" s="196"/>
      <c r="B244" s="196"/>
      <c r="C244" s="196"/>
      <c r="D244" s="196"/>
      <c r="E244" s="196"/>
      <c r="F244" s="196"/>
      <c r="G244" s="196"/>
      <c r="H244" s="196"/>
      <c r="I244" s="196"/>
      <c r="J244" s="196"/>
    </row>
    <row r="245" spans="1:10">
      <c r="A245" s="196" t="s">
        <v>5895</v>
      </c>
      <c r="B245" s="196"/>
      <c r="C245" s="196"/>
      <c r="D245" s="196"/>
      <c r="E245" s="196"/>
      <c r="F245" s="196"/>
      <c r="G245" s="196"/>
      <c r="H245" s="196"/>
      <c r="I245" s="196"/>
      <c r="J245" s="196"/>
    </row>
    <row r="246" spans="1:10">
      <c r="A246" s="196"/>
      <c r="B246" s="196"/>
      <c r="C246" s="196"/>
      <c r="D246" s="196"/>
      <c r="E246" s="196"/>
      <c r="F246" s="196"/>
      <c r="G246" s="196"/>
      <c r="H246" s="196"/>
      <c r="I246" s="196"/>
      <c r="J246" s="196"/>
    </row>
    <row r="247" spans="1:10">
      <c r="A247" s="196" t="s">
        <v>5896</v>
      </c>
      <c r="B247" s="196"/>
      <c r="C247" s="196"/>
      <c r="D247" s="196"/>
      <c r="E247" s="196"/>
      <c r="F247" s="196"/>
      <c r="G247" s="196"/>
      <c r="H247" s="196"/>
      <c r="I247" s="196"/>
      <c r="J247" s="196"/>
    </row>
    <row r="248" spans="1:10">
      <c r="A248" s="196"/>
      <c r="B248" s="196"/>
      <c r="C248" s="196"/>
      <c r="D248" s="196"/>
      <c r="E248" s="196"/>
      <c r="F248" s="196"/>
      <c r="G248" s="196"/>
      <c r="H248" s="196"/>
      <c r="I248" s="196"/>
      <c r="J248" s="196"/>
    </row>
    <row r="249" spans="1:10">
      <c r="A249" s="196"/>
      <c r="B249" s="196"/>
      <c r="C249" s="196"/>
      <c r="D249" s="196"/>
      <c r="E249" s="196"/>
      <c r="F249" s="196"/>
      <c r="G249" s="196"/>
      <c r="H249" s="196"/>
      <c r="I249" s="196"/>
      <c r="J249" s="196"/>
    </row>
    <row r="250" spans="1:10">
      <c r="A250" s="196"/>
      <c r="B250" s="196"/>
      <c r="C250" s="196"/>
      <c r="D250" s="196"/>
      <c r="E250" s="196"/>
      <c r="F250" s="196"/>
      <c r="G250" s="196"/>
      <c r="H250" s="196"/>
      <c r="I250" s="196"/>
      <c r="J250" s="196"/>
    </row>
    <row r="251" spans="1:10">
      <c r="A251" s="842" t="s">
        <v>5904</v>
      </c>
      <c r="B251" s="842"/>
      <c r="C251" s="842"/>
      <c r="D251" s="842"/>
      <c r="E251" s="842"/>
      <c r="F251" s="842"/>
      <c r="G251" s="842"/>
      <c r="H251" s="842"/>
      <c r="I251" s="842"/>
      <c r="J251" s="842"/>
    </row>
    <row r="252" spans="1:10">
      <c r="A252" s="196"/>
      <c r="B252" s="196"/>
      <c r="C252" s="196"/>
      <c r="D252" s="196"/>
      <c r="E252" s="196"/>
      <c r="F252" s="196"/>
      <c r="G252" s="196"/>
      <c r="H252" s="196"/>
      <c r="I252" s="196"/>
      <c r="J252" s="196"/>
    </row>
    <row r="253" spans="1:10">
      <c r="A253" s="196" t="s">
        <v>5897</v>
      </c>
      <c r="B253" s="196"/>
      <c r="C253" s="196"/>
      <c r="D253" s="196"/>
      <c r="E253" s="196"/>
      <c r="F253" s="196"/>
      <c r="G253" s="196"/>
      <c r="H253" s="196"/>
      <c r="I253" s="196"/>
      <c r="J253" s="196"/>
    </row>
    <row r="254" spans="1:10">
      <c r="A254" s="196"/>
      <c r="B254" s="196"/>
      <c r="C254" s="196"/>
      <c r="D254" s="196"/>
      <c r="E254" s="196"/>
      <c r="F254" s="196"/>
      <c r="G254" s="196"/>
      <c r="H254" s="196"/>
      <c r="I254" s="196"/>
      <c r="J254" s="196"/>
    </row>
    <row r="255" spans="1:10">
      <c r="A255" s="196" t="s">
        <v>5898</v>
      </c>
      <c r="B255" s="196"/>
      <c r="C255" s="196"/>
      <c r="D255" s="196"/>
      <c r="E255" s="196"/>
      <c r="F255" s="196"/>
      <c r="G255" s="196"/>
      <c r="H255" s="196"/>
      <c r="I255" s="196"/>
      <c r="J255" s="196"/>
    </row>
    <row r="256" spans="1:10">
      <c r="A256" s="196"/>
      <c r="B256" s="196"/>
      <c r="C256" s="196"/>
      <c r="D256" s="196"/>
      <c r="E256" s="196"/>
      <c r="F256" s="196"/>
      <c r="G256" s="196"/>
      <c r="H256" s="196"/>
      <c r="I256" s="196"/>
      <c r="J256" s="196"/>
    </row>
    <row r="257" spans="1:10">
      <c r="A257" s="196" t="s">
        <v>5899</v>
      </c>
      <c r="B257" s="196"/>
      <c r="C257" s="196"/>
      <c r="D257" s="196"/>
      <c r="E257" s="196"/>
      <c r="F257" s="196"/>
      <c r="G257" s="196"/>
      <c r="H257" s="196"/>
      <c r="I257" s="196"/>
      <c r="J257" s="196"/>
    </row>
    <row r="258" spans="1:10">
      <c r="A258" s="196"/>
      <c r="B258" s="196"/>
      <c r="C258" s="196"/>
      <c r="D258" s="196"/>
      <c r="E258" s="196"/>
      <c r="F258" s="196"/>
      <c r="G258" s="196"/>
      <c r="H258" s="196"/>
      <c r="I258" s="196"/>
      <c r="J258" s="196"/>
    </row>
    <row r="259" spans="1:10">
      <c r="A259" s="196"/>
      <c r="B259" s="196"/>
      <c r="C259" s="196"/>
      <c r="D259" s="196"/>
      <c r="E259" s="196"/>
      <c r="F259" s="196"/>
      <c r="G259" s="196"/>
      <c r="H259" s="196"/>
      <c r="I259" s="196"/>
      <c r="J259" s="196"/>
    </row>
    <row r="260" spans="1:10">
      <c r="A260" s="196"/>
      <c r="B260" s="196"/>
      <c r="C260" s="196"/>
      <c r="D260" s="196"/>
      <c r="E260" s="196"/>
      <c r="F260" s="196"/>
      <c r="G260" s="196"/>
      <c r="H260" s="196"/>
      <c r="I260" s="196"/>
      <c r="J260" s="196"/>
    </row>
    <row r="261" spans="1:10">
      <c r="A261" s="196" t="s">
        <v>5900</v>
      </c>
      <c r="B261" s="196"/>
      <c r="C261" s="196"/>
      <c r="D261" s="196"/>
      <c r="E261" s="196"/>
      <c r="F261" s="196"/>
      <c r="G261" s="196"/>
      <c r="H261" s="196"/>
      <c r="I261" s="196"/>
      <c r="J261" s="196"/>
    </row>
    <row r="262" spans="1:10">
      <c r="A262" s="196"/>
      <c r="B262" s="196"/>
      <c r="C262" s="196"/>
      <c r="D262" s="196"/>
      <c r="E262" s="196"/>
      <c r="F262" s="196"/>
      <c r="G262" s="196"/>
      <c r="H262" s="196"/>
      <c r="I262" s="196"/>
      <c r="J262" s="196"/>
    </row>
    <row r="263" spans="1:10">
      <c r="A263" s="341"/>
      <c r="B263" s="341"/>
      <c r="C263" s="341"/>
      <c r="D263" s="341"/>
      <c r="E263" s="341"/>
      <c r="F263" s="341"/>
      <c r="G263" s="341"/>
      <c r="H263" s="341"/>
      <c r="I263" s="341"/>
      <c r="J263" s="341"/>
    </row>
    <row r="264" spans="1:10">
      <c r="A264" s="341"/>
      <c r="B264" s="341"/>
      <c r="C264" s="341"/>
      <c r="D264" s="341"/>
      <c r="E264" s="341"/>
      <c r="F264" s="341"/>
      <c r="G264" s="341"/>
      <c r="H264" s="341"/>
      <c r="I264" s="341"/>
      <c r="J264" s="341"/>
    </row>
    <row r="265" spans="1:10">
      <c r="A265" s="341"/>
      <c r="B265" s="341"/>
      <c r="C265" s="341"/>
      <c r="D265" s="341"/>
      <c r="E265" s="341"/>
      <c r="F265" s="341"/>
      <c r="G265" s="341"/>
      <c r="H265" s="341"/>
      <c r="I265" s="341"/>
      <c r="J265" s="341"/>
    </row>
    <row r="266" spans="1:10">
      <c r="A266" s="341"/>
      <c r="B266" s="341"/>
      <c r="C266" s="341"/>
      <c r="D266" s="341"/>
      <c r="E266" s="341"/>
      <c r="F266" s="341"/>
      <c r="G266" s="341"/>
      <c r="H266" s="341"/>
      <c r="I266" s="341"/>
      <c r="J266" s="341"/>
    </row>
    <row r="267" spans="1:10">
      <c r="A267" s="341"/>
      <c r="B267" s="341"/>
      <c r="C267" s="341"/>
      <c r="D267" s="341"/>
      <c r="E267" s="341"/>
      <c r="F267" s="341"/>
      <c r="G267" s="341"/>
      <c r="H267" s="341"/>
      <c r="I267" s="341"/>
      <c r="J267" s="341"/>
    </row>
    <row r="268" spans="1:10">
      <c r="A268" s="341"/>
      <c r="B268" s="341"/>
      <c r="C268" s="341"/>
      <c r="D268" s="341"/>
      <c r="E268" s="341"/>
      <c r="F268" s="341"/>
      <c r="G268" s="341"/>
      <c r="H268" s="341"/>
      <c r="I268" s="341"/>
      <c r="J268" s="341"/>
    </row>
    <row r="269" spans="1:10">
      <c r="A269" s="341"/>
      <c r="B269" s="341"/>
      <c r="C269" s="341"/>
      <c r="D269" s="341"/>
      <c r="E269" s="341"/>
      <c r="F269" s="341"/>
      <c r="G269" s="341"/>
      <c r="H269" s="341"/>
      <c r="I269" s="341"/>
      <c r="J269" s="341"/>
    </row>
    <row r="270" spans="1:10">
      <c r="A270" s="341"/>
      <c r="B270" s="341"/>
      <c r="C270" s="341"/>
      <c r="D270" s="341"/>
      <c r="E270" s="341"/>
      <c r="F270" s="341"/>
      <c r="G270" s="341"/>
      <c r="H270" s="341"/>
      <c r="I270" s="341"/>
      <c r="J270" s="341"/>
    </row>
    <row r="271" spans="1:10">
      <c r="A271" s="341"/>
      <c r="B271" s="341"/>
      <c r="C271" s="341"/>
      <c r="D271" s="341"/>
      <c r="E271" s="341"/>
      <c r="F271" s="341"/>
      <c r="G271" s="341"/>
      <c r="H271" s="341"/>
      <c r="I271" s="341"/>
      <c r="J271" s="341"/>
    </row>
    <row r="272" spans="1:10">
      <c r="A272" s="196"/>
      <c r="B272" s="196"/>
      <c r="C272" s="196"/>
      <c r="D272" s="196"/>
      <c r="E272" s="196"/>
      <c r="F272" s="196"/>
      <c r="G272" s="196"/>
      <c r="H272" s="196"/>
      <c r="I272" s="196"/>
      <c r="J272" s="196"/>
    </row>
    <row r="273" spans="1:10">
      <c r="A273" s="320"/>
      <c r="B273" s="320"/>
      <c r="C273" s="320"/>
      <c r="D273" s="320"/>
      <c r="E273" s="320"/>
      <c r="F273" s="320"/>
      <c r="G273" s="874"/>
      <c r="H273" s="874"/>
      <c r="I273" s="874"/>
      <c r="J273" s="874"/>
    </row>
    <row r="275" spans="1:10">
      <c r="A275" s="842" t="s">
        <v>1085</v>
      </c>
      <c r="B275" s="839"/>
      <c r="C275" s="839"/>
      <c r="D275" s="85"/>
      <c r="E275" s="85"/>
      <c r="F275" s="85"/>
      <c r="G275" s="85"/>
      <c r="H275" s="85"/>
      <c r="I275" s="85"/>
      <c r="J275" s="85"/>
    </row>
    <row r="276" spans="1:10" ht="55.2">
      <c r="A276" s="50" t="s">
        <v>905</v>
      </c>
      <c r="B276" s="50" t="s">
        <v>839</v>
      </c>
      <c r="C276" s="50"/>
      <c r="D276" s="50"/>
      <c r="E276" s="50"/>
      <c r="F276" s="50"/>
      <c r="G276" s="50"/>
      <c r="H276" s="50"/>
      <c r="I276" s="50"/>
      <c r="J276" s="50"/>
    </row>
    <row r="277" spans="1:10" ht="207">
      <c r="A277" s="13" t="s">
        <v>1086</v>
      </c>
      <c r="B277" s="13" t="s">
        <v>3694</v>
      </c>
      <c r="C277" s="13"/>
      <c r="D277" s="13"/>
      <c r="E277" s="13"/>
      <c r="F277" s="13"/>
      <c r="G277" s="13"/>
      <c r="H277" s="13"/>
      <c r="I277" s="13"/>
      <c r="J277" s="13"/>
    </row>
    <row r="278" spans="1:10" ht="207">
      <c r="A278" s="13" t="s">
        <v>2090</v>
      </c>
      <c r="B278" s="13" t="s">
        <v>3695</v>
      </c>
      <c r="C278" s="13"/>
      <c r="D278" s="13"/>
      <c r="E278" s="13"/>
      <c r="F278" s="13"/>
      <c r="G278" s="13"/>
      <c r="H278" s="13"/>
      <c r="I278" s="13"/>
      <c r="J278" s="13"/>
    </row>
    <row r="279" spans="1:10" ht="179.4">
      <c r="A279" s="13" t="s">
        <v>3696</v>
      </c>
      <c r="B279" s="13" t="s">
        <v>3697</v>
      </c>
      <c r="C279" s="13"/>
      <c r="D279" s="13"/>
      <c r="E279" s="13"/>
      <c r="F279" s="13"/>
      <c r="G279" s="13"/>
      <c r="H279" s="13"/>
      <c r="I279" s="13"/>
      <c r="J279" s="13"/>
    </row>
    <row r="280" spans="1:10" ht="179.4">
      <c r="A280" s="13" t="s">
        <v>1090</v>
      </c>
      <c r="B280" s="13" t="s">
        <v>3698</v>
      </c>
      <c r="C280" s="13"/>
      <c r="D280" s="13"/>
      <c r="E280" s="13"/>
      <c r="F280" s="13"/>
      <c r="G280" s="13"/>
      <c r="H280" s="13"/>
      <c r="I280" s="13"/>
      <c r="J280" s="13"/>
    </row>
    <row r="281" spans="1:10" ht="193.2">
      <c r="A281" s="13" t="s">
        <v>1088</v>
      </c>
      <c r="B281" s="13" t="s">
        <v>3699</v>
      </c>
      <c r="C281" s="13"/>
      <c r="D281" s="13"/>
      <c r="E281" s="13"/>
      <c r="F281" s="13"/>
      <c r="G281" s="13"/>
      <c r="H281" s="13"/>
      <c r="I281" s="13"/>
      <c r="J281" s="13"/>
    </row>
    <row r="282" spans="1:10" ht="138">
      <c r="A282" s="13" t="s">
        <v>3700</v>
      </c>
      <c r="B282" s="13" t="s">
        <v>3701</v>
      </c>
      <c r="C282" s="13"/>
      <c r="D282" s="13"/>
      <c r="E282" s="13"/>
      <c r="F282" s="13"/>
      <c r="G282" s="13"/>
      <c r="H282" s="13"/>
      <c r="I282" s="13"/>
      <c r="J282" s="13"/>
    </row>
    <row r="283" spans="1:10" ht="207">
      <c r="A283" s="13" t="s">
        <v>1563</v>
      </c>
      <c r="B283" s="13" t="s">
        <v>1776</v>
      </c>
      <c r="C283" s="13"/>
      <c r="D283" s="13"/>
      <c r="E283" s="13"/>
      <c r="F283" s="13"/>
      <c r="G283" s="13"/>
      <c r="H283" s="13"/>
      <c r="I283" s="13"/>
      <c r="J283" s="13"/>
    </row>
  </sheetData>
  <mergeCells count="114">
    <mergeCell ref="A275:C275"/>
    <mergeCell ref="A28:C28"/>
    <mergeCell ref="A1:J1"/>
    <mergeCell ref="A68:C68"/>
    <mergeCell ref="A111:C111"/>
    <mergeCell ref="A8:C8"/>
    <mergeCell ref="A89:C89"/>
    <mergeCell ref="A58:C58"/>
    <mergeCell ref="D6:J6"/>
    <mergeCell ref="A18:C18"/>
    <mergeCell ref="A100:C100"/>
    <mergeCell ref="A78:C78"/>
    <mergeCell ref="A48:C48"/>
    <mergeCell ref="A38:C38"/>
    <mergeCell ref="G135:J135"/>
    <mergeCell ref="G137:J137"/>
    <mergeCell ref="A139:B139"/>
    <mergeCell ref="E139:J139"/>
    <mergeCell ref="A141:C141"/>
    <mergeCell ref="D141:F141"/>
    <mergeCell ref="G141:J141"/>
    <mergeCell ref="A132:C132"/>
    <mergeCell ref="D132:F132"/>
    <mergeCell ref="G132:J132"/>
    <mergeCell ref="G133:J133"/>
    <mergeCell ref="G134:J134"/>
    <mergeCell ref="F147:J147"/>
    <mergeCell ref="F148:J148"/>
    <mergeCell ref="F149:J149"/>
    <mergeCell ref="F150:J150"/>
    <mergeCell ref="A151:B151"/>
    <mergeCell ref="C151:D151"/>
    <mergeCell ref="E151:J151"/>
    <mergeCell ref="G142:J142"/>
    <mergeCell ref="F143:J143"/>
    <mergeCell ref="F144:J144"/>
    <mergeCell ref="F145:J145"/>
    <mergeCell ref="F146:J146"/>
    <mergeCell ref="G156:J156"/>
    <mergeCell ref="G157:J157"/>
    <mergeCell ref="G158:J158"/>
    <mergeCell ref="G159:J159"/>
    <mergeCell ref="A160:B160"/>
    <mergeCell ref="C160:D160"/>
    <mergeCell ref="E160:J160"/>
    <mergeCell ref="A153:C153"/>
    <mergeCell ref="D153:F153"/>
    <mergeCell ref="G153:J153"/>
    <mergeCell ref="G154:J154"/>
    <mergeCell ref="G155:J155"/>
    <mergeCell ref="G164:J164"/>
    <mergeCell ref="G165:J165"/>
    <mergeCell ref="G166:J166"/>
    <mergeCell ref="G167:J167"/>
    <mergeCell ref="A168:D169"/>
    <mergeCell ref="E168:J169"/>
    <mergeCell ref="G161:J161"/>
    <mergeCell ref="A162:C162"/>
    <mergeCell ref="D162:F162"/>
    <mergeCell ref="G162:J162"/>
    <mergeCell ref="G163:J163"/>
    <mergeCell ref="G173:J173"/>
    <mergeCell ref="G174:J174"/>
    <mergeCell ref="G175:J175"/>
    <mergeCell ref="G176:J176"/>
    <mergeCell ref="G177:J177"/>
    <mergeCell ref="A170:C170"/>
    <mergeCell ref="D170:F170"/>
    <mergeCell ref="G170:J170"/>
    <mergeCell ref="G171:J171"/>
    <mergeCell ref="G172:J172"/>
    <mergeCell ref="B183:J183"/>
    <mergeCell ref="B184:J184"/>
    <mergeCell ref="B185:J185"/>
    <mergeCell ref="B186:J186"/>
    <mergeCell ref="B187:J187"/>
    <mergeCell ref="A178:B178"/>
    <mergeCell ref="C178:D178"/>
    <mergeCell ref="E178:J178"/>
    <mergeCell ref="A180:C180"/>
    <mergeCell ref="B182:J182"/>
    <mergeCell ref="B205:D205"/>
    <mergeCell ref="E205:G205"/>
    <mergeCell ref="B206:D206"/>
    <mergeCell ref="E206:G206"/>
    <mergeCell ref="B207:D207"/>
    <mergeCell ref="E207:G207"/>
    <mergeCell ref="B188:J188"/>
    <mergeCell ref="A190:H190"/>
    <mergeCell ref="B191:H191"/>
    <mergeCell ref="B192:H192"/>
    <mergeCell ref="B204:D204"/>
    <mergeCell ref="E204:G204"/>
    <mergeCell ref="B211:D211"/>
    <mergeCell ref="E211:G211"/>
    <mergeCell ref="A218:C218"/>
    <mergeCell ref="D218:F218"/>
    <mergeCell ref="G218:J218"/>
    <mergeCell ref="B208:D208"/>
    <mergeCell ref="E208:G208"/>
    <mergeCell ref="B209:D209"/>
    <mergeCell ref="E209:G209"/>
    <mergeCell ref="B210:D210"/>
    <mergeCell ref="E210:G210"/>
    <mergeCell ref="A251:C251"/>
    <mergeCell ref="D251:F251"/>
    <mergeCell ref="G251:J251"/>
    <mergeCell ref="G273:J273"/>
    <mergeCell ref="A229:C229"/>
    <mergeCell ref="D229:F229"/>
    <mergeCell ref="G229:J229"/>
    <mergeCell ref="A239:C239"/>
    <mergeCell ref="D239:F239"/>
    <mergeCell ref="G239:J239"/>
  </mergeCells>
  <conditionalFormatting sqref="B134:B138">
    <cfRule type="expression" dxfId="292" priority="21">
      <formula>B134="Complete"</formula>
    </cfRule>
    <cfRule type="expression" dxfId="291" priority="22">
      <formula>B134="In Progress"</formula>
    </cfRule>
    <cfRule type="expression" dxfId="290" priority="23">
      <formula>B134="At Risk"</formula>
    </cfRule>
    <cfRule type="expression" dxfId="289" priority="24">
      <formula>B134="Blocked"</formula>
    </cfRule>
    <cfRule type="expression" dxfId="288" priority="25">
      <formula>B134="Not Started"</formula>
    </cfRule>
  </conditionalFormatting>
  <conditionalFormatting sqref="B143:B150">
    <cfRule type="expression" dxfId="287" priority="1">
      <formula>B143="Complete"</formula>
    </cfRule>
    <cfRule type="expression" dxfId="286" priority="2">
      <formula>B143="In Progress"</formula>
    </cfRule>
    <cfRule type="expression" dxfId="285" priority="3">
      <formula>B143="At Risk"</formula>
    </cfRule>
    <cfRule type="expression" dxfId="284" priority="4">
      <formula>B143="Blocked"</formula>
    </cfRule>
    <cfRule type="expression" dxfId="283" priority="5">
      <formula>B143="Not Started"</formula>
    </cfRule>
  </conditionalFormatting>
  <conditionalFormatting sqref="B155:B159">
    <cfRule type="expression" dxfId="282" priority="26">
      <formula>B155="Complete"</formula>
    </cfRule>
    <cfRule type="expression" dxfId="281" priority="27">
      <formula>B155="In Progress"</formula>
    </cfRule>
    <cfRule type="expression" dxfId="280" priority="28">
      <formula>B155="At Risk"</formula>
    </cfRule>
    <cfRule type="expression" dxfId="279" priority="29">
      <formula>B155="Blocked"</formula>
    </cfRule>
    <cfRule type="expression" dxfId="278" priority="30">
      <formula>B155="Not Started"</formula>
    </cfRule>
  </conditionalFormatting>
  <conditionalFormatting sqref="B164:B167">
    <cfRule type="expression" dxfId="277" priority="6">
      <formula>B164="Complete"</formula>
    </cfRule>
    <cfRule type="expression" dxfId="276" priority="7">
      <formula>B164="In Progress"</formula>
    </cfRule>
    <cfRule type="expression" dxfId="275" priority="8">
      <formula>B164="At Risk"</formula>
    </cfRule>
    <cfRule type="expression" dxfId="274" priority="9">
      <formula>B164="Blocked"</formula>
    </cfRule>
    <cfRule type="expression" dxfId="273" priority="10">
      <formula>B164="Not Started"</formula>
    </cfRule>
  </conditionalFormatting>
  <conditionalFormatting sqref="B172:B177">
    <cfRule type="expression" dxfId="272" priority="11">
      <formula>B172="Complete"</formula>
    </cfRule>
    <cfRule type="expression" dxfId="271" priority="12">
      <formula>B172="In Progress"</formula>
    </cfRule>
    <cfRule type="expression" dxfId="270" priority="13">
      <formula>B172="At Risk"</formula>
    </cfRule>
    <cfRule type="expression" dxfId="269" priority="14">
      <formula>B172="Blocked"</formula>
    </cfRule>
    <cfRule type="expression" dxfId="268" priority="15">
      <formula>B172="Not Started"</formula>
    </cfRule>
  </conditionalFormatting>
  <conditionalFormatting sqref="B195:B202">
    <cfRule type="expression" dxfId="267" priority="82">
      <formula>B195="Yes"</formula>
    </cfRule>
    <cfRule type="expression" dxfId="266" priority="83">
      <formula>B195="N/A"</formula>
    </cfRule>
    <cfRule type="expression" dxfId="265" priority="84">
      <formula>B195="No"</formula>
    </cfRule>
  </conditionalFormatting>
  <conditionalFormatting sqref="B212:H212">
    <cfRule type="expression" dxfId="264" priority="85">
      <formula>COUNTIF($B$6:$B$13,"No")=0</formula>
    </cfRule>
    <cfRule type="expression" dxfId="263" priority="86">
      <formula>COUNTIF($B$6:$B$13,"No")&gt;0</formula>
    </cfRule>
  </conditionalFormatting>
  <conditionalFormatting sqref="C139:D139">
    <cfRule type="dataBar" priority="37">
      <dataBar>
        <cfvo type="num" val="0"/>
        <cfvo type="num" val="1"/>
        <color rgb="FF5B9BD5"/>
      </dataBar>
    </cfRule>
  </conditionalFormatting>
  <conditionalFormatting sqref="C143:D150">
    <cfRule type="expression" dxfId="262" priority="31">
      <formula>C143="Yes"</formula>
    </cfRule>
    <cfRule type="expression" dxfId="261" priority="32">
      <formula>C143="No"</formula>
    </cfRule>
    <cfRule type="expression" dxfId="260" priority="33">
      <formula>C143="N/A"</formula>
    </cfRule>
  </conditionalFormatting>
  <conditionalFormatting sqref="C151:D151">
    <cfRule type="dataBar" priority="38">
      <dataBar>
        <cfvo type="num" val="0"/>
        <cfvo type="num" val="1"/>
        <color rgb="FF5B9BD5"/>
      </dataBar>
    </cfRule>
  </conditionalFormatting>
  <conditionalFormatting sqref="C160:D160">
    <cfRule type="dataBar" priority="39">
      <dataBar>
        <cfvo type="num" val="0"/>
        <cfvo type="num" val="1"/>
        <color rgb="FF5B9BD5"/>
      </dataBar>
    </cfRule>
  </conditionalFormatting>
  <conditionalFormatting sqref="C172:D177">
    <cfRule type="expression" dxfId="259" priority="16">
      <formula>C172="Yes"</formula>
    </cfRule>
    <cfRule type="expression" dxfId="258" priority="17">
      <formula>C172="No"</formula>
    </cfRule>
    <cfRule type="expression" dxfId="257" priority="18">
      <formula>C172="N/A"</formula>
    </cfRule>
  </conditionalFormatting>
  <conditionalFormatting sqref="C178:D178">
    <cfRule type="dataBar" priority="20">
      <dataBar>
        <cfvo type="num" val="0"/>
        <cfvo type="num" val="1"/>
        <color rgb="FF5B9BD5"/>
      </dataBar>
    </cfRule>
  </conditionalFormatting>
  <conditionalFormatting sqref="E5 G5 I5">
    <cfRule type="expression" dxfId="256" priority="87">
      <formula>E5="Pass"</formula>
    </cfRule>
    <cfRule type="expression" dxfId="255" priority="88">
      <formula>E5="Verify"</formula>
    </cfRule>
    <cfRule type="expression" dxfId="254" priority="89">
      <formula>E5="Fail"</formula>
    </cfRule>
    <cfRule type="expression" dxfId="253" priority="90">
      <formula>E5="Not Started"</formula>
    </cfRule>
  </conditionalFormatting>
  <conditionalFormatting sqref="F3">
    <cfRule type="expression" dxfId="252" priority="91">
      <formula>F3="Yes"</formula>
    </cfRule>
    <cfRule type="expression" dxfId="251" priority="92">
      <formula>F3="No"</formula>
    </cfRule>
  </conditionalFormatting>
  <conditionalFormatting sqref="F155:F159">
    <cfRule type="expression" dxfId="250" priority="34">
      <formula>F155="Pass"</formula>
    </cfRule>
    <cfRule type="expression" dxfId="249" priority="35">
      <formula>F155="Fail"</formula>
    </cfRule>
    <cfRule type="expression" dxfId="248" priority="36">
      <formula>F155="Pending"</formula>
    </cfRule>
  </conditionalFormatting>
  <conditionalFormatting sqref="F164:F167">
    <cfRule type="dataBar" priority="19">
      <dataBar>
        <cfvo type="num" val="0"/>
        <cfvo type="num" val="1"/>
        <color rgb="FF5B9BD5"/>
      </dataBar>
    </cfRule>
  </conditionalFormatting>
  <dataValidations count="5">
    <dataValidation type="list" sqref="B5:B6 D5 F5 H5 H10:H16 I16 J5 H183:I188 H180:I181 H275:I283 D91:D98 H17:I120" xr:uid="{00000000-0002-0000-3C00-000000000000}">
      <formula1>"Not Started,Verify,Pass,Fail,N/A,Open,Closed,Partial / Yellow"</formula1>
      <formula2>0</formula2>
    </dataValidation>
    <dataValidation type="list" sqref="B195:B202" xr:uid="{A0A56ECC-EA60-4A92-B0CB-61DAAC5157EC}">
      <formula1>"No,Yes,N/A"</formula1>
    </dataValidation>
    <dataValidation type="list" allowBlank="1" sqref="B164:B167 B155:B159" xr:uid="{080F47B1-AC31-47AF-8ED9-68E1AFE37B4B}">
      <formula1>"Not Started,In Progress,Complete,At Risk,Blocked"</formula1>
    </dataValidation>
    <dataValidation type="list" allowBlank="1" sqref="C143:D150 C172:D177" xr:uid="{8CBB0626-6FE2-4AC5-BE7E-E9557414E58F}">
      <formula1>"Yes,No,N/A"</formula1>
    </dataValidation>
    <dataValidation type="list" allowBlank="1" sqref="F155:F159" xr:uid="{32503945-C176-4A25-8019-D1DF5B1CCE86}">
      <formula1>"Pending,Pass,Fail,N/A"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1CDA33F5-5B65-4A4C-9889-AAC696234EB2}">
          <x14:formula1>
            <xm:f>Lookup_Lists!$A$36:$A$42</xm:f>
          </x14:formula1>
          <xm:sqref>B134:B138 B143:B150 B172:B177</xm:sqref>
        </x14:dataValidation>
        <x14:dataValidation type="list" allowBlank="1" showInputMessage="1" showErrorMessage="1" xr:uid="{B425A3A8-4683-42F5-A3C0-C09203BBEF6B}">
          <x14:formula1>
            <xm:f>Lookup_Lists!$L$37:$L$39</xm:f>
          </x14:formula1>
          <xm:sqref>C155:E159 J2</xm:sqref>
        </x14:dataValidation>
      </x14:dataValidations>
    </ext>
  </extLst>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A55B0-B8DF-414A-88DA-D650DD9D59FC}">
  <dimension ref="A1:J232"/>
  <sheetViews>
    <sheetView topLeftCell="A36" workbookViewId="0">
      <selection activeCell="D4" sqref="D4"/>
    </sheetView>
  </sheetViews>
  <sheetFormatPr defaultColWidth="8.6640625" defaultRowHeight="14.4"/>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6640625" style="8" customWidth="1"/>
    <col min="13" max="16384" width="8.6640625" style="8"/>
  </cols>
  <sheetData>
    <row r="1" spans="1:10">
      <c r="A1" s="851" t="s">
        <v>3702</v>
      </c>
      <c r="B1" s="839"/>
      <c r="C1" s="839"/>
      <c r="D1" s="839"/>
      <c r="E1" s="839"/>
      <c r="F1" s="839"/>
      <c r="G1" s="839"/>
      <c r="H1" s="839"/>
      <c r="I1" s="839"/>
      <c r="J1" s="839"/>
    </row>
    <row r="2" spans="1:10" s="227" customFormat="1">
      <c r="A2" s="223" t="s">
        <v>142</v>
      </c>
      <c r="B2" s="224" t="s">
        <v>384</v>
      </c>
      <c r="C2" s="223" t="s">
        <v>902</v>
      </c>
      <c r="D2" s="224" t="s">
        <v>1094</v>
      </c>
      <c r="E2" s="223" t="s">
        <v>151</v>
      </c>
      <c r="F2" s="224" t="s">
        <v>1095</v>
      </c>
      <c r="G2" s="223" t="s">
        <v>174</v>
      </c>
      <c r="H2" s="225">
        <v>0.5</v>
      </c>
      <c r="I2" s="223" t="s">
        <v>154</v>
      </c>
      <c r="J2" s="226" t="s">
        <v>1096</v>
      </c>
    </row>
    <row r="3" spans="1:10" s="231" customFormat="1" ht="27.6">
      <c r="A3" s="223" t="s">
        <v>903</v>
      </c>
      <c r="B3" s="228">
        <v>46198.816384421298</v>
      </c>
      <c r="C3" s="229" t="s">
        <v>904</v>
      </c>
      <c r="D3" s="230" t="s">
        <v>721</v>
      </c>
      <c r="E3" s="223" t="s">
        <v>905</v>
      </c>
      <c r="F3" s="230" t="s">
        <v>3703</v>
      </c>
      <c r="G3" s="223" t="s">
        <v>907</v>
      </c>
      <c r="H3" s="230" t="s">
        <v>908</v>
      </c>
      <c r="I3" s="223" t="s">
        <v>551</v>
      </c>
      <c r="J3" s="230" t="s">
        <v>3704</v>
      </c>
    </row>
    <row r="4" spans="1:10" s="231" customFormat="1" ht="220.8">
      <c r="A4" s="223" t="s">
        <v>161</v>
      </c>
      <c r="B4" s="230">
        <v>0</v>
      </c>
      <c r="C4" s="223" t="s">
        <v>199</v>
      </c>
      <c r="D4" s="230">
        <v>0</v>
      </c>
      <c r="E4" s="223" t="s">
        <v>179</v>
      </c>
      <c r="F4" s="230">
        <v>0</v>
      </c>
      <c r="G4" s="223" t="s">
        <v>870</v>
      </c>
      <c r="H4" s="232" t="s">
        <v>3705</v>
      </c>
      <c r="I4" s="233"/>
      <c r="J4" s="233"/>
    </row>
    <row r="5" spans="1:10" s="231" customFormat="1">
      <c r="A5" s="234" t="s">
        <v>911</v>
      </c>
      <c r="B5" s="225" t="s">
        <v>677</v>
      </c>
      <c r="C5" s="235" t="s">
        <v>912</v>
      </c>
      <c r="D5" s="225" t="s">
        <v>677</v>
      </c>
      <c r="E5" s="236" t="s">
        <v>913</v>
      </c>
      <c r="F5" s="225" t="s">
        <v>677</v>
      </c>
      <c r="G5" s="237" t="s">
        <v>914</v>
      </c>
      <c r="H5" s="225" t="s">
        <v>677</v>
      </c>
      <c r="I5" s="237" t="s">
        <v>915</v>
      </c>
      <c r="J5" s="225" t="s">
        <v>677</v>
      </c>
    </row>
    <row r="6" spans="1:10" s="231" customFormat="1" ht="28.5" customHeight="1">
      <c r="A6" s="238" t="s">
        <v>916</v>
      </c>
      <c r="B6" s="225" t="s">
        <v>677</v>
      </c>
      <c r="C6" s="239" t="s">
        <v>869</v>
      </c>
      <c r="D6" s="854" t="s">
        <v>3706</v>
      </c>
      <c r="E6" s="853"/>
      <c r="F6" s="853"/>
      <c r="G6" s="853"/>
      <c r="H6" s="853"/>
      <c r="I6" s="853"/>
      <c r="J6" s="853"/>
    </row>
    <row r="7" spans="1:10">
      <c r="A7" s="13"/>
      <c r="B7" s="13"/>
      <c r="C7" s="13"/>
      <c r="D7" s="13"/>
      <c r="E7" s="13"/>
      <c r="F7" s="13"/>
      <c r="G7" s="13"/>
      <c r="H7" s="13"/>
      <c r="I7" s="13"/>
      <c r="J7" s="13"/>
    </row>
    <row r="8" spans="1:10">
      <c r="A8" s="842" t="s">
        <v>918</v>
      </c>
      <c r="B8" s="839"/>
      <c r="C8" s="839"/>
      <c r="D8" s="85"/>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96.6">
      <c r="A10" s="13" t="s">
        <v>384</v>
      </c>
      <c r="B10" s="13" t="s">
        <v>714</v>
      </c>
      <c r="C10" s="13" t="s">
        <v>919</v>
      </c>
      <c r="D10" s="13" t="s">
        <v>2205</v>
      </c>
      <c r="E10" s="13" t="s">
        <v>356</v>
      </c>
      <c r="F10" s="13">
        <v>1</v>
      </c>
      <c r="G10" s="13">
        <v>1</v>
      </c>
      <c r="H10" s="13" t="s">
        <v>677</v>
      </c>
      <c r="I10" s="13" t="s">
        <v>3707</v>
      </c>
      <c r="J10" s="13" t="s">
        <v>3708</v>
      </c>
    </row>
    <row r="11" spans="1:10" ht="151.80000000000001">
      <c r="A11" s="13" t="s">
        <v>384</v>
      </c>
      <c r="B11" s="13" t="s">
        <v>3709</v>
      </c>
      <c r="C11" s="13" t="s">
        <v>919</v>
      </c>
      <c r="D11" s="13" t="s">
        <v>3710</v>
      </c>
      <c r="E11" s="13" t="s">
        <v>925</v>
      </c>
      <c r="F11" s="13">
        <v>1</v>
      </c>
      <c r="G11" s="13">
        <v>0</v>
      </c>
      <c r="H11" s="13" t="s">
        <v>677</v>
      </c>
      <c r="I11" s="13" t="s">
        <v>3711</v>
      </c>
      <c r="J11" s="13" t="s">
        <v>3712</v>
      </c>
    </row>
    <row r="12" spans="1:10">
      <c r="A12" s="13"/>
      <c r="B12" s="13"/>
      <c r="C12" s="13"/>
      <c r="D12" s="13"/>
      <c r="E12" s="13"/>
      <c r="F12" s="13"/>
      <c r="G12" s="13"/>
      <c r="H12" s="13"/>
      <c r="I12" s="13"/>
      <c r="J12" s="13"/>
    </row>
    <row r="13" spans="1:10">
      <c r="A13" s="842" t="s">
        <v>936</v>
      </c>
      <c r="B13" s="839"/>
      <c r="C13" s="839"/>
      <c r="D13" s="85"/>
      <c r="E13" s="85"/>
      <c r="F13" s="85"/>
      <c r="G13" s="85"/>
      <c r="H13" s="85"/>
      <c r="I13" s="85"/>
      <c r="J13" s="85"/>
    </row>
    <row r="14" spans="1:10">
      <c r="A14" s="50" t="s">
        <v>275</v>
      </c>
      <c r="B14" s="50" t="s">
        <v>937</v>
      </c>
      <c r="C14" s="50" t="s">
        <v>938</v>
      </c>
      <c r="D14" s="50" t="s">
        <v>939</v>
      </c>
      <c r="E14" s="50" t="s">
        <v>940</v>
      </c>
      <c r="F14" s="50" t="s">
        <v>941</v>
      </c>
      <c r="G14" s="50" t="s">
        <v>942</v>
      </c>
      <c r="H14" s="50" t="s">
        <v>943</v>
      </c>
      <c r="I14" s="50" t="s">
        <v>899</v>
      </c>
      <c r="J14" s="50" t="s">
        <v>944</v>
      </c>
    </row>
    <row r="15" spans="1:10" ht="82.8">
      <c r="A15" s="13" t="s">
        <v>714</v>
      </c>
      <c r="B15" s="13" t="s">
        <v>677</v>
      </c>
      <c r="C15" s="13" t="s">
        <v>677</v>
      </c>
      <c r="D15" s="13" t="s">
        <v>677</v>
      </c>
      <c r="E15" s="13" t="s">
        <v>677</v>
      </c>
      <c r="F15" s="13" t="s">
        <v>677</v>
      </c>
      <c r="G15" s="13" t="s">
        <v>677</v>
      </c>
      <c r="H15" s="13" t="s">
        <v>677</v>
      </c>
      <c r="I15" s="13" t="s">
        <v>677</v>
      </c>
      <c r="J15" s="13" t="s">
        <v>3713</v>
      </c>
    </row>
    <row r="16" spans="1:10" ht="69">
      <c r="A16" s="13" t="s">
        <v>3709</v>
      </c>
      <c r="B16" s="13" t="s">
        <v>946</v>
      </c>
      <c r="C16" s="13" t="s">
        <v>946</v>
      </c>
      <c r="D16" s="13" t="s">
        <v>946</v>
      </c>
      <c r="E16" s="13" t="s">
        <v>677</v>
      </c>
      <c r="F16" s="13" t="s">
        <v>947</v>
      </c>
      <c r="G16" s="13" t="s">
        <v>677</v>
      </c>
      <c r="H16" s="13" t="s">
        <v>677</v>
      </c>
      <c r="I16" s="13" t="s">
        <v>677</v>
      </c>
      <c r="J16" s="13" t="s">
        <v>3714</v>
      </c>
    </row>
    <row r="17" spans="1:10">
      <c r="A17" s="13"/>
      <c r="B17" s="13"/>
      <c r="C17" s="13"/>
      <c r="D17" s="13"/>
      <c r="E17" s="13"/>
      <c r="F17" s="13"/>
      <c r="G17" s="13"/>
      <c r="H17" s="13"/>
      <c r="I17" s="13"/>
      <c r="J17" s="13"/>
    </row>
    <row r="18" spans="1:10">
      <c r="A18" s="842" t="s">
        <v>951</v>
      </c>
      <c r="B18" s="839"/>
      <c r="C18" s="839"/>
      <c r="D18" s="85"/>
      <c r="E18" s="85"/>
      <c r="F18" s="85"/>
      <c r="G18" s="85"/>
      <c r="H18" s="85"/>
      <c r="I18" s="85"/>
      <c r="J18" s="85"/>
    </row>
    <row r="19" spans="1:10">
      <c r="A19" s="50" t="s">
        <v>275</v>
      </c>
      <c r="B19" s="50" t="s">
        <v>952</v>
      </c>
      <c r="C19" s="50" t="s">
        <v>953</v>
      </c>
      <c r="D19" s="50" t="s">
        <v>954</v>
      </c>
      <c r="E19" s="50" t="s">
        <v>955</v>
      </c>
      <c r="F19" s="50" t="s">
        <v>956</v>
      </c>
      <c r="G19" s="50" t="s">
        <v>957</v>
      </c>
      <c r="H19" s="50" t="s">
        <v>958</v>
      </c>
      <c r="I19" s="50" t="s">
        <v>899</v>
      </c>
      <c r="J19" s="50" t="s">
        <v>959</v>
      </c>
    </row>
    <row r="20" spans="1:10" ht="82.8">
      <c r="A20" s="13" t="s">
        <v>714</v>
      </c>
      <c r="B20" s="13" t="s">
        <v>677</v>
      </c>
      <c r="C20" s="13" t="s">
        <v>677</v>
      </c>
      <c r="D20" s="13" t="s">
        <v>677</v>
      </c>
      <c r="E20" s="13" t="s">
        <v>677</v>
      </c>
      <c r="F20" s="13" t="s">
        <v>677</v>
      </c>
      <c r="G20" s="13" t="s">
        <v>677</v>
      </c>
      <c r="H20" s="13" t="s">
        <v>677</v>
      </c>
      <c r="I20" s="13" t="s">
        <v>677</v>
      </c>
      <c r="J20" s="13" t="s">
        <v>3715</v>
      </c>
    </row>
    <row r="21" spans="1:10" ht="55.2">
      <c r="A21" s="13" t="s">
        <v>3709</v>
      </c>
      <c r="B21" s="13" t="s">
        <v>946</v>
      </c>
      <c r="C21" s="13" t="s">
        <v>679</v>
      </c>
      <c r="D21" s="13" t="s">
        <v>947</v>
      </c>
      <c r="E21" s="13" t="s">
        <v>947</v>
      </c>
      <c r="F21" s="13" t="s">
        <v>677</v>
      </c>
      <c r="G21" s="13" t="s">
        <v>677</v>
      </c>
      <c r="H21" s="13" t="s">
        <v>677</v>
      </c>
      <c r="I21" s="13" t="s">
        <v>677</v>
      </c>
      <c r="J21" s="13" t="s">
        <v>3716</v>
      </c>
    </row>
    <row r="22" spans="1:10">
      <c r="A22" s="13"/>
      <c r="B22" s="13"/>
      <c r="C22" s="13"/>
      <c r="D22" s="13"/>
      <c r="E22" s="13"/>
      <c r="F22" s="13"/>
      <c r="G22" s="13"/>
      <c r="H22" s="13"/>
      <c r="I22" s="13"/>
      <c r="J22" s="13"/>
    </row>
    <row r="23" spans="1:10">
      <c r="A23" s="842" t="s">
        <v>964</v>
      </c>
      <c r="B23" s="839"/>
      <c r="C23" s="839"/>
      <c r="D23" s="85"/>
      <c r="E23" s="85"/>
      <c r="F23" s="85"/>
      <c r="G23" s="85"/>
      <c r="H23" s="85"/>
      <c r="I23" s="85"/>
      <c r="J23" s="85"/>
    </row>
    <row r="24" spans="1:10">
      <c r="A24" s="50" t="s">
        <v>275</v>
      </c>
      <c r="B24" s="50" t="s">
        <v>965</v>
      </c>
      <c r="C24" s="50" t="s">
        <v>966</v>
      </c>
      <c r="D24" s="50" t="s">
        <v>967</v>
      </c>
      <c r="E24" s="50" t="s">
        <v>968</v>
      </c>
      <c r="F24" s="50" t="s">
        <v>969</v>
      </c>
      <c r="G24" s="50" t="s">
        <v>970</v>
      </c>
      <c r="H24" s="50" t="s">
        <v>971</v>
      </c>
      <c r="I24" s="50" t="s">
        <v>899</v>
      </c>
      <c r="J24" s="50" t="s">
        <v>959</v>
      </c>
    </row>
    <row r="25" spans="1:10" ht="96.6">
      <c r="A25" s="13" t="s">
        <v>714</v>
      </c>
      <c r="B25" s="13" t="s">
        <v>972</v>
      </c>
      <c r="C25" s="13" t="s">
        <v>677</v>
      </c>
      <c r="D25" s="13" t="s">
        <v>677</v>
      </c>
      <c r="E25" s="13" t="s">
        <v>677</v>
      </c>
      <c r="F25" s="13" t="s">
        <v>677</v>
      </c>
      <c r="G25" s="13" t="s">
        <v>677</v>
      </c>
      <c r="H25" s="13" t="s">
        <v>677</v>
      </c>
      <c r="I25" s="13" t="s">
        <v>677</v>
      </c>
      <c r="J25" s="13" t="s">
        <v>3717</v>
      </c>
    </row>
    <row r="26" spans="1:10" ht="69">
      <c r="A26" s="13" t="s">
        <v>3709</v>
      </c>
      <c r="B26" s="13" t="s">
        <v>946</v>
      </c>
      <c r="C26" s="13" t="s">
        <v>677</v>
      </c>
      <c r="D26" s="13" t="s">
        <v>677</v>
      </c>
      <c r="E26" s="13" t="s">
        <v>677</v>
      </c>
      <c r="F26" s="13" t="s">
        <v>677</v>
      </c>
      <c r="G26" s="13" t="s">
        <v>677</v>
      </c>
      <c r="H26" s="13" t="s">
        <v>677</v>
      </c>
      <c r="I26" s="13" t="s">
        <v>677</v>
      </c>
      <c r="J26" s="13" t="s">
        <v>3718</v>
      </c>
    </row>
    <row r="27" spans="1:10">
      <c r="A27" s="13"/>
      <c r="B27" s="13"/>
      <c r="C27" s="13"/>
      <c r="D27" s="13"/>
      <c r="E27" s="13"/>
      <c r="F27" s="13"/>
      <c r="G27" s="13"/>
      <c r="H27" s="13"/>
      <c r="I27" s="13"/>
      <c r="J27" s="13"/>
    </row>
    <row r="28" spans="1:10">
      <c r="A28" s="842" t="s">
        <v>977</v>
      </c>
      <c r="B28" s="839"/>
      <c r="C28" s="839"/>
      <c r="D28" s="85"/>
      <c r="E28" s="85"/>
      <c r="F28" s="85"/>
      <c r="G28" s="85"/>
      <c r="H28" s="85"/>
      <c r="I28" s="85"/>
      <c r="J28" s="85"/>
    </row>
    <row r="29" spans="1:10">
      <c r="A29" s="50" t="s">
        <v>275</v>
      </c>
      <c r="B29" s="50" t="s">
        <v>978</v>
      </c>
      <c r="C29" s="50" t="s">
        <v>979</v>
      </c>
      <c r="D29" s="50" t="s">
        <v>980</v>
      </c>
      <c r="E29" s="50" t="s">
        <v>981</v>
      </c>
      <c r="F29" s="50" t="s">
        <v>982</v>
      </c>
      <c r="G29" s="50" t="s">
        <v>983</v>
      </c>
      <c r="H29" s="50" t="s">
        <v>984</v>
      </c>
      <c r="I29" s="50" t="s">
        <v>899</v>
      </c>
      <c r="J29" s="50" t="s">
        <v>11</v>
      </c>
    </row>
    <row r="30" spans="1:10" ht="82.8">
      <c r="A30" s="13" t="s">
        <v>714</v>
      </c>
      <c r="B30" s="13" t="s">
        <v>677</v>
      </c>
      <c r="C30" s="13" t="s">
        <v>985</v>
      </c>
      <c r="D30" s="13" t="s">
        <v>677</v>
      </c>
      <c r="E30" s="13" t="s">
        <v>677</v>
      </c>
      <c r="F30" s="13" t="s">
        <v>3719</v>
      </c>
      <c r="G30" s="13" t="s">
        <v>677</v>
      </c>
      <c r="H30" s="13" t="s">
        <v>677</v>
      </c>
      <c r="I30" s="13" t="s">
        <v>677</v>
      </c>
      <c r="J30" s="13" t="s">
        <v>3720</v>
      </c>
    </row>
    <row r="31" spans="1:10" ht="82.8">
      <c r="A31" s="13" t="s">
        <v>3709</v>
      </c>
      <c r="B31" s="13" t="s">
        <v>988</v>
      </c>
      <c r="C31" s="13" t="s">
        <v>2686</v>
      </c>
      <c r="D31" s="13" t="s">
        <v>988</v>
      </c>
      <c r="E31" s="13" t="s">
        <v>677</v>
      </c>
      <c r="F31" s="13" t="s">
        <v>946</v>
      </c>
      <c r="G31" s="13" t="s">
        <v>677</v>
      </c>
      <c r="H31" s="13" t="s">
        <v>677</v>
      </c>
      <c r="I31" s="13" t="s">
        <v>677</v>
      </c>
      <c r="J31" s="13" t="s">
        <v>3721</v>
      </c>
    </row>
    <row r="32" spans="1:10">
      <c r="A32" s="13"/>
      <c r="B32" s="13"/>
      <c r="C32" s="13"/>
      <c r="D32" s="13"/>
      <c r="E32" s="13"/>
      <c r="F32" s="13"/>
      <c r="G32" s="13"/>
      <c r="H32" s="13"/>
      <c r="I32" s="13"/>
      <c r="J32" s="13"/>
    </row>
    <row r="33" spans="1:10">
      <c r="A33" s="842" t="s">
        <v>994</v>
      </c>
      <c r="B33" s="839"/>
      <c r="C33" s="839"/>
      <c r="D33" s="85"/>
      <c r="E33" s="85"/>
      <c r="F33" s="85"/>
      <c r="G33" s="85"/>
      <c r="H33" s="85"/>
      <c r="I33" s="85"/>
      <c r="J33" s="85"/>
    </row>
    <row r="34" spans="1:10">
      <c r="A34" s="50" t="s">
        <v>275</v>
      </c>
      <c r="B34" s="50" t="s">
        <v>995</v>
      </c>
      <c r="C34" s="50" t="s">
        <v>996</v>
      </c>
      <c r="D34" s="50" t="s">
        <v>997</v>
      </c>
      <c r="E34" s="50" t="s">
        <v>998</v>
      </c>
      <c r="F34" s="50" t="s">
        <v>999</v>
      </c>
      <c r="G34" s="50" t="s">
        <v>1000</v>
      </c>
      <c r="H34" s="50" t="s">
        <v>1001</v>
      </c>
      <c r="I34" s="50" t="s">
        <v>899</v>
      </c>
      <c r="J34" s="50" t="s">
        <v>11</v>
      </c>
    </row>
    <row r="35" spans="1:10" ht="124.2">
      <c r="A35" s="13" t="s">
        <v>714</v>
      </c>
      <c r="B35" s="13" t="s">
        <v>677</v>
      </c>
      <c r="C35" s="13" t="s">
        <v>677</v>
      </c>
      <c r="D35" s="13" t="s">
        <v>677</v>
      </c>
      <c r="E35" s="13" t="s">
        <v>677</v>
      </c>
      <c r="F35" s="13" t="s">
        <v>677</v>
      </c>
      <c r="G35" s="13" t="s">
        <v>677</v>
      </c>
      <c r="H35" s="13" t="s">
        <v>677</v>
      </c>
      <c r="I35" s="13" t="s">
        <v>677</v>
      </c>
      <c r="J35" s="13" t="s">
        <v>3722</v>
      </c>
    </row>
    <row r="36" spans="1:10" ht="96.6">
      <c r="A36" s="13" t="s">
        <v>3709</v>
      </c>
      <c r="B36" s="13" t="s">
        <v>988</v>
      </c>
      <c r="C36" s="13" t="s">
        <v>988</v>
      </c>
      <c r="D36" s="13" t="s">
        <v>988</v>
      </c>
      <c r="E36" s="13" t="s">
        <v>677</v>
      </c>
      <c r="F36" s="13" t="s">
        <v>677</v>
      </c>
      <c r="G36" s="13" t="s">
        <v>677</v>
      </c>
      <c r="H36" s="13" t="s">
        <v>677</v>
      </c>
      <c r="I36" s="13" t="s">
        <v>677</v>
      </c>
      <c r="J36" s="13" t="s">
        <v>3723</v>
      </c>
    </row>
    <row r="37" spans="1:10">
      <c r="A37" s="13"/>
      <c r="B37" s="13"/>
      <c r="C37" s="13"/>
      <c r="D37" s="13"/>
      <c r="E37" s="13"/>
      <c r="F37" s="13"/>
      <c r="G37" s="13"/>
      <c r="H37" s="13"/>
      <c r="I37" s="13"/>
      <c r="J37" s="13"/>
    </row>
    <row r="38" spans="1:10">
      <c r="A38" s="842" t="s">
        <v>1007</v>
      </c>
      <c r="B38" s="839"/>
      <c r="C38" s="839"/>
      <c r="D38" s="85"/>
      <c r="E38" s="85"/>
      <c r="F38" s="85"/>
      <c r="G38" s="85"/>
      <c r="H38" s="85"/>
      <c r="I38" s="85"/>
      <c r="J38" s="85"/>
    </row>
    <row r="39" spans="1:10">
      <c r="A39" s="50" t="s">
        <v>275</v>
      </c>
      <c r="B39" s="50" t="s">
        <v>1008</v>
      </c>
      <c r="C39" s="50" t="s">
        <v>1009</v>
      </c>
      <c r="D39" s="50" t="s">
        <v>1010</v>
      </c>
      <c r="E39" s="50" t="s">
        <v>1011</v>
      </c>
      <c r="F39" s="50" t="s">
        <v>1012</v>
      </c>
      <c r="G39" s="50" t="s">
        <v>1013</v>
      </c>
      <c r="H39" s="50" t="s">
        <v>1014</v>
      </c>
      <c r="I39" s="50" t="s">
        <v>899</v>
      </c>
      <c r="J39" s="50" t="s">
        <v>11</v>
      </c>
    </row>
    <row r="40" spans="1:10" ht="82.8">
      <c r="A40" s="13" t="s">
        <v>714</v>
      </c>
      <c r="B40" s="13" t="s">
        <v>677</v>
      </c>
      <c r="C40" s="13" t="s">
        <v>677</v>
      </c>
      <c r="D40" s="13" t="s">
        <v>677</v>
      </c>
      <c r="E40" s="13" t="s">
        <v>677</v>
      </c>
      <c r="F40" s="13" t="s">
        <v>677</v>
      </c>
      <c r="G40" s="13" t="s">
        <v>677</v>
      </c>
      <c r="H40" s="13" t="s">
        <v>677</v>
      </c>
      <c r="I40" s="13" t="s">
        <v>677</v>
      </c>
      <c r="J40" s="13" t="s">
        <v>3724</v>
      </c>
    </row>
    <row r="41" spans="1:10" ht="55.2">
      <c r="A41" s="13" t="s">
        <v>3709</v>
      </c>
      <c r="B41" s="13" t="s">
        <v>947</v>
      </c>
      <c r="C41" s="13" t="s">
        <v>947</v>
      </c>
      <c r="D41" s="13" t="s">
        <v>947</v>
      </c>
      <c r="E41" s="13" t="s">
        <v>947</v>
      </c>
      <c r="F41" s="13" t="s">
        <v>947</v>
      </c>
      <c r="G41" s="13" t="s">
        <v>947</v>
      </c>
      <c r="H41" s="13" t="s">
        <v>677</v>
      </c>
      <c r="I41" s="13" t="s">
        <v>677</v>
      </c>
      <c r="J41" s="13" t="s">
        <v>3725</v>
      </c>
    </row>
    <row r="42" spans="1:10">
      <c r="A42" s="13"/>
      <c r="B42" s="13"/>
      <c r="C42" s="13"/>
      <c r="D42" s="13"/>
      <c r="E42" s="13"/>
      <c r="F42" s="13"/>
      <c r="G42" s="13"/>
      <c r="H42" s="13"/>
      <c r="I42" s="13"/>
      <c r="J42" s="13"/>
    </row>
    <row r="43" spans="1:10">
      <c r="A43" s="842" t="s">
        <v>1019</v>
      </c>
      <c r="B43" s="839"/>
      <c r="C43" s="839"/>
      <c r="D43" s="85"/>
      <c r="E43" s="85"/>
      <c r="F43" s="85"/>
      <c r="G43" s="85"/>
      <c r="H43" s="85"/>
      <c r="I43" s="85"/>
      <c r="J43" s="85"/>
    </row>
    <row r="44" spans="1:10">
      <c r="A44" s="50" t="s">
        <v>213</v>
      </c>
      <c r="B44" s="50" t="s">
        <v>275</v>
      </c>
      <c r="C44" s="50" t="s">
        <v>573</v>
      </c>
      <c r="D44" s="50" t="s">
        <v>215</v>
      </c>
      <c r="E44" s="50" t="s">
        <v>257</v>
      </c>
      <c r="F44" s="50" t="s">
        <v>572</v>
      </c>
      <c r="G44" s="50" t="s">
        <v>259</v>
      </c>
      <c r="H44" s="50" t="s">
        <v>216</v>
      </c>
      <c r="I44" s="50" t="s">
        <v>77</v>
      </c>
      <c r="J44" s="50" t="s">
        <v>11</v>
      </c>
    </row>
    <row r="45" spans="1:10" ht="55.2">
      <c r="A45" s="13" t="s">
        <v>3726</v>
      </c>
      <c r="B45" s="13" t="s">
        <v>575</v>
      </c>
      <c r="C45" s="13" t="s">
        <v>3727</v>
      </c>
      <c r="D45" s="13" t="s">
        <v>391</v>
      </c>
      <c r="E45" s="13" t="s">
        <v>488</v>
      </c>
      <c r="F45" s="13">
        <v>6</v>
      </c>
      <c r="G45" s="13" t="s">
        <v>1381</v>
      </c>
      <c r="H45" s="13" t="s">
        <v>1023</v>
      </c>
      <c r="I45" s="13" t="s">
        <v>502</v>
      </c>
      <c r="J45" s="13" t="s">
        <v>3728</v>
      </c>
    </row>
    <row r="46" spans="1:10" ht="82.8">
      <c r="A46" s="13" t="s">
        <v>3729</v>
      </c>
      <c r="B46" s="13" t="s">
        <v>3709</v>
      </c>
      <c r="C46" s="13" t="s">
        <v>3730</v>
      </c>
      <c r="D46" s="13" t="s">
        <v>492</v>
      </c>
      <c r="E46" s="13" t="s">
        <v>488</v>
      </c>
      <c r="F46" s="13">
        <v>8</v>
      </c>
      <c r="G46" s="13" t="s">
        <v>3731</v>
      </c>
      <c r="H46" s="13" t="s">
        <v>584</v>
      </c>
      <c r="I46" s="13" t="s">
        <v>502</v>
      </c>
      <c r="J46" s="13" t="s">
        <v>3732</v>
      </c>
    </row>
    <row r="47" spans="1:10" ht="69">
      <c r="A47" s="13" t="s">
        <v>3733</v>
      </c>
      <c r="B47" s="13" t="s">
        <v>3734</v>
      </c>
      <c r="C47" s="13" t="s">
        <v>3735</v>
      </c>
      <c r="D47" s="13" t="s">
        <v>391</v>
      </c>
      <c r="E47" s="13" t="s">
        <v>488</v>
      </c>
      <c r="F47" s="13">
        <v>6</v>
      </c>
      <c r="G47" s="13" t="s">
        <v>3736</v>
      </c>
      <c r="H47" s="13" t="s">
        <v>1505</v>
      </c>
      <c r="I47" s="13" t="s">
        <v>502</v>
      </c>
      <c r="J47" s="13" t="s">
        <v>3737</v>
      </c>
    </row>
    <row r="48" spans="1:10" ht="82.8">
      <c r="A48" s="13" t="s">
        <v>3738</v>
      </c>
      <c r="B48" s="13" t="s">
        <v>714</v>
      </c>
      <c r="C48" s="13" t="s">
        <v>593</v>
      </c>
      <c r="D48" s="13" t="s">
        <v>492</v>
      </c>
      <c r="E48" s="13" t="s">
        <v>488</v>
      </c>
      <c r="F48" s="13">
        <v>8</v>
      </c>
      <c r="G48" s="13" t="s">
        <v>2239</v>
      </c>
      <c r="H48" s="13" t="s">
        <v>592</v>
      </c>
      <c r="I48" s="13" t="s">
        <v>502</v>
      </c>
      <c r="J48" s="13" t="s">
        <v>1028</v>
      </c>
    </row>
    <row r="49" spans="1:10" ht="96.6">
      <c r="A49" s="13" t="s">
        <v>3739</v>
      </c>
      <c r="B49" s="13" t="s">
        <v>714</v>
      </c>
      <c r="C49" s="13" t="s">
        <v>3740</v>
      </c>
      <c r="D49" s="13" t="s">
        <v>391</v>
      </c>
      <c r="E49" s="13" t="s">
        <v>488</v>
      </c>
      <c r="F49" s="13">
        <v>6</v>
      </c>
      <c r="G49" s="13" t="s">
        <v>3741</v>
      </c>
      <c r="H49" s="13" t="s">
        <v>1032</v>
      </c>
      <c r="I49" s="13" t="s">
        <v>502</v>
      </c>
      <c r="J49" s="13" t="s">
        <v>3742</v>
      </c>
    </row>
    <row r="50" spans="1:10" ht="69">
      <c r="A50" s="13" t="s">
        <v>3743</v>
      </c>
      <c r="B50" s="13" t="s">
        <v>575</v>
      </c>
      <c r="C50" s="13" t="s">
        <v>3744</v>
      </c>
      <c r="D50" s="13" t="s">
        <v>391</v>
      </c>
      <c r="E50" s="13" t="s">
        <v>488</v>
      </c>
      <c r="F50" s="13">
        <v>6</v>
      </c>
      <c r="G50" s="13" t="s">
        <v>1036</v>
      </c>
      <c r="H50" s="13" t="s">
        <v>1037</v>
      </c>
      <c r="I50" s="13" t="s">
        <v>502</v>
      </c>
      <c r="J50" s="13" t="s">
        <v>3745</v>
      </c>
    </row>
    <row r="51" spans="1:10" ht="82.8">
      <c r="A51" s="13" t="s">
        <v>3746</v>
      </c>
      <c r="B51" s="13" t="s">
        <v>575</v>
      </c>
      <c r="C51" s="13" t="s">
        <v>3747</v>
      </c>
      <c r="D51" s="13" t="s">
        <v>492</v>
      </c>
      <c r="E51" s="13" t="s">
        <v>488</v>
      </c>
      <c r="F51" s="13">
        <v>8</v>
      </c>
      <c r="G51" s="13" t="s">
        <v>1039</v>
      </c>
      <c r="H51" s="13" t="s">
        <v>584</v>
      </c>
      <c r="I51" s="13" t="s">
        <v>502</v>
      </c>
      <c r="J51" s="13" t="s">
        <v>3748</v>
      </c>
    </row>
    <row r="52" spans="1:10" ht="82.8">
      <c r="A52" s="13" t="s">
        <v>3749</v>
      </c>
      <c r="B52" s="13" t="s">
        <v>575</v>
      </c>
      <c r="C52" s="13" t="s">
        <v>1047</v>
      </c>
      <c r="D52" s="13" t="s">
        <v>391</v>
      </c>
      <c r="E52" s="13" t="s">
        <v>488</v>
      </c>
      <c r="F52" s="13">
        <v>6</v>
      </c>
      <c r="G52" s="13" t="s">
        <v>1048</v>
      </c>
      <c r="H52" s="13" t="s">
        <v>1049</v>
      </c>
      <c r="I52" s="13" t="s">
        <v>502</v>
      </c>
      <c r="J52" s="13" t="s">
        <v>3750</v>
      </c>
    </row>
    <row r="53" spans="1:10">
      <c r="A53" s="13"/>
      <c r="B53" s="13"/>
      <c r="C53" s="13"/>
      <c r="D53" s="13"/>
      <c r="E53" s="13"/>
      <c r="F53" s="13"/>
      <c r="G53" s="13"/>
      <c r="H53" s="13"/>
      <c r="I53" s="13"/>
      <c r="J53" s="13"/>
    </row>
    <row r="54" spans="1:10">
      <c r="A54" s="842" t="s">
        <v>1051</v>
      </c>
      <c r="B54" s="839"/>
      <c r="C54" s="839"/>
      <c r="D54" s="85"/>
      <c r="E54" s="85"/>
      <c r="F54" s="85"/>
      <c r="G54" s="85"/>
      <c r="H54" s="85"/>
      <c r="I54" s="85"/>
      <c r="J54" s="85"/>
    </row>
    <row r="55" spans="1:10">
      <c r="A55" s="50" t="s">
        <v>221</v>
      </c>
      <c r="B55" s="50" t="s">
        <v>222</v>
      </c>
      <c r="C55" s="50" t="s">
        <v>265</v>
      </c>
      <c r="D55" s="50" t="s">
        <v>77</v>
      </c>
      <c r="E55" s="50" t="s">
        <v>878</v>
      </c>
      <c r="F55" s="50" t="s">
        <v>879</v>
      </c>
      <c r="G55" s="50" t="s">
        <v>880</v>
      </c>
      <c r="H55" s="50" t="s">
        <v>494</v>
      </c>
      <c r="I55" s="50" t="s">
        <v>881</v>
      </c>
      <c r="J55" s="50" t="s">
        <v>11</v>
      </c>
    </row>
    <row r="56" spans="1:10" ht="69">
      <c r="A56" s="13" t="s">
        <v>3751</v>
      </c>
      <c r="B56" s="13" t="s">
        <v>3752</v>
      </c>
      <c r="C56" s="13" t="s">
        <v>579</v>
      </c>
      <c r="D56" s="13" t="s">
        <v>502</v>
      </c>
      <c r="E56" s="13"/>
      <c r="F56" s="13"/>
      <c r="G56" s="13" t="s">
        <v>580</v>
      </c>
      <c r="H56" s="13"/>
      <c r="I56" s="13"/>
      <c r="J56" s="13"/>
    </row>
    <row r="57" spans="1:10" ht="69">
      <c r="A57" s="13" t="s">
        <v>3753</v>
      </c>
      <c r="B57" s="13" t="s">
        <v>3754</v>
      </c>
      <c r="C57" s="13" t="s">
        <v>587</v>
      </c>
      <c r="D57" s="13" t="s">
        <v>502</v>
      </c>
      <c r="E57" s="13"/>
      <c r="F57" s="13"/>
      <c r="G57" s="13" t="s">
        <v>588</v>
      </c>
      <c r="H57" s="13"/>
      <c r="I57" s="13"/>
      <c r="J57" s="13"/>
    </row>
    <row r="58" spans="1:10" ht="55.2">
      <c r="A58" s="13" t="s">
        <v>3755</v>
      </c>
      <c r="B58" s="13" t="s">
        <v>3756</v>
      </c>
      <c r="C58" s="13" t="s">
        <v>2432</v>
      </c>
      <c r="D58" s="13" t="s">
        <v>502</v>
      </c>
      <c r="E58" s="13"/>
      <c r="F58" s="13"/>
      <c r="G58" s="13" t="s">
        <v>3757</v>
      </c>
      <c r="H58" s="13"/>
      <c r="I58" s="13"/>
      <c r="J58" s="13"/>
    </row>
    <row r="59" spans="1:10" ht="69">
      <c r="A59" s="13" t="s">
        <v>3758</v>
      </c>
      <c r="B59" s="13" t="s">
        <v>3759</v>
      </c>
      <c r="C59" s="13" t="s">
        <v>601</v>
      </c>
      <c r="D59" s="13" t="s">
        <v>502</v>
      </c>
      <c r="E59" s="13"/>
      <c r="F59" s="13"/>
      <c r="G59" s="13" t="s">
        <v>602</v>
      </c>
      <c r="H59" s="13"/>
      <c r="I59" s="13"/>
      <c r="J59" s="13"/>
    </row>
    <row r="60" spans="1:10" ht="69">
      <c r="A60" s="13" t="s">
        <v>3760</v>
      </c>
      <c r="B60" s="13" t="s">
        <v>3761</v>
      </c>
      <c r="C60" s="13" t="s">
        <v>609</v>
      </c>
      <c r="D60" s="13" t="s">
        <v>502</v>
      </c>
      <c r="E60" s="13"/>
      <c r="F60" s="13"/>
      <c r="G60" s="13" t="s">
        <v>610</v>
      </c>
      <c r="H60" s="13"/>
      <c r="I60" s="13"/>
      <c r="J60" s="13"/>
    </row>
    <row r="61" spans="1:10" ht="82.8">
      <c r="A61" s="13" t="s">
        <v>3762</v>
      </c>
      <c r="B61" s="13" t="s">
        <v>3763</v>
      </c>
      <c r="C61" s="13" t="s">
        <v>616</v>
      </c>
      <c r="D61" s="13" t="s">
        <v>502</v>
      </c>
      <c r="E61" s="13"/>
      <c r="F61" s="13"/>
      <c r="G61" s="13" t="s">
        <v>617</v>
      </c>
      <c r="H61" s="13"/>
      <c r="I61" s="13"/>
      <c r="J61" s="13"/>
    </row>
    <row r="62" spans="1:10" ht="96.6">
      <c r="A62" s="13" t="s">
        <v>3764</v>
      </c>
      <c r="B62" s="13" t="s">
        <v>624</v>
      </c>
      <c r="C62" s="13" t="s">
        <v>622</v>
      </c>
      <c r="D62" s="13" t="s">
        <v>502</v>
      </c>
      <c r="E62" s="13"/>
      <c r="F62" s="13"/>
      <c r="G62" s="13" t="s">
        <v>623</v>
      </c>
      <c r="H62" s="13"/>
      <c r="I62" s="13"/>
      <c r="J62" s="13"/>
    </row>
    <row r="63" spans="1:10" ht="82.8">
      <c r="A63" s="13" t="s">
        <v>3765</v>
      </c>
      <c r="B63" s="13" t="s">
        <v>632</v>
      </c>
      <c r="C63" s="13" t="s">
        <v>630</v>
      </c>
      <c r="D63" s="13" t="s">
        <v>502</v>
      </c>
      <c r="E63" s="13"/>
      <c r="F63" s="13"/>
      <c r="G63" s="13" t="s">
        <v>631</v>
      </c>
      <c r="H63" s="13"/>
      <c r="I63" s="13"/>
      <c r="J63" s="13"/>
    </row>
    <row r="64" spans="1:10">
      <c r="A64" s="13"/>
      <c r="B64" s="13"/>
      <c r="C64" s="13"/>
      <c r="D64" s="13"/>
      <c r="E64" s="13"/>
      <c r="F64" s="13"/>
      <c r="G64" s="13"/>
      <c r="H64" s="13"/>
      <c r="I64" s="13"/>
      <c r="J64" s="13"/>
    </row>
    <row r="65" spans="1:10">
      <c r="A65" s="842" t="s">
        <v>1052</v>
      </c>
      <c r="B65" s="839"/>
      <c r="C65" s="839"/>
      <c r="D65" s="85"/>
      <c r="E65" s="85"/>
      <c r="F65" s="85"/>
      <c r="G65" s="85"/>
      <c r="H65" s="85"/>
      <c r="I65" s="85"/>
      <c r="J65" s="85"/>
    </row>
    <row r="66" spans="1:10">
      <c r="A66" s="50" t="s">
        <v>291</v>
      </c>
      <c r="B66" s="50" t="s">
        <v>275</v>
      </c>
      <c r="C66" s="50" t="s">
        <v>493</v>
      </c>
      <c r="D66" s="50" t="s">
        <v>214</v>
      </c>
      <c r="E66" s="50" t="s">
        <v>263</v>
      </c>
      <c r="F66" s="50" t="s">
        <v>891</v>
      </c>
      <c r="G66" s="50" t="s">
        <v>892</v>
      </c>
      <c r="H66" s="50" t="s">
        <v>893</v>
      </c>
      <c r="I66" s="50" t="s">
        <v>77</v>
      </c>
      <c r="J66" s="50" t="s">
        <v>11</v>
      </c>
    </row>
    <row r="67" spans="1:10" ht="96.6">
      <c r="A67" s="13" t="s">
        <v>3766</v>
      </c>
      <c r="B67" s="13" t="s">
        <v>714</v>
      </c>
      <c r="C67" s="13" t="s">
        <v>269</v>
      </c>
      <c r="D67" s="13" t="s">
        <v>3767</v>
      </c>
      <c r="E67" s="13"/>
      <c r="F67" s="13" t="s">
        <v>229</v>
      </c>
      <c r="G67" s="13"/>
      <c r="H67" s="13" t="s">
        <v>3768</v>
      </c>
      <c r="I67" s="13" t="s">
        <v>502</v>
      </c>
      <c r="J67" s="13"/>
    </row>
    <row r="68" spans="1:10" ht="110.4">
      <c r="A68" s="13" t="s">
        <v>3769</v>
      </c>
      <c r="B68" s="13" t="s">
        <v>3709</v>
      </c>
      <c r="C68" s="13" t="s">
        <v>269</v>
      </c>
      <c r="D68" s="13" t="s">
        <v>3770</v>
      </c>
      <c r="E68" s="13"/>
      <c r="F68" s="13" t="s">
        <v>229</v>
      </c>
      <c r="G68" s="13"/>
      <c r="H68" s="13" t="s">
        <v>3771</v>
      </c>
      <c r="I68" s="13" t="s">
        <v>502</v>
      </c>
      <c r="J68" s="13"/>
    </row>
    <row r="69" spans="1:10" ht="96.6">
      <c r="A69" s="13" t="s">
        <v>3772</v>
      </c>
      <c r="B69" s="13" t="s">
        <v>3709</v>
      </c>
      <c r="C69" s="13" t="s">
        <v>1058</v>
      </c>
      <c r="D69" s="13" t="s">
        <v>3773</v>
      </c>
      <c r="E69" s="13"/>
      <c r="F69" s="13" t="s">
        <v>229</v>
      </c>
      <c r="G69" s="13"/>
      <c r="H69" s="13" t="s">
        <v>3774</v>
      </c>
      <c r="I69" s="13" t="s">
        <v>502</v>
      </c>
      <c r="J69" s="13"/>
    </row>
    <row r="70" spans="1:10" ht="96.6">
      <c r="A70" s="13" t="s">
        <v>3775</v>
      </c>
      <c r="B70" s="13" t="s">
        <v>714</v>
      </c>
      <c r="C70" s="13" t="s">
        <v>148</v>
      </c>
      <c r="D70" s="13" t="s">
        <v>2081</v>
      </c>
      <c r="E70" s="13"/>
      <c r="F70" s="13" t="s">
        <v>229</v>
      </c>
      <c r="G70" s="13"/>
      <c r="H70" s="13" t="s">
        <v>3738</v>
      </c>
      <c r="I70" s="13" t="s">
        <v>502</v>
      </c>
      <c r="J70" s="13"/>
    </row>
    <row r="71" spans="1:10" ht="96.6">
      <c r="A71" s="13" t="s">
        <v>3776</v>
      </c>
      <c r="B71" s="13" t="s">
        <v>714</v>
      </c>
      <c r="C71" s="13" t="s">
        <v>153</v>
      </c>
      <c r="D71" s="13" t="s">
        <v>3777</v>
      </c>
      <c r="E71" s="13"/>
      <c r="F71" s="13" t="s">
        <v>229</v>
      </c>
      <c r="G71" s="13"/>
      <c r="H71" s="13" t="s">
        <v>3739</v>
      </c>
      <c r="I71" s="13" t="s">
        <v>502</v>
      </c>
      <c r="J71" s="13"/>
    </row>
    <row r="72" spans="1:10" ht="96.6">
      <c r="A72" s="13" t="s">
        <v>3778</v>
      </c>
      <c r="B72" s="13" t="s">
        <v>575</v>
      </c>
      <c r="C72" s="13" t="s">
        <v>1072</v>
      </c>
      <c r="D72" s="13" t="s">
        <v>1322</v>
      </c>
      <c r="E72" s="13"/>
      <c r="F72" s="13" t="s">
        <v>229</v>
      </c>
      <c r="G72" s="13"/>
      <c r="H72" s="13" t="s">
        <v>3743</v>
      </c>
      <c r="I72" s="13" t="s">
        <v>502</v>
      </c>
      <c r="J72" s="13"/>
    </row>
    <row r="73" spans="1:10" ht="82.8">
      <c r="A73" s="13" t="s">
        <v>3779</v>
      </c>
      <c r="B73" s="13" t="s">
        <v>3734</v>
      </c>
      <c r="C73" s="13" t="s">
        <v>155</v>
      </c>
      <c r="D73" s="13" t="s">
        <v>3780</v>
      </c>
      <c r="E73" s="13"/>
      <c r="F73" s="13" t="s">
        <v>229</v>
      </c>
      <c r="G73" s="13"/>
      <c r="H73" s="13" t="s">
        <v>3746</v>
      </c>
      <c r="I73" s="13" t="s">
        <v>502</v>
      </c>
      <c r="J73" s="13"/>
    </row>
    <row r="74" spans="1:10" ht="110.4">
      <c r="A74" s="13" t="s">
        <v>3781</v>
      </c>
      <c r="B74" s="13" t="s">
        <v>714</v>
      </c>
      <c r="C74" s="13" t="s">
        <v>556</v>
      </c>
      <c r="D74" s="13" t="s">
        <v>3782</v>
      </c>
      <c r="E74" s="13"/>
      <c r="F74" s="13" t="s">
        <v>229</v>
      </c>
      <c r="G74" s="13"/>
      <c r="H74" s="13" t="s">
        <v>3749</v>
      </c>
      <c r="I74" s="13" t="s">
        <v>502</v>
      </c>
      <c r="J74" s="13"/>
    </row>
    <row r="75" spans="1:10">
      <c r="A75" s="13"/>
      <c r="B75" s="13"/>
      <c r="C75" s="13"/>
      <c r="D75" s="13"/>
      <c r="E75" s="13"/>
      <c r="F75" s="13"/>
      <c r="G75" s="13"/>
      <c r="H75" s="13"/>
      <c r="I75" s="13"/>
      <c r="J75" s="13"/>
    </row>
    <row r="76" spans="1:10">
      <c r="A76" s="842" t="s">
        <v>1079</v>
      </c>
      <c r="B76" s="839"/>
      <c r="C76" s="839"/>
      <c r="D76" s="85"/>
      <c r="E76" s="85"/>
      <c r="F76" s="85"/>
      <c r="G76" s="85"/>
      <c r="H76" s="85"/>
      <c r="I76" s="85"/>
      <c r="J76" s="85"/>
    </row>
    <row r="77" spans="1:10">
      <c r="A77" s="50" t="s">
        <v>275</v>
      </c>
      <c r="B77" s="50" t="s">
        <v>895</v>
      </c>
      <c r="C77" s="50" t="s">
        <v>896</v>
      </c>
      <c r="D77" s="50" t="s">
        <v>148</v>
      </c>
      <c r="E77" s="50" t="s">
        <v>153</v>
      </c>
      <c r="F77" s="50" t="s">
        <v>155</v>
      </c>
      <c r="G77" s="50" t="s">
        <v>491</v>
      </c>
      <c r="H77" s="50" t="s">
        <v>897</v>
      </c>
      <c r="I77" s="50" t="s">
        <v>174</v>
      </c>
      <c r="J77" s="50" t="s">
        <v>11</v>
      </c>
    </row>
    <row r="78" spans="1:10" ht="55.2">
      <c r="A78" s="13" t="s">
        <v>714</v>
      </c>
      <c r="B78" s="128">
        <v>0.5</v>
      </c>
      <c r="C78" s="128">
        <v>0.5</v>
      </c>
      <c r="D78" s="128">
        <v>0.5</v>
      </c>
      <c r="E78" s="128">
        <v>0.5</v>
      </c>
      <c r="F78" s="128">
        <v>0.5</v>
      </c>
      <c r="G78" s="13" t="s">
        <v>677</v>
      </c>
      <c r="H78" s="126">
        <v>0.5</v>
      </c>
      <c r="I78" s="13" t="s">
        <v>1201</v>
      </c>
      <c r="J78" s="13" t="s">
        <v>3783</v>
      </c>
    </row>
    <row r="79" spans="1:10" ht="55.2">
      <c r="A79" s="13" t="s">
        <v>3709</v>
      </c>
      <c r="B79" s="128">
        <v>0.5</v>
      </c>
      <c r="C79" s="128">
        <v>0.5</v>
      </c>
      <c r="D79" s="128">
        <v>0.5</v>
      </c>
      <c r="E79" s="128">
        <v>0.5</v>
      </c>
      <c r="F79" s="128">
        <v>0.5</v>
      </c>
      <c r="G79" s="13" t="s">
        <v>677</v>
      </c>
      <c r="H79" s="126">
        <v>0.5</v>
      </c>
      <c r="I79" s="13" t="s">
        <v>1201</v>
      </c>
      <c r="J79" s="13" t="s">
        <v>3784</v>
      </c>
    </row>
    <row r="80" spans="1:10">
      <c r="A80" s="13"/>
      <c r="B80" s="13"/>
      <c r="C80" s="13"/>
      <c r="D80" s="13"/>
      <c r="E80" s="13"/>
      <c r="F80" s="13"/>
      <c r="G80" s="13"/>
      <c r="H80" s="13"/>
      <c r="I80" s="13"/>
      <c r="J80" s="13"/>
    </row>
    <row r="81" spans="1:10">
      <c r="A81" s="842" t="s">
        <v>1085</v>
      </c>
      <c r="B81" s="839"/>
      <c r="C81" s="839"/>
      <c r="D81" s="85"/>
      <c r="E81" s="85"/>
      <c r="F81" s="85"/>
      <c r="G81" s="85"/>
      <c r="H81" s="85"/>
      <c r="I81" s="85"/>
      <c r="J81" s="85"/>
    </row>
    <row r="82" spans="1:10" ht="55.2">
      <c r="A82" s="50" t="s">
        <v>905</v>
      </c>
      <c r="B82" s="50" t="s">
        <v>842</v>
      </c>
      <c r="C82" s="50"/>
      <c r="D82" s="50"/>
      <c r="E82" s="50"/>
      <c r="F82" s="50"/>
      <c r="G82" s="50"/>
      <c r="H82" s="50"/>
      <c r="I82" s="50"/>
      <c r="J82" s="50"/>
    </row>
    <row r="83" spans="1:10">
      <c r="A83" s="13" t="s">
        <v>1086</v>
      </c>
      <c r="B83" s="852" t="s">
        <v>3785</v>
      </c>
      <c r="C83" s="839"/>
      <c r="D83" s="839"/>
      <c r="E83" s="839"/>
      <c r="F83" s="839"/>
      <c r="G83" s="839"/>
      <c r="H83" s="839"/>
      <c r="I83" s="839"/>
      <c r="J83" s="839"/>
    </row>
    <row r="84" spans="1:10">
      <c r="A84" s="13" t="s">
        <v>1455</v>
      </c>
      <c r="B84" s="852" t="s">
        <v>3786</v>
      </c>
      <c r="C84" s="839"/>
      <c r="D84" s="839"/>
      <c r="E84" s="839"/>
      <c r="F84" s="839"/>
      <c r="G84" s="839"/>
      <c r="H84" s="839"/>
      <c r="I84" s="839"/>
      <c r="J84" s="839"/>
    </row>
    <row r="85" spans="1:10">
      <c r="A85" s="13" t="s">
        <v>1089</v>
      </c>
      <c r="B85" s="852" t="s">
        <v>3787</v>
      </c>
      <c r="C85" s="839"/>
      <c r="D85" s="839"/>
      <c r="E85" s="839"/>
      <c r="F85" s="839"/>
      <c r="G85" s="839"/>
      <c r="H85" s="839"/>
      <c r="I85" s="839"/>
      <c r="J85" s="839"/>
    </row>
    <row r="86" spans="1:10">
      <c r="A86" s="13" t="s">
        <v>1090</v>
      </c>
      <c r="B86" s="852" t="s">
        <v>3788</v>
      </c>
      <c r="C86" s="839"/>
      <c r="D86" s="839"/>
      <c r="E86" s="839"/>
      <c r="F86" s="839"/>
      <c r="G86" s="839"/>
      <c r="H86" s="839"/>
      <c r="I86" s="839"/>
      <c r="J86" s="839"/>
    </row>
    <row r="87" spans="1:10">
      <c r="A87" s="13" t="s">
        <v>1088</v>
      </c>
      <c r="B87" s="852" t="s">
        <v>3789</v>
      </c>
      <c r="C87" s="839"/>
      <c r="D87" s="839"/>
      <c r="E87" s="839"/>
      <c r="F87" s="839"/>
      <c r="G87" s="839"/>
      <c r="H87" s="839"/>
      <c r="I87" s="839"/>
      <c r="J87" s="839"/>
    </row>
    <row r="88" spans="1:10">
      <c r="A88" s="13" t="s">
        <v>1092</v>
      </c>
      <c r="B88" s="852" t="s">
        <v>3790</v>
      </c>
      <c r="C88" s="839"/>
      <c r="D88" s="839"/>
      <c r="E88" s="839"/>
      <c r="F88" s="839"/>
      <c r="G88" s="839"/>
      <c r="H88" s="839"/>
      <c r="I88" s="839"/>
      <c r="J88" s="839"/>
    </row>
    <row r="89" spans="1:10">
      <c r="A89" s="13" t="s">
        <v>1563</v>
      </c>
      <c r="B89" s="852" t="s">
        <v>1776</v>
      </c>
      <c r="C89" s="839"/>
      <c r="D89" s="839"/>
      <c r="E89" s="839"/>
      <c r="F89" s="839"/>
      <c r="G89" s="839"/>
      <c r="H89" s="839"/>
      <c r="I89" s="839"/>
      <c r="J89" s="839"/>
    </row>
    <row r="90" spans="1:10" ht="15" thickBot="1"/>
    <row r="91" spans="1:10">
      <c r="A91" s="855" t="s">
        <v>5875</v>
      </c>
      <c r="B91" s="856"/>
      <c r="C91" s="856"/>
      <c r="D91" s="857"/>
      <c r="E91" s="856"/>
      <c r="F91" s="856"/>
      <c r="G91" s="857"/>
      <c r="H91" s="857"/>
      <c r="I91" s="857"/>
      <c r="J91" s="858"/>
    </row>
    <row r="92" spans="1:10">
      <c r="A92" s="325" t="s">
        <v>5817</v>
      </c>
      <c r="B92" s="326" t="s">
        <v>77</v>
      </c>
      <c r="C92" s="326" t="s">
        <v>5818</v>
      </c>
      <c r="D92" s="326" t="s">
        <v>5819</v>
      </c>
      <c r="E92" s="326" t="s">
        <v>5841</v>
      </c>
      <c r="F92" s="326" t="s">
        <v>5808</v>
      </c>
      <c r="G92" s="859" t="s">
        <v>5842</v>
      </c>
      <c r="H92" s="859"/>
      <c r="I92" s="859"/>
      <c r="J92" s="860"/>
    </row>
    <row r="93" spans="1:10" ht="26.4">
      <c r="A93" s="327" t="s">
        <v>5820</v>
      </c>
      <c r="B93" s="337" t="s">
        <v>484</v>
      </c>
      <c r="C93" s="329">
        <v>0</v>
      </c>
      <c r="D93" s="329">
        <v>0</v>
      </c>
      <c r="E93" s="196" t="s">
        <v>5881</v>
      </c>
      <c r="F93" s="329">
        <f>IF(AND(C93&lt;&gt;"",D93&lt;&gt;""),D93-C93,"")</f>
        <v>0</v>
      </c>
      <c r="G93" s="861"/>
      <c r="H93" s="861"/>
      <c r="I93" s="861"/>
      <c r="J93" s="862"/>
    </row>
    <row r="94" spans="1:10" ht="26.4">
      <c r="A94" s="330" t="s">
        <v>5821</v>
      </c>
      <c r="B94" s="337" t="s">
        <v>484</v>
      </c>
      <c r="C94" s="331">
        <v>1</v>
      </c>
      <c r="D94" s="331">
        <v>0</v>
      </c>
      <c r="E94" s="314" t="s">
        <v>5882</v>
      </c>
      <c r="F94" s="331">
        <f>IF(AND(C94&lt;&gt;"",D94&lt;&gt;""),D94-C94,"")</f>
        <v>-1</v>
      </c>
      <c r="G94" s="863"/>
      <c r="H94" s="863"/>
      <c r="I94" s="863"/>
      <c r="J94" s="864"/>
    </row>
    <row r="95" spans="1:10">
      <c r="A95" s="327" t="s">
        <v>5822</v>
      </c>
      <c r="B95" s="337" t="s">
        <v>484</v>
      </c>
      <c r="C95" s="331">
        <v>1</v>
      </c>
      <c r="D95" s="331">
        <v>0</v>
      </c>
      <c r="E95" s="314" t="s">
        <v>5882</v>
      </c>
      <c r="F95" s="329">
        <f>IF(AND(C95&lt;&gt;"",D95&lt;&gt;""),D95-C95,"")</f>
        <v>-1</v>
      </c>
      <c r="G95" s="332"/>
      <c r="H95" s="231"/>
      <c r="I95" s="231"/>
      <c r="J95" s="333"/>
    </row>
    <row r="96" spans="1:10">
      <c r="A96" s="330" t="s">
        <v>5823</v>
      </c>
      <c r="B96" s="337" t="s">
        <v>484</v>
      </c>
      <c r="C96" s="331">
        <v>1</v>
      </c>
      <c r="D96" s="331">
        <v>0</v>
      </c>
      <c r="E96" s="314" t="s">
        <v>5882</v>
      </c>
      <c r="F96" s="331">
        <f>IF(AND(C96&lt;&gt;"",D96&lt;&gt;""),D96-C96,"")</f>
        <v>-1</v>
      </c>
      <c r="G96" s="863"/>
      <c r="H96" s="863"/>
      <c r="I96" s="863"/>
      <c r="J96" s="864"/>
    </row>
    <row r="97" spans="1:10">
      <c r="A97" s="327" t="s">
        <v>5168</v>
      </c>
      <c r="B97" s="337" t="s">
        <v>484</v>
      </c>
      <c r="C97" s="331">
        <v>1</v>
      </c>
      <c r="D97" s="331">
        <v>0</v>
      </c>
      <c r="E97" s="314" t="s">
        <v>5882</v>
      </c>
      <c r="F97" s="329">
        <f>IF(AND(C97&lt;&gt;"",D97&lt;&gt;""),D97-C97,"")</f>
        <v>-1</v>
      </c>
      <c r="G97" s="332"/>
      <c r="H97" s="231"/>
      <c r="I97" s="231"/>
      <c r="J97" s="333"/>
    </row>
    <row r="98" spans="1:10" ht="15.6">
      <c r="A98" s="865" t="s">
        <v>5843</v>
      </c>
      <c r="B98" s="713"/>
      <c r="C98" s="334">
        <f>IFERROR(AVERAGE(C93:C97),"")</f>
        <v>0.8</v>
      </c>
      <c r="D98" s="334">
        <f>IFERROR(AVERAGE(D93:D97),"")</f>
        <v>0</v>
      </c>
      <c r="E98" s="866" t="s">
        <v>5844</v>
      </c>
      <c r="F98" s="866"/>
      <c r="G98" s="866"/>
      <c r="H98" s="866"/>
      <c r="I98" s="866"/>
      <c r="J98" s="867"/>
    </row>
    <row r="99" spans="1:10">
      <c r="A99" s="335"/>
      <c r="B99" s="320"/>
      <c r="C99" s="320"/>
      <c r="D99" s="320"/>
      <c r="E99" s="320"/>
      <c r="F99" s="320"/>
      <c r="G99" s="320"/>
      <c r="H99" s="231"/>
      <c r="I99" s="231"/>
      <c r="J99" s="333"/>
    </row>
    <row r="100" spans="1:10">
      <c r="A100" s="876" t="s">
        <v>5876</v>
      </c>
      <c r="B100" s="853"/>
      <c r="C100" s="853"/>
      <c r="D100" s="842"/>
      <c r="E100" s="853"/>
      <c r="F100" s="853"/>
      <c r="G100" s="842"/>
      <c r="H100" s="842"/>
      <c r="I100" s="842"/>
      <c r="J100" s="868"/>
    </row>
    <row r="101" spans="1:10">
      <c r="A101" s="325" t="s">
        <v>4946</v>
      </c>
      <c r="B101" s="326" t="s">
        <v>77</v>
      </c>
      <c r="C101" s="326" t="s">
        <v>5883</v>
      </c>
      <c r="D101" s="326" t="s">
        <v>482</v>
      </c>
      <c r="E101" s="326" t="s">
        <v>572</v>
      </c>
      <c r="F101" s="326" t="s">
        <v>5846</v>
      </c>
      <c r="G101" s="859" t="s">
        <v>5847</v>
      </c>
      <c r="H101" s="859"/>
      <c r="I101" s="859"/>
      <c r="J101" s="860"/>
    </row>
    <row r="102" spans="1:10" ht="26.4">
      <c r="A102" s="330" t="s">
        <v>5809</v>
      </c>
      <c r="B102" s="337" t="s">
        <v>484</v>
      </c>
      <c r="C102" s="336" t="s">
        <v>679</v>
      </c>
      <c r="D102" s="328" t="s">
        <v>679</v>
      </c>
      <c r="E102" s="336">
        <f>IF(D102="Yes",1,0)</f>
        <v>0</v>
      </c>
      <c r="F102" s="877"/>
      <c r="G102" s="877"/>
      <c r="H102" s="877"/>
      <c r="I102" s="877"/>
      <c r="J102" s="878"/>
    </row>
    <row r="103" spans="1:10">
      <c r="A103" s="327" t="s">
        <v>995</v>
      </c>
      <c r="B103" s="337" t="s">
        <v>484</v>
      </c>
      <c r="C103" s="336" t="s">
        <v>679</v>
      </c>
      <c r="D103" s="328" t="s">
        <v>679</v>
      </c>
      <c r="E103" s="328">
        <f t="shared" ref="E103:E109" si="0">IF(D103="Yes",1,0)</f>
        <v>0</v>
      </c>
      <c r="F103" s="877"/>
      <c r="G103" s="877"/>
      <c r="H103" s="877"/>
      <c r="I103" s="877"/>
      <c r="J103" s="878"/>
    </row>
    <row r="104" spans="1:10">
      <c r="A104" s="330" t="s">
        <v>5810</v>
      </c>
      <c r="B104" s="337" t="s">
        <v>484</v>
      </c>
      <c r="C104" s="336" t="s">
        <v>679</v>
      </c>
      <c r="D104" s="328" t="s">
        <v>679</v>
      </c>
      <c r="E104" s="336">
        <f t="shared" si="0"/>
        <v>0</v>
      </c>
      <c r="F104" s="877"/>
      <c r="G104" s="877"/>
      <c r="H104" s="877"/>
      <c r="I104" s="877"/>
      <c r="J104" s="878"/>
    </row>
    <row r="105" spans="1:10">
      <c r="A105" s="327" t="s">
        <v>5824</v>
      </c>
      <c r="B105" s="337" t="s">
        <v>484</v>
      </c>
      <c r="C105" s="336" t="s">
        <v>679</v>
      </c>
      <c r="D105" s="328" t="s">
        <v>679</v>
      </c>
      <c r="E105" s="328">
        <f t="shared" si="0"/>
        <v>0</v>
      </c>
      <c r="F105" s="877"/>
      <c r="G105" s="877"/>
      <c r="H105" s="877"/>
      <c r="I105" s="877"/>
      <c r="J105" s="878"/>
    </row>
    <row r="106" spans="1:10" ht="39.6">
      <c r="A106" s="330" t="s">
        <v>5825</v>
      </c>
      <c r="B106" s="337" t="s">
        <v>484</v>
      </c>
      <c r="C106" s="336" t="s">
        <v>679</v>
      </c>
      <c r="D106" s="328" t="s">
        <v>679</v>
      </c>
      <c r="E106" s="336">
        <f t="shared" si="0"/>
        <v>0</v>
      </c>
      <c r="F106" s="877"/>
      <c r="G106" s="877"/>
      <c r="H106" s="877"/>
      <c r="I106" s="877"/>
      <c r="J106" s="878"/>
    </row>
    <row r="107" spans="1:10" ht="26.4">
      <c r="A107" s="327" t="s">
        <v>5826</v>
      </c>
      <c r="B107" s="337" t="s">
        <v>484</v>
      </c>
      <c r="C107" s="336" t="s">
        <v>679</v>
      </c>
      <c r="D107" s="328" t="s">
        <v>679</v>
      </c>
      <c r="E107" s="328">
        <f t="shared" si="0"/>
        <v>0</v>
      </c>
      <c r="F107" s="877"/>
      <c r="G107" s="877"/>
      <c r="H107" s="877"/>
      <c r="I107" s="877"/>
      <c r="J107" s="878"/>
    </row>
    <row r="108" spans="1:10">
      <c r="A108" s="330" t="s">
        <v>5811</v>
      </c>
      <c r="B108" s="337" t="s">
        <v>484</v>
      </c>
      <c r="C108" s="336" t="s">
        <v>679</v>
      </c>
      <c r="D108" s="328" t="s">
        <v>679</v>
      </c>
      <c r="E108" s="336">
        <f t="shared" si="0"/>
        <v>0</v>
      </c>
      <c r="F108" s="877"/>
      <c r="G108" s="877"/>
      <c r="H108" s="877"/>
      <c r="I108" s="877"/>
      <c r="J108" s="878"/>
    </row>
    <row r="109" spans="1:10" ht="26.4">
      <c r="A109" s="327" t="s">
        <v>5812</v>
      </c>
      <c r="B109" s="337" t="s">
        <v>484</v>
      </c>
      <c r="C109" s="336" t="s">
        <v>679</v>
      </c>
      <c r="D109" s="328" t="s">
        <v>679</v>
      </c>
      <c r="E109" s="328">
        <f t="shared" si="0"/>
        <v>0</v>
      </c>
      <c r="F109" s="877"/>
      <c r="G109" s="877"/>
      <c r="H109" s="877"/>
      <c r="I109" s="877"/>
      <c r="J109" s="878"/>
    </row>
    <row r="110" spans="1:10" ht="15.6">
      <c r="A110" s="865" t="s">
        <v>5848</v>
      </c>
      <c r="B110" s="713"/>
      <c r="C110" s="871" t="str">
        <f>IFERROR(SUM(E102:E109)/COUNTIF(C102:C109,"Yes"),"")</f>
        <v/>
      </c>
      <c r="D110" s="872"/>
      <c r="E110" s="866" t="s">
        <v>5849</v>
      </c>
      <c r="F110" s="866"/>
      <c r="G110" s="866"/>
      <c r="H110" s="866"/>
      <c r="I110" s="866"/>
      <c r="J110" s="867"/>
    </row>
    <row r="111" spans="1:10">
      <c r="A111" s="335"/>
      <c r="B111" s="320"/>
      <c r="C111" s="320"/>
      <c r="D111" s="320"/>
      <c r="E111" s="320"/>
      <c r="F111" s="320"/>
      <c r="G111" s="320"/>
      <c r="H111" s="231"/>
      <c r="I111" s="231"/>
      <c r="J111" s="333"/>
    </row>
    <row r="112" spans="1:10">
      <c r="A112" s="876" t="s">
        <v>5877</v>
      </c>
      <c r="B112" s="853"/>
      <c r="C112" s="853"/>
      <c r="D112" s="842"/>
      <c r="E112" s="853"/>
      <c r="F112" s="853"/>
      <c r="G112" s="842"/>
      <c r="H112" s="842"/>
      <c r="I112" s="842"/>
      <c r="J112" s="868"/>
    </row>
    <row r="113" spans="1:10">
      <c r="A113" s="325" t="s">
        <v>5850</v>
      </c>
      <c r="B113" s="326" t="s">
        <v>77</v>
      </c>
      <c r="C113" s="326" t="s">
        <v>5827</v>
      </c>
      <c r="D113" s="326" t="s">
        <v>5828</v>
      </c>
      <c r="E113" s="326" t="s">
        <v>5829</v>
      </c>
      <c r="F113" s="326" t="s">
        <v>5851</v>
      </c>
      <c r="G113" s="859" t="s">
        <v>5852</v>
      </c>
      <c r="H113" s="859"/>
      <c r="I113" s="859"/>
      <c r="J113" s="860"/>
    </row>
    <row r="114" spans="1:10" ht="26.4">
      <c r="A114" s="330" t="s">
        <v>5830</v>
      </c>
      <c r="B114" s="336" t="s">
        <v>484</v>
      </c>
      <c r="C114" s="336" t="s">
        <v>1096</v>
      </c>
      <c r="D114" s="336" t="s">
        <v>1096</v>
      </c>
      <c r="E114" s="336" t="s">
        <v>1096</v>
      </c>
      <c r="F114" s="336" t="s">
        <v>348</v>
      </c>
      <c r="G114" s="869"/>
      <c r="H114" s="869"/>
      <c r="I114" s="869"/>
      <c r="J114" s="870"/>
    </row>
    <row r="115" spans="1:10">
      <c r="A115" s="327" t="s">
        <v>5831</v>
      </c>
      <c r="B115" s="336" t="s">
        <v>484</v>
      </c>
      <c r="C115" s="336" t="s">
        <v>1096</v>
      </c>
      <c r="D115" s="336" t="s">
        <v>1096</v>
      </c>
      <c r="E115" s="336" t="s">
        <v>1096</v>
      </c>
      <c r="F115" s="336" t="s">
        <v>348</v>
      </c>
      <c r="G115" s="869"/>
      <c r="H115" s="869"/>
      <c r="I115" s="869"/>
      <c r="J115" s="870"/>
    </row>
    <row r="116" spans="1:10">
      <c r="A116" s="330" t="s">
        <v>5853</v>
      </c>
      <c r="B116" s="336" t="s">
        <v>484</v>
      </c>
      <c r="C116" s="336" t="s">
        <v>1096</v>
      </c>
      <c r="D116" s="336" t="s">
        <v>1096</v>
      </c>
      <c r="E116" s="336" t="s">
        <v>1096</v>
      </c>
      <c r="F116" s="336" t="s">
        <v>348</v>
      </c>
      <c r="G116" s="869"/>
      <c r="H116" s="869"/>
      <c r="I116" s="869"/>
      <c r="J116" s="870"/>
    </row>
    <row r="117" spans="1:10">
      <c r="A117" s="327" t="s">
        <v>5832</v>
      </c>
      <c r="B117" s="336" t="s">
        <v>484</v>
      </c>
      <c r="C117" s="336" t="s">
        <v>1096</v>
      </c>
      <c r="D117" s="336" t="s">
        <v>1096</v>
      </c>
      <c r="E117" s="336" t="s">
        <v>1096</v>
      </c>
      <c r="F117" s="336" t="s">
        <v>348</v>
      </c>
      <c r="G117" s="869"/>
      <c r="H117" s="869"/>
      <c r="I117" s="869"/>
      <c r="J117" s="870"/>
    </row>
    <row r="118" spans="1:10" ht="26.4">
      <c r="A118" s="330" t="s">
        <v>5833</v>
      </c>
      <c r="B118" s="336" t="s">
        <v>484</v>
      </c>
      <c r="C118" s="336" t="s">
        <v>1096</v>
      </c>
      <c r="D118" s="336" t="s">
        <v>1096</v>
      </c>
      <c r="E118" s="336" t="s">
        <v>1096</v>
      </c>
      <c r="F118" s="336" t="s">
        <v>348</v>
      </c>
      <c r="G118" s="869"/>
      <c r="H118" s="869"/>
      <c r="I118" s="869"/>
      <c r="J118" s="870"/>
    </row>
    <row r="119" spans="1:10" ht="15.6">
      <c r="A119" s="865" t="s">
        <v>5884</v>
      </c>
      <c r="B119" s="713"/>
      <c r="C119" s="871">
        <f>IFERROR(COUNTIF(E114:E118,"Yes")/COUNTA(A114:A118),"")</f>
        <v>0</v>
      </c>
      <c r="D119" s="872"/>
      <c r="E119" s="866" t="s">
        <v>5855</v>
      </c>
      <c r="F119" s="866"/>
      <c r="G119" s="866"/>
      <c r="H119" s="866"/>
      <c r="I119" s="866"/>
      <c r="J119" s="867"/>
    </row>
    <row r="120" spans="1:10">
      <c r="A120" s="335"/>
      <c r="B120" s="320"/>
      <c r="C120" s="320"/>
      <c r="D120" s="320"/>
      <c r="E120" s="320"/>
      <c r="F120" s="320"/>
      <c r="G120" s="874"/>
      <c r="H120" s="874"/>
      <c r="I120" s="874"/>
      <c r="J120" s="875"/>
    </row>
    <row r="121" spans="1:10">
      <c r="A121" s="876" t="s">
        <v>5878</v>
      </c>
      <c r="B121" s="853"/>
      <c r="C121" s="853"/>
      <c r="D121" s="842"/>
      <c r="E121" s="853"/>
      <c r="F121" s="853"/>
      <c r="G121" s="842"/>
      <c r="H121" s="842"/>
      <c r="I121" s="842"/>
      <c r="J121" s="868"/>
    </row>
    <row r="122" spans="1:10">
      <c r="A122" s="326" t="s">
        <v>5813</v>
      </c>
      <c r="B122" s="326" t="s">
        <v>77</v>
      </c>
      <c r="C122" s="326" t="s">
        <v>5834</v>
      </c>
      <c r="D122" s="326" t="s">
        <v>5835</v>
      </c>
      <c r="E122" s="326" t="s">
        <v>5836</v>
      </c>
      <c r="F122" s="326" t="s">
        <v>5837</v>
      </c>
      <c r="G122" s="859" t="s">
        <v>5885</v>
      </c>
      <c r="H122" s="859"/>
      <c r="I122" s="859"/>
      <c r="J122" s="859"/>
    </row>
    <row r="123" spans="1:10">
      <c r="A123" s="332" t="s">
        <v>153</v>
      </c>
      <c r="B123" s="328" t="s">
        <v>484</v>
      </c>
      <c r="C123" s="328"/>
      <c r="D123" s="328"/>
      <c r="E123" s="328"/>
      <c r="F123" s="329" t="str">
        <f>IFERROR(D123/C123,"")</f>
        <v/>
      </c>
      <c r="G123" s="873"/>
      <c r="H123" s="873"/>
      <c r="I123" s="873"/>
      <c r="J123" s="873"/>
    </row>
    <row r="124" spans="1:10">
      <c r="A124" s="339" t="s">
        <v>155</v>
      </c>
      <c r="B124" s="336" t="s">
        <v>484</v>
      </c>
      <c r="C124" s="336"/>
      <c r="D124" s="336"/>
      <c r="E124" s="336"/>
      <c r="F124" s="331" t="str">
        <f>IFERROR(D124/C124,"")</f>
        <v/>
      </c>
      <c r="G124" s="873"/>
      <c r="H124" s="873"/>
      <c r="I124" s="873"/>
      <c r="J124" s="873"/>
    </row>
    <row r="125" spans="1:10">
      <c r="A125" s="332" t="s">
        <v>4821</v>
      </c>
      <c r="B125" s="328" t="s">
        <v>484</v>
      </c>
      <c r="C125" s="328"/>
      <c r="D125" s="328"/>
      <c r="E125" s="328"/>
      <c r="F125" s="329" t="str">
        <f>IFERROR(D125/C125,"")</f>
        <v/>
      </c>
      <c r="G125" s="873"/>
      <c r="H125" s="873"/>
      <c r="I125" s="873"/>
      <c r="J125" s="873"/>
    </row>
    <row r="126" spans="1:10">
      <c r="A126" s="339" t="s">
        <v>957</v>
      </c>
      <c r="B126" s="336" t="s">
        <v>484</v>
      </c>
      <c r="C126" s="336"/>
      <c r="D126" s="336"/>
      <c r="E126" s="336"/>
      <c r="F126" s="331" t="str">
        <f>IFERROR(D126/C126,"")</f>
        <v/>
      </c>
      <c r="G126" s="873"/>
      <c r="H126" s="873"/>
      <c r="I126" s="873"/>
      <c r="J126" s="873"/>
    </row>
    <row r="127" spans="1:10">
      <c r="A127" s="879" t="s">
        <v>5856</v>
      </c>
      <c r="B127" s="879"/>
      <c r="C127" s="879"/>
      <c r="D127" s="879"/>
      <c r="E127" s="866" t="s">
        <v>5857</v>
      </c>
      <c r="F127" s="866"/>
      <c r="G127" s="866"/>
      <c r="H127" s="866"/>
      <c r="I127" s="866"/>
      <c r="J127" s="866"/>
    </row>
    <row r="128" spans="1:10">
      <c r="A128" s="879"/>
      <c r="B128" s="879"/>
      <c r="C128" s="879"/>
      <c r="D128" s="879"/>
      <c r="E128" s="866"/>
      <c r="F128" s="866"/>
      <c r="G128" s="866"/>
      <c r="H128" s="866"/>
      <c r="I128" s="866"/>
      <c r="J128" s="866"/>
    </row>
    <row r="129" spans="1:10">
      <c r="A129" s="842" t="s">
        <v>5879</v>
      </c>
      <c r="B129" s="842"/>
      <c r="C129" s="842"/>
      <c r="D129" s="842"/>
      <c r="E129" s="842"/>
      <c r="F129" s="842"/>
      <c r="G129" s="842"/>
      <c r="H129" s="842"/>
      <c r="I129" s="842"/>
      <c r="J129" s="842"/>
    </row>
    <row r="130" spans="1:10">
      <c r="A130" s="326" t="s">
        <v>4946</v>
      </c>
      <c r="B130" s="326" t="s">
        <v>77</v>
      </c>
      <c r="C130" s="326" t="s">
        <v>5845</v>
      </c>
      <c r="D130" s="326" t="s">
        <v>482</v>
      </c>
      <c r="E130" s="326" t="s">
        <v>572</v>
      </c>
      <c r="F130" s="326" t="s">
        <v>944</v>
      </c>
      <c r="G130" s="859" t="s">
        <v>5847</v>
      </c>
      <c r="H130" s="859"/>
      <c r="I130" s="859"/>
      <c r="J130" s="859"/>
    </row>
    <row r="131" spans="1:10" ht="26.4">
      <c r="A131" s="332" t="s">
        <v>5814</v>
      </c>
      <c r="B131" s="328" t="s">
        <v>484</v>
      </c>
      <c r="C131" s="328" t="s">
        <v>392</v>
      </c>
      <c r="D131" s="328" t="s">
        <v>1096</v>
      </c>
      <c r="E131" s="328">
        <f t="shared" ref="E131:E136" si="1">IF(D131="Yes",1,0)</f>
        <v>0</v>
      </c>
      <c r="F131" s="328"/>
      <c r="G131" s="873"/>
      <c r="H131" s="873"/>
      <c r="I131" s="873"/>
      <c r="J131" s="873"/>
    </row>
    <row r="132" spans="1:10">
      <c r="A132" s="339" t="s">
        <v>5815</v>
      </c>
      <c r="B132" s="328" t="s">
        <v>484</v>
      </c>
      <c r="C132" s="336" t="s">
        <v>392</v>
      </c>
      <c r="D132" s="328" t="s">
        <v>1096</v>
      </c>
      <c r="E132" s="336">
        <f t="shared" si="1"/>
        <v>0</v>
      </c>
      <c r="F132" s="336"/>
      <c r="G132" s="873"/>
      <c r="H132" s="873"/>
      <c r="I132" s="873"/>
      <c r="J132" s="873"/>
    </row>
    <row r="133" spans="1:10" ht="26.4">
      <c r="A133" s="332" t="s">
        <v>5816</v>
      </c>
      <c r="B133" s="328" t="s">
        <v>484</v>
      </c>
      <c r="C133" s="328" t="s">
        <v>392</v>
      </c>
      <c r="D133" s="328" t="s">
        <v>1096</v>
      </c>
      <c r="E133" s="328">
        <f t="shared" si="1"/>
        <v>0</v>
      </c>
      <c r="F133" s="328"/>
      <c r="G133" s="873"/>
      <c r="H133" s="873"/>
      <c r="I133" s="873"/>
      <c r="J133" s="873"/>
    </row>
    <row r="134" spans="1:10">
      <c r="A134" s="339" t="s">
        <v>5838</v>
      </c>
      <c r="B134" s="328" t="s">
        <v>484</v>
      </c>
      <c r="C134" s="336" t="s">
        <v>392</v>
      </c>
      <c r="D134" s="328" t="s">
        <v>1096</v>
      </c>
      <c r="E134" s="336">
        <f t="shared" si="1"/>
        <v>0</v>
      </c>
      <c r="F134" s="336"/>
      <c r="G134" s="873"/>
      <c r="H134" s="873"/>
      <c r="I134" s="873"/>
      <c r="J134" s="873"/>
    </row>
    <row r="135" spans="1:10" ht="26.4">
      <c r="A135" s="332" t="s">
        <v>5839</v>
      </c>
      <c r="B135" s="328" t="s">
        <v>484</v>
      </c>
      <c r="C135" s="328" t="s">
        <v>392</v>
      </c>
      <c r="D135" s="328" t="s">
        <v>1096</v>
      </c>
      <c r="E135" s="328">
        <f t="shared" si="1"/>
        <v>0</v>
      </c>
      <c r="F135" s="328"/>
      <c r="G135" s="873"/>
      <c r="H135" s="873"/>
      <c r="I135" s="873"/>
      <c r="J135" s="873"/>
    </row>
    <row r="136" spans="1:10" ht="26.4">
      <c r="A136" s="339" t="s">
        <v>5840</v>
      </c>
      <c r="B136" s="328" t="s">
        <v>484</v>
      </c>
      <c r="C136" s="336" t="s">
        <v>392</v>
      </c>
      <c r="D136" s="336" t="s">
        <v>1096</v>
      </c>
      <c r="E136" s="336">
        <f t="shared" si="1"/>
        <v>0</v>
      </c>
      <c r="F136" s="336"/>
      <c r="G136" s="873"/>
      <c r="H136" s="873"/>
      <c r="I136" s="873"/>
      <c r="J136" s="873"/>
    </row>
    <row r="137" spans="1:10" ht="15.6">
      <c r="A137" s="880" t="s">
        <v>5858</v>
      </c>
      <c r="B137" s="713"/>
      <c r="C137" s="871">
        <f>IFERROR(SUM(E131:E136)/COUNTIF(C131:C136,"Yes"),"")</f>
        <v>0</v>
      </c>
      <c r="D137" s="872"/>
      <c r="E137" s="866" t="s">
        <v>5859</v>
      </c>
      <c r="F137" s="866"/>
      <c r="G137" s="866"/>
      <c r="H137" s="866"/>
      <c r="I137" s="866"/>
      <c r="J137" s="866"/>
    </row>
    <row r="138" spans="1:10">
      <c r="A138" s="196"/>
      <c r="B138" s="196"/>
      <c r="C138" s="196"/>
      <c r="D138" s="196"/>
      <c r="E138" s="196"/>
      <c r="F138" s="196"/>
      <c r="G138" s="196"/>
      <c r="H138" s="196"/>
      <c r="I138" s="196"/>
      <c r="J138" s="196"/>
    </row>
    <row r="139" spans="1:10">
      <c r="A139" s="842" t="s">
        <v>5880</v>
      </c>
      <c r="B139" s="853"/>
      <c r="C139" s="853"/>
      <c r="D139" s="321"/>
      <c r="E139" s="321"/>
      <c r="F139" s="321"/>
      <c r="G139" s="321"/>
      <c r="H139" s="321"/>
      <c r="I139" s="321"/>
      <c r="J139" s="321"/>
    </row>
    <row r="140" spans="1:10" ht="55.2">
      <c r="A140" s="322" t="s">
        <v>905</v>
      </c>
      <c r="B140" s="322" t="s">
        <v>830</v>
      </c>
      <c r="C140" s="322"/>
      <c r="D140" s="322"/>
      <c r="E140" s="322"/>
      <c r="F140" s="322"/>
      <c r="G140" s="322"/>
      <c r="H140" s="322"/>
      <c r="I140" s="322"/>
      <c r="J140" s="322"/>
    </row>
    <row r="141" spans="1:10">
      <c r="A141" s="319" t="s">
        <v>1086</v>
      </c>
      <c r="B141" s="852" t="s">
        <v>3292</v>
      </c>
      <c r="C141" s="853"/>
      <c r="D141" s="853"/>
      <c r="E141" s="853"/>
      <c r="F141" s="853"/>
      <c r="G141" s="853"/>
      <c r="H141" s="853"/>
      <c r="I141" s="853"/>
      <c r="J141" s="853"/>
    </row>
    <row r="142" spans="1:10" ht="27.6">
      <c r="A142" s="319" t="s">
        <v>2090</v>
      </c>
      <c r="B142" s="852" t="s">
        <v>3293</v>
      </c>
      <c r="C142" s="853"/>
      <c r="D142" s="853"/>
      <c r="E142" s="853"/>
      <c r="F142" s="853"/>
      <c r="G142" s="853"/>
      <c r="H142" s="853"/>
      <c r="I142" s="853"/>
      <c r="J142" s="853"/>
    </row>
    <row r="143" spans="1:10">
      <c r="A143" s="319" t="s">
        <v>1089</v>
      </c>
      <c r="B143" s="852" t="s">
        <v>3294</v>
      </c>
      <c r="C143" s="853"/>
      <c r="D143" s="853"/>
      <c r="E143" s="853"/>
      <c r="F143" s="853"/>
      <c r="G143" s="853"/>
      <c r="H143" s="853"/>
      <c r="I143" s="853"/>
      <c r="J143" s="853"/>
    </row>
    <row r="144" spans="1:10">
      <c r="A144" s="319" t="s">
        <v>1090</v>
      </c>
      <c r="B144" s="852" t="s">
        <v>3295</v>
      </c>
      <c r="C144" s="853"/>
      <c r="D144" s="853"/>
      <c r="E144" s="853"/>
      <c r="F144" s="853"/>
      <c r="G144" s="853"/>
      <c r="H144" s="853"/>
      <c r="I144" s="853"/>
      <c r="J144" s="853"/>
    </row>
    <row r="145" spans="1:10">
      <c r="A145" s="319" t="s">
        <v>1088</v>
      </c>
      <c r="B145" s="852" t="s">
        <v>3296</v>
      </c>
      <c r="C145" s="853"/>
      <c r="D145" s="853"/>
      <c r="E145" s="853"/>
      <c r="F145" s="853"/>
      <c r="G145" s="853"/>
      <c r="H145" s="853"/>
      <c r="I145" s="853"/>
      <c r="J145" s="853"/>
    </row>
    <row r="146" spans="1:10" ht="27.6">
      <c r="A146" s="319" t="s">
        <v>3297</v>
      </c>
      <c r="B146" s="852" t="s">
        <v>3298</v>
      </c>
      <c r="C146" s="853"/>
      <c r="D146" s="853"/>
      <c r="E146" s="853"/>
      <c r="F146" s="853"/>
      <c r="G146" s="853"/>
      <c r="H146" s="853"/>
      <c r="I146" s="853"/>
      <c r="J146" s="853"/>
    </row>
    <row r="147" spans="1:10">
      <c r="A147" s="319" t="s">
        <v>1563</v>
      </c>
      <c r="B147" s="852" t="s">
        <v>1776</v>
      </c>
      <c r="C147" s="853"/>
      <c r="D147" s="853"/>
      <c r="E147" s="853"/>
      <c r="F147" s="853"/>
      <c r="G147" s="853"/>
      <c r="H147" s="853"/>
      <c r="I147" s="853"/>
      <c r="J147" s="853"/>
    </row>
    <row r="148" spans="1:10">
      <c r="A148" s="231"/>
      <c r="B148" s="231"/>
      <c r="C148" s="231"/>
      <c r="D148" s="231"/>
      <c r="E148" s="231"/>
      <c r="F148" s="231"/>
      <c r="G148" s="231"/>
      <c r="H148" s="231"/>
      <c r="I148" s="231"/>
      <c r="J148" s="231"/>
    </row>
    <row r="149" spans="1:10" ht="17.399999999999999">
      <c r="A149" s="827" t="s">
        <v>5769</v>
      </c>
      <c r="B149" s="827"/>
      <c r="C149" s="827"/>
      <c r="D149" s="827"/>
      <c r="E149" s="827"/>
      <c r="F149" s="827"/>
      <c r="G149" s="827"/>
      <c r="H149" s="827"/>
      <c r="I149" s="231"/>
      <c r="J149" s="231"/>
    </row>
    <row r="150" spans="1:10">
      <c r="A150" s="276" t="s">
        <v>2</v>
      </c>
      <c r="B150" s="828" t="s">
        <v>5770</v>
      </c>
      <c r="C150" s="828"/>
      <c r="D150" s="828"/>
      <c r="E150" s="828"/>
      <c r="F150" s="828"/>
      <c r="G150" s="828"/>
      <c r="H150" s="828"/>
      <c r="I150" s="231"/>
      <c r="J150" s="231"/>
    </row>
    <row r="151" spans="1:10">
      <c r="A151" s="276" t="s">
        <v>5771</v>
      </c>
      <c r="B151" s="828" t="s">
        <v>5772</v>
      </c>
      <c r="C151" s="828"/>
      <c r="D151" s="828"/>
      <c r="E151" s="828"/>
      <c r="F151" s="828"/>
      <c r="G151" s="828"/>
      <c r="H151" s="828"/>
      <c r="I151" s="231"/>
      <c r="J151" s="231"/>
    </row>
    <row r="152" spans="1:10">
      <c r="A152" s="196"/>
      <c r="B152" s="196"/>
      <c r="C152" s="196"/>
      <c r="D152" s="196"/>
      <c r="E152" s="196"/>
      <c r="F152" s="196"/>
      <c r="G152" s="196"/>
      <c r="H152" s="196"/>
      <c r="I152" s="231"/>
      <c r="J152" s="231"/>
    </row>
    <row r="153" spans="1:10">
      <c r="A153" s="323" t="s">
        <v>4946</v>
      </c>
      <c r="B153" s="323" t="s">
        <v>77</v>
      </c>
      <c r="C153" s="323" t="s">
        <v>5773</v>
      </c>
      <c r="D153" s="323" t="s">
        <v>263</v>
      </c>
      <c r="E153" s="323" t="s">
        <v>216</v>
      </c>
      <c r="F153" s="323" t="s">
        <v>5774</v>
      </c>
      <c r="G153" s="323" t="s">
        <v>5775</v>
      </c>
      <c r="H153" s="323" t="s">
        <v>5776</v>
      </c>
      <c r="I153" s="231"/>
      <c r="J153" s="231"/>
    </row>
    <row r="154" spans="1:10" ht="26.4">
      <c r="A154" s="277" t="s">
        <v>5777</v>
      </c>
      <c r="B154" s="278" t="s">
        <v>1096</v>
      </c>
      <c r="C154" s="277"/>
      <c r="D154" s="277"/>
      <c r="E154" s="277"/>
      <c r="F154" s="277"/>
      <c r="G154" s="279" t="str">
        <f t="shared" ref="G154:G161" si="2">IF(OR(B154="Yes",B154="N/A"),"🟢","🟡")</f>
        <v>🟡</v>
      </c>
      <c r="H154" s="277"/>
      <c r="I154" s="231"/>
      <c r="J154" s="231"/>
    </row>
    <row r="155" spans="1:10">
      <c r="A155" s="277" t="s">
        <v>5778</v>
      </c>
      <c r="B155" s="278" t="s">
        <v>1096</v>
      </c>
      <c r="C155" s="277"/>
      <c r="D155" s="277"/>
      <c r="E155" s="277"/>
      <c r="F155" s="277"/>
      <c r="G155" s="279" t="str">
        <f t="shared" si="2"/>
        <v>🟡</v>
      </c>
      <c r="H155" s="277"/>
      <c r="I155" s="231"/>
      <c r="J155" s="231"/>
    </row>
    <row r="156" spans="1:10">
      <c r="A156" s="277" t="s">
        <v>5779</v>
      </c>
      <c r="B156" s="278" t="s">
        <v>1096</v>
      </c>
      <c r="C156" s="277"/>
      <c r="D156" s="277"/>
      <c r="E156" s="277"/>
      <c r="F156" s="277"/>
      <c r="G156" s="279" t="str">
        <f t="shared" si="2"/>
        <v>🟡</v>
      </c>
      <c r="H156" s="277"/>
      <c r="I156" s="231"/>
      <c r="J156" s="231"/>
    </row>
    <row r="157" spans="1:10">
      <c r="A157" s="277" t="s">
        <v>5168</v>
      </c>
      <c r="B157" s="278" t="s">
        <v>1096</v>
      </c>
      <c r="C157" s="277"/>
      <c r="D157" s="277"/>
      <c r="E157" s="277"/>
      <c r="F157" s="277"/>
      <c r="G157" s="279" t="str">
        <f t="shared" si="2"/>
        <v>🟡</v>
      </c>
      <c r="H157" s="277"/>
      <c r="I157" s="231"/>
      <c r="J157" s="231"/>
    </row>
    <row r="158" spans="1:10">
      <c r="A158" s="277" t="s">
        <v>5780</v>
      </c>
      <c r="B158" s="278" t="s">
        <v>1096</v>
      </c>
      <c r="C158" s="277"/>
      <c r="D158" s="277"/>
      <c r="E158" s="277"/>
      <c r="F158" s="277"/>
      <c r="G158" s="279" t="str">
        <f t="shared" si="2"/>
        <v>🟡</v>
      </c>
      <c r="H158" s="277"/>
      <c r="I158" s="231"/>
      <c r="J158" s="231"/>
    </row>
    <row r="159" spans="1:10">
      <c r="A159" s="277" t="s">
        <v>5781</v>
      </c>
      <c r="B159" s="278" t="s">
        <v>1096</v>
      </c>
      <c r="C159" s="277"/>
      <c r="D159" s="277"/>
      <c r="E159" s="277"/>
      <c r="F159" s="277"/>
      <c r="G159" s="279" t="str">
        <f t="shared" si="2"/>
        <v>🟡</v>
      </c>
      <c r="H159" s="277"/>
      <c r="I159" s="231"/>
      <c r="J159" s="231"/>
    </row>
    <row r="160" spans="1:10">
      <c r="A160" s="277" t="s">
        <v>178</v>
      </c>
      <c r="B160" s="278" t="s">
        <v>1096</v>
      </c>
      <c r="C160" s="277"/>
      <c r="D160" s="277"/>
      <c r="E160" s="277"/>
      <c r="F160" s="277"/>
      <c r="G160" s="279" t="str">
        <f t="shared" si="2"/>
        <v>🟡</v>
      </c>
      <c r="H160" s="277"/>
      <c r="I160" s="231"/>
      <c r="J160" s="231"/>
    </row>
    <row r="161" spans="1:10" ht="26.4">
      <c r="A161" s="277" t="s">
        <v>5782</v>
      </c>
      <c r="B161" s="278" t="s">
        <v>1096</v>
      </c>
      <c r="C161" s="277"/>
      <c r="D161" s="277"/>
      <c r="E161" s="277"/>
      <c r="F161" s="277"/>
      <c r="G161" s="279" t="str">
        <f t="shared" si="2"/>
        <v>🟡</v>
      </c>
      <c r="H161" s="277"/>
      <c r="I161" s="231"/>
      <c r="J161" s="231"/>
    </row>
    <row r="162" spans="1:10">
      <c r="A162" s="324" t="s">
        <v>4946</v>
      </c>
      <c r="B162" s="324" t="s">
        <v>5790</v>
      </c>
      <c r="C162" s="196"/>
      <c r="D162" s="196"/>
      <c r="E162" s="324" t="s">
        <v>5791</v>
      </c>
      <c r="F162" s="196"/>
      <c r="G162" s="196"/>
      <c r="H162" s="196"/>
      <c r="I162" s="231"/>
      <c r="J162" s="231"/>
    </row>
    <row r="163" spans="1:10" ht="26.4">
      <c r="A163" s="291" t="s">
        <v>5777</v>
      </c>
      <c r="B163" s="768" t="s">
        <v>5792</v>
      </c>
      <c r="C163" s="768"/>
      <c r="D163" s="768"/>
      <c r="E163" s="768" t="s">
        <v>5793</v>
      </c>
      <c r="F163" s="768"/>
      <c r="G163" s="768"/>
      <c r="H163" s="196"/>
      <c r="I163" s="231"/>
      <c r="J163" s="231"/>
    </row>
    <row r="164" spans="1:10">
      <c r="A164" s="291" t="s">
        <v>5778</v>
      </c>
      <c r="B164" s="768" t="s">
        <v>5794</v>
      </c>
      <c r="C164" s="768"/>
      <c r="D164" s="768"/>
      <c r="E164" s="768" t="s">
        <v>5795</v>
      </c>
      <c r="F164" s="768"/>
      <c r="G164" s="768"/>
      <c r="H164" s="196"/>
      <c r="I164" s="231"/>
      <c r="J164" s="231"/>
    </row>
    <row r="165" spans="1:10">
      <c r="A165" s="291" t="s">
        <v>5779</v>
      </c>
      <c r="B165" s="768" t="s">
        <v>5796</v>
      </c>
      <c r="C165" s="768"/>
      <c r="D165" s="768"/>
      <c r="E165" s="768" t="s">
        <v>5797</v>
      </c>
      <c r="F165" s="768"/>
      <c r="G165" s="768"/>
      <c r="H165" s="196"/>
      <c r="I165" s="231"/>
      <c r="J165" s="231"/>
    </row>
    <row r="166" spans="1:10">
      <c r="A166" s="291" t="s">
        <v>5168</v>
      </c>
      <c r="B166" s="768" t="s">
        <v>5798</v>
      </c>
      <c r="C166" s="768"/>
      <c r="D166" s="768"/>
      <c r="E166" s="768" t="s">
        <v>5799</v>
      </c>
      <c r="F166" s="768"/>
      <c r="G166" s="768"/>
      <c r="H166" s="196"/>
      <c r="I166" s="231"/>
      <c r="J166" s="231"/>
    </row>
    <row r="167" spans="1:10">
      <c r="A167" s="291" t="s">
        <v>5780</v>
      </c>
      <c r="B167" s="768" t="s">
        <v>5800</v>
      </c>
      <c r="C167" s="768"/>
      <c r="D167" s="768"/>
      <c r="E167" s="768" t="s">
        <v>5801</v>
      </c>
      <c r="F167" s="768"/>
      <c r="G167" s="768"/>
      <c r="H167" s="196"/>
      <c r="I167" s="231"/>
      <c r="J167" s="231"/>
    </row>
    <row r="168" spans="1:10">
      <c r="A168" s="291" t="s">
        <v>5781</v>
      </c>
      <c r="B168" s="768" t="s">
        <v>5802</v>
      </c>
      <c r="C168" s="768"/>
      <c r="D168" s="768"/>
      <c r="E168" s="768" t="s">
        <v>5803</v>
      </c>
      <c r="F168" s="768"/>
      <c r="G168" s="768"/>
      <c r="H168" s="196"/>
      <c r="I168" s="231"/>
      <c r="J168" s="231"/>
    </row>
    <row r="169" spans="1:10">
      <c r="A169" s="291" t="s">
        <v>178</v>
      </c>
      <c r="B169" s="768" t="s">
        <v>5804</v>
      </c>
      <c r="C169" s="768"/>
      <c r="D169" s="768"/>
      <c r="E169" s="768" t="s">
        <v>5805</v>
      </c>
      <c r="F169" s="768"/>
      <c r="G169" s="768"/>
      <c r="H169" s="196"/>
      <c r="I169" s="231"/>
      <c r="J169" s="231"/>
    </row>
    <row r="170" spans="1:10" ht="26.4">
      <c r="A170" s="291" t="s">
        <v>5782</v>
      </c>
      <c r="B170" s="768" t="s">
        <v>5806</v>
      </c>
      <c r="C170" s="768"/>
      <c r="D170" s="768"/>
      <c r="E170" s="768" t="s">
        <v>5807</v>
      </c>
      <c r="F170" s="768"/>
      <c r="G170" s="768"/>
      <c r="H170" s="196"/>
      <c r="I170" s="231"/>
      <c r="J170" s="231"/>
    </row>
    <row r="171" spans="1:10">
      <c r="A171" s="276" t="s">
        <v>5783</v>
      </c>
      <c r="B171" s="280" t="str">
        <f>IF(COUNTIF(B154:B161,"No")=0,"🟢 PILOT COMPLETE / ACCEPTANCE READY","🟡 NOT COMPLETE — ACCEPTANCE GATES OPEN")</f>
        <v>🟡 NOT COMPLETE — ACCEPTANCE GATES OPEN</v>
      </c>
      <c r="C171" s="280"/>
      <c r="D171" s="280"/>
      <c r="E171" s="280"/>
      <c r="F171" s="280"/>
      <c r="G171" s="280"/>
      <c r="H171" s="280"/>
    </row>
    <row r="172" spans="1:10">
      <c r="A172" s="276" t="s">
        <v>5784</v>
      </c>
      <c r="B172" s="280">
        <f>COUNTIF(B154:B161,"No")</f>
        <v>8</v>
      </c>
      <c r="C172" s="280"/>
      <c r="D172" s="280"/>
      <c r="E172" s="280"/>
      <c r="F172" s="280"/>
      <c r="G172" s="280"/>
      <c r="H172" s="280"/>
    </row>
    <row r="173" spans="1:10">
      <c r="A173" s="276" t="s">
        <v>5785</v>
      </c>
      <c r="B173" s="280" t="str">
        <f>COUNTIF(B154:B161,"Yes")&amp;" / 8 Complete"</f>
        <v>0 / 8 Complete</v>
      </c>
      <c r="C173" s="280"/>
      <c r="D173" s="280"/>
      <c r="E173" s="280"/>
      <c r="F173" s="280"/>
      <c r="G173" s="280"/>
      <c r="H173" s="280"/>
    </row>
    <row r="174" spans="1:10" ht="93">
      <c r="A174" s="281" t="s">
        <v>5786</v>
      </c>
      <c r="B174" s="282" t="s">
        <v>5787</v>
      </c>
      <c r="C174" s="282"/>
      <c r="D174" s="282"/>
      <c r="E174" s="282"/>
      <c r="F174" s="282"/>
      <c r="G174" s="282"/>
      <c r="H174" s="282"/>
    </row>
    <row r="175" spans="1:10">
      <c r="A175" s="281"/>
      <c r="B175" s="282"/>
      <c r="C175" s="282"/>
      <c r="D175" s="282"/>
      <c r="E175" s="282"/>
      <c r="F175" s="282"/>
      <c r="G175" s="282"/>
      <c r="H175" s="282"/>
    </row>
    <row r="176" spans="1:10" ht="66.599999999999994">
      <c r="A176" s="281" t="s">
        <v>5788</v>
      </c>
      <c r="B176" s="282" t="s">
        <v>5789</v>
      </c>
      <c r="C176" s="282"/>
      <c r="D176" s="282"/>
      <c r="E176" s="282"/>
      <c r="F176" s="282"/>
      <c r="G176" s="282"/>
      <c r="H176" s="282"/>
    </row>
    <row r="177" spans="1:10">
      <c r="A177" s="842" t="s">
        <v>5901</v>
      </c>
      <c r="B177" s="842"/>
      <c r="C177" s="842"/>
      <c r="D177" s="842"/>
      <c r="E177" s="842"/>
      <c r="F177" s="842"/>
      <c r="G177" s="842"/>
      <c r="H177" s="842"/>
      <c r="I177" s="842"/>
      <c r="J177" s="842"/>
    </row>
    <row r="178" spans="1:10">
      <c r="A178" s="340" t="s">
        <v>5886</v>
      </c>
      <c r="B178" s="196"/>
      <c r="C178" s="196"/>
      <c r="D178" s="196"/>
      <c r="E178" s="196"/>
      <c r="F178" s="196"/>
      <c r="G178" s="196"/>
      <c r="H178" s="196"/>
      <c r="I178" s="196"/>
      <c r="J178" s="196"/>
    </row>
    <row r="179" spans="1:10">
      <c r="A179" s="196"/>
      <c r="B179" s="196"/>
      <c r="C179" s="196"/>
      <c r="D179" s="196"/>
      <c r="E179" s="196"/>
      <c r="F179" s="196"/>
      <c r="G179" s="196"/>
      <c r="H179" s="196"/>
      <c r="I179" s="196"/>
      <c r="J179" s="196"/>
    </row>
    <row r="180" spans="1:10">
      <c r="A180" s="196" t="s">
        <v>5887</v>
      </c>
      <c r="B180" s="196"/>
      <c r="C180" s="196"/>
      <c r="D180" s="196"/>
      <c r="E180" s="196"/>
      <c r="F180" s="196"/>
      <c r="G180" s="196"/>
      <c r="H180" s="196"/>
      <c r="I180" s="196"/>
      <c r="J180" s="196"/>
    </row>
    <row r="181" spans="1:10">
      <c r="A181" s="196"/>
      <c r="B181" s="196"/>
      <c r="C181" s="196"/>
      <c r="D181" s="196"/>
      <c r="E181" s="196"/>
      <c r="F181" s="196"/>
      <c r="G181" s="196"/>
      <c r="H181" s="196"/>
      <c r="I181" s="196"/>
      <c r="J181" s="196"/>
    </row>
    <row r="182" spans="1:10">
      <c r="A182" s="196" t="s">
        <v>5888</v>
      </c>
      <c r="B182" s="196"/>
      <c r="C182" s="196"/>
      <c r="D182" s="196"/>
      <c r="E182" s="196"/>
      <c r="F182" s="196"/>
      <c r="G182" s="196"/>
      <c r="H182" s="196"/>
      <c r="I182" s="196"/>
      <c r="J182" s="196"/>
    </row>
    <row r="183" spans="1:10">
      <c r="A183" s="196"/>
      <c r="B183" s="196"/>
      <c r="C183" s="196"/>
      <c r="D183" s="196"/>
      <c r="E183" s="196"/>
      <c r="F183" s="196"/>
      <c r="G183" s="196"/>
      <c r="H183" s="196"/>
      <c r="I183" s="196"/>
      <c r="J183" s="196"/>
    </row>
    <row r="184" spans="1:10">
      <c r="A184" s="196" t="s">
        <v>5889</v>
      </c>
      <c r="B184" s="196"/>
      <c r="C184" s="196"/>
      <c r="D184" s="196"/>
      <c r="E184" s="196"/>
      <c r="F184" s="196"/>
      <c r="G184" s="196"/>
      <c r="H184" s="196"/>
      <c r="I184" s="196"/>
      <c r="J184" s="196"/>
    </row>
    <row r="185" spans="1:10">
      <c r="A185" s="196"/>
      <c r="B185" s="196"/>
      <c r="C185" s="196"/>
      <c r="D185" s="196"/>
      <c r="E185" s="196"/>
      <c r="F185" s="196"/>
      <c r="G185" s="196"/>
      <c r="H185" s="196"/>
      <c r="I185" s="196"/>
      <c r="J185" s="196"/>
    </row>
    <row r="186" spans="1:10">
      <c r="A186" s="196"/>
      <c r="B186" s="196"/>
      <c r="C186" s="196"/>
      <c r="D186" s="196"/>
      <c r="E186" s="196"/>
      <c r="F186" s="196"/>
      <c r="G186" s="196"/>
      <c r="H186" s="196"/>
      <c r="I186" s="196"/>
      <c r="J186" s="196"/>
    </row>
    <row r="187" spans="1:10">
      <c r="A187" s="196"/>
      <c r="B187" s="196"/>
      <c r="C187" s="196"/>
      <c r="D187" s="196"/>
      <c r="E187" s="196"/>
      <c r="F187" s="196"/>
      <c r="G187" s="196"/>
      <c r="H187" s="196"/>
      <c r="I187" s="196"/>
      <c r="J187" s="196"/>
    </row>
    <row r="188" spans="1:10">
      <c r="A188" s="842" t="s">
        <v>5902</v>
      </c>
      <c r="B188" s="842"/>
      <c r="C188" s="842"/>
      <c r="D188" s="842"/>
      <c r="E188" s="842"/>
      <c r="F188" s="842"/>
      <c r="G188" s="842"/>
      <c r="H188" s="842"/>
      <c r="I188" s="842"/>
      <c r="J188" s="842"/>
    </row>
    <row r="189" spans="1:10">
      <c r="A189" s="196"/>
      <c r="B189" s="196"/>
      <c r="C189" s="196"/>
      <c r="D189" s="196"/>
      <c r="E189" s="196"/>
      <c r="F189" s="196"/>
      <c r="G189" s="196"/>
      <c r="H189" s="196"/>
      <c r="I189" s="196"/>
      <c r="J189" s="196"/>
    </row>
    <row r="190" spans="1:10">
      <c r="A190" s="196" t="s">
        <v>5890</v>
      </c>
      <c r="B190" s="196"/>
      <c r="C190" s="196"/>
      <c r="D190" s="196"/>
      <c r="E190" s="196"/>
      <c r="F190" s="196"/>
      <c r="G190" s="196"/>
      <c r="H190" s="196"/>
      <c r="I190" s="196"/>
      <c r="J190" s="196"/>
    </row>
    <row r="191" spans="1:10">
      <c r="A191" s="196"/>
      <c r="B191" s="196"/>
      <c r="C191" s="196"/>
      <c r="D191" s="196"/>
      <c r="E191" s="196"/>
      <c r="F191" s="196"/>
      <c r="G191" s="196"/>
      <c r="H191" s="196"/>
      <c r="I191" s="196"/>
      <c r="J191" s="196"/>
    </row>
    <row r="192" spans="1:10">
      <c r="A192" s="196" t="s">
        <v>5891</v>
      </c>
      <c r="B192" s="196"/>
      <c r="C192" s="196"/>
      <c r="D192" s="196"/>
      <c r="E192" s="196"/>
      <c r="F192" s="196"/>
      <c r="G192" s="196"/>
      <c r="H192" s="196"/>
      <c r="I192" s="196"/>
      <c r="J192" s="196"/>
    </row>
    <row r="193" spans="1:10">
      <c r="A193" s="196"/>
      <c r="B193" s="196"/>
      <c r="C193" s="196"/>
      <c r="D193" s="196"/>
      <c r="E193" s="196"/>
      <c r="F193" s="196"/>
      <c r="G193" s="196"/>
      <c r="H193" s="196"/>
      <c r="I193" s="196"/>
      <c r="J193" s="196"/>
    </row>
    <row r="194" spans="1:10">
      <c r="A194" s="196" t="s">
        <v>5892</v>
      </c>
      <c r="B194" s="196"/>
      <c r="C194" s="196"/>
      <c r="D194" s="196"/>
      <c r="E194" s="196"/>
      <c r="F194" s="196"/>
      <c r="G194" s="196"/>
      <c r="H194" s="196"/>
      <c r="I194" s="196"/>
      <c r="J194" s="196"/>
    </row>
    <row r="195" spans="1:10">
      <c r="A195" s="196"/>
      <c r="B195" s="196"/>
      <c r="C195" s="196"/>
      <c r="D195" s="196"/>
      <c r="E195" s="196"/>
      <c r="F195" s="196"/>
      <c r="G195" s="196"/>
      <c r="H195" s="196"/>
      <c r="I195" s="196"/>
      <c r="J195" s="196"/>
    </row>
    <row r="196" spans="1:10">
      <c r="A196" s="196"/>
      <c r="B196" s="196"/>
      <c r="C196" s="196"/>
      <c r="D196" s="196"/>
      <c r="E196" s="196"/>
      <c r="F196" s="196"/>
      <c r="G196" s="196"/>
      <c r="H196" s="196"/>
      <c r="I196" s="196"/>
      <c r="J196" s="196"/>
    </row>
    <row r="197" spans="1:10">
      <c r="A197" s="196"/>
      <c r="B197" s="196"/>
      <c r="C197" s="196"/>
      <c r="D197" s="196"/>
      <c r="E197" s="196"/>
      <c r="F197" s="196"/>
      <c r="G197" s="196"/>
      <c r="H197" s="196"/>
      <c r="I197" s="196"/>
      <c r="J197" s="196"/>
    </row>
    <row r="198" spans="1:10">
      <c r="A198" s="842" t="s">
        <v>5903</v>
      </c>
      <c r="B198" s="842"/>
      <c r="C198" s="842"/>
      <c r="D198" s="842"/>
      <c r="E198" s="842"/>
      <c r="F198" s="842"/>
      <c r="G198" s="842"/>
      <c r="H198" s="842"/>
      <c r="I198" s="842"/>
      <c r="J198" s="842"/>
    </row>
    <row r="199" spans="1:10">
      <c r="A199" s="196"/>
      <c r="B199" s="196"/>
      <c r="C199" s="196"/>
      <c r="D199" s="196"/>
      <c r="E199" s="196"/>
      <c r="F199" s="196"/>
      <c r="G199" s="196"/>
      <c r="H199" s="196"/>
      <c r="I199" s="196"/>
      <c r="J199" s="196"/>
    </row>
    <row r="200" spans="1:10">
      <c r="A200" s="196" t="s">
        <v>5893</v>
      </c>
      <c r="B200" s="196"/>
      <c r="C200" s="196"/>
      <c r="D200" s="196"/>
      <c r="E200" s="196"/>
      <c r="F200" s="196"/>
      <c r="G200" s="196"/>
      <c r="H200" s="196"/>
      <c r="I200" s="196"/>
      <c r="J200" s="196"/>
    </row>
    <row r="201" spans="1:10">
      <c r="A201" s="196"/>
      <c r="B201" s="196"/>
      <c r="C201" s="196"/>
      <c r="D201" s="196"/>
      <c r="E201" s="196"/>
      <c r="F201" s="196"/>
      <c r="G201" s="196"/>
      <c r="H201" s="196"/>
      <c r="I201" s="196"/>
      <c r="J201" s="196"/>
    </row>
    <row r="202" spans="1:10">
      <c r="A202" s="196" t="s">
        <v>5894</v>
      </c>
      <c r="B202" s="196"/>
      <c r="C202" s="196"/>
      <c r="D202" s="196"/>
      <c r="E202" s="196"/>
      <c r="F202" s="196"/>
      <c r="G202" s="196"/>
      <c r="H202" s="196"/>
      <c r="I202" s="196"/>
      <c r="J202" s="196"/>
    </row>
    <row r="203" spans="1:10">
      <c r="A203" s="196"/>
      <c r="B203" s="196"/>
      <c r="C203" s="196"/>
      <c r="D203" s="196"/>
      <c r="E203" s="196"/>
      <c r="F203" s="196"/>
      <c r="G203" s="196"/>
      <c r="H203" s="196"/>
      <c r="I203" s="196"/>
      <c r="J203" s="196"/>
    </row>
    <row r="204" spans="1:10">
      <c r="A204" s="196" t="s">
        <v>5895</v>
      </c>
      <c r="B204" s="196"/>
      <c r="C204" s="196"/>
      <c r="D204" s="196"/>
      <c r="E204" s="196"/>
      <c r="F204" s="196"/>
      <c r="G204" s="196"/>
      <c r="H204" s="196"/>
      <c r="I204" s="196"/>
      <c r="J204" s="196"/>
    </row>
    <row r="205" spans="1:10">
      <c r="A205" s="196"/>
      <c r="B205" s="196"/>
      <c r="C205" s="196"/>
      <c r="D205" s="196"/>
      <c r="E205" s="196"/>
      <c r="F205" s="196"/>
      <c r="G205" s="196"/>
      <c r="H205" s="196"/>
      <c r="I205" s="196"/>
      <c r="J205" s="196"/>
    </row>
    <row r="206" spans="1:10">
      <c r="A206" s="196" t="s">
        <v>5896</v>
      </c>
      <c r="B206" s="196"/>
      <c r="C206" s="196"/>
      <c r="D206" s="196"/>
      <c r="E206" s="196"/>
      <c r="F206" s="196"/>
      <c r="G206" s="196"/>
      <c r="H206" s="196"/>
      <c r="I206" s="196"/>
      <c r="J206" s="196"/>
    </row>
    <row r="207" spans="1:10">
      <c r="A207" s="196"/>
      <c r="B207" s="196"/>
      <c r="C207" s="196"/>
      <c r="D207" s="196"/>
      <c r="E207" s="196"/>
      <c r="F207" s="196"/>
      <c r="G207" s="196"/>
      <c r="H207" s="196"/>
      <c r="I207" s="196"/>
      <c r="J207" s="196"/>
    </row>
    <row r="208" spans="1:10">
      <c r="A208" s="196"/>
      <c r="B208" s="196"/>
      <c r="C208" s="196"/>
      <c r="D208" s="196"/>
      <c r="E208" s="196"/>
      <c r="F208" s="196"/>
      <c r="G208" s="196"/>
      <c r="H208" s="196"/>
      <c r="I208" s="196"/>
      <c r="J208" s="196"/>
    </row>
    <row r="209" spans="1:10">
      <c r="A209" s="196"/>
      <c r="B209" s="196"/>
      <c r="C209" s="196"/>
      <c r="D209" s="196"/>
      <c r="E209" s="196"/>
      <c r="F209" s="196"/>
      <c r="G209" s="196"/>
      <c r="H209" s="196"/>
      <c r="I209" s="196"/>
      <c r="J209" s="196"/>
    </row>
    <row r="210" spans="1:10">
      <c r="A210" s="842" t="s">
        <v>5904</v>
      </c>
      <c r="B210" s="842"/>
      <c r="C210" s="842"/>
      <c r="D210" s="842"/>
      <c r="E210" s="842"/>
      <c r="F210" s="842"/>
      <c r="G210" s="842"/>
      <c r="H210" s="842"/>
      <c r="I210" s="842"/>
      <c r="J210" s="842"/>
    </row>
    <row r="211" spans="1:10">
      <c r="A211" s="196"/>
      <c r="B211" s="196"/>
      <c r="C211" s="196"/>
      <c r="D211" s="196"/>
      <c r="E211" s="196"/>
      <c r="F211" s="196"/>
      <c r="G211" s="196"/>
      <c r="H211" s="196"/>
      <c r="I211" s="196"/>
      <c r="J211" s="196"/>
    </row>
    <row r="212" spans="1:10">
      <c r="A212" s="196" t="s">
        <v>5897</v>
      </c>
      <c r="B212" s="196"/>
      <c r="C212" s="196"/>
      <c r="D212" s="196"/>
      <c r="E212" s="196"/>
      <c r="F212" s="196"/>
      <c r="G212" s="196"/>
      <c r="H212" s="196"/>
      <c r="I212" s="196"/>
      <c r="J212" s="196"/>
    </row>
    <row r="213" spans="1:10">
      <c r="A213" s="196"/>
      <c r="B213" s="196"/>
      <c r="C213" s="196"/>
      <c r="D213" s="196"/>
      <c r="E213" s="196"/>
      <c r="F213" s="196"/>
      <c r="G213" s="196"/>
      <c r="H213" s="196"/>
      <c r="I213" s="196"/>
      <c r="J213" s="196"/>
    </row>
    <row r="214" spans="1:10">
      <c r="A214" s="196" t="s">
        <v>5898</v>
      </c>
      <c r="B214" s="196"/>
      <c r="C214" s="196"/>
      <c r="D214" s="196"/>
      <c r="E214" s="196"/>
      <c r="F214" s="196"/>
      <c r="G214" s="196"/>
      <c r="H214" s="196"/>
      <c r="I214" s="196"/>
      <c r="J214" s="196"/>
    </row>
    <row r="215" spans="1:10">
      <c r="A215" s="196"/>
      <c r="B215" s="196"/>
      <c r="C215" s="196"/>
      <c r="D215" s="196"/>
      <c r="E215" s="196"/>
      <c r="F215" s="196"/>
      <c r="G215" s="196"/>
      <c r="H215" s="196"/>
      <c r="I215" s="196"/>
      <c r="J215" s="196"/>
    </row>
    <row r="216" spans="1:10">
      <c r="A216" s="196" t="s">
        <v>5899</v>
      </c>
      <c r="B216" s="196"/>
      <c r="C216" s="196"/>
      <c r="D216" s="196"/>
      <c r="E216" s="196"/>
      <c r="F216" s="196"/>
      <c r="G216" s="196"/>
      <c r="H216" s="196"/>
      <c r="I216" s="196"/>
      <c r="J216" s="196"/>
    </row>
    <row r="217" spans="1:10">
      <c r="A217" s="196"/>
      <c r="B217" s="196"/>
      <c r="C217" s="196"/>
      <c r="D217" s="196"/>
      <c r="E217" s="196"/>
      <c r="F217" s="196"/>
      <c r="G217" s="196"/>
      <c r="H217" s="196"/>
      <c r="I217" s="196"/>
      <c r="J217" s="196"/>
    </row>
    <row r="218" spans="1:10">
      <c r="A218" s="196"/>
      <c r="B218" s="196"/>
      <c r="C218" s="196"/>
      <c r="D218" s="196"/>
      <c r="E218" s="196"/>
      <c r="F218" s="196"/>
      <c r="G218" s="196"/>
      <c r="H218" s="196"/>
      <c r="I218" s="196"/>
      <c r="J218" s="196"/>
    </row>
    <row r="219" spans="1:10">
      <c r="A219" s="196"/>
      <c r="B219" s="196"/>
      <c r="C219" s="196"/>
      <c r="D219" s="196"/>
      <c r="E219" s="196"/>
      <c r="F219" s="196"/>
      <c r="G219" s="196"/>
      <c r="H219" s="196"/>
      <c r="I219" s="196"/>
      <c r="J219" s="196"/>
    </row>
    <row r="220" spans="1:10">
      <c r="A220" s="196" t="s">
        <v>5900</v>
      </c>
      <c r="B220" s="196"/>
      <c r="C220" s="196"/>
      <c r="D220" s="196"/>
      <c r="E220" s="196"/>
      <c r="F220" s="196"/>
      <c r="G220" s="196"/>
      <c r="H220" s="196"/>
      <c r="I220" s="196"/>
      <c r="J220" s="196"/>
    </row>
    <row r="221" spans="1:10">
      <c r="A221" s="196"/>
      <c r="B221" s="196"/>
      <c r="C221" s="196"/>
      <c r="D221" s="196"/>
      <c r="E221" s="196"/>
      <c r="F221" s="196"/>
      <c r="G221" s="196"/>
      <c r="H221" s="196"/>
      <c r="I221" s="196"/>
      <c r="J221" s="196"/>
    </row>
    <row r="222" spans="1:10">
      <c r="A222" s="341"/>
      <c r="B222" s="341"/>
      <c r="C222" s="341"/>
      <c r="D222" s="341"/>
      <c r="E222" s="341"/>
      <c r="F222" s="341"/>
      <c r="G222" s="341"/>
      <c r="H222" s="341"/>
      <c r="I222" s="341"/>
      <c r="J222" s="341"/>
    </row>
    <row r="223" spans="1:10">
      <c r="A223" s="341"/>
      <c r="B223" s="341"/>
      <c r="C223" s="341"/>
      <c r="D223" s="341"/>
      <c r="E223" s="341"/>
      <c r="F223" s="341"/>
      <c r="G223" s="341"/>
      <c r="H223" s="341"/>
      <c r="I223" s="341"/>
      <c r="J223" s="341"/>
    </row>
    <row r="224" spans="1:10">
      <c r="A224" s="341"/>
      <c r="B224" s="341"/>
      <c r="C224" s="341"/>
      <c r="D224" s="341"/>
      <c r="E224" s="341"/>
      <c r="F224" s="341"/>
      <c r="G224" s="341"/>
      <c r="H224" s="341"/>
      <c r="I224" s="341"/>
      <c r="J224" s="341"/>
    </row>
    <row r="225" spans="1:10">
      <c r="A225" s="341"/>
      <c r="B225" s="341"/>
      <c r="C225" s="341"/>
      <c r="D225" s="341"/>
      <c r="E225" s="341"/>
      <c r="F225" s="341"/>
      <c r="G225" s="341"/>
      <c r="H225" s="341"/>
      <c r="I225" s="341"/>
      <c r="J225" s="341"/>
    </row>
    <row r="226" spans="1:10">
      <c r="A226" s="341"/>
      <c r="B226" s="341"/>
      <c r="C226" s="341"/>
      <c r="D226" s="341"/>
      <c r="E226" s="341"/>
      <c r="F226" s="341"/>
      <c r="G226" s="341"/>
      <c r="H226" s="341"/>
      <c r="I226" s="341"/>
      <c r="J226" s="341"/>
    </row>
    <row r="227" spans="1:10">
      <c r="A227" s="341"/>
      <c r="B227" s="341"/>
      <c r="C227" s="341"/>
      <c r="D227" s="341"/>
      <c r="E227" s="341"/>
      <c r="F227" s="341"/>
      <c r="G227" s="341"/>
      <c r="H227" s="341"/>
      <c r="I227" s="341"/>
      <c r="J227" s="341"/>
    </row>
    <row r="228" spans="1:10">
      <c r="A228" s="341"/>
      <c r="B228" s="341"/>
      <c r="C228" s="341"/>
      <c r="D228" s="341"/>
      <c r="E228" s="341"/>
      <c r="F228" s="341"/>
      <c r="G228" s="341"/>
      <c r="H228" s="341"/>
      <c r="I228" s="341"/>
      <c r="J228" s="341"/>
    </row>
    <row r="229" spans="1:10">
      <c r="A229" s="341"/>
      <c r="B229" s="341"/>
      <c r="C229" s="341"/>
      <c r="D229" s="341"/>
      <c r="E229" s="341"/>
      <c r="F229" s="341"/>
      <c r="G229" s="341"/>
      <c r="H229" s="341"/>
      <c r="I229" s="341"/>
      <c r="J229" s="341"/>
    </row>
    <row r="230" spans="1:10">
      <c r="A230" s="341"/>
      <c r="B230" s="341"/>
      <c r="C230" s="341"/>
      <c r="D230" s="341"/>
      <c r="E230" s="341"/>
      <c r="F230" s="341"/>
      <c r="G230" s="341"/>
      <c r="H230" s="341"/>
      <c r="I230" s="341"/>
      <c r="J230" s="341"/>
    </row>
    <row r="231" spans="1:10">
      <c r="A231" s="196"/>
      <c r="B231" s="196"/>
      <c r="C231" s="196"/>
      <c r="D231" s="196"/>
      <c r="E231" s="196"/>
      <c r="F231" s="196"/>
      <c r="G231" s="196"/>
      <c r="H231" s="196"/>
      <c r="I231" s="196"/>
      <c r="J231" s="196"/>
    </row>
    <row r="232" spans="1:10">
      <c r="A232" s="320"/>
      <c r="B232" s="320"/>
      <c r="C232" s="320"/>
      <c r="D232" s="320"/>
      <c r="E232" s="320"/>
      <c r="F232" s="320"/>
      <c r="G232" s="874"/>
      <c r="H232" s="874"/>
      <c r="I232" s="874"/>
      <c r="J232" s="874"/>
    </row>
  </sheetData>
  <mergeCells count="121">
    <mergeCell ref="A1:J1"/>
    <mergeCell ref="A13:C13"/>
    <mergeCell ref="B89:J89"/>
    <mergeCell ref="B85:J85"/>
    <mergeCell ref="D6:J6"/>
    <mergeCell ref="A65:C65"/>
    <mergeCell ref="A54:C54"/>
    <mergeCell ref="B86:J86"/>
    <mergeCell ref="A8:C8"/>
    <mergeCell ref="B84:J84"/>
    <mergeCell ref="B83:J83"/>
    <mergeCell ref="A43:C43"/>
    <mergeCell ref="A81:C81"/>
    <mergeCell ref="A38:C38"/>
    <mergeCell ref="A28:C28"/>
    <mergeCell ref="A18:C18"/>
    <mergeCell ref="B88:J88"/>
    <mergeCell ref="B87:J87"/>
    <mergeCell ref="A33:C33"/>
    <mergeCell ref="A76:C76"/>
    <mergeCell ref="A23:C23"/>
    <mergeCell ref="G94:J94"/>
    <mergeCell ref="G96:J96"/>
    <mergeCell ref="A98:B98"/>
    <mergeCell ref="E98:J98"/>
    <mergeCell ref="A100:C100"/>
    <mergeCell ref="D100:F100"/>
    <mergeCell ref="G100:J100"/>
    <mergeCell ref="A91:C91"/>
    <mergeCell ref="D91:F91"/>
    <mergeCell ref="G91:J91"/>
    <mergeCell ref="G92:J92"/>
    <mergeCell ref="G93:J93"/>
    <mergeCell ref="F106:J106"/>
    <mergeCell ref="F107:J107"/>
    <mergeCell ref="F108:J108"/>
    <mergeCell ref="F109:J109"/>
    <mergeCell ref="A110:B110"/>
    <mergeCell ref="C110:D110"/>
    <mergeCell ref="E110:J110"/>
    <mergeCell ref="G101:J101"/>
    <mergeCell ref="F102:J102"/>
    <mergeCell ref="F103:J103"/>
    <mergeCell ref="F104:J104"/>
    <mergeCell ref="F105:J105"/>
    <mergeCell ref="G115:J115"/>
    <mergeCell ref="G116:J116"/>
    <mergeCell ref="G117:J117"/>
    <mergeCell ref="G118:J118"/>
    <mergeCell ref="A119:B119"/>
    <mergeCell ref="C119:D119"/>
    <mergeCell ref="E119:J119"/>
    <mergeCell ref="A112:C112"/>
    <mergeCell ref="D112:F112"/>
    <mergeCell ref="G112:J112"/>
    <mergeCell ref="G113:J113"/>
    <mergeCell ref="G114:J114"/>
    <mergeCell ref="G123:J123"/>
    <mergeCell ref="G124:J124"/>
    <mergeCell ref="G125:J125"/>
    <mergeCell ref="G126:J126"/>
    <mergeCell ref="A127:D128"/>
    <mergeCell ref="E127:J128"/>
    <mergeCell ref="G120:J120"/>
    <mergeCell ref="A121:C121"/>
    <mergeCell ref="D121:F121"/>
    <mergeCell ref="G121:J121"/>
    <mergeCell ref="G122:J122"/>
    <mergeCell ref="G132:J132"/>
    <mergeCell ref="G133:J133"/>
    <mergeCell ref="G134:J134"/>
    <mergeCell ref="G135:J135"/>
    <mergeCell ref="G136:J136"/>
    <mergeCell ref="A129:C129"/>
    <mergeCell ref="D129:F129"/>
    <mergeCell ref="G129:J129"/>
    <mergeCell ref="G130:J130"/>
    <mergeCell ref="G131:J131"/>
    <mergeCell ref="B142:J142"/>
    <mergeCell ref="B143:J143"/>
    <mergeCell ref="B144:J144"/>
    <mergeCell ref="B145:J145"/>
    <mergeCell ref="B146:J146"/>
    <mergeCell ref="A137:B137"/>
    <mergeCell ref="C137:D137"/>
    <mergeCell ref="E137:J137"/>
    <mergeCell ref="A139:C139"/>
    <mergeCell ref="B141:J141"/>
    <mergeCell ref="B164:D164"/>
    <mergeCell ref="E164:G164"/>
    <mergeCell ref="B165:D165"/>
    <mergeCell ref="E165:G165"/>
    <mergeCell ref="B166:D166"/>
    <mergeCell ref="E166:G166"/>
    <mergeCell ref="B147:J147"/>
    <mergeCell ref="A149:H149"/>
    <mergeCell ref="B150:H150"/>
    <mergeCell ref="B151:H151"/>
    <mergeCell ref="B163:D163"/>
    <mergeCell ref="E163:G163"/>
    <mergeCell ref="B170:D170"/>
    <mergeCell ref="E170:G170"/>
    <mergeCell ref="A177:C177"/>
    <mergeCell ref="D177:F177"/>
    <mergeCell ref="G177:J177"/>
    <mergeCell ref="B167:D167"/>
    <mergeCell ref="E167:G167"/>
    <mergeCell ref="B168:D168"/>
    <mergeCell ref="E168:G168"/>
    <mergeCell ref="B169:D169"/>
    <mergeCell ref="E169:G169"/>
    <mergeCell ref="A210:C210"/>
    <mergeCell ref="D210:F210"/>
    <mergeCell ref="G210:J210"/>
    <mergeCell ref="G232:J232"/>
    <mergeCell ref="A188:C188"/>
    <mergeCell ref="D188:F188"/>
    <mergeCell ref="G188:J188"/>
    <mergeCell ref="A198:C198"/>
    <mergeCell ref="D198:F198"/>
    <mergeCell ref="G198:J198"/>
  </mergeCells>
  <conditionalFormatting sqref="B93:B97">
    <cfRule type="expression" dxfId="247" priority="21">
      <formula>B93="Complete"</formula>
    </cfRule>
    <cfRule type="expression" dxfId="246" priority="22">
      <formula>B93="In Progress"</formula>
    </cfRule>
    <cfRule type="expression" dxfId="245" priority="23">
      <formula>B93="At Risk"</formula>
    </cfRule>
    <cfRule type="expression" dxfId="244" priority="24">
      <formula>B93="Blocked"</formula>
    </cfRule>
    <cfRule type="expression" dxfId="243" priority="25">
      <formula>B93="Not Started"</formula>
    </cfRule>
  </conditionalFormatting>
  <conditionalFormatting sqref="B102:B109">
    <cfRule type="expression" dxfId="242" priority="1">
      <formula>B102="Complete"</formula>
    </cfRule>
    <cfRule type="expression" dxfId="241" priority="2">
      <formula>B102="In Progress"</formula>
    </cfRule>
    <cfRule type="expression" dxfId="240" priority="3">
      <formula>B102="At Risk"</formula>
    </cfRule>
    <cfRule type="expression" dxfId="239" priority="4">
      <formula>B102="Blocked"</formula>
    </cfRule>
    <cfRule type="expression" dxfId="238" priority="5">
      <formula>B102="Not Started"</formula>
    </cfRule>
  </conditionalFormatting>
  <conditionalFormatting sqref="B114:B118">
    <cfRule type="expression" dxfId="237" priority="26">
      <formula>B114="Complete"</formula>
    </cfRule>
    <cfRule type="expression" dxfId="236" priority="27">
      <formula>B114="In Progress"</formula>
    </cfRule>
    <cfRule type="expression" dxfId="235" priority="28">
      <formula>B114="At Risk"</formula>
    </cfRule>
    <cfRule type="expression" dxfId="234" priority="29">
      <formula>B114="Blocked"</formula>
    </cfRule>
    <cfRule type="expression" dxfId="233" priority="30">
      <formula>B114="Not Started"</formula>
    </cfRule>
  </conditionalFormatting>
  <conditionalFormatting sqref="B123:B126">
    <cfRule type="expression" dxfId="232" priority="6">
      <formula>B123="Complete"</formula>
    </cfRule>
    <cfRule type="expression" dxfId="231" priority="7">
      <formula>B123="In Progress"</formula>
    </cfRule>
    <cfRule type="expression" dxfId="230" priority="8">
      <formula>B123="At Risk"</formula>
    </cfRule>
    <cfRule type="expression" dxfId="229" priority="9">
      <formula>B123="Blocked"</formula>
    </cfRule>
    <cfRule type="expression" dxfId="228" priority="10">
      <formula>B123="Not Started"</formula>
    </cfRule>
  </conditionalFormatting>
  <conditionalFormatting sqref="B131:B136">
    <cfRule type="expression" dxfId="227" priority="11">
      <formula>B131="Complete"</formula>
    </cfRule>
    <cfRule type="expression" dxfId="226" priority="12">
      <formula>B131="In Progress"</formula>
    </cfRule>
    <cfRule type="expression" dxfId="225" priority="13">
      <formula>B131="At Risk"</formula>
    </cfRule>
    <cfRule type="expression" dxfId="224" priority="14">
      <formula>B131="Blocked"</formula>
    </cfRule>
    <cfRule type="expression" dxfId="223" priority="15">
      <formula>B131="Not Started"</formula>
    </cfRule>
  </conditionalFormatting>
  <conditionalFormatting sqref="B154:B161">
    <cfRule type="expression" dxfId="222" priority="82">
      <formula>B154="Yes"</formula>
    </cfRule>
    <cfRule type="expression" dxfId="221" priority="83">
      <formula>B154="N/A"</formula>
    </cfRule>
    <cfRule type="expression" dxfId="220" priority="84">
      <formula>B154="No"</formula>
    </cfRule>
  </conditionalFormatting>
  <conditionalFormatting sqref="B171:H171">
    <cfRule type="expression" dxfId="219" priority="85">
      <formula>COUNTIF($B$6:$B$13,"No")=0</formula>
    </cfRule>
    <cfRule type="expression" dxfId="218" priority="86">
      <formula>COUNTIF($B$6:$B$13,"No")&gt;0</formula>
    </cfRule>
  </conditionalFormatting>
  <conditionalFormatting sqref="C98:D98">
    <cfRule type="dataBar" priority="37">
      <dataBar>
        <cfvo type="num" val="0"/>
        <cfvo type="num" val="1"/>
        <color rgb="FF5B9BD5"/>
      </dataBar>
    </cfRule>
  </conditionalFormatting>
  <conditionalFormatting sqref="C102:D109">
    <cfRule type="expression" dxfId="217" priority="31">
      <formula>C102="Yes"</formula>
    </cfRule>
    <cfRule type="expression" dxfId="216" priority="32">
      <formula>C102="No"</formula>
    </cfRule>
    <cfRule type="expression" dxfId="215" priority="33">
      <formula>C102="N/A"</formula>
    </cfRule>
  </conditionalFormatting>
  <conditionalFormatting sqref="C110:D110">
    <cfRule type="dataBar" priority="38">
      <dataBar>
        <cfvo type="num" val="0"/>
        <cfvo type="num" val="1"/>
        <color rgb="FF5B9BD5"/>
      </dataBar>
    </cfRule>
  </conditionalFormatting>
  <conditionalFormatting sqref="C119:D119">
    <cfRule type="dataBar" priority="39">
      <dataBar>
        <cfvo type="num" val="0"/>
        <cfvo type="num" val="1"/>
        <color rgb="FF5B9BD5"/>
      </dataBar>
    </cfRule>
  </conditionalFormatting>
  <conditionalFormatting sqref="C131:D136">
    <cfRule type="expression" dxfId="214" priority="16">
      <formula>C131="Yes"</formula>
    </cfRule>
    <cfRule type="expression" dxfId="213" priority="17">
      <formula>C131="No"</formula>
    </cfRule>
    <cfRule type="expression" dxfId="212" priority="18">
      <formula>C131="N/A"</formula>
    </cfRule>
  </conditionalFormatting>
  <conditionalFormatting sqref="C137:D137">
    <cfRule type="dataBar" priority="20">
      <dataBar>
        <cfvo type="num" val="0"/>
        <cfvo type="num" val="1"/>
        <color rgb="FF5B9BD5"/>
      </dataBar>
    </cfRule>
  </conditionalFormatting>
  <conditionalFormatting sqref="E5 G5 I5">
    <cfRule type="expression" dxfId="211" priority="87">
      <formula>E5="Pass"</formula>
    </cfRule>
    <cfRule type="expression" dxfId="210" priority="88">
      <formula>E5="Verify"</formula>
    </cfRule>
    <cfRule type="expression" dxfId="209" priority="89">
      <formula>E5="Fail"</formula>
    </cfRule>
    <cfRule type="expression" dxfId="208" priority="90">
      <formula>E5="Not Started"</formula>
    </cfRule>
  </conditionalFormatting>
  <conditionalFormatting sqref="F3">
    <cfRule type="expression" dxfId="207" priority="91">
      <formula>F3="Yes"</formula>
    </cfRule>
    <cfRule type="expression" dxfId="206" priority="92">
      <formula>F3="No"</formula>
    </cfRule>
  </conditionalFormatting>
  <conditionalFormatting sqref="F114:F118">
    <cfRule type="expression" dxfId="205" priority="34">
      <formula>F114="Pass"</formula>
    </cfRule>
    <cfRule type="expression" dxfId="204" priority="35">
      <formula>F114="Fail"</formula>
    </cfRule>
    <cfRule type="expression" dxfId="203" priority="36">
      <formula>F114="Pending"</formula>
    </cfRule>
  </conditionalFormatting>
  <conditionalFormatting sqref="F123:F126">
    <cfRule type="dataBar" priority="19">
      <dataBar>
        <cfvo type="num" val="0"/>
        <cfvo type="num" val="1"/>
        <color rgb="FF5B9BD5"/>
      </dataBar>
    </cfRule>
  </conditionalFormatting>
  <dataValidations count="5">
    <dataValidation type="list" sqref="B5:B6 D5 F5 H5 H10:H16 H139:I140 H84:I89 I16 J5 H142:I147 D56:D63 H17:I82" xr:uid="{00000000-0002-0000-3D00-000000000000}">
      <formula1>"Not Started,Verify,Pass,Fail,N/A,Open,Closed,Partial / Yellow"</formula1>
      <formula2>0</formula2>
    </dataValidation>
    <dataValidation type="list" sqref="B154:B161" xr:uid="{0BF65A3A-910E-4ACF-B3F7-041A2C885D4E}">
      <formula1>"No,Yes,N/A"</formula1>
    </dataValidation>
    <dataValidation type="list" allowBlank="1" sqref="B123:B126 B114:B118" xr:uid="{2F66B1D3-F0B7-465E-9BA2-B738319E1B47}">
      <formula1>"Not Started,In Progress,Complete,At Risk,Blocked"</formula1>
    </dataValidation>
    <dataValidation type="list" allowBlank="1" sqref="C102:D109 C131:D136" xr:uid="{329676AF-A496-4A8B-A261-C50644B8707E}">
      <formula1>"Yes,No,N/A"</formula1>
    </dataValidation>
    <dataValidation type="list" allowBlank="1" sqref="F114:F118" xr:uid="{920C2F31-72ED-4601-8950-17A488CD6DD3}">
      <formula1>"Pending,Pass,Fail,N/A"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40724059-4AA7-4CC1-A0C3-232A42C41E10}">
          <x14:formula1>
            <xm:f>Lookup_Lists!$A$36:$A$42</xm:f>
          </x14:formula1>
          <xm:sqref>B93:B97 B102:B109 B131:B136</xm:sqref>
        </x14:dataValidation>
        <x14:dataValidation type="list" allowBlank="1" showInputMessage="1" showErrorMessage="1" xr:uid="{13E6E4F1-4C92-4676-88C0-52EDD9C65731}">
          <x14:formula1>
            <xm:f>Lookup_Lists!$L$37:$L$39</xm:f>
          </x14:formula1>
          <xm:sqref>C114:E118 J2</xm:sqref>
        </x14:dataValidation>
      </x14:dataValidations>
    </ext>
  </extLst>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7D39C-4132-41CF-9D0C-B8774CE3D155}">
  <dimension ref="A1:J232"/>
  <sheetViews>
    <sheetView topLeftCell="A35" workbookViewId="0">
      <selection activeCell="D4" sqref="D4"/>
    </sheetView>
  </sheetViews>
  <sheetFormatPr defaultColWidth="8.6640625" defaultRowHeight="14.4"/>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6640625" style="8" customWidth="1"/>
    <col min="13" max="16384" width="8.6640625" style="8"/>
  </cols>
  <sheetData>
    <row r="1" spans="1:10" ht="108">
      <c r="A1" s="116" t="s">
        <v>3791</v>
      </c>
      <c r="B1" s="116"/>
      <c r="C1" s="116"/>
      <c r="D1" s="116"/>
      <c r="E1" s="116"/>
      <c r="F1" s="116"/>
      <c r="G1" s="116"/>
      <c r="H1" s="116"/>
      <c r="I1" s="116"/>
      <c r="J1" s="116"/>
    </row>
    <row r="2" spans="1:10" s="227" customFormat="1" ht="16.95" customHeight="1">
      <c r="A2" s="223" t="s">
        <v>142</v>
      </c>
      <c r="B2" s="224" t="s">
        <v>388</v>
      </c>
      <c r="C2" s="223" t="s">
        <v>902</v>
      </c>
      <c r="D2" s="224" t="s">
        <v>1094</v>
      </c>
      <c r="E2" s="223" t="s">
        <v>151</v>
      </c>
      <c r="F2" s="224" t="s">
        <v>1095</v>
      </c>
      <c r="G2" s="223" t="s">
        <v>174</v>
      </c>
      <c r="H2" s="225">
        <v>0.5</v>
      </c>
      <c r="I2" s="223" t="s">
        <v>154</v>
      </c>
      <c r="J2" s="226" t="s">
        <v>1096</v>
      </c>
    </row>
    <row r="3" spans="1:10" s="231" customFormat="1" ht="16.95" customHeight="1">
      <c r="A3" s="223" t="s">
        <v>903</v>
      </c>
      <c r="B3" s="228">
        <v>46199.459450497678</v>
      </c>
      <c r="C3" s="229" t="s">
        <v>904</v>
      </c>
      <c r="D3" s="230" t="s">
        <v>721</v>
      </c>
      <c r="E3" s="223" t="s">
        <v>905</v>
      </c>
      <c r="F3" s="230" t="s">
        <v>3792</v>
      </c>
      <c r="G3" s="223" t="s">
        <v>907</v>
      </c>
      <c r="H3" s="230" t="s">
        <v>908</v>
      </c>
      <c r="I3" s="223" t="s">
        <v>551</v>
      </c>
      <c r="J3" s="230" t="s">
        <v>3793</v>
      </c>
    </row>
    <row r="4" spans="1:10" s="231" customFormat="1" ht="266.39999999999998" customHeight="1">
      <c r="A4" s="223" t="s">
        <v>161</v>
      </c>
      <c r="B4" s="230">
        <v>0</v>
      </c>
      <c r="C4" s="223" t="s">
        <v>199</v>
      </c>
      <c r="D4" s="230">
        <v>0</v>
      </c>
      <c r="E4" s="223" t="s">
        <v>179</v>
      </c>
      <c r="F4" s="230">
        <v>0</v>
      </c>
      <c r="G4" s="223" t="s">
        <v>870</v>
      </c>
      <c r="H4" s="232" t="s">
        <v>3794</v>
      </c>
      <c r="I4" s="233"/>
      <c r="J4" s="233"/>
    </row>
    <row r="5" spans="1:10" s="231" customFormat="1">
      <c r="A5" s="234" t="s">
        <v>911</v>
      </c>
      <c r="B5" s="225" t="s">
        <v>677</v>
      </c>
      <c r="C5" s="235" t="s">
        <v>912</v>
      </c>
      <c r="D5" s="225" t="s">
        <v>677</v>
      </c>
      <c r="E5" s="236" t="s">
        <v>913</v>
      </c>
      <c r="F5" s="225" t="s">
        <v>677</v>
      </c>
      <c r="G5" s="237" t="s">
        <v>914</v>
      </c>
      <c r="H5" s="225" t="s">
        <v>2761</v>
      </c>
      <c r="I5" s="237" t="s">
        <v>915</v>
      </c>
      <c r="J5" s="225" t="s">
        <v>947</v>
      </c>
    </row>
    <row r="6" spans="1:10" s="231" customFormat="1" ht="33" customHeight="1">
      <c r="A6" s="238" t="s">
        <v>916</v>
      </c>
      <c r="B6" s="386" t="s">
        <v>2760</v>
      </c>
      <c r="C6" s="239" t="s">
        <v>869</v>
      </c>
      <c r="D6" s="854" t="s">
        <v>3795</v>
      </c>
      <c r="E6" s="853"/>
      <c r="F6" s="853"/>
      <c r="G6" s="853"/>
      <c r="H6" s="853"/>
      <c r="I6" s="853"/>
      <c r="J6" s="853"/>
    </row>
    <row r="7" spans="1:10">
      <c r="A7" s="13"/>
      <c r="B7" s="13"/>
      <c r="C7" s="13"/>
      <c r="D7" s="13"/>
      <c r="E7" s="13"/>
      <c r="F7" s="13"/>
      <c r="G7" s="13"/>
      <c r="H7" s="13"/>
      <c r="I7" s="13"/>
      <c r="J7" s="13"/>
    </row>
    <row r="8" spans="1:10">
      <c r="A8" s="842" t="s">
        <v>918</v>
      </c>
      <c r="B8" s="839"/>
      <c r="C8" s="839"/>
      <c r="D8" s="85"/>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96.6">
      <c r="A10" s="13" t="s">
        <v>388</v>
      </c>
      <c r="B10" s="13" t="s">
        <v>714</v>
      </c>
      <c r="C10" s="13" t="s">
        <v>919</v>
      </c>
      <c r="D10" s="13" t="s">
        <v>3796</v>
      </c>
      <c r="E10" s="13" t="s">
        <v>2764</v>
      </c>
      <c r="F10" s="13">
        <v>1</v>
      </c>
      <c r="G10" s="13">
        <v>0</v>
      </c>
      <c r="H10" s="13" t="s">
        <v>677</v>
      </c>
      <c r="I10" s="13" t="s">
        <v>3797</v>
      </c>
      <c r="J10" s="13" t="s">
        <v>3798</v>
      </c>
    </row>
    <row r="11" spans="1:10" ht="82.8">
      <c r="A11" s="13" t="s">
        <v>388</v>
      </c>
      <c r="B11" s="13" t="s">
        <v>3799</v>
      </c>
      <c r="C11" s="13" t="s">
        <v>919</v>
      </c>
      <c r="D11" s="13" t="s">
        <v>3800</v>
      </c>
      <c r="E11" s="13" t="s">
        <v>925</v>
      </c>
      <c r="F11" s="13">
        <v>1</v>
      </c>
      <c r="G11" s="13">
        <v>0</v>
      </c>
      <c r="H11" s="13" t="s">
        <v>677</v>
      </c>
      <c r="I11" s="13" t="s">
        <v>3801</v>
      </c>
      <c r="J11" s="13" t="s">
        <v>3802</v>
      </c>
    </row>
    <row r="12" spans="1:10">
      <c r="A12" s="13"/>
      <c r="B12" s="13"/>
      <c r="C12" s="13"/>
      <c r="D12" s="13"/>
      <c r="E12" s="13"/>
      <c r="F12" s="13"/>
      <c r="G12" s="13"/>
      <c r="H12" s="13"/>
      <c r="I12" s="13"/>
      <c r="J12" s="13"/>
    </row>
    <row r="13" spans="1:10">
      <c r="A13" s="842" t="s">
        <v>936</v>
      </c>
      <c r="B13" s="839"/>
      <c r="C13" s="839"/>
      <c r="D13" s="85"/>
      <c r="E13" s="85"/>
      <c r="F13" s="85"/>
      <c r="G13" s="85"/>
      <c r="H13" s="85"/>
      <c r="I13" s="85"/>
      <c r="J13" s="85"/>
    </row>
    <row r="14" spans="1:10">
      <c r="A14" s="50" t="s">
        <v>275</v>
      </c>
      <c r="B14" s="50" t="s">
        <v>937</v>
      </c>
      <c r="C14" s="50" t="s">
        <v>938</v>
      </c>
      <c r="D14" s="50" t="s">
        <v>939</v>
      </c>
      <c r="E14" s="50" t="s">
        <v>940</v>
      </c>
      <c r="F14" s="50" t="s">
        <v>941</v>
      </c>
      <c r="G14" s="50" t="s">
        <v>942</v>
      </c>
      <c r="H14" s="50" t="s">
        <v>943</v>
      </c>
      <c r="I14" s="50" t="s">
        <v>899</v>
      </c>
      <c r="J14" s="50" t="s">
        <v>944</v>
      </c>
    </row>
    <row r="15" spans="1:10" ht="96.6">
      <c r="A15" s="13" t="s">
        <v>714</v>
      </c>
      <c r="B15" s="13" t="s">
        <v>677</v>
      </c>
      <c r="C15" s="13" t="s">
        <v>677</v>
      </c>
      <c r="D15" s="13" t="s">
        <v>3803</v>
      </c>
      <c r="E15" s="13" t="s">
        <v>677</v>
      </c>
      <c r="F15" s="13" t="s">
        <v>947</v>
      </c>
      <c r="G15" s="13" t="s">
        <v>677</v>
      </c>
      <c r="H15" s="13" t="s">
        <v>677</v>
      </c>
      <c r="I15" s="13" t="s">
        <v>677</v>
      </c>
      <c r="J15" s="13" t="s">
        <v>3804</v>
      </c>
    </row>
    <row r="16" spans="1:10" ht="55.2">
      <c r="A16" s="13" t="s">
        <v>3799</v>
      </c>
      <c r="B16" s="13" t="s">
        <v>946</v>
      </c>
      <c r="C16" s="13" t="s">
        <v>946</v>
      </c>
      <c r="D16" s="13" t="s">
        <v>946</v>
      </c>
      <c r="E16" s="13" t="s">
        <v>677</v>
      </c>
      <c r="F16" s="13" t="s">
        <v>947</v>
      </c>
      <c r="G16" s="13" t="s">
        <v>677</v>
      </c>
      <c r="H16" s="13" t="s">
        <v>677</v>
      </c>
      <c r="I16" s="13" t="s">
        <v>677</v>
      </c>
      <c r="J16" s="13" t="s">
        <v>3805</v>
      </c>
    </row>
    <row r="17" spans="1:10">
      <c r="A17" s="13"/>
      <c r="B17" s="13"/>
      <c r="C17" s="13"/>
      <c r="D17" s="13"/>
      <c r="E17" s="13"/>
      <c r="F17" s="13"/>
      <c r="G17" s="13"/>
      <c r="H17" s="13"/>
      <c r="I17" s="13"/>
      <c r="J17" s="13"/>
    </row>
    <row r="18" spans="1:10">
      <c r="A18" s="842" t="s">
        <v>951</v>
      </c>
      <c r="B18" s="839"/>
      <c r="C18" s="839"/>
      <c r="D18" s="85"/>
      <c r="E18" s="85"/>
      <c r="F18" s="85"/>
      <c r="G18" s="85"/>
      <c r="H18" s="85"/>
      <c r="I18" s="85"/>
      <c r="J18" s="85"/>
    </row>
    <row r="19" spans="1:10">
      <c r="A19" s="50" t="s">
        <v>275</v>
      </c>
      <c r="B19" s="50" t="s">
        <v>952</v>
      </c>
      <c r="C19" s="50" t="s">
        <v>953</v>
      </c>
      <c r="D19" s="50" t="s">
        <v>954</v>
      </c>
      <c r="E19" s="50" t="s">
        <v>955</v>
      </c>
      <c r="F19" s="50" t="s">
        <v>956</v>
      </c>
      <c r="G19" s="50" t="s">
        <v>957</v>
      </c>
      <c r="H19" s="50" t="s">
        <v>958</v>
      </c>
      <c r="I19" s="50" t="s">
        <v>899</v>
      </c>
      <c r="J19" s="50" t="s">
        <v>959</v>
      </c>
    </row>
    <row r="20" spans="1:10" ht="82.8">
      <c r="A20" s="13" t="s">
        <v>714</v>
      </c>
      <c r="B20" s="13" t="s">
        <v>2774</v>
      </c>
      <c r="C20" s="13" t="s">
        <v>679</v>
      </c>
      <c r="D20" s="13" t="s">
        <v>947</v>
      </c>
      <c r="E20" s="13" t="s">
        <v>947</v>
      </c>
      <c r="F20" s="13" t="s">
        <v>1238</v>
      </c>
      <c r="G20" s="13" t="s">
        <v>677</v>
      </c>
      <c r="H20" s="13" t="s">
        <v>677</v>
      </c>
      <c r="I20" s="13" t="s">
        <v>677</v>
      </c>
      <c r="J20" s="13" t="s">
        <v>3806</v>
      </c>
    </row>
    <row r="21" spans="1:10" ht="41.4">
      <c r="A21" s="13" t="s">
        <v>3799</v>
      </c>
      <c r="B21" s="13" t="s">
        <v>946</v>
      </c>
      <c r="C21" s="13" t="s">
        <v>679</v>
      </c>
      <c r="D21" s="13" t="s">
        <v>947</v>
      </c>
      <c r="E21" s="13" t="s">
        <v>947</v>
      </c>
      <c r="F21" s="13" t="s">
        <v>1238</v>
      </c>
      <c r="G21" s="13" t="s">
        <v>677</v>
      </c>
      <c r="H21" s="13" t="s">
        <v>677</v>
      </c>
      <c r="I21" s="13" t="s">
        <v>677</v>
      </c>
      <c r="J21" s="13" t="s">
        <v>3807</v>
      </c>
    </row>
    <row r="22" spans="1:10">
      <c r="A22" s="13"/>
      <c r="B22" s="13"/>
      <c r="C22" s="13"/>
      <c r="D22" s="13"/>
      <c r="E22" s="13"/>
      <c r="F22" s="13"/>
      <c r="G22" s="13"/>
      <c r="H22" s="13"/>
      <c r="I22" s="13"/>
      <c r="J22" s="13"/>
    </row>
    <row r="23" spans="1:10">
      <c r="A23" s="842" t="s">
        <v>964</v>
      </c>
      <c r="B23" s="839"/>
      <c r="C23" s="839"/>
      <c r="D23" s="85"/>
      <c r="E23" s="85"/>
      <c r="F23" s="85"/>
      <c r="G23" s="85"/>
      <c r="H23" s="85"/>
      <c r="I23" s="85"/>
      <c r="J23" s="85"/>
    </row>
    <row r="24" spans="1:10">
      <c r="A24" s="50" t="s">
        <v>275</v>
      </c>
      <c r="B24" s="50" t="s">
        <v>965</v>
      </c>
      <c r="C24" s="50" t="s">
        <v>966</v>
      </c>
      <c r="D24" s="50" t="s">
        <v>967</v>
      </c>
      <c r="E24" s="50" t="s">
        <v>968</v>
      </c>
      <c r="F24" s="50" t="s">
        <v>969</v>
      </c>
      <c r="G24" s="50" t="s">
        <v>970</v>
      </c>
      <c r="H24" s="50" t="s">
        <v>971</v>
      </c>
      <c r="I24" s="50" t="s">
        <v>899</v>
      </c>
      <c r="J24" s="50" t="s">
        <v>959</v>
      </c>
    </row>
    <row r="25" spans="1:10" ht="124.2">
      <c r="A25" s="13" t="s">
        <v>714</v>
      </c>
      <c r="B25" s="13" t="s">
        <v>972</v>
      </c>
      <c r="C25" s="13" t="s">
        <v>677</v>
      </c>
      <c r="D25" s="13" t="s">
        <v>677</v>
      </c>
      <c r="E25" s="13" t="s">
        <v>677</v>
      </c>
      <c r="F25" s="13" t="s">
        <v>677</v>
      </c>
      <c r="G25" s="13" t="s">
        <v>677</v>
      </c>
      <c r="H25" s="13" t="s">
        <v>677</v>
      </c>
      <c r="I25" s="13" t="s">
        <v>677</v>
      </c>
      <c r="J25" s="13" t="s">
        <v>3808</v>
      </c>
    </row>
    <row r="26" spans="1:10" ht="69">
      <c r="A26" s="13" t="s">
        <v>3799</v>
      </c>
      <c r="B26" s="13" t="s">
        <v>946</v>
      </c>
      <c r="C26" s="13" t="s">
        <v>677</v>
      </c>
      <c r="D26" s="13" t="s">
        <v>677</v>
      </c>
      <c r="E26" s="13" t="s">
        <v>677</v>
      </c>
      <c r="F26" s="13" t="s">
        <v>677</v>
      </c>
      <c r="G26" s="13" t="s">
        <v>677</v>
      </c>
      <c r="H26" s="13" t="s">
        <v>677</v>
      </c>
      <c r="I26" s="13" t="s">
        <v>677</v>
      </c>
      <c r="J26" s="13" t="s">
        <v>3809</v>
      </c>
    </row>
    <row r="27" spans="1:10">
      <c r="A27" s="13"/>
      <c r="B27" s="13"/>
      <c r="C27" s="13"/>
      <c r="D27" s="13"/>
      <c r="E27" s="13"/>
      <c r="F27" s="13"/>
      <c r="G27" s="13"/>
      <c r="H27" s="13"/>
      <c r="I27" s="13"/>
      <c r="J27" s="13"/>
    </row>
    <row r="28" spans="1:10">
      <c r="A28" s="842" t="s">
        <v>977</v>
      </c>
      <c r="B28" s="839"/>
      <c r="C28" s="839"/>
      <c r="D28" s="85"/>
      <c r="E28" s="85"/>
      <c r="F28" s="85"/>
      <c r="G28" s="85"/>
      <c r="H28" s="85"/>
      <c r="I28" s="85"/>
      <c r="J28" s="85"/>
    </row>
    <row r="29" spans="1:10">
      <c r="A29" s="50" t="s">
        <v>275</v>
      </c>
      <c r="B29" s="50" t="s">
        <v>978</v>
      </c>
      <c r="C29" s="50" t="s">
        <v>979</v>
      </c>
      <c r="D29" s="50" t="s">
        <v>980</v>
      </c>
      <c r="E29" s="50" t="s">
        <v>981</v>
      </c>
      <c r="F29" s="50" t="s">
        <v>982</v>
      </c>
      <c r="G29" s="50" t="s">
        <v>983</v>
      </c>
      <c r="H29" s="50" t="s">
        <v>984</v>
      </c>
      <c r="I29" s="50" t="s">
        <v>899</v>
      </c>
      <c r="J29" s="50" t="s">
        <v>11</v>
      </c>
    </row>
    <row r="30" spans="1:10" ht="96.6">
      <c r="A30" s="13" t="s">
        <v>714</v>
      </c>
      <c r="B30" s="13" t="s">
        <v>677</v>
      </c>
      <c r="C30" s="13" t="s">
        <v>3810</v>
      </c>
      <c r="D30" s="13" t="s">
        <v>677</v>
      </c>
      <c r="E30" s="13" t="s">
        <v>677</v>
      </c>
      <c r="F30" s="13" t="s">
        <v>3811</v>
      </c>
      <c r="G30" s="13" t="s">
        <v>677</v>
      </c>
      <c r="H30" s="13" t="s">
        <v>677</v>
      </c>
      <c r="I30" s="13" t="s">
        <v>677</v>
      </c>
      <c r="J30" s="13" t="s">
        <v>3812</v>
      </c>
    </row>
    <row r="31" spans="1:10" ht="82.8">
      <c r="A31" s="13" t="s">
        <v>3799</v>
      </c>
      <c r="B31" s="13" t="s">
        <v>988</v>
      </c>
      <c r="C31" s="13" t="s">
        <v>2686</v>
      </c>
      <c r="D31" s="13" t="s">
        <v>988</v>
      </c>
      <c r="E31" s="13" t="s">
        <v>677</v>
      </c>
      <c r="F31" s="13" t="s">
        <v>946</v>
      </c>
      <c r="G31" s="13" t="s">
        <v>677</v>
      </c>
      <c r="H31" s="13" t="s">
        <v>677</v>
      </c>
      <c r="I31" s="13" t="s">
        <v>677</v>
      </c>
      <c r="J31" s="13" t="s">
        <v>3721</v>
      </c>
    </row>
    <row r="32" spans="1:10">
      <c r="A32" s="13"/>
      <c r="B32" s="13"/>
      <c r="C32" s="13"/>
      <c r="D32" s="13"/>
      <c r="E32" s="13"/>
      <c r="F32" s="13"/>
      <c r="G32" s="13"/>
      <c r="H32" s="13"/>
      <c r="I32" s="13"/>
      <c r="J32" s="13"/>
    </row>
    <row r="33" spans="1:10">
      <c r="A33" s="842" t="s">
        <v>994</v>
      </c>
      <c r="B33" s="839"/>
      <c r="C33" s="839"/>
      <c r="D33" s="85"/>
      <c r="E33" s="85"/>
      <c r="F33" s="85"/>
      <c r="G33" s="85"/>
      <c r="H33" s="85"/>
      <c r="I33" s="85"/>
      <c r="J33" s="85"/>
    </row>
    <row r="34" spans="1:10">
      <c r="A34" s="50" t="s">
        <v>275</v>
      </c>
      <c r="B34" s="50" t="s">
        <v>995</v>
      </c>
      <c r="C34" s="50" t="s">
        <v>996</v>
      </c>
      <c r="D34" s="50" t="s">
        <v>997</v>
      </c>
      <c r="E34" s="50" t="s">
        <v>998</v>
      </c>
      <c r="F34" s="50" t="s">
        <v>999</v>
      </c>
      <c r="G34" s="50" t="s">
        <v>1000</v>
      </c>
      <c r="H34" s="50" t="s">
        <v>1001</v>
      </c>
      <c r="I34" s="50" t="s">
        <v>899</v>
      </c>
      <c r="J34" s="50" t="s">
        <v>11</v>
      </c>
    </row>
    <row r="35" spans="1:10" ht="110.4">
      <c r="A35" s="13" t="s">
        <v>714</v>
      </c>
      <c r="B35" s="13" t="s">
        <v>677</v>
      </c>
      <c r="C35" s="13" t="s">
        <v>677</v>
      </c>
      <c r="D35" s="13" t="s">
        <v>677</v>
      </c>
      <c r="E35" s="13" t="s">
        <v>677</v>
      </c>
      <c r="F35" s="13" t="s">
        <v>677</v>
      </c>
      <c r="G35" s="13" t="s">
        <v>677</v>
      </c>
      <c r="H35" s="13" t="s">
        <v>677</v>
      </c>
      <c r="I35" s="13" t="s">
        <v>677</v>
      </c>
      <c r="J35" s="13" t="s">
        <v>3813</v>
      </c>
    </row>
    <row r="36" spans="1:10" ht="82.8">
      <c r="A36" s="13" t="s">
        <v>3799</v>
      </c>
      <c r="B36" s="13" t="s">
        <v>988</v>
      </c>
      <c r="C36" s="13" t="s">
        <v>988</v>
      </c>
      <c r="D36" s="13" t="s">
        <v>988</v>
      </c>
      <c r="E36" s="13" t="s">
        <v>677</v>
      </c>
      <c r="F36" s="13" t="s">
        <v>677</v>
      </c>
      <c r="G36" s="13" t="s">
        <v>677</v>
      </c>
      <c r="H36" s="13" t="s">
        <v>677</v>
      </c>
      <c r="I36" s="13" t="s">
        <v>677</v>
      </c>
      <c r="J36" s="13" t="s">
        <v>3814</v>
      </c>
    </row>
    <row r="37" spans="1:10">
      <c r="A37" s="13"/>
      <c r="B37" s="13"/>
      <c r="C37" s="13"/>
      <c r="D37" s="13"/>
      <c r="E37" s="13"/>
      <c r="F37" s="13"/>
      <c r="G37" s="13"/>
      <c r="H37" s="13"/>
      <c r="I37" s="13"/>
      <c r="J37" s="13"/>
    </row>
    <row r="38" spans="1:10">
      <c r="A38" s="842" t="s">
        <v>1007</v>
      </c>
      <c r="B38" s="839"/>
      <c r="C38" s="839"/>
      <c r="D38" s="85"/>
      <c r="E38" s="85"/>
      <c r="F38" s="85"/>
      <c r="G38" s="85"/>
      <c r="H38" s="85"/>
      <c r="I38" s="85"/>
      <c r="J38" s="85"/>
    </row>
    <row r="39" spans="1:10">
      <c r="A39" s="50" t="s">
        <v>275</v>
      </c>
      <c r="B39" s="50" t="s">
        <v>1008</v>
      </c>
      <c r="C39" s="50" t="s">
        <v>1009</v>
      </c>
      <c r="D39" s="50" t="s">
        <v>1010</v>
      </c>
      <c r="E39" s="50" t="s">
        <v>1011</v>
      </c>
      <c r="F39" s="50" t="s">
        <v>1012</v>
      </c>
      <c r="G39" s="50" t="s">
        <v>1013</v>
      </c>
      <c r="H39" s="50" t="s">
        <v>1014</v>
      </c>
      <c r="I39" s="50" t="s">
        <v>899</v>
      </c>
      <c r="J39" s="50" t="s">
        <v>11</v>
      </c>
    </row>
    <row r="40" spans="1:10" ht="82.8">
      <c r="A40" s="13" t="s">
        <v>714</v>
      </c>
      <c r="B40" s="13" t="s">
        <v>1238</v>
      </c>
      <c r="C40" s="13" t="s">
        <v>1238</v>
      </c>
      <c r="D40" s="13" t="s">
        <v>1238</v>
      </c>
      <c r="E40" s="13" t="s">
        <v>1238</v>
      </c>
      <c r="F40" s="13" t="s">
        <v>947</v>
      </c>
      <c r="G40" s="13" t="s">
        <v>947</v>
      </c>
      <c r="H40" s="13" t="s">
        <v>677</v>
      </c>
      <c r="I40" s="13" t="s">
        <v>677</v>
      </c>
      <c r="J40" s="13" t="s">
        <v>3815</v>
      </c>
    </row>
    <row r="41" spans="1:10" ht="69">
      <c r="A41" s="13" t="s">
        <v>3799</v>
      </c>
      <c r="B41" s="13" t="s">
        <v>1238</v>
      </c>
      <c r="C41" s="13" t="s">
        <v>1238</v>
      </c>
      <c r="D41" s="13" t="s">
        <v>1238</v>
      </c>
      <c r="E41" s="13" t="s">
        <v>1238</v>
      </c>
      <c r="F41" s="13" t="s">
        <v>947</v>
      </c>
      <c r="G41" s="13" t="s">
        <v>947</v>
      </c>
      <c r="H41" s="13" t="s">
        <v>677</v>
      </c>
      <c r="I41" s="13" t="s">
        <v>677</v>
      </c>
      <c r="J41" s="13" t="s">
        <v>3816</v>
      </c>
    </row>
    <row r="42" spans="1:10">
      <c r="A42" s="13"/>
      <c r="B42" s="13"/>
      <c r="C42" s="13"/>
      <c r="D42" s="13"/>
      <c r="E42" s="13"/>
      <c r="F42" s="13"/>
      <c r="G42" s="13"/>
      <c r="H42" s="13"/>
      <c r="I42" s="13"/>
      <c r="J42" s="13"/>
    </row>
    <row r="43" spans="1:10">
      <c r="A43" s="842" t="s">
        <v>1019</v>
      </c>
      <c r="B43" s="839"/>
      <c r="C43" s="839"/>
      <c r="D43" s="85"/>
      <c r="E43" s="85"/>
      <c r="F43" s="85"/>
      <c r="G43" s="85"/>
      <c r="H43" s="85"/>
      <c r="I43" s="85"/>
      <c r="J43" s="85"/>
    </row>
    <row r="44" spans="1:10">
      <c r="A44" s="50" t="s">
        <v>213</v>
      </c>
      <c r="B44" s="50" t="s">
        <v>275</v>
      </c>
      <c r="C44" s="50" t="s">
        <v>573</v>
      </c>
      <c r="D44" s="50" t="s">
        <v>215</v>
      </c>
      <c r="E44" s="50" t="s">
        <v>257</v>
      </c>
      <c r="F44" s="50" t="s">
        <v>572</v>
      </c>
      <c r="G44" s="50" t="s">
        <v>259</v>
      </c>
      <c r="H44" s="50" t="s">
        <v>216</v>
      </c>
      <c r="I44" s="50" t="s">
        <v>77</v>
      </c>
      <c r="J44" s="50" t="s">
        <v>11</v>
      </c>
    </row>
    <row r="45" spans="1:10" ht="55.2">
      <c r="A45" s="13" t="s">
        <v>3817</v>
      </c>
      <c r="B45" s="13" t="s">
        <v>575</v>
      </c>
      <c r="C45" s="13" t="s">
        <v>3818</v>
      </c>
      <c r="D45" s="62" t="s">
        <v>391</v>
      </c>
      <c r="E45" s="13" t="s">
        <v>488</v>
      </c>
      <c r="F45" s="13">
        <v>6</v>
      </c>
      <c r="G45" s="13" t="s">
        <v>1381</v>
      </c>
      <c r="H45" s="13" t="s">
        <v>1023</v>
      </c>
      <c r="I45" s="13" t="s">
        <v>502</v>
      </c>
      <c r="J45" s="13" t="s">
        <v>3819</v>
      </c>
    </row>
    <row r="46" spans="1:10" ht="82.8">
      <c r="A46" s="13" t="s">
        <v>3820</v>
      </c>
      <c r="B46" s="13" t="s">
        <v>3821</v>
      </c>
      <c r="C46" s="13" t="s">
        <v>3822</v>
      </c>
      <c r="D46" s="62" t="s">
        <v>492</v>
      </c>
      <c r="E46" s="13" t="s">
        <v>488</v>
      </c>
      <c r="F46" s="13">
        <v>8</v>
      </c>
      <c r="G46" s="13" t="s">
        <v>1025</v>
      </c>
      <c r="H46" s="13" t="s">
        <v>584</v>
      </c>
      <c r="I46" s="13" t="s">
        <v>502</v>
      </c>
      <c r="J46" s="13" t="s">
        <v>3823</v>
      </c>
    </row>
    <row r="47" spans="1:10" ht="96.6">
      <c r="A47" s="13" t="s">
        <v>3824</v>
      </c>
      <c r="B47" s="13" t="s">
        <v>714</v>
      </c>
      <c r="C47" s="13" t="s">
        <v>3825</v>
      </c>
      <c r="D47" s="62" t="s">
        <v>391</v>
      </c>
      <c r="E47" s="13" t="s">
        <v>488</v>
      </c>
      <c r="F47" s="13">
        <v>6</v>
      </c>
      <c r="G47" s="13" t="s">
        <v>3826</v>
      </c>
      <c r="H47" s="13" t="s">
        <v>1505</v>
      </c>
      <c r="I47" s="13" t="s">
        <v>502</v>
      </c>
      <c r="J47" s="13" t="s">
        <v>3827</v>
      </c>
    </row>
    <row r="48" spans="1:10" ht="82.8">
      <c r="A48" s="13" t="s">
        <v>3828</v>
      </c>
      <c r="B48" s="13" t="s">
        <v>714</v>
      </c>
      <c r="C48" s="13" t="s">
        <v>593</v>
      </c>
      <c r="D48" s="62" t="s">
        <v>492</v>
      </c>
      <c r="E48" s="13" t="s">
        <v>488</v>
      </c>
      <c r="F48" s="13">
        <v>8</v>
      </c>
      <c r="G48" s="13" t="s">
        <v>3829</v>
      </c>
      <c r="H48" s="13" t="s">
        <v>592</v>
      </c>
      <c r="I48" s="13" t="s">
        <v>502</v>
      </c>
      <c r="J48" s="13" t="s">
        <v>3830</v>
      </c>
    </row>
    <row r="49" spans="1:10" ht="69">
      <c r="A49" s="13" t="s">
        <v>3831</v>
      </c>
      <c r="B49" s="13" t="s">
        <v>714</v>
      </c>
      <c r="C49" s="13" t="s">
        <v>2806</v>
      </c>
      <c r="D49" s="62" t="s">
        <v>391</v>
      </c>
      <c r="E49" s="13" t="s">
        <v>488</v>
      </c>
      <c r="F49" s="13">
        <v>6</v>
      </c>
      <c r="G49" s="13" t="s">
        <v>3832</v>
      </c>
      <c r="H49" s="13" t="s">
        <v>2808</v>
      </c>
      <c r="I49" s="13" t="s">
        <v>502</v>
      </c>
      <c r="J49" s="13" t="s">
        <v>2809</v>
      </c>
    </row>
    <row r="50" spans="1:10" ht="69">
      <c r="A50" s="13" t="s">
        <v>3833</v>
      </c>
      <c r="B50" s="13" t="s">
        <v>575</v>
      </c>
      <c r="C50" s="13" t="s">
        <v>3834</v>
      </c>
      <c r="D50" s="62" t="s">
        <v>391</v>
      </c>
      <c r="E50" s="13" t="s">
        <v>488</v>
      </c>
      <c r="F50" s="13">
        <v>6</v>
      </c>
      <c r="G50" s="13" t="s">
        <v>3835</v>
      </c>
      <c r="H50" s="13" t="s">
        <v>1037</v>
      </c>
      <c r="I50" s="13" t="s">
        <v>502</v>
      </c>
      <c r="J50" s="13" t="s">
        <v>3836</v>
      </c>
    </row>
    <row r="51" spans="1:10" ht="82.8">
      <c r="A51" s="13" t="s">
        <v>3837</v>
      </c>
      <c r="B51" s="13" t="s">
        <v>575</v>
      </c>
      <c r="C51" s="13" t="s">
        <v>2815</v>
      </c>
      <c r="D51" s="62" t="s">
        <v>391</v>
      </c>
      <c r="E51" s="13" t="s">
        <v>488</v>
      </c>
      <c r="F51" s="13">
        <v>6</v>
      </c>
      <c r="G51" s="13" t="s">
        <v>2816</v>
      </c>
      <c r="H51" s="13" t="s">
        <v>622</v>
      </c>
      <c r="I51" s="13" t="s">
        <v>502</v>
      </c>
      <c r="J51" s="13" t="s">
        <v>2938</v>
      </c>
    </row>
    <row r="52" spans="1:10" ht="110.4">
      <c r="A52" s="13" t="s">
        <v>3838</v>
      </c>
      <c r="B52" s="13" t="s">
        <v>575</v>
      </c>
      <c r="C52" s="13" t="s">
        <v>2819</v>
      </c>
      <c r="D52" s="62" t="s">
        <v>391</v>
      </c>
      <c r="E52" s="13" t="s">
        <v>488</v>
      </c>
      <c r="F52" s="13">
        <v>6</v>
      </c>
      <c r="G52" s="13" t="s">
        <v>3839</v>
      </c>
      <c r="H52" s="13" t="s">
        <v>1049</v>
      </c>
      <c r="I52" s="13" t="s">
        <v>502</v>
      </c>
      <c r="J52" s="13" t="s">
        <v>2940</v>
      </c>
    </row>
    <row r="53" spans="1:10">
      <c r="A53" s="13"/>
      <c r="B53" s="13"/>
      <c r="C53" s="13"/>
      <c r="D53" s="13"/>
      <c r="E53" s="13"/>
      <c r="F53" s="13"/>
      <c r="G53" s="13"/>
      <c r="H53" s="13"/>
      <c r="I53" s="13"/>
      <c r="J53" s="13"/>
    </row>
    <row r="54" spans="1:10">
      <c r="A54" s="842" t="s">
        <v>1051</v>
      </c>
      <c r="B54" s="839"/>
      <c r="C54" s="839"/>
      <c r="D54" s="85"/>
      <c r="E54" s="85"/>
      <c r="F54" s="85"/>
      <c r="G54" s="85"/>
      <c r="H54" s="85"/>
      <c r="I54" s="85"/>
      <c r="J54" s="85"/>
    </row>
    <row r="55" spans="1:10">
      <c r="A55" s="50" t="s">
        <v>221</v>
      </c>
      <c r="B55" s="50" t="s">
        <v>222</v>
      </c>
      <c r="C55" s="50" t="s">
        <v>265</v>
      </c>
      <c r="D55" s="50" t="s">
        <v>77</v>
      </c>
      <c r="E55" s="50" t="s">
        <v>878</v>
      </c>
      <c r="F55" s="50" t="s">
        <v>879</v>
      </c>
      <c r="G55" s="50" t="s">
        <v>880</v>
      </c>
      <c r="H55" s="50" t="s">
        <v>494</v>
      </c>
      <c r="I55" s="50" t="s">
        <v>881</v>
      </c>
      <c r="J55" s="50" t="s">
        <v>11</v>
      </c>
    </row>
    <row r="56" spans="1:10" ht="82.8">
      <c r="A56" s="13" t="s">
        <v>3840</v>
      </c>
      <c r="B56" s="13" t="s">
        <v>3841</v>
      </c>
      <c r="C56" s="13" t="s">
        <v>579</v>
      </c>
      <c r="D56" s="13" t="s">
        <v>502</v>
      </c>
      <c r="E56" s="13"/>
      <c r="F56" s="13"/>
      <c r="G56" s="13" t="s">
        <v>2619</v>
      </c>
      <c r="H56" s="13"/>
      <c r="I56" s="13"/>
      <c r="J56" s="13"/>
    </row>
    <row r="57" spans="1:10" ht="55.2">
      <c r="A57" s="13" t="s">
        <v>3842</v>
      </c>
      <c r="B57" s="13" t="s">
        <v>3843</v>
      </c>
      <c r="C57" s="13" t="s">
        <v>587</v>
      </c>
      <c r="D57" s="13" t="s">
        <v>502</v>
      </c>
      <c r="E57" s="13"/>
      <c r="F57" s="13"/>
      <c r="G57" s="13" t="s">
        <v>588</v>
      </c>
      <c r="H57" s="13"/>
      <c r="I57" s="13"/>
      <c r="J57" s="13"/>
    </row>
    <row r="58" spans="1:10" ht="82.8">
      <c r="A58" s="13" t="s">
        <v>3844</v>
      </c>
      <c r="B58" s="13" t="s">
        <v>3845</v>
      </c>
      <c r="C58" s="13" t="s">
        <v>3846</v>
      </c>
      <c r="D58" s="13" t="s">
        <v>502</v>
      </c>
      <c r="E58" s="13"/>
      <c r="F58" s="13"/>
      <c r="G58" s="13" t="s">
        <v>3847</v>
      </c>
      <c r="H58" s="13"/>
      <c r="I58" s="13"/>
      <c r="J58" s="13"/>
    </row>
    <row r="59" spans="1:10" ht="69">
      <c r="A59" s="13" t="s">
        <v>3848</v>
      </c>
      <c r="B59" s="13" t="s">
        <v>3759</v>
      </c>
      <c r="C59" s="13" t="s">
        <v>601</v>
      </c>
      <c r="D59" s="13" t="s">
        <v>502</v>
      </c>
      <c r="E59" s="13"/>
      <c r="F59" s="13"/>
      <c r="G59" s="13" t="s">
        <v>602</v>
      </c>
      <c r="H59" s="13"/>
      <c r="I59" s="13"/>
      <c r="J59" s="13"/>
    </row>
    <row r="60" spans="1:10" ht="96.6">
      <c r="A60" s="13" t="s">
        <v>3849</v>
      </c>
      <c r="B60" s="13" t="s">
        <v>3043</v>
      </c>
      <c r="C60" s="13" t="s">
        <v>616</v>
      </c>
      <c r="D60" s="13" t="s">
        <v>502</v>
      </c>
      <c r="E60" s="13"/>
      <c r="F60" s="13"/>
      <c r="G60" s="13" t="s">
        <v>617</v>
      </c>
      <c r="H60" s="13"/>
      <c r="I60" s="13"/>
      <c r="J60" s="13"/>
    </row>
    <row r="61" spans="1:10" ht="69">
      <c r="A61" s="13" t="s">
        <v>3850</v>
      </c>
      <c r="B61" s="13" t="s">
        <v>3851</v>
      </c>
      <c r="C61" s="13" t="s">
        <v>2838</v>
      </c>
      <c r="D61" s="13" t="s">
        <v>502</v>
      </c>
      <c r="E61" s="13"/>
      <c r="F61" s="13"/>
      <c r="G61" s="13" t="s">
        <v>2839</v>
      </c>
      <c r="H61" s="13"/>
      <c r="I61" s="13"/>
      <c r="J61" s="13"/>
    </row>
    <row r="62" spans="1:10" ht="82.8">
      <c r="A62" s="13" t="s">
        <v>3852</v>
      </c>
      <c r="B62" s="13" t="s">
        <v>3853</v>
      </c>
      <c r="C62" s="13" t="s">
        <v>2834</v>
      </c>
      <c r="D62" s="13" t="s">
        <v>502</v>
      </c>
      <c r="E62" s="13"/>
      <c r="F62" s="13"/>
      <c r="G62" s="13" t="s">
        <v>2835</v>
      </c>
      <c r="H62" s="13"/>
      <c r="I62" s="13"/>
      <c r="J62" s="13"/>
    </row>
    <row r="63" spans="1:10" ht="82.8">
      <c r="A63" s="13" t="s">
        <v>3854</v>
      </c>
      <c r="B63" s="13" t="s">
        <v>3855</v>
      </c>
      <c r="C63" s="13" t="s">
        <v>630</v>
      </c>
      <c r="D63" s="13" t="s">
        <v>502</v>
      </c>
      <c r="E63" s="13"/>
      <c r="F63" s="13"/>
      <c r="G63" s="13" t="s">
        <v>631</v>
      </c>
      <c r="H63" s="13"/>
      <c r="I63" s="13"/>
      <c r="J63" s="13"/>
    </row>
    <row r="64" spans="1:10">
      <c r="A64" s="13"/>
      <c r="B64" s="13"/>
      <c r="C64" s="13"/>
      <c r="D64" s="13"/>
      <c r="E64" s="13"/>
      <c r="F64" s="13"/>
      <c r="G64" s="13"/>
      <c r="H64" s="13"/>
      <c r="I64" s="13"/>
      <c r="J64" s="13"/>
    </row>
    <row r="65" spans="1:10">
      <c r="A65" s="842" t="s">
        <v>1052</v>
      </c>
      <c r="B65" s="839"/>
      <c r="C65" s="839"/>
      <c r="D65" s="85"/>
      <c r="E65" s="85"/>
      <c r="F65" s="85"/>
      <c r="G65" s="85"/>
      <c r="H65" s="85"/>
      <c r="I65" s="85"/>
      <c r="J65" s="85"/>
    </row>
    <row r="66" spans="1:10">
      <c r="A66" s="50" t="s">
        <v>291</v>
      </c>
      <c r="B66" s="50" t="s">
        <v>275</v>
      </c>
      <c r="C66" s="50" t="s">
        <v>493</v>
      </c>
      <c r="D66" s="50" t="s">
        <v>214</v>
      </c>
      <c r="E66" s="50" t="s">
        <v>263</v>
      </c>
      <c r="F66" s="50" t="s">
        <v>891</v>
      </c>
      <c r="G66" s="50" t="s">
        <v>892</v>
      </c>
      <c r="H66" s="50" t="s">
        <v>893</v>
      </c>
      <c r="I66" s="50" t="s">
        <v>77</v>
      </c>
      <c r="J66" s="50" t="s">
        <v>11</v>
      </c>
    </row>
    <row r="67" spans="1:10" ht="110.4">
      <c r="A67" s="13" t="s">
        <v>3856</v>
      </c>
      <c r="B67" s="13" t="s">
        <v>714</v>
      </c>
      <c r="C67" s="13" t="s">
        <v>269</v>
      </c>
      <c r="D67" s="13" t="s">
        <v>3857</v>
      </c>
      <c r="E67" s="13"/>
      <c r="F67" s="13" t="s">
        <v>229</v>
      </c>
      <c r="G67" s="13"/>
      <c r="H67" s="13" t="s">
        <v>3858</v>
      </c>
      <c r="I67" s="13" t="s">
        <v>502</v>
      </c>
      <c r="J67" s="13"/>
    </row>
    <row r="68" spans="1:10" ht="110.4">
      <c r="A68" s="13" t="s">
        <v>3859</v>
      </c>
      <c r="B68" s="13" t="s">
        <v>3799</v>
      </c>
      <c r="C68" s="13" t="s">
        <v>269</v>
      </c>
      <c r="D68" s="13" t="s">
        <v>3860</v>
      </c>
      <c r="E68" s="13"/>
      <c r="F68" s="13" t="s">
        <v>229</v>
      </c>
      <c r="G68" s="13"/>
      <c r="H68" s="13" t="s">
        <v>3861</v>
      </c>
      <c r="I68" s="13" t="s">
        <v>502</v>
      </c>
      <c r="J68" s="13"/>
    </row>
    <row r="69" spans="1:10" ht="110.4">
      <c r="A69" s="13" t="s">
        <v>3862</v>
      </c>
      <c r="B69" s="13" t="s">
        <v>3821</v>
      </c>
      <c r="C69" s="13" t="s">
        <v>2640</v>
      </c>
      <c r="D69" s="13" t="s">
        <v>3863</v>
      </c>
      <c r="E69" s="13"/>
      <c r="F69" s="13" t="s">
        <v>229</v>
      </c>
      <c r="G69" s="13"/>
      <c r="H69" s="13" t="s">
        <v>3864</v>
      </c>
      <c r="I69" s="13" t="s">
        <v>502</v>
      </c>
      <c r="J69" s="13"/>
    </row>
    <row r="70" spans="1:10" ht="110.4">
      <c r="A70" s="13" t="s">
        <v>3865</v>
      </c>
      <c r="B70" s="13" t="s">
        <v>714</v>
      </c>
      <c r="C70" s="13" t="s">
        <v>148</v>
      </c>
      <c r="D70" s="13" t="s">
        <v>3866</v>
      </c>
      <c r="E70" s="13"/>
      <c r="F70" s="13" t="s">
        <v>229</v>
      </c>
      <c r="G70" s="13"/>
      <c r="H70" s="13" t="s">
        <v>3828</v>
      </c>
      <c r="I70" s="13" t="s">
        <v>502</v>
      </c>
      <c r="J70" s="13"/>
    </row>
    <row r="71" spans="1:10" ht="124.2">
      <c r="A71" s="13" t="s">
        <v>3867</v>
      </c>
      <c r="B71" s="13" t="s">
        <v>714</v>
      </c>
      <c r="C71" s="13" t="s">
        <v>153</v>
      </c>
      <c r="D71" s="13" t="s">
        <v>3868</v>
      </c>
      <c r="E71" s="13"/>
      <c r="F71" s="13" t="s">
        <v>229</v>
      </c>
      <c r="G71" s="13"/>
      <c r="H71" s="13" t="s">
        <v>3831</v>
      </c>
      <c r="I71" s="13" t="s">
        <v>502</v>
      </c>
      <c r="J71" s="13"/>
    </row>
    <row r="72" spans="1:10" ht="110.4">
      <c r="A72" s="13" t="s">
        <v>3869</v>
      </c>
      <c r="B72" s="13" t="s">
        <v>3821</v>
      </c>
      <c r="C72" s="13" t="s">
        <v>155</v>
      </c>
      <c r="D72" s="13" t="s">
        <v>3870</v>
      </c>
      <c r="E72" s="13"/>
      <c r="F72" s="13" t="s">
        <v>229</v>
      </c>
      <c r="G72" s="13"/>
      <c r="H72" s="13" t="s">
        <v>3871</v>
      </c>
      <c r="I72" s="13" t="s">
        <v>502</v>
      </c>
      <c r="J72" s="13"/>
    </row>
    <row r="73" spans="1:10" ht="69">
      <c r="A73" s="13" t="s">
        <v>3872</v>
      </c>
      <c r="B73" s="13" t="s">
        <v>575</v>
      </c>
      <c r="C73" s="13" t="s">
        <v>957</v>
      </c>
      <c r="D73" s="13" t="s">
        <v>2975</v>
      </c>
      <c r="E73" s="13"/>
      <c r="F73" s="13" t="s">
        <v>229</v>
      </c>
      <c r="G73" s="13"/>
      <c r="H73" s="13" t="s">
        <v>3837</v>
      </c>
      <c r="I73" s="13" t="s">
        <v>502</v>
      </c>
      <c r="J73" s="13"/>
    </row>
    <row r="74" spans="1:10" ht="82.8">
      <c r="A74" s="13" t="s">
        <v>3873</v>
      </c>
      <c r="B74" s="13" t="s">
        <v>575</v>
      </c>
      <c r="C74" s="13" t="s">
        <v>2865</v>
      </c>
      <c r="D74" s="13" t="s">
        <v>2866</v>
      </c>
      <c r="E74" s="13"/>
      <c r="F74" s="13" t="s">
        <v>229</v>
      </c>
      <c r="G74" s="13"/>
      <c r="H74" s="13" t="s">
        <v>3838</v>
      </c>
      <c r="I74" s="13" t="s">
        <v>502</v>
      </c>
      <c r="J74" s="13"/>
    </row>
    <row r="75" spans="1:10">
      <c r="A75" s="13"/>
      <c r="B75" s="13"/>
      <c r="C75" s="13"/>
      <c r="D75" s="13"/>
      <c r="E75" s="13"/>
      <c r="F75" s="13"/>
      <c r="G75" s="13"/>
      <c r="H75" s="13"/>
      <c r="I75" s="13"/>
      <c r="J75" s="13"/>
    </row>
    <row r="76" spans="1:10">
      <c r="A76" s="842" t="s">
        <v>1079</v>
      </c>
      <c r="B76" s="839"/>
      <c r="C76" s="839"/>
      <c r="D76" s="85"/>
      <c r="E76" s="85"/>
      <c r="F76" s="85"/>
      <c r="G76" s="85"/>
      <c r="H76" s="85"/>
      <c r="I76" s="85"/>
      <c r="J76" s="85"/>
    </row>
    <row r="77" spans="1:10">
      <c r="A77" s="50" t="s">
        <v>275</v>
      </c>
      <c r="B77" s="50" t="s">
        <v>895</v>
      </c>
      <c r="C77" s="50" t="s">
        <v>896</v>
      </c>
      <c r="D77" s="50" t="s">
        <v>148</v>
      </c>
      <c r="E77" s="50" t="s">
        <v>153</v>
      </c>
      <c r="F77" s="50" t="s">
        <v>155</v>
      </c>
      <c r="G77" s="50" t="s">
        <v>491</v>
      </c>
      <c r="H77" s="50" t="s">
        <v>897</v>
      </c>
      <c r="I77" s="50" t="s">
        <v>174</v>
      </c>
      <c r="J77" s="50" t="s">
        <v>11</v>
      </c>
    </row>
    <row r="78" spans="1:10" ht="69">
      <c r="A78" s="13" t="s">
        <v>714</v>
      </c>
      <c r="B78" s="126">
        <v>0.5</v>
      </c>
      <c r="C78" s="126">
        <v>0.5</v>
      </c>
      <c r="D78" s="126">
        <v>0.5</v>
      </c>
      <c r="E78" s="126">
        <v>0.5</v>
      </c>
      <c r="F78" s="126">
        <v>0.5</v>
      </c>
      <c r="G78" s="13" t="s">
        <v>677</v>
      </c>
      <c r="H78" s="126">
        <v>0.5</v>
      </c>
      <c r="I78" s="13" t="s">
        <v>1201</v>
      </c>
      <c r="J78" s="13" t="s">
        <v>3874</v>
      </c>
    </row>
    <row r="79" spans="1:10" ht="41.4">
      <c r="A79" s="13" t="s">
        <v>3799</v>
      </c>
      <c r="B79" s="126">
        <v>0.5</v>
      </c>
      <c r="C79" s="126">
        <v>0.5</v>
      </c>
      <c r="D79" s="126">
        <v>0.5</v>
      </c>
      <c r="E79" s="126">
        <v>0.5</v>
      </c>
      <c r="F79" s="126">
        <v>0.5</v>
      </c>
      <c r="G79" s="13" t="s">
        <v>677</v>
      </c>
      <c r="H79" s="126">
        <v>0.5</v>
      </c>
      <c r="I79" s="13" t="s">
        <v>1201</v>
      </c>
      <c r="J79" s="13" t="s">
        <v>3875</v>
      </c>
    </row>
    <row r="80" spans="1:10">
      <c r="A80" s="13"/>
      <c r="B80" s="13"/>
      <c r="C80" s="13"/>
      <c r="D80" s="13"/>
      <c r="E80" s="13"/>
      <c r="F80" s="13"/>
      <c r="G80" s="13"/>
      <c r="H80" s="13"/>
      <c r="I80" s="13"/>
      <c r="J80" s="13"/>
    </row>
    <row r="81" spans="1:10">
      <c r="A81" s="842" t="s">
        <v>1085</v>
      </c>
      <c r="B81" s="839"/>
      <c r="C81" s="839"/>
      <c r="D81" s="85"/>
      <c r="E81" s="85"/>
      <c r="F81" s="85"/>
      <c r="G81" s="85"/>
      <c r="H81" s="85"/>
      <c r="I81" s="85"/>
      <c r="J81" s="85"/>
    </row>
    <row r="82" spans="1:10" ht="55.2">
      <c r="A82" s="50" t="s">
        <v>905</v>
      </c>
      <c r="B82" s="50" t="s">
        <v>3876</v>
      </c>
      <c r="C82" s="50"/>
      <c r="D82" s="50"/>
      <c r="E82" s="50"/>
      <c r="F82" s="50"/>
      <c r="G82" s="50"/>
      <c r="H82" s="50"/>
      <c r="I82" s="50"/>
      <c r="J82" s="50"/>
    </row>
    <row r="83" spans="1:10">
      <c r="A83" s="13" t="s">
        <v>1086</v>
      </c>
      <c r="B83" s="852" t="s">
        <v>3877</v>
      </c>
      <c r="C83" s="839"/>
      <c r="D83" s="839"/>
      <c r="E83" s="839"/>
      <c r="F83" s="839"/>
      <c r="G83" s="839"/>
      <c r="H83" s="839"/>
      <c r="I83" s="839"/>
      <c r="J83" s="839"/>
    </row>
    <row r="84" spans="1:10">
      <c r="A84" s="13" t="s">
        <v>2194</v>
      </c>
      <c r="B84" s="852" t="s">
        <v>3878</v>
      </c>
      <c r="C84" s="839"/>
      <c r="D84" s="839"/>
      <c r="E84" s="839"/>
      <c r="F84" s="839"/>
      <c r="G84" s="839"/>
      <c r="H84" s="839"/>
      <c r="I84" s="839"/>
      <c r="J84" s="839"/>
    </row>
    <row r="85" spans="1:10">
      <c r="A85" s="13" t="s">
        <v>1088</v>
      </c>
      <c r="B85" s="852" t="s">
        <v>3879</v>
      </c>
      <c r="C85" s="839"/>
      <c r="D85" s="839"/>
      <c r="E85" s="839"/>
      <c r="F85" s="839"/>
      <c r="G85" s="839"/>
      <c r="H85" s="839"/>
      <c r="I85" s="839"/>
      <c r="J85" s="839"/>
    </row>
    <row r="86" spans="1:10" ht="27.6">
      <c r="A86" s="13" t="s">
        <v>3076</v>
      </c>
      <c r="B86" s="852" t="s">
        <v>3880</v>
      </c>
      <c r="C86" s="839"/>
      <c r="D86" s="839"/>
      <c r="E86" s="839"/>
      <c r="F86" s="839"/>
      <c r="G86" s="839"/>
      <c r="H86" s="839"/>
      <c r="I86" s="839"/>
      <c r="J86" s="839"/>
    </row>
    <row r="87" spans="1:10">
      <c r="A87" s="13" t="s">
        <v>1089</v>
      </c>
      <c r="B87" s="852" t="s">
        <v>3881</v>
      </c>
      <c r="C87" s="839"/>
      <c r="D87" s="839"/>
      <c r="E87" s="839"/>
      <c r="F87" s="839"/>
      <c r="G87" s="839"/>
      <c r="H87" s="839"/>
      <c r="I87" s="839"/>
      <c r="J87" s="839"/>
    </row>
    <row r="88" spans="1:10">
      <c r="A88" s="13" t="s">
        <v>1090</v>
      </c>
      <c r="B88" s="852" t="s">
        <v>3882</v>
      </c>
      <c r="C88" s="839"/>
      <c r="D88" s="839"/>
      <c r="E88" s="839"/>
      <c r="F88" s="839"/>
      <c r="G88" s="839"/>
      <c r="H88" s="839"/>
      <c r="I88" s="839"/>
      <c r="J88" s="839"/>
    </row>
    <row r="89" spans="1:10">
      <c r="A89" s="13" t="s">
        <v>1563</v>
      </c>
      <c r="B89" s="852" t="s">
        <v>2874</v>
      </c>
      <c r="C89" s="839"/>
      <c r="D89" s="839"/>
      <c r="E89" s="839"/>
      <c r="F89" s="839"/>
      <c r="G89" s="839"/>
      <c r="H89" s="839"/>
      <c r="I89" s="839"/>
      <c r="J89" s="839"/>
    </row>
    <row r="90" spans="1:10" ht="15" thickBot="1"/>
    <row r="91" spans="1:10" ht="15" customHeight="1">
      <c r="A91" s="855" t="s">
        <v>5875</v>
      </c>
      <c r="B91" s="856"/>
      <c r="C91" s="856"/>
      <c r="D91" s="857"/>
      <c r="E91" s="856"/>
      <c r="F91" s="856"/>
      <c r="G91" s="857"/>
      <c r="H91" s="857"/>
      <c r="I91" s="857"/>
      <c r="J91" s="858"/>
    </row>
    <row r="92" spans="1:10" ht="30" customHeight="1">
      <c r="A92" s="325" t="s">
        <v>5817</v>
      </c>
      <c r="B92" s="326" t="s">
        <v>77</v>
      </c>
      <c r="C92" s="326" t="s">
        <v>5818</v>
      </c>
      <c r="D92" s="326" t="s">
        <v>5819</v>
      </c>
      <c r="E92" s="326" t="s">
        <v>5841</v>
      </c>
      <c r="F92" s="326" t="s">
        <v>5808</v>
      </c>
      <c r="G92" s="859" t="s">
        <v>5842</v>
      </c>
      <c r="H92" s="859"/>
      <c r="I92" s="859"/>
      <c r="J92" s="860"/>
    </row>
    <row r="93" spans="1:10" ht="25.5" customHeight="1">
      <c r="A93" s="327" t="s">
        <v>5820</v>
      </c>
      <c r="B93" s="337" t="s">
        <v>484</v>
      </c>
      <c r="C93" s="329">
        <v>0</v>
      </c>
      <c r="D93" s="329">
        <v>0</v>
      </c>
      <c r="E93" s="196" t="s">
        <v>5881</v>
      </c>
      <c r="F93" s="329">
        <f>IF(AND(C93&lt;&gt;"",D93&lt;&gt;""),D93-C93,"")</f>
        <v>0</v>
      </c>
      <c r="G93" s="861"/>
      <c r="H93" s="861"/>
      <c r="I93" s="861"/>
      <c r="J93" s="862"/>
    </row>
    <row r="94" spans="1:10" ht="25.5" customHeight="1">
      <c r="A94" s="330" t="s">
        <v>5821</v>
      </c>
      <c r="B94" s="337" t="s">
        <v>484</v>
      </c>
      <c r="C94" s="331">
        <v>1</v>
      </c>
      <c r="D94" s="331">
        <v>0</v>
      </c>
      <c r="E94" s="314" t="s">
        <v>5882</v>
      </c>
      <c r="F94" s="331">
        <f>IF(AND(C94&lt;&gt;"",D94&lt;&gt;""),D94-C94,"")</f>
        <v>-1</v>
      </c>
      <c r="G94" s="863"/>
      <c r="H94" s="863"/>
      <c r="I94" s="863"/>
      <c r="J94" s="864"/>
    </row>
    <row r="95" spans="1:10" ht="15" customHeight="1">
      <c r="A95" s="327" t="s">
        <v>5822</v>
      </c>
      <c r="B95" s="337" t="s">
        <v>484</v>
      </c>
      <c r="C95" s="331">
        <v>1</v>
      </c>
      <c r="D95" s="331">
        <v>0</v>
      </c>
      <c r="E95" s="314" t="s">
        <v>5882</v>
      </c>
      <c r="F95" s="329">
        <f>IF(AND(C95&lt;&gt;"",D95&lt;&gt;""),D95-C95,"")</f>
        <v>-1</v>
      </c>
      <c r="G95" s="332"/>
      <c r="H95" s="231"/>
      <c r="I95" s="231"/>
      <c r="J95" s="333"/>
    </row>
    <row r="96" spans="1:10" ht="15" customHeight="1">
      <c r="A96" s="330" t="s">
        <v>5823</v>
      </c>
      <c r="B96" s="337" t="s">
        <v>484</v>
      </c>
      <c r="C96" s="331">
        <v>1</v>
      </c>
      <c r="D96" s="331">
        <v>0</v>
      </c>
      <c r="E96" s="314" t="s">
        <v>5882</v>
      </c>
      <c r="F96" s="331">
        <f>IF(AND(C96&lt;&gt;"",D96&lt;&gt;""),D96-C96,"")</f>
        <v>-1</v>
      </c>
      <c r="G96" s="863"/>
      <c r="H96" s="863"/>
      <c r="I96" s="863"/>
      <c r="J96" s="864"/>
    </row>
    <row r="97" spans="1:10" ht="15" customHeight="1">
      <c r="A97" s="327" t="s">
        <v>5168</v>
      </c>
      <c r="B97" s="337" t="s">
        <v>484</v>
      </c>
      <c r="C97" s="331">
        <v>1</v>
      </c>
      <c r="D97" s="331">
        <v>0</v>
      </c>
      <c r="E97" s="314" t="s">
        <v>5882</v>
      </c>
      <c r="F97" s="329">
        <f>IF(AND(C97&lt;&gt;"",D97&lt;&gt;""),D97-C97,"")</f>
        <v>-1</v>
      </c>
      <c r="G97" s="332"/>
      <c r="H97" s="231"/>
      <c r="I97" s="231"/>
      <c r="J97" s="333"/>
    </row>
    <row r="98" spans="1:10" ht="15.75" customHeight="1">
      <c r="A98" s="865" t="s">
        <v>5843</v>
      </c>
      <c r="B98" s="713"/>
      <c r="C98" s="334">
        <f>IFERROR(AVERAGE(C93:C97),"")</f>
        <v>0.8</v>
      </c>
      <c r="D98" s="334">
        <f>IFERROR(AVERAGE(D93:D97),"")</f>
        <v>0</v>
      </c>
      <c r="E98" s="866" t="s">
        <v>5844</v>
      </c>
      <c r="F98" s="866"/>
      <c r="G98" s="866"/>
      <c r="H98" s="866"/>
      <c r="I98" s="866"/>
      <c r="J98" s="867"/>
    </row>
    <row r="99" spans="1:10" ht="20.25" customHeight="1">
      <c r="A99" s="335"/>
      <c r="B99" s="320"/>
      <c r="C99" s="320"/>
      <c r="D99" s="320"/>
      <c r="E99" s="320"/>
      <c r="F99" s="320"/>
      <c r="G99" s="320"/>
      <c r="H99" s="231"/>
      <c r="I99" s="231"/>
      <c r="J99" s="333"/>
    </row>
    <row r="100" spans="1:10">
      <c r="A100" s="876" t="s">
        <v>5876</v>
      </c>
      <c r="B100" s="853"/>
      <c r="C100" s="853"/>
      <c r="D100" s="842"/>
      <c r="E100" s="853"/>
      <c r="F100" s="853"/>
      <c r="G100" s="842"/>
      <c r="H100" s="842"/>
      <c r="I100" s="842"/>
      <c r="J100" s="868"/>
    </row>
    <row r="101" spans="1:10">
      <c r="A101" s="325" t="s">
        <v>4946</v>
      </c>
      <c r="B101" s="326" t="s">
        <v>77</v>
      </c>
      <c r="C101" s="326" t="s">
        <v>5883</v>
      </c>
      <c r="D101" s="326" t="s">
        <v>482</v>
      </c>
      <c r="E101" s="326" t="s">
        <v>572</v>
      </c>
      <c r="F101" s="326" t="s">
        <v>5846</v>
      </c>
      <c r="G101" s="859" t="s">
        <v>5847</v>
      </c>
      <c r="H101" s="859"/>
      <c r="I101" s="859"/>
      <c r="J101" s="860"/>
    </row>
    <row r="102" spans="1:10" ht="31.5" customHeight="1">
      <c r="A102" s="330" t="s">
        <v>5809</v>
      </c>
      <c r="B102" s="337" t="s">
        <v>484</v>
      </c>
      <c r="C102" s="336" t="s">
        <v>679</v>
      </c>
      <c r="D102" s="328" t="s">
        <v>679</v>
      </c>
      <c r="E102" s="336">
        <f>IF(D102="Yes",1,0)</f>
        <v>0</v>
      </c>
      <c r="F102" s="877"/>
      <c r="G102" s="877"/>
      <c r="H102" s="877"/>
      <c r="I102" s="877"/>
      <c r="J102" s="878"/>
    </row>
    <row r="103" spans="1:10" ht="20.25" customHeight="1">
      <c r="A103" s="327" t="s">
        <v>995</v>
      </c>
      <c r="B103" s="337" t="s">
        <v>484</v>
      </c>
      <c r="C103" s="336" t="s">
        <v>679</v>
      </c>
      <c r="D103" s="328" t="s">
        <v>679</v>
      </c>
      <c r="E103" s="328">
        <f t="shared" ref="E103:E109" si="0">IF(D103="Yes",1,0)</f>
        <v>0</v>
      </c>
      <c r="F103" s="877"/>
      <c r="G103" s="877"/>
      <c r="H103" s="877"/>
      <c r="I103" s="877"/>
      <c r="J103" s="878"/>
    </row>
    <row r="104" spans="1:10" ht="24.75" customHeight="1">
      <c r="A104" s="330" t="s">
        <v>5810</v>
      </c>
      <c r="B104" s="337" t="s">
        <v>484</v>
      </c>
      <c r="C104" s="336" t="s">
        <v>679</v>
      </c>
      <c r="D104" s="328" t="s">
        <v>679</v>
      </c>
      <c r="E104" s="336">
        <f t="shared" si="0"/>
        <v>0</v>
      </c>
      <c r="F104" s="877"/>
      <c r="G104" s="877"/>
      <c r="H104" s="877"/>
      <c r="I104" s="877"/>
      <c r="J104" s="878"/>
    </row>
    <row r="105" spans="1:10">
      <c r="A105" s="327" t="s">
        <v>5824</v>
      </c>
      <c r="B105" s="337" t="s">
        <v>484</v>
      </c>
      <c r="C105" s="336" t="s">
        <v>679</v>
      </c>
      <c r="D105" s="328" t="s">
        <v>679</v>
      </c>
      <c r="E105" s="328">
        <f t="shared" si="0"/>
        <v>0</v>
      </c>
      <c r="F105" s="877"/>
      <c r="G105" s="877"/>
      <c r="H105" s="877"/>
      <c r="I105" s="877"/>
      <c r="J105" s="878"/>
    </row>
    <row r="106" spans="1:10" ht="39.6">
      <c r="A106" s="330" t="s">
        <v>5825</v>
      </c>
      <c r="B106" s="337" t="s">
        <v>484</v>
      </c>
      <c r="C106" s="336" t="s">
        <v>679</v>
      </c>
      <c r="D106" s="328" t="s">
        <v>679</v>
      </c>
      <c r="E106" s="336">
        <f t="shared" si="0"/>
        <v>0</v>
      </c>
      <c r="F106" s="877"/>
      <c r="G106" s="877"/>
      <c r="H106" s="877"/>
      <c r="I106" s="877"/>
      <c r="J106" s="878"/>
    </row>
    <row r="107" spans="1:10" ht="26.4">
      <c r="A107" s="327" t="s">
        <v>5826</v>
      </c>
      <c r="B107" s="337" t="s">
        <v>484</v>
      </c>
      <c r="C107" s="336" t="s">
        <v>679</v>
      </c>
      <c r="D107" s="328" t="s">
        <v>679</v>
      </c>
      <c r="E107" s="328">
        <f t="shared" si="0"/>
        <v>0</v>
      </c>
      <c r="F107" s="877"/>
      <c r="G107" s="877"/>
      <c r="H107" s="877"/>
      <c r="I107" s="877"/>
      <c r="J107" s="878"/>
    </row>
    <row r="108" spans="1:10" ht="18.75" customHeight="1">
      <c r="A108" s="330" t="s">
        <v>5811</v>
      </c>
      <c r="B108" s="337" t="s">
        <v>484</v>
      </c>
      <c r="C108" s="336" t="s">
        <v>679</v>
      </c>
      <c r="D108" s="328" t="s">
        <v>679</v>
      </c>
      <c r="E108" s="336">
        <f t="shared" si="0"/>
        <v>0</v>
      </c>
      <c r="F108" s="877"/>
      <c r="G108" s="877"/>
      <c r="H108" s="877"/>
      <c r="I108" s="877"/>
      <c r="J108" s="878"/>
    </row>
    <row r="109" spans="1:10" ht="26.4">
      <c r="A109" s="327" t="s">
        <v>5812</v>
      </c>
      <c r="B109" s="337" t="s">
        <v>484</v>
      </c>
      <c r="C109" s="336" t="s">
        <v>679</v>
      </c>
      <c r="D109" s="328" t="s">
        <v>679</v>
      </c>
      <c r="E109" s="328">
        <f t="shared" si="0"/>
        <v>0</v>
      </c>
      <c r="F109" s="877"/>
      <c r="G109" s="877"/>
      <c r="H109" s="877"/>
      <c r="I109" s="877"/>
      <c r="J109" s="878"/>
    </row>
    <row r="110" spans="1:10" ht="28.5" customHeight="1">
      <c r="A110" s="865" t="s">
        <v>5848</v>
      </c>
      <c r="B110" s="713"/>
      <c r="C110" s="871" t="str">
        <f>IFERROR(SUM(E102:E109)/COUNTIF(C102:C109,"Yes"),"")</f>
        <v/>
      </c>
      <c r="D110" s="872"/>
      <c r="E110" s="866" t="s">
        <v>5849</v>
      </c>
      <c r="F110" s="866"/>
      <c r="G110" s="866"/>
      <c r="H110" s="866"/>
      <c r="I110" s="866"/>
      <c r="J110" s="867"/>
    </row>
    <row r="111" spans="1:10" ht="20.25" customHeight="1">
      <c r="A111" s="335"/>
      <c r="B111" s="320"/>
      <c r="C111" s="320"/>
      <c r="D111" s="320"/>
      <c r="E111" s="320"/>
      <c r="F111" s="320"/>
      <c r="G111" s="320"/>
      <c r="H111" s="231"/>
      <c r="I111" s="231"/>
      <c r="J111" s="333"/>
    </row>
    <row r="112" spans="1:10">
      <c r="A112" s="876" t="s">
        <v>5877</v>
      </c>
      <c r="B112" s="853"/>
      <c r="C112" s="853"/>
      <c r="D112" s="842"/>
      <c r="E112" s="853"/>
      <c r="F112" s="853"/>
      <c r="G112" s="842"/>
      <c r="H112" s="842"/>
      <c r="I112" s="842"/>
      <c r="J112" s="868"/>
    </row>
    <row r="113" spans="1:10" ht="30" customHeight="1">
      <c r="A113" s="325" t="s">
        <v>5850</v>
      </c>
      <c r="B113" s="326" t="s">
        <v>77</v>
      </c>
      <c r="C113" s="326" t="s">
        <v>5827</v>
      </c>
      <c r="D113" s="326" t="s">
        <v>5828</v>
      </c>
      <c r="E113" s="326" t="s">
        <v>5829</v>
      </c>
      <c r="F113" s="326" t="s">
        <v>5851</v>
      </c>
      <c r="G113" s="859" t="s">
        <v>5852</v>
      </c>
      <c r="H113" s="859"/>
      <c r="I113" s="859"/>
      <c r="J113" s="860"/>
    </row>
    <row r="114" spans="1:10" ht="26.4">
      <c r="A114" s="330" t="s">
        <v>5830</v>
      </c>
      <c r="B114" s="336" t="s">
        <v>484</v>
      </c>
      <c r="C114" s="336" t="s">
        <v>1096</v>
      </c>
      <c r="D114" s="336" t="s">
        <v>1096</v>
      </c>
      <c r="E114" s="336" t="s">
        <v>1096</v>
      </c>
      <c r="F114" s="336" t="s">
        <v>348</v>
      </c>
      <c r="G114" s="869"/>
      <c r="H114" s="869"/>
      <c r="I114" s="869"/>
      <c r="J114" s="870"/>
    </row>
    <row r="115" spans="1:10" ht="53.4" customHeight="1">
      <c r="A115" s="327" t="s">
        <v>5831</v>
      </c>
      <c r="B115" s="336" t="s">
        <v>484</v>
      </c>
      <c r="C115" s="336" t="s">
        <v>1096</v>
      </c>
      <c r="D115" s="336" t="s">
        <v>1096</v>
      </c>
      <c r="E115" s="336" t="s">
        <v>1096</v>
      </c>
      <c r="F115" s="336" t="s">
        <v>348</v>
      </c>
      <c r="G115" s="869"/>
      <c r="H115" s="869"/>
      <c r="I115" s="869"/>
      <c r="J115" s="870"/>
    </row>
    <row r="116" spans="1:10" ht="53.4" customHeight="1">
      <c r="A116" s="330" t="s">
        <v>5853</v>
      </c>
      <c r="B116" s="336" t="s">
        <v>484</v>
      </c>
      <c r="C116" s="336" t="s">
        <v>1096</v>
      </c>
      <c r="D116" s="336" t="s">
        <v>1096</v>
      </c>
      <c r="E116" s="336" t="s">
        <v>1096</v>
      </c>
      <c r="F116" s="336" t="s">
        <v>348</v>
      </c>
      <c r="G116" s="869"/>
      <c r="H116" s="869"/>
      <c r="I116" s="869"/>
      <c r="J116" s="870"/>
    </row>
    <row r="117" spans="1:10" ht="53.4" customHeight="1">
      <c r="A117" s="327" t="s">
        <v>5832</v>
      </c>
      <c r="B117" s="336" t="s">
        <v>484</v>
      </c>
      <c r="C117" s="336" t="s">
        <v>1096</v>
      </c>
      <c r="D117" s="336" t="s">
        <v>1096</v>
      </c>
      <c r="E117" s="336" t="s">
        <v>1096</v>
      </c>
      <c r="F117" s="336" t="s">
        <v>348</v>
      </c>
      <c r="G117" s="869"/>
      <c r="H117" s="869"/>
      <c r="I117" s="869"/>
      <c r="J117" s="870"/>
    </row>
    <row r="118" spans="1:10" ht="53.4" customHeight="1">
      <c r="A118" s="330" t="s">
        <v>5833</v>
      </c>
      <c r="B118" s="336" t="s">
        <v>484</v>
      </c>
      <c r="C118" s="336" t="s">
        <v>1096</v>
      </c>
      <c r="D118" s="336" t="s">
        <v>1096</v>
      </c>
      <c r="E118" s="336" t="s">
        <v>1096</v>
      </c>
      <c r="F118" s="336" t="s">
        <v>348</v>
      </c>
      <c r="G118" s="869"/>
      <c r="H118" s="869"/>
      <c r="I118" s="869"/>
      <c r="J118" s="870"/>
    </row>
    <row r="119" spans="1:10" ht="53.4" customHeight="1">
      <c r="A119" s="865" t="s">
        <v>5884</v>
      </c>
      <c r="B119" s="713"/>
      <c r="C119" s="871">
        <f>IFERROR(COUNTIF(E114:E118,"Yes")/COUNTA(A114:A118),"")</f>
        <v>0</v>
      </c>
      <c r="D119" s="872"/>
      <c r="E119" s="866" t="s">
        <v>5855</v>
      </c>
      <c r="F119" s="866"/>
      <c r="G119" s="866"/>
      <c r="H119" s="866"/>
      <c r="I119" s="866"/>
      <c r="J119" s="867"/>
    </row>
    <row r="120" spans="1:10" ht="20.25" customHeight="1">
      <c r="A120" s="335"/>
      <c r="B120" s="320"/>
      <c r="C120" s="320"/>
      <c r="D120" s="320"/>
      <c r="E120" s="320"/>
      <c r="F120" s="320"/>
      <c r="G120" s="874"/>
      <c r="H120" s="874"/>
      <c r="I120" s="874"/>
      <c r="J120" s="875"/>
    </row>
    <row r="121" spans="1:10" ht="53.4" customHeight="1">
      <c r="A121" s="876" t="s">
        <v>5878</v>
      </c>
      <c r="B121" s="853"/>
      <c r="C121" s="853"/>
      <c r="D121" s="842"/>
      <c r="E121" s="853"/>
      <c r="F121" s="853"/>
      <c r="G121" s="842"/>
      <c r="H121" s="842"/>
      <c r="I121" s="842"/>
      <c r="J121" s="868"/>
    </row>
    <row r="122" spans="1:10" ht="53.4" customHeight="1">
      <c r="A122" s="326" t="s">
        <v>5813</v>
      </c>
      <c r="B122" s="326" t="s">
        <v>77</v>
      </c>
      <c r="C122" s="326" t="s">
        <v>5834</v>
      </c>
      <c r="D122" s="326" t="s">
        <v>5835</v>
      </c>
      <c r="E122" s="326" t="s">
        <v>5836</v>
      </c>
      <c r="F122" s="326" t="s">
        <v>5837</v>
      </c>
      <c r="G122" s="859" t="s">
        <v>5885</v>
      </c>
      <c r="H122" s="859"/>
      <c r="I122" s="859"/>
      <c r="J122" s="859"/>
    </row>
    <row r="123" spans="1:10">
      <c r="A123" s="332" t="s">
        <v>153</v>
      </c>
      <c r="B123" s="328" t="s">
        <v>484</v>
      </c>
      <c r="C123" s="328"/>
      <c r="D123" s="328"/>
      <c r="E123" s="328"/>
      <c r="F123" s="329" t="str">
        <f>IFERROR(D123/C123,"")</f>
        <v/>
      </c>
      <c r="G123" s="873"/>
      <c r="H123" s="873"/>
      <c r="I123" s="873"/>
      <c r="J123" s="873"/>
    </row>
    <row r="124" spans="1:10">
      <c r="A124" s="339" t="s">
        <v>155</v>
      </c>
      <c r="B124" s="336" t="s">
        <v>484</v>
      </c>
      <c r="C124" s="336"/>
      <c r="D124" s="336"/>
      <c r="E124" s="336"/>
      <c r="F124" s="331" t="str">
        <f>IFERROR(D124/C124,"")</f>
        <v/>
      </c>
      <c r="G124" s="873"/>
      <c r="H124" s="873"/>
      <c r="I124" s="873"/>
      <c r="J124" s="873"/>
    </row>
    <row r="125" spans="1:10">
      <c r="A125" s="332" t="s">
        <v>4821</v>
      </c>
      <c r="B125" s="328" t="s">
        <v>484</v>
      </c>
      <c r="C125" s="328"/>
      <c r="D125" s="328"/>
      <c r="E125" s="328"/>
      <c r="F125" s="329" t="str">
        <f>IFERROR(D125/C125,"")</f>
        <v/>
      </c>
      <c r="G125" s="873"/>
      <c r="H125" s="873"/>
      <c r="I125" s="873"/>
      <c r="J125" s="873"/>
    </row>
    <row r="126" spans="1:10">
      <c r="A126" s="339" t="s">
        <v>957</v>
      </c>
      <c r="B126" s="336" t="s">
        <v>484</v>
      </c>
      <c r="C126" s="336"/>
      <c r="D126" s="336"/>
      <c r="E126" s="336"/>
      <c r="F126" s="331" t="str">
        <f>IFERROR(D126/C126,"")</f>
        <v/>
      </c>
      <c r="G126" s="873"/>
      <c r="H126" s="873"/>
      <c r="I126" s="873"/>
      <c r="J126" s="873"/>
    </row>
    <row r="127" spans="1:10">
      <c r="A127" s="879" t="s">
        <v>5856</v>
      </c>
      <c r="B127" s="879"/>
      <c r="C127" s="879"/>
      <c r="D127" s="879"/>
      <c r="E127" s="866" t="s">
        <v>5857</v>
      </c>
      <c r="F127" s="866"/>
      <c r="G127" s="866"/>
      <c r="H127" s="866"/>
      <c r="I127" s="866"/>
      <c r="J127" s="866"/>
    </row>
    <row r="128" spans="1:10">
      <c r="A128" s="879"/>
      <c r="B128" s="879"/>
      <c r="C128" s="879"/>
      <c r="D128" s="879"/>
      <c r="E128" s="866"/>
      <c r="F128" s="866"/>
      <c r="G128" s="866"/>
      <c r="H128" s="866"/>
      <c r="I128" s="866"/>
      <c r="J128" s="866"/>
    </row>
    <row r="129" spans="1:10">
      <c r="A129" s="842" t="s">
        <v>5879</v>
      </c>
      <c r="B129" s="842"/>
      <c r="C129" s="842"/>
      <c r="D129" s="842"/>
      <c r="E129" s="842"/>
      <c r="F129" s="842"/>
      <c r="G129" s="842"/>
      <c r="H129" s="842"/>
      <c r="I129" s="842"/>
      <c r="J129" s="842"/>
    </row>
    <row r="130" spans="1:10">
      <c r="A130" s="326" t="s">
        <v>4946</v>
      </c>
      <c r="B130" s="326" t="s">
        <v>77</v>
      </c>
      <c r="C130" s="326" t="s">
        <v>5845</v>
      </c>
      <c r="D130" s="326" t="s">
        <v>482</v>
      </c>
      <c r="E130" s="326" t="s">
        <v>572</v>
      </c>
      <c r="F130" s="326" t="s">
        <v>944</v>
      </c>
      <c r="G130" s="859" t="s">
        <v>5847</v>
      </c>
      <c r="H130" s="859"/>
      <c r="I130" s="859"/>
      <c r="J130" s="859"/>
    </row>
    <row r="131" spans="1:10" ht="26.4">
      <c r="A131" s="332" t="s">
        <v>5814</v>
      </c>
      <c r="B131" s="328" t="s">
        <v>484</v>
      </c>
      <c r="C131" s="328" t="s">
        <v>392</v>
      </c>
      <c r="D131" s="328" t="s">
        <v>1096</v>
      </c>
      <c r="E131" s="328">
        <f t="shared" ref="E131:E136" si="1">IF(D131="Yes",1,0)</f>
        <v>0</v>
      </c>
      <c r="F131" s="328"/>
      <c r="G131" s="873"/>
      <c r="H131" s="873"/>
      <c r="I131" s="873"/>
      <c r="J131" s="873"/>
    </row>
    <row r="132" spans="1:10">
      <c r="A132" s="339" t="s">
        <v>5815</v>
      </c>
      <c r="B132" s="328" t="s">
        <v>484</v>
      </c>
      <c r="C132" s="336" t="s">
        <v>392</v>
      </c>
      <c r="D132" s="328" t="s">
        <v>1096</v>
      </c>
      <c r="E132" s="336">
        <f t="shared" si="1"/>
        <v>0</v>
      </c>
      <c r="F132" s="336"/>
      <c r="G132" s="873"/>
      <c r="H132" s="873"/>
      <c r="I132" s="873"/>
      <c r="J132" s="873"/>
    </row>
    <row r="133" spans="1:10" ht="26.4">
      <c r="A133" s="332" t="s">
        <v>5816</v>
      </c>
      <c r="B133" s="328" t="s">
        <v>484</v>
      </c>
      <c r="C133" s="328" t="s">
        <v>392</v>
      </c>
      <c r="D133" s="328" t="s">
        <v>1096</v>
      </c>
      <c r="E133" s="328">
        <f t="shared" si="1"/>
        <v>0</v>
      </c>
      <c r="F133" s="328"/>
      <c r="G133" s="873"/>
      <c r="H133" s="873"/>
      <c r="I133" s="873"/>
      <c r="J133" s="873"/>
    </row>
    <row r="134" spans="1:10">
      <c r="A134" s="339" t="s">
        <v>5838</v>
      </c>
      <c r="B134" s="328" t="s">
        <v>484</v>
      </c>
      <c r="C134" s="336" t="s">
        <v>392</v>
      </c>
      <c r="D134" s="328" t="s">
        <v>1096</v>
      </c>
      <c r="E134" s="336">
        <f t="shared" si="1"/>
        <v>0</v>
      </c>
      <c r="F134" s="336"/>
      <c r="G134" s="873"/>
      <c r="H134" s="873"/>
      <c r="I134" s="873"/>
      <c r="J134" s="873"/>
    </row>
    <row r="135" spans="1:10" ht="27.75" customHeight="1">
      <c r="A135" s="332" t="s">
        <v>5839</v>
      </c>
      <c r="B135" s="328" t="s">
        <v>484</v>
      </c>
      <c r="C135" s="328" t="s">
        <v>392</v>
      </c>
      <c r="D135" s="328" t="s">
        <v>1096</v>
      </c>
      <c r="E135" s="328">
        <f t="shared" si="1"/>
        <v>0</v>
      </c>
      <c r="F135" s="328"/>
      <c r="G135" s="873"/>
      <c r="H135" s="873"/>
      <c r="I135" s="873"/>
      <c r="J135" s="873"/>
    </row>
    <row r="136" spans="1:10" ht="29.25" customHeight="1">
      <c r="A136" s="339" t="s">
        <v>5840</v>
      </c>
      <c r="B136" s="328" t="s">
        <v>484</v>
      </c>
      <c r="C136" s="336" t="s">
        <v>392</v>
      </c>
      <c r="D136" s="336" t="s">
        <v>1096</v>
      </c>
      <c r="E136" s="336">
        <f t="shared" si="1"/>
        <v>0</v>
      </c>
      <c r="F136" s="336"/>
      <c r="G136" s="873"/>
      <c r="H136" s="873"/>
      <c r="I136" s="873"/>
      <c r="J136" s="873"/>
    </row>
    <row r="137" spans="1:10" ht="15.6">
      <c r="A137" s="880" t="s">
        <v>5858</v>
      </c>
      <c r="B137" s="713"/>
      <c r="C137" s="871">
        <f>IFERROR(SUM(E131:E136)/COUNTIF(C131:C136,"Yes"),"")</f>
        <v>0</v>
      </c>
      <c r="D137" s="872"/>
      <c r="E137" s="866" t="s">
        <v>5859</v>
      </c>
      <c r="F137" s="866"/>
      <c r="G137" s="866"/>
      <c r="H137" s="866"/>
      <c r="I137" s="866"/>
      <c r="J137" s="866"/>
    </row>
    <row r="138" spans="1:10" ht="20.25" customHeight="1">
      <c r="A138" s="196"/>
      <c r="B138" s="196"/>
      <c r="C138" s="196"/>
      <c r="D138" s="196"/>
      <c r="E138" s="196"/>
      <c r="F138" s="196"/>
      <c r="G138" s="196"/>
      <c r="H138" s="196"/>
      <c r="I138" s="196"/>
      <c r="J138" s="196"/>
    </row>
    <row r="139" spans="1:10">
      <c r="A139" s="842" t="s">
        <v>5880</v>
      </c>
      <c r="B139" s="853"/>
      <c r="C139" s="853"/>
      <c r="D139" s="321"/>
      <c r="E139" s="321"/>
      <c r="F139" s="321"/>
      <c r="G139" s="321"/>
      <c r="H139" s="321"/>
      <c r="I139" s="321"/>
      <c r="J139" s="321"/>
    </row>
    <row r="140" spans="1:10" ht="55.2">
      <c r="A140" s="322" t="s">
        <v>905</v>
      </c>
      <c r="B140" s="322" t="s">
        <v>830</v>
      </c>
      <c r="C140" s="322"/>
      <c r="D140" s="322"/>
      <c r="E140" s="322"/>
      <c r="F140" s="322"/>
      <c r="G140" s="322"/>
      <c r="H140" s="322"/>
      <c r="I140" s="322"/>
      <c r="J140" s="322"/>
    </row>
    <row r="141" spans="1:10">
      <c r="A141" s="319" t="s">
        <v>1086</v>
      </c>
      <c r="B141" s="852" t="s">
        <v>3292</v>
      </c>
      <c r="C141" s="853"/>
      <c r="D141" s="853"/>
      <c r="E141" s="853"/>
      <c r="F141" s="853"/>
      <c r="G141" s="853"/>
      <c r="H141" s="853"/>
      <c r="I141" s="853"/>
      <c r="J141" s="853"/>
    </row>
    <row r="142" spans="1:10" ht="27.6">
      <c r="A142" s="319" t="s">
        <v>2090</v>
      </c>
      <c r="B142" s="852" t="s">
        <v>3293</v>
      </c>
      <c r="C142" s="853"/>
      <c r="D142" s="853"/>
      <c r="E142" s="853"/>
      <c r="F142" s="853"/>
      <c r="G142" s="853"/>
      <c r="H142" s="853"/>
      <c r="I142" s="853"/>
      <c r="J142" s="853"/>
    </row>
    <row r="143" spans="1:10">
      <c r="A143" s="319" t="s">
        <v>1089</v>
      </c>
      <c r="B143" s="852" t="s">
        <v>3294</v>
      </c>
      <c r="C143" s="853"/>
      <c r="D143" s="853"/>
      <c r="E143" s="853"/>
      <c r="F143" s="853"/>
      <c r="G143" s="853"/>
      <c r="H143" s="853"/>
      <c r="I143" s="853"/>
      <c r="J143" s="853"/>
    </row>
    <row r="144" spans="1:10">
      <c r="A144" s="319" t="s">
        <v>1090</v>
      </c>
      <c r="B144" s="852" t="s">
        <v>3295</v>
      </c>
      <c r="C144" s="853"/>
      <c r="D144" s="853"/>
      <c r="E144" s="853"/>
      <c r="F144" s="853"/>
      <c r="G144" s="853"/>
      <c r="H144" s="853"/>
      <c r="I144" s="853"/>
      <c r="J144" s="853"/>
    </row>
    <row r="145" spans="1:10">
      <c r="A145" s="319" t="s">
        <v>1088</v>
      </c>
      <c r="B145" s="852" t="s">
        <v>3296</v>
      </c>
      <c r="C145" s="853"/>
      <c r="D145" s="853"/>
      <c r="E145" s="853"/>
      <c r="F145" s="853"/>
      <c r="G145" s="853"/>
      <c r="H145" s="853"/>
      <c r="I145" s="853"/>
      <c r="J145" s="853"/>
    </row>
    <row r="146" spans="1:10" ht="27.6">
      <c r="A146" s="319" t="s">
        <v>3297</v>
      </c>
      <c r="B146" s="852" t="s">
        <v>3298</v>
      </c>
      <c r="C146" s="853"/>
      <c r="D146" s="853"/>
      <c r="E146" s="853"/>
      <c r="F146" s="853"/>
      <c r="G146" s="853"/>
      <c r="H146" s="853"/>
      <c r="I146" s="853"/>
      <c r="J146" s="853"/>
    </row>
    <row r="147" spans="1:10">
      <c r="A147" s="319" t="s">
        <v>1563</v>
      </c>
      <c r="B147" s="852" t="s">
        <v>1776</v>
      </c>
      <c r="C147" s="853"/>
      <c r="D147" s="853"/>
      <c r="E147" s="853"/>
      <c r="F147" s="853"/>
      <c r="G147" s="853"/>
      <c r="H147" s="853"/>
      <c r="I147" s="853"/>
      <c r="J147" s="853"/>
    </row>
    <row r="148" spans="1:10">
      <c r="A148" s="231"/>
      <c r="B148" s="231"/>
      <c r="C148" s="231"/>
      <c r="D148" s="231"/>
      <c r="E148" s="231"/>
      <c r="F148" s="231"/>
      <c r="G148" s="231"/>
      <c r="H148" s="231"/>
      <c r="I148" s="231"/>
      <c r="J148" s="231"/>
    </row>
    <row r="149" spans="1:10" ht="17.399999999999999">
      <c r="A149" s="827" t="s">
        <v>5769</v>
      </c>
      <c r="B149" s="827"/>
      <c r="C149" s="827"/>
      <c r="D149" s="827"/>
      <c r="E149" s="827"/>
      <c r="F149" s="827"/>
      <c r="G149" s="827"/>
      <c r="H149" s="827"/>
      <c r="I149" s="231"/>
      <c r="J149" s="231"/>
    </row>
    <row r="150" spans="1:10">
      <c r="A150" s="276" t="s">
        <v>2</v>
      </c>
      <c r="B150" s="828" t="s">
        <v>5770</v>
      </c>
      <c r="C150" s="828"/>
      <c r="D150" s="828"/>
      <c r="E150" s="828"/>
      <c r="F150" s="828"/>
      <c r="G150" s="828"/>
      <c r="H150" s="828"/>
      <c r="I150" s="231"/>
      <c r="J150" s="231"/>
    </row>
    <row r="151" spans="1:10">
      <c r="A151" s="276" t="s">
        <v>5771</v>
      </c>
      <c r="B151" s="828" t="s">
        <v>5772</v>
      </c>
      <c r="C151" s="828"/>
      <c r="D151" s="828"/>
      <c r="E151" s="828"/>
      <c r="F151" s="828"/>
      <c r="G151" s="828"/>
      <c r="H151" s="828"/>
      <c r="I151" s="231"/>
      <c r="J151" s="231"/>
    </row>
    <row r="152" spans="1:10">
      <c r="A152" s="196"/>
      <c r="B152" s="196"/>
      <c r="C152" s="196"/>
      <c r="D152" s="196"/>
      <c r="E152" s="196"/>
      <c r="F152" s="196"/>
      <c r="G152" s="196"/>
      <c r="H152" s="196"/>
      <c r="I152" s="231"/>
      <c r="J152" s="231"/>
    </row>
    <row r="153" spans="1:10">
      <c r="A153" s="323" t="s">
        <v>4946</v>
      </c>
      <c r="B153" s="323" t="s">
        <v>77</v>
      </c>
      <c r="C153" s="323" t="s">
        <v>5773</v>
      </c>
      <c r="D153" s="323" t="s">
        <v>263</v>
      </c>
      <c r="E153" s="323" t="s">
        <v>216</v>
      </c>
      <c r="F153" s="323" t="s">
        <v>5774</v>
      </c>
      <c r="G153" s="323" t="s">
        <v>5775</v>
      </c>
      <c r="H153" s="323" t="s">
        <v>5776</v>
      </c>
      <c r="I153" s="231"/>
      <c r="J153" s="231"/>
    </row>
    <row r="154" spans="1:10" ht="26.4">
      <c r="A154" s="277" t="s">
        <v>5777</v>
      </c>
      <c r="B154" s="278" t="s">
        <v>1096</v>
      </c>
      <c r="C154" s="277"/>
      <c r="D154" s="277"/>
      <c r="E154" s="277"/>
      <c r="F154" s="277"/>
      <c r="G154" s="279" t="str">
        <f t="shared" ref="G154:G161" si="2">IF(OR(B154="Yes",B154="N/A"),"🟢","🟡")</f>
        <v>🟡</v>
      </c>
      <c r="H154" s="277"/>
      <c r="I154" s="231"/>
      <c r="J154" s="231"/>
    </row>
    <row r="155" spans="1:10">
      <c r="A155" s="277" t="s">
        <v>5778</v>
      </c>
      <c r="B155" s="278" t="s">
        <v>1096</v>
      </c>
      <c r="C155" s="277"/>
      <c r="D155" s="277"/>
      <c r="E155" s="277"/>
      <c r="F155" s="277"/>
      <c r="G155" s="279" t="str">
        <f t="shared" si="2"/>
        <v>🟡</v>
      </c>
      <c r="H155" s="277"/>
      <c r="I155" s="231"/>
      <c r="J155" s="231"/>
    </row>
    <row r="156" spans="1:10">
      <c r="A156" s="277" t="s">
        <v>5779</v>
      </c>
      <c r="B156" s="278" t="s">
        <v>1096</v>
      </c>
      <c r="C156" s="277"/>
      <c r="D156" s="277"/>
      <c r="E156" s="277"/>
      <c r="F156" s="277"/>
      <c r="G156" s="279" t="str">
        <f t="shared" si="2"/>
        <v>🟡</v>
      </c>
      <c r="H156" s="277"/>
      <c r="I156" s="231"/>
      <c r="J156" s="231"/>
    </row>
    <row r="157" spans="1:10">
      <c r="A157" s="277" t="s">
        <v>5168</v>
      </c>
      <c r="B157" s="278" t="s">
        <v>1096</v>
      </c>
      <c r="C157" s="277"/>
      <c r="D157" s="277"/>
      <c r="E157" s="277"/>
      <c r="F157" s="277"/>
      <c r="G157" s="279" t="str">
        <f t="shared" si="2"/>
        <v>🟡</v>
      </c>
      <c r="H157" s="277"/>
      <c r="I157" s="231"/>
      <c r="J157" s="231"/>
    </row>
    <row r="158" spans="1:10">
      <c r="A158" s="277" t="s">
        <v>5780</v>
      </c>
      <c r="B158" s="278" t="s">
        <v>1096</v>
      </c>
      <c r="C158" s="277"/>
      <c r="D158" s="277"/>
      <c r="E158" s="277"/>
      <c r="F158" s="277"/>
      <c r="G158" s="279" t="str">
        <f t="shared" si="2"/>
        <v>🟡</v>
      </c>
      <c r="H158" s="277"/>
      <c r="I158" s="231"/>
      <c r="J158" s="231"/>
    </row>
    <row r="159" spans="1:10">
      <c r="A159" s="277" t="s">
        <v>5781</v>
      </c>
      <c r="B159" s="278" t="s">
        <v>1096</v>
      </c>
      <c r="C159" s="277"/>
      <c r="D159" s="277"/>
      <c r="E159" s="277"/>
      <c r="F159" s="277"/>
      <c r="G159" s="279" t="str">
        <f t="shared" si="2"/>
        <v>🟡</v>
      </c>
      <c r="H159" s="277"/>
      <c r="I159" s="231"/>
      <c r="J159" s="231"/>
    </row>
    <row r="160" spans="1:10">
      <c r="A160" s="277" t="s">
        <v>178</v>
      </c>
      <c r="B160" s="278" t="s">
        <v>1096</v>
      </c>
      <c r="C160" s="277"/>
      <c r="D160" s="277"/>
      <c r="E160" s="277"/>
      <c r="F160" s="277"/>
      <c r="G160" s="279" t="str">
        <f t="shared" si="2"/>
        <v>🟡</v>
      </c>
      <c r="H160" s="277"/>
      <c r="I160" s="231"/>
      <c r="J160" s="231"/>
    </row>
    <row r="161" spans="1:10" ht="26.4">
      <c r="A161" s="277" t="s">
        <v>5782</v>
      </c>
      <c r="B161" s="278" t="s">
        <v>1096</v>
      </c>
      <c r="C161" s="277"/>
      <c r="D161" s="277"/>
      <c r="E161" s="277"/>
      <c r="F161" s="277"/>
      <c r="G161" s="279" t="str">
        <f t="shared" si="2"/>
        <v>🟡</v>
      </c>
      <c r="H161" s="277"/>
      <c r="I161" s="231"/>
      <c r="J161" s="231"/>
    </row>
    <row r="162" spans="1:10">
      <c r="A162" s="324" t="s">
        <v>4946</v>
      </c>
      <c r="B162" s="324" t="s">
        <v>5790</v>
      </c>
      <c r="C162" s="196"/>
      <c r="D162" s="196"/>
      <c r="E162" s="324" t="s">
        <v>5791</v>
      </c>
      <c r="F162" s="196"/>
      <c r="G162" s="196"/>
      <c r="H162" s="196"/>
      <c r="I162" s="231"/>
      <c r="J162" s="231"/>
    </row>
    <row r="163" spans="1:10" ht="26.4">
      <c r="A163" s="291" t="s">
        <v>5777</v>
      </c>
      <c r="B163" s="768" t="s">
        <v>5792</v>
      </c>
      <c r="C163" s="768"/>
      <c r="D163" s="768"/>
      <c r="E163" s="768" t="s">
        <v>5793</v>
      </c>
      <c r="F163" s="768"/>
      <c r="G163" s="768"/>
      <c r="H163" s="196"/>
      <c r="I163" s="231"/>
      <c r="J163" s="231"/>
    </row>
    <row r="164" spans="1:10">
      <c r="A164" s="291" t="s">
        <v>5778</v>
      </c>
      <c r="B164" s="768" t="s">
        <v>5794</v>
      </c>
      <c r="C164" s="768"/>
      <c r="D164" s="768"/>
      <c r="E164" s="768" t="s">
        <v>5795</v>
      </c>
      <c r="F164" s="768"/>
      <c r="G164" s="768"/>
      <c r="H164" s="196"/>
      <c r="I164" s="231"/>
      <c r="J164" s="231"/>
    </row>
    <row r="165" spans="1:10">
      <c r="A165" s="291" t="s">
        <v>5779</v>
      </c>
      <c r="B165" s="768" t="s">
        <v>5796</v>
      </c>
      <c r="C165" s="768"/>
      <c r="D165" s="768"/>
      <c r="E165" s="768" t="s">
        <v>5797</v>
      </c>
      <c r="F165" s="768"/>
      <c r="G165" s="768"/>
      <c r="H165" s="196"/>
      <c r="I165" s="231"/>
      <c r="J165" s="231"/>
    </row>
    <row r="166" spans="1:10">
      <c r="A166" s="291" t="s">
        <v>5168</v>
      </c>
      <c r="B166" s="768" t="s">
        <v>5798</v>
      </c>
      <c r="C166" s="768"/>
      <c r="D166" s="768"/>
      <c r="E166" s="768" t="s">
        <v>5799</v>
      </c>
      <c r="F166" s="768"/>
      <c r="G166" s="768"/>
      <c r="H166" s="196"/>
      <c r="I166" s="231"/>
      <c r="J166" s="231"/>
    </row>
    <row r="167" spans="1:10">
      <c r="A167" s="291" t="s">
        <v>5780</v>
      </c>
      <c r="B167" s="768" t="s">
        <v>5800</v>
      </c>
      <c r="C167" s="768"/>
      <c r="D167" s="768"/>
      <c r="E167" s="768" t="s">
        <v>5801</v>
      </c>
      <c r="F167" s="768"/>
      <c r="G167" s="768"/>
      <c r="H167" s="196"/>
      <c r="I167" s="231"/>
      <c r="J167" s="231"/>
    </row>
    <row r="168" spans="1:10">
      <c r="A168" s="291" t="s">
        <v>5781</v>
      </c>
      <c r="B168" s="768" t="s">
        <v>5802</v>
      </c>
      <c r="C168" s="768"/>
      <c r="D168" s="768"/>
      <c r="E168" s="768" t="s">
        <v>5803</v>
      </c>
      <c r="F168" s="768"/>
      <c r="G168" s="768"/>
      <c r="H168" s="196"/>
      <c r="I168" s="231"/>
      <c r="J168" s="231"/>
    </row>
    <row r="169" spans="1:10">
      <c r="A169" s="291" t="s">
        <v>178</v>
      </c>
      <c r="B169" s="768" t="s">
        <v>5804</v>
      </c>
      <c r="C169" s="768"/>
      <c r="D169" s="768"/>
      <c r="E169" s="768" t="s">
        <v>5805</v>
      </c>
      <c r="F169" s="768"/>
      <c r="G169" s="768"/>
      <c r="H169" s="196"/>
      <c r="I169" s="231"/>
      <c r="J169" s="231"/>
    </row>
    <row r="170" spans="1:10" ht="26.4">
      <c r="A170" s="291" t="s">
        <v>5782</v>
      </c>
      <c r="B170" s="768" t="s">
        <v>5806</v>
      </c>
      <c r="C170" s="768"/>
      <c r="D170" s="768"/>
      <c r="E170" s="768" t="s">
        <v>5807</v>
      </c>
      <c r="F170" s="768"/>
      <c r="G170" s="768"/>
      <c r="H170" s="196"/>
      <c r="I170" s="231"/>
      <c r="J170" s="231"/>
    </row>
    <row r="171" spans="1:10">
      <c r="A171" s="276" t="s">
        <v>5783</v>
      </c>
      <c r="B171" s="280" t="str">
        <f>IF(COUNTIF(B154:B161,"No")=0,"🟢 PILOT COMPLETE / ACCEPTANCE READY","🟡 NOT COMPLETE — ACCEPTANCE GATES OPEN")</f>
        <v>🟡 NOT COMPLETE — ACCEPTANCE GATES OPEN</v>
      </c>
      <c r="C171" s="280"/>
      <c r="D171" s="280"/>
      <c r="E171" s="280"/>
      <c r="F171" s="280"/>
      <c r="G171" s="280"/>
      <c r="H171" s="280"/>
    </row>
    <row r="172" spans="1:10">
      <c r="A172" s="276" t="s">
        <v>5784</v>
      </c>
      <c r="B172" s="280">
        <f>COUNTIF(B154:B161,"No")</f>
        <v>8</v>
      </c>
      <c r="C172" s="280"/>
      <c r="D172" s="280"/>
      <c r="E172" s="280"/>
      <c r="F172" s="280"/>
      <c r="G172" s="280"/>
      <c r="H172" s="280"/>
    </row>
    <row r="173" spans="1:10">
      <c r="A173" s="276" t="s">
        <v>5785</v>
      </c>
      <c r="B173" s="280" t="str">
        <f>COUNTIF(B154:B161,"Yes")&amp;" / 8 Complete"</f>
        <v>0 / 8 Complete</v>
      </c>
      <c r="C173" s="280"/>
      <c r="D173" s="280"/>
      <c r="E173" s="280"/>
      <c r="F173" s="280"/>
      <c r="G173" s="280"/>
      <c r="H173" s="280"/>
    </row>
    <row r="174" spans="1:10" ht="93">
      <c r="A174" s="281" t="s">
        <v>5786</v>
      </c>
      <c r="B174" s="282" t="s">
        <v>5787</v>
      </c>
      <c r="C174" s="282"/>
      <c r="D174" s="282"/>
      <c r="E174" s="282"/>
      <c r="F174" s="282"/>
      <c r="G174" s="282"/>
      <c r="H174" s="282"/>
    </row>
    <row r="175" spans="1:10">
      <c r="A175" s="281"/>
      <c r="B175" s="282"/>
      <c r="C175" s="282"/>
      <c r="D175" s="282"/>
      <c r="E175" s="282"/>
      <c r="F175" s="282"/>
      <c r="G175" s="282"/>
      <c r="H175" s="282"/>
    </row>
    <row r="176" spans="1:10" ht="66.599999999999994">
      <c r="A176" s="281" t="s">
        <v>5788</v>
      </c>
      <c r="B176" s="282" t="s">
        <v>5789</v>
      </c>
      <c r="C176" s="282"/>
      <c r="D176" s="282"/>
      <c r="E176" s="282"/>
      <c r="F176" s="282"/>
      <c r="G176" s="282"/>
      <c r="H176" s="282"/>
    </row>
    <row r="177" spans="1:10">
      <c r="A177" s="842" t="s">
        <v>5901</v>
      </c>
      <c r="B177" s="842"/>
      <c r="C177" s="842"/>
      <c r="D177" s="842"/>
      <c r="E177" s="842"/>
      <c r="F177" s="842"/>
      <c r="G177" s="842"/>
      <c r="H177" s="842"/>
      <c r="I177" s="842"/>
      <c r="J177" s="842"/>
    </row>
    <row r="178" spans="1:10">
      <c r="A178" s="340" t="s">
        <v>5886</v>
      </c>
      <c r="B178" s="196"/>
      <c r="C178" s="196"/>
      <c r="D178" s="196"/>
      <c r="E178" s="196"/>
      <c r="F178" s="196"/>
      <c r="G178" s="196"/>
      <c r="H178" s="196"/>
      <c r="I178" s="196"/>
      <c r="J178" s="196"/>
    </row>
    <row r="179" spans="1:10">
      <c r="A179" s="196"/>
      <c r="B179" s="196"/>
      <c r="C179" s="196"/>
      <c r="D179" s="196"/>
      <c r="E179" s="196"/>
      <c r="F179" s="196"/>
      <c r="G179" s="196"/>
      <c r="H179" s="196"/>
      <c r="I179" s="196"/>
      <c r="J179" s="196"/>
    </row>
    <row r="180" spans="1:10">
      <c r="A180" s="196" t="s">
        <v>5887</v>
      </c>
      <c r="B180" s="196"/>
      <c r="C180" s="196"/>
      <c r="D180" s="196"/>
      <c r="E180" s="196"/>
      <c r="F180" s="196"/>
      <c r="G180" s="196"/>
      <c r="H180" s="196"/>
      <c r="I180" s="196"/>
      <c r="J180" s="196"/>
    </row>
    <row r="181" spans="1:10">
      <c r="A181" s="196"/>
      <c r="B181" s="196"/>
      <c r="C181" s="196"/>
      <c r="D181" s="196"/>
      <c r="E181" s="196"/>
      <c r="F181" s="196"/>
      <c r="G181" s="196"/>
      <c r="H181" s="196"/>
      <c r="I181" s="196"/>
      <c r="J181" s="196"/>
    </row>
    <row r="182" spans="1:10">
      <c r="A182" s="196" t="s">
        <v>5888</v>
      </c>
      <c r="B182" s="196"/>
      <c r="C182" s="196"/>
      <c r="D182" s="196"/>
      <c r="E182" s="196"/>
      <c r="F182" s="196"/>
      <c r="G182" s="196"/>
      <c r="H182" s="196"/>
      <c r="I182" s="196"/>
      <c r="J182" s="196"/>
    </row>
    <row r="183" spans="1:10">
      <c r="A183" s="196"/>
      <c r="B183" s="196"/>
      <c r="C183" s="196"/>
      <c r="D183" s="196"/>
      <c r="E183" s="196"/>
      <c r="F183" s="196"/>
      <c r="G183" s="196"/>
      <c r="H183" s="196"/>
      <c r="I183" s="196"/>
      <c r="J183" s="196"/>
    </row>
    <row r="184" spans="1:10">
      <c r="A184" s="196" t="s">
        <v>5889</v>
      </c>
      <c r="B184" s="196"/>
      <c r="C184" s="196"/>
      <c r="D184" s="196"/>
      <c r="E184" s="196"/>
      <c r="F184" s="196"/>
      <c r="G184" s="196"/>
      <c r="H184" s="196"/>
      <c r="I184" s="196"/>
      <c r="J184" s="196"/>
    </row>
    <row r="185" spans="1:10">
      <c r="A185" s="196"/>
      <c r="B185" s="196"/>
      <c r="C185" s="196"/>
      <c r="D185" s="196"/>
      <c r="E185" s="196"/>
      <c r="F185" s="196"/>
      <c r="G185" s="196"/>
      <c r="H185" s="196"/>
      <c r="I185" s="196"/>
      <c r="J185" s="196"/>
    </row>
    <row r="186" spans="1:10">
      <c r="A186" s="196"/>
      <c r="B186" s="196"/>
      <c r="C186" s="196"/>
      <c r="D186" s="196"/>
      <c r="E186" s="196"/>
      <c r="F186" s="196"/>
      <c r="G186" s="196"/>
      <c r="H186" s="196"/>
      <c r="I186" s="196"/>
      <c r="J186" s="196"/>
    </row>
    <row r="187" spans="1:10">
      <c r="A187" s="196"/>
      <c r="B187" s="196"/>
      <c r="C187" s="196"/>
      <c r="D187" s="196"/>
      <c r="E187" s="196"/>
      <c r="F187" s="196"/>
      <c r="G187" s="196"/>
      <c r="H187" s="196"/>
      <c r="I187" s="196"/>
      <c r="J187" s="196"/>
    </row>
    <row r="188" spans="1:10">
      <c r="A188" s="842" t="s">
        <v>5902</v>
      </c>
      <c r="B188" s="842"/>
      <c r="C188" s="842"/>
      <c r="D188" s="842"/>
      <c r="E188" s="842"/>
      <c r="F188" s="842"/>
      <c r="G188" s="842"/>
      <c r="H188" s="842"/>
      <c r="I188" s="842"/>
      <c r="J188" s="842"/>
    </row>
    <row r="189" spans="1:10">
      <c r="A189" s="196"/>
      <c r="B189" s="196"/>
      <c r="C189" s="196"/>
      <c r="D189" s="196"/>
      <c r="E189" s="196"/>
      <c r="F189" s="196"/>
      <c r="G189" s="196"/>
      <c r="H189" s="196"/>
      <c r="I189" s="196"/>
      <c r="J189" s="196"/>
    </row>
    <row r="190" spans="1:10">
      <c r="A190" s="196" t="s">
        <v>5890</v>
      </c>
      <c r="B190" s="196"/>
      <c r="C190" s="196"/>
      <c r="D190" s="196"/>
      <c r="E190" s="196"/>
      <c r="F190" s="196"/>
      <c r="G190" s="196"/>
      <c r="H190" s="196"/>
      <c r="I190" s="196"/>
      <c r="J190" s="196"/>
    </row>
    <row r="191" spans="1:10">
      <c r="A191" s="196"/>
      <c r="B191" s="196"/>
      <c r="C191" s="196"/>
      <c r="D191" s="196"/>
      <c r="E191" s="196"/>
      <c r="F191" s="196"/>
      <c r="G191" s="196"/>
      <c r="H191" s="196"/>
      <c r="I191" s="196"/>
      <c r="J191" s="196"/>
    </row>
    <row r="192" spans="1:10">
      <c r="A192" s="196" t="s">
        <v>5891</v>
      </c>
      <c r="B192" s="196"/>
      <c r="C192" s="196"/>
      <c r="D192" s="196"/>
      <c r="E192" s="196"/>
      <c r="F192" s="196"/>
      <c r="G192" s="196"/>
      <c r="H192" s="196"/>
      <c r="I192" s="196"/>
      <c r="J192" s="196"/>
    </row>
    <row r="193" spans="1:10">
      <c r="A193" s="196"/>
      <c r="B193" s="196"/>
      <c r="C193" s="196"/>
      <c r="D193" s="196"/>
      <c r="E193" s="196"/>
      <c r="F193" s="196"/>
      <c r="G193" s="196"/>
      <c r="H193" s="196"/>
      <c r="I193" s="196"/>
      <c r="J193" s="196"/>
    </row>
    <row r="194" spans="1:10">
      <c r="A194" s="196" t="s">
        <v>5892</v>
      </c>
      <c r="B194" s="196"/>
      <c r="C194" s="196"/>
      <c r="D194" s="196"/>
      <c r="E194" s="196"/>
      <c r="F194" s="196"/>
      <c r="G194" s="196"/>
      <c r="H194" s="196"/>
      <c r="I194" s="196"/>
      <c r="J194" s="196"/>
    </row>
    <row r="195" spans="1:10">
      <c r="A195" s="196"/>
      <c r="B195" s="196"/>
      <c r="C195" s="196"/>
      <c r="D195" s="196"/>
      <c r="E195" s="196"/>
      <c r="F195" s="196"/>
      <c r="G195" s="196"/>
      <c r="H195" s="196"/>
      <c r="I195" s="196"/>
      <c r="J195" s="196"/>
    </row>
    <row r="196" spans="1:10">
      <c r="A196" s="196"/>
      <c r="B196" s="196"/>
      <c r="C196" s="196"/>
      <c r="D196" s="196"/>
      <c r="E196" s="196"/>
      <c r="F196" s="196"/>
      <c r="G196" s="196"/>
      <c r="H196" s="196"/>
      <c r="I196" s="196"/>
      <c r="J196" s="196"/>
    </row>
    <row r="197" spans="1:10">
      <c r="A197" s="196"/>
      <c r="B197" s="196"/>
      <c r="C197" s="196"/>
      <c r="D197" s="196"/>
      <c r="E197" s="196"/>
      <c r="F197" s="196"/>
      <c r="G197" s="196"/>
      <c r="H197" s="196"/>
      <c r="I197" s="196"/>
      <c r="J197" s="196"/>
    </row>
    <row r="198" spans="1:10">
      <c r="A198" s="842" t="s">
        <v>5903</v>
      </c>
      <c r="B198" s="842"/>
      <c r="C198" s="842"/>
      <c r="D198" s="842"/>
      <c r="E198" s="842"/>
      <c r="F198" s="842"/>
      <c r="G198" s="842"/>
      <c r="H198" s="842"/>
      <c r="I198" s="842"/>
      <c r="J198" s="842"/>
    </row>
    <row r="199" spans="1:10">
      <c r="A199" s="196"/>
      <c r="B199" s="196"/>
      <c r="C199" s="196"/>
      <c r="D199" s="196"/>
      <c r="E199" s="196"/>
      <c r="F199" s="196"/>
      <c r="G199" s="196"/>
      <c r="H199" s="196"/>
      <c r="I199" s="196"/>
      <c r="J199" s="196"/>
    </row>
    <row r="200" spans="1:10">
      <c r="A200" s="196" t="s">
        <v>5893</v>
      </c>
      <c r="B200" s="196"/>
      <c r="C200" s="196"/>
      <c r="D200" s="196"/>
      <c r="E200" s="196"/>
      <c r="F200" s="196"/>
      <c r="G200" s="196"/>
      <c r="H200" s="196"/>
      <c r="I200" s="196"/>
      <c r="J200" s="196"/>
    </row>
    <row r="201" spans="1:10">
      <c r="A201" s="196"/>
      <c r="B201" s="196"/>
      <c r="C201" s="196"/>
      <c r="D201" s="196"/>
      <c r="E201" s="196"/>
      <c r="F201" s="196"/>
      <c r="G201" s="196"/>
      <c r="H201" s="196"/>
      <c r="I201" s="196"/>
      <c r="J201" s="196"/>
    </row>
    <row r="202" spans="1:10">
      <c r="A202" s="196" t="s">
        <v>5894</v>
      </c>
      <c r="B202" s="196"/>
      <c r="C202" s="196"/>
      <c r="D202" s="196"/>
      <c r="E202" s="196"/>
      <c r="F202" s="196"/>
      <c r="G202" s="196"/>
      <c r="H202" s="196"/>
      <c r="I202" s="196"/>
      <c r="J202" s="196"/>
    </row>
    <row r="203" spans="1:10">
      <c r="A203" s="196"/>
      <c r="B203" s="196"/>
      <c r="C203" s="196"/>
      <c r="D203" s="196"/>
      <c r="E203" s="196"/>
      <c r="F203" s="196"/>
      <c r="G203" s="196"/>
      <c r="H203" s="196"/>
      <c r="I203" s="196"/>
      <c r="J203" s="196"/>
    </row>
    <row r="204" spans="1:10">
      <c r="A204" s="196" t="s">
        <v>5895</v>
      </c>
      <c r="B204" s="196"/>
      <c r="C204" s="196"/>
      <c r="D204" s="196"/>
      <c r="E204" s="196"/>
      <c r="F204" s="196"/>
      <c r="G204" s="196"/>
      <c r="H204" s="196"/>
      <c r="I204" s="196"/>
      <c r="J204" s="196"/>
    </row>
    <row r="205" spans="1:10">
      <c r="A205" s="196"/>
      <c r="B205" s="196"/>
      <c r="C205" s="196"/>
      <c r="D205" s="196"/>
      <c r="E205" s="196"/>
      <c r="F205" s="196"/>
      <c r="G205" s="196"/>
      <c r="H205" s="196"/>
      <c r="I205" s="196"/>
      <c r="J205" s="196"/>
    </row>
    <row r="206" spans="1:10">
      <c r="A206" s="196" t="s">
        <v>5896</v>
      </c>
      <c r="B206" s="196"/>
      <c r="C206" s="196"/>
      <c r="D206" s="196"/>
      <c r="E206" s="196"/>
      <c r="F206" s="196"/>
      <c r="G206" s="196"/>
      <c r="H206" s="196"/>
      <c r="I206" s="196"/>
      <c r="J206" s="196"/>
    </row>
    <row r="207" spans="1:10">
      <c r="A207" s="196"/>
      <c r="B207" s="196"/>
      <c r="C207" s="196"/>
      <c r="D207" s="196"/>
      <c r="E207" s="196"/>
      <c r="F207" s="196"/>
      <c r="G207" s="196"/>
      <c r="H207" s="196"/>
      <c r="I207" s="196"/>
      <c r="J207" s="196"/>
    </row>
    <row r="208" spans="1:10">
      <c r="A208" s="196"/>
      <c r="B208" s="196"/>
      <c r="C208" s="196"/>
      <c r="D208" s="196"/>
      <c r="E208" s="196"/>
      <c r="F208" s="196"/>
      <c r="G208" s="196"/>
      <c r="H208" s="196"/>
      <c r="I208" s="196"/>
      <c r="J208" s="196"/>
    </row>
    <row r="209" spans="1:10">
      <c r="A209" s="196"/>
      <c r="B209" s="196"/>
      <c r="C209" s="196"/>
      <c r="D209" s="196"/>
      <c r="E209" s="196"/>
      <c r="F209" s="196"/>
      <c r="G209" s="196"/>
      <c r="H209" s="196"/>
      <c r="I209" s="196"/>
      <c r="J209" s="196"/>
    </row>
    <row r="210" spans="1:10">
      <c r="A210" s="842" t="s">
        <v>5904</v>
      </c>
      <c r="B210" s="842"/>
      <c r="C210" s="842"/>
      <c r="D210" s="842"/>
      <c r="E210" s="842"/>
      <c r="F210" s="842"/>
      <c r="G210" s="842"/>
      <c r="H210" s="842"/>
      <c r="I210" s="842"/>
      <c r="J210" s="842"/>
    </row>
    <row r="211" spans="1:10">
      <c r="A211" s="196"/>
      <c r="B211" s="196"/>
      <c r="C211" s="196"/>
      <c r="D211" s="196"/>
      <c r="E211" s="196"/>
      <c r="F211" s="196"/>
      <c r="G211" s="196"/>
      <c r="H211" s="196"/>
      <c r="I211" s="196"/>
      <c r="J211" s="196"/>
    </row>
    <row r="212" spans="1:10">
      <c r="A212" s="196" t="s">
        <v>5897</v>
      </c>
      <c r="B212" s="196"/>
      <c r="C212" s="196"/>
      <c r="D212" s="196"/>
      <c r="E212" s="196"/>
      <c r="F212" s="196"/>
      <c r="G212" s="196"/>
      <c r="H212" s="196"/>
      <c r="I212" s="196"/>
      <c r="J212" s="196"/>
    </row>
    <row r="213" spans="1:10">
      <c r="A213" s="196"/>
      <c r="B213" s="196"/>
      <c r="C213" s="196"/>
      <c r="D213" s="196"/>
      <c r="E213" s="196"/>
      <c r="F213" s="196"/>
      <c r="G213" s="196"/>
      <c r="H213" s="196"/>
      <c r="I213" s="196"/>
      <c r="J213" s="196"/>
    </row>
    <row r="214" spans="1:10">
      <c r="A214" s="196" t="s">
        <v>5898</v>
      </c>
      <c r="B214" s="196"/>
      <c r="C214" s="196"/>
      <c r="D214" s="196"/>
      <c r="E214" s="196"/>
      <c r="F214" s="196"/>
      <c r="G214" s="196"/>
      <c r="H214" s="196"/>
      <c r="I214" s="196"/>
      <c r="J214" s="196"/>
    </row>
    <row r="215" spans="1:10">
      <c r="A215" s="196"/>
      <c r="B215" s="196"/>
      <c r="C215" s="196"/>
      <c r="D215" s="196"/>
      <c r="E215" s="196"/>
      <c r="F215" s="196"/>
      <c r="G215" s="196"/>
      <c r="H215" s="196"/>
      <c r="I215" s="196"/>
      <c r="J215" s="196"/>
    </row>
    <row r="216" spans="1:10">
      <c r="A216" s="196" t="s">
        <v>5899</v>
      </c>
      <c r="B216" s="196"/>
      <c r="C216" s="196"/>
      <c r="D216" s="196"/>
      <c r="E216" s="196"/>
      <c r="F216" s="196"/>
      <c r="G216" s="196"/>
      <c r="H216" s="196"/>
      <c r="I216" s="196"/>
      <c r="J216" s="196"/>
    </row>
    <row r="217" spans="1:10">
      <c r="A217" s="196"/>
      <c r="B217" s="196"/>
      <c r="C217" s="196"/>
      <c r="D217" s="196"/>
      <c r="E217" s="196"/>
      <c r="F217" s="196"/>
      <c r="G217" s="196"/>
      <c r="H217" s="196"/>
      <c r="I217" s="196"/>
      <c r="J217" s="196"/>
    </row>
    <row r="218" spans="1:10">
      <c r="A218" s="196"/>
      <c r="B218" s="196"/>
      <c r="C218" s="196"/>
      <c r="D218" s="196"/>
      <c r="E218" s="196"/>
      <c r="F218" s="196"/>
      <c r="G218" s="196"/>
      <c r="H218" s="196"/>
      <c r="I218" s="196"/>
      <c r="J218" s="196"/>
    </row>
    <row r="219" spans="1:10">
      <c r="A219" s="196"/>
      <c r="B219" s="196"/>
      <c r="C219" s="196"/>
      <c r="D219" s="196"/>
      <c r="E219" s="196"/>
      <c r="F219" s="196"/>
      <c r="G219" s="196"/>
      <c r="H219" s="196"/>
      <c r="I219" s="196"/>
      <c r="J219" s="196"/>
    </row>
    <row r="220" spans="1:10">
      <c r="A220" s="196" t="s">
        <v>5900</v>
      </c>
      <c r="B220" s="196"/>
      <c r="C220" s="196"/>
      <c r="D220" s="196"/>
      <c r="E220" s="196"/>
      <c r="F220" s="196"/>
      <c r="G220" s="196"/>
      <c r="H220" s="196"/>
      <c r="I220" s="196"/>
      <c r="J220" s="196"/>
    </row>
    <row r="221" spans="1:10">
      <c r="A221" s="196"/>
      <c r="B221" s="196"/>
      <c r="C221" s="196"/>
      <c r="D221" s="196"/>
      <c r="E221" s="196"/>
      <c r="F221" s="196"/>
      <c r="G221" s="196"/>
      <c r="H221" s="196"/>
      <c r="I221" s="196"/>
      <c r="J221" s="196"/>
    </row>
    <row r="222" spans="1:10">
      <c r="A222" s="341"/>
      <c r="B222" s="341"/>
      <c r="C222" s="341"/>
      <c r="D222" s="341"/>
      <c r="E222" s="341"/>
      <c r="F222" s="341"/>
      <c r="G222" s="341"/>
      <c r="H222" s="341"/>
      <c r="I222" s="341"/>
      <c r="J222" s="341"/>
    </row>
    <row r="223" spans="1:10">
      <c r="A223" s="341"/>
      <c r="B223" s="341"/>
      <c r="C223" s="341"/>
      <c r="D223" s="341"/>
      <c r="E223" s="341"/>
      <c r="F223" s="341"/>
      <c r="G223" s="341"/>
      <c r="H223" s="341"/>
      <c r="I223" s="341"/>
      <c r="J223" s="341"/>
    </row>
    <row r="224" spans="1:10">
      <c r="A224" s="341"/>
      <c r="B224" s="341"/>
      <c r="C224" s="341"/>
      <c r="D224" s="341"/>
      <c r="E224" s="341"/>
      <c r="F224" s="341"/>
      <c r="G224" s="341"/>
      <c r="H224" s="341"/>
      <c r="I224" s="341"/>
      <c r="J224" s="341"/>
    </row>
    <row r="225" spans="1:10">
      <c r="A225" s="341"/>
      <c r="B225" s="341"/>
      <c r="C225" s="341"/>
      <c r="D225" s="341"/>
      <c r="E225" s="341"/>
      <c r="F225" s="341"/>
      <c r="G225" s="341"/>
      <c r="H225" s="341"/>
      <c r="I225" s="341"/>
      <c r="J225" s="341"/>
    </row>
    <row r="226" spans="1:10">
      <c r="A226" s="341"/>
      <c r="B226" s="341"/>
      <c r="C226" s="341"/>
      <c r="D226" s="341"/>
      <c r="E226" s="341"/>
      <c r="F226" s="341"/>
      <c r="G226" s="341"/>
      <c r="H226" s="341"/>
      <c r="I226" s="341"/>
      <c r="J226" s="341"/>
    </row>
    <row r="227" spans="1:10">
      <c r="A227" s="341"/>
      <c r="B227" s="341"/>
      <c r="C227" s="341"/>
      <c r="D227" s="341"/>
      <c r="E227" s="341"/>
      <c r="F227" s="341"/>
      <c r="G227" s="341"/>
      <c r="H227" s="341"/>
      <c r="I227" s="341"/>
      <c r="J227" s="341"/>
    </row>
    <row r="228" spans="1:10">
      <c r="A228" s="341"/>
      <c r="B228" s="341"/>
      <c r="C228" s="341"/>
      <c r="D228" s="341"/>
      <c r="E228" s="341"/>
      <c r="F228" s="341"/>
      <c r="G228" s="341"/>
      <c r="H228" s="341"/>
      <c r="I228" s="341"/>
      <c r="J228" s="341"/>
    </row>
    <row r="229" spans="1:10">
      <c r="A229" s="341"/>
      <c r="B229" s="341"/>
      <c r="C229" s="341"/>
      <c r="D229" s="341"/>
      <c r="E229" s="341"/>
      <c r="F229" s="341"/>
      <c r="G229" s="341"/>
      <c r="H229" s="341"/>
      <c r="I229" s="341"/>
      <c r="J229" s="341"/>
    </row>
    <row r="230" spans="1:10">
      <c r="A230" s="341"/>
      <c r="B230" s="341"/>
      <c r="C230" s="341"/>
      <c r="D230" s="341"/>
      <c r="E230" s="341"/>
      <c r="F230" s="341"/>
      <c r="G230" s="341"/>
      <c r="H230" s="341"/>
      <c r="I230" s="341"/>
      <c r="J230" s="341"/>
    </row>
    <row r="231" spans="1:10">
      <c r="A231" s="196"/>
      <c r="B231" s="196"/>
      <c r="C231" s="196"/>
      <c r="D231" s="196"/>
      <c r="E231" s="196"/>
      <c r="F231" s="196"/>
      <c r="G231" s="196"/>
      <c r="H231" s="196"/>
      <c r="I231" s="196"/>
      <c r="J231" s="196"/>
    </row>
    <row r="232" spans="1:10">
      <c r="A232" s="320"/>
      <c r="B232" s="320"/>
      <c r="C232" s="320"/>
      <c r="D232" s="320"/>
      <c r="E232" s="320"/>
      <c r="F232" s="320"/>
      <c r="G232" s="874"/>
      <c r="H232" s="874"/>
      <c r="I232" s="874"/>
      <c r="J232" s="874"/>
    </row>
  </sheetData>
  <mergeCells count="120">
    <mergeCell ref="B87:J87"/>
    <mergeCell ref="A33:C33"/>
    <mergeCell ref="A76:C76"/>
    <mergeCell ref="A23:C23"/>
    <mergeCell ref="B89:J89"/>
    <mergeCell ref="B85:J85"/>
    <mergeCell ref="B88:J88"/>
    <mergeCell ref="D6:J6"/>
    <mergeCell ref="A65:C65"/>
    <mergeCell ref="A54:C54"/>
    <mergeCell ref="B86:J86"/>
    <mergeCell ref="A8:C8"/>
    <mergeCell ref="B84:J84"/>
    <mergeCell ref="B83:J83"/>
    <mergeCell ref="A43:C43"/>
    <mergeCell ref="A81:C81"/>
    <mergeCell ref="A38:C38"/>
    <mergeCell ref="A28:C28"/>
    <mergeCell ref="A13:C13"/>
    <mergeCell ref="A18:C18"/>
    <mergeCell ref="G94:J94"/>
    <mergeCell ref="G96:J96"/>
    <mergeCell ref="A98:B98"/>
    <mergeCell ref="E98:J98"/>
    <mergeCell ref="A100:C100"/>
    <mergeCell ref="D100:F100"/>
    <mergeCell ref="G100:J100"/>
    <mergeCell ref="A91:C91"/>
    <mergeCell ref="D91:F91"/>
    <mergeCell ref="G91:J91"/>
    <mergeCell ref="G92:J92"/>
    <mergeCell ref="G93:J93"/>
    <mergeCell ref="F106:J106"/>
    <mergeCell ref="F107:J107"/>
    <mergeCell ref="F108:J108"/>
    <mergeCell ref="F109:J109"/>
    <mergeCell ref="A110:B110"/>
    <mergeCell ref="C110:D110"/>
    <mergeCell ref="E110:J110"/>
    <mergeCell ref="G101:J101"/>
    <mergeCell ref="F102:J102"/>
    <mergeCell ref="F103:J103"/>
    <mergeCell ref="F104:J104"/>
    <mergeCell ref="F105:J105"/>
    <mergeCell ref="G115:J115"/>
    <mergeCell ref="G116:J116"/>
    <mergeCell ref="G117:J117"/>
    <mergeCell ref="G118:J118"/>
    <mergeCell ref="A119:B119"/>
    <mergeCell ref="C119:D119"/>
    <mergeCell ref="E119:J119"/>
    <mergeCell ref="A112:C112"/>
    <mergeCell ref="D112:F112"/>
    <mergeCell ref="G112:J112"/>
    <mergeCell ref="G113:J113"/>
    <mergeCell ref="G114:J114"/>
    <mergeCell ref="G123:J123"/>
    <mergeCell ref="G124:J124"/>
    <mergeCell ref="G125:J125"/>
    <mergeCell ref="G126:J126"/>
    <mergeCell ref="A127:D128"/>
    <mergeCell ref="E127:J128"/>
    <mergeCell ref="G120:J120"/>
    <mergeCell ref="A121:C121"/>
    <mergeCell ref="D121:F121"/>
    <mergeCell ref="G121:J121"/>
    <mergeCell ref="G122:J122"/>
    <mergeCell ref="G132:J132"/>
    <mergeCell ref="G133:J133"/>
    <mergeCell ref="G134:J134"/>
    <mergeCell ref="G135:J135"/>
    <mergeCell ref="G136:J136"/>
    <mergeCell ref="A129:C129"/>
    <mergeCell ref="D129:F129"/>
    <mergeCell ref="G129:J129"/>
    <mergeCell ref="G130:J130"/>
    <mergeCell ref="G131:J131"/>
    <mergeCell ref="B142:J142"/>
    <mergeCell ref="B143:J143"/>
    <mergeCell ref="B144:J144"/>
    <mergeCell ref="B145:J145"/>
    <mergeCell ref="B146:J146"/>
    <mergeCell ref="A137:B137"/>
    <mergeCell ref="C137:D137"/>
    <mergeCell ref="E137:J137"/>
    <mergeCell ref="A139:C139"/>
    <mergeCell ref="B141:J141"/>
    <mergeCell ref="B164:D164"/>
    <mergeCell ref="E164:G164"/>
    <mergeCell ref="B165:D165"/>
    <mergeCell ref="E165:G165"/>
    <mergeCell ref="B166:D166"/>
    <mergeCell ref="E166:G166"/>
    <mergeCell ref="B147:J147"/>
    <mergeCell ref="A149:H149"/>
    <mergeCell ref="B150:H150"/>
    <mergeCell ref="B151:H151"/>
    <mergeCell ref="B163:D163"/>
    <mergeCell ref="E163:G163"/>
    <mergeCell ref="B170:D170"/>
    <mergeCell ref="E170:G170"/>
    <mergeCell ref="A177:C177"/>
    <mergeCell ref="D177:F177"/>
    <mergeCell ref="G177:J177"/>
    <mergeCell ref="B167:D167"/>
    <mergeCell ref="E167:G167"/>
    <mergeCell ref="B168:D168"/>
    <mergeCell ref="E168:G168"/>
    <mergeCell ref="B169:D169"/>
    <mergeCell ref="E169:G169"/>
    <mergeCell ref="A210:C210"/>
    <mergeCell ref="D210:F210"/>
    <mergeCell ref="G210:J210"/>
    <mergeCell ref="G232:J232"/>
    <mergeCell ref="A188:C188"/>
    <mergeCell ref="D188:F188"/>
    <mergeCell ref="G188:J188"/>
    <mergeCell ref="A198:C198"/>
    <mergeCell ref="D198:F198"/>
    <mergeCell ref="G198:J198"/>
  </mergeCells>
  <conditionalFormatting sqref="B93:B97">
    <cfRule type="expression" dxfId="202" priority="21">
      <formula>B93="Complete"</formula>
    </cfRule>
    <cfRule type="expression" dxfId="201" priority="22">
      <formula>B93="In Progress"</formula>
    </cfRule>
    <cfRule type="expression" dxfId="200" priority="23">
      <formula>B93="At Risk"</formula>
    </cfRule>
    <cfRule type="expression" dxfId="199" priority="24">
      <formula>B93="Blocked"</formula>
    </cfRule>
    <cfRule type="expression" dxfId="198" priority="25">
      <formula>B93="Not Started"</formula>
    </cfRule>
  </conditionalFormatting>
  <conditionalFormatting sqref="B102:B109">
    <cfRule type="expression" dxfId="197" priority="1">
      <formula>B102="Complete"</formula>
    </cfRule>
    <cfRule type="expression" dxfId="196" priority="2">
      <formula>B102="In Progress"</formula>
    </cfRule>
    <cfRule type="expression" dxfId="195" priority="3">
      <formula>B102="At Risk"</formula>
    </cfRule>
    <cfRule type="expression" dxfId="194" priority="4">
      <formula>B102="Blocked"</formula>
    </cfRule>
    <cfRule type="expression" dxfId="193" priority="5">
      <formula>B102="Not Started"</formula>
    </cfRule>
  </conditionalFormatting>
  <conditionalFormatting sqref="B114:B118">
    <cfRule type="expression" dxfId="192" priority="26">
      <formula>B114="Complete"</formula>
    </cfRule>
    <cfRule type="expression" dxfId="191" priority="27">
      <formula>B114="In Progress"</formula>
    </cfRule>
    <cfRule type="expression" dxfId="190" priority="28">
      <formula>B114="At Risk"</formula>
    </cfRule>
    <cfRule type="expression" dxfId="189" priority="29">
      <formula>B114="Blocked"</formula>
    </cfRule>
    <cfRule type="expression" dxfId="188" priority="30">
      <formula>B114="Not Started"</formula>
    </cfRule>
  </conditionalFormatting>
  <conditionalFormatting sqref="B123:B126">
    <cfRule type="expression" dxfId="187" priority="6">
      <formula>B123="Complete"</formula>
    </cfRule>
    <cfRule type="expression" dxfId="186" priority="7">
      <formula>B123="In Progress"</formula>
    </cfRule>
    <cfRule type="expression" dxfId="185" priority="8">
      <formula>B123="At Risk"</formula>
    </cfRule>
    <cfRule type="expression" dxfId="184" priority="9">
      <formula>B123="Blocked"</formula>
    </cfRule>
    <cfRule type="expression" dxfId="183" priority="10">
      <formula>B123="Not Started"</formula>
    </cfRule>
  </conditionalFormatting>
  <conditionalFormatting sqref="B131:B136">
    <cfRule type="expression" dxfId="182" priority="11">
      <formula>B131="Complete"</formula>
    </cfRule>
    <cfRule type="expression" dxfId="181" priority="12">
      <formula>B131="In Progress"</formula>
    </cfRule>
    <cfRule type="expression" dxfId="180" priority="13">
      <formula>B131="At Risk"</formula>
    </cfRule>
    <cfRule type="expression" dxfId="179" priority="14">
      <formula>B131="Blocked"</formula>
    </cfRule>
    <cfRule type="expression" dxfId="178" priority="15">
      <formula>B131="Not Started"</formula>
    </cfRule>
  </conditionalFormatting>
  <conditionalFormatting sqref="B154:B161">
    <cfRule type="expression" dxfId="177" priority="82">
      <formula>B154="Yes"</formula>
    </cfRule>
    <cfRule type="expression" dxfId="176" priority="83">
      <formula>B154="N/A"</formula>
    </cfRule>
    <cfRule type="expression" dxfId="175" priority="84">
      <formula>B154="No"</formula>
    </cfRule>
  </conditionalFormatting>
  <conditionalFormatting sqref="B171:H171">
    <cfRule type="expression" dxfId="174" priority="85">
      <formula>COUNTIF($B$6:$B$13,"No")=0</formula>
    </cfRule>
    <cfRule type="expression" dxfId="173" priority="86">
      <formula>COUNTIF($B$6:$B$13,"No")&gt;0</formula>
    </cfRule>
  </conditionalFormatting>
  <conditionalFormatting sqref="C98:D98">
    <cfRule type="dataBar" priority="37">
      <dataBar>
        <cfvo type="num" val="0"/>
        <cfvo type="num" val="1"/>
        <color rgb="FF5B9BD5"/>
      </dataBar>
    </cfRule>
  </conditionalFormatting>
  <conditionalFormatting sqref="C102:D109">
    <cfRule type="expression" dxfId="172" priority="31">
      <formula>C102="Yes"</formula>
    </cfRule>
    <cfRule type="expression" dxfId="171" priority="32">
      <formula>C102="No"</formula>
    </cfRule>
    <cfRule type="expression" dxfId="170" priority="33">
      <formula>C102="N/A"</formula>
    </cfRule>
  </conditionalFormatting>
  <conditionalFormatting sqref="C110:D110">
    <cfRule type="dataBar" priority="38">
      <dataBar>
        <cfvo type="num" val="0"/>
        <cfvo type="num" val="1"/>
        <color rgb="FF5B9BD5"/>
      </dataBar>
    </cfRule>
  </conditionalFormatting>
  <conditionalFormatting sqref="C119:D119">
    <cfRule type="dataBar" priority="39">
      <dataBar>
        <cfvo type="num" val="0"/>
        <cfvo type="num" val="1"/>
        <color rgb="FF5B9BD5"/>
      </dataBar>
    </cfRule>
  </conditionalFormatting>
  <conditionalFormatting sqref="C131:D136">
    <cfRule type="expression" dxfId="169" priority="16">
      <formula>C131="Yes"</formula>
    </cfRule>
    <cfRule type="expression" dxfId="168" priority="17">
      <formula>C131="No"</formula>
    </cfRule>
    <cfRule type="expression" dxfId="167" priority="18">
      <formula>C131="N/A"</formula>
    </cfRule>
  </conditionalFormatting>
  <conditionalFormatting sqref="C137:D137">
    <cfRule type="dataBar" priority="20">
      <dataBar>
        <cfvo type="num" val="0"/>
        <cfvo type="num" val="1"/>
        <color rgb="FF5B9BD5"/>
      </dataBar>
    </cfRule>
  </conditionalFormatting>
  <conditionalFormatting sqref="E5 G5 I5">
    <cfRule type="expression" dxfId="166" priority="87">
      <formula>E5="Pass"</formula>
    </cfRule>
    <cfRule type="expression" dxfId="165" priority="88">
      <formula>E5="Verify"</formula>
    </cfRule>
    <cfRule type="expression" dxfId="164" priority="89">
      <formula>E5="Fail"</formula>
    </cfRule>
    <cfRule type="expression" dxfId="163" priority="90">
      <formula>E5="Not Started"</formula>
    </cfRule>
  </conditionalFormatting>
  <conditionalFormatting sqref="F3">
    <cfRule type="expression" dxfId="162" priority="91">
      <formula>F3="Yes"</formula>
    </cfRule>
    <cfRule type="expression" dxfId="161" priority="92">
      <formula>F3="No"</formula>
    </cfRule>
  </conditionalFormatting>
  <conditionalFormatting sqref="F114:F118">
    <cfRule type="expression" dxfId="160" priority="34">
      <formula>F114="Pass"</formula>
    </cfRule>
    <cfRule type="expression" dxfId="159" priority="35">
      <formula>F114="Fail"</formula>
    </cfRule>
    <cfRule type="expression" dxfId="158" priority="36">
      <formula>F114="Pending"</formula>
    </cfRule>
  </conditionalFormatting>
  <conditionalFormatting sqref="F123:F126">
    <cfRule type="dataBar" priority="19">
      <dataBar>
        <cfvo type="num" val="0"/>
        <cfvo type="num" val="1"/>
        <color rgb="FF5B9BD5"/>
      </dataBar>
    </cfRule>
  </conditionalFormatting>
  <dataValidations count="6">
    <dataValidation type="list" sqref="B5:B6 D5 F5 H5 H10:H16 J5 H84:I89 I16 D56:D63 H17:I82" xr:uid="{00000000-0002-0000-3E00-000000000000}">
      <formula1>"Not Started,Verify,Pass,Fail,N/A,Open,Closed,Partial / Yellow,Excluded / Verify Existing,Excluded / Firestop Only"</formula1>
      <formula2>0</formula2>
    </dataValidation>
    <dataValidation type="list" sqref="H142:I147 H139:I140" xr:uid="{5F39B086-C13C-4898-A421-40DE18E3CB89}">
      <formula1>"Not Started,Verify,Pass,Fail,N/A,Open,Closed,Partial / Yellow"</formula1>
      <formula2>0</formula2>
    </dataValidation>
    <dataValidation type="list" sqref="B154:B161" xr:uid="{F509CA12-ECED-410F-94BF-6BB269B307AD}">
      <formula1>"No,Yes,N/A"</formula1>
    </dataValidation>
    <dataValidation type="list" allowBlank="1" sqref="B123:B126 B114:B118" xr:uid="{07B0C229-CDB5-49D7-BBB3-E63E2A39A23C}">
      <formula1>"Not Started,In Progress,Complete,At Risk,Blocked"</formula1>
    </dataValidation>
    <dataValidation type="list" allowBlank="1" sqref="C102:D109 C131:D136" xr:uid="{44E1F8C4-A1BA-4339-8800-84F03B7407E2}">
      <formula1>"Yes,No,N/A"</formula1>
    </dataValidation>
    <dataValidation type="list" allowBlank="1" sqref="F114:F118" xr:uid="{9D1F644A-C1F6-48E1-8C22-93C7E08C3E94}">
      <formula1>"Pending,Pass,Fail,N/A"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AE3439C9-27E2-48BC-BF81-54959A181EFD}">
          <x14:formula1>
            <xm:f>Lookup_Lists!$A$36:$A$42</xm:f>
          </x14:formula1>
          <xm:sqref>B93:B97 B102:B109 B131:B136</xm:sqref>
        </x14:dataValidation>
        <x14:dataValidation type="list" allowBlank="1" showInputMessage="1" showErrorMessage="1" xr:uid="{6F7B7D59-E642-489F-A1DB-FD0A2C82A918}">
          <x14:formula1>
            <xm:f>Lookup_Lists!$L$37:$L$39</xm:f>
          </x14:formula1>
          <xm:sqref>C114:E118 J2</xm:sqref>
        </x14:dataValidation>
      </x14:dataValidations>
    </ext>
  </extLst>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56E1C-3E2B-406A-91A3-DB3513D9D73E}">
  <dimension ref="A1:J233"/>
  <sheetViews>
    <sheetView workbookViewId="0">
      <selection activeCell="D4" sqref="D4"/>
    </sheetView>
  </sheetViews>
  <sheetFormatPr defaultColWidth="8.6640625" defaultRowHeight="14.4"/>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6640625" style="8" customWidth="1"/>
    <col min="13" max="16384" width="8.6640625" style="8"/>
  </cols>
  <sheetData>
    <row r="1" spans="1:10">
      <c r="A1" s="851" t="s">
        <v>3883</v>
      </c>
      <c r="B1" s="839"/>
      <c r="C1" s="839"/>
      <c r="D1" s="839"/>
      <c r="E1" s="839"/>
      <c r="F1" s="839"/>
      <c r="G1" s="839"/>
      <c r="H1" s="839"/>
      <c r="I1" s="839"/>
      <c r="J1" s="839"/>
    </row>
    <row r="2" spans="1:10" s="227" customFormat="1" ht="16.95" customHeight="1">
      <c r="A2" s="223" t="s">
        <v>142</v>
      </c>
      <c r="B2" s="224" t="s">
        <v>3884</v>
      </c>
      <c r="C2" s="223" t="s">
        <v>902</v>
      </c>
      <c r="D2" s="224" t="s">
        <v>1094</v>
      </c>
      <c r="E2" s="223" t="s">
        <v>151</v>
      </c>
      <c r="F2" s="224" t="s">
        <v>1095</v>
      </c>
      <c r="G2" s="223" t="s">
        <v>174</v>
      </c>
      <c r="H2" s="225">
        <v>0.5</v>
      </c>
      <c r="I2" s="223" t="s">
        <v>154</v>
      </c>
      <c r="J2" s="226" t="s">
        <v>1096</v>
      </c>
    </row>
    <row r="3" spans="1:10" s="231" customFormat="1" ht="26.25" customHeight="1">
      <c r="A3" s="223" t="s">
        <v>903</v>
      </c>
      <c r="B3" s="228">
        <v>46199.475679236108</v>
      </c>
      <c r="C3" s="229" t="s">
        <v>904</v>
      </c>
      <c r="D3" s="230" t="s">
        <v>721</v>
      </c>
      <c r="E3" s="223" t="s">
        <v>905</v>
      </c>
      <c r="F3" s="230" t="s">
        <v>3885</v>
      </c>
      <c r="G3" s="223" t="s">
        <v>907</v>
      </c>
      <c r="H3" s="230" t="s">
        <v>908</v>
      </c>
      <c r="I3" s="223" t="s">
        <v>551</v>
      </c>
      <c r="J3" s="230" t="s">
        <v>3886</v>
      </c>
    </row>
    <row r="4" spans="1:10" s="231" customFormat="1" ht="266.39999999999998" customHeight="1">
      <c r="A4" s="223" t="s">
        <v>161</v>
      </c>
      <c r="B4" s="230">
        <v>0</v>
      </c>
      <c r="C4" s="223" t="s">
        <v>199</v>
      </c>
      <c r="D4" s="230">
        <v>0</v>
      </c>
      <c r="E4" s="223" t="s">
        <v>179</v>
      </c>
      <c r="F4" s="230">
        <v>0</v>
      </c>
      <c r="G4" s="223" t="s">
        <v>870</v>
      </c>
      <c r="H4" s="232" t="s">
        <v>3887</v>
      </c>
      <c r="I4" s="233"/>
      <c r="J4" s="233"/>
    </row>
    <row r="5" spans="1:10" s="231" customFormat="1">
      <c r="A5" s="234" t="s">
        <v>911</v>
      </c>
      <c r="B5" s="225" t="s">
        <v>677</v>
      </c>
      <c r="C5" s="235" t="s">
        <v>912</v>
      </c>
      <c r="D5" s="225" t="s">
        <v>677</v>
      </c>
      <c r="E5" s="236" t="s">
        <v>913</v>
      </c>
      <c r="F5" s="225" t="s">
        <v>677</v>
      </c>
      <c r="G5" s="237" t="s">
        <v>914</v>
      </c>
      <c r="H5" s="225" t="s">
        <v>2761</v>
      </c>
      <c r="I5" s="237" t="s">
        <v>915</v>
      </c>
      <c r="J5" s="225" t="s">
        <v>947</v>
      </c>
    </row>
    <row r="6" spans="1:10" s="231" customFormat="1" ht="43.5" customHeight="1">
      <c r="A6" s="238" t="s">
        <v>916</v>
      </c>
      <c r="B6" s="225" t="s">
        <v>947</v>
      </c>
      <c r="C6" s="239" t="s">
        <v>869</v>
      </c>
      <c r="D6" s="854" t="s">
        <v>3888</v>
      </c>
      <c r="E6" s="853"/>
      <c r="F6" s="853"/>
      <c r="G6" s="853"/>
      <c r="H6" s="853"/>
      <c r="I6" s="853"/>
      <c r="J6" s="853"/>
    </row>
    <row r="7" spans="1:10">
      <c r="A7" s="13"/>
      <c r="B7" s="13"/>
      <c r="C7" s="13"/>
      <c r="D7" s="13"/>
      <c r="E7" s="13"/>
      <c r="F7" s="13"/>
      <c r="G7" s="13"/>
      <c r="H7" s="13"/>
      <c r="I7" s="13"/>
      <c r="J7" s="13"/>
    </row>
    <row r="8" spans="1:10">
      <c r="A8" s="842" t="s">
        <v>918</v>
      </c>
      <c r="B8" s="839"/>
      <c r="C8" s="839"/>
      <c r="D8" s="85"/>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96.6">
      <c r="A10" s="13" t="s">
        <v>3884</v>
      </c>
      <c r="B10" s="13" t="s">
        <v>591</v>
      </c>
      <c r="C10" s="13" t="s">
        <v>919</v>
      </c>
      <c r="D10" s="13" t="s">
        <v>3889</v>
      </c>
      <c r="E10" s="13" t="s">
        <v>3890</v>
      </c>
      <c r="F10" s="13">
        <v>1</v>
      </c>
      <c r="G10" s="13">
        <v>0</v>
      </c>
      <c r="H10" s="13" t="s">
        <v>677</v>
      </c>
      <c r="I10" s="13" t="s">
        <v>3891</v>
      </c>
      <c r="J10" s="13" t="s">
        <v>3892</v>
      </c>
    </row>
    <row r="11" spans="1:10" ht="110.4">
      <c r="A11" s="13" t="s">
        <v>3884</v>
      </c>
      <c r="B11" s="13" t="s">
        <v>3893</v>
      </c>
      <c r="C11" s="13" t="s">
        <v>919</v>
      </c>
      <c r="D11" s="13" t="s">
        <v>3894</v>
      </c>
      <c r="E11" s="13" t="s">
        <v>2764</v>
      </c>
      <c r="F11" s="13">
        <v>1</v>
      </c>
      <c r="G11" s="13">
        <v>0</v>
      </c>
      <c r="H11" s="13" t="s">
        <v>677</v>
      </c>
      <c r="I11" s="13" t="s">
        <v>3895</v>
      </c>
      <c r="J11" s="13" t="s">
        <v>3896</v>
      </c>
    </row>
    <row r="12" spans="1:10">
      <c r="A12" s="13"/>
      <c r="B12" s="13"/>
      <c r="C12" s="13"/>
      <c r="D12" s="13"/>
      <c r="E12" s="13"/>
      <c r="F12" s="13"/>
      <c r="G12" s="13"/>
      <c r="H12" s="13"/>
      <c r="I12" s="13"/>
      <c r="J12" s="13"/>
    </row>
    <row r="13" spans="1:10">
      <c r="A13" s="842" t="s">
        <v>936</v>
      </c>
      <c r="B13" s="839"/>
      <c r="C13" s="839"/>
      <c r="D13" s="85"/>
      <c r="E13" s="85"/>
      <c r="F13" s="85"/>
      <c r="G13" s="85"/>
      <c r="H13" s="85"/>
      <c r="I13" s="85"/>
      <c r="J13" s="85"/>
    </row>
    <row r="14" spans="1:10">
      <c r="A14" s="50" t="s">
        <v>275</v>
      </c>
      <c r="B14" s="50" t="s">
        <v>937</v>
      </c>
      <c r="C14" s="50" t="s">
        <v>938</v>
      </c>
      <c r="D14" s="50" t="s">
        <v>939</v>
      </c>
      <c r="E14" s="50" t="s">
        <v>940</v>
      </c>
      <c r="F14" s="50" t="s">
        <v>941</v>
      </c>
      <c r="G14" s="50" t="s">
        <v>942</v>
      </c>
      <c r="H14" s="50" t="s">
        <v>943</v>
      </c>
      <c r="I14" s="50" t="s">
        <v>899</v>
      </c>
      <c r="J14" s="50" t="s">
        <v>944</v>
      </c>
    </row>
    <row r="15" spans="1:10" ht="82.8">
      <c r="A15" s="13" t="s">
        <v>591</v>
      </c>
      <c r="B15" s="13" t="s">
        <v>677</v>
      </c>
      <c r="C15" s="13" t="s">
        <v>677</v>
      </c>
      <c r="D15" s="13" t="s">
        <v>3897</v>
      </c>
      <c r="E15" s="13" t="s">
        <v>677</v>
      </c>
      <c r="F15" s="13" t="s">
        <v>947</v>
      </c>
      <c r="G15" s="13" t="s">
        <v>677</v>
      </c>
      <c r="H15" s="13" t="s">
        <v>677</v>
      </c>
      <c r="I15" s="13" t="s">
        <v>677</v>
      </c>
      <c r="J15" s="13" t="s">
        <v>3898</v>
      </c>
    </row>
    <row r="16" spans="1:10" ht="82.8">
      <c r="A16" s="13" t="s">
        <v>3893</v>
      </c>
      <c r="B16" s="13" t="s">
        <v>677</v>
      </c>
      <c r="C16" s="13" t="s">
        <v>677</v>
      </c>
      <c r="D16" s="13" t="s">
        <v>3897</v>
      </c>
      <c r="E16" s="13" t="s">
        <v>677</v>
      </c>
      <c r="F16" s="13" t="s">
        <v>947</v>
      </c>
      <c r="G16" s="13" t="s">
        <v>677</v>
      </c>
      <c r="H16" s="13" t="s">
        <v>677</v>
      </c>
      <c r="I16" s="13" t="s">
        <v>677</v>
      </c>
      <c r="J16" s="13" t="s">
        <v>3899</v>
      </c>
    </row>
    <row r="17" spans="1:10">
      <c r="A17" s="13"/>
      <c r="B17" s="13"/>
      <c r="C17" s="13"/>
      <c r="D17" s="13"/>
      <c r="E17" s="13"/>
      <c r="F17" s="13"/>
      <c r="G17" s="13"/>
      <c r="H17" s="13"/>
      <c r="I17" s="13"/>
      <c r="J17" s="13"/>
    </row>
    <row r="18" spans="1:10">
      <c r="A18" s="842" t="s">
        <v>951</v>
      </c>
      <c r="B18" s="839"/>
      <c r="C18" s="839"/>
      <c r="D18" s="85"/>
      <c r="E18" s="85"/>
      <c r="F18" s="85"/>
      <c r="G18" s="85"/>
      <c r="H18" s="85"/>
      <c r="I18" s="85"/>
      <c r="J18" s="85"/>
    </row>
    <row r="19" spans="1:10">
      <c r="A19" s="50" t="s">
        <v>275</v>
      </c>
      <c r="B19" s="50" t="s">
        <v>952</v>
      </c>
      <c r="C19" s="50" t="s">
        <v>953</v>
      </c>
      <c r="D19" s="50" t="s">
        <v>954</v>
      </c>
      <c r="E19" s="50" t="s">
        <v>955</v>
      </c>
      <c r="F19" s="50" t="s">
        <v>956</v>
      </c>
      <c r="G19" s="50" t="s">
        <v>957</v>
      </c>
      <c r="H19" s="50" t="s">
        <v>958</v>
      </c>
      <c r="I19" s="50" t="s">
        <v>899</v>
      </c>
      <c r="J19" s="50" t="s">
        <v>959</v>
      </c>
    </row>
    <row r="20" spans="1:10" ht="96.6">
      <c r="A20" s="13" t="s">
        <v>591</v>
      </c>
      <c r="B20" s="13" t="s">
        <v>2774</v>
      </c>
      <c r="C20" s="13" t="s">
        <v>679</v>
      </c>
      <c r="D20" s="13" t="s">
        <v>947</v>
      </c>
      <c r="E20" s="13" t="s">
        <v>947</v>
      </c>
      <c r="F20" s="13" t="s">
        <v>1238</v>
      </c>
      <c r="G20" s="13" t="s">
        <v>677</v>
      </c>
      <c r="H20" s="13" t="s">
        <v>677</v>
      </c>
      <c r="I20" s="13" t="s">
        <v>677</v>
      </c>
      <c r="J20" s="13" t="s">
        <v>3900</v>
      </c>
    </row>
    <row r="21" spans="1:10" ht="55.2">
      <c r="A21" s="13" t="s">
        <v>3893</v>
      </c>
      <c r="B21" s="13" t="s">
        <v>2774</v>
      </c>
      <c r="C21" s="13" t="s">
        <v>679</v>
      </c>
      <c r="D21" s="13" t="s">
        <v>947</v>
      </c>
      <c r="E21" s="13" t="s">
        <v>947</v>
      </c>
      <c r="F21" s="13" t="s">
        <v>1238</v>
      </c>
      <c r="G21" s="13" t="s">
        <v>677</v>
      </c>
      <c r="H21" s="13" t="s">
        <v>677</v>
      </c>
      <c r="I21" s="13" t="s">
        <v>677</v>
      </c>
      <c r="J21" s="13" t="s">
        <v>3901</v>
      </c>
    </row>
    <row r="22" spans="1:10">
      <c r="A22" s="13"/>
      <c r="B22" s="13"/>
      <c r="C22" s="13"/>
      <c r="D22" s="13"/>
      <c r="E22" s="13"/>
      <c r="F22" s="13"/>
      <c r="G22" s="13"/>
      <c r="H22" s="13"/>
      <c r="I22" s="13"/>
      <c r="J22" s="13"/>
    </row>
    <row r="23" spans="1:10">
      <c r="A23" s="842" t="s">
        <v>964</v>
      </c>
      <c r="B23" s="839"/>
      <c r="C23" s="839"/>
      <c r="D23" s="85"/>
      <c r="E23" s="85"/>
      <c r="F23" s="85"/>
      <c r="G23" s="85"/>
      <c r="H23" s="85"/>
      <c r="I23" s="85"/>
      <c r="J23" s="85"/>
    </row>
    <row r="24" spans="1:10">
      <c r="A24" s="50" t="s">
        <v>275</v>
      </c>
      <c r="B24" s="50" t="s">
        <v>965</v>
      </c>
      <c r="C24" s="50" t="s">
        <v>966</v>
      </c>
      <c r="D24" s="50" t="s">
        <v>967</v>
      </c>
      <c r="E24" s="50" t="s">
        <v>968</v>
      </c>
      <c r="F24" s="50" t="s">
        <v>969</v>
      </c>
      <c r="G24" s="50" t="s">
        <v>970</v>
      </c>
      <c r="H24" s="50" t="s">
        <v>971</v>
      </c>
      <c r="I24" s="50" t="s">
        <v>899</v>
      </c>
      <c r="J24" s="50" t="s">
        <v>959</v>
      </c>
    </row>
    <row r="25" spans="1:10" ht="69">
      <c r="A25" s="13" t="s">
        <v>591</v>
      </c>
      <c r="B25" s="13" t="s">
        <v>2777</v>
      </c>
      <c r="C25" s="13" t="s">
        <v>679</v>
      </c>
      <c r="D25" s="13" t="s">
        <v>679</v>
      </c>
      <c r="E25" s="13" t="s">
        <v>679</v>
      </c>
      <c r="F25" s="13" t="s">
        <v>679</v>
      </c>
      <c r="G25" s="13" t="s">
        <v>679</v>
      </c>
      <c r="H25" s="13" t="s">
        <v>679</v>
      </c>
      <c r="I25" s="13" t="s">
        <v>679</v>
      </c>
      <c r="J25" s="13" t="s">
        <v>3902</v>
      </c>
    </row>
    <row r="26" spans="1:10" ht="69">
      <c r="A26" s="13" t="s">
        <v>3893</v>
      </c>
      <c r="B26" s="13" t="s">
        <v>2777</v>
      </c>
      <c r="C26" s="13" t="s">
        <v>679</v>
      </c>
      <c r="D26" s="13" t="s">
        <v>679</v>
      </c>
      <c r="E26" s="13" t="s">
        <v>679</v>
      </c>
      <c r="F26" s="13" t="s">
        <v>679</v>
      </c>
      <c r="G26" s="13" t="s">
        <v>679</v>
      </c>
      <c r="H26" s="13" t="s">
        <v>679</v>
      </c>
      <c r="I26" s="13" t="s">
        <v>679</v>
      </c>
      <c r="J26" s="13" t="s">
        <v>3903</v>
      </c>
    </row>
    <row r="27" spans="1:10">
      <c r="A27" s="13"/>
      <c r="B27" s="13"/>
      <c r="C27" s="13"/>
      <c r="D27" s="13"/>
      <c r="E27" s="13"/>
      <c r="F27" s="13"/>
      <c r="G27" s="13"/>
      <c r="H27" s="13"/>
      <c r="I27" s="13"/>
      <c r="J27" s="13"/>
    </row>
    <row r="28" spans="1:10">
      <c r="A28" s="842" t="s">
        <v>977</v>
      </c>
      <c r="B28" s="839"/>
      <c r="C28" s="839"/>
      <c r="D28" s="85"/>
      <c r="E28" s="85"/>
      <c r="F28" s="85"/>
      <c r="G28" s="85"/>
      <c r="H28" s="85"/>
      <c r="I28" s="85"/>
      <c r="J28" s="85"/>
    </row>
    <row r="29" spans="1:10">
      <c r="A29" s="50" t="s">
        <v>275</v>
      </c>
      <c r="B29" s="50" t="s">
        <v>978</v>
      </c>
      <c r="C29" s="50" t="s">
        <v>979</v>
      </c>
      <c r="D29" s="50" t="s">
        <v>980</v>
      </c>
      <c r="E29" s="50" t="s">
        <v>981</v>
      </c>
      <c r="F29" s="50" t="s">
        <v>982</v>
      </c>
      <c r="G29" s="50" t="s">
        <v>983</v>
      </c>
      <c r="H29" s="50" t="s">
        <v>984</v>
      </c>
      <c r="I29" s="50" t="s">
        <v>899</v>
      </c>
      <c r="J29" s="50" t="s">
        <v>11</v>
      </c>
    </row>
    <row r="30" spans="1:10" ht="96.6">
      <c r="A30" s="13" t="s">
        <v>591</v>
      </c>
      <c r="B30" s="13" t="s">
        <v>677</v>
      </c>
      <c r="C30" s="13" t="s">
        <v>2780</v>
      </c>
      <c r="D30" s="13" t="s">
        <v>677</v>
      </c>
      <c r="E30" s="13" t="s">
        <v>677</v>
      </c>
      <c r="F30" s="13" t="s">
        <v>3904</v>
      </c>
      <c r="G30" s="13" t="s">
        <v>677</v>
      </c>
      <c r="H30" s="13" t="s">
        <v>677</v>
      </c>
      <c r="I30" s="13" t="s">
        <v>677</v>
      </c>
      <c r="J30" s="13" t="s">
        <v>3905</v>
      </c>
    </row>
    <row r="31" spans="1:10" ht="69">
      <c r="A31" s="13" t="s">
        <v>3893</v>
      </c>
      <c r="B31" s="13" t="s">
        <v>677</v>
      </c>
      <c r="C31" s="13" t="s">
        <v>3906</v>
      </c>
      <c r="D31" s="13" t="s">
        <v>677</v>
      </c>
      <c r="E31" s="13" t="s">
        <v>677</v>
      </c>
      <c r="F31" s="13" t="s">
        <v>677</v>
      </c>
      <c r="G31" s="13" t="s">
        <v>677</v>
      </c>
      <c r="H31" s="13" t="s">
        <v>677</v>
      </c>
      <c r="I31" s="13" t="s">
        <v>677</v>
      </c>
      <c r="J31" s="13" t="s">
        <v>3907</v>
      </c>
    </row>
    <row r="32" spans="1:10">
      <c r="A32" s="13"/>
      <c r="B32" s="13"/>
      <c r="C32" s="13"/>
      <c r="D32" s="13"/>
      <c r="E32" s="13"/>
      <c r="F32" s="13"/>
      <c r="G32" s="13"/>
      <c r="H32" s="13"/>
      <c r="I32" s="13"/>
      <c r="J32" s="13"/>
    </row>
    <row r="33" spans="1:10">
      <c r="A33" s="842" t="s">
        <v>994</v>
      </c>
      <c r="B33" s="839"/>
      <c r="C33" s="839"/>
      <c r="D33" s="85"/>
      <c r="E33" s="85"/>
      <c r="F33" s="85"/>
      <c r="G33" s="85"/>
      <c r="H33" s="85"/>
      <c r="I33" s="85"/>
      <c r="J33" s="85"/>
    </row>
    <row r="34" spans="1:10">
      <c r="A34" s="50" t="s">
        <v>275</v>
      </c>
      <c r="B34" s="50" t="s">
        <v>995</v>
      </c>
      <c r="C34" s="50" t="s">
        <v>996</v>
      </c>
      <c r="D34" s="50" t="s">
        <v>997</v>
      </c>
      <c r="E34" s="50" t="s">
        <v>998</v>
      </c>
      <c r="F34" s="50" t="s">
        <v>999</v>
      </c>
      <c r="G34" s="50" t="s">
        <v>1000</v>
      </c>
      <c r="H34" s="50" t="s">
        <v>1001</v>
      </c>
      <c r="I34" s="50" t="s">
        <v>899</v>
      </c>
      <c r="J34" s="50" t="s">
        <v>11</v>
      </c>
    </row>
    <row r="35" spans="1:10" ht="110.4">
      <c r="A35" s="13" t="s">
        <v>591</v>
      </c>
      <c r="B35" s="13" t="s">
        <v>677</v>
      </c>
      <c r="C35" s="13" t="s">
        <v>677</v>
      </c>
      <c r="D35" s="13" t="s">
        <v>677</v>
      </c>
      <c r="E35" s="13" t="s">
        <v>677</v>
      </c>
      <c r="F35" s="13" t="s">
        <v>677</v>
      </c>
      <c r="G35" s="13" t="s">
        <v>677</v>
      </c>
      <c r="H35" s="13" t="s">
        <v>677</v>
      </c>
      <c r="I35" s="13" t="s">
        <v>677</v>
      </c>
      <c r="J35" s="13" t="s">
        <v>3908</v>
      </c>
    </row>
    <row r="36" spans="1:10" ht="96.6">
      <c r="A36" s="13" t="s">
        <v>3893</v>
      </c>
      <c r="B36" s="13" t="s">
        <v>677</v>
      </c>
      <c r="C36" s="13" t="s">
        <v>677</v>
      </c>
      <c r="D36" s="13" t="s">
        <v>677</v>
      </c>
      <c r="E36" s="13" t="s">
        <v>677</v>
      </c>
      <c r="F36" s="13" t="s">
        <v>677</v>
      </c>
      <c r="G36" s="13" t="s">
        <v>677</v>
      </c>
      <c r="H36" s="13" t="s">
        <v>677</v>
      </c>
      <c r="I36" s="13" t="s">
        <v>677</v>
      </c>
      <c r="J36" s="13" t="s">
        <v>3909</v>
      </c>
    </row>
    <row r="37" spans="1:10">
      <c r="A37" s="13"/>
      <c r="B37" s="13"/>
      <c r="C37" s="13"/>
      <c r="D37" s="13"/>
      <c r="E37" s="13"/>
      <c r="F37" s="13"/>
      <c r="G37" s="13"/>
      <c r="H37" s="13"/>
      <c r="I37" s="13"/>
      <c r="J37" s="13"/>
    </row>
    <row r="38" spans="1:10">
      <c r="A38" s="842" t="s">
        <v>1007</v>
      </c>
      <c r="B38" s="839"/>
      <c r="C38" s="839"/>
      <c r="D38" s="85"/>
      <c r="E38" s="85"/>
      <c r="F38" s="85"/>
      <c r="G38" s="85"/>
      <c r="H38" s="85"/>
      <c r="I38" s="85"/>
      <c r="J38" s="85"/>
    </row>
    <row r="39" spans="1:10">
      <c r="A39" s="50" t="s">
        <v>275</v>
      </c>
      <c r="B39" s="50" t="s">
        <v>1008</v>
      </c>
      <c r="C39" s="50" t="s">
        <v>1009</v>
      </c>
      <c r="D39" s="50" t="s">
        <v>1010</v>
      </c>
      <c r="E39" s="50" t="s">
        <v>1011</v>
      </c>
      <c r="F39" s="50" t="s">
        <v>1012</v>
      </c>
      <c r="G39" s="50" t="s">
        <v>1013</v>
      </c>
      <c r="H39" s="50" t="s">
        <v>1014</v>
      </c>
      <c r="I39" s="50" t="s">
        <v>899</v>
      </c>
      <c r="J39" s="50" t="s">
        <v>11</v>
      </c>
    </row>
    <row r="40" spans="1:10" ht="82.8">
      <c r="A40" s="13" t="s">
        <v>591</v>
      </c>
      <c r="B40" s="13" t="s">
        <v>1238</v>
      </c>
      <c r="C40" s="13" t="s">
        <v>1238</v>
      </c>
      <c r="D40" s="13" t="s">
        <v>1238</v>
      </c>
      <c r="E40" s="13" t="s">
        <v>1238</v>
      </c>
      <c r="F40" s="13" t="s">
        <v>677</v>
      </c>
      <c r="G40" s="13" t="s">
        <v>677</v>
      </c>
      <c r="H40" s="13" t="s">
        <v>677</v>
      </c>
      <c r="I40" s="13" t="s">
        <v>677</v>
      </c>
      <c r="J40" s="13" t="s">
        <v>3910</v>
      </c>
    </row>
    <row r="41" spans="1:10" ht="41.4">
      <c r="A41" s="13" t="s">
        <v>3893</v>
      </c>
      <c r="B41" s="13" t="s">
        <v>1238</v>
      </c>
      <c r="C41" s="13" t="s">
        <v>1238</v>
      </c>
      <c r="D41" s="13" t="s">
        <v>1238</v>
      </c>
      <c r="E41" s="13" t="s">
        <v>1238</v>
      </c>
      <c r="F41" s="13" t="s">
        <v>677</v>
      </c>
      <c r="G41" s="13" t="s">
        <v>677</v>
      </c>
      <c r="H41" s="13" t="s">
        <v>677</v>
      </c>
      <c r="I41" s="13" t="s">
        <v>677</v>
      </c>
      <c r="J41" s="13" t="s">
        <v>3911</v>
      </c>
    </row>
    <row r="42" spans="1:10">
      <c r="A42" s="13"/>
      <c r="B42" s="13"/>
      <c r="C42" s="13"/>
      <c r="D42" s="13"/>
      <c r="E42" s="13"/>
      <c r="F42" s="13"/>
      <c r="G42" s="13"/>
      <c r="H42" s="13"/>
      <c r="I42" s="13"/>
      <c r="J42" s="13"/>
    </row>
    <row r="43" spans="1:10">
      <c r="A43" s="842" t="s">
        <v>1019</v>
      </c>
      <c r="B43" s="839"/>
      <c r="C43" s="839"/>
      <c r="D43" s="85"/>
      <c r="E43" s="85"/>
      <c r="F43" s="85"/>
      <c r="G43" s="85"/>
      <c r="H43" s="85"/>
      <c r="I43" s="85"/>
      <c r="J43" s="85"/>
    </row>
    <row r="44" spans="1:10">
      <c r="A44" s="50" t="s">
        <v>213</v>
      </c>
      <c r="B44" s="50" t="s">
        <v>275</v>
      </c>
      <c r="C44" s="50" t="s">
        <v>573</v>
      </c>
      <c r="D44" s="50" t="s">
        <v>215</v>
      </c>
      <c r="E44" s="50" t="s">
        <v>257</v>
      </c>
      <c r="F44" s="50" t="s">
        <v>572</v>
      </c>
      <c r="G44" s="50" t="s">
        <v>259</v>
      </c>
      <c r="H44" s="50" t="s">
        <v>216</v>
      </c>
      <c r="I44" s="50" t="s">
        <v>77</v>
      </c>
      <c r="J44" s="50" t="s">
        <v>11</v>
      </c>
    </row>
    <row r="45" spans="1:10" ht="55.2">
      <c r="A45" s="13" t="s">
        <v>3912</v>
      </c>
      <c r="B45" s="13" t="s">
        <v>575</v>
      </c>
      <c r="C45" s="13" t="s">
        <v>3913</v>
      </c>
      <c r="D45" s="13" t="s">
        <v>391</v>
      </c>
      <c r="E45" s="13" t="s">
        <v>488</v>
      </c>
      <c r="F45" s="13">
        <v>6</v>
      </c>
      <c r="G45" s="13" t="s">
        <v>1381</v>
      </c>
      <c r="H45" s="13" t="s">
        <v>1023</v>
      </c>
      <c r="I45" s="13" t="s">
        <v>502</v>
      </c>
      <c r="J45" s="13" t="s">
        <v>3914</v>
      </c>
    </row>
    <row r="46" spans="1:10" ht="96.6">
      <c r="A46" s="13" t="s">
        <v>3915</v>
      </c>
      <c r="B46" s="13" t="s">
        <v>591</v>
      </c>
      <c r="C46" s="13" t="s">
        <v>3916</v>
      </c>
      <c r="D46" s="13" t="s">
        <v>391</v>
      </c>
      <c r="E46" s="13" t="s">
        <v>488</v>
      </c>
      <c r="F46" s="13">
        <v>6</v>
      </c>
      <c r="G46" s="13" t="s">
        <v>3917</v>
      </c>
      <c r="H46" s="13" t="s">
        <v>3918</v>
      </c>
      <c r="I46" s="13" t="s">
        <v>502</v>
      </c>
      <c r="J46" s="13" t="s">
        <v>3919</v>
      </c>
    </row>
    <row r="47" spans="1:10" ht="69">
      <c r="A47" s="13" t="s">
        <v>3920</v>
      </c>
      <c r="B47" s="13" t="s">
        <v>3921</v>
      </c>
      <c r="C47" s="13" t="s">
        <v>3922</v>
      </c>
      <c r="D47" s="13" t="s">
        <v>391</v>
      </c>
      <c r="E47" s="13" t="s">
        <v>488</v>
      </c>
      <c r="F47" s="13">
        <v>6</v>
      </c>
      <c r="G47" s="13" t="s">
        <v>3923</v>
      </c>
      <c r="H47" s="13" t="s">
        <v>3924</v>
      </c>
      <c r="I47" s="13" t="s">
        <v>502</v>
      </c>
      <c r="J47" s="13" t="s">
        <v>3925</v>
      </c>
    </row>
    <row r="48" spans="1:10" ht="82.8">
      <c r="A48" s="13" t="s">
        <v>3926</v>
      </c>
      <c r="B48" s="13" t="s">
        <v>591</v>
      </c>
      <c r="C48" s="13" t="s">
        <v>3927</v>
      </c>
      <c r="D48" s="13" t="s">
        <v>492</v>
      </c>
      <c r="E48" s="13" t="s">
        <v>488</v>
      </c>
      <c r="F48" s="13">
        <v>8</v>
      </c>
      <c r="G48" s="13" t="s">
        <v>3928</v>
      </c>
      <c r="H48" s="13" t="s">
        <v>584</v>
      </c>
      <c r="I48" s="13" t="s">
        <v>502</v>
      </c>
      <c r="J48" s="13" t="s">
        <v>3929</v>
      </c>
    </row>
    <row r="49" spans="1:10" ht="69">
      <c r="A49" s="13" t="s">
        <v>3930</v>
      </c>
      <c r="B49" s="13" t="s">
        <v>591</v>
      </c>
      <c r="C49" s="13" t="s">
        <v>2806</v>
      </c>
      <c r="D49" s="13" t="s">
        <v>391</v>
      </c>
      <c r="E49" s="13" t="s">
        <v>488</v>
      </c>
      <c r="F49" s="13">
        <v>6</v>
      </c>
      <c r="G49" s="13" t="s">
        <v>2807</v>
      </c>
      <c r="H49" s="13" t="s">
        <v>2808</v>
      </c>
      <c r="I49" s="13" t="s">
        <v>502</v>
      </c>
      <c r="J49" s="13" t="s">
        <v>3931</v>
      </c>
    </row>
    <row r="50" spans="1:10" ht="69">
      <c r="A50" s="13" t="s">
        <v>3932</v>
      </c>
      <c r="B50" s="13" t="s">
        <v>575</v>
      </c>
      <c r="C50" s="13" t="s">
        <v>3933</v>
      </c>
      <c r="D50" s="13" t="s">
        <v>391</v>
      </c>
      <c r="E50" s="13" t="s">
        <v>488</v>
      </c>
      <c r="F50" s="13">
        <v>6</v>
      </c>
      <c r="G50" s="13" t="s">
        <v>3934</v>
      </c>
      <c r="H50" s="13" t="s">
        <v>1037</v>
      </c>
      <c r="I50" s="13" t="s">
        <v>502</v>
      </c>
      <c r="J50" s="13" t="s">
        <v>3935</v>
      </c>
    </row>
    <row r="51" spans="1:10" ht="82.8">
      <c r="A51" s="13" t="s">
        <v>3936</v>
      </c>
      <c r="B51" s="13" t="s">
        <v>575</v>
      </c>
      <c r="C51" s="13" t="s">
        <v>2815</v>
      </c>
      <c r="D51" s="13" t="s">
        <v>391</v>
      </c>
      <c r="E51" s="13" t="s">
        <v>488</v>
      </c>
      <c r="F51" s="13">
        <v>6</v>
      </c>
      <c r="G51" s="13" t="s">
        <v>2937</v>
      </c>
      <c r="H51" s="13" t="s">
        <v>622</v>
      </c>
      <c r="I51" s="13" t="s">
        <v>502</v>
      </c>
      <c r="J51" s="13" t="s">
        <v>3937</v>
      </c>
    </row>
    <row r="52" spans="1:10" ht="96.6">
      <c r="A52" s="13" t="s">
        <v>3938</v>
      </c>
      <c r="B52" s="13" t="s">
        <v>575</v>
      </c>
      <c r="C52" s="13" t="s">
        <v>3939</v>
      </c>
      <c r="D52" s="13" t="s">
        <v>391</v>
      </c>
      <c r="E52" s="13" t="s">
        <v>488</v>
      </c>
      <c r="F52" s="13">
        <v>6</v>
      </c>
      <c r="G52" s="13" t="s">
        <v>2820</v>
      </c>
      <c r="H52" s="13" t="s">
        <v>1049</v>
      </c>
      <c r="I52" s="13" t="s">
        <v>502</v>
      </c>
      <c r="J52" s="13" t="s">
        <v>3940</v>
      </c>
    </row>
    <row r="53" spans="1:10">
      <c r="A53" s="13"/>
      <c r="B53" s="13"/>
      <c r="C53" s="13"/>
      <c r="D53" s="13"/>
      <c r="E53" s="13"/>
      <c r="F53" s="13"/>
      <c r="G53" s="13"/>
      <c r="H53" s="13"/>
      <c r="I53" s="13"/>
      <c r="J53" s="13"/>
    </row>
    <row r="54" spans="1:10">
      <c r="A54" s="842" t="s">
        <v>1051</v>
      </c>
      <c r="B54" s="839"/>
      <c r="C54" s="839"/>
      <c r="D54" s="85"/>
      <c r="E54" s="85"/>
      <c r="F54" s="85"/>
      <c r="G54" s="85"/>
      <c r="H54" s="85"/>
      <c r="I54" s="85"/>
      <c r="J54" s="85"/>
    </row>
    <row r="55" spans="1:10">
      <c r="A55" s="50" t="s">
        <v>221</v>
      </c>
      <c r="B55" s="50" t="s">
        <v>222</v>
      </c>
      <c r="C55" s="50" t="s">
        <v>265</v>
      </c>
      <c r="D55" s="50" t="s">
        <v>77</v>
      </c>
      <c r="E55" s="50" t="s">
        <v>878</v>
      </c>
      <c r="F55" s="50" t="s">
        <v>879</v>
      </c>
      <c r="G55" s="50" t="s">
        <v>880</v>
      </c>
      <c r="H55" s="50" t="s">
        <v>494</v>
      </c>
      <c r="I55" s="50" t="s">
        <v>881</v>
      </c>
      <c r="J55" s="50" t="s">
        <v>11</v>
      </c>
    </row>
    <row r="56" spans="1:10" ht="69">
      <c r="A56" s="13" t="s">
        <v>3941</v>
      </c>
      <c r="B56" s="13" t="s">
        <v>3942</v>
      </c>
      <c r="C56" s="13" t="s">
        <v>3943</v>
      </c>
      <c r="D56" s="13" t="s">
        <v>502</v>
      </c>
      <c r="E56" s="13"/>
      <c r="F56" s="13"/>
      <c r="G56" s="13" t="s">
        <v>3944</v>
      </c>
      <c r="H56" s="13"/>
      <c r="I56" s="13"/>
      <c r="J56" s="13"/>
    </row>
    <row r="57" spans="1:10" ht="110.4">
      <c r="A57" s="13" t="s">
        <v>3945</v>
      </c>
      <c r="B57" s="13" t="s">
        <v>3946</v>
      </c>
      <c r="C57" s="13" t="s">
        <v>3327</v>
      </c>
      <c r="D57" s="13" t="s">
        <v>502</v>
      </c>
      <c r="E57" s="13"/>
      <c r="F57" s="13"/>
      <c r="G57" s="13" t="s">
        <v>3947</v>
      </c>
      <c r="H57" s="13"/>
      <c r="I57" s="13"/>
      <c r="J57" s="13"/>
    </row>
    <row r="58" spans="1:10" ht="82.8">
      <c r="A58" s="13" t="s">
        <v>3948</v>
      </c>
      <c r="B58" s="13" t="s">
        <v>3949</v>
      </c>
      <c r="C58" s="13" t="s">
        <v>587</v>
      </c>
      <c r="D58" s="13" t="s">
        <v>502</v>
      </c>
      <c r="E58" s="13"/>
      <c r="F58" s="13"/>
      <c r="G58" s="13" t="s">
        <v>3950</v>
      </c>
      <c r="H58" s="13"/>
      <c r="I58" s="13"/>
      <c r="J58" s="13"/>
    </row>
    <row r="59" spans="1:10" ht="82.8">
      <c r="A59" s="13" t="s">
        <v>3951</v>
      </c>
      <c r="B59" s="13" t="s">
        <v>3952</v>
      </c>
      <c r="C59" s="13" t="s">
        <v>616</v>
      </c>
      <c r="D59" s="13" t="s">
        <v>502</v>
      </c>
      <c r="E59" s="13"/>
      <c r="F59" s="13"/>
      <c r="G59" s="13" t="s">
        <v>617</v>
      </c>
      <c r="H59" s="13"/>
      <c r="I59" s="13"/>
      <c r="J59" s="13"/>
    </row>
    <row r="60" spans="1:10" ht="96.6">
      <c r="A60" s="13" t="s">
        <v>3953</v>
      </c>
      <c r="B60" s="13" t="s">
        <v>3954</v>
      </c>
      <c r="C60" s="13" t="s">
        <v>2830</v>
      </c>
      <c r="D60" s="13" t="s">
        <v>502</v>
      </c>
      <c r="E60" s="13"/>
      <c r="F60" s="13"/>
      <c r="G60" s="13" t="s">
        <v>3955</v>
      </c>
      <c r="H60" s="13"/>
      <c r="I60" s="13"/>
      <c r="J60" s="13"/>
    </row>
    <row r="61" spans="1:10" ht="96.6">
      <c r="A61" s="13" t="s">
        <v>3956</v>
      </c>
      <c r="B61" s="13" t="s">
        <v>3957</v>
      </c>
      <c r="C61" s="13" t="s">
        <v>2838</v>
      </c>
      <c r="D61" s="13" t="s">
        <v>502</v>
      </c>
      <c r="E61" s="13"/>
      <c r="F61" s="13"/>
      <c r="G61" s="13" t="s">
        <v>2839</v>
      </c>
      <c r="H61" s="13"/>
      <c r="I61" s="13"/>
      <c r="J61" s="13"/>
    </row>
    <row r="62" spans="1:10" ht="69">
      <c r="A62" s="13" t="s">
        <v>3958</v>
      </c>
      <c r="B62" s="13" t="s">
        <v>3959</v>
      </c>
      <c r="C62" s="13" t="s">
        <v>2834</v>
      </c>
      <c r="D62" s="13" t="s">
        <v>502</v>
      </c>
      <c r="E62" s="13"/>
      <c r="F62" s="13"/>
      <c r="G62" s="13" t="s">
        <v>2835</v>
      </c>
      <c r="H62" s="13"/>
      <c r="I62" s="13"/>
      <c r="J62" s="13"/>
    </row>
    <row r="63" spans="1:10" ht="82.8">
      <c r="A63" s="13" t="s">
        <v>3960</v>
      </c>
      <c r="B63" s="13" t="s">
        <v>3961</v>
      </c>
      <c r="C63" s="13" t="s">
        <v>630</v>
      </c>
      <c r="D63" s="13" t="s">
        <v>502</v>
      </c>
      <c r="E63" s="13"/>
      <c r="F63" s="13"/>
      <c r="G63" s="13" t="s">
        <v>631</v>
      </c>
      <c r="H63" s="13"/>
      <c r="I63" s="13"/>
      <c r="J63" s="13"/>
    </row>
    <row r="64" spans="1:10">
      <c r="A64" s="13"/>
      <c r="B64" s="13"/>
      <c r="C64" s="13"/>
      <c r="D64" s="13"/>
      <c r="E64" s="13"/>
      <c r="F64" s="13"/>
      <c r="G64" s="13"/>
      <c r="H64" s="13"/>
      <c r="I64" s="13"/>
      <c r="J64" s="13"/>
    </row>
    <row r="65" spans="1:10">
      <c r="A65" s="842" t="s">
        <v>1052</v>
      </c>
      <c r="B65" s="839"/>
      <c r="C65" s="839"/>
      <c r="D65" s="85"/>
      <c r="E65" s="85"/>
      <c r="F65" s="85"/>
      <c r="G65" s="85"/>
      <c r="H65" s="85"/>
      <c r="I65" s="85"/>
      <c r="J65" s="85"/>
    </row>
    <row r="66" spans="1:10">
      <c r="A66" s="50" t="s">
        <v>291</v>
      </c>
      <c r="B66" s="50" t="s">
        <v>275</v>
      </c>
      <c r="C66" s="50" t="s">
        <v>493</v>
      </c>
      <c r="D66" s="50" t="s">
        <v>214</v>
      </c>
      <c r="E66" s="50" t="s">
        <v>263</v>
      </c>
      <c r="F66" s="50" t="s">
        <v>891</v>
      </c>
      <c r="G66" s="50" t="s">
        <v>892</v>
      </c>
      <c r="H66" s="50" t="s">
        <v>893</v>
      </c>
      <c r="I66" s="50" t="s">
        <v>77</v>
      </c>
      <c r="J66" s="50" t="s">
        <v>11</v>
      </c>
    </row>
    <row r="67" spans="1:10" ht="96.6">
      <c r="A67" s="13" t="s">
        <v>3962</v>
      </c>
      <c r="B67" s="13" t="s">
        <v>591</v>
      </c>
      <c r="C67" s="13" t="s">
        <v>269</v>
      </c>
      <c r="D67" s="13" t="s">
        <v>3963</v>
      </c>
      <c r="E67" s="13"/>
      <c r="F67" s="13" t="s">
        <v>229</v>
      </c>
      <c r="G67" s="13"/>
      <c r="H67" s="13" t="s">
        <v>3964</v>
      </c>
      <c r="I67" s="13" t="s">
        <v>502</v>
      </c>
      <c r="J67" s="13"/>
    </row>
    <row r="68" spans="1:10" ht="82.8">
      <c r="A68" s="13" t="s">
        <v>3965</v>
      </c>
      <c r="B68" s="13" t="s">
        <v>591</v>
      </c>
      <c r="C68" s="13" t="s">
        <v>153</v>
      </c>
      <c r="D68" s="13" t="s">
        <v>3966</v>
      </c>
      <c r="E68" s="13"/>
      <c r="F68" s="13" t="s">
        <v>229</v>
      </c>
      <c r="G68" s="13"/>
      <c r="H68" s="13" t="s">
        <v>3930</v>
      </c>
      <c r="I68" s="13" t="s">
        <v>502</v>
      </c>
      <c r="J68" s="13"/>
    </row>
    <row r="69" spans="1:10" ht="96.6">
      <c r="A69" s="13" t="s">
        <v>3967</v>
      </c>
      <c r="B69" s="13" t="s">
        <v>591</v>
      </c>
      <c r="C69" s="13" t="s">
        <v>155</v>
      </c>
      <c r="D69" s="13" t="s">
        <v>3968</v>
      </c>
      <c r="E69" s="13"/>
      <c r="F69" s="13" t="s">
        <v>229</v>
      </c>
      <c r="G69" s="13"/>
      <c r="H69" s="13" t="s">
        <v>3969</v>
      </c>
      <c r="I69" s="13" t="s">
        <v>502</v>
      </c>
      <c r="J69" s="13"/>
    </row>
    <row r="70" spans="1:10" ht="82.8">
      <c r="A70" s="13" t="s">
        <v>3970</v>
      </c>
      <c r="B70" s="13" t="s">
        <v>591</v>
      </c>
      <c r="C70" s="13" t="s">
        <v>2640</v>
      </c>
      <c r="D70" s="13" t="s">
        <v>3971</v>
      </c>
      <c r="E70" s="13"/>
      <c r="F70" s="13" t="s">
        <v>229</v>
      </c>
      <c r="G70" s="13"/>
      <c r="H70" s="13" t="s">
        <v>3972</v>
      </c>
      <c r="I70" s="13" t="s">
        <v>502</v>
      </c>
      <c r="J70" s="13"/>
    </row>
    <row r="71" spans="1:10" ht="69">
      <c r="A71" s="13" t="s">
        <v>3973</v>
      </c>
      <c r="B71" s="13" t="s">
        <v>591</v>
      </c>
      <c r="C71" s="13" t="s">
        <v>957</v>
      </c>
      <c r="D71" s="13" t="s">
        <v>3974</v>
      </c>
      <c r="E71" s="13"/>
      <c r="F71" s="13" t="s">
        <v>229</v>
      </c>
      <c r="G71" s="13"/>
      <c r="H71" s="13" t="s">
        <v>3936</v>
      </c>
      <c r="I71" s="13" t="s">
        <v>502</v>
      </c>
      <c r="J71" s="13"/>
    </row>
    <row r="72" spans="1:10" ht="69">
      <c r="A72" s="13" t="s">
        <v>3975</v>
      </c>
      <c r="B72" s="13" t="s">
        <v>591</v>
      </c>
      <c r="C72" s="13" t="s">
        <v>3976</v>
      </c>
      <c r="D72" s="13" t="s">
        <v>3977</v>
      </c>
      <c r="E72" s="13"/>
      <c r="F72" s="13" t="s">
        <v>229</v>
      </c>
      <c r="G72" s="13"/>
      <c r="H72" s="13" t="s">
        <v>3978</v>
      </c>
      <c r="I72" s="13" t="s">
        <v>502</v>
      </c>
      <c r="J72" s="13"/>
    </row>
    <row r="73" spans="1:10" ht="82.8">
      <c r="A73" s="13" t="s">
        <v>3979</v>
      </c>
      <c r="B73" s="13" t="s">
        <v>591</v>
      </c>
      <c r="C73" s="13" t="s">
        <v>3980</v>
      </c>
      <c r="D73" s="13" t="s">
        <v>3981</v>
      </c>
      <c r="E73" s="13"/>
      <c r="F73" s="13" t="s">
        <v>229</v>
      </c>
      <c r="G73" s="13"/>
      <c r="H73" s="13" t="s">
        <v>3938</v>
      </c>
      <c r="I73" s="13" t="s">
        <v>502</v>
      </c>
      <c r="J73" s="13"/>
    </row>
    <row r="74" spans="1:10" ht="69">
      <c r="A74" s="13" t="s">
        <v>3982</v>
      </c>
      <c r="B74" s="13" t="s">
        <v>575</v>
      </c>
      <c r="C74" s="13" t="s">
        <v>3983</v>
      </c>
      <c r="D74" s="13" t="s">
        <v>3984</v>
      </c>
      <c r="E74" s="13"/>
      <c r="F74" s="13" t="s">
        <v>229</v>
      </c>
      <c r="G74" s="13"/>
      <c r="H74" s="13" t="s">
        <v>3985</v>
      </c>
      <c r="I74" s="13" t="s">
        <v>502</v>
      </c>
      <c r="J74" s="13"/>
    </row>
    <row r="75" spans="1:10">
      <c r="A75" s="13"/>
      <c r="B75" s="13"/>
      <c r="C75" s="13"/>
      <c r="D75" s="13"/>
      <c r="E75" s="13"/>
      <c r="F75" s="13"/>
      <c r="G75" s="13"/>
      <c r="H75" s="13"/>
      <c r="I75" s="13"/>
      <c r="J75" s="13"/>
    </row>
    <row r="76" spans="1:10">
      <c r="A76" s="842" t="s">
        <v>1079</v>
      </c>
      <c r="B76" s="839"/>
      <c r="C76" s="839"/>
      <c r="D76" s="85"/>
      <c r="E76" s="85"/>
      <c r="F76" s="85"/>
      <c r="G76" s="85"/>
      <c r="H76" s="85"/>
      <c r="I76" s="85"/>
      <c r="J76" s="85"/>
    </row>
    <row r="77" spans="1:10">
      <c r="A77" s="50" t="s">
        <v>275</v>
      </c>
      <c r="B77" s="50" t="s">
        <v>895</v>
      </c>
      <c r="C77" s="50" t="s">
        <v>896</v>
      </c>
      <c r="D77" s="50" t="s">
        <v>148</v>
      </c>
      <c r="E77" s="50" t="s">
        <v>153</v>
      </c>
      <c r="F77" s="50" t="s">
        <v>155</v>
      </c>
      <c r="G77" s="50" t="s">
        <v>491</v>
      </c>
      <c r="H77" s="50" t="s">
        <v>897</v>
      </c>
      <c r="I77" s="50" t="s">
        <v>174</v>
      </c>
      <c r="J77" s="50" t="s">
        <v>11</v>
      </c>
    </row>
    <row r="78" spans="1:10" ht="55.2">
      <c r="A78" s="13" t="s">
        <v>591</v>
      </c>
      <c r="B78" s="13">
        <v>0.5</v>
      </c>
      <c r="C78" s="13">
        <v>0.5</v>
      </c>
      <c r="D78" s="13" t="s">
        <v>1238</v>
      </c>
      <c r="E78" s="13">
        <v>0.5</v>
      </c>
      <c r="F78" s="13">
        <v>0.5</v>
      </c>
      <c r="G78" s="13" t="s">
        <v>677</v>
      </c>
      <c r="H78" s="13">
        <v>0.5</v>
      </c>
      <c r="I78" s="13" t="s">
        <v>1201</v>
      </c>
      <c r="J78" s="13" t="s">
        <v>3986</v>
      </c>
    </row>
    <row r="79" spans="1:10" ht="41.4">
      <c r="A79" s="13" t="s">
        <v>3893</v>
      </c>
      <c r="B79" s="13">
        <v>0.5</v>
      </c>
      <c r="C79" s="13">
        <v>0.5</v>
      </c>
      <c r="D79" s="13" t="s">
        <v>1238</v>
      </c>
      <c r="E79" s="13">
        <v>0.5</v>
      </c>
      <c r="F79" s="13">
        <v>0.5</v>
      </c>
      <c r="G79" s="13" t="s">
        <v>677</v>
      </c>
      <c r="H79" s="13">
        <v>0.5</v>
      </c>
      <c r="I79" s="13" t="s">
        <v>1201</v>
      </c>
      <c r="J79" s="13" t="s">
        <v>3987</v>
      </c>
    </row>
    <row r="80" spans="1:10">
      <c r="A80" s="13"/>
      <c r="B80" s="13"/>
      <c r="C80" s="13"/>
      <c r="D80" s="13"/>
      <c r="E80" s="13"/>
      <c r="F80" s="13"/>
      <c r="G80" s="13"/>
      <c r="H80" s="13"/>
      <c r="I80" s="13"/>
      <c r="J80" s="13"/>
    </row>
    <row r="81" spans="1:10">
      <c r="A81" s="842" t="s">
        <v>1085</v>
      </c>
      <c r="B81" s="839"/>
      <c r="C81" s="839"/>
      <c r="D81" s="85"/>
      <c r="E81" s="85"/>
      <c r="F81" s="85"/>
      <c r="G81" s="85"/>
      <c r="H81" s="85"/>
      <c r="I81" s="85"/>
      <c r="J81" s="85"/>
    </row>
    <row r="82" spans="1:10" ht="55.2">
      <c r="A82" s="50" t="s">
        <v>905</v>
      </c>
      <c r="B82" s="50" t="s">
        <v>3988</v>
      </c>
      <c r="C82" s="50"/>
      <c r="D82" s="50"/>
      <c r="E82" s="50"/>
      <c r="F82" s="50"/>
      <c r="G82" s="50"/>
      <c r="H82" s="50"/>
      <c r="I82" s="50"/>
      <c r="J82" s="50"/>
    </row>
    <row r="83" spans="1:10" ht="207">
      <c r="A83" s="13" t="s">
        <v>1086</v>
      </c>
      <c r="B83" s="13" t="s">
        <v>3989</v>
      </c>
      <c r="C83" s="13"/>
      <c r="D83" s="13"/>
      <c r="E83" s="13"/>
      <c r="F83" s="13"/>
      <c r="G83" s="13"/>
      <c r="H83" s="13"/>
      <c r="I83" s="13"/>
      <c r="J83" s="13"/>
    </row>
    <row r="84" spans="1:10" ht="110.4">
      <c r="A84" s="13" t="s">
        <v>2194</v>
      </c>
      <c r="B84" s="13" t="s">
        <v>3990</v>
      </c>
      <c r="C84" s="13"/>
      <c r="D84" s="13"/>
      <c r="E84" s="13"/>
      <c r="F84" s="13"/>
      <c r="G84" s="13"/>
      <c r="H84" s="13"/>
      <c r="I84" s="13"/>
      <c r="J84" s="13"/>
    </row>
    <row r="85" spans="1:10" ht="165.6">
      <c r="A85" s="13" t="s">
        <v>3991</v>
      </c>
      <c r="B85" s="13" t="s">
        <v>3992</v>
      </c>
      <c r="C85" s="13"/>
      <c r="D85" s="13"/>
      <c r="E85" s="13"/>
      <c r="F85" s="13"/>
      <c r="G85" s="13"/>
      <c r="H85" s="13"/>
      <c r="I85" s="13"/>
      <c r="J85" s="13"/>
    </row>
    <row r="86" spans="1:10" ht="248.4">
      <c r="A86" s="13" t="s">
        <v>1088</v>
      </c>
      <c r="B86" s="13" t="s">
        <v>3993</v>
      </c>
      <c r="C86" s="13"/>
      <c r="D86" s="13"/>
      <c r="E86" s="13"/>
      <c r="F86" s="13"/>
      <c r="G86" s="13"/>
      <c r="H86" s="13"/>
      <c r="I86" s="13"/>
      <c r="J86" s="13"/>
    </row>
    <row r="87" spans="1:10" ht="179.4">
      <c r="A87" s="13" t="s">
        <v>3994</v>
      </c>
      <c r="B87" s="13" t="s">
        <v>3995</v>
      </c>
      <c r="C87" s="13"/>
      <c r="D87" s="13"/>
      <c r="E87" s="13"/>
      <c r="F87" s="13"/>
      <c r="G87" s="13"/>
      <c r="H87" s="13"/>
      <c r="I87" s="13"/>
      <c r="J87" s="13"/>
    </row>
    <row r="88" spans="1:10" ht="193.2">
      <c r="A88" s="13" t="s">
        <v>1563</v>
      </c>
      <c r="B88" s="13" t="s">
        <v>2874</v>
      </c>
      <c r="C88" s="13"/>
      <c r="D88" s="13"/>
      <c r="E88" s="13"/>
      <c r="F88" s="13"/>
      <c r="G88" s="13"/>
      <c r="H88" s="13"/>
      <c r="I88" s="13"/>
      <c r="J88" s="13"/>
    </row>
    <row r="89" spans="1:10" ht="138">
      <c r="A89" s="13" t="s">
        <v>3996</v>
      </c>
      <c r="B89" s="13" t="s">
        <v>3997</v>
      </c>
      <c r="C89" s="13"/>
      <c r="D89" s="13"/>
      <c r="E89" s="13"/>
      <c r="F89" s="13"/>
      <c r="G89" s="13"/>
      <c r="H89" s="13"/>
      <c r="I89" s="13"/>
      <c r="J89" s="13"/>
    </row>
    <row r="91" spans="1:10" ht="15" thickBot="1"/>
    <row r="92" spans="1:10" ht="15" customHeight="1">
      <c r="A92" s="855" t="s">
        <v>5875</v>
      </c>
      <c r="B92" s="856"/>
      <c r="C92" s="856"/>
      <c r="D92" s="857"/>
      <c r="E92" s="856"/>
      <c r="F92" s="856"/>
      <c r="G92" s="857"/>
      <c r="H92" s="857"/>
      <c r="I92" s="857"/>
      <c r="J92" s="858"/>
    </row>
    <row r="93" spans="1:10" ht="30" customHeight="1">
      <c r="A93" s="325" t="s">
        <v>5817</v>
      </c>
      <c r="B93" s="326" t="s">
        <v>77</v>
      </c>
      <c r="C93" s="326" t="s">
        <v>5818</v>
      </c>
      <c r="D93" s="326" t="s">
        <v>5819</v>
      </c>
      <c r="E93" s="326" t="s">
        <v>5841</v>
      </c>
      <c r="F93" s="326" t="s">
        <v>5808</v>
      </c>
      <c r="G93" s="859" t="s">
        <v>5842</v>
      </c>
      <c r="H93" s="859"/>
      <c r="I93" s="859"/>
      <c r="J93" s="860"/>
    </row>
    <row r="94" spans="1:10" ht="25.5" customHeight="1">
      <c r="A94" s="327" t="s">
        <v>5820</v>
      </c>
      <c r="B94" s="337" t="s">
        <v>484</v>
      </c>
      <c r="C94" s="329">
        <v>0</v>
      </c>
      <c r="D94" s="329">
        <v>0</v>
      </c>
      <c r="E94" s="196" t="s">
        <v>5881</v>
      </c>
      <c r="F94" s="329">
        <f>IF(AND(C94&lt;&gt;"",D94&lt;&gt;""),D94-C94,"")</f>
        <v>0</v>
      </c>
      <c r="G94" s="861"/>
      <c r="H94" s="861"/>
      <c r="I94" s="861"/>
      <c r="J94" s="862"/>
    </row>
    <row r="95" spans="1:10" ht="25.5" customHeight="1">
      <c r="A95" s="330" t="s">
        <v>5821</v>
      </c>
      <c r="B95" s="337" t="s">
        <v>484</v>
      </c>
      <c r="C95" s="331">
        <v>1</v>
      </c>
      <c r="D95" s="331">
        <v>0</v>
      </c>
      <c r="E95" s="314" t="s">
        <v>5882</v>
      </c>
      <c r="F95" s="331">
        <f>IF(AND(C95&lt;&gt;"",D95&lt;&gt;""),D95-C95,"")</f>
        <v>-1</v>
      </c>
      <c r="G95" s="863"/>
      <c r="H95" s="863"/>
      <c r="I95" s="863"/>
      <c r="J95" s="864"/>
    </row>
    <row r="96" spans="1:10" ht="15" customHeight="1">
      <c r="A96" s="327" t="s">
        <v>5822</v>
      </c>
      <c r="B96" s="337" t="s">
        <v>484</v>
      </c>
      <c r="C96" s="331">
        <v>1</v>
      </c>
      <c r="D96" s="331">
        <v>0</v>
      </c>
      <c r="E96" s="314" t="s">
        <v>5882</v>
      </c>
      <c r="F96" s="329">
        <f>IF(AND(C96&lt;&gt;"",D96&lt;&gt;""),D96-C96,"")</f>
        <v>-1</v>
      </c>
      <c r="G96" s="332"/>
      <c r="H96" s="231"/>
      <c r="I96" s="231"/>
      <c r="J96" s="333"/>
    </row>
    <row r="97" spans="1:10" ht="15" customHeight="1">
      <c r="A97" s="330" t="s">
        <v>5823</v>
      </c>
      <c r="B97" s="337" t="s">
        <v>484</v>
      </c>
      <c r="C97" s="331">
        <v>1</v>
      </c>
      <c r="D97" s="331">
        <v>0</v>
      </c>
      <c r="E97" s="314" t="s">
        <v>5882</v>
      </c>
      <c r="F97" s="331">
        <f>IF(AND(C97&lt;&gt;"",D97&lt;&gt;""),D97-C97,"")</f>
        <v>-1</v>
      </c>
      <c r="G97" s="863"/>
      <c r="H97" s="863"/>
      <c r="I97" s="863"/>
      <c r="J97" s="864"/>
    </row>
    <row r="98" spans="1:10" ht="15" customHeight="1">
      <c r="A98" s="327" t="s">
        <v>5168</v>
      </c>
      <c r="B98" s="337" t="s">
        <v>484</v>
      </c>
      <c r="C98" s="331">
        <v>1</v>
      </c>
      <c r="D98" s="331">
        <v>0</v>
      </c>
      <c r="E98" s="314" t="s">
        <v>5882</v>
      </c>
      <c r="F98" s="329">
        <f>IF(AND(C98&lt;&gt;"",D98&lt;&gt;""),D98-C98,"")</f>
        <v>-1</v>
      </c>
      <c r="G98" s="332"/>
      <c r="H98" s="231"/>
      <c r="I98" s="231"/>
      <c r="J98" s="333"/>
    </row>
    <row r="99" spans="1:10" ht="15.75" customHeight="1">
      <c r="A99" s="865" t="s">
        <v>5843</v>
      </c>
      <c r="B99" s="713"/>
      <c r="C99" s="334">
        <f>IFERROR(AVERAGE(C94:C98),"")</f>
        <v>0.8</v>
      </c>
      <c r="D99" s="334">
        <f>IFERROR(AVERAGE(D94:D98),"")</f>
        <v>0</v>
      </c>
      <c r="E99" s="866" t="s">
        <v>5844</v>
      </c>
      <c r="F99" s="866"/>
      <c r="G99" s="866"/>
      <c r="H99" s="866"/>
      <c r="I99" s="866"/>
      <c r="J99" s="867"/>
    </row>
    <row r="100" spans="1:10" ht="20.25" customHeight="1">
      <c r="A100" s="335"/>
      <c r="B100" s="320"/>
      <c r="C100" s="320"/>
      <c r="D100" s="320"/>
      <c r="E100" s="320"/>
      <c r="F100" s="320"/>
      <c r="G100" s="320"/>
      <c r="H100" s="231"/>
      <c r="I100" s="231"/>
      <c r="J100" s="333"/>
    </row>
    <row r="101" spans="1:10">
      <c r="A101" s="876" t="s">
        <v>5876</v>
      </c>
      <c r="B101" s="853"/>
      <c r="C101" s="853"/>
      <c r="D101" s="842"/>
      <c r="E101" s="853"/>
      <c r="F101" s="853"/>
      <c r="G101" s="842"/>
      <c r="H101" s="842"/>
      <c r="I101" s="842"/>
      <c r="J101" s="868"/>
    </row>
    <row r="102" spans="1:10">
      <c r="A102" s="325" t="s">
        <v>4946</v>
      </c>
      <c r="B102" s="326" t="s">
        <v>77</v>
      </c>
      <c r="C102" s="326" t="s">
        <v>5883</v>
      </c>
      <c r="D102" s="326" t="s">
        <v>482</v>
      </c>
      <c r="E102" s="326" t="s">
        <v>572</v>
      </c>
      <c r="F102" s="326" t="s">
        <v>5846</v>
      </c>
      <c r="G102" s="859" t="s">
        <v>5847</v>
      </c>
      <c r="H102" s="859"/>
      <c r="I102" s="859"/>
      <c r="J102" s="860"/>
    </row>
    <row r="103" spans="1:10" ht="31.5" customHeight="1">
      <c r="A103" s="330" t="s">
        <v>5809</v>
      </c>
      <c r="B103" s="337" t="s">
        <v>484</v>
      </c>
      <c r="C103" s="336" t="s">
        <v>679</v>
      </c>
      <c r="D103" s="328" t="s">
        <v>679</v>
      </c>
      <c r="E103" s="336">
        <f>IF(D103="Yes",1,0)</f>
        <v>0</v>
      </c>
      <c r="F103" s="877"/>
      <c r="G103" s="877"/>
      <c r="H103" s="877"/>
      <c r="I103" s="877"/>
      <c r="J103" s="878"/>
    </row>
    <row r="104" spans="1:10" ht="20.25" customHeight="1">
      <c r="A104" s="327" t="s">
        <v>995</v>
      </c>
      <c r="B104" s="337" t="s">
        <v>484</v>
      </c>
      <c r="C104" s="336" t="s">
        <v>679</v>
      </c>
      <c r="D104" s="328" t="s">
        <v>679</v>
      </c>
      <c r="E104" s="328">
        <f t="shared" ref="E104:E110" si="0">IF(D104="Yes",1,0)</f>
        <v>0</v>
      </c>
      <c r="F104" s="877"/>
      <c r="G104" s="877"/>
      <c r="H104" s="877"/>
      <c r="I104" s="877"/>
      <c r="J104" s="878"/>
    </row>
    <row r="105" spans="1:10" ht="24.75" customHeight="1">
      <c r="A105" s="330" t="s">
        <v>5810</v>
      </c>
      <c r="B105" s="337" t="s">
        <v>484</v>
      </c>
      <c r="C105" s="336" t="s">
        <v>679</v>
      </c>
      <c r="D105" s="328" t="s">
        <v>679</v>
      </c>
      <c r="E105" s="336">
        <f t="shared" si="0"/>
        <v>0</v>
      </c>
      <c r="F105" s="877"/>
      <c r="G105" s="877"/>
      <c r="H105" s="877"/>
      <c r="I105" s="877"/>
      <c r="J105" s="878"/>
    </row>
    <row r="106" spans="1:10">
      <c r="A106" s="327" t="s">
        <v>5824</v>
      </c>
      <c r="B106" s="337" t="s">
        <v>484</v>
      </c>
      <c r="C106" s="336" t="s">
        <v>679</v>
      </c>
      <c r="D106" s="328" t="s">
        <v>679</v>
      </c>
      <c r="E106" s="328">
        <f t="shared" si="0"/>
        <v>0</v>
      </c>
      <c r="F106" s="877"/>
      <c r="G106" s="877"/>
      <c r="H106" s="877"/>
      <c r="I106" s="877"/>
      <c r="J106" s="878"/>
    </row>
    <row r="107" spans="1:10" ht="39.6">
      <c r="A107" s="330" t="s">
        <v>5825</v>
      </c>
      <c r="B107" s="337" t="s">
        <v>484</v>
      </c>
      <c r="C107" s="336" t="s">
        <v>679</v>
      </c>
      <c r="D107" s="328" t="s">
        <v>679</v>
      </c>
      <c r="E107" s="336">
        <f t="shared" si="0"/>
        <v>0</v>
      </c>
      <c r="F107" s="877"/>
      <c r="G107" s="877"/>
      <c r="H107" s="877"/>
      <c r="I107" s="877"/>
      <c r="J107" s="878"/>
    </row>
    <row r="108" spans="1:10" ht="26.4">
      <c r="A108" s="327" t="s">
        <v>5826</v>
      </c>
      <c r="B108" s="337" t="s">
        <v>484</v>
      </c>
      <c r="C108" s="336" t="s">
        <v>679</v>
      </c>
      <c r="D108" s="328" t="s">
        <v>679</v>
      </c>
      <c r="E108" s="328">
        <f t="shared" si="0"/>
        <v>0</v>
      </c>
      <c r="F108" s="877"/>
      <c r="G108" s="877"/>
      <c r="H108" s="877"/>
      <c r="I108" s="877"/>
      <c r="J108" s="878"/>
    </row>
    <row r="109" spans="1:10" ht="18.75" customHeight="1">
      <c r="A109" s="330" t="s">
        <v>5811</v>
      </c>
      <c r="B109" s="337" t="s">
        <v>484</v>
      </c>
      <c r="C109" s="336" t="s">
        <v>679</v>
      </c>
      <c r="D109" s="328" t="s">
        <v>679</v>
      </c>
      <c r="E109" s="336">
        <f t="shared" si="0"/>
        <v>0</v>
      </c>
      <c r="F109" s="877"/>
      <c r="G109" s="877"/>
      <c r="H109" s="877"/>
      <c r="I109" s="877"/>
      <c r="J109" s="878"/>
    </row>
    <row r="110" spans="1:10" ht="26.4">
      <c r="A110" s="327" t="s">
        <v>5812</v>
      </c>
      <c r="B110" s="337" t="s">
        <v>484</v>
      </c>
      <c r="C110" s="336" t="s">
        <v>679</v>
      </c>
      <c r="D110" s="328" t="s">
        <v>679</v>
      </c>
      <c r="E110" s="328">
        <f t="shared" si="0"/>
        <v>0</v>
      </c>
      <c r="F110" s="877"/>
      <c r="G110" s="877"/>
      <c r="H110" s="877"/>
      <c r="I110" s="877"/>
      <c r="J110" s="878"/>
    </row>
    <row r="111" spans="1:10" ht="28.5" customHeight="1">
      <c r="A111" s="865" t="s">
        <v>5848</v>
      </c>
      <c r="B111" s="713"/>
      <c r="C111" s="871" t="str">
        <f>IFERROR(SUM(E103:E110)/COUNTIF(C103:C110,"Yes"),"")</f>
        <v/>
      </c>
      <c r="D111" s="872"/>
      <c r="E111" s="866" t="s">
        <v>5849</v>
      </c>
      <c r="F111" s="866"/>
      <c r="G111" s="866"/>
      <c r="H111" s="866"/>
      <c r="I111" s="866"/>
      <c r="J111" s="867"/>
    </row>
    <row r="112" spans="1:10" ht="20.25" customHeight="1">
      <c r="A112" s="335"/>
      <c r="B112" s="320"/>
      <c r="C112" s="320"/>
      <c r="D112" s="320"/>
      <c r="E112" s="320"/>
      <c r="F112" s="320"/>
      <c r="G112" s="320"/>
      <c r="H112" s="231"/>
      <c r="I112" s="231"/>
      <c r="J112" s="333"/>
    </row>
    <row r="113" spans="1:10">
      <c r="A113" s="876" t="s">
        <v>5877</v>
      </c>
      <c r="B113" s="853"/>
      <c r="C113" s="853"/>
      <c r="D113" s="842"/>
      <c r="E113" s="853"/>
      <c r="F113" s="853"/>
      <c r="G113" s="842"/>
      <c r="H113" s="842"/>
      <c r="I113" s="842"/>
      <c r="J113" s="868"/>
    </row>
    <row r="114" spans="1:10" ht="30" customHeight="1">
      <c r="A114" s="325" t="s">
        <v>5850</v>
      </c>
      <c r="B114" s="326" t="s">
        <v>77</v>
      </c>
      <c r="C114" s="326" t="s">
        <v>5827</v>
      </c>
      <c r="D114" s="326" t="s">
        <v>5828</v>
      </c>
      <c r="E114" s="326" t="s">
        <v>5829</v>
      </c>
      <c r="F114" s="326" t="s">
        <v>5851</v>
      </c>
      <c r="G114" s="859" t="s">
        <v>5852</v>
      </c>
      <c r="H114" s="859"/>
      <c r="I114" s="859"/>
      <c r="J114" s="860"/>
    </row>
    <row r="115" spans="1:10" ht="26.4">
      <c r="A115" s="330" t="s">
        <v>5830</v>
      </c>
      <c r="B115" s="336" t="s">
        <v>484</v>
      </c>
      <c r="C115" s="336" t="s">
        <v>1096</v>
      </c>
      <c r="D115" s="336" t="s">
        <v>1096</v>
      </c>
      <c r="E115" s="336" t="s">
        <v>1096</v>
      </c>
      <c r="F115" s="336" t="s">
        <v>348</v>
      </c>
      <c r="G115" s="869"/>
      <c r="H115" s="869"/>
      <c r="I115" s="869"/>
      <c r="J115" s="870"/>
    </row>
    <row r="116" spans="1:10" ht="53.4" customHeight="1">
      <c r="A116" s="327" t="s">
        <v>5831</v>
      </c>
      <c r="B116" s="336" t="s">
        <v>484</v>
      </c>
      <c r="C116" s="336" t="s">
        <v>1096</v>
      </c>
      <c r="D116" s="336" t="s">
        <v>1096</v>
      </c>
      <c r="E116" s="336" t="s">
        <v>1096</v>
      </c>
      <c r="F116" s="336" t="s">
        <v>348</v>
      </c>
      <c r="G116" s="869"/>
      <c r="H116" s="869"/>
      <c r="I116" s="869"/>
      <c r="J116" s="870"/>
    </row>
    <row r="117" spans="1:10" ht="53.4" customHeight="1">
      <c r="A117" s="330" t="s">
        <v>5853</v>
      </c>
      <c r="B117" s="336" t="s">
        <v>484</v>
      </c>
      <c r="C117" s="336" t="s">
        <v>1096</v>
      </c>
      <c r="D117" s="336" t="s">
        <v>1096</v>
      </c>
      <c r="E117" s="336" t="s">
        <v>1096</v>
      </c>
      <c r="F117" s="336" t="s">
        <v>348</v>
      </c>
      <c r="G117" s="869"/>
      <c r="H117" s="869"/>
      <c r="I117" s="869"/>
      <c r="J117" s="870"/>
    </row>
    <row r="118" spans="1:10" ht="53.4" customHeight="1">
      <c r="A118" s="327" t="s">
        <v>5832</v>
      </c>
      <c r="B118" s="336" t="s">
        <v>484</v>
      </c>
      <c r="C118" s="336" t="s">
        <v>1096</v>
      </c>
      <c r="D118" s="336" t="s">
        <v>1096</v>
      </c>
      <c r="E118" s="336" t="s">
        <v>1096</v>
      </c>
      <c r="F118" s="336" t="s">
        <v>348</v>
      </c>
      <c r="G118" s="869"/>
      <c r="H118" s="869"/>
      <c r="I118" s="869"/>
      <c r="J118" s="870"/>
    </row>
    <row r="119" spans="1:10" ht="53.4" customHeight="1">
      <c r="A119" s="330" t="s">
        <v>5833</v>
      </c>
      <c r="B119" s="336" t="s">
        <v>484</v>
      </c>
      <c r="C119" s="336" t="s">
        <v>1096</v>
      </c>
      <c r="D119" s="336" t="s">
        <v>1096</v>
      </c>
      <c r="E119" s="336" t="s">
        <v>1096</v>
      </c>
      <c r="F119" s="336" t="s">
        <v>348</v>
      </c>
      <c r="G119" s="869"/>
      <c r="H119" s="869"/>
      <c r="I119" s="869"/>
      <c r="J119" s="870"/>
    </row>
    <row r="120" spans="1:10" ht="53.4" customHeight="1">
      <c r="A120" s="865" t="s">
        <v>5884</v>
      </c>
      <c r="B120" s="713"/>
      <c r="C120" s="871">
        <f>IFERROR(COUNTIF(E115:E119,"Yes")/COUNTA(A115:A119),"")</f>
        <v>0</v>
      </c>
      <c r="D120" s="872"/>
      <c r="E120" s="866" t="s">
        <v>5855</v>
      </c>
      <c r="F120" s="866"/>
      <c r="G120" s="866"/>
      <c r="H120" s="866"/>
      <c r="I120" s="866"/>
      <c r="J120" s="867"/>
    </row>
    <row r="121" spans="1:10" ht="20.25" customHeight="1">
      <c r="A121" s="335"/>
      <c r="B121" s="320"/>
      <c r="C121" s="320"/>
      <c r="D121" s="320"/>
      <c r="E121" s="320"/>
      <c r="F121" s="320"/>
      <c r="G121" s="874"/>
      <c r="H121" s="874"/>
      <c r="I121" s="874"/>
      <c r="J121" s="875"/>
    </row>
    <row r="122" spans="1:10" ht="53.4" customHeight="1">
      <c r="A122" s="876" t="s">
        <v>5878</v>
      </c>
      <c r="B122" s="853"/>
      <c r="C122" s="853"/>
      <c r="D122" s="842"/>
      <c r="E122" s="853"/>
      <c r="F122" s="853"/>
      <c r="G122" s="842"/>
      <c r="H122" s="842"/>
      <c r="I122" s="842"/>
      <c r="J122" s="868"/>
    </row>
    <row r="123" spans="1:10" ht="53.4" customHeight="1">
      <c r="A123" s="326" t="s">
        <v>5813</v>
      </c>
      <c r="B123" s="326" t="s">
        <v>77</v>
      </c>
      <c r="C123" s="326" t="s">
        <v>5834</v>
      </c>
      <c r="D123" s="326" t="s">
        <v>5835</v>
      </c>
      <c r="E123" s="326" t="s">
        <v>5836</v>
      </c>
      <c r="F123" s="326" t="s">
        <v>5837</v>
      </c>
      <c r="G123" s="859" t="s">
        <v>5885</v>
      </c>
      <c r="H123" s="859"/>
      <c r="I123" s="859"/>
      <c r="J123" s="859"/>
    </row>
    <row r="124" spans="1:10">
      <c r="A124" s="332" t="s">
        <v>153</v>
      </c>
      <c r="B124" s="328" t="s">
        <v>484</v>
      </c>
      <c r="C124" s="328"/>
      <c r="D124" s="328"/>
      <c r="E124" s="328"/>
      <c r="F124" s="329" t="str">
        <f>IFERROR(D124/C124,"")</f>
        <v/>
      </c>
      <c r="G124" s="873"/>
      <c r="H124" s="873"/>
      <c r="I124" s="873"/>
      <c r="J124" s="873"/>
    </row>
    <row r="125" spans="1:10">
      <c r="A125" s="339" t="s">
        <v>155</v>
      </c>
      <c r="B125" s="336" t="s">
        <v>484</v>
      </c>
      <c r="C125" s="336"/>
      <c r="D125" s="336"/>
      <c r="E125" s="336"/>
      <c r="F125" s="331" t="str">
        <f>IFERROR(D125/C125,"")</f>
        <v/>
      </c>
      <c r="G125" s="873"/>
      <c r="H125" s="873"/>
      <c r="I125" s="873"/>
      <c r="J125" s="873"/>
    </row>
    <row r="126" spans="1:10">
      <c r="A126" s="332" t="s">
        <v>4821</v>
      </c>
      <c r="B126" s="328" t="s">
        <v>484</v>
      </c>
      <c r="C126" s="328"/>
      <c r="D126" s="328"/>
      <c r="E126" s="328"/>
      <c r="F126" s="329" t="str">
        <f>IFERROR(D126/C126,"")</f>
        <v/>
      </c>
      <c r="G126" s="873"/>
      <c r="H126" s="873"/>
      <c r="I126" s="873"/>
      <c r="J126" s="873"/>
    </row>
    <row r="127" spans="1:10">
      <c r="A127" s="339" t="s">
        <v>957</v>
      </c>
      <c r="B127" s="336" t="s">
        <v>484</v>
      </c>
      <c r="C127" s="336"/>
      <c r="D127" s="336"/>
      <c r="E127" s="336"/>
      <c r="F127" s="331" t="str">
        <f>IFERROR(D127/C127,"")</f>
        <v/>
      </c>
      <c r="G127" s="873"/>
      <c r="H127" s="873"/>
      <c r="I127" s="873"/>
      <c r="J127" s="873"/>
    </row>
    <row r="128" spans="1:10">
      <c r="A128" s="879" t="s">
        <v>5856</v>
      </c>
      <c r="B128" s="879"/>
      <c r="C128" s="879"/>
      <c r="D128" s="879"/>
      <c r="E128" s="866" t="s">
        <v>5857</v>
      </c>
      <c r="F128" s="866"/>
      <c r="G128" s="866"/>
      <c r="H128" s="866"/>
      <c r="I128" s="866"/>
      <c r="J128" s="866"/>
    </row>
    <row r="129" spans="1:10">
      <c r="A129" s="879"/>
      <c r="B129" s="879"/>
      <c r="C129" s="879"/>
      <c r="D129" s="879"/>
      <c r="E129" s="866"/>
      <c r="F129" s="866"/>
      <c r="G129" s="866"/>
      <c r="H129" s="866"/>
      <c r="I129" s="866"/>
      <c r="J129" s="866"/>
    </row>
    <row r="130" spans="1:10">
      <c r="A130" s="842" t="s">
        <v>5879</v>
      </c>
      <c r="B130" s="842"/>
      <c r="C130" s="842"/>
      <c r="D130" s="842"/>
      <c r="E130" s="842"/>
      <c r="F130" s="842"/>
      <c r="G130" s="842"/>
      <c r="H130" s="842"/>
      <c r="I130" s="842"/>
      <c r="J130" s="842"/>
    </row>
    <row r="131" spans="1:10">
      <c r="A131" s="326" t="s">
        <v>4946</v>
      </c>
      <c r="B131" s="326" t="s">
        <v>77</v>
      </c>
      <c r="C131" s="326" t="s">
        <v>5845</v>
      </c>
      <c r="D131" s="326" t="s">
        <v>482</v>
      </c>
      <c r="E131" s="326" t="s">
        <v>572</v>
      </c>
      <c r="F131" s="326" t="s">
        <v>944</v>
      </c>
      <c r="G131" s="859" t="s">
        <v>5847</v>
      </c>
      <c r="H131" s="859"/>
      <c r="I131" s="859"/>
      <c r="J131" s="859"/>
    </row>
    <row r="132" spans="1:10" ht="26.4">
      <c r="A132" s="332" t="s">
        <v>5814</v>
      </c>
      <c r="B132" s="328" t="s">
        <v>484</v>
      </c>
      <c r="C132" s="328" t="s">
        <v>392</v>
      </c>
      <c r="D132" s="328" t="s">
        <v>1096</v>
      </c>
      <c r="E132" s="328">
        <f t="shared" ref="E132:E137" si="1">IF(D132="Yes",1,0)</f>
        <v>0</v>
      </c>
      <c r="F132" s="328"/>
      <c r="G132" s="873"/>
      <c r="H132" s="873"/>
      <c r="I132" s="873"/>
      <c r="J132" s="873"/>
    </row>
    <row r="133" spans="1:10">
      <c r="A133" s="339" t="s">
        <v>5815</v>
      </c>
      <c r="B133" s="328" t="s">
        <v>484</v>
      </c>
      <c r="C133" s="336" t="s">
        <v>392</v>
      </c>
      <c r="D133" s="328" t="s">
        <v>1096</v>
      </c>
      <c r="E133" s="336">
        <f t="shared" si="1"/>
        <v>0</v>
      </c>
      <c r="F133" s="336"/>
      <c r="G133" s="873"/>
      <c r="H133" s="873"/>
      <c r="I133" s="873"/>
      <c r="J133" s="873"/>
    </row>
    <row r="134" spans="1:10" ht="26.4">
      <c r="A134" s="332" t="s">
        <v>5816</v>
      </c>
      <c r="B134" s="328" t="s">
        <v>484</v>
      </c>
      <c r="C134" s="328" t="s">
        <v>392</v>
      </c>
      <c r="D134" s="328" t="s">
        <v>1096</v>
      </c>
      <c r="E134" s="328">
        <f t="shared" si="1"/>
        <v>0</v>
      </c>
      <c r="F134" s="328"/>
      <c r="G134" s="873"/>
      <c r="H134" s="873"/>
      <c r="I134" s="873"/>
      <c r="J134" s="873"/>
    </row>
    <row r="135" spans="1:10">
      <c r="A135" s="339" t="s">
        <v>5838</v>
      </c>
      <c r="B135" s="328" t="s">
        <v>484</v>
      </c>
      <c r="C135" s="336" t="s">
        <v>392</v>
      </c>
      <c r="D135" s="328" t="s">
        <v>1096</v>
      </c>
      <c r="E135" s="336">
        <f t="shared" si="1"/>
        <v>0</v>
      </c>
      <c r="F135" s="336"/>
      <c r="G135" s="873"/>
      <c r="H135" s="873"/>
      <c r="I135" s="873"/>
      <c r="J135" s="873"/>
    </row>
    <row r="136" spans="1:10" ht="27.75" customHeight="1">
      <c r="A136" s="332" t="s">
        <v>5839</v>
      </c>
      <c r="B136" s="328" t="s">
        <v>484</v>
      </c>
      <c r="C136" s="328" t="s">
        <v>392</v>
      </c>
      <c r="D136" s="328" t="s">
        <v>1096</v>
      </c>
      <c r="E136" s="328">
        <f t="shared" si="1"/>
        <v>0</v>
      </c>
      <c r="F136" s="328"/>
      <c r="G136" s="873"/>
      <c r="H136" s="873"/>
      <c r="I136" s="873"/>
      <c r="J136" s="873"/>
    </row>
    <row r="137" spans="1:10" ht="29.25" customHeight="1">
      <c r="A137" s="339" t="s">
        <v>5840</v>
      </c>
      <c r="B137" s="328" t="s">
        <v>484</v>
      </c>
      <c r="C137" s="336" t="s">
        <v>392</v>
      </c>
      <c r="D137" s="336" t="s">
        <v>1096</v>
      </c>
      <c r="E137" s="336">
        <f t="shared" si="1"/>
        <v>0</v>
      </c>
      <c r="F137" s="336"/>
      <c r="G137" s="873"/>
      <c r="H137" s="873"/>
      <c r="I137" s="873"/>
      <c r="J137" s="873"/>
    </row>
    <row r="138" spans="1:10" ht="15.6">
      <c r="A138" s="880" t="s">
        <v>5858</v>
      </c>
      <c r="B138" s="713"/>
      <c r="C138" s="871">
        <f>IFERROR(SUM(E132:E137)/COUNTIF(C132:C137,"Yes"),"")</f>
        <v>0</v>
      </c>
      <c r="D138" s="872"/>
      <c r="E138" s="866" t="s">
        <v>5859</v>
      </c>
      <c r="F138" s="866"/>
      <c r="G138" s="866"/>
      <c r="H138" s="866"/>
      <c r="I138" s="866"/>
      <c r="J138" s="866"/>
    </row>
    <row r="139" spans="1:10" ht="20.25" customHeight="1">
      <c r="A139" s="196"/>
      <c r="B139" s="196"/>
      <c r="C139" s="196"/>
      <c r="D139" s="196"/>
      <c r="E139" s="196"/>
      <c r="F139" s="196"/>
      <c r="G139" s="196"/>
      <c r="H139" s="196"/>
      <c r="I139" s="196"/>
      <c r="J139" s="196"/>
    </row>
    <row r="140" spans="1:10">
      <c r="A140" s="842" t="s">
        <v>5880</v>
      </c>
      <c r="B140" s="853"/>
      <c r="C140" s="853"/>
      <c r="D140" s="321"/>
      <c r="E140" s="321"/>
      <c r="F140" s="321"/>
      <c r="G140" s="321"/>
      <c r="H140" s="321"/>
      <c r="I140" s="321"/>
      <c r="J140" s="321"/>
    </row>
    <row r="141" spans="1:10" ht="55.2">
      <c r="A141" s="322" t="s">
        <v>905</v>
      </c>
      <c r="B141" s="322" t="s">
        <v>830</v>
      </c>
      <c r="C141" s="322"/>
      <c r="D141" s="322"/>
      <c r="E141" s="322"/>
      <c r="F141" s="322"/>
      <c r="G141" s="322"/>
      <c r="H141" s="322"/>
      <c r="I141" s="322"/>
      <c r="J141" s="322"/>
    </row>
    <row r="142" spans="1:10">
      <c r="A142" s="319" t="s">
        <v>1086</v>
      </c>
      <c r="B142" s="852" t="s">
        <v>3292</v>
      </c>
      <c r="C142" s="853"/>
      <c r="D142" s="853"/>
      <c r="E142" s="853"/>
      <c r="F142" s="853"/>
      <c r="G142" s="853"/>
      <c r="H142" s="853"/>
      <c r="I142" s="853"/>
      <c r="J142" s="853"/>
    </row>
    <row r="143" spans="1:10" ht="27.6">
      <c r="A143" s="319" t="s">
        <v>2090</v>
      </c>
      <c r="B143" s="852" t="s">
        <v>3293</v>
      </c>
      <c r="C143" s="853"/>
      <c r="D143" s="853"/>
      <c r="E143" s="853"/>
      <c r="F143" s="853"/>
      <c r="G143" s="853"/>
      <c r="H143" s="853"/>
      <c r="I143" s="853"/>
      <c r="J143" s="853"/>
    </row>
    <row r="144" spans="1:10">
      <c r="A144" s="319" t="s">
        <v>1089</v>
      </c>
      <c r="B144" s="852" t="s">
        <v>3294</v>
      </c>
      <c r="C144" s="853"/>
      <c r="D144" s="853"/>
      <c r="E144" s="853"/>
      <c r="F144" s="853"/>
      <c r="G144" s="853"/>
      <c r="H144" s="853"/>
      <c r="I144" s="853"/>
      <c r="J144" s="853"/>
    </row>
    <row r="145" spans="1:10">
      <c r="A145" s="319" t="s">
        <v>1090</v>
      </c>
      <c r="B145" s="852" t="s">
        <v>3295</v>
      </c>
      <c r="C145" s="853"/>
      <c r="D145" s="853"/>
      <c r="E145" s="853"/>
      <c r="F145" s="853"/>
      <c r="G145" s="853"/>
      <c r="H145" s="853"/>
      <c r="I145" s="853"/>
      <c r="J145" s="853"/>
    </row>
    <row r="146" spans="1:10">
      <c r="A146" s="319" t="s">
        <v>1088</v>
      </c>
      <c r="B146" s="852" t="s">
        <v>3296</v>
      </c>
      <c r="C146" s="853"/>
      <c r="D146" s="853"/>
      <c r="E146" s="853"/>
      <c r="F146" s="853"/>
      <c r="G146" s="853"/>
      <c r="H146" s="853"/>
      <c r="I146" s="853"/>
      <c r="J146" s="853"/>
    </row>
    <row r="147" spans="1:10" ht="27.6">
      <c r="A147" s="319" t="s">
        <v>3297</v>
      </c>
      <c r="B147" s="852" t="s">
        <v>3298</v>
      </c>
      <c r="C147" s="853"/>
      <c r="D147" s="853"/>
      <c r="E147" s="853"/>
      <c r="F147" s="853"/>
      <c r="G147" s="853"/>
      <c r="H147" s="853"/>
      <c r="I147" s="853"/>
      <c r="J147" s="853"/>
    </row>
    <row r="148" spans="1:10">
      <c r="A148" s="319" t="s">
        <v>1563</v>
      </c>
      <c r="B148" s="852" t="s">
        <v>1776</v>
      </c>
      <c r="C148" s="853"/>
      <c r="D148" s="853"/>
      <c r="E148" s="853"/>
      <c r="F148" s="853"/>
      <c r="G148" s="853"/>
      <c r="H148" s="853"/>
      <c r="I148" s="853"/>
      <c r="J148" s="853"/>
    </row>
    <row r="149" spans="1:10">
      <c r="A149" s="231"/>
      <c r="B149" s="231"/>
      <c r="C149" s="231"/>
      <c r="D149" s="231"/>
      <c r="E149" s="231"/>
      <c r="F149" s="231"/>
      <c r="G149" s="231"/>
      <c r="H149" s="231"/>
      <c r="I149" s="231"/>
      <c r="J149" s="231"/>
    </row>
    <row r="150" spans="1:10" ht="17.399999999999999">
      <c r="A150" s="827" t="s">
        <v>5769</v>
      </c>
      <c r="B150" s="827"/>
      <c r="C150" s="827"/>
      <c r="D150" s="827"/>
      <c r="E150" s="827"/>
      <c r="F150" s="827"/>
      <c r="G150" s="827"/>
      <c r="H150" s="827"/>
      <c r="I150" s="231"/>
      <c r="J150" s="231"/>
    </row>
    <row r="151" spans="1:10">
      <c r="A151" s="276" t="s">
        <v>2</v>
      </c>
      <c r="B151" s="828" t="s">
        <v>5770</v>
      </c>
      <c r="C151" s="828"/>
      <c r="D151" s="828"/>
      <c r="E151" s="828"/>
      <c r="F151" s="828"/>
      <c r="G151" s="828"/>
      <c r="H151" s="828"/>
      <c r="I151" s="231"/>
      <c r="J151" s="231"/>
    </row>
    <row r="152" spans="1:10">
      <c r="A152" s="276" t="s">
        <v>5771</v>
      </c>
      <c r="B152" s="828" t="s">
        <v>5772</v>
      </c>
      <c r="C152" s="828"/>
      <c r="D152" s="828"/>
      <c r="E152" s="828"/>
      <c r="F152" s="828"/>
      <c r="G152" s="828"/>
      <c r="H152" s="828"/>
      <c r="I152" s="231"/>
      <c r="J152" s="231"/>
    </row>
    <row r="153" spans="1:10">
      <c r="A153" s="196"/>
      <c r="B153" s="196"/>
      <c r="C153" s="196"/>
      <c r="D153" s="196"/>
      <c r="E153" s="196"/>
      <c r="F153" s="196"/>
      <c r="G153" s="196"/>
      <c r="H153" s="196"/>
      <c r="I153" s="231"/>
      <c r="J153" s="231"/>
    </row>
    <row r="154" spans="1:10">
      <c r="A154" s="323" t="s">
        <v>4946</v>
      </c>
      <c r="B154" s="323" t="s">
        <v>77</v>
      </c>
      <c r="C154" s="323" t="s">
        <v>5773</v>
      </c>
      <c r="D154" s="323" t="s">
        <v>263</v>
      </c>
      <c r="E154" s="323" t="s">
        <v>216</v>
      </c>
      <c r="F154" s="323" t="s">
        <v>5774</v>
      </c>
      <c r="G154" s="323" t="s">
        <v>5775</v>
      </c>
      <c r="H154" s="323" t="s">
        <v>5776</v>
      </c>
      <c r="I154" s="231"/>
      <c r="J154" s="231"/>
    </row>
    <row r="155" spans="1:10" ht="26.4">
      <c r="A155" s="277" t="s">
        <v>5777</v>
      </c>
      <c r="B155" s="278" t="s">
        <v>1096</v>
      </c>
      <c r="C155" s="277"/>
      <c r="D155" s="277"/>
      <c r="E155" s="277"/>
      <c r="F155" s="277"/>
      <c r="G155" s="279" t="str">
        <f t="shared" ref="G155:G162" si="2">IF(OR(B155="Yes",B155="N/A"),"🟢","🟡")</f>
        <v>🟡</v>
      </c>
      <c r="H155" s="277"/>
      <c r="I155" s="231"/>
      <c r="J155" s="231"/>
    </row>
    <row r="156" spans="1:10">
      <c r="A156" s="277" t="s">
        <v>5778</v>
      </c>
      <c r="B156" s="278" t="s">
        <v>1096</v>
      </c>
      <c r="C156" s="277"/>
      <c r="D156" s="277"/>
      <c r="E156" s="277"/>
      <c r="F156" s="277"/>
      <c r="G156" s="279" t="str">
        <f t="shared" si="2"/>
        <v>🟡</v>
      </c>
      <c r="H156" s="277"/>
      <c r="I156" s="231"/>
      <c r="J156" s="231"/>
    </row>
    <row r="157" spans="1:10">
      <c r="A157" s="277" t="s">
        <v>5779</v>
      </c>
      <c r="B157" s="278" t="s">
        <v>1096</v>
      </c>
      <c r="C157" s="277"/>
      <c r="D157" s="277"/>
      <c r="E157" s="277"/>
      <c r="F157" s="277"/>
      <c r="G157" s="279" t="str">
        <f t="shared" si="2"/>
        <v>🟡</v>
      </c>
      <c r="H157" s="277"/>
      <c r="I157" s="231"/>
      <c r="J157" s="231"/>
    </row>
    <row r="158" spans="1:10">
      <c r="A158" s="277" t="s">
        <v>5168</v>
      </c>
      <c r="B158" s="278" t="s">
        <v>1096</v>
      </c>
      <c r="C158" s="277"/>
      <c r="D158" s="277"/>
      <c r="E158" s="277"/>
      <c r="F158" s="277"/>
      <c r="G158" s="279" t="str">
        <f t="shared" si="2"/>
        <v>🟡</v>
      </c>
      <c r="H158" s="277"/>
      <c r="I158" s="231"/>
      <c r="J158" s="231"/>
    </row>
    <row r="159" spans="1:10">
      <c r="A159" s="277" t="s">
        <v>5780</v>
      </c>
      <c r="B159" s="278" t="s">
        <v>1096</v>
      </c>
      <c r="C159" s="277"/>
      <c r="D159" s="277"/>
      <c r="E159" s="277"/>
      <c r="F159" s="277"/>
      <c r="G159" s="279" t="str">
        <f t="shared" si="2"/>
        <v>🟡</v>
      </c>
      <c r="H159" s="277"/>
      <c r="I159" s="231"/>
      <c r="J159" s="231"/>
    </row>
    <row r="160" spans="1:10">
      <c r="A160" s="277" t="s">
        <v>5781</v>
      </c>
      <c r="B160" s="278" t="s">
        <v>1096</v>
      </c>
      <c r="C160" s="277"/>
      <c r="D160" s="277"/>
      <c r="E160" s="277"/>
      <c r="F160" s="277"/>
      <c r="G160" s="279" t="str">
        <f t="shared" si="2"/>
        <v>🟡</v>
      </c>
      <c r="H160" s="277"/>
      <c r="I160" s="231"/>
      <c r="J160" s="231"/>
    </row>
    <row r="161" spans="1:10">
      <c r="A161" s="277" t="s">
        <v>178</v>
      </c>
      <c r="B161" s="278" t="s">
        <v>1096</v>
      </c>
      <c r="C161" s="277"/>
      <c r="D161" s="277"/>
      <c r="E161" s="277"/>
      <c r="F161" s="277"/>
      <c r="G161" s="279" t="str">
        <f t="shared" si="2"/>
        <v>🟡</v>
      </c>
      <c r="H161" s="277"/>
      <c r="I161" s="231"/>
      <c r="J161" s="231"/>
    </row>
    <row r="162" spans="1:10" ht="26.4">
      <c r="A162" s="277" t="s">
        <v>5782</v>
      </c>
      <c r="B162" s="278" t="s">
        <v>1096</v>
      </c>
      <c r="C162" s="277"/>
      <c r="D162" s="277"/>
      <c r="E162" s="277"/>
      <c r="F162" s="277"/>
      <c r="G162" s="279" t="str">
        <f t="shared" si="2"/>
        <v>🟡</v>
      </c>
      <c r="H162" s="277"/>
      <c r="I162" s="231"/>
      <c r="J162" s="231"/>
    </row>
    <row r="163" spans="1:10">
      <c r="A163" s="324" t="s">
        <v>4946</v>
      </c>
      <c r="B163" s="324" t="s">
        <v>5790</v>
      </c>
      <c r="C163" s="196"/>
      <c r="D163" s="196"/>
      <c r="E163" s="324" t="s">
        <v>5791</v>
      </c>
      <c r="F163" s="196"/>
      <c r="G163" s="196"/>
      <c r="H163" s="196"/>
      <c r="I163" s="231"/>
      <c r="J163" s="231"/>
    </row>
    <row r="164" spans="1:10" ht="26.4">
      <c r="A164" s="291" t="s">
        <v>5777</v>
      </c>
      <c r="B164" s="768" t="s">
        <v>5792</v>
      </c>
      <c r="C164" s="768"/>
      <c r="D164" s="768"/>
      <c r="E164" s="768" t="s">
        <v>5793</v>
      </c>
      <c r="F164" s="768"/>
      <c r="G164" s="768"/>
      <c r="H164" s="196"/>
      <c r="I164" s="231"/>
      <c r="J164" s="231"/>
    </row>
    <row r="165" spans="1:10">
      <c r="A165" s="291" t="s">
        <v>5778</v>
      </c>
      <c r="B165" s="768" t="s">
        <v>5794</v>
      </c>
      <c r="C165" s="768"/>
      <c r="D165" s="768"/>
      <c r="E165" s="768" t="s">
        <v>5795</v>
      </c>
      <c r="F165" s="768"/>
      <c r="G165" s="768"/>
      <c r="H165" s="196"/>
      <c r="I165" s="231"/>
      <c r="J165" s="231"/>
    </row>
    <row r="166" spans="1:10">
      <c r="A166" s="291" t="s">
        <v>5779</v>
      </c>
      <c r="B166" s="768" t="s">
        <v>5796</v>
      </c>
      <c r="C166" s="768"/>
      <c r="D166" s="768"/>
      <c r="E166" s="768" t="s">
        <v>5797</v>
      </c>
      <c r="F166" s="768"/>
      <c r="G166" s="768"/>
      <c r="H166" s="196"/>
      <c r="I166" s="231"/>
      <c r="J166" s="231"/>
    </row>
    <row r="167" spans="1:10">
      <c r="A167" s="291" t="s">
        <v>5168</v>
      </c>
      <c r="B167" s="768" t="s">
        <v>5798</v>
      </c>
      <c r="C167" s="768"/>
      <c r="D167" s="768"/>
      <c r="E167" s="768" t="s">
        <v>5799</v>
      </c>
      <c r="F167" s="768"/>
      <c r="G167" s="768"/>
      <c r="H167" s="196"/>
      <c r="I167" s="231"/>
      <c r="J167" s="231"/>
    </row>
    <row r="168" spans="1:10">
      <c r="A168" s="291" t="s">
        <v>5780</v>
      </c>
      <c r="B168" s="768" t="s">
        <v>5800</v>
      </c>
      <c r="C168" s="768"/>
      <c r="D168" s="768"/>
      <c r="E168" s="768" t="s">
        <v>5801</v>
      </c>
      <c r="F168" s="768"/>
      <c r="G168" s="768"/>
      <c r="H168" s="196"/>
      <c r="I168" s="231"/>
      <c r="J168" s="231"/>
    </row>
    <row r="169" spans="1:10">
      <c r="A169" s="291" t="s">
        <v>5781</v>
      </c>
      <c r="B169" s="768" t="s">
        <v>5802</v>
      </c>
      <c r="C169" s="768"/>
      <c r="D169" s="768"/>
      <c r="E169" s="768" t="s">
        <v>5803</v>
      </c>
      <c r="F169" s="768"/>
      <c r="G169" s="768"/>
      <c r="H169" s="196"/>
      <c r="I169" s="231"/>
      <c r="J169" s="231"/>
    </row>
    <row r="170" spans="1:10">
      <c r="A170" s="291" t="s">
        <v>178</v>
      </c>
      <c r="B170" s="768" t="s">
        <v>5804</v>
      </c>
      <c r="C170" s="768"/>
      <c r="D170" s="768"/>
      <c r="E170" s="768" t="s">
        <v>5805</v>
      </c>
      <c r="F170" s="768"/>
      <c r="G170" s="768"/>
      <c r="H170" s="196"/>
      <c r="I170" s="231"/>
      <c r="J170" s="231"/>
    </row>
    <row r="171" spans="1:10" ht="26.4">
      <c r="A171" s="291" t="s">
        <v>5782</v>
      </c>
      <c r="B171" s="768" t="s">
        <v>5806</v>
      </c>
      <c r="C171" s="768"/>
      <c r="D171" s="768"/>
      <c r="E171" s="768" t="s">
        <v>5807</v>
      </c>
      <c r="F171" s="768"/>
      <c r="G171" s="768"/>
      <c r="H171" s="196"/>
      <c r="I171" s="231"/>
      <c r="J171" s="231"/>
    </row>
    <row r="172" spans="1:10">
      <c r="A172" s="276" t="s">
        <v>5783</v>
      </c>
      <c r="B172" s="280" t="str">
        <f>IF(COUNTIF(B155:B162,"No")=0,"🟢 PILOT COMPLETE / ACCEPTANCE READY","🟡 NOT COMPLETE — ACCEPTANCE GATES OPEN")</f>
        <v>🟡 NOT COMPLETE — ACCEPTANCE GATES OPEN</v>
      </c>
      <c r="C172" s="280"/>
      <c r="D172" s="280"/>
      <c r="E172" s="280"/>
      <c r="F172" s="280"/>
      <c r="G172" s="280"/>
      <c r="H172" s="280"/>
    </row>
    <row r="173" spans="1:10">
      <c r="A173" s="276" t="s">
        <v>5784</v>
      </c>
      <c r="B173" s="280">
        <f>COUNTIF(B155:B162,"No")</f>
        <v>8</v>
      </c>
      <c r="C173" s="280"/>
      <c r="D173" s="280"/>
      <c r="E173" s="280"/>
      <c r="F173" s="280"/>
      <c r="G173" s="280"/>
      <c r="H173" s="280"/>
    </row>
    <row r="174" spans="1:10">
      <c r="A174" s="276" t="s">
        <v>5785</v>
      </c>
      <c r="B174" s="280" t="str">
        <f>COUNTIF(B155:B162,"Yes")&amp;" / 8 Complete"</f>
        <v>0 / 8 Complete</v>
      </c>
      <c r="C174" s="280"/>
      <c r="D174" s="280"/>
      <c r="E174" s="280"/>
      <c r="F174" s="280"/>
      <c r="G174" s="280"/>
      <c r="H174" s="280"/>
    </row>
    <row r="175" spans="1:10" ht="93">
      <c r="A175" s="281" t="s">
        <v>5786</v>
      </c>
      <c r="B175" s="282" t="s">
        <v>5787</v>
      </c>
      <c r="C175" s="282"/>
      <c r="D175" s="282"/>
      <c r="E175" s="282"/>
      <c r="F175" s="282"/>
      <c r="G175" s="282"/>
      <c r="H175" s="282"/>
    </row>
    <row r="176" spans="1:10">
      <c r="A176" s="281"/>
      <c r="B176" s="282"/>
      <c r="C176" s="282"/>
      <c r="D176" s="282"/>
      <c r="E176" s="282"/>
      <c r="F176" s="282"/>
      <c r="G176" s="282"/>
      <c r="H176" s="282"/>
    </row>
    <row r="177" spans="1:10" ht="66.599999999999994">
      <c r="A177" s="281" t="s">
        <v>5788</v>
      </c>
      <c r="B177" s="282" t="s">
        <v>5789</v>
      </c>
      <c r="C177" s="282"/>
      <c r="D177" s="282"/>
      <c r="E177" s="282"/>
      <c r="F177" s="282"/>
      <c r="G177" s="282"/>
      <c r="H177" s="282"/>
    </row>
    <row r="178" spans="1:10">
      <c r="A178" s="842" t="s">
        <v>5901</v>
      </c>
      <c r="B178" s="842"/>
      <c r="C178" s="842"/>
      <c r="D178" s="842"/>
      <c r="E178" s="842"/>
      <c r="F178" s="842"/>
      <c r="G178" s="842"/>
      <c r="H178" s="842"/>
      <c r="I178" s="842"/>
      <c r="J178" s="842"/>
    </row>
    <row r="179" spans="1:10">
      <c r="A179" s="340" t="s">
        <v>5886</v>
      </c>
      <c r="B179" s="196"/>
      <c r="C179" s="196"/>
      <c r="D179" s="196"/>
      <c r="E179" s="196"/>
      <c r="F179" s="196"/>
      <c r="G179" s="196"/>
      <c r="H179" s="196"/>
      <c r="I179" s="196"/>
      <c r="J179" s="196"/>
    </row>
    <row r="180" spans="1:10">
      <c r="A180" s="196"/>
      <c r="B180" s="196"/>
      <c r="C180" s="196"/>
      <c r="D180" s="196"/>
      <c r="E180" s="196"/>
      <c r="F180" s="196"/>
      <c r="G180" s="196"/>
      <c r="H180" s="196"/>
      <c r="I180" s="196"/>
      <c r="J180" s="196"/>
    </row>
    <row r="181" spans="1:10">
      <c r="A181" s="196" t="s">
        <v>5887</v>
      </c>
      <c r="B181" s="196"/>
      <c r="C181" s="196"/>
      <c r="D181" s="196"/>
      <c r="E181" s="196"/>
      <c r="F181" s="196"/>
      <c r="G181" s="196"/>
      <c r="H181" s="196"/>
      <c r="I181" s="196"/>
      <c r="J181" s="196"/>
    </row>
    <row r="182" spans="1:10">
      <c r="A182" s="196"/>
      <c r="B182" s="196"/>
      <c r="C182" s="196"/>
      <c r="D182" s="196"/>
      <c r="E182" s="196"/>
      <c r="F182" s="196"/>
      <c r="G182" s="196"/>
      <c r="H182" s="196"/>
      <c r="I182" s="196"/>
      <c r="J182" s="196"/>
    </row>
    <row r="183" spans="1:10">
      <c r="A183" s="196" t="s">
        <v>5888</v>
      </c>
      <c r="B183" s="196"/>
      <c r="C183" s="196"/>
      <c r="D183" s="196"/>
      <c r="E183" s="196"/>
      <c r="F183" s="196"/>
      <c r="G183" s="196"/>
      <c r="H183" s="196"/>
      <c r="I183" s="196"/>
      <c r="J183" s="196"/>
    </row>
    <row r="184" spans="1:10">
      <c r="A184" s="196"/>
      <c r="B184" s="196"/>
      <c r="C184" s="196"/>
      <c r="D184" s="196"/>
      <c r="E184" s="196"/>
      <c r="F184" s="196"/>
      <c r="G184" s="196"/>
      <c r="H184" s="196"/>
      <c r="I184" s="196"/>
      <c r="J184" s="196"/>
    </row>
    <row r="185" spans="1:10">
      <c r="A185" s="196" t="s">
        <v>5889</v>
      </c>
      <c r="B185" s="196"/>
      <c r="C185" s="196"/>
      <c r="D185" s="196"/>
      <c r="E185" s="196"/>
      <c r="F185" s="196"/>
      <c r="G185" s="196"/>
      <c r="H185" s="196"/>
      <c r="I185" s="196"/>
      <c r="J185" s="196"/>
    </row>
    <row r="186" spans="1:10">
      <c r="A186" s="196"/>
      <c r="B186" s="196"/>
      <c r="C186" s="196"/>
      <c r="D186" s="196"/>
      <c r="E186" s="196"/>
      <c r="F186" s="196"/>
      <c r="G186" s="196"/>
      <c r="H186" s="196"/>
      <c r="I186" s="196"/>
      <c r="J186" s="196"/>
    </row>
    <row r="187" spans="1:10">
      <c r="A187" s="196"/>
      <c r="B187" s="196"/>
      <c r="C187" s="196"/>
      <c r="D187" s="196"/>
      <c r="E187" s="196"/>
      <c r="F187" s="196"/>
      <c r="G187" s="196"/>
      <c r="H187" s="196"/>
      <c r="I187" s="196"/>
      <c r="J187" s="196"/>
    </row>
    <row r="188" spans="1:10">
      <c r="A188" s="196"/>
      <c r="B188" s="196"/>
      <c r="C188" s="196"/>
      <c r="D188" s="196"/>
      <c r="E188" s="196"/>
      <c r="F188" s="196"/>
      <c r="G188" s="196"/>
      <c r="H188" s="196"/>
      <c r="I188" s="196"/>
      <c r="J188" s="196"/>
    </row>
    <row r="189" spans="1:10">
      <c r="A189" s="842" t="s">
        <v>5902</v>
      </c>
      <c r="B189" s="842"/>
      <c r="C189" s="842"/>
      <c r="D189" s="842"/>
      <c r="E189" s="842"/>
      <c r="F189" s="842"/>
      <c r="G189" s="842"/>
      <c r="H189" s="842"/>
      <c r="I189" s="842"/>
      <c r="J189" s="842"/>
    </row>
    <row r="190" spans="1:10">
      <c r="A190" s="196"/>
      <c r="B190" s="196"/>
      <c r="C190" s="196"/>
      <c r="D190" s="196"/>
      <c r="E190" s="196"/>
      <c r="F190" s="196"/>
      <c r="G190" s="196"/>
      <c r="H190" s="196"/>
      <c r="I190" s="196"/>
      <c r="J190" s="196"/>
    </row>
    <row r="191" spans="1:10">
      <c r="A191" s="196" t="s">
        <v>5890</v>
      </c>
      <c r="B191" s="196"/>
      <c r="C191" s="196"/>
      <c r="D191" s="196"/>
      <c r="E191" s="196"/>
      <c r="F191" s="196"/>
      <c r="G191" s="196"/>
      <c r="H191" s="196"/>
      <c r="I191" s="196"/>
      <c r="J191" s="196"/>
    </row>
    <row r="192" spans="1:10">
      <c r="A192" s="196"/>
      <c r="B192" s="196"/>
      <c r="C192" s="196"/>
      <c r="D192" s="196"/>
      <c r="E192" s="196"/>
      <c r="F192" s="196"/>
      <c r="G192" s="196"/>
      <c r="H192" s="196"/>
      <c r="I192" s="196"/>
      <c r="J192" s="196"/>
    </row>
    <row r="193" spans="1:10">
      <c r="A193" s="196" t="s">
        <v>5891</v>
      </c>
      <c r="B193" s="196"/>
      <c r="C193" s="196"/>
      <c r="D193" s="196"/>
      <c r="E193" s="196"/>
      <c r="F193" s="196"/>
      <c r="G193" s="196"/>
      <c r="H193" s="196"/>
      <c r="I193" s="196"/>
      <c r="J193" s="196"/>
    </row>
    <row r="194" spans="1:10">
      <c r="A194" s="196"/>
      <c r="B194" s="196"/>
      <c r="C194" s="196"/>
      <c r="D194" s="196"/>
      <c r="E194" s="196"/>
      <c r="F194" s="196"/>
      <c r="G194" s="196"/>
      <c r="H194" s="196"/>
      <c r="I194" s="196"/>
      <c r="J194" s="196"/>
    </row>
    <row r="195" spans="1:10">
      <c r="A195" s="196" t="s">
        <v>5892</v>
      </c>
      <c r="B195" s="196"/>
      <c r="C195" s="196"/>
      <c r="D195" s="196"/>
      <c r="E195" s="196"/>
      <c r="F195" s="196"/>
      <c r="G195" s="196"/>
      <c r="H195" s="196"/>
      <c r="I195" s="196"/>
      <c r="J195" s="196"/>
    </row>
    <row r="196" spans="1:10">
      <c r="A196" s="196"/>
      <c r="B196" s="196"/>
      <c r="C196" s="196"/>
      <c r="D196" s="196"/>
      <c r="E196" s="196"/>
      <c r="F196" s="196"/>
      <c r="G196" s="196"/>
      <c r="H196" s="196"/>
      <c r="I196" s="196"/>
      <c r="J196" s="196"/>
    </row>
    <row r="197" spans="1:10">
      <c r="A197" s="196"/>
      <c r="B197" s="196"/>
      <c r="C197" s="196"/>
      <c r="D197" s="196"/>
      <c r="E197" s="196"/>
      <c r="F197" s="196"/>
      <c r="G197" s="196"/>
      <c r="H197" s="196"/>
      <c r="I197" s="196"/>
      <c r="J197" s="196"/>
    </row>
    <row r="198" spans="1:10">
      <c r="A198" s="196"/>
      <c r="B198" s="196"/>
      <c r="C198" s="196"/>
      <c r="D198" s="196"/>
      <c r="E198" s="196"/>
      <c r="F198" s="196"/>
      <c r="G198" s="196"/>
      <c r="H198" s="196"/>
      <c r="I198" s="196"/>
      <c r="J198" s="196"/>
    </row>
    <row r="199" spans="1:10">
      <c r="A199" s="842" t="s">
        <v>5903</v>
      </c>
      <c r="B199" s="842"/>
      <c r="C199" s="842"/>
      <c r="D199" s="842"/>
      <c r="E199" s="842"/>
      <c r="F199" s="842"/>
      <c r="G199" s="842"/>
      <c r="H199" s="842"/>
      <c r="I199" s="842"/>
      <c r="J199" s="842"/>
    </row>
    <row r="200" spans="1:10">
      <c r="A200" s="196"/>
      <c r="B200" s="196"/>
      <c r="C200" s="196"/>
      <c r="D200" s="196"/>
      <c r="E200" s="196"/>
      <c r="F200" s="196"/>
      <c r="G200" s="196"/>
      <c r="H200" s="196"/>
      <c r="I200" s="196"/>
      <c r="J200" s="196"/>
    </row>
    <row r="201" spans="1:10">
      <c r="A201" s="196" t="s">
        <v>5893</v>
      </c>
      <c r="B201" s="196"/>
      <c r="C201" s="196"/>
      <c r="D201" s="196"/>
      <c r="E201" s="196"/>
      <c r="F201" s="196"/>
      <c r="G201" s="196"/>
      <c r="H201" s="196"/>
      <c r="I201" s="196"/>
      <c r="J201" s="196"/>
    </row>
    <row r="202" spans="1:10">
      <c r="A202" s="196"/>
      <c r="B202" s="196"/>
      <c r="C202" s="196"/>
      <c r="D202" s="196"/>
      <c r="E202" s="196"/>
      <c r="F202" s="196"/>
      <c r="G202" s="196"/>
      <c r="H202" s="196"/>
      <c r="I202" s="196"/>
      <c r="J202" s="196"/>
    </row>
    <row r="203" spans="1:10">
      <c r="A203" s="196" t="s">
        <v>5894</v>
      </c>
      <c r="B203" s="196"/>
      <c r="C203" s="196"/>
      <c r="D203" s="196"/>
      <c r="E203" s="196"/>
      <c r="F203" s="196"/>
      <c r="G203" s="196"/>
      <c r="H203" s="196"/>
      <c r="I203" s="196"/>
      <c r="J203" s="196"/>
    </row>
    <row r="204" spans="1:10">
      <c r="A204" s="196"/>
      <c r="B204" s="196"/>
      <c r="C204" s="196"/>
      <c r="D204" s="196"/>
      <c r="E204" s="196"/>
      <c r="F204" s="196"/>
      <c r="G204" s="196"/>
      <c r="H204" s="196"/>
      <c r="I204" s="196"/>
      <c r="J204" s="196"/>
    </row>
    <row r="205" spans="1:10">
      <c r="A205" s="196" t="s">
        <v>5895</v>
      </c>
      <c r="B205" s="196"/>
      <c r="C205" s="196"/>
      <c r="D205" s="196"/>
      <c r="E205" s="196"/>
      <c r="F205" s="196"/>
      <c r="G205" s="196"/>
      <c r="H205" s="196"/>
      <c r="I205" s="196"/>
      <c r="J205" s="196"/>
    </row>
    <row r="206" spans="1:10">
      <c r="A206" s="196"/>
      <c r="B206" s="196"/>
      <c r="C206" s="196"/>
      <c r="D206" s="196"/>
      <c r="E206" s="196"/>
      <c r="F206" s="196"/>
      <c r="G206" s="196"/>
      <c r="H206" s="196"/>
      <c r="I206" s="196"/>
      <c r="J206" s="196"/>
    </row>
    <row r="207" spans="1:10">
      <c r="A207" s="196" t="s">
        <v>5896</v>
      </c>
      <c r="B207" s="196"/>
      <c r="C207" s="196"/>
      <c r="D207" s="196"/>
      <c r="E207" s="196"/>
      <c r="F207" s="196"/>
      <c r="G207" s="196"/>
      <c r="H207" s="196"/>
      <c r="I207" s="196"/>
      <c r="J207" s="196"/>
    </row>
    <row r="208" spans="1:10">
      <c r="A208" s="196"/>
      <c r="B208" s="196"/>
      <c r="C208" s="196"/>
      <c r="D208" s="196"/>
      <c r="E208" s="196"/>
      <c r="F208" s="196"/>
      <c r="G208" s="196"/>
      <c r="H208" s="196"/>
      <c r="I208" s="196"/>
      <c r="J208" s="196"/>
    </row>
    <row r="209" spans="1:10">
      <c r="A209" s="196"/>
      <c r="B209" s="196"/>
      <c r="C209" s="196"/>
      <c r="D209" s="196"/>
      <c r="E209" s="196"/>
      <c r="F209" s="196"/>
      <c r="G209" s="196"/>
      <c r="H209" s="196"/>
      <c r="I209" s="196"/>
      <c r="J209" s="196"/>
    </row>
    <row r="210" spans="1:10">
      <c r="A210" s="196"/>
      <c r="B210" s="196"/>
      <c r="C210" s="196"/>
      <c r="D210" s="196"/>
      <c r="E210" s="196"/>
      <c r="F210" s="196"/>
      <c r="G210" s="196"/>
      <c r="H210" s="196"/>
      <c r="I210" s="196"/>
      <c r="J210" s="196"/>
    </row>
    <row r="211" spans="1:10">
      <c r="A211" s="842" t="s">
        <v>5904</v>
      </c>
      <c r="B211" s="842"/>
      <c r="C211" s="842"/>
      <c r="D211" s="842"/>
      <c r="E211" s="842"/>
      <c r="F211" s="842"/>
      <c r="G211" s="842"/>
      <c r="H211" s="842"/>
      <c r="I211" s="842"/>
      <c r="J211" s="842"/>
    </row>
    <row r="212" spans="1:10">
      <c r="A212" s="196"/>
      <c r="B212" s="196"/>
      <c r="C212" s="196"/>
      <c r="D212" s="196"/>
      <c r="E212" s="196"/>
      <c r="F212" s="196"/>
      <c r="G212" s="196"/>
      <c r="H212" s="196"/>
      <c r="I212" s="196"/>
      <c r="J212" s="196"/>
    </row>
    <row r="213" spans="1:10">
      <c r="A213" s="196" t="s">
        <v>5897</v>
      </c>
      <c r="B213" s="196"/>
      <c r="C213" s="196"/>
      <c r="D213" s="196"/>
      <c r="E213" s="196"/>
      <c r="F213" s="196"/>
      <c r="G213" s="196"/>
      <c r="H213" s="196"/>
      <c r="I213" s="196"/>
      <c r="J213" s="196"/>
    </row>
    <row r="214" spans="1:10">
      <c r="A214" s="196"/>
      <c r="B214" s="196"/>
      <c r="C214" s="196"/>
      <c r="D214" s="196"/>
      <c r="E214" s="196"/>
      <c r="F214" s="196"/>
      <c r="G214" s="196"/>
      <c r="H214" s="196"/>
      <c r="I214" s="196"/>
      <c r="J214" s="196"/>
    </row>
    <row r="215" spans="1:10">
      <c r="A215" s="196" t="s">
        <v>5898</v>
      </c>
      <c r="B215" s="196"/>
      <c r="C215" s="196"/>
      <c r="D215" s="196"/>
      <c r="E215" s="196"/>
      <c r="F215" s="196"/>
      <c r="G215" s="196"/>
      <c r="H215" s="196"/>
      <c r="I215" s="196"/>
      <c r="J215" s="196"/>
    </row>
    <row r="216" spans="1:10">
      <c r="A216" s="196"/>
      <c r="B216" s="196"/>
      <c r="C216" s="196"/>
      <c r="D216" s="196"/>
      <c r="E216" s="196"/>
      <c r="F216" s="196"/>
      <c r="G216" s="196"/>
      <c r="H216" s="196"/>
      <c r="I216" s="196"/>
      <c r="J216" s="196"/>
    </row>
    <row r="217" spans="1:10">
      <c r="A217" s="196" t="s">
        <v>5899</v>
      </c>
      <c r="B217" s="196"/>
      <c r="C217" s="196"/>
      <c r="D217" s="196"/>
      <c r="E217" s="196"/>
      <c r="F217" s="196"/>
      <c r="G217" s="196"/>
      <c r="H217" s="196"/>
      <c r="I217" s="196"/>
      <c r="J217" s="196"/>
    </row>
    <row r="218" spans="1:10">
      <c r="A218" s="196"/>
      <c r="B218" s="196"/>
      <c r="C218" s="196"/>
      <c r="D218" s="196"/>
      <c r="E218" s="196"/>
      <c r="F218" s="196"/>
      <c r="G218" s="196"/>
      <c r="H218" s="196"/>
      <c r="I218" s="196"/>
      <c r="J218" s="196"/>
    </row>
    <row r="219" spans="1:10">
      <c r="A219" s="196"/>
      <c r="B219" s="196"/>
      <c r="C219" s="196"/>
      <c r="D219" s="196"/>
      <c r="E219" s="196"/>
      <c r="F219" s="196"/>
      <c r="G219" s="196"/>
      <c r="H219" s="196"/>
      <c r="I219" s="196"/>
      <c r="J219" s="196"/>
    </row>
    <row r="220" spans="1:10">
      <c r="A220" s="196"/>
      <c r="B220" s="196"/>
      <c r="C220" s="196"/>
      <c r="D220" s="196"/>
      <c r="E220" s="196"/>
      <c r="F220" s="196"/>
      <c r="G220" s="196"/>
      <c r="H220" s="196"/>
      <c r="I220" s="196"/>
      <c r="J220" s="196"/>
    </row>
    <row r="221" spans="1:10">
      <c r="A221" s="196" t="s">
        <v>5900</v>
      </c>
      <c r="B221" s="196"/>
      <c r="C221" s="196"/>
      <c r="D221" s="196"/>
      <c r="E221" s="196"/>
      <c r="F221" s="196"/>
      <c r="G221" s="196"/>
      <c r="H221" s="196"/>
      <c r="I221" s="196"/>
      <c r="J221" s="196"/>
    </row>
    <row r="222" spans="1:10">
      <c r="A222" s="196"/>
      <c r="B222" s="196"/>
      <c r="C222" s="196"/>
      <c r="D222" s="196"/>
      <c r="E222" s="196"/>
      <c r="F222" s="196"/>
      <c r="G222" s="196"/>
      <c r="H222" s="196"/>
      <c r="I222" s="196"/>
      <c r="J222" s="196"/>
    </row>
    <row r="223" spans="1:10">
      <c r="A223" s="341"/>
      <c r="B223" s="341"/>
      <c r="C223" s="341"/>
      <c r="D223" s="341"/>
      <c r="E223" s="341"/>
      <c r="F223" s="341"/>
      <c r="G223" s="341"/>
      <c r="H223" s="341"/>
      <c r="I223" s="341"/>
      <c r="J223" s="341"/>
    </row>
    <row r="224" spans="1:10">
      <c r="A224" s="341"/>
      <c r="B224" s="341"/>
      <c r="C224" s="341"/>
      <c r="D224" s="341"/>
      <c r="E224" s="341"/>
      <c r="F224" s="341"/>
      <c r="G224" s="341"/>
      <c r="H224" s="341"/>
      <c r="I224" s="341"/>
      <c r="J224" s="341"/>
    </row>
    <row r="225" spans="1:10">
      <c r="A225" s="341"/>
      <c r="B225" s="341"/>
      <c r="C225" s="341"/>
      <c r="D225" s="341"/>
      <c r="E225" s="341"/>
      <c r="F225" s="341"/>
      <c r="G225" s="341"/>
      <c r="H225" s="341"/>
      <c r="I225" s="341"/>
      <c r="J225" s="341"/>
    </row>
    <row r="226" spans="1:10">
      <c r="A226" s="341"/>
      <c r="B226" s="341"/>
      <c r="C226" s="341"/>
      <c r="D226" s="341"/>
      <c r="E226" s="341"/>
      <c r="F226" s="341"/>
      <c r="G226" s="341"/>
      <c r="H226" s="341"/>
      <c r="I226" s="341"/>
      <c r="J226" s="341"/>
    </row>
    <row r="227" spans="1:10">
      <c r="A227" s="341"/>
      <c r="B227" s="341"/>
      <c r="C227" s="341"/>
      <c r="D227" s="341"/>
      <c r="E227" s="341"/>
      <c r="F227" s="341"/>
      <c r="G227" s="341"/>
      <c r="H227" s="341"/>
      <c r="I227" s="341"/>
      <c r="J227" s="341"/>
    </row>
    <row r="228" spans="1:10">
      <c r="A228" s="341"/>
      <c r="B228" s="341"/>
      <c r="C228" s="341"/>
      <c r="D228" s="341"/>
      <c r="E228" s="341"/>
      <c r="F228" s="341"/>
      <c r="G228" s="341"/>
      <c r="H228" s="341"/>
      <c r="I228" s="341"/>
      <c r="J228" s="341"/>
    </row>
    <row r="229" spans="1:10">
      <c r="A229" s="341"/>
      <c r="B229" s="341"/>
      <c r="C229" s="341"/>
      <c r="D229" s="341"/>
      <c r="E229" s="341"/>
      <c r="F229" s="341"/>
      <c r="G229" s="341"/>
      <c r="H229" s="341"/>
      <c r="I229" s="341"/>
      <c r="J229" s="341"/>
    </row>
    <row r="230" spans="1:10">
      <c r="A230" s="341"/>
      <c r="B230" s="341"/>
      <c r="C230" s="341"/>
      <c r="D230" s="341"/>
      <c r="E230" s="341"/>
      <c r="F230" s="341"/>
      <c r="G230" s="341"/>
      <c r="H230" s="341"/>
      <c r="I230" s="341"/>
      <c r="J230" s="341"/>
    </row>
    <row r="231" spans="1:10">
      <c r="A231" s="341"/>
      <c r="B231" s="341"/>
      <c r="C231" s="341"/>
      <c r="D231" s="341"/>
      <c r="E231" s="341"/>
      <c r="F231" s="341"/>
      <c r="G231" s="341"/>
      <c r="H231" s="341"/>
      <c r="I231" s="341"/>
      <c r="J231" s="341"/>
    </row>
    <row r="232" spans="1:10">
      <c r="A232" s="196"/>
      <c r="B232" s="196"/>
      <c r="C232" s="196"/>
      <c r="D232" s="196"/>
      <c r="E232" s="196"/>
      <c r="F232" s="196"/>
      <c r="G232" s="196"/>
      <c r="H232" s="196"/>
      <c r="I232" s="196"/>
      <c r="J232" s="196"/>
    </row>
    <row r="233" spans="1:10">
      <c r="A233" s="320"/>
      <c r="B233" s="320"/>
      <c r="C233" s="320"/>
      <c r="D233" s="320"/>
      <c r="E233" s="320"/>
      <c r="F233" s="320"/>
      <c r="G233" s="874"/>
      <c r="H233" s="874"/>
      <c r="I233" s="874"/>
      <c r="J233" s="874"/>
    </row>
  </sheetData>
  <mergeCells count="114">
    <mergeCell ref="A81:C81"/>
    <mergeCell ref="A28:C28"/>
    <mergeCell ref="A1:J1"/>
    <mergeCell ref="A76:C76"/>
    <mergeCell ref="A13:C13"/>
    <mergeCell ref="A33:C33"/>
    <mergeCell ref="A23:C23"/>
    <mergeCell ref="A8:C8"/>
    <mergeCell ref="D6:J6"/>
    <mergeCell ref="A18:C18"/>
    <mergeCell ref="A54:C54"/>
    <mergeCell ref="A65:C65"/>
    <mergeCell ref="A43:C43"/>
    <mergeCell ref="A38:C38"/>
    <mergeCell ref="G95:J95"/>
    <mergeCell ref="G97:J97"/>
    <mergeCell ref="A99:B99"/>
    <mergeCell ref="E99:J99"/>
    <mergeCell ref="A101:C101"/>
    <mergeCell ref="D101:F101"/>
    <mergeCell ref="G101:J101"/>
    <mergeCell ref="A92:C92"/>
    <mergeCell ref="D92:F92"/>
    <mergeCell ref="G92:J92"/>
    <mergeCell ref="G93:J93"/>
    <mergeCell ref="G94:J94"/>
    <mergeCell ref="F107:J107"/>
    <mergeCell ref="F108:J108"/>
    <mergeCell ref="F109:J109"/>
    <mergeCell ref="F110:J110"/>
    <mergeCell ref="A111:B111"/>
    <mergeCell ref="C111:D111"/>
    <mergeCell ref="E111:J111"/>
    <mergeCell ref="G102:J102"/>
    <mergeCell ref="F103:J103"/>
    <mergeCell ref="F104:J104"/>
    <mergeCell ref="F105:J105"/>
    <mergeCell ref="F106:J106"/>
    <mergeCell ref="G116:J116"/>
    <mergeCell ref="G117:J117"/>
    <mergeCell ref="G118:J118"/>
    <mergeCell ref="G119:J119"/>
    <mergeCell ref="A120:B120"/>
    <mergeCell ref="C120:D120"/>
    <mergeCell ref="E120:J120"/>
    <mergeCell ref="A113:C113"/>
    <mergeCell ref="D113:F113"/>
    <mergeCell ref="G113:J113"/>
    <mergeCell ref="G114:J114"/>
    <mergeCell ref="G115:J115"/>
    <mergeCell ref="G124:J124"/>
    <mergeCell ref="G125:J125"/>
    <mergeCell ref="G126:J126"/>
    <mergeCell ref="G127:J127"/>
    <mergeCell ref="A128:D129"/>
    <mergeCell ref="E128:J129"/>
    <mergeCell ref="G121:J121"/>
    <mergeCell ref="A122:C122"/>
    <mergeCell ref="D122:F122"/>
    <mergeCell ref="G122:J122"/>
    <mergeCell ref="G123:J123"/>
    <mergeCell ref="G133:J133"/>
    <mergeCell ref="G134:J134"/>
    <mergeCell ref="G135:J135"/>
    <mergeCell ref="G136:J136"/>
    <mergeCell ref="G137:J137"/>
    <mergeCell ref="A130:C130"/>
    <mergeCell ref="D130:F130"/>
    <mergeCell ref="G130:J130"/>
    <mergeCell ref="G131:J131"/>
    <mergeCell ref="G132:J132"/>
    <mergeCell ref="B143:J143"/>
    <mergeCell ref="B144:J144"/>
    <mergeCell ref="B145:J145"/>
    <mergeCell ref="B146:J146"/>
    <mergeCell ref="B147:J147"/>
    <mergeCell ref="A138:B138"/>
    <mergeCell ref="C138:D138"/>
    <mergeCell ref="E138:J138"/>
    <mergeCell ref="A140:C140"/>
    <mergeCell ref="B142:J142"/>
    <mergeCell ref="B165:D165"/>
    <mergeCell ref="E165:G165"/>
    <mergeCell ref="B166:D166"/>
    <mergeCell ref="E166:G166"/>
    <mergeCell ref="B167:D167"/>
    <mergeCell ref="E167:G167"/>
    <mergeCell ref="B148:J148"/>
    <mergeCell ref="A150:H150"/>
    <mergeCell ref="B151:H151"/>
    <mergeCell ref="B152:H152"/>
    <mergeCell ref="B164:D164"/>
    <mergeCell ref="E164:G164"/>
    <mergeCell ref="B171:D171"/>
    <mergeCell ref="E171:G171"/>
    <mergeCell ref="A178:C178"/>
    <mergeCell ref="D178:F178"/>
    <mergeCell ref="G178:J178"/>
    <mergeCell ref="B168:D168"/>
    <mergeCell ref="E168:G168"/>
    <mergeCell ref="B169:D169"/>
    <mergeCell ref="E169:G169"/>
    <mergeCell ref="B170:D170"/>
    <mergeCell ref="E170:G170"/>
    <mergeCell ref="A211:C211"/>
    <mergeCell ref="D211:F211"/>
    <mergeCell ref="G211:J211"/>
    <mergeCell ref="G233:J233"/>
    <mergeCell ref="A189:C189"/>
    <mergeCell ref="D189:F189"/>
    <mergeCell ref="G189:J189"/>
    <mergeCell ref="A199:C199"/>
    <mergeCell ref="D199:F199"/>
    <mergeCell ref="G199:J199"/>
  </mergeCells>
  <conditionalFormatting sqref="B94:B98">
    <cfRule type="expression" dxfId="157" priority="21">
      <formula>B94="Complete"</formula>
    </cfRule>
    <cfRule type="expression" dxfId="156" priority="22">
      <formula>B94="In Progress"</formula>
    </cfRule>
    <cfRule type="expression" dxfId="155" priority="23">
      <formula>B94="At Risk"</formula>
    </cfRule>
    <cfRule type="expression" dxfId="154" priority="24">
      <formula>B94="Blocked"</formula>
    </cfRule>
    <cfRule type="expression" dxfId="153" priority="25">
      <formula>B94="Not Started"</formula>
    </cfRule>
  </conditionalFormatting>
  <conditionalFormatting sqref="B103:B110">
    <cfRule type="expression" dxfId="152" priority="1">
      <formula>B103="Complete"</formula>
    </cfRule>
    <cfRule type="expression" dxfId="151" priority="2">
      <formula>B103="In Progress"</formula>
    </cfRule>
    <cfRule type="expression" dxfId="150" priority="3">
      <formula>B103="At Risk"</formula>
    </cfRule>
    <cfRule type="expression" dxfId="149" priority="4">
      <formula>B103="Blocked"</formula>
    </cfRule>
    <cfRule type="expression" dxfId="148" priority="5">
      <formula>B103="Not Started"</formula>
    </cfRule>
  </conditionalFormatting>
  <conditionalFormatting sqref="B115:B119">
    <cfRule type="expression" dxfId="147" priority="26">
      <formula>B115="Complete"</formula>
    </cfRule>
    <cfRule type="expression" dxfId="146" priority="27">
      <formula>B115="In Progress"</formula>
    </cfRule>
    <cfRule type="expression" dxfId="145" priority="28">
      <formula>B115="At Risk"</formula>
    </cfRule>
    <cfRule type="expression" dxfId="144" priority="29">
      <formula>B115="Blocked"</formula>
    </cfRule>
    <cfRule type="expression" dxfId="143" priority="30">
      <formula>B115="Not Started"</formula>
    </cfRule>
  </conditionalFormatting>
  <conditionalFormatting sqref="B124:B127">
    <cfRule type="expression" dxfId="142" priority="6">
      <formula>B124="Complete"</formula>
    </cfRule>
    <cfRule type="expression" dxfId="141" priority="7">
      <formula>B124="In Progress"</formula>
    </cfRule>
    <cfRule type="expression" dxfId="140" priority="8">
      <formula>B124="At Risk"</formula>
    </cfRule>
    <cfRule type="expression" dxfId="139" priority="9">
      <formula>B124="Blocked"</formula>
    </cfRule>
    <cfRule type="expression" dxfId="138" priority="10">
      <formula>B124="Not Started"</formula>
    </cfRule>
  </conditionalFormatting>
  <conditionalFormatting sqref="B132:B137">
    <cfRule type="expression" dxfId="137" priority="11">
      <formula>B132="Complete"</formula>
    </cfRule>
    <cfRule type="expression" dxfId="136" priority="12">
      <formula>B132="In Progress"</formula>
    </cfRule>
    <cfRule type="expression" dxfId="135" priority="13">
      <formula>B132="At Risk"</formula>
    </cfRule>
    <cfRule type="expression" dxfId="134" priority="14">
      <formula>B132="Blocked"</formula>
    </cfRule>
    <cfRule type="expression" dxfId="133" priority="15">
      <formula>B132="Not Started"</formula>
    </cfRule>
  </conditionalFormatting>
  <conditionalFormatting sqref="B155:B162">
    <cfRule type="expression" dxfId="132" priority="82">
      <formula>B155="Yes"</formula>
    </cfRule>
    <cfRule type="expression" dxfId="131" priority="83">
      <formula>B155="N/A"</formula>
    </cfRule>
    <cfRule type="expression" dxfId="130" priority="84">
      <formula>B155="No"</formula>
    </cfRule>
  </conditionalFormatting>
  <conditionalFormatting sqref="B172:H172">
    <cfRule type="expression" dxfId="129" priority="85">
      <formula>COUNTIF($B$6:$B$13,"No")=0</formula>
    </cfRule>
    <cfRule type="expression" dxfId="128" priority="86">
      <formula>COUNTIF($B$6:$B$13,"No")&gt;0</formula>
    </cfRule>
  </conditionalFormatting>
  <conditionalFormatting sqref="C99:D99">
    <cfRule type="dataBar" priority="37">
      <dataBar>
        <cfvo type="num" val="0"/>
        <cfvo type="num" val="1"/>
        <color rgb="FF5B9BD5"/>
      </dataBar>
    </cfRule>
  </conditionalFormatting>
  <conditionalFormatting sqref="C103:D110">
    <cfRule type="expression" dxfId="127" priority="31">
      <formula>C103="Yes"</formula>
    </cfRule>
    <cfRule type="expression" dxfId="126" priority="32">
      <formula>C103="No"</formula>
    </cfRule>
    <cfRule type="expression" dxfId="125" priority="33">
      <formula>C103="N/A"</formula>
    </cfRule>
  </conditionalFormatting>
  <conditionalFormatting sqref="C111:D111">
    <cfRule type="dataBar" priority="38">
      <dataBar>
        <cfvo type="num" val="0"/>
        <cfvo type="num" val="1"/>
        <color rgb="FF5B9BD5"/>
      </dataBar>
    </cfRule>
  </conditionalFormatting>
  <conditionalFormatting sqref="C120:D120">
    <cfRule type="dataBar" priority="39">
      <dataBar>
        <cfvo type="num" val="0"/>
        <cfvo type="num" val="1"/>
        <color rgb="FF5B9BD5"/>
      </dataBar>
    </cfRule>
  </conditionalFormatting>
  <conditionalFormatting sqref="C132:D137">
    <cfRule type="expression" dxfId="124" priority="16">
      <formula>C132="Yes"</formula>
    </cfRule>
    <cfRule type="expression" dxfId="123" priority="17">
      <formula>C132="No"</formula>
    </cfRule>
    <cfRule type="expression" dxfId="122" priority="18">
      <formula>C132="N/A"</formula>
    </cfRule>
  </conditionalFormatting>
  <conditionalFormatting sqref="C138:D138">
    <cfRule type="dataBar" priority="20">
      <dataBar>
        <cfvo type="num" val="0"/>
        <cfvo type="num" val="1"/>
        <color rgb="FF5B9BD5"/>
      </dataBar>
    </cfRule>
  </conditionalFormatting>
  <conditionalFormatting sqref="E5 G5 I5">
    <cfRule type="expression" dxfId="121" priority="87">
      <formula>E5="Pass"</formula>
    </cfRule>
    <cfRule type="expression" dxfId="120" priority="88">
      <formula>E5="Verify"</formula>
    </cfRule>
    <cfRule type="expression" dxfId="119" priority="89">
      <formula>E5="Fail"</formula>
    </cfRule>
    <cfRule type="expression" dxfId="118" priority="90">
      <formula>E5="Not Started"</formula>
    </cfRule>
  </conditionalFormatting>
  <conditionalFormatting sqref="F3">
    <cfRule type="expression" dxfId="117" priority="91">
      <formula>F3="Yes"</formula>
    </cfRule>
    <cfRule type="expression" dxfId="116" priority="92">
      <formula>F3="No"</formula>
    </cfRule>
  </conditionalFormatting>
  <conditionalFormatting sqref="F115:F119">
    <cfRule type="expression" dxfId="115" priority="34">
      <formula>F115="Pass"</formula>
    </cfRule>
    <cfRule type="expression" dxfId="114" priority="35">
      <formula>F115="Fail"</formula>
    </cfRule>
    <cfRule type="expression" dxfId="113" priority="36">
      <formula>F115="Pending"</formula>
    </cfRule>
  </conditionalFormatting>
  <conditionalFormatting sqref="F124:F127">
    <cfRule type="dataBar" priority="19">
      <dataBar>
        <cfvo type="num" val="0"/>
        <cfvo type="num" val="1"/>
        <color rgb="FF5B9BD5"/>
      </dataBar>
    </cfRule>
  </conditionalFormatting>
  <dataValidations count="6">
    <dataValidation type="list" sqref="B5:B6 D5 F5 H5 H10:H16 J5 I16 D56:D63 H17:I89" xr:uid="{00000000-0002-0000-3F00-000000000000}">
      <formula1>"Not Started,Verify,Pass,Fail,N/A,Open,Closed,Partial / Yellow,Excluded / Verify Existing,Excluded / Firestop Only"</formula1>
      <formula2>0</formula2>
    </dataValidation>
    <dataValidation type="list" sqref="H143:I148 H140:I141" xr:uid="{404DF90A-5C17-4073-B93A-D9B6382FBB46}">
      <formula1>"Not Started,Verify,Pass,Fail,N/A,Open,Closed,Partial / Yellow"</formula1>
      <formula2>0</formula2>
    </dataValidation>
    <dataValidation type="list" sqref="B155:B162" xr:uid="{463FE2A4-35A0-40A3-9F86-7FB1E4E5FAF5}">
      <formula1>"No,Yes,N/A"</formula1>
    </dataValidation>
    <dataValidation type="list" allowBlank="1" sqref="B124:B127 B115:B119" xr:uid="{B36036FB-B044-4E26-9047-19068136B462}">
      <formula1>"Not Started,In Progress,Complete,At Risk,Blocked"</formula1>
    </dataValidation>
    <dataValidation type="list" allowBlank="1" sqref="C103:D110 C132:D137" xr:uid="{36EBE4AE-6822-4AB1-AC35-0EAA34005CFC}">
      <formula1>"Yes,No,N/A"</formula1>
    </dataValidation>
    <dataValidation type="list" allowBlank="1" sqref="F115:F119" xr:uid="{6F5DCC09-8DBB-49C5-8A4C-3B705F93B5F0}">
      <formula1>"Pending,Pass,Fail,N/A"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5846E8D-7AE7-4A3B-9B3B-8BAEE83CF90C}">
          <x14:formula1>
            <xm:f>Lookup_Lists!$A$36:$A$42</xm:f>
          </x14:formula1>
          <xm:sqref>B94:B98 B103:B110 B132:B137</xm:sqref>
        </x14:dataValidation>
        <x14:dataValidation type="list" allowBlank="1" showInputMessage="1" showErrorMessage="1" xr:uid="{B25777DA-408E-4648-BF3B-7107964FFC50}">
          <x14:formula1>
            <xm:f>Lookup_Lists!$L$37:$L$39</xm:f>
          </x14:formula1>
          <xm:sqref>C115:E119 J2</xm:sqref>
        </x14:dataValidation>
      </x14:dataValidations>
    </ext>
  </extLst>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81412-D6DB-451E-8EDD-38A45CBFC630}">
  <dimension ref="A1:J259"/>
  <sheetViews>
    <sheetView workbookViewId="0">
      <selection activeCell="D4" sqref="D4"/>
    </sheetView>
  </sheetViews>
  <sheetFormatPr defaultColWidth="8.6640625" defaultRowHeight="14.4"/>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6640625" style="8" customWidth="1"/>
    <col min="13" max="16384" width="8.6640625" style="8"/>
  </cols>
  <sheetData>
    <row r="1" spans="1:10">
      <c r="A1" s="851" t="s">
        <v>3998</v>
      </c>
      <c r="B1" s="839"/>
      <c r="C1" s="839"/>
      <c r="D1" s="839"/>
      <c r="E1" s="839"/>
      <c r="F1" s="839"/>
      <c r="G1" s="839"/>
      <c r="H1" s="839"/>
      <c r="I1" s="839"/>
      <c r="J1" s="839"/>
    </row>
    <row r="2" spans="1:10" s="227" customFormat="1" ht="16.95" customHeight="1">
      <c r="A2" s="223" t="s">
        <v>142</v>
      </c>
      <c r="B2" s="224" t="s">
        <v>68</v>
      </c>
      <c r="C2" s="223" t="s">
        <v>902</v>
      </c>
      <c r="D2" s="224" t="s">
        <v>1094</v>
      </c>
      <c r="E2" s="223" t="s">
        <v>151</v>
      </c>
      <c r="F2" s="224" t="s">
        <v>1095</v>
      </c>
      <c r="G2" s="223" t="s">
        <v>174</v>
      </c>
      <c r="H2" s="225">
        <v>0.5</v>
      </c>
      <c r="I2" s="223" t="s">
        <v>154</v>
      </c>
      <c r="J2" s="226" t="s">
        <v>1096</v>
      </c>
    </row>
    <row r="3" spans="1:10" s="231" customFormat="1" ht="16.95" customHeight="1">
      <c r="A3" s="223" t="s">
        <v>903</v>
      </c>
      <c r="B3" s="228">
        <v>46199.485680266203</v>
      </c>
      <c r="C3" s="229" t="s">
        <v>904</v>
      </c>
      <c r="D3" s="230" t="s">
        <v>721</v>
      </c>
      <c r="E3" s="223" t="s">
        <v>905</v>
      </c>
      <c r="F3" s="230" t="s">
        <v>3999</v>
      </c>
      <c r="G3" s="223" t="s">
        <v>907</v>
      </c>
      <c r="H3" s="230" t="s">
        <v>908</v>
      </c>
      <c r="I3" s="223" t="s">
        <v>551</v>
      </c>
      <c r="J3" s="230" t="s">
        <v>4000</v>
      </c>
    </row>
    <row r="4" spans="1:10" s="231" customFormat="1" ht="266.39999999999998" customHeight="1">
      <c r="A4" s="223" t="s">
        <v>161</v>
      </c>
      <c r="B4" s="230">
        <v>0</v>
      </c>
      <c r="C4" s="223" t="s">
        <v>199</v>
      </c>
      <c r="D4" s="230">
        <v>0</v>
      </c>
      <c r="E4" s="223" t="s">
        <v>179</v>
      </c>
      <c r="F4" s="230">
        <v>0</v>
      </c>
      <c r="G4" s="223" t="s">
        <v>870</v>
      </c>
      <c r="H4" s="232" t="s">
        <v>4001</v>
      </c>
      <c r="I4" s="233"/>
      <c r="J4" s="233"/>
    </row>
    <row r="5" spans="1:10" s="231" customFormat="1">
      <c r="A5" s="234" t="s">
        <v>911</v>
      </c>
      <c r="B5" s="225" t="s">
        <v>677</v>
      </c>
      <c r="C5" s="235" t="s">
        <v>912</v>
      </c>
      <c r="D5" s="225" t="s">
        <v>677</v>
      </c>
      <c r="E5" s="236" t="s">
        <v>913</v>
      </c>
      <c r="F5" s="225" t="s">
        <v>677</v>
      </c>
      <c r="G5" s="237" t="s">
        <v>914</v>
      </c>
      <c r="H5" s="225" t="s">
        <v>677</v>
      </c>
      <c r="I5" s="237" t="s">
        <v>915</v>
      </c>
      <c r="J5" s="225" t="s">
        <v>677</v>
      </c>
    </row>
    <row r="6" spans="1:10" s="231" customFormat="1" ht="40.5" customHeight="1">
      <c r="A6" s="238" t="s">
        <v>916</v>
      </c>
      <c r="B6" s="225" t="s">
        <v>677</v>
      </c>
      <c r="C6" s="239" t="s">
        <v>869</v>
      </c>
      <c r="D6" s="854" t="s">
        <v>4002</v>
      </c>
      <c r="E6" s="853"/>
      <c r="F6" s="853"/>
      <c r="G6" s="853"/>
      <c r="H6" s="853"/>
      <c r="I6" s="853"/>
      <c r="J6" s="853"/>
    </row>
    <row r="7" spans="1:10">
      <c r="A7" s="13"/>
      <c r="B7" s="13"/>
      <c r="C7" s="13"/>
      <c r="D7" s="13"/>
      <c r="E7" s="13"/>
      <c r="F7" s="13"/>
      <c r="G7" s="13"/>
      <c r="H7" s="13"/>
      <c r="I7" s="13"/>
      <c r="J7" s="13"/>
    </row>
    <row r="8" spans="1:10">
      <c r="A8" s="842" t="s">
        <v>918</v>
      </c>
      <c r="B8" s="839"/>
      <c r="C8" s="839"/>
      <c r="D8" s="85"/>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96.6">
      <c r="A10" s="13" t="s">
        <v>68</v>
      </c>
      <c r="B10" s="13" t="s">
        <v>4003</v>
      </c>
      <c r="C10" s="13" t="s">
        <v>4004</v>
      </c>
      <c r="D10" s="13" t="s">
        <v>4005</v>
      </c>
      <c r="E10" s="13" t="s">
        <v>4006</v>
      </c>
      <c r="F10" s="13">
        <v>12</v>
      </c>
      <c r="G10" s="13">
        <v>0</v>
      </c>
      <c r="H10" s="13" t="s">
        <v>677</v>
      </c>
      <c r="I10" s="13" t="s">
        <v>4007</v>
      </c>
      <c r="J10" s="13" t="s">
        <v>4008</v>
      </c>
    </row>
    <row r="11" spans="1:10" ht="82.8">
      <c r="A11" s="13" t="s">
        <v>68</v>
      </c>
      <c r="B11" s="13" t="s">
        <v>4009</v>
      </c>
      <c r="C11" s="13" t="s">
        <v>4004</v>
      </c>
      <c r="D11" s="13" t="s">
        <v>4010</v>
      </c>
      <c r="E11" s="13" t="s">
        <v>4011</v>
      </c>
      <c r="F11" s="13">
        <v>1</v>
      </c>
      <c r="G11" s="13">
        <v>0</v>
      </c>
      <c r="H11" s="13" t="s">
        <v>677</v>
      </c>
      <c r="I11" s="13" t="s">
        <v>4012</v>
      </c>
      <c r="J11" s="13" t="s">
        <v>4013</v>
      </c>
    </row>
    <row r="12" spans="1:10" ht="82.8">
      <c r="A12" s="13" t="s">
        <v>68</v>
      </c>
      <c r="B12" s="13" t="s">
        <v>4014</v>
      </c>
      <c r="C12" s="13" t="s">
        <v>4004</v>
      </c>
      <c r="D12" s="13" t="s">
        <v>4015</v>
      </c>
      <c r="E12" s="13" t="s">
        <v>4016</v>
      </c>
      <c r="F12" s="13">
        <v>3</v>
      </c>
      <c r="G12" s="13">
        <v>0</v>
      </c>
      <c r="H12" s="13" t="s">
        <v>677</v>
      </c>
      <c r="I12" s="13" t="s">
        <v>4017</v>
      </c>
      <c r="J12" s="13" t="s">
        <v>4018</v>
      </c>
    </row>
    <row r="13" spans="1:10" ht="69">
      <c r="A13" s="13" t="s">
        <v>68</v>
      </c>
      <c r="B13" s="13" t="s">
        <v>4019</v>
      </c>
      <c r="C13" s="13" t="s">
        <v>4004</v>
      </c>
      <c r="D13" s="13" t="s">
        <v>4020</v>
      </c>
      <c r="E13" s="13" t="s">
        <v>4021</v>
      </c>
      <c r="F13" s="13">
        <v>3</v>
      </c>
      <c r="G13" s="13">
        <v>0</v>
      </c>
      <c r="H13" s="13" t="s">
        <v>677</v>
      </c>
      <c r="I13" s="13" t="s">
        <v>4017</v>
      </c>
      <c r="J13" s="13" t="s">
        <v>4022</v>
      </c>
    </row>
    <row r="14" spans="1:10" ht="82.8">
      <c r="A14" s="13" t="s">
        <v>68</v>
      </c>
      <c r="B14" s="13" t="s">
        <v>4023</v>
      </c>
      <c r="C14" s="13" t="s">
        <v>4004</v>
      </c>
      <c r="D14" s="13" t="s">
        <v>4024</v>
      </c>
      <c r="E14" s="13" t="s">
        <v>4025</v>
      </c>
      <c r="F14" s="13">
        <v>1</v>
      </c>
      <c r="G14" s="13">
        <v>0</v>
      </c>
      <c r="H14" s="13" t="s">
        <v>677</v>
      </c>
      <c r="I14" s="13" t="s">
        <v>4026</v>
      </c>
      <c r="J14" s="13" t="s">
        <v>4027</v>
      </c>
    </row>
    <row r="15" spans="1:10" ht="69">
      <c r="A15" s="13" t="s">
        <v>68</v>
      </c>
      <c r="B15" s="13" t="s">
        <v>4028</v>
      </c>
      <c r="C15" s="13" t="s">
        <v>4004</v>
      </c>
      <c r="D15" s="13" t="s">
        <v>4029</v>
      </c>
      <c r="E15" s="13" t="s">
        <v>4030</v>
      </c>
      <c r="F15" s="13">
        <v>1</v>
      </c>
      <c r="G15" s="13">
        <v>0</v>
      </c>
      <c r="H15" s="13" t="s">
        <v>677</v>
      </c>
      <c r="I15" s="13" t="s">
        <v>4031</v>
      </c>
      <c r="J15" s="13" t="s">
        <v>4032</v>
      </c>
    </row>
    <row r="16" spans="1:10" ht="110.4">
      <c r="A16" s="13" t="s">
        <v>68</v>
      </c>
      <c r="B16" s="13" t="s">
        <v>4033</v>
      </c>
      <c r="C16" s="13" t="s">
        <v>4034</v>
      </c>
      <c r="D16" s="13" t="s">
        <v>4035</v>
      </c>
      <c r="E16" s="13" t="s">
        <v>4036</v>
      </c>
      <c r="F16" s="13">
        <v>20</v>
      </c>
      <c r="G16" s="13">
        <v>0</v>
      </c>
      <c r="H16" s="13" t="s">
        <v>677</v>
      </c>
      <c r="I16" s="13" t="s">
        <v>4037</v>
      </c>
      <c r="J16" s="13" t="s">
        <v>4038</v>
      </c>
    </row>
    <row r="17" spans="1:10">
      <c r="A17" s="13"/>
      <c r="B17" s="13"/>
      <c r="C17" s="13"/>
      <c r="D17" s="13"/>
      <c r="E17" s="13"/>
      <c r="F17" s="13"/>
      <c r="G17" s="13"/>
      <c r="H17" s="13"/>
      <c r="I17" s="13"/>
      <c r="J17" s="13"/>
    </row>
    <row r="18" spans="1:10">
      <c r="A18" s="842" t="s">
        <v>936</v>
      </c>
      <c r="B18" s="839"/>
      <c r="C18" s="839"/>
      <c r="D18" s="85"/>
      <c r="E18" s="85"/>
      <c r="F18" s="85"/>
      <c r="G18" s="85"/>
      <c r="H18" s="85"/>
      <c r="I18" s="85"/>
      <c r="J18" s="85"/>
    </row>
    <row r="19" spans="1:10">
      <c r="A19" s="50" t="s">
        <v>275</v>
      </c>
      <c r="B19" s="50" t="s">
        <v>937</v>
      </c>
      <c r="C19" s="50" t="s">
        <v>938</v>
      </c>
      <c r="D19" s="50" t="s">
        <v>939</v>
      </c>
      <c r="E19" s="50" t="s">
        <v>940</v>
      </c>
      <c r="F19" s="50" t="s">
        <v>941</v>
      </c>
      <c r="G19" s="50" t="s">
        <v>942</v>
      </c>
      <c r="H19" s="50" t="s">
        <v>943</v>
      </c>
      <c r="I19" s="50" t="s">
        <v>899</v>
      </c>
      <c r="J19" s="50" t="s">
        <v>944</v>
      </c>
    </row>
    <row r="20" spans="1:10" ht="82.8">
      <c r="A20" s="13" t="s">
        <v>4003</v>
      </c>
      <c r="B20" s="13" t="s">
        <v>677</v>
      </c>
      <c r="C20" s="13" t="s">
        <v>677</v>
      </c>
      <c r="D20" s="13" t="s">
        <v>677</v>
      </c>
      <c r="E20" s="13" t="s">
        <v>677</v>
      </c>
      <c r="F20" s="13" t="s">
        <v>677</v>
      </c>
      <c r="G20" s="13" t="s">
        <v>677</v>
      </c>
      <c r="H20" s="13" t="s">
        <v>677</v>
      </c>
      <c r="I20" s="13" t="s">
        <v>677</v>
      </c>
      <c r="J20" s="13" t="s">
        <v>4039</v>
      </c>
    </row>
    <row r="21" spans="1:10" ht="69">
      <c r="A21" s="13" t="s">
        <v>4040</v>
      </c>
      <c r="B21" s="13" t="s">
        <v>677</v>
      </c>
      <c r="C21" s="13" t="s">
        <v>677</v>
      </c>
      <c r="D21" s="13" t="s">
        <v>677</v>
      </c>
      <c r="E21" s="13" t="s">
        <v>677</v>
      </c>
      <c r="F21" s="13" t="s">
        <v>677</v>
      </c>
      <c r="G21" s="13" t="s">
        <v>677</v>
      </c>
      <c r="H21" s="13" t="s">
        <v>677</v>
      </c>
      <c r="I21" s="13" t="s">
        <v>677</v>
      </c>
      <c r="J21" s="13" t="s">
        <v>4041</v>
      </c>
    </row>
    <row r="22" spans="1:10" ht="55.2">
      <c r="A22" s="13" t="s">
        <v>4042</v>
      </c>
      <c r="B22" s="13" t="s">
        <v>677</v>
      </c>
      <c r="C22" s="13" t="s">
        <v>677</v>
      </c>
      <c r="D22" s="13" t="s">
        <v>677</v>
      </c>
      <c r="E22" s="13" t="s">
        <v>677</v>
      </c>
      <c r="F22" s="13" t="s">
        <v>677</v>
      </c>
      <c r="G22" s="13" t="s">
        <v>677</v>
      </c>
      <c r="H22" s="13" t="s">
        <v>677</v>
      </c>
      <c r="I22" s="13" t="s">
        <v>677</v>
      </c>
      <c r="J22" s="13" t="s">
        <v>4043</v>
      </c>
    </row>
    <row r="23" spans="1:10" ht="69">
      <c r="A23" s="13" t="s">
        <v>4044</v>
      </c>
      <c r="B23" s="13" t="s">
        <v>677</v>
      </c>
      <c r="C23" s="13" t="s">
        <v>677</v>
      </c>
      <c r="D23" s="13" t="s">
        <v>677</v>
      </c>
      <c r="E23" s="13" t="s">
        <v>677</v>
      </c>
      <c r="F23" s="13" t="s">
        <v>677</v>
      </c>
      <c r="G23" s="13" t="s">
        <v>677</v>
      </c>
      <c r="H23" s="13" t="s">
        <v>677</v>
      </c>
      <c r="I23" s="13" t="s">
        <v>677</v>
      </c>
      <c r="J23" s="13" t="s">
        <v>4045</v>
      </c>
    </row>
    <row r="24" spans="1:10" ht="69">
      <c r="A24" s="13" t="s">
        <v>4046</v>
      </c>
      <c r="B24" s="13" t="s">
        <v>946</v>
      </c>
      <c r="C24" s="13" t="s">
        <v>946</v>
      </c>
      <c r="D24" s="13" t="s">
        <v>946</v>
      </c>
      <c r="E24" s="13" t="s">
        <v>677</v>
      </c>
      <c r="F24" s="13" t="s">
        <v>677</v>
      </c>
      <c r="G24" s="13" t="s">
        <v>677</v>
      </c>
      <c r="H24" s="13" t="s">
        <v>677</v>
      </c>
      <c r="I24" s="13" t="s">
        <v>677</v>
      </c>
      <c r="J24" s="13" t="s">
        <v>4047</v>
      </c>
    </row>
    <row r="25" spans="1:10">
      <c r="A25" s="13"/>
      <c r="B25" s="13"/>
      <c r="C25" s="13"/>
      <c r="D25" s="13"/>
      <c r="E25" s="13"/>
      <c r="F25" s="13"/>
      <c r="G25" s="13"/>
      <c r="H25" s="13"/>
      <c r="I25" s="13"/>
      <c r="J25" s="13"/>
    </row>
    <row r="26" spans="1:10">
      <c r="A26" s="842" t="s">
        <v>951</v>
      </c>
      <c r="B26" s="839"/>
      <c r="C26" s="839"/>
      <c r="D26" s="85"/>
      <c r="E26" s="85"/>
      <c r="F26" s="85"/>
      <c r="G26" s="85"/>
      <c r="H26" s="85"/>
      <c r="I26" s="85"/>
      <c r="J26" s="85"/>
    </row>
    <row r="27" spans="1:10">
      <c r="A27" s="50" t="s">
        <v>275</v>
      </c>
      <c r="B27" s="50" t="s">
        <v>952</v>
      </c>
      <c r="C27" s="50" t="s">
        <v>953</v>
      </c>
      <c r="D27" s="50" t="s">
        <v>954</v>
      </c>
      <c r="E27" s="50" t="s">
        <v>955</v>
      </c>
      <c r="F27" s="50" t="s">
        <v>956</v>
      </c>
      <c r="G27" s="50" t="s">
        <v>957</v>
      </c>
      <c r="H27" s="50" t="s">
        <v>958</v>
      </c>
      <c r="I27" s="50" t="s">
        <v>899</v>
      </c>
      <c r="J27" s="50" t="s">
        <v>959</v>
      </c>
    </row>
    <row r="28" spans="1:10" ht="96.6">
      <c r="A28" s="13" t="s">
        <v>4003</v>
      </c>
      <c r="B28" s="13" t="s">
        <v>677</v>
      </c>
      <c r="C28" s="13" t="s">
        <v>677</v>
      </c>
      <c r="D28" s="13" t="s">
        <v>677</v>
      </c>
      <c r="E28" s="13" t="s">
        <v>677</v>
      </c>
      <c r="F28" s="13" t="s">
        <v>677</v>
      </c>
      <c r="G28" s="13" t="s">
        <v>677</v>
      </c>
      <c r="H28" s="13" t="s">
        <v>677</v>
      </c>
      <c r="I28" s="13" t="s">
        <v>677</v>
      </c>
      <c r="J28" s="13" t="s">
        <v>4048</v>
      </c>
    </row>
    <row r="29" spans="1:10" ht="55.2">
      <c r="A29" s="13" t="s">
        <v>4040</v>
      </c>
      <c r="B29" s="13" t="s">
        <v>677</v>
      </c>
      <c r="C29" s="13" t="s">
        <v>679</v>
      </c>
      <c r="D29" s="13" t="s">
        <v>677</v>
      </c>
      <c r="E29" s="13" t="s">
        <v>677</v>
      </c>
      <c r="F29" s="13" t="s">
        <v>677</v>
      </c>
      <c r="G29" s="13" t="s">
        <v>677</v>
      </c>
      <c r="H29" s="13" t="s">
        <v>677</v>
      </c>
      <c r="I29" s="13" t="s">
        <v>677</v>
      </c>
      <c r="J29" s="13" t="s">
        <v>4049</v>
      </c>
    </row>
    <row r="30" spans="1:10" ht="55.2">
      <c r="A30" s="13" t="s">
        <v>4042</v>
      </c>
      <c r="B30" s="13" t="s">
        <v>677</v>
      </c>
      <c r="C30" s="13" t="s">
        <v>677</v>
      </c>
      <c r="D30" s="13" t="s">
        <v>677</v>
      </c>
      <c r="E30" s="13" t="s">
        <v>677</v>
      </c>
      <c r="F30" s="13" t="s">
        <v>677</v>
      </c>
      <c r="G30" s="13" t="s">
        <v>677</v>
      </c>
      <c r="H30" s="13" t="s">
        <v>677</v>
      </c>
      <c r="I30" s="13" t="s">
        <v>677</v>
      </c>
      <c r="J30" s="13" t="s">
        <v>4050</v>
      </c>
    </row>
    <row r="31" spans="1:10" ht="41.4">
      <c r="A31" s="13" t="s">
        <v>4044</v>
      </c>
      <c r="B31" s="13" t="s">
        <v>677</v>
      </c>
      <c r="C31" s="13" t="s">
        <v>677</v>
      </c>
      <c r="D31" s="13" t="s">
        <v>677</v>
      </c>
      <c r="E31" s="13" t="s">
        <v>677</v>
      </c>
      <c r="F31" s="13" t="s">
        <v>677</v>
      </c>
      <c r="G31" s="13" t="s">
        <v>677</v>
      </c>
      <c r="H31" s="13" t="s">
        <v>677</v>
      </c>
      <c r="I31" s="13" t="s">
        <v>677</v>
      </c>
      <c r="J31" s="13" t="s">
        <v>4051</v>
      </c>
    </row>
    <row r="32" spans="1:10" ht="69">
      <c r="A32" s="13" t="s">
        <v>4046</v>
      </c>
      <c r="B32" s="13" t="s">
        <v>677</v>
      </c>
      <c r="C32" s="13" t="s">
        <v>679</v>
      </c>
      <c r="D32" s="13" t="s">
        <v>677</v>
      </c>
      <c r="E32" s="13" t="s">
        <v>677</v>
      </c>
      <c r="F32" s="13" t="s">
        <v>677</v>
      </c>
      <c r="G32" s="13" t="s">
        <v>677</v>
      </c>
      <c r="H32" s="13" t="s">
        <v>677</v>
      </c>
      <c r="I32" s="13" t="s">
        <v>677</v>
      </c>
      <c r="J32" s="13" t="s">
        <v>4052</v>
      </c>
    </row>
    <row r="33" spans="1:10">
      <c r="A33" s="13"/>
      <c r="B33" s="13"/>
      <c r="C33" s="13"/>
      <c r="D33" s="13"/>
      <c r="E33" s="13"/>
      <c r="F33" s="13"/>
      <c r="G33" s="13"/>
      <c r="H33" s="13"/>
      <c r="I33" s="13"/>
      <c r="J33" s="13"/>
    </row>
    <row r="34" spans="1:10">
      <c r="A34" s="842" t="s">
        <v>964</v>
      </c>
      <c r="B34" s="839"/>
      <c r="C34" s="839"/>
      <c r="D34" s="85"/>
      <c r="E34" s="85"/>
      <c r="F34" s="85"/>
      <c r="G34" s="85"/>
      <c r="H34" s="85"/>
      <c r="I34" s="85"/>
      <c r="J34" s="85"/>
    </row>
    <row r="35" spans="1:10">
      <c r="A35" s="50" t="s">
        <v>275</v>
      </c>
      <c r="B35" s="50" t="s">
        <v>965</v>
      </c>
      <c r="C35" s="50" t="s">
        <v>966</v>
      </c>
      <c r="D35" s="50" t="s">
        <v>967</v>
      </c>
      <c r="E35" s="50" t="s">
        <v>968</v>
      </c>
      <c r="F35" s="50" t="s">
        <v>969</v>
      </c>
      <c r="G35" s="50" t="s">
        <v>970</v>
      </c>
      <c r="H35" s="50" t="s">
        <v>971</v>
      </c>
      <c r="I35" s="50" t="s">
        <v>899</v>
      </c>
      <c r="J35" s="50" t="s">
        <v>959</v>
      </c>
    </row>
    <row r="36" spans="1:10" ht="96.6">
      <c r="A36" s="13" t="s">
        <v>4003</v>
      </c>
      <c r="B36" s="13" t="s">
        <v>4053</v>
      </c>
      <c r="C36" s="13" t="s">
        <v>677</v>
      </c>
      <c r="D36" s="13" t="s">
        <v>677</v>
      </c>
      <c r="E36" s="13" t="s">
        <v>677</v>
      </c>
      <c r="F36" s="13" t="s">
        <v>677</v>
      </c>
      <c r="G36" s="13" t="s">
        <v>677</v>
      </c>
      <c r="H36" s="13" t="s">
        <v>677</v>
      </c>
      <c r="I36" s="13" t="s">
        <v>677</v>
      </c>
      <c r="J36" s="13" t="s">
        <v>4054</v>
      </c>
    </row>
    <row r="37" spans="1:10" ht="69">
      <c r="A37" s="13" t="s">
        <v>4055</v>
      </c>
      <c r="B37" s="13" t="s">
        <v>4056</v>
      </c>
      <c r="C37" s="13" t="s">
        <v>677</v>
      </c>
      <c r="D37" s="13" t="s">
        <v>677</v>
      </c>
      <c r="E37" s="13" t="s">
        <v>677</v>
      </c>
      <c r="F37" s="13" t="s">
        <v>677</v>
      </c>
      <c r="G37" s="13" t="s">
        <v>677</v>
      </c>
      <c r="H37" s="13" t="s">
        <v>677</v>
      </c>
      <c r="I37" s="13" t="s">
        <v>677</v>
      </c>
      <c r="J37" s="13" t="s">
        <v>4057</v>
      </c>
    </row>
    <row r="38" spans="1:10" ht="55.2">
      <c r="A38" s="13" t="s">
        <v>4042</v>
      </c>
      <c r="B38" s="13" t="s">
        <v>4058</v>
      </c>
      <c r="C38" s="13" t="s">
        <v>677</v>
      </c>
      <c r="D38" s="13" t="s">
        <v>677</v>
      </c>
      <c r="E38" s="13" t="s">
        <v>677</v>
      </c>
      <c r="F38" s="13" t="s">
        <v>677</v>
      </c>
      <c r="G38" s="13" t="s">
        <v>677</v>
      </c>
      <c r="H38" s="13" t="s">
        <v>677</v>
      </c>
      <c r="I38" s="13" t="s">
        <v>677</v>
      </c>
      <c r="J38" s="13" t="s">
        <v>4059</v>
      </c>
    </row>
    <row r="39" spans="1:10" ht="55.2">
      <c r="A39" s="13" t="s">
        <v>4044</v>
      </c>
      <c r="B39" s="13" t="s">
        <v>4058</v>
      </c>
      <c r="C39" s="13" t="s">
        <v>677</v>
      </c>
      <c r="D39" s="13" t="s">
        <v>677</v>
      </c>
      <c r="E39" s="13" t="s">
        <v>677</v>
      </c>
      <c r="F39" s="13" t="s">
        <v>677</v>
      </c>
      <c r="G39" s="13" t="s">
        <v>677</v>
      </c>
      <c r="H39" s="13" t="s">
        <v>677</v>
      </c>
      <c r="I39" s="13" t="s">
        <v>677</v>
      </c>
      <c r="J39" s="13" t="s">
        <v>4060</v>
      </c>
    </row>
    <row r="40" spans="1:10" ht="69">
      <c r="A40" s="13" t="s">
        <v>4046</v>
      </c>
      <c r="B40" s="13" t="s">
        <v>946</v>
      </c>
      <c r="C40" s="13" t="s">
        <v>677</v>
      </c>
      <c r="D40" s="13" t="s">
        <v>677</v>
      </c>
      <c r="E40" s="13" t="s">
        <v>677</v>
      </c>
      <c r="F40" s="13" t="s">
        <v>677</v>
      </c>
      <c r="G40" s="13" t="s">
        <v>677</v>
      </c>
      <c r="H40" s="13" t="s">
        <v>677</v>
      </c>
      <c r="I40" s="13" t="s">
        <v>677</v>
      </c>
      <c r="J40" s="13" t="s">
        <v>4061</v>
      </c>
    </row>
    <row r="41" spans="1:10">
      <c r="A41" s="13"/>
      <c r="B41" s="13"/>
      <c r="C41" s="13"/>
      <c r="D41" s="13"/>
      <c r="E41" s="13"/>
      <c r="F41" s="13"/>
      <c r="G41" s="13"/>
      <c r="H41" s="13"/>
      <c r="I41" s="13"/>
      <c r="J41" s="13"/>
    </row>
    <row r="42" spans="1:10">
      <c r="A42" s="842" t="s">
        <v>977</v>
      </c>
      <c r="B42" s="839"/>
      <c r="C42" s="839"/>
      <c r="D42" s="85"/>
      <c r="E42" s="85"/>
      <c r="F42" s="85"/>
      <c r="G42" s="85"/>
      <c r="H42" s="85"/>
      <c r="I42" s="85"/>
      <c r="J42" s="85"/>
    </row>
    <row r="43" spans="1:10">
      <c r="A43" s="50" t="s">
        <v>275</v>
      </c>
      <c r="B43" s="50" t="s">
        <v>978</v>
      </c>
      <c r="C43" s="50" t="s">
        <v>979</v>
      </c>
      <c r="D43" s="50" t="s">
        <v>980</v>
      </c>
      <c r="E43" s="50" t="s">
        <v>981</v>
      </c>
      <c r="F43" s="50" t="s">
        <v>982</v>
      </c>
      <c r="G43" s="50" t="s">
        <v>983</v>
      </c>
      <c r="H43" s="50" t="s">
        <v>984</v>
      </c>
      <c r="I43" s="50" t="s">
        <v>899</v>
      </c>
      <c r="J43" s="50" t="s">
        <v>11</v>
      </c>
    </row>
    <row r="44" spans="1:10" ht="96.6">
      <c r="A44" s="13" t="s">
        <v>4003</v>
      </c>
      <c r="B44" s="13" t="s">
        <v>4055</v>
      </c>
      <c r="C44" s="13" t="s">
        <v>677</v>
      </c>
      <c r="D44" s="13" t="s">
        <v>677</v>
      </c>
      <c r="E44" s="13" t="s">
        <v>677</v>
      </c>
      <c r="F44" s="13" t="s">
        <v>4062</v>
      </c>
      <c r="G44" s="13" t="s">
        <v>677</v>
      </c>
      <c r="H44" s="13" t="s">
        <v>677</v>
      </c>
      <c r="I44" s="13" t="s">
        <v>677</v>
      </c>
      <c r="J44" s="13" t="s">
        <v>4063</v>
      </c>
    </row>
    <row r="45" spans="1:10" ht="55.2">
      <c r="A45" s="13" t="s">
        <v>4042</v>
      </c>
      <c r="B45" s="13" t="s">
        <v>677</v>
      </c>
      <c r="C45" s="13" t="s">
        <v>4064</v>
      </c>
      <c r="D45" s="13" t="s">
        <v>677</v>
      </c>
      <c r="E45" s="13" t="s">
        <v>677</v>
      </c>
      <c r="F45" s="13" t="s">
        <v>4065</v>
      </c>
      <c r="G45" s="13" t="s">
        <v>677</v>
      </c>
      <c r="H45" s="13" t="s">
        <v>677</v>
      </c>
      <c r="I45" s="13" t="s">
        <v>677</v>
      </c>
      <c r="J45" s="13" t="s">
        <v>4066</v>
      </c>
    </row>
    <row r="46" spans="1:10" ht="69">
      <c r="A46" s="13" t="s">
        <v>4044</v>
      </c>
      <c r="B46" s="13" t="s">
        <v>677</v>
      </c>
      <c r="C46" s="13" t="s">
        <v>4067</v>
      </c>
      <c r="D46" s="13" t="s">
        <v>677</v>
      </c>
      <c r="E46" s="13" t="s">
        <v>677</v>
      </c>
      <c r="F46" s="13" t="s">
        <v>4068</v>
      </c>
      <c r="G46" s="13" t="s">
        <v>677</v>
      </c>
      <c r="H46" s="13" t="s">
        <v>677</v>
      </c>
      <c r="I46" s="13" t="s">
        <v>677</v>
      </c>
      <c r="J46" s="13" t="s">
        <v>4069</v>
      </c>
    </row>
    <row r="47" spans="1:10" ht="69">
      <c r="A47" s="13" t="s">
        <v>4046</v>
      </c>
      <c r="B47" s="13" t="s">
        <v>946</v>
      </c>
      <c r="C47" s="13" t="s">
        <v>4070</v>
      </c>
      <c r="D47" s="13" t="s">
        <v>946</v>
      </c>
      <c r="E47" s="13" t="s">
        <v>677</v>
      </c>
      <c r="F47" s="13" t="s">
        <v>3607</v>
      </c>
      <c r="G47" s="13" t="s">
        <v>677</v>
      </c>
      <c r="H47" s="13" t="s">
        <v>677</v>
      </c>
      <c r="I47" s="13" t="s">
        <v>677</v>
      </c>
      <c r="J47" s="13" t="s">
        <v>4071</v>
      </c>
    </row>
    <row r="48" spans="1:10" ht="69">
      <c r="A48" s="13" t="s">
        <v>4072</v>
      </c>
      <c r="B48" s="13" t="s">
        <v>677</v>
      </c>
      <c r="C48" s="13" t="s">
        <v>679</v>
      </c>
      <c r="D48" s="13" t="s">
        <v>679</v>
      </c>
      <c r="E48" s="13" t="s">
        <v>679</v>
      </c>
      <c r="F48" s="13" t="s">
        <v>4073</v>
      </c>
      <c r="G48" s="13" t="s">
        <v>677</v>
      </c>
      <c r="H48" s="13" t="s">
        <v>677</v>
      </c>
      <c r="I48" s="13" t="s">
        <v>677</v>
      </c>
      <c r="J48" s="13" t="s">
        <v>4074</v>
      </c>
    </row>
    <row r="49" spans="1:10">
      <c r="A49" s="13"/>
      <c r="B49" s="13"/>
      <c r="C49" s="13"/>
      <c r="D49" s="13"/>
      <c r="E49" s="13"/>
      <c r="F49" s="13"/>
      <c r="G49" s="13"/>
      <c r="H49" s="13"/>
      <c r="I49" s="13"/>
      <c r="J49" s="13"/>
    </row>
    <row r="50" spans="1:10">
      <c r="A50" s="842" t="s">
        <v>994</v>
      </c>
      <c r="B50" s="839"/>
      <c r="C50" s="839"/>
      <c r="D50" s="85"/>
      <c r="E50" s="85"/>
      <c r="F50" s="85"/>
      <c r="G50" s="85"/>
      <c r="H50" s="85"/>
      <c r="I50" s="85"/>
      <c r="J50" s="85"/>
    </row>
    <row r="51" spans="1:10">
      <c r="A51" s="50" t="s">
        <v>275</v>
      </c>
      <c r="B51" s="50" t="s">
        <v>995</v>
      </c>
      <c r="C51" s="50" t="s">
        <v>996</v>
      </c>
      <c r="D51" s="50" t="s">
        <v>997</v>
      </c>
      <c r="E51" s="50" t="s">
        <v>998</v>
      </c>
      <c r="F51" s="50" t="s">
        <v>999</v>
      </c>
      <c r="G51" s="50" t="s">
        <v>1000</v>
      </c>
      <c r="H51" s="50" t="s">
        <v>1001</v>
      </c>
      <c r="I51" s="50" t="s">
        <v>899</v>
      </c>
      <c r="J51" s="50" t="s">
        <v>11</v>
      </c>
    </row>
    <row r="52" spans="1:10" ht="82.8">
      <c r="A52" s="13" t="s">
        <v>4003</v>
      </c>
      <c r="B52" s="13" t="s">
        <v>677</v>
      </c>
      <c r="C52" s="13" t="s">
        <v>677</v>
      </c>
      <c r="D52" s="13" t="s">
        <v>677</v>
      </c>
      <c r="E52" s="13" t="s">
        <v>677</v>
      </c>
      <c r="F52" s="13" t="s">
        <v>677</v>
      </c>
      <c r="G52" s="13" t="s">
        <v>677</v>
      </c>
      <c r="H52" s="13" t="s">
        <v>677</v>
      </c>
      <c r="I52" s="13" t="s">
        <v>677</v>
      </c>
      <c r="J52" s="13" t="s">
        <v>4075</v>
      </c>
    </row>
    <row r="53" spans="1:10" ht="69">
      <c r="A53" s="13" t="s">
        <v>4040</v>
      </c>
      <c r="B53" s="13" t="s">
        <v>677</v>
      </c>
      <c r="C53" s="13" t="s">
        <v>677</v>
      </c>
      <c r="D53" s="13" t="s">
        <v>677</v>
      </c>
      <c r="E53" s="13" t="s">
        <v>677</v>
      </c>
      <c r="F53" s="13" t="s">
        <v>677</v>
      </c>
      <c r="G53" s="13" t="s">
        <v>677</v>
      </c>
      <c r="H53" s="13" t="s">
        <v>677</v>
      </c>
      <c r="I53" s="13" t="s">
        <v>677</v>
      </c>
      <c r="J53" s="13" t="s">
        <v>4076</v>
      </c>
    </row>
    <row r="54" spans="1:10" ht="69">
      <c r="A54" s="13" t="s">
        <v>4042</v>
      </c>
      <c r="B54" s="13" t="s">
        <v>677</v>
      </c>
      <c r="C54" s="13" t="s">
        <v>677</v>
      </c>
      <c r="D54" s="13" t="s">
        <v>677</v>
      </c>
      <c r="E54" s="13" t="s">
        <v>677</v>
      </c>
      <c r="F54" s="13" t="s">
        <v>677</v>
      </c>
      <c r="G54" s="13" t="s">
        <v>677</v>
      </c>
      <c r="H54" s="13" t="s">
        <v>677</v>
      </c>
      <c r="I54" s="13" t="s">
        <v>677</v>
      </c>
      <c r="J54" s="13" t="s">
        <v>4077</v>
      </c>
    </row>
    <row r="55" spans="1:10" ht="55.2">
      <c r="A55" s="13" t="s">
        <v>4044</v>
      </c>
      <c r="B55" s="13" t="s">
        <v>677</v>
      </c>
      <c r="C55" s="13" t="s">
        <v>677</v>
      </c>
      <c r="D55" s="13" t="s">
        <v>677</v>
      </c>
      <c r="E55" s="13" t="s">
        <v>677</v>
      </c>
      <c r="F55" s="13" t="s">
        <v>677</v>
      </c>
      <c r="G55" s="13" t="s">
        <v>677</v>
      </c>
      <c r="H55" s="13" t="s">
        <v>677</v>
      </c>
      <c r="I55" s="13" t="s">
        <v>677</v>
      </c>
      <c r="J55" s="13" t="s">
        <v>4078</v>
      </c>
    </row>
    <row r="56" spans="1:10" ht="69">
      <c r="A56" s="13" t="s">
        <v>4046</v>
      </c>
      <c r="B56" s="13" t="s">
        <v>946</v>
      </c>
      <c r="C56" s="13" t="s">
        <v>946</v>
      </c>
      <c r="D56" s="13" t="s">
        <v>946</v>
      </c>
      <c r="E56" s="13" t="s">
        <v>677</v>
      </c>
      <c r="F56" s="13" t="s">
        <v>677</v>
      </c>
      <c r="G56" s="13" t="s">
        <v>677</v>
      </c>
      <c r="H56" s="13" t="s">
        <v>677</v>
      </c>
      <c r="I56" s="13" t="s">
        <v>677</v>
      </c>
      <c r="J56" s="13" t="s">
        <v>4079</v>
      </c>
    </row>
    <row r="57" spans="1:10">
      <c r="A57" s="13"/>
      <c r="B57" s="13"/>
      <c r="C57" s="13"/>
      <c r="D57" s="13"/>
      <c r="E57" s="13"/>
      <c r="F57" s="13"/>
      <c r="G57" s="13"/>
      <c r="H57" s="13"/>
      <c r="I57" s="13"/>
      <c r="J57" s="13"/>
    </row>
    <row r="58" spans="1:10">
      <c r="A58" s="842" t="s">
        <v>1007</v>
      </c>
      <c r="B58" s="839"/>
      <c r="C58" s="839"/>
      <c r="D58" s="85"/>
      <c r="E58" s="85"/>
      <c r="F58" s="85"/>
      <c r="G58" s="85"/>
      <c r="H58" s="85"/>
      <c r="I58" s="85"/>
      <c r="J58" s="85"/>
    </row>
    <row r="59" spans="1:10">
      <c r="A59" s="50" t="s">
        <v>275</v>
      </c>
      <c r="B59" s="50" t="s">
        <v>1008</v>
      </c>
      <c r="C59" s="50" t="s">
        <v>1009</v>
      </c>
      <c r="D59" s="50" t="s">
        <v>1010</v>
      </c>
      <c r="E59" s="50" t="s">
        <v>1011</v>
      </c>
      <c r="F59" s="50" t="s">
        <v>1012</v>
      </c>
      <c r="G59" s="50" t="s">
        <v>1013</v>
      </c>
      <c r="H59" s="50" t="s">
        <v>1014</v>
      </c>
      <c r="I59" s="50" t="s">
        <v>899</v>
      </c>
      <c r="J59" s="50" t="s">
        <v>11</v>
      </c>
    </row>
    <row r="60" spans="1:10" ht="96.6">
      <c r="A60" s="13" t="s">
        <v>4003</v>
      </c>
      <c r="B60" s="13" t="s">
        <v>677</v>
      </c>
      <c r="C60" s="13" t="s">
        <v>677</v>
      </c>
      <c r="D60" s="13" t="s">
        <v>677</v>
      </c>
      <c r="E60" s="13" t="s">
        <v>677</v>
      </c>
      <c r="F60" s="13" t="s">
        <v>677</v>
      </c>
      <c r="G60" s="13" t="s">
        <v>677</v>
      </c>
      <c r="H60" s="13" t="s">
        <v>677</v>
      </c>
      <c r="I60" s="13" t="s">
        <v>677</v>
      </c>
      <c r="J60" s="13" t="s">
        <v>4080</v>
      </c>
    </row>
    <row r="61" spans="1:10" ht="55.2">
      <c r="A61" s="13" t="s">
        <v>4040</v>
      </c>
      <c r="B61" s="13" t="s">
        <v>677</v>
      </c>
      <c r="C61" s="13" t="s">
        <v>677</v>
      </c>
      <c r="D61" s="13" t="s">
        <v>677</v>
      </c>
      <c r="E61" s="13" t="s">
        <v>677</v>
      </c>
      <c r="F61" s="13" t="s">
        <v>677</v>
      </c>
      <c r="G61" s="13" t="s">
        <v>677</v>
      </c>
      <c r="H61" s="13" t="s">
        <v>677</v>
      </c>
      <c r="I61" s="13" t="s">
        <v>677</v>
      </c>
      <c r="J61" s="13" t="s">
        <v>4081</v>
      </c>
    </row>
    <row r="62" spans="1:10" ht="41.4">
      <c r="A62" s="13" t="s">
        <v>4042</v>
      </c>
      <c r="B62" s="13" t="s">
        <v>677</v>
      </c>
      <c r="C62" s="13" t="s">
        <v>677</v>
      </c>
      <c r="D62" s="13" t="s">
        <v>677</v>
      </c>
      <c r="E62" s="13" t="s">
        <v>677</v>
      </c>
      <c r="F62" s="13" t="s">
        <v>677</v>
      </c>
      <c r="G62" s="13" t="s">
        <v>677</v>
      </c>
      <c r="H62" s="13" t="s">
        <v>677</v>
      </c>
      <c r="I62" s="13" t="s">
        <v>677</v>
      </c>
      <c r="J62" s="13" t="s">
        <v>4082</v>
      </c>
    </row>
    <row r="63" spans="1:10" ht="41.4">
      <c r="A63" s="13" t="s">
        <v>4044</v>
      </c>
      <c r="B63" s="13" t="s">
        <v>677</v>
      </c>
      <c r="C63" s="13" t="s">
        <v>677</v>
      </c>
      <c r="D63" s="13" t="s">
        <v>677</v>
      </c>
      <c r="E63" s="13" t="s">
        <v>677</v>
      </c>
      <c r="F63" s="13" t="s">
        <v>677</v>
      </c>
      <c r="G63" s="13" t="s">
        <v>677</v>
      </c>
      <c r="H63" s="13" t="s">
        <v>677</v>
      </c>
      <c r="I63" s="13" t="s">
        <v>677</v>
      </c>
      <c r="J63" s="13" t="s">
        <v>4083</v>
      </c>
    </row>
    <row r="64" spans="1:10" ht="55.2">
      <c r="A64" s="13" t="s">
        <v>4046</v>
      </c>
      <c r="B64" s="13" t="s">
        <v>946</v>
      </c>
      <c r="C64" s="13" t="s">
        <v>946</v>
      </c>
      <c r="D64" s="13" t="s">
        <v>946</v>
      </c>
      <c r="E64" s="13" t="s">
        <v>946</v>
      </c>
      <c r="F64" s="13" t="s">
        <v>677</v>
      </c>
      <c r="G64" s="13" t="s">
        <v>677</v>
      </c>
      <c r="H64" s="13" t="s">
        <v>677</v>
      </c>
      <c r="I64" s="13" t="s">
        <v>677</v>
      </c>
      <c r="J64" s="13" t="s">
        <v>4084</v>
      </c>
    </row>
    <row r="65" spans="1:10">
      <c r="A65" s="13"/>
      <c r="B65" s="13"/>
      <c r="C65" s="13"/>
      <c r="D65" s="13"/>
      <c r="E65" s="13"/>
      <c r="F65" s="13"/>
      <c r="G65" s="13"/>
      <c r="H65" s="13"/>
      <c r="I65" s="13"/>
      <c r="J65" s="13"/>
    </row>
    <row r="66" spans="1:10">
      <c r="A66" s="842" t="s">
        <v>1019</v>
      </c>
      <c r="B66" s="839"/>
      <c r="C66" s="839"/>
      <c r="D66" s="85"/>
      <c r="E66" s="85"/>
      <c r="F66" s="85"/>
      <c r="G66" s="85"/>
      <c r="H66" s="85"/>
      <c r="I66" s="85"/>
      <c r="J66" s="85"/>
    </row>
    <row r="67" spans="1:10">
      <c r="A67" s="50" t="s">
        <v>213</v>
      </c>
      <c r="B67" s="50" t="s">
        <v>275</v>
      </c>
      <c r="C67" s="50" t="s">
        <v>573</v>
      </c>
      <c r="D67" s="50" t="s">
        <v>215</v>
      </c>
      <c r="E67" s="50" t="s">
        <v>257</v>
      </c>
      <c r="F67" s="50" t="s">
        <v>572</v>
      </c>
      <c r="G67" s="50" t="s">
        <v>259</v>
      </c>
      <c r="H67" s="50" t="s">
        <v>216</v>
      </c>
      <c r="I67" s="50" t="s">
        <v>77</v>
      </c>
      <c r="J67" s="50" t="s">
        <v>11</v>
      </c>
    </row>
    <row r="68" spans="1:10" ht="82.8">
      <c r="A68" s="13" t="s">
        <v>4085</v>
      </c>
      <c r="B68" s="13" t="s">
        <v>575</v>
      </c>
      <c r="C68" s="13" t="s">
        <v>4086</v>
      </c>
      <c r="D68" s="13" t="s">
        <v>492</v>
      </c>
      <c r="E68" s="13" t="s">
        <v>488</v>
      </c>
      <c r="F68" s="13">
        <v>8</v>
      </c>
      <c r="G68" s="13" t="s">
        <v>4087</v>
      </c>
      <c r="H68" s="13" t="s">
        <v>4088</v>
      </c>
      <c r="I68" s="13" t="s">
        <v>502</v>
      </c>
      <c r="J68" s="13" t="s">
        <v>4089</v>
      </c>
    </row>
    <row r="69" spans="1:10" ht="96.6">
      <c r="A69" s="13" t="s">
        <v>4090</v>
      </c>
      <c r="B69" s="13" t="s">
        <v>4046</v>
      </c>
      <c r="C69" s="13" t="s">
        <v>4091</v>
      </c>
      <c r="D69" s="13" t="s">
        <v>492</v>
      </c>
      <c r="E69" s="13" t="s">
        <v>488</v>
      </c>
      <c r="F69" s="13">
        <v>8</v>
      </c>
      <c r="G69" s="13" t="s">
        <v>4092</v>
      </c>
      <c r="H69" s="13" t="s">
        <v>595</v>
      </c>
      <c r="I69" s="13" t="s">
        <v>502</v>
      </c>
      <c r="J69" s="13" t="s">
        <v>4093</v>
      </c>
    </row>
    <row r="70" spans="1:10" ht="82.8">
      <c r="A70" s="13" t="s">
        <v>4094</v>
      </c>
      <c r="B70" s="13" t="s">
        <v>4095</v>
      </c>
      <c r="C70" s="13" t="s">
        <v>4096</v>
      </c>
      <c r="D70" s="13" t="s">
        <v>492</v>
      </c>
      <c r="E70" s="13" t="s">
        <v>488</v>
      </c>
      <c r="F70" s="13">
        <v>8</v>
      </c>
      <c r="G70" s="13" t="s">
        <v>4097</v>
      </c>
      <c r="H70" s="13" t="s">
        <v>584</v>
      </c>
      <c r="I70" s="13" t="s">
        <v>502</v>
      </c>
      <c r="J70" s="13" t="s">
        <v>4098</v>
      </c>
    </row>
    <row r="71" spans="1:10" ht="82.8">
      <c r="A71" s="13" t="s">
        <v>4099</v>
      </c>
      <c r="B71" s="13" t="s">
        <v>4100</v>
      </c>
      <c r="C71" s="13" t="s">
        <v>4101</v>
      </c>
      <c r="D71" s="13" t="s">
        <v>492</v>
      </c>
      <c r="E71" s="13" t="s">
        <v>488</v>
      </c>
      <c r="F71" s="13">
        <v>8</v>
      </c>
      <c r="G71" s="13" t="s">
        <v>4102</v>
      </c>
      <c r="H71" s="13" t="s">
        <v>4103</v>
      </c>
      <c r="I71" s="13" t="s">
        <v>502</v>
      </c>
      <c r="J71" s="13" t="s">
        <v>4104</v>
      </c>
    </row>
    <row r="72" spans="1:10" ht="110.4">
      <c r="A72" s="13" t="s">
        <v>4105</v>
      </c>
      <c r="B72" s="13" t="s">
        <v>68</v>
      </c>
      <c r="C72" s="13" t="s">
        <v>4106</v>
      </c>
      <c r="D72" s="13" t="s">
        <v>492</v>
      </c>
      <c r="E72" s="13" t="s">
        <v>488</v>
      </c>
      <c r="F72" s="13">
        <v>8</v>
      </c>
      <c r="G72" s="13" t="s">
        <v>4107</v>
      </c>
      <c r="H72" s="13" t="s">
        <v>4108</v>
      </c>
      <c r="I72" s="13" t="s">
        <v>502</v>
      </c>
      <c r="J72" s="13" t="s">
        <v>4109</v>
      </c>
    </row>
    <row r="73" spans="1:10" ht="110.4">
      <c r="A73" s="13" t="s">
        <v>4110</v>
      </c>
      <c r="B73" s="13" t="s">
        <v>68</v>
      </c>
      <c r="C73" s="13" t="s">
        <v>4111</v>
      </c>
      <c r="D73" s="13" t="s">
        <v>492</v>
      </c>
      <c r="E73" s="13" t="s">
        <v>488</v>
      </c>
      <c r="F73" s="13">
        <v>8</v>
      </c>
      <c r="G73" s="13" t="s">
        <v>4112</v>
      </c>
      <c r="H73" s="13" t="s">
        <v>4113</v>
      </c>
      <c r="I73" s="13" t="s">
        <v>502</v>
      </c>
      <c r="J73" s="13" t="s">
        <v>4114</v>
      </c>
    </row>
    <row r="74" spans="1:10" ht="96.6">
      <c r="A74" s="13" t="s">
        <v>4115</v>
      </c>
      <c r="B74" s="13" t="s">
        <v>4116</v>
      </c>
      <c r="C74" s="13" t="s">
        <v>4117</v>
      </c>
      <c r="D74" s="13" t="s">
        <v>391</v>
      </c>
      <c r="E74" s="13" t="s">
        <v>488</v>
      </c>
      <c r="F74" s="13">
        <v>6</v>
      </c>
      <c r="G74" s="13" t="s">
        <v>4118</v>
      </c>
      <c r="H74" s="13" t="s">
        <v>4119</v>
      </c>
      <c r="I74" s="13" t="s">
        <v>502</v>
      </c>
      <c r="J74" s="13" t="s">
        <v>4120</v>
      </c>
    </row>
    <row r="75" spans="1:10" ht="96.6">
      <c r="A75" s="13" t="s">
        <v>4121</v>
      </c>
      <c r="B75" s="13" t="s">
        <v>575</v>
      </c>
      <c r="C75" s="13" t="s">
        <v>4122</v>
      </c>
      <c r="D75" s="13" t="s">
        <v>391</v>
      </c>
      <c r="E75" s="13" t="s">
        <v>488</v>
      </c>
      <c r="F75" s="13">
        <v>6</v>
      </c>
      <c r="G75" s="13" t="s">
        <v>4123</v>
      </c>
      <c r="H75" s="13" t="s">
        <v>1049</v>
      </c>
      <c r="I75" s="13" t="s">
        <v>502</v>
      </c>
      <c r="J75" s="13" t="s">
        <v>4124</v>
      </c>
    </row>
    <row r="76" spans="1:10">
      <c r="A76" s="13"/>
      <c r="B76" s="13"/>
      <c r="C76" s="13"/>
      <c r="D76" s="13"/>
      <c r="E76" s="13"/>
      <c r="F76" s="13"/>
      <c r="G76" s="13"/>
      <c r="H76" s="13"/>
      <c r="I76" s="13"/>
      <c r="J76" s="13"/>
    </row>
    <row r="77" spans="1:10">
      <c r="A77" s="842" t="s">
        <v>1051</v>
      </c>
      <c r="B77" s="839"/>
      <c r="C77" s="839"/>
      <c r="D77" s="85"/>
      <c r="E77" s="85"/>
      <c r="F77" s="85"/>
      <c r="G77" s="85"/>
      <c r="H77" s="85"/>
      <c r="I77" s="85"/>
      <c r="J77" s="85"/>
    </row>
    <row r="78" spans="1:10">
      <c r="A78" s="50" t="s">
        <v>221</v>
      </c>
      <c r="B78" s="50" t="s">
        <v>222</v>
      </c>
      <c r="C78" s="50" t="s">
        <v>265</v>
      </c>
      <c r="D78" s="50" t="s">
        <v>77</v>
      </c>
      <c r="E78" s="50" t="s">
        <v>878</v>
      </c>
      <c r="F78" s="50" t="s">
        <v>879</v>
      </c>
      <c r="G78" s="50" t="s">
        <v>880</v>
      </c>
      <c r="H78" s="50" t="s">
        <v>494</v>
      </c>
      <c r="I78" s="50" t="s">
        <v>881</v>
      </c>
      <c r="J78" s="50" t="s">
        <v>11</v>
      </c>
    </row>
    <row r="79" spans="1:10" ht="110.4">
      <c r="A79" s="13" t="s">
        <v>4125</v>
      </c>
      <c r="B79" s="13" t="s">
        <v>4126</v>
      </c>
      <c r="C79" s="13" t="s">
        <v>579</v>
      </c>
      <c r="D79" s="13" t="s">
        <v>502</v>
      </c>
      <c r="E79" s="13"/>
      <c r="F79" s="13"/>
      <c r="G79" s="13" t="s">
        <v>4127</v>
      </c>
      <c r="H79" s="13"/>
      <c r="I79" s="13"/>
      <c r="J79" s="13"/>
    </row>
    <row r="80" spans="1:10" ht="96.6">
      <c r="A80" s="13" t="s">
        <v>4128</v>
      </c>
      <c r="B80" s="13" t="s">
        <v>4129</v>
      </c>
      <c r="C80" s="13" t="s">
        <v>587</v>
      </c>
      <c r="D80" s="13" t="s">
        <v>502</v>
      </c>
      <c r="E80" s="13"/>
      <c r="F80" s="13"/>
      <c r="G80" s="13" t="s">
        <v>4130</v>
      </c>
      <c r="H80" s="13"/>
      <c r="I80" s="13"/>
      <c r="J80" s="13"/>
    </row>
    <row r="81" spans="1:10" ht="69">
      <c r="A81" s="13" t="s">
        <v>4131</v>
      </c>
      <c r="B81" s="13" t="s">
        <v>4132</v>
      </c>
      <c r="C81" s="13" t="s">
        <v>4133</v>
      </c>
      <c r="D81" s="13" t="s">
        <v>502</v>
      </c>
      <c r="E81" s="13"/>
      <c r="F81" s="13"/>
      <c r="G81" s="13" t="s">
        <v>4134</v>
      </c>
      <c r="H81" s="13"/>
      <c r="I81" s="13"/>
      <c r="J81" s="13" t="s">
        <v>4135</v>
      </c>
    </row>
    <row r="82" spans="1:10" ht="82.8">
      <c r="A82" s="13" t="s">
        <v>4136</v>
      </c>
      <c r="B82" s="13" t="s">
        <v>4137</v>
      </c>
      <c r="C82" s="13" t="s">
        <v>4103</v>
      </c>
      <c r="D82" s="13" t="s">
        <v>502</v>
      </c>
      <c r="E82" s="13"/>
      <c r="F82" s="13"/>
      <c r="G82" s="13" t="s">
        <v>617</v>
      </c>
      <c r="H82" s="13"/>
      <c r="I82" s="13"/>
      <c r="J82" s="13"/>
    </row>
    <row r="83" spans="1:10" ht="69">
      <c r="A83" s="13" t="s">
        <v>4138</v>
      </c>
      <c r="B83" s="13" t="s">
        <v>4139</v>
      </c>
      <c r="C83" s="13" t="s">
        <v>4108</v>
      </c>
      <c r="D83" s="13" t="s">
        <v>502</v>
      </c>
      <c r="E83" s="13"/>
      <c r="F83" s="13"/>
      <c r="G83" s="13" t="s">
        <v>4140</v>
      </c>
      <c r="H83" s="13"/>
      <c r="I83" s="13"/>
      <c r="J83" s="13"/>
    </row>
    <row r="84" spans="1:10" ht="69">
      <c r="A84" s="13" t="s">
        <v>4141</v>
      </c>
      <c r="B84" s="13" t="s">
        <v>4142</v>
      </c>
      <c r="C84" s="13" t="s">
        <v>4143</v>
      </c>
      <c r="D84" s="13" t="s">
        <v>502</v>
      </c>
      <c r="E84" s="13"/>
      <c r="F84" s="13"/>
      <c r="G84" s="13" t="s">
        <v>610</v>
      </c>
      <c r="H84" s="13"/>
      <c r="I84" s="13"/>
      <c r="J84" s="13"/>
    </row>
    <row r="85" spans="1:10" ht="82.8">
      <c r="A85" s="13" t="s">
        <v>4144</v>
      </c>
      <c r="B85" s="13" t="s">
        <v>4145</v>
      </c>
      <c r="C85" s="13" t="s">
        <v>584</v>
      </c>
      <c r="D85" s="13" t="s">
        <v>502</v>
      </c>
      <c r="E85" s="13"/>
      <c r="F85" s="13"/>
      <c r="G85" s="13" t="s">
        <v>4146</v>
      </c>
      <c r="H85" s="13"/>
      <c r="I85" s="13"/>
      <c r="J85" s="13"/>
    </row>
    <row r="86" spans="1:10" ht="96.6">
      <c r="A86" s="13" t="s">
        <v>4147</v>
      </c>
      <c r="B86" s="13" t="s">
        <v>4148</v>
      </c>
      <c r="C86" s="13" t="s">
        <v>630</v>
      </c>
      <c r="D86" s="13" t="s">
        <v>502</v>
      </c>
      <c r="E86" s="13"/>
      <c r="F86" s="13"/>
      <c r="G86" s="13" t="s">
        <v>631</v>
      </c>
      <c r="H86" s="13"/>
      <c r="I86" s="13"/>
      <c r="J86" s="13"/>
    </row>
    <row r="87" spans="1:10">
      <c r="A87" s="13"/>
      <c r="B87" s="13"/>
      <c r="C87" s="13"/>
      <c r="D87" s="13"/>
      <c r="E87" s="13"/>
      <c r="F87" s="13"/>
      <c r="G87" s="13"/>
      <c r="H87" s="13"/>
      <c r="I87" s="13"/>
      <c r="J87" s="13"/>
    </row>
    <row r="88" spans="1:10">
      <c r="A88" s="842" t="s">
        <v>1052</v>
      </c>
      <c r="B88" s="839"/>
      <c r="C88" s="839"/>
      <c r="D88" s="85"/>
      <c r="E88" s="85"/>
      <c r="F88" s="85"/>
      <c r="G88" s="85"/>
      <c r="H88" s="85"/>
      <c r="I88" s="85"/>
      <c r="J88" s="85"/>
    </row>
    <row r="89" spans="1:10">
      <c r="A89" s="50" t="s">
        <v>291</v>
      </c>
      <c r="B89" s="50" t="s">
        <v>275</v>
      </c>
      <c r="C89" s="50" t="s">
        <v>493</v>
      </c>
      <c r="D89" s="50" t="s">
        <v>214</v>
      </c>
      <c r="E89" s="50" t="s">
        <v>263</v>
      </c>
      <c r="F89" s="50" t="s">
        <v>891</v>
      </c>
      <c r="G89" s="50" t="s">
        <v>892</v>
      </c>
      <c r="H89" s="50" t="s">
        <v>893</v>
      </c>
      <c r="I89" s="50" t="s">
        <v>77</v>
      </c>
      <c r="J89" s="50" t="s">
        <v>11</v>
      </c>
    </row>
    <row r="90" spans="1:10" ht="82.8">
      <c r="A90" s="13" t="s">
        <v>4149</v>
      </c>
      <c r="B90" s="13" t="s">
        <v>4150</v>
      </c>
      <c r="C90" s="13" t="s">
        <v>1054</v>
      </c>
      <c r="D90" s="13" t="s">
        <v>4151</v>
      </c>
      <c r="E90" s="13"/>
      <c r="F90" s="13" t="s">
        <v>229</v>
      </c>
      <c r="G90" s="13"/>
      <c r="H90" s="13" t="s">
        <v>4152</v>
      </c>
      <c r="I90" s="13" t="s">
        <v>502</v>
      </c>
      <c r="J90" s="13"/>
    </row>
    <row r="91" spans="1:10" ht="110.4">
      <c r="A91" s="13" t="s">
        <v>4153</v>
      </c>
      <c r="B91" s="13" t="s">
        <v>4040</v>
      </c>
      <c r="C91" s="13" t="s">
        <v>4154</v>
      </c>
      <c r="D91" s="13" t="s">
        <v>4155</v>
      </c>
      <c r="E91" s="13"/>
      <c r="F91" s="13" t="s">
        <v>229</v>
      </c>
      <c r="G91" s="13"/>
      <c r="H91" s="13" t="s">
        <v>4094</v>
      </c>
      <c r="I91" s="13" t="s">
        <v>502</v>
      </c>
      <c r="J91" s="13"/>
    </row>
    <row r="92" spans="1:10" ht="82.8">
      <c r="A92" s="13" t="s">
        <v>4156</v>
      </c>
      <c r="B92" s="13" t="s">
        <v>4042</v>
      </c>
      <c r="C92" s="13" t="s">
        <v>4157</v>
      </c>
      <c r="D92" s="13" t="s">
        <v>4158</v>
      </c>
      <c r="E92" s="13"/>
      <c r="F92" s="13" t="s">
        <v>229</v>
      </c>
      <c r="G92" s="13"/>
      <c r="H92" s="13" t="s">
        <v>4159</v>
      </c>
      <c r="I92" s="13" t="s">
        <v>502</v>
      </c>
      <c r="J92" s="13"/>
    </row>
    <row r="93" spans="1:10" ht="96.6">
      <c r="A93" s="13" t="s">
        <v>4160</v>
      </c>
      <c r="B93" s="13" t="s">
        <v>4044</v>
      </c>
      <c r="C93" s="13" t="s">
        <v>4161</v>
      </c>
      <c r="D93" s="13" t="s">
        <v>4162</v>
      </c>
      <c r="E93" s="13"/>
      <c r="F93" s="13" t="s">
        <v>229</v>
      </c>
      <c r="G93" s="13"/>
      <c r="H93" s="13" t="s">
        <v>4163</v>
      </c>
      <c r="I93" s="13" t="s">
        <v>502</v>
      </c>
      <c r="J93" s="13"/>
    </row>
    <row r="94" spans="1:10" ht="124.2">
      <c r="A94" s="13" t="s">
        <v>4164</v>
      </c>
      <c r="B94" s="13" t="s">
        <v>4046</v>
      </c>
      <c r="C94" s="13" t="s">
        <v>1058</v>
      </c>
      <c r="D94" s="13" t="s">
        <v>4165</v>
      </c>
      <c r="E94" s="13"/>
      <c r="F94" s="13" t="s">
        <v>229</v>
      </c>
      <c r="G94" s="13"/>
      <c r="H94" s="13" t="s">
        <v>4090</v>
      </c>
      <c r="I94" s="13" t="s">
        <v>502</v>
      </c>
      <c r="J94" s="13"/>
    </row>
    <row r="95" spans="1:10" ht="110.4">
      <c r="A95" s="13" t="s">
        <v>4166</v>
      </c>
      <c r="B95" s="13" t="s">
        <v>4167</v>
      </c>
      <c r="C95" s="13" t="s">
        <v>3349</v>
      </c>
      <c r="D95" s="13" t="s">
        <v>4168</v>
      </c>
      <c r="E95" s="13"/>
      <c r="F95" s="13" t="s">
        <v>229</v>
      </c>
      <c r="G95" s="13"/>
      <c r="H95" s="13" t="s">
        <v>4099</v>
      </c>
      <c r="I95" s="13" t="s">
        <v>502</v>
      </c>
      <c r="J95" s="13"/>
    </row>
    <row r="96" spans="1:10" ht="124.2">
      <c r="A96" s="13" t="s">
        <v>4169</v>
      </c>
      <c r="B96" s="13" t="s">
        <v>4170</v>
      </c>
      <c r="C96" s="13" t="s">
        <v>4171</v>
      </c>
      <c r="D96" s="13" t="s">
        <v>4172</v>
      </c>
      <c r="E96" s="13"/>
      <c r="F96" s="13" t="s">
        <v>229</v>
      </c>
      <c r="G96" s="13"/>
      <c r="H96" s="13" t="s">
        <v>4105</v>
      </c>
      <c r="I96" s="13" t="s">
        <v>502</v>
      </c>
      <c r="J96" s="13"/>
    </row>
    <row r="97" spans="1:10" ht="138">
      <c r="A97" s="13" t="s">
        <v>4173</v>
      </c>
      <c r="B97" s="13" t="s">
        <v>4174</v>
      </c>
      <c r="C97" s="13" t="s">
        <v>4175</v>
      </c>
      <c r="D97" s="13" t="s">
        <v>4176</v>
      </c>
      <c r="E97" s="13"/>
      <c r="F97" s="13" t="s">
        <v>229</v>
      </c>
      <c r="G97" s="13"/>
      <c r="H97" s="13" t="s">
        <v>4177</v>
      </c>
      <c r="I97" s="13" t="s">
        <v>502</v>
      </c>
      <c r="J97" s="13"/>
    </row>
    <row r="98" spans="1:10">
      <c r="A98" s="13"/>
      <c r="B98" s="13"/>
      <c r="C98" s="13"/>
      <c r="D98" s="13"/>
      <c r="E98" s="13"/>
      <c r="F98" s="13"/>
      <c r="G98" s="13"/>
      <c r="H98" s="13"/>
      <c r="I98" s="13"/>
      <c r="J98" s="13"/>
    </row>
    <row r="99" spans="1:10">
      <c r="A99" s="842" t="s">
        <v>1079</v>
      </c>
      <c r="B99" s="839"/>
      <c r="C99" s="839"/>
      <c r="D99" s="85"/>
      <c r="E99" s="85"/>
      <c r="F99" s="85"/>
      <c r="G99" s="85"/>
      <c r="H99" s="85"/>
      <c r="I99" s="85"/>
      <c r="J99" s="85"/>
    </row>
    <row r="100" spans="1:10">
      <c r="A100" s="50" t="s">
        <v>275</v>
      </c>
      <c r="B100" s="50" t="s">
        <v>895</v>
      </c>
      <c r="C100" s="50" t="s">
        <v>896</v>
      </c>
      <c r="D100" s="50" t="s">
        <v>148</v>
      </c>
      <c r="E100" s="50" t="s">
        <v>153</v>
      </c>
      <c r="F100" s="50" t="s">
        <v>155</v>
      </c>
      <c r="G100" s="50" t="s">
        <v>491</v>
      </c>
      <c r="H100" s="50" t="s">
        <v>897</v>
      </c>
      <c r="I100" s="50" t="s">
        <v>174</v>
      </c>
      <c r="J100" s="50" t="s">
        <v>11</v>
      </c>
    </row>
    <row r="101" spans="1:10" ht="69">
      <c r="A101" s="13" t="s">
        <v>4003</v>
      </c>
      <c r="B101" s="13">
        <v>0.5</v>
      </c>
      <c r="C101" s="13">
        <v>0.5</v>
      </c>
      <c r="D101" s="13">
        <v>0.5</v>
      </c>
      <c r="E101" s="13">
        <v>0.5</v>
      </c>
      <c r="F101" s="13">
        <v>0.5</v>
      </c>
      <c r="G101" s="13" t="s">
        <v>677</v>
      </c>
      <c r="H101" s="13">
        <v>0.5</v>
      </c>
      <c r="I101" s="13" t="s">
        <v>1201</v>
      </c>
      <c r="J101" s="13" t="s">
        <v>4178</v>
      </c>
    </row>
    <row r="102" spans="1:10" ht="55.2">
      <c r="A102" s="13" t="s">
        <v>4040</v>
      </c>
      <c r="B102" s="13">
        <v>0.5</v>
      </c>
      <c r="C102" s="13">
        <v>0.5</v>
      </c>
      <c r="D102" s="13">
        <v>0.5</v>
      </c>
      <c r="E102" s="13">
        <v>0.5</v>
      </c>
      <c r="F102" s="13">
        <v>0.5</v>
      </c>
      <c r="G102" s="13" t="s">
        <v>677</v>
      </c>
      <c r="H102" s="13">
        <v>0.5</v>
      </c>
      <c r="I102" s="13" t="s">
        <v>1201</v>
      </c>
      <c r="J102" s="13" t="s">
        <v>4179</v>
      </c>
    </row>
    <row r="103" spans="1:10" ht="41.4">
      <c r="A103" s="13" t="s">
        <v>4042</v>
      </c>
      <c r="B103" s="13">
        <v>0.5</v>
      </c>
      <c r="C103" s="13">
        <v>0.5</v>
      </c>
      <c r="D103" s="13">
        <v>0.5</v>
      </c>
      <c r="E103" s="13">
        <v>0.5</v>
      </c>
      <c r="F103" s="13">
        <v>0.5</v>
      </c>
      <c r="G103" s="13" t="s">
        <v>677</v>
      </c>
      <c r="H103" s="13">
        <v>0.5</v>
      </c>
      <c r="I103" s="13" t="s">
        <v>1201</v>
      </c>
      <c r="J103" s="13" t="s">
        <v>4180</v>
      </c>
    </row>
    <row r="104" spans="1:10" ht="41.4">
      <c r="A104" s="13" t="s">
        <v>4044</v>
      </c>
      <c r="B104" s="13">
        <v>0.5</v>
      </c>
      <c r="C104" s="13">
        <v>0.5</v>
      </c>
      <c r="D104" s="13">
        <v>0.5</v>
      </c>
      <c r="E104" s="13">
        <v>0.5</v>
      </c>
      <c r="F104" s="13">
        <v>0.5</v>
      </c>
      <c r="G104" s="13" t="s">
        <v>677</v>
      </c>
      <c r="H104" s="13">
        <v>0.5</v>
      </c>
      <c r="I104" s="13" t="s">
        <v>1201</v>
      </c>
      <c r="J104" s="13" t="s">
        <v>4181</v>
      </c>
    </row>
    <row r="105" spans="1:10" ht="41.4">
      <c r="A105" s="13" t="s">
        <v>4046</v>
      </c>
      <c r="B105" s="13">
        <v>0.5</v>
      </c>
      <c r="C105" s="13">
        <v>0.5</v>
      </c>
      <c r="D105" s="13">
        <v>0.5</v>
      </c>
      <c r="E105" s="13">
        <v>0.5</v>
      </c>
      <c r="F105" s="13">
        <v>0.5</v>
      </c>
      <c r="G105" s="13" t="s">
        <v>677</v>
      </c>
      <c r="H105" s="13">
        <v>0.5</v>
      </c>
      <c r="I105" s="13" t="s">
        <v>1201</v>
      </c>
      <c r="J105" s="13" t="s">
        <v>4182</v>
      </c>
    </row>
    <row r="106" spans="1:10">
      <c r="A106" s="13"/>
      <c r="B106" s="13"/>
      <c r="C106" s="13"/>
      <c r="D106" s="13"/>
      <c r="E106" s="13"/>
      <c r="F106" s="13"/>
      <c r="G106" s="13"/>
      <c r="H106" s="13"/>
      <c r="I106" s="13"/>
      <c r="J106" s="13"/>
    </row>
    <row r="107" spans="1:10">
      <c r="A107" s="842" t="s">
        <v>1085</v>
      </c>
      <c r="B107" s="839"/>
      <c r="C107" s="839"/>
      <c r="D107" s="85"/>
      <c r="E107" s="85"/>
      <c r="F107" s="85"/>
      <c r="G107" s="85"/>
      <c r="H107" s="85"/>
      <c r="I107" s="85"/>
      <c r="J107" s="85"/>
    </row>
    <row r="108" spans="1:10" ht="55.2">
      <c r="A108" s="50" t="s">
        <v>905</v>
      </c>
      <c r="B108" s="50" t="s">
        <v>854</v>
      </c>
      <c r="C108" s="50"/>
      <c r="D108" s="50"/>
      <c r="E108" s="50"/>
      <c r="F108" s="50"/>
      <c r="G108" s="50"/>
      <c r="H108" s="50"/>
      <c r="I108" s="50"/>
      <c r="J108" s="50"/>
    </row>
    <row r="109" spans="1:10">
      <c r="A109" s="13" t="s">
        <v>1086</v>
      </c>
      <c r="B109" s="852" t="s">
        <v>4183</v>
      </c>
      <c r="C109" s="839"/>
      <c r="D109" s="839"/>
      <c r="E109" s="839"/>
      <c r="F109" s="839"/>
      <c r="G109" s="839"/>
      <c r="H109" s="839"/>
      <c r="I109" s="839"/>
      <c r="J109" s="839"/>
    </row>
    <row r="110" spans="1:10">
      <c r="A110" s="13" t="s">
        <v>2194</v>
      </c>
      <c r="B110" s="852" t="s">
        <v>4184</v>
      </c>
      <c r="C110" s="839"/>
      <c r="D110" s="839"/>
      <c r="E110" s="839"/>
      <c r="F110" s="839"/>
      <c r="G110" s="839"/>
      <c r="H110" s="839"/>
      <c r="I110" s="839"/>
      <c r="J110" s="839"/>
    </row>
    <row r="111" spans="1:10">
      <c r="A111" s="13" t="s">
        <v>1088</v>
      </c>
      <c r="B111" s="852" t="s">
        <v>4185</v>
      </c>
      <c r="C111" s="839"/>
      <c r="D111" s="839"/>
      <c r="E111" s="839"/>
      <c r="F111" s="839"/>
      <c r="G111" s="839"/>
      <c r="H111" s="839"/>
      <c r="I111" s="839"/>
      <c r="J111" s="839"/>
    </row>
    <row r="112" spans="1:10" ht="27.6">
      <c r="A112" s="13" t="s">
        <v>3076</v>
      </c>
      <c r="B112" s="852" t="s">
        <v>4186</v>
      </c>
      <c r="C112" s="839"/>
      <c r="D112" s="839"/>
      <c r="E112" s="839"/>
      <c r="F112" s="839"/>
      <c r="G112" s="839"/>
      <c r="H112" s="839"/>
      <c r="I112" s="839"/>
      <c r="J112" s="839"/>
    </row>
    <row r="113" spans="1:10" ht="27.6">
      <c r="A113" s="13" t="s">
        <v>4187</v>
      </c>
      <c r="B113" s="852" t="s">
        <v>4188</v>
      </c>
      <c r="C113" s="839"/>
      <c r="D113" s="839"/>
      <c r="E113" s="839"/>
      <c r="F113" s="839"/>
      <c r="G113" s="839"/>
      <c r="H113" s="839"/>
      <c r="I113" s="839"/>
      <c r="J113" s="839"/>
    </row>
    <row r="114" spans="1:10" ht="27.6">
      <c r="A114" s="13" t="s">
        <v>3696</v>
      </c>
      <c r="B114" s="852" t="s">
        <v>4189</v>
      </c>
      <c r="C114" s="839"/>
      <c r="D114" s="839"/>
      <c r="E114" s="839"/>
      <c r="F114" s="839"/>
      <c r="G114" s="839"/>
      <c r="H114" s="839"/>
      <c r="I114" s="839"/>
      <c r="J114" s="839"/>
    </row>
    <row r="115" spans="1:10" ht="27.6">
      <c r="A115" s="13" t="s">
        <v>4190</v>
      </c>
      <c r="B115" s="852" t="s">
        <v>4191</v>
      </c>
      <c r="C115" s="839"/>
      <c r="D115" s="839"/>
      <c r="E115" s="839"/>
      <c r="F115" s="839"/>
      <c r="G115" s="839"/>
      <c r="H115" s="839"/>
      <c r="I115" s="839"/>
      <c r="J115" s="839"/>
    </row>
    <row r="116" spans="1:10">
      <c r="A116" s="13" t="s">
        <v>1563</v>
      </c>
      <c r="B116" s="852" t="s">
        <v>4192</v>
      </c>
      <c r="C116" s="839"/>
      <c r="D116" s="839"/>
      <c r="E116" s="839"/>
      <c r="F116" s="839"/>
      <c r="G116" s="839"/>
      <c r="H116" s="839"/>
      <c r="I116" s="839"/>
      <c r="J116" s="839"/>
    </row>
    <row r="117" spans="1:10" ht="15" thickBot="1"/>
    <row r="118" spans="1:10" ht="15" customHeight="1">
      <c r="A118" s="855" t="s">
        <v>5875</v>
      </c>
      <c r="B118" s="856"/>
      <c r="C118" s="856"/>
      <c r="D118" s="857"/>
      <c r="E118" s="856"/>
      <c r="F118" s="856"/>
      <c r="G118" s="857"/>
      <c r="H118" s="857"/>
      <c r="I118" s="857"/>
      <c r="J118" s="858"/>
    </row>
    <row r="119" spans="1:10" ht="30" customHeight="1">
      <c r="A119" s="325" t="s">
        <v>5817</v>
      </c>
      <c r="B119" s="326" t="s">
        <v>77</v>
      </c>
      <c r="C119" s="326" t="s">
        <v>5818</v>
      </c>
      <c r="D119" s="326" t="s">
        <v>5819</v>
      </c>
      <c r="E119" s="326" t="s">
        <v>5841</v>
      </c>
      <c r="F119" s="326" t="s">
        <v>5808</v>
      </c>
      <c r="G119" s="859" t="s">
        <v>5842</v>
      </c>
      <c r="H119" s="859"/>
      <c r="I119" s="859"/>
      <c r="J119" s="860"/>
    </row>
    <row r="120" spans="1:10" ht="25.5" customHeight="1">
      <c r="A120" s="327" t="s">
        <v>5820</v>
      </c>
      <c r="B120" s="337" t="s">
        <v>484</v>
      </c>
      <c r="C120" s="329">
        <v>0</v>
      </c>
      <c r="D120" s="329">
        <v>0</v>
      </c>
      <c r="E120" s="196" t="s">
        <v>5881</v>
      </c>
      <c r="F120" s="329">
        <f>IF(AND(C120&lt;&gt;"",D120&lt;&gt;""),D120-C120,"")</f>
        <v>0</v>
      </c>
      <c r="G120" s="861"/>
      <c r="H120" s="861"/>
      <c r="I120" s="861"/>
      <c r="J120" s="862"/>
    </row>
    <row r="121" spans="1:10" ht="25.5" customHeight="1">
      <c r="A121" s="330" t="s">
        <v>5821</v>
      </c>
      <c r="B121" s="337" t="s">
        <v>484</v>
      </c>
      <c r="C121" s="331">
        <v>1</v>
      </c>
      <c r="D121" s="331">
        <v>0</v>
      </c>
      <c r="E121" s="314" t="s">
        <v>5882</v>
      </c>
      <c r="F121" s="331">
        <f>IF(AND(C121&lt;&gt;"",D121&lt;&gt;""),D121-C121,"")</f>
        <v>-1</v>
      </c>
      <c r="G121" s="863"/>
      <c r="H121" s="863"/>
      <c r="I121" s="863"/>
      <c r="J121" s="864"/>
    </row>
    <row r="122" spans="1:10" ht="15" customHeight="1">
      <c r="A122" s="327" t="s">
        <v>5822</v>
      </c>
      <c r="B122" s="337" t="s">
        <v>484</v>
      </c>
      <c r="C122" s="331">
        <v>1</v>
      </c>
      <c r="D122" s="331">
        <v>0</v>
      </c>
      <c r="E122" s="314" t="s">
        <v>5882</v>
      </c>
      <c r="F122" s="329">
        <f>IF(AND(C122&lt;&gt;"",D122&lt;&gt;""),D122-C122,"")</f>
        <v>-1</v>
      </c>
      <c r="G122" s="332"/>
      <c r="H122" s="231"/>
      <c r="I122" s="231"/>
      <c r="J122" s="333"/>
    </row>
    <row r="123" spans="1:10" ht="15" customHeight="1">
      <c r="A123" s="330" t="s">
        <v>5823</v>
      </c>
      <c r="B123" s="337" t="s">
        <v>484</v>
      </c>
      <c r="C123" s="331">
        <v>1</v>
      </c>
      <c r="D123" s="331">
        <v>0</v>
      </c>
      <c r="E123" s="314" t="s">
        <v>5882</v>
      </c>
      <c r="F123" s="331">
        <f>IF(AND(C123&lt;&gt;"",D123&lt;&gt;""),D123-C123,"")</f>
        <v>-1</v>
      </c>
      <c r="G123" s="863"/>
      <c r="H123" s="863"/>
      <c r="I123" s="863"/>
      <c r="J123" s="864"/>
    </row>
    <row r="124" spans="1:10" ht="15" customHeight="1">
      <c r="A124" s="327" t="s">
        <v>5168</v>
      </c>
      <c r="B124" s="337" t="s">
        <v>484</v>
      </c>
      <c r="C124" s="331">
        <v>1</v>
      </c>
      <c r="D124" s="331">
        <v>0</v>
      </c>
      <c r="E124" s="314" t="s">
        <v>5882</v>
      </c>
      <c r="F124" s="329">
        <f>IF(AND(C124&lt;&gt;"",D124&lt;&gt;""),D124-C124,"")</f>
        <v>-1</v>
      </c>
      <c r="G124" s="332"/>
      <c r="H124" s="231"/>
      <c r="I124" s="231"/>
      <c r="J124" s="333"/>
    </row>
    <row r="125" spans="1:10" ht="15.75" customHeight="1">
      <c r="A125" s="865" t="s">
        <v>5843</v>
      </c>
      <c r="B125" s="713"/>
      <c r="C125" s="334">
        <f>IFERROR(AVERAGE(C120:C124),"")</f>
        <v>0.8</v>
      </c>
      <c r="D125" s="334">
        <f>IFERROR(AVERAGE(D120:D124),"")</f>
        <v>0</v>
      </c>
      <c r="E125" s="866" t="s">
        <v>5844</v>
      </c>
      <c r="F125" s="866"/>
      <c r="G125" s="866"/>
      <c r="H125" s="866"/>
      <c r="I125" s="866"/>
      <c r="J125" s="867"/>
    </row>
    <row r="126" spans="1:10" ht="20.25" customHeight="1">
      <c r="A126" s="335"/>
      <c r="B126" s="320"/>
      <c r="C126" s="320"/>
      <c r="D126" s="320"/>
      <c r="E126" s="320"/>
      <c r="F126" s="320"/>
      <c r="G126" s="320"/>
      <c r="H126" s="231"/>
      <c r="I126" s="231"/>
      <c r="J126" s="333"/>
    </row>
    <row r="127" spans="1:10">
      <c r="A127" s="876" t="s">
        <v>5876</v>
      </c>
      <c r="B127" s="853"/>
      <c r="C127" s="853"/>
      <c r="D127" s="842"/>
      <c r="E127" s="853"/>
      <c r="F127" s="853"/>
      <c r="G127" s="842"/>
      <c r="H127" s="842"/>
      <c r="I127" s="842"/>
      <c r="J127" s="868"/>
    </row>
    <row r="128" spans="1:10">
      <c r="A128" s="325" t="s">
        <v>4946</v>
      </c>
      <c r="B128" s="326" t="s">
        <v>77</v>
      </c>
      <c r="C128" s="326" t="s">
        <v>5883</v>
      </c>
      <c r="D128" s="326" t="s">
        <v>482</v>
      </c>
      <c r="E128" s="326" t="s">
        <v>572</v>
      </c>
      <c r="F128" s="326" t="s">
        <v>5846</v>
      </c>
      <c r="G128" s="859" t="s">
        <v>5847</v>
      </c>
      <c r="H128" s="859"/>
      <c r="I128" s="859"/>
      <c r="J128" s="860"/>
    </row>
    <row r="129" spans="1:10" ht="31.5" customHeight="1">
      <c r="A129" s="330" t="s">
        <v>5809</v>
      </c>
      <c r="B129" s="337" t="s">
        <v>484</v>
      </c>
      <c r="C129" s="336" t="s">
        <v>679</v>
      </c>
      <c r="D129" s="328" t="s">
        <v>679</v>
      </c>
      <c r="E129" s="336">
        <f>IF(D129="Yes",1,0)</f>
        <v>0</v>
      </c>
      <c r="F129" s="877"/>
      <c r="G129" s="877"/>
      <c r="H129" s="877"/>
      <c r="I129" s="877"/>
      <c r="J129" s="878"/>
    </row>
    <row r="130" spans="1:10" ht="20.25" customHeight="1">
      <c r="A130" s="327" t="s">
        <v>995</v>
      </c>
      <c r="B130" s="337" t="s">
        <v>484</v>
      </c>
      <c r="C130" s="336" t="s">
        <v>679</v>
      </c>
      <c r="D130" s="328" t="s">
        <v>679</v>
      </c>
      <c r="E130" s="328">
        <f t="shared" ref="E130:E136" si="0">IF(D130="Yes",1,0)</f>
        <v>0</v>
      </c>
      <c r="F130" s="877"/>
      <c r="G130" s="877"/>
      <c r="H130" s="877"/>
      <c r="I130" s="877"/>
      <c r="J130" s="878"/>
    </row>
    <row r="131" spans="1:10" ht="24.75" customHeight="1">
      <c r="A131" s="330" t="s">
        <v>5810</v>
      </c>
      <c r="B131" s="337" t="s">
        <v>484</v>
      </c>
      <c r="C131" s="336" t="s">
        <v>679</v>
      </c>
      <c r="D131" s="328" t="s">
        <v>679</v>
      </c>
      <c r="E131" s="336">
        <f t="shared" si="0"/>
        <v>0</v>
      </c>
      <c r="F131" s="877"/>
      <c r="G131" s="877"/>
      <c r="H131" s="877"/>
      <c r="I131" s="877"/>
      <c r="J131" s="878"/>
    </row>
    <row r="132" spans="1:10">
      <c r="A132" s="327" t="s">
        <v>5824</v>
      </c>
      <c r="B132" s="337" t="s">
        <v>484</v>
      </c>
      <c r="C132" s="336" t="s">
        <v>679</v>
      </c>
      <c r="D132" s="328" t="s">
        <v>679</v>
      </c>
      <c r="E132" s="328">
        <f t="shared" si="0"/>
        <v>0</v>
      </c>
      <c r="F132" s="877"/>
      <c r="G132" s="877"/>
      <c r="H132" s="877"/>
      <c r="I132" s="877"/>
      <c r="J132" s="878"/>
    </row>
    <row r="133" spans="1:10" ht="39.6">
      <c r="A133" s="330" t="s">
        <v>5825</v>
      </c>
      <c r="B133" s="337" t="s">
        <v>484</v>
      </c>
      <c r="C133" s="336" t="s">
        <v>679</v>
      </c>
      <c r="D133" s="328" t="s">
        <v>679</v>
      </c>
      <c r="E133" s="336">
        <f t="shared" si="0"/>
        <v>0</v>
      </c>
      <c r="F133" s="877"/>
      <c r="G133" s="877"/>
      <c r="H133" s="877"/>
      <c r="I133" s="877"/>
      <c r="J133" s="878"/>
    </row>
    <row r="134" spans="1:10" ht="26.4">
      <c r="A134" s="327" t="s">
        <v>5826</v>
      </c>
      <c r="B134" s="337" t="s">
        <v>484</v>
      </c>
      <c r="C134" s="336" t="s">
        <v>679</v>
      </c>
      <c r="D134" s="328" t="s">
        <v>679</v>
      </c>
      <c r="E134" s="328">
        <f t="shared" si="0"/>
        <v>0</v>
      </c>
      <c r="F134" s="877"/>
      <c r="G134" s="877"/>
      <c r="H134" s="877"/>
      <c r="I134" s="877"/>
      <c r="J134" s="878"/>
    </row>
    <row r="135" spans="1:10" ht="18.75" customHeight="1">
      <c r="A135" s="330" t="s">
        <v>5811</v>
      </c>
      <c r="B135" s="337" t="s">
        <v>484</v>
      </c>
      <c r="C135" s="336" t="s">
        <v>679</v>
      </c>
      <c r="D135" s="328" t="s">
        <v>679</v>
      </c>
      <c r="E135" s="336">
        <f t="shared" si="0"/>
        <v>0</v>
      </c>
      <c r="F135" s="877"/>
      <c r="G135" s="877"/>
      <c r="H135" s="877"/>
      <c r="I135" s="877"/>
      <c r="J135" s="878"/>
    </row>
    <row r="136" spans="1:10" ht="26.4">
      <c r="A136" s="327" t="s">
        <v>5812</v>
      </c>
      <c r="B136" s="337" t="s">
        <v>484</v>
      </c>
      <c r="C136" s="336" t="s">
        <v>679</v>
      </c>
      <c r="D136" s="328" t="s">
        <v>679</v>
      </c>
      <c r="E136" s="328">
        <f t="shared" si="0"/>
        <v>0</v>
      </c>
      <c r="F136" s="877"/>
      <c r="G136" s="877"/>
      <c r="H136" s="877"/>
      <c r="I136" s="877"/>
      <c r="J136" s="878"/>
    </row>
    <row r="137" spans="1:10" ht="28.5" customHeight="1">
      <c r="A137" s="865" t="s">
        <v>5848</v>
      </c>
      <c r="B137" s="713"/>
      <c r="C137" s="871" t="str">
        <f>IFERROR(SUM(E129:E136)/COUNTIF(C129:C136,"Yes"),"")</f>
        <v/>
      </c>
      <c r="D137" s="872"/>
      <c r="E137" s="866" t="s">
        <v>5849</v>
      </c>
      <c r="F137" s="866"/>
      <c r="G137" s="866"/>
      <c r="H137" s="866"/>
      <c r="I137" s="866"/>
      <c r="J137" s="867"/>
    </row>
    <row r="138" spans="1:10" ht="20.25" customHeight="1">
      <c r="A138" s="335"/>
      <c r="B138" s="320"/>
      <c r="C138" s="320"/>
      <c r="D138" s="320"/>
      <c r="E138" s="320"/>
      <c r="F138" s="320"/>
      <c r="G138" s="320"/>
      <c r="H138" s="231"/>
      <c r="I138" s="231"/>
      <c r="J138" s="333"/>
    </row>
    <row r="139" spans="1:10">
      <c r="A139" s="876" t="s">
        <v>5877</v>
      </c>
      <c r="B139" s="853"/>
      <c r="C139" s="853"/>
      <c r="D139" s="842"/>
      <c r="E139" s="853"/>
      <c r="F139" s="853"/>
      <c r="G139" s="842"/>
      <c r="H139" s="842"/>
      <c r="I139" s="842"/>
      <c r="J139" s="868"/>
    </row>
    <row r="140" spans="1:10" ht="30" customHeight="1">
      <c r="A140" s="325" t="s">
        <v>5850</v>
      </c>
      <c r="B140" s="326" t="s">
        <v>77</v>
      </c>
      <c r="C140" s="326" t="s">
        <v>5827</v>
      </c>
      <c r="D140" s="326" t="s">
        <v>5828</v>
      </c>
      <c r="E140" s="326" t="s">
        <v>5829</v>
      </c>
      <c r="F140" s="326" t="s">
        <v>5851</v>
      </c>
      <c r="G140" s="859" t="s">
        <v>5852</v>
      </c>
      <c r="H140" s="859"/>
      <c r="I140" s="859"/>
      <c r="J140" s="860"/>
    </row>
    <row r="141" spans="1:10" ht="26.4">
      <c r="A141" s="330" t="s">
        <v>5830</v>
      </c>
      <c r="B141" s="336" t="s">
        <v>484</v>
      </c>
      <c r="C141" s="336" t="s">
        <v>1096</v>
      </c>
      <c r="D141" s="336" t="s">
        <v>1096</v>
      </c>
      <c r="E141" s="336" t="s">
        <v>1096</v>
      </c>
      <c r="F141" s="336" t="s">
        <v>348</v>
      </c>
      <c r="G141" s="869"/>
      <c r="H141" s="869"/>
      <c r="I141" s="869"/>
      <c r="J141" s="870"/>
    </row>
    <row r="142" spans="1:10" ht="53.4" customHeight="1">
      <c r="A142" s="327" t="s">
        <v>5831</v>
      </c>
      <c r="B142" s="336" t="s">
        <v>484</v>
      </c>
      <c r="C142" s="336" t="s">
        <v>1096</v>
      </c>
      <c r="D142" s="336" t="s">
        <v>1096</v>
      </c>
      <c r="E142" s="336" t="s">
        <v>1096</v>
      </c>
      <c r="F142" s="336" t="s">
        <v>348</v>
      </c>
      <c r="G142" s="869"/>
      <c r="H142" s="869"/>
      <c r="I142" s="869"/>
      <c r="J142" s="870"/>
    </row>
    <row r="143" spans="1:10" ht="53.4" customHeight="1">
      <c r="A143" s="330" t="s">
        <v>5853</v>
      </c>
      <c r="B143" s="336" t="s">
        <v>484</v>
      </c>
      <c r="C143" s="336" t="s">
        <v>1096</v>
      </c>
      <c r="D143" s="336" t="s">
        <v>1096</v>
      </c>
      <c r="E143" s="336" t="s">
        <v>1096</v>
      </c>
      <c r="F143" s="336" t="s">
        <v>348</v>
      </c>
      <c r="G143" s="869"/>
      <c r="H143" s="869"/>
      <c r="I143" s="869"/>
      <c r="J143" s="870"/>
    </row>
    <row r="144" spans="1:10" ht="53.4" customHeight="1">
      <c r="A144" s="327" t="s">
        <v>5832</v>
      </c>
      <c r="B144" s="336" t="s">
        <v>484</v>
      </c>
      <c r="C144" s="336" t="s">
        <v>1096</v>
      </c>
      <c r="D144" s="336" t="s">
        <v>1096</v>
      </c>
      <c r="E144" s="336" t="s">
        <v>1096</v>
      </c>
      <c r="F144" s="336" t="s">
        <v>348</v>
      </c>
      <c r="G144" s="869"/>
      <c r="H144" s="869"/>
      <c r="I144" s="869"/>
      <c r="J144" s="870"/>
    </row>
    <row r="145" spans="1:10" ht="53.4" customHeight="1">
      <c r="A145" s="330" t="s">
        <v>5833</v>
      </c>
      <c r="B145" s="336" t="s">
        <v>484</v>
      </c>
      <c r="C145" s="336" t="s">
        <v>1096</v>
      </c>
      <c r="D145" s="336" t="s">
        <v>1096</v>
      </c>
      <c r="E145" s="336" t="s">
        <v>1096</v>
      </c>
      <c r="F145" s="336" t="s">
        <v>348</v>
      </c>
      <c r="G145" s="869"/>
      <c r="H145" s="869"/>
      <c r="I145" s="869"/>
      <c r="J145" s="870"/>
    </row>
    <row r="146" spans="1:10" ht="53.4" customHeight="1">
      <c r="A146" s="865" t="s">
        <v>5884</v>
      </c>
      <c r="B146" s="713"/>
      <c r="C146" s="871">
        <f>IFERROR(COUNTIF(E141:E145,"Yes")/COUNTA(A141:A145),"")</f>
        <v>0</v>
      </c>
      <c r="D146" s="872"/>
      <c r="E146" s="866" t="s">
        <v>5855</v>
      </c>
      <c r="F146" s="866"/>
      <c r="G146" s="866"/>
      <c r="H146" s="866"/>
      <c r="I146" s="866"/>
      <c r="J146" s="867"/>
    </row>
    <row r="147" spans="1:10" ht="20.25" customHeight="1">
      <c r="A147" s="335"/>
      <c r="B147" s="320"/>
      <c r="C147" s="320"/>
      <c r="D147" s="320"/>
      <c r="E147" s="320"/>
      <c r="F147" s="320"/>
      <c r="G147" s="874"/>
      <c r="H147" s="874"/>
      <c r="I147" s="874"/>
      <c r="J147" s="875"/>
    </row>
    <row r="148" spans="1:10" ht="53.4" customHeight="1">
      <c r="A148" s="876" t="s">
        <v>5878</v>
      </c>
      <c r="B148" s="853"/>
      <c r="C148" s="853"/>
      <c r="D148" s="842"/>
      <c r="E148" s="853"/>
      <c r="F148" s="853"/>
      <c r="G148" s="842"/>
      <c r="H148" s="842"/>
      <c r="I148" s="842"/>
      <c r="J148" s="868"/>
    </row>
    <row r="149" spans="1:10" ht="53.4" customHeight="1">
      <c r="A149" s="326" t="s">
        <v>5813</v>
      </c>
      <c r="B149" s="326" t="s">
        <v>77</v>
      </c>
      <c r="C149" s="326" t="s">
        <v>5834</v>
      </c>
      <c r="D149" s="326" t="s">
        <v>5835</v>
      </c>
      <c r="E149" s="326" t="s">
        <v>5836</v>
      </c>
      <c r="F149" s="326" t="s">
        <v>5837</v>
      </c>
      <c r="G149" s="859" t="s">
        <v>5885</v>
      </c>
      <c r="H149" s="859"/>
      <c r="I149" s="859"/>
      <c r="J149" s="859"/>
    </row>
    <row r="150" spans="1:10">
      <c r="A150" s="332" t="s">
        <v>153</v>
      </c>
      <c r="B150" s="328" t="s">
        <v>484</v>
      </c>
      <c r="C150" s="328"/>
      <c r="D150" s="328"/>
      <c r="E150" s="328"/>
      <c r="F150" s="329" t="str">
        <f>IFERROR(D150/C150,"")</f>
        <v/>
      </c>
      <c r="G150" s="873"/>
      <c r="H150" s="873"/>
      <c r="I150" s="873"/>
      <c r="J150" s="873"/>
    </row>
    <row r="151" spans="1:10">
      <c r="A151" s="339" t="s">
        <v>155</v>
      </c>
      <c r="B151" s="336" t="s">
        <v>484</v>
      </c>
      <c r="C151" s="336"/>
      <c r="D151" s="336"/>
      <c r="E151" s="336"/>
      <c r="F151" s="331" t="str">
        <f>IFERROR(D151/C151,"")</f>
        <v/>
      </c>
      <c r="G151" s="873"/>
      <c r="H151" s="873"/>
      <c r="I151" s="873"/>
      <c r="J151" s="873"/>
    </row>
    <row r="152" spans="1:10">
      <c r="A152" s="332" t="s">
        <v>4821</v>
      </c>
      <c r="B152" s="328" t="s">
        <v>484</v>
      </c>
      <c r="C152" s="328"/>
      <c r="D152" s="328"/>
      <c r="E152" s="328"/>
      <c r="F152" s="329" t="str">
        <f>IFERROR(D152/C152,"")</f>
        <v/>
      </c>
      <c r="G152" s="873"/>
      <c r="H152" s="873"/>
      <c r="I152" s="873"/>
      <c r="J152" s="873"/>
    </row>
    <row r="153" spans="1:10">
      <c r="A153" s="339" t="s">
        <v>957</v>
      </c>
      <c r="B153" s="336" t="s">
        <v>484</v>
      </c>
      <c r="C153" s="336"/>
      <c r="D153" s="336"/>
      <c r="E153" s="336"/>
      <c r="F153" s="331" t="str">
        <f>IFERROR(D153/C153,"")</f>
        <v/>
      </c>
      <c r="G153" s="873"/>
      <c r="H153" s="873"/>
      <c r="I153" s="873"/>
      <c r="J153" s="873"/>
    </row>
    <row r="154" spans="1:10">
      <c r="A154" s="879" t="s">
        <v>5856</v>
      </c>
      <c r="B154" s="879"/>
      <c r="C154" s="879"/>
      <c r="D154" s="879"/>
      <c r="E154" s="866" t="s">
        <v>5857</v>
      </c>
      <c r="F154" s="866"/>
      <c r="G154" s="866"/>
      <c r="H154" s="866"/>
      <c r="I154" s="866"/>
      <c r="J154" s="866"/>
    </row>
    <row r="155" spans="1:10">
      <c r="A155" s="879"/>
      <c r="B155" s="879"/>
      <c r="C155" s="879"/>
      <c r="D155" s="879"/>
      <c r="E155" s="866"/>
      <c r="F155" s="866"/>
      <c r="G155" s="866"/>
      <c r="H155" s="866"/>
      <c r="I155" s="866"/>
      <c r="J155" s="866"/>
    </row>
    <row r="156" spans="1:10">
      <c r="A156" s="842" t="s">
        <v>5879</v>
      </c>
      <c r="B156" s="842"/>
      <c r="C156" s="842"/>
      <c r="D156" s="842"/>
      <c r="E156" s="842"/>
      <c r="F156" s="842"/>
      <c r="G156" s="842"/>
      <c r="H156" s="842"/>
      <c r="I156" s="842"/>
      <c r="J156" s="842"/>
    </row>
    <row r="157" spans="1:10">
      <c r="A157" s="326" t="s">
        <v>4946</v>
      </c>
      <c r="B157" s="326" t="s">
        <v>77</v>
      </c>
      <c r="C157" s="326" t="s">
        <v>5845</v>
      </c>
      <c r="D157" s="326" t="s">
        <v>482</v>
      </c>
      <c r="E157" s="326" t="s">
        <v>572</v>
      </c>
      <c r="F157" s="326" t="s">
        <v>944</v>
      </c>
      <c r="G157" s="859" t="s">
        <v>5847</v>
      </c>
      <c r="H157" s="859"/>
      <c r="I157" s="859"/>
      <c r="J157" s="859"/>
    </row>
    <row r="158" spans="1:10" ht="26.4">
      <c r="A158" s="332" t="s">
        <v>5814</v>
      </c>
      <c r="B158" s="328" t="s">
        <v>484</v>
      </c>
      <c r="C158" s="328" t="s">
        <v>392</v>
      </c>
      <c r="D158" s="328" t="s">
        <v>1096</v>
      </c>
      <c r="E158" s="328">
        <f t="shared" ref="E158:E163" si="1">IF(D158="Yes",1,0)</f>
        <v>0</v>
      </c>
      <c r="F158" s="328"/>
      <c r="G158" s="873"/>
      <c r="H158" s="873"/>
      <c r="I158" s="873"/>
      <c r="J158" s="873"/>
    </row>
    <row r="159" spans="1:10">
      <c r="A159" s="339" t="s">
        <v>5815</v>
      </c>
      <c r="B159" s="328" t="s">
        <v>484</v>
      </c>
      <c r="C159" s="336" t="s">
        <v>392</v>
      </c>
      <c r="D159" s="328" t="s">
        <v>1096</v>
      </c>
      <c r="E159" s="336">
        <f t="shared" si="1"/>
        <v>0</v>
      </c>
      <c r="F159" s="336"/>
      <c r="G159" s="873"/>
      <c r="H159" s="873"/>
      <c r="I159" s="873"/>
      <c r="J159" s="873"/>
    </row>
    <row r="160" spans="1:10" ht="26.4">
      <c r="A160" s="332" t="s">
        <v>5816</v>
      </c>
      <c r="B160" s="328" t="s">
        <v>484</v>
      </c>
      <c r="C160" s="328" t="s">
        <v>392</v>
      </c>
      <c r="D160" s="328" t="s">
        <v>1096</v>
      </c>
      <c r="E160" s="328">
        <f t="shared" si="1"/>
        <v>0</v>
      </c>
      <c r="F160" s="328"/>
      <c r="G160" s="873"/>
      <c r="H160" s="873"/>
      <c r="I160" s="873"/>
      <c r="J160" s="873"/>
    </row>
    <row r="161" spans="1:10">
      <c r="A161" s="339" t="s">
        <v>5838</v>
      </c>
      <c r="B161" s="328" t="s">
        <v>484</v>
      </c>
      <c r="C161" s="336" t="s">
        <v>392</v>
      </c>
      <c r="D161" s="328" t="s">
        <v>1096</v>
      </c>
      <c r="E161" s="336">
        <f t="shared" si="1"/>
        <v>0</v>
      </c>
      <c r="F161" s="336"/>
      <c r="G161" s="873"/>
      <c r="H161" s="873"/>
      <c r="I161" s="873"/>
      <c r="J161" s="873"/>
    </row>
    <row r="162" spans="1:10" ht="27.75" customHeight="1">
      <c r="A162" s="332" t="s">
        <v>5839</v>
      </c>
      <c r="B162" s="328" t="s">
        <v>484</v>
      </c>
      <c r="C162" s="328" t="s">
        <v>392</v>
      </c>
      <c r="D162" s="328" t="s">
        <v>1096</v>
      </c>
      <c r="E162" s="328">
        <f t="shared" si="1"/>
        <v>0</v>
      </c>
      <c r="F162" s="328"/>
      <c r="G162" s="873"/>
      <c r="H162" s="873"/>
      <c r="I162" s="873"/>
      <c r="J162" s="873"/>
    </row>
    <row r="163" spans="1:10" ht="29.25" customHeight="1">
      <c r="A163" s="339" t="s">
        <v>5840</v>
      </c>
      <c r="B163" s="328" t="s">
        <v>484</v>
      </c>
      <c r="C163" s="336" t="s">
        <v>392</v>
      </c>
      <c r="D163" s="336" t="s">
        <v>1096</v>
      </c>
      <c r="E163" s="336">
        <f t="shared" si="1"/>
        <v>0</v>
      </c>
      <c r="F163" s="336"/>
      <c r="G163" s="873"/>
      <c r="H163" s="873"/>
      <c r="I163" s="873"/>
      <c r="J163" s="873"/>
    </row>
    <row r="164" spans="1:10" ht="15.6">
      <c r="A164" s="880" t="s">
        <v>5858</v>
      </c>
      <c r="B164" s="713"/>
      <c r="C164" s="871">
        <f>IFERROR(SUM(E158:E163)/COUNTIF(C158:C163,"Yes"),"")</f>
        <v>0</v>
      </c>
      <c r="D164" s="872"/>
      <c r="E164" s="866" t="s">
        <v>5859</v>
      </c>
      <c r="F164" s="866"/>
      <c r="G164" s="866"/>
      <c r="H164" s="866"/>
      <c r="I164" s="866"/>
      <c r="J164" s="866"/>
    </row>
    <row r="165" spans="1:10" ht="20.25" customHeight="1">
      <c r="A165" s="196"/>
      <c r="B165" s="196"/>
      <c r="C165" s="196"/>
      <c r="D165" s="196"/>
      <c r="E165" s="196"/>
      <c r="F165" s="196"/>
      <c r="G165" s="196"/>
      <c r="H165" s="196"/>
      <c r="I165" s="196"/>
      <c r="J165" s="196"/>
    </row>
    <row r="166" spans="1:10">
      <c r="A166" s="842" t="s">
        <v>5880</v>
      </c>
      <c r="B166" s="853"/>
      <c r="C166" s="853"/>
      <c r="D166" s="321"/>
      <c r="E166" s="321"/>
      <c r="F166" s="321"/>
      <c r="G166" s="321"/>
      <c r="H166" s="321"/>
      <c r="I166" s="321"/>
      <c r="J166" s="321"/>
    </row>
    <row r="167" spans="1:10" ht="55.2">
      <c r="A167" s="322" t="s">
        <v>905</v>
      </c>
      <c r="B167" s="322" t="s">
        <v>830</v>
      </c>
      <c r="C167" s="322"/>
      <c r="D167" s="322"/>
      <c r="E167" s="322"/>
      <c r="F167" s="322"/>
      <c r="G167" s="322"/>
      <c r="H167" s="322"/>
      <c r="I167" s="322"/>
      <c r="J167" s="322"/>
    </row>
    <row r="168" spans="1:10">
      <c r="A168" s="319" t="s">
        <v>1086</v>
      </c>
      <c r="B168" s="852" t="s">
        <v>3292</v>
      </c>
      <c r="C168" s="853"/>
      <c r="D168" s="853"/>
      <c r="E168" s="853"/>
      <c r="F168" s="853"/>
      <c r="G168" s="853"/>
      <c r="H168" s="853"/>
      <c r="I168" s="853"/>
      <c r="J168" s="853"/>
    </row>
    <row r="169" spans="1:10" ht="27.6">
      <c r="A169" s="319" t="s">
        <v>2090</v>
      </c>
      <c r="B169" s="852" t="s">
        <v>3293</v>
      </c>
      <c r="C169" s="853"/>
      <c r="D169" s="853"/>
      <c r="E169" s="853"/>
      <c r="F169" s="853"/>
      <c r="G169" s="853"/>
      <c r="H169" s="853"/>
      <c r="I169" s="853"/>
      <c r="J169" s="853"/>
    </row>
    <row r="170" spans="1:10">
      <c r="A170" s="319" t="s">
        <v>1089</v>
      </c>
      <c r="B170" s="852" t="s">
        <v>3294</v>
      </c>
      <c r="C170" s="853"/>
      <c r="D170" s="853"/>
      <c r="E170" s="853"/>
      <c r="F170" s="853"/>
      <c r="G170" s="853"/>
      <c r="H170" s="853"/>
      <c r="I170" s="853"/>
      <c r="J170" s="853"/>
    </row>
    <row r="171" spans="1:10">
      <c r="A171" s="319" t="s">
        <v>1090</v>
      </c>
      <c r="B171" s="852" t="s">
        <v>3295</v>
      </c>
      <c r="C171" s="853"/>
      <c r="D171" s="853"/>
      <c r="E171" s="853"/>
      <c r="F171" s="853"/>
      <c r="G171" s="853"/>
      <c r="H171" s="853"/>
      <c r="I171" s="853"/>
      <c r="J171" s="853"/>
    </row>
    <row r="172" spans="1:10">
      <c r="A172" s="319" t="s">
        <v>1088</v>
      </c>
      <c r="B172" s="852" t="s">
        <v>3296</v>
      </c>
      <c r="C172" s="853"/>
      <c r="D172" s="853"/>
      <c r="E172" s="853"/>
      <c r="F172" s="853"/>
      <c r="G172" s="853"/>
      <c r="H172" s="853"/>
      <c r="I172" s="853"/>
      <c r="J172" s="853"/>
    </row>
    <row r="173" spans="1:10" ht="27.6">
      <c r="A173" s="319" t="s">
        <v>3297</v>
      </c>
      <c r="B173" s="852" t="s">
        <v>3298</v>
      </c>
      <c r="C173" s="853"/>
      <c r="D173" s="853"/>
      <c r="E173" s="853"/>
      <c r="F173" s="853"/>
      <c r="G173" s="853"/>
      <c r="H173" s="853"/>
      <c r="I173" s="853"/>
      <c r="J173" s="853"/>
    </row>
    <row r="174" spans="1:10">
      <c r="A174" s="319" t="s">
        <v>1563</v>
      </c>
      <c r="B174" s="852" t="s">
        <v>1776</v>
      </c>
      <c r="C174" s="853"/>
      <c r="D174" s="853"/>
      <c r="E174" s="853"/>
      <c r="F174" s="853"/>
      <c r="G174" s="853"/>
      <c r="H174" s="853"/>
      <c r="I174" s="853"/>
      <c r="J174" s="853"/>
    </row>
    <row r="175" spans="1:10">
      <c r="A175" s="231"/>
      <c r="B175" s="231"/>
      <c r="C175" s="231"/>
      <c r="D175" s="231"/>
      <c r="E175" s="231"/>
      <c r="F175" s="231"/>
      <c r="G175" s="231"/>
      <c r="H175" s="231"/>
      <c r="I175" s="231"/>
      <c r="J175" s="231"/>
    </row>
    <row r="176" spans="1:10" ht="17.399999999999999">
      <c r="A176" s="827" t="s">
        <v>5769</v>
      </c>
      <c r="B176" s="827"/>
      <c r="C176" s="827"/>
      <c r="D176" s="827"/>
      <c r="E176" s="827"/>
      <c r="F176" s="827"/>
      <c r="G176" s="827"/>
      <c r="H176" s="827"/>
      <c r="I176" s="231"/>
      <c r="J176" s="231"/>
    </row>
    <row r="177" spans="1:10">
      <c r="A177" s="276" t="s">
        <v>2</v>
      </c>
      <c r="B177" s="828" t="s">
        <v>5770</v>
      </c>
      <c r="C177" s="828"/>
      <c r="D177" s="828"/>
      <c r="E177" s="828"/>
      <c r="F177" s="828"/>
      <c r="G177" s="828"/>
      <c r="H177" s="828"/>
      <c r="I177" s="231"/>
      <c r="J177" s="231"/>
    </row>
    <row r="178" spans="1:10">
      <c r="A178" s="276" t="s">
        <v>5771</v>
      </c>
      <c r="B178" s="828" t="s">
        <v>5772</v>
      </c>
      <c r="C178" s="828"/>
      <c r="D178" s="828"/>
      <c r="E178" s="828"/>
      <c r="F178" s="828"/>
      <c r="G178" s="828"/>
      <c r="H178" s="828"/>
      <c r="I178" s="231"/>
      <c r="J178" s="231"/>
    </row>
    <row r="179" spans="1:10">
      <c r="A179" s="196"/>
      <c r="B179" s="196"/>
      <c r="C179" s="196"/>
      <c r="D179" s="196"/>
      <c r="E179" s="196"/>
      <c r="F179" s="196"/>
      <c r="G179" s="196"/>
      <c r="H179" s="196"/>
      <c r="I179" s="231"/>
      <c r="J179" s="231"/>
    </row>
    <row r="180" spans="1:10">
      <c r="A180" s="323" t="s">
        <v>4946</v>
      </c>
      <c r="B180" s="323" t="s">
        <v>77</v>
      </c>
      <c r="C180" s="323" t="s">
        <v>5773</v>
      </c>
      <c r="D180" s="323" t="s">
        <v>263</v>
      </c>
      <c r="E180" s="323" t="s">
        <v>216</v>
      </c>
      <c r="F180" s="323" t="s">
        <v>5774</v>
      </c>
      <c r="G180" s="323" t="s">
        <v>5775</v>
      </c>
      <c r="H180" s="323" t="s">
        <v>5776</v>
      </c>
      <c r="I180" s="231"/>
      <c r="J180" s="231"/>
    </row>
    <row r="181" spans="1:10" ht="26.4">
      <c r="A181" s="277" t="s">
        <v>5777</v>
      </c>
      <c r="B181" s="278" t="s">
        <v>1096</v>
      </c>
      <c r="C181" s="277"/>
      <c r="D181" s="277"/>
      <c r="E181" s="277"/>
      <c r="F181" s="277"/>
      <c r="G181" s="279" t="str">
        <f t="shared" ref="G181:G188" si="2">IF(OR(B181="Yes",B181="N/A"),"🟢","🟡")</f>
        <v>🟡</v>
      </c>
      <c r="H181" s="277"/>
      <c r="I181" s="231"/>
      <c r="J181" s="231"/>
    </row>
    <row r="182" spans="1:10">
      <c r="A182" s="277" t="s">
        <v>5778</v>
      </c>
      <c r="B182" s="278" t="s">
        <v>1096</v>
      </c>
      <c r="C182" s="277"/>
      <c r="D182" s="277"/>
      <c r="E182" s="277"/>
      <c r="F182" s="277"/>
      <c r="G182" s="279" t="str">
        <f t="shared" si="2"/>
        <v>🟡</v>
      </c>
      <c r="H182" s="277"/>
      <c r="I182" s="231"/>
      <c r="J182" s="231"/>
    </row>
    <row r="183" spans="1:10">
      <c r="A183" s="277" t="s">
        <v>5779</v>
      </c>
      <c r="B183" s="278" t="s">
        <v>1096</v>
      </c>
      <c r="C183" s="277"/>
      <c r="D183" s="277"/>
      <c r="E183" s="277"/>
      <c r="F183" s="277"/>
      <c r="G183" s="279" t="str">
        <f t="shared" si="2"/>
        <v>🟡</v>
      </c>
      <c r="H183" s="277"/>
      <c r="I183" s="231"/>
      <c r="J183" s="231"/>
    </row>
    <row r="184" spans="1:10">
      <c r="A184" s="277" t="s">
        <v>5168</v>
      </c>
      <c r="B184" s="278" t="s">
        <v>1096</v>
      </c>
      <c r="C184" s="277"/>
      <c r="D184" s="277"/>
      <c r="E184" s="277"/>
      <c r="F184" s="277"/>
      <c r="G184" s="279" t="str">
        <f t="shared" si="2"/>
        <v>🟡</v>
      </c>
      <c r="H184" s="277"/>
      <c r="I184" s="231"/>
      <c r="J184" s="231"/>
    </row>
    <row r="185" spans="1:10">
      <c r="A185" s="277" t="s">
        <v>5780</v>
      </c>
      <c r="B185" s="278" t="s">
        <v>1096</v>
      </c>
      <c r="C185" s="277"/>
      <c r="D185" s="277"/>
      <c r="E185" s="277"/>
      <c r="F185" s="277"/>
      <c r="G185" s="279" t="str">
        <f t="shared" si="2"/>
        <v>🟡</v>
      </c>
      <c r="H185" s="277"/>
      <c r="I185" s="231"/>
      <c r="J185" s="231"/>
    </row>
    <row r="186" spans="1:10">
      <c r="A186" s="277" t="s">
        <v>5781</v>
      </c>
      <c r="B186" s="278" t="s">
        <v>1096</v>
      </c>
      <c r="C186" s="277"/>
      <c r="D186" s="277"/>
      <c r="E186" s="277"/>
      <c r="F186" s="277"/>
      <c r="G186" s="279" t="str">
        <f t="shared" si="2"/>
        <v>🟡</v>
      </c>
      <c r="H186" s="277"/>
      <c r="I186" s="231"/>
      <c r="J186" s="231"/>
    </row>
    <row r="187" spans="1:10">
      <c r="A187" s="277" t="s">
        <v>178</v>
      </c>
      <c r="B187" s="278" t="s">
        <v>1096</v>
      </c>
      <c r="C187" s="277"/>
      <c r="D187" s="277"/>
      <c r="E187" s="277"/>
      <c r="F187" s="277"/>
      <c r="G187" s="279" t="str">
        <f t="shared" si="2"/>
        <v>🟡</v>
      </c>
      <c r="H187" s="277"/>
      <c r="I187" s="231"/>
      <c r="J187" s="231"/>
    </row>
    <row r="188" spans="1:10" ht="26.4">
      <c r="A188" s="277" t="s">
        <v>5782</v>
      </c>
      <c r="B188" s="278" t="s">
        <v>1096</v>
      </c>
      <c r="C188" s="277"/>
      <c r="D188" s="277"/>
      <c r="E188" s="277"/>
      <c r="F188" s="277"/>
      <c r="G188" s="279" t="str">
        <f t="shared" si="2"/>
        <v>🟡</v>
      </c>
      <c r="H188" s="277"/>
      <c r="I188" s="231"/>
      <c r="J188" s="231"/>
    </row>
    <row r="189" spans="1:10">
      <c r="A189" s="324" t="s">
        <v>4946</v>
      </c>
      <c r="B189" s="324" t="s">
        <v>5790</v>
      </c>
      <c r="C189" s="196"/>
      <c r="D189" s="196"/>
      <c r="E189" s="324" t="s">
        <v>5791</v>
      </c>
      <c r="F189" s="196"/>
      <c r="G189" s="196"/>
      <c r="H189" s="196"/>
      <c r="I189" s="231"/>
      <c r="J189" s="231"/>
    </row>
    <row r="190" spans="1:10" ht="26.4">
      <c r="A190" s="291" t="s">
        <v>5777</v>
      </c>
      <c r="B190" s="768" t="s">
        <v>5792</v>
      </c>
      <c r="C190" s="768"/>
      <c r="D190" s="768"/>
      <c r="E190" s="768" t="s">
        <v>5793</v>
      </c>
      <c r="F190" s="768"/>
      <c r="G190" s="768"/>
      <c r="H190" s="196"/>
      <c r="I190" s="231"/>
      <c r="J190" s="231"/>
    </row>
    <row r="191" spans="1:10">
      <c r="A191" s="291" t="s">
        <v>5778</v>
      </c>
      <c r="B191" s="768" t="s">
        <v>5794</v>
      </c>
      <c r="C191" s="768"/>
      <c r="D191" s="768"/>
      <c r="E191" s="768" t="s">
        <v>5795</v>
      </c>
      <c r="F191" s="768"/>
      <c r="G191" s="768"/>
      <c r="H191" s="196"/>
      <c r="I191" s="231"/>
      <c r="J191" s="231"/>
    </row>
    <row r="192" spans="1:10">
      <c r="A192" s="291" t="s">
        <v>5779</v>
      </c>
      <c r="B192" s="768" t="s">
        <v>5796</v>
      </c>
      <c r="C192" s="768"/>
      <c r="D192" s="768"/>
      <c r="E192" s="768" t="s">
        <v>5797</v>
      </c>
      <c r="F192" s="768"/>
      <c r="G192" s="768"/>
      <c r="H192" s="196"/>
      <c r="I192" s="231"/>
      <c r="J192" s="231"/>
    </row>
    <row r="193" spans="1:10">
      <c r="A193" s="291" t="s">
        <v>5168</v>
      </c>
      <c r="B193" s="768" t="s">
        <v>5798</v>
      </c>
      <c r="C193" s="768"/>
      <c r="D193" s="768"/>
      <c r="E193" s="768" t="s">
        <v>5799</v>
      </c>
      <c r="F193" s="768"/>
      <c r="G193" s="768"/>
      <c r="H193" s="196"/>
      <c r="I193" s="231"/>
      <c r="J193" s="231"/>
    </row>
    <row r="194" spans="1:10">
      <c r="A194" s="291" t="s">
        <v>5780</v>
      </c>
      <c r="B194" s="768" t="s">
        <v>5800</v>
      </c>
      <c r="C194" s="768"/>
      <c r="D194" s="768"/>
      <c r="E194" s="768" t="s">
        <v>5801</v>
      </c>
      <c r="F194" s="768"/>
      <c r="G194" s="768"/>
      <c r="H194" s="196"/>
      <c r="I194" s="231"/>
      <c r="J194" s="231"/>
    </row>
    <row r="195" spans="1:10">
      <c r="A195" s="291" t="s">
        <v>5781</v>
      </c>
      <c r="B195" s="768" t="s">
        <v>5802</v>
      </c>
      <c r="C195" s="768"/>
      <c r="D195" s="768"/>
      <c r="E195" s="768" t="s">
        <v>5803</v>
      </c>
      <c r="F195" s="768"/>
      <c r="G195" s="768"/>
      <c r="H195" s="196"/>
      <c r="I195" s="231"/>
      <c r="J195" s="231"/>
    </row>
    <row r="196" spans="1:10">
      <c r="A196" s="291" t="s">
        <v>178</v>
      </c>
      <c r="B196" s="768" t="s">
        <v>5804</v>
      </c>
      <c r="C196" s="768"/>
      <c r="D196" s="768"/>
      <c r="E196" s="768" t="s">
        <v>5805</v>
      </c>
      <c r="F196" s="768"/>
      <c r="G196" s="768"/>
      <c r="H196" s="196"/>
      <c r="I196" s="231"/>
      <c r="J196" s="231"/>
    </row>
    <row r="197" spans="1:10" ht="26.4">
      <c r="A197" s="291" t="s">
        <v>5782</v>
      </c>
      <c r="B197" s="768" t="s">
        <v>5806</v>
      </c>
      <c r="C197" s="768"/>
      <c r="D197" s="768"/>
      <c r="E197" s="768" t="s">
        <v>5807</v>
      </c>
      <c r="F197" s="768"/>
      <c r="G197" s="768"/>
      <c r="H197" s="196"/>
      <c r="I197" s="231"/>
      <c r="J197" s="231"/>
    </row>
    <row r="198" spans="1:10">
      <c r="A198" s="276" t="s">
        <v>5783</v>
      </c>
      <c r="B198" s="280" t="str">
        <f>IF(COUNTIF(B181:B188,"No")=0,"🟢 PILOT COMPLETE / ACCEPTANCE READY","🟡 NOT COMPLETE — ACCEPTANCE GATES OPEN")</f>
        <v>🟡 NOT COMPLETE — ACCEPTANCE GATES OPEN</v>
      </c>
      <c r="C198" s="280"/>
      <c r="D198" s="280"/>
      <c r="E198" s="280"/>
      <c r="F198" s="280"/>
      <c r="G198" s="280"/>
      <c r="H198" s="280"/>
    </row>
    <row r="199" spans="1:10">
      <c r="A199" s="276" t="s">
        <v>5784</v>
      </c>
      <c r="B199" s="280">
        <f>COUNTIF(B181:B188,"No")</f>
        <v>8</v>
      </c>
      <c r="C199" s="280"/>
      <c r="D199" s="280"/>
      <c r="E199" s="280"/>
      <c r="F199" s="280"/>
      <c r="G199" s="280"/>
      <c r="H199" s="280"/>
    </row>
    <row r="200" spans="1:10">
      <c r="A200" s="276" t="s">
        <v>5785</v>
      </c>
      <c r="B200" s="280" t="str">
        <f>COUNTIF(B181:B188,"Yes")&amp;" / 8 Complete"</f>
        <v>0 / 8 Complete</v>
      </c>
      <c r="C200" s="280"/>
      <c r="D200" s="280"/>
      <c r="E200" s="280"/>
      <c r="F200" s="280"/>
      <c r="G200" s="280"/>
      <c r="H200" s="280"/>
    </row>
    <row r="201" spans="1:10" ht="93">
      <c r="A201" s="281" t="s">
        <v>5786</v>
      </c>
      <c r="B201" s="282" t="s">
        <v>5787</v>
      </c>
      <c r="C201" s="282"/>
      <c r="D201" s="282"/>
      <c r="E201" s="282"/>
      <c r="F201" s="282"/>
      <c r="G201" s="282"/>
      <c r="H201" s="282"/>
    </row>
    <row r="202" spans="1:10">
      <c r="A202" s="281"/>
      <c r="B202" s="282"/>
      <c r="C202" s="282"/>
      <c r="D202" s="282"/>
      <c r="E202" s="282"/>
      <c r="F202" s="282"/>
      <c r="G202" s="282"/>
      <c r="H202" s="282"/>
    </row>
    <row r="203" spans="1:10" ht="66.599999999999994">
      <c r="A203" s="281" t="s">
        <v>5788</v>
      </c>
      <c r="B203" s="282" t="s">
        <v>5789</v>
      </c>
      <c r="C203" s="282"/>
      <c r="D203" s="282"/>
      <c r="E203" s="282"/>
      <c r="F203" s="282"/>
      <c r="G203" s="282"/>
      <c r="H203" s="282"/>
    </row>
    <row r="204" spans="1:10">
      <c r="A204" s="842" t="s">
        <v>5901</v>
      </c>
      <c r="B204" s="842"/>
      <c r="C204" s="842"/>
      <c r="D204" s="842"/>
      <c r="E204" s="842"/>
      <c r="F204" s="842"/>
      <c r="G204" s="842"/>
      <c r="H204" s="842"/>
      <c r="I204" s="842"/>
      <c r="J204" s="842"/>
    </row>
    <row r="205" spans="1:10">
      <c r="A205" s="340" t="s">
        <v>5886</v>
      </c>
      <c r="B205" s="196"/>
      <c r="C205" s="196"/>
      <c r="D205" s="196"/>
      <c r="E205" s="196"/>
      <c r="F205" s="196"/>
      <c r="G205" s="196"/>
      <c r="H205" s="196"/>
      <c r="I205" s="196"/>
      <c r="J205" s="196"/>
    </row>
    <row r="206" spans="1:10">
      <c r="A206" s="196"/>
      <c r="B206" s="196"/>
      <c r="C206" s="196"/>
      <c r="D206" s="196"/>
      <c r="E206" s="196"/>
      <c r="F206" s="196"/>
      <c r="G206" s="196"/>
      <c r="H206" s="196"/>
      <c r="I206" s="196"/>
      <c r="J206" s="196"/>
    </row>
    <row r="207" spans="1:10">
      <c r="A207" s="196" t="s">
        <v>5887</v>
      </c>
      <c r="B207" s="196"/>
      <c r="C207" s="196"/>
      <c r="D207" s="196"/>
      <c r="E207" s="196"/>
      <c r="F207" s="196"/>
      <c r="G207" s="196"/>
      <c r="H207" s="196"/>
      <c r="I207" s="196"/>
      <c r="J207" s="196"/>
    </row>
    <row r="208" spans="1:10">
      <c r="A208" s="196"/>
      <c r="B208" s="196"/>
      <c r="C208" s="196"/>
      <c r="D208" s="196"/>
      <c r="E208" s="196"/>
      <c r="F208" s="196"/>
      <c r="G208" s="196"/>
      <c r="H208" s="196"/>
      <c r="I208" s="196"/>
      <c r="J208" s="196"/>
    </row>
    <row r="209" spans="1:10">
      <c r="A209" s="196" t="s">
        <v>5888</v>
      </c>
      <c r="B209" s="196"/>
      <c r="C209" s="196"/>
      <c r="D209" s="196"/>
      <c r="E209" s="196"/>
      <c r="F209" s="196"/>
      <c r="G209" s="196"/>
      <c r="H209" s="196"/>
      <c r="I209" s="196"/>
      <c r="J209" s="196"/>
    </row>
    <row r="210" spans="1:10">
      <c r="A210" s="196"/>
      <c r="B210" s="196"/>
      <c r="C210" s="196"/>
      <c r="D210" s="196"/>
      <c r="E210" s="196"/>
      <c r="F210" s="196"/>
      <c r="G210" s="196"/>
      <c r="H210" s="196"/>
      <c r="I210" s="196"/>
      <c r="J210" s="196"/>
    </row>
    <row r="211" spans="1:10">
      <c r="A211" s="196" t="s">
        <v>5889</v>
      </c>
      <c r="B211" s="196"/>
      <c r="C211" s="196"/>
      <c r="D211" s="196"/>
      <c r="E211" s="196"/>
      <c r="F211" s="196"/>
      <c r="G211" s="196"/>
      <c r="H211" s="196"/>
      <c r="I211" s="196"/>
      <c r="J211" s="196"/>
    </row>
    <row r="212" spans="1:10">
      <c r="A212" s="196"/>
      <c r="B212" s="196"/>
      <c r="C212" s="196"/>
      <c r="D212" s="196"/>
      <c r="E212" s="196"/>
      <c r="F212" s="196"/>
      <c r="G212" s="196"/>
      <c r="H212" s="196"/>
      <c r="I212" s="196"/>
      <c r="J212" s="196"/>
    </row>
    <row r="213" spans="1:10">
      <c r="A213" s="196"/>
      <c r="B213" s="196"/>
      <c r="C213" s="196"/>
      <c r="D213" s="196"/>
      <c r="E213" s="196"/>
      <c r="F213" s="196"/>
      <c r="G213" s="196"/>
      <c r="H213" s="196"/>
      <c r="I213" s="196"/>
      <c r="J213" s="196"/>
    </row>
    <row r="214" spans="1:10">
      <c r="A214" s="196"/>
      <c r="B214" s="196"/>
      <c r="C214" s="196"/>
      <c r="D214" s="196"/>
      <c r="E214" s="196"/>
      <c r="F214" s="196"/>
      <c r="G214" s="196"/>
      <c r="H214" s="196"/>
      <c r="I214" s="196"/>
      <c r="J214" s="196"/>
    </row>
    <row r="215" spans="1:10">
      <c r="A215" s="842" t="s">
        <v>5902</v>
      </c>
      <c r="B215" s="842"/>
      <c r="C215" s="842"/>
      <c r="D215" s="842"/>
      <c r="E215" s="842"/>
      <c r="F215" s="842"/>
      <c r="G215" s="842"/>
      <c r="H215" s="842"/>
      <c r="I215" s="842"/>
      <c r="J215" s="842"/>
    </row>
    <row r="216" spans="1:10">
      <c r="A216" s="196"/>
      <c r="B216" s="196"/>
      <c r="C216" s="196"/>
      <c r="D216" s="196"/>
      <c r="E216" s="196"/>
      <c r="F216" s="196"/>
      <c r="G216" s="196"/>
      <c r="H216" s="196"/>
      <c r="I216" s="196"/>
      <c r="J216" s="196"/>
    </row>
    <row r="217" spans="1:10">
      <c r="A217" s="196" t="s">
        <v>5890</v>
      </c>
      <c r="B217" s="196"/>
      <c r="C217" s="196"/>
      <c r="D217" s="196"/>
      <c r="E217" s="196"/>
      <c r="F217" s="196"/>
      <c r="G217" s="196"/>
      <c r="H217" s="196"/>
      <c r="I217" s="196"/>
      <c r="J217" s="196"/>
    </row>
    <row r="218" spans="1:10">
      <c r="A218" s="196"/>
      <c r="B218" s="196"/>
      <c r="C218" s="196"/>
      <c r="D218" s="196"/>
      <c r="E218" s="196"/>
      <c r="F218" s="196"/>
      <c r="G218" s="196"/>
      <c r="H218" s="196"/>
      <c r="I218" s="196"/>
      <c r="J218" s="196"/>
    </row>
    <row r="219" spans="1:10">
      <c r="A219" s="196" t="s">
        <v>5891</v>
      </c>
      <c r="B219" s="196"/>
      <c r="C219" s="196"/>
      <c r="D219" s="196"/>
      <c r="E219" s="196"/>
      <c r="F219" s="196"/>
      <c r="G219" s="196"/>
      <c r="H219" s="196"/>
      <c r="I219" s="196"/>
      <c r="J219" s="196"/>
    </row>
    <row r="220" spans="1:10">
      <c r="A220" s="196"/>
      <c r="B220" s="196"/>
      <c r="C220" s="196"/>
      <c r="D220" s="196"/>
      <c r="E220" s="196"/>
      <c r="F220" s="196"/>
      <c r="G220" s="196"/>
      <c r="H220" s="196"/>
      <c r="I220" s="196"/>
      <c r="J220" s="196"/>
    </row>
    <row r="221" spans="1:10">
      <c r="A221" s="196" t="s">
        <v>5892</v>
      </c>
      <c r="B221" s="196"/>
      <c r="C221" s="196"/>
      <c r="D221" s="196"/>
      <c r="E221" s="196"/>
      <c r="F221" s="196"/>
      <c r="G221" s="196"/>
      <c r="H221" s="196"/>
      <c r="I221" s="196"/>
      <c r="J221" s="196"/>
    </row>
    <row r="222" spans="1:10">
      <c r="A222" s="196"/>
      <c r="B222" s="196"/>
      <c r="C222" s="196"/>
      <c r="D222" s="196"/>
      <c r="E222" s="196"/>
      <c r="F222" s="196"/>
      <c r="G222" s="196"/>
      <c r="H222" s="196"/>
      <c r="I222" s="196"/>
      <c r="J222" s="196"/>
    </row>
    <row r="223" spans="1:10">
      <c r="A223" s="196"/>
      <c r="B223" s="196"/>
      <c r="C223" s="196"/>
      <c r="D223" s="196"/>
      <c r="E223" s="196"/>
      <c r="F223" s="196"/>
      <c r="G223" s="196"/>
      <c r="H223" s="196"/>
      <c r="I223" s="196"/>
      <c r="J223" s="196"/>
    </row>
    <row r="224" spans="1:10">
      <c r="A224" s="196"/>
      <c r="B224" s="196"/>
      <c r="C224" s="196"/>
      <c r="D224" s="196"/>
      <c r="E224" s="196"/>
      <c r="F224" s="196"/>
      <c r="G224" s="196"/>
      <c r="H224" s="196"/>
      <c r="I224" s="196"/>
      <c r="J224" s="196"/>
    </row>
    <row r="225" spans="1:10">
      <c r="A225" s="842" t="s">
        <v>5903</v>
      </c>
      <c r="B225" s="842"/>
      <c r="C225" s="842"/>
      <c r="D225" s="842"/>
      <c r="E225" s="842"/>
      <c r="F225" s="842"/>
      <c r="G225" s="842"/>
      <c r="H225" s="842"/>
      <c r="I225" s="842"/>
      <c r="J225" s="842"/>
    </row>
    <row r="226" spans="1:10">
      <c r="A226" s="196"/>
      <c r="B226" s="196"/>
      <c r="C226" s="196"/>
      <c r="D226" s="196"/>
      <c r="E226" s="196"/>
      <c r="F226" s="196"/>
      <c r="G226" s="196"/>
      <c r="H226" s="196"/>
      <c r="I226" s="196"/>
      <c r="J226" s="196"/>
    </row>
    <row r="227" spans="1:10">
      <c r="A227" s="196" t="s">
        <v>5893</v>
      </c>
      <c r="B227" s="196"/>
      <c r="C227" s="196"/>
      <c r="D227" s="196"/>
      <c r="E227" s="196"/>
      <c r="F227" s="196"/>
      <c r="G227" s="196"/>
      <c r="H227" s="196"/>
      <c r="I227" s="196"/>
      <c r="J227" s="196"/>
    </row>
    <row r="228" spans="1:10">
      <c r="A228" s="196"/>
      <c r="B228" s="196"/>
      <c r="C228" s="196"/>
      <c r="D228" s="196"/>
      <c r="E228" s="196"/>
      <c r="F228" s="196"/>
      <c r="G228" s="196"/>
      <c r="H228" s="196"/>
      <c r="I228" s="196"/>
      <c r="J228" s="196"/>
    </row>
    <row r="229" spans="1:10">
      <c r="A229" s="196" t="s">
        <v>5894</v>
      </c>
      <c r="B229" s="196"/>
      <c r="C229" s="196"/>
      <c r="D229" s="196"/>
      <c r="E229" s="196"/>
      <c r="F229" s="196"/>
      <c r="G229" s="196"/>
      <c r="H229" s="196"/>
      <c r="I229" s="196"/>
      <c r="J229" s="196"/>
    </row>
    <row r="230" spans="1:10">
      <c r="A230" s="196"/>
      <c r="B230" s="196"/>
      <c r="C230" s="196"/>
      <c r="D230" s="196"/>
      <c r="E230" s="196"/>
      <c r="F230" s="196"/>
      <c r="G230" s="196"/>
      <c r="H230" s="196"/>
      <c r="I230" s="196"/>
      <c r="J230" s="196"/>
    </row>
    <row r="231" spans="1:10">
      <c r="A231" s="196" t="s">
        <v>5895</v>
      </c>
      <c r="B231" s="196"/>
      <c r="C231" s="196"/>
      <c r="D231" s="196"/>
      <c r="E231" s="196"/>
      <c r="F231" s="196"/>
      <c r="G231" s="196"/>
      <c r="H231" s="196"/>
      <c r="I231" s="196"/>
      <c r="J231" s="196"/>
    </row>
    <row r="232" spans="1:10">
      <c r="A232" s="196"/>
      <c r="B232" s="196"/>
      <c r="C232" s="196"/>
      <c r="D232" s="196"/>
      <c r="E232" s="196"/>
      <c r="F232" s="196"/>
      <c r="G232" s="196"/>
      <c r="H232" s="196"/>
      <c r="I232" s="196"/>
      <c r="J232" s="196"/>
    </row>
    <row r="233" spans="1:10">
      <c r="A233" s="196" t="s">
        <v>5896</v>
      </c>
      <c r="B233" s="196"/>
      <c r="C233" s="196"/>
      <c r="D233" s="196"/>
      <c r="E233" s="196"/>
      <c r="F233" s="196"/>
      <c r="G233" s="196"/>
      <c r="H233" s="196"/>
      <c r="I233" s="196"/>
      <c r="J233" s="196"/>
    </row>
    <row r="234" spans="1:10">
      <c r="A234" s="196"/>
      <c r="B234" s="196"/>
      <c r="C234" s="196"/>
      <c r="D234" s="196"/>
      <c r="E234" s="196"/>
      <c r="F234" s="196"/>
      <c r="G234" s="196"/>
      <c r="H234" s="196"/>
      <c r="I234" s="196"/>
      <c r="J234" s="196"/>
    </row>
    <row r="235" spans="1:10">
      <c r="A235" s="196"/>
      <c r="B235" s="196"/>
      <c r="C235" s="196"/>
      <c r="D235" s="196"/>
      <c r="E235" s="196"/>
      <c r="F235" s="196"/>
      <c r="G235" s="196"/>
      <c r="H235" s="196"/>
      <c r="I235" s="196"/>
      <c r="J235" s="196"/>
    </row>
    <row r="236" spans="1:10">
      <c r="A236" s="196"/>
      <c r="B236" s="196"/>
      <c r="C236" s="196"/>
      <c r="D236" s="196"/>
      <c r="E236" s="196"/>
      <c r="F236" s="196"/>
      <c r="G236" s="196"/>
      <c r="H236" s="196"/>
      <c r="I236" s="196"/>
      <c r="J236" s="196"/>
    </row>
    <row r="237" spans="1:10">
      <c r="A237" s="842" t="s">
        <v>5904</v>
      </c>
      <c r="B237" s="842"/>
      <c r="C237" s="842"/>
      <c r="D237" s="842"/>
      <c r="E237" s="842"/>
      <c r="F237" s="842"/>
      <c r="G237" s="842"/>
      <c r="H237" s="842"/>
      <c r="I237" s="842"/>
      <c r="J237" s="842"/>
    </row>
    <row r="238" spans="1:10">
      <c r="A238" s="196"/>
      <c r="B238" s="196"/>
      <c r="C238" s="196"/>
      <c r="D238" s="196"/>
      <c r="E238" s="196"/>
      <c r="F238" s="196"/>
      <c r="G238" s="196"/>
      <c r="H238" s="196"/>
      <c r="I238" s="196"/>
      <c r="J238" s="196"/>
    </row>
    <row r="239" spans="1:10">
      <c r="A239" s="196" t="s">
        <v>5897</v>
      </c>
      <c r="B239" s="196"/>
      <c r="C239" s="196"/>
      <c r="D239" s="196"/>
      <c r="E239" s="196"/>
      <c r="F239" s="196"/>
      <c r="G239" s="196"/>
      <c r="H239" s="196"/>
      <c r="I239" s="196"/>
      <c r="J239" s="196"/>
    </row>
    <row r="240" spans="1:10">
      <c r="A240" s="196"/>
      <c r="B240" s="196"/>
      <c r="C240" s="196"/>
      <c r="D240" s="196"/>
      <c r="E240" s="196"/>
      <c r="F240" s="196"/>
      <c r="G240" s="196"/>
      <c r="H240" s="196"/>
      <c r="I240" s="196"/>
      <c r="J240" s="196"/>
    </row>
    <row r="241" spans="1:10">
      <c r="A241" s="196" t="s">
        <v>5898</v>
      </c>
      <c r="B241" s="196"/>
      <c r="C241" s="196"/>
      <c r="D241" s="196"/>
      <c r="E241" s="196"/>
      <c r="F241" s="196"/>
      <c r="G241" s="196"/>
      <c r="H241" s="196"/>
      <c r="I241" s="196"/>
      <c r="J241" s="196"/>
    </row>
    <row r="242" spans="1:10">
      <c r="A242" s="196"/>
      <c r="B242" s="196"/>
      <c r="C242" s="196"/>
      <c r="D242" s="196"/>
      <c r="E242" s="196"/>
      <c r="F242" s="196"/>
      <c r="G242" s="196"/>
      <c r="H242" s="196"/>
      <c r="I242" s="196"/>
      <c r="J242" s="196"/>
    </row>
    <row r="243" spans="1:10">
      <c r="A243" s="196" t="s">
        <v>5899</v>
      </c>
      <c r="B243" s="196"/>
      <c r="C243" s="196"/>
      <c r="D243" s="196"/>
      <c r="E243" s="196"/>
      <c r="F243" s="196"/>
      <c r="G243" s="196"/>
      <c r="H243" s="196"/>
      <c r="I243" s="196"/>
      <c r="J243" s="196"/>
    </row>
    <row r="244" spans="1:10">
      <c r="A244" s="196"/>
      <c r="B244" s="196"/>
      <c r="C244" s="196"/>
      <c r="D244" s="196"/>
      <c r="E244" s="196"/>
      <c r="F244" s="196"/>
      <c r="G244" s="196"/>
      <c r="H244" s="196"/>
      <c r="I244" s="196"/>
      <c r="J244" s="196"/>
    </row>
    <row r="245" spans="1:10">
      <c r="A245" s="196"/>
      <c r="B245" s="196"/>
      <c r="C245" s="196"/>
      <c r="D245" s="196"/>
      <c r="E245" s="196"/>
      <c r="F245" s="196"/>
      <c r="G245" s="196"/>
      <c r="H245" s="196"/>
      <c r="I245" s="196"/>
      <c r="J245" s="196"/>
    </row>
    <row r="246" spans="1:10">
      <c r="A246" s="196"/>
      <c r="B246" s="196"/>
      <c r="C246" s="196"/>
      <c r="D246" s="196"/>
      <c r="E246" s="196"/>
      <c r="F246" s="196"/>
      <c r="G246" s="196"/>
      <c r="H246" s="196"/>
      <c r="I246" s="196"/>
      <c r="J246" s="196"/>
    </row>
    <row r="247" spans="1:10">
      <c r="A247" s="196" t="s">
        <v>5900</v>
      </c>
      <c r="B247" s="196"/>
      <c r="C247" s="196"/>
      <c r="D247" s="196"/>
      <c r="E247" s="196"/>
      <c r="F247" s="196"/>
      <c r="G247" s="196"/>
      <c r="H247" s="196"/>
      <c r="I247" s="196"/>
      <c r="J247" s="196"/>
    </row>
    <row r="248" spans="1:10">
      <c r="A248" s="196"/>
      <c r="B248" s="196"/>
      <c r="C248" s="196"/>
      <c r="D248" s="196"/>
      <c r="E248" s="196"/>
      <c r="F248" s="196"/>
      <c r="G248" s="196"/>
      <c r="H248" s="196"/>
      <c r="I248" s="196"/>
      <c r="J248" s="196"/>
    </row>
    <row r="249" spans="1:10">
      <c r="A249" s="341"/>
      <c r="B249" s="341"/>
      <c r="C249" s="341"/>
      <c r="D249" s="341"/>
      <c r="E249" s="341"/>
      <c r="F249" s="341"/>
      <c r="G249" s="341"/>
      <c r="H249" s="341"/>
      <c r="I249" s="341"/>
      <c r="J249" s="341"/>
    </row>
    <row r="250" spans="1:10">
      <c r="A250" s="341"/>
      <c r="B250" s="341"/>
      <c r="C250" s="341"/>
      <c r="D250" s="341"/>
      <c r="E250" s="341"/>
      <c r="F250" s="341"/>
      <c r="G250" s="341"/>
      <c r="H250" s="341"/>
      <c r="I250" s="341"/>
      <c r="J250" s="341"/>
    </row>
    <row r="251" spans="1:10">
      <c r="A251" s="341"/>
      <c r="B251" s="341"/>
      <c r="C251" s="341"/>
      <c r="D251" s="341"/>
      <c r="E251" s="341"/>
      <c r="F251" s="341"/>
      <c r="G251" s="341"/>
      <c r="H251" s="341"/>
      <c r="I251" s="341"/>
      <c r="J251" s="341"/>
    </row>
    <row r="252" spans="1:10">
      <c r="A252" s="341"/>
      <c r="B252" s="341"/>
      <c r="C252" s="341"/>
      <c r="D252" s="341"/>
      <c r="E252" s="341"/>
      <c r="F252" s="341"/>
      <c r="G252" s="341"/>
      <c r="H252" s="341"/>
      <c r="I252" s="341"/>
      <c r="J252" s="341"/>
    </row>
    <row r="253" spans="1:10">
      <c r="A253" s="341"/>
      <c r="B253" s="341"/>
      <c r="C253" s="341"/>
      <c r="D253" s="341"/>
      <c r="E253" s="341"/>
      <c r="F253" s="341"/>
      <c r="G253" s="341"/>
      <c r="H253" s="341"/>
      <c r="I253" s="341"/>
      <c r="J253" s="341"/>
    </row>
    <row r="254" spans="1:10">
      <c r="A254" s="341"/>
      <c r="B254" s="341"/>
      <c r="C254" s="341"/>
      <c r="D254" s="341"/>
      <c r="E254" s="341"/>
      <c r="F254" s="341"/>
      <c r="G254" s="341"/>
      <c r="H254" s="341"/>
      <c r="I254" s="341"/>
      <c r="J254" s="341"/>
    </row>
    <row r="255" spans="1:10">
      <c r="A255" s="341"/>
      <c r="B255" s="341"/>
      <c r="C255" s="341"/>
      <c r="D255" s="341"/>
      <c r="E255" s="341"/>
      <c r="F255" s="341"/>
      <c r="G255" s="341"/>
      <c r="H255" s="341"/>
      <c r="I255" s="341"/>
      <c r="J255" s="341"/>
    </row>
    <row r="256" spans="1:10">
      <c r="A256" s="341"/>
      <c r="B256" s="341"/>
      <c r="C256" s="341"/>
      <c r="D256" s="341"/>
      <c r="E256" s="341"/>
      <c r="F256" s="341"/>
      <c r="G256" s="341"/>
      <c r="H256" s="341"/>
      <c r="I256" s="341"/>
      <c r="J256" s="341"/>
    </row>
    <row r="257" spans="1:10">
      <c r="A257" s="341"/>
      <c r="B257" s="341"/>
      <c r="C257" s="341"/>
      <c r="D257" s="341"/>
      <c r="E257" s="341"/>
      <c r="F257" s="341"/>
      <c r="G257" s="341"/>
      <c r="H257" s="341"/>
      <c r="I257" s="341"/>
      <c r="J257" s="341"/>
    </row>
    <row r="258" spans="1:10">
      <c r="A258" s="196"/>
      <c r="B258" s="196"/>
      <c r="C258" s="196"/>
      <c r="D258" s="196"/>
      <c r="E258" s="196"/>
      <c r="F258" s="196"/>
      <c r="G258" s="196"/>
      <c r="H258" s="196"/>
      <c r="I258" s="196"/>
      <c r="J258" s="196"/>
    </row>
    <row r="259" spans="1:10">
      <c r="A259" s="320"/>
      <c r="B259" s="320"/>
      <c r="C259" s="320"/>
      <c r="D259" s="320"/>
      <c r="E259" s="320"/>
      <c r="F259" s="320"/>
      <c r="G259" s="874"/>
      <c r="H259" s="874"/>
      <c r="I259" s="874"/>
      <c r="J259" s="874"/>
    </row>
  </sheetData>
  <mergeCells count="122">
    <mergeCell ref="B116:J116"/>
    <mergeCell ref="A42:C42"/>
    <mergeCell ref="B112:J112"/>
    <mergeCell ref="A8:C8"/>
    <mergeCell ref="A1:J1"/>
    <mergeCell ref="B114:J114"/>
    <mergeCell ref="A58:C58"/>
    <mergeCell ref="D6:J6"/>
    <mergeCell ref="B110:J110"/>
    <mergeCell ref="A77:C77"/>
    <mergeCell ref="A34:C34"/>
    <mergeCell ref="B113:J113"/>
    <mergeCell ref="B109:J109"/>
    <mergeCell ref="A107:C107"/>
    <mergeCell ref="B115:J115"/>
    <mergeCell ref="A88:C88"/>
    <mergeCell ref="A99:C99"/>
    <mergeCell ref="A66:C66"/>
    <mergeCell ref="B111:J111"/>
    <mergeCell ref="A18:C18"/>
    <mergeCell ref="A50:C50"/>
    <mergeCell ref="A26:C26"/>
    <mergeCell ref="G121:J121"/>
    <mergeCell ref="G123:J123"/>
    <mergeCell ref="A125:B125"/>
    <mergeCell ref="E125:J125"/>
    <mergeCell ref="A127:C127"/>
    <mergeCell ref="D127:F127"/>
    <mergeCell ref="G127:J127"/>
    <mergeCell ref="A118:C118"/>
    <mergeCell ref="D118:F118"/>
    <mergeCell ref="G118:J118"/>
    <mergeCell ref="G119:J119"/>
    <mergeCell ref="G120:J120"/>
    <mergeCell ref="F133:J133"/>
    <mergeCell ref="F134:J134"/>
    <mergeCell ref="F135:J135"/>
    <mergeCell ref="F136:J136"/>
    <mergeCell ref="A137:B137"/>
    <mergeCell ref="C137:D137"/>
    <mergeCell ref="E137:J137"/>
    <mergeCell ref="G128:J128"/>
    <mergeCell ref="F129:J129"/>
    <mergeCell ref="F130:J130"/>
    <mergeCell ref="F131:J131"/>
    <mergeCell ref="F132:J132"/>
    <mergeCell ref="G142:J142"/>
    <mergeCell ref="G143:J143"/>
    <mergeCell ref="G144:J144"/>
    <mergeCell ref="G145:J145"/>
    <mergeCell ref="A146:B146"/>
    <mergeCell ref="C146:D146"/>
    <mergeCell ref="E146:J146"/>
    <mergeCell ref="A139:C139"/>
    <mergeCell ref="D139:F139"/>
    <mergeCell ref="G139:J139"/>
    <mergeCell ref="G140:J140"/>
    <mergeCell ref="G141:J141"/>
    <mergeCell ref="G150:J150"/>
    <mergeCell ref="G151:J151"/>
    <mergeCell ref="G152:J152"/>
    <mergeCell ref="G153:J153"/>
    <mergeCell ref="A154:D155"/>
    <mergeCell ref="E154:J155"/>
    <mergeCell ref="G147:J147"/>
    <mergeCell ref="A148:C148"/>
    <mergeCell ref="D148:F148"/>
    <mergeCell ref="G148:J148"/>
    <mergeCell ref="G149:J149"/>
    <mergeCell ref="G159:J159"/>
    <mergeCell ref="G160:J160"/>
    <mergeCell ref="G161:J161"/>
    <mergeCell ref="G162:J162"/>
    <mergeCell ref="G163:J163"/>
    <mergeCell ref="A156:C156"/>
    <mergeCell ref="D156:F156"/>
    <mergeCell ref="G156:J156"/>
    <mergeCell ref="G157:J157"/>
    <mergeCell ref="G158:J158"/>
    <mergeCell ref="B169:J169"/>
    <mergeCell ref="B170:J170"/>
    <mergeCell ref="B171:J171"/>
    <mergeCell ref="B172:J172"/>
    <mergeCell ref="B173:J173"/>
    <mergeCell ref="A164:B164"/>
    <mergeCell ref="C164:D164"/>
    <mergeCell ref="E164:J164"/>
    <mergeCell ref="A166:C166"/>
    <mergeCell ref="B168:J168"/>
    <mergeCell ref="B191:D191"/>
    <mergeCell ref="E191:G191"/>
    <mergeCell ref="B192:D192"/>
    <mergeCell ref="E192:G192"/>
    <mergeCell ref="B193:D193"/>
    <mergeCell ref="E193:G193"/>
    <mergeCell ref="B174:J174"/>
    <mergeCell ref="A176:H176"/>
    <mergeCell ref="B177:H177"/>
    <mergeCell ref="B178:H178"/>
    <mergeCell ref="B190:D190"/>
    <mergeCell ref="E190:G190"/>
    <mergeCell ref="B197:D197"/>
    <mergeCell ref="E197:G197"/>
    <mergeCell ref="A204:C204"/>
    <mergeCell ref="D204:F204"/>
    <mergeCell ref="G204:J204"/>
    <mergeCell ref="B194:D194"/>
    <mergeCell ref="E194:G194"/>
    <mergeCell ref="B195:D195"/>
    <mergeCell ref="E195:G195"/>
    <mergeCell ref="B196:D196"/>
    <mergeCell ref="E196:G196"/>
    <mergeCell ref="A237:C237"/>
    <mergeCell ref="D237:F237"/>
    <mergeCell ref="G237:J237"/>
    <mergeCell ref="G259:J259"/>
    <mergeCell ref="A215:C215"/>
    <mergeCell ref="D215:F215"/>
    <mergeCell ref="G215:J215"/>
    <mergeCell ref="A225:C225"/>
    <mergeCell ref="D225:F225"/>
    <mergeCell ref="G225:J225"/>
  </mergeCells>
  <conditionalFormatting sqref="B120:B124">
    <cfRule type="expression" dxfId="112" priority="21">
      <formula>B120="Complete"</formula>
    </cfRule>
    <cfRule type="expression" dxfId="111" priority="22">
      <formula>B120="In Progress"</formula>
    </cfRule>
    <cfRule type="expression" dxfId="110" priority="23">
      <formula>B120="At Risk"</formula>
    </cfRule>
    <cfRule type="expression" dxfId="109" priority="24">
      <formula>B120="Blocked"</formula>
    </cfRule>
    <cfRule type="expression" dxfId="108" priority="25">
      <formula>B120="Not Started"</formula>
    </cfRule>
  </conditionalFormatting>
  <conditionalFormatting sqref="B129:B136">
    <cfRule type="expression" dxfId="107" priority="1">
      <formula>B129="Complete"</formula>
    </cfRule>
    <cfRule type="expression" dxfId="106" priority="2">
      <formula>B129="In Progress"</formula>
    </cfRule>
    <cfRule type="expression" dxfId="105" priority="3">
      <formula>B129="At Risk"</formula>
    </cfRule>
    <cfRule type="expression" dxfId="104" priority="4">
      <formula>B129="Blocked"</formula>
    </cfRule>
    <cfRule type="expression" dxfId="103" priority="5">
      <formula>B129="Not Started"</formula>
    </cfRule>
  </conditionalFormatting>
  <conditionalFormatting sqref="B141:B145">
    <cfRule type="expression" dxfId="102" priority="26">
      <formula>B141="Complete"</formula>
    </cfRule>
    <cfRule type="expression" dxfId="101" priority="27">
      <formula>B141="In Progress"</formula>
    </cfRule>
    <cfRule type="expression" dxfId="100" priority="28">
      <formula>B141="At Risk"</formula>
    </cfRule>
    <cfRule type="expression" dxfId="99" priority="29">
      <formula>B141="Blocked"</formula>
    </cfRule>
    <cfRule type="expression" dxfId="98" priority="30">
      <formula>B141="Not Started"</formula>
    </cfRule>
  </conditionalFormatting>
  <conditionalFormatting sqref="B150:B153">
    <cfRule type="expression" dxfId="97" priority="6">
      <formula>B150="Complete"</formula>
    </cfRule>
    <cfRule type="expression" dxfId="96" priority="7">
      <formula>B150="In Progress"</formula>
    </cfRule>
    <cfRule type="expression" dxfId="95" priority="8">
      <formula>B150="At Risk"</formula>
    </cfRule>
    <cfRule type="expression" dxfId="94" priority="9">
      <formula>B150="Blocked"</formula>
    </cfRule>
    <cfRule type="expression" dxfId="93" priority="10">
      <formula>B150="Not Started"</formula>
    </cfRule>
  </conditionalFormatting>
  <conditionalFormatting sqref="B158:B163">
    <cfRule type="expression" dxfId="92" priority="11">
      <formula>B158="Complete"</formula>
    </cfRule>
    <cfRule type="expression" dxfId="91" priority="12">
      <formula>B158="In Progress"</formula>
    </cfRule>
    <cfRule type="expression" dxfId="90" priority="13">
      <formula>B158="At Risk"</formula>
    </cfRule>
    <cfRule type="expression" dxfId="89" priority="14">
      <formula>B158="Blocked"</formula>
    </cfRule>
    <cfRule type="expression" dxfId="88" priority="15">
      <formula>B158="Not Started"</formula>
    </cfRule>
  </conditionalFormatting>
  <conditionalFormatting sqref="B181:B188">
    <cfRule type="expression" dxfId="87" priority="82">
      <formula>B181="Yes"</formula>
    </cfRule>
    <cfRule type="expression" dxfId="86" priority="83">
      <formula>B181="N/A"</formula>
    </cfRule>
    <cfRule type="expression" dxfId="85" priority="84">
      <formula>B181="No"</formula>
    </cfRule>
  </conditionalFormatting>
  <conditionalFormatting sqref="B198:H198">
    <cfRule type="expression" dxfId="84" priority="85">
      <formula>COUNTIF($B$6:$B$13,"No")=0</formula>
    </cfRule>
    <cfRule type="expression" dxfId="83" priority="86">
      <formula>COUNTIF($B$6:$B$13,"No")&gt;0</formula>
    </cfRule>
  </conditionalFormatting>
  <conditionalFormatting sqref="C125:D125">
    <cfRule type="dataBar" priority="37">
      <dataBar>
        <cfvo type="num" val="0"/>
        <cfvo type="num" val="1"/>
        <color rgb="FF5B9BD5"/>
      </dataBar>
    </cfRule>
  </conditionalFormatting>
  <conditionalFormatting sqref="C129:D136">
    <cfRule type="expression" dxfId="82" priority="31">
      <formula>C129="Yes"</formula>
    </cfRule>
    <cfRule type="expression" dxfId="81" priority="32">
      <formula>C129="No"</formula>
    </cfRule>
    <cfRule type="expression" dxfId="80" priority="33">
      <formula>C129="N/A"</formula>
    </cfRule>
  </conditionalFormatting>
  <conditionalFormatting sqref="C137:D137">
    <cfRule type="dataBar" priority="38">
      <dataBar>
        <cfvo type="num" val="0"/>
        <cfvo type="num" val="1"/>
        <color rgb="FF5B9BD5"/>
      </dataBar>
    </cfRule>
  </conditionalFormatting>
  <conditionalFormatting sqref="C146:D146">
    <cfRule type="dataBar" priority="39">
      <dataBar>
        <cfvo type="num" val="0"/>
        <cfvo type="num" val="1"/>
        <color rgb="FF5B9BD5"/>
      </dataBar>
    </cfRule>
  </conditionalFormatting>
  <conditionalFormatting sqref="C158:D163">
    <cfRule type="expression" dxfId="79" priority="16">
      <formula>C158="Yes"</formula>
    </cfRule>
    <cfRule type="expression" dxfId="78" priority="17">
      <formula>C158="No"</formula>
    </cfRule>
    <cfRule type="expression" dxfId="77" priority="18">
      <formula>C158="N/A"</formula>
    </cfRule>
  </conditionalFormatting>
  <conditionalFormatting sqref="C164:D164">
    <cfRule type="dataBar" priority="20">
      <dataBar>
        <cfvo type="num" val="0"/>
        <cfvo type="num" val="1"/>
        <color rgb="FF5B9BD5"/>
      </dataBar>
    </cfRule>
  </conditionalFormatting>
  <conditionalFormatting sqref="E5 G5 I5">
    <cfRule type="expression" dxfId="76" priority="87">
      <formula>E5="Pass"</formula>
    </cfRule>
    <cfRule type="expression" dxfId="75" priority="88">
      <formula>E5="Verify"</formula>
    </cfRule>
    <cfRule type="expression" dxfId="74" priority="89">
      <formula>E5="Fail"</formula>
    </cfRule>
    <cfRule type="expression" dxfId="73" priority="90">
      <formula>E5="Not Started"</formula>
    </cfRule>
  </conditionalFormatting>
  <conditionalFormatting sqref="F3">
    <cfRule type="expression" dxfId="72" priority="91">
      <formula>F3="Yes"</formula>
    </cfRule>
    <cfRule type="expression" dxfId="71" priority="92">
      <formula>F3="No"</formula>
    </cfRule>
  </conditionalFormatting>
  <conditionalFormatting sqref="F141:F145">
    <cfRule type="expression" dxfId="70" priority="34">
      <formula>F141="Pass"</formula>
    </cfRule>
    <cfRule type="expression" dxfId="69" priority="35">
      <formula>F141="Fail"</formula>
    </cfRule>
    <cfRule type="expression" dxfId="68" priority="36">
      <formula>F141="Pending"</formula>
    </cfRule>
  </conditionalFormatting>
  <conditionalFormatting sqref="F150:F153">
    <cfRule type="dataBar" priority="19">
      <dataBar>
        <cfvo type="num" val="0"/>
        <cfvo type="num" val="1"/>
        <color rgb="FF5B9BD5"/>
      </dataBar>
    </cfRule>
  </conditionalFormatting>
  <dataValidations count="5">
    <dataValidation type="list" sqref="B5:B6 D5 F5 H5 H10:H16 H166:I167 H110:I116 I16 J5 H169:I174 D79:D86 H17:I108" xr:uid="{00000000-0002-0000-4000-000000000000}">
      <formula1>"Not Started,Verify,Pass,Fail,N/A,Open,Closed,Partial / Yellow"</formula1>
      <formula2>0</formula2>
    </dataValidation>
    <dataValidation type="list" sqref="B181:B188" xr:uid="{371BBA25-4D87-4990-A1BF-5F603DD13FE7}">
      <formula1>"No,Yes,N/A"</formula1>
    </dataValidation>
    <dataValidation type="list" allowBlank="1" sqref="B150:B153 B141:B145" xr:uid="{929D019A-8430-4190-AB89-BB543F39B760}">
      <formula1>"Not Started,In Progress,Complete,At Risk,Blocked"</formula1>
    </dataValidation>
    <dataValidation type="list" allowBlank="1" sqref="C129:D136 C158:D163" xr:uid="{A9FD9F2D-4830-4846-8759-37B60E5E8BFB}">
      <formula1>"Yes,No,N/A"</formula1>
    </dataValidation>
    <dataValidation type="list" allowBlank="1" sqref="F141:F145" xr:uid="{5A7C03AA-F279-4235-BDB9-3695E81BCB48}">
      <formula1>"Pending,Pass,Fail,N/A"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C3DCD0B2-B42B-49CC-B2CD-134C05C327CF}">
          <x14:formula1>
            <xm:f>Lookup_Lists!$A$36:$A$42</xm:f>
          </x14:formula1>
          <xm:sqref>B120:B124 B129:B136 B158:B163</xm:sqref>
        </x14:dataValidation>
        <x14:dataValidation type="list" allowBlank="1" showInputMessage="1" showErrorMessage="1" xr:uid="{F9901D11-894A-4CC2-A2CE-242743D046D6}">
          <x14:formula1>
            <xm:f>Lookup_Lists!$L$37:$L$39</xm:f>
          </x14:formula1>
          <xm:sqref>C141:E145 J2</xm:sqref>
        </x14:dataValidation>
      </x14:dataValidations>
    </ext>
  </extLst>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86D3D-88BE-43A0-B50A-2DEC7DE9594D}">
  <dimension ref="A1:J257"/>
  <sheetViews>
    <sheetView workbookViewId="0">
      <selection activeCell="G4" sqref="G4"/>
    </sheetView>
  </sheetViews>
  <sheetFormatPr defaultColWidth="8.6640625" defaultRowHeight="14.4"/>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6640625" style="8" customWidth="1"/>
    <col min="13" max="16384" width="8.6640625" style="8"/>
  </cols>
  <sheetData>
    <row r="1" spans="1:10">
      <c r="A1" s="851" t="s">
        <v>4193</v>
      </c>
      <c r="B1" s="839"/>
      <c r="C1" s="839"/>
      <c r="D1" s="839"/>
      <c r="E1" s="839"/>
      <c r="F1" s="839"/>
      <c r="G1" s="839"/>
      <c r="H1" s="839"/>
      <c r="I1" s="839"/>
      <c r="J1" s="839"/>
    </row>
    <row r="2" spans="1:10" s="227" customFormat="1">
      <c r="A2" s="223" t="s">
        <v>142</v>
      </c>
      <c r="B2" s="224" t="s">
        <v>70</v>
      </c>
      <c r="C2" s="223" t="s">
        <v>902</v>
      </c>
      <c r="D2" s="224" t="s">
        <v>1094</v>
      </c>
      <c r="E2" s="223" t="s">
        <v>151</v>
      </c>
      <c r="F2" s="224" t="s">
        <v>1095</v>
      </c>
      <c r="G2" s="223" t="s">
        <v>174</v>
      </c>
      <c r="H2" s="225">
        <v>0.5</v>
      </c>
      <c r="I2" s="223" t="s">
        <v>154</v>
      </c>
      <c r="J2" s="226" t="s">
        <v>1096</v>
      </c>
    </row>
    <row r="3" spans="1:10" s="231" customFormat="1" ht="41.4">
      <c r="A3" s="223" t="s">
        <v>903</v>
      </c>
      <c r="B3" s="228">
        <v>46199.497538078707</v>
      </c>
      <c r="C3" s="229" t="s">
        <v>904</v>
      </c>
      <c r="D3" s="230" t="s">
        <v>721</v>
      </c>
      <c r="E3" s="223" t="s">
        <v>905</v>
      </c>
      <c r="F3" s="230" t="s">
        <v>4194</v>
      </c>
      <c r="G3" s="223" t="s">
        <v>907</v>
      </c>
      <c r="H3" s="230" t="s">
        <v>908</v>
      </c>
      <c r="I3" s="223" t="s">
        <v>551</v>
      </c>
      <c r="J3" s="230" t="s">
        <v>4195</v>
      </c>
    </row>
    <row r="4" spans="1:10" s="231" customFormat="1" ht="372.6">
      <c r="A4" s="223" t="s">
        <v>161</v>
      </c>
      <c r="B4" s="230">
        <v>0</v>
      </c>
      <c r="C4" s="223" t="s">
        <v>199</v>
      </c>
      <c r="D4" s="230">
        <v>0</v>
      </c>
      <c r="E4" s="223" t="s">
        <v>179</v>
      </c>
      <c r="F4" s="230">
        <v>0</v>
      </c>
      <c r="G4" s="223" t="s">
        <v>870</v>
      </c>
      <c r="H4" s="232" t="s">
        <v>4196</v>
      </c>
      <c r="I4" s="233"/>
      <c r="J4" s="233"/>
    </row>
    <row r="5" spans="1:10" s="231" customFormat="1">
      <c r="A5" s="234" t="s">
        <v>911</v>
      </c>
      <c r="B5" s="225" t="s">
        <v>679</v>
      </c>
      <c r="C5" s="235" t="s">
        <v>912</v>
      </c>
      <c r="D5" s="225" t="s">
        <v>677</v>
      </c>
      <c r="E5" s="236" t="s">
        <v>913</v>
      </c>
      <c r="F5" s="225" t="s">
        <v>677</v>
      </c>
      <c r="G5" s="237" t="s">
        <v>914</v>
      </c>
      <c r="H5" s="225" t="s">
        <v>4197</v>
      </c>
      <c r="I5" s="237" t="s">
        <v>915</v>
      </c>
      <c r="J5" s="225" t="s">
        <v>679</v>
      </c>
    </row>
    <row r="6" spans="1:10" s="231" customFormat="1" ht="24.75" customHeight="1">
      <c r="A6" s="238" t="s">
        <v>916</v>
      </c>
      <c r="B6" s="225" t="s">
        <v>4198</v>
      </c>
      <c r="C6" s="239" t="s">
        <v>869</v>
      </c>
      <c r="D6" s="854" t="s">
        <v>4199</v>
      </c>
      <c r="E6" s="853"/>
      <c r="F6" s="853"/>
      <c r="G6" s="853"/>
      <c r="H6" s="853"/>
      <c r="I6" s="853"/>
      <c r="J6" s="853"/>
    </row>
    <row r="7" spans="1:10">
      <c r="A7" s="13"/>
      <c r="B7" s="13"/>
      <c r="C7" s="13"/>
      <c r="D7" s="13"/>
      <c r="E7" s="13"/>
      <c r="F7" s="13"/>
      <c r="G7" s="13"/>
      <c r="H7" s="13"/>
      <c r="I7" s="13"/>
      <c r="J7" s="13"/>
    </row>
    <row r="8" spans="1:10">
      <c r="A8" s="842" t="s">
        <v>4200</v>
      </c>
      <c r="B8" s="839"/>
      <c r="C8" s="839"/>
      <c r="D8" s="85"/>
      <c r="E8" s="85"/>
      <c r="F8" s="85"/>
      <c r="G8" s="85"/>
      <c r="H8" s="85"/>
      <c r="I8" s="85"/>
      <c r="J8" s="85"/>
    </row>
    <row r="9" spans="1:10" ht="27.6">
      <c r="A9" s="50" t="s">
        <v>4201</v>
      </c>
      <c r="B9" s="50" t="s">
        <v>4202</v>
      </c>
      <c r="C9" s="50" t="s">
        <v>4203</v>
      </c>
      <c r="D9" s="50" t="s">
        <v>4204</v>
      </c>
      <c r="E9" s="50" t="s">
        <v>4205</v>
      </c>
      <c r="F9" s="50" t="s">
        <v>4206</v>
      </c>
      <c r="G9" s="50" t="s">
        <v>77</v>
      </c>
      <c r="H9" s="50" t="s">
        <v>889</v>
      </c>
      <c r="I9" s="50" t="s">
        <v>4207</v>
      </c>
      <c r="J9" s="50" t="s">
        <v>11</v>
      </c>
    </row>
    <row r="10" spans="1:10" ht="69">
      <c r="A10" s="13" t="s">
        <v>4208</v>
      </c>
      <c r="B10" s="13" t="s">
        <v>4209</v>
      </c>
      <c r="C10" s="13" t="s">
        <v>4210</v>
      </c>
      <c r="D10" s="13" t="s">
        <v>4211</v>
      </c>
      <c r="E10" s="13" t="s">
        <v>4212</v>
      </c>
      <c r="F10" s="13" t="s">
        <v>4213</v>
      </c>
      <c r="G10" s="13" t="s">
        <v>677</v>
      </c>
      <c r="H10" s="13" t="s">
        <v>4214</v>
      </c>
      <c r="I10" s="13" t="s">
        <v>4215</v>
      </c>
      <c r="J10" s="13" t="s">
        <v>4216</v>
      </c>
    </row>
    <row r="11" spans="1:10" ht="41.4">
      <c r="A11" s="13" t="s">
        <v>4217</v>
      </c>
      <c r="B11" s="13" t="s">
        <v>4218</v>
      </c>
      <c r="C11" s="13" t="s">
        <v>4210</v>
      </c>
      <c r="D11" s="13" t="s">
        <v>4219</v>
      </c>
      <c r="E11" s="13" t="s">
        <v>4220</v>
      </c>
      <c r="F11" s="13" t="s">
        <v>4221</v>
      </c>
      <c r="G11" s="13" t="s">
        <v>677</v>
      </c>
      <c r="H11" s="13" t="s">
        <v>4222</v>
      </c>
      <c r="I11" s="13" t="s">
        <v>4223</v>
      </c>
      <c r="J11" s="13" t="s">
        <v>4224</v>
      </c>
    </row>
    <row r="12" spans="1:10" ht="55.2">
      <c r="A12" s="13" t="s">
        <v>4225</v>
      </c>
      <c r="B12" s="13" t="s">
        <v>4226</v>
      </c>
      <c r="C12" s="13" t="s">
        <v>4210</v>
      </c>
      <c r="D12" s="13" t="s">
        <v>4219</v>
      </c>
      <c r="E12" s="13" t="s">
        <v>4227</v>
      </c>
      <c r="F12" s="13" t="s">
        <v>4228</v>
      </c>
      <c r="G12" s="13" t="s">
        <v>677</v>
      </c>
      <c r="H12" s="13" t="s">
        <v>4229</v>
      </c>
      <c r="I12" s="13" t="s">
        <v>4230</v>
      </c>
      <c r="J12" s="13" t="s">
        <v>4231</v>
      </c>
    </row>
    <row r="13" spans="1:10" ht="41.4">
      <c r="A13" s="13" t="s">
        <v>4232</v>
      </c>
      <c r="B13" s="13" t="s">
        <v>4232</v>
      </c>
      <c r="C13" s="13" t="s">
        <v>4210</v>
      </c>
      <c r="D13" s="13" t="s">
        <v>4219</v>
      </c>
      <c r="E13" s="13" t="s">
        <v>4233</v>
      </c>
      <c r="F13" s="13" t="s">
        <v>4221</v>
      </c>
      <c r="G13" s="13" t="s">
        <v>677</v>
      </c>
      <c r="H13" s="13" t="s">
        <v>4234</v>
      </c>
      <c r="I13" s="13" t="s">
        <v>4235</v>
      </c>
      <c r="J13" s="13" t="s">
        <v>4236</v>
      </c>
    </row>
    <row r="14" spans="1:10" ht="41.4">
      <c r="A14" s="13" t="s">
        <v>4237</v>
      </c>
      <c r="B14" s="13" t="s">
        <v>4237</v>
      </c>
      <c r="C14" s="13" t="s">
        <v>4210</v>
      </c>
      <c r="D14" s="13" t="s">
        <v>4219</v>
      </c>
      <c r="E14" s="13" t="s">
        <v>4238</v>
      </c>
      <c r="F14" s="13" t="s">
        <v>4221</v>
      </c>
      <c r="G14" s="13" t="s">
        <v>677</v>
      </c>
      <c r="H14" s="13" t="s">
        <v>4239</v>
      </c>
      <c r="I14" s="13" t="s">
        <v>4240</v>
      </c>
      <c r="J14" s="13" t="s">
        <v>4241</v>
      </c>
    </row>
    <row r="15" spans="1:10" ht="41.4">
      <c r="A15" s="13" t="s">
        <v>4242</v>
      </c>
      <c r="B15" s="13" t="s">
        <v>4242</v>
      </c>
      <c r="C15" s="13" t="s">
        <v>4210</v>
      </c>
      <c r="D15" s="13" t="s">
        <v>4219</v>
      </c>
      <c r="E15" s="13" t="s">
        <v>4243</v>
      </c>
      <c r="F15" s="13" t="s">
        <v>4221</v>
      </c>
      <c r="G15" s="13" t="s">
        <v>677</v>
      </c>
      <c r="H15" s="13" t="s">
        <v>4244</v>
      </c>
      <c r="I15" s="13" t="s">
        <v>4245</v>
      </c>
      <c r="J15" s="13" t="s">
        <v>4246</v>
      </c>
    </row>
    <row r="16" spans="1:10" ht="41.4">
      <c r="A16" s="13" t="s">
        <v>4247</v>
      </c>
      <c r="B16" s="13" t="s">
        <v>4247</v>
      </c>
      <c r="C16" s="13" t="s">
        <v>4210</v>
      </c>
      <c r="D16" s="13" t="s">
        <v>4219</v>
      </c>
      <c r="E16" s="13" t="s">
        <v>4248</v>
      </c>
      <c r="F16" s="13" t="s">
        <v>4221</v>
      </c>
      <c r="G16" s="13" t="s">
        <v>677</v>
      </c>
      <c r="H16" s="13" t="s">
        <v>4249</v>
      </c>
      <c r="I16" s="13" t="s">
        <v>4250</v>
      </c>
      <c r="J16" s="13" t="s">
        <v>4251</v>
      </c>
    </row>
    <row r="17" spans="1:10" ht="41.4">
      <c r="A17" s="13" t="s">
        <v>4252</v>
      </c>
      <c r="B17" s="13" t="s">
        <v>4252</v>
      </c>
      <c r="C17" s="13" t="s">
        <v>4253</v>
      </c>
      <c r="D17" s="13" t="s">
        <v>4219</v>
      </c>
      <c r="E17" s="13" t="s">
        <v>4254</v>
      </c>
      <c r="F17" s="13" t="s">
        <v>4221</v>
      </c>
      <c r="G17" s="13" t="s">
        <v>677</v>
      </c>
      <c r="H17" s="13" t="s">
        <v>4255</v>
      </c>
      <c r="I17" s="13" t="s">
        <v>4256</v>
      </c>
      <c r="J17" s="13" t="s">
        <v>4257</v>
      </c>
    </row>
    <row r="18" spans="1:10" ht="41.4">
      <c r="A18" s="13" t="s">
        <v>4258</v>
      </c>
      <c r="B18" s="13" t="s">
        <v>4258</v>
      </c>
      <c r="C18" s="13" t="s">
        <v>4259</v>
      </c>
      <c r="D18" s="13" t="s">
        <v>4219</v>
      </c>
      <c r="E18" s="13" t="s">
        <v>4260</v>
      </c>
      <c r="F18" s="13" t="s">
        <v>4221</v>
      </c>
      <c r="G18" s="13" t="s">
        <v>677</v>
      </c>
      <c r="H18" s="13" t="s">
        <v>4261</v>
      </c>
      <c r="I18" s="13" t="s">
        <v>4262</v>
      </c>
      <c r="J18" s="13" t="s">
        <v>4263</v>
      </c>
    </row>
    <row r="19" spans="1:10" ht="55.2">
      <c r="A19" s="13" t="s">
        <v>4264</v>
      </c>
      <c r="B19" s="13" t="s">
        <v>4265</v>
      </c>
      <c r="C19" s="13" t="s">
        <v>4266</v>
      </c>
      <c r="D19" s="13" t="s">
        <v>4219</v>
      </c>
      <c r="E19" s="13" t="s">
        <v>4267</v>
      </c>
      <c r="F19" s="13" t="s">
        <v>4221</v>
      </c>
      <c r="G19" s="13" t="s">
        <v>677</v>
      </c>
      <c r="H19" s="13" t="s">
        <v>4268</v>
      </c>
      <c r="I19" s="13" t="s">
        <v>4269</v>
      </c>
      <c r="J19" s="13" t="s">
        <v>4270</v>
      </c>
    </row>
    <row r="20" spans="1:10">
      <c r="A20" s="13"/>
      <c r="B20" s="13"/>
      <c r="C20" s="13"/>
      <c r="D20" s="13"/>
      <c r="E20" s="13"/>
      <c r="F20" s="13"/>
      <c r="G20" s="13"/>
      <c r="H20" s="13"/>
      <c r="I20" s="13"/>
      <c r="J20" s="13"/>
    </row>
    <row r="21" spans="1:10">
      <c r="A21" s="842" t="s">
        <v>4271</v>
      </c>
      <c r="B21" s="839"/>
      <c r="C21" s="839"/>
      <c r="D21" s="85"/>
      <c r="E21" s="85"/>
      <c r="F21" s="85"/>
      <c r="G21" s="85"/>
      <c r="H21" s="85"/>
      <c r="I21" s="85"/>
      <c r="J21" s="85"/>
    </row>
    <row r="22" spans="1:10">
      <c r="A22" s="50" t="s">
        <v>4272</v>
      </c>
      <c r="B22" s="50" t="s">
        <v>4273</v>
      </c>
      <c r="C22" s="50" t="s">
        <v>4274</v>
      </c>
      <c r="D22" s="50" t="s">
        <v>4275</v>
      </c>
      <c r="E22" s="50" t="s">
        <v>4276</v>
      </c>
      <c r="F22" s="50" t="s">
        <v>4277</v>
      </c>
      <c r="G22" s="50" t="s">
        <v>4278</v>
      </c>
      <c r="H22" s="50" t="s">
        <v>4279</v>
      </c>
      <c r="I22" s="50" t="s">
        <v>899</v>
      </c>
      <c r="J22" s="50" t="s">
        <v>944</v>
      </c>
    </row>
    <row r="23" spans="1:10" ht="69">
      <c r="A23" s="13" t="s">
        <v>4280</v>
      </c>
      <c r="B23" s="13" t="s">
        <v>677</v>
      </c>
      <c r="C23" s="13" t="s">
        <v>677</v>
      </c>
      <c r="D23" s="13" t="s">
        <v>677</v>
      </c>
      <c r="E23" s="13" t="s">
        <v>677</v>
      </c>
      <c r="F23" s="13" t="s">
        <v>677</v>
      </c>
      <c r="G23" s="13" t="s">
        <v>677</v>
      </c>
      <c r="H23" s="13" t="s">
        <v>677</v>
      </c>
      <c r="I23" s="13" t="s">
        <v>677</v>
      </c>
      <c r="J23" s="13" t="s">
        <v>4281</v>
      </c>
    </row>
    <row r="24" spans="1:10" ht="55.2">
      <c r="A24" s="13" t="s">
        <v>4282</v>
      </c>
      <c r="B24" s="13" t="s">
        <v>677</v>
      </c>
      <c r="C24" s="13" t="s">
        <v>677</v>
      </c>
      <c r="D24" s="13" t="s">
        <v>677</v>
      </c>
      <c r="E24" s="13" t="s">
        <v>677</v>
      </c>
      <c r="F24" s="13" t="s">
        <v>677</v>
      </c>
      <c r="G24" s="13" t="s">
        <v>677</v>
      </c>
      <c r="H24" s="13" t="s">
        <v>677</v>
      </c>
      <c r="I24" s="13" t="s">
        <v>677</v>
      </c>
      <c r="J24" s="13" t="s">
        <v>4283</v>
      </c>
    </row>
    <row r="25" spans="1:10" ht="55.2">
      <c r="A25" s="13" t="s">
        <v>4284</v>
      </c>
      <c r="B25" s="13" t="s">
        <v>677</v>
      </c>
      <c r="C25" s="13" t="s">
        <v>677</v>
      </c>
      <c r="D25" s="13" t="s">
        <v>677</v>
      </c>
      <c r="E25" s="13" t="s">
        <v>677</v>
      </c>
      <c r="F25" s="13" t="s">
        <v>677</v>
      </c>
      <c r="G25" s="13" t="s">
        <v>677</v>
      </c>
      <c r="H25" s="13" t="s">
        <v>677</v>
      </c>
      <c r="I25" s="13" t="s">
        <v>677</v>
      </c>
      <c r="J25" s="13" t="s">
        <v>4285</v>
      </c>
    </row>
    <row r="26" spans="1:10" ht="69">
      <c r="A26" s="13" t="s">
        <v>4286</v>
      </c>
      <c r="B26" s="13" t="s">
        <v>677</v>
      </c>
      <c r="C26" s="13" t="s">
        <v>677</v>
      </c>
      <c r="D26" s="13" t="s">
        <v>677</v>
      </c>
      <c r="E26" s="13" t="s">
        <v>677</v>
      </c>
      <c r="F26" s="13" t="s">
        <v>677</v>
      </c>
      <c r="G26" s="13" t="s">
        <v>677</v>
      </c>
      <c r="H26" s="13" t="s">
        <v>677</v>
      </c>
      <c r="I26" s="13" t="s">
        <v>677</v>
      </c>
      <c r="J26" s="13" t="s">
        <v>4287</v>
      </c>
    </row>
    <row r="27" spans="1:10" ht="55.2">
      <c r="A27" s="13" t="s">
        <v>4288</v>
      </c>
      <c r="B27" s="13" t="s">
        <v>677</v>
      </c>
      <c r="C27" s="13" t="s">
        <v>677</v>
      </c>
      <c r="D27" s="13" t="s">
        <v>677</v>
      </c>
      <c r="E27" s="13" t="s">
        <v>677</v>
      </c>
      <c r="F27" s="13" t="s">
        <v>679</v>
      </c>
      <c r="G27" s="13" t="s">
        <v>677</v>
      </c>
      <c r="H27" s="13" t="s">
        <v>677</v>
      </c>
      <c r="I27" s="13" t="s">
        <v>677</v>
      </c>
      <c r="J27" s="13" t="s">
        <v>4289</v>
      </c>
    </row>
    <row r="28" spans="1:10">
      <c r="A28" s="13"/>
      <c r="B28" s="13"/>
      <c r="C28" s="13"/>
      <c r="D28" s="13"/>
      <c r="E28" s="13"/>
      <c r="F28" s="13"/>
      <c r="G28" s="13"/>
      <c r="H28" s="13"/>
      <c r="I28" s="13"/>
      <c r="J28" s="13"/>
    </row>
    <row r="29" spans="1:10">
      <c r="A29" s="842" t="s">
        <v>4290</v>
      </c>
      <c r="B29" s="839"/>
      <c r="C29" s="839"/>
      <c r="D29" s="85"/>
      <c r="E29" s="85"/>
      <c r="F29" s="85"/>
      <c r="G29" s="85"/>
      <c r="H29" s="85"/>
      <c r="I29" s="85"/>
      <c r="J29" s="85"/>
    </row>
    <row r="30" spans="1:10">
      <c r="A30" s="50" t="s">
        <v>4291</v>
      </c>
      <c r="B30" s="50" t="s">
        <v>4292</v>
      </c>
      <c r="C30" s="50" t="s">
        <v>4293</v>
      </c>
      <c r="D30" s="50" t="s">
        <v>4294</v>
      </c>
      <c r="E30" s="50" t="s">
        <v>4295</v>
      </c>
      <c r="F30" s="50" t="s">
        <v>4296</v>
      </c>
      <c r="G30" s="50" t="s">
        <v>4297</v>
      </c>
      <c r="H30" s="50" t="s">
        <v>4298</v>
      </c>
      <c r="I30" s="50" t="s">
        <v>899</v>
      </c>
      <c r="J30" s="50" t="s">
        <v>959</v>
      </c>
    </row>
    <row r="31" spans="1:10" ht="69">
      <c r="A31" s="13" t="s">
        <v>4299</v>
      </c>
      <c r="B31" s="13" t="s">
        <v>677</v>
      </c>
      <c r="C31" s="13" t="s">
        <v>677</v>
      </c>
      <c r="D31" s="13" t="s">
        <v>677</v>
      </c>
      <c r="E31" s="13" t="s">
        <v>677</v>
      </c>
      <c r="F31" s="13" t="s">
        <v>677</v>
      </c>
      <c r="G31" s="13" t="s">
        <v>677</v>
      </c>
      <c r="H31" s="13" t="s">
        <v>677</v>
      </c>
      <c r="I31" s="13" t="s">
        <v>677</v>
      </c>
      <c r="J31" s="13" t="s">
        <v>4300</v>
      </c>
    </row>
    <row r="32" spans="1:10" ht="55.2">
      <c r="A32" s="13" t="s">
        <v>4301</v>
      </c>
      <c r="B32" s="13" t="s">
        <v>677</v>
      </c>
      <c r="C32" s="13" t="s">
        <v>677</v>
      </c>
      <c r="D32" s="13" t="s">
        <v>677</v>
      </c>
      <c r="E32" s="13" t="s">
        <v>677</v>
      </c>
      <c r="F32" s="13" t="s">
        <v>679</v>
      </c>
      <c r="G32" s="13" t="s">
        <v>679</v>
      </c>
      <c r="H32" s="13" t="s">
        <v>677</v>
      </c>
      <c r="I32" s="13" t="s">
        <v>677</v>
      </c>
      <c r="J32" s="13" t="s">
        <v>4302</v>
      </c>
    </row>
    <row r="33" spans="1:10" ht="55.2">
      <c r="A33" s="13" t="s">
        <v>4303</v>
      </c>
      <c r="B33" s="13" t="s">
        <v>677</v>
      </c>
      <c r="C33" s="13" t="s">
        <v>677</v>
      </c>
      <c r="D33" s="13" t="s">
        <v>677</v>
      </c>
      <c r="E33" s="13" t="s">
        <v>677</v>
      </c>
      <c r="F33" s="13" t="s">
        <v>677</v>
      </c>
      <c r="G33" s="13" t="s">
        <v>677</v>
      </c>
      <c r="H33" s="13" t="s">
        <v>677</v>
      </c>
      <c r="I33" s="13" t="s">
        <v>677</v>
      </c>
      <c r="J33" s="13" t="s">
        <v>4304</v>
      </c>
    </row>
    <row r="34" spans="1:10" ht="55.2">
      <c r="A34" s="13" t="s">
        <v>4305</v>
      </c>
      <c r="B34" s="13" t="s">
        <v>677</v>
      </c>
      <c r="C34" s="13" t="s">
        <v>677</v>
      </c>
      <c r="D34" s="13" t="s">
        <v>677</v>
      </c>
      <c r="E34" s="13" t="s">
        <v>677</v>
      </c>
      <c r="F34" s="13" t="s">
        <v>677</v>
      </c>
      <c r="G34" s="13" t="s">
        <v>677</v>
      </c>
      <c r="H34" s="13" t="s">
        <v>677</v>
      </c>
      <c r="I34" s="13" t="s">
        <v>677</v>
      </c>
      <c r="J34" s="13" t="s">
        <v>4306</v>
      </c>
    </row>
    <row r="35" spans="1:10">
      <c r="A35" s="13"/>
      <c r="B35" s="13"/>
      <c r="C35" s="13"/>
      <c r="D35" s="13"/>
      <c r="E35" s="13"/>
      <c r="F35" s="13"/>
      <c r="G35" s="13"/>
      <c r="H35" s="13"/>
      <c r="I35" s="13"/>
      <c r="J35" s="13"/>
    </row>
    <row r="36" spans="1:10">
      <c r="A36" s="842" t="s">
        <v>4307</v>
      </c>
      <c r="B36" s="839"/>
      <c r="C36" s="839"/>
      <c r="D36" s="85"/>
      <c r="E36" s="85"/>
      <c r="F36" s="85"/>
      <c r="G36" s="85"/>
      <c r="H36" s="85"/>
      <c r="I36" s="85"/>
      <c r="J36" s="85"/>
    </row>
    <row r="37" spans="1:10">
      <c r="A37" s="50" t="s">
        <v>4308</v>
      </c>
      <c r="B37" s="50" t="s">
        <v>4309</v>
      </c>
      <c r="C37" s="50" t="s">
        <v>4310</v>
      </c>
      <c r="D37" s="50" t="s">
        <v>4311</v>
      </c>
      <c r="E37" s="50" t="s">
        <v>4312</v>
      </c>
      <c r="F37" s="50" t="s">
        <v>4313</v>
      </c>
      <c r="G37" s="50" t="s">
        <v>4279</v>
      </c>
      <c r="H37" s="50" t="s">
        <v>4314</v>
      </c>
      <c r="I37" s="50" t="s">
        <v>899</v>
      </c>
      <c r="J37" s="50" t="s">
        <v>959</v>
      </c>
    </row>
    <row r="38" spans="1:10" ht="55.2">
      <c r="A38" s="13" t="s">
        <v>4315</v>
      </c>
      <c r="B38" s="13" t="s">
        <v>4316</v>
      </c>
      <c r="C38" s="13" t="s">
        <v>4317</v>
      </c>
      <c r="D38" s="13" t="s">
        <v>677</v>
      </c>
      <c r="E38" s="13" t="s">
        <v>4318</v>
      </c>
      <c r="F38" s="13" t="s">
        <v>677</v>
      </c>
      <c r="G38" s="13" t="s">
        <v>677</v>
      </c>
      <c r="H38" s="13" t="s">
        <v>677</v>
      </c>
      <c r="I38" s="13" t="s">
        <v>677</v>
      </c>
      <c r="J38" s="13" t="s">
        <v>4319</v>
      </c>
    </row>
    <row r="39" spans="1:10" ht="27.6">
      <c r="A39" s="13" t="s">
        <v>4320</v>
      </c>
      <c r="B39" s="13" t="s">
        <v>4321</v>
      </c>
      <c r="C39" s="13" t="s">
        <v>4322</v>
      </c>
      <c r="D39" s="13" t="s">
        <v>677</v>
      </c>
      <c r="E39" s="13" t="s">
        <v>4323</v>
      </c>
      <c r="F39" s="13" t="s">
        <v>677</v>
      </c>
      <c r="G39" s="13" t="s">
        <v>677</v>
      </c>
      <c r="H39" s="13" t="s">
        <v>677</v>
      </c>
      <c r="I39" s="13" t="s">
        <v>677</v>
      </c>
      <c r="J39" s="13" t="s">
        <v>4324</v>
      </c>
    </row>
    <row r="40" spans="1:10" ht="41.4">
      <c r="A40" s="13" t="s">
        <v>4325</v>
      </c>
      <c r="B40" s="13" t="s">
        <v>4321</v>
      </c>
      <c r="C40" s="13" t="s">
        <v>4326</v>
      </c>
      <c r="D40" s="13" t="s">
        <v>677</v>
      </c>
      <c r="E40" s="13" t="s">
        <v>4220</v>
      </c>
      <c r="F40" s="13" t="s">
        <v>677</v>
      </c>
      <c r="G40" s="13" t="s">
        <v>677</v>
      </c>
      <c r="H40" s="13" t="s">
        <v>677</v>
      </c>
      <c r="I40" s="13" t="s">
        <v>677</v>
      </c>
      <c r="J40" s="13" t="s">
        <v>4327</v>
      </c>
    </row>
    <row r="41" spans="1:10" ht="41.4">
      <c r="A41" s="13" t="s">
        <v>4328</v>
      </c>
      <c r="B41" s="13" t="s">
        <v>4321</v>
      </c>
      <c r="C41" s="13" t="s">
        <v>4326</v>
      </c>
      <c r="D41" s="13" t="s">
        <v>677</v>
      </c>
      <c r="E41" s="13" t="s">
        <v>4329</v>
      </c>
      <c r="F41" s="13" t="s">
        <v>677</v>
      </c>
      <c r="G41" s="13" t="s">
        <v>677</v>
      </c>
      <c r="H41" s="13" t="s">
        <v>677</v>
      </c>
      <c r="I41" s="13" t="s">
        <v>677</v>
      </c>
      <c r="J41" s="13" t="s">
        <v>4330</v>
      </c>
    </row>
    <row r="42" spans="1:10" ht="55.2">
      <c r="A42" s="13" t="s">
        <v>4279</v>
      </c>
      <c r="B42" s="13" t="s">
        <v>4331</v>
      </c>
      <c r="C42" s="13" t="s">
        <v>679</v>
      </c>
      <c r="D42" s="13" t="s">
        <v>4332</v>
      </c>
      <c r="E42" s="13" t="s">
        <v>679</v>
      </c>
      <c r="F42" s="13" t="s">
        <v>679</v>
      </c>
      <c r="G42" s="13" t="s">
        <v>677</v>
      </c>
      <c r="H42" s="13" t="s">
        <v>677</v>
      </c>
      <c r="I42" s="13" t="s">
        <v>677</v>
      </c>
      <c r="J42" s="13" t="s">
        <v>4333</v>
      </c>
    </row>
    <row r="43" spans="1:10">
      <c r="A43" s="13"/>
      <c r="B43" s="13"/>
      <c r="C43" s="13"/>
      <c r="D43" s="13"/>
      <c r="E43" s="13"/>
      <c r="F43" s="13"/>
      <c r="G43" s="13"/>
      <c r="H43" s="13"/>
      <c r="I43" s="13"/>
      <c r="J43" s="13"/>
    </row>
    <row r="44" spans="1:10">
      <c r="A44" s="842" t="s">
        <v>4334</v>
      </c>
      <c r="B44" s="839"/>
      <c r="C44" s="839"/>
      <c r="D44" s="85"/>
      <c r="E44" s="85"/>
      <c r="F44" s="85"/>
      <c r="G44" s="85"/>
      <c r="H44" s="85"/>
      <c r="I44" s="85"/>
      <c r="J44" s="85"/>
    </row>
    <row r="45" spans="1:10" ht="27.6">
      <c r="A45" s="50" t="s">
        <v>4291</v>
      </c>
      <c r="B45" s="50" t="s">
        <v>4335</v>
      </c>
      <c r="C45" s="50" t="s">
        <v>4336</v>
      </c>
      <c r="D45" s="50" t="s">
        <v>4337</v>
      </c>
      <c r="E45" s="50" t="s">
        <v>4274</v>
      </c>
      <c r="F45" s="50" t="s">
        <v>4338</v>
      </c>
      <c r="G45" s="50" t="s">
        <v>4339</v>
      </c>
      <c r="H45" s="50" t="s">
        <v>4340</v>
      </c>
      <c r="I45" s="50" t="s">
        <v>899</v>
      </c>
      <c r="J45" s="50" t="s">
        <v>11</v>
      </c>
    </row>
    <row r="46" spans="1:10" ht="69">
      <c r="A46" s="13" t="s">
        <v>4208</v>
      </c>
      <c r="B46" s="13" t="s">
        <v>677</v>
      </c>
      <c r="C46" s="13" t="s">
        <v>677</v>
      </c>
      <c r="D46" s="13" t="s">
        <v>677</v>
      </c>
      <c r="E46" s="13" t="s">
        <v>677</v>
      </c>
      <c r="F46" s="13" t="s">
        <v>677</v>
      </c>
      <c r="G46" s="13" t="s">
        <v>677</v>
      </c>
      <c r="H46" s="13" t="s">
        <v>677</v>
      </c>
      <c r="I46" s="13" t="s">
        <v>677</v>
      </c>
      <c r="J46" s="13" t="s">
        <v>4341</v>
      </c>
    </row>
    <row r="47" spans="1:10" ht="55.2">
      <c r="A47" s="13" t="s">
        <v>4282</v>
      </c>
      <c r="B47" s="13" t="s">
        <v>677</v>
      </c>
      <c r="C47" s="13" t="s">
        <v>677</v>
      </c>
      <c r="D47" s="13" t="s">
        <v>677</v>
      </c>
      <c r="E47" s="13" t="s">
        <v>677</v>
      </c>
      <c r="F47" s="13" t="s">
        <v>677</v>
      </c>
      <c r="G47" s="13" t="s">
        <v>679</v>
      </c>
      <c r="H47" s="13" t="s">
        <v>679</v>
      </c>
      <c r="I47" s="13" t="s">
        <v>677</v>
      </c>
      <c r="J47" s="13" t="s">
        <v>4342</v>
      </c>
    </row>
    <row r="48" spans="1:10" ht="69">
      <c r="A48" s="13" t="s">
        <v>4343</v>
      </c>
      <c r="B48" s="13" t="s">
        <v>677</v>
      </c>
      <c r="C48" s="13" t="s">
        <v>677</v>
      </c>
      <c r="D48" s="13" t="s">
        <v>677</v>
      </c>
      <c r="E48" s="13" t="s">
        <v>677</v>
      </c>
      <c r="F48" s="13" t="s">
        <v>677</v>
      </c>
      <c r="G48" s="13" t="s">
        <v>677</v>
      </c>
      <c r="H48" s="13" t="s">
        <v>677</v>
      </c>
      <c r="I48" s="13" t="s">
        <v>677</v>
      </c>
      <c r="J48" s="13" t="s">
        <v>4344</v>
      </c>
    </row>
    <row r="49" spans="1:10" ht="55.2">
      <c r="A49" s="13" t="s">
        <v>4286</v>
      </c>
      <c r="B49" s="13" t="s">
        <v>677</v>
      </c>
      <c r="C49" s="13" t="s">
        <v>677</v>
      </c>
      <c r="D49" s="13" t="s">
        <v>677</v>
      </c>
      <c r="E49" s="13" t="s">
        <v>677</v>
      </c>
      <c r="F49" s="13" t="s">
        <v>677</v>
      </c>
      <c r="G49" s="13" t="s">
        <v>677</v>
      </c>
      <c r="H49" s="13" t="s">
        <v>677</v>
      </c>
      <c r="I49" s="13" t="s">
        <v>677</v>
      </c>
      <c r="J49" s="13" t="s">
        <v>4345</v>
      </c>
    </row>
    <row r="50" spans="1:10">
      <c r="A50" s="13"/>
      <c r="B50" s="13"/>
      <c r="C50" s="13"/>
      <c r="D50" s="13"/>
      <c r="E50" s="13"/>
      <c r="F50" s="13"/>
      <c r="G50" s="13"/>
      <c r="H50" s="13"/>
      <c r="I50" s="13"/>
      <c r="J50" s="13"/>
    </row>
    <row r="51" spans="1:10">
      <c r="A51" s="842" t="s">
        <v>4346</v>
      </c>
      <c r="B51" s="839"/>
      <c r="C51" s="839"/>
      <c r="D51" s="85"/>
      <c r="E51" s="85"/>
      <c r="F51" s="85"/>
      <c r="G51" s="85"/>
      <c r="H51" s="85"/>
      <c r="I51" s="85"/>
      <c r="J51" s="85"/>
    </row>
    <row r="52" spans="1:10">
      <c r="A52" s="50" t="s">
        <v>4347</v>
      </c>
      <c r="B52" s="50" t="s">
        <v>4348</v>
      </c>
      <c r="C52" s="50" t="s">
        <v>4266</v>
      </c>
      <c r="D52" s="50" t="s">
        <v>4349</v>
      </c>
      <c r="E52" s="50" t="s">
        <v>4350</v>
      </c>
      <c r="F52" s="50" t="s">
        <v>4351</v>
      </c>
      <c r="G52" s="50" t="s">
        <v>1000</v>
      </c>
      <c r="H52" s="50" t="s">
        <v>1001</v>
      </c>
      <c r="I52" s="50" t="s">
        <v>899</v>
      </c>
      <c r="J52" s="50" t="s">
        <v>11</v>
      </c>
    </row>
    <row r="53" spans="1:10" ht="55.2">
      <c r="A53" s="13" t="s">
        <v>4280</v>
      </c>
      <c r="B53" s="13" t="s">
        <v>677</v>
      </c>
      <c r="C53" s="13" t="s">
        <v>677</v>
      </c>
      <c r="D53" s="13" t="s">
        <v>4352</v>
      </c>
      <c r="E53" s="13" t="s">
        <v>4353</v>
      </c>
      <c r="F53" s="13" t="s">
        <v>4354</v>
      </c>
      <c r="G53" s="13" t="s">
        <v>677</v>
      </c>
      <c r="H53" s="13" t="s">
        <v>677</v>
      </c>
      <c r="I53" s="13" t="s">
        <v>677</v>
      </c>
      <c r="J53" s="13" t="s">
        <v>4355</v>
      </c>
    </row>
    <row r="54" spans="1:10" ht="55.2">
      <c r="A54" s="13" t="s">
        <v>4356</v>
      </c>
      <c r="B54" s="13" t="s">
        <v>677</v>
      </c>
      <c r="C54" s="13" t="s">
        <v>677</v>
      </c>
      <c r="D54" s="13" t="s">
        <v>4357</v>
      </c>
      <c r="E54" s="13" t="s">
        <v>677</v>
      </c>
      <c r="F54" s="13" t="s">
        <v>4358</v>
      </c>
      <c r="G54" s="13" t="s">
        <v>677</v>
      </c>
      <c r="H54" s="13" t="s">
        <v>677</v>
      </c>
      <c r="I54" s="13" t="s">
        <v>677</v>
      </c>
      <c r="J54" s="13" t="s">
        <v>4359</v>
      </c>
    </row>
    <row r="55" spans="1:10" ht="41.4">
      <c r="A55" s="13" t="s">
        <v>4360</v>
      </c>
      <c r="B55" s="13" t="s">
        <v>677</v>
      </c>
      <c r="C55" s="13" t="s">
        <v>677</v>
      </c>
      <c r="D55" s="13" t="s">
        <v>4361</v>
      </c>
      <c r="E55" s="13" t="s">
        <v>677</v>
      </c>
      <c r="F55" s="13" t="s">
        <v>4362</v>
      </c>
      <c r="G55" s="13" t="s">
        <v>677</v>
      </c>
      <c r="H55" s="13" t="s">
        <v>677</v>
      </c>
      <c r="I55" s="13" t="s">
        <v>677</v>
      </c>
      <c r="J55" s="13" t="s">
        <v>4363</v>
      </c>
    </row>
    <row r="56" spans="1:10" ht="69">
      <c r="A56" s="13" t="s">
        <v>4364</v>
      </c>
      <c r="B56" s="13" t="s">
        <v>677</v>
      </c>
      <c r="C56" s="13" t="s">
        <v>677</v>
      </c>
      <c r="D56" s="13" t="s">
        <v>4365</v>
      </c>
      <c r="E56" s="13" t="s">
        <v>677</v>
      </c>
      <c r="F56" s="13" t="s">
        <v>4366</v>
      </c>
      <c r="G56" s="13" t="s">
        <v>677</v>
      </c>
      <c r="H56" s="13" t="s">
        <v>677</v>
      </c>
      <c r="I56" s="13" t="s">
        <v>677</v>
      </c>
      <c r="J56" s="13" t="s">
        <v>4367</v>
      </c>
    </row>
    <row r="57" spans="1:10">
      <c r="A57" s="13"/>
      <c r="B57" s="13"/>
      <c r="C57" s="13"/>
      <c r="D57" s="13"/>
      <c r="E57" s="13"/>
      <c r="F57" s="13"/>
      <c r="G57" s="13"/>
      <c r="H57" s="13"/>
      <c r="I57" s="13"/>
      <c r="J57" s="13"/>
    </row>
    <row r="58" spans="1:10">
      <c r="A58" s="842" t="s">
        <v>4368</v>
      </c>
      <c r="B58" s="839"/>
      <c r="C58" s="839"/>
      <c r="D58" s="85"/>
      <c r="E58" s="85"/>
      <c r="F58" s="85"/>
      <c r="G58" s="85"/>
      <c r="H58" s="85"/>
      <c r="I58" s="85"/>
      <c r="J58" s="85"/>
    </row>
    <row r="59" spans="1:10">
      <c r="A59" s="50" t="s">
        <v>4291</v>
      </c>
      <c r="B59" s="50" t="s">
        <v>941</v>
      </c>
      <c r="C59" s="50" t="s">
        <v>4369</v>
      </c>
      <c r="D59" s="50" t="s">
        <v>4370</v>
      </c>
      <c r="E59" s="50" t="s">
        <v>4371</v>
      </c>
      <c r="F59" s="50" t="s">
        <v>4372</v>
      </c>
      <c r="G59" s="50" t="s">
        <v>4373</v>
      </c>
      <c r="H59" s="50" t="s">
        <v>4374</v>
      </c>
      <c r="I59" s="50" t="s">
        <v>899</v>
      </c>
      <c r="J59" s="50" t="s">
        <v>11</v>
      </c>
    </row>
    <row r="60" spans="1:10" ht="55.2">
      <c r="A60" s="13" t="s">
        <v>4375</v>
      </c>
      <c r="B60" s="13" t="s">
        <v>677</v>
      </c>
      <c r="C60" s="13" t="s">
        <v>677</v>
      </c>
      <c r="D60" s="13" t="s">
        <v>677</v>
      </c>
      <c r="E60" s="13" t="s">
        <v>677</v>
      </c>
      <c r="F60" s="13" t="s">
        <v>677</v>
      </c>
      <c r="G60" s="13" t="s">
        <v>677</v>
      </c>
      <c r="H60" s="13" t="s">
        <v>677</v>
      </c>
      <c r="I60" s="13" t="s">
        <v>677</v>
      </c>
      <c r="J60" s="13" t="s">
        <v>4376</v>
      </c>
    </row>
    <row r="61" spans="1:10" ht="69">
      <c r="A61" s="13" t="s">
        <v>4377</v>
      </c>
      <c r="B61" s="13" t="s">
        <v>677</v>
      </c>
      <c r="C61" s="13" t="s">
        <v>677</v>
      </c>
      <c r="D61" s="13" t="s">
        <v>677</v>
      </c>
      <c r="E61" s="13" t="s">
        <v>677</v>
      </c>
      <c r="F61" s="13" t="s">
        <v>677</v>
      </c>
      <c r="G61" s="13" t="s">
        <v>677</v>
      </c>
      <c r="H61" s="13" t="s">
        <v>677</v>
      </c>
      <c r="I61" s="13" t="s">
        <v>677</v>
      </c>
      <c r="J61" s="13" t="s">
        <v>4378</v>
      </c>
    </row>
    <row r="62" spans="1:10" ht="55.2">
      <c r="A62" s="13" t="s">
        <v>4379</v>
      </c>
      <c r="B62" s="13" t="s">
        <v>677</v>
      </c>
      <c r="C62" s="13" t="s">
        <v>677</v>
      </c>
      <c r="D62" s="13" t="s">
        <v>677</v>
      </c>
      <c r="E62" s="13" t="s">
        <v>677</v>
      </c>
      <c r="F62" s="13" t="s">
        <v>677</v>
      </c>
      <c r="G62" s="13" t="s">
        <v>677</v>
      </c>
      <c r="H62" s="13" t="s">
        <v>677</v>
      </c>
      <c r="I62" s="13" t="s">
        <v>677</v>
      </c>
      <c r="J62" s="13" t="s">
        <v>4380</v>
      </c>
    </row>
    <row r="63" spans="1:10">
      <c r="A63" s="13"/>
      <c r="B63" s="13"/>
      <c r="C63" s="13"/>
      <c r="D63" s="13"/>
      <c r="E63" s="13"/>
      <c r="F63" s="13"/>
      <c r="G63" s="13"/>
      <c r="H63" s="13"/>
      <c r="I63" s="13"/>
      <c r="J63" s="13"/>
    </row>
    <row r="64" spans="1:10">
      <c r="A64" s="842" t="s">
        <v>1019</v>
      </c>
      <c r="B64" s="839"/>
      <c r="C64" s="839"/>
      <c r="D64" s="85"/>
      <c r="E64" s="85"/>
      <c r="F64" s="85"/>
      <c r="G64" s="85"/>
      <c r="H64" s="85"/>
      <c r="I64" s="85"/>
      <c r="J64" s="85"/>
    </row>
    <row r="65" spans="1:10">
      <c r="A65" s="50" t="s">
        <v>213</v>
      </c>
      <c r="B65" s="50" t="s">
        <v>4291</v>
      </c>
      <c r="C65" s="50" t="s">
        <v>573</v>
      </c>
      <c r="D65" s="50" t="s">
        <v>215</v>
      </c>
      <c r="E65" s="50" t="s">
        <v>257</v>
      </c>
      <c r="F65" s="50" t="s">
        <v>572</v>
      </c>
      <c r="G65" s="50" t="s">
        <v>259</v>
      </c>
      <c r="H65" s="50" t="s">
        <v>216</v>
      </c>
      <c r="I65" s="50" t="s">
        <v>77</v>
      </c>
      <c r="J65" s="50" t="s">
        <v>11</v>
      </c>
    </row>
    <row r="66" spans="1:10" ht="82.8">
      <c r="A66" s="13" t="s">
        <v>574</v>
      </c>
      <c r="B66" s="13" t="s">
        <v>575</v>
      </c>
      <c r="C66" s="13" t="s">
        <v>577</v>
      </c>
      <c r="D66" s="13" t="s">
        <v>492</v>
      </c>
      <c r="E66" s="13" t="s">
        <v>391</v>
      </c>
      <c r="F66" s="13">
        <v>9</v>
      </c>
      <c r="G66" s="13" t="s">
        <v>4381</v>
      </c>
      <c r="H66" s="13" t="s">
        <v>576</v>
      </c>
      <c r="I66" s="13" t="s">
        <v>502</v>
      </c>
      <c r="J66" s="13" t="s">
        <v>4382</v>
      </c>
    </row>
    <row r="67" spans="1:10" ht="69">
      <c r="A67" s="13" t="s">
        <v>4383</v>
      </c>
      <c r="B67" s="13" t="s">
        <v>575</v>
      </c>
      <c r="C67" s="13" t="s">
        <v>4384</v>
      </c>
      <c r="D67" s="13" t="s">
        <v>492</v>
      </c>
      <c r="E67" s="13" t="s">
        <v>488</v>
      </c>
      <c r="F67" s="13">
        <v>8</v>
      </c>
      <c r="G67" s="13" t="s">
        <v>4385</v>
      </c>
      <c r="H67" s="13" t="s">
        <v>584</v>
      </c>
      <c r="I67" s="13" t="s">
        <v>502</v>
      </c>
      <c r="J67" s="13" t="s">
        <v>4386</v>
      </c>
    </row>
    <row r="68" spans="1:10" ht="82.8">
      <c r="A68" s="13" t="s">
        <v>4387</v>
      </c>
      <c r="B68" s="13" t="s">
        <v>575</v>
      </c>
      <c r="C68" s="13" t="s">
        <v>4388</v>
      </c>
      <c r="D68" s="13" t="s">
        <v>391</v>
      </c>
      <c r="E68" s="13" t="s">
        <v>488</v>
      </c>
      <c r="F68" s="13">
        <v>6</v>
      </c>
      <c r="G68" s="13" t="s">
        <v>4389</v>
      </c>
      <c r="H68" s="13" t="s">
        <v>4390</v>
      </c>
      <c r="I68" s="13" t="s">
        <v>502</v>
      </c>
      <c r="J68" s="13" t="s">
        <v>4391</v>
      </c>
    </row>
    <row r="69" spans="1:10" ht="82.8">
      <c r="A69" s="13" t="s">
        <v>4392</v>
      </c>
      <c r="B69" s="13" t="s">
        <v>4393</v>
      </c>
      <c r="C69" s="13" t="s">
        <v>4394</v>
      </c>
      <c r="D69" s="13" t="s">
        <v>492</v>
      </c>
      <c r="E69" s="13" t="s">
        <v>488</v>
      </c>
      <c r="F69" s="13">
        <v>8</v>
      </c>
      <c r="G69" s="13" t="s">
        <v>4395</v>
      </c>
      <c r="H69" s="13" t="s">
        <v>595</v>
      </c>
      <c r="I69" s="13" t="s">
        <v>502</v>
      </c>
      <c r="J69" s="13" t="s">
        <v>4396</v>
      </c>
    </row>
    <row r="70" spans="1:10" ht="82.8">
      <c r="A70" s="13" t="s">
        <v>4397</v>
      </c>
      <c r="B70" s="13" t="s">
        <v>4398</v>
      </c>
      <c r="C70" s="13" t="s">
        <v>4399</v>
      </c>
      <c r="D70" s="13" t="s">
        <v>391</v>
      </c>
      <c r="E70" s="13" t="s">
        <v>488</v>
      </c>
      <c r="F70" s="13">
        <v>6</v>
      </c>
      <c r="G70" s="13" t="s">
        <v>4400</v>
      </c>
      <c r="H70" s="13" t="s">
        <v>4401</v>
      </c>
      <c r="I70" s="13" t="s">
        <v>502</v>
      </c>
      <c r="J70" s="13" t="s">
        <v>4402</v>
      </c>
    </row>
    <row r="71" spans="1:10" ht="69">
      <c r="A71" s="13" t="s">
        <v>4403</v>
      </c>
      <c r="B71" s="13" t="s">
        <v>4404</v>
      </c>
      <c r="C71" s="13" t="s">
        <v>4405</v>
      </c>
      <c r="D71" s="13" t="s">
        <v>391</v>
      </c>
      <c r="E71" s="13" t="s">
        <v>488</v>
      </c>
      <c r="F71" s="13">
        <v>6</v>
      </c>
      <c r="G71" s="13" t="s">
        <v>4406</v>
      </c>
      <c r="H71" s="13" t="s">
        <v>4407</v>
      </c>
      <c r="I71" s="13" t="s">
        <v>502</v>
      </c>
      <c r="J71" s="13" t="s">
        <v>4408</v>
      </c>
    </row>
    <row r="72" spans="1:10" ht="82.8">
      <c r="A72" s="13" t="s">
        <v>4409</v>
      </c>
      <c r="B72" s="13" t="s">
        <v>4410</v>
      </c>
      <c r="C72" s="13" t="s">
        <v>4411</v>
      </c>
      <c r="D72" s="13" t="s">
        <v>488</v>
      </c>
      <c r="E72" s="13" t="s">
        <v>488</v>
      </c>
      <c r="F72" s="13">
        <v>4</v>
      </c>
      <c r="G72" s="13" t="s">
        <v>4412</v>
      </c>
      <c r="H72" s="13" t="s">
        <v>4413</v>
      </c>
      <c r="I72" s="13" t="s">
        <v>502</v>
      </c>
      <c r="J72" s="13" t="s">
        <v>4414</v>
      </c>
    </row>
    <row r="73" spans="1:10" ht="82.8">
      <c r="A73" s="13" t="s">
        <v>4415</v>
      </c>
      <c r="B73" s="13" t="s">
        <v>4416</v>
      </c>
      <c r="C73" s="13" t="s">
        <v>4417</v>
      </c>
      <c r="D73" s="13" t="s">
        <v>391</v>
      </c>
      <c r="E73" s="13" t="s">
        <v>488</v>
      </c>
      <c r="F73" s="13">
        <v>6</v>
      </c>
      <c r="G73" s="13" t="s">
        <v>4418</v>
      </c>
      <c r="H73" s="13" t="s">
        <v>4419</v>
      </c>
      <c r="I73" s="13" t="s">
        <v>502</v>
      </c>
      <c r="J73" s="13" t="s">
        <v>4420</v>
      </c>
    </row>
    <row r="74" spans="1:10">
      <c r="A74" s="13"/>
      <c r="B74" s="13"/>
      <c r="C74" s="13"/>
      <c r="D74" s="13"/>
      <c r="E74" s="13"/>
      <c r="F74" s="13"/>
      <c r="G74" s="13"/>
      <c r="H74" s="13"/>
      <c r="I74" s="13"/>
      <c r="J74" s="13"/>
    </row>
    <row r="75" spans="1:10">
      <c r="A75" s="842" t="s">
        <v>1051</v>
      </c>
      <c r="B75" s="839"/>
      <c r="C75" s="839"/>
      <c r="D75" s="85"/>
      <c r="E75" s="85"/>
      <c r="F75" s="85"/>
      <c r="G75" s="85"/>
      <c r="H75" s="85"/>
      <c r="I75" s="85"/>
      <c r="J75" s="85"/>
    </row>
    <row r="76" spans="1:10">
      <c r="A76" s="50" t="s">
        <v>221</v>
      </c>
      <c r="B76" s="50" t="s">
        <v>222</v>
      </c>
      <c r="C76" s="50" t="s">
        <v>265</v>
      </c>
      <c r="D76" s="50" t="s">
        <v>77</v>
      </c>
      <c r="E76" s="50" t="s">
        <v>878</v>
      </c>
      <c r="F76" s="50" t="s">
        <v>879</v>
      </c>
      <c r="G76" s="50" t="s">
        <v>880</v>
      </c>
      <c r="H76" s="50" t="s">
        <v>494</v>
      </c>
      <c r="I76" s="50" t="s">
        <v>881</v>
      </c>
      <c r="J76" s="50" t="s">
        <v>11</v>
      </c>
    </row>
    <row r="77" spans="1:10" ht="138">
      <c r="A77" s="13" t="s">
        <v>4421</v>
      </c>
      <c r="B77" s="13" t="s">
        <v>4422</v>
      </c>
      <c r="C77" s="13" t="s">
        <v>579</v>
      </c>
      <c r="D77" s="13" t="s">
        <v>502</v>
      </c>
      <c r="E77" s="13"/>
      <c r="F77" s="13"/>
      <c r="G77" s="13" t="s">
        <v>4423</v>
      </c>
      <c r="H77" s="13"/>
      <c r="I77" s="13"/>
      <c r="J77" s="13"/>
    </row>
    <row r="78" spans="1:10" ht="82.8">
      <c r="A78" s="13" t="s">
        <v>4424</v>
      </c>
      <c r="B78" s="13" t="s">
        <v>4425</v>
      </c>
      <c r="C78" s="13" t="s">
        <v>4426</v>
      </c>
      <c r="D78" s="13" t="s">
        <v>502</v>
      </c>
      <c r="E78" s="13"/>
      <c r="F78" s="13"/>
      <c r="G78" s="13" t="s">
        <v>4427</v>
      </c>
      <c r="H78" s="13"/>
      <c r="I78" s="13"/>
      <c r="J78" s="13"/>
    </row>
    <row r="79" spans="1:10" ht="82.8">
      <c r="A79" s="13" t="s">
        <v>4428</v>
      </c>
      <c r="B79" s="13" t="s">
        <v>4429</v>
      </c>
      <c r="C79" s="13" t="s">
        <v>4430</v>
      </c>
      <c r="D79" s="13" t="s">
        <v>502</v>
      </c>
      <c r="E79" s="13"/>
      <c r="F79" s="13"/>
      <c r="G79" s="13" t="s">
        <v>4431</v>
      </c>
      <c r="H79" s="13"/>
      <c r="I79" s="13"/>
      <c r="J79" s="13"/>
    </row>
    <row r="80" spans="1:10" ht="82.8">
      <c r="A80" s="13" t="s">
        <v>4432</v>
      </c>
      <c r="B80" s="13" t="s">
        <v>4433</v>
      </c>
      <c r="C80" s="13" t="s">
        <v>4434</v>
      </c>
      <c r="D80" s="13" t="s">
        <v>502</v>
      </c>
      <c r="E80" s="13"/>
      <c r="F80" s="13"/>
      <c r="G80" s="13" t="s">
        <v>4435</v>
      </c>
      <c r="H80" s="13"/>
      <c r="I80" s="13"/>
      <c r="J80" s="13"/>
    </row>
    <row r="81" spans="1:10" ht="110.4">
      <c r="A81" s="13" t="s">
        <v>4436</v>
      </c>
      <c r="B81" s="13" t="s">
        <v>4437</v>
      </c>
      <c r="C81" s="13" t="s">
        <v>4438</v>
      </c>
      <c r="D81" s="13" t="s">
        <v>502</v>
      </c>
      <c r="E81" s="13"/>
      <c r="F81" s="13"/>
      <c r="G81" s="13" t="s">
        <v>4439</v>
      </c>
      <c r="H81" s="13"/>
      <c r="I81" s="13"/>
      <c r="J81" s="13"/>
    </row>
    <row r="82" spans="1:10" ht="110.4">
      <c r="A82" s="13" t="s">
        <v>4440</v>
      </c>
      <c r="B82" s="13" t="s">
        <v>4441</v>
      </c>
      <c r="C82" s="13" t="s">
        <v>4442</v>
      </c>
      <c r="D82" s="13" t="s">
        <v>502</v>
      </c>
      <c r="E82" s="13"/>
      <c r="F82" s="13"/>
      <c r="G82" s="13" t="s">
        <v>4443</v>
      </c>
      <c r="H82" s="13"/>
      <c r="I82" s="13"/>
      <c r="J82" s="13"/>
    </row>
    <row r="83" spans="1:10" ht="82.8">
      <c r="A83" s="13" t="s">
        <v>4444</v>
      </c>
      <c r="B83" s="13" t="s">
        <v>4445</v>
      </c>
      <c r="C83" s="13" t="s">
        <v>4446</v>
      </c>
      <c r="D83" s="13" t="s">
        <v>502</v>
      </c>
      <c r="E83" s="13"/>
      <c r="F83" s="13"/>
      <c r="G83" s="13" t="s">
        <v>4447</v>
      </c>
      <c r="H83" s="13"/>
      <c r="I83" s="13"/>
      <c r="J83" s="13"/>
    </row>
    <row r="84" spans="1:10" ht="124.2">
      <c r="A84" s="13" t="s">
        <v>4448</v>
      </c>
      <c r="B84" s="13" t="s">
        <v>4449</v>
      </c>
      <c r="C84" s="13" t="s">
        <v>4450</v>
      </c>
      <c r="D84" s="13" t="s">
        <v>502</v>
      </c>
      <c r="E84" s="13"/>
      <c r="F84" s="13"/>
      <c r="G84" s="13" t="s">
        <v>4451</v>
      </c>
      <c r="H84" s="13"/>
      <c r="I84" s="13"/>
      <c r="J84" s="13"/>
    </row>
    <row r="85" spans="1:10">
      <c r="A85" s="13"/>
      <c r="B85" s="13"/>
      <c r="C85" s="13"/>
      <c r="D85" s="13"/>
      <c r="E85" s="13"/>
      <c r="F85" s="13"/>
      <c r="G85" s="13"/>
      <c r="H85" s="13"/>
      <c r="I85" s="13"/>
      <c r="J85" s="13"/>
    </row>
    <row r="86" spans="1:10">
      <c r="A86" s="842" t="s">
        <v>1052</v>
      </c>
      <c r="B86" s="839"/>
      <c r="C86" s="839"/>
      <c r="D86" s="85"/>
      <c r="E86" s="85"/>
      <c r="F86" s="85"/>
      <c r="G86" s="85"/>
      <c r="H86" s="85"/>
      <c r="I86" s="85"/>
      <c r="J86" s="85"/>
    </row>
    <row r="87" spans="1:10">
      <c r="A87" s="50" t="s">
        <v>291</v>
      </c>
      <c r="B87" s="50" t="s">
        <v>4291</v>
      </c>
      <c r="C87" s="50" t="s">
        <v>493</v>
      </c>
      <c r="D87" s="50" t="s">
        <v>214</v>
      </c>
      <c r="E87" s="50" t="s">
        <v>263</v>
      </c>
      <c r="F87" s="50" t="s">
        <v>891</v>
      </c>
      <c r="G87" s="50" t="s">
        <v>892</v>
      </c>
      <c r="H87" s="50" t="s">
        <v>893</v>
      </c>
      <c r="I87" s="50" t="s">
        <v>77</v>
      </c>
      <c r="J87" s="50" t="s">
        <v>11</v>
      </c>
    </row>
    <row r="88" spans="1:10" ht="110.4">
      <c r="A88" s="13" t="s">
        <v>4452</v>
      </c>
      <c r="B88" s="13" t="s">
        <v>4208</v>
      </c>
      <c r="C88" s="13" t="s">
        <v>252</v>
      </c>
      <c r="D88" s="13" t="s">
        <v>4453</v>
      </c>
      <c r="E88" s="13"/>
      <c r="F88" s="13"/>
      <c r="G88" s="13"/>
      <c r="H88" s="13" t="s">
        <v>4454</v>
      </c>
      <c r="I88" s="13" t="s">
        <v>502</v>
      </c>
      <c r="J88" s="13"/>
    </row>
    <row r="89" spans="1:10" ht="96.6">
      <c r="A89" s="13" t="s">
        <v>4455</v>
      </c>
      <c r="B89" s="13" t="s">
        <v>4456</v>
      </c>
      <c r="C89" s="13" t="s">
        <v>4312</v>
      </c>
      <c r="D89" s="13" t="s">
        <v>4457</v>
      </c>
      <c r="E89" s="13"/>
      <c r="F89" s="13"/>
      <c r="G89" s="13"/>
      <c r="H89" s="13" t="s">
        <v>4458</v>
      </c>
      <c r="I89" s="13" t="s">
        <v>502</v>
      </c>
      <c r="J89" s="13"/>
    </row>
    <row r="90" spans="1:10" ht="124.2">
      <c r="A90" s="13" t="s">
        <v>4459</v>
      </c>
      <c r="B90" s="13" t="s">
        <v>4460</v>
      </c>
      <c r="C90" s="13" t="s">
        <v>4461</v>
      </c>
      <c r="D90" s="13" t="s">
        <v>4462</v>
      </c>
      <c r="E90" s="13"/>
      <c r="F90" s="13"/>
      <c r="G90" s="13"/>
      <c r="H90" s="13" t="s">
        <v>4463</v>
      </c>
      <c r="I90" s="13" t="s">
        <v>502</v>
      </c>
      <c r="J90" s="13"/>
    </row>
    <row r="91" spans="1:10" ht="110.4">
      <c r="A91" s="13" t="s">
        <v>4464</v>
      </c>
      <c r="B91" s="13" t="s">
        <v>4465</v>
      </c>
      <c r="C91" s="13" t="s">
        <v>4466</v>
      </c>
      <c r="D91" s="13" t="s">
        <v>4467</v>
      </c>
      <c r="E91" s="13"/>
      <c r="F91" s="13"/>
      <c r="G91" s="13"/>
      <c r="H91" s="13" t="s">
        <v>574</v>
      </c>
      <c r="I91" s="13" t="s">
        <v>502</v>
      </c>
      <c r="J91" s="13"/>
    </row>
    <row r="92" spans="1:10" ht="96.6">
      <c r="A92" s="13" t="s">
        <v>4468</v>
      </c>
      <c r="B92" s="13" t="s">
        <v>4286</v>
      </c>
      <c r="C92" s="13" t="s">
        <v>4469</v>
      </c>
      <c r="D92" s="13" t="s">
        <v>4470</v>
      </c>
      <c r="E92" s="13"/>
      <c r="F92" s="13"/>
      <c r="G92" s="13"/>
      <c r="H92" s="13" t="s">
        <v>4403</v>
      </c>
      <c r="I92" s="13" t="s">
        <v>502</v>
      </c>
      <c r="J92" s="13"/>
    </row>
    <row r="93" spans="1:10" ht="110.4">
      <c r="A93" s="13" t="s">
        <v>4471</v>
      </c>
      <c r="B93" s="13" t="s">
        <v>4472</v>
      </c>
      <c r="C93" s="13" t="s">
        <v>155</v>
      </c>
      <c r="D93" s="13" t="s">
        <v>4473</v>
      </c>
      <c r="E93" s="13"/>
      <c r="F93" s="13"/>
      <c r="G93" s="13"/>
      <c r="H93" s="13" t="s">
        <v>4415</v>
      </c>
      <c r="I93" s="13" t="s">
        <v>502</v>
      </c>
      <c r="J93" s="13"/>
    </row>
    <row r="94" spans="1:10" ht="96.6">
      <c r="A94" s="13" t="s">
        <v>4474</v>
      </c>
      <c r="B94" s="13" t="s">
        <v>4279</v>
      </c>
      <c r="C94" s="13" t="s">
        <v>4475</v>
      </c>
      <c r="D94" s="13" t="s">
        <v>4476</v>
      </c>
      <c r="E94" s="13"/>
      <c r="F94" s="13"/>
      <c r="G94" s="13"/>
      <c r="H94" s="13" t="s">
        <v>4477</v>
      </c>
      <c r="I94" s="13" t="s">
        <v>502</v>
      </c>
      <c r="J94" s="13"/>
    </row>
    <row r="95" spans="1:10" ht="96.6">
      <c r="A95" s="13" t="s">
        <v>4478</v>
      </c>
      <c r="B95" s="13" t="s">
        <v>4343</v>
      </c>
      <c r="C95" s="13" t="s">
        <v>4479</v>
      </c>
      <c r="D95" s="13" t="s">
        <v>4480</v>
      </c>
      <c r="E95" s="13"/>
      <c r="F95" s="13"/>
      <c r="G95" s="13"/>
      <c r="H95" s="13" t="s">
        <v>4481</v>
      </c>
      <c r="I95" s="13" t="s">
        <v>502</v>
      </c>
      <c r="J95" s="13"/>
    </row>
    <row r="96" spans="1:10">
      <c r="A96" s="13"/>
      <c r="B96" s="13"/>
      <c r="C96" s="13"/>
      <c r="D96" s="13"/>
      <c r="E96" s="13"/>
      <c r="F96" s="13"/>
      <c r="G96" s="13"/>
      <c r="H96" s="13"/>
      <c r="I96" s="13"/>
      <c r="J96" s="13"/>
    </row>
    <row r="97" spans="1:10">
      <c r="A97" s="842" t="s">
        <v>1079</v>
      </c>
      <c r="B97" s="839"/>
      <c r="C97" s="839"/>
      <c r="D97" s="85"/>
      <c r="E97" s="85"/>
      <c r="F97" s="85"/>
      <c r="G97" s="85"/>
      <c r="H97" s="85"/>
      <c r="I97" s="85"/>
      <c r="J97" s="85"/>
    </row>
    <row r="98" spans="1:10">
      <c r="A98" s="50" t="s">
        <v>4291</v>
      </c>
      <c r="B98" s="50" t="s">
        <v>4482</v>
      </c>
      <c r="C98" s="50" t="s">
        <v>4274</v>
      </c>
      <c r="D98" s="50" t="s">
        <v>4460</v>
      </c>
      <c r="E98" s="50" t="s">
        <v>155</v>
      </c>
      <c r="F98" s="50" t="s">
        <v>4279</v>
      </c>
      <c r="G98" s="50" t="s">
        <v>491</v>
      </c>
      <c r="H98" s="50" t="s">
        <v>897</v>
      </c>
      <c r="I98" s="50" t="s">
        <v>174</v>
      </c>
      <c r="J98" s="50" t="s">
        <v>11</v>
      </c>
    </row>
    <row r="99" spans="1:10" ht="55.2">
      <c r="A99" s="13" t="s">
        <v>4208</v>
      </c>
      <c r="B99" s="13">
        <v>0.5</v>
      </c>
      <c r="C99" s="13">
        <v>0.5</v>
      </c>
      <c r="D99" s="13">
        <v>0.5</v>
      </c>
      <c r="E99" s="13">
        <v>0.5</v>
      </c>
      <c r="F99" s="13">
        <v>0.5</v>
      </c>
      <c r="G99" s="13" t="s">
        <v>677</v>
      </c>
      <c r="H99" s="13">
        <v>0.5</v>
      </c>
      <c r="I99" s="13" t="s">
        <v>1201</v>
      </c>
      <c r="J99" s="13" t="s">
        <v>4483</v>
      </c>
    </row>
    <row r="100" spans="1:10" ht="41.4">
      <c r="A100" s="13" t="s">
        <v>4484</v>
      </c>
      <c r="B100" s="13">
        <v>0.5</v>
      </c>
      <c r="C100" s="13">
        <v>0.5</v>
      </c>
      <c r="D100" s="13">
        <v>0.5</v>
      </c>
      <c r="E100" s="13">
        <v>0.5</v>
      </c>
      <c r="F100" s="13">
        <v>0.5</v>
      </c>
      <c r="G100" s="13" t="s">
        <v>677</v>
      </c>
      <c r="H100" s="13">
        <v>0.5</v>
      </c>
      <c r="I100" s="13" t="s">
        <v>1201</v>
      </c>
      <c r="J100" s="13" t="s">
        <v>4485</v>
      </c>
    </row>
    <row r="101" spans="1:10" ht="41.4">
      <c r="A101" s="13" t="s">
        <v>4282</v>
      </c>
      <c r="B101" s="13">
        <v>0.5</v>
      </c>
      <c r="C101" s="13">
        <v>0.5</v>
      </c>
      <c r="D101" s="13">
        <v>0.5</v>
      </c>
      <c r="E101" s="13">
        <v>0.5</v>
      </c>
      <c r="F101" s="13">
        <v>0.5</v>
      </c>
      <c r="G101" s="13" t="s">
        <v>677</v>
      </c>
      <c r="H101" s="13">
        <v>0.5</v>
      </c>
      <c r="I101" s="13" t="s">
        <v>1201</v>
      </c>
      <c r="J101" s="13" t="s">
        <v>4486</v>
      </c>
    </row>
    <row r="102" spans="1:10" ht="55.2">
      <c r="A102" s="13" t="s">
        <v>4286</v>
      </c>
      <c r="B102" s="13">
        <v>0.5</v>
      </c>
      <c r="C102" s="13">
        <v>0.5</v>
      </c>
      <c r="D102" s="13">
        <v>0.5</v>
      </c>
      <c r="E102" s="13">
        <v>0.5</v>
      </c>
      <c r="F102" s="13">
        <v>0.5</v>
      </c>
      <c r="G102" s="13" t="s">
        <v>677</v>
      </c>
      <c r="H102" s="13">
        <v>0.5</v>
      </c>
      <c r="I102" s="13" t="s">
        <v>1201</v>
      </c>
      <c r="J102" s="13" t="s">
        <v>4487</v>
      </c>
    </row>
    <row r="103" spans="1:10" ht="41.4">
      <c r="A103" s="13" t="s">
        <v>4343</v>
      </c>
      <c r="B103" s="13">
        <v>0.5</v>
      </c>
      <c r="C103" s="13">
        <v>0.5</v>
      </c>
      <c r="D103" s="13">
        <v>0.5</v>
      </c>
      <c r="E103" s="13">
        <v>0.5</v>
      </c>
      <c r="F103" s="13">
        <v>0.5</v>
      </c>
      <c r="G103" s="13" t="s">
        <v>677</v>
      </c>
      <c r="H103" s="13">
        <v>0.5</v>
      </c>
      <c r="I103" s="13" t="s">
        <v>1201</v>
      </c>
      <c r="J103" s="13" t="s">
        <v>4488</v>
      </c>
    </row>
    <row r="104" spans="1:10">
      <c r="A104" s="13"/>
      <c r="B104" s="13"/>
      <c r="C104" s="13"/>
      <c r="D104" s="13"/>
      <c r="E104" s="13"/>
      <c r="F104" s="13"/>
      <c r="G104" s="13"/>
      <c r="H104" s="13"/>
      <c r="I104" s="13"/>
      <c r="J104" s="13"/>
    </row>
    <row r="105" spans="1:10">
      <c r="A105" s="842" t="s">
        <v>1085</v>
      </c>
      <c r="B105" s="839"/>
      <c r="C105" s="839"/>
      <c r="D105" s="85"/>
      <c r="E105" s="85"/>
      <c r="F105" s="85"/>
      <c r="G105" s="85"/>
      <c r="H105" s="85"/>
      <c r="I105" s="85"/>
      <c r="J105" s="85"/>
    </row>
    <row r="106" spans="1:10" ht="55.2">
      <c r="A106" s="50" t="s">
        <v>905</v>
      </c>
      <c r="B106" s="50" t="s">
        <v>857</v>
      </c>
      <c r="C106" s="50"/>
      <c r="D106" s="50"/>
      <c r="E106" s="50"/>
      <c r="F106" s="50"/>
      <c r="G106" s="50"/>
      <c r="H106" s="50"/>
      <c r="I106" s="50"/>
      <c r="J106" s="50"/>
    </row>
    <row r="107" spans="1:10">
      <c r="A107" s="13" t="s">
        <v>1086</v>
      </c>
      <c r="B107" s="852" t="s">
        <v>4489</v>
      </c>
      <c r="C107" s="839"/>
      <c r="D107" s="839"/>
      <c r="E107" s="839"/>
      <c r="F107" s="839"/>
      <c r="G107" s="839"/>
      <c r="H107" s="839"/>
      <c r="I107" s="839"/>
      <c r="J107" s="839"/>
    </row>
    <row r="108" spans="1:10">
      <c r="A108" s="13" t="s">
        <v>2194</v>
      </c>
      <c r="B108" s="852" t="s">
        <v>4490</v>
      </c>
      <c r="C108" s="839"/>
      <c r="D108" s="839"/>
      <c r="E108" s="839"/>
      <c r="F108" s="839"/>
      <c r="G108" s="839"/>
      <c r="H108" s="839"/>
      <c r="I108" s="839"/>
      <c r="J108" s="839"/>
    </row>
    <row r="109" spans="1:10">
      <c r="A109" s="13" t="s">
        <v>1088</v>
      </c>
      <c r="B109" s="852" t="s">
        <v>4491</v>
      </c>
      <c r="C109" s="839"/>
      <c r="D109" s="839"/>
      <c r="E109" s="839"/>
      <c r="F109" s="839"/>
      <c r="G109" s="839"/>
      <c r="H109" s="839"/>
      <c r="I109" s="839"/>
      <c r="J109" s="839"/>
    </row>
    <row r="110" spans="1:10">
      <c r="A110" s="13" t="s">
        <v>4492</v>
      </c>
      <c r="B110" s="852" t="s">
        <v>4493</v>
      </c>
      <c r="C110" s="839"/>
      <c r="D110" s="839"/>
      <c r="E110" s="839"/>
      <c r="F110" s="839"/>
      <c r="G110" s="839"/>
      <c r="H110" s="839"/>
      <c r="I110" s="839"/>
      <c r="J110" s="839"/>
    </row>
    <row r="111" spans="1:10" ht="27.6">
      <c r="A111" s="13" t="s">
        <v>4494</v>
      </c>
      <c r="B111" s="852" t="s">
        <v>4495</v>
      </c>
      <c r="C111" s="839"/>
      <c r="D111" s="839"/>
      <c r="E111" s="839"/>
      <c r="F111" s="839"/>
      <c r="G111" s="839"/>
      <c r="H111" s="839"/>
      <c r="I111" s="839"/>
      <c r="J111" s="839"/>
    </row>
    <row r="112" spans="1:10">
      <c r="A112" s="13" t="s">
        <v>1563</v>
      </c>
      <c r="B112" s="852" t="s">
        <v>4496</v>
      </c>
      <c r="C112" s="839"/>
      <c r="D112" s="839"/>
      <c r="E112" s="839"/>
      <c r="F112" s="839"/>
      <c r="G112" s="839"/>
      <c r="H112" s="839"/>
      <c r="I112" s="839"/>
      <c r="J112" s="839"/>
    </row>
    <row r="113" spans="1:10" ht="27.6">
      <c r="A113" s="13" t="s">
        <v>4497</v>
      </c>
      <c r="B113" s="852" t="s">
        <v>4498</v>
      </c>
      <c r="C113" s="839"/>
      <c r="D113" s="839"/>
      <c r="E113" s="839"/>
      <c r="F113" s="839"/>
      <c r="G113" s="839"/>
      <c r="H113" s="839"/>
      <c r="I113" s="839"/>
      <c r="J113" s="839"/>
    </row>
    <row r="115" spans="1:10" ht="15" thickBot="1"/>
    <row r="116" spans="1:10">
      <c r="A116" s="855" t="s">
        <v>5875</v>
      </c>
      <c r="B116" s="856"/>
      <c r="C116" s="856"/>
      <c r="D116" s="857"/>
      <c r="E116" s="856"/>
      <c r="F116" s="856"/>
      <c r="G116" s="857"/>
      <c r="H116" s="857"/>
      <c r="I116" s="857"/>
      <c r="J116" s="858"/>
    </row>
    <row r="117" spans="1:10">
      <c r="A117" s="325" t="s">
        <v>5817</v>
      </c>
      <c r="B117" s="326" t="s">
        <v>77</v>
      </c>
      <c r="C117" s="326" t="s">
        <v>5818</v>
      </c>
      <c r="D117" s="326" t="s">
        <v>5819</v>
      </c>
      <c r="E117" s="326" t="s">
        <v>5841</v>
      </c>
      <c r="F117" s="326" t="s">
        <v>5808</v>
      </c>
      <c r="G117" s="859" t="s">
        <v>5842</v>
      </c>
      <c r="H117" s="859"/>
      <c r="I117" s="859"/>
      <c r="J117" s="860"/>
    </row>
    <row r="118" spans="1:10" ht="26.4">
      <c r="A118" s="327" t="s">
        <v>5820</v>
      </c>
      <c r="B118" s="337" t="s">
        <v>484</v>
      </c>
      <c r="C118" s="329">
        <v>0</v>
      </c>
      <c r="D118" s="329">
        <v>0</v>
      </c>
      <c r="E118" s="196" t="s">
        <v>5881</v>
      </c>
      <c r="F118" s="329">
        <f>IF(AND(C118&lt;&gt;"",D118&lt;&gt;""),D118-C118,"")</f>
        <v>0</v>
      </c>
      <c r="G118" s="861"/>
      <c r="H118" s="861"/>
      <c r="I118" s="861"/>
      <c r="J118" s="862"/>
    </row>
    <row r="119" spans="1:10" ht="26.4">
      <c r="A119" s="330" t="s">
        <v>5821</v>
      </c>
      <c r="B119" s="337" t="s">
        <v>484</v>
      </c>
      <c r="C119" s="331">
        <v>1</v>
      </c>
      <c r="D119" s="331">
        <v>0</v>
      </c>
      <c r="E119" s="314" t="s">
        <v>5882</v>
      </c>
      <c r="F119" s="331">
        <f>IF(AND(C119&lt;&gt;"",D119&lt;&gt;""),D119-C119,"")</f>
        <v>-1</v>
      </c>
      <c r="G119" s="863"/>
      <c r="H119" s="863"/>
      <c r="I119" s="863"/>
      <c r="J119" s="864"/>
    </row>
    <row r="120" spans="1:10">
      <c r="A120" s="327" t="s">
        <v>5822</v>
      </c>
      <c r="B120" s="337" t="s">
        <v>484</v>
      </c>
      <c r="C120" s="331">
        <v>1</v>
      </c>
      <c r="D120" s="331">
        <v>0</v>
      </c>
      <c r="E120" s="314" t="s">
        <v>5882</v>
      </c>
      <c r="F120" s="329">
        <f>IF(AND(C120&lt;&gt;"",D120&lt;&gt;""),D120-C120,"")</f>
        <v>-1</v>
      </c>
      <c r="G120" s="332"/>
      <c r="H120" s="231"/>
      <c r="I120" s="231"/>
      <c r="J120" s="333"/>
    </row>
    <row r="121" spans="1:10">
      <c r="A121" s="330" t="s">
        <v>5823</v>
      </c>
      <c r="B121" s="337" t="s">
        <v>484</v>
      </c>
      <c r="C121" s="331">
        <v>1</v>
      </c>
      <c r="D121" s="331">
        <v>0</v>
      </c>
      <c r="E121" s="314" t="s">
        <v>5882</v>
      </c>
      <c r="F121" s="331">
        <f>IF(AND(C121&lt;&gt;"",D121&lt;&gt;""),D121-C121,"")</f>
        <v>-1</v>
      </c>
      <c r="G121" s="863"/>
      <c r="H121" s="863"/>
      <c r="I121" s="863"/>
      <c r="J121" s="864"/>
    </row>
    <row r="122" spans="1:10">
      <c r="A122" s="327" t="s">
        <v>5168</v>
      </c>
      <c r="B122" s="337" t="s">
        <v>484</v>
      </c>
      <c r="C122" s="331">
        <v>1</v>
      </c>
      <c r="D122" s="331">
        <v>0</v>
      </c>
      <c r="E122" s="314" t="s">
        <v>5882</v>
      </c>
      <c r="F122" s="329">
        <f>IF(AND(C122&lt;&gt;"",D122&lt;&gt;""),D122-C122,"")</f>
        <v>-1</v>
      </c>
      <c r="G122" s="332"/>
      <c r="H122" s="231"/>
      <c r="I122" s="231"/>
      <c r="J122" s="333"/>
    </row>
    <row r="123" spans="1:10" ht="15.6">
      <c r="A123" s="865" t="s">
        <v>5843</v>
      </c>
      <c r="B123" s="713"/>
      <c r="C123" s="334">
        <f>IFERROR(AVERAGE(C118:C122),"")</f>
        <v>0.8</v>
      </c>
      <c r="D123" s="334">
        <f>IFERROR(AVERAGE(D118:D122),"")</f>
        <v>0</v>
      </c>
      <c r="E123" s="866" t="s">
        <v>5844</v>
      </c>
      <c r="F123" s="866"/>
      <c r="G123" s="866"/>
      <c r="H123" s="866"/>
      <c r="I123" s="866"/>
      <c r="J123" s="867"/>
    </row>
    <row r="124" spans="1:10">
      <c r="A124" s="335"/>
      <c r="B124" s="320"/>
      <c r="C124" s="320"/>
      <c r="D124" s="320"/>
      <c r="E124" s="320"/>
      <c r="F124" s="320"/>
      <c r="G124" s="320"/>
      <c r="H124" s="231"/>
      <c r="I124" s="231"/>
      <c r="J124" s="333"/>
    </row>
    <row r="125" spans="1:10">
      <c r="A125" s="876" t="s">
        <v>5876</v>
      </c>
      <c r="B125" s="853"/>
      <c r="C125" s="853"/>
      <c r="D125" s="842"/>
      <c r="E125" s="853"/>
      <c r="F125" s="853"/>
      <c r="G125" s="842"/>
      <c r="H125" s="842"/>
      <c r="I125" s="842"/>
      <c r="J125" s="868"/>
    </row>
    <row r="126" spans="1:10">
      <c r="A126" s="325" t="s">
        <v>4946</v>
      </c>
      <c r="B126" s="326" t="s">
        <v>77</v>
      </c>
      <c r="C126" s="326" t="s">
        <v>5883</v>
      </c>
      <c r="D126" s="326" t="s">
        <v>482</v>
      </c>
      <c r="E126" s="326" t="s">
        <v>572</v>
      </c>
      <c r="F126" s="326" t="s">
        <v>5846</v>
      </c>
      <c r="G126" s="859" t="s">
        <v>5847</v>
      </c>
      <c r="H126" s="859"/>
      <c r="I126" s="859"/>
      <c r="J126" s="860"/>
    </row>
    <row r="127" spans="1:10" ht="26.4">
      <c r="A127" s="330" t="s">
        <v>5809</v>
      </c>
      <c r="B127" s="337" t="s">
        <v>484</v>
      </c>
      <c r="C127" s="336" t="s">
        <v>679</v>
      </c>
      <c r="D127" s="328" t="s">
        <v>679</v>
      </c>
      <c r="E127" s="336">
        <f>IF(D127="Yes",1,0)</f>
        <v>0</v>
      </c>
      <c r="F127" s="877"/>
      <c r="G127" s="877"/>
      <c r="H127" s="877"/>
      <c r="I127" s="877"/>
      <c r="J127" s="878"/>
    </row>
    <row r="128" spans="1:10">
      <c r="A128" s="327" t="s">
        <v>995</v>
      </c>
      <c r="B128" s="337" t="s">
        <v>484</v>
      </c>
      <c r="C128" s="336" t="s">
        <v>679</v>
      </c>
      <c r="D128" s="328" t="s">
        <v>679</v>
      </c>
      <c r="E128" s="328">
        <f t="shared" ref="E128:E134" si="0">IF(D128="Yes",1,0)</f>
        <v>0</v>
      </c>
      <c r="F128" s="877"/>
      <c r="G128" s="877"/>
      <c r="H128" s="877"/>
      <c r="I128" s="877"/>
      <c r="J128" s="878"/>
    </row>
    <row r="129" spans="1:10">
      <c r="A129" s="330" t="s">
        <v>5810</v>
      </c>
      <c r="B129" s="337" t="s">
        <v>484</v>
      </c>
      <c r="C129" s="336" t="s">
        <v>679</v>
      </c>
      <c r="D129" s="328" t="s">
        <v>679</v>
      </c>
      <c r="E129" s="336">
        <f t="shared" si="0"/>
        <v>0</v>
      </c>
      <c r="F129" s="877"/>
      <c r="G129" s="877"/>
      <c r="H129" s="877"/>
      <c r="I129" s="877"/>
      <c r="J129" s="878"/>
    </row>
    <row r="130" spans="1:10">
      <c r="A130" s="327" t="s">
        <v>5824</v>
      </c>
      <c r="B130" s="337" t="s">
        <v>484</v>
      </c>
      <c r="C130" s="336" t="s">
        <v>679</v>
      </c>
      <c r="D130" s="328" t="s">
        <v>679</v>
      </c>
      <c r="E130" s="328">
        <f t="shared" si="0"/>
        <v>0</v>
      </c>
      <c r="F130" s="877"/>
      <c r="G130" s="877"/>
      <c r="H130" s="877"/>
      <c r="I130" s="877"/>
      <c r="J130" s="878"/>
    </row>
    <row r="131" spans="1:10" ht="39.6">
      <c r="A131" s="330" t="s">
        <v>5825</v>
      </c>
      <c r="B131" s="337" t="s">
        <v>484</v>
      </c>
      <c r="C131" s="336" t="s">
        <v>679</v>
      </c>
      <c r="D131" s="328" t="s">
        <v>679</v>
      </c>
      <c r="E131" s="336">
        <f t="shared" si="0"/>
        <v>0</v>
      </c>
      <c r="F131" s="877"/>
      <c r="G131" s="877"/>
      <c r="H131" s="877"/>
      <c r="I131" s="877"/>
      <c r="J131" s="878"/>
    </row>
    <row r="132" spans="1:10" ht="26.4">
      <c r="A132" s="327" t="s">
        <v>5826</v>
      </c>
      <c r="B132" s="337" t="s">
        <v>484</v>
      </c>
      <c r="C132" s="336" t="s">
        <v>679</v>
      </c>
      <c r="D132" s="328" t="s">
        <v>679</v>
      </c>
      <c r="E132" s="328">
        <f t="shared" si="0"/>
        <v>0</v>
      </c>
      <c r="F132" s="877"/>
      <c r="G132" s="877"/>
      <c r="H132" s="877"/>
      <c r="I132" s="877"/>
      <c r="J132" s="878"/>
    </row>
    <row r="133" spans="1:10">
      <c r="A133" s="330" t="s">
        <v>5811</v>
      </c>
      <c r="B133" s="337" t="s">
        <v>484</v>
      </c>
      <c r="C133" s="336" t="s">
        <v>679</v>
      </c>
      <c r="D133" s="328" t="s">
        <v>679</v>
      </c>
      <c r="E133" s="336">
        <f t="shared" si="0"/>
        <v>0</v>
      </c>
      <c r="F133" s="877"/>
      <c r="G133" s="877"/>
      <c r="H133" s="877"/>
      <c r="I133" s="877"/>
      <c r="J133" s="878"/>
    </row>
    <row r="134" spans="1:10" ht="26.4">
      <c r="A134" s="327" t="s">
        <v>5812</v>
      </c>
      <c r="B134" s="337" t="s">
        <v>484</v>
      </c>
      <c r="C134" s="336" t="s">
        <v>679</v>
      </c>
      <c r="D134" s="328" t="s">
        <v>679</v>
      </c>
      <c r="E134" s="328">
        <f t="shared" si="0"/>
        <v>0</v>
      </c>
      <c r="F134" s="877"/>
      <c r="G134" s="877"/>
      <c r="H134" s="877"/>
      <c r="I134" s="877"/>
      <c r="J134" s="878"/>
    </row>
    <row r="135" spans="1:10" ht="15.6">
      <c r="A135" s="865" t="s">
        <v>5848</v>
      </c>
      <c r="B135" s="713"/>
      <c r="C135" s="871" t="str">
        <f>IFERROR(SUM(E127:E134)/COUNTIF(C127:C134,"Yes"),"")</f>
        <v/>
      </c>
      <c r="D135" s="872"/>
      <c r="E135" s="866" t="s">
        <v>5849</v>
      </c>
      <c r="F135" s="866"/>
      <c r="G135" s="866"/>
      <c r="H135" s="866"/>
      <c r="I135" s="866"/>
      <c r="J135" s="867"/>
    </row>
    <row r="136" spans="1:10">
      <c r="A136" s="335"/>
      <c r="B136" s="320"/>
      <c r="C136" s="320"/>
      <c r="D136" s="320"/>
      <c r="E136" s="320"/>
      <c r="F136" s="320"/>
      <c r="G136" s="320"/>
      <c r="H136" s="231"/>
      <c r="I136" s="231"/>
      <c r="J136" s="333"/>
    </row>
    <row r="137" spans="1:10">
      <c r="A137" s="876" t="s">
        <v>5877</v>
      </c>
      <c r="B137" s="853"/>
      <c r="C137" s="853"/>
      <c r="D137" s="842"/>
      <c r="E137" s="853"/>
      <c r="F137" s="853"/>
      <c r="G137" s="842"/>
      <c r="H137" s="842"/>
      <c r="I137" s="842"/>
      <c r="J137" s="868"/>
    </row>
    <row r="138" spans="1:10">
      <c r="A138" s="325" t="s">
        <v>5850</v>
      </c>
      <c r="B138" s="326" t="s">
        <v>77</v>
      </c>
      <c r="C138" s="326" t="s">
        <v>5827</v>
      </c>
      <c r="D138" s="326" t="s">
        <v>5828</v>
      </c>
      <c r="E138" s="326" t="s">
        <v>5829</v>
      </c>
      <c r="F138" s="326" t="s">
        <v>5851</v>
      </c>
      <c r="G138" s="859" t="s">
        <v>5852</v>
      </c>
      <c r="H138" s="859"/>
      <c r="I138" s="859"/>
      <c r="J138" s="860"/>
    </row>
    <row r="139" spans="1:10" ht="26.4">
      <c r="A139" s="330" t="s">
        <v>5830</v>
      </c>
      <c r="B139" s="336" t="s">
        <v>484</v>
      </c>
      <c r="C139" s="336" t="s">
        <v>1096</v>
      </c>
      <c r="D139" s="336" t="s">
        <v>1096</v>
      </c>
      <c r="E139" s="336" t="s">
        <v>1096</v>
      </c>
      <c r="F139" s="336" t="s">
        <v>348</v>
      </c>
      <c r="G139" s="869"/>
      <c r="H139" s="869"/>
      <c r="I139" s="869"/>
      <c r="J139" s="870"/>
    </row>
    <row r="140" spans="1:10">
      <c r="A140" s="327" t="s">
        <v>5831</v>
      </c>
      <c r="B140" s="336" t="s">
        <v>484</v>
      </c>
      <c r="C140" s="336" t="s">
        <v>1096</v>
      </c>
      <c r="D140" s="336" t="s">
        <v>1096</v>
      </c>
      <c r="E140" s="336" t="s">
        <v>1096</v>
      </c>
      <c r="F140" s="336" t="s">
        <v>348</v>
      </c>
      <c r="G140" s="869"/>
      <c r="H140" s="869"/>
      <c r="I140" s="869"/>
      <c r="J140" s="870"/>
    </row>
    <row r="141" spans="1:10">
      <c r="A141" s="330" t="s">
        <v>5853</v>
      </c>
      <c r="B141" s="336" t="s">
        <v>484</v>
      </c>
      <c r="C141" s="336" t="s">
        <v>1096</v>
      </c>
      <c r="D141" s="336" t="s">
        <v>1096</v>
      </c>
      <c r="E141" s="336" t="s">
        <v>1096</v>
      </c>
      <c r="F141" s="336" t="s">
        <v>348</v>
      </c>
      <c r="G141" s="869"/>
      <c r="H141" s="869"/>
      <c r="I141" s="869"/>
      <c r="J141" s="870"/>
    </row>
    <row r="142" spans="1:10">
      <c r="A142" s="327" t="s">
        <v>5832</v>
      </c>
      <c r="B142" s="336" t="s">
        <v>484</v>
      </c>
      <c r="C142" s="336" t="s">
        <v>1096</v>
      </c>
      <c r="D142" s="336" t="s">
        <v>1096</v>
      </c>
      <c r="E142" s="336" t="s">
        <v>1096</v>
      </c>
      <c r="F142" s="336" t="s">
        <v>348</v>
      </c>
      <c r="G142" s="869"/>
      <c r="H142" s="869"/>
      <c r="I142" s="869"/>
      <c r="J142" s="870"/>
    </row>
    <row r="143" spans="1:10" ht="26.4">
      <c r="A143" s="330" t="s">
        <v>5833</v>
      </c>
      <c r="B143" s="336" t="s">
        <v>484</v>
      </c>
      <c r="C143" s="336" t="s">
        <v>1096</v>
      </c>
      <c r="D143" s="336" t="s">
        <v>1096</v>
      </c>
      <c r="E143" s="336" t="s">
        <v>1096</v>
      </c>
      <c r="F143" s="336" t="s">
        <v>348</v>
      </c>
      <c r="G143" s="869"/>
      <c r="H143" s="869"/>
      <c r="I143" s="869"/>
      <c r="J143" s="870"/>
    </row>
    <row r="144" spans="1:10" ht="15.6">
      <c r="A144" s="865" t="s">
        <v>5884</v>
      </c>
      <c r="B144" s="713"/>
      <c r="C144" s="871">
        <f>IFERROR(COUNTIF(E139:E143,"Yes")/COUNTA(A139:A143),"")</f>
        <v>0</v>
      </c>
      <c r="D144" s="872"/>
      <c r="E144" s="866" t="s">
        <v>5855</v>
      </c>
      <c r="F144" s="866"/>
      <c r="G144" s="866"/>
      <c r="H144" s="866"/>
      <c r="I144" s="866"/>
      <c r="J144" s="867"/>
    </row>
    <row r="145" spans="1:10">
      <c r="A145" s="335"/>
      <c r="B145" s="320"/>
      <c r="C145" s="320"/>
      <c r="D145" s="320"/>
      <c r="E145" s="320"/>
      <c r="F145" s="320"/>
      <c r="G145" s="874"/>
      <c r="H145" s="874"/>
      <c r="I145" s="874"/>
      <c r="J145" s="875"/>
    </row>
    <row r="146" spans="1:10">
      <c r="A146" s="876" t="s">
        <v>5878</v>
      </c>
      <c r="B146" s="853"/>
      <c r="C146" s="853"/>
      <c r="D146" s="842"/>
      <c r="E146" s="853"/>
      <c r="F146" s="853"/>
      <c r="G146" s="842"/>
      <c r="H146" s="842"/>
      <c r="I146" s="842"/>
      <c r="J146" s="868"/>
    </row>
    <row r="147" spans="1:10">
      <c r="A147" s="326" t="s">
        <v>5813</v>
      </c>
      <c r="B147" s="326" t="s">
        <v>77</v>
      </c>
      <c r="C147" s="326" t="s">
        <v>5834</v>
      </c>
      <c r="D147" s="326" t="s">
        <v>5835</v>
      </c>
      <c r="E147" s="326" t="s">
        <v>5836</v>
      </c>
      <c r="F147" s="326" t="s">
        <v>5837</v>
      </c>
      <c r="G147" s="859" t="s">
        <v>5885</v>
      </c>
      <c r="H147" s="859"/>
      <c r="I147" s="859"/>
      <c r="J147" s="859"/>
    </row>
    <row r="148" spans="1:10">
      <c r="A148" s="332" t="s">
        <v>153</v>
      </c>
      <c r="B148" s="328" t="s">
        <v>484</v>
      </c>
      <c r="C148" s="328"/>
      <c r="D148" s="328"/>
      <c r="E148" s="328"/>
      <c r="F148" s="329" t="str">
        <f>IFERROR(D148/C148,"")</f>
        <v/>
      </c>
      <c r="G148" s="873"/>
      <c r="H148" s="873"/>
      <c r="I148" s="873"/>
      <c r="J148" s="873"/>
    </row>
    <row r="149" spans="1:10">
      <c r="A149" s="339" t="s">
        <v>155</v>
      </c>
      <c r="B149" s="336" t="s">
        <v>484</v>
      </c>
      <c r="C149" s="336"/>
      <c r="D149" s="336"/>
      <c r="E149" s="336"/>
      <c r="F149" s="331" t="str">
        <f>IFERROR(D149/C149,"")</f>
        <v/>
      </c>
      <c r="G149" s="873"/>
      <c r="H149" s="873"/>
      <c r="I149" s="873"/>
      <c r="J149" s="873"/>
    </row>
    <row r="150" spans="1:10">
      <c r="A150" s="332" t="s">
        <v>4821</v>
      </c>
      <c r="B150" s="328" t="s">
        <v>484</v>
      </c>
      <c r="C150" s="328"/>
      <c r="D150" s="328"/>
      <c r="E150" s="328"/>
      <c r="F150" s="329" t="str">
        <f>IFERROR(D150/C150,"")</f>
        <v/>
      </c>
      <c r="G150" s="873"/>
      <c r="H150" s="873"/>
      <c r="I150" s="873"/>
      <c r="J150" s="873"/>
    </row>
    <row r="151" spans="1:10">
      <c r="A151" s="339" t="s">
        <v>957</v>
      </c>
      <c r="B151" s="336" t="s">
        <v>484</v>
      </c>
      <c r="C151" s="336"/>
      <c r="D151" s="336"/>
      <c r="E151" s="336"/>
      <c r="F151" s="331" t="str">
        <f>IFERROR(D151/C151,"")</f>
        <v/>
      </c>
      <c r="G151" s="873"/>
      <c r="H151" s="873"/>
      <c r="I151" s="873"/>
      <c r="J151" s="873"/>
    </row>
    <row r="152" spans="1:10">
      <c r="A152" s="879" t="s">
        <v>5856</v>
      </c>
      <c r="B152" s="879"/>
      <c r="C152" s="879"/>
      <c r="D152" s="879"/>
      <c r="E152" s="866" t="s">
        <v>5857</v>
      </c>
      <c r="F152" s="866"/>
      <c r="G152" s="866"/>
      <c r="H152" s="866"/>
      <c r="I152" s="866"/>
      <c r="J152" s="866"/>
    </row>
    <row r="153" spans="1:10">
      <c r="A153" s="879"/>
      <c r="B153" s="879"/>
      <c r="C153" s="879"/>
      <c r="D153" s="879"/>
      <c r="E153" s="866"/>
      <c r="F153" s="866"/>
      <c r="G153" s="866"/>
      <c r="H153" s="866"/>
      <c r="I153" s="866"/>
      <c r="J153" s="866"/>
    </row>
    <row r="154" spans="1:10">
      <c r="A154" s="842" t="s">
        <v>5879</v>
      </c>
      <c r="B154" s="842"/>
      <c r="C154" s="842"/>
      <c r="D154" s="842"/>
      <c r="E154" s="842"/>
      <c r="F154" s="842"/>
      <c r="G154" s="842"/>
      <c r="H154" s="842"/>
      <c r="I154" s="842"/>
      <c r="J154" s="842"/>
    </row>
    <row r="155" spans="1:10">
      <c r="A155" s="326" t="s">
        <v>4946</v>
      </c>
      <c r="B155" s="326" t="s">
        <v>77</v>
      </c>
      <c r="C155" s="326" t="s">
        <v>5845</v>
      </c>
      <c r="D155" s="326" t="s">
        <v>482</v>
      </c>
      <c r="E155" s="326" t="s">
        <v>572</v>
      </c>
      <c r="F155" s="326" t="s">
        <v>944</v>
      </c>
      <c r="G155" s="859" t="s">
        <v>5847</v>
      </c>
      <c r="H155" s="859"/>
      <c r="I155" s="859"/>
      <c r="J155" s="859"/>
    </row>
    <row r="156" spans="1:10" ht="26.4">
      <c r="A156" s="332" t="s">
        <v>5814</v>
      </c>
      <c r="B156" s="328" t="s">
        <v>484</v>
      </c>
      <c r="C156" s="328" t="s">
        <v>392</v>
      </c>
      <c r="D156" s="328" t="s">
        <v>1096</v>
      </c>
      <c r="E156" s="328">
        <f t="shared" ref="E156:E161" si="1">IF(D156="Yes",1,0)</f>
        <v>0</v>
      </c>
      <c r="F156" s="328"/>
      <c r="G156" s="873"/>
      <c r="H156" s="873"/>
      <c r="I156" s="873"/>
      <c r="J156" s="873"/>
    </row>
    <row r="157" spans="1:10">
      <c r="A157" s="339" t="s">
        <v>5815</v>
      </c>
      <c r="B157" s="328" t="s">
        <v>484</v>
      </c>
      <c r="C157" s="336" t="s">
        <v>392</v>
      </c>
      <c r="D157" s="328" t="s">
        <v>1096</v>
      </c>
      <c r="E157" s="336">
        <f t="shared" si="1"/>
        <v>0</v>
      </c>
      <c r="F157" s="336"/>
      <c r="G157" s="873"/>
      <c r="H157" s="873"/>
      <c r="I157" s="873"/>
      <c r="J157" s="873"/>
    </row>
    <row r="158" spans="1:10" ht="26.4">
      <c r="A158" s="332" t="s">
        <v>5816</v>
      </c>
      <c r="B158" s="328" t="s">
        <v>484</v>
      </c>
      <c r="C158" s="328" t="s">
        <v>392</v>
      </c>
      <c r="D158" s="328" t="s">
        <v>1096</v>
      </c>
      <c r="E158" s="328">
        <f t="shared" si="1"/>
        <v>0</v>
      </c>
      <c r="F158" s="328"/>
      <c r="G158" s="873"/>
      <c r="H158" s="873"/>
      <c r="I158" s="873"/>
      <c r="J158" s="873"/>
    </row>
    <row r="159" spans="1:10">
      <c r="A159" s="339" t="s">
        <v>5838</v>
      </c>
      <c r="B159" s="328" t="s">
        <v>484</v>
      </c>
      <c r="C159" s="336" t="s">
        <v>392</v>
      </c>
      <c r="D159" s="328" t="s">
        <v>1096</v>
      </c>
      <c r="E159" s="336">
        <f t="shared" si="1"/>
        <v>0</v>
      </c>
      <c r="F159" s="336"/>
      <c r="G159" s="873"/>
      <c r="H159" s="873"/>
      <c r="I159" s="873"/>
      <c r="J159" s="873"/>
    </row>
    <row r="160" spans="1:10" ht="26.4">
      <c r="A160" s="332" t="s">
        <v>5839</v>
      </c>
      <c r="B160" s="328" t="s">
        <v>484</v>
      </c>
      <c r="C160" s="328" t="s">
        <v>392</v>
      </c>
      <c r="D160" s="328" t="s">
        <v>1096</v>
      </c>
      <c r="E160" s="328">
        <f t="shared" si="1"/>
        <v>0</v>
      </c>
      <c r="F160" s="328"/>
      <c r="G160" s="873"/>
      <c r="H160" s="873"/>
      <c r="I160" s="873"/>
      <c r="J160" s="873"/>
    </row>
    <row r="161" spans="1:10" ht="26.4">
      <c r="A161" s="339" t="s">
        <v>5840</v>
      </c>
      <c r="B161" s="328" t="s">
        <v>484</v>
      </c>
      <c r="C161" s="336" t="s">
        <v>392</v>
      </c>
      <c r="D161" s="336" t="s">
        <v>1096</v>
      </c>
      <c r="E161" s="336">
        <f t="shared" si="1"/>
        <v>0</v>
      </c>
      <c r="F161" s="336"/>
      <c r="G161" s="873"/>
      <c r="H161" s="873"/>
      <c r="I161" s="873"/>
      <c r="J161" s="873"/>
    </row>
    <row r="162" spans="1:10" ht="15.6">
      <c r="A162" s="880" t="s">
        <v>5858</v>
      </c>
      <c r="B162" s="713"/>
      <c r="C162" s="871">
        <f>IFERROR(SUM(E156:E161)/COUNTIF(C156:C161,"Yes"),"")</f>
        <v>0</v>
      </c>
      <c r="D162" s="872"/>
      <c r="E162" s="866" t="s">
        <v>5859</v>
      </c>
      <c r="F162" s="866"/>
      <c r="G162" s="866"/>
      <c r="H162" s="866"/>
      <c r="I162" s="866"/>
      <c r="J162" s="866"/>
    </row>
    <row r="163" spans="1:10">
      <c r="A163" s="196"/>
      <c r="B163" s="196"/>
      <c r="C163" s="196"/>
      <c r="D163" s="196"/>
      <c r="E163" s="196"/>
      <c r="F163" s="196"/>
      <c r="G163" s="196"/>
      <c r="H163" s="196"/>
      <c r="I163" s="196"/>
      <c r="J163" s="196"/>
    </row>
    <row r="164" spans="1:10">
      <c r="A164" s="842" t="s">
        <v>5880</v>
      </c>
      <c r="B164" s="853"/>
      <c r="C164" s="853"/>
      <c r="D164" s="321"/>
      <c r="E164" s="321"/>
      <c r="F164" s="321"/>
      <c r="G164" s="321"/>
      <c r="H164" s="321"/>
      <c r="I164" s="321"/>
      <c r="J164" s="321"/>
    </row>
    <row r="165" spans="1:10" ht="55.2">
      <c r="A165" s="322" t="s">
        <v>905</v>
      </c>
      <c r="B165" s="322" t="s">
        <v>830</v>
      </c>
      <c r="C165" s="322"/>
      <c r="D165" s="322"/>
      <c r="E165" s="322"/>
      <c r="F165" s="322"/>
      <c r="G165" s="322"/>
      <c r="H165" s="322"/>
      <c r="I165" s="322"/>
      <c r="J165" s="322"/>
    </row>
    <row r="166" spans="1:10">
      <c r="A166" s="319" t="s">
        <v>1086</v>
      </c>
      <c r="B166" s="852" t="s">
        <v>3292</v>
      </c>
      <c r="C166" s="853"/>
      <c r="D166" s="853"/>
      <c r="E166" s="853"/>
      <c r="F166" s="853"/>
      <c r="G166" s="853"/>
      <c r="H166" s="853"/>
      <c r="I166" s="853"/>
      <c r="J166" s="853"/>
    </row>
    <row r="167" spans="1:10" ht="27.6">
      <c r="A167" s="319" t="s">
        <v>2090</v>
      </c>
      <c r="B167" s="852" t="s">
        <v>3293</v>
      </c>
      <c r="C167" s="853"/>
      <c r="D167" s="853"/>
      <c r="E167" s="853"/>
      <c r="F167" s="853"/>
      <c r="G167" s="853"/>
      <c r="H167" s="853"/>
      <c r="I167" s="853"/>
      <c r="J167" s="853"/>
    </row>
    <row r="168" spans="1:10">
      <c r="A168" s="319" t="s">
        <v>1089</v>
      </c>
      <c r="B168" s="852" t="s">
        <v>3294</v>
      </c>
      <c r="C168" s="853"/>
      <c r="D168" s="853"/>
      <c r="E168" s="853"/>
      <c r="F168" s="853"/>
      <c r="G168" s="853"/>
      <c r="H168" s="853"/>
      <c r="I168" s="853"/>
      <c r="J168" s="853"/>
    </row>
    <row r="169" spans="1:10">
      <c r="A169" s="319" t="s">
        <v>1090</v>
      </c>
      <c r="B169" s="852" t="s">
        <v>3295</v>
      </c>
      <c r="C169" s="853"/>
      <c r="D169" s="853"/>
      <c r="E169" s="853"/>
      <c r="F169" s="853"/>
      <c r="G169" s="853"/>
      <c r="H169" s="853"/>
      <c r="I169" s="853"/>
      <c r="J169" s="853"/>
    </row>
    <row r="170" spans="1:10">
      <c r="A170" s="319" t="s">
        <v>1088</v>
      </c>
      <c r="B170" s="852" t="s">
        <v>3296</v>
      </c>
      <c r="C170" s="853"/>
      <c r="D170" s="853"/>
      <c r="E170" s="853"/>
      <c r="F170" s="853"/>
      <c r="G170" s="853"/>
      <c r="H170" s="853"/>
      <c r="I170" s="853"/>
      <c r="J170" s="853"/>
    </row>
    <row r="171" spans="1:10" ht="27.6">
      <c r="A171" s="319" t="s">
        <v>3297</v>
      </c>
      <c r="B171" s="852" t="s">
        <v>3298</v>
      </c>
      <c r="C171" s="853"/>
      <c r="D171" s="853"/>
      <c r="E171" s="853"/>
      <c r="F171" s="853"/>
      <c r="G171" s="853"/>
      <c r="H171" s="853"/>
      <c r="I171" s="853"/>
      <c r="J171" s="853"/>
    </row>
    <row r="172" spans="1:10">
      <c r="A172" s="319" t="s">
        <v>1563</v>
      </c>
      <c r="B172" s="852" t="s">
        <v>1776</v>
      </c>
      <c r="C172" s="853"/>
      <c r="D172" s="853"/>
      <c r="E172" s="853"/>
      <c r="F172" s="853"/>
      <c r="G172" s="853"/>
      <c r="H172" s="853"/>
      <c r="I172" s="853"/>
      <c r="J172" s="853"/>
    </row>
    <row r="173" spans="1:10">
      <c r="A173" s="231"/>
      <c r="B173" s="231"/>
      <c r="C173" s="231"/>
      <c r="D173" s="231"/>
      <c r="E173" s="231"/>
      <c r="F173" s="231"/>
      <c r="G173" s="231"/>
      <c r="H173" s="231"/>
      <c r="I173" s="231"/>
      <c r="J173" s="231"/>
    </row>
    <row r="174" spans="1:10" ht="17.399999999999999">
      <c r="A174" s="827" t="s">
        <v>5769</v>
      </c>
      <c r="B174" s="827"/>
      <c r="C174" s="827"/>
      <c r="D174" s="827"/>
      <c r="E174" s="827"/>
      <c r="F174" s="827"/>
      <c r="G174" s="827"/>
      <c r="H174" s="827"/>
      <c r="I174" s="231"/>
      <c r="J174" s="231"/>
    </row>
    <row r="175" spans="1:10">
      <c r="A175" s="276" t="s">
        <v>2</v>
      </c>
      <c r="B175" s="828" t="s">
        <v>5770</v>
      </c>
      <c r="C175" s="828"/>
      <c r="D175" s="828"/>
      <c r="E175" s="828"/>
      <c r="F175" s="828"/>
      <c r="G175" s="828"/>
      <c r="H175" s="828"/>
      <c r="I175" s="231"/>
      <c r="J175" s="231"/>
    </row>
    <row r="176" spans="1:10">
      <c r="A176" s="276" t="s">
        <v>5771</v>
      </c>
      <c r="B176" s="828" t="s">
        <v>5772</v>
      </c>
      <c r="C176" s="828"/>
      <c r="D176" s="828"/>
      <c r="E176" s="828"/>
      <c r="F176" s="828"/>
      <c r="G176" s="828"/>
      <c r="H176" s="828"/>
      <c r="I176" s="231"/>
      <c r="J176" s="231"/>
    </row>
    <row r="177" spans="1:10">
      <c r="A177" s="196"/>
      <c r="B177" s="196"/>
      <c r="C177" s="196"/>
      <c r="D177" s="196"/>
      <c r="E177" s="196"/>
      <c r="F177" s="196"/>
      <c r="G177" s="196"/>
      <c r="H177" s="196"/>
      <c r="I177" s="231"/>
      <c r="J177" s="231"/>
    </row>
    <row r="178" spans="1:10">
      <c r="A178" s="323" t="s">
        <v>4946</v>
      </c>
      <c r="B178" s="323" t="s">
        <v>77</v>
      </c>
      <c r="C178" s="323" t="s">
        <v>5773</v>
      </c>
      <c r="D178" s="323" t="s">
        <v>263</v>
      </c>
      <c r="E178" s="323" t="s">
        <v>216</v>
      </c>
      <c r="F178" s="323" t="s">
        <v>5774</v>
      </c>
      <c r="G178" s="323" t="s">
        <v>5775</v>
      </c>
      <c r="H178" s="323" t="s">
        <v>5776</v>
      </c>
      <c r="I178" s="231"/>
      <c r="J178" s="231"/>
    </row>
    <row r="179" spans="1:10" ht="26.4">
      <c r="A179" s="277" t="s">
        <v>5777</v>
      </c>
      <c r="B179" s="278" t="s">
        <v>1096</v>
      </c>
      <c r="C179" s="277"/>
      <c r="D179" s="277"/>
      <c r="E179" s="277"/>
      <c r="F179" s="277"/>
      <c r="G179" s="279" t="str">
        <f t="shared" ref="G179:G186" si="2">IF(OR(B179="Yes",B179="N/A"),"🟢","🟡")</f>
        <v>🟡</v>
      </c>
      <c r="H179" s="277"/>
      <c r="I179" s="231"/>
      <c r="J179" s="231"/>
    </row>
    <row r="180" spans="1:10">
      <c r="A180" s="277" t="s">
        <v>5778</v>
      </c>
      <c r="B180" s="278" t="s">
        <v>1096</v>
      </c>
      <c r="C180" s="277"/>
      <c r="D180" s="277"/>
      <c r="E180" s="277"/>
      <c r="F180" s="277"/>
      <c r="G180" s="279" t="str">
        <f t="shared" si="2"/>
        <v>🟡</v>
      </c>
      <c r="H180" s="277"/>
      <c r="I180" s="231"/>
      <c r="J180" s="231"/>
    </row>
    <row r="181" spans="1:10">
      <c r="A181" s="277" t="s">
        <v>5779</v>
      </c>
      <c r="B181" s="278" t="s">
        <v>1096</v>
      </c>
      <c r="C181" s="277"/>
      <c r="D181" s="277"/>
      <c r="E181" s="277"/>
      <c r="F181" s="277"/>
      <c r="G181" s="279" t="str">
        <f t="shared" si="2"/>
        <v>🟡</v>
      </c>
      <c r="H181" s="277"/>
      <c r="I181" s="231"/>
      <c r="J181" s="231"/>
    </row>
    <row r="182" spans="1:10">
      <c r="A182" s="277" t="s">
        <v>5168</v>
      </c>
      <c r="B182" s="278" t="s">
        <v>1096</v>
      </c>
      <c r="C182" s="277"/>
      <c r="D182" s="277"/>
      <c r="E182" s="277"/>
      <c r="F182" s="277"/>
      <c r="G182" s="279" t="str">
        <f t="shared" si="2"/>
        <v>🟡</v>
      </c>
      <c r="H182" s="277"/>
      <c r="I182" s="231"/>
      <c r="J182" s="231"/>
    </row>
    <row r="183" spans="1:10">
      <c r="A183" s="277" t="s">
        <v>5780</v>
      </c>
      <c r="B183" s="278" t="s">
        <v>1096</v>
      </c>
      <c r="C183" s="277"/>
      <c r="D183" s="277"/>
      <c r="E183" s="277"/>
      <c r="F183" s="277"/>
      <c r="G183" s="279" t="str">
        <f t="shared" si="2"/>
        <v>🟡</v>
      </c>
      <c r="H183" s="277"/>
      <c r="I183" s="231"/>
      <c r="J183" s="231"/>
    </row>
    <row r="184" spans="1:10">
      <c r="A184" s="277" t="s">
        <v>5781</v>
      </c>
      <c r="B184" s="278" t="s">
        <v>1096</v>
      </c>
      <c r="C184" s="277"/>
      <c r="D184" s="277"/>
      <c r="E184" s="277"/>
      <c r="F184" s="277"/>
      <c r="G184" s="279" t="str">
        <f t="shared" si="2"/>
        <v>🟡</v>
      </c>
      <c r="H184" s="277"/>
      <c r="I184" s="231"/>
      <c r="J184" s="231"/>
    </row>
    <row r="185" spans="1:10">
      <c r="A185" s="277" t="s">
        <v>178</v>
      </c>
      <c r="B185" s="278" t="s">
        <v>1096</v>
      </c>
      <c r="C185" s="277"/>
      <c r="D185" s="277"/>
      <c r="E185" s="277"/>
      <c r="F185" s="277"/>
      <c r="G185" s="279" t="str">
        <f t="shared" si="2"/>
        <v>🟡</v>
      </c>
      <c r="H185" s="277"/>
      <c r="I185" s="231"/>
      <c r="J185" s="231"/>
    </row>
    <row r="186" spans="1:10" ht="26.4">
      <c r="A186" s="277" t="s">
        <v>5782</v>
      </c>
      <c r="B186" s="278" t="s">
        <v>1096</v>
      </c>
      <c r="C186" s="277"/>
      <c r="D186" s="277"/>
      <c r="E186" s="277"/>
      <c r="F186" s="277"/>
      <c r="G186" s="279" t="str">
        <f t="shared" si="2"/>
        <v>🟡</v>
      </c>
      <c r="H186" s="277"/>
      <c r="I186" s="231"/>
      <c r="J186" s="231"/>
    </row>
    <row r="187" spans="1:10">
      <c r="A187" s="324" t="s">
        <v>4946</v>
      </c>
      <c r="B187" s="324" t="s">
        <v>5790</v>
      </c>
      <c r="C187" s="196"/>
      <c r="D187" s="196"/>
      <c r="E187" s="324" t="s">
        <v>5791</v>
      </c>
      <c r="F187" s="196"/>
      <c r="G187" s="196"/>
      <c r="H187" s="196"/>
      <c r="I187" s="231"/>
      <c r="J187" s="231"/>
    </row>
    <row r="188" spans="1:10" ht="42" customHeight="1">
      <c r="A188" s="291" t="s">
        <v>5777</v>
      </c>
      <c r="B188" s="768" t="s">
        <v>5792</v>
      </c>
      <c r="C188" s="768"/>
      <c r="D188" s="768"/>
      <c r="E188" s="768" t="s">
        <v>5793</v>
      </c>
      <c r="F188" s="768"/>
      <c r="G188" s="768"/>
      <c r="H188" s="196"/>
      <c r="I188" s="231"/>
      <c r="J188" s="231"/>
    </row>
    <row r="189" spans="1:10" ht="42" customHeight="1">
      <c r="A189" s="291" t="s">
        <v>5778</v>
      </c>
      <c r="B189" s="768" t="s">
        <v>5794</v>
      </c>
      <c r="C189" s="768"/>
      <c r="D189" s="768"/>
      <c r="E189" s="768" t="s">
        <v>5795</v>
      </c>
      <c r="F189" s="768"/>
      <c r="G189" s="768"/>
      <c r="H189" s="196"/>
      <c r="I189" s="231"/>
      <c r="J189" s="231"/>
    </row>
    <row r="190" spans="1:10" ht="42" customHeight="1">
      <c r="A190" s="291" t="s">
        <v>5779</v>
      </c>
      <c r="B190" s="768" t="s">
        <v>5796</v>
      </c>
      <c r="C190" s="768"/>
      <c r="D190" s="768"/>
      <c r="E190" s="768" t="s">
        <v>5797</v>
      </c>
      <c r="F190" s="768"/>
      <c r="G190" s="768"/>
      <c r="H190" s="196"/>
      <c r="I190" s="231"/>
      <c r="J190" s="231"/>
    </row>
    <row r="191" spans="1:10" ht="42" customHeight="1">
      <c r="A191" s="291" t="s">
        <v>5168</v>
      </c>
      <c r="B191" s="768" t="s">
        <v>5798</v>
      </c>
      <c r="C191" s="768"/>
      <c r="D191" s="768"/>
      <c r="E191" s="768" t="s">
        <v>5799</v>
      </c>
      <c r="F191" s="768"/>
      <c r="G191" s="768"/>
      <c r="H191" s="196"/>
      <c r="I191" s="231"/>
      <c r="J191" s="231"/>
    </row>
    <row r="192" spans="1:10" ht="42" customHeight="1">
      <c r="A192" s="291" t="s">
        <v>5780</v>
      </c>
      <c r="B192" s="768" t="s">
        <v>5800</v>
      </c>
      <c r="C192" s="768"/>
      <c r="D192" s="768"/>
      <c r="E192" s="768" t="s">
        <v>5801</v>
      </c>
      <c r="F192" s="768"/>
      <c r="G192" s="768"/>
      <c r="H192" s="196"/>
      <c r="I192" s="231"/>
      <c r="J192" s="231"/>
    </row>
    <row r="193" spans="1:10" ht="42" customHeight="1">
      <c r="A193" s="291" t="s">
        <v>5781</v>
      </c>
      <c r="B193" s="768" t="s">
        <v>5802</v>
      </c>
      <c r="C193" s="768"/>
      <c r="D193" s="768"/>
      <c r="E193" s="768" t="s">
        <v>5803</v>
      </c>
      <c r="F193" s="768"/>
      <c r="G193" s="768"/>
      <c r="H193" s="196"/>
      <c r="I193" s="231"/>
      <c r="J193" s="231"/>
    </row>
    <row r="194" spans="1:10" ht="42" customHeight="1">
      <c r="A194" s="291" t="s">
        <v>178</v>
      </c>
      <c r="B194" s="768" t="s">
        <v>5804</v>
      </c>
      <c r="C194" s="768"/>
      <c r="D194" s="768"/>
      <c r="E194" s="768" t="s">
        <v>5805</v>
      </c>
      <c r="F194" s="768"/>
      <c r="G194" s="768"/>
      <c r="H194" s="196"/>
      <c r="I194" s="231"/>
      <c r="J194" s="231"/>
    </row>
    <row r="195" spans="1:10" ht="42" customHeight="1">
      <c r="A195" s="291" t="s">
        <v>5782</v>
      </c>
      <c r="B195" s="768" t="s">
        <v>5806</v>
      </c>
      <c r="C195" s="768"/>
      <c r="D195" s="768"/>
      <c r="E195" s="768" t="s">
        <v>5807</v>
      </c>
      <c r="F195" s="768"/>
      <c r="G195" s="768"/>
      <c r="H195" s="196"/>
      <c r="I195" s="231"/>
      <c r="J195" s="231"/>
    </row>
    <row r="196" spans="1:10">
      <c r="A196" s="276" t="s">
        <v>5783</v>
      </c>
      <c r="B196" s="280" t="str">
        <f>IF(COUNTIF(B179:B186,"No")=0,"🟢 PILOT COMPLETE / ACCEPTANCE READY","🟡 NOT COMPLETE — ACCEPTANCE GATES OPEN")</f>
        <v>🟡 NOT COMPLETE — ACCEPTANCE GATES OPEN</v>
      </c>
      <c r="C196" s="280"/>
      <c r="D196" s="280"/>
      <c r="E196" s="280"/>
      <c r="F196" s="280"/>
      <c r="G196" s="280"/>
      <c r="H196" s="280"/>
    </row>
    <row r="197" spans="1:10">
      <c r="A197" s="276" t="s">
        <v>5784</v>
      </c>
      <c r="B197" s="280">
        <f>COUNTIF(B179:B186,"No")</f>
        <v>8</v>
      </c>
      <c r="C197" s="280"/>
      <c r="D197" s="280"/>
      <c r="E197" s="280"/>
      <c r="F197" s="280"/>
      <c r="G197" s="280"/>
      <c r="H197" s="280"/>
    </row>
    <row r="198" spans="1:10">
      <c r="A198" s="276" t="s">
        <v>5785</v>
      </c>
      <c r="B198" s="280" t="str">
        <f>COUNTIF(B179:B186,"Yes")&amp;" / 8 Complete"</f>
        <v>0 / 8 Complete</v>
      </c>
      <c r="C198" s="280"/>
      <c r="D198" s="280"/>
      <c r="E198" s="280"/>
      <c r="F198" s="280"/>
      <c r="G198" s="280"/>
      <c r="H198" s="280"/>
    </row>
    <row r="199" spans="1:10" ht="93">
      <c r="A199" s="281" t="s">
        <v>5786</v>
      </c>
      <c r="B199" s="282" t="s">
        <v>5787</v>
      </c>
      <c r="C199" s="282"/>
      <c r="D199" s="282"/>
      <c r="E199" s="282"/>
      <c r="F199" s="282"/>
      <c r="G199" s="282"/>
      <c r="H199" s="282"/>
    </row>
    <row r="200" spans="1:10">
      <c r="A200" s="281"/>
      <c r="B200" s="282"/>
      <c r="C200" s="282"/>
      <c r="D200" s="282"/>
      <c r="E200" s="282"/>
      <c r="F200" s="282"/>
      <c r="G200" s="282"/>
      <c r="H200" s="282"/>
    </row>
    <row r="201" spans="1:10" ht="66.599999999999994">
      <c r="A201" s="281" t="s">
        <v>5788</v>
      </c>
      <c r="B201" s="282" t="s">
        <v>5789</v>
      </c>
      <c r="C201" s="282"/>
      <c r="D201" s="282"/>
      <c r="E201" s="282"/>
      <c r="F201" s="282"/>
      <c r="G201" s="282"/>
      <c r="H201" s="282"/>
    </row>
    <row r="202" spans="1:10">
      <c r="A202" s="842" t="s">
        <v>5901</v>
      </c>
      <c r="B202" s="842"/>
      <c r="C202" s="842"/>
      <c r="D202" s="842"/>
      <c r="E202" s="842"/>
      <c r="F202" s="842"/>
      <c r="G202" s="842"/>
      <c r="H202" s="842"/>
      <c r="I202" s="842"/>
      <c r="J202" s="842"/>
    </row>
    <row r="203" spans="1:10">
      <c r="A203" s="340" t="s">
        <v>5886</v>
      </c>
      <c r="B203" s="196"/>
      <c r="C203" s="196"/>
      <c r="D203" s="196"/>
      <c r="E203" s="196"/>
      <c r="F203" s="196"/>
      <c r="G203" s="196"/>
      <c r="H203" s="196"/>
      <c r="I203" s="196"/>
      <c r="J203" s="196"/>
    </row>
    <row r="204" spans="1:10">
      <c r="A204" s="196"/>
      <c r="B204" s="196"/>
      <c r="C204" s="196"/>
      <c r="D204" s="196"/>
      <c r="E204" s="196"/>
      <c r="F204" s="196"/>
      <c r="G204" s="196"/>
      <c r="H204" s="196"/>
      <c r="I204" s="196"/>
      <c r="J204" s="196"/>
    </row>
    <row r="205" spans="1:10">
      <c r="A205" s="196" t="s">
        <v>5887</v>
      </c>
      <c r="B205" s="196"/>
      <c r="C205" s="196"/>
      <c r="D205" s="196"/>
      <c r="E205" s="196"/>
      <c r="F205" s="196"/>
      <c r="G205" s="196"/>
      <c r="H205" s="196"/>
      <c r="I205" s="196"/>
      <c r="J205" s="196"/>
    </row>
    <row r="206" spans="1:10">
      <c r="A206" s="196"/>
      <c r="B206" s="196"/>
      <c r="C206" s="196"/>
      <c r="D206" s="196"/>
      <c r="E206" s="196"/>
      <c r="F206" s="196"/>
      <c r="G206" s="196"/>
      <c r="H206" s="196"/>
      <c r="I206" s="196"/>
      <c r="J206" s="196"/>
    </row>
    <row r="207" spans="1:10">
      <c r="A207" s="196" t="s">
        <v>5888</v>
      </c>
      <c r="B207" s="196"/>
      <c r="C207" s="196"/>
      <c r="D207" s="196"/>
      <c r="E207" s="196"/>
      <c r="F207" s="196"/>
      <c r="G207" s="196"/>
      <c r="H207" s="196"/>
      <c r="I207" s="196"/>
      <c r="J207" s="196"/>
    </row>
    <row r="208" spans="1:10">
      <c r="A208" s="196"/>
      <c r="B208" s="196"/>
      <c r="C208" s="196"/>
      <c r="D208" s="196"/>
      <c r="E208" s="196"/>
      <c r="F208" s="196"/>
      <c r="G208" s="196"/>
      <c r="H208" s="196"/>
      <c r="I208" s="196"/>
      <c r="J208" s="196"/>
    </row>
    <row r="209" spans="1:10">
      <c r="A209" s="196" t="s">
        <v>5889</v>
      </c>
      <c r="B209" s="196"/>
      <c r="C209" s="196"/>
      <c r="D209" s="196"/>
      <c r="E209" s="196"/>
      <c r="F209" s="196"/>
      <c r="G209" s="196"/>
      <c r="H209" s="196"/>
      <c r="I209" s="196"/>
      <c r="J209" s="196"/>
    </row>
    <row r="210" spans="1:10">
      <c r="A210" s="196"/>
      <c r="B210" s="196"/>
      <c r="C210" s="196"/>
      <c r="D210" s="196"/>
      <c r="E210" s="196"/>
      <c r="F210" s="196"/>
      <c r="G210" s="196"/>
      <c r="H210" s="196"/>
      <c r="I210" s="196"/>
      <c r="J210" s="196"/>
    </row>
    <row r="211" spans="1:10">
      <c r="A211" s="196"/>
      <c r="B211" s="196"/>
      <c r="C211" s="196"/>
      <c r="D211" s="196"/>
      <c r="E211" s="196"/>
      <c r="F211" s="196"/>
      <c r="G211" s="196"/>
      <c r="H211" s="196"/>
      <c r="I211" s="196"/>
      <c r="J211" s="196"/>
    </row>
    <row r="212" spans="1:10">
      <c r="A212" s="196"/>
      <c r="B212" s="196"/>
      <c r="C212" s="196"/>
      <c r="D212" s="196"/>
      <c r="E212" s="196"/>
      <c r="F212" s="196"/>
      <c r="G212" s="196"/>
      <c r="H212" s="196"/>
      <c r="I212" s="196"/>
      <c r="J212" s="196"/>
    </row>
    <row r="213" spans="1:10">
      <c r="A213" s="842" t="s">
        <v>5902</v>
      </c>
      <c r="B213" s="842"/>
      <c r="C213" s="842"/>
      <c r="D213" s="842"/>
      <c r="E213" s="842"/>
      <c r="F213" s="842"/>
      <c r="G213" s="842"/>
      <c r="H213" s="842"/>
      <c r="I213" s="842"/>
      <c r="J213" s="842"/>
    </row>
    <row r="214" spans="1:10">
      <c r="A214" s="196"/>
      <c r="B214" s="196"/>
      <c r="C214" s="196"/>
      <c r="D214" s="196"/>
      <c r="E214" s="196"/>
      <c r="F214" s="196"/>
      <c r="G214" s="196"/>
      <c r="H214" s="196"/>
      <c r="I214" s="196"/>
      <c r="J214" s="196"/>
    </row>
    <row r="215" spans="1:10">
      <c r="A215" s="196" t="s">
        <v>5890</v>
      </c>
      <c r="B215" s="196"/>
      <c r="C215" s="196"/>
      <c r="D215" s="196"/>
      <c r="E215" s="196"/>
      <c r="F215" s="196"/>
      <c r="G215" s="196"/>
      <c r="H215" s="196"/>
      <c r="I215" s="196"/>
      <c r="J215" s="196"/>
    </row>
    <row r="216" spans="1:10">
      <c r="A216" s="196"/>
      <c r="B216" s="196"/>
      <c r="C216" s="196"/>
      <c r="D216" s="196"/>
      <c r="E216" s="196"/>
      <c r="F216" s="196"/>
      <c r="G216" s="196"/>
      <c r="H216" s="196"/>
      <c r="I216" s="196"/>
      <c r="J216" s="196"/>
    </row>
    <row r="217" spans="1:10">
      <c r="A217" s="196" t="s">
        <v>5891</v>
      </c>
      <c r="B217" s="196"/>
      <c r="C217" s="196"/>
      <c r="D217" s="196"/>
      <c r="E217" s="196"/>
      <c r="F217" s="196"/>
      <c r="G217" s="196"/>
      <c r="H217" s="196"/>
      <c r="I217" s="196"/>
      <c r="J217" s="196"/>
    </row>
    <row r="218" spans="1:10">
      <c r="A218" s="196"/>
      <c r="B218" s="196"/>
      <c r="C218" s="196"/>
      <c r="D218" s="196"/>
      <c r="E218" s="196"/>
      <c r="F218" s="196"/>
      <c r="G218" s="196"/>
      <c r="H218" s="196"/>
      <c r="I218" s="196"/>
      <c r="J218" s="196"/>
    </row>
    <row r="219" spans="1:10">
      <c r="A219" s="196" t="s">
        <v>5892</v>
      </c>
      <c r="B219" s="196"/>
      <c r="C219" s="196"/>
      <c r="D219" s="196"/>
      <c r="E219" s="196"/>
      <c r="F219" s="196"/>
      <c r="G219" s="196"/>
      <c r="H219" s="196"/>
      <c r="I219" s="196"/>
      <c r="J219" s="196"/>
    </row>
    <row r="220" spans="1:10">
      <c r="A220" s="196"/>
      <c r="B220" s="196"/>
      <c r="C220" s="196"/>
      <c r="D220" s="196"/>
      <c r="E220" s="196"/>
      <c r="F220" s="196"/>
      <c r="G220" s="196"/>
      <c r="H220" s="196"/>
      <c r="I220" s="196"/>
      <c r="J220" s="196"/>
    </row>
    <row r="221" spans="1:10">
      <c r="A221" s="196"/>
      <c r="B221" s="196"/>
      <c r="C221" s="196"/>
      <c r="D221" s="196"/>
      <c r="E221" s="196"/>
      <c r="F221" s="196"/>
      <c r="G221" s="196"/>
      <c r="H221" s="196"/>
      <c r="I221" s="196"/>
      <c r="J221" s="196"/>
    </row>
    <row r="222" spans="1:10">
      <c r="A222" s="196"/>
      <c r="B222" s="196"/>
      <c r="C222" s="196"/>
      <c r="D222" s="196"/>
      <c r="E222" s="196"/>
      <c r="F222" s="196"/>
      <c r="G222" s="196"/>
      <c r="H222" s="196"/>
      <c r="I222" s="196"/>
      <c r="J222" s="196"/>
    </row>
    <row r="223" spans="1:10">
      <c r="A223" s="842" t="s">
        <v>5903</v>
      </c>
      <c r="B223" s="842"/>
      <c r="C223" s="842"/>
      <c r="D223" s="842"/>
      <c r="E223" s="842"/>
      <c r="F223" s="842"/>
      <c r="G223" s="842"/>
      <c r="H223" s="842"/>
      <c r="I223" s="842"/>
      <c r="J223" s="842"/>
    </row>
    <row r="224" spans="1:10">
      <c r="A224" s="196"/>
      <c r="B224" s="196"/>
      <c r="C224" s="196"/>
      <c r="D224" s="196"/>
      <c r="E224" s="196"/>
      <c r="F224" s="196"/>
      <c r="G224" s="196"/>
      <c r="H224" s="196"/>
      <c r="I224" s="196"/>
      <c r="J224" s="196"/>
    </row>
    <row r="225" spans="1:10">
      <c r="A225" s="196" t="s">
        <v>5893</v>
      </c>
      <c r="B225" s="196"/>
      <c r="C225" s="196"/>
      <c r="D225" s="196"/>
      <c r="E225" s="196"/>
      <c r="F225" s="196"/>
      <c r="G225" s="196"/>
      <c r="H225" s="196"/>
      <c r="I225" s="196"/>
      <c r="J225" s="196"/>
    </row>
    <row r="226" spans="1:10">
      <c r="A226" s="196"/>
      <c r="B226" s="196"/>
      <c r="C226" s="196"/>
      <c r="D226" s="196"/>
      <c r="E226" s="196"/>
      <c r="F226" s="196"/>
      <c r="G226" s="196"/>
      <c r="H226" s="196"/>
      <c r="I226" s="196"/>
      <c r="J226" s="196"/>
    </row>
    <row r="227" spans="1:10">
      <c r="A227" s="196" t="s">
        <v>5894</v>
      </c>
      <c r="B227" s="196"/>
      <c r="C227" s="196"/>
      <c r="D227" s="196"/>
      <c r="E227" s="196"/>
      <c r="F227" s="196"/>
      <c r="G227" s="196"/>
      <c r="H227" s="196"/>
      <c r="I227" s="196"/>
      <c r="J227" s="196"/>
    </row>
    <row r="228" spans="1:10">
      <c r="A228" s="196"/>
      <c r="B228" s="196"/>
      <c r="C228" s="196"/>
      <c r="D228" s="196"/>
      <c r="E228" s="196"/>
      <c r="F228" s="196"/>
      <c r="G228" s="196"/>
      <c r="H228" s="196"/>
      <c r="I228" s="196"/>
      <c r="J228" s="196"/>
    </row>
    <row r="229" spans="1:10">
      <c r="A229" s="196" t="s">
        <v>5895</v>
      </c>
      <c r="B229" s="196"/>
      <c r="C229" s="196"/>
      <c r="D229" s="196"/>
      <c r="E229" s="196"/>
      <c r="F229" s="196"/>
      <c r="G229" s="196"/>
      <c r="H229" s="196"/>
      <c r="I229" s="196"/>
      <c r="J229" s="196"/>
    </row>
    <row r="230" spans="1:10">
      <c r="A230" s="196"/>
      <c r="B230" s="196"/>
      <c r="C230" s="196"/>
      <c r="D230" s="196"/>
      <c r="E230" s="196"/>
      <c r="F230" s="196"/>
      <c r="G230" s="196"/>
      <c r="H230" s="196"/>
      <c r="I230" s="196"/>
      <c r="J230" s="196"/>
    </row>
    <row r="231" spans="1:10">
      <c r="A231" s="196" t="s">
        <v>5896</v>
      </c>
      <c r="B231" s="196"/>
      <c r="C231" s="196"/>
      <c r="D231" s="196"/>
      <c r="E231" s="196"/>
      <c r="F231" s="196"/>
      <c r="G231" s="196"/>
      <c r="H231" s="196"/>
      <c r="I231" s="196"/>
      <c r="J231" s="196"/>
    </row>
    <row r="232" spans="1:10">
      <c r="A232" s="196"/>
      <c r="B232" s="196"/>
      <c r="C232" s="196"/>
      <c r="D232" s="196"/>
      <c r="E232" s="196"/>
      <c r="F232" s="196"/>
      <c r="G232" s="196"/>
      <c r="H232" s="196"/>
      <c r="I232" s="196"/>
      <c r="J232" s="196"/>
    </row>
    <row r="233" spans="1:10">
      <c r="A233" s="196"/>
      <c r="B233" s="196"/>
      <c r="C233" s="196"/>
      <c r="D233" s="196"/>
      <c r="E233" s="196"/>
      <c r="F233" s="196"/>
      <c r="G233" s="196"/>
      <c r="H233" s="196"/>
      <c r="I233" s="196"/>
      <c r="J233" s="196"/>
    </row>
    <row r="234" spans="1:10">
      <c r="A234" s="196"/>
      <c r="B234" s="196"/>
      <c r="C234" s="196"/>
      <c r="D234" s="196"/>
      <c r="E234" s="196"/>
      <c r="F234" s="196"/>
      <c r="G234" s="196"/>
      <c r="H234" s="196"/>
      <c r="I234" s="196"/>
      <c r="J234" s="196"/>
    </row>
    <row r="235" spans="1:10">
      <c r="A235" s="842" t="s">
        <v>5904</v>
      </c>
      <c r="B235" s="842"/>
      <c r="C235" s="842"/>
      <c r="D235" s="842"/>
      <c r="E235" s="842"/>
      <c r="F235" s="842"/>
      <c r="G235" s="842"/>
      <c r="H235" s="842"/>
      <c r="I235" s="842"/>
      <c r="J235" s="842"/>
    </row>
    <row r="236" spans="1:10">
      <c r="A236" s="196"/>
      <c r="B236" s="196"/>
      <c r="C236" s="196"/>
      <c r="D236" s="196"/>
      <c r="E236" s="196"/>
      <c r="F236" s="196"/>
      <c r="G236" s="196"/>
      <c r="H236" s="196"/>
      <c r="I236" s="196"/>
      <c r="J236" s="196"/>
    </row>
    <row r="237" spans="1:10">
      <c r="A237" s="196" t="s">
        <v>5897</v>
      </c>
      <c r="B237" s="196"/>
      <c r="C237" s="196"/>
      <c r="D237" s="196"/>
      <c r="E237" s="196"/>
      <c r="F237" s="196"/>
      <c r="G237" s="196"/>
      <c r="H237" s="196"/>
      <c r="I237" s="196"/>
      <c r="J237" s="196"/>
    </row>
    <row r="238" spans="1:10">
      <c r="A238" s="196"/>
      <c r="B238" s="196"/>
      <c r="C238" s="196"/>
      <c r="D238" s="196"/>
      <c r="E238" s="196"/>
      <c r="F238" s="196"/>
      <c r="G238" s="196"/>
      <c r="H238" s="196"/>
      <c r="I238" s="196"/>
      <c r="J238" s="196"/>
    </row>
    <row r="239" spans="1:10">
      <c r="A239" s="196" t="s">
        <v>5898</v>
      </c>
      <c r="B239" s="196"/>
      <c r="C239" s="196"/>
      <c r="D239" s="196"/>
      <c r="E239" s="196"/>
      <c r="F239" s="196"/>
      <c r="G239" s="196"/>
      <c r="H239" s="196"/>
      <c r="I239" s="196"/>
      <c r="J239" s="196"/>
    </row>
    <row r="240" spans="1:10">
      <c r="A240" s="196"/>
      <c r="B240" s="196"/>
      <c r="C240" s="196"/>
      <c r="D240" s="196"/>
      <c r="E240" s="196"/>
      <c r="F240" s="196"/>
      <c r="G240" s="196"/>
      <c r="H240" s="196"/>
      <c r="I240" s="196"/>
      <c r="J240" s="196"/>
    </row>
    <row r="241" spans="1:10">
      <c r="A241" s="196" t="s">
        <v>5899</v>
      </c>
      <c r="B241" s="196"/>
      <c r="C241" s="196"/>
      <c r="D241" s="196"/>
      <c r="E241" s="196"/>
      <c r="F241" s="196"/>
      <c r="G241" s="196"/>
      <c r="H241" s="196"/>
      <c r="I241" s="196"/>
      <c r="J241" s="196"/>
    </row>
    <row r="242" spans="1:10">
      <c r="A242" s="196"/>
      <c r="B242" s="196"/>
      <c r="C242" s="196"/>
      <c r="D242" s="196"/>
      <c r="E242" s="196"/>
      <c r="F242" s="196"/>
      <c r="G242" s="196"/>
      <c r="H242" s="196"/>
      <c r="I242" s="196"/>
      <c r="J242" s="196"/>
    </row>
    <row r="243" spans="1:10">
      <c r="A243" s="196"/>
      <c r="B243" s="196"/>
      <c r="C243" s="196"/>
      <c r="D243" s="196"/>
      <c r="E243" s="196"/>
      <c r="F243" s="196"/>
      <c r="G243" s="196"/>
      <c r="H243" s="196"/>
      <c r="I243" s="196"/>
      <c r="J243" s="196"/>
    </row>
    <row r="244" spans="1:10">
      <c r="A244" s="196"/>
      <c r="B244" s="196"/>
      <c r="C244" s="196"/>
      <c r="D244" s="196"/>
      <c r="E244" s="196"/>
      <c r="F244" s="196"/>
      <c r="G244" s="196"/>
      <c r="H244" s="196"/>
      <c r="I244" s="196"/>
      <c r="J244" s="196"/>
    </row>
    <row r="245" spans="1:10">
      <c r="A245" s="196" t="s">
        <v>5900</v>
      </c>
      <c r="B245" s="196"/>
      <c r="C245" s="196"/>
      <c r="D245" s="196"/>
      <c r="E245" s="196"/>
      <c r="F245" s="196"/>
      <c r="G245" s="196"/>
      <c r="H245" s="196"/>
      <c r="I245" s="196"/>
      <c r="J245" s="196"/>
    </row>
    <row r="246" spans="1:10">
      <c r="A246" s="196"/>
      <c r="B246" s="196"/>
      <c r="C246" s="196"/>
      <c r="D246" s="196"/>
      <c r="E246" s="196"/>
      <c r="F246" s="196"/>
      <c r="G246" s="196"/>
      <c r="H246" s="196"/>
      <c r="I246" s="196"/>
      <c r="J246" s="196"/>
    </row>
    <row r="247" spans="1:10">
      <c r="A247" s="341"/>
      <c r="B247" s="341"/>
      <c r="C247" s="341"/>
      <c r="D247" s="341"/>
      <c r="E247" s="341"/>
      <c r="F247" s="341"/>
      <c r="G247" s="341"/>
      <c r="H247" s="341"/>
      <c r="I247" s="341"/>
      <c r="J247" s="341"/>
    </row>
    <row r="248" spans="1:10">
      <c r="A248" s="341"/>
      <c r="B248" s="341"/>
      <c r="C248" s="341"/>
      <c r="D248" s="341"/>
      <c r="E248" s="341"/>
      <c r="F248" s="341"/>
      <c r="G248" s="341"/>
      <c r="H248" s="341"/>
      <c r="I248" s="341"/>
      <c r="J248" s="341"/>
    </row>
    <row r="249" spans="1:10">
      <c r="A249" s="341"/>
      <c r="B249" s="341"/>
      <c r="C249" s="341"/>
      <c r="D249" s="341"/>
      <c r="E249" s="341"/>
      <c r="F249" s="341"/>
      <c r="G249" s="341"/>
      <c r="H249" s="341"/>
      <c r="I249" s="341"/>
      <c r="J249" s="341"/>
    </row>
    <row r="250" spans="1:10">
      <c r="A250" s="341"/>
      <c r="B250" s="341"/>
      <c r="C250" s="341"/>
      <c r="D250" s="341"/>
      <c r="E250" s="341"/>
      <c r="F250" s="341"/>
      <c r="G250" s="341"/>
      <c r="H250" s="341"/>
      <c r="I250" s="341"/>
      <c r="J250" s="341"/>
    </row>
    <row r="251" spans="1:10">
      <c r="A251" s="341"/>
      <c r="B251" s="341"/>
      <c r="C251" s="341"/>
      <c r="D251" s="341"/>
      <c r="E251" s="341"/>
      <c r="F251" s="341"/>
      <c r="G251" s="341"/>
      <c r="H251" s="341"/>
      <c r="I251" s="341"/>
      <c r="J251" s="341"/>
    </row>
    <row r="252" spans="1:10">
      <c r="A252" s="341"/>
      <c r="B252" s="341"/>
      <c r="C252" s="341"/>
      <c r="D252" s="341"/>
      <c r="E252" s="341"/>
      <c r="F252" s="341"/>
      <c r="G252" s="341"/>
      <c r="H252" s="341"/>
      <c r="I252" s="341"/>
      <c r="J252" s="341"/>
    </row>
    <row r="253" spans="1:10">
      <c r="A253" s="341"/>
      <c r="B253" s="341"/>
      <c r="C253" s="341"/>
      <c r="D253" s="341"/>
      <c r="E253" s="341"/>
      <c r="F253" s="341"/>
      <c r="G253" s="341"/>
      <c r="H253" s="341"/>
      <c r="I253" s="341"/>
      <c r="J253" s="341"/>
    </row>
    <row r="254" spans="1:10">
      <c r="A254" s="341"/>
      <c r="B254" s="341"/>
      <c r="C254" s="341"/>
      <c r="D254" s="341"/>
      <c r="E254" s="341"/>
      <c r="F254" s="341"/>
      <c r="G254" s="341"/>
      <c r="H254" s="341"/>
      <c r="I254" s="341"/>
      <c r="J254" s="341"/>
    </row>
    <row r="255" spans="1:10">
      <c r="A255" s="341"/>
      <c r="B255" s="341"/>
      <c r="C255" s="341"/>
      <c r="D255" s="341"/>
      <c r="E255" s="341"/>
      <c r="F255" s="341"/>
      <c r="G255" s="341"/>
      <c r="H255" s="341"/>
      <c r="I255" s="341"/>
      <c r="J255" s="341"/>
    </row>
    <row r="256" spans="1:10">
      <c r="A256" s="196"/>
      <c r="B256" s="196"/>
      <c r="C256" s="196"/>
      <c r="D256" s="196"/>
      <c r="E256" s="196"/>
      <c r="F256" s="196"/>
      <c r="G256" s="196"/>
      <c r="H256" s="196"/>
      <c r="I256" s="196"/>
      <c r="J256" s="196"/>
    </row>
    <row r="257" spans="1:10">
      <c r="A257" s="320"/>
      <c r="B257" s="320"/>
      <c r="C257" s="320"/>
      <c r="D257" s="320"/>
      <c r="E257" s="320"/>
      <c r="F257" s="320"/>
      <c r="G257" s="874"/>
      <c r="H257" s="874"/>
      <c r="I257" s="874"/>
      <c r="J257" s="874"/>
    </row>
  </sheetData>
  <mergeCells count="121">
    <mergeCell ref="B113:J113"/>
    <mergeCell ref="B109:J109"/>
    <mergeCell ref="A51:C51"/>
    <mergeCell ref="A64:C64"/>
    <mergeCell ref="A36:C36"/>
    <mergeCell ref="B112:J112"/>
    <mergeCell ref="B111:J111"/>
    <mergeCell ref="A1:J1"/>
    <mergeCell ref="A44:C44"/>
    <mergeCell ref="A58:C58"/>
    <mergeCell ref="D6:J6"/>
    <mergeCell ref="B110:J110"/>
    <mergeCell ref="A8:C8"/>
    <mergeCell ref="A97:C97"/>
    <mergeCell ref="B108:J108"/>
    <mergeCell ref="A29:C29"/>
    <mergeCell ref="A75:C75"/>
    <mergeCell ref="B107:J107"/>
    <mergeCell ref="A21:C21"/>
    <mergeCell ref="A105:C105"/>
    <mergeCell ref="A86:C86"/>
    <mergeCell ref="G119:J119"/>
    <mergeCell ref="G121:J121"/>
    <mergeCell ref="A123:B123"/>
    <mergeCell ref="E123:J123"/>
    <mergeCell ref="A125:C125"/>
    <mergeCell ref="D125:F125"/>
    <mergeCell ref="G125:J125"/>
    <mergeCell ref="A116:C116"/>
    <mergeCell ref="D116:F116"/>
    <mergeCell ref="G116:J116"/>
    <mergeCell ref="G117:J117"/>
    <mergeCell ref="G118:J118"/>
    <mergeCell ref="F131:J131"/>
    <mergeCell ref="F132:J132"/>
    <mergeCell ref="F133:J133"/>
    <mergeCell ref="F134:J134"/>
    <mergeCell ref="A135:B135"/>
    <mergeCell ref="C135:D135"/>
    <mergeCell ref="E135:J135"/>
    <mergeCell ref="G126:J126"/>
    <mergeCell ref="F127:J127"/>
    <mergeCell ref="F128:J128"/>
    <mergeCell ref="F129:J129"/>
    <mergeCell ref="F130:J130"/>
    <mergeCell ref="G140:J140"/>
    <mergeCell ref="G141:J141"/>
    <mergeCell ref="G142:J142"/>
    <mergeCell ref="G143:J143"/>
    <mergeCell ref="A144:B144"/>
    <mergeCell ref="C144:D144"/>
    <mergeCell ref="E144:J144"/>
    <mergeCell ref="A137:C137"/>
    <mergeCell ref="D137:F137"/>
    <mergeCell ref="G137:J137"/>
    <mergeCell ref="G138:J138"/>
    <mergeCell ref="G139:J139"/>
    <mergeCell ref="G148:J148"/>
    <mergeCell ref="G149:J149"/>
    <mergeCell ref="G150:J150"/>
    <mergeCell ref="G151:J151"/>
    <mergeCell ref="A152:D153"/>
    <mergeCell ref="E152:J153"/>
    <mergeCell ref="G145:J145"/>
    <mergeCell ref="A146:C146"/>
    <mergeCell ref="D146:F146"/>
    <mergeCell ref="G146:J146"/>
    <mergeCell ref="G147:J147"/>
    <mergeCell ref="G157:J157"/>
    <mergeCell ref="G158:J158"/>
    <mergeCell ref="G159:J159"/>
    <mergeCell ref="G160:J160"/>
    <mergeCell ref="G161:J161"/>
    <mergeCell ref="A154:C154"/>
    <mergeCell ref="D154:F154"/>
    <mergeCell ref="G154:J154"/>
    <mergeCell ref="G155:J155"/>
    <mergeCell ref="G156:J156"/>
    <mergeCell ref="B167:J167"/>
    <mergeCell ref="B168:J168"/>
    <mergeCell ref="B169:J169"/>
    <mergeCell ref="B170:J170"/>
    <mergeCell ref="B171:J171"/>
    <mergeCell ref="A162:B162"/>
    <mergeCell ref="C162:D162"/>
    <mergeCell ref="E162:J162"/>
    <mergeCell ref="A164:C164"/>
    <mergeCell ref="B166:J166"/>
    <mergeCell ref="B189:D189"/>
    <mergeCell ref="E189:G189"/>
    <mergeCell ref="B190:D190"/>
    <mergeCell ref="E190:G190"/>
    <mergeCell ref="B191:D191"/>
    <mergeCell ref="E191:G191"/>
    <mergeCell ref="B172:J172"/>
    <mergeCell ref="A174:H174"/>
    <mergeCell ref="B175:H175"/>
    <mergeCell ref="B176:H176"/>
    <mergeCell ref="B188:D188"/>
    <mergeCell ref="E188:G188"/>
    <mergeCell ref="B195:D195"/>
    <mergeCell ref="E195:G195"/>
    <mergeCell ref="A202:C202"/>
    <mergeCell ref="D202:F202"/>
    <mergeCell ref="G202:J202"/>
    <mergeCell ref="B192:D192"/>
    <mergeCell ref="E192:G192"/>
    <mergeCell ref="B193:D193"/>
    <mergeCell ref="E193:G193"/>
    <mergeCell ref="B194:D194"/>
    <mergeCell ref="E194:G194"/>
    <mergeCell ref="A235:C235"/>
    <mergeCell ref="D235:F235"/>
    <mergeCell ref="G235:J235"/>
    <mergeCell ref="G257:J257"/>
    <mergeCell ref="A213:C213"/>
    <mergeCell ref="D213:F213"/>
    <mergeCell ref="G213:J213"/>
    <mergeCell ref="A223:C223"/>
    <mergeCell ref="D223:F223"/>
    <mergeCell ref="G223:J223"/>
  </mergeCells>
  <conditionalFormatting sqref="B118:B122">
    <cfRule type="expression" dxfId="67" priority="21">
      <formula>B118="Complete"</formula>
    </cfRule>
    <cfRule type="expression" dxfId="66" priority="22">
      <formula>B118="In Progress"</formula>
    </cfRule>
    <cfRule type="expression" dxfId="65" priority="23">
      <formula>B118="At Risk"</formula>
    </cfRule>
    <cfRule type="expression" dxfId="64" priority="24">
      <formula>B118="Blocked"</formula>
    </cfRule>
    <cfRule type="expression" dxfId="63" priority="25">
      <formula>B118="Not Started"</formula>
    </cfRule>
  </conditionalFormatting>
  <conditionalFormatting sqref="B127:B134">
    <cfRule type="expression" dxfId="62" priority="1">
      <formula>B127="Complete"</formula>
    </cfRule>
    <cfRule type="expression" dxfId="61" priority="2">
      <formula>B127="In Progress"</formula>
    </cfRule>
    <cfRule type="expression" dxfId="60" priority="3">
      <formula>B127="At Risk"</formula>
    </cfRule>
    <cfRule type="expression" dxfId="59" priority="4">
      <formula>B127="Blocked"</formula>
    </cfRule>
    <cfRule type="expression" dxfId="58" priority="5">
      <formula>B127="Not Started"</formula>
    </cfRule>
  </conditionalFormatting>
  <conditionalFormatting sqref="B139:B143">
    <cfRule type="expression" dxfId="57" priority="26">
      <formula>B139="Complete"</formula>
    </cfRule>
    <cfRule type="expression" dxfId="56" priority="27">
      <formula>B139="In Progress"</formula>
    </cfRule>
    <cfRule type="expression" dxfId="55" priority="28">
      <formula>B139="At Risk"</formula>
    </cfRule>
    <cfRule type="expression" dxfId="54" priority="29">
      <formula>B139="Blocked"</formula>
    </cfRule>
    <cfRule type="expression" dxfId="53" priority="30">
      <formula>B139="Not Started"</formula>
    </cfRule>
  </conditionalFormatting>
  <conditionalFormatting sqref="B148:B151">
    <cfRule type="expression" dxfId="52" priority="6">
      <formula>B148="Complete"</formula>
    </cfRule>
    <cfRule type="expression" dxfId="51" priority="7">
      <formula>B148="In Progress"</formula>
    </cfRule>
    <cfRule type="expression" dxfId="50" priority="8">
      <formula>B148="At Risk"</formula>
    </cfRule>
    <cfRule type="expression" dxfId="49" priority="9">
      <formula>B148="Blocked"</formula>
    </cfRule>
    <cfRule type="expression" dxfId="48" priority="10">
      <formula>B148="Not Started"</formula>
    </cfRule>
  </conditionalFormatting>
  <conditionalFormatting sqref="B156:B161">
    <cfRule type="expression" dxfId="47" priority="11">
      <formula>B156="Complete"</formula>
    </cfRule>
    <cfRule type="expression" dxfId="46" priority="12">
      <formula>B156="In Progress"</formula>
    </cfRule>
    <cfRule type="expression" dxfId="45" priority="13">
      <formula>B156="At Risk"</formula>
    </cfRule>
    <cfRule type="expression" dxfId="44" priority="14">
      <formula>B156="Blocked"</formula>
    </cfRule>
    <cfRule type="expression" dxfId="43" priority="15">
      <formula>B156="Not Started"</formula>
    </cfRule>
  </conditionalFormatting>
  <conditionalFormatting sqref="B179:B186">
    <cfRule type="expression" dxfId="42" priority="82">
      <formula>B179="Yes"</formula>
    </cfRule>
    <cfRule type="expression" dxfId="41" priority="83">
      <formula>B179="N/A"</formula>
    </cfRule>
    <cfRule type="expression" dxfId="40" priority="84">
      <formula>B179="No"</formula>
    </cfRule>
  </conditionalFormatting>
  <conditionalFormatting sqref="B196:H196">
    <cfRule type="expression" dxfId="39" priority="85">
      <formula>COUNTIF($B$6:$B$13,"No")=0</formula>
    </cfRule>
    <cfRule type="expression" dxfId="38" priority="86">
      <formula>COUNTIF($B$6:$B$13,"No")&gt;0</formula>
    </cfRule>
  </conditionalFormatting>
  <conditionalFormatting sqref="C123:D123">
    <cfRule type="dataBar" priority="37">
      <dataBar>
        <cfvo type="num" val="0"/>
        <cfvo type="num" val="1"/>
        <color rgb="FF5B9BD5"/>
      </dataBar>
    </cfRule>
  </conditionalFormatting>
  <conditionalFormatting sqref="C127:D134">
    <cfRule type="expression" dxfId="37" priority="31">
      <formula>C127="Yes"</formula>
    </cfRule>
    <cfRule type="expression" dxfId="36" priority="32">
      <formula>C127="No"</formula>
    </cfRule>
    <cfRule type="expression" dxfId="35" priority="33">
      <formula>C127="N/A"</formula>
    </cfRule>
  </conditionalFormatting>
  <conditionalFormatting sqref="C135:D135">
    <cfRule type="dataBar" priority="38">
      <dataBar>
        <cfvo type="num" val="0"/>
        <cfvo type="num" val="1"/>
        <color rgb="FF5B9BD5"/>
      </dataBar>
    </cfRule>
  </conditionalFormatting>
  <conditionalFormatting sqref="C144:D144">
    <cfRule type="dataBar" priority="39">
      <dataBar>
        <cfvo type="num" val="0"/>
        <cfvo type="num" val="1"/>
        <color rgb="FF5B9BD5"/>
      </dataBar>
    </cfRule>
  </conditionalFormatting>
  <conditionalFormatting sqref="C156:D161">
    <cfRule type="expression" dxfId="34" priority="16">
      <formula>C156="Yes"</formula>
    </cfRule>
    <cfRule type="expression" dxfId="33" priority="17">
      <formula>C156="No"</formula>
    </cfRule>
    <cfRule type="expression" dxfId="32" priority="18">
      <formula>C156="N/A"</formula>
    </cfRule>
  </conditionalFormatting>
  <conditionalFormatting sqref="C162:D162">
    <cfRule type="dataBar" priority="20">
      <dataBar>
        <cfvo type="num" val="0"/>
        <cfvo type="num" val="1"/>
        <color rgb="FF5B9BD5"/>
      </dataBar>
    </cfRule>
  </conditionalFormatting>
  <conditionalFormatting sqref="E5 G5 I5">
    <cfRule type="expression" dxfId="31" priority="87">
      <formula>E5="Pass"</formula>
    </cfRule>
    <cfRule type="expression" dxfId="30" priority="88">
      <formula>E5="Verify"</formula>
    </cfRule>
    <cfRule type="expression" dxfId="29" priority="89">
      <formula>E5="Fail"</formula>
    </cfRule>
    <cfRule type="expression" dxfId="28" priority="90">
      <formula>E5="Not Started"</formula>
    </cfRule>
  </conditionalFormatting>
  <conditionalFormatting sqref="F3">
    <cfRule type="expression" dxfId="27" priority="91">
      <formula>F3="Yes"</formula>
    </cfRule>
    <cfRule type="expression" dxfId="26" priority="92">
      <formula>F3="No"</formula>
    </cfRule>
  </conditionalFormatting>
  <conditionalFormatting sqref="F139:F143">
    <cfRule type="expression" dxfId="25" priority="34">
      <formula>F139="Pass"</formula>
    </cfRule>
    <cfRule type="expression" dxfId="24" priority="35">
      <formula>F139="Fail"</formula>
    </cfRule>
    <cfRule type="expression" dxfId="23" priority="36">
      <formula>F139="Pending"</formula>
    </cfRule>
  </conditionalFormatting>
  <conditionalFormatting sqref="F148:F151">
    <cfRule type="dataBar" priority="19">
      <dataBar>
        <cfvo type="num" val="0"/>
        <cfvo type="num" val="1"/>
        <color rgb="FF5B9BD5"/>
      </dataBar>
    </cfRule>
  </conditionalFormatting>
  <dataValidations count="5">
    <dataValidation type="list" sqref="B5:B6 D5 F5 G10:G106 G108:G113 H5 J5 I108:I113 D77:D84 H167:I172 H164:I165 I16:I106" xr:uid="{00000000-0002-0000-4100-000000000000}">
      <formula1>"Not Started,Verify,Pass,Fail,N/A,Open,Closed,Partial / Yellow"</formula1>
      <formula2>0</formula2>
    </dataValidation>
    <dataValidation type="list" sqref="B179:B186" xr:uid="{FD4CB862-B4F1-4F31-8078-223F5DF7858D}">
      <formula1>"No,Yes,N/A"</formula1>
    </dataValidation>
    <dataValidation type="list" allowBlank="1" sqref="B148:B151 B139:B143" xr:uid="{CCFFBB5C-5664-4876-ABA3-972D2A66340C}">
      <formula1>"Not Started,In Progress,Complete,At Risk,Blocked"</formula1>
    </dataValidation>
    <dataValidation type="list" allowBlank="1" sqref="C127:D134 C156:D161" xr:uid="{473E6282-1144-4BC9-9CD7-CEF6DC0333E3}">
      <formula1>"Yes,No,N/A"</formula1>
    </dataValidation>
    <dataValidation type="list" allowBlank="1" sqref="F139:F143" xr:uid="{261F1F4D-5C7B-416C-AC82-A8AD61740E15}">
      <formula1>"Pending,Pass,Fail,N/A"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CBCF6913-7094-455C-A4F9-CB1FB26BE3D8}">
          <x14:formula1>
            <xm:f>Lookup_Lists!$A$36:$A$42</xm:f>
          </x14:formula1>
          <xm:sqref>B118:B122 B127:B134 B156:B161</xm:sqref>
        </x14:dataValidation>
        <x14:dataValidation type="list" allowBlank="1" showInputMessage="1" showErrorMessage="1" xr:uid="{9B0AC7C6-1EC3-4AEC-BE98-8EA7914E3E3B}">
          <x14:formula1>
            <xm:f>Lookup_Lists!$L$37:$L$39</xm:f>
          </x14:formula1>
          <xm:sqref>C139:E143 J2</xm:sqref>
        </x14:dataValidation>
      </x14:dataValidations>
    </ext>
  </extLs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DF3E3-5833-4D7B-A7B4-3ECD364BA8D3}">
  <sheetPr>
    <pageSetUpPr fitToPage="1"/>
  </sheetPr>
  <dimension ref="A1:K253"/>
  <sheetViews>
    <sheetView topLeftCell="A41" zoomScale="70" zoomScaleNormal="70" workbookViewId="0">
      <selection activeCell="E216" sqref="E216:E225"/>
    </sheetView>
  </sheetViews>
  <sheetFormatPr defaultColWidth="8.6640625" defaultRowHeight="14.4"/>
  <cols>
    <col min="1" max="1" width="24" style="8" customWidth="1"/>
    <col min="2" max="2" width="22" style="8" customWidth="1"/>
    <col min="3" max="3" width="30" style="8" customWidth="1"/>
    <col min="4" max="4" width="36" style="8" customWidth="1"/>
    <col min="5" max="6" width="24" style="8" customWidth="1"/>
    <col min="7" max="7" width="18" style="8" customWidth="1"/>
    <col min="8" max="9" width="34" style="8" customWidth="1"/>
    <col min="10" max="10" width="30" style="8" customWidth="1"/>
    <col min="11" max="11" width="34" style="8" customWidth="1"/>
    <col min="12" max="13" width="8.6640625" style="8" customWidth="1"/>
    <col min="14" max="16384" width="8.6640625" style="8"/>
  </cols>
  <sheetData>
    <row r="1" spans="1:11" ht="15.6">
      <c r="A1" s="895" t="s">
        <v>4499</v>
      </c>
      <c r="B1" s="839"/>
      <c r="C1" s="839"/>
      <c r="D1" s="839"/>
      <c r="E1" s="839"/>
      <c r="F1" s="839"/>
      <c r="G1" s="839"/>
      <c r="H1" s="839"/>
      <c r="I1" s="839"/>
      <c r="J1" s="137"/>
      <c r="K1" s="137"/>
    </row>
    <row r="2" spans="1:11">
      <c r="A2" s="60" t="s">
        <v>4500</v>
      </c>
      <c r="B2" s="117" t="s">
        <v>4501</v>
      </c>
      <c r="C2" s="60" t="s">
        <v>4502</v>
      </c>
      <c r="D2" s="138">
        <v>46199.541807800917</v>
      </c>
      <c r="E2" s="60" t="s">
        <v>4503</v>
      </c>
      <c r="F2" s="117">
        <v>15</v>
      </c>
      <c r="G2" s="60" t="s">
        <v>4504</v>
      </c>
      <c r="H2" s="118" t="s">
        <v>4505</v>
      </c>
      <c r="I2" s="60"/>
      <c r="J2" s="119"/>
    </row>
    <row r="3" spans="1:11" ht="55.2">
      <c r="A3" s="60" t="s">
        <v>4506</v>
      </c>
      <c r="B3" s="120" t="s">
        <v>860</v>
      </c>
      <c r="C3" s="121" t="s">
        <v>184</v>
      </c>
      <c r="D3" s="122" t="s">
        <v>4507</v>
      </c>
      <c r="E3" s="60" t="s">
        <v>4508</v>
      </c>
      <c r="F3" s="122" t="s">
        <v>4509</v>
      </c>
      <c r="G3" s="60" t="s">
        <v>4510</v>
      </c>
      <c r="H3" s="122">
        <v>2363</v>
      </c>
      <c r="I3" s="60"/>
      <c r="J3" s="122"/>
    </row>
    <row r="4" spans="1:11" ht="55.2">
      <c r="A4" s="60" t="s">
        <v>2</v>
      </c>
      <c r="B4" s="122" t="s">
        <v>4511</v>
      </c>
      <c r="C4" s="60"/>
      <c r="D4" s="122"/>
      <c r="E4" s="60"/>
      <c r="F4" s="122"/>
      <c r="G4" s="60"/>
      <c r="H4" s="123"/>
      <c r="I4" s="124"/>
      <c r="J4" s="124"/>
    </row>
    <row r="5" spans="1:11">
      <c r="A5" s="60"/>
      <c r="B5" s="122"/>
      <c r="C5" s="60"/>
      <c r="D5" s="125"/>
      <c r="E5" s="60"/>
      <c r="F5" s="122"/>
      <c r="G5" s="60"/>
      <c r="H5" s="122"/>
      <c r="I5" s="60"/>
      <c r="J5" s="122"/>
    </row>
    <row r="6" spans="1:11">
      <c r="A6" s="50" t="s">
        <v>4512</v>
      </c>
      <c r="B6" s="50" t="s">
        <v>4513</v>
      </c>
      <c r="C6" s="50" t="s">
        <v>4514</v>
      </c>
      <c r="D6" s="50" t="s">
        <v>4515</v>
      </c>
      <c r="E6" s="50" t="s">
        <v>4516</v>
      </c>
      <c r="F6" s="50"/>
      <c r="G6" s="50"/>
      <c r="H6" s="50"/>
      <c r="I6" s="50"/>
      <c r="J6" s="50"/>
      <c r="K6" s="50"/>
    </row>
    <row r="7" spans="1:11">
      <c r="A7" s="129"/>
      <c r="B7" s="129" t="s">
        <v>4517</v>
      </c>
      <c r="C7" s="129">
        <v>8</v>
      </c>
      <c r="D7" s="129">
        <v>29</v>
      </c>
      <c r="E7" s="129">
        <v>22</v>
      </c>
      <c r="F7" s="129"/>
      <c r="G7" s="129"/>
      <c r="H7" s="129"/>
      <c r="I7" s="129"/>
      <c r="J7" s="129"/>
      <c r="K7" s="129"/>
    </row>
    <row r="8" spans="1:11">
      <c r="A8" s="129"/>
      <c r="B8" s="129" t="s">
        <v>4518</v>
      </c>
      <c r="C8" s="129">
        <v>32</v>
      </c>
      <c r="D8" s="129">
        <v>70</v>
      </c>
      <c r="E8" s="129">
        <v>39</v>
      </c>
      <c r="F8" s="129"/>
      <c r="G8" s="129"/>
      <c r="H8" s="129"/>
      <c r="I8" s="129"/>
      <c r="J8" s="129"/>
      <c r="K8" s="129"/>
    </row>
    <row r="9" spans="1:11">
      <c r="A9" s="129"/>
      <c r="B9" s="129" t="s">
        <v>4519</v>
      </c>
      <c r="C9" s="129">
        <v>73</v>
      </c>
      <c r="D9" s="129">
        <v>90</v>
      </c>
      <c r="E9" s="129">
        <v>18</v>
      </c>
      <c r="F9" s="129"/>
      <c r="G9" s="129"/>
      <c r="H9" s="129"/>
      <c r="I9" s="129"/>
      <c r="J9" s="129"/>
      <c r="K9" s="129"/>
    </row>
    <row r="10" spans="1:11">
      <c r="A10" s="129"/>
      <c r="B10" s="129" t="s">
        <v>4520</v>
      </c>
      <c r="C10" s="129">
        <v>93</v>
      </c>
      <c r="D10" s="129">
        <v>107</v>
      </c>
      <c r="E10" s="129">
        <v>15</v>
      </c>
      <c r="F10" s="129"/>
      <c r="G10" s="129"/>
      <c r="H10" s="129"/>
      <c r="I10" s="129"/>
      <c r="J10" s="129"/>
      <c r="K10" s="129"/>
    </row>
    <row r="11" spans="1:11">
      <c r="A11" s="129"/>
      <c r="B11" s="129" t="s">
        <v>4521</v>
      </c>
      <c r="C11" s="129">
        <v>110</v>
      </c>
      <c r="D11" s="129">
        <v>120</v>
      </c>
      <c r="E11" s="129">
        <v>11</v>
      </c>
      <c r="F11" s="129"/>
      <c r="G11" s="129"/>
      <c r="H11" s="129"/>
      <c r="I11" s="129"/>
      <c r="J11" s="129"/>
      <c r="K11" s="129"/>
    </row>
    <row r="12" spans="1:11">
      <c r="A12" s="129"/>
      <c r="B12" s="129" t="s">
        <v>485</v>
      </c>
      <c r="C12" s="129">
        <v>123</v>
      </c>
      <c r="D12" s="129">
        <v>133</v>
      </c>
      <c r="E12" s="129">
        <v>11</v>
      </c>
      <c r="F12" s="129"/>
      <c r="G12" s="129"/>
      <c r="H12" s="129"/>
      <c r="I12" s="129"/>
      <c r="J12" s="129"/>
      <c r="K12" s="129"/>
    </row>
    <row r="13" spans="1:11">
      <c r="A13" s="129"/>
      <c r="B13" s="129" t="s">
        <v>4522</v>
      </c>
      <c r="C13" s="129">
        <v>136</v>
      </c>
      <c r="D13" s="129">
        <v>144</v>
      </c>
      <c r="E13" s="129">
        <v>9</v>
      </c>
      <c r="F13" s="129"/>
      <c r="G13" s="129"/>
      <c r="H13" s="129"/>
      <c r="I13" s="129"/>
      <c r="J13" s="129"/>
      <c r="K13" s="129"/>
    </row>
    <row r="14" spans="1:11">
      <c r="A14" s="129"/>
      <c r="B14" s="129" t="s">
        <v>4523</v>
      </c>
      <c r="C14" s="129">
        <v>147</v>
      </c>
      <c r="D14" s="129">
        <v>158</v>
      </c>
      <c r="E14" s="129">
        <v>12</v>
      </c>
      <c r="F14" s="129"/>
      <c r="G14" s="129"/>
      <c r="H14" s="129"/>
      <c r="I14" s="129"/>
      <c r="J14" s="129"/>
      <c r="K14" s="129"/>
    </row>
    <row r="15" spans="1:11">
      <c r="A15" s="129"/>
      <c r="B15" s="129" t="s">
        <v>4524</v>
      </c>
      <c r="C15" s="129">
        <v>161</v>
      </c>
      <c r="D15" s="129">
        <v>173</v>
      </c>
      <c r="E15" s="129">
        <v>13</v>
      </c>
      <c r="F15" s="129"/>
      <c r="G15" s="129"/>
      <c r="H15" s="129"/>
      <c r="I15" s="129"/>
      <c r="J15" s="129"/>
      <c r="K15" s="129"/>
    </row>
    <row r="16" spans="1:11">
      <c r="A16" s="129"/>
      <c r="B16" s="129" t="s">
        <v>556</v>
      </c>
      <c r="C16" s="129">
        <v>176</v>
      </c>
      <c r="D16" s="129">
        <v>183</v>
      </c>
      <c r="E16" s="129">
        <v>8</v>
      </c>
      <c r="F16" s="129"/>
      <c r="G16" s="129"/>
      <c r="H16" s="129"/>
      <c r="I16" s="129"/>
      <c r="J16" s="129"/>
      <c r="K16" s="129"/>
    </row>
    <row r="17" spans="1:11">
      <c r="A17" s="129"/>
      <c r="B17" s="129" t="s">
        <v>4525</v>
      </c>
      <c r="C17" s="129">
        <v>186</v>
      </c>
      <c r="D17" s="129">
        <v>195</v>
      </c>
      <c r="E17" s="129">
        <v>10</v>
      </c>
      <c r="F17" s="129"/>
      <c r="G17" s="129"/>
      <c r="H17" s="129"/>
      <c r="I17" s="129"/>
      <c r="J17" s="129"/>
      <c r="K17" s="129"/>
    </row>
    <row r="18" spans="1:11">
      <c r="A18" s="129"/>
      <c r="B18" s="129" t="s">
        <v>4526</v>
      </c>
      <c r="C18" s="129">
        <v>198</v>
      </c>
      <c r="D18" s="129">
        <v>210</v>
      </c>
      <c r="E18" s="129">
        <v>13</v>
      </c>
      <c r="F18" s="129"/>
      <c r="G18" s="129"/>
      <c r="H18" s="129"/>
      <c r="I18" s="129"/>
      <c r="J18" s="129"/>
      <c r="K18" s="129"/>
    </row>
    <row r="19" spans="1:11">
      <c r="A19" s="129"/>
      <c r="B19" s="129" t="s">
        <v>199</v>
      </c>
      <c r="C19" s="129">
        <v>213</v>
      </c>
      <c r="D19" s="129">
        <v>225</v>
      </c>
      <c r="E19" s="129">
        <v>13</v>
      </c>
      <c r="F19" s="129"/>
      <c r="G19" s="129"/>
      <c r="H19" s="129"/>
      <c r="I19" s="129"/>
      <c r="J19" s="129"/>
      <c r="K19" s="129"/>
    </row>
    <row r="20" spans="1:11">
      <c r="A20" s="129"/>
      <c r="B20" s="129" t="s">
        <v>4527</v>
      </c>
      <c r="C20" s="129">
        <v>228</v>
      </c>
      <c r="D20" s="129">
        <v>240</v>
      </c>
      <c r="E20" s="129">
        <v>13</v>
      </c>
      <c r="F20" s="129"/>
      <c r="G20" s="129"/>
      <c r="H20" s="129"/>
      <c r="I20" s="129"/>
      <c r="J20" s="129"/>
      <c r="K20" s="129"/>
    </row>
    <row r="21" spans="1:11">
      <c r="A21" s="129"/>
      <c r="B21" s="129" t="s">
        <v>4528</v>
      </c>
      <c r="C21" s="129">
        <v>243</v>
      </c>
      <c r="D21" s="129">
        <v>253</v>
      </c>
      <c r="E21" s="129">
        <v>11</v>
      </c>
      <c r="F21" s="129"/>
      <c r="G21" s="129"/>
      <c r="H21" s="129"/>
      <c r="I21" s="129"/>
      <c r="J21" s="129"/>
      <c r="K21" s="129"/>
    </row>
    <row r="22" spans="1:11" ht="27.6">
      <c r="A22" s="129" t="s">
        <v>4517</v>
      </c>
      <c r="B22" s="129" t="s">
        <v>4529</v>
      </c>
      <c r="C22" s="129">
        <v>3</v>
      </c>
      <c r="D22" s="129" t="s">
        <v>4530</v>
      </c>
      <c r="E22" s="129" t="s">
        <v>677</v>
      </c>
      <c r="F22" s="129" t="s">
        <v>4531</v>
      </c>
      <c r="G22" s="129" t="s">
        <v>4532</v>
      </c>
      <c r="H22" s="129" t="s">
        <v>4533</v>
      </c>
      <c r="I22" s="129" t="s">
        <v>485</v>
      </c>
      <c r="J22" s="129" t="s">
        <v>4534</v>
      </c>
      <c r="K22" s="129" t="s">
        <v>4535</v>
      </c>
    </row>
    <row r="23" spans="1:11" ht="27.6">
      <c r="A23" s="129" t="s">
        <v>4517</v>
      </c>
      <c r="B23" s="129" t="s">
        <v>4536</v>
      </c>
      <c r="C23" s="129">
        <v>5</v>
      </c>
      <c r="D23" s="129" t="s">
        <v>4537</v>
      </c>
      <c r="E23" s="129" t="s">
        <v>677</v>
      </c>
      <c r="F23" s="129" t="s">
        <v>4113</v>
      </c>
      <c r="G23" s="129" t="s">
        <v>4538</v>
      </c>
      <c r="H23" s="129" t="s">
        <v>4539</v>
      </c>
      <c r="I23" s="129" t="s">
        <v>4540</v>
      </c>
      <c r="J23" s="129" t="s">
        <v>4541</v>
      </c>
      <c r="K23" s="129" t="s">
        <v>4542</v>
      </c>
    </row>
    <row r="24" spans="1:11" ht="27.6">
      <c r="A24" s="129" t="s">
        <v>4517</v>
      </c>
      <c r="B24" s="129" t="s">
        <v>4543</v>
      </c>
      <c r="C24" s="129">
        <v>5</v>
      </c>
      <c r="D24" s="129" t="s">
        <v>4544</v>
      </c>
      <c r="E24" s="129" t="s">
        <v>677</v>
      </c>
      <c r="F24" s="129" t="s">
        <v>4108</v>
      </c>
      <c r="G24" s="129" t="s">
        <v>4545</v>
      </c>
      <c r="H24" s="129" t="s">
        <v>4546</v>
      </c>
      <c r="I24" s="129" t="s">
        <v>4547</v>
      </c>
      <c r="J24" s="129" t="s">
        <v>4548</v>
      </c>
      <c r="K24" s="129" t="s">
        <v>4542</v>
      </c>
    </row>
    <row r="25" spans="1:11" ht="27.6">
      <c r="A25" s="129" t="s">
        <v>4517</v>
      </c>
      <c r="B25" s="129" t="s">
        <v>4549</v>
      </c>
      <c r="C25" s="129">
        <v>6</v>
      </c>
      <c r="D25" s="129" t="s">
        <v>4550</v>
      </c>
      <c r="E25" s="129" t="s">
        <v>677</v>
      </c>
      <c r="F25" s="129" t="s">
        <v>2808</v>
      </c>
      <c r="G25" s="129" t="s">
        <v>4551</v>
      </c>
      <c r="H25" s="129" t="s">
        <v>4552</v>
      </c>
      <c r="I25" s="129" t="s">
        <v>4553</v>
      </c>
      <c r="J25" s="129" t="s">
        <v>4554</v>
      </c>
      <c r="K25" s="129" t="s">
        <v>4555</v>
      </c>
    </row>
    <row r="26" spans="1:11" ht="27.6">
      <c r="A26" s="129" t="s">
        <v>4517</v>
      </c>
      <c r="B26" s="129" t="s">
        <v>4556</v>
      </c>
      <c r="C26" s="129">
        <v>6</v>
      </c>
      <c r="D26" s="129" t="s">
        <v>4557</v>
      </c>
      <c r="E26" s="129" t="s">
        <v>677</v>
      </c>
      <c r="F26" s="129" t="s">
        <v>584</v>
      </c>
      <c r="G26" s="129" t="s">
        <v>4558</v>
      </c>
      <c r="H26" s="129" t="s">
        <v>4559</v>
      </c>
      <c r="I26" s="129" t="s">
        <v>4524</v>
      </c>
      <c r="J26" s="129" t="s">
        <v>4560</v>
      </c>
      <c r="K26" s="129" t="s">
        <v>4555</v>
      </c>
    </row>
    <row r="27" spans="1:11" ht="27.6">
      <c r="A27" s="129" t="s">
        <v>4517</v>
      </c>
      <c r="B27" s="129" t="s">
        <v>4561</v>
      </c>
      <c r="C27" s="129">
        <v>6</v>
      </c>
      <c r="D27" s="129" t="s">
        <v>4562</v>
      </c>
      <c r="E27" s="129" t="s">
        <v>677</v>
      </c>
      <c r="F27" s="129" t="s">
        <v>2834</v>
      </c>
      <c r="G27" s="129" t="s">
        <v>4563</v>
      </c>
      <c r="H27" s="129" t="s">
        <v>4564</v>
      </c>
      <c r="I27" s="129" t="s">
        <v>4565</v>
      </c>
      <c r="J27" s="129" t="s">
        <v>4566</v>
      </c>
      <c r="K27" s="129" t="s">
        <v>4555</v>
      </c>
    </row>
    <row r="28" spans="1:11" ht="27.6">
      <c r="A28" s="129" t="s">
        <v>4517</v>
      </c>
      <c r="B28" s="129" t="s">
        <v>4567</v>
      </c>
      <c r="C28" s="129"/>
      <c r="D28" s="129" t="s">
        <v>4568</v>
      </c>
      <c r="E28" s="129" t="s">
        <v>677</v>
      </c>
      <c r="F28" s="129" t="s">
        <v>4569</v>
      </c>
      <c r="G28" s="129" t="s">
        <v>4570</v>
      </c>
      <c r="H28" s="129" t="s">
        <v>4571</v>
      </c>
      <c r="I28" s="129" t="s">
        <v>4525</v>
      </c>
      <c r="J28" s="129" t="s">
        <v>4572</v>
      </c>
      <c r="K28" s="129" t="s">
        <v>4573</v>
      </c>
    </row>
    <row r="29" spans="1:11" ht="27.6">
      <c r="A29" s="129" t="s">
        <v>4517</v>
      </c>
      <c r="B29" s="129" t="s">
        <v>4574</v>
      </c>
      <c r="C29" s="129">
        <v>9</v>
      </c>
      <c r="D29" s="129" t="s">
        <v>4575</v>
      </c>
      <c r="E29" s="129" t="s">
        <v>4576</v>
      </c>
      <c r="F29" s="129" t="s">
        <v>4577</v>
      </c>
      <c r="G29" s="129" t="s">
        <v>4578</v>
      </c>
      <c r="H29" s="129" t="s">
        <v>4579</v>
      </c>
      <c r="I29" s="129" t="s">
        <v>4580</v>
      </c>
      <c r="J29" s="129" t="s">
        <v>4581</v>
      </c>
      <c r="K29" s="129" t="s">
        <v>4582</v>
      </c>
    </row>
    <row r="32" spans="1:11" ht="15.6">
      <c r="A32" s="894" t="s">
        <v>4583</v>
      </c>
      <c r="B32" s="839"/>
      <c r="C32" s="839"/>
      <c r="D32" s="137"/>
      <c r="E32" s="137"/>
      <c r="F32" s="137"/>
      <c r="G32" s="137"/>
      <c r="H32" s="137"/>
      <c r="I32" s="137"/>
      <c r="J32" s="137"/>
      <c r="K32" s="137"/>
    </row>
    <row r="33" spans="1:11" ht="41.4">
      <c r="A33" s="50" t="s">
        <v>4518</v>
      </c>
      <c r="B33" s="50" t="s">
        <v>4584</v>
      </c>
      <c r="C33" s="50"/>
      <c r="D33" s="50"/>
      <c r="E33" s="50"/>
      <c r="F33" s="50"/>
      <c r="G33" s="50"/>
      <c r="H33" s="50"/>
      <c r="I33" s="50"/>
      <c r="J33" s="50"/>
      <c r="K33" s="50"/>
    </row>
    <row r="34" spans="1:11">
      <c r="A34" s="129" t="s">
        <v>4518</v>
      </c>
      <c r="B34" s="129" t="s">
        <v>338</v>
      </c>
      <c r="C34" s="129" t="s">
        <v>286</v>
      </c>
      <c r="D34" s="129" t="s">
        <v>4585</v>
      </c>
      <c r="E34" s="129" t="s">
        <v>263</v>
      </c>
      <c r="F34" s="129" t="s">
        <v>4586</v>
      </c>
      <c r="G34" s="129" t="s">
        <v>4587</v>
      </c>
      <c r="H34" s="129" t="s">
        <v>77</v>
      </c>
      <c r="I34" s="129" t="s">
        <v>4588</v>
      </c>
      <c r="J34" s="129" t="s">
        <v>4589</v>
      </c>
      <c r="K34" s="129" t="s">
        <v>4590</v>
      </c>
    </row>
    <row r="35" spans="1:11" ht="55.2">
      <c r="A35" s="129" t="s">
        <v>4518</v>
      </c>
      <c r="B35" s="129" t="s">
        <v>4591</v>
      </c>
      <c r="C35" s="129" t="s">
        <v>4592</v>
      </c>
      <c r="D35" s="129"/>
      <c r="E35" s="129"/>
      <c r="F35" s="129"/>
      <c r="G35" s="129" t="s">
        <v>488</v>
      </c>
      <c r="H35" s="129" t="s">
        <v>677</v>
      </c>
      <c r="I35" s="129" t="s">
        <v>4593</v>
      </c>
      <c r="J35" s="129" t="s">
        <v>4594</v>
      </c>
      <c r="K35" s="129" t="s">
        <v>4595</v>
      </c>
    </row>
    <row r="36" spans="1:11" ht="55.2">
      <c r="A36" s="129" t="s">
        <v>4518</v>
      </c>
      <c r="B36" s="129" t="s">
        <v>4591</v>
      </c>
      <c r="C36" s="129" t="s">
        <v>4596</v>
      </c>
      <c r="D36" s="129" t="s">
        <v>4597</v>
      </c>
      <c r="E36" s="129"/>
      <c r="F36" s="129"/>
      <c r="G36" s="129" t="s">
        <v>488</v>
      </c>
      <c r="H36" s="129" t="s">
        <v>677</v>
      </c>
      <c r="I36" s="129" t="s">
        <v>4593</v>
      </c>
      <c r="J36" s="129" t="s">
        <v>4594</v>
      </c>
      <c r="K36" s="129" t="s">
        <v>4595</v>
      </c>
    </row>
    <row r="37" spans="1:11" ht="55.2">
      <c r="A37" s="129" t="s">
        <v>4518</v>
      </c>
      <c r="B37" s="129" t="s">
        <v>4591</v>
      </c>
      <c r="C37" s="129" t="s">
        <v>4598</v>
      </c>
      <c r="D37" s="129" t="s">
        <v>4599</v>
      </c>
      <c r="E37" s="129"/>
      <c r="F37" s="129"/>
      <c r="G37" s="129" t="s">
        <v>488</v>
      </c>
      <c r="H37" s="129" t="s">
        <v>677</v>
      </c>
      <c r="I37" s="129" t="s">
        <v>4593</v>
      </c>
      <c r="J37" s="129" t="s">
        <v>4594</v>
      </c>
      <c r="K37" s="129" t="s">
        <v>4595</v>
      </c>
    </row>
    <row r="38" spans="1:11" ht="55.2">
      <c r="A38" s="129" t="s">
        <v>4518</v>
      </c>
      <c r="B38" s="129" t="s">
        <v>4591</v>
      </c>
      <c r="C38" s="129" t="s">
        <v>4600</v>
      </c>
      <c r="D38" s="129" t="s">
        <v>4601</v>
      </c>
      <c r="E38" s="129"/>
      <c r="F38" s="129"/>
      <c r="G38" s="129" t="s">
        <v>488</v>
      </c>
      <c r="H38" s="129" t="s">
        <v>677</v>
      </c>
      <c r="I38" s="129" t="s">
        <v>4593</v>
      </c>
      <c r="J38" s="129" t="s">
        <v>4594</v>
      </c>
      <c r="K38" s="129" t="s">
        <v>4595</v>
      </c>
    </row>
    <row r="39" spans="1:11" ht="55.2">
      <c r="A39" s="129" t="s">
        <v>4518</v>
      </c>
      <c r="B39" s="129" t="s">
        <v>4591</v>
      </c>
      <c r="C39" s="129" t="s">
        <v>4602</v>
      </c>
      <c r="D39" s="129" t="s">
        <v>4603</v>
      </c>
      <c r="E39" s="129"/>
      <c r="F39" s="129"/>
      <c r="G39" s="129" t="s">
        <v>488</v>
      </c>
      <c r="H39" s="129" t="s">
        <v>677</v>
      </c>
      <c r="I39" s="129" t="s">
        <v>4593</v>
      </c>
      <c r="J39" s="129" t="s">
        <v>4594</v>
      </c>
      <c r="K39" s="129" t="s">
        <v>4595</v>
      </c>
    </row>
    <row r="40" spans="1:11" ht="55.2">
      <c r="A40" s="129" t="s">
        <v>4518</v>
      </c>
      <c r="B40" s="129" t="s">
        <v>4604</v>
      </c>
      <c r="C40" s="129" t="s">
        <v>4605</v>
      </c>
      <c r="D40" s="129" t="s">
        <v>4606</v>
      </c>
      <c r="E40" s="129" t="s">
        <v>4607</v>
      </c>
      <c r="F40" s="129">
        <v>29</v>
      </c>
      <c r="G40" s="129" t="s">
        <v>391</v>
      </c>
      <c r="H40" s="129" t="s">
        <v>677</v>
      </c>
      <c r="I40" s="129" t="s">
        <v>4593</v>
      </c>
      <c r="J40" s="129" t="s">
        <v>4594</v>
      </c>
      <c r="K40" s="129" t="s">
        <v>4535</v>
      </c>
    </row>
    <row r="41" spans="1:11" ht="55.2">
      <c r="A41" s="129" t="s">
        <v>4518</v>
      </c>
      <c r="B41" s="129" t="s">
        <v>4608</v>
      </c>
      <c r="C41" s="129" t="s">
        <v>4609</v>
      </c>
      <c r="D41" s="129" t="s">
        <v>4606</v>
      </c>
      <c r="E41" s="129"/>
      <c r="F41" s="129"/>
      <c r="G41" s="129" t="s">
        <v>391</v>
      </c>
      <c r="H41" s="129" t="s">
        <v>677</v>
      </c>
      <c r="I41" s="129" t="s">
        <v>4593</v>
      </c>
      <c r="J41" s="129" t="s">
        <v>4594</v>
      </c>
      <c r="K41" s="129" t="s">
        <v>4535</v>
      </c>
    </row>
    <row r="42" spans="1:11" ht="55.2">
      <c r="A42" s="129" t="s">
        <v>4518</v>
      </c>
      <c r="B42" s="129" t="s">
        <v>4610</v>
      </c>
      <c r="C42" s="129" t="s">
        <v>4611</v>
      </c>
      <c r="D42" s="129" t="s">
        <v>4606</v>
      </c>
      <c r="E42" s="129"/>
      <c r="F42" s="129"/>
      <c r="G42" s="129" t="s">
        <v>391</v>
      </c>
      <c r="H42" s="129" t="s">
        <v>677</v>
      </c>
      <c r="I42" s="129" t="s">
        <v>4593</v>
      </c>
      <c r="J42" s="129" t="s">
        <v>4594</v>
      </c>
      <c r="K42" s="129" t="s">
        <v>4535</v>
      </c>
    </row>
    <row r="43" spans="1:11" ht="55.2">
      <c r="A43" s="129" t="s">
        <v>4518</v>
      </c>
      <c r="B43" s="129" t="s">
        <v>4612</v>
      </c>
      <c r="C43" s="129" t="s">
        <v>4613</v>
      </c>
      <c r="D43" s="129" t="s">
        <v>4606</v>
      </c>
      <c r="E43" s="129" t="s">
        <v>4614</v>
      </c>
      <c r="F43" s="129"/>
      <c r="G43" s="129" t="s">
        <v>391</v>
      </c>
      <c r="H43" s="129" t="s">
        <v>677</v>
      </c>
      <c r="I43" s="129" t="s">
        <v>4593</v>
      </c>
      <c r="J43" s="129" t="s">
        <v>4594</v>
      </c>
      <c r="K43" s="129" t="s">
        <v>4535</v>
      </c>
    </row>
    <row r="44" spans="1:11" ht="55.2">
      <c r="A44" s="129" t="s">
        <v>4518</v>
      </c>
      <c r="B44" s="129" t="s">
        <v>4615</v>
      </c>
      <c r="C44" s="129" t="s">
        <v>4616</v>
      </c>
      <c r="D44" s="129" t="s">
        <v>4606</v>
      </c>
      <c r="E44" s="129" t="s">
        <v>4617</v>
      </c>
      <c r="F44" s="129"/>
      <c r="G44" s="129" t="s">
        <v>391</v>
      </c>
      <c r="H44" s="129" t="s">
        <v>677</v>
      </c>
      <c r="I44" s="129" t="s">
        <v>4593</v>
      </c>
      <c r="J44" s="129" t="s">
        <v>4594</v>
      </c>
      <c r="K44" s="129" t="s">
        <v>4535</v>
      </c>
    </row>
    <row r="45" spans="1:11" ht="55.2">
      <c r="A45" s="129" t="s">
        <v>4518</v>
      </c>
      <c r="B45" s="129" t="s">
        <v>4618</v>
      </c>
      <c r="C45" s="129" t="s">
        <v>4619</v>
      </c>
      <c r="D45" s="129" t="s">
        <v>4606</v>
      </c>
      <c r="E45" s="129" t="s">
        <v>4620</v>
      </c>
      <c r="F45" s="129"/>
      <c r="G45" s="129" t="s">
        <v>391</v>
      </c>
      <c r="H45" s="129" t="s">
        <v>677</v>
      </c>
      <c r="I45" s="129" t="s">
        <v>4593</v>
      </c>
      <c r="J45" s="129" t="s">
        <v>4594</v>
      </c>
      <c r="K45" s="129" t="s">
        <v>4535</v>
      </c>
    </row>
    <row r="46" spans="1:11" ht="55.2">
      <c r="A46" s="129" t="s">
        <v>4518</v>
      </c>
      <c r="B46" s="129" t="s">
        <v>4621</v>
      </c>
      <c r="C46" s="129" t="s">
        <v>4622</v>
      </c>
      <c r="D46" s="129" t="s">
        <v>4606</v>
      </c>
      <c r="E46" s="129"/>
      <c r="F46" s="129"/>
      <c r="G46" s="129" t="s">
        <v>391</v>
      </c>
      <c r="H46" s="129" t="s">
        <v>677</v>
      </c>
      <c r="I46" s="129" t="s">
        <v>4593</v>
      </c>
      <c r="J46" s="129" t="s">
        <v>4594</v>
      </c>
      <c r="K46" s="129" t="s">
        <v>4535</v>
      </c>
    </row>
    <row r="47" spans="1:11" ht="55.2">
      <c r="A47" s="129" t="s">
        <v>4518</v>
      </c>
      <c r="B47" s="129" t="s">
        <v>4623</v>
      </c>
      <c r="C47" s="129" t="s">
        <v>4624</v>
      </c>
      <c r="D47" s="129" t="s">
        <v>4606</v>
      </c>
      <c r="E47" s="129"/>
      <c r="F47" s="129"/>
      <c r="G47" s="129" t="s">
        <v>391</v>
      </c>
      <c r="H47" s="129" t="s">
        <v>677</v>
      </c>
      <c r="I47" s="129" t="s">
        <v>4593</v>
      </c>
      <c r="J47" s="129" t="s">
        <v>4594</v>
      </c>
      <c r="K47" s="129" t="s">
        <v>4535</v>
      </c>
    </row>
    <row r="48" spans="1:11" ht="55.2">
      <c r="A48" s="129" t="s">
        <v>4518</v>
      </c>
      <c r="B48" s="129" t="s">
        <v>4625</v>
      </c>
      <c r="C48" s="129" t="s">
        <v>4626</v>
      </c>
      <c r="D48" s="129" t="s">
        <v>4606</v>
      </c>
      <c r="E48" s="129" t="s">
        <v>4627</v>
      </c>
      <c r="F48" s="129">
        <v>3</v>
      </c>
      <c r="G48" s="129" t="s">
        <v>391</v>
      </c>
      <c r="H48" s="129" t="s">
        <v>677</v>
      </c>
      <c r="I48" s="129" t="s">
        <v>4593</v>
      </c>
      <c r="J48" s="129" t="s">
        <v>4594</v>
      </c>
      <c r="K48" s="129" t="s">
        <v>4535</v>
      </c>
    </row>
    <row r="49" spans="1:11" ht="55.2">
      <c r="A49" s="129" t="s">
        <v>4518</v>
      </c>
      <c r="B49" s="129" t="s">
        <v>4628</v>
      </c>
      <c r="C49" s="129" t="s">
        <v>4629</v>
      </c>
      <c r="D49" s="129" t="s">
        <v>4606</v>
      </c>
      <c r="E49" s="129" t="s">
        <v>4630</v>
      </c>
      <c r="F49" s="129">
        <v>3</v>
      </c>
      <c r="G49" s="129" t="s">
        <v>391</v>
      </c>
      <c r="H49" s="129" t="s">
        <v>677</v>
      </c>
      <c r="I49" s="129" t="s">
        <v>4593</v>
      </c>
      <c r="J49" s="129" t="s">
        <v>4594</v>
      </c>
      <c r="K49" s="129" t="s">
        <v>4535</v>
      </c>
    </row>
    <row r="50" spans="1:11" ht="55.2">
      <c r="A50" s="129" t="s">
        <v>4518</v>
      </c>
      <c r="B50" s="129" t="s">
        <v>4631</v>
      </c>
      <c r="C50" s="129" t="s">
        <v>4632</v>
      </c>
      <c r="D50" s="129" t="s">
        <v>4606</v>
      </c>
      <c r="E50" s="129"/>
      <c r="F50" s="129"/>
      <c r="G50" s="129" t="s">
        <v>391</v>
      </c>
      <c r="H50" s="129" t="s">
        <v>677</v>
      </c>
      <c r="I50" s="129" t="s">
        <v>4593</v>
      </c>
      <c r="J50" s="129" t="s">
        <v>4594</v>
      </c>
      <c r="K50" s="129" t="s">
        <v>4535</v>
      </c>
    </row>
    <row r="51" spans="1:11" ht="55.2">
      <c r="A51" s="129" t="s">
        <v>4518</v>
      </c>
      <c r="B51" s="129" t="s">
        <v>4633</v>
      </c>
      <c r="C51" s="129" t="s">
        <v>4634</v>
      </c>
      <c r="D51" s="129" t="s">
        <v>4606</v>
      </c>
      <c r="E51" s="129" t="s">
        <v>4635</v>
      </c>
      <c r="F51" s="129">
        <v>3</v>
      </c>
      <c r="G51" s="129" t="s">
        <v>391</v>
      </c>
      <c r="H51" s="129" t="s">
        <v>677</v>
      </c>
      <c r="I51" s="129" t="s">
        <v>4593</v>
      </c>
      <c r="J51" s="129" t="s">
        <v>4594</v>
      </c>
      <c r="K51" s="129" t="s">
        <v>4535</v>
      </c>
    </row>
    <row r="52" spans="1:11" ht="55.2">
      <c r="A52" s="129" t="s">
        <v>4518</v>
      </c>
      <c r="B52" s="129" t="s">
        <v>4636</v>
      </c>
      <c r="C52" s="129" t="s">
        <v>4637</v>
      </c>
      <c r="D52" s="129" t="s">
        <v>4606</v>
      </c>
      <c r="E52" s="129" t="s">
        <v>4607</v>
      </c>
      <c r="F52" s="129">
        <v>3</v>
      </c>
      <c r="G52" s="129" t="s">
        <v>391</v>
      </c>
      <c r="H52" s="129" t="s">
        <v>677</v>
      </c>
      <c r="I52" s="129" t="s">
        <v>4593</v>
      </c>
      <c r="J52" s="129" t="s">
        <v>4594</v>
      </c>
      <c r="K52" s="129" t="s">
        <v>4535</v>
      </c>
    </row>
    <row r="53" spans="1:11" ht="55.2">
      <c r="A53" s="129" t="s">
        <v>4518</v>
      </c>
      <c r="B53" s="129" t="s">
        <v>4638</v>
      </c>
      <c r="C53" s="129" t="s">
        <v>4639</v>
      </c>
      <c r="D53" s="129" t="s">
        <v>4606</v>
      </c>
      <c r="E53" s="129"/>
      <c r="F53" s="129"/>
      <c r="G53" s="129" t="s">
        <v>391</v>
      </c>
      <c r="H53" s="129" t="s">
        <v>677</v>
      </c>
      <c r="I53" s="129" t="s">
        <v>4593</v>
      </c>
      <c r="J53" s="129" t="s">
        <v>4594</v>
      </c>
      <c r="K53" s="129" t="s">
        <v>4535</v>
      </c>
    </row>
    <row r="54" spans="1:11" ht="55.2">
      <c r="A54" s="129" t="s">
        <v>4518</v>
      </c>
      <c r="B54" s="129" t="s">
        <v>4640</v>
      </c>
      <c r="C54" s="129" t="s">
        <v>4641</v>
      </c>
      <c r="D54" s="129" t="s">
        <v>4606</v>
      </c>
      <c r="E54" s="129" t="s">
        <v>4642</v>
      </c>
      <c r="F54" s="129"/>
      <c r="G54" s="129" t="s">
        <v>391</v>
      </c>
      <c r="H54" s="129" t="s">
        <v>677</v>
      </c>
      <c r="I54" s="129" t="s">
        <v>4593</v>
      </c>
      <c r="J54" s="129" t="s">
        <v>4594</v>
      </c>
      <c r="K54" s="129" t="s">
        <v>4535</v>
      </c>
    </row>
    <row r="55" spans="1:11" ht="55.2">
      <c r="A55" s="129" t="s">
        <v>4518</v>
      </c>
      <c r="B55" s="129" t="s">
        <v>4643</v>
      </c>
      <c r="C55" s="129" t="s">
        <v>4644</v>
      </c>
      <c r="D55" s="129" t="s">
        <v>4606</v>
      </c>
      <c r="E55" s="129" t="s">
        <v>4645</v>
      </c>
      <c r="F55" s="129">
        <v>3</v>
      </c>
      <c r="G55" s="129" t="s">
        <v>391</v>
      </c>
      <c r="H55" s="129" t="s">
        <v>677</v>
      </c>
      <c r="I55" s="129" t="s">
        <v>4593</v>
      </c>
      <c r="J55" s="129" t="s">
        <v>4594</v>
      </c>
      <c r="K55" s="129" t="s">
        <v>4535</v>
      </c>
    </row>
    <row r="56" spans="1:11" ht="55.2">
      <c r="A56" s="129" t="s">
        <v>4518</v>
      </c>
      <c r="B56" s="129" t="s">
        <v>4646</v>
      </c>
      <c r="C56" s="129" t="s">
        <v>4647</v>
      </c>
      <c r="D56" s="129" t="s">
        <v>4648</v>
      </c>
      <c r="E56" s="129" t="s">
        <v>4649</v>
      </c>
      <c r="F56" s="129">
        <v>5</v>
      </c>
      <c r="G56" s="129" t="s">
        <v>391</v>
      </c>
      <c r="H56" s="129" t="s">
        <v>677</v>
      </c>
      <c r="I56" s="129" t="s">
        <v>4593</v>
      </c>
      <c r="J56" s="129" t="s">
        <v>4594</v>
      </c>
      <c r="K56" s="129" t="s">
        <v>4542</v>
      </c>
    </row>
    <row r="57" spans="1:11" ht="55.2">
      <c r="A57" s="129" t="s">
        <v>4518</v>
      </c>
      <c r="B57" s="129" t="s">
        <v>4650</v>
      </c>
      <c r="C57" s="129" t="s">
        <v>4651</v>
      </c>
      <c r="D57" s="129" t="s">
        <v>4652</v>
      </c>
      <c r="E57" s="129" t="s">
        <v>4653</v>
      </c>
      <c r="F57" s="129"/>
      <c r="G57" s="129" t="s">
        <v>391</v>
      </c>
      <c r="H57" s="129" t="s">
        <v>677</v>
      </c>
      <c r="I57" s="129" t="s">
        <v>4593</v>
      </c>
      <c r="J57" s="129" t="s">
        <v>4594</v>
      </c>
      <c r="K57" s="129" t="s">
        <v>4542</v>
      </c>
    </row>
    <row r="58" spans="1:11" ht="55.2">
      <c r="A58" s="129" t="s">
        <v>4518</v>
      </c>
      <c r="B58" s="129" t="s">
        <v>4654</v>
      </c>
      <c r="C58" s="129" t="s">
        <v>4655</v>
      </c>
      <c r="D58" s="129" t="s">
        <v>4601</v>
      </c>
      <c r="E58" s="129" t="s">
        <v>4656</v>
      </c>
      <c r="F58" s="129"/>
      <c r="G58" s="129" t="s">
        <v>391</v>
      </c>
      <c r="H58" s="129" t="s">
        <v>677</v>
      </c>
      <c r="I58" s="129" t="s">
        <v>4593</v>
      </c>
      <c r="J58" s="129" t="s">
        <v>4594</v>
      </c>
      <c r="K58" s="129" t="s">
        <v>4555</v>
      </c>
    </row>
    <row r="59" spans="1:11" ht="55.2">
      <c r="A59" s="129" t="s">
        <v>4518</v>
      </c>
      <c r="B59" s="129" t="s">
        <v>4657</v>
      </c>
      <c r="C59" s="129" t="s">
        <v>4658</v>
      </c>
      <c r="D59" s="129" t="s">
        <v>4659</v>
      </c>
      <c r="E59" s="129" t="s">
        <v>4660</v>
      </c>
      <c r="F59" s="129">
        <v>6</v>
      </c>
      <c r="G59" s="129" t="s">
        <v>391</v>
      </c>
      <c r="H59" s="129" t="s">
        <v>677</v>
      </c>
      <c r="I59" s="129" t="s">
        <v>4593</v>
      </c>
      <c r="J59" s="129" t="s">
        <v>4594</v>
      </c>
      <c r="K59" s="129" t="s">
        <v>4555</v>
      </c>
    </row>
    <row r="60" spans="1:11" ht="55.2">
      <c r="A60" s="129" t="s">
        <v>4518</v>
      </c>
      <c r="B60" s="129" t="s">
        <v>4661</v>
      </c>
      <c r="C60" s="129" t="s">
        <v>4662</v>
      </c>
      <c r="D60" s="129" t="s">
        <v>4659</v>
      </c>
      <c r="E60" s="129" t="s">
        <v>4660</v>
      </c>
      <c r="F60" s="129">
        <v>6</v>
      </c>
      <c r="G60" s="129" t="s">
        <v>391</v>
      </c>
      <c r="H60" s="129" t="s">
        <v>677</v>
      </c>
      <c r="I60" s="129" t="s">
        <v>4593</v>
      </c>
      <c r="J60" s="129" t="s">
        <v>4594</v>
      </c>
      <c r="K60" s="129" t="s">
        <v>4555</v>
      </c>
    </row>
    <row r="61" spans="1:11" ht="55.2">
      <c r="A61" s="129" t="s">
        <v>4518</v>
      </c>
      <c r="B61" s="129" t="s">
        <v>4663</v>
      </c>
      <c r="C61" s="129" t="s">
        <v>4664</v>
      </c>
      <c r="D61" s="129" t="s">
        <v>4659</v>
      </c>
      <c r="E61" s="129" t="s">
        <v>4660</v>
      </c>
      <c r="F61" s="129">
        <v>6</v>
      </c>
      <c r="G61" s="129" t="s">
        <v>391</v>
      </c>
      <c r="H61" s="129" t="s">
        <v>677</v>
      </c>
      <c r="I61" s="129" t="s">
        <v>4593</v>
      </c>
      <c r="J61" s="129" t="s">
        <v>4594</v>
      </c>
      <c r="K61" s="129" t="s">
        <v>4555</v>
      </c>
    </row>
    <row r="62" spans="1:11" ht="55.2">
      <c r="A62" s="129" t="s">
        <v>4518</v>
      </c>
      <c r="B62" s="129" t="s">
        <v>4665</v>
      </c>
      <c r="C62" s="129" t="s">
        <v>4666</v>
      </c>
      <c r="D62" s="129" t="s">
        <v>4659</v>
      </c>
      <c r="E62" s="129" t="s">
        <v>4660</v>
      </c>
      <c r="F62" s="129">
        <v>6</v>
      </c>
      <c r="G62" s="129" t="s">
        <v>391</v>
      </c>
      <c r="H62" s="129" t="s">
        <v>677</v>
      </c>
      <c r="I62" s="129" t="s">
        <v>4593</v>
      </c>
      <c r="J62" s="129" t="s">
        <v>4594</v>
      </c>
      <c r="K62" s="129" t="s">
        <v>4555</v>
      </c>
    </row>
    <row r="63" spans="1:11" ht="55.2">
      <c r="A63" s="129" t="s">
        <v>4518</v>
      </c>
      <c r="B63" s="129" t="s">
        <v>4667</v>
      </c>
      <c r="C63" s="129" t="s">
        <v>4668</v>
      </c>
      <c r="D63" s="129" t="s">
        <v>4659</v>
      </c>
      <c r="E63" s="129" t="s">
        <v>4660</v>
      </c>
      <c r="F63" s="129">
        <v>6</v>
      </c>
      <c r="G63" s="129" t="s">
        <v>391</v>
      </c>
      <c r="H63" s="129" t="s">
        <v>677</v>
      </c>
      <c r="I63" s="129" t="s">
        <v>4593</v>
      </c>
      <c r="J63" s="129" t="s">
        <v>4594</v>
      </c>
      <c r="K63" s="129" t="s">
        <v>4555</v>
      </c>
    </row>
    <row r="64" spans="1:11" ht="55.2">
      <c r="A64" s="129" t="s">
        <v>4518</v>
      </c>
      <c r="B64" s="129" t="s">
        <v>4669</v>
      </c>
      <c r="C64" s="129" t="s">
        <v>4670</v>
      </c>
      <c r="D64" s="129" t="s">
        <v>4659</v>
      </c>
      <c r="E64" s="129" t="s">
        <v>4660</v>
      </c>
      <c r="F64" s="129">
        <v>6</v>
      </c>
      <c r="G64" s="129" t="s">
        <v>391</v>
      </c>
      <c r="H64" s="129" t="s">
        <v>677</v>
      </c>
      <c r="I64" s="129" t="s">
        <v>4593</v>
      </c>
      <c r="J64" s="129" t="s">
        <v>4594</v>
      </c>
      <c r="K64" s="129" t="s">
        <v>4555</v>
      </c>
    </row>
    <row r="65" spans="1:11" ht="55.2">
      <c r="A65" s="129" t="s">
        <v>4518</v>
      </c>
      <c r="B65" s="129" t="s">
        <v>4671</v>
      </c>
      <c r="C65" s="129" t="s">
        <v>4672</v>
      </c>
      <c r="D65" s="129" t="s">
        <v>4603</v>
      </c>
      <c r="E65" s="129"/>
      <c r="F65" s="129"/>
      <c r="G65" s="129" t="s">
        <v>391</v>
      </c>
      <c r="H65" s="129" t="s">
        <v>677</v>
      </c>
      <c r="I65" s="129" t="s">
        <v>4593</v>
      </c>
      <c r="J65" s="129" t="s">
        <v>4594</v>
      </c>
      <c r="K65" s="129" t="s">
        <v>4555</v>
      </c>
    </row>
    <row r="66" spans="1:11" ht="55.2">
      <c r="A66" s="129" t="s">
        <v>4518</v>
      </c>
      <c r="B66" s="129" t="s">
        <v>4673</v>
      </c>
      <c r="C66" s="129" t="s">
        <v>4674</v>
      </c>
      <c r="D66" s="129" t="s">
        <v>4603</v>
      </c>
      <c r="E66" s="129" t="s">
        <v>4675</v>
      </c>
      <c r="F66" s="129">
        <v>6</v>
      </c>
      <c r="G66" s="129" t="s">
        <v>391</v>
      </c>
      <c r="H66" s="129" t="s">
        <v>677</v>
      </c>
      <c r="I66" s="129" t="s">
        <v>4593</v>
      </c>
      <c r="J66" s="129" t="s">
        <v>4594</v>
      </c>
      <c r="K66" s="129" t="s">
        <v>4555</v>
      </c>
    </row>
    <row r="67" spans="1:11" ht="55.2">
      <c r="A67" s="129" t="s">
        <v>4518</v>
      </c>
      <c r="B67" s="129" t="s">
        <v>4676</v>
      </c>
      <c r="C67" s="129" t="s">
        <v>4677</v>
      </c>
      <c r="D67" s="129" t="s">
        <v>4603</v>
      </c>
      <c r="E67" s="129"/>
      <c r="F67" s="129"/>
      <c r="G67" s="129" t="s">
        <v>391</v>
      </c>
      <c r="H67" s="129" t="s">
        <v>677</v>
      </c>
      <c r="I67" s="129" t="s">
        <v>4593</v>
      </c>
      <c r="J67" s="129" t="s">
        <v>4594</v>
      </c>
      <c r="K67" s="129" t="s">
        <v>4573</v>
      </c>
    </row>
    <row r="68" spans="1:11" ht="55.2">
      <c r="A68" s="129" t="s">
        <v>4518</v>
      </c>
      <c r="B68" s="129" t="s">
        <v>4678</v>
      </c>
      <c r="C68" s="129" t="s">
        <v>4679</v>
      </c>
      <c r="D68" s="129" t="s">
        <v>4680</v>
      </c>
      <c r="E68" s="129"/>
      <c r="F68" s="129"/>
      <c r="G68" s="129" t="s">
        <v>391</v>
      </c>
      <c r="H68" s="129" t="s">
        <v>677</v>
      </c>
      <c r="I68" s="129" t="s">
        <v>4593</v>
      </c>
      <c r="J68" s="129" t="s">
        <v>4594</v>
      </c>
      <c r="K68" s="129" t="s">
        <v>4573</v>
      </c>
    </row>
    <row r="69" spans="1:11" ht="55.2">
      <c r="A69" s="129" t="s">
        <v>4518</v>
      </c>
      <c r="B69" s="129" t="s">
        <v>4681</v>
      </c>
      <c r="C69" s="129" t="s">
        <v>4682</v>
      </c>
      <c r="D69" s="129" t="s">
        <v>4683</v>
      </c>
      <c r="E69" s="129"/>
      <c r="F69" s="129"/>
      <c r="G69" s="129" t="s">
        <v>391</v>
      </c>
      <c r="H69" s="129" t="s">
        <v>677</v>
      </c>
      <c r="I69" s="129" t="s">
        <v>4593</v>
      </c>
      <c r="J69" s="129" t="s">
        <v>4594</v>
      </c>
      <c r="K69" s="129" t="s">
        <v>4573</v>
      </c>
    </row>
    <row r="70" spans="1:11" ht="55.2">
      <c r="A70" s="129" t="s">
        <v>4518</v>
      </c>
      <c r="B70" s="129" t="s">
        <v>4684</v>
      </c>
      <c r="C70" s="129" t="s">
        <v>4685</v>
      </c>
      <c r="D70" s="129" t="s">
        <v>4686</v>
      </c>
      <c r="E70" s="129"/>
      <c r="F70" s="129">
        <v>3</v>
      </c>
      <c r="G70" s="129" t="s">
        <v>391</v>
      </c>
      <c r="H70" s="129" t="s">
        <v>677</v>
      </c>
      <c r="I70" s="129" t="s">
        <v>4593</v>
      </c>
      <c r="J70" s="129" t="s">
        <v>4594</v>
      </c>
      <c r="K70" s="129" t="s">
        <v>4573</v>
      </c>
    </row>
    <row r="73" spans="1:11" ht="15.6">
      <c r="A73" s="894" t="s">
        <v>4687</v>
      </c>
      <c r="B73" s="839"/>
      <c r="C73" s="839"/>
      <c r="D73" s="137"/>
      <c r="E73" s="137"/>
      <c r="F73" s="137"/>
      <c r="G73" s="137"/>
      <c r="H73" s="137"/>
      <c r="I73" s="137"/>
      <c r="J73" s="137"/>
      <c r="K73" s="137"/>
    </row>
    <row r="74" spans="1:11" ht="41.4">
      <c r="A74" s="50" t="s">
        <v>4519</v>
      </c>
      <c r="B74" s="50" t="s">
        <v>4688</v>
      </c>
      <c r="C74" s="50"/>
      <c r="D74" s="50"/>
      <c r="E74" s="50"/>
      <c r="F74" s="50"/>
      <c r="G74" s="50"/>
      <c r="H74" s="50"/>
      <c r="I74" s="50"/>
      <c r="J74" s="50"/>
      <c r="K74" s="50"/>
    </row>
    <row r="75" spans="1:11">
      <c r="A75" s="129" t="s">
        <v>4519</v>
      </c>
      <c r="B75" s="129" t="s">
        <v>4689</v>
      </c>
      <c r="C75" s="129" t="s">
        <v>4690</v>
      </c>
      <c r="D75" s="129" t="s">
        <v>4691</v>
      </c>
      <c r="E75" s="129" t="s">
        <v>4692</v>
      </c>
      <c r="F75" s="129" t="s">
        <v>907</v>
      </c>
      <c r="G75" s="129" t="s">
        <v>77</v>
      </c>
      <c r="H75" s="129" t="s">
        <v>4693</v>
      </c>
      <c r="I75" s="129" t="s">
        <v>4694</v>
      </c>
      <c r="J75" s="129" t="s">
        <v>4695</v>
      </c>
      <c r="K75" s="129" t="s">
        <v>4590</v>
      </c>
    </row>
    <row r="76" spans="1:11" ht="27.6">
      <c r="A76" s="129" t="s">
        <v>4519</v>
      </c>
      <c r="B76" s="129" t="s">
        <v>4604</v>
      </c>
      <c r="C76" s="129" t="s">
        <v>4605</v>
      </c>
      <c r="D76" s="129" t="s">
        <v>4696</v>
      </c>
      <c r="E76" s="129" t="s">
        <v>4697</v>
      </c>
      <c r="F76" s="129" t="s">
        <v>4698</v>
      </c>
      <c r="G76" s="129" t="s">
        <v>677</v>
      </c>
      <c r="H76" s="129" t="s">
        <v>4699</v>
      </c>
      <c r="I76" s="129" t="s">
        <v>4700</v>
      </c>
      <c r="J76" s="129" t="s">
        <v>575</v>
      </c>
      <c r="K76" s="129" t="s">
        <v>4535</v>
      </c>
    </row>
    <row r="77" spans="1:11" ht="27.6">
      <c r="A77" s="129" t="s">
        <v>4519</v>
      </c>
      <c r="B77" s="129" t="s">
        <v>4608</v>
      </c>
      <c r="C77" s="129" t="s">
        <v>4701</v>
      </c>
      <c r="D77" s="129" t="s">
        <v>4702</v>
      </c>
      <c r="E77" s="129" t="s">
        <v>4703</v>
      </c>
      <c r="F77" s="129" t="s">
        <v>584</v>
      </c>
      <c r="G77" s="129" t="s">
        <v>677</v>
      </c>
      <c r="H77" s="129" t="s">
        <v>4704</v>
      </c>
      <c r="I77" s="129" t="s">
        <v>4705</v>
      </c>
      <c r="J77" s="129" t="s">
        <v>4706</v>
      </c>
      <c r="K77" s="129" t="s">
        <v>4535</v>
      </c>
    </row>
    <row r="78" spans="1:11">
      <c r="A78" s="129" t="s">
        <v>4519</v>
      </c>
      <c r="B78" s="129" t="s">
        <v>4610</v>
      </c>
      <c r="C78" s="129" t="s">
        <v>4707</v>
      </c>
      <c r="D78" s="129" t="s">
        <v>4708</v>
      </c>
      <c r="E78" s="129" t="s">
        <v>4709</v>
      </c>
      <c r="F78" s="129" t="s">
        <v>4710</v>
      </c>
      <c r="G78" s="129" t="s">
        <v>677</v>
      </c>
      <c r="H78" s="129" t="s">
        <v>4711</v>
      </c>
      <c r="I78" s="129" t="s">
        <v>4712</v>
      </c>
      <c r="J78" s="129" t="s">
        <v>575</v>
      </c>
      <c r="K78" s="129" t="s">
        <v>4535</v>
      </c>
    </row>
    <row r="79" spans="1:11">
      <c r="A79" s="129" t="s">
        <v>4519</v>
      </c>
      <c r="B79" s="129" t="s">
        <v>4612</v>
      </c>
      <c r="C79" s="129" t="s">
        <v>4713</v>
      </c>
      <c r="D79" s="129" t="s">
        <v>4714</v>
      </c>
      <c r="E79" s="129" t="s">
        <v>4715</v>
      </c>
      <c r="F79" s="129" t="s">
        <v>4716</v>
      </c>
      <c r="G79" s="129" t="s">
        <v>677</v>
      </c>
      <c r="H79" s="129" t="s">
        <v>4717</v>
      </c>
      <c r="I79" s="129" t="s">
        <v>4718</v>
      </c>
      <c r="J79" s="129" t="s">
        <v>4719</v>
      </c>
      <c r="K79" s="129" t="s">
        <v>4535</v>
      </c>
    </row>
    <row r="80" spans="1:11" ht="27.6">
      <c r="A80" s="129" t="s">
        <v>4519</v>
      </c>
      <c r="B80" s="129" t="s">
        <v>4615</v>
      </c>
      <c r="C80" s="129" t="s">
        <v>4720</v>
      </c>
      <c r="D80" s="129" t="s">
        <v>4721</v>
      </c>
      <c r="E80" s="129" t="s">
        <v>4722</v>
      </c>
      <c r="F80" s="129" t="s">
        <v>4723</v>
      </c>
      <c r="G80" s="129" t="s">
        <v>677</v>
      </c>
      <c r="H80" s="129" t="s">
        <v>4724</v>
      </c>
      <c r="I80" s="129" t="s">
        <v>4725</v>
      </c>
      <c r="J80" s="129" t="s">
        <v>4726</v>
      </c>
      <c r="K80" s="129" t="s">
        <v>4535</v>
      </c>
    </row>
    <row r="81" spans="1:11">
      <c r="A81" s="129" t="s">
        <v>4519</v>
      </c>
      <c r="B81" s="129" t="s">
        <v>4618</v>
      </c>
      <c r="C81" s="129" t="s">
        <v>4727</v>
      </c>
      <c r="D81" s="129" t="s">
        <v>4728</v>
      </c>
      <c r="E81" s="129" t="s">
        <v>4729</v>
      </c>
      <c r="F81" s="129" t="s">
        <v>4730</v>
      </c>
      <c r="G81" s="129" t="s">
        <v>677</v>
      </c>
      <c r="H81" s="129" t="s">
        <v>4731</v>
      </c>
      <c r="I81" s="129" t="s">
        <v>4732</v>
      </c>
      <c r="J81" s="129" t="s">
        <v>4733</v>
      </c>
      <c r="K81" s="129" t="s">
        <v>4535</v>
      </c>
    </row>
    <row r="82" spans="1:11">
      <c r="A82" s="129" t="s">
        <v>4519</v>
      </c>
      <c r="B82" s="129" t="s">
        <v>4621</v>
      </c>
      <c r="C82" s="129" t="s">
        <v>4734</v>
      </c>
      <c r="D82" s="129" t="s">
        <v>4735</v>
      </c>
      <c r="E82" s="129" t="s">
        <v>4736</v>
      </c>
      <c r="F82" s="129" t="s">
        <v>4737</v>
      </c>
      <c r="G82" s="129" t="s">
        <v>677</v>
      </c>
      <c r="H82" s="129" t="s">
        <v>4738</v>
      </c>
      <c r="I82" s="129" t="s">
        <v>4739</v>
      </c>
      <c r="J82" s="129" t="s">
        <v>4740</v>
      </c>
      <c r="K82" s="129" t="s">
        <v>4535</v>
      </c>
    </row>
    <row r="83" spans="1:11">
      <c r="A83" s="129" t="s">
        <v>4519</v>
      </c>
      <c r="B83" s="129" t="s">
        <v>4623</v>
      </c>
      <c r="C83" s="129" t="s">
        <v>4741</v>
      </c>
      <c r="D83" s="129" t="s">
        <v>4742</v>
      </c>
      <c r="E83" s="129" t="s">
        <v>4743</v>
      </c>
      <c r="F83" s="129" t="s">
        <v>4413</v>
      </c>
      <c r="G83" s="129" t="s">
        <v>677</v>
      </c>
      <c r="H83" s="129" t="s">
        <v>4744</v>
      </c>
      <c r="I83" s="129" t="s">
        <v>4745</v>
      </c>
      <c r="J83" s="129" t="s">
        <v>4746</v>
      </c>
      <c r="K83" s="129" t="s">
        <v>4535</v>
      </c>
    </row>
    <row r="84" spans="1:11" ht="27.6">
      <c r="A84" s="129" t="s">
        <v>4519</v>
      </c>
      <c r="B84" s="129" t="s">
        <v>4625</v>
      </c>
      <c r="C84" s="129" t="s">
        <v>4747</v>
      </c>
      <c r="D84" s="129" t="s">
        <v>4748</v>
      </c>
      <c r="E84" s="129" t="s">
        <v>4749</v>
      </c>
      <c r="F84" s="129" t="s">
        <v>4750</v>
      </c>
      <c r="G84" s="129" t="s">
        <v>677</v>
      </c>
      <c r="H84" s="129" t="s">
        <v>4751</v>
      </c>
      <c r="I84" s="129" t="s">
        <v>4752</v>
      </c>
      <c r="J84" s="129" t="s">
        <v>575</v>
      </c>
      <c r="K84" s="129" t="s">
        <v>4535</v>
      </c>
    </row>
    <row r="85" spans="1:11" ht="27.6">
      <c r="A85" s="129" t="s">
        <v>4519</v>
      </c>
      <c r="B85" s="129" t="s">
        <v>4628</v>
      </c>
      <c r="C85" s="129" t="s">
        <v>4753</v>
      </c>
      <c r="D85" s="129" t="s">
        <v>4754</v>
      </c>
      <c r="E85" s="129" t="s">
        <v>4709</v>
      </c>
      <c r="F85" s="129" t="s">
        <v>4755</v>
      </c>
      <c r="G85" s="129" t="s">
        <v>677</v>
      </c>
      <c r="H85" s="129" t="s">
        <v>4756</v>
      </c>
      <c r="I85" s="129" t="s">
        <v>4757</v>
      </c>
      <c r="J85" s="129" t="s">
        <v>575</v>
      </c>
      <c r="K85" s="129" t="s">
        <v>4535</v>
      </c>
    </row>
    <row r="86" spans="1:11">
      <c r="A86" s="129" t="s">
        <v>4519</v>
      </c>
      <c r="B86" s="129" t="s">
        <v>4633</v>
      </c>
      <c r="C86" s="129" t="s">
        <v>4634</v>
      </c>
      <c r="D86" s="129" t="s">
        <v>4758</v>
      </c>
      <c r="E86" s="129" t="s">
        <v>4759</v>
      </c>
      <c r="F86" s="129" t="s">
        <v>4760</v>
      </c>
      <c r="G86" s="129" t="s">
        <v>677</v>
      </c>
      <c r="H86" s="129" t="s">
        <v>4761</v>
      </c>
      <c r="I86" s="129" t="s">
        <v>4762</v>
      </c>
      <c r="J86" s="129" t="s">
        <v>575</v>
      </c>
      <c r="K86" s="129" t="s">
        <v>4535</v>
      </c>
    </row>
    <row r="87" spans="1:11">
      <c r="A87" s="129" t="s">
        <v>4519</v>
      </c>
      <c r="B87" s="129" t="s">
        <v>4636</v>
      </c>
      <c r="C87" s="129" t="s">
        <v>4637</v>
      </c>
      <c r="D87" s="129" t="s">
        <v>4763</v>
      </c>
      <c r="E87" s="129" t="s">
        <v>4764</v>
      </c>
      <c r="F87" s="129" t="s">
        <v>4765</v>
      </c>
      <c r="G87" s="129" t="s">
        <v>677</v>
      </c>
      <c r="H87" s="129" t="s">
        <v>4766</v>
      </c>
      <c r="I87" s="129" t="s">
        <v>4767</v>
      </c>
      <c r="J87" s="129" t="s">
        <v>575</v>
      </c>
      <c r="K87" s="129" t="s">
        <v>4535</v>
      </c>
    </row>
    <row r="88" spans="1:11">
      <c r="A88" s="129" t="s">
        <v>4519</v>
      </c>
      <c r="B88" s="129" t="s">
        <v>4638</v>
      </c>
      <c r="C88" s="129" t="s">
        <v>4639</v>
      </c>
      <c r="D88" s="129" t="s">
        <v>4768</v>
      </c>
      <c r="E88" s="129" t="s">
        <v>4769</v>
      </c>
      <c r="F88" s="129" t="s">
        <v>4770</v>
      </c>
      <c r="G88" s="129" t="s">
        <v>677</v>
      </c>
      <c r="H88" s="129" t="s">
        <v>4771</v>
      </c>
      <c r="I88" s="129" t="s">
        <v>4772</v>
      </c>
      <c r="J88" s="129" t="s">
        <v>4773</v>
      </c>
      <c r="K88" s="129" t="s">
        <v>4535</v>
      </c>
    </row>
    <row r="89" spans="1:11">
      <c r="A89" s="129" t="s">
        <v>4519</v>
      </c>
      <c r="B89" s="129" t="s">
        <v>4640</v>
      </c>
      <c r="C89" s="129" t="s">
        <v>4641</v>
      </c>
      <c r="D89" s="129" t="s">
        <v>4774</v>
      </c>
      <c r="E89" s="129" t="s">
        <v>4775</v>
      </c>
      <c r="F89" s="129" t="s">
        <v>4776</v>
      </c>
      <c r="G89" s="129" t="s">
        <v>677</v>
      </c>
      <c r="H89" s="129" t="s">
        <v>4777</v>
      </c>
      <c r="I89" s="129" t="s">
        <v>4778</v>
      </c>
      <c r="J89" s="129" t="s">
        <v>4779</v>
      </c>
      <c r="K89" s="129" t="s">
        <v>4535</v>
      </c>
    </row>
    <row r="90" spans="1:11" ht="27.6">
      <c r="A90" s="129" t="s">
        <v>4519</v>
      </c>
      <c r="B90" s="129" t="s">
        <v>4643</v>
      </c>
      <c r="C90" s="129" t="s">
        <v>4644</v>
      </c>
      <c r="D90" s="129" t="s">
        <v>4780</v>
      </c>
      <c r="E90" s="129" t="s">
        <v>4781</v>
      </c>
      <c r="F90" s="129" t="s">
        <v>4531</v>
      </c>
      <c r="G90" s="129" t="s">
        <v>677</v>
      </c>
      <c r="H90" s="129" t="s">
        <v>4782</v>
      </c>
      <c r="I90" s="129" t="s">
        <v>4783</v>
      </c>
      <c r="J90" s="129" t="s">
        <v>4784</v>
      </c>
      <c r="K90" s="129" t="s">
        <v>4535</v>
      </c>
    </row>
    <row r="93" spans="1:11" ht="15.6">
      <c r="A93" s="894" t="s">
        <v>4785</v>
      </c>
      <c r="B93" s="839"/>
      <c r="C93" s="839"/>
      <c r="D93" s="137"/>
      <c r="E93" s="137"/>
      <c r="F93" s="137"/>
      <c r="G93" s="137"/>
      <c r="H93" s="137"/>
      <c r="I93" s="137"/>
      <c r="J93" s="137"/>
      <c r="K93" s="137"/>
    </row>
    <row r="94" spans="1:11" ht="41.4">
      <c r="A94" s="50" t="s">
        <v>4520</v>
      </c>
      <c r="B94" s="50" t="s">
        <v>4786</v>
      </c>
      <c r="C94" s="50"/>
      <c r="D94" s="50"/>
      <c r="E94" s="50"/>
      <c r="F94" s="50"/>
      <c r="G94" s="50"/>
      <c r="H94" s="50"/>
      <c r="I94" s="50"/>
      <c r="J94" s="50"/>
      <c r="K94" s="50"/>
    </row>
    <row r="95" spans="1:11">
      <c r="A95" s="129" t="s">
        <v>4520</v>
      </c>
      <c r="B95" s="129" t="s">
        <v>4787</v>
      </c>
      <c r="C95" s="129" t="s">
        <v>4788</v>
      </c>
      <c r="D95" s="129" t="s">
        <v>284</v>
      </c>
      <c r="E95" s="129" t="s">
        <v>4789</v>
      </c>
      <c r="F95" s="129" t="s">
        <v>216</v>
      </c>
      <c r="G95" s="129" t="s">
        <v>77</v>
      </c>
      <c r="H95" s="129" t="s">
        <v>4790</v>
      </c>
      <c r="I95" s="129" t="s">
        <v>573</v>
      </c>
      <c r="J95" s="129" t="s">
        <v>224</v>
      </c>
      <c r="K95" s="129" t="s">
        <v>4590</v>
      </c>
    </row>
    <row r="96" spans="1:11" ht="27.6">
      <c r="A96" s="129" t="s">
        <v>4520</v>
      </c>
      <c r="B96" s="129" t="s">
        <v>4628</v>
      </c>
      <c r="C96" s="129" t="s">
        <v>4791</v>
      </c>
      <c r="D96" s="129" t="s">
        <v>4792</v>
      </c>
      <c r="E96" s="129" t="s">
        <v>4793</v>
      </c>
      <c r="F96" s="129" t="s">
        <v>4710</v>
      </c>
      <c r="G96" s="129" t="s">
        <v>677</v>
      </c>
      <c r="H96" s="129" t="s">
        <v>4794</v>
      </c>
      <c r="I96" s="129" t="s">
        <v>4795</v>
      </c>
      <c r="J96" s="129" t="s">
        <v>391</v>
      </c>
      <c r="K96" s="129" t="s">
        <v>4535</v>
      </c>
    </row>
    <row r="97" spans="1:11">
      <c r="A97" s="129" t="s">
        <v>4520</v>
      </c>
      <c r="B97" s="129" t="s">
        <v>4633</v>
      </c>
      <c r="C97" s="129" t="s">
        <v>4796</v>
      </c>
      <c r="D97" s="129" t="s">
        <v>4797</v>
      </c>
      <c r="E97" s="129" t="s">
        <v>4798</v>
      </c>
      <c r="F97" s="129" t="s">
        <v>4760</v>
      </c>
      <c r="G97" s="129" t="s">
        <v>677</v>
      </c>
      <c r="H97" s="129" t="s">
        <v>4799</v>
      </c>
      <c r="I97" s="129" t="s">
        <v>4800</v>
      </c>
      <c r="J97" s="129" t="s">
        <v>492</v>
      </c>
      <c r="K97" s="129" t="s">
        <v>4535</v>
      </c>
    </row>
    <row r="98" spans="1:11" ht="27.6">
      <c r="A98" s="129" t="s">
        <v>4520</v>
      </c>
      <c r="B98" s="129" t="s">
        <v>4801</v>
      </c>
      <c r="C98" s="129" t="s">
        <v>4802</v>
      </c>
      <c r="D98" s="129" t="s">
        <v>4803</v>
      </c>
      <c r="E98" s="129" t="s">
        <v>4729</v>
      </c>
      <c r="F98" s="129" t="s">
        <v>4804</v>
      </c>
      <c r="G98" s="129" t="s">
        <v>677</v>
      </c>
      <c r="H98" s="129" t="s">
        <v>4805</v>
      </c>
      <c r="I98" s="129" t="s">
        <v>4806</v>
      </c>
      <c r="J98" s="129" t="s">
        <v>492</v>
      </c>
      <c r="K98" s="129" t="s">
        <v>4535</v>
      </c>
    </row>
    <row r="99" spans="1:11">
      <c r="A99" s="129" t="s">
        <v>4520</v>
      </c>
      <c r="B99" s="129" t="s">
        <v>4807</v>
      </c>
      <c r="C99" s="129" t="s">
        <v>4808</v>
      </c>
      <c r="D99" s="129" t="s">
        <v>4809</v>
      </c>
      <c r="E99" s="129" t="s">
        <v>4810</v>
      </c>
      <c r="F99" s="129" t="s">
        <v>622</v>
      </c>
      <c r="G99" s="129" t="s">
        <v>677</v>
      </c>
      <c r="H99" s="129" t="s">
        <v>4811</v>
      </c>
      <c r="I99" s="129" t="s">
        <v>4812</v>
      </c>
      <c r="J99" s="129" t="s">
        <v>492</v>
      </c>
      <c r="K99" s="129" t="s">
        <v>4813</v>
      </c>
    </row>
    <row r="100" spans="1:11">
      <c r="A100" s="129" t="s">
        <v>4520</v>
      </c>
      <c r="B100" s="129" t="s">
        <v>4646</v>
      </c>
      <c r="C100" s="129" t="s">
        <v>4814</v>
      </c>
      <c r="D100" s="129" t="s">
        <v>4815</v>
      </c>
      <c r="E100" s="129" t="s">
        <v>4816</v>
      </c>
      <c r="F100" s="129" t="s">
        <v>4817</v>
      </c>
      <c r="G100" s="129" t="s">
        <v>677</v>
      </c>
      <c r="H100" s="129" t="s">
        <v>4818</v>
      </c>
      <c r="I100" s="129" t="s">
        <v>4819</v>
      </c>
      <c r="J100" s="129" t="s">
        <v>492</v>
      </c>
      <c r="K100" s="129" t="s">
        <v>4542</v>
      </c>
    </row>
    <row r="101" spans="1:11" ht="27.6">
      <c r="A101" s="129" t="s">
        <v>4520</v>
      </c>
      <c r="B101" s="129" t="s">
        <v>4650</v>
      </c>
      <c r="C101" s="129" t="s">
        <v>4651</v>
      </c>
      <c r="D101" s="129" t="s">
        <v>148</v>
      </c>
      <c r="E101" s="129" t="s">
        <v>4820</v>
      </c>
      <c r="F101" s="129" t="s">
        <v>4821</v>
      </c>
      <c r="G101" s="129" t="s">
        <v>677</v>
      </c>
      <c r="H101" s="129" t="s">
        <v>4822</v>
      </c>
      <c r="I101" s="129" t="s">
        <v>4545</v>
      </c>
      <c r="J101" s="129" t="s">
        <v>492</v>
      </c>
      <c r="K101" s="129" t="s">
        <v>4542</v>
      </c>
    </row>
    <row r="102" spans="1:11">
      <c r="A102" s="129" t="s">
        <v>4520</v>
      </c>
      <c r="B102" s="129" t="s">
        <v>4654</v>
      </c>
      <c r="C102" s="129" t="s">
        <v>4823</v>
      </c>
      <c r="D102" s="129" t="s">
        <v>153</v>
      </c>
      <c r="E102" s="129" t="s">
        <v>4820</v>
      </c>
      <c r="F102" s="129" t="s">
        <v>153</v>
      </c>
      <c r="G102" s="129" t="s">
        <v>677</v>
      </c>
      <c r="H102" s="129" t="s">
        <v>4824</v>
      </c>
      <c r="I102" s="129" t="s">
        <v>4825</v>
      </c>
      <c r="J102" s="129" t="s">
        <v>492</v>
      </c>
      <c r="K102" s="129" t="s">
        <v>4555</v>
      </c>
    </row>
    <row r="103" spans="1:11">
      <c r="A103" s="129" t="s">
        <v>4520</v>
      </c>
      <c r="B103" s="129" t="s">
        <v>4663</v>
      </c>
      <c r="C103" s="129" t="s">
        <v>4664</v>
      </c>
      <c r="D103" s="129" t="s">
        <v>4826</v>
      </c>
      <c r="E103" s="129" t="s">
        <v>4827</v>
      </c>
      <c r="F103" s="129" t="s">
        <v>155</v>
      </c>
      <c r="G103" s="129" t="s">
        <v>677</v>
      </c>
      <c r="H103" s="129" t="s">
        <v>4828</v>
      </c>
      <c r="I103" s="129" t="s">
        <v>4829</v>
      </c>
      <c r="J103" s="129" t="s">
        <v>492</v>
      </c>
      <c r="K103" s="129" t="s">
        <v>4555</v>
      </c>
    </row>
    <row r="104" spans="1:11">
      <c r="A104" s="129" t="s">
        <v>4520</v>
      </c>
      <c r="B104" s="129" t="s">
        <v>4667</v>
      </c>
      <c r="C104" s="129" t="s">
        <v>4830</v>
      </c>
      <c r="D104" s="129" t="s">
        <v>4826</v>
      </c>
      <c r="E104" s="129" t="s">
        <v>4831</v>
      </c>
      <c r="F104" s="129" t="s">
        <v>584</v>
      </c>
      <c r="G104" s="129" t="s">
        <v>677</v>
      </c>
      <c r="H104" s="129" t="s">
        <v>4832</v>
      </c>
      <c r="I104" s="129" t="s">
        <v>4833</v>
      </c>
      <c r="J104" s="129" t="s">
        <v>492</v>
      </c>
      <c r="K104" s="129" t="s">
        <v>4555</v>
      </c>
    </row>
    <row r="105" spans="1:11" ht="27.6">
      <c r="A105" s="129" t="s">
        <v>4520</v>
      </c>
      <c r="B105" s="129" t="s">
        <v>4671</v>
      </c>
      <c r="C105" s="129" t="s">
        <v>4834</v>
      </c>
      <c r="D105" s="129" t="s">
        <v>556</v>
      </c>
      <c r="E105" s="129" t="s">
        <v>4835</v>
      </c>
      <c r="F105" s="129" t="s">
        <v>556</v>
      </c>
      <c r="G105" s="129" t="s">
        <v>677</v>
      </c>
      <c r="H105" s="129" t="s">
        <v>4836</v>
      </c>
      <c r="I105" s="129" t="s">
        <v>4837</v>
      </c>
      <c r="J105" s="129" t="s">
        <v>391</v>
      </c>
      <c r="K105" s="129" t="s">
        <v>4555</v>
      </c>
    </row>
    <row r="106" spans="1:11">
      <c r="A106" s="129" t="s">
        <v>4520</v>
      </c>
      <c r="B106" s="129" t="s">
        <v>4673</v>
      </c>
      <c r="C106" s="129" t="s">
        <v>4674</v>
      </c>
      <c r="D106" s="129" t="s">
        <v>556</v>
      </c>
      <c r="E106" s="129" t="s">
        <v>4838</v>
      </c>
      <c r="F106" s="129" t="s">
        <v>2834</v>
      </c>
      <c r="G106" s="129" t="s">
        <v>677</v>
      </c>
      <c r="H106" s="129" t="s">
        <v>4839</v>
      </c>
      <c r="I106" s="129" t="s">
        <v>4840</v>
      </c>
      <c r="J106" s="129" t="s">
        <v>391</v>
      </c>
      <c r="K106" s="129" t="s">
        <v>4555</v>
      </c>
    </row>
    <row r="107" spans="1:11">
      <c r="A107" s="129" t="s">
        <v>4520</v>
      </c>
      <c r="B107" s="129" t="s">
        <v>4684</v>
      </c>
      <c r="C107" s="129" t="s">
        <v>4841</v>
      </c>
      <c r="D107" s="129" t="s">
        <v>4842</v>
      </c>
      <c r="E107" s="129" t="s">
        <v>4843</v>
      </c>
      <c r="F107" s="129" t="s">
        <v>4844</v>
      </c>
      <c r="G107" s="129" t="s">
        <v>677</v>
      </c>
      <c r="H107" s="129" t="s">
        <v>4845</v>
      </c>
      <c r="I107" s="129" t="s">
        <v>4846</v>
      </c>
      <c r="J107" s="129" t="s">
        <v>391</v>
      </c>
      <c r="K107" s="129" t="s">
        <v>4573</v>
      </c>
    </row>
    <row r="110" spans="1:11" ht="15.6">
      <c r="A110" s="894" t="s">
        <v>4847</v>
      </c>
      <c r="B110" s="839"/>
      <c r="C110" s="839"/>
      <c r="D110" s="137"/>
      <c r="E110" s="137"/>
      <c r="F110" s="137"/>
      <c r="G110" s="137"/>
      <c r="H110" s="137"/>
      <c r="I110" s="137"/>
      <c r="J110" s="137"/>
      <c r="K110" s="137"/>
    </row>
    <row r="111" spans="1:11" ht="27.6">
      <c r="A111" s="50" t="s">
        <v>4521</v>
      </c>
      <c r="B111" s="50" t="s">
        <v>4848</v>
      </c>
      <c r="C111" s="50"/>
      <c r="D111" s="50"/>
      <c r="E111" s="50"/>
      <c r="F111" s="50"/>
      <c r="G111" s="50"/>
      <c r="H111" s="50"/>
      <c r="I111" s="50"/>
      <c r="J111" s="50"/>
      <c r="K111" s="50"/>
    </row>
    <row r="112" spans="1:11">
      <c r="A112" s="129" t="s">
        <v>4521</v>
      </c>
      <c r="B112" s="129" t="s">
        <v>4787</v>
      </c>
      <c r="C112" s="129" t="s">
        <v>4690</v>
      </c>
      <c r="D112" s="129" t="s">
        <v>4849</v>
      </c>
      <c r="E112" s="129" t="s">
        <v>4789</v>
      </c>
      <c r="F112" s="129" t="s">
        <v>216</v>
      </c>
      <c r="G112" s="129" t="s">
        <v>77</v>
      </c>
      <c r="H112" s="129" t="s">
        <v>4693</v>
      </c>
      <c r="I112" s="129" t="s">
        <v>573</v>
      </c>
      <c r="J112" s="129" t="s">
        <v>4850</v>
      </c>
      <c r="K112" s="129" t="s">
        <v>4590</v>
      </c>
    </row>
    <row r="113" spans="1:11" ht="27.6">
      <c r="A113" s="129" t="s">
        <v>4521</v>
      </c>
      <c r="B113" s="129" t="s">
        <v>4636</v>
      </c>
      <c r="C113" s="129" t="s">
        <v>4637</v>
      </c>
      <c r="D113" s="129" t="s">
        <v>4851</v>
      </c>
      <c r="E113" s="129" t="s">
        <v>4852</v>
      </c>
      <c r="F113" s="129" t="s">
        <v>4765</v>
      </c>
      <c r="G113" s="129" t="s">
        <v>677</v>
      </c>
      <c r="H113" s="129" t="s">
        <v>4853</v>
      </c>
      <c r="I113" s="129" t="s">
        <v>4854</v>
      </c>
      <c r="J113" s="129" t="s">
        <v>575</v>
      </c>
      <c r="K113" s="129" t="s">
        <v>4535</v>
      </c>
    </row>
    <row r="114" spans="1:11">
      <c r="A114" s="129" t="s">
        <v>4521</v>
      </c>
      <c r="B114" s="129" t="s">
        <v>4638</v>
      </c>
      <c r="C114" s="129" t="s">
        <v>4639</v>
      </c>
      <c r="D114" s="129" t="s">
        <v>4855</v>
      </c>
      <c r="E114" s="129" t="s">
        <v>4856</v>
      </c>
      <c r="F114" s="129" t="s">
        <v>4857</v>
      </c>
      <c r="G114" s="129" t="s">
        <v>677</v>
      </c>
      <c r="H114" s="129" t="s">
        <v>4858</v>
      </c>
      <c r="I114" s="129" t="s">
        <v>4772</v>
      </c>
      <c r="J114" s="129" t="s">
        <v>4859</v>
      </c>
      <c r="K114" s="129" t="s">
        <v>4535</v>
      </c>
    </row>
    <row r="115" spans="1:11">
      <c r="A115" s="129" t="s">
        <v>4521</v>
      </c>
      <c r="B115" s="129" t="s">
        <v>4640</v>
      </c>
      <c r="C115" s="129" t="s">
        <v>4641</v>
      </c>
      <c r="D115" s="129" t="s">
        <v>4860</v>
      </c>
      <c r="E115" s="129" t="s">
        <v>4861</v>
      </c>
      <c r="F115" s="129" t="s">
        <v>4862</v>
      </c>
      <c r="G115" s="129" t="s">
        <v>677</v>
      </c>
      <c r="H115" s="129" t="s">
        <v>4863</v>
      </c>
      <c r="I115" s="129" t="s">
        <v>4864</v>
      </c>
      <c r="J115" s="129" t="s">
        <v>4779</v>
      </c>
      <c r="K115" s="129" t="s">
        <v>4535</v>
      </c>
    </row>
    <row r="116" spans="1:11">
      <c r="A116" s="129" t="s">
        <v>4521</v>
      </c>
      <c r="B116" s="129" t="s">
        <v>4807</v>
      </c>
      <c r="C116" s="129" t="s">
        <v>4865</v>
      </c>
      <c r="D116" s="129" t="s">
        <v>4866</v>
      </c>
      <c r="E116" s="129" t="s">
        <v>4867</v>
      </c>
      <c r="F116" s="129" t="s">
        <v>4868</v>
      </c>
      <c r="G116" s="129" t="s">
        <v>677</v>
      </c>
      <c r="H116" s="129" t="s">
        <v>4869</v>
      </c>
      <c r="I116" s="129" t="s">
        <v>4870</v>
      </c>
      <c r="J116" s="129" t="s">
        <v>4871</v>
      </c>
      <c r="K116" s="129" t="s">
        <v>4813</v>
      </c>
    </row>
    <row r="117" spans="1:11">
      <c r="A117" s="129" t="s">
        <v>4521</v>
      </c>
      <c r="B117" s="129" t="s">
        <v>4872</v>
      </c>
      <c r="C117" s="129" t="s">
        <v>4873</v>
      </c>
      <c r="D117" s="129" t="s">
        <v>4874</v>
      </c>
      <c r="E117" s="129" t="s">
        <v>4875</v>
      </c>
      <c r="F117" s="129" t="s">
        <v>153</v>
      </c>
      <c r="G117" s="129" t="s">
        <v>677</v>
      </c>
      <c r="H117" s="129" t="s">
        <v>4876</v>
      </c>
      <c r="I117" s="129" t="s">
        <v>4877</v>
      </c>
      <c r="J117" s="129" t="s">
        <v>4878</v>
      </c>
      <c r="K117" s="129" t="s">
        <v>4555</v>
      </c>
    </row>
    <row r="118" spans="1:11">
      <c r="A118" s="129" t="s">
        <v>4521</v>
      </c>
      <c r="B118" s="129" t="s">
        <v>4879</v>
      </c>
      <c r="C118" s="129" t="s">
        <v>4880</v>
      </c>
      <c r="D118" s="129" t="s">
        <v>4881</v>
      </c>
      <c r="E118" s="129" t="s">
        <v>4882</v>
      </c>
      <c r="F118" s="129" t="s">
        <v>584</v>
      </c>
      <c r="G118" s="129" t="s">
        <v>677</v>
      </c>
      <c r="H118" s="129" t="s">
        <v>4883</v>
      </c>
      <c r="I118" s="129" t="s">
        <v>4884</v>
      </c>
      <c r="J118" s="129" t="s">
        <v>4885</v>
      </c>
      <c r="K118" s="129" t="s">
        <v>4555</v>
      </c>
    </row>
    <row r="119" spans="1:11">
      <c r="A119" s="129" t="s">
        <v>4521</v>
      </c>
      <c r="B119" s="129" t="s">
        <v>4886</v>
      </c>
      <c r="C119" s="129" t="s">
        <v>4887</v>
      </c>
      <c r="D119" s="129" t="s">
        <v>4888</v>
      </c>
      <c r="E119" s="129" t="s">
        <v>4843</v>
      </c>
      <c r="F119" s="129" t="s">
        <v>2834</v>
      </c>
      <c r="G119" s="129" t="s">
        <v>677</v>
      </c>
      <c r="H119" s="129" t="s">
        <v>4889</v>
      </c>
      <c r="I119" s="129" t="s">
        <v>4890</v>
      </c>
      <c r="J119" s="129" t="s">
        <v>4891</v>
      </c>
      <c r="K119" s="129" t="s">
        <v>4555</v>
      </c>
    </row>
    <row r="120" spans="1:11">
      <c r="A120" s="129" t="s">
        <v>4521</v>
      </c>
      <c r="B120" s="129" t="s">
        <v>4684</v>
      </c>
      <c r="C120" s="129" t="s">
        <v>4892</v>
      </c>
      <c r="D120" s="129" t="s">
        <v>4893</v>
      </c>
      <c r="E120" s="129" t="s">
        <v>4843</v>
      </c>
      <c r="F120" s="129" t="s">
        <v>4844</v>
      </c>
      <c r="G120" s="129" t="s">
        <v>677</v>
      </c>
      <c r="H120" s="129" t="s">
        <v>4894</v>
      </c>
      <c r="I120" s="129" t="s">
        <v>4895</v>
      </c>
      <c r="J120" s="129" t="s">
        <v>70</v>
      </c>
      <c r="K120" s="129" t="s">
        <v>4573</v>
      </c>
    </row>
    <row r="123" spans="1:11" ht="15.6">
      <c r="A123" s="894" t="s">
        <v>4896</v>
      </c>
      <c r="B123" s="839"/>
      <c r="C123" s="839"/>
      <c r="D123" s="137"/>
      <c r="E123" s="137"/>
      <c r="F123" s="137"/>
      <c r="G123" s="137"/>
      <c r="H123" s="137"/>
      <c r="I123" s="137"/>
      <c r="J123" s="137"/>
      <c r="K123" s="137"/>
    </row>
    <row r="124" spans="1:11" ht="27.6">
      <c r="A124" s="50" t="s">
        <v>485</v>
      </c>
      <c r="B124" s="50" t="s">
        <v>4897</v>
      </c>
      <c r="C124" s="50"/>
      <c r="D124" s="50"/>
      <c r="E124" s="50"/>
      <c r="F124" s="50"/>
      <c r="G124" s="50"/>
      <c r="H124" s="50"/>
      <c r="I124" s="50"/>
      <c r="J124" s="50"/>
      <c r="K124" s="50"/>
    </row>
    <row r="125" spans="1:11">
      <c r="A125" s="129" t="s">
        <v>485</v>
      </c>
      <c r="B125" s="129" t="s">
        <v>4787</v>
      </c>
      <c r="C125" s="129" t="s">
        <v>218</v>
      </c>
      <c r="D125" s="129" t="s">
        <v>4898</v>
      </c>
      <c r="E125" s="129" t="s">
        <v>4789</v>
      </c>
      <c r="F125" s="129" t="s">
        <v>216</v>
      </c>
      <c r="G125" s="129" t="s">
        <v>77</v>
      </c>
      <c r="H125" s="129" t="s">
        <v>4693</v>
      </c>
      <c r="I125" s="129" t="s">
        <v>573</v>
      </c>
      <c r="J125" s="129" t="s">
        <v>4850</v>
      </c>
      <c r="K125" s="129" t="s">
        <v>4590</v>
      </c>
    </row>
    <row r="126" spans="1:11" ht="27.6">
      <c r="A126" s="129" t="s">
        <v>485</v>
      </c>
      <c r="B126" s="129" t="s">
        <v>4643</v>
      </c>
      <c r="C126" s="129" t="s">
        <v>4899</v>
      </c>
      <c r="D126" s="129" t="s">
        <v>4900</v>
      </c>
      <c r="E126" s="129" t="s">
        <v>4901</v>
      </c>
      <c r="F126" s="129" t="s">
        <v>4531</v>
      </c>
      <c r="G126" s="129" t="s">
        <v>677</v>
      </c>
      <c r="H126" s="129" t="s">
        <v>4902</v>
      </c>
      <c r="I126" s="129" t="s">
        <v>4903</v>
      </c>
      <c r="J126" s="129" t="s">
        <v>4904</v>
      </c>
      <c r="K126" s="129" t="s">
        <v>4535</v>
      </c>
    </row>
    <row r="127" spans="1:11">
      <c r="A127" s="129" t="s">
        <v>485</v>
      </c>
      <c r="B127" s="129" t="s">
        <v>4905</v>
      </c>
      <c r="C127" s="129" t="s">
        <v>4906</v>
      </c>
      <c r="D127" s="129" t="s">
        <v>4907</v>
      </c>
      <c r="E127" s="129" t="s">
        <v>4908</v>
      </c>
      <c r="F127" s="129" t="s">
        <v>4909</v>
      </c>
      <c r="G127" s="129" t="s">
        <v>677</v>
      </c>
      <c r="H127" s="129" t="s">
        <v>4910</v>
      </c>
      <c r="I127" s="129" t="s">
        <v>4911</v>
      </c>
      <c r="J127" s="129" t="s">
        <v>4878</v>
      </c>
      <c r="K127" s="129" t="s">
        <v>4542</v>
      </c>
    </row>
    <row r="128" spans="1:11">
      <c r="A128" s="129" t="s">
        <v>485</v>
      </c>
      <c r="B128" s="129" t="s">
        <v>4912</v>
      </c>
      <c r="C128" s="129" t="s">
        <v>4913</v>
      </c>
      <c r="D128" s="129" t="s">
        <v>4914</v>
      </c>
      <c r="E128" s="129" t="s">
        <v>4908</v>
      </c>
      <c r="F128" s="129" t="s">
        <v>4915</v>
      </c>
      <c r="G128" s="129" t="s">
        <v>677</v>
      </c>
      <c r="H128" s="129" t="s">
        <v>4916</v>
      </c>
      <c r="I128" s="129" t="s">
        <v>4917</v>
      </c>
      <c r="J128" s="129" t="s">
        <v>4918</v>
      </c>
      <c r="K128" s="129" t="s">
        <v>4542</v>
      </c>
    </row>
    <row r="129" spans="1:11" ht="27.6">
      <c r="A129" s="129" t="s">
        <v>485</v>
      </c>
      <c r="B129" s="129" t="s">
        <v>4919</v>
      </c>
      <c r="C129" s="129" t="s">
        <v>4920</v>
      </c>
      <c r="D129" s="129" t="s">
        <v>4921</v>
      </c>
      <c r="E129" s="129" t="s">
        <v>4922</v>
      </c>
      <c r="F129" s="129" t="s">
        <v>4108</v>
      </c>
      <c r="G129" s="129" t="s">
        <v>677</v>
      </c>
      <c r="H129" s="129" t="s">
        <v>4923</v>
      </c>
      <c r="I129" s="129" t="s">
        <v>4924</v>
      </c>
      <c r="J129" s="129" t="s">
        <v>4925</v>
      </c>
      <c r="K129" s="129" t="s">
        <v>4542</v>
      </c>
    </row>
    <row r="130" spans="1:11">
      <c r="A130" s="129" t="s">
        <v>485</v>
      </c>
      <c r="B130" s="129" t="s">
        <v>4926</v>
      </c>
      <c r="C130" s="129" t="s">
        <v>4927</v>
      </c>
      <c r="D130" s="129" t="s">
        <v>4928</v>
      </c>
      <c r="E130" s="129" t="s">
        <v>4929</v>
      </c>
      <c r="F130" s="129" t="s">
        <v>4103</v>
      </c>
      <c r="G130" s="129" t="s">
        <v>677</v>
      </c>
      <c r="H130" s="129" t="s">
        <v>4930</v>
      </c>
      <c r="I130" s="129" t="s">
        <v>4931</v>
      </c>
      <c r="J130" s="129" t="s">
        <v>4878</v>
      </c>
      <c r="K130" s="129" t="s">
        <v>4555</v>
      </c>
    </row>
    <row r="131" spans="1:11" ht="27.6">
      <c r="A131" s="129" t="s">
        <v>485</v>
      </c>
      <c r="B131" s="129" t="s">
        <v>4879</v>
      </c>
      <c r="C131" s="129" t="s">
        <v>4880</v>
      </c>
      <c r="D131" s="129" t="s">
        <v>4932</v>
      </c>
      <c r="E131" s="129" t="s">
        <v>4933</v>
      </c>
      <c r="F131" s="129" t="s">
        <v>584</v>
      </c>
      <c r="G131" s="129" t="s">
        <v>677</v>
      </c>
      <c r="H131" s="129" t="s">
        <v>4934</v>
      </c>
      <c r="I131" s="129" t="s">
        <v>4935</v>
      </c>
      <c r="J131" s="129" t="s">
        <v>4936</v>
      </c>
      <c r="K131" s="129" t="s">
        <v>4555</v>
      </c>
    </row>
    <row r="132" spans="1:11">
      <c r="A132" s="129" t="s">
        <v>485</v>
      </c>
      <c r="B132" s="129" t="s">
        <v>4886</v>
      </c>
      <c r="C132" s="129" t="s">
        <v>4887</v>
      </c>
      <c r="D132" s="129" t="s">
        <v>4937</v>
      </c>
      <c r="E132" s="129" t="s">
        <v>4908</v>
      </c>
      <c r="F132" s="129" t="s">
        <v>4938</v>
      </c>
      <c r="G132" s="129" t="s">
        <v>677</v>
      </c>
      <c r="H132" s="129" t="s">
        <v>4939</v>
      </c>
      <c r="I132" s="129" t="s">
        <v>4940</v>
      </c>
      <c r="J132" s="129" t="s">
        <v>4891</v>
      </c>
      <c r="K132" s="129" t="s">
        <v>4555</v>
      </c>
    </row>
    <row r="133" spans="1:11">
      <c r="A133" s="129" t="s">
        <v>485</v>
      </c>
      <c r="B133" s="129" t="s">
        <v>4684</v>
      </c>
      <c r="C133" s="129" t="s">
        <v>4892</v>
      </c>
      <c r="D133" s="129" t="s">
        <v>4941</v>
      </c>
      <c r="E133" s="129" t="s">
        <v>4843</v>
      </c>
      <c r="F133" s="129" t="s">
        <v>4844</v>
      </c>
      <c r="G133" s="129" t="s">
        <v>677</v>
      </c>
      <c r="H133" s="129" t="s">
        <v>4942</v>
      </c>
      <c r="I133" s="129" t="s">
        <v>4943</v>
      </c>
      <c r="J133" s="129" t="s">
        <v>70</v>
      </c>
      <c r="K133" s="129" t="s">
        <v>4573</v>
      </c>
    </row>
    <row r="136" spans="1:11" ht="15.6">
      <c r="A136" s="894" t="s">
        <v>4944</v>
      </c>
      <c r="B136" s="839"/>
      <c r="C136" s="839"/>
      <c r="D136" s="137"/>
      <c r="E136" s="137"/>
      <c r="F136" s="137"/>
      <c r="G136" s="137"/>
      <c r="H136" s="137"/>
      <c r="I136" s="137"/>
      <c r="J136" s="137"/>
      <c r="K136" s="137"/>
    </row>
    <row r="137" spans="1:11" ht="27.6">
      <c r="A137" s="50" t="s">
        <v>4522</v>
      </c>
      <c r="B137" s="50" t="s">
        <v>4945</v>
      </c>
      <c r="C137" s="50"/>
      <c r="D137" s="50"/>
      <c r="E137" s="50"/>
      <c r="F137" s="50"/>
      <c r="G137" s="50"/>
      <c r="H137" s="50"/>
      <c r="I137" s="50"/>
      <c r="J137" s="50"/>
      <c r="K137" s="50"/>
    </row>
    <row r="138" spans="1:11">
      <c r="A138" s="129" t="s">
        <v>4522</v>
      </c>
      <c r="B138" s="129" t="s">
        <v>4787</v>
      </c>
      <c r="C138" s="129" t="s">
        <v>4946</v>
      </c>
      <c r="D138" s="129" t="s">
        <v>4947</v>
      </c>
      <c r="E138" s="129" t="s">
        <v>4789</v>
      </c>
      <c r="F138" s="129" t="s">
        <v>216</v>
      </c>
      <c r="G138" s="129" t="s">
        <v>77</v>
      </c>
      <c r="H138" s="129" t="s">
        <v>4790</v>
      </c>
      <c r="I138" s="129" t="s">
        <v>573</v>
      </c>
      <c r="J138" s="129" t="s">
        <v>4850</v>
      </c>
      <c r="K138" s="129" t="s">
        <v>4590</v>
      </c>
    </row>
    <row r="139" spans="1:11" ht="27.6">
      <c r="A139" s="129" t="s">
        <v>4522</v>
      </c>
      <c r="B139" s="129" t="s">
        <v>4633</v>
      </c>
      <c r="C139" s="129" t="s">
        <v>4634</v>
      </c>
      <c r="D139" s="129" t="s">
        <v>4948</v>
      </c>
      <c r="E139" s="129" t="s">
        <v>4949</v>
      </c>
      <c r="F139" s="129" t="s">
        <v>4760</v>
      </c>
      <c r="G139" s="129" t="s">
        <v>677</v>
      </c>
      <c r="H139" s="129" t="s">
        <v>4950</v>
      </c>
      <c r="I139" s="129" t="s">
        <v>4762</v>
      </c>
      <c r="J139" s="129" t="s">
        <v>575</v>
      </c>
      <c r="K139" s="129" t="s">
        <v>4535</v>
      </c>
    </row>
    <row r="140" spans="1:11" ht="27.6">
      <c r="A140" s="129" t="s">
        <v>4522</v>
      </c>
      <c r="B140" s="129" t="s">
        <v>4612</v>
      </c>
      <c r="C140" s="129" t="s">
        <v>4713</v>
      </c>
      <c r="D140" s="129" t="s">
        <v>4951</v>
      </c>
      <c r="E140" s="129" t="s">
        <v>4952</v>
      </c>
      <c r="F140" s="129" t="s">
        <v>4953</v>
      </c>
      <c r="G140" s="129" t="s">
        <v>677</v>
      </c>
      <c r="H140" s="129" t="s">
        <v>4954</v>
      </c>
      <c r="I140" s="129" t="s">
        <v>4955</v>
      </c>
      <c r="J140" s="129" t="s">
        <v>4956</v>
      </c>
      <c r="K140" s="129" t="s">
        <v>4535</v>
      </c>
    </row>
    <row r="141" spans="1:11" ht="27.6">
      <c r="A141" s="129" t="s">
        <v>4522</v>
      </c>
      <c r="B141" s="129" t="s">
        <v>4615</v>
      </c>
      <c r="C141" s="129" t="s">
        <v>4720</v>
      </c>
      <c r="D141" s="129" t="s">
        <v>4957</v>
      </c>
      <c r="E141" s="129" t="s">
        <v>4958</v>
      </c>
      <c r="F141" s="129" t="s">
        <v>2798</v>
      </c>
      <c r="G141" s="129" t="s">
        <v>677</v>
      </c>
      <c r="H141" s="129" t="s">
        <v>4959</v>
      </c>
      <c r="I141" s="129" t="s">
        <v>4960</v>
      </c>
      <c r="J141" s="129" t="s">
        <v>4726</v>
      </c>
      <c r="K141" s="129" t="s">
        <v>4535</v>
      </c>
    </row>
    <row r="142" spans="1:11">
      <c r="A142" s="129" t="s">
        <v>4522</v>
      </c>
      <c r="B142" s="129" t="s">
        <v>4961</v>
      </c>
      <c r="C142" s="129" t="s">
        <v>4962</v>
      </c>
      <c r="D142" s="129" t="s">
        <v>4963</v>
      </c>
      <c r="E142" s="129" t="s">
        <v>4964</v>
      </c>
      <c r="F142" s="129" t="s">
        <v>241</v>
      </c>
      <c r="G142" s="129" t="s">
        <v>677</v>
      </c>
      <c r="H142" s="129" t="s">
        <v>4965</v>
      </c>
      <c r="I142" s="129" t="s">
        <v>4966</v>
      </c>
      <c r="J142" s="129" t="s">
        <v>4967</v>
      </c>
      <c r="K142" s="129" t="s">
        <v>4535</v>
      </c>
    </row>
    <row r="143" spans="1:11">
      <c r="A143" s="129" t="s">
        <v>4522</v>
      </c>
      <c r="B143" s="129" t="s">
        <v>4801</v>
      </c>
      <c r="C143" s="129" t="s">
        <v>4968</v>
      </c>
      <c r="D143" s="129" t="s">
        <v>4969</v>
      </c>
      <c r="E143" s="129" t="s">
        <v>4729</v>
      </c>
      <c r="F143" s="129" t="s">
        <v>4970</v>
      </c>
      <c r="G143" s="129" t="s">
        <v>677</v>
      </c>
      <c r="H143" s="129" t="s">
        <v>4971</v>
      </c>
      <c r="I143" s="129" t="s">
        <v>4972</v>
      </c>
      <c r="J143" s="129" t="s">
        <v>4973</v>
      </c>
      <c r="K143" s="129" t="s">
        <v>4535</v>
      </c>
    </row>
    <row r="144" spans="1:11" ht="27.6">
      <c r="A144" s="129" t="s">
        <v>4522</v>
      </c>
      <c r="B144" s="129" t="s">
        <v>4678</v>
      </c>
      <c r="C144" s="129" t="s">
        <v>4974</v>
      </c>
      <c r="D144" s="129" t="s">
        <v>4975</v>
      </c>
      <c r="E144" s="129" t="s">
        <v>4976</v>
      </c>
      <c r="F144" s="129" t="s">
        <v>4413</v>
      </c>
      <c r="G144" s="129" t="s">
        <v>677</v>
      </c>
      <c r="H144" s="129" t="s">
        <v>4977</v>
      </c>
      <c r="I144" s="129" t="s">
        <v>4978</v>
      </c>
      <c r="J144" s="129" t="s">
        <v>70</v>
      </c>
      <c r="K144" s="129" t="s">
        <v>4573</v>
      </c>
    </row>
    <row r="147" spans="1:11" ht="15.6">
      <c r="A147" s="894" t="s">
        <v>4979</v>
      </c>
      <c r="B147" s="839"/>
      <c r="C147" s="839"/>
      <c r="D147" s="137"/>
      <c r="E147" s="137"/>
      <c r="F147" s="137"/>
      <c r="G147" s="137"/>
      <c r="H147" s="137"/>
      <c r="I147" s="137"/>
      <c r="J147" s="137"/>
      <c r="K147" s="137"/>
    </row>
    <row r="148" spans="1:11" ht="27.6">
      <c r="A148" s="50" t="s">
        <v>4523</v>
      </c>
      <c r="B148" s="50" t="s">
        <v>4980</v>
      </c>
      <c r="C148" s="50"/>
      <c r="D148" s="50"/>
      <c r="E148" s="50"/>
      <c r="F148" s="50"/>
      <c r="G148" s="50"/>
      <c r="H148" s="50"/>
      <c r="I148" s="50"/>
      <c r="J148" s="50"/>
      <c r="K148" s="50"/>
    </row>
    <row r="149" spans="1:11">
      <c r="A149" s="129" t="s">
        <v>4523</v>
      </c>
      <c r="B149" s="129" t="s">
        <v>4787</v>
      </c>
      <c r="C149" s="129" t="s">
        <v>4946</v>
      </c>
      <c r="D149" s="129" t="s">
        <v>4347</v>
      </c>
      <c r="E149" s="129" t="s">
        <v>284</v>
      </c>
      <c r="F149" s="129" t="s">
        <v>216</v>
      </c>
      <c r="G149" s="129" t="s">
        <v>77</v>
      </c>
      <c r="H149" s="129" t="s">
        <v>4790</v>
      </c>
      <c r="I149" s="129" t="s">
        <v>573</v>
      </c>
      <c r="J149" s="129" t="s">
        <v>4850</v>
      </c>
      <c r="K149" s="129" t="s">
        <v>4590</v>
      </c>
    </row>
    <row r="150" spans="1:11">
      <c r="A150" s="129" t="s">
        <v>4523</v>
      </c>
      <c r="B150" s="129" t="s">
        <v>4981</v>
      </c>
      <c r="C150" s="129" t="s">
        <v>4982</v>
      </c>
      <c r="D150" s="129" t="s">
        <v>4983</v>
      </c>
      <c r="E150" s="129" t="s">
        <v>566</v>
      </c>
      <c r="F150" s="129" t="s">
        <v>4817</v>
      </c>
      <c r="G150" s="129" t="s">
        <v>677</v>
      </c>
      <c r="H150" s="129" t="s">
        <v>4984</v>
      </c>
      <c r="I150" s="129" t="s">
        <v>4985</v>
      </c>
      <c r="J150" s="129" t="s">
        <v>4891</v>
      </c>
      <c r="K150" s="129" t="s">
        <v>4542</v>
      </c>
    </row>
    <row r="151" spans="1:11" ht="27.6">
      <c r="A151" s="129" t="s">
        <v>4523</v>
      </c>
      <c r="B151" s="129" t="s">
        <v>4646</v>
      </c>
      <c r="C151" s="129" t="s">
        <v>4814</v>
      </c>
      <c r="D151" s="129" t="s">
        <v>4986</v>
      </c>
      <c r="E151" s="129" t="s">
        <v>566</v>
      </c>
      <c r="F151" s="129" t="s">
        <v>4113</v>
      </c>
      <c r="G151" s="129" t="s">
        <v>677</v>
      </c>
      <c r="H151" s="129" t="s">
        <v>4987</v>
      </c>
      <c r="I151" s="129" t="s">
        <v>4819</v>
      </c>
      <c r="J151" s="129" t="s">
        <v>68</v>
      </c>
      <c r="K151" s="129" t="s">
        <v>4542</v>
      </c>
    </row>
    <row r="152" spans="1:11">
      <c r="A152" s="129" t="s">
        <v>4523</v>
      </c>
      <c r="B152" s="129" t="s">
        <v>4988</v>
      </c>
      <c r="C152" s="129" t="s">
        <v>4989</v>
      </c>
      <c r="D152" s="129" t="s">
        <v>4990</v>
      </c>
      <c r="E152" s="129" t="s">
        <v>148</v>
      </c>
      <c r="F152" s="129" t="s">
        <v>4991</v>
      </c>
      <c r="G152" s="129" t="s">
        <v>677</v>
      </c>
      <c r="H152" s="129" t="s">
        <v>4992</v>
      </c>
      <c r="I152" s="129" t="s">
        <v>4993</v>
      </c>
      <c r="J152" s="129" t="s">
        <v>4878</v>
      </c>
      <c r="K152" s="129" t="s">
        <v>4542</v>
      </c>
    </row>
    <row r="153" spans="1:11">
      <c r="A153" s="129" t="s">
        <v>4523</v>
      </c>
      <c r="B153" s="129" t="s">
        <v>4994</v>
      </c>
      <c r="C153" s="129" t="s">
        <v>4995</v>
      </c>
      <c r="D153" s="129" t="s">
        <v>4996</v>
      </c>
      <c r="E153" s="129" t="s">
        <v>4997</v>
      </c>
      <c r="F153" s="129" t="s">
        <v>4998</v>
      </c>
      <c r="G153" s="129" t="s">
        <v>677</v>
      </c>
      <c r="H153" s="129" t="s">
        <v>4999</v>
      </c>
      <c r="I153" s="129" t="s">
        <v>5000</v>
      </c>
      <c r="J153" s="129" t="s">
        <v>4878</v>
      </c>
      <c r="K153" s="129" t="s">
        <v>4542</v>
      </c>
    </row>
    <row r="154" spans="1:11">
      <c r="A154" s="129" t="s">
        <v>4523</v>
      </c>
      <c r="B154" s="129" t="s">
        <v>4650</v>
      </c>
      <c r="C154" s="129" t="s">
        <v>4651</v>
      </c>
      <c r="D154" s="129" t="s">
        <v>5001</v>
      </c>
      <c r="E154" s="129" t="s">
        <v>148</v>
      </c>
      <c r="F154" s="129" t="s">
        <v>4108</v>
      </c>
      <c r="G154" s="129" t="s">
        <v>677</v>
      </c>
      <c r="H154" s="129" t="s">
        <v>5002</v>
      </c>
      <c r="I154" s="129" t="s">
        <v>5003</v>
      </c>
      <c r="J154" s="129" t="s">
        <v>68</v>
      </c>
      <c r="K154" s="129" t="s">
        <v>4542</v>
      </c>
    </row>
    <row r="155" spans="1:11">
      <c r="A155" s="129" t="s">
        <v>4523</v>
      </c>
      <c r="B155" s="129" t="s">
        <v>5004</v>
      </c>
      <c r="C155" s="129" t="s">
        <v>5005</v>
      </c>
      <c r="D155" s="129" t="s">
        <v>5006</v>
      </c>
      <c r="E155" s="129" t="s">
        <v>153</v>
      </c>
      <c r="F155" s="129" t="s">
        <v>153</v>
      </c>
      <c r="G155" s="129" t="s">
        <v>677</v>
      </c>
      <c r="H155" s="129" t="s">
        <v>5007</v>
      </c>
      <c r="I155" s="129" t="s">
        <v>5008</v>
      </c>
      <c r="J155" s="129" t="s">
        <v>575</v>
      </c>
      <c r="K155" s="129" t="s">
        <v>4542</v>
      </c>
    </row>
    <row r="156" spans="1:11">
      <c r="A156" s="129" t="s">
        <v>4523</v>
      </c>
      <c r="B156" s="129" t="s">
        <v>4654</v>
      </c>
      <c r="C156" s="129" t="s">
        <v>4655</v>
      </c>
      <c r="D156" s="129" t="s">
        <v>5009</v>
      </c>
      <c r="E156" s="129" t="s">
        <v>153</v>
      </c>
      <c r="F156" s="129" t="s">
        <v>2808</v>
      </c>
      <c r="G156" s="129" t="s">
        <v>677</v>
      </c>
      <c r="H156" s="129" t="s">
        <v>5010</v>
      </c>
      <c r="I156" s="129" t="s">
        <v>5011</v>
      </c>
      <c r="J156" s="129" t="s">
        <v>5012</v>
      </c>
      <c r="K156" s="129" t="s">
        <v>4555</v>
      </c>
    </row>
    <row r="157" spans="1:11">
      <c r="A157" s="129" t="s">
        <v>4523</v>
      </c>
      <c r="B157" s="129" t="s">
        <v>5013</v>
      </c>
      <c r="C157" s="129" t="s">
        <v>5014</v>
      </c>
      <c r="D157" s="129" t="s">
        <v>5015</v>
      </c>
      <c r="E157" s="129" t="s">
        <v>153</v>
      </c>
      <c r="F157" s="129" t="s">
        <v>153</v>
      </c>
      <c r="G157" s="129" t="s">
        <v>677</v>
      </c>
      <c r="H157" s="129" t="s">
        <v>5016</v>
      </c>
      <c r="I157" s="129" t="s">
        <v>5017</v>
      </c>
      <c r="J157" s="129" t="s">
        <v>4891</v>
      </c>
      <c r="K157" s="129" t="s">
        <v>4555</v>
      </c>
    </row>
    <row r="158" spans="1:11" ht="27.6">
      <c r="A158" s="129" t="s">
        <v>4523</v>
      </c>
      <c r="B158" s="129" t="s">
        <v>4676</v>
      </c>
      <c r="C158" s="129" t="s">
        <v>4677</v>
      </c>
      <c r="D158" s="129" t="s">
        <v>5018</v>
      </c>
      <c r="E158" s="129" t="s">
        <v>567</v>
      </c>
      <c r="F158" s="129" t="s">
        <v>5019</v>
      </c>
      <c r="G158" s="129" t="s">
        <v>677</v>
      </c>
      <c r="H158" s="129" t="s">
        <v>5020</v>
      </c>
      <c r="I158" s="129" t="s">
        <v>5021</v>
      </c>
      <c r="J158" s="129" t="s">
        <v>4891</v>
      </c>
      <c r="K158" s="129" t="s">
        <v>4573</v>
      </c>
    </row>
    <row r="161" spans="1:11" ht="15.6">
      <c r="A161" s="894" t="s">
        <v>5022</v>
      </c>
      <c r="B161" s="839"/>
      <c r="C161" s="839"/>
      <c r="D161" s="137"/>
      <c r="E161" s="137"/>
      <c r="F161" s="137"/>
      <c r="G161" s="137"/>
      <c r="H161" s="137"/>
      <c r="I161" s="137"/>
      <c r="J161" s="137"/>
      <c r="K161" s="137"/>
    </row>
    <row r="162" spans="1:11" ht="41.4">
      <c r="A162" s="50" t="s">
        <v>4524</v>
      </c>
      <c r="B162" s="50" t="s">
        <v>5023</v>
      </c>
      <c r="C162" s="50"/>
      <c r="D162" s="50"/>
      <c r="E162" s="50"/>
      <c r="F162" s="50"/>
      <c r="G162" s="50"/>
      <c r="H162" s="50"/>
      <c r="I162" s="50"/>
      <c r="J162" s="50"/>
      <c r="K162" s="50"/>
    </row>
    <row r="163" spans="1:11">
      <c r="A163" s="129" t="s">
        <v>4524</v>
      </c>
      <c r="B163" s="129" t="s">
        <v>4787</v>
      </c>
      <c r="C163" s="129" t="s">
        <v>4946</v>
      </c>
      <c r="D163" s="129" t="s">
        <v>4347</v>
      </c>
      <c r="E163" s="129" t="s">
        <v>493</v>
      </c>
      <c r="F163" s="129" t="s">
        <v>216</v>
      </c>
      <c r="G163" s="129" t="s">
        <v>77</v>
      </c>
      <c r="H163" s="129" t="s">
        <v>4790</v>
      </c>
      <c r="I163" s="129" t="s">
        <v>573</v>
      </c>
      <c r="J163" s="129" t="s">
        <v>4850</v>
      </c>
      <c r="K163" s="129" t="s">
        <v>4590</v>
      </c>
    </row>
    <row r="164" spans="1:11" ht="27.6">
      <c r="A164" s="129" t="s">
        <v>4524</v>
      </c>
      <c r="B164" s="129" t="s">
        <v>4657</v>
      </c>
      <c r="C164" s="129" t="s">
        <v>4658</v>
      </c>
      <c r="D164" s="129" t="s">
        <v>5024</v>
      </c>
      <c r="E164" s="129" t="s">
        <v>5025</v>
      </c>
      <c r="F164" s="129" t="s">
        <v>584</v>
      </c>
      <c r="G164" s="129" t="s">
        <v>677</v>
      </c>
      <c r="H164" s="129" t="s">
        <v>5026</v>
      </c>
      <c r="I164" s="129" t="s">
        <v>5027</v>
      </c>
      <c r="J164" s="129" t="s">
        <v>575</v>
      </c>
      <c r="K164" s="129" t="s">
        <v>4555</v>
      </c>
    </row>
    <row r="165" spans="1:11" ht="27.6">
      <c r="A165" s="129" t="s">
        <v>4524</v>
      </c>
      <c r="B165" s="129" t="s">
        <v>5028</v>
      </c>
      <c r="C165" s="129" t="s">
        <v>5029</v>
      </c>
      <c r="D165" s="129" t="s">
        <v>5030</v>
      </c>
      <c r="E165" s="129" t="s">
        <v>5012</v>
      </c>
      <c r="F165" s="129" t="s">
        <v>5031</v>
      </c>
      <c r="G165" s="129" t="s">
        <v>677</v>
      </c>
      <c r="H165" s="129" t="s">
        <v>5032</v>
      </c>
      <c r="I165" s="129" t="s">
        <v>5033</v>
      </c>
      <c r="J165" s="129" t="s">
        <v>5034</v>
      </c>
      <c r="K165" s="129" t="s">
        <v>4555</v>
      </c>
    </row>
    <row r="166" spans="1:11" ht="27.6">
      <c r="A166" s="129" t="s">
        <v>4524</v>
      </c>
      <c r="B166" s="129" t="s">
        <v>5035</v>
      </c>
      <c r="C166" s="129" t="s">
        <v>5036</v>
      </c>
      <c r="D166" s="129" t="s">
        <v>5037</v>
      </c>
      <c r="E166" s="129" t="s">
        <v>2640</v>
      </c>
      <c r="F166" s="129" t="s">
        <v>1037</v>
      </c>
      <c r="G166" s="129" t="s">
        <v>677</v>
      </c>
      <c r="H166" s="129" t="s">
        <v>5038</v>
      </c>
      <c r="I166" s="129" t="s">
        <v>5039</v>
      </c>
      <c r="J166" s="129" t="s">
        <v>575</v>
      </c>
      <c r="K166" s="129" t="s">
        <v>4555</v>
      </c>
    </row>
    <row r="167" spans="1:11">
      <c r="A167" s="129" t="s">
        <v>4524</v>
      </c>
      <c r="B167" s="129" t="s">
        <v>4661</v>
      </c>
      <c r="C167" s="129" t="s">
        <v>5040</v>
      </c>
      <c r="D167" s="129" t="s">
        <v>5041</v>
      </c>
      <c r="E167" s="129" t="s">
        <v>2640</v>
      </c>
      <c r="F167" s="129" t="s">
        <v>1037</v>
      </c>
      <c r="G167" s="129" t="s">
        <v>677</v>
      </c>
      <c r="H167" s="129" t="s">
        <v>5042</v>
      </c>
      <c r="I167" s="129" t="s">
        <v>5043</v>
      </c>
      <c r="J167" s="129" t="s">
        <v>5044</v>
      </c>
      <c r="K167" s="129" t="s">
        <v>4555</v>
      </c>
    </row>
    <row r="168" spans="1:11" ht="27.6">
      <c r="A168" s="129" t="s">
        <v>4524</v>
      </c>
      <c r="B168" s="129" t="s">
        <v>5045</v>
      </c>
      <c r="C168" s="129" t="s">
        <v>5046</v>
      </c>
      <c r="D168" s="129" t="s">
        <v>5047</v>
      </c>
      <c r="E168" s="129" t="s">
        <v>5025</v>
      </c>
      <c r="F168" s="129" t="s">
        <v>155</v>
      </c>
      <c r="G168" s="129" t="s">
        <v>677</v>
      </c>
      <c r="H168" s="129" t="s">
        <v>5048</v>
      </c>
      <c r="I168" s="129" t="s">
        <v>5049</v>
      </c>
      <c r="J168" s="129" t="s">
        <v>575</v>
      </c>
      <c r="K168" s="129" t="s">
        <v>4555</v>
      </c>
    </row>
    <row r="169" spans="1:11">
      <c r="A169" s="129" t="s">
        <v>4524</v>
      </c>
      <c r="B169" s="129" t="s">
        <v>4663</v>
      </c>
      <c r="C169" s="129" t="s">
        <v>4664</v>
      </c>
      <c r="D169" s="129" t="s">
        <v>5050</v>
      </c>
      <c r="E169" s="129" t="s">
        <v>5025</v>
      </c>
      <c r="F169" s="129" t="s">
        <v>584</v>
      </c>
      <c r="G169" s="129" t="s">
        <v>677</v>
      </c>
      <c r="H169" s="129" t="s">
        <v>5051</v>
      </c>
      <c r="I169" s="129" t="s">
        <v>4884</v>
      </c>
      <c r="J169" s="129" t="s">
        <v>575</v>
      </c>
      <c r="K169" s="129" t="s">
        <v>4555</v>
      </c>
    </row>
    <row r="170" spans="1:11" ht="27.6">
      <c r="A170" s="129" t="s">
        <v>4524</v>
      </c>
      <c r="B170" s="129" t="s">
        <v>4665</v>
      </c>
      <c r="C170" s="129" t="s">
        <v>5052</v>
      </c>
      <c r="D170" s="129" t="s">
        <v>5053</v>
      </c>
      <c r="E170" s="129" t="s">
        <v>5012</v>
      </c>
      <c r="F170" s="129" t="s">
        <v>155</v>
      </c>
      <c r="G170" s="129" t="s">
        <v>677</v>
      </c>
      <c r="H170" s="129" t="s">
        <v>5054</v>
      </c>
      <c r="I170" s="129" t="s">
        <v>5055</v>
      </c>
      <c r="J170" s="129" t="s">
        <v>4706</v>
      </c>
      <c r="K170" s="129" t="s">
        <v>4555</v>
      </c>
    </row>
    <row r="171" spans="1:11" ht="27.6">
      <c r="A171" s="129" t="s">
        <v>4524</v>
      </c>
      <c r="B171" s="129" t="s">
        <v>5056</v>
      </c>
      <c r="C171" s="129" t="s">
        <v>5057</v>
      </c>
      <c r="D171" s="129" t="s">
        <v>5058</v>
      </c>
      <c r="E171" s="129" t="s">
        <v>5059</v>
      </c>
      <c r="F171" s="129" t="s">
        <v>2808</v>
      </c>
      <c r="G171" s="129" t="s">
        <v>677</v>
      </c>
      <c r="H171" s="129" t="s">
        <v>5060</v>
      </c>
      <c r="I171" s="129" t="s">
        <v>5061</v>
      </c>
      <c r="J171" s="129" t="s">
        <v>5012</v>
      </c>
      <c r="K171" s="129" t="s">
        <v>4555</v>
      </c>
    </row>
    <row r="172" spans="1:11">
      <c r="A172" s="129" t="s">
        <v>4524</v>
      </c>
      <c r="B172" s="129" t="s">
        <v>4667</v>
      </c>
      <c r="C172" s="129" t="s">
        <v>5062</v>
      </c>
      <c r="D172" s="129" t="s">
        <v>5063</v>
      </c>
      <c r="E172" s="129" t="s">
        <v>5064</v>
      </c>
      <c r="F172" s="129" t="s">
        <v>584</v>
      </c>
      <c r="G172" s="129" t="s">
        <v>677</v>
      </c>
      <c r="H172" s="129" t="s">
        <v>5065</v>
      </c>
      <c r="I172" s="129" t="s">
        <v>4833</v>
      </c>
      <c r="J172" s="129" t="s">
        <v>5066</v>
      </c>
      <c r="K172" s="129" t="s">
        <v>4555</v>
      </c>
    </row>
    <row r="173" spans="1:11">
      <c r="A173" s="129" t="s">
        <v>4524</v>
      </c>
      <c r="B173" s="129" t="s">
        <v>4669</v>
      </c>
      <c r="C173" s="129" t="s">
        <v>5067</v>
      </c>
      <c r="D173" s="129" t="s">
        <v>5068</v>
      </c>
      <c r="E173" s="129" t="s">
        <v>5069</v>
      </c>
      <c r="F173" s="129" t="s">
        <v>155</v>
      </c>
      <c r="G173" s="129" t="s">
        <v>677</v>
      </c>
      <c r="H173" s="129" t="s">
        <v>5070</v>
      </c>
      <c r="I173" s="129" t="s">
        <v>5071</v>
      </c>
      <c r="J173" s="129" t="s">
        <v>4885</v>
      </c>
      <c r="K173" s="129" t="s">
        <v>4555</v>
      </c>
    </row>
    <row r="176" spans="1:11" ht="15.6">
      <c r="A176" s="894" t="s">
        <v>5072</v>
      </c>
      <c r="B176" s="839"/>
      <c r="C176" s="839"/>
      <c r="D176" s="137"/>
      <c r="E176" s="137"/>
      <c r="F176" s="137"/>
      <c r="G176" s="137"/>
      <c r="H176" s="137"/>
      <c r="I176" s="137"/>
      <c r="J176" s="137"/>
      <c r="K176" s="137"/>
    </row>
    <row r="177" spans="1:11" ht="27.6">
      <c r="A177" s="50" t="s">
        <v>556</v>
      </c>
      <c r="B177" s="50" t="s">
        <v>5073</v>
      </c>
      <c r="C177" s="50"/>
      <c r="D177" s="50"/>
      <c r="E177" s="50"/>
      <c r="F177" s="50"/>
      <c r="G177" s="50"/>
      <c r="H177" s="50"/>
      <c r="I177" s="50"/>
      <c r="J177" s="50"/>
      <c r="K177" s="50"/>
    </row>
    <row r="178" spans="1:11">
      <c r="A178" s="129" t="s">
        <v>556</v>
      </c>
      <c r="B178" s="129" t="s">
        <v>4787</v>
      </c>
      <c r="C178" s="129" t="s">
        <v>4946</v>
      </c>
      <c r="D178" s="129" t="s">
        <v>4347</v>
      </c>
      <c r="E178" s="129" t="s">
        <v>493</v>
      </c>
      <c r="F178" s="129" t="s">
        <v>216</v>
      </c>
      <c r="G178" s="129" t="s">
        <v>77</v>
      </c>
      <c r="H178" s="129" t="s">
        <v>4790</v>
      </c>
      <c r="I178" s="129" t="s">
        <v>573</v>
      </c>
      <c r="J178" s="129" t="s">
        <v>4850</v>
      </c>
      <c r="K178" s="129" t="s">
        <v>4590</v>
      </c>
    </row>
    <row r="179" spans="1:11" ht="27.6">
      <c r="A179" s="129" t="s">
        <v>556</v>
      </c>
      <c r="B179" s="129" t="s">
        <v>5074</v>
      </c>
      <c r="C179" s="129" t="s">
        <v>5075</v>
      </c>
      <c r="D179" s="129" t="s">
        <v>5076</v>
      </c>
      <c r="E179" s="129" t="s">
        <v>556</v>
      </c>
      <c r="F179" s="129" t="s">
        <v>2834</v>
      </c>
      <c r="G179" s="129" t="s">
        <v>677</v>
      </c>
      <c r="H179" s="129" t="s">
        <v>5077</v>
      </c>
      <c r="I179" s="129" t="s">
        <v>5078</v>
      </c>
      <c r="J179" s="129" t="s">
        <v>5079</v>
      </c>
      <c r="K179" s="129" t="s">
        <v>4555</v>
      </c>
    </row>
    <row r="180" spans="1:11">
      <c r="A180" s="129" t="s">
        <v>556</v>
      </c>
      <c r="B180" s="129" t="s">
        <v>4886</v>
      </c>
      <c r="C180" s="129" t="s">
        <v>5080</v>
      </c>
      <c r="D180" s="129" t="s">
        <v>5081</v>
      </c>
      <c r="E180" s="129" t="s">
        <v>5082</v>
      </c>
      <c r="F180" s="129" t="s">
        <v>5083</v>
      </c>
      <c r="G180" s="129" t="s">
        <v>677</v>
      </c>
      <c r="H180" s="129" t="s">
        <v>5084</v>
      </c>
      <c r="I180" s="129" t="s">
        <v>5085</v>
      </c>
      <c r="J180" s="129" t="s">
        <v>5086</v>
      </c>
      <c r="K180" s="129" t="s">
        <v>4555</v>
      </c>
    </row>
    <row r="181" spans="1:11">
      <c r="A181" s="129" t="s">
        <v>556</v>
      </c>
      <c r="B181" s="129" t="s">
        <v>4671</v>
      </c>
      <c r="C181" s="129" t="s">
        <v>4672</v>
      </c>
      <c r="D181" s="129" t="s">
        <v>5087</v>
      </c>
      <c r="E181" s="129" t="s">
        <v>1008</v>
      </c>
      <c r="F181" s="129" t="s">
        <v>5088</v>
      </c>
      <c r="G181" s="129" t="s">
        <v>677</v>
      </c>
      <c r="H181" s="129" t="s">
        <v>5089</v>
      </c>
      <c r="I181" s="129" t="s">
        <v>4837</v>
      </c>
      <c r="J181" s="129" t="s">
        <v>5090</v>
      </c>
      <c r="K181" s="129" t="s">
        <v>4555</v>
      </c>
    </row>
    <row r="182" spans="1:11">
      <c r="A182" s="129" t="s">
        <v>556</v>
      </c>
      <c r="B182" s="129" t="s">
        <v>4673</v>
      </c>
      <c r="C182" s="129" t="s">
        <v>4674</v>
      </c>
      <c r="D182" s="129" t="s">
        <v>5091</v>
      </c>
      <c r="E182" s="129" t="s">
        <v>1012</v>
      </c>
      <c r="F182" s="129" t="s">
        <v>2834</v>
      </c>
      <c r="G182" s="129" t="s">
        <v>677</v>
      </c>
      <c r="H182" s="129" t="s">
        <v>5092</v>
      </c>
      <c r="I182" s="129" t="s">
        <v>5093</v>
      </c>
      <c r="J182" s="129" t="s">
        <v>5094</v>
      </c>
      <c r="K182" s="129" t="s">
        <v>4555</v>
      </c>
    </row>
    <row r="183" spans="1:11">
      <c r="A183" s="129" t="s">
        <v>556</v>
      </c>
      <c r="B183" s="129" t="s">
        <v>4676</v>
      </c>
      <c r="C183" s="129" t="s">
        <v>4677</v>
      </c>
      <c r="D183" s="129" t="s">
        <v>5095</v>
      </c>
      <c r="E183" s="129" t="s">
        <v>567</v>
      </c>
      <c r="F183" s="129" t="s">
        <v>5019</v>
      </c>
      <c r="G183" s="129" t="s">
        <v>677</v>
      </c>
      <c r="H183" s="129" t="s">
        <v>5096</v>
      </c>
      <c r="I183" s="129" t="s">
        <v>5097</v>
      </c>
      <c r="J183" s="129" t="s">
        <v>4891</v>
      </c>
      <c r="K183" s="129" t="s">
        <v>4573</v>
      </c>
    </row>
    <row r="186" spans="1:11" ht="15.6">
      <c r="A186" s="894" t="s">
        <v>5098</v>
      </c>
      <c r="B186" s="839"/>
      <c r="C186" s="839"/>
      <c r="D186" s="137"/>
      <c r="E186" s="137"/>
      <c r="F186" s="137"/>
      <c r="G186" s="137"/>
      <c r="H186" s="137"/>
      <c r="I186" s="137"/>
      <c r="J186" s="137"/>
      <c r="K186" s="137"/>
    </row>
    <row r="187" spans="1:11" ht="27.6">
      <c r="A187" s="50" t="s">
        <v>4525</v>
      </c>
      <c r="B187" s="50" t="s">
        <v>5099</v>
      </c>
      <c r="C187" s="50"/>
      <c r="D187" s="50"/>
      <c r="E187" s="50"/>
      <c r="F187" s="50"/>
      <c r="G187" s="50"/>
      <c r="H187" s="50"/>
      <c r="I187" s="50"/>
      <c r="J187" s="50"/>
      <c r="K187" s="50"/>
    </row>
    <row r="188" spans="1:11">
      <c r="A188" s="129" t="s">
        <v>4525</v>
      </c>
      <c r="B188" s="129" t="s">
        <v>4787</v>
      </c>
      <c r="C188" s="129" t="s">
        <v>4946</v>
      </c>
      <c r="D188" s="129" t="s">
        <v>4347</v>
      </c>
      <c r="E188" s="129" t="s">
        <v>493</v>
      </c>
      <c r="F188" s="129" t="s">
        <v>216</v>
      </c>
      <c r="G188" s="129" t="s">
        <v>77</v>
      </c>
      <c r="H188" s="129" t="s">
        <v>4790</v>
      </c>
      <c r="I188" s="129" t="s">
        <v>573</v>
      </c>
      <c r="J188" s="129" t="s">
        <v>4850</v>
      </c>
      <c r="K188" s="129" t="s">
        <v>4590</v>
      </c>
    </row>
    <row r="189" spans="1:11">
      <c r="A189" s="129" t="s">
        <v>4525</v>
      </c>
      <c r="B189" s="129" t="s">
        <v>4678</v>
      </c>
      <c r="C189" s="129" t="s">
        <v>4679</v>
      </c>
      <c r="D189" s="129" t="s">
        <v>5100</v>
      </c>
      <c r="E189" s="129" t="s">
        <v>5101</v>
      </c>
      <c r="F189" s="129" t="s">
        <v>5102</v>
      </c>
      <c r="G189" s="129" t="s">
        <v>677</v>
      </c>
      <c r="H189" s="129" t="s">
        <v>5103</v>
      </c>
      <c r="I189" s="129" t="s">
        <v>4739</v>
      </c>
      <c r="J189" s="129" t="s">
        <v>5104</v>
      </c>
      <c r="K189" s="129" t="s">
        <v>4573</v>
      </c>
    </row>
    <row r="190" spans="1:11">
      <c r="A190" s="129" t="s">
        <v>4525</v>
      </c>
      <c r="B190" s="129" t="s">
        <v>5105</v>
      </c>
      <c r="C190" s="129" t="s">
        <v>5106</v>
      </c>
      <c r="D190" s="129" t="s">
        <v>5107</v>
      </c>
      <c r="E190" s="129" t="s">
        <v>5101</v>
      </c>
      <c r="F190" s="129" t="s">
        <v>4475</v>
      </c>
      <c r="G190" s="129" t="s">
        <v>677</v>
      </c>
      <c r="H190" s="129" t="s">
        <v>5108</v>
      </c>
      <c r="I190" s="129" t="s">
        <v>5109</v>
      </c>
      <c r="J190" s="129" t="s">
        <v>5104</v>
      </c>
      <c r="K190" s="129" t="s">
        <v>4573</v>
      </c>
    </row>
    <row r="191" spans="1:11">
      <c r="A191" s="129" t="s">
        <v>4525</v>
      </c>
      <c r="B191" s="129" t="s">
        <v>5110</v>
      </c>
      <c r="C191" s="129" t="s">
        <v>5111</v>
      </c>
      <c r="D191" s="129" t="s">
        <v>5112</v>
      </c>
      <c r="E191" s="129" t="s">
        <v>5101</v>
      </c>
      <c r="F191" s="129" t="s">
        <v>4475</v>
      </c>
      <c r="G191" s="129" t="s">
        <v>677</v>
      </c>
      <c r="H191" s="129" t="s">
        <v>5113</v>
      </c>
      <c r="I191" s="129" t="s">
        <v>5114</v>
      </c>
      <c r="J191" s="129" t="s">
        <v>70</v>
      </c>
      <c r="K191" s="129" t="s">
        <v>4573</v>
      </c>
    </row>
    <row r="192" spans="1:11" ht="27.6">
      <c r="A192" s="129" t="s">
        <v>4525</v>
      </c>
      <c r="B192" s="129" t="s">
        <v>5115</v>
      </c>
      <c r="C192" s="129" t="s">
        <v>5116</v>
      </c>
      <c r="D192" s="129" t="s">
        <v>5117</v>
      </c>
      <c r="E192" s="129" t="s">
        <v>5101</v>
      </c>
      <c r="F192" s="129" t="s">
        <v>4475</v>
      </c>
      <c r="G192" s="129" t="s">
        <v>677</v>
      </c>
      <c r="H192" s="129" t="s">
        <v>5118</v>
      </c>
      <c r="I192" s="129" t="s">
        <v>5119</v>
      </c>
      <c r="J192" s="129" t="s">
        <v>70</v>
      </c>
      <c r="K192" s="129" t="s">
        <v>4573</v>
      </c>
    </row>
    <row r="193" spans="1:11">
      <c r="A193" s="129" t="s">
        <v>4525</v>
      </c>
      <c r="B193" s="129" t="s">
        <v>4681</v>
      </c>
      <c r="C193" s="129" t="s">
        <v>4682</v>
      </c>
      <c r="D193" s="129" t="s">
        <v>5120</v>
      </c>
      <c r="E193" s="129" t="s">
        <v>5101</v>
      </c>
      <c r="F193" s="129" t="s">
        <v>4475</v>
      </c>
      <c r="G193" s="129" t="s">
        <v>677</v>
      </c>
      <c r="H193" s="129" t="s">
        <v>5121</v>
      </c>
      <c r="I193" s="129" t="s">
        <v>5122</v>
      </c>
      <c r="J193" s="129" t="s">
        <v>70</v>
      </c>
      <c r="K193" s="129" t="s">
        <v>4573</v>
      </c>
    </row>
    <row r="194" spans="1:11">
      <c r="A194" s="129" t="s">
        <v>4525</v>
      </c>
      <c r="B194" s="129" t="s">
        <v>4684</v>
      </c>
      <c r="C194" s="129" t="s">
        <v>4685</v>
      </c>
      <c r="D194" s="129" t="s">
        <v>5123</v>
      </c>
      <c r="E194" s="129" t="s">
        <v>5124</v>
      </c>
      <c r="F194" s="129" t="s">
        <v>4844</v>
      </c>
      <c r="G194" s="129" t="s">
        <v>677</v>
      </c>
      <c r="H194" s="129" t="s">
        <v>5125</v>
      </c>
      <c r="I194" s="129" t="s">
        <v>5126</v>
      </c>
      <c r="J194" s="129" t="s">
        <v>70</v>
      </c>
      <c r="K194" s="129" t="s">
        <v>4573</v>
      </c>
    </row>
    <row r="195" spans="1:11">
      <c r="A195" s="129" t="s">
        <v>4525</v>
      </c>
      <c r="B195" s="129" t="s">
        <v>5127</v>
      </c>
      <c r="C195" s="129" t="s">
        <v>5128</v>
      </c>
      <c r="D195" s="129" t="s">
        <v>5129</v>
      </c>
      <c r="E195" s="129" t="s">
        <v>5101</v>
      </c>
      <c r="F195" s="129" t="s">
        <v>4475</v>
      </c>
      <c r="G195" s="129" t="s">
        <v>677</v>
      </c>
      <c r="H195" s="129" t="s">
        <v>5130</v>
      </c>
      <c r="I195" s="129" t="s">
        <v>5131</v>
      </c>
      <c r="J195" s="129" t="s">
        <v>70</v>
      </c>
      <c r="K195" s="129" t="s">
        <v>4573</v>
      </c>
    </row>
    <row r="198" spans="1:11" ht="15.6">
      <c r="A198" s="894" t="s">
        <v>5132</v>
      </c>
      <c r="B198" s="839"/>
      <c r="C198" s="839"/>
      <c r="D198" s="137"/>
      <c r="E198" s="137"/>
      <c r="F198" s="137"/>
      <c r="G198" s="137"/>
      <c r="H198" s="137"/>
      <c r="I198" s="137"/>
      <c r="J198" s="137"/>
      <c r="K198" s="137"/>
    </row>
    <row r="199" spans="1:11" ht="27.6">
      <c r="A199" s="50" t="s">
        <v>4526</v>
      </c>
      <c r="B199" s="50" t="s">
        <v>5133</v>
      </c>
      <c r="C199" s="50"/>
      <c r="D199" s="50"/>
      <c r="E199" s="50"/>
      <c r="F199" s="50"/>
      <c r="G199" s="50"/>
      <c r="H199" s="50"/>
      <c r="I199" s="50"/>
      <c r="J199" s="50"/>
      <c r="K199" s="50"/>
    </row>
    <row r="200" spans="1:11">
      <c r="A200" s="129" t="s">
        <v>4526</v>
      </c>
      <c r="B200" s="129" t="s">
        <v>213</v>
      </c>
      <c r="C200" s="129" t="s">
        <v>4291</v>
      </c>
      <c r="D200" s="129" t="s">
        <v>573</v>
      </c>
      <c r="E200" s="129" t="s">
        <v>215</v>
      </c>
      <c r="F200" s="129" t="s">
        <v>257</v>
      </c>
      <c r="G200" s="129" t="s">
        <v>572</v>
      </c>
      <c r="H200" s="129" t="s">
        <v>259</v>
      </c>
      <c r="I200" s="129" t="s">
        <v>216</v>
      </c>
      <c r="J200" s="129" t="s">
        <v>77</v>
      </c>
      <c r="K200" s="129" t="s">
        <v>11</v>
      </c>
    </row>
    <row r="201" spans="1:11" ht="41.4">
      <c r="A201" s="129" t="s">
        <v>4526</v>
      </c>
      <c r="B201" s="129" t="s">
        <v>5134</v>
      </c>
      <c r="C201" s="129" t="s">
        <v>575</v>
      </c>
      <c r="D201" s="129" t="s">
        <v>5135</v>
      </c>
      <c r="E201" s="129" t="s">
        <v>391</v>
      </c>
      <c r="F201" s="129" t="s">
        <v>488</v>
      </c>
      <c r="G201" s="129">
        <v>6</v>
      </c>
      <c r="H201" s="129" t="s">
        <v>5136</v>
      </c>
      <c r="I201" s="129" t="s">
        <v>5137</v>
      </c>
      <c r="J201" s="13" t="s">
        <v>502</v>
      </c>
      <c r="K201" s="129" t="s">
        <v>5138</v>
      </c>
    </row>
    <row r="202" spans="1:11" ht="27.6">
      <c r="A202" s="129" t="s">
        <v>4526</v>
      </c>
      <c r="B202" s="129" t="s">
        <v>5139</v>
      </c>
      <c r="C202" s="129" t="s">
        <v>731</v>
      </c>
      <c r="D202" s="129" t="s">
        <v>5140</v>
      </c>
      <c r="E202" s="129" t="s">
        <v>391</v>
      </c>
      <c r="F202" s="129" t="s">
        <v>488</v>
      </c>
      <c r="G202" s="129">
        <v>6</v>
      </c>
      <c r="H202" s="129" t="s">
        <v>5141</v>
      </c>
      <c r="I202" s="129" t="s">
        <v>4710</v>
      </c>
      <c r="J202" s="13" t="s">
        <v>502</v>
      </c>
      <c r="K202" s="129" t="s">
        <v>5142</v>
      </c>
    </row>
    <row r="203" spans="1:11" ht="27.6">
      <c r="A203" s="129" t="s">
        <v>4526</v>
      </c>
      <c r="B203" s="129" t="s">
        <v>5143</v>
      </c>
      <c r="C203" s="129" t="s">
        <v>5144</v>
      </c>
      <c r="D203" s="129" t="s">
        <v>5145</v>
      </c>
      <c r="E203" s="129" t="s">
        <v>492</v>
      </c>
      <c r="F203" s="129" t="s">
        <v>488</v>
      </c>
      <c r="G203" s="129">
        <v>8</v>
      </c>
      <c r="H203" s="129" t="s">
        <v>5146</v>
      </c>
      <c r="I203" s="129" t="s">
        <v>4723</v>
      </c>
      <c r="J203" s="13" t="s">
        <v>502</v>
      </c>
      <c r="K203" s="129" t="s">
        <v>5147</v>
      </c>
    </row>
    <row r="204" spans="1:11" ht="27.6">
      <c r="A204" s="129" t="s">
        <v>4526</v>
      </c>
      <c r="B204" s="129" t="s">
        <v>5148</v>
      </c>
      <c r="C204" s="129" t="s">
        <v>5149</v>
      </c>
      <c r="D204" s="129" t="s">
        <v>5150</v>
      </c>
      <c r="E204" s="129" t="s">
        <v>492</v>
      </c>
      <c r="F204" s="129" t="s">
        <v>488</v>
      </c>
      <c r="G204" s="129">
        <v>8</v>
      </c>
      <c r="H204" s="129" t="s">
        <v>5151</v>
      </c>
      <c r="I204" s="129" t="s">
        <v>5152</v>
      </c>
      <c r="J204" s="13" t="s">
        <v>502</v>
      </c>
      <c r="K204" s="129" t="s">
        <v>5153</v>
      </c>
    </row>
    <row r="205" spans="1:11" ht="41.4">
      <c r="A205" s="129" t="s">
        <v>4526</v>
      </c>
      <c r="B205" s="129" t="s">
        <v>5154</v>
      </c>
      <c r="C205" s="129" t="s">
        <v>485</v>
      </c>
      <c r="D205" s="129" t="s">
        <v>5155</v>
      </c>
      <c r="E205" s="129" t="s">
        <v>492</v>
      </c>
      <c r="F205" s="129" t="s">
        <v>488</v>
      </c>
      <c r="G205" s="129">
        <v>8</v>
      </c>
      <c r="H205" s="129" t="s">
        <v>5156</v>
      </c>
      <c r="I205" s="129" t="s">
        <v>4531</v>
      </c>
      <c r="J205" s="13" t="s">
        <v>502</v>
      </c>
      <c r="K205" s="129" t="s">
        <v>5157</v>
      </c>
    </row>
    <row r="206" spans="1:11" ht="27.6">
      <c r="A206" s="129" t="s">
        <v>4526</v>
      </c>
      <c r="B206" s="129" t="s">
        <v>5158</v>
      </c>
      <c r="C206" s="129" t="s">
        <v>3495</v>
      </c>
      <c r="D206" s="129" t="s">
        <v>5159</v>
      </c>
      <c r="E206" s="129" t="s">
        <v>492</v>
      </c>
      <c r="F206" s="129" t="s">
        <v>488</v>
      </c>
      <c r="G206" s="129">
        <v>8</v>
      </c>
      <c r="H206" s="129" t="s">
        <v>5160</v>
      </c>
      <c r="I206" s="129" t="s">
        <v>584</v>
      </c>
      <c r="J206" s="13" t="s">
        <v>502</v>
      </c>
      <c r="K206" s="129" t="s">
        <v>5161</v>
      </c>
    </row>
    <row r="207" spans="1:11" ht="27.6">
      <c r="A207" s="129" t="s">
        <v>4526</v>
      </c>
      <c r="B207" s="129" t="s">
        <v>5162</v>
      </c>
      <c r="C207" s="129" t="s">
        <v>153</v>
      </c>
      <c r="D207" s="129" t="s">
        <v>5163</v>
      </c>
      <c r="E207" s="129" t="s">
        <v>391</v>
      </c>
      <c r="F207" s="129" t="s">
        <v>488</v>
      </c>
      <c r="G207" s="129">
        <v>6</v>
      </c>
      <c r="H207" s="129" t="s">
        <v>5164</v>
      </c>
      <c r="I207" s="129" t="s">
        <v>5165</v>
      </c>
      <c r="J207" s="13" t="s">
        <v>502</v>
      </c>
      <c r="K207" s="129" t="s">
        <v>5166</v>
      </c>
    </row>
    <row r="208" spans="1:11" ht="27.6">
      <c r="A208" s="129" t="s">
        <v>4526</v>
      </c>
      <c r="B208" s="129" t="s">
        <v>5167</v>
      </c>
      <c r="C208" s="129" t="s">
        <v>5168</v>
      </c>
      <c r="D208" s="129" t="s">
        <v>5169</v>
      </c>
      <c r="E208" s="129" t="s">
        <v>492</v>
      </c>
      <c r="F208" s="129" t="s">
        <v>488</v>
      </c>
      <c r="G208" s="129">
        <v>8</v>
      </c>
      <c r="H208" s="129" t="s">
        <v>5170</v>
      </c>
      <c r="I208" s="129" t="s">
        <v>4868</v>
      </c>
      <c r="J208" s="13" t="s">
        <v>502</v>
      </c>
      <c r="K208" s="129" t="s">
        <v>4807</v>
      </c>
    </row>
    <row r="209" spans="1:11" ht="41.4">
      <c r="A209" s="129" t="s">
        <v>4526</v>
      </c>
      <c r="B209" s="129" t="s">
        <v>5171</v>
      </c>
      <c r="C209" s="129" t="s">
        <v>68</v>
      </c>
      <c r="D209" s="129" t="s">
        <v>5172</v>
      </c>
      <c r="E209" s="129" t="s">
        <v>492</v>
      </c>
      <c r="F209" s="129" t="s">
        <v>488</v>
      </c>
      <c r="G209" s="129">
        <v>8</v>
      </c>
      <c r="H209" s="129" t="s">
        <v>5173</v>
      </c>
      <c r="I209" s="129" t="s">
        <v>5174</v>
      </c>
      <c r="J209" s="13" t="s">
        <v>502</v>
      </c>
      <c r="K209" s="129" t="s">
        <v>5175</v>
      </c>
    </row>
    <row r="210" spans="1:11" ht="27.6">
      <c r="A210" s="129" t="s">
        <v>4526</v>
      </c>
      <c r="B210" s="129" t="s">
        <v>5176</v>
      </c>
      <c r="C210" s="129" t="s">
        <v>5177</v>
      </c>
      <c r="D210" s="129" t="s">
        <v>5178</v>
      </c>
      <c r="E210" s="129" t="s">
        <v>391</v>
      </c>
      <c r="F210" s="129" t="s">
        <v>488</v>
      </c>
      <c r="G210" s="129">
        <v>6</v>
      </c>
      <c r="H210" s="129" t="s">
        <v>5179</v>
      </c>
      <c r="I210" s="129" t="s">
        <v>5180</v>
      </c>
      <c r="J210" s="13" t="s">
        <v>502</v>
      </c>
      <c r="K210" s="129" t="s">
        <v>5181</v>
      </c>
    </row>
    <row r="213" spans="1:11" ht="15.6">
      <c r="A213" s="894" t="s">
        <v>5182</v>
      </c>
      <c r="B213" s="839"/>
      <c r="C213" s="839"/>
      <c r="D213" s="137"/>
      <c r="E213" s="137"/>
      <c r="F213" s="137"/>
      <c r="G213" s="137"/>
      <c r="H213" s="137"/>
      <c r="I213" s="137"/>
      <c r="J213" s="137"/>
      <c r="K213" s="137"/>
    </row>
    <row r="214" spans="1:11" ht="27.6">
      <c r="A214" s="50" t="s">
        <v>199</v>
      </c>
      <c r="B214" s="50" t="s">
        <v>5183</v>
      </c>
      <c r="C214" s="50"/>
      <c r="D214" s="50"/>
      <c r="E214" s="50"/>
      <c r="F214" s="50"/>
      <c r="G214" s="50"/>
      <c r="H214" s="50"/>
      <c r="I214" s="50"/>
      <c r="J214" s="50"/>
      <c r="K214" s="50"/>
    </row>
    <row r="215" spans="1:11">
      <c r="A215" s="129" t="s">
        <v>199</v>
      </c>
      <c r="B215" s="129" t="s">
        <v>221</v>
      </c>
      <c r="C215" s="129" t="s">
        <v>222</v>
      </c>
      <c r="D215" s="129" t="s">
        <v>265</v>
      </c>
      <c r="E215" s="129" t="s">
        <v>77</v>
      </c>
      <c r="F215" s="129" t="s">
        <v>878</v>
      </c>
      <c r="G215" s="129" t="s">
        <v>879</v>
      </c>
      <c r="H215" s="129" t="s">
        <v>880</v>
      </c>
      <c r="I215" s="129" t="s">
        <v>494</v>
      </c>
      <c r="J215" s="129" t="s">
        <v>881</v>
      </c>
      <c r="K215" s="129" t="s">
        <v>4590</v>
      </c>
    </row>
    <row r="216" spans="1:11" ht="55.2" customHeight="1">
      <c r="A216" s="129" t="s">
        <v>199</v>
      </c>
      <c r="B216" s="129" t="s">
        <v>5184</v>
      </c>
      <c r="C216" s="129" t="s">
        <v>5185</v>
      </c>
      <c r="D216" s="129" t="s">
        <v>2798</v>
      </c>
      <c r="E216" s="13" t="s">
        <v>502</v>
      </c>
      <c r="F216" s="129"/>
      <c r="G216" s="129"/>
      <c r="H216" s="129" t="s">
        <v>5186</v>
      </c>
      <c r="I216" s="129"/>
      <c r="J216" s="129"/>
      <c r="K216" s="129" t="s">
        <v>4610</v>
      </c>
    </row>
    <row r="217" spans="1:11" ht="69" customHeight="1">
      <c r="A217" s="129" t="s">
        <v>199</v>
      </c>
      <c r="B217" s="129" t="s">
        <v>5187</v>
      </c>
      <c r="C217" s="129" t="s">
        <v>5188</v>
      </c>
      <c r="D217" s="129" t="s">
        <v>5137</v>
      </c>
      <c r="E217" s="13" t="s">
        <v>502</v>
      </c>
      <c r="F217" s="129"/>
      <c r="G217" s="129"/>
      <c r="H217" s="129" t="s">
        <v>5189</v>
      </c>
      <c r="I217" s="129"/>
      <c r="J217" s="129"/>
      <c r="K217" s="129" t="s">
        <v>575</v>
      </c>
    </row>
    <row r="218" spans="1:11" ht="67.95" customHeight="1">
      <c r="A218" s="129" t="s">
        <v>199</v>
      </c>
      <c r="B218" s="129" t="s">
        <v>5190</v>
      </c>
      <c r="C218" s="129" t="s">
        <v>5191</v>
      </c>
      <c r="D218" s="129" t="s">
        <v>5174</v>
      </c>
      <c r="E218" s="13" t="s">
        <v>502</v>
      </c>
      <c r="F218" s="129"/>
      <c r="G218" s="129"/>
      <c r="H218" s="129" t="s">
        <v>5192</v>
      </c>
      <c r="I218" s="129"/>
      <c r="J218" s="129"/>
      <c r="K218" s="129" t="s">
        <v>5193</v>
      </c>
    </row>
    <row r="219" spans="1:11" ht="60" customHeight="1">
      <c r="A219" s="129" t="s">
        <v>199</v>
      </c>
      <c r="B219" s="129" t="s">
        <v>5194</v>
      </c>
      <c r="C219" s="129" t="s">
        <v>5195</v>
      </c>
      <c r="D219" s="129" t="s">
        <v>5196</v>
      </c>
      <c r="E219" s="13" t="s">
        <v>502</v>
      </c>
      <c r="F219" s="129"/>
      <c r="G219" s="129"/>
      <c r="H219" s="129" t="s">
        <v>5197</v>
      </c>
      <c r="I219" s="129"/>
      <c r="J219" s="129"/>
      <c r="K219" s="129" t="s">
        <v>5147</v>
      </c>
    </row>
    <row r="220" spans="1:11" ht="66" customHeight="1">
      <c r="A220" s="129" t="s">
        <v>199</v>
      </c>
      <c r="B220" s="129" t="s">
        <v>5198</v>
      </c>
      <c r="C220" s="129" t="s">
        <v>5199</v>
      </c>
      <c r="D220" s="129" t="s">
        <v>5200</v>
      </c>
      <c r="E220" s="13" t="s">
        <v>502</v>
      </c>
      <c r="F220" s="129"/>
      <c r="G220" s="129"/>
      <c r="H220" s="129" t="s">
        <v>5201</v>
      </c>
      <c r="I220" s="129"/>
      <c r="J220" s="129"/>
      <c r="K220" s="129" t="s">
        <v>5202</v>
      </c>
    </row>
    <row r="221" spans="1:11" ht="57" customHeight="1">
      <c r="A221" s="129" t="s">
        <v>199</v>
      </c>
      <c r="B221" s="129" t="s">
        <v>5203</v>
      </c>
      <c r="C221" s="129" t="s">
        <v>5204</v>
      </c>
      <c r="D221" s="129" t="s">
        <v>595</v>
      </c>
      <c r="E221" s="13" t="s">
        <v>502</v>
      </c>
      <c r="F221" s="129"/>
      <c r="G221" s="129"/>
      <c r="H221" s="129" t="s">
        <v>5205</v>
      </c>
      <c r="I221" s="129"/>
      <c r="J221" s="129"/>
      <c r="K221" s="129" t="s">
        <v>5206</v>
      </c>
    </row>
    <row r="222" spans="1:11" ht="61.2" customHeight="1">
      <c r="A222" s="129" t="s">
        <v>199</v>
      </c>
      <c r="B222" s="129" t="s">
        <v>5207</v>
      </c>
      <c r="C222" s="129" t="s">
        <v>5208</v>
      </c>
      <c r="D222" s="129" t="s">
        <v>5209</v>
      </c>
      <c r="E222" s="13" t="s">
        <v>502</v>
      </c>
      <c r="F222" s="129"/>
      <c r="G222" s="129"/>
      <c r="H222" s="129" t="s">
        <v>5210</v>
      </c>
      <c r="I222" s="129"/>
      <c r="J222" s="129"/>
      <c r="K222" s="129" t="s">
        <v>5211</v>
      </c>
    </row>
    <row r="223" spans="1:11" ht="51.6" customHeight="1">
      <c r="A223" s="129" t="s">
        <v>199</v>
      </c>
      <c r="B223" s="129" t="s">
        <v>5212</v>
      </c>
      <c r="C223" s="129" t="s">
        <v>5213</v>
      </c>
      <c r="D223" s="129" t="s">
        <v>4103</v>
      </c>
      <c r="E223" s="13" t="s">
        <v>502</v>
      </c>
      <c r="F223" s="129"/>
      <c r="G223" s="129"/>
      <c r="H223" s="129" t="s">
        <v>5214</v>
      </c>
      <c r="I223" s="129"/>
      <c r="J223" s="129"/>
      <c r="K223" s="129" t="s">
        <v>4654</v>
      </c>
    </row>
    <row r="224" spans="1:11" ht="61.2" customHeight="1">
      <c r="A224" s="129" t="s">
        <v>199</v>
      </c>
      <c r="B224" s="129" t="s">
        <v>5215</v>
      </c>
      <c r="C224" s="129" t="s">
        <v>5216</v>
      </c>
      <c r="D224" s="129" t="s">
        <v>4868</v>
      </c>
      <c r="E224" s="13" t="s">
        <v>502</v>
      </c>
      <c r="F224" s="129"/>
      <c r="G224" s="129"/>
      <c r="H224" s="129" t="s">
        <v>5217</v>
      </c>
      <c r="I224" s="129"/>
      <c r="J224" s="129"/>
      <c r="K224" s="129" t="s">
        <v>4807</v>
      </c>
    </row>
    <row r="225" spans="1:11" ht="41.4">
      <c r="A225" s="129" t="s">
        <v>199</v>
      </c>
      <c r="B225" s="129" t="s">
        <v>5218</v>
      </c>
      <c r="C225" s="129" t="s">
        <v>5219</v>
      </c>
      <c r="D225" s="129" t="s">
        <v>5220</v>
      </c>
      <c r="E225" s="13" t="s">
        <v>502</v>
      </c>
      <c r="F225" s="129"/>
      <c r="G225" s="129"/>
      <c r="H225" s="129" t="s">
        <v>5221</v>
      </c>
      <c r="I225" s="129"/>
      <c r="J225" s="129"/>
      <c r="K225" s="129" t="s">
        <v>5222</v>
      </c>
    </row>
    <row r="228" spans="1:11" ht="15.6">
      <c r="A228" s="894" t="s">
        <v>5223</v>
      </c>
      <c r="B228" s="839"/>
      <c r="C228" s="839"/>
      <c r="D228" s="137"/>
      <c r="E228" s="137"/>
      <c r="F228" s="137"/>
      <c r="G228" s="137"/>
      <c r="H228" s="137"/>
      <c r="I228" s="137"/>
      <c r="J228" s="137"/>
      <c r="K228" s="137"/>
    </row>
    <row r="229" spans="1:11" ht="27.6">
      <c r="A229" s="50" t="s">
        <v>4527</v>
      </c>
      <c r="B229" s="50" t="s">
        <v>5224</v>
      </c>
      <c r="C229" s="50"/>
      <c r="D229" s="50"/>
      <c r="E229" s="50"/>
      <c r="F229" s="50"/>
      <c r="G229" s="50"/>
      <c r="H229" s="50"/>
      <c r="I229" s="50"/>
      <c r="J229" s="50"/>
      <c r="K229" s="50"/>
    </row>
    <row r="230" spans="1:11">
      <c r="A230" s="129" t="s">
        <v>4527</v>
      </c>
      <c r="B230" s="129" t="s">
        <v>282</v>
      </c>
      <c r="C230" s="129" t="s">
        <v>4291</v>
      </c>
      <c r="D230" s="129" t="s">
        <v>5225</v>
      </c>
      <c r="E230" s="129" t="s">
        <v>216</v>
      </c>
      <c r="F230" s="129" t="s">
        <v>4789</v>
      </c>
      <c r="G230" s="129" t="s">
        <v>77</v>
      </c>
      <c r="H230" s="129" t="s">
        <v>5226</v>
      </c>
      <c r="I230" s="129" t="s">
        <v>5227</v>
      </c>
      <c r="J230" s="129" t="s">
        <v>4850</v>
      </c>
      <c r="K230" s="129"/>
    </row>
    <row r="231" spans="1:11">
      <c r="A231" s="129" t="s">
        <v>4527</v>
      </c>
      <c r="B231" s="129" t="s">
        <v>726</v>
      </c>
      <c r="C231" s="129" t="s">
        <v>575</v>
      </c>
      <c r="D231" s="129" t="s">
        <v>5228</v>
      </c>
      <c r="E231" s="129" t="s">
        <v>241</v>
      </c>
      <c r="F231" s="129" t="s">
        <v>5229</v>
      </c>
      <c r="G231" s="129" t="s">
        <v>235</v>
      </c>
      <c r="H231" s="129" t="s">
        <v>5230</v>
      </c>
      <c r="I231" s="129" t="s">
        <v>5231</v>
      </c>
      <c r="J231" s="129" t="s">
        <v>575</v>
      </c>
      <c r="K231" s="129"/>
    </row>
    <row r="232" spans="1:11">
      <c r="A232" s="129" t="s">
        <v>4527</v>
      </c>
      <c r="B232" s="129" t="s">
        <v>729</v>
      </c>
      <c r="C232" s="129" t="s">
        <v>575</v>
      </c>
      <c r="D232" s="129" t="s">
        <v>5232</v>
      </c>
      <c r="E232" s="129" t="s">
        <v>4765</v>
      </c>
      <c r="F232" s="129" t="s">
        <v>4764</v>
      </c>
      <c r="G232" s="129" t="s">
        <v>235</v>
      </c>
      <c r="H232" s="129" t="s">
        <v>4636</v>
      </c>
      <c r="I232" s="129" t="s">
        <v>5233</v>
      </c>
      <c r="J232" s="129" t="s">
        <v>575</v>
      </c>
      <c r="K232" s="129"/>
    </row>
    <row r="233" spans="1:11">
      <c r="A233" s="129" t="s">
        <v>4527</v>
      </c>
      <c r="B233" s="129" t="s">
        <v>735</v>
      </c>
      <c r="C233" s="129" t="s">
        <v>575</v>
      </c>
      <c r="D233" s="129" t="s">
        <v>5234</v>
      </c>
      <c r="E233" s="129" t="s">
        <v>4723</v>
      </c>
      <c r="F233" s="129" t="s">
        <v>5235</v>
      </c>
      <c r="G233" s="129" t="s">
        <v>235</v>
      </c>
      <c r="H233" s="129" t="s">
        <v>5147</v>
      </c>
      <c r="I233" s="129" t="s">
        <v>5236</v>
      </c>
      <c r="J233" s="129" t="s">
        <v>4967</v>
      </c>
      <c r="K233" s="129"/>
    </row>
    <row r="234" spans="1:11">
      <c r="A234" s="129" t="s">
        <v>4527</v>
      </c>
      <c r="B234" s="129" t="s">
        <v>741</v>
      </c>
      <c r="C234" s="129" t="s">
        <v>575</v>
      </c>
      <c r="D234" s="129" t="s">
        <v>5237</v>
      </c>
      <c r="E234" s="129" t="s">
        <v>5238</v>
      </c>
      <c r="F234" s="129" t="s">
        <v>5239</v>
      </c>
      <c r="G234" s="129" t="s">
        <v>235</v>
      </c>
      <c r="H234" s="129" t="s">
        <v>4643</v>
      </c>
      <c r="I234" s="129" t="s">
        <v>5240</v>
      </c>
      <c r="J234" s="129" t="s">
        <v>5241</v>
      </c>
      <c r="K234" s="129"/>
    </row>
    <row r="235" spans="1:11">
      <c r="A235" s="129" t="s">
        <v>4527</v>
      </c>
      <c r="B235" s="129" t="s">
        <v>747</v>
      </c>
      <c r="C235" s="129" t="s">
        <v>155</v>
      </c>
      <c r="D235" s="129" t="s">
        <v>5242</v>
      </c>
      <c r="E235" s="129" t="s">
        <v>155</v>
      </c>
      <c r="F235" s="129" t="s">
        <v>4882</v>
      </c>
      <c r="G235" s="129" t="s">
        <v>235</v>
      </c>
      <c r="H235" s="129" t="s">
        <v>5243</v>
      </c>
      <c r="I235" s="129" t="s">
        <v>5244</v>
      </c>
      <c r="J235" s="129" t="s">
        <v>5025</v>
      </c>
      <c r="K235" s="129"/>
    </row>
    <row r="236" spans="1:11">
      <c r="A236" s="129" t="s">
        <v>4527</v>
      </c>
      <c r="B236" s="129" t="s">
        <v>753</v>
      </c>
      <c r="C236" s="129" t="s">
        <v>153</v>
      </c>
      <c r="D236" s="129" t="s">
        <v>5245</v>
      </c>
      <c r="E236" s="129" t="s">
        <v>153</v>
      </c>
      <c r="F236" s="129" t="s">
        <v>5246</v>
      </c>
      <c r="G236" s="129" t="s">
        <v>235</v>
      </c>
      <c r="H236" s="129" t="s">
        <v>5247</v>
      </c>
      <c r="I236" s="129" t="s">
        <v>5248</v>
      </c>
      <c r="J236" s="129" t="s">
        <v>4891</v>
      </c>
      <c r="K236" s="129"/>
    </row>
    <row r="237" spans="1:11" ht="27.6">
      <c r="A237" s="129" t="s">
        <v>4527</v>
      </c>
      <c r="B237" s="129" t="s">
        <v>758</v>
      </c>
      <c r="C237" s="129" t="s">
        <v>148</v>
      </c>
      <c r="D237" s="129" t="s">
        <v>5249</v>
      </c>
      <c r="E237" s="129" t="s">
        <v>4821</v>
      </c>
      <c r="F237" s="129" t="s">
        <v>5250</v>
      </c>
      <c r="G237" s="129" t="s">
        <v>235</v>
      </c>
      <c r="H237" s="129" t="s">
        <v>5251</v>
      </c>
      <c r="I237" s="129" t="s">
        <v>5252</v>
      </c>
      <c r="J237" s="129" t="s">
        <v>4891</v>
      </c>
      <c r="K237" s="129"/>
    </row>
    <row r="238" spans="1:11" ht="27.6">
      <c r="A238" s="129" t="s">
        <v>4527</v>
      </c>
      <c r="B238" s="129" t="s">
        <v>764</v>
      </c>
      <c r="C238" s="129" t="s">
        <v>5253</v>
      </c>
      <c r="D238" s="129" t="s">
        <v>5254</v>
      </c>
      <c r="E238" s="129" t="s">
        <v>5255</v>
      </c>
      <c r="F238" s="129" t="s">
        <v>4843</v>
      </c>
      <c r="G238" s="129" t="s">
        <v>235</v>
      </c>
      <c r="H238" s="129" t="s">
        <v>5256</v>
      </c>
      <c r="I238" s="129" t="s">
        <v>5257</v>
      </c>
      <c r="J238" s="129" t="s">
        <v>4891</v>
      </c>
      <c r="K238" s="129"/>
    </row>
    <row r="239" spans="1:11" ht="27.6">
      <c r="A239" s="129" t="s">
        <v>4527</v>
      </c>
      <c r="B239" s="129" t="s">
        <v>769</v>
      </c>
      <c r="C239" s="129" t="s">
        <v>5101</v>
      </c>
      <c r="D239" s="129" t="s">
        <v>5258</v>
      </c>
      <c r="E239" s="129" t="s">
        <v>5259</v>
      </c>
      <c r="F239" s="129" t="s">
        <v>5260</v>
      </c>
      <c r="G239" s="129" t="s">
        <v>235</v>
      </c>
      <c r="H239" s="129" t="s">
        <v>5261</v>
      </c>
      <c r="I239" s="129" t="s">
        <v>5262</v>
      </c>
      <c r="J239" s="129" t="s">
        <v>70</v>
      </c>
      <c r="K239" s="129"/>
    </row>
    <row r="240" spans="1:11" ht="27.6">
      <c r="A240" s="129" t="s">
        <v>4527</v>
      </c>
      <c r="B240" s="129" t="s">
        <v>772</v>
      </c>
      <c r="C240" s="129" t="s">
        <v>486</v>
      </c>
      <c r="D240" s="129" t="s">
        <v>5263</v>
      </c>
      <c r="E240" s="129" t="s">
        <v>241</v>
      </c>
      <c r="F240" s="129" t="s">
        <v>5177</v>
      </c>
      <c r="G240" s="129" t="s">
        <v>235</v>
      </c>
      <c r="H240" s="129" t="s">
        <v>5264</v>
      </c>
      <c r="I240" s="129" t="s">
        <v>5265</v>
      </c>
      <c r="J240" s="129" t="s">
        <v>575</v>
      </c>
      <c r="K240" s="129"/>
    </row>
    <row r="243" spans="1:11" ht="15.6">
      <c r="A243" s="894" t="s">
        <v>5266</v>
      </c>
      <c r="B243" s="839"/>
      <c r="C243" s="839"/>
      <c r="D243" s="137"/>
      <c r="E243" s="137"/>
      <c r="F243" s="137"/>
      <c r="G243" s="137"/>
      <c r="H243" s="137"/>
      <c r="I243" s="137"/>
      <c r="J243" s="137"/>
      <c r="K243" s="137"/>
    </row>
    <row r="244" spans="1:11" ht="41.4">
      <c r="A244" s="50" t="s">
        <v>4528</v>
      </c>
      <c r="B244" s="50" t="s">
        <v>5267</v>
      </c>
      <c r="C244" s="50"/>
      <c r="D244" s="50"/>
      <c r="E244" s="50"/>
      <c r="F244" s="50"/>
      <c r="G244" s="50"/>
      <c r="H244" s="50"/>
      <c r="I244" s="50"/>
      <c r="J244" s="50"/>
      <c r="K244" s="50"/>
    </row>
    <row r="245" spans="1:11">
      <c r="A245" s="129" t="s">
        <v>4528</v>
      </c>
      <c r="B245" s="129" t="s">
        <v>4590</v>
      </c>
      <c r="C245" s="129" t="s">
        <v>5268</v>
      </c>
      <c r="D245" s="129" t="s">
        <v>5269</v>
      </c>
      <c r="E245" s="129" t="s">
        <v>5270</v>
      </c>
      <c r="F245" s="129" t="s">
        <v>5271</v>
      </c>
      <c r="G245" s="129" t="s">
        <v>11</v>
      </c>
      <c r="H245" s="129"/>
      <c r="I245" s="129"/>
      <c r="J245" s="129"/>
      <c r="K245" s="129"/>
    </row>
    <row r="246" spans="1:11" ht="82.8">
      <c r="A246" s="129" t="s">
        <v>4528</v>
      </c>
      <c r="B246" s="129" t="s">
        <v>5272</v>
      </c>
      <c r="C246" s="129" t="s">
        <v>5273</v>
      </c>
      <c r="D246" s="129">
        <v>1</v>
      </c>
      <c r="E246" s="129" t="s">
        <v>5274</v>
      </c>
      <c r="F246" s="129" t="s">
        <v>5275</v>
      </c>
      <c r="G246" s="129" t="s">
        <v>5276</v>
      </c>
      <c r="H246" s="129"/>
      <c r="I246" s="129"/>
      <c r="J246" s="129"/>
      <c r="K246" s="129"/>
    </row>
    <row r="247" spans="1:11" ht="96.6">
      <c r="A247" s="129" t="s">
        <v>4528</v>
      </c>
      <c r="B247" s="129" t="s">
        <v>5272</v>
      </c>
      <c r="C247" s="129" t="s">
        <v>5277</v>
      </c>
      <c r="D247" s="129">
        <v>3</v>
      </c>
      <c r="E247" s="129" t="s">
        <v>5278</v>
      </c>
      <c r="F247" s="129" t="s">
        <v>5279</v>
      </c>
      <c r="G247" s="129" t="s">
        <v>5280</v>
      </c>
      <c r="H247" s="129"/>
      <c r="I247" s="129"/>
      <c r="J247" s="129"/>
      <c r="K247" s="129"/>
    </row>
    <row r="248" spans="1:11" ht="55.2">
      <c r="A248" s="129" t="s">
        <v>4528</v>
      </c>
      <c r="B248" s="129" t="s">
        <v>5272</v>
      </c>
      <c r="C248" s="129" t="s">
        <v>5277</v>
      </c>
      <c r="D248" s="129">
        <v>4</v>
      </c>
      <c r="E248" s="129" t="s">
        <v>5281</v>
      </c>
      <c r="F248" s="129" t="s">
        <v>4518</v>
      </c>
      <c r="G248" s="129" t="s">
        <v>5282</v>
      </c>
      <c r="H248" s="129"/>
      <c r="I248" s="129"/>
      <c r="J248" s="129"/>
      <c r="K248" s="129"/>
    </row>
    <row r="249" spans="1:11" ht="96.6">
      <c r="A249" s="129" t="s">
        <v>4528</v>
      </c>
      <c r="B249" s="129" t="s">
        <v>5272</v>
      </c>
      <c r="C249" s="129" t="s">
        <v>5277</v>
      </c>
      <c r="D249" s="129">
        <v>5</v>
      </c>
      <c r="E249" s="129" t="s">
        <v>5283</v>
      </c>
      <c r="F249" s="129" t="s">
        <v>5284</v>
      </c>
      <c r="G249" s="129" t="s">
        <v>5285</v>
      </c>
      <c r="H249" s="129"/>
      <c r="I249" s="129"/>
      <c r="J249" s="129"/>
      <c r="K249" s="129"/>
    </row>
    <row r="250" spans="1:11" ht="82.8">
      <c r="A250" s="129" t="s">
        <v>4528</v>
      </c>
      <c r="B250" s="129" t="s">
        <v>5272</v>
      </c>
      <c r="C250" s="129" t="s">
        <v>5277</v>
      </c>
      <c r="D250" s="129">
        <v>6</v>
      </c>
      <c r="E250" s="129" t="s">
        <v>5286</v>
      </c>
      <c r="F250" s="129" t="s">
        <v>5287</v>
      </c>
      <c r="G250" s="129" t="s">
        <v>5288</v>
      </c>
      <c r="H250" s="129"/>
      <c r="I250" s="129"/>
      <c r="J250" s="129"/>
      <c r="K250" s="129"/>
    </row>
    <row r="251" spans="1:11" ht="55.2">
      <c r="A251" s="129" t="s">
        <v>4528</v>
      </c>
      <c r="B251" s="129" t="s">
        <v>5272</v>
      </c>
      <c r="C251" s="129" t="s">
        <v>5277</v>
      </c>
      <c r="D251" s="129">
        <v>7</v>
      </c>
      <c r="E251" s="129" t="s">
        <v>5289</v>
      </c>
      <c r="F251" s="129" t="s">
        <v>5290</v>
      </c>
      <c r="G251" s="129" t="s">
        <v>5291</v>
      </c>
      <c r="H251" s="129"/>
      <c r="I251" s="129"/>
      <c r="J251" s="129"/>
      <c r="K251" s="129"/>
    </row>
    <row r="252" spans="1:11" ht="41.4">
      <c r="A252" s="129" t="s">
        <v>4528</v>
      </c>
      <c r="B252" s="129" t="s">
        <v>5272</v>
      </c>
      <c r="C252" s="129" t="s">
        <v>5292</v>
      </c>
      <c r="D252" s="129">
        <v>9</v>
      </c>
      <c r="E252" s="129" t="s">
        <v>5293</v>
      </c>
      <c r="F252" s="129" t="s">
        <v>5294</v>
      </c>
      <c r="G252" s="129" t="s">
        <v>5295</v>
      </c>
      <c r="H252" s="129"/>
      <c r="I252" s="129"/>
      <c r="J252" s="129"/>
      <c r="K252" s="129"/>
    </row>
    <row r="253" spans="1:11" ht="41.4">
      <c r="A253" s="129" t="s">
        <v>4528</v>
      </c>
      <c r="B253" s="129" t="s">
        <v>5272</v>
      </c>
      <c r="C253" s="129" t="s">
        <v>5296</v>
      </c>
      <c r="D253" s="129">
        <v>15</v>
      </c>
      <c r="E253" s="129" t="s">
        <v>5297</v>
      </c>
      <c r="F253" s="129" t="s">
        <v>5298</v>
      </c>
      <c r="G253" s="129" t="s">
        <v>5299</v>
      </c>
      <c r="H253" s="129"/>
      <c r="I253" s="129"/>
      <c r="J253" s="129"/>
      <c r="K253" s="129"/>
    </row>
  </sheetData>
  <mergeCells count="15">
    <mergeCell ref="A243:C243"/>
    <mergeCell ref="A1:I1"/>
    <mergeCell ref="A228:C228"/>
    <mergeCell ref="A136:C136"/>
    <mergeCell ref="A176:C176"/>
    <mergeCell ref="A186:C186"/>
    <mergeCell ref="A73:C73"/>
    <mergeCell ref="A147:C147"/>
    <mergeCell ref="A161:C161"/>
    <mergeCell ref="A213:C213"/>
    <mergeCell ref="A32:C32"/>
    <mergeCell ref="A93:C93"/>
    <mergeCell ref="A110:C110"/>
    <mergeCell ref="A123:C123"/>
    <mergeCell ref="A198:C198"/>
  </mergeCells>
  <conditionalFormatting sqref="B5">
    <cfRule type="expression" dxfId="22" priority="8">
      <formula>B5="Pass"</formula>
    </cfRule>
    <cfRule type="expression" dxfId="21" priority="9">
      <formula>B5="Verify"</formula>
    </cfRule>
    <cfRule type="expression" dxfId="20" priority="10">
      <formula>B5="Fail"</formula>
    </cfRule>
    <cfRule type="expression" dxfId="19" priority="11">
      <formula>B5="Not Started"</formula>
    </cfRule>
  </conditionalFormatting>
  <conditionalFormatting sqref="D5:J5">
    <cfRule type="expression" dxfId="18" priority="2">
      <formula>D5="Pass"</formula>
    </cfRule>
    <cfRule type="expression" dxfId="17" priority="3">
      <formula>D5="Verify"</formula>
    </cfRule>
    <cfRule type="expression" dxfId="16" priority="4">
      <formula>D5="Fail"</formula>
    </cfRule>
    <cfRule type="expression" dxfId="15" priority="5">
      <formula>D5="Not Started"</formula>
    </cfRule>
  </conditionalFormatting>
  <conditionalFormatting sqref="F3">
    <cfRule type="expression" dxfId="14" priority="6">
      <formula>F3="Yes"</formula>
    </cfRule>
    <cfRule type="expression" dxfId="13" priority="7">
      <formula>F3="No"</formula>
    </cfRule>
  </conditionalFormatting>
  <conditionalFormatting sqref="F5">
    <cfRule type="expression" dxfId="12" priority="12">
      <formula>F5="Pass"</formula>
    </cfRule>
    <cfRule type="expression" dxfId="11" priority="13">
      <formula>F5="Verify"</formula>
    </cfRule>
    <cfRule type="expression" dxfId="10" priority="14">
      <formula>F5="Fail"</formula>
    </cfRule>
    <cfRule type="expression" dxfId="9" priority="15">
      <formula>F5="Not Started"</formula>
    </cfRule>
  </conditionalFormatting>
  <conditionalFormatting sqref="H5">
    <cfRule type="expression" dxfId="8" priority="16">
      <formula>H5="Pass"</formula>
    </cfRule>
    <cfRule type="expression" dxfId="7" priority="17">
      <formula>H5="Verify"</formula>
    </cfRule>
    <cfRule type="expression" dxfId="6" priority="18">
      <formula>H5="Fail"</formula>
    </cfRule>
    <cfRule type="expression" dxfId="5" priority="19">
      <formula>H5="Not Started"</formula>
    </cfRule>
  </conditionalFormatting>
  <conditionalFormatting sqref="J5">
    <cfRule type="expression" dxfId="4" priority="20">
      <formula>J5="Pass"</formula>
    </cfRule>
    <cfRule type="expression" dxfId="3" priority="21">
      <formula>J5="Verify"</formula>
    </cfRule>
    <cfRule type="expression" dxfId="2" priority="22">
      <formula>J5="Fail"</formula>
    </cfRule>
    <cfRule type="expression" dxfId="1" priority="23">
      <formula>J5="Not Started"</formula>
    </cfRule>
  </conditionalFormatting>
  <dataValidations count="2">
    <dataValidation type="list" sqref="G8:G256" xr:uid="{00000000-0002-0000-4200-000000000000}">
      <formula1>"Not Started,Verify,Pass,Fail,N/A,Open,Closed,Info,Partial / Yellow"</formula1>
      <formula2>0</formula2>
    </dataValidation>
    <dataValidation type="list" sqref="J201:J210 E216:E225" xr:uid="{B70D399A-2A61-452A-9894-4AEA02AFBB97}">
      <formula1>"Not Started,Verify,Pass,Fail,N/A,Open,Closed,Partial / Yellow"</formula1>
      <formula2>0</formula2>
    </dataValidation>
  </dataValidations>
  <pageMargins left="0.7" right="0.7" top="0.75" bottom="0.75" header="0.3" footer="0.3"/>
  <pageSetup scale="40" fitToHeight="0" orientation="landscape"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11B9F-A637-48C2-AE9B-7D7BAF4116F3}">
  <dimension ref="A1:C33"/>
  <sheetViews>
    <sheetView workbookViewId="0"/>
  </sheetViews>
  <sheetFormatPr defaultColWidth="8.6640625" defaultRowHeight="14.4"/>
  <cols>
    <col min="1" max="3" width="24" style="8" customWidth="1"/>
  </cols>
  <sheetData>
    <row r="1" spans="1:3" ht="7.35" customHeight="1">
      <c r="A1" s="8" t="s">
        <v>5300</v>
      </c>
      <c r="B1" s="8" t="s">
        <v>5301</v>
      </c>
      <c r="C1" s="8" t="s">
        <v>5302</v>
      </c>
    </row>
    <row r="2" spans="1:3" ht="7.35" customHeight="1">
      <c r="A2" s="8" t="s">
        <v>143</v>
      </c>
      <c r="B2" s="8" t="s">
        <v>13</v>
      </c>
      <c r="C2" s="8" t="s">
        <v>12</v>
      </c>
    </row>
    <row r="3" spans="1:3" ht="7.35" customHeight="1">
      <c r="A3" s="8" t="s">
        <v>604</v>
      </c>
      <c r="B3" s="8" t="s">
        <v>15</v>
      </c>
      <c r="C3" s="8" t="s">
        <v>14</v>
      </c>
    </row>
    <row r="4" spans="1:3" ht="7.35" customHeight="1">
      <c r="A4" s="8" t="s">
        <v>625</v>
      </c>
      <c r="B4" s="8" t="s">
        <v>17</v>
      </c>
      <c r="C4" s="8" t="s">
        <v>16</v>
      </c>
    </row>
    <row r="5" spans="1:3" ht="7.35" customHeight="1">
      <c r="A5" s="8" t="s">
        <v>641</v>
      </c>
      <c r="B5" s="8" t="s">
        <v>19</v>
      </c>
      <c r="C5" s="8" t="s">
        <v>18</v>
      </c>
    </row>
    <row r="6" spans="1:3" ht="7.35" customHeight="1">
      <c r="A6" s="8" t="s">
        <v>1462</v>
      </c>
      <c r="B6" s="8" t="s">
        <v>21</v>
      </c>
      <c r="C6" s="8" t="s">
        <v>20</v>
      </c>
    </row>
    <row r="7" spans="1:3" ht="7.35" customHeight="1">
      <c r="A7" s="8" t="s">
        <v>1566</v>
      </c>
      <c r="B7" s="8" t="s">
        <v>23</v>
      </c>
      <c r="C7" s="8" t="s">
        <v>22</v>
      </c>
    </row>
    <row r="8" spans="1:3" ht="7.35" customHeight="1">
      <c r="A8" s="8" t="s">
        <v>1680</v>
      </c>
      <c r="B8" s="8" t="s">
        <v>25</v>
      </c>
      <c r="C8" s="8" t="s">
        <v>24</v>
      </c>
    </row>
    <row r="9" spans="1:3" ht="7.35" customHeight="1">
      <c r="A9" s="8" t="s">
        <v>1778</v>
      </c>
      <c r="B9" s="8" t="s">
        <v>27</v>
      </c>
      <c r="C9" s="8" t="s">
        <v>26</v>
      </c>
    </row>
    <row r="10" spans="1:3" ht="7.35" customHeight="1">
      <c r="A10" s="8" t="s">
        <v>1884</v>
      </c>
      <c r="B10" s="8" t="s">
        <v>29</v>
      </c>
      <c r="C10" s="8" t="s">
        <v>28</v>
      </c>
    </row>
    <row r="11" spans="1:3" ht="7.35" customHeight="1">
      <c r="A11" s="8" t="s">
        <v>697</v>
      </c>
      <c r="B11" s="8" t="s">
        <v>31</v>
      </c>
      <c r="C11" s="8" t="s">
        <v>30</v>
      </c>
    </row>
    <row r="12" spans="1:3" ht="7.35" customHeight="1">
      <c r="A12" s="8" t="s">
        <v>2096</v>
      </c>
      <c r="B12" s="8" t="s">
        <v>33</v>
      </c>
      <c r="C12" s="8" t="s">
        <v>32</v>
      </c>
    </row>
    <row r="13" spans="1:3" ht="7.35" customHeight="1">
      <c r="A13" s="8" t="s">
        <v>698</v>
      </c>
      <c r="B13" s="8" t="s">
        <v>35</v>
      </c>
      <c r="C13" s="8" t="s">
        <v>34</v>
      </c>
    </row>
    <row r="14" spans="1:3" ht="7.35" customHeight="1">
      <c r="A14" s="8" t="s">
        <v>700</v>
      </c>
      <c r="B14" s="8" t="s">
        <v>37</v>
      </c>
      <c r="C14" s="8" t="s">
        <v>36</v>
      </c>
    </row>
    <row r="15" spans="1:3" ht="7.35" customHeight="1">
      <c r="A15" s="8" t="s">
        <v>702</v>
      </c>
      <c r="B15" s="8" t="s">
        <v>39</v>
      </c>
      <c r="C15" s="8" t="s">
        <v>38</v>
      </c>
    </row>
    <row r="16" spans="1:3" ht="7.35" customHeight="1">
      <c r="A16" s="8" t="s">
        <v>703</v>
      </c>
      <c r="B16" s="8" t="s">
        <v>41</v>
      </c>
      <c r="C16" s="8" t="s">
        <v>40</v>
      </c>
    </row>
    <row r="17" spans="1:3" ht="7.35" customHeight="1">
      <c r="A17" s="8" t="s">
        <v>2557</v>
      </c>
      <c r="B17" s="8" t="s">
        <v>43</v>
      </c>
      <c r="C17" s="8" t="s">
        <v>42</v>
      </c>
    </row>
    <row r="18" spans="1:3" ht="7.35" customHeight="1">
      <c r="A18" s="8" t="s">
        <v>705</v>
      </c>
      <c r="B18" s="8" t="s">
        <v>45</v>
      </c>
      <c r="C18" s="8" t="s">
        <v>44</v>
      </c>
    </row>
    <row r="19" spans="1:3" ht="7.35" customHeight="1">
      <c r="A19" s="8" t="s">
        <v>2756</v>
      </c>
      <c r="B19" s="8" t="s">
        <v>47</v>
      </c>
      <c r="C19" s="8" t="s">
        <v>46</v>
      </c>
    </row>
    <row r="20" spans="1:3" ht="7.35" customHeight="1">
      <c r="A20" s="8" t="s">
        <v>2877</v>
      </c>
      <c r="B20" s="8" t="s">
        <v>49</v>
      </c>
      <c r="C20" s="8" t="s">
        <v>48</v>
      </c>
    </row>
    <row r="21" spans="1:3" ht="7.35" customHeight="1">
      <c r="A21" s="8" t="s">
        <v>707</v>
      </c>
      <c r="B21" s="8" t="s">
        <v>51</v>
      </c>
      <c r="C21" s="8" t="s">
        <v>50</v>
      </c>
    </row>
    <row r="22" spans="1:3" ht="7.35" customHeight="1">
      <c r="A22" s="8" t="s">
        <v>372</v>
      </c>
      <c r="B22" s="8" t="s">
        <v>53</v>
      </c>
      <c r="C22" s="8" t="s">
        <v>52</v>
      </c>
    </row>
    <row r="23" spans="1:3" ht="7.35" customHeight="1">
      <c r="A23" s="8" t="s">
        <v>374</v>
      </c>
      <c r="B23" s="8" t="s">
        <v>55</v>
      </c>
      <c r="C23" s="8" t="s">
        <v>54</v>
      </c>
    </row>
    <row r="24" spans="1:3" ht="7.35" customHeight="1">
      <c r="A24" s="8" t="s">
        <v>376</v>
      </c>
      <c r="B24" s="8" t="s">
        <v>57</v>
      </c>
      <c r="C24" s="8" t="s">
        <v>56</v>
      </c>
    </row>
    <row r="25" spans="1:3" ht="7.35" customHeight="1">
      <c r="A25" s="8" t="s">
        <v>379</v>
      </c>
      <c r="B25" s="8" t="s">
        <v>59</v>
      </c>
      <c r="C25" s="8" t="s">
        <v>58</v>
      </c>
    </row>
    <row r="26" spans="1:3" ht="7.35" customHeight="1">
      <c r="A26" s="8" t="s">
        <v>381</v>
      </c>
      <c r="B26" s="8" t="s">
        <v>61</v>
      </c>
      <c r="C26" s="8" t="s">
        <v>5303</v>
      </c>
    </row>
    <row r="27" spans="1:3" ht="7.35" customHeight="1">
      <c r="A27" s="8" t="s">
        <v>384</v>
      </c>
      <c r="B27" s="8" t="s">
        <v>63</v>
      </c>
      <c r="C27" s="8" t="s">
        <v>62</v>
      </c>
    </row>
    <row r="28" spans="1:3" ht="7.35" customHeight="1">
      <c r="A28" s="8" t="s">
        <v>388</v>
      </c>
      <c r="B28" s="8" t="s">
        <v>65</v>
      </c>
      <c r="C28" s="8" t="s">
        <v>5304</v>
      </c>
    </row>
    <row r="29" spans="1:3" ht="7.35" customHeight="1">
      <c r="A29" s="8" t="s">
        <v>3884</v>
      </c>
      <c r="B29" s="8" t="s">
        <v>67</v>
      </c>
      <c r="C29" s="8" t="s">
        <v>3884</v>
      </c>
    </row>
    <row r="30" spans="1:3" ht="7.35" customHeight="1">
      <c r="A30" s="8" t="s">
        <v>68</v>
      </c>
      <c r="B30" s="8" t="s">
        <v>69</v>
      </c>
      <c r="C30" s="8" t="s">
        <v>68</v>
      </c>
    </row>
    <row r="31" spans="1:3" ht="7.35" customHeight="1">
      <c r="A31" s="8" t="s">
        <v>5305</v>
      </c>
      <c r="B31" s="8" t="s">
        <v>5306</v>
      </c>
      <c r="C31" s="8" t="s">
        <v>5305</v>
      </c>
    </row>
    <row r="32" spans="1:3" ht="7.35" customHeight="1">
      <c r="A32" s="8" t="s">
        <v>394</v>
      </c>
      <c r="B32" s="8" t="s">
        <v>394</v>
      </c>
      <c r="C32" s="8" t="s">
        <v>394</v>
      </c>
    </row>
    <row r="33" spans="1:3" ht="7.5" customHeight="1">
      <c r="A33" s="8" t="s">
        <v>70</v>
      </c>
      <c r="B33" s="8" t="s">
        <v>71</v>
      </c>
      <c r="C33" s="8" t="s">
        <v>70</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35646-A7B5-47F6-8F98-70767481D9A7}">
  <dimension ref="A1:Q2355"/>
  <sheetViews>
    <sheetView workbookViewId="0"/>
  </sheetViews>
  <sheetFormatPr defaultColWidth="8.6640625" defaultRowHeight="13.2"/>
  <cols>
    <col min="1" max="17" width="14" customWidth="1"/>
  </cols>
  <sheetData>
    <row r="1" spans="1:17" ht="6.45" customHeight="1">
      <c r="A1" s="151" t="s">
        <v>5300</v>
      </c>
      <c r="B1" s="151" t="s">
        <v>5307</v>
      </c>
      <c r="C1" s="151" t="s">
        <v>5308</v>
      </c>
      <c r="D1" s="151" t="s">
        <v>5309</v>
      </c>
      <c r="E1" s="151" t="s">
        <v>338</v>
      </c>
      <c r="F1" s="151" t="s">
        <v>5310</v>
      </c>
      <c r="G1" s="151" t="s">
        <v>5311</v>
      </c>
      <c r="H1" s="151" t="s">
        <v>5312</v>
      </c>
      <c r="I1" s="151" t="s">
        <v>5313</v>
      </c>
      <c r="J1" s="151" t="s">
        <v>5314</v>
      </c>
      <c r="K1" s="151" t="s">
        <v>5315</v>
      </c>
      <c r="L1" s="151" t="s">
        <v>5316</v>
      </c>
      <c r="M1" s="151" t="s">
        <v>5317</v>
      </c>
      <c r="N1" s="151" t="s">
        <v>5318</v>
      </c>
      <c r="O1" s="151" t="s">
        <v>5319</v>
      </c>
      <c r="P1" s="151" t="s">
        <v>5320</v>
      </c>
      <c r="Q1" s="151" t="s">
        <v>5321</v>
      </c>
    </row>
    <row r="2" spans="1:17" ht="6.45" customHeight="1">
      <c r="A2" t="s">
        <v>143</v>
      </c>
      <c r="B2">
        <v>1</v>
      </c>
      <c r="C2" t="s">
        <v>13</v>
      </c>
      <c r="D2">
        <v>8</v>
      </c>
      <c r="E2" t="s">
        <v>918</v>
      </c>
      <c r="F2" t="s">
        <v>5322</v>
      </c>
      <c r="G2" t="str">
        <f>B01_Assessment!A8</f>
        <v>1. ROOM INVENTORY</v>
      </c>
      <c r="H2">
        <f>B01_Assessment!B8</f>
        <v>0</v>
      </c>
      <c r="I2">
        <f>B01_Assessment!C8</f>
        <v>0</v>
      </c>
      <c r="J2">
        <f>B01_Assessment!D8</f>
        <v>0</v>
      </c>
      <c r="K2">
        <f>B01_Assessment!E8</f>
        <v>0</v>
      </c>
      <c r="L2">
        <f>B01_Assessment!F8</f>
        <v>0</v>
      </c>
      <c r="M2">
        <f>B01_Assessment!G8</f>
        <v>0</v>
      </c>
      <c r="N2">
        <f>B01_Assessment!H8</f>
        <v>0</v>
      </c>
      <c r="O2">
        <f>B01_Assessment!I8</f>
        <v>0</v>
      </c>
      <c r="P2">
        <f>B01_Assessment!J8</f>
        <v>0</v>
      </c>
      <c r="Q2" t="str">
        <f t="shared" ref="Q2:Q65" si="0">A2&amp;"|"&amp;B2</f>
        <v>01|1</v>
      </c>
    </row>
    <row r="3" spans="1:17" ht="6.45" customHeight="1">
      <c r="A3" t="s">
        <v>143</v>
      </c>
      <c r="B3">
        <v>2</v>
      </c>
      <c r="C3" t="s">
        <v>13</v>
      </c>
      <c r="D3">
        <v>9</v>
      </c>
      <c r="E3" t="s">
        <v>918</v>
      </c>
      <c r="F3" t="s">
        <v>5323</v>
      </c>
      <c r="G3" t="str">
        <f>B01_Assessment!A9</f>
        <v>Building</v>
      </c>
      <c r="H3" t="str">
        <f>B01_Assessment!B9</f>
        <v>Room</v>
      </c>
      <c r="I3" t="str">
        <f>B01_Assessment!C9</f>
        <v>Floor</v>
      </c>
      <c r="J3" t="str">
        <f>B01_Assessment!D9</f>
        <v>Existing Use</v>
      </c>
      <c r="K3" t="str">
        <f>B01_Assessment!E9</f>
        <v>New Use</v>
      </c>
      <c r="L3" t="str">
        <f>B01_Assessment!F9</f>
        <v>Rack Count</v>
      </c>
      <c r="M3" t="str">
        <f>B01_Assessment!G9</f>
        <v>Future Rack</v>
      </c>
      <c r="N3" t="str">
        <f>B01_Assessment!H9</f>
        <v>Status</v>
      </c>
      <c r="O3" t="str">
        <f>B01_Assessment!I9</f>
        <v>Drawing Ref</v>
      </c>
      <c r="P3" t="str">
        <f>B01_Assessment!J9</f>
        <v>Notes</v>
      </c>
      <c r="Q3" t="str">
        <f t="shared" si="0"/>
        <v>01|2</v>
      </c>
    </row>
    <row r="4" spans="1:17" ht="6.45" customHeight="1">
      <c r="A4" t="s">
        <v>143</v>
      </c>
      <c r="B4">
        <v>3</v>
      </c>
      <c r="C4" t="s">
        <v>13</v>
      </c>
      <c r="D4">
        <v>10</v>
      </c>
      <c r="E4" t="s">
        <v>918</v>
      </c>
      <c r="F4" t="s">
        <v>5324</v>
      </c>
      <c r="G4" t="str">
        <f>B01_Assessment!A10</f>
        <v>01</v>
      </c>
      <c r="H4" t="str">
        <f>B01_Assessment!B10</f>
        <v>107</v>
      </c>
      <c r="I4" t="str">
        <f>B01_Assessment!C10</f>
        <v>First</v>
      </c>
      <c r="J4" t="str">
        <f>B01_Assessment!D10</f>
        <v>New Telecom Room build area</v>
      </c>
      <c r="K4" t="str">
        <f>B01_Assessment!E10</f>
        <v>Telecom Room</v>
      </c>
      <c r="L4">
        <f>B01_Assessment!F10</f>
        <v>1</v>
      </c>
      <c r="M4">
        <f>B01_Assessment!G10</f>
        <v>1</v>
      </c>
      <c r="N4" t="str">
        <f>B01_Assessment!H10</f>
        <v>Verify</v>
      </c>
      <c r="O4" t="str">
        <f>B01_Assessment!I10</f>
        <v>01A-401 / 01E-101 / 01E-601 / 01E-701 / 01T-101 / 01T-604 / 01T-605 / 01T-701</v>
      </c>
      <c r="P4" t="str">
        <f>B01_Assessment!J10</f>
        <v>Primary Building 01 TR. Plans identify Room 107 as new TR with Rack ID TR01-107-1, one new 4-post rack plus future rack, 5kW UPS, future/zone PDU, network switches, 48-port Cat6A patch panels, 24-port Cat5e patch panel, Fiber LIU, panels B01-TR107A/B, IU-1-01/CU-1-01 cooling, camera 107-CAM-1, and 161 total ports with 10% allowance.</v>
      </c>
      <c r="Q4" t="str">
        <f t="shared" si="0"/>
        <v>01|3</v>
      </c>
    </row>
    <row r="5" spans="1:17" ht="6.45" customHeight="1">
      <c r="A5" t="s">
        <v>143</v>
      </c>
      <c r="B5">
        <v>4</v>
      </c>
      <c r="C5" t="s">
        <v>13</v>
      </c>
      <c r="D5">
        <v>11</v>
      </c>
      <c r="E5" t="s">
        <v>918</v>
      </c>
      <c r="F5" t="s">
        <v>5324</v>
      </c>
      <c r="G5" t="str">
        <f>B01_Assessment!A11</f>
        <v>01</v>
      </c>
      <c r="H5" t="str">
        <f>B01_Assessment!B11</f>
        <v>B02</v>
      </c>
      <c r="I5" t="str">
        <f>B01_Assessment!C11</f>
        <v>Basement</v>
      </c>
      <c r="J5" t="str">
        <f>B01_Assessment!D11</f>
        <v>Existing telecom room / racks</v>
      </c>
      <c r="K5" t="str">
        <f>B01_Assessment!E11</f>
        <v>Existing telecom transition point</v>
      </c>
      <c r="L5">
        <f>B01_Assessment!F11</f>
        <v>3</v>
      </c>
      <c r="M5">
        <f>B01_Assessment!G11</f>
        <v>0</v>
      </c>
      <c r="N5" t="str">
        <f>B01_Assessment!H11</f>
        <v>Verify</v>
      </c>
      <c r="O5" t="str">
        <f>B01_Assessment!I11</f>
        <v>01T-100 / 01T-604 / 01R-900</v>
      </c>
      <c r="P5" t="str">
        <f>B01_Assessment!J11</f>
        <v>Existing Basement Telecom Room B02 with two 2-post floor racks and one wall TE. Existing equipment includes open rack, UPS on floor, Tripp Lite Smart Pro UPS, Tera Max/Nokia/Baseband/IRU equipment, Corning LANscape, Cisco, and Ortronics 24-port patch panels. Protect active services and transfer devices as required.</v>
      </c>
      <c r="Q5" t="str">
        <f t="shared" si="0"/>
        <v>01|4</v>
      </c>
    </row>
    <row r="6" spans="1:17" ht="6.45" customHeight="1">
      <c r="A6" t="s">
        <v>143</v>
      </c>
      <c r="B6">
        <v>5</v>
      </c>
      <c r="C6" t="s">
        <v>13</v>
      </c>
      <c r="D6">
        <v>12</v>
      </c>
      <c r="E6" t="s">
        <v>918</v>
      </c>
      <c r="F6" t="s">
        <v>5324</v>
      </c>
      <c r="G6" t="str">
        <f>B01_Assessment!A12</f>
        <v>01</v>
      </c>
      <c r="H6" t="str">
        <f>B01_Assessment!B12</f>
        <v>138</v>
      </c>
      <c r="I6" t="str">
        <f>B01_Assessment!C12</f>
        <v>First</v>
      </c>
      <c r="J6" t="str">
        <f>B01_Assessment!D12</f>
        <v>Existing telecom room / patch panels</v>
      </c>
      <c r="K6" t="str">
        <f>B01_Assessment!E12</f>
        <v>Existing telecom transition point</v>
      </c>
      <c r="L6">
        <f>B01_Assessment!F12</f>
        <v>3</v>
      </c>
      <c r="M6">
        <f>B01_Assessment!G12</f>
        <v>0</v>
      </c>
      <c r="N6" t="str">
        <f>B01_Assessment!H12</f>
        <v>Verify</v>
      </c>
      <c r="O6" t="str">
        <f>B01_Assessment!I12</f>
        <v>01T-101 / 01T-604 / 01R-900</v>
      </c>
      <c r="P6" t="str">
        <f>B01_Assessment!J12</f>
        <v>Existing First-Level Telecom Room 138 with existing patch panels, APC UPS floor, Cisco, Corning LANscape and Ortronics 24/48-port patch panels. Protect active services and verify migration to Room 107.</v>
      </c>
      <c r="Q6" t="str">
        <f t="shared" si="0"/>
        <v>01|5</v>
      </c>
    </row>
    <row r="7" spans="1:17" ht="6.45" customHeight="1">
      <c r="A7" t="s">
        <v>143</v>
      </c>
      <c r="B7">
        <v>6</v>
      </c>
      <c r="C7" t="s">
        <v>13</v>
      </c>
      <c r="D7">
        <v>13</v>
      </c>
      <c r="E7" t="s">
        <v>918</v>
      </c>
      <c r="F7" t="s">
        <v>5324</v>
      </c>
      <c r="G7" t="str">
        <f>B01_Assessment!A13</f>
        <v>01</v>
      </c>
      <c r="H7" t="str">
        <f>B01_Assessment!B13</f>
        <v>282</v>
      </c>
      <c r="I7" t="str">
        <f>B01_Assessment!C13</f>
        <v>Second</v>
      </c>
      <c r="J7" t="str">
        <f>B01_Assessment!D13</f>
        <v>Existing telecom room / racks</v>
      </c>
      <c r="K7" t="str">
        <f>B01_Assessment!E13</f>
        <v>Existing telecom transition point</v>
      </c>
      <c r="L7">
        <f>B01_Assessment!F13</f>
        <v>2</v>
      </c>
      <c r="M7">
        <f>B01_Assessment!G13</f>
        <v>0</v>
      </c>
      <c r="N7" t="str">
        <f>B01_Assessment!H13</f>
        <v>Verify</v>
      </c>
      <c r="O7" t="str">
        <f>B01_Assessment!I13</f>
        <v>01T-101 / 01T-605 / 01R-900</v>
      </c>
      <c r="P7" t="str">
        <f>B01_Assessment!J13</f>
        <v>Existing Second-Level Telecom Room 282 with two 2-post floor racks, Cisco switches, cable managers, legacy Ortronics 24/48-port patch panels, Corning LANscape and APC 12-port equipment. Protect active services during Room 107 cutover.</v>
      </c>
      <c r="Q7" t="str">
        <f t="shared" si="0"/>
        <v>01|6</v>
      </c>
    </row>
    <row r="8" spans="1:17" ht="6.45" customHeight="1">
      <c r="A8" t="s">
        <v>143</v>
      </c>
      <c r="B8">
        <v>7</v>
      </c>
      <c r="C8" t="s">
        <v>13</v>
      </c>
      <c r="D8">
        <v>14</v>
      </c>
      <c r="E8" t="s">
        <v>918</v>
      </c>
      <c r="F8" t="s">
        <v>5325</v>
      </c>
      <c r="G8">
        <f>B01_Assessment!A14</f>
        <v>0</v>
      </c>
      <c r="H8">
        <f>B01_Assessment!B14</f>
        <v>0</v>
      </c>
      <c r="I8">
        <f>B01_Assessment!C14</f>
        <v>0</v>
      </c>
      <c r="J8">
        <f>B01_Assessment!D14</f>
        <v>0</v>
      </c>
      <c r="K8">
        <f>B01_Assessment!E14</f>
        <v>0</v>
      </c>
      <c r="L8">
        <f>B01_Assessment!F14</f>
        <v>0</v>
      </c>
      <c r="M8">
        <f>B01_Assessment!G14</f>
        <v>0</v>
      </c>
      <c r="N8">
        <f>B01_Assessment!H14</f>
        <v>0</v>
      </c>
      <c r="O8">
        <f>B01_Assessment!I14</f>
        <v>0</v>
      </c>
      <c r="P8">
        <f>B01_Assessment!J14</f>
        <v>0</v>
      </c>
      <c r="Q8" t="str">
        <f t="shared" si="0"/>
        <v>01|7</v>
      </c>
    </row>
    <row r="9" spans="1:17" ht="6.45" customHeight="1">
      <c r="A9" t="s">
        <v>143</v>
      </c>
      <c r="B9">
        <v>8</v>
      </c>
      <c r="C9" t="s">
        <v>13</v>
      </c>
      <c r="D9">
        <v>15</v>
      </c>
      <c r="E9" t="s">
        <v>936</v>
      </c>
      <c r="F9" t="s">
        <v>5322</v>
      </c>
      <c r="G9" t="str">
        <f>B01_Assessment!A15</f>
        <v>2. ROOM READINESS</v>
      </c>
      <c r="H9">
        <f>B01_Assessment!B15</f>
        <v>0</v>
      </c>
      <c r="I9">
        <f>B01_Assessment!C15</f>
        <v>0</v>
      </c>
      <c r="J9">
        <f>B01_Assessment!D15</f>
        <v>0</v>
      </c>
      <c r="K9">
        <f>B01_Assessment!E15</f>
        <v>0</v>
      </c>
      <c r="L9">
        <f>B01_Assessment!F15</f>
        <v>0</v>
      </c>
      <c r="M9">
        <f>B01_Assessment!G15</f>
        <v>0</v>
      </c>
      <c r="N9">
        <f>B01_Assessment!H15</f>
        <v>0</v>
      </c>
      <c r="O9">
        <f>B01_Assessment!I15</f>
        <v>0</v>
      </c>
      <c r="P9">
        <f>B01_Assessment!J15</f>
        <v>0</v>
      </c>
      <c r="Q9" t="str">
        <f t="shared" si="0"/>
        <v>01|8</v>
      </c>
    </row>
    <row r="10" spans="1:17" ht="6.45" customHeight="1">
      <c r="A10" t="s">
        <v>143</v>
      </c>
      <c r="B10">
        <v>9</v>
      </c>
      <c r="C10" t="s">
        <v>13</v>
      </c>
      <c r="D10">
        <v>16</v>
      </c>
      <c r="E10" t="s">
        <v>936</v>
      </c>
      <c r="F10" t="s">
        <v>5323</v>
      </c>
      <c r="G10" t="str">
        <f>B01_Assessment!A16</f>
        <v>Room</v>
      </c>
      <c r="H10" t="str">
        <f>B01_Assessment!B16</f>
        <v>Walls / 1-hr Rating</v>
      </c>
      <c r="I10" t="str">
        <f>B01_Assessment!C16</f>
        <v>Ceiling</v>
      </c>
      <c r="J10" t="str">
        <f>B01_Assessment!D16</f>
        <v>Floor / SDC</v>
      </c>
      <c r="K10" t="str">
        <f>B01_Assessment!E16</f>
        <v>Penetrations</v>
      </c>
      <c r="L10" t="str">
        <f>B01_Assessment!F16</f>
        <v>Access Control</v>
      </c>
      <c r="M10" t="str">
        <f>B01_Assessment!G16</f>
        <v>Clearances</v>
      </c>
      <c r="N10" t="str">
        <f>B01_Assessment!H16</f>
        <v>Housekeeping</v>
      </c>
      <c r="O10" t="str">
        <f>B01_Assessment!I16</f>
        <v>Overall</v>
      </c>
      <c r="P10" t="str">
        <f>B01_Assessment!J16</f>
        <v>Comments</v>
      </c>
      <c r="Q10" t="str">
        <f t="shared" si="0"/>
        <v>01|9</v>
      </c>
    </row>
    <row r="11" spans="1:17" ht="6.45" customHeight="1">
      <c r="A11" t="s">
        <v>143</v>
      </c>
      <c r="B11">
        <v>10</v>
      </c>
      <c r="C11" t="s">
        <v>13</v>
      </c>
      <c r="D11">
        <v>17</v>
      </c>
      <c r="E11" t="s">
        <v>936</v>
      </c>
      <c r="F11" t="s">
        <v>5324</v>
      </c>
      <c r="G11" t="str">
        <f>B01_Assessment!A17</f>
        <v>107</v>
      </c>
      <c r="H11" t="str">
        <f>B01_Assessment!B17</f>
        <v>Verify</v>
      </c>
      <c r="I11" t="str">
        <f>B01_Assessment!C17</f>
        <v>Verify</v>
      </c>
      <c r="J11" t="str">
        <f>B01_Assessment!D17</f>
        <v>Verify</v>
      </c>
      <c r="K11" t="str">
        <f>B01_Assessment!E17</f>
        <v>Verify</v>
      </c>
      <c r="L11" t="str">
        <f>B01_Assessment!F17</f>
        <v>Verify</v>
      </c>
      <c r="M11" t="str">
        <f>B01_Assessment!G17</f>
        <v>Verify</v>
      </c>
      <c r="N11" t="str">
        <f>B01_Assessment!H17</f>
        <v>Verify</v>
      </c>
      <c r="O11" t="str">
        <f>B01_Assessment!I17</f>
        <v>Verify</v>
      </c>
      <c r="P11" t="str">
        <f>B01_Assessment!J17</f>
        <v>New TR. Verify rated wall/smoke barrier conditions, door/access-control hardware, ceiling/deck, floor sealer, rack/future rack clearances, wall backing, cable tray, fiber path A/B, and working clearances around rack, panels and IU.</v>
      </c>
      <c r="Q11" t="str">
        <f t="shared" si="0"/>
        <v>01|10</v>
      </c>
    </row>
    <row r="12" spans="1:17" ht="6.45" customHeight="1">
      <c r="A12" t="s">
        <v>143</v>
      </c>
      <c r="B12">
        <v>11</v>
      </c>
      <c r="C12" t="s">
        <v>13</v>
      </c>
      <c r="D12">
        <v>18</v>
      </c>
      <c r="E12" t="s">
        <v>936</v>
      </c>
      <c r="F12" t="s">
        <v>5324</v>
      </c>
      <c r="G12" t="str">
        <f>B01_Assessment!A18</f>
        <v>B02</v>
      </c>
      <c r="H12" t="str">
        <f>B01_Assessment!B18</f>
        <v>Existing / Verify</v>
      </c>
      <c r="I12" t="str">
        <f>B01_Assessment!C18</f>
        <v>Existing / Verify</v>
      </c>
      <c r="J12" t="str">
        <f>B01_Assessment!D18</f>
        <v>Existing / Verify</v>
      </c>
      <c r="K12" t="str">
        <f>B01_Assessment!E18</f>
        <v>Verify</v>
      </c>
      <c r="L12" t="str">
        <f>B01_Assessment!F18</f>
        <v>Verify Existing</v>
      </c>
      <c r="M12" t="str">
        <f>B01_Assessment!G18</f>
        <v>Verify</v>
      </c>
      <c r="N12" t="str">
        <f>B01_Assessment!H18</f>
        <v>Verify</v>
      </c>
      <c r="O12" t="str">
        <f>B01_Assessment!I18</f>
        <v>Verify</v>
      </c>
      <c r="P12" t="str">
        <f>B01_Assessment!J18</f>
        <v>Existing basement telecom room. Verify active equipment, rack access, existing UPS power, wall TE, pathway and transfer/abandonment scope.</v>
      </c>
      <c r="Q12" t="str">
        <f t="shared" si="0"/>
        <v>01|11</v>
      </c>
    </row>
    <row r="13" spans="1:17" ht="6.45" customHeight="1">
      <c r="A13" t="s">
        <v>143</v>
      </c>
      <c r="B13">
        <v>12</v>
      </c>
      <c r="C13" t="s">
        <v>13</v>
      </c>
      <c r="D13">
        <v>19</v>
      </c>
      <c r="E13" t="s">
        <v>936</v>
      </c>
      <c r="F13" t="s">
        <v>5324</v>
      </c>
      <c r="G13" t="str">
        <f>B01_Assessment!A19</f>
        <v>138</v>
      </c>
      <c r="H13" t="str">
        <f>B01_Assessment!B19</f>
        <v>Existing / Verify</v>
      </c>
      <c r="I13" t="str">
        <f>B01_Assessment!C19</f>
        <v>Existing / Verify</v>
      </c>
      <c r="J13" t="str">
        <f>B01_Assessment!D19</f>
        <v>Existing / Verify</v>
      </c>
      <c r="K13" t="str">
        <f>B01_Assessment!E19</f>
        <v>Verify</v>
      </c>
      <c r="L13" t="str">
        <f>B01_Assessment!F19</f>
        <v>Verify Existing</v>
      </c>
      <c r="M13" t="str">
        <f>B01_Assessment!G19</f>
        <v>Verify</v>
      </c>
      <c r="N13" t="str">
        <f>B01_Assessment!H19</f>
        <v>Verify</v>
      </c>
      <c r="O13" t="str">
        <f>B01_Assessment!I19</f>
        <v>Verify</v>
      </c>
      <c r="P13" t="str">
        <f>B01_Assessment!J19</f>
        <v>Existing first-level telecom transition point. Verify rack/panel condition, active services, UPS, patching and cable transfer scope.</v>
      </c>
      <c r="Q13" t="str">
        <f t="shared" si="0"/>
        <v>01|12</v>
      </c>
    </row>
    <row r="14" spans="1:17" ht="6.45" customHeight="1">
      <c r="A14" t="s">
        <v>143</v>
      </c>
      <c r="B14">
        <v>13</v>
      </c>
      <c r="C14" t="s">
        <v>13</v>
      </c>
      <c r="D14">
        <v>20</v>
      </c>
      <c r="E14" t="s">
        <v>936</v>
      </c>
      <c r="F14" t="s">
        <v>5324</v>
      </c>
      <c r="G14" t="str">
        <f>B01_Assessment!A20</f>
        <v>282</v>
      </c>
      <c r="H14" t="str">
        <f>B01_Assessment!B20</f>
        <v>Existing / Verify</v>
      </c>
      <c r="I14" t="str">
        <f>B01_Assessment!C20</f>
        <v>Existing / Verify</v>
      </c>
      <c r="J14" t="str">
        <f>B01_Assessment!D20</f>
        <v>Existing / Verify</v>
      </c>
      <c r="K14" t="str">
        <f>B01_Assessment!E20</f>
        <v>Verify</v>
      </c>
      <c r="L14" t="str">
        <f>B01_Assessment!F20</f>
        <v>Verify Existing</v>
      </c>
      <c r="M14" t="str">
        <f>B01_Assessment!G20</f>
        <v>Verify</v>
      </c>
      <c r="N14" t="str">
        <f>B01_Assessment!H20</f>
        <v>Verify</v>
      </c>
      <c r="O14" t="str">
        <f>B01_Assessment!I20</f>
        <v>Verify</v>
      </c>
      <c r="P14" t="str">
        <f>B01_Assessment!J20</f>
        <v>Existing second-level telecom transition point. Verify rack access, active services, pathway/riser and final condition after cutover.</v>
      </c>
      <c r="Q14" t="str">
        <f t="shared" si="0"/>
        <v>01|13</v>
      </c>
    </row>
    <row r="15" spans="1:17" ht="6.45" customHeight="1">
      <c r="A15" t="s">
        <v>143</v>
      </c>
      <c r="B15">
        <v>14</v>
      </c>
      <c r="C15" t="s">
        <v>13</v>
      </c>
      <c r="D15">
        <v>21</v>
      </c>
      <c r="E15" t="s">
        <v>936</v>
      </c>
      <c r="F15" t="s">
        <v>5325</v>
      </c>
      <c r="G15">
        <f>B01_Assessment!A21</f>
        <v>0</v>
      </c>
      <c r="H15">
        <f>B01_Assessment!B21</f>
        <v>0</v>
      </c>
      <c r="I15">
        <f>B01_Assessment!C21</f>
        <v>0</v>
      </c>
      <c r="J15">
        <f>B01_Assessment!D21</f>
        <v>0</v>
      </c>
      <c r="K15">
        <f>B01_Assessment!E21</f>
        <v>0</v>
      </c>
      <c r="L15">
        <f>B01_Assessment!F21</f>
        <v>0</v>
      </c>
      <c r="M15">
        <f>B01_Assessment!G21</f>
        <v>0</v>
      </c>
      <c r="N15">
        <f>B01_Assessment!H21</f>
        <v>0</v>
      </c>
      <c r="O15">
        <f>B01_Assessment!I21</f>
        <v>0</v>
      </c>
      <c r="P15">
        <f>B01_Assessment!J21</f>
        <v>0</v>
      </c>
      <c r="Q15" t="str">
        <f t="shared" si="0"/>
        <v>01|14</v>
      </c>
    </row>
    <row r="16" spans="1:17" ht="6.45" customHeight="1">
      <c r="A16" t="s">
        <v>143</v>
      </c>
      <c r="B16">
        <v>15</v>
      </c>
      <c r="C16" t="s">
        <v>13</v>
      </c>
      <c r="D16">
        <v>22</v>
      </c>
      <c r="E16" t="s">
        <v>951</v>
      </c>
      <c r="F16" t="s">
        <v>5322</v>
      </c>
      <c r="G16" t="str">
        <f>B01_Assessment!A22</f>
        <v>3. FIRE PROTECTION</v>
      </c>
      <c r="H16">
        <f>B01_Assessment!B22</f>
        <v>0</v>
      </c>
      <c r="I16">
        <f>B01_Assessment!C22</f>
        <v>0</v>
      </c>
      <c r="J16">
        <f>B01_Assessment!D22</f>
        <v>0</v>
      </c>
      <c r="K16">
        <f>B01_Assessment!E22</f>
        <v>0</v>
      </c>
      <c r="L16">
        <f>B01_Assessment!F22</f>
        <v>0</v>
      </c>
      <c r="M16">
        <f>B01_Assessment!G22</f>
        <v>0</v>
      </c>
      <c r="N16">
        <f>B01_Assessment!H22</f>
        <v>0</v>
      </c>
      <c r="O16">
        <f>B01_Assessment!I22</f>
        <v>0</v>
      </c>
      <c r="P16">
        <f>B01_Assessment!J22</f>
        <v>0</v>
      </c>
      <c r="Q16" t="str">
        <f t="shared" si="0"/>
        <v>01|15</v>
      </c>
    </row>
    <row r="17" spans="1:17" ht="6.45" customHeight="1">
      <c r="A17" t="s">
        <v>143</v>
      </c>
      <c r="B17">
        <v>16</v>
      </c>
      <c r="C17" t="s">
        <v>13</v>
      </c>
      <c r="D17">
        <v>23</v>
      </c>
      <c r="E17" t="s">
        <v>951</v>
      </c>
      <c r="F17" t="s">
        <v>5323</v>
      </c>
      <c r="G17" t="str">
        <f>B01_Assessment!A23</f>
        <v>Room</v>
      </c>
      <c r="H17" t="str">
        <f>B01_Assessment!B23</f>
        <v>Sprinkler</v>
      </c>
      <c r="I17" t="str">
        <f>B01_Assessment!C23</f>
        <v>Cage</v>
      </c>
      <c r="J17" t="str">
        <f>B01_Assessment!D23</f>
        <v>Detector</v>
      </c>
      <c r="K17" t="str">
        <f>B01_Assessment!E23</f>
        <v>Horn/Strobe</v>
      </c>
      <c r="L17" t="str">
        <f>B01_Assessment!F23</f>
        <v>Extinguisher &lt;75 ft</v>
      </c>
      <c r="M17" t="str">
        <f>B01_Assessment!G23</f>
        <v>Firestop</v>
      </c>
      <c r="N17" t="str">
        <f>B01_Assessment!H23</f>
        <v>Temp Firestop</v>
      </c>
      <c r="O17" t="str">
        <f>B01_Assessment!I23</f>
        <v>Overall</v>
      </c>
      <c r="P17" t="str">
        <f>B01_Assessment!J23</f>
        <v>Risk / Notes</v>
      </c>
      <c r="Q17" t="str">
        <f t="shared" si="0"/>
        <v>01|16</v>
      </c>
    </row>
    <row r="18" spans="1:17" ht="6.45" customHeight="1">
      <c r="A18" t="s">
        <v>143</v>
      </c>
      <c r="B18">
        <v>17</v>
      </c>
      <c r="C18" t="s">
        <v>13</v>
      </c>
      <c r="D18">
        <v>24</v>
      </c>
      <c r="E18" t="s">
        <v>951</v>
      </c>
      <c r="F18" t="s">
        <v>5324</v>
      </c>
      <c r="G18" t="str">
        <f>B01_Assessment!A24</f>
        <v>107</v>
      </c>
      <c r="H18" t="str">
        <f>B01_Assessment!B24</f>
        <v>Verify</v>
      </c>
      <c r="I18" t="str">
        <f>B01_Assessment!C24</f>
        <v>Verify</v>
      </c>
      <c r="J18" t="str">
        <f>B01_Assessment!D24</f>
        <v>Verify</v>
      </c>
      <c r="K18" t="str">
        <f>B01_Assessment!E24</f>
        <v>Verify</v>
      </c>
      <c r="L18" t="str">
        <f>B01_Assessment!F24</f>
        <v>Verify</v>
      </c>
      <c r="M18" t="str">
        <f>B01_Assessment!G24</f>
        <v>Verify</v>
      </c>
      <c r="N18" t="str">
        <f>B01_Assessment!H24</f>
        <v>Verify</v>
      </c>
      <c r="O18" t="str">
        <f>B01_Assessment!I24</f>
        <v>Verify</v>
      </c>
      <c r="P18" t="str">
        <f>B01_Assessment!J24</f>
        <v>Full fire protection scope included. Verify sprinkler head modifications, fire alarm devices, clean-agent/CO2 2A:10B:C FEC within 75 ft, rated wall/floor penetrations, temporary firestopping and final UL firestop systems.</v>
      </c>
      <c r="Q18" t="str">
        <f t="shared" si="0"/>
        <v>01|17</v>
      </c>
    </row>
    <row r="19" spans="1:17" ht="6.45" customHeight="1">
      <c r="A19" t="s">
        <v>143</v>
      </c>
      <c r="B19">
        <v>18</v>
      </c>
      <c r="C19" t="s">
        <v>13</v>
      </c>
      <c r="D19">
        <v>25</v>
      </c>
      <c r="E19" t="s">
        <v>951</v>
      </c>
      <c r="F19" t="s">
        <v>5324</v>
      </c>
      <c r="G19" t="str">
        <f>B01_Assessment!A25</f>
        <v>B02</v>
      </c>
      <c r="H19" t="str">
        <f>B01_Assessment!B25</f>
        <v>Existing / Verify</v>
      </c>
      <c r="I19" t="str">
        <f>B01_Assessment!C25</f>
        <v>N/A</v>
      </c>
      <c r="J19" t="str">
        <f>B01_Assessment!D25</f>
        <v>Verify Existing</v>
      </c>
      <c r="K19" t="str">
        <f>B01_Assessment!E25</f>
        <v>Verify Existing</v>
      </c>
      <c r="L19" t="str">
        <f>B01_Assessment!F25</f>
        <v>Verify</v>
      </c>
      <c r="M19" t="str">
        <f>B01_Assessment!G25</f>
        <v>Verify</v>
      </c>
      <c r="N19" t="str">
        <f>B01_Assessment!H25</f>
        <v>Verify</v>
      </c>
      <c r="O19" t="str">
        <f>B01_Assessment!I25</f>
        <v>Verify</v>
      </c>
      <c r="P19" t="str">
        <f>B01_Assessment!J25</f>
        <v>Existing telecom room; verify FP/FA protection-in-place and seal penetrations after cable removal/reuse.</v>
      </c>
      <c r="Q19" t="str">
        <f t="shared" si="0"/>
        <v>01|18</v>
      </c>
    </row>
    <row r="20" spans="1:17" ht="6.45" customHeight="1">
      <c r="A20" t="s">
        <v>143</v>
      </c>
      <c r="B20">
        <v>19</v>
      </c>
      <c r="C20" t="s">
        <v>13</v>
      </c>
      <c r="D20">
        <v>26</v>
      </c>
      <c r="E20" t="s">
        <v>951</v>
      </c>
      <c r="F20" t="s">
        <v>5324</v>
      </c>
      <c r="G20" t="str">
        <f>B01_Assessment!A26</f>
        <v>138</v>
      </c>
      <c r="H20" t="str">
        <f>B01_Assessment!B26</f>
        <v>Existing / Verify</v>
      </c>
      <c r="I20" t="str">
        <f>B01_Assessment!C26</f>
        <v>N/A</v>
      </c>
      <c r="J20" t="str">
        <f>B01_Assessment!D26</f>
        <v>Verify Existing</v>
      </c>
      <c r="K20" t="str">
        <f>B01_Assessment!E26</f>
        <v>Verify Existing</v>
      </c>
      <c r="L20" t="str">
        <f>B01_Assessment!F26</f>
        <v>Verify</v>
      </c>
      <c r="M20" t="str">
        <f>B01_Assessment!G26</f>
        <v>Verify</v>
      </c>
      <c r="N20" t="str">
        <f>B01_Assessment!H26</f>
        <v>Verify</v>
      </c>
      <c r="O20" t="str">
        <f>B01_Assessment!I26</f>
        <v>Verify</v>
      </c>
      <c r="P20" t="str">
        <f>B01_Assessment!J26</f>
        <v>Existing telecom room; verify fire alarm/sprinkler impacts, protection-in-place and final firestop at cable changes.</v>
      </c>
      <c r="Q20" t="str">
        <f t="shared" si="0"/>
        <v>01|19</v>
      </c>
    </row>
    <row r="21" spans="1:17" ht="6.45" customHeight="1">
      <c r="A21" t="s">
        <v>143</v>
      </c>
      <c r="B21">
        <v>20</v>
      </c>
      <c r="C21" t="s">
        <v>13</v>
      </c>
      <c r="D21">
        <v>27</v>
      </c>
      <c r="E21" t="s">
        <v>951</v>
      </c>
      <c r="F21" t="s">
        <v>5324</v>
      </c>
      <c r="G21" t="str">
        <f>B01_Assessment!A27</f>
        <v>282</v>
      </c>
      <c r="H21" t="str">
        <f>B01_Assessment!B27</f>
        <v>Existing / Verify</v>
      </c>
      <c r="I21" t="str">
        <f>B01_Assessment!C27</f>
        <v>N/A</v>
      </c>
      <c r="J21" t="str">
        <f>B01_Assessment!D27</f>
        <v>Verify Existing</v>
      </c>
      <c r="K21" t="str">
        <f>B01_Assessment!E27</f>
        <v>Verify Existing</v>
      </c>
      <c r="L21" t="str">
        <f>B01_Assessment!F27</f>
        <v>Verify</v>
      </c>
      <c r="M21" t="str">
        <f>B01_Assessment!G27</f>
        <v>Verify</v>
      </c>
      <c r="N21" t="str">
        <f>B01_Assessment!H27</f>
        <v>Verify</v>
      </c>
      <c r="O21" t="str">
        <f>B01_Assessment!I27</f>
        <v>Verify</v>
      </c>
      <c r="P21" t="str">
        <f>B01_Assessment!J27</f>
        <v>Existing second-level telecom room; verify riser penetrations, firestopping and protection-in-place.</v>
      </c>
      <c r="Q21" t="str">
        <f t="shared" si="0"/>
        <v>01|20</v>
      </c>
    </row>
    <row r="22" spans="1:17" ht="6.45" customHeight="1">
      <c r="A22" t="s">
        <v>143</v>
      </c>
      <c r="B22">
        <v>21</v>
      </c>
      <c r="C22" t="s">
        <v>13</v>
      </c>
      <c r="D22">
        <v>28</v>
      </c>
      <c r="E22" t="s">
        <v>951</v>
      </c>
      <c r="F22" t="s">
        <v>5325</v>
      </c>
      <c r="G22">
        <f>B01_Assessment!A28</f>
        <v>0</v>
      </c>
      <c r="H22">
        <f>B01_Assessment!B28</f>
        <v>0</v>
      </c>
      <c r="I22">
        <f>B01_Assessment!C28</f>
        <v>0</v>
      </c>
      <c r="J22">
        <f>B01_Assessment!D28</f>
        <v>0</v>
      </c>
      <c r="K22">
        <f>B01_Assessment!E28</f>
        <v>0</v>
      </c>
      <c r="L22">
        <f>B01_Assessment!F28</f>
        <v>0</v>
      </c>
      <c r="M22">
        <f>B01_Assessment!G28</f>
        <v>0</v>
      </c>
      <c r="N22">
        <f>B01_Assessment!H28</f>
        <v>0</v>
      </c>
      <c r="O22">
        <f>B01_Assessment!I28</f>
        <v>0</v>
      </c>
      <c r="P22">
        <f>B01_Assessment!J28</f>
        <v>0</v>
      </c>
      <c r="Q22" t="str">
        <f t="shared" si="0"/>
        <v>01|21</v>
      </c>
    </row>
    <row r="23" spans="1:17" ht="6.45" customHeight="1">
      <c r="A23" t="s">
        <v>143</v>
      </c>
      <c r="B23">
        <v>22</v>
      </c>
      <c r="C23" t="s">
        <v>13</v>
      </c>
      <c r="D23">
        <v>29</v>
      </c>
      <c r="E23" t="s">
        <v>964</v>
      </c>
      <c r="F23" t="s">
        <v>5322</v>
      </c>
      <c r="G23" t="str">
        <f>B01_Assessment!A29</f>
        <v>4. HVAC / COOLING</v>
      </c>
      <c r="H23">
        <f>B01_Assessment!B29</f>
        <v>0</v>
      </c>
      <c r="I23">
        <f>B01_Assessment!C29</f>
        <v>0</v>
      </c>
      <c r="J23">
        <f>B01_Assessment!D29</f>
        <v>0</v>
      </c>
      <c r="K23">
        <f>B01_Assessment!E29</f>
        <v>0</v>
      </c>
      <c r="L23">
        <f>B01_Assessment!F29</f>
        <v>0</v>
      </c>
      <c r="M23">
        <f>B01_Assessment!G29</f>
        <v>0</v>
      </c>
      <c r="N23">
        <f>B01_Assessment!H29</f>
        <v>0</v>
      </c>
      <c r="O23">
        <f>B01_Assessment!I29</f>
        <v>0</v>
      </c>
      <c r="P23">
        <f>B01_Assessment!J29</f>
        <v>0</v>
      </c>
      <c r="Q23" t="str">
        <f t="shared" si="0"/>
        <v>01|22</v>
      </c>
    </row>
    <row r="24" spans="1:17" ht="6.45" customHeight="1">
      <c r="A24" t="s">
        <v>143</v>
      </c>
      <c r="B24">
        <v>23</v>
      </c>
      <c r="C24" t="s">
        <v>13</v>
      </c>
      <c r="D24">
        <v>30</v>
      </c>
      <c r="E24" t="s">
        <v>964</v>
      </c>
      <c r="F24" t="s">
        <v>5323</v>
      </c>
      <c r="G24" t="str">
        <f>B01_Assessment!A30</f>
        <v>Room</v>
      </c>
      <c r="H24" t="str">
        <f>B01_Assessment!B30</f>
        <v>Dedicated Unit</v>
      </c>
      <c r="I24" t="str">
        <f>B01_Assessment!C30</f>
        <v>Capacity Verified</v>
      </c>
      <c r="J24" t="str">
        <f>B01_Assessment!D30</f>
        <v>Emergency Power</v>
      </c>
      <c r="K24" t="str">
        <f>B01_Assessment!E30</f>
        <v>Controls / BACnet</v>
      </c>
      <c r="L24" t="str">
        <f>B01_Assessment!F30</f>
        <v>Condensate Routed</v>
      </c>
      <c r="M24" t="str">
        <f>B01_Assessment!G30</f>
        <v>High Temp Alarm</v>
      </c>
      <c r="N24" t="str">
        <f>B01_Assessment!H30</f>
        <v>24/7 Operation</v>
      </c>
      <c r="O24" t="str">
        <f>B01_Assessment!I30</f>
        <v>Overall</v>
      </c>
      <c r="P24" t="str">
        <f>B01_Assessment!J30</f>
        <v>Risk / Notes</v>
      </c>
      <c r="Q24" t="str">
        <f t="shared" si="0"/>
        <v>01|23</v>
      </c>
    </row>
    <row r="25" spans="1:17" ht="6.45" customHeight="1">
      <c r="A25" t="s">
        <v>143</v>
      </c>
      <c r="B25">
        <v>24</v>
      </c>
      <c r="C25" t="s">
        <v>13</v>
      </c>
      <c r="D25">
        <v>31</v>
      </c>
      <c r="E25" t="s">
        <v>964</v>
      </c>
      <c r="F25" t="s">
        <v>5324</v>
      </c>
      <c r="G25" t="str">
        <f>B01_Assessment!A31</f>
        <v>107</v>
      </c>
      <c r="H25" t="str">
        <f>B01_Assessment!B31</f>
        <v>IU-1-01 / CU-1-01</v>
      </c>
      <c r="I25" t="str">
        <f>B01_Assessment!C31</f>
        <v>Verify</v>
      </c>
      <c r="J25" t="str">
        <f>B01_Assessment!D31</f>
        <v>Verify</v>
      </c>
      <c r="K25" t="str">
        <f>B01_Assessment!E31</f>
        <v>Verify</v>
      </c>
      <c r="L25" t="str">
        <f>B01_Assessment!F31</f>
        <v>Verify</v>
      </c>
      <c r="M25" t="str">
        <f>B01_Assessment!G31</f>
        <v>Verify</v>
      </c>
      <c r="N25" t="str">
        <f>B01_Assessment!H31</f>
        <v>Verify</v>
      </c>
      <c r="O25" t="str">
        <f>B01_Assessment!I31</f>
        <v>Verify</v>
      </c>
      <c r="P25" t="str">
        <f>B01_Assessment!J31</f>
        <v>Mechanical drawings show IU-1-01 split-system indoor unit and CU-1-01 outdoor unit for Room 107. Notes call for condensate pump, pumped condensate line, BACnet adapter adjacent to unit, FMS integration, room temperature/humidity points and alarms. Confirm capacity, emergency source, condensate path, controls and startup.</v>
      </c>
      <c r="Q25" t="str">
        <f t="shared" si="0"/>
        <v>01|24</v>
      </c>
    </row>
    <row r="26" spans="1:17" ht="6.45" customHeight="1">
      <c r="A26" t="s">
        <v>143</v>
      </c>
      <c r="B26">
        <v>25</v>
      </c>
      <c r="C26" t="s">
        <v>13</v>
      </c>
      <c r="D26">
        <v>32</v>
      </c>
      <c r="E26" t="s">
        <v>964</v>
      </c>
      <c r="F26" t="s">
        <v>5324</v>
      </c>
      <c r="G26" t="str">
        <f>B01_Assessment!A32</f>
        <v>B02</v>
      </c>
      <c r="H26" t="str">
        <f>B01_Assessment!B32</f>
        <v>Existing / Verify</v>
      </c>
      <c r="I26" t="str">
        <f>B01_Assessment!C32</f>
        <v>Verify</v>
      </c>
      <c r="J26" t="str">
        <f>B01_Assessment!D32</f>
        <v>Verify</v>
      </c>
      <c r="K26" t="str">
        <f>B01_Assessment!E32</f>
        <v>Verify</v>
      </c>
      <c r="L26" t="str">
        <f>B01_Assessment!F32</f>
        <v>Verify</v>
      </c>
      <c r="M26" t="str">
        <f>B01_Assessment!G32</f>
        <v>Verify</v>
      </c>
      <c r="N26" t="str">
        <f>B01_Assessment!H32</f>
        <v>Verify</v>
      </c>
      <c r="O26" t="str">
        <f>B01_Assessment!I32</f>
        <v>Verify</v>
      </c>
      <c r="P26" t="str">
        <f>B01_Assessment!J32</f>
        <v>Existing basement telecom equipment may remain active during cutover. Verify environmental conditions and whether active equipment remains after migration.</v>
      </c>
      <c r="Q26" t="str">
        <f t="shared" si="0"/>
        <v>01|25</v>
      </c>
    </row>
    <row r="27" spans="1:17" ht="6.45" customHeight="1">
      <c r="A27" t="s">
        <v>143</v>
      </c>
      <c r="B27">
        <v>26</v>
      </c>
      <c r="C27" t="s">
        <v>13</v>
      </c>
      <c r="D27">
        <v>33</v>
      </c>
      <c r="E27" t="s">
        <v>964</v>
      </c>
      <c r="F27" t="s">
        <v>5324</v>
      </c>
      <c r="G27" t="str">
        <f>B01_Assessment!A33</f>
        <v>138</v>
      </c>
      <c r="H27" t="str">
        <f>B01_Assessment!B33</f>
        <v>Existing / Verify</v>
      </c>
      <c r="I27" t="str">
        <f>B01_Assessment!C33</f>
        <v>Verify</v>
      </c>
      <c r="J27" t="str">
        <f>B01_Assessment!D33</f>
        <v>Verify</v>
      </c>
      <c r="K27" t="str">
        <f>B01_Assessment!E33</f>
        <v>Verify</v>
      </c>
      <c r="L27" t="str">
        <f>B01_Assessment!F33</f>
        <v>Verify</v>
      </c>
      <c r="M27" t="str">
        <f>B01_Assessment!G33</f>
        <v>Verify</v>
      </c>
      <c r="N27" t="str">
        <f>B01_Assessment!H33</f>
        <v>Verify</v>
      </c>
      <c r="O27" t="str">
        <f>B01_Assessment!I33</f>
        <v>Verify</v>
      </c>
      <c r="P27" t="str">
        <f>B01_Assessment!J33</f>
        <v>Existing first-level equipment may remain active during transfer; verify temperature, ventilation and protection of active gear.</v>
      </c>
      <c r="Q27" t="str">
        <f t="shared" si="0"/>
        <v>01|26</v>
      </c>
    </row>
    <row r="28" spans="1:17" ht="6.45" customHeight="1">
      <c r="A28" t="s">
        <v>143</v>
      </c>
      <c r="B28">
        <v>27</v>
      </c>
      <c r="C28" t="s">
        <v>13</v>
      </c>
      <c r="D28">
        <v>34</v>
      </c>
      <c r="E28" t="s">
        <v>964</v>
      </c>
      <c r="F28" t="s">
        <v>5324</v>
      </c>
      <c r="G28" t="str">
        <f>B01_Assessment!A34</f>
        <v>282</v>
      </c>
      <c r="H28" t="str">
        <f>B01_Assessment!B34</f>
        <v>Existing / Verify</v>
      </c>
      <c r="I28" t="str">
        <f>B01_Assessment!C34</f>
        <v>Verify</v>
      </c>
      <c r="J28" t="str">
        <f>B01_Assessment!D34</f>
        <v>Verify</v>
      </c>
      <c r="K28" t="str">
        <f>B01_Assessment!E34</f>
        <v>Verify</v>
      </c>
      <c r="L28" t="str">
        <f>B01_Assessment!F34</f>
        <v>Verify</v>
      </c>
      <c r="M28" t="str">
        <f>B01_Assessment!G34</f>
        <v>Verify</v>
      </c>
      <c r="N28" t="str">
        <f>B01_Assessment!H34</f>
        <v>Verify</v>
      </c>
      <c r="O28" t="str">
        <f>B01_Assessment!I34</f>
        <v>Verify</v>
      </c>
      <c r="P28" t="str">
        <f>B01_Assessment!J34</f>
        <v>Existing second-level equipment may remain active until cutover; verify existing cooling/ambient conditions and no overheating.</v>
      </c>
      <c r="Q28" t="str">
        <f t="shared" si="0"/>
        <v>01|27</v>
      </c>
    </row>
    <row r="29" spans="1:17" ht="6.45" customHeight="1">
      <c r="A29" t="s">
        <v>143</v>
      </c>
      <c r="B29">
        <v>28</v>
      </c>
      <c r="C29" t="s">
        <v>13</v>
      </c>
      <c r="D29">
        <v>35</v>
      </c>
      <c r="E29" t="s">
        <v>964</v>
      </c>
      <c r="F29" t="s">
        <v>5325</v>
      </c>
      <c r="G29">
        <f>B01_Assessment!A35</f>
        <v>0</v>
      </c>
      <c r="H29">
        <f>B01_Assessment!B35</f>
        <v>0</v>
      </c>
      <c r="I29">
        <f>B01_Assessment!C35</f>
        <v>0</v>
      </c>
      <c r="J29">
        <f>B01_Assessment!D35</f>
        <v>0</v>
      </c>
      <c r="K29">
        <f>B01_Assessment!E35</f>
        <v>0</v>
      </c>
      <c r="L29">
        <f>B01_Assessment!F35</f>
        <v>0</v>
      </c>
      <c r="M29">
        <f>B01_Assessment!G35</f>
        <v>0</v>
      </c>
      <c r="N29">
        <f>B01_Assessment!H35</f>
        <v>0</v>
      </c>
      <c r="O29">
        <f>B01_Assessment!I35</f>
        <v>0</v>
      </c>
      <c r="P29">
        <f>B01_Assessment!J35</f>
        <v>0</v>
      </c>
      <c r="Q29" t="str">
        <f t="shared" si="0"/>
        <v>01|28</v>
      </c>
    </row>
    <row r="30" spans="1:17" ht="6.45" customHeight="1">
      <c r="A30" t="s">
        <v>143</v>
      </c>
      <c r="B30">
        <v>29</v>
      </c>
      <c r="C30" t="s">
        <v>13</v>
      </c>
      <c r="D30">
        <v>36</v>
      </c>
      <c r="E30" t="s">
        <v>977</v>
      </c>
      <c r="F30" t="s">
        <v>5322</v>
      </c>
      <c r="G30" t="str">
        <f>B01_Assessment!A36</f>
        <v>5. ELECTRICAL / UPS</v>
      </c>
      <c r="H30">
        <f>B01_Assessment!B36</f>
        <v>0</v>
      </c>
      <c r="I30">
        <f>B01_Assessment!C36</f>
        <v>0</v>
      </c>
      <c r="J30">
        <f>B01_Assessment!D36</f>
        <v>0</v>
      </c>
      <c r="K30">
        <f>B01_Assessment!E36</f>
        <v>0</v>
      </c>
      <c r="L30">
        <f>B01_Assessment!F36</f>
        <v>0</v>
      </c>
      <c r="M30">
        <f>B01_Assessment!G36</f>
        <v>0</v>
      </c>
      <c r="N30">
        <f>B01_Assessment!H36</f>
        <v>0</v>
      </c>
      <c r="O30">
        <f>B01_Assessment!I36</f>
        <v>0</v>
      </c>
      <c r="P30">
        <f>B01_Assessment!J36</f>
        <v>0</v>
      </c>
      <c r="Q30" t="str">
        <f t="shared" si="0"/>
        <v>01|29</v>
      </c>
    </row>
    <row r="31" spans="1:17" ht="6.45" customHeight="1">
      <c r="A31" t="s">
        <v>143</v>
      </c>
      <c r="B31">
        <v>30</v>
      </c>
      <c r="C31" t="s">
        <v>13</v>
      </c>
      <c r="D31">
        <v>37</v>
      </c>
      <c r="E31" t="s">
        <v>977</v>
      </c>
      <c r="F31" t="s">
        <v>5323</v>
      </c>
      <c r="G31" t="str">
        <f>B01_Assessment!A37</f>
        <v>Room</v>
      </c>
      <c r="H31" t="str">
        <f>B01_Assessment!B37</f>
        <v>UPS Installed</v>
      </c>
      <c r="I31" t="str">
        <f>B01_Assessment!C37</f>
        <v>UPS Size</v>
      </c>
      <c r="J31" t="str">
        <f>B01_Assessment!D37</f>
        <v>PDU Installed</v>
      </c>
      <c r="K31" t="str">
        <f>B01_Assessment!E37</f>
        <v>Rack Receptacles</v>
      </c>
      <c r="L31" t="str">
        <f>B01_Assessment!F37</f>
        <v>Panel Assigned</v>
      </c>
      <c r="M31" t="str">
        <f>B01_Assessment!G37</f>
        <v>Emergency Source</v>
      </c>
      <c r="N31" t="str">
        <f>B01_Assessment!H37</f>
        <v>SPD / Labeling</v>
      </c>
      <c r="O31" t="str">
        <f>B01_Assessment!I37</f>
        <v>Overall</v>
      </c>
      <c r="P31" t="str">
        <f>B01_Assessment!J37</f>
        <v>Notes</v>
      </c>
      <c r="Q31" t="str">
        <f t="shared" si="0"/>
        <v>01|30</v>
      </c>
    </row>
    <row r="32" spans="1:17" ht="6.45" customHeight="1">
      <c r="A32" t="s">
        <v>143</v>
      </c>
      <c r="B32">
        <v>31</v>
      </c>
      <c r="C32" t="s">
        <v>13</v>
      </c>
      <c r="D32">
        <v>38</v>
      </c>
      <c r="E32" t="s">
        <v>977</v>
      </c>
      <c r="F32" t="s">
        <v>5324</v>
      </c>
      <c r="G32" t="str">
        <f>B01_Assessment!A38</f>
        <v>107</v>
      </c>
      <c r="H32" t="str">
        <f>B01_Assessment!B38</f>
        <v>Verify</v>
      </c>
      <c r="I32" t="str">
        <f>B01_Assessment!C38</f>
        <v>5 kW / 208V rack UPS</v>
      </c>
      <c r="J32" t="str">
        <f>B01_Assessment!D38</f>
        <v>Verify</v>
      </c>
      <c r="K32" t="str">
        <f>B01_Assessment!E38</f>
        <v>Verify</v>
      </c>
      <c r="L32" t="str">
        <f>B01_Assessment!F38</f>
        <v>B01-TR107A / B01-TR107B</v>
      </c>
      <c r="M32" t="str">
        <f>B01_Assessment!G38</f>
        <v>Verify</v>
      </c>
      <c r="N32" t="str">
        <f>B01_Assessment!H38</f>
        <v>Verify</v>
      </c>
      <c r="O32" t="str">
        <f>B01_Assessment!I38</f>
        <v>Verify</v>
      </c>
      <c r="P32" t="str">
        <f>B01_Assessment!J38</f>
        <v>Electrical plans/schedules identify B01-TR107A and B01-TR107B, rack receptacles, normal/emergency receptacles, redundant vertical PDUs, CU-1-01, access controller, lighting/receptacle circuits, SPDs integral to new telecom panels, and 30-day load measurement requirements before panel renovation.</v>
      </c>
      <c r="Q32" t="str">
        <f t="shared" si="0"/>
        <v>01|31</v>
      </c>
    </row>
    <row r="33" spans="1:17" ht="6.45" customHeight="1">
      <c r="A33" t="s">
        <v>143</v>
      </c>
      <c r="B33">
        <v>32</v>
      </c>
      <c r="C33" t="s">
        <v>13</v>
      </c>
      <c r="D33">
        <v>39</v>
      </c>
      <c r="E33" t="s">
        <v>977</v>
      </c>
      <c r="F33" t="s">
        <v>5324</v>
      </c>
      <c r="G33" t="str">
        <f>B01_Assessment!A39</f>
        <v>B02</v>
      </c>
      <c r="H33" t="str">
        <f>B01_Assessment!B39</f>
        <v>Existing</v>
      </c>
      <c r="I33" t="str">
        <f>B01_Assessment!C39</f>
        <v>Existing UPS on floor / Tripp Lite Smart Pro UPS</v>
      </c>
      <c r="J33" t="str">
        <f>B01_Assessment!D39</f>
        <v>Existing / Verify</v>
      </c>
      <c r="K33" t="str">
        <f>B01_Assessment!E39</f>
        <v>Verify</v>
      </c>
      <c r="L33" t="str">
        <f>B01_Assessment!F39</f>
        <v>Existing / Verify</v>
      </c>
      <c r="M33" t="str">
        <f>B01_Assessment!G39</f>
        <v>Verify</v>
      </c>
      <c r="N33" t="str">
        <f>B01_Assessment!H39</f>
        <v>Verify</v>
      </c>
      <c r="O33" t="str">
        <f>B01_Assessment!I39</f>
        <v>Verify</v>
      </c>
      <c r="P33" t="str">
        <f>B01_Assessment!J39</f>
        <v>Existing B02 rack elevations show UPS on floor and Tripp Lite Smart Pro UPS; verify active source circuits and transfer requirements.</v>
      </c>
      <c r="Q33" t="str">
        <f t="shared" si="0"/>
        <v>01|32</v>
      </c>
    </row>
    <row r="34" spans="1:17" ht="6.45" customHeight="1">
      <c r="A34" t="s">
        <v>143</v>
      </c>
      <c r="B34">
        <v>33</v>
      </c>
      <c r="C34" t="s">
        <v>13</v>
      </c>
      <c r="D34">
        <v>40</v>
      </c>
      <c r="E34" t="s">
        <v>977</v>
      </c>
      <c r="F34" t="s">
        <v>5324</v>
      </c>
      <c r="G34" t="str">
        <f>B01_Assessment!A40</f>
        <v>138</v>
      </c>
      <c r="H34" t="str">
        <f>B01_Assessment!B40</f>
        <v>Existing</v>
      </c>
      <c r="I34" t="str">
        <f>B01_Assessment!C40</f>
        <v>Existing APC UPS floor</v>
      </c>
      <c r="J34" t="str">
        <f>B01_Assessment!D40</f>
        <v>Existing / Verify</v>
      </c>
      <c r="K34" t="str">
        <f>B01_Assessment!E40</f>
        <v>Verify</v>
      </c>
      <c r="L34" t="str">
        <f>B01_Assessment!F40</f>
        <v>Existing / Verify</v>
      </c>
      <c r="M34" t="str">
        <f>B01_Assessment!G40</f>
        <v>Verify</v>
      </c>
      <c r="N34" t="str">
        <f>B01_Assessment!H40</f>
        <v>Verify</v>
      </c>
      <c r="O34" t="str">
        <f>B01_Assessment!I40</f>
        <v>Verify</v>
      </c>
      <c r="P34" t="str">
        <f>B01_Assessment!J40</f>
        <v>Existing 138 rack elevation shows APC UPS floor and patch panels; verify active source circuits and transition.</v>
      </c>
      <c r="Q34" t="str">
        <f t="shared" si="0"/>
        <v>01|33</v>
      </c>
    </row>
    <row r="35" spans="1:17" ht="6.45" customHeight="1">
      <c r="A35" t="s">
        <v>143</v>
      </c>
      <c r="B35">
        <v>34</v>
      </c>
      <c r="C35" t="s">
        <v>13</v>
      </c>
      <c r="D35">
        <v>41</v>
      </c>
      <c r="E35" t="s">
        <v>977</v>
      </c>
      <c r="F35" t="s">
        <v>5324</v>
      </c>
      <c r="G35" t="str">
        <f>B01_Assessment!A41</f>
        <v>282</v>
      </c>
      <c r="H35" t="str">
        <f>B01_Assessment!B41</f>
        <v>Existing</v>
      </c>
      <c r="I35" t="str">
        <f>B01_Assessment!C41</f>
        <v>Existing / Verify</v>
      </c>
      <c r="J35" t="str">
        <f>B01_Assessment!D41</f>
        <v>Existing / Verify</v>
      </c>
      <c r="K35" t="str">
        <f>B01_Assessment!E41</f>
        <v>Verify</v>
      </c>
      <c r="L35" t="str">
        <f>B01_Assessment!F41</f>
        <v>Existing / Verify</v>
      </c>
      <c r="M35" t="str">
        <f>B01_Assessment!G41</f>
        <v>Verify</v>
      </c>
      <c r="N35" t="str">
        <f>B01_Assessment!H41</f>
        <v>Verify</v>
      </c>
      <c r="O35" t="str">
        <f>B01_Assessment!I41</f>
        <v>Verify</v>
      </c>
      <c r="P35" t="str">
        <f>B01_Assessment!J41</f>
        <v>Existing Room 282 equipment includes active rack gear and patch panels; verify source circuits, UPS/PDU condition and final decommission/retain scope.</v>
      </c>
      <c r="Q35" t="str">
        <f t="shared" si="0"/>
        <v>01|34</v>
      </c>
    </row>
    <row r="36" spans="1:17" ht="6.45" customHeight="1">
      <c r="A36" t="s">
        <v>143</v>
      </c>
      <c r="B36">
        <v>35</v>
      </c>
      <c r="C36" t="s">
        <v>13</v>
      </c>
      <c r="D36">
        <v>42</v>
      </c>
      <c r="E36" t="s">
        <v>977</v>
      </c>
      <c r="F36" t="s">
        <v>5325</v>
      </c>
      <c r="G36">
        <f>B01_Assessment!A42</f>
        <v>0</v>
      </c>
      <c r="H36">
        <f>B01_Assessment!B42</f>
        <v>0</v>
      </c>
      <c r="I36">
        <f>B01_Assessment!C42</f>
        <v>0</v>
      </c>
      <c r="J36">
        <f>B01_Assessment!D42</f>
        <v>0</v>
      </c>
      <c r="K36">
        <f>B01_Assessment!E42</f>
        <v>0</v>
      </c>
      <c r="L36">
        <f>B01_Assessment!F42</f>
        <v>0</v>
      </c>
      <c r="M36">
        <f>B01_Assessment!G42</f>
        <v>0</v>
      </c>
      <c r="N36">
        <f>B01_Assessment!H42</f>
        <v>0</v>
      </c>
      <c r="O36">
        <f>B01_Assessment!I42</f>
        <v>0</v>
      </c>
      <c r="P36">
        <f>B01_Assessment!J42</f>
        <v>0</v>
      </c>
      <c r="Q36" t="str">
        <f t="shared" si="0"/>
        <v>01|35</v>
      </c>
    </row>
    <row r="37" spans="1:17" ht="6.45" customHeight="1">
      <c r="A37" t="s">
        <v>143</v>
      </c>
      <c r="B37">
        <v>36</v>
      </c>
      <c r="C37" t="s">
        <v>13</v>
      </c>
      <c r="D37">
        <v>43</v>
      </c>
      <c r="E37" t="s">
        <v>994</v>
      </c>
      <c r="F37" t="s">
        <v>5322</v>
      </c>
      <c r="G37" t="str">
        <f>B01_Assessment!A43</f>
        <v>6. TELECOMMUNICATIONS</v>
      </c>
      <c r="H37">
        <f>B01_Assessment!B43</f>
        <v>0</v>
      </c>
      <c r="I37">
        <f>B01_Assessment!C43</f>
        <v>0</v>
      </c>
      <c r="J37">
        <f>B01_Assessment!D43</f>
        <v>0</v>
      </c>
      <c r="K37">
        <f>B01_Assessment!E43</f>
        <v>0</v>
      </c>
      <c r="L37">
        <f>B01_Assessment!F43</f>
        <v>0</v>
      </c>
      <c r="M37">
        <f>B01_Assessment!G43</f>
        <v>0</v>
      </c>
      <c r="N37">
        <f>B01_Assessment!H43</f>
        <v>0</v>
      </c>
      <c r="O37">
        <f>B01_Assessment!I43</f>
        <v>0</v>
      </c>
      <c r="P37">
        <f>B01_Assessment!J43</f>
        <v>0</v>
      </c>
      <c r="Q37" t="str">
        <f t="shared" si="0"/>
        <v>01|36</v>
      </c>
    </row>
    <row r="38" spans="1:17" ht="6.45" customHeight="1">
      <c r="A38" t="s">
        <v>143</v>
      </c>
      <c r="B38">
        <v>37</v>
      </c>
      <c r="C38" t="s">
        <v>13</v>
      </c>
      <c r="D38">
        <v>44</v>
      </c>
      <c r="E38" t="s">
        <v>994</v>
      </c>
      <c r="F38" t="s">
        <v>5323</v>
      </c>
      <c r="G38" t="str">
        <f>B01_Assessment!A44</f>
        <v>Room</v>
      </c>
      <c r="H38" t="str">
        <f>B01_Assessment!B44</f>
        <v>Rack Installed</v>
      </c>
      <c r="I38" t="str">
        <f>B01_Assessment!C44</f>
        <v>Ladder Tray</v>
      </c>
      <c r="J38" t="str">
        <f>B01_Assessment!D44</f>
        <v>Fiber Installed</v>
      </c>
      <c r="K38" t="str">
        <f>B01_Assessment!E44</f>
        <v>Grounding</v>
      </c>
      <c r="L38" t="str">
        <f>B01_Assessment!F44</f>
        <v>Labeling</v>
      </c>
      <c r="M38" t="str">
        <f>B01_Assessment!G44</f>
        <v>Testing</v>
      </c>
      <c r="N38" t="str">
        <f>B01_Assessment!H44</f>
        <v>VA Acceptance</v>
      </c>
      <c r="O38" t="str">
        <f>B01_Assessment!I44</f>
        <v>Overall</v>
      </c>
      <c r="P38" t="str">
        <f>B01_Assessment!J44</f>
        <v>Notes</v>
      </c>
      <c r="Q38" t="str">
        <f t="shared" si="0"/>
        <v>01|37</v>
      </c>
    </row>
    <row r="39" spans="1:17" ht="6.45" customHeight="1">
      <c r="A39" t="s">
        <v>143</v>
      </c>
      <c r="B39">
        <v>38</v>
      </c>
      <c r="C39" t="s">
        <v>13</v>
      </c>
      <c r="D39">
        <v>45</v>
      </c>
      <c r="E39" t="s">
        <v>994</v>
      </c>
      <c r="F39" t="s">
        <v>5324</v>
      </c>
      <c r="G39" t="str">
        <f>B01_Assessment!A45</f>
        <v>107</v>
      </c>
      <c r="H39" t="str">
        <f>B01_Assessment!B45</f>
        <v>Verify</v>
      </c>
      <c r="I39" t="str">
        <f>B01_Assessment!C45</f>
        <v>Verify</v>
      </c>
      <c r="J39" t="str">
        <f>B01_Assessment!D45</f>
        <v>Verify</v>
      </c>
      <c r="K39" t="str">
        <f>B01_Assessment!E45</f>
        <v>Verify</v>
      </c>
      <c r="L39" t="str">
        <f>B01_Assessment!F45</f>
        <v>Verify</v>
      </c>
      <c r="M39" t="str">
        <f>B01_Assessment!G45</f>
        <v>Verify</v>
      </c>
      <c r="N39" t="str">
        <f>B01_Assessment!H45</f>
        <v>Verify</v>
      </c>
      <c r="O39" t="str">
        <f>B01_Assessment!I45</f>
        <v>Verify</v>
      </c>
      <c r="P39" t="str">
        <f>B01_Assessment!J45</f>
        <v>01T-701 identifies RM107 with 96 WAO total, 88 active ports per survey, 146 total ports per schedule, and 161 total ports with 10% allowance. Cable tray schedule totals 394 ft: 58 ft basement, 212 ft first level and 124 ft second level. Rack ID TR01-107-1.</v>
      </c>
      <c r="Q39" t="str">
        <f t="shared" si="0"/>
        <v>01|38</v>
      </c>
    </row>
    <row r="40" spans="1:17" ht="6.45" customHeight="1">
      <c r="A40" t="s">
        <v>143</v>
      </c>
      <c r="B40">
        <v>39</v>
      </c>
      <c r="C40" t="s">
        <v>13</v>
      </c>
      <c r="D40">
        <v>46</v>
      </c>
      <c r="E40" t="s">
        <v>994</v>
      </c>
      <c r="F40" t="s">
        <v>5324</v>
      </c>
      <c r="G40" t="str">
        <f>B01_Assessment!A46</f>
        <v>B02</v>
      </c>
      <c r="H40" t="str">
        <f>B01_Assessment!B46</f>
        <v>Existing / Transfer</v>
      </c>
      <c r="I40" t="str">
        <f>B01_Assessment!C46</f>
        <v>Existing</v>
      </c>
      <c r="J40" t="str">
        <f>B01_Assessment!D46</f>
        <v>Existing</v>
      </c>
      <c r="K40" t="str">
        <f>B01_Assessment!E46</f>
        <v>Verify</v>
      </c>
      <c r="L40" t="str">
        <f>B01_Assessment!F46</f>
        <v>Verify</v>
      </c>
      <c r="M40" t="str">
        <f>B01_Assessment!G46</f>
        <v>Verify</v>
      </c>
      <c r="N40" t="str">
        <f>B01_Assessment!H46</f>
        <v>Verify</v>
      </c>
      <c r="O40" t="str">
        <f>B01_Assessment!I46</f>
        <v>Verify</v>
      </c>
      <c r="P40" t="str">
        <f>B01_Assessment!J46</f>
        <v>Existing B02 racks/TE support active services and legacy equipment. Contractor must field verify equipment to be demolished or transferred and provide phasing plan.</v>
      </c>
      <c r="Q40" t="str">
        <f t="shared" si="0"/>
        <v>01|39</v>
      </c>
    </row>
    <row r="41" spans="1:17" ht="6.45" customHeight="1">
      <c r="A41" t="s">
        <v>143</v>
      </c>
      <c r="B41">
        <v>40</v>
      </c>
      <c r="C41" t="s">
        <v>13</v>
      </c>
      <c r="D41">
        <v>47</v>
      </c>
      <c r="E41" t="s">
        <v>994</v>
      </c>
      <c r="F41" t="s">
        <v>5324</v>
      </c>
      <c r="G41" t="str">
        <f>B01_Assessment!A47</f>
        <v>138</v>
      </c>
      <c r="H41" t="str">
        <f>B01_Assessment!B47</f>
        <v>Existing / Transfer</v>
      </c>
      <c r="I41" t="str">
        <f>B01_Assessment!C47</f>
        <v>Existing</v>
      </c>
      <c r="J41" t="str">
        <f>B01_Assessment!D47</f>
        <v>Existing</v>
      </c>
      <c r="K41" t="str">
        <f>B01_Assessment!E47</f>
        <v>Verify</v>
      </c>
      <c r="L41" t="str">
        <f>B01_Assessment!F47</f>
        <v>Verify</v>
      </c>
      <c r="M41" t="str">
        <f>B01_Assessment!G47</f>
        <v>Verify</v>
      </c>
      <c r="N41" t="str">
        <f>B01_Assessment!H47</f>
        <v>Verify</v>
      </c>
      <c r="O41" t="str">
        <f>B01_Assessment!I47</f>
        <v>Verify</v>
      </c>
      <c r="P41" t="str">
        <f>B01_Assessment!J47</f>
        <v>Existing Room 138 racks and patch panels act as transition/legacy equipment point. Verify active service labels and transfer sequence.</v>
      </c>
      <c r="Q41" t="str">
        <f t="shared" si="0"/>
        <v>01|40</v>
      </c>
    </row>
    <row r="42" spans="1:17" ht="6.45" customHeight="1">
      <c r="A42" t="s">
        <v>143</v>
      </c>
      <c r="B42">
        <v>41</v>
      </c>
      <c r="C42" t="s">
        <v>13</v>
      </c>
      <c r="D42">
        <v>48</v>
      </c>
      <c r="E42" t="s">
        <v>994</v>
      </c>
      <c r="F42" t="s">
        <v>5324</v>
      </c>
      <c r="G42" t="str">
        <f>B01_Assessment!A48</f>
        <v>282</v>
      </c>
      <c r="H42" t="str">
        <f>B01_Assessment!B48</f>
        <v>Existing / Transfer</v>
      </c>
      <c r="I42" t="str">
        <f>B01_Assessment!C48</f>
        <v>Existing</v>
      </c>
      <c r="J42" t="str">
        <f>B01_Assessment!D48</f>
        <v>Existing</v>
      </c>
      <c r="K42" t="str">
        <f>B01_Assessment!E48</f>
        <v>Verify</v>
      </c>
      <c r="L42" t="str">
        <f>B01_Assessment!F48</f>
        <v>Verify</v>
      </c>
      <c r="M42" t="str">
        <f>B01_Assessment!G48</f>
        <v>Verify</v>
      </c>
      <c r="N42" t="str">
        <f>B01_Assessment!H48</f>
        <v>Verify</v>
      </c>
      <c r="O42" t="str">
        <f>B01_Assessment!I48</f>
        <v>Verify</v>
      </c>
      <c r="P42" t="str">
        <f>B01_Assessment!J48</f>
        <v>Existing Room 282 racks and patch panels act as second-level transition point. Verify all active services, WAP/camera cabling, and riser pathway.</v>
      </c>
      <c r="Q42" t="str">
        <f t="shared" si="0"/>
        <v>01|41</v>
      </c>
    </row>
    <row r="43" spans="1:17" ht="6.45" customHeight="1">
      <c r="A43" t="s">
        <v>143</v>
      </c>
      <c r="B43">
        <v>42</v>
      </c>
      <c r="C43" t="s">
        <v>13</v>
      </c>
      <c r="D43">
        <v>49</v>
      </c>
      <c r="E43" t="s">
        <v>994</v>
      </c>
      <c r="F43" t="s">
        <v>5325</v>
      </c>
      <c r="G43">
        <f>B01_Assessment!A49</f>
        <v>0</v>
      </c>
      <c r="H43">
        <f>B01_Assessment!B49</f>
        <v>0</v>
      </c>
      <c r="I43">
        <f>B01_Assessment!C49</f>
        <v>0</v>
      </c>
      <c r="J43">
        <f>B01_Assessment!D49</f>
        <v>0</v>
      </c>
      <c r="K43">
        <f>B01_Assessment!E49</f>
        <v>0</v>
      </c>
      <c r="L43">
        <f>B01_Assessment!F49</f>
        <v>0</v>
      </c>
      <c r="M43">
        <f>B01_Assessment!G49</f>
        <v>0</v>
      </c>
      <c r="N43">
        <f>B01_Assessment!H49</f>
        <v>0</v>
      </c>
      <c r="O43">
        <f>B01_Assessment!I49</f>
        <v>0</v>
      </c>
      <c r="P43">
        <f>B01_Assessment!J49</f>
        <v>0</v>
      </c>
      <c r="Q43" t="str">
        <f t="shared" si="0"/>
        <v>01|42</v>
      </c>
    </row>
    <row r="44" spans="1:17" ht="6.45" customHeight="1">
      <c r="A44" t="s">
        <v>143</v>
      </c>
      <c r="B44">
        <v>43</v>
      </c>
      <c r="C44" t="s">
        <v>13</v>
      </c>
      <c r="D44">
        <v>50</v>
      </c>
      <c r="E44" t="s">
        <v>1007</v>
      </c>
      <c r="F44" t="s">
        <v>5322</v>
      </c>
      <c r="G44" t="str">
        <f>B01_Assessment!A50</f>
        <v>7. SECURITY / PACS / CCTV</v>
      </c>
      <c r="H44">
        <f>B01_Assessment!B50</f>
        <v>0</v>
      </c>
      <c r="I44">
        <f>B01_Assessment!C50</f>
        <v>0</v>
      </c>
      <c r="J44">
        <f>B01_Assessment!D50</f>
        <v>0</v>
      </c>
      <c r="K44">
        <f>B01_Assessment!E50</f>
        <v>0</v>
      </c>
      <c r="L44">
        <f>B01_Assessment!F50</f>
        <v>0</v>
      </c>
      <c r="M44">
        <f>B01_Assessment!G50</f>
        <v>0</v>
      </c>
      <c r="N44">
        <f>B01_Assessment!H50</f>
        <v>0</v>
      </c>
      <c r="O44">
        <f>B01_Assessment!I50</f>
        <v>0</v>
      </c>
      <c r="P44">
        <f>B01_Assessment!J50</f>
        <v>0</v>
      </c>
      <c r="Q44" t="str">
        <f t="shared" si="0"/>
        <v>01|43</v>
      </c>
    </row>
    <row r="45" spans="1:17" ht="6.45" customHeight="1">
      <c r="A45" t="s">
        <v>143</v>
      </c>
      <c r="B45">
        <v>44</v>
      </c>
      <c r="C45" t="s">
        <v>13</v>
      </c>
      <c r="D45">
        <v>51</v>
      </c>
      <c r="E45" t="s">
        <v>1007</v>
      </c>
      <c r="F45" t="s">
        <v>5323</v>
      </c>
      <c r="G45" t="str">
        <f>B01_Assessment!A51</f>
        <v>Room</v>
      </c>
      <c r="H45" t="str">
        <f>B01_Assessment!B51</f>
        <v>PACS</v>
      </c>
      <c r="I45" t="str">
        <f>B01_Assessment!C51</f>
        <v>Card Reader</v>
      </c>
      <c r="J45" t="str">
        <f>B01_Assessment!D51</f>
        <v>Door Position</v>
      </c>
      <c r="K45" t="str">
        <f>B01_Assessment!E51</f>
        <v>Electric Strike</v>
      </c>
      <c r="L45" t="str">
        <f>B01_Assessment!F51</f>
        <v>CCTV</v>
      </c>
      <c r="M45" t="str">
        <f>B01_Assessment!G51</f>
        <v>Motion Sensor</v>
      </c>
      <c r="N45" t="str">
        <f>B01_Assessment!H51</f>
        <v>Integration</v>
      </c>
      <c r="O45" t="str">
        <f>B01_Assessment!I51</f>
        <v>Overall</v>
      </c>
      <c r="P45" t="str">
        <f>B01_Assessment!J51</f>
        <v>Notes</v>
      </c>
      <c r="Q45" t="str">
        <f t="shared" si="0"/>
        <v>01|44</v>
      </c>
    </row>
    <row r="46" spans="1:17" ht="6.45" customHeight="1">
      <c r="A46" t="s">
        <v>143</v>
      </c>
      <c r="B46">
        <v>45</v>
      </c>
      <c r="C46" t="s">
        <v>13</v>
      </c>
      <c r="D46">
        <v>52</v>
      </c>
      <c r="E46" t="s">
        <v>1007</v>
      </c>
      <c r="F46" t="s">
        <v>5324</v>
      </c>
      <c r="G46" t="str">
        <f>B01_Assessment!A52</f>
        <v>107</v>
      </c>
      <c r="H46" t="str">
        <f>B01_Assessment!B52</f>
        <v>Verify</v>
      </c>
      <c r="I46" t="str">
        <f>B01_Assessment!C52</f>
        <v>Verify</v>
      </c>
      <c r="J46" t="str">
        <f>B01_Assessment!D52</f>
        <v>Verify</v>
      </c>
      <c r="K46" t="str">
        <f>B01_Assessment!E52</f>
        <v>Verify</v>
      </c>
      <c r="L46" t="str">
        <f>B01_Assessment!F52</f>
        <v>Verify</v>
      </c>
      <c r="M46" t="str">
        <f>B01_Assessment!G52</f>
        <v>Verify</v>
      </c>
      <c r="N46" t="str">
        <f>B01_Assessment!H52</f>
        <v>Verify</v>
      </c>
      <c r="O46" t="str">
        <f>B01_Assessment!I52</f>
        <v>Verify</v>
      </c>
      <c r="P46" t="str">
        <f>B01_Assessment!J52</f>
        <v>Electrical/telecom plans show new access control, power supply/battery backup for PACS, HDP12/FIPS-compliant PIV-ready card reader with PIN pad, and camera 107-CAM-1. Verify CR/RX/DC/ES/MD devices, controller, camera/VMS integration and door hardware coordination.</v>
      </c>
      <c r="Q46" t="str">
        <f t="shared" si="0"/>
        <v>01|45</v>
      </c>
    </row>
    <row r="47" spans="1:17" ht="6.45" customHeight="1">
      <c r="A47" t="s">
        <v>143</v>
      </c>
      <c r="B47">
        <v>46</v>
      </c>
      <c r="C47" t="s">
        <v>13</v>
      </c>
      <c r="D47">
        <v>53</v>
      </c>
      <c r="E47" t="s">
        <v>1007</v>
      </c>
      <c r="F47" t="s">
        <v>5324</v>
      </c>
      <c r="G47" t="str">
        <f>B01_Assessment!A53</f>
        <v>B02</v>
      </c>
      <c r="H47" t="str">
        <f>B01_Assessment!B53</f>
        <v>Existing / Verify</v>
      </c>
      <c r="I47" t="str">
        <f>B01_Assessment!C53</f>
        <v>Existing / Verify</v>
      </c>
      <c r="J47" t="str">
        <f>B01_Assessment!D53</f>
        <v>Existing / Verify</v>
      </c>
      <c r="K47" t="str">
        <f>B01_Assessment!E53</f>
        <v>Existing / Verify</v>
      </c>
      <c r="L47" t="str">
        <f>B01_Assessment!F53</f>
        <v>Verify Existing</v>
      </c>
      <c r="M47" t="str">
        <f>B01_Assessment!G53</f>
        <v>Verify Existing</v>
      </c>
      <c r="N47" t="str">
        <f>B01_Assessment!H53</f>
        <v>Verify</v>
      </c>
      <c r="O47" t="str">
        <f>B01_Assessment!I53</f>
        <v>Verify</v>
      </c>
      <c r="P47" t="str">
        <f>B01_Assessment!J53</f>
        <v>Verify existing security/CCTV equipment and any retained cameras. Maintain camera angles where existing security cameras are recabled.</v>
      </c>
      <c r="Q47" t="str">
        <f t="shared" si="0"/>
        <v>01|46</v>
      </c>
    </row>
    <row r="48" spans="1:17" ht="6.45" customHeight="1">
      <c r="A48" t="s">
        <v>143</v>
      </c>
      <c r="B48">
        <v>47</v>
      </c>
      <c r="C48" t="s">
        <v>13</v>
      </c>
      <c r="D48">
        <v>54</v>
      </c>
      <c r="E48" t="s">
        <v>1007</v>
      </c>
      <c r="F48" t="s">
        <v>5324</v>
      </c>
      <c r="G48" t="str">
        <f>B01_Assessment!A54</f>
        <v>138</v>
      </c>
      <c r="H48" t="str">
        <f>B01_Assessment!B54</f>
        <v>Existing / Verify</v>
      </c>
      <c r="I48" t="str">
        <f>B01_Assessment!C54</f>
        <v>Existing / Verify</v>
      </c>
      <c r="J48" t="str">
        <f>B01_Assessment!D54</f>
        <v>Existing / Verify</v>
      </c>
      <c r="K48" t="str">
        <f>B01_Assessment!E54</f>
        <v>Existing / Verify</v>
      </c>
      <c r="L48" t="str">
        <f>B01_Assessment!F54</f>
        <v>Verify Existing</v>
      </c>
      <c r="M48" t="str">
        <f>B01_Assessment!G54</f>
        <v>Verify Existing</v>
      </c>
      <c r="N48" t="str">
        <f>B01_Assessment!H54</f>
        <v>Verify</v>
      </c>
      <c r="O48" t="str">
        <f>B01_Assessment!I54</f>
        <v>Verify</v>
      </c>
      <c r="P48" t="str">
        <f>B01_Assessment!J54</f>
        <v>Verify existing security/access conditions and protection-in-place during rack transfer.</v>
      </c>
      <c r="Q48" t="str">
        <f t="shared" si="0"/>
        <v>01|47</v>
      </c>
    </row>
    <row r="49" spans="1:17" ht="6.45" customHeight="1">
      <c r="A49" t="s">
        <v>143</v>
      </c>
      <c r="B49">
        <v>48</v>
      </c>
      <c r="C49" t="s">
        <v>13</v>
      </c>
      <c r="D49">
        <v>55</v>
      </c>
      <c r="E49" t="s">
        <v>1007</v>
      </c>
      <c r="F49" t="s">
        <v>5324</v>
      </c>
      <c r="G49" t="str">
        <f>B01_Assessment!A55</f>
        <v>282</v>
      </c>
      <c r="H49" t="str">
        <f>B01_Assessment!B55</f>
        <v>Existing / Verify</v>
      </c>
      <c r="I49" t="str">
        <f>B01_Assessment!C55</f>
        <v>Existing / Verify</v>
      </c>
      <c r="J49" t="str">
        <f>B01_Assessment!D55</f>
        <v>Existing / Verify</v>
      </c>
      <c r="K49" t="str">
        <f>B01_Assessment!E55</f>
        <v>Existing / Verify</v>
      </c>
      <c r="L49" t="str">
        <f>B01_Assessment!F55</f>
        <v>Verify Existing</v>
      </c>
      <c r="M49" t="str">
        <f>B01_Assessment!G55</f>
        <v>Verify Existing</v>
      </c>
      <c r="N49" t="str">
        <f>B01_Assessment!H55</f>
        <v>Verify</v>
      </c>
      <c r="O49" t="str">
        <f>B01_Assessment!I55</f>
        <v>Verify</v>
      </c>
      <c r="P49" t="str">
        <f>B01_Assessment!J55</f>
        <v>Verify second-level existing security/CCTV impacts during cabling and equipment transfer.</v>
      </c>
      <c r="Q49" t="str">
        <f t="shared" si="0"/>
        <v>01|48</v>
      </c>
    </row>
    <row r="50" spans="1:17" ht="6.45" customHeight="1">
      <c r="A50" t="s">
        <v>143</v>
      </c>
      <c r="B50">
        <v>49</v>
      </c>
      <c r="C50" t="s">
        <v>13</v>
      </c>
      <c r="D50">
        <v>56</v>
      </c>
      <c r="E50" t="s">
        <v>1007</v>
      </c>
      <c r="F50" t="s">
        <v>5325</v>
      </c>
      <c r="G50">
        <f>B01_Assessment!A56</f>
        <v>0</v>
      </c>
      <c r="H50">
        <f>B01_Assessment!B56</f>
        <v>0</v>
      </c>
      <c r="I50">
        <f>B01_Assessment!C56</f>
        <v>0</v>
      </c>
      <c r="J50">
        <f>B01_Assessment!D56</f>
        <v>0</v>
      </c>
      <c r="K50">
        <f>B01_Assessment!E56</f>
        <v>0</v>
      </c>
      <c r="L50">
        <f>B01_Assessment!F56</f>
        <v>0</v>
      </c>
      <c r="M50">
        <f>B01_Assessment!G56</f>
        <v>0</v>
      </c>
      <c r="N50">
        <f>B01_Assessment!H56</f>
        <v>0</v>
      </c>
      <c r="O50">
        <f>B01_Assessment!I56</f>
        <v>0</v>
      </c>
      <c r="P50">
        <f>B01_Assessment!J56</f>
        <v>0</v>
      </c>
      <c r="Q50" t="str">
        <f t="shared" si="0"/>
        <v>01|49</v>
      </c>
    </row>
    <row r="51" spans="1:17" ht="6.45" customHeight="1">
      <c r="A51" t="s">
        <v>143</v>
      </c>
      <c r="B51">
        <v>50</v>
      </c>
      <c r="C51" t="s">
        <v>13</v>
      </c>
      <c r="D51">
        <v>57</v>
      </c>
      <c r="E51" t="s">
        <v>1019</v>
      </c>
      <c r="F51" t="s">
        <v>5322</v>
      </c>
      <c r="G51" t="str">
        <f>B01_Assessment!A57</f>
        <v>8. OWNER RISKS</v>
      </c>
      <c r="H51">
        <f>B01_Assessment!B57</f>
        <v>0</v>
      </c>
      <c r="I51">
        <f>B01_Assessment!C57</f>
        <v>0</v>
      </c>
      <c r="J51">
        <f>B01_Assessment!D57</f>
        <v>0</v>
      </c>
      <c r="K51">
        <f>B01_Assessment!E57</f>
        <v>0</v>
      </c>
      <c r="L51">
        <f>B01_Assessment!F57</f>
        <v>0</v>
      </c>
      <c r="M51">
        <f>B01_Assessment!G57</f>
        <v>0</v>
      </c>
      <c r="N51">
        <f>B01_Assessment!H57</f>
        <v>0</v>
      </c>
      <c r="O51">
        <f>B01_Assessment!I57</f>
        <v>0</v>
      </c>
      <c r="P51">
        <f>B01_Assessment!J57</f>
        <v>0</v>
      </c>
      <c r="Q51" t="str">
        <f t="shared" si="0"/>
        <v>01|50</v>
      </c>
    </row>
    <row r="52" spans="1:17" ht="6.45" customHeight="1">
      <c r="A52" t="s">
        <v>143</v>
      </c>
      <c r="B52">
        <v>51</v>
      </c>
      <c r="C52" t="s">
        <v>13</v>
      </c>
      <c r="D52">
        <v>58</v>
      </c>
      <c r="E52" t="s">
        <v>1019</v>
      </c>
      <c r="F52" t="s">
        <v>5323</v>
      </c>
      <c r="G52" t="str">
        <f>B01_Assessment!A58</f>
        <v>Risk ID</v>
      </c>
      <c r="H52" t="str">
        <f>B01_Assessment!B58</f>
        <v>Room</v>
      </c>
      <c r="I52" t="str">
        <f>B01_Assessment!C58</f>
        <v>Risk</v>
      </c>
      <c r="J52" t="str">
        <f>B01_Assessment!D58</f>
        <v>Impact</v>
      </c>
      <c r="K52" t="str">
        <f>B01_Assessment!E58</f>
        <v>Probability</v>
      </c>
      <c r="L52" t="str">
        <f>B01_Assessment!F58</f>
        <v>Score</v>
      </c>
      <c r="M52" t="str">
        <f>B01_Assessment!G58</f>
        <v>Mitigation</v>
      </c>
      <c r="N52" t="str">
        <f>B01_Assessment!H58</f>
        <v>Owner</v>
      </c>
      <c r="O52" t="str">
        <f>B01_Assessment!I58</f>
        <v>Status</v>
      </c>
      <c r="P52" t="str">
        <f>B01_Assessment!J58</f>
        <v>Notes</v>
      </c>
      <c r="Q52" t="str">
        <f t="shared" si="0"/>
        <v>01|51</v>
      </c>
    </row>
    <row r="53" spans="1:17" ht="6.45" customHeight="1">
      <c r="A53" t="s">
        <v>143</v>
      </c>
      <c r="B53">
        <v>52</v>
      </c>
      <c r="C53" t="s">
        <v>13</v>
      </c>
      <c r="D53">
        <v>59</v>
      </c>
      <c r="E53" t="s">
        <v>1019</v>
      </c>
      <c r="F53" t="s">
        <v>5324</v>
      </c>
      <c r="G53" t="str">
        <f>B01_Assessment!A59</f>
        <v>B01-R1</v>
      </c>
      <c r="H53" t="str">
        <f>B01_Assessment!B59</f>
        <v>All</v>
      </c>
      <c r="I53" t="str">
        <f>B01_Assessment!C59</f>
        <v>Existing conditions for Room 107 and transition rooms B02/138/282 not field verified</v>
      </c>
      <c r="J53" t="str">
        <f>B01_Assessment!D59</f>
        <v>High</v>
      </c>
      <c r="K53" t="str">
        <f>B01_Assessment!E59</f>
        <v>Medium</v>
      </c>
      <c r="L53">
        <f>B01_Assessment!F59</f>
        <v>6</v>
      </c>
      <c r="M53" t="str">
        <f>B01_Assessment!G59</f>
        <v>Perform existing conditions survey with photos and active-service inventory before mobilization</v>
      </c>
      <c r="N53" t="str">
        <f>B01_Assessment!H59</f>
        <v>GCC / Contractor</v>
      </c>
      <c r="O53" t="str">
        <f>B01_Assessment!I59</f>
        <v>Closed</v>
      </c>
      <c r="P53" t="str">
        <f>B01_Assessment!J59</f>
        <v>B01 has multiple existing telecom rooms and a new TR buildout.</v>
      </c>
      <c r="Q53" t="str">
        <f t="shared" si="0"/>
        <v>01|52</v>
      </c>
    </row>
    <row r="54" spans="1:17" ht="6.45" customHeight="1">
      <c r="A54" t="s">
        <v>143</v>
      </c>
      <c r="B54">
        <v>53</v>
      </c>
      <c r="C54" t="s">
        <v>13</v>
      </c>
      <c r="D54">
        <v>60</v>
      </c>
      <c r="E54" t="s">
        <v>1019</v>
      </c>
      <c r="F54" t="s">
        <v>5324</v>
      </c>
      <c r="G54" t="str">
        <f>B01_Assessment!A60</f>
        <v>B01-R2</v>
      </c>
      <c r="H54" t="str">
        <f>B01_Assessment!B60</f>
        <v>B02/138/282</v>
      </c>
      <c r="I54" t="str">
        <f>B01_Assessment!C60</f>
        <v>Existing equipment may remain active during transfer to Room 107</v>
      </c>
      <c r="J54" t="str">
        <f>B01_Assessment!D60</f>
        <v>Critical</v>
      </c>
      <c r="K54" t="str">
        <f>B01_Assessment!E60</f>
        <v>Medium</v>
      </c>
      <c r="L54">
        <f>B01_Assessment!F60</f>
        <v>8</v>
      </c>
      <c r="M54" t="str">
        <f>B01_Assessment!G60</f>
        <v>Document active services, protect in place, identify OIT cutover windows, phasing, rollback path and temporary utilities</v>
      </c>
      <c r="N54" t="str">
        <f>B01_Assessment!H60</f>
        <v>Telecom / OIT</v>
      </c>
      <c r="O54" t="str">
        <f>B01_Assessment!I60</f>
        <v>Closed</v>
      </c>
      <c r="P54" t="str">
        <f>B01_Assessment!J60</f>
        <v>Existing rack elevations show multiple active switches, LIUs, patch panels and UPS equipment.</v>
      </c>
      <c r="Q54" t="str">
        <f t="shared" si="0"/>
        <v>01|53</v>
      </c>
    </row>
    <row r="55" spans="1:17" ht="6.45" customHeight="1">
      <c r="A55" t="s">
        <v>143</v>
      </c>
      <c r="B55">
        <v>54</v>
      </c>
      <c r="C55" t="s">
        <v>13</v>
      </c>
      <c r="D55">
        <v>61</v>
      </c>
      <c r="E55" t="s">
        <v>1019</v>
      </c>
      <c r="F55" t="s">
        <v>5324</v>
      </c>
      <c r="G55" t="str">
        <f>B01_Assessment!A61</f>
        <v>B01-R3</v>
      </c>
      <c r="H55" t="str">
        <f>B01_Assessment!B61</f>
        <v>107</v>
      </c>
      <c r="I55" t="str">
        <f>B01_Assessment!C61</f>
        <v>Dedicated cooling emergency power, condensate, BACnet and alarms not verified</v>
      </c>
      <c r="J55" t="str">
        <f>B01_Assessment!D61</f>
        <v>Critical</v>
      </c>
      <c r="K55" t="str">
        <f>B01_Assessment!E61</f>
        <v>Medium</v>
      </c>
      <c r="L55">
        <f>B01_Assessment!F61</f>
        <v>8</v>
      </c>
      <c r="M55" t="str">
        <f>B01_Assessment!G61</f>
        <v>Confirm IU-1-01/CU-1-01 power source, condensate route, controls, BACnet adapter, thermostat, humidity and high-temp alarms</v>
      </c>
      <c r="N55" t="str">
        <f>B01_Assessment!H61</f>
        <v>Mechanical / Electrical</v>
      </c>
      <c r="O55" t="str">
        <f>B01_Assessment!I61</f>
        <v>Closed</v>
      </c>
      <c r="P55" t="str">
        <f>B01_Assessment!J61</f>
        <v>Cooling is central to TR readiness.</v>
      </c>
      <c r="Q55" t="str">
        <f t="shared" si="0"/>
        <v>01|54</v>
      </c>
    </row>
    <row r="56" spans="1:17" ht="6.45" customHeight="1">
      <c r="A56" t="s">
        <v>143</v>
      </c>
      <c r="B56">
        <v>55</v>
      </c>
      <c r="C56" t="s">
        <v>13</v>
      </c>
      <c r="D56">
        <v>62</v>
      </c>
      <c r="E56" t="s">
        <v>1019</v>
      </c>
      <c r="F56" t="s">
        <v>5324</v>
      </c>
      <c r="G56" t="str">
        <f>B01_Assessment!A62</f>
        <v>B01-R4</v>
      </c>
      <c r="H56" t="str">
        <f>B01_Assessment!B62</f>
        <v>107</v>
      </c>
      <c r="I56" t="str">
        <f>B01_Assessment!C62</f>
        <v>B01-TR107A/B UPS/PDU and panel source coordination could delay energization</v>
      </c>
      <c r="J56" t="str">
        <f>B01_Assessment!D62</f>
        <v>High</v>
      </c>
      <c r="K56" t="str">
        <f>B01_Assessment!E62</f>
        <v>Medium</v>
      </c>
      <c r="L56">
        <f>B01_Assessment!F62</f>
        <v>6</v>
      </c>
      <c r="M56" t="str">
        <f>B01_Assessment!G62</f>
        <v>Verify panels, breakers, receptacles, SPD, labels, 30-day load measurement and LOTO needs</v>
      </c>
      <c r="N56" t="str">
        <f>B01_Assessment!H62</f>
        <v>Electrical / GCC</v>
      </c>
      <c r="O56" t="str">
        <f>B01_Assessment!I62</f>
        <v>Closed</v>
      </c>
      <c r="P56" t="str">
        <f>B01_Assessment!J62</f>
        <v>Electrical schedules call for new panels and 30-day load measurement prior to panel work.</v>
      </c>
      <c r="Q56" t="str">
        <f t="shared" si="0"/>
        <v>01|55</v>
      </c>
    </row>
    <row r="57" spans="1:17" ht="6.45" customHeight="1">
      <c r="A57" t="s">
        <v>143</v>
      </c>
      <c r="B57">
        <v>56</v>
      </c>
      <c r="C57" t="s">
        <v>13</v>
      </c>
      <c r="D57">
        <v>63</v>
      </c>
      <c r="E57" t="s">
        <v>1019</v>
      </c>
      <c r="F57" t="s">
        <v>5324</v>
      </c>
      <c r="G57" t="str">
        <f>B01_Assessment!A63</f>
        <v>B01-R5</v>
      </c>
      <c r="H57" t="str">
        <f>B01_Assessment!B63</f>
        <v>All</v>
      </c>
      <c r="I57" t="str">
        <f>B01_Assessment!C63</f>
        <v>394 feet of cable tray/pathway requires coordination and firestop tracking</v>
      </c>
      <c r="J57" t="str">
        <f>B01_Assessment!D63</f>
        <v>High</v>
      </c>
      <c r="K57" t="str">
        <f>B01_Assessment!E63</f>
        <v>Medium</v>
      </c>
      <c r="L57">
        <f>B01_Assessment!F63</f>
        <v>6</v>
      </c>
      <c r="M57" t="str">
        <f>B01_Assessment!G63</f>
        <v>Verify route, supports, seismic bracing, 40% fill, penetrations, lighting/HVAC conflicts and firestop assemblies</v>
      </c>
      <c r="N57" t="str">
        <f>B01_Assessment!H63</f>
        <v>Telecom / GC</v>
      </c>
      <c r="O57" t="str">
        <f>B01_Assessment!I63</f>
        <v>Closed</v>
      </c>
      <c r="P57" t="str">
        <f>B01_Assessment!J63</f>
        <v>Cable tray schedule: basement 58 ft, first 212 ft, second 124 ft.</v>
      </c>
      <c r="Q57" t="str">
        <f t="shared" si="0"/>
        <v>01|56</v>
      </c>
    </row>
    <row r="58" spans="1:17" ht="6.45" customHeight="1">
      <c r="A58" t="s">
        <v>143</v>
      </c>
      <c r="B58">
        <v>57</v>
      </c>
      <c r="C58" t="s">
        <v>13</v>
      </c>
      <c r="D58">
        <v>64</v>
      </c>
      <c r="E58" t="s">
        <v>1019</v>
      </c>
      <c r="F58" t="s">
        <v>5324</v>
      </c>
      <c r="G58" t="str">
        <f>B01_Assessment!A64</f>
        <v>B01-R6</v>
      </c>
      <c r="H58" t="str">
        <f>B01_Assessment!B64</f>
        <v>All</v>
      </c>
      <c r="I58" t="str">
        <f>B01_Assessment!C64</f>
        <v>Telecom/fiber cutover could affect active hospital communications across basement/first/second levels</v>
      </c>
      <c r="J58" t="str">
        <f>B01_Assessment!D64</f>
        <v>Critical</v>
      </c>
      <c r="K58" t="str">
        <f>B01_Assessment!E64</f>
        <v>Medium</v>
      </c>
      <c r="L58">
        <f>B01_Assessment!F64</f>
        <v>8</v>
      </c>
      <c r="M58" t="str">
        <f>B01_Assessment!G64</f>
        <v>Require cutover plan, test records, labels, as-builts, OIT coordination and VA acceptance before active connection</v>
      </c>
      <c r="N58" t="str">
        <f>B01_Assessment!H64</f>
        <v>Telecom / OIT</v>
      </c>
      <c r="O58" t="str">
        <f>B01_Assessment!I64</f>
        <v>Closed</v>
      </c>
      <c r="P58" t="str">
        <f>B01_Assessment!J64</f>
        <v>RM107 supports 161 total ports including allowance and transfer from multiple existing rooms.</v>
      </c>
      <c r="Q58" t="str">
        <f t="shared" si="0"/>
        <v>01|57</v>
      </c>
    </row>
    <row r="59" spans="1:17" ht="6.45" customHeight="1">
      <c r="A59" t="s">
        <v>143</v>
      </c>
      <c r="B59">
        <v>58</v>
      </c>
      <c r="C59" t="s">
        <v>13</v>
      </c>
      <c r="D59">
        <v>65</v>
      </c>
      <c r="E59" t="s">
        <v>1019</v>
      </c>
      <c r="F59" t="s">
        <v>5324</v>
      </c>
      <c r="G59" t="str">
        <f>B01_Assessment!A65</f>
        <v>B01-R7</v>
      </c>
      <c r="H59" t="str">
        <f>B01_Assessment!B65</f>
        <v>107</v>
      </c>
      <c r="I59" t="str">
        <f>B01_Assessment!C65</f>
        <v>PACS/CCTV/door hardware coordination may not be ready at room acceptance</v>
      </c>
      <c r="J59" t="str">
        <f>B01_Assessment!D65</f>
        <v>High</v>
      </c>
      <c r="K59" t="str">
        <f>B01_Assessment!E65</f>
        <v>Medium</v>
      </c>
      <c r="L59">
        <f>B01_Assessment!F65</f>
        <v>6</v>
      </c>
      <c r="M59" t="str">
        <f>B01_Assessment!G65</f>
        <v>Verify access-control rough-in, power supply/battery backup, reader, electric strike, door position, camera and VMS/PACS test records</v>
      </c>
      <c r="N59" t="str">
        <f>B01_Assessment!H65</f>
        <v>Security / Electrical</v>
      </c>
      <c r="O59" t="str">
        <f>B01_Assessment!I65</f>
        <v>Closed</v>
      </c>
      <c r="P59" t="str">
        <f>B01_Assessment!J65</f>
        <v>Plans include new PACS and 107-CAM-1.</v>
      </c>
      <c r="Q59" t="str">
        <f t="shared" si="0"/>
        <v>01|58</v>
      </c>
    </row>
    <row r="60" spans="1:17" ht="6.45" customHeight="1">
      <c r="A60" t="s">
        <v>143</v>
      </c>
      <c r="B60">
        <v>59</v>
      </c>
      <c r="C60" t="s">
        <v>13</v>
      </c>
      <c r="D60">
        <v>66</v>
      </c>
      <c r="E60" t="s">
        <v>1019</v>
      </c>
      <c r="F60" t="s">
        <v>5324</v>
      </c>
      <c r="G60" t="str">
        <f>B01_Assessment!A66</f>
        <v>B01-R8</v>
      </c>
      <c r="H60" t="str">
        <f>B01_Assessment!B66</f>
        <v>All</v>
      </c>
      <c r="I60" t="str">
        <f>B01_Assessment!C66</f>
        <v>Commissioning/third-party inspection reports may not be complete at turnover</v>
      </c>
      <c r="J60" t="str">
        <f>B01_Assessment!D66</f>
        <v>High</v>
      </c>
      <c r="K60" t="str">
        <f>B01_Assessment!E66</f>
        <v>Medium</v>
      </c>
      <c r="L60">
        <f>B01_Assessment!F66</f>
        <v>6</v>
      </c>
      <c r="M60" t="str">
        <f>B01_Assessment!G66</f>
        <v>Track commissioning, inspections, FA/FP acceptance, power verification, cabling tests, labels and as-builts</v>
      </c>
      <c r="N60" t="str">
        <f>B01_Assessment!H66</f>
        <v>GC / Cx Manager</v>
      </c>
      <c r="O60" t="str">
        <f>B01_Assessment!I66</f>
        <v>Closed</v>
      </c>
      <c r="P60" t="str">
        <f>B01_Assessment!J66</f>
        <v>50-sheet IFC package includes full discipline scope and third-party inspections requirement.</v>
      </c>
      <c r="Q60" t="str">
        <f t="shared" si="0"/>
        <v>01|59</v>
      </c>
    </row>
    <row r="61" spans="1:17" ht="6.45" customHeight="1">
      <c r="A61" t="s">
        <v>143</v>
      </c>
      <c r="B61">
        <v>60</v>
      </c>
      <c r="C61" t="s">
        <v>13</v>
      </c>
      <c r="D61">
        <v>67</v>
      </c>
      <c r="E61" t="s">
        <v>1019</v>
      </c>
      <c r="F61" t="s">
        <v>5325</v>
      </c>
      <c r="G61">
        <f>B01_Assessment!A67</f>
        <v>0</v>
      </c>
      <c r="H61">
        <f>B01_Assessment!B67</f>
        <v>0</v>
      </c>
      <c r="I61">
        <f>B01_Assessment!C67</f>
        <v>0</v>
      </c>
      <c r="J61">
        <f>B01_Assessment!D67</f>
        <v>0</v>
      </c>
      <c r="K61">
        <f>B01_Assessment!E67</f>
        <v>0</v>
      </c>
      <c r="L61">
        <f>B01_Assessment!F67</f>
        <v>0</v>
      </c>
      <c r="M61">
        <f>B01_Assessment!G67</f>
        <v>0</v>
      </c>
      <c r="N61">
        <f>B01_Assessment!H67</f>
        <v>0</v>
      </c>
      <c r="O61">
        <f>B01_Assessment!I67</f>
        <v>0</v>
      </c>
      <c r="P61">
        <f>B01_Assessment!J67</f>
        <v>0</v>
      </c>
      <c r="Q61" t="str">
        <f t="shared" si="0"/>
        <v>01|60</v>
      </c>
    </row>
    <row r="62" spans="1:17" ht="6.45" customHeight="1">
      <c r="A62" t="s">
        <v>143</v>
      </c>
      <c r="B62">
        <v>61</v>
      </c>
      <c r="C62" t="s">
        <v>13</v>
      </c>
      <c r="D62">
        <v>68</v>
      </c>
      <c r="E62" t="s">
        <v>1051</v>
      </c>
      <c r="F62" t="s">
        <v>5322</v>
      </c>
      <c r="G62" t="str">
        <f>B01_Assessment!A68</f>
        <v>9. OPEN QUESTIONS</v>
      </c>
      <c r="H62">
        <f>B01_Assessment!B68</f>
        <v>0</v>
      </c>
      <c r="I62">
        <f>B01_Assessment!C68</f>
        <v>0</v>
      </c>
      <c r="J62">
        <f>B01_Assessment!D68</f>
        <v>0</v>
      </c>
      <c r="K62">
        <f>B01_Assessment!E68</f>
        <v>0</v>
      </c>
      <c r="L62">
        <f>B01_Assessment!F68</f>
        <v>0</v>
      </c>
      <c r="M62">
        <f>B01_Assessment!G68</f>
        <v>0</v>
      </c>
      <c r="N62">
        <f>B01_Assessment!H68</f>
        <v>0</v>
      </c>
      <c r="O62">
        <f>B01_Assessment!I68</f>
        <v>0</v>
      </c>
      <c r="P62">
        <f>B01_Assessment!J68</f>
        <v>0</v>
      </c>
      <c r="Q62" t="str">
        <f t="shared" si="0"/>
        <v>01|61</v>
      </c>
    </row>
    <row r="63" spans="1:17" ht="6.45" customHeight="1">
      <c r="A63" t="s">
        <v>143</v>
      </c>
      <c r="B63">
        <v>62</v>
      </c>
      <c r="C63" t="s">
        <v>13</v>
      </c>
      <c r="D63">
        <v>69</v>
      </c>
      <c r="E63" t="s">
        <v>1051</v>
      </c>
      <c r="F63" t="s">
        <v>5323</v>
      </c>
      <c r="G63" t="str">
        <f>B01_Assessment!A69</f>
        <v>Question ID</v>
      </c>
      <c r="H63" t="str">
        <f>B01_Assessment!B69</f>
        <v>Question</v>
      </c>
      <c r="I63" t="str">
        <f>B01_Assessment!C69</f>
        <v>Assigned To</v>
      </c>
      <c r="J63" t="str">
        <f>B01_Assessment!D69</f>
        <v>Status</v>
      </c>
      <c r="K63" t="str">
        <f>B01_Assessment!E69</f>
        <v>Needed By</v>
      </c>
      <c r="L63" t="str">
        <f>B01_Assessment!F69</f>
        <v>Answer / Resolution</v>
      </c>
      <c r="M63" t="str">
        <f>B01_Assessment!G69</f>
        <v>Impact if Unanswered</v>
      </c>
      <c r="N63" t="str">
        <f>B01_Assessment!H69</f>
        <v>Follow-up</v>
      </c>
      <c r="O63" t="str">
        <f>B01_Assessment!I69</f>
        <v>Date Closed</v>
      </c>
      <c r="P63" t="str">
        <f>B01_Assessment!J69</f>
        <v>Notes</v>
      </c>
      <c r="Q63" t="str">
        <f t="shared" si="0"/>
        <v>01|62</v>
      </c>
    </row>
    <row r="64" spans="1:17" ht="6.45" customHeight="1">
      <c r="A64" t="s">
        <v>143</v>
      </c>
      <c r="B64">
        <v>63</v>
      </c>
      <c r="C64" t="s">
        <v>13</v>
      </c>
      <c r="D64">
        <v>70</v>
      </c>
      <c r="E64" t="s">
        <v>1051</v>
      </c>
      <c r="F64" t="s">
        <v>5324</v>
      </c>
      <c r="G64" t="str">
        <f>B01_Assessment!A70</f>
        <v>B01-Q1</v>
      </c>
      <c r="H64" t="str">
        <f>B01_Assessment!B70</f>
        <v>Confirm final telecom scope: new Room 107 with existing B02, 138 and 282 transition/transfer points?</v>
      </c>
      <c r="I64" t="str">
        <f>B01_Assessment!C70</f>
        <v>VA / OIT / Designer</v>
      </c>
      <c r="J64" t="str">
        <f>B01_Assessment!D70</f>
        <v>Closed</v>
      </c>
      <c r="K64">
        <f>B01_Assessment!E70</f>
        <v>0</v>
      </c>
      <c r="L64">
        <f>B01_Assessment!F70</f>
        <v>0</v>
      </c>
      <c r="M64" t="str">
        <f>B01_Assessment!G70</f>
        <v>Room inventory could miss scope</v>
      </c>
      <c r="N64">
        <f>B01_Assessment!H70</f>
        <v>0</v>
      </c>
      <c r="O64">
        <f>B01_Assessment!I70</f>
        <v>0</v>
      </c>
      <c r="P64">
        <f>B01_Assessment!J70</f>
        <v>0</v>
      </c>
      <c r="Q64" t="str">
        <f t="shared" si="0"/>
        <v>01|63</v>
      </c>
    </row>
    <row r="65" spans="1:17" ht="6.45" customHeight="1">
      <c r="A65" t="s">
        <v>143</v>
      </c>
      <c r="B65">
        <v>64</v>
      </c>
      <c r="C65" t="s">
        <v>13</v>
      </c>
      <c r="D65">
        <v>71</v>
      </c>
      <c r="E65" t="s">
        <v>1051</v>
      </c>
      <c r="F65" t="s">
        <v>5324</v>
      </c>
      <c r="G65" t="str">
        <f>B01_Assessment!A71</f>
        <v>B01-Q2</v>
      </c>
      <c r="H65" t="str">
        <f>B01_Assessment!B71</f>
        <v>What active services are currently fed from existing Rooms B02, 138 and 282?</v>
      </c>
      <c r="I65" t="str">
        <f>B01_Assessment!C71</f>
        <v>OIT / Contractor</v>
      </c>
      <c r="J65" t="str">
        <f>B01_Assessment!D71</f>
        <v>Closed</v>
      </c>
      <c r="K65">
        <f>B01_Assessment!E71</f>
        <v>0</v>
      </c>
      <c r="L65">
        <f>B01_Assessment!F71</f>
        <v>0</v>
      </c>
      <c r="M65" t="str">
        <f>B01_Assessment!G71</f>
        <v>Potential communications/security outage</v>
      </c>
      <c r="N65">
        <f>B01_Assessment!H71</f>
        <v>0</v>
      </c>
      <c r="O65">
        <f>B01_Assessment!I71</f>
        <v>0</v>
      </c>
      <c r="P65">
        <f>B01_Assessment!J71</f>
        <v>0</v>
      </c>
      <c r="Q65" t="str">
        <f t="shared" si="0"/>
        <v>01|64</v>
      </c>
    </row>
    <row r="66" spans="1:17" ht="6.45" customHeight="1">
      <c r="A66" t="s">
        <v>143</v>
      </c>
      <c r="B66">
        <v>65</v>
      </c>
      <c r="C66" t="s">
        <v>13</v>
      </c>
      <c r="D66">
        <v>72</v>
      </c>
      <c r="E66" t="s">
        <v>1051</v>
      </c>
      <c r="F66" t="s">
        <v>5324</v>
      </c>
      <c r="G66" t="str">
        <f>B01_Assessment!A72</f>
        <v>B01-Q3</v>
      </c>
      <c r="H66" t="str">
        <f>B01_Assessment!B72</f>
        <v>What equipment from existing racks transfers to new Room 107 versus remains/decommissions?</v>
      </c>
      <c r="I66" t="str">
        <f>B01_Assessment!C72</f>
        <v>OIT / Telecom</v>
      </c>
      <c r="J66" t="str">
        <f>B01_Assessment!D72</f>
        <v>Closed</v>
      </c>
      <c r="K66">
        <f>B01_Assessment!E72</f>
        <v>0</v>
      </c>
      <c r="L66">
        <f>B01_Assessment!F72</f>
        <v>0</v>
      </c>
      <c r="M66" t="str">
        <f>B01_Assessment!G72</f>
        <v>Cutover and rack elevation risk</v>
      </c>
      <c r="N66">
        <f>B01_Assessment!H72</f>
        <v>0</v>
      </c>
      <c r="O66">
        <f>B01_Assessment!I72</f>
        <v>0</v>
      </c>
      <c r="P66">
        <f>B01_Assessment!J72</f>
        <v>0</v>
      </c>
      <c r="Q66" t="str">
        <f t="shared" ref="Q66:Q129" si="1">A66&amp;"|"&amp;B66</f>
        <v>01|65</v>
      </c>
    </row>
    <row r="67" spans="1:17" ht="6.45" customHeight="1">
      <c r="A67" t="s">
        <v>143</v>
      </c>
      <c r="B67">
        <v>66</v>
      </c>
      <c r="C67" t="s">
        <v>13</v>
      </c>
      <c r="D67">
        <v>73</v>
      </c>
      <c r="E67" t="s">
        <v>1051</v>
      </c>
      <c r="F67" t="s">
        <v>5324</v>
      </c>
      <c r="G67" t="str">
        <f>B01_Assessment!A73</f>
        <v>B01-Q4</v>
      </c>
      <c r="H67" t="str">
        <f>B01_Assessment!B73</f>
        <v>Is IU-1-01/CU-1-01 on emergency/backup power and dedicated to Room 107?</v>
      </c>
      <c r="I67" t="str">
        <f>B01_Assessment!C73</f>
        <v>Mechanical / Electrical / VA</v>
      </c>
      <c r="J67" t="str">
        <f>B01_Assessment!D73</f>
        <v>Closed</v>
      </c>
      <c r="K67">
        <f>B01_Assessment!E73</f>
        <v>0</v>
      </c>
      <c r="L67">
        <f>B01_Assessment!F73</f>
        <v>0</v>
      </c>
      <c r="M67" t="str">
        <f>B01_Assessment!G73</f>
        <v>Cooling continuity unclear</v>
      </c>
      <c r="N67">
        <f>B01_Assessment!H73</f>
        <v>0</v>
      </c>
      <c r="O67">
        <f>B01_Assessment!I73</f>
        <v>0</v>
      </c>
      <c r="P67">
        <f>B01_Assessment!J73</f>
        <v>0</v>
      </c>
      <c r="Q67" t="str">
        <f t="shared" si="1"/>
        <v>01|66</v>
      </c>
    </row>
    <row r="68" spans="1:17" ht="6.45" customHeight="1">
      <c r="A68" t="s">
        <v>143</v>
      </c>
      <c r="B68">
        <v>67</v>
      </c>
      <c r="C68" t="s">
        <v>13</v>
      </c>
      <c r="D68">
        <v>74</v>
      </c>
      <c r="E68" t="s">
        <v>1051</v>
      </c>
      <c r="F68" t="s">
        <v>5324</v>
      </c>
      <c r="G68" t="str">
        <f>B01_Assessment!A74</f>
        <v>B01-Q5</v>
      </c>
      <c r="H68" t="str">
        <f>B01_Assessment!B74</f>
        <v>Where is the clean-agent/CO2 extinguisher cabinet located within 75 ft of Room 107?</v>
      </c>
      <c r="I68" t="str">
        <f>B01_Assessment!C74</f>
        <v>GC / COR</v>
      </c>
      <c r="J68" t="str">
        <f>B01_Assessment!D74</f>
        <v>Closed</v>
      </c>
      <c r="K68">
        <f>B01_Assessment!E74</f>
        <v>0</v>
      </c>
      <c r="L68">
        <f>B01_Assessment!F74</f>
        <v>0</v>
      </c>
      <c r="M68" t="str">
        <f>B01_Assessment!G74</f>
        <v>Life-safety acceptance risk</v>
      </c>
      <c r="N68">
        <f>B01_Assessment!H74</f>
        <v>0</v>
      </c>
      <c r="O68">
        <f>B01_Assessment!I74</f>
        <v>0</v>
      </c>
      <c r="P68">
        <f>B01_Assessment!J74</f>
        <v>0</v>
      </c>
      <c r="Q68" t="str">
        <f t="shared" si="1"/>
        <v>01|67</v>
      </c>
    </row>
    <row r="69" spans="1:17" ht="6.45" customHeight="1">
      <c r="A69" t="s">
        <v>143</v>
      </c>
      <c r="B69">
        <v>68</v>
      </c>
      <c r="C69" t="s">
        <v>13</v>
      </c>
      <c r="D69">
        <v>75</v>
      </c>
      <c r="E69" t="s">
        <v>1051</v>
      </c>
      <c r="F69" t="s">
        <v>5324</v>
      </c>
      <c r="G69" t="str">
        <f>B01_Assessment!A75</f>
        <v>B01-Q6</v>
      </c>
      <c r="H69" t="str">
        <f>B01_Assessment!B75</f>
        <v>Are B01-TR107A/B sources, rack receptacles, SPDs, labels and 30-day load measurements approved?</v>
      </c>
      <c r="I69" t="str">
        <f>B01_Assessment!C75</f>
        <v>Electrical / Designer</v>
      </c>
      <c r="J69" t="str">
        <f>B01_Assessment!D75</f>
        <v>Closed</v>
      </c>
      <c r="K69">
        <f>B01_Assessment!E75</f>
        <v>0</v>
      </c>
      <c r="L69">
        <f>B01_Assessment!F75</f>
        <v>0</v>
      </c>
      <c r="M69" t="str">
        <f>B01_Assessment!G75</f>
        <v>Electrical readiness unknown</v>
      </c>
      <c r="N69">
        <f>B01_Assessment!H75</f>
        <v>0</v>
      </c>
      <c r="O69">
        <f>B01_Assessment!I75</f>
        <v>0</v>
      </c>
      <c r="P69">
        <f>B01_Assessment!J75</f>
        <v>0</v>
      </c>
      <c r="Q69" t="str">
        <f t="shared" si="1"/>
        <v>01|68</v>
      </c>
    </row>
    <row r="70" spans="1:17" ht="6.45" customHeight="1">
      <c r="A70" t="s">
        <v>143</v>
      </c>
      <c r="B70">
        <v>69</v>
      </c>
      <c r="C70" t="s">
        <v>13</v>
      </c>
      <c r="D70">
        <v>76</v>
      </c>
      <c r="E70" t="s">
        <v>1051</v>
      </c>
      <c r="F70" t="s">
        <v>5324</v>
      </c>
      <c r="G70" t="str">
        <f>B01_Assessment!A76</f>
        <v>B01-Q7</v>
      </c>
      <c r="H70" t="str">
        <f>B01_Assessment!B76</f>
        <v>Are all rated wall/floor penetrations, sleeves, cable tray entries and firestopping details identified?</v>
      </c>
      <c r="I70" t="str">
        <f>B01_Assessment!C76</f>
        <v>GC / Firestop</v>
      </c>
      <c r="J70" t="str">
        <f>B01_Assessment!D76</f>
        <v>Closed</v>
      </c>
      <c r="K70">
        <f>B01_Assessment!E76</f>
        <v>0</v>
      </c>
      <c r="L70">
        <f>B01_Assessment!F76</f>
        <v>0</v>
      </c>
      <c r="M70" t="str">
        <f>B01_Assessment!G76</f>
        <v>Fire/smoke spread risk</v>
      </c>
      <c r="N70">
        <f>B01_Assessment!H76</f>
        <v>0</v>
      </c>
      <c r="O70">
        <f>B01_Assessment!I76</f>
        <v>0</v>
      </c>
      <c r="P70">
        <f>B01_Assessment!J76</f>
        <v>0</v>
      </c>
      <c r="Q70" t="str">
        <f t="shared" si="1"/>
        <v>01|69</v>
      </c>
    </row>
    <row r="71" spans="1:17" ht="6.45" customHeight="1">
      <c r="A71" t="s">
        <v>143</v>
      </c>
      <c r="B71">
        <v>70</v>
      </c>
      <c r="C71" t="s">
        <v>13</v>
      </c>
      <c r="D71">
        <v>77</v>
      </c>
      <c r="E71" t="s">
        <v>1051</v>
      </c>
      <c r="F71" t="s">
        <v>5324</v>
      </c>
      <c r="G71" t="str">
        <f>B01_Assessment!A77</f>
        <v>B01-Q8</v>
      </c>
      <c r="H71" t="str">
        <f>B01_Assessment!B77</f>
        <v>Which third-party inspections and commissioning forms are required before VA/OIT acceptance?</v>
      </c>
      <c r="I71" t="str">
        <f>B01_Assessment!C77</f>
        <v>GC / Cx Manager / OIT</v>
      </c>
      <c r="J71" t="str">
        <f>B01_Assessment!D77</f>
        <v>Closed</v>
      </c>
      <c r="K71">
        <f>B01_Assessment!E77</f>
        <v>0</v>
      </c>
      <c r="L71">
        <f>B01_Assessment!F77</f>
        <v>0</v>
      </c>
      <c r="M71" t="str">
        <f>B01_Assessment!G77</f>
        <v>Turnover package gap</v>
      </c>
      <c r="N71">
        <f>B01_Assessment!H77</f>
        <v>0</v>
      </c>
      <c r="O71">
        <f>B01_Assessment!I77</f>
        <v>0</v>
      </c>
      <c r="P71">
        <f>B01_Assessment!J77</f>
        <v>0</v>
      </c>
      <c r="Q71" t="str">
        <f t="shared" si="1"/>
        <v>01|70</v>
      </c>
    </row>
    <row r="72" spans="1:17" ht="6.45" customHeight="1">
      <c r="A72" t="s">
        <v>143</v>
      </c>
      <c r="B72">
        <v>71</v>
      </c>
      <c r="C72" t="s">
        <v>13</v>
      </c>
      <c r="D72">
        <v>78</v>
      </c>
      <c r="E72" t="s">
        <v>1051</v>
      </c>
      <c r="F72" t="s">
        <v>5325</v>
      </c>
      <c r="G72">
        <f>B01_Assessment!A78</f>
        <v>0</v>
      </c>
      <c r="H72">
        <f>B01_Assessment!B78</f>
        <v>0</v>
      </c>
      <c r="I72">
        <f>B01_Assessment!C78</f>
        <v>0</v>
      </c>
      <c r="J72">
        <f>B01_Assessment!D78</f>
        <v>0</v>
      </c>
      <c r="K72">
        <f>B01_Assessment!E78</f>
        <v>0</v>
      </c>
      <c r="L72">
        <f>B01_Assessment!F78</f>
        <v>0</v>
      </c>
      <c r="M72">
        <f>B01_Assessment!G78</f>
        <v>0</v>
      </c>
      <c r="N72">
        <f>B01_Assessment!H78</f>
        <v>0</v>
      </c>
      <c r="O72">
        <f>B01_Assessment!I78</f>
        <v>0</v>
      </c>
      <c r="P72">
        <f>B01_Assessment!J78</f>
        <v>0</v>
      </c>
      <c r="Q72" t="str">
        <f t="shared" si="1"/>
        <v>01|71</v>
      </c>
    </row>
    <row r="73" spans="1:17" ht="6.45" customHeight="1">
      <c r="A73" t="s">
        <v>143</v>
      </c>
      <c r="B73">
        <v>72</v>
      </c>
      <c r="C73" t="s">
        <v>13</v>
      </c>
      <c r="D73">
        <v>79</v>
      </c>
      <c r="E73" t="s">
        <v>1052</v>
      </c>
      <c r="F73" t="s">
        <v>5322</v>
      </c>
      <c r="G73" t="str">
        <f>B01_Assessment!A79</f>
        <v>10. PHOTO LOG</v>
      </c>
      <c r="H73">
        <f>B01_Assessment!B79</f>
        <v>0</v>
      </c>
      <c r="I73">
        <f>B01_Assessment!C79</f>
        <v>0</v>
      </c>
      <c r="J73">
        <f>B01_Assessment!D79</f>
        <v>0</v>
      </c>
      <c r="K73">
        <f>B01_Assessment!E79</f>
        <v>0</v>
      </c>
      <c r="L73">
        <f>B01_Assessment!F79</f>
        <v>0</v>
      </c>
      <c r="M73">
        <f>B01_Assessment!G79</f>
        <v>0</v>
      </c>
      <c r="N73">
        <f>B01_Assessment!H79</f>
        <v>0</v>
      </c>
      <c r="O73">
        <f>B01_Assessment!I79</f>
        <v>0</v>
      </c>
      <c r="P73">
        <f>B01_Assessment!J79</f>
        <v>0</v>
      </c>
      <c r="Q73" t="str">
        <f t="shared" si="1"/>
        <v>01|72</v>
      </c>
    </row>
    <row r="74" spans="1:17" ht="6.45" customHeight="1">
      <c r="A74" t="s">
        <v>143</v>
      </c>
      <c r="B74">
        <v>73</v>
      </c>
      <c r="C74" t="s">
        <v>13</v>
      </c>
      <c r="D74">
        <v>80</v>
      </c>
      <c r="E74" t="s">
        <v>1052</v>
      </c>
      <c r="F74" t="s">
        <v>5323</v>
      </c>
      <c r="G74" t="str">
        <f>B01_Assessment!A80</f>
        <v>Photo ID</v>
      </c>
      <c r="H74" t="str">
        <f>B01_Assessment!B80</f>
        <v>Room</v>
      </c>
      <c r="I74" t="str">
        <f>B01_Assessment!C80</f>
        <v>Category</v>
      </c>
      <c r="J74" t="str">
        <f>B01_Assessment!D80</f>
        <v>Description</v>
      </c>
      <c r="K74" t="str">
        <f>B01_Assessment!E80</f>
        <v>Date</v>
      </c>
      <c r="L74" t="str">
        <f>B01_Assessment!F80</f>
        <v>Taken By</v>
      </c>
      <c r="M74" t="str">
        <f>B01_Assessment!G80</f>
        <v>File / Link</v>
      </c>
      <c r="N74" t="str">
        <f>B01_Assessment!H80</f>
        <v>Related Risk</v>
      </c>
      <c r="O74" t="str">
        <f>B01_Assessment!I80</f>
        <v>Status</v>
      </c>
      <c r="P74" t="str">
        <f>B01_Assessment!J80</f>
        <v>Notes</v>
      </c>
      <c r="Q74" t="str">
        <f t="shared" si="1"/>
        <v>01|73</v>
      </c>
    </row>
    <row r="75" spans="1:17" ht="6.45" customHeight="1">
      <c r="A75" t="s">
        <v>143</v>
      </c>
      <c r="B75">
        <v>74</v>
      </c>
      <c r="C75" t="s">
        <v>13</v>
      </c>
      <c r="D75">
        <v>81</v>
      </c>
      <c r="E75" t="s">
        <v>1052</v>
      </c>
      <c r="F75" t="s">
        <v>5324</v>
      </c>
      <c r="G75" t="str">
        <f>B01_Assessment!A81</f>
        <v>B01-P001</v>
      </c>
      <c r="H75" t="str">
        <f>B01_Assessment!B81</f>
        <v>107</v>
      </c>
      <c r="I75" t="str">
        <f>B01_Assessment!C81</f>
        <v>Existing / New Condition</v>
      </c>
      <c r="J75" t="str">
        <f>B01_Assessment!D81</f>
        <v>Room 107 walls, ceiling/deck, floor, door, rack/future rack, power, HVAC, fiber path A/B, cable tray and penetrations</v>
      </c>
      <c r="K75">
        <f>B01_Assessment!E81</f>
        <v>0</v>
      </c>
      <c r="L75" t="str">
        <f>B01_Assessment!F81</f>
        <v>Paul</v>
      </c>
      <c r="M75">
        <f>B01_Assessment!G81</f>
        <v>0</v>
      </c>
      <c r="N75" t="str">
        <f>B01_Assessment!H81</f>
        <v>B01-R1/B01-R3</v>
      </c>
      <c r="O75" t="str">
        <f>B01_Assessment!I81</f>
        <v>Closed</v>
      </c>
      <c r="P75">
        <f>B01_Assessment!J81</f>
        <v>0</v>
      </c>
      <c r="Q75" t="str">
        <f t="shared" si="1"/>
        <v>01|74</v>
      </c>
    </row>
    <row r="76" spans="1:17" ht="6.45" customHeight="1">
      <c r="A76" t="s">
        <v>143</v>
      </c>
      <c r="B76">
        <v>75</v>
      </c>
      <c r="C76" t="s">
        <v>13</v>
      </c>
      <c r="D76">
        <v>82</v>
      </c>
      <c r="E76" t="s">
        <v>1052</v>
      </c>
      <c r="F76" t="s">
        <v>5324</v>
      </c>
      <c r="G76" t="str">
        <f>B01_Assessment!A82</f>
        <v>B01-P002</v>
      </c>
      <c r="H76" t="str">
        <f>B01_Assessment!B82</f>
        <v>B02</v>
      </c>
      <c r="I76" t="str">
        <f>B01_Assessment!C82</f>
        <v>Existing Equipment</v>
      </c>
      <c r="J76" t="str">
        <f>B01_Assessment!D82</f>
        <v>Basement existing telecom room B02 racks, wall TE, Cisco/Nokia/Baseband/IRU/Corning/Ortronics equipment, UPS and cable entries</v>
      </c>
      <c r="K76">
        <f>B01_Assessment!E82</f>
        <v>0</v>
      </c>
      <c r="L76" t="str">
        <f>B01_Assessment!F82</f>
        <v>Paul</v>
      </c>
      <c r="M76">
        <f>B01_Assessment!G82</f>
        <v>0</v>
      </c>
      <c r="N76" t="str">
        <f>B01_Assessment!H82</f>
        <v>B01-R1/B01-R2</v>
      </c>
      <c r="O76" t="str">
        <f>B01_Assessment!I82</f>
        <v>Closed</v>
      </c>
      <c r="P76">
        <f>B01_Assessment!J82</f>
        <v>0</v>
      </c>
      <c r="Q76" t="str">
        <f t="shared" si="1"/>
        <v>01|75</v>
      </c>
    </row>
    <row r="77" spans="1:17" ht="6.45" customHeight="1">
      <c r="A77" t="s">
        <v>143</v>
      </c>
      <c r="B77">
        <v>76</v>
      </c>
      <c r="C77" t="s">
        <v>13</v>
      </c>
      <c r="D77">
        <v>83</v>
      </c>
      <c r="E77" t="s">
        <v>1052</v>
      </c>
      <c r="F77" t="s">
        <v>5324</v>
      </c>
      <c r="G77" t="str">
        <f>B01_Assessment!A83</f>
        <v>B01-P003</v>
      </c>
      <c r="H77" t="str">
        <f>B01_Assessment!B83</f>
        <v>138</v>
      </c>
      <c r="I77" t="str">
        <f>B01_Assessment!C83</f>
        <v>Existing Equipment</v>
      </c>
      <c r="J77" t="str">
        <f>B01_Assessment!D83</f>
        <v>First-level existing telecom room 138 racks, patch panels, Cisco, Corning, APC UPS and active service labels</v>
      </c>
      <c r="K77">
        <f>B01_Assessment!E83</f>
        <v>0</v>
      </c>
      <c r="L77" t="str">
        <f>B01_Assessment!F83</f>
        <v>Paul</v>
      </c>
      <c r="M77">
        <f>B01_Assessment!G83</f>
        <v>0</v>
      </c>
      <c r="N77" t="str">
        <f>B01_Assessment!H83</f>
        <v>B01-R2/B01-R6</v>
      </c>
      <c r="O77" t="str">
        <f>B01_Assessment!I83</f>
        <v>Closed</v>
      </c>
      <c r="P77">
        <f>B01_Assessment!J83</f>
        <v>0</v>
      </c>
      <c r="Q77" t="str">
        <f t="shared" si="1"/>
        <v>01|76</v>
      </c>
    </row>
    <row r="78" spans="1:17" ht="6.45" customHeight="1">
      <c r="A78" t="s">
        <v>143</v>
      </c>
      <c r="B78">
        <v>77</v>
      </c>
      <c r="C78" t="s">
        <v>13</v>
      </c>
      <c r="D78">
        <v>84</v>
      </c>
      <c r="E78" t="s">
        <v>1052</v>
      </c>
      <c r="F78" t="s">
        <v>5324</v>
      </c>
      <c r="G78" t="str">
        <f>B01_Assessment!A84</f>
        <v>B01-P004</v>
      </c>
      <c r="H78" t="str">
        <f>B01_Assessment!B84</f>
        <v>282</v>
      </c>
      <c r="I78" t="str">
        <f>B01_Assessment!C84</f>
        <v>Existing Equipment</v>
      </c>
      <c r="J78" t="str">
        <f>B01_Assessment!D84</f>
        <v>Second-level existing telecom room 282 racks, Cisco switches, Ortronics patch panels, cable managers and active service labels</v>
      </c>
      <c r="K78">
        <f>B01_Assessment!E84</f>
        <v>0</v>
      </c>
      <c r="L78" t="str">
        <f>B01_Assessment!F84</f>
        <v>Paul</v>
      </c>
      <c r="M78">
        <f>B01_Assessment!G84</f>
        <v>0</v>
      </c>
      <c r="N78" t="str">
        <f>B01_Assessment!H84</f>
        <v>B01-R2/B01-R6</v>
      </c>
      <c r="O78" t="str">
        <f>B01_Assessment!I84</f>
        <v>Closed</v>
      </c>
      <c r="P78">
        <f>B01_Assessment!J84</f>
        <v>0</v>
      </c>
      <c r="Q78" t="str">
        <f t="shared" si="1"/>
        <v>01|77</v>
      </c>
    </row>
    <row r="79" spans="1:17" ht="6.45" customHeight="1">
      <c r="A79" t="s">
        <v>143</v>
      </c>
      <c r="B79">
        <v>78</v>
      </c>
      <c r="C79" t="s">
        <v>13</v>
      </c>
      <c r="D79">
        <v>85</v>
      </c>
      <c r="E79" t="s">
        <v>1052</v>
      </c>
      <c r="F79" t="s">
        <v>5324</v>
      </c>
      <c r="G79" t="str">
        <f>B01_Assessment!A85</f>
        <v>B01-P005</v>
      </c>
      <c r="H79" t="str">
        <f>B01_Assessment!B85</f>
        <v>107</v>
      </c>
      <c r="I79" t="str">
        <f>B01_Assessment!C85</f>
        <v>HVAC</v>
      </c>
      <c r="J79" t="str">
        <f>B01_Assessment!D85</f>
        <v>IU-1-01/CU-1-01, condensate pump/line, thermostat, BACnet adapter, disconnects, FMS alarm points and power source</v>
      </c>
      <c r="K79">
        <f>B01_Assessment!E85</f>
        <v>0</v>
      </c>
      <c r="L79" t="str">
        <f>B01_Assessment!F85</f>
        <v>Paul</v>
      </c>
      <c r="M79">
        <f>B01_Assessment!G85</f>
        <v>0</v>
      </c>
      <c r="N79" t="str">
        <f>B01_Assessment!H85</f>
        <v>B01-R3</v>
      </c>
      <c r="O79" t="str">
        <f>B01_Assessment!I85</f>
        <v>Closed</v>
      </c>
      <c r="P79">
        <f>B01_Assessment!J85</f>
        <v>0</v>
      </c>
      <c r="Q79" t="str">
        <f t="shared" si="1"/>
        <v>01|78</v>
      </c>
    </row>
    <row r="80" spans="1:17" ht="6.45" customHeight="1">
      <c r="A80" t="s">
        <v>143</v>
      </c>
      <c r="B80">
        <v>79</v>
      </c>
      <c r="C80" t="s">
        <v>13</v>
      </c>
      <c r="D80">
        <v>86</v>
      </c>
      <c r="E80" t="s">
        <v>1052</v>
      </c>
      <c r="F80" t="s">
        <v>5324</v>
      </c>
      <c r="G80" t="str">
        <f>B01_Assessment!A86</f>
        <v>B01-P006</v>
      </c>
      <c r="H80" t="str">
        <f>B01_Assessment!B86</f>
        <v>107</v>
      </c>
      <c r="I80" t="str">
        <f>B01_Assessment!C86</f>
        <v>Electrical</v>
      </c>
      <c r="J80" t="str">
        <f>B01_Assessment!D86</f>
        <v>B01-TR107A/B panels, rack receptacles, breakers, SPD, PACS power supply, access controller, lighting, CU-1-01 and labels</v>
      </c>
      <c r="K80">
        <f>B01_Assessment!E86</f>
        <v>0</v>
      </c>
      <c r="L80" t="str">
        <f>B01_Assessment!F86</f>
        <v>Paul</v>
      </c>
      <c r="M80">
        <f>B01_Assessment!G86</f>
        <v>0</v>
      </c>
      <c r="N80" t="str">
        <f>B01_Assessment!H86</f>
        <v>B01-R4/B01-R7</v>
      </c>
      <c r="O80" t="str">
        <f>B01_Assessment!I86</f>
        <v>Closed</v>
      </c>
      <c r="P80">
        <f>B01_Assessment!J86</f>
        <v>0</v>
      </c>
      <c r="Q80" t="str">
        <f t="shared" si="1"/>
        <v>01|79</v>
      </c>
    </row>
    <row r="81" spans="1:17" ht="6.45" customHeight="1">
      <c r="A81" t="s">
        <v>143</v>
      </c>
      <c r="B81">
        <v>80</v>
      </c>
      <c r="C81" t="s">
        <v>13</v>
      </c>
      <c r="D81">
        <v>87</v>
      </c>
      <c r="E81" t="s">
        <v>1052</v>
      </c>
      <c r="F81" t="s">
        <v>5324</v>
      </c>
      <c r="G81" t="str">
        <f>B01_Assessment!A87</f>
        <v>B01-P007</v>
      </c>
      <c r="H81" t="str">
        <f>B01_Assessment!B87</f>
        <v>All</v>
      </c>
      <c r="I81" t="str">
        <f>B01_Assessment!C87</f>
        <v>Cable Tray / Firestop</v>
      </c>
      <c r="J81" t="str">
        <f>B01_Assessment!D87</f>
        <v>Basement/first/second cable tray route, supports, seismic bracing, 40% fill, penetrations and before/after firestopping</v>
      </c>
      <c r="K81">
        <f>B01_Assessment!E87</f>
        <v>0</v>
      </c>
      <c r="L81" t="str">
        <f>B01_Assessment!F87</f>
        <v>Paul</v>
      </c>
      <c r="M81">
        <f>B01_Assessment!G87</f>
        <v>0</v>
      </c>
      <c r="N81" t="str">
        <f>B01_Assessment!H87</f>
        <v>B01-R5</v>
      </c>
      <c r="O81" t="str">
        <f>B01_Assessment!I87</f>
        <v>Closed</v>
      </c>
      <c r="P81">
        <f>B01_Assessment!J87</f>
        <v>0</v>
      </c>
      <c r="Q81" t="str">
        <f t="shared" si="1"/>
        <v>01|80</v>
      </c>
    </row>
    <row r="82" spans="1:17" ht="6.45" customHeight="1">
      <c r="A82" t="s">
        <v>143</v>
      </c>
      <c r="B82">
        <v>81</v>
      </c>
      <c r="C82" t="s">
        <v>13</v>
      </c>
      <c r="D82">
        <v>88</v>
      </c>
      <c r="E82" t="s">
        <v>1052</v>
      </c>
      <c r="F82" t="s">
        <v>5324</v>
      </c>
      <c r="G82" t="str">
        <f>B01_Assessment!A88</f>
        <v>B01-P008</v>
      </c>
      <c r="H82" t="str">
        <f>B01_Assessment!B88</f>
        <v>107 / Existing Rooms</v>
      </c>
      <c r="I82" t="str">
        <f>B01_Assessment!C88</f>
        <v>Telecom / Security</v>
      </c>
      <c r="J82" t="str">
        <f>B01_Assessment!D88</f>
        <v>New rack/future rack, Fiber LIU, Cat6A, patch panels, labels/test records, 107-CAM-1, PACS and existing rack transfer work</v>
      </c>
      <c r="K82">
        <f>B01_Assessment!E88</f>
        <v>0</v>
      </c>
      <c r="L82" t="str">
        <f>B01_Assessment!F88</f>
        <v>Paul</v>
      </c>
      <c r="M82">
        <f>B01_Assessment!G88</f>
        <v>0</v>
      </c>
      <c r="N82" t="str">
        <f>B01_Assessment!H88</f>
        <v>B01-R6/B01-R8</v>
      </c>
      <c r="O82" t="str">
        <f>B01_Assessment!I88</f>
        <v>Closed</v>
      </c>
      <c r="P82">
        <f>B01_Assessment!J88</f>
        <v>0</v>
      </c>
      <c r="Q82" t="str">
        <f t="shared" si="1"/>
        <v>01|81</v>
      </c>
    </row>
    <row r="83" spans="1:17" ht="6.45" customHeight="1">
      <c r="A83" t="s">
        <v>143</v>
      </c>
      <c r="B83">
        <v>82</v>
      </c>
      <c r="C83" t="s">
        <v>13</v>
      </c>
      <c r="D83">
        <v>89</v>
      </c>
      <c r="E83" t="s">
        <v>1052</v>
      </c>
      <c r="F83" t="s">
        <v>5325</v>
      </c>
      <c r="G83">
        <f>B01_Assessment!A89</f>
        <v>0</v>
      </c>
      <c r="H83">
        <f>B01_Assessment!B89</f>
        <v>0</v>
      </c>
      <c r="I83">
        <f>B01_Assessment!C89</f>
        <v>0</v>
      </c>
      <c r="J83">
        <f>B01_Assessment!D89</f>
        <v>0</v>
      </c>
      <c r="K83">
        <f>B01_Assessment!E89</f>
        <v>0</v>
      </c>
      <c r="L83">
        <f>B01_Assessment!F89</f>
        <v>0</v>
      </c>
      <c r="M83">
        <f>B01_Assessment!G89</f>
        <v>0</v>
      </c>
      <c r="N83">
        <f>B01_Assessment!H89</f>
        <v>0</v>
      </c>
      <c r="O83">
        <f>B01_Assessment!I89</f>
        <v>0</v>
      </c>
      <c r="P83">
        <f>B01_Assessment!J89</f>
        <v>0</v>
      </c>
      <c r="Q83" t="str">
        <f t="shared" si="1"/>
        <v>01|82</v>
      </c>
    </row>
    <row r="84" spans="1:17" ht="6.45" customHeight="1">
      <c r="A84" t="s">
        <v>604</v>
      </c>
      <c r="B84">
        <v>1</v>
      </c>
      <c r="C84" t="s">
        <v>15</v>
      </c>
      <c r="D84">
        <v>8</v>
      </c>
      <c r="E84" t="s">
        <v>918</v>
      </c>
      <c r="F84" t="s">
        <v>5322</v>
      </c>
      <c r="G84" t="str">
        <f>B02_Assessment!A8</f>
        <v>1. ROOM INVENTORY</v>
      </c>
      <c r="H84">
        <f>B02_Assessment!B8</f>
        <v>0</v>
      </c>
      <c r="I84">
        <f>B02_Assessment!C8</f>
        <v>0</v>
      </c>
      <c r="J84">
        <f>B02_Assessment!D8</f>
        <v>0</v>
      </c>
      <c r="K84">
        <f>B02_Assessment!E8</f>
        <v>0</v>
      </c>
      <c r="L84">
        <f>B02_Assessment!F8</f>
        <v>0</v>
      </c>
      <c r="M84">
        <f>B02_Assessment!G8</f>
        <v>0</v>
      </c>
      <c r="N84">
        <f>B02_Assessment!H8</f>
        <v>0</v>
      </c>
      <c r="O84">
        <f>B02_Assessment!I8</f>
        <v>0</v>
      </c>
      <c r="P84">
        <f>B02_Assessment!J8</f>
        <v>0</v>
      </c>
      <c r="Q84" t="str">
        <f t="shared" si="1"/>
        <v>02|1</v>
      </c>
    </row>
    <row r="85" spans="1:17" ht="6.45" customHeight="1">
      <c r="A85" t="s">
        <v>604</v>
      </c>
      <c r="B85">
        <v>2</v>
      </c>
      <c r="C85" t="s">
        <v>15</v>
      </c>
      <c r="D85">
        <v>9</v>
      </c>
      <c r="E85" t="s">
        <v>918</v>
      </c>
      <c r="F85" t="s">
        <v>5323</v>
      </c>
      <c r="G85" t="str">
        <f>B02_Assessment!A9</f>
        <v>Building</v>
      </c>
      <c r="H85" t="str">
        <f>B02_Assessment!B9</f>
        <v>Room</v>
      </c>
      <c r="I85" t="str">
        <f>B02_Assessment!C9</f>
        <v>Floor</v>
      </c>
      <c r="J85" t="str">
        <f>B02_Assessment!D9</f>
        <v>Existing Use</v>
      </c>
      <c r="K85" t="str">
        <f>B02_Assessment!E9</f>
        <v>New Use</v>
      </c>
      <c r="L85" t="str">
        <f>B02_Assessment!F9</f>
        <v>Rack Count</v>
      </c>
      <c r="M85" t="str">
        <f>B02_Assessment!G9</f>
        <v>Future Rack</v>
      </c>
      <c r="N85" t="str">
        <f>B02_Assessment!H9</f>
        <v>Status</v>
      </c>
      <c r="O85" t="str">
        <f>B02_Assessment!I9</f>
        <v>Drawing Ref</v>
      </c>
      <c r="P85" t="str">
        <f>B02_Assessment!J9</f>
        <v>Notes</v>
      </c>
      <c r="Q85" t="str">
        <f t="shared" si="1"/>
        <v>02|2</v>
      </c>
    </row>
    <row r="86" spans="1:17" ht="6.45" customHeight="1">
      <c r="A86" t="s">
        <v>604</v>
      </c>
      <c r="B86">
        <v>3</v>
      </c>
      <c r="C86" t="s">
        <v>15</v>
      </c>
      <c r="D86">
        <v>10</v>
      </c>
      <c r="E86" t="s">
        <v>918</v>
      </c>
      <c r="F86" t="s">
        <v>5324</v>
      </c>
      <c r="G86" t="str">
        <f>B02_Assessment!A10</f>
        <v>02</v>
      </c>
      <c r="H86" t="str">
        <f>B02_Assessment!B10</f>
        <v>141</v>
      </c>
      <c r="I86" t="str">
        <f>B02_Assessment!C10</f>
        <v>First</v>
      </c>
      <c r="J86" t="str">
        <f>B02_Assessment!D10</f>
        <v>Existing first-level telecom room / expanded TR work area</v>
      </c>
      <c r="K86" t="str">
        <f>B02_Assessment!E10</f>
        <v>Telecom Room</v>
      </c>
      <c r="L86">
        <f>B02_Assessment!F10</f>
        <v>2</v>
      </c>
      <c r="M86">
        <f>B02_Assessment!G10</f>
        <v>1</v>
      </c>
      <c r="N86" t="str">
        <f>B02_Assessment!H10</f>
        <v>Verify</v>
      </c>
      <c r="O86" t="str">
        <f>B02_Assessment!I10</f>
        <v>02A-401 / 02E-101 / 02E-401 / 02E-601 / 02E-701 / 02T-101 / 02T-401 / 02T-604 / 02T-701</v>
      </c>
      <c r="P86" t="str">
        <f>B02_Assessment!J10</f>
        <v>Primary first-level TR. Schedules identify RM141 with 211 WAO total, 215 active ports, 322 scheduled ports and 354 total ports with 10% allowance. Rack IDs TR01-141-01/02. Enlarged plan shows Room 141 new and demo scope, 174-CAM-01, existing patch panels/fire alarm cabinet relocated to RM141 and future rack space.</v>
      </c>
      <c r="Q86" t="str">
        <f t="shared" si="1"/>
        <v>02|3</v>
      </c>
    </row>
    <row r="87" spans="1:17" ht="6.45" customHeight="1">
      <c r="A87" t="s">
        <v>604</v>
      </c>
      <c r="B87">
        <v>4</v>
      </c>
      <c r="C87" t="s">
        <v>15</v>
      </c>
      <c r="D87">
        <v>11</v>
      </c>
      <c r="E87" t="s">
        <v>918</v>
      </c>
      <c r="F87" t="s">
        <v>5324</v>
      </c>
      <c r="G87" t="str">
        <f>B02_Assessment!A11</f>
        <v>02</v>
      </c>
      <c r="H87" t="str">
        <f>B02_Assessment!B11</f>
        <v>236</v>
      </c>
      <c r="I87" t="str">
        <f>B02_Assessment!C11</f>
        <v>Second</v>
      </c>
      <c r="J87" t="str">
        <f>B02_Assessment!D11</f>
        <v>Existing second-level telecom room / expanded TR work area</v>
      </c>
      <c r="K87" t="str">
        <f>B02_Assessment!E11</f>
        <v>Telecom Room</v>
      </c>
      <c r="L87">
        <f>B02_Assessment!F11</f>
        <v>2</v>
      </c>
      <c r="M87">
        <f>B02_Assessment!G11</f>
        <v>1</v>
      </c>
      <c r="N87" t="str">
        <f>B02_Assessment!H11</f>
        <v>Verify</v>
      </c>
      <c r="O87" t="str">
        <f>B02_Assessment!I11</f>
        <v>02A-401 / 02E-102 / 02E-402 / 02E-701 / 02T-102 / 02T-401 / 02T-604 / 02T-702</v>
      </c>
      <c r="P87" t="str">
        <f>B02_Assessment!J11</f>
        <v>Second-level TR. Schedules identify RM236 with 179 WAO total, 178 active ports, 314 scheduled ports and approximately 345 ports with 10% allowance. Rack IDs TR01-236-01/02. Enlarged plans show 236-CAM-01 and new/demolition work at Room 236 / existing Room 282.</v>
      </c>
      <c r="Q87" t="str">
        <f t="shared" si="1"/>
        <v>02|4</v>
      </c>
    </row>
    <row r="88" spans="1:17" ht="6.45" customHeight="1">
      <c r="A88" t="s">
        <v>604</v>
      </c>
      <c r="B88">
        <v>5</v>
      </c>
      <c r="C88" t="s">
        <v>15</v>
      </c>
      <c r="D88">
        <v>12</v>
      </c>
      <c r="E88" t="s">
        <v>918</v>
      </c>
      <c r="F88" t="s">
        <v>5324</v>
      </c>
      <c r="G88" t="str">
        <f>B02_Assessment!A12</f>
        <v>02</v>
      </c>
      <c r="H88" t="str">
        <f>B02_Assessment!B12</f>
        <v>342</v>
      </c>
      <c r="I88" t="str">
        <f>B02_Assessment!C12</f>
        <v>Third</v>
      </c>
      <c r="J88" t="str">
        <f>B02_Assessment!D12</f>
        <v>Third-level telecom room / expanded TR work area</v>
      </c>
      <c r="K88" t="str">
        <f>B02_Assessment!E12</f>
        <v>Telecom Room</v>
      </c>
      <c r="L88">
        <f>B02_Assessment!F12</f>
        <v>2</v>
      </c>
      <c r="M88">
        <f>B02_Assessment!G12</f>
        <v>1</v>
      </c>
      <c r="N88" t="str">
        <f>B02_Assessment!H12</f>
        <v>Verify</v>
      </c>
      <c r="O88" t="str">
        <f>B02_Assessment!I12</f>
        <v>02A-402 / 02E-103 / 02E-402 / 02E-701 / 02T-103 / 02T-401 / 02T-604 / 02T-703</v>
      </c>
      <c r="P88" t="str">
        <f>B02_Assessment!J12</f>
        <v>Third-level TR. Schedules identify RM342 with 274 WAO total, 96 active ports, 353 scheduled ports and 388 total ports with 10% allowance. Rack IDs TR01-342-01/02. Enlarged plans show 342-CAM-01, 342A-CK-A and new rack scope.</v>
      </c>
      <c r="Q88" t="str">
        <f t="shared" si="1"/>
        <v>02|5</v>
      </c>
    </row>
    <row r="89" spans="1:17" ht="6.45" customHeight="1">
      <c r="A89" t="s">
        <v>604</v>
      </c>
      <c r="B89">
        <v>6</v>
      </c>
      <c r="C89" t="s">
        <v>15</v>
      </c>
      <c r="D89">
        <v>13</v>
      </c>
      <c r="E89" t="s">
        <v>918</v>
      </c>
      <c r="F89" t="s">
        <v>5324</v>
      </c>
      <c r="G89" t="str">
        <f>B02_Assessment!A13</f>
        <v>02</v>
      </c>
      <c r="H89" t="str">
        <f>B02_Assessment!B13</f>
        <v>B-06</v>
      </c>
      <c r="I89" t="str">
        <f>B02_Assessment!C13</f>
        <v>Basement</v>
      </c>
      <c r="J89" t="str">
        <f>B02_Assessment!D13</f>
        <v>Existing telecom room / legacy rack equipment</v>
      </c>
      <c r="K89" t="str">
        <f>B02_Assessment!E13</f>
        <v>Existing telecom transition point</v>
      </c>
      <c r="L89">
        <f>B02_Assessment!F13</f>
        <v>1</v>
      </c>
      <c r="M89">
        <f>B02_Assessment!G13</f>
        <v>0</v>
      </c>
      <c r="N89" t="str">
        <f>B02_Assessment!H13</f>
        <v>Verify</v>
      </c>
      <c r="O89" t="str">
        <f>B02_Assessment!I13</f>
        <v>02T-100 / 02T-604 / 02R-900</v>
      </c>
      <c r="P89" t="str">
        <f>B02_Assessment!J13</f>
        <v>Existing Basement Telecom Room B-06 with legacy Ortronics 48-port patch panels. Photo reference identifies B-06 existing telecom room. Protect active services and verify transfer/abandonment scope.</v>
      </c>
      <c r="Q89" t="str">
        <f t="shared" si="1"/>
        <v>02|6</v>
      </c>
    </row>
    <row r="90" spans="1:17" ht="6.45" customHeight="1">
      <c r="A90" t="s">
        <v>604</v>
      </c>
      <c r="B90">
        <v>7</v>
      </c>
      <c r="C90" t="s">
        <v>15</v>
      </c>
      <c r="D90">
        <v>14</v>
      </c>
      <c r="E90" t="s">
        <v>918</v>
      </c>
      <c r="F90" t="s">
        <v>5324</v>
      </c>
      <c r="G90" t="str">
        <f>B02_Assessment!A14</f>
        <v>02</v>
      </c>
      <c r="H90" t="str">
        <f>B02_Assessment!B14</f>
        <v>Existing 141 / 236</v>
      </c>
      <c r="I90" t="str">
        <f>B02_Assessment!C14</f>
        <v>First / Second</v>
      </c>
      <c r="J90" t="str">
        <f>B02_Assessment!D14</f>
        <v>Existing telecom room equipment / transition points</v>
      </c>
      <c r="K90" t="str">
        <f>B02_Assessment!E14</f>
        <v>Existing telecom transition points</v>
      </c>
      <c r="L90">
        <f>B02_Assessment!F14</f>
        <v>4</v>
      </c>
      <c r="M90">
        <f>B02_Assessment!G14</f>
        <v>0</v>
      </c>
      <c r="N90" t="str">
        <f>B02_Assessment!H14</f>
        <v>Verify</v>
      </c>
      <c r="O90" t="str">
        <f>B02_Assessment!I14</f>
        <v>02T-604 / 02R-900</v>
      </c>
      <c r="P90" t="str">
        <f>B02_Assessment!J14</f>
        <v>Existing First-Level Telecom Room 141 and Second-Level Existing Telecom Room 236 shown in photo references/rack elevations. Existing devices and racks are to be protected or transferred per notes.</v>
      </c>
      <c r="Q90" t="str">
        <f t="shared" si="1"/>
        <v>02|7</v>
      </c>
    </row>
    <row r="91" spans="1:17" ht="6.45" customHeight="1">
      <c r="A91" t="s">
        <v>604</v>
      </c>
      <c r="B91">
        <v>8</v>
      </c>
      <c r="C91" t="s">
        <v>15</v>
      </c>
      <c r="D91">
        <v>15</v>
      </c>
      <c r="E91" t="s">
        <v>918</v>
      </c>
      <c r="F91" t="s">
        <v>5325</v>
      </c>
      <c r="G91">
        <f>B02_Assessment!A15</f>
        <v>0</v>
      </c>
      <c r="H91">
        <f>B02_Assessment!B15</f>
        <v>0</v>
      </c>
      <c r="I91">
        <f>B02_Assessment!C15</f>
        <v>0</v>
      </c>
      <c r="J91">
        <f>B02_Assessment!D15</f>
        <v>0</v>
      </c>
      <c r="K91">
        <f>B02_Assessment!E15</f>
        <v>0</v>
      </c>
      <c r="L91">
        <f>B02_Assessment!F15</f>
        <v>0</v>
      </c>
      <c r="M91">
        <f>B02_Assessment!G15</f>
        <v>0</v>
      </c>
      <c r="N91">
        <f>B02_Assessment!H15</f>
        <v>0</v>
      </c>
      <c r="O91">
        <f>B02_Assessment!I15</f>
        <v>0</v>
      </c>
      <c r="P91">
        <f>B02_Assessment!J15</f>
        <v>0</v>
      </c>
      <c r="Q91" t="str">
        <f t="shared" si="1"/>
        <v>02|8</v>
      </c>
    </row>
    <row r="92" spans="1:17" ht="6.45" customHeight="1">
      <c r="A92" t="s">
        <v>604</v>
      </c>
      <c r="B92">
        <v>9</v>
      </c>
      <c r="C92" t="s">
        <v>15</v>
      </c>
      <c r="D92">
        <v>16</v>
      </c>
      <c r="E92" t="s">
        <v>936</v>
      </c>
      <c r="F92" t="s">
        <v>5322</v>
      </c>
      <c r="G92" t="str">
        <f>B02_Assessment!A16</f>
        <v>2. ROOM READINESS</v>
      </c>
      <c r="H92">
        <f>B02_Assessment!B16</f>
        <v>0</v>
      </c>
      <c r="I92">
        <f>B02_Assessment!C16</f>
        <v>0</v>
      </c>
      <c r="J92">
        <f>B02_Assessment!D16</f>
        <v>0</v>
      </c>
      <c r="K92">
        <f>B02_Assessment!E16</f>
        <v>0</v>
      </c>
      <c r="L92">
        <f>B02_Assessment!F16</f>
        <v>0</v>
      </c>
      <c r="M92">
        <f>B02_Assessment!G16</f>
        <v>0</v>
      </c>
      <c r="N92">
        <f>B02_Assessment!H16</f>
        <v>0</v>
      </c>
      <c r="O92">
        <f>B02_Assessment!I16</f>
        <v>0</v>
      </c>
      <c r="P92">
        <f>B02_Assessment!J16</f>
        <v>0</v>
      </c>
      <c r="Q92" t="str">
        <f t="shared" si="1"/>
        <v>02|9</v>
      </c>
    </row>
    <row r="93" spans="1:17" ht="6.45" customHeight="1">
      <c r="A93" t="s">
        <v>604</v>
      </c>
      <c r="B93">
        <v>10</v>
      </c>
      <c r="C93" t="s">
        <v>15</v>
      </c>
      <c r="D93">
        <v>17</v>
      </c>
      <c r="E93" t="s">
        <v>936</v>
      </c>
      <c r="F93" t="s">
        <v>5323</v>
      </c>
      <c r="G93" t="str">
        <f>B02_Assessment!A17</f>
        <v>Room</v>
      </c>
      <c r="H93" t="str">
        <f>B02_Assessment!B17</f>
        <v>Walls / 1-hr Rating</v>
      </c>
      <c r="I93" t="str">
        <f>B02_Assessment!C17</f>
        <v>Ceiling</v>
      </c>
      <c r="J93" t="str">
        <f>B02_Assessment!D17</f>
        <v>Floor / SDC</v>
      </c>
      <c r="K93" t="str">
        <f>B02_Assessment!E17</f>
        <v>Penetrations</v>
      </c>
      <c r="L93" t="str">
        <f>B02_Assessment!F17</f>
        <v>Access Control</v>
      </c>
      <c r="M93" t="str">
        <f>B02_Assessment!G17</f>
        <v>Clearances</v>
      </c>
      <c r="N93" t="str">
        <f>B02_Assessment!H17</f>
        <v>Housekeeping</v>
      </c>
      <c r="O93" t="str">
        <f>B02_Assessment!I17</f>
        <v>Overall</v>
      </c>
      <c r="P93" t="str">
        <f>B02_Assessment!J17</f>
        <v>Comments</v>
      </c>
      <c r="Q93" t="str">
        <f t="shared" si="1"/>
        <v>02|10</v>
      </c>
    </row>
    <row r="94" spans="1:17" ht="6.45" customHeight="1">
      <c r="A94" t="s">
        <v>604</v>
      </c>
      <c r="B94">
        <v>11</v>
      </c>
      <c r="C94" t="s">
        <v>15</v>
      </c>
      <c r="D94">
        <v>18</v>
      </c>
      <c r="E94" t="s">
        <v>936</v>
      </c>
      <c r="F94" t="s">
        <v>5324</v>
      </c>
      <c r="G94" t="str">
        <f>B02_Assessment!A18</f>
        <v>141</v>
      </c>
      <c r="H94" t="str">
        <f>B02_Assessment!B18</f>
        <v>Verify</v>
      </c>
      <c r="I94" t="str">
        <f>B02_Assessment!C18</f>
        <v>Verify</v>
      </c>
      <c r="J94" t="str">
        <f>B02_Assessment!D18</f>
        <v>Verify</v>
      </c>
      <c r="K94" t="str">
        <f>B02_Assessment!E18</f>
        <v>Verify</v>
      </c>
      <c r="L94" t="str">
        <f>B02_Assessment!F18</f>
        <v>Verify</v>
      </c>
      <c r="M94" t="str">
        <f>B02_Assessment!G18</f>
        <v>Verify</v>
      </c>
      <c r="N94" t="str">
        <f>B02_Assessment!H18</f>
        <v>Verify</v>
      </c>
      <c r="O94" t="str">
        <f>B02_Assessment!I18</f>
        <v>Verify</v>
      </c>
      <c r="P94" t="str">
        <f>B02_Assessment!J18</f>
        <v>First-level TR; verify rated walls/smoke barriers, door/access-control hardware, ceiling/deck, floor finish, rack/future rack clearance, wall backing, cable tray, fiber path A/B, and working clearances around racks/panels/IU.</v>
      </c>
      <c r="Q94" t="str">
        <f t="shared" si="1"/>
        <v>02|11</v>
      </c>
    </row>
    <row r="95" spans="1:17" ht="6.45" customHeight="1">
      <c r="A95" t="s">
        <v>604</v>
      </c>
      <c r="B95">
        <v>12</v>
      </c>
      <c r="C95" t="s">
        <v>15</v>
      </c>
      <c r="D95">
        <v>19</v>
      </c>
      <c r="E95" t="s">
        <v>936</v>
      </c>
      <c r="F95" t="s">
        <v>5324</v>
      </c>
      <c r="G95" t="str">
        <f>B02_Assessment!A19</f>
        <v>236</v>
      </c>
      <c r="H95" t="str">
        <f>B02_Assessment!B19</f>
        <v>Verify</v>
      </c>
      <c r="I95" t="str">
        <f>B02_Assessment!C19</f>
        <v>Verify</v>
      </c>
      <c r="J95" t="str">
        <f>B02_Assessment!D19</f>
        <v>Verify</v>
      </c>
      <c r="K95" t="str">
        <f>B02_Assessment!E19</f>
        <v>Verify</v>
      </c>
      <c r="L95" t="str">
        <f>B02_Assessment!F19</f>
        <v>Verify</v>
      </c>
      <c r="M95" t="str">
        <f>B02_Assessment!G19</f>
        <v>Verify</v>
      </c>
      <c r="N95" t="str">
        <f>B02_Assessment!H19</f>
        <v>Verify</v>
      </c>
      <c r="O95" t="str">
        <f>B02_Assessment!I19</f>
        <v>Verify</v>
      </c>
      <c r="P95" t="str">
        <f>B02_Assessment!J19</f>
        <v>Second-level TR; verify rated construction, door/PACS, rack clearances, riser penetrations, cable tray conflicts and final room layout around existing/demo conditions.</v>
      </c>
      <c r="Q95" t="str">
        <f t="shared" si="1"/>
        <v>02|12</v>
      </c>
    </row>
    <row r="96" spans="1:17" ht="6.45" customHeight="1">
      <c r="A96" t="s">
        <v>604</v>
      </c>
      <c r="B96">
        <v>13</v>
      </c>
      <c r="C96" t="s">
        <v>15</v>
      </c>
      <c r="D96">
        <v>20</v>
      </c>
      <c r="E96" t="s">
        <v>936</v>
      </c>
      <c r="F96" t="s">
        <v>5324</v>
      </c>
      <c r="G96" t="str">
        <f>B02_Assessment!A20</f>
        <v>342</v>
      </c>
      <c r="H96" t="str">
        <f>B02_Assessment!B20</f>
        <v>Verify</v>
      </c>
      <c r="I96" t="str">
        <f>B02_Assessment!C20</f>
        <v>Verify</v>
      </c>
      <c r="J96" t="str">
        <f>B02_Assessment!D20</f>
        <v>Verify</v>
      </c>
      <c r="K96" t="str">
        <f>B02_Assessment!E20</f>
        <v>Verify</v>
      </c>
      <c r="L96" t="str">
        <f>B02_Assessment!F20</f>
        <v>Verify</v>
      </c>
      <c r="M96" t="str">
        <f>B02_Assessment!G20</f>
        <v>Verify</v>
      </c>
      <c r="N96" t="str">
        <f>B02_Assessment!H20</f>
        <v>Verify</v>
      </c>
      <c r="O96" t="str">
        <f>B02_Assessment!I20</f>
        <v>Verify</v>
      </c>
      <c r="P96" t="str">
        <f>B02_Assessment!J20</f>
        <v>Third-level TR; verify rated construction, door/PACS, rack clearances, cable tray, firestop, ceiling coordination and future rack space.</v>
      </c>
      <c r="Q96" t="str">
        <f t="shared" si="1"/>
        <v>02|13</v>
      </c>
    </row>
    <row r="97" spans="1:17" ht="6.45" customHeight="1">
      <c r="A97" t="s">
        <v>604</v>
      </c>
      <c r="B97">
        <v>14</v>
      </c>
      <c r="C97" t="s">
        <v>15</v>
      </c>
      <c r="D97">
        <v>21</v>
      </c>
      <c r="E97" t="s">
        <v>936</v>
      </c>
      <c r="F97" t="s">
        <v>5324</v>
      </c>
      <c r="G97" t="str">
        <f>B02_Assessment!A21</f>
        <v>B-06 / existing rooms</v>
      </c>
      <c r="H97" t="str">
        <f>B02_Assessment!B21</f>
        <v>Existing / Verify</v>
      </c>
      <c r="I97" t="str">
        <f>B02_Assessment!C21</f>
        <v>Existing / Verify</v>
      </c>
      <c r="J97" t="str">
        <f>B02_Assessment!D21</f>
        <v>Existing / Verify</v>
      </c>
      <c r="K97" t="str">
        <f>B02_Assessment!E21</f>
        <v>Verify</v>
      </c>
      <c r="L97" t="str">
        <f>B02_Assessment!F21</f>
        <v>Verify Existing</v>
      </c>
      <c r="M97" t="str">
        <f>B02_Assessment!G21</f>
        <v>Verify</v>
      </c>
      <c r="N97" t="str">
        <f>B02_Assessment!H21</f>
        <v>Verify</v>
      </c>
      <c r="O97" t="str">
        <f>B02_Assessment!I21</f>
        <v>Verify</v>
      </c>
      <c r="P97" t="str">
        <f>B02_Assessment!J21</f>
        <v>Existing telecom transition rooms must remain operational until cutover. Verify active equipment inventory, labels, access and final transfer/decommission scope.</v>
      </c>
      <c r="Q97" t="str">
        <f t="shared" si="1"/>
        <v>02|14</v>
      </c>
    </row>
    <row r="98" spans="1:17" ht="6.45" customHeight="1">
      <c r="A98" t="s">
        <v>604</v>
      </c>
      <c r="B98">
        <v>15</v>
      </c>
      <c r="C98" t="s">
        <v>15</v>
      </c>
      <c r="D98">
        <v>22</v>
      </c>
      <c r="E98" t="s">
        <v>936</v>
      </c>
      <c r="F98" t="s">
        <v>5325</v>
      </c>
      <c r="G98">
        <f>B02_Assessment!A22</f>
        <v>0</v>
      </c>
      <c r="H98">
        <f>B02_Assessment!B22</f>
        <v>0</v>
      </c>
      <c r="I98">
        <f>B02_Assessment!C22</f>
        <v>0</v>
      </c>
      <c r="J98">
        <f>B02_Assessment!D22</f>
        <v>0</v>
      </c>
      <c r="K98">
        <f>B02_Assessment!E22</f>
        <v>0</v>
      </c>
      <c r="L98">
        <f>B02_Assessment!F22</f>
        <v>0</v>
      </c>
      <c r="M98">
        <f>B02_Assessment!G22</f>
        <v>0</v>
      </c>
      <c r="N98">
        <f>B02_Assessment!H22</f>
        <v>0</v>
      </c>
      <c r="O98">
        <f>B02_Assessment!I22</f>
        <v>0</v>
      </c>
      <c r="P98">
        <f>B02_Assessment!J22</f>
        <v>0</v>
      </c>
      <c r="Q98" t="str">
        <f t="shared" si="1"/>
        <v>02|15</v>
      </c>
    </row>
    <row r="99" spans="1:17" ht="6.45" customHeight="1">
      <c r="A99" t="s">
        <v>604</v>
      </c>
      <c r="B99">
        <v>16</v>
      </c>
      <c r="C99" t="s">
        <v>15</v>
      </c>
      <c r="D99">
        <v>23</v>
      </c>
      <c r="E99" t="s">
        <v>951</v>
      </c>
      <c r="F99" t="s">
        <v>5322</v>
      </c>
      <c r="G99" t="str">
        <f>B02_Assessment!A23</f>
        <v>3. FIRE PROTECTION</v>
      </c>
      <c r="H99">
        <f>B02_Assessment!B23</f>
        <v>0</v>
      </c>
      <c r="I99">
        <f>B02_Assessment!C23</f>
        <v>0</v>
      </c>
      <c r="J99">
        <f>B02_Assessment!D23</f>
        <v>0</v>
      </c>
      <c r="K99">
        <f>B02_Assessment!E23</f>
        <v>0</v>
      </c>
      <c r="L99">
        <f>B02_Assessment!F23</f>
        <v>0</v>
      </c>
      <c r="M99">
        <f>B02_Assessment!G23</f>
        <v>0</v>
      </c>
      <c r="N99">
        <f>B02_Assessment!H23</f>
        <v>0</v>
      </c>
      <c r="O99">
        <f>B02_Assessment!I23</f>
        <v>0</v>
      </c>
      <c r="P99">
        <f>B02_Assessment!J23</f>
        <v>0</v>
      </c>
      <c r="Q99" t="str">
        <f t="shared" si="1"/>
        <v>02|16</v>
      </c>
    </row>
    <row r="100" spans="1:17" ht="6.45" customHeight="1">
      <c r="A100" t="s">
        <v>604</v>
      </c>
      <c r="B100">
        <v>17</v>
      </c>
      <c r="C100" t="s">
        <v>15</v>
      </c>
      <c r="D100">
        <v>24</v>
      </c>
      <c r="E100" t="s">
        <v>951</v>
      </c>
      <c r="F100" t="s">
        <v>5323</v>
      </c>
      <c r="G100" t="str">
        <f>B02_Assessment!A24</f>
        <v>Room</v>
      </c>
      <c r="H100" t="str">
        <f>B02_Assessment!B24</f>
        <v>Sprinkler</v>
      </c>
      <c r="I100" t="str">
        <f>B02_Assessment!C24</f>
        <v>Cage</v>
      </c>
      <c r="J100" t="str">
        <f>B02_Assessment!D24</f>
        <v>Detector</v>
      </c>
      <c r="K100" t="str">
        <f>B02_Assessment!E24</f>
        <v>Horn/Strobe</v>
      </c>
      <c r="L100" t="str">
        <f>B02_Assessment!F24</f>
        <v>Extinguisher &lt;75 ft</v>
      </c>
      <c r="M100" t="str">
        <f>B02_Assessment!G24</f>
        <v>Firestop</v>
      </c>
      <c r="N100" t="str">
        <f>B02_Assessment!H24</f>
        <v>Temp Firestop</v>
      </c>
      <c r="O100" t="str">
        <f>B02_Assessment!I24</f>
        <v>Overall</v>
      </c>
      <c r="P100" t="str">
        <f>B02_Assessment!J24</f>
        <v>Risk / Notes</v>
      </c>
      <c r="Q100" t="str">
        <f t="shared" si="1"/>
        <v>02|17</v>
      </c>
    </row>
    <row r="101" spans="1:17" ht="6.45" customHeight="1">
      <c r="A101" t="s">
        <v>604</v>
      </c>
      <c r="B101">
        <v>18</v>
      </c>
      <c r="C101" t="s">
        <v>15</v>
      </c>
      <c r="D101">
        <v>25</v>
      </c>
      <c r="E101" t="s">
        <v>951</v>
      </c>
      <c r="F101" t="s">
        <v>5324</v>
      </c>
      <c r="G101" t="str">
        <f>B02_Assessment!A25</f>
        <v>141</v>
      </c>
      <c r="H101" t="str">
        <f>B02_Assessment!B25</f>
        <v>Verify</v>
      </c>
      <c r="I101" t="str">
        <f>B02_Assessment!C25</f>
        <v>Verify</v>
      </c>
      <c r="J101" t="str">
        <f>B02_Assessment!D25</f>
        <v>Verify</v>
      </c>
      <c r="K101" t="str">
        <f>B02_Assessment!E25</f>
        <v>Verify</v>
      </c>
      <c r="L101" t="str">
        <f>B02_Assessment!F25</f>
        <v>Verify</v>
      </c>
      <c r="M101" t="str">
        <f>B02_Assessment!G25</f>
        <v>Verify</v>
      </c>
      <c r="N101" t="str">
        <f>B02_Assessment!H25</f>
        <v>Verify</v>
      </c>
      <c r="O101" t="str">
        <f>B02_Assessment!I25</f>
        <v>Verify</v>
      </c>
      <c r="P101" t="str">
        <f>B02_Assessment!J25</f>
        <v>Full fire protection scope included. Verify sprinkler modifications, fire alarm devices, clean-agent/CO2 2A:10B:C FEC within 75 ft, rated wall/floor penetrations, temporary firestopping and final UL systems.</v>
      </c>
      <c r="Q101" t="str">
        <f t="shared" si="1"/>
        <v>02|18</v>
      </c>
    </row>
    <row r="102" spans="1:17" ht="6.45" customHeight="1">
      <c r="A102" t="s">
        <v>604</v>
      </c>
      <c r="B102">
        <v>19</v>
      </c>
      <c r="C102" t="s">
        <v>15</v>
      </c>
      <c r="D102">
        <v>26</v>
      </c>
      <c r="E102" t="s">
        <v>951</v>
      </c>
      <c r="F102" t="s">
        <v>5324</v>
      </c>
      <c r="G102" t="str">
        <f>B02_Assessment!A26</f>
        <v>236</v>
      </c>
      <c r="H102" t="str">
        <f>B02_Assessment!B26</f>
        <v>Verify</v>
      </c>
      <c r="I102" t="str">
        <f>B02_Assessment!C26</f>
        <v>Verify</v>
      </c>
      <c r="J102" t="str">
        <f>B02_Assessment!D26</f>
        <v>Verify</v>
      </c>
      <c r="K102" t="str">
        <f>B02_Assessment!E26</f>
        <v>Verify</v>
      </c>
      <c r="L102" t="str">
        <f>B02_Assessment!F26</f>
        <v>Verify</v>
      </c>
      <c r="M102" t="str">
        <f>B02_Assessment!G26</f>
        <v>Verify</v>
      </c>
      <c r="N102" t="str">
        <f>B02_Assessment!H26</f>
        <v>Verify</v>
      </c>
      <c r="O102" t="str">
        <f>B02_Assessment!I26</f>
        <v>Verify</v>
      </c>
      <c r="P102" t="str">
        <f>B02_Assessment!J26</f>
        <v>Verify second-level TR sprinkler/fire alarm modifications, FEC location, cable tray penetrations, and temporary/final firestopping.</v>
      </c>
      <c r="Q102" t="str">
        <f t="shared" si="1"/>
        <v>02|19</v>
      </c>
    </row>
    <row r="103" spans="1:17" ht="6.45" customHeight="1">
      <c r="A103" t="s">
        <v>604</v>
      </c>
      <c r="B103">
        <v>20</v>
      </c>
      <c r="C103" t="s">
        <v>15</v>
      </c>
      <c r="D103">
        <v>27</v>
      </c>
      <c r="E103" t="s">
        <v>951</v>
      </c>
      <c r="F103" t="s">
        <v>5324</v>
      </c>
      <c r="G103" t="str">
        <f>B02_Assessment!A27</f>
        <v>342</v>
      </c>
      <c r="H103" t="str">
        <f>B02_Assessment!B27</f>
        <v>Verify</v>
      </c>
      <c r="I103" t="str">
        <f>B02_Assessment!C27</f>
        <v>Verify</v>
      </c>
      <c r="J103" t="str">
        <f>B02_Assessment!D27</f>
        <v>Verify</v>
      </c>
      <c r="K103" t="str">
        <f>B02_Assessment!E27</f>
        <v>Verify</v>
      </c>
      <c r="L103" t="str">
        <f>B02_Assessment!F27</f>
        <v>Verify</v>
      </c>
      <c r="M103" t="str">
        <f>B02_Assessment!G27</f>
        <v>Verify</v>
      </c>
      <c r="N103" t="str">
        <f>B02_Assessment!H27</f>
        <v>Verify</v>
      </c>
      <c r="O103" t="str">
        <f>B02_Assessment!I27</f>
        <v>Verify</v>
      </c>
      <c r="P103" t="str">
        <f>B02_Assessment!J27</f>
        <v>Verify third-level TR sprinkler/fire alarm modifications, FEC location, riser penetrations and firestopping.</v>
      </c>
      <c r="Q103" t="str">
        <f t="shared" si="1"/>
        <v>02|20</v>
      </c>
    </row>
    <row r="104" spans="1:17" ht="6.45" customHeight="1">
      <c r="A104" t="s">
        <v>604</v>
      </c>
      <c r="B104">
        <v>21</v>
      </c>
      <c r="C104" t="s">
        <v>15</v>
      </c>
      <c r="D104">
        <v>28</v>
      </c>
      <c r="E104" t="s">
        <v>951</v>
      </c>
      <c r="F104" t="s">
        <v>5324</v>
      </c>
      <c r="G104" t="str">
        <f>B02_Assessment!A28</f>
        <v>B-06 / existing rooms</v>
      </c>
      <c r="H104" t="str">
        <f>B02_Assessment!B28</f>
        <v>Existing / Verify</v>
      </c>
      <c r="I104" t="str">
        <f>B02_Assessment!C28</f>
        <v>N/A</v>
      </c>
      <c r="J104" t="str">
        <f>B02_Assessment!D28</f>
        <v>Verify Existing</v>
      </c>
      <c r="K104" t="str">
        <f>B02_Assessment!E28</f>
        <v>Verify Existing</v>
      </c>
      <c r="L104" t="str">
        <f>B02_Assessment!F28</f>
        <v>Verify</v>
      </c>
      <c r="M104" t="str">
        <f>B02_Assessment!G28</f>
        <v>Verify</v>
      </c>
      <c r="N104" t="str">
        <f>B02_Assessment!H28</f>
        <v>Verify</v>
      </c>
      <c r="O104" t="str">
        <f>B02_Assessment!I28</f>
        <v>Verify</v>
      </c>
      <c r="P104" t="str">
        <f>B02_Assessment!J28</f>
        <v>Existing telecom rooms; verify FP/FA protection-in-place and seal penetrations after cable removal/reuse.</v>
      </c>
      <c r="Q104" t="str">
        <f t="shared" si="1"/>
        <v>02|21</v>
      </c>
    </row>
    <row r="105" spans="1:17" ht="6.45" customHeight="1">
      <c r="A105" t="s">
        <v>604</v>
      </c>
      <c r="B105">
        <v>22</v>
      </c>
      <c r="C105" t="s">
        <v>15</v>
      </c>
      <c r="D105">
        <v>29</v>
      </c>
      <c r="E105" t="s">
        <v>951</v>
      </c>
      <c r="F105" t="s">
        <v>5325</v>
      </c>
      <c r="G105">
        <f>B02_Assessment!A29</f>
        <v>0</v>
      </c>
      <c r="H105">
        <f>B02_Assessment!B29</f>
        <v>0</v>
      </c>
      <c r="I105">
        <f>B02_Assessment!C29</f>
        <v>0</v>
      </c>
      <c r="J105">
        <f>B02_Assessment!D29</f>
        <v>0</v>
      </c>
      <c r="K105">
        <f>B02_Assessment!E29</f>
        <v>0</v>
      </c>
      <c r="L105">
        <f>B02_Assessment!F29</f>
        <v>0</v>
      </c>
      <c r="M105">
        <f>B02_Assessment!G29</f>
        <v>0</v>
      </c>
      <c r="N105">
        <f>B02_Assessment!H29</f>
        <v>0</v>
      </c>
      <c r="O105">
        <f>B02_Assessment!I29</f>
        <v>0</v>
      </c>
      <c r="P105">
        <f>B02_Assessment!J29</f>
        <v>0</v>
      </c>
      <c r="Q105" t="str">
        <f t="shared" si="1"/>
        <v>02|22</v>
      </c>
    </row>
    <row r="106" spans="1:17" ht="6.45" customHeight="1">
      <c r="A106" t="s">
        <v>604</v>
      </c>
      <c r="B106">
        <v>23</v>
      </c>
      <c r="C106" t="s">
        <v>15</v>
      </c>
      <c r="D106">
        <v>30</v>
      </c>
      <c r="E106" t="s">
        <v>964</v>
      </c>
      <c r="F106" t="s">
        <v>5322</v>
      </c>
      <c r="G106" t="str">
        <f>B02_Assessment!A30</f>
        <v>4. HVAC / COOLING</v>
      </c>
      <c r="H106">
        <f>B02_Assessment!B30</f>
        <v>0</v>
      </c>
      <c r="I106">
        <f>B02_Assessment!C30</f>
        <v>0</v>
      </c>
      <c r="J106">
        <f>B02_Assessment!D30</f>
        <v>0</v>
      </c>
      <c r="K106">
        <f>B02_Assessment!E30</f>
        <v>0</v>
      </c>
      <c r="L106">
        <f>B02_Assessment!F30</f>
        <v>0</v>
      </c>
      <c r="M106">
        <f>B02_Assessment!G30</f>
        <v>0</v>
      </c>
      <c r="N106">
        <f>B02_Assessment!H30</f>
        <v>0</v>
      </c>
      <c r="O106">
        <f>B02_Assessment!I30</f>
        <v>0</v>
      </c>
      <c r="P106">
        <f>B02_Assessment!J30</f>
        <v>0</v>
      </c>
      <c r="Q106" t="str">
        <f t="shared" si="1"/>
        <v>02|23</v>
      </c>
    </row>
    <row r="107" spans="1:17" ht="6.45" customHeight="1">
      <c r="A107" t="s">
        <v>604</v>
      </c>
      <c r="B107">
        <v>24</v>
      </c>
      <c r="C107" t="s">
        <v>15</v>
      </c>
      <c r="D107">
        <v>31</v>
      </c>
      <c r="E107" t="s">
        <v>964</v>
      </c>
      <c r="F107" t="s">
        <v>5323</v>
      </c>
      <c r="G107" t="str">
        <f>B02_Assessment!A31</f>
        <v>Room</v>
      </c>
      <c r="H107" t="str">
        <f>B02_Assessment!B31</f>
        <v>Dedicated Unit</v>
      </c>
      <c r="I107" t="str">
        <f>B02_Assessment!C31</f>
        <v>Capacity Verified</v>
      </c>
      <c r="J107" t="str">
        <f>B02_Assessment!D31</f>
        <v>Emergency Power</v>
      </c>
      <c r="K107" t="str">
        <f>B02_Assessment!E31</f>
        <v>Controls / BACnet</v>
      </c>
      <c r="L107" t="str">
        <f>B02_Assessment!F31</f>
        <v>Condensate Routed</v>
      </c>
      <c r="M107" t="str">
        <f>B02_Assessment!G31</f>
        <v>High Temp Alarm</v>
      </c>
      <c r="N107" t="str">
        <f>B02_Assessment!H31</f>
        <v>24/7 Operation</v>
      </c>
      <c r="O107" t="str">
        <f>B02_Assessment!I31</f>
        <v>Overall</v>
      </c>
      <c r="P107" t="str">
        <f>B02_Assessment!J31</f>
        <v>Risk / Notes</v>
      </c>
      <c r="Q107" t="str">
        <f t="shared" si="1"/>
        <v>02|24</v>
      </c>
    </row>
    <row r="108" spans="1:17" ht="6.45" customHeight="1">
      <c r="A108" t="s">
        <v>604</v>
      </c>
      <c r="B108">
        <v>25</v>
      </c>
      <c r="C108" t="s">
        <v>15</v>
      </c>
      <c r="D108">
        <v>32</v>
      </c>
      <c r="E108" t="s">
        <v>964</v>
      </c>
      <c r="F108" t="s">
        <v>5324</v>
      </c>
      <c r="G108" t="str">
        <f>B02_Assessment!A32</f>
        <v>141</v>
      </c>
      <c r="H108" t="str">
        <f>B02_Assessment!B32</f>
        <v>CU-1-01 / TR cooling assignment verify</v>
      </c>
      <c r="I108" t="str">
        <f>B02_Assessment!C32</f>
        <v>Verify</v>
      </c>
      <c r="J108" t="str">
        <f>B02_Assessment!D32</f>
        <v>Verify</v>
      </c>
      <c r="K108" t="str">
        <f>B02_Assessment!E32</f>
        <v>Verify</v>
      </c>
      <c r="L108" t="str">
        <f>B02_Assessment!F32</f>
        <v>Verify</v>
      </c>
      <c r="M108" t="str">
        <f>B02_Assessment!G32</f>
        <v>Verify</v>
      </c>
      <c r="N108" t="str">
        <f>B02_Assessment!H32</f>
        <v>Verify</v>
      </c>
      <c r="O108" t="str">
        <f>B02_Assessment!I32</f>
        <v>Verify</v>
      </c>
      <c r="P108" t="str">
        <f>B02_Assessment!J32</f>
        <v>Electrical schedule references CU-1-01, CU-2-01 and CU-3-01 on B02-TR141B; mechanical sheets include dedicated TR cooling. Confirm which indoor/outdoor unit serves Room 141, capacity, emergency power, condensate, controls/BACnet and alarms.</v>
      </c>
      <c r="Q108" t="str">
        <f t="shared" si="1"/>
        <v>02|25</v>
      </c>
    </row>
    <row r="109" spans="1:17" ht="6.45" customHeight="1">
      <c r="A109" t="s">
        <v>604</v>
      </c>
      <c r="B109">
        <v>26</v>
      </c>
      <c r="C109" t="s">
        <v>15</v>
      </c>
      <c r="D109">
        <v>33</v>
      </c>
      <c r="E109" t="s">
        <v>964</v>
      </c>
      <c r="F109" t="s">
        <v>5324</v>
      </c>
      <c r="G109" t="str">
        <f>B02_Assessment!A33</f>
        <v>236</v>
      </c>
      <c r="H109" t="str">
        <f>B02_Assessment!B33</f>
        <v>CU-2-01 / TR cooling assignment verify</v>
      </c>
      <c r="I109" t="str">
        <f>B02_Assessment!C33</f>
        <v>Verify</v>
      </c>
      <c r="J109" t="str">
        <f>B02_Assessment!D33</f>
        <v>Verify</v>
      </c>
      <c r="K109" t="str">
        <f>B02_Assessment!E33</f>
        <v>Verify</v>
      </c>
      <c r="L109" t="str">
        <f>B02_Assessment!F33</f>
        <v>Verify</v>
      </c>
      <c r="M109" t="str">
        <f>B02_Assessment!G33</f>
        <v>Verify</v>
      </c>
      <c r="N109" t="str">
        <f>B02_Assessment!H33</f>
        <v>Verify</v>
      </c>
      <c r="O109" t="str">
        <f>B02_Assessment!I33</f>
        <v>Verify</v>
      </c>
      <c r="P109" t="str">
        <f>B02_Assessment!J33</f>
        <v>Confirm dedicated cooling equipment serving Room 236, condensate route, 24/7 operation, emergency source and FMS/BACnet high-temperature alarm.</v>
      </c>
      <c r="Q109" t="str">
        <f t="shared" si="1"/>
        <v>02|26</v>
      </c>
    </row>
    <row r="110" spans="1:17" ht="6.45" customHeight="1">
      <c r="A110" t="s">
        <v>604</v>
      </c>
      <c r="B110">
        <v>27</v>
      </c>
      <c r="C110" t="s">
        <v>15</v>
      </c>
      <c r="D110">
        <v>34</v>
      </c>
      <c r="E110" t="s">
        <v>964</v>
      </c>
      <c r="F110" t="s">
        <v>5324</v>
      </c>
      <c r="G110" t="str">
        <f>B02_Assessment!A34</f>
        <v>342</v>
      </c>
      <c r="H110" t="str">
        <f>B02_Assessment!B34</f>
        <v>CU-3-01 / TR cooling assignment verify</v>
      </c>
      <c r="I110" t="str">
        <f>B02_Assessment!C34</f>
        <v>Verify</v>
      </c>
      <c r="J110" t="str">
        <f>B02_Assessment!D34</f>
        <v>Verify</v>
      </c>
      <c r="K110" t="str">
        <f>B02_Assessment!E34</f>
        <v>Verify</v>
      </c>
      <c r="L110" t="str">
        <f>B02_Assessment!F34</f>
        <v>Verify</v>
      </c>
      <c r="M110" t="str">
        <f>B02_Assessment!G34</f>
        <v>Verify</v>
      </c>
      <c r="N110" t="str">
        <f>B02_Assessment!H34</f>
        <v>Verify</v>
      </c>
      <c r="O110" t="str">
        <f>B02_Assessment!I34</f>
        <v>Verify</v>
      </c>
      <c r="P110" t="str">
        <f>B02_Assessment!J34</f>
        <v>Confirm dedicated cooling equipment serving Room 342, condensate route, controls, emergency source and alarm integration.</v>
      </c>
      <c r="Q110" t="str">
        <f t="shared" si="1"/>
        <v>02|27</v>
      </c>
    </row>
    <row r="111" spans="1:17" ht="6.45" customHeight="1">
      <c r="A111" t="s">
        <v>604</v>
      </c>
      <c r="B111">
        <v>28</v>
      </c>
      <c r="C111" t="s">
        <v>15</v>
      </c>
      <c r="D111">
        <v>35</v>
      </c>
      <c r="E111" t="s">
        <v>964</v>
      </c>
      <c r="F111" t="s">
        <v>5324</v>
      </c>
      <c r="G111" t="str">
        <f>B02_Assessment!A35</f>
        <v>B-06 / existing rooms</v>
      </c>
      <c r="H111" t="str">
        <f>B02_Assessment!B35</f>
        <v>Existing / Verify</v>
      </c>
      <c r="I111" t="str">
        <f>B02_Assessment!C35</f>
        <v>Verify</v>
      </c>
      <c r="J111" t="str">
        <f>B02_Assessment!D35</f>
        <v>Verify</v>
      </c>
      <c r="K111" t="str">
        <f>B02_Assessment!E35</f>
        <v>Verify</v>
      </c>
      <c r="L111" t="str">
        <f>B02_Assessment!F35</f>
        <v>Verify</v>
      </c>
      <c r="M111" t="str">
        <f>B02_Assessment!G35</f>
        <v>Verify</v>
      </c>
      <c r="N111" t="str">
        <f>B02_Assessment!H35</f>
        <v>Verify</v>
      </c>
      <c r="O111" t="str">
        <f>B02_Assessment!I35</f>
        <v>Verify</v>
      </c>
      <c r="P111" t="str">
        <f>B02_Assessment!J35</f>
        <v>Existing telecom equipment may remain active during cutover. Verify ambient temperature/cooling protection until migration complete.</v>
      </c>
      <c r="Q111" t="str">
        <f t="shared" si="1"/>
        <v>02|28</v>
      </c>
    </row>
    <row r="112" spans="1:17" ht="6.45" customHeight="1">
      <c r="A112" t="s">
        <v>604</v>
      </c>
      <c r="B112">
        <v>29</v>
      </c>
      <c r="C112" t="s">
        <v>15</v>
      </c>
      <c r="D112">
        <v>36</v>
      </c>
      <c r="E112" t="s">
        <v>964</v>
      </c>
      <c r="F112" t="s">
        <v>5325</v>
      </c>
      <c r="G112">
        <f>B02_Assessment!A36</f>
        <v>0</v>
      </c>
      <c r="H112">
        <f>B02_Assessment!B36</f>
        <v>0</v>
      </c>
      <c r="I112">
        <f>B02_Assessment!C36</f>
        <v>0</v>
      </c>
      <c r="J112">
        <f>B02_Assessment!D36</f>
        <v>0</v>
      </c>
      <c r="K112">
        <f>B02_Assessment!E36</f>
        <v>0</v>
      </c>
      <c r="L112">
        <f>B02_Assessment!F36</f>
        <v>0</v>
      </c>
      <c r="M112">
        <f>B02_Assessment!G36</f>
        <v>0</v>
      </c>
      <c r="N112">
        <f>B02_Assessment!H36</f>
        <v>0</v>
      </c>
      <c r="O112">
        <f>B02_Assessment!I36</f>
        <v>0</v>
      </c>
      <c r="P112">
        <f>B02_Assessment!J36</f>
        <v>0</v>
      </c>
      <c r="Q112" t="str">
        <f t="shared" si="1"/>
        <v>02|29</v>
      </c>
    </row>
    <row r="113" spans="1:17" ht="6.45" customHeight="1">
      <c r="A113" t="s">
        <v>604</v>
      </c>
      <c r="B113">
        <v>30</v>
      </c>
      <c r="C113" t="s">
        <v>15</v>
      </c>
      <c r="D113">
        <v>37</v>
      </c>
      <c r="E113" t="s">
        <v>977</v>
      </c>
      <c r="F113" t="s">
        <v>5322</v>
      </c>
      <c r="G113" t="str">
        <f>B02_Assessment!A37</f>
        <v>5. ELECTRICAL / UPS</v>
      </c>
      <c r="H113">
        <f>B02_Assessment!B37</f>
        <v>0</v>
      </c>
      <c r="I113">
        <f>B02_Assessment!C37</f>
        <v>0</v>
      </c>
      <c r="J113">
        <f>B02_Assessment!D37</f>
        <v>0</v>
      </c>
      <c r="K113">
        <f>B02_Assessment!E37</f>
        <v>0</v>
      </c>
      <c r="L113">
        <f>B02_Assessment!F37</f>
        <v>0</v>
      </c>
      <c r="M113">
        <f>B02_Assessment!G37</f>
        <v>0</v>
      </c>
      <c r="N113">
        <f>B02_Assessment!H37</f>
        <v>0</v>
      </c>
      <c r="O113">
        <f>B02_Assessment!I37</f>
        <v>0</v>
      </c>
      <c r="P113">
        <f>B02_Assessment!J37</f>
        <v>0</v>
      </c>
      <c r="Q113" t="str">
        <f t="shared" si="1"/>
        <v>02|30</v>
      </c>
    </row>
    <row r="114" spans="1:17" ht="6.45" customHeight="1">
      <c r="A114" t="s">
        <v>604</v>
      </c>
      <c r="B114">
        <v>31</v>
      </c>
      <c r="C114" t="s">
        <v>15</v>
      </c>
      <c r="D114">
        <v>38</v>
      </c>
      <c r="E114" t="s">
        <v>977</v>
      </c>
      <c r="F114" t="s">
        <v>5323</v>
      </c>
      <c r="G114" t="str">
        <f>B02_Assessment!A38</f>
        <v>Room</v>
      </c>
      <c r="H114" t="str">
        <f>B02_Assessment!B38</f>
        <v>UPS Installed</v>
      </c>
      <c r="I114" t="str">
        <f>B02_Assessment!C38</f>
        <v>UPS Size</v>
      </c>
      <c r="J114" t="str">
        <f>B02_Assessment!D38</f>
        <v>PDU Installed</v>
      </c>
      <c r="K114" t="str">
        <f>B02_Assessment!E38</f>
        <v>Rack Receptacles</v>
      </c>
      <c r="L114" t="str">
        <f>B02_Assessment!F38</f>
        <v>Panel Assigned</v>
      </c>
      <c r="M114" t="str">
        <f>B02_Assessment!G38</f>
        <v>Emergency Source</v>
      </c>
      <c r="N114" t="str">
        <f>B02_Assessment!H38</f>
        <v>SPD / Labeling</v>
      </c>
      <c r="O114" t="str">
        <f>B02_Assessment!I38</f>
        <v>Overall</v>
      </c>
      <c r="P114" t="str">
        <f>B02_Assessment!J38</f>
        <v>Notes</v>
      </c>
      <c r="Q114" t="str">
        <f t="shared" si="1"/>
        <v>02|31</v>
      </c>
    </row>
    <row r="115" spans="1:17" ht="6.45" customHeight="1">
      <c r="A115" t="s">
        <v>604</v>
      </c>
      <c r="B115">
        <v>32</v>
      </c>
      <c r="C115" t="s">
        <v>15</v>
      </c>
      <c r="D115">
        <v>39</v>
      </c>
      <c r="E115" t="s">
        <v>977</v>
      </c>
      <c r="F115" t="s">
        <v>5324</v>
      </c>
      <c r="G115" t="str">
        <f>B02_Assessment!A39</f>
        <v>141</v>
      </c>
      <c r="H115" t="str">
        <f>B02_Assessment!B39</f>
        <v>Verify</v>
      </c>
      <c r="I115" t="str">
        <f>B02_Assessment!C39</f>
        <v>5 kW / 208V rack UPS</v>
      </c>
      <c r="J115" t="str">
        <f>B02_Assessment!D39</f>
        <v>Verify</v>
      </c>
      <c r="K115" t="str">
        <f>B02_Assessment!E39</f>
        <v>Verify</v>
      </c>
      <c r="L115" t="str">
        <f>B02_Assessment!F39</f>
        <v>B02-TR141A / B02-TR141B</v>
      </c>
      <c r="M115" t="str">
        <f>B02_Assessment!G39</f>
        <v>Verify</v>
      </c>
      <c r="N115" t="str">
        <f>B02_Assessment!H39</f>
        <v>Verify</v>
      </c>
      <c r="O115" t="str">
        <f>B02_Assessment!I39</f>
        <v>Verify</v>
      </c>
      <c r="P115" t="str">
        <f>B02_Assessment!J39</f>
        <v>Electrical one-line/schedules identify B02-TR141A/B with rack receptacles, lighting/receptacles, SPDs integral to new telecom panelboards and cooling equipment references. Verify source, 30-day load measurement, LOTO and labels.</v>
      </c>
      <c r="Q115" t="str">
        <f t="shared" si="1"/>
        <v>02|32</v>
      </c>
    </row>
    <row r="116" spans="1:17" ht="6.45" customHeight="1">
      <c r="A116" t="s">
        <v>604</v>
      </c>
      <c r="B116">
        <v>33</v>
      </c>
      <c r="C116" t="s">
        <v>15</v>
      </c>
      <c r="D116">
        <v>40</v>
      </c>
      <c r="E116" t="s">
        <v>977</v>
      </c>
      <c r="F116" t="s">
        <v>5324</v>
      </c>
      <c r="G116" t="str">
        <f>B02_Assessment!A40</f>
        <v>236</v>
      </c>
      <c r="H116" t="str">
        <f>B02_Assessment!B40</f>
        <v>Verify</v>
      </c>
      <c r="I116" t="str">
        <f>B02_Assessment!C40</f>
        <v>5 kW / 208V rack UPS</v>
      </c>
      <c r="J116" t="str">
        <f>B02_Assessment!D40</f>
        <v>Verify</v>
      </c>
      <c r="K116" t="str">
        <f>B02_Assessment!E40</f>
        <v>Verify</v>
      </c>
      <c r="L116" t="str">
        <f>B02_Assessment!F40</f>
        <v>B02-TR236A / B02-TR236B</v>
      </c>
      <c r="M116" t="str">
        <f>B02_Assessment!G40</f>
        <v>Verify</v>
      </c>
      <c r="N116" t="str">
        <f>B02_Assessment!H40</f>
        <v>Verify</v>
      </c>
      <c r="O116" t="str">
        <f>B02_Assessment!I40</f>
        <v>Verify</v>
      </c>
      <c r="P116" t="str">
        <f>B02_Assessment!J40</f>
        <v>Electrical one-line/schedules identify B02-TR236A/B with rack receptacles, lighting/receptacles, SPDs and normal/emergency power requirements. Verify source and rack PDU mapping.</v>
      </c>
      <c r="Q116" t="str">
        <f t="shared" si="1"/>
        <v>02|33</v>
      </c>
    </row>
    <row r="117" spans="1:17" ht="6.45" customHeight="1">
      <c r="A117" t="s">
        <v>604</v>
      </c>
      <c r="B117">
        <v>34</v>
      </c>
      <c r="C117" t="s">
        <v>15</v>
      </c>
      <c r="D117">
        <v>41</v>
      </c>
      <c r="E117" t="s">
        <v>977</v>
      </c>
      <c r="F117" t="s">
        <v>5324</v>
      </c>
      <c r="G117" t="str">
        <f>B02_Assessment!A41</f>
        <v>342</v>
      </c>
      <c r="H117" t="str">
        <f>B02_Assessment!B41</f>
        <v>Verify</v>
      </c>
      <c r="I117" t="str">
        <f>B02_Assessment!C41</f>
        <v>5 kW / 208V rack UPS</v>
      </c>
      <c r="J117" t="str">
        <f>B02_Assessment!D41</f>
        <v>Verify</v>
      </c>
      <c r="K117" t="str">
        <f>B02_Assessment!E41</f>
        <v>Verify</v>
      </c>
      <c r="L117" t="str">
        <f>B02_Assessment!F41</f>
        <v>B02-TR342A / B02-TR342B</v>
      </c>
      <c r="M117" t="str">
        <f>B02_Assessment!G41</f>
        <v>Verify</v>
      </c>
      <c r="N117" t="str">
        <f>B02_Assessment!H41</f>
        <v>Verify</v>
      </c>
      <c r="O117" t="str">
        <f>B02_Assessment!I41</f>
        <v>Verify</v>
      </c>
      <c r="P117" t="str">
        <f>B02_Assessment!J41</f>
        <v>Electrical one-line/schedules identify B02-TR342A/B with rack receptacles, lighting/receptacles and SPDs. Verify source panels and UPS/PDU circuits.</v>
      </c>
      <c r="Q117" t="str">
        <f t="shared" si="1"/>
        <v>02|34</v>
      </c>
    </row>
    <row r="118" spans="1:17" ht="6.45" customHeight="1">
      <c r="A118" t="s">
        <v>604</v>
      </c>
      <c r="B118">
        <v>35</v>
      </c>
      <c r="C118" t="s">
        <v>15</v>
      </c>
      <c r="D118">
        <v>42</v>
      </c>
      <c r="E118" t="s">
        <v>977</v>
      </c>
      <c r="F118" t="s">
        <v>5324</v>
      </c>
      <c r="G118" t="str">
        <f>B02_Assessment!A42</f>
        <v>B-06 / existing rooms</v>
      </c>
      <c r="H118" t="str">
        <f>B02_Assessment!B42</f>
        <v>Existing / Verify</v>
      </c>
      <c r="I118" t="str">
        <f>B02_Assessment!C42</f>
        <v>Existing / Verify</v>
      </c>
      <c r="J118" t="str">
        <f>B02_Assessment!D42</f>
        <v>Existing / Verify</v>
      </c>
      <c r="K118" t="str">
        <f>B02_Assessment!E42</f>
        <v>Verify</v>
      </c>
      <c r="L118" t="str">
        <f>B02_Assessment!F42</f>
        <v>Existing / Verify</v>
      </c>
      <c r="M118" t="str">
        <f>B02_Assessment!G42</f>
        <v>Verify</v>
      </c>
      <c r="N118" t="str">
        <f>B02_Assessment!H42</f>
        <v>Verify</v>
      </c>
      <c r="O118" t="str">
        <f>B02_Assessment!I42</f>
        <v>Verify</v>
      </c>
      <c r="P118" t="str">
        <f>B02_Assessment!J42</f>
        <v>Existing racks/panels remain active during transfer; verify power source, UPS status and temporary power needs.</v>
      </c>
      <c r="Q118" t="str">
        <f t="shared" si="1"/>
        <v>02|35</v>
      </c>
    </row>
    <row r="119" spans="1:17" ht="6.45" customHeight="1">
      <c r="A119" t="s">
        <v>604</v>
      </c>
      <c r="B119">
        <v>36</v>
      </c>
      <c r="C119" t="s">
        <v>15</v>
      </c>
      <c r="D119">
        <v>43</v>
      </c>
      <c r="E119" t="s">
        <v>977</v>
      </c>
      <c r="F119" t="s">
        <v>5325</v>
      </c>
      <c r="G119">
        <f>B02_Assessment!A43</f>
        <v>0</v>
      </c>
      <c r="H119">
        <f>B02_Assessment!B43</f>
        <v>0</v>
      </c>
      <c r="I119">
        <f>B02_Assessment!C43</f>
        <v>0</v>
      </c>
      <c r="J119">
        <f>B02_Assessment!D43</f>
        <v>0</v>
      </c>
      <c r="K119">
        <f>B02_Assessment!E43</f>
        <v>0</v>
      </c>
      <c r="L119">
        <f>B02_Assessment!F43</f>
        <v>0</v>
      </c>
      <c r="M119">
        <f>B02_Assessment!G43</f>
        <v>0</v>
      </c>
      <c r="N119">
        <f>B02_Assessment!H43</f>
        <v>0</v>
      </c>
      <c r="O119">
        <f>B02_Assessment!I43</f>
        <v>0</v>
      </c>
      <c r="P119">
        <f>B02_Assessment!J43</f>
        <v>0</v>
      </c>
      <c r="Q119" t="str">
        <f t="shared" si="1"/>
        <v>02|36</v>
      </c>
    </row>
    <row r="120" spans="1:17" ht="6.45" customHeight="1">
      <c r="A120" t="s">
        <v>604</v>
      </c>
      <c r="B120">
        <v>37</v>
      </c>
      <c r="C120" t="s">
        <v>15</v>
      </c>
      <c r="D120">
        <v>44</v>
      </c>
      <c r="E120" t="s">
        <v>994</v>
      </c>
      <c r="F120" t="s">
        <v>5322</v>
      </c>
      <c r="G120" t="str">
        <f>B02_Assessment!A44</f>
        <v>6. TELECOMMUNICATIONS</v>
      </c>
      <c r="H120">
        <f>B02_Assessment!B44</f>
        <v>0</v>
      </c>
      <c r="I120">
        <f>B02_Assessment!C44</f>
        <v>0</v>
      </c>
      <c r="J120">
        <f>B02_Assessment!D44</f>
        <v>0</v>
      </c>
      <c r="K120">
        <f>B02_Assessment!E44</f>
        <v>0</v>
      </c>
      <c r="L120">
        <f>B02_Assessment!F44</f>
        <v>0</v>
      </c>
      <c r="M120">
        <f>B02_Assessment!G44</f>
        <v>0</v>
      </c>
      <c r="N120">
        <f>B02_Assessment!H44</f>
        <v>0</v>
      </c>
      <c r="O120">
        <f>B02_Assessment!I44</f>
        <v>0</v>
      </c>
      <c r="P120">
        <f>B02_Assessment!J44</f>
        <v>0</v>
      </c>
      <c r="Q120" t="str">
        <f t="shared" si="1"/>
        <v>02|37</v>
      </c>
    </row>
    <row r="121" spans="1:17" ht="6.45" customHeight="1">
      <c r="A121" t="s">
        <v>604</v>
      </c>
      <c r="B121">
        <v>38</v>
      </c>
      <c r="C121" t="s">
        <v>15</v>
      </c>
      <c r="D121">
        <v>45</v>
      </c>
      <c r="E121" t="s">
        <v>994</v>
      </c>
      <c r="F121" t="s">
        <v>5323</v>
      </c>
      <c r="G121" t="str">
        <f>B02_Assessment!A45</f>
        <v>Room</v>
      </c>
      <c r="H121" t="str">
        <f>B02_Assessment!B45</f>
        <v>Rack Installed</v>
      </c>
      <c r="I121" t="str">
        <f>B02_Assessment!C45</f>
        <v>Ladder Tray</v>
      </c>
      <c r="J121" t="str">
        <f>B02_Assessment!D45</f>
        <v>Fiber Installed</v>
      </c>
      <c r="K121" t="str">
        <f>B02_Assessment!E45</f>
        <v>Grounding</v>
      </c>
      <c r="L121" t="str">
        <f>B02_Assessment!F45</f>
        <v>Labeling</v>
      </c>
      <c r="M121" t="str">
        <f>B02_Assessment!G45</f>
        <v>Testing</v>
      </c>
      <c r="N121" t="str">
        <f>B02_Assessment!H45</f>
        <v>VA Acceptance</v>
      </c>
      <c r="O121" t="str">
        <f>B02_Assessment!I45</f>
        <v>Overall</v>
      </c>
      <c r="P121" t="str">
        <f>B02_Assessment!J45</f>
        <v>Notes</v>
      </c>
      <c r="Q121" t="str">
        <f t="shared" si="1"/>
        <v>02|38</v>
      </c>
    </row>
    <row r="122" spans="1:17" ht="6.45" customHeight="1">
      <c r="A122" t="s">
        <v>604</v>
      </c>
      <c r="B122">
        <v>39</v>
      </c>
      <c r="C122" t="s">
        <v>15</v>
      </c>
      <c r="D122">
        <v>46</v>
      </c>
      <c r="E122" t="s">
        <v>994</v>
      </c>
      <c r="F122" t="s">
        <v>5324</v>
      </c>
      <c r="G122" t="str">
        <f>B02_Assessment!A46</f>
        <v>141</v>
      </c>
      <c r="H122" t="str">
        <f>B02_Assessment!B46</f>
        <v>Verify</v>
      </c>
      <c r="I122" t="str">
        <f>B02_Assessment!C46</f>
        <v>Verify</v>
      </c>
      <c r="J122" t="str">
        <f>B02_Assessment!D46</f>
        <v>Verify</v>
      </c>
      <c r="K122" t="str">
        <f>B02_Assessment!E46</f>
        <v>Verify</v>
      </c>
      <c r="L122" t="str">
        <f>B02_Assessment!F46</f>
        <v>Verify</v>
      </c>
      <c r="M122" t="str">
        <f>B02_Assessment!G46</f>
        <v>Verify</v>
      </c>
      <c r="N122" t="str">
        <f>B02_Assessment!H46</f>
        <v>Verify</v>
      </c>
      <c r="O122" t="str">
        <f>B02_Assessment!I46</f>
        <v>Verify</v>
      </c>
      <c r="P122" t="str">
        <f>B02_Assessment!J46</f>
        <v>02T-701 identifies RM141 with 211 WAO total, 215 active ports, 322 scheduled ports, 354 ports with allowance. Rack IDs TR01-141-01/02. Cable tray schedule total includes 1,069 ft first-level cable tray.</v>
      </c>
      <c r="Q122" t="str">
        <f t="shared" si="1"/>
        <v>02|39</v>
      </c>
    </row>
    <row r="123" spans="1:17" ht="6.45" customHeight="1">
      <c r="A123" t="s">
        <v>604</v>
      </c>
      <c r="B123">
        <v>40</v>
      </c>
      <c r="C123" t="s">
        <v>15</v>
      </c>
      <c r="D123">
        <v>47</v>
      </c>
      <c r="E123" t="s">
        <v>994</v>
      </c>
      <c r="F123" t="s">
        <v>5324</v>
      </c>
      <c r="G123" t="str">
        <f>B02_Assessment!A47</f>
        <v>236</v>
      </c>
      <c r="H123" t="str">
        <f>B02_Assessment!B47</f>
        <v>Verify</v>
      </c>
      <c r="I123" t="str">
        <f>B02_Assessment!C47</f>
        <v>Verify</v>
      </c>
      <c r="J123" t="str">
        <f>B02_Assessment!D47</f>
        <v>Verify</v>
      </c>
      <c r="K123" t="str">
        <f>B02_Assessment!E47</f>
        <v>Verify</v>
      </c>
      <c r="L123" t="str">
        <f>B02_Assessment!F47</f>
        <v>Verify</v>
      </c>
      <c r="M123" t="str">
        <f>B02_Assessment!G47</f>
        <v>Verify</v>
      </c>
      <c r="N123" t="str">
        <f>B02_Assessment!H47</f>
        <v>Verify</v>
      </c>
      <c r="O123" t="str">
        <f>B02_Assessment!I47</f>
        <v>Verify</v>
      </c>
      <c r="P123" t="str">
        <f>B02_Assessment!J47</f>
        <v>02T-702 identifies RM236 with 179 WAO total, 178 active ports, 314 scheduled ports and approx. 345 with allowance. Rack IDs TR01-236-01/02. Verify second-level cable tray, riser and cutover from existing 282/236 scope.</v>
      </c>
      <c r="Q123" t="str">
        <f t="shared" si="1"/>
        <v>02|40</v>
      </c>
    </row>
    <row r="124" spans="1:17" ht="6.45" customHeight="1">
      <c r="A124" t="s">
        <v>604</v>
      </c>
      <c r="B124">
        <v>41</v>
      </c>
      <c r="C124" t="s">
        <v>15</v>
      </c>
      <c r="D124">
        <v>48</v>
      </c>
      <c r="E124" t="s">
        <v>994</v>
      </c>
      <c r="F124" t="s">
        <v>5324</v>
      </c>
      <c r="G124" t="str">
        <f>B02_Assessment!A48</f>
        <v>342</v>
      </c>
      <c r="H124" t="str">
        <f>B02_Assessment!B48</f>
        <v>Verify</v>
      </c>
      <c r="I124" t="str">
        <f>B02_Assessment!C48</f>
        <v>Verify</v>
      </c>
      <c r="J124" t="str">
        <f>B02_Assessment!D48</f>
        <v>Verify</v>
      </c>
      <c r="K124" t="str">
        <f>B02_Assessment!E48</f>
        <v>Verify</v>
      </c>
      <c r="L124" t="str">
        <f>B02_Assessment!F48</f>
        <v>Verify</v>
      </c>
      <c r="M124" t="str">
        <f>B02_Assessment!G48</f>
        <v>Verify</v>
      </c>
      <c r="N124" t="str">
        <f>B02_Assessment!H48</f>
        <v>Verify</v>
      </c>
      <c r="O124" t="str">
        <f>B02_Assessment!I48</f>
        <v>Verify</v>
      </c>
      <c r="P124" t="str">
        <f>B02_Assessment!J48</f>
        <v>02T-703 identifies RM342 with 274 WAO total, 96 active ports, 353 scheduled ports, 388 with allowance. Rack IDs TR01-342-01/02. Verify third-level cable tray and high outlet count.</v>
      </c>
      <c r="Q124" t="str">
        <f t="shared" si="1"/>
        <v>02|41</v>
      </c>
    </row>
    <row r="125" spans="1:17" ht="6.45" customHeight="1">
      <c r="A125" t="s">
        <v>604</v>
      </c>
      <c r="B125">
        <v>42</v>
      </c>
      <c r="C125" t="s">
        <v>15</v>
      </c>
      <c r="D125">
        <v>49</v>
      </c>
      <c r="E125" t="s">
        <v>994</v>
      </c>
      <c r="F125" t="s">
        <v>5324</v>
      </c>
      <c r="G125" t="str">
        <f>B02_Assessment!A49</f>
        <v>B-06 / existing rooms</v>
      </c>
      <c r="H125" t="str">
        <f>B02_Assessment!B49</f>
        <v>Existing / Transfer</v>
      </c>
      <c r="I125" t="str">
        <f>B02_Assessment!C49</f>
        <v>Existing</v>
      </c>
      <c r="J125" t="str">
        <f>B02_Assessment!D49</f>
        <v>Existing</v>
      </c>
      <c r="K125" t="str">
        <f>B02_Assessment!E49</f>
        <v>Verify</v>
      </c>
      <c r="L125" t="str">
        <f>B02_Assessment!F49</f>
        <v>Verify</v>
      </c>
      <c r="M125" t="str">
        <f>B02_Assessment!G49</f>
        <v>Verify</v>
      </c>
      <c r="N125" t="str">
        <f>B02_Assessment!H49</f>
        <v>Verify</v>
      </c>
      <c r="O125" t="str">
        <f>B02_Assessment!I49</f>
        <v>Verify</v>
      </c>
      <c r="P125" t="str">
        <f>B02_Assessment!J49</f>
        <v>Existing B-06/141/236 racks support legacy services. Field verify all active circuits, existing patch panels, labels, and transfer plan before cutover.</v>
      </c>
      <c r="Q125" t="str">
        <f t="shared" si="1"/>
        <v>02|42</v>
      </c>
    </row>
    <row r="126" spans="1:17" ht="6.45" customHeight="1">
      <c r="A126" t="s">
        <v>604</v>
      </c>
      <c r="B126">
        <v>43</v>
      </c>
      <c r="C126" t="s">
        <v>15</v>
      </c>
      <c r="D126">
        <v>50</v>
      </c>
      <c r="E126" t="s">
        <v>994</v>
      </c>
      <c r="F126" t="s">
        <v>5325</v>
      </c>
      <c r="G126">
        <f>B02_Assessment!A50</f>
        <v>0</v>
      </c>
      <c r="H126">
        <f>B02_Assessment!B50</f>
        <v>0</v>
      </c>
      <c r="I126">
        <f>B02_Assessment!C50</f>
        <v>0</v>
      </c>
      <c r="J126">
        <f>B02_Assessment!D50</f>
        <v>0</v>
      </c>
      <c r="K126">
        <f>B02_Assessment!E50</f>
        <v>0</v>
      </c>
      <c r="L126">
        <f>B02_Assessment!F50</f>
        <v>0</v>
      </c>
      <c r="M126">
        <f>B02_Assessment!G50</f>
        <v>0</v>
      </c>
      <c r="N126">
        <f>B02_Assessment!H50</f>
        <v>0</v>
      </c>
      <c r="O126">
        <f>B02_Assessment!I50</f>
        <v>0</v>
      </c>
      <c r="P126">
        <f>B02_Assessment!J50</f>
        <v>0</v>
      </c>
      <c r="Q126" t="str">
        <f t="shared" si="1"/>
        <v>02|43</v>
      </c>
    </row>
    <row r="127" spans="1:17" ht="6.45" customHeight="1">
      <c r="A127" t="s">
        <v>604</v>
      </c>
      <c r="B127">
        <v>44</v>
      </c>
      <c r="C127" t="s">
        <v>15</v>
      </c>
      <c r="D127">
        <v>51</v>
      </c>
      <c r="E127" t="s">
        <v>1007</v>
      </c>
      <c r="F127" t="s">
        <v>5322</v>
      </c>
      <c r="G127" t="str">
        <f>B02_Assessment!A51</f>
        <v>7. SECURITY / PACS / CCTV</v>
      </c>
      <c r="H127">
        <f>B02_Assessment!B51</f>
        <v>0</v>
      </c>
      <c r="I127">
        <f>B02_Assessment!C51</f>
        <v>0</v>
      </c>
      <c r="J127">
        <f>B02_Assessment!D51</f>
        <v>0</v>
      </c>
      <c r="K127">
        <f>B02_Assessment!E51</f>
        <v>0</v>
      </c>
      <c r="L127">
        <f>B02_Assessment!F51</f>
        <v>0</v>
      </c>
      <c r="M127">
        <f>B02_Assessment!G51</f>
        <v>0</v>
      </c>
      <c r="N127">
        <f>B02_Assessment!H51</f>
        <v>0</v>
      </c>
      <c r="O127">
        <f>B02_Assessment!I51</f>
        <v>0</v>
      </c>
      <c r="P127">
        <f>B02_Assessment!J51</f>
        <v>0</v>
      </c>
      <c r="Q127" t="str">
        <f t="shared" si="1"/>
        <v>02|44</v>
      </c>
    </row>
    <row r="128" spans="1:17" ht="6.45" customHeight="1">
      <c r="A128" t="s">
        <v>604</v>
      </c>
      <c r="B128">
        <v>45</v>
      </c>
      <c r="C128" t="s">
        <v>15</v>
      </c>
      <c r="D128">
        <v>52</v>
      </c>
      <c r="E128" t="s">
        <v>1007</v>
      </c>
      <c r="F128" t="s">
        <v>5323</v>
      </c>
      <c r="G128" t="str">
        <f>B02_Assessment!A52</f>
        <v>Room</v>
      </c>
      <c r="H128" t="str">
        <f>B02_Assessment!B52</f>
        <v>PACS</v>
      </c>
      <c r="I128" t="str">
        <f>B02_Assessment!C52</f>
        <v>Card Reader</v>
      </c>
      <c r="J128" t="str">
        <f>B02_Assessment!D52</f>
        <v>Door Position</v>
      </c>
      <c r="K128" t="str">
        <f>B02_Assessment!E52</f>
        <v>Electric Strike</v>
      </c>
      <c r="L128" t="str">
        <f>B02_Assessment!F52</f>
        <v>CCTV</v>
      </c>
      <c r="M128" t="str">
        <f>B02_Assessment!G52</f>
        <v>Motion Sensor</v>
      </c>
      <c r="N128" t="str">
        <f>B02_Assessment!H52</f>
        <v>Integration</v>
      </c>
      <c r="O128" t="str">
        <f>B02_Assessment!I52</f>
        <v>Overall</v>
      </c>
      <c r="P128" t="str">
        <f>B02_Assessment!J52</f>
        <v>Notes</v>
      </c>
      <c r="Q128" t="str">
        <f t="shared" si="1"/>
        <v>02|45</v>
      </c>
    </row>
    <row r="129" spans="1:17" ht="6.45" customHeight="1">
      <c r="A129" t="s">
        <v>604</v>
      </c>
      <c r="B129">
        <v>46</v>
      </c>
      <c r="C129" t="s">
        <v>15</v>
      </c>
      <c r="D129">
        <v>53</v>
      </c>
      <c r="E129" t="s">
        <v>1007</v>
      </c>
      <c r="F129" t="s">
        <v>5324</v>
      </c>
      <c r="G129" t="str">
        <f>B02_Assessment!A53</f>
        <v>141</v>
      </c>
      <c r="H129" t="str">
        <f>B02_Assessment!B53</f>
        <v>Verify</v>
      </c>
      <c r="I129" t="str">
        <f>B02_Assessment!C53</f>
        <v>Verify</v>
      </c>
      <c r="J129" t="str">
        <f>B02_Assessment!D53</f>
        <v>Verify</v>
      </c>
      <c r="K129" t="str">
        <f>B02_Assessment!E53</f>
        <v>Verify</v>
      </c>
      <c r="L129" t="str">
        <f>B02_Assessment!F53</f>
        <v>Verify</v>
      </c>
      <c r="M129" t="str">
        <f>B02_Assessment!G53</f>
        <v>Verify</v>
      </c>
      <c r="N129" t="str">
        <f>B02_Assessment!H53</f>
        <v>Verify</v>
      </c>
      <c r="O129" t="str">
        <f>B02_Assessment!I53</f>
        <v>Verify</v>
      </c>
      <c r="P129" t="str">
        <f>B02_Assessment!J53</f>
        <v>Plans show 174-CAM-01 associated with the first-level TR area and PACS/security requirements. Verify camera/VMS integration, access controller/power supply, CR/RX/DC/ES/MD and door hardware.</v>
      </c>
      <c r="Q129" t="str">
        <f t="shared" si="1"/>
        <v>02|46</v>
      </c>
    </row>
    <row r="130" spans="1:17" ht="6.45" customHeight="1">
      <c r="A130" t="s">
        <v>604</v>
      </c>
      <c r="B130">
        <v>47</v>
      </c>
      <c r="C130" t="s">
        <v>15</v>
      </c>
      <c r="D130">
        <v>54</v>
      </c>
      <c r="E130" t="s">
        <v>1007</v>
      </c>
      <c r="F130" t="s">
        <v>5324</v>
      </c>
      <c r="G130" t="str">
        <f>B02_Assessment!A54</f>
        <v>236</v>
      </c>
      <c r="H130" t="str">
        <f>B02_Assessment!B54</f>
        <v>Verify</v>
      </c>
      <c r="I130" t="str">
        <f>B02_Assessment!C54</f>
        <v>Verify</v>
      </c>
      <c r="J130" t="str">
        <f>B02_Assessment!D54</f>
        <v>Verify</v>
      </c>
      <c r="K130" t="str">
        <f>B02_Assessment!E54</f>
        <v>Verify</v>
      </c>
      <c r="L130" t="str">
        <f>B02_Assessment!F54</f>
        <v>Verify</v>
      </c>
      <c r="M130" t="str">
        <f>B02_Assessment!G54</f>
        <v>Verify</v>
      </c>
      <c r="N130" t="str">
        <f>B02_Assessment!H54</f>
        <v>Verify</v>
      </c>
      <c r="O130" t="str">
        <f>B02_Assessment!I54</f>
        <v>Verify</v>
      </c>
      <c r="P130" t="str">
        <f>B02_Assessment!J54</f>
        <v>Plans show 236-CAM-01. Verify camera/VMS integration, access control, door hardware, motion/detection devices and power.</v>
      </c>
      <c r="Q130" t="str">
        <f t="shared" ref="Q130:Q193" si="2">A130&amp;"|"&amp;B130</f>
        <v>02|47</v>
      </c>
    </row>
    <row r="131" spans="1:17" ht="6.45" customHeight="1">
      <c r="A131" t="s">
        <v>604</v>
      </c>
      <c r="B131">
        <v>48</v>
      </c>
      <c r="C131" t="s">
        <v>15</v>
      </c>
      <c r="D131">
        <v>55</v>
      </c>
      <c r="E131" t="s">
        <v>1007</v>
      </c>
      <c r="F131" t="s">
        <v>5324</v>
      </c>
      <c r="G131" t="str">
        <f>B02_Assessment!A55</f>
        <v>342</v>
      </c>
      <c r="H131" t="str">
        <f>B02_Assessment!B55</f>
        <v>Verify</v>
      </c>
      <c r="I131" t="str">
        <f>B02_Assessment!C55</f>
        <v>Verify</v>
      </c>
      <c r="J131" t="str">
        <f>B02_Assessment!D55</f>
        <v>Verify</v>
      </c>
      <c r="K131" t="str">
        <f>B02_Assessment!E55</f>
        <v>Verify</v>
      </c>
      <c r="L131" t="str">
        <f>B02_Assessment!F55</f>
        <v>Verify</v>
      </c>
      <c r="M131" t="str">
        <f>B02_Assessment!G55</f>
        <v>Verify</v>
      </c>
      <c r="N131" t="str">
        <f>B02_Assessment!H55</f>
        <v>Verify</v>
      </c>
      <c r="O131" t="str">
        <f>B02_Assessment!I55</f>
        <v>Verify</v>
      </c>
      <c r="P131" t="str">
        <f>B02_Assessment!J55</f>
        <v>Plans show 342-CAM-01 and 342A-CK-A. Verify camera/VMS integration and access control/security rough-in.</v>
      </c>
      <c r="Q131" t="str">
        <f t="shared" si="2"/>
        <v>02|48</v>
      </c>
    </row>
    <row r="132" spans="1:17" ht="6.45" customHeight="1">
      <c r="A132" t="s">
        <v>604</v>
      </c>
      <c r="B132">
        <v>49</v>
      </c>
      <c r="C132" t="s">
        <v>15</v>
      </c>
      <c r="D132">
        <v>56</v>
      </c>
      <c r="E132" t="s">
        <v>1007</v>
      </c>
      <c r="F132" t="s">
        <v>5324</v>
      </c>
      <c r="G132" t="str">
        <f>B02_Assessment!A56</f>
        <v>B-06 / existing rooms</v>
      </c>
      <c r="H132" t="str">
        <f>B02_Assessment!B56</f>
        <v>Existing / Verify</v>
      </c>
      <c r="I132" t="str">
        <f>B02_Assessment!C56</f>
        <v>Existing / Verify</v>
      </c>
      <c r="J132" t="str">
        <f>B02_Assessment!D56</f>
        <v>Existing / Verify</v>
      </c>
      <c r="K132" t="str">
        <f>B02_Assessment!E56</f>
        <v>Existing / Verify</v>
      </c>
      <c r="L132" t="str">
        <f>B02_Assessment!F56</f>
        <v>Verify Existing</v>
      </c>
      <c r="M132" t="str">
        <f>B02_Assessment!G56</f>
        <v>Verify Existing</v>
      </c>
      <c r="N132" t="str">
        <f>B02_Assessment!H56</f>
        <v>Verify</v>
      </c>
      <c r="O132" t="str">
        <f>B02_Assessment!I56</f>
        <v>Verify</v>
      </c>
      <c r="P132" t="str">
        <f>B02_Assessment!J56</f>
        <v>Maintain existing camera angles when re-cabling and protect existing PACS/equipment racks during transfer.</v>
      </c>
      <c r="Q132" t="str">
        <f t="shared" si="2"/>
        <v>02|49</v>
      </c>
    </row>
    <row r="133" spans="1:17" ht="6.45" customHeight="1">
      <c r="A133" t="s">
        <v>604</v>
      </c>
      <c r="B133">
        <v>50</v>
      </c>
      <c r="C133" t="s">
        <v>15</v>
      </c>
      <c r="D133">
        <v>57</v>
      </c>
      <c r="E133" t="s">
        <v>1007</v>
      </c>
      <c r="F133" t="s">
        <v>5325</v>
      </c>
      <c r="G133">
        <f>B02_Assessment!A57</f>
        <v>0</v>
      </c>
      <c r="H133">
        <f>B02_Assessment!B57</f>
        <v>0</v>
      </c>
      <c r="I133">
        <f>B02_Assessment!C57</f>
        <v>0</v>
      </c>
      <c r="J133">
        <f>B02_Assessment!D57</f>
        <v>0</v>
      </c>
      <c r="K133">
        <f>B02_Assessment!E57</f>
        <v>0</v>
      </c>
      <c r="L133">
        <f>B02_Assessment!F57</f>
        <v>0</v>
      </c>
      <c r="M133">
        <f>B02_Assessment!G57</f>
        <v>0</v>
      </c>
      <c r="N133">
        <f>B02_Assessment!H57</f>
        <v>0</v>
      </c>
      <c r="O133">
        <f>B02_Assessment!I57</f>
        <v>0</v>
      </c>
      <c r="P133">
        <f>B02_Assessment!J57</f>
        <v>0</v>
      </c>
      <c r="Q133" t="str">
        <f t="shared" si="2"/>
        <v>02|50</v>
      </c>
    </row>
    <row r="134" spans="1:17" ht="6.45" customHeight="1">
      <c r="A134" t="s">
        <v>604</v>
      </c>
      <c r="B134">
        <v>51</v>
      </c>
      <c r="C134" t="s">
        <v>15</v>
      </c>
      <c r="D134">
        <v>58</v>
      </c>
      <c r="E134" t="s">
        <v>1019</v>
      </c>
      <c r="F134" t="s">
        <v>5322</v>
      </c>
      <c r="G134" t="str">
        <f>B02_Assessment!A58</f>
        <v>8. OWNER RISKS</v>
      </c>
      <c r="H134">
        <f>B02_Assessment!B58</f>
        <v>0</v>
      </c>
      <c r="I134">
        <f>B02_Assessment!C58</f>
        <v>0</v>
      </c>
      <c r="J134">
        <f>B02_Assessment!D58</f>
        <v>0</v>
      </c>
      <c r="K134">
        <f>B02_Assessment!E58</f>
        <v>0</v>
      </c>
      <c r="L134">
        <f>B02_Assessment!F58</f>
        <v>0</v>
      </c>
      <c r="M134">
        <f>B02_Assessment!G58</f>
        <v>0</v>
      </c>
      <c r="N134">
        <f>B02_Assessment!H58</f>
        <v>0</v>
      </c>
      <c r="O134">
        <f>B02_Assessment!I58</f>
        <v>0</v>
      </c>
      <c r="P134">
        <f>B02_Assessment!J58</f>
        <v>0</v>
      </c>
      <c r="Q134" t="str">
        <f t="shared" si="2"/>
        <v>02|51</v>
      </c>
    </row>
    <row r="135" spans="1:17" ht="6.45" customHeight="1">
      <c r="A135" t="s">
        <v>604</v>
      </c>
      <c r="B135">
        <v>52</v>
      </c>
      <c r="C135" t="s">
        <v>15</v>
      </c>
      <c r="D135">
        <v>59</v>
      </c>
      <c r="E135" t="s">
        <v>1019</v>
      </c>
      <c r="F135" t="s">
        <v>5323</v>
      </c>
      <c r="G135" t="str">
        <f>B02_Assessment!A59</f>
        <v>Risk ID</v>
      </c>
      <c r="H135" t="str">
        <f>B02_Assessment!B59</f>
        <v>Room</v>
      </c>
      <c r="I135" t="str">
        <f>B02_Assessment!C59</f>
        <v>Risk</v>
      </c>
      <c r="J135" t="str">
        <f>B02_Assessment!D59</f>
        <v>Impact</v>
      </c>
      <c r="K135" t="str">
        <f>B02_Assessment!E59</f>
        <v>Probability</v>
      </c>
      <c r="L135" t="str">
        <f>B02_Assessment!F59</f>
        <v>Score</v>
      </c>
      <c r="M135" t="str">
        <f>B02_Assessment!G59</f>
        <v>Mitigation</v>
      </c>
      <c r="N135" t="str">
        <f>B02_Assessment!H59</f>
        <v>Owner</v>
      </c>
      <c r="O135" t="str">
        <f>B02_Assessment!I59</f>
        <v>Status</v>
      </c>
      <c r="P135" t="str">
        <f>B02_Assessment!J59</f>
        <v>Notes</v>
      </c>
      <c r="Q135" t="str">
        <f t="shared" si="2"/>
        <v>02|52</v>
      </c>
    </row>
    <row r="136" spans="1:17" ht="6.45" customHeight="1">
      <c r="A136" t="s">
        <v>604</v>
      </c>
      <c r="B136">
        <v>53</v>
      </c>
      <c r="C136" t="s">
        <v>15</v>
      </c>
      <c r="D136">
        <v>60</v>
      </c>
      <c r="E136" t="s">
        <v>1019</v>
      </c>
      <c r="F136" t="s">
        <v>5324</v>
      </c>
      <c r="G136" t="str">
        <f>B02_Assessment!A60</f>
        <v>B02-R1</v>
      </c>
      <c r="H136" t="str">
        <f>B02_Assessment!B60</f>
        <v>All</v>
      </c>
      <c r="I136" t="str">
        <f>B02_Assessment!C60</f>
        <v>Existing conditions for Rooms 141/236/342 and existing B-06/141/236 not field verified</v>
      </c>
      <c r="J136" t="str">
        <f>B02_Assessment!D60</f>
        <v>High</v>
      </c>
      <c r="K136" t="str">
        <f>B02_Assessment!E60</f>
        <v>Medium</v>
      </c>
      <c r="L136">
        <f>B02_Assessment!F60</f>
        <v>6</v>
      </c>
      <c r="M136" t="str">
        <f>B02_Assessment!G60</f>
        <v>Perform existing conditions survey with photos and active-service inventory before mobilization</v>
      </c>
      <c r="N136" t="str">
        <f>B02_Assessment!H60</f>
        <v>GCC / Contractor</v>
      </c>
      <c r="O136" t="str">
        <f>B02_Assessment!I60</f>
        <v>Closed</v>
      </c>
      <c r="P136" t="str">
        <f>B02_Assessment!J60</f>
        <v>B02 has multiple new TRs and existing transition rooms.</v>
      </c>
      <c r="Q136" t="str">
        <f t="shared" si="2"/>
        <v>02|53</v>
      </c>
    </row>
    <row r="137" spans="1:17" ht="6.45" customHeight="1">
      <c r="A137" t="s">
        <v>604</v>
      </c>
      <c r="B137">
        <v>54</v>
      </c>
      <c r="C137" t="s">
        <v>15</v>
      </c>
      <c r="D137">
        <v>61</v>
      </c>
      <c r="E137" t="s">
        <v>1019</v>
      </c>
      <c r="F137" t="s">
        <v>5324</v>
      </c>
      <c r="G137" t="str">
        <f>B02_Assessment!A61</f>
        <v>B02-R2</v>
      </c>
      <c r="H137" t="str">
        <f>B02_Assessment!B61</f>
        <v>Existing rooms</v>
      </c>
      <c r="I137" t="str">
        <f>B02_Assessment!C61</f>
        <v>Existing equipment may remain active during transfer to new TRs</v>
      </c>
      <c r="J137" t="str">
        <f>B02_Assessment!D61</f>
        <v>Critical</v>
      </c>
      <c r="K137" t="str">
        <f>B02_Assessment!E61</f>
        <v>Medium</v>
      </c>
      <c r="L137">
        <f>B02_Assessment!F61</f>
        <v>8</v>
      </c>
      <c r="M137" t="str">
        <f>B02_Assessment!G61</f>
        <v>Document active services, protect in place, identify OIT cutover windows, phasing, rollback path and temporary utilities</v>
      </c>
      <c r="N137" t="str">
        <f>B02_Assessment!H61</f>
        <v>Telecom / OIT</v>
      </c>
      <c r="O137" t="str">
        <f>B02_Assessment!I61</f>
        <v>Closed</v>
      </c>
      <c r="P137" t="str">
        <f>B02_Assessment!J61</f>
        <v>Existing rack elevations/photos show active legacy rack/patch equipment.</v>
      </c>
      <c r="Q137" t="str">
        <f t="shared" si="2"/>
        <v>02|54</v>
      </c>
    </row>
    <row r="138" spans="1:17" ht="6.45" customHeight="1">
      <c r="A138" t="s">
        <v>604</v>
      </c>
      <c r="B138">
        <v>55</v>
      </c>
      <c r="C138" t="s">
        <v>15</v>
      </c>
      <c r="D138">
        <v>62</v>
      </c>
      <c r="E138" t="s">
        <v>1019</v>
      </c>
      <c r="F138" t="s">
        <v>5324</v>
      </c>
      <c r="G138" t="str">
        <f>B02_Assessment!A62</f>
        <v>B02-R3</v>
      </c>
      <c r="H138" t="str">
        <f>B02_Assessment!B62</f>
        <v>141/236/342</v>
      </c>
      <c r="I138" t="str">
        <f>B02_Assessment!C62</f>
        <v>Dedicated cooling assignment, emergency power, condensate, BACnet and alarms not verified</v>
      </c>
      <c r="J138" t="str">
        <f>B02_Assessment!D62</f>
        <v>Critical</v>
      </c>
      <c r="K138" t="str">
        <f>B02_Assessment!E62</f>
        <v>Medium</v>
      </c>
      <c r="L138">
        <f>B02_Assessment!F62</f>
        <v>8</v>
      </c>
      <c r="M138" t="str">
        <f>B02_Assessment!G62</f>
        <v>Confirm each IU/CU serving each TR, power source, condensate route, controls, BACnet, thermostat and high-temp alarms</v>
      </c>
      <c r="N138" t="str">
        <f>B02_Assessment!H62</f>
        <v>Mechanical / Electrical</v>
      </c>
      <c r="O138" t="str">
        <f>B02_Assessment!I62</f>
        <v>Closed</v>
      </c>
      <c r="P138" t="str">
        <f>B02_Assessment!J62</f>
        <v>Electrical schedule references CU-1/2/3-01; assignments must be field verified.</v>
      </c>
      <c r="Q138" t="str">
        <f t="shared" si="2"/>
        <v>02|55</v>
      </c>
    </row>
    <row r="139" spans="1:17" ht="6.45" customHeight="1">
      <c r="A139" t="s">
        <v>604</v>
      </c>
      <c r="B139">
        <v>56</v>
      </c>
      <c r="C139" t="s">
        <v>15</v>
      </c>
      <c r="D139">
        <v>63</v>
      </c>
      <c r="E139" t="s">
        <v>1019</v>
      </c>
      <c r="F139" t="s">
        <v>5324</v>
      </c>
      <c r="G139" t="str">
        <f>B02_Assessment!A63</f>
        <v>B02-R4</v>
      </c>
      <c r="H139" t="str">
        <f>B02_Assessment!B63</f>
        <v>All TRs</v>
      </c>
      <c r="I139" t="str">
        <f>B02_Assessment!C63</f>
        <v>B02-TR141/236/342 A/B UPS/PDU and panel source coordination could delay energization</v>
      </c>
      <c r="J139" t="str">
        <f>B02_Assessment!D63</f>
        <v>High</v>
      </c>
      <c r="K139" t="str">
        <f>B02_Assessment!E63</f>
        <v>Medium</v>
      </c>
      <c r="L139">
        <f>B02_Assessment!F63</f>
        <v>6</v>
      </c>
      <c r="M139" t="str">
        <f>B02_Assessment!G63</f>
        <v>Verify panels, breakers, receptacles, SPDs, labels, 30-day load measurement and LOTO needs</v>
      </c>
      <c r="N139" t="str">
        <f>B02_Assessment!H63</f>
        <v>Electrical / GCC</v>
      </c>
      <c r="O139" t="str">
        <f>B02_Assessment!I63</f>
        <v>Closed</v>
      </c>
      <c r="P139" t="str">
        <f>B02_Assessment!J63</f>
        <v>Multiple new telecom panels and rack circuits.</v>
      </c>
      <c r="Q139" t="str">
        <f t="shared" si="2"/>
        <v>02|56</v>
      </c>
    </row>
    <row r="140" spans="1:17" ht="6.45" customHeight="1">
      <c r="A140" t="s">
        <v>604</v>
      </c>
      <c r="B140">
        <v>57</v>
      </c>
      <c r="C140" t="s">
        <v>15</v>
      </c>
      <c r="D140">
        <v>64</v>
      </c>
      <c r="E140" t="s">
        <v>1019</v>
      </c>
      <c r="F140" t="s">
        <v>5324</v>
      </c>
      <c r="G140" t="str">
        <f>B02_Assessment!A64</f>
        <v>B02-R5</v>
      </c>
      <c r="H140" t="str">
        <f>B02_Assessment!B64</f>
        <v>All</v>
      </c>
      <c r="I140" t="str">
        <f>B02_Assessment!C64</f>
        <v>2,560 feet of cable tray/pathway requires coordination and firestop tracking</v>
      </c>
      <c r="J140" t="str">
        <f>B02_Assessment!D64</f>
        <v>High</v>
      </c>
      <c r="K140" t="str">
        <f>B02_Assessment!E64</f>
        <v>Medium</v>
      </c>
      <c r="L140">
        <f>B02_Assessment!F64</f>
        <v>6</v>
      </c>
      <c r="M140" t="str">
        <f>B02_Assessment!G64</f>
        <v>Verify route, supports, seismic bracing, 40% fill, penetrations, lighting/HVAC conflicts and firestop assemblies</v>
      </c>
      <c r="N140" t="str">
        <f>B02_Assessment!H64</f>
        <v>Telecom / GC</v>
      </c>
      <c r="O140" t="str">
        <f>B02_Assessment!I64</f>
        <v>Closed</v>
      </c>
      <c r="P140" t="str">
        <f>B02_Assessment!J64</f>
        <v>Cable tray schedule: basement 303 ft, first 1,069 ft, second 544 ft, third 583 ft, fourth 59 ft.</v>
      </c>
      <c r="Q140" t="str">
        <f t="shared" si="2"/>
        <v>02|57</v>
      </c>
    </row>
    <row r="141" spans="1:17" ht="6.45" customHeight="1">
      <c r="A141" t="s">
        <v>604</v>
      </c>
      <c r="B141">
        <v>58</v>
      </c>
      <c r="C141" t="s">
        <v>15</v>
      </c>
      <c r="D141">
        <v>65</v>
      </c>
      <c r="E141" t="s">
        <v>1019</v>
      </c>
      <c r="F141" t="s">
        <v>5324</v>
      </c>
      <c r="G141" t="str">
        <f>B02_Assessment!A65</f>
        <v>B02-R6</v>
      </c>
      <c r="H141" t="str">
        <f>B02_Assessment!B65</f>
        <v>All</v>
      </c>
      <c r="I141" t="str">
        <f>B02_Assessment!C65</f>
        <v>Telecom/fiber cutover could affect active hospital communications across several floors</v>
      </c>
      <c r="J141" t="str">
        <f>B02_Assessment!D65</f>
        <v>Critical</v>
      </c>
      <c r="K141" t="str">
        <f>B02_Assessment!E65</f>
        <v>Medium</v>
      </c>
      <c r="L141">
        <f>B02_Assessment!F65</f>
        <v>8</v>
      </c>
      <c r="M141" t="str">
        <f>B02_Assessment!G65</f>
        <v>Require cutover plan, test records, labels, as-builts, OIT coordination and VA acceptance before active connection</v>
      </c>
      <c r="N141" t="str">
        <f>B02_Assessment!H65</f>
        <v>Telecom / OIT</v>
      </c>
      <c r="O141" t="str">
        <f>B02_Assessment!I65</f>
        <v>Closed</v>
      </c>
      <c r="P141" t="str">
        <f>B02_Assessment!J65</f>
        <v>High WAO counts: 211/179/274 WAO across Rooms 141/236/342.</v>
      </c>
      <c r="Q141" t="str">
        <f t="shared" si="2"/>
        <v>02|58</v>
      </c>
    </row>
    <row r="142" spans="1:17" ht="6.45" customHeight="1">
      <c r="A142" t="s">
        <v>604</v>
      </c>
      <c r="B142">
        <v>59</v>
      </c>
      <c r="C142" t="s">
        <v>15</v>
      </c>
      <c r="D142">
        <v>66</v>
      </c>
      <c r="E142" t="s">
        <v>1019</v>
      </c>
      <c r="F142" t="s">
        <v>5324</v>
      </c>
      <c r="G142" t="str">
        <f>B02_Assessment!A66</f>
        <v>B02-R7</v>
      </c>
      <c r="H142" t="str">
        <f>B02_Assessment!B66</f>
        <v>141/236/342</v>
      </c>
      <c r="I142" t="str">
        <f>B02_Assessment!C66</f>
        <v>PACS/CCTV/door hardware coordination may not be ready at room acceptance</v>
      </c>
      <c r="J142" t="str">
        <f>B02_Assessment!D66</f>
        <v>High</v>
      </c>
      <c r="K142" t="str">
        <f>B02_Assessment!E66</f>
        <v>Medium</v>
      </c>
      <c r="L142">
        <f>B02_Assessment!F66</f>
        <v>6</v>
      </c>
      <c r="M142" t="str">
        <f>B02_Assessment!G66</f>
        <v>Verify access-control rough-in, power supply/battery backup, reader, strike, door position, cameras and VMS/PACS test records</v>
      </c>
      <c r="N142" t="str">
        <f>B02_Assessment!H66</f>
        <v>Security / Electrical</v>
      </c>
      <c r="O142" t="str">
        <f>B02_Assessment!I66</f>
        <v>Closed</v>
      </c>
      <c r="P142" t="str">
        <f>B02_Assessment!J66</f>
        <v>Plans include 174-CAM-01, 236-CAM-01, 342-CAM-01.</v>
      </c>
      <c r="Q142" t="str">
        <f t="shared" si="2"/>
        <v>02|59</v>
      </c>
    </row>
    <row r="143" spans="1:17" ht="6.45" customHeight="1">
      <c r="A143" t="s">
        <v>604</v>
      </c>
      <c r="B143">
        <v>60</v>
      </c>
      <c r="C143" t="s">
        <v>15</v>
      </c>
      <c r="D143">
        <v>67</v>
      </c>
      <c r="E143" t="s">
        <v>1019</v>
      </c>
      <c r="F143" t="s">
        <v>5324</v>
      </c>
      <c r="G143" t="str">
        <f>B02_Assessment!A67</f>
        <v>B02-R8</v>
      </c>
      <c r="H143" t="str">
        <f>B02_Assessment!B67</f>
        <v>All</v>
      </c>
      <c r="I143" t="str">
        <f>B02_Assessment!C67</f>
        <v>Commissioning/third-party inspection reports may not be complete at turnover</v>
      </c>
      <c r="J143" t="str">
        <f>B02_Assessment!D67</f>
        <v>High</v>
      </c>
      <c r="K143" t="str">
        <f>B02_Assessment!E67</f>
        <v>Medium</v>
      </c>
      <c r="L143">
        <f>B02_Assessment!F67</f>
        <v>6</v>
      </c>
      <c r="M143" t="str">
        <f>B02_Assessment!G67</f>
        <v>Track commissioning, inspections, FA/FP acceptance, power verification, cabling tests, labels and as-builts</v>
      </c>
      <c r="N143" t="str">
        <f>B02_Assessment!H67</f>
        <v>GC / Cx Manager</v>
      </c>
      <c r="O143" t="str">
        <f>B02_Assessment!I67</f>
        <v>Closed</v>
      </c>
      <c r="P143" t="str">
        <f>B02_Assessment!J67</f>
        <v>66-sheet IFC package with full discipline scope and third-party inspection requirements.</v>
      </c>
      <c r="Q143" t="str">
        <f t="shared" si="2"/>
        <v>02|60</v>
      </c>
    </row>
    <row r="144" spans="1:17" ht="6.45" customHeight="1">
      <c r="A144" t="s">
        <v>604</v>
      </c>
      <c r="B144">
        <v>61</v>
      </c>
      <c r="C144" t="s">
        <v>15</v>
      </c>
      <c r="D144">
        <v>68</v>
      </c>
      <c r="E144" t="s">
        <v>1019</v>
      </c>
      <c r="F144" t="s">
        <v>5325</v>
      </c>
      <c r="G144">
        <f>B02_Assessment!A68</f>
        <v>0</v>
      </c>
      <c r="H144">
        <f>B02_Assessment!B68</f>
        <v>0</v>
      </c>
      <c r="I144">
        <f>B02_Assessment!C68</f>
        <v>0</v>
      </c>
      <c r="J144">
        <f>B02_Assessment!D68</f>
        <v>0</v>
      </c>
      <c r="K144">
        <f>B02_Assessment!E68</f>
        <v>0</v>
      </c>
      <c r="L144">
        <f>B02_Assessment!F68</f>
        <v>0</v>
      </c>
      <c r="M144">
        <f>B02_Assessment!G68</f>
        <v>0</v>
      </c>
      <c r="N144">
        <f>B02_Assessment!H68</f>
        <v>0</v>
      </c>
      <c r="O144">
        <f>B02_Assessment!I68</f>
        <v>0</v>
      </c>
      <c r="P144">
        <f>B02_Assessment!J68</f>
        <v>0</v>
      </c>
      <c r="Q144" t="str">
        <f t="shared" si="2"/>
        <v>02|61</v>
      </c>
    </row>
    <row r="145" spans="1:17" ht="6.45" customHeight="1">
      <c r="A145" t="s">
        <v>604</v>
      </c>
      <c r="B145">
        <v>62</v>
      </c>
      <c r="C145" t="s">
        <v>15</v>
      </c>
      <c r="D145">
        <v>69</v>
      </c>
      <c r="E145" t="s">
        <v>1051</v>
      </c>
      <c r="F145" t="s">
        <v>5322</v>
      </c>
      <c r="G145" t="str">
        <f>B02_Assessment!A69</f>
        <v>9. OPEN QUESTIONS</v>
      </c>
      <c r="H145">
        <f>B02_Assessment!B69</f>
        <v>0</v>
      </c>
      <c r="I145">
        <f>B02_Assessment!C69</f>
        <v>0</v>
      </c>
      <c r="J145">
        <f>B02_Assessment!D69</f>
        <v>0</v>
      </c>
      <c r="K145">
        <f>B02_Assessment!E69</f>
        <v>0</v>
      </c>
      <c r="L145">
        <f>B02_Assessment!F69</f>
        <v>0</v>
      </c>
      <c r="M145">
        <f>B02_Assessment!G69</f>
        <v>0</v>
      </c>
      <c r="N145">
        <f>B02_Assessment!H69</f>
        <v>0</v>
      </c>
      <c r="O145">
        <f>B02_Assessment!I69</f>
        <v>0</v>
      </c>
      <c r="P145">
        <f>B02_Assessment!J69</f>
        <v>0</v>
      </c>
      <c r="Q145" t="str">
        <f t="shared" si="2"/>
        <v>02|62</v>
      </c>
    </row>
    <row r="146" spans="1:17" ht="6.45" customHeight="1">
      <c r="A146" t="s">
        <v>604</v>
      </c>
      <c r="B146">
        <v>63</v>
      </c>
      <c r="C146" t="s">
        <v>15</v>
      </c>
      <c r="D146">
        <v>70</v>
      </c>
      <c r="E146" t="s">
        <v>1051</v>
      </c>
      <c r="F146" t="s">
        <v>5323</v>
      </c>
      <c r="G146" t="str">
        <f>B02_Assessment!A70</f>
        <v>Question ID</v>
      </c>
      <c r="H146" t="str">
        <f>B02_Assessment!B70</f>
        <v>Question</v>
      </c>
      <c r="I146" t="str">
        <f>B02_Assessment!C70</f>
        <v>Assigned To</v>
      </c>
      <c r="J146" t="str">
        <f>B02_Assessment!D70</f>
        <v>Status</v>
      </c>
      <c r="K146" t="str">
        <f>B02_Assessment!E70</f>
        <v>Needed By</v>
      </c>
      <c r="L146" t="str">
        <f>B02_Assessment!F70</f>
        <v>Answer / Resolution</v>
      </c>
      <c r="M146" t="str">
        <f>B02_Assessment!G70</f>
        <v>Impact if Unanswered</v>
      </c>
      <c r="N146" t="str">
        <f>B02_Assessment!H70</f>
        <v>Follow-up</v>
      </c>
      <c r="O146" t="str">
        <f>B02_Assessment!I70</f>
        <v>Date Closed</v>
      </c>
      <c r="P146" t="str">
        <f>B02_Assessment!J70</f>
        <v>Notes</v>
      </c>
      <c r="Q146" t="str">
        <f t="shared" si="2"/>
        <v>02|63</v>
      </c>
    </row>
    <row r="147" spans="1:17" ht="6.45" customHeight="1">
      <c r="A147" t="s">
        <v>604</v>
      </c>
      <c r="B147">
        <v>64</v>
      </c>
      <c r="C147" t="s">
        <v>15</v>
      </c>
      <c r="D147">
        <v>71</v>
      </c>
      <c r="E147" t="s">
        <v>1051</v>
      </c>
      <c r="F147" t="s">
        <v>5324</v>
      </c>
      <c r="G147" t="str">
        <f>B02_Assessment!A71</f>
        <v>B02-Q1</v>
      </c>
      <c r="H147" t="str">
        <f>B02_Assessment!B71</f>
        <v>Confirm final telecom scope: new Rooms 141, 236 and 342 with existing B-06/141/236 transition points?</v>
      </c>
      <c r="I147" t="str">
        <f>B02_Assessment!C71</f>
        <v>VA / OIT / Designer</v>
      </c>
      <c r="J147" t="str">
        <f>B02_Assessment!D71</f>
        <v>Closed</v>
      </c>
      <c r="K147">
        <f>B02_Assessment!E71</f>
        <v>0</v>
      </c>
      <c r="L147">
        <f>B02_Assessment!F71</f>
        <v>0</v>
      </c>
      <c r="M147" t="str">
        <f>B02_Assessment!G71</f>
        <v>Room inventory could miss scope</v>
      </c>
      <c r="N147">
        <f>B02_Assessment!H71</f>
        <v>0</v>
      </c>
      <c r="O147">
        <f>B02_Assessment!I71</f>
        <v>0</v>
      </c>
      <c r="P147">
        <f>B02_Assessment!J71</f>
        <v>0</v>
      </c>
      <c r="Q147" t="str">
        <f t="shared" si="2"/>
        <v>02|64</v>
      </c>
    </row>
    <row r="148" spans="1:17" ht="6.45" customHeight="1">
      <c r="A148" t="s">
        <v>604</v>
      </c>
      <c r="B148">
        <v>65</v>
      </c>
      <c r="C148" t="s">
        <v>15</v>
      </c>
      <c r="D148">
        <v>72</v>
      </c>
      <c r="E148" t="s">
        <v>1051</v>
      </c>
      <c r="F148" t="s">
        <v>5324</v>
      </c>
      <c r="G148" t="str">
        <f>B02_Assessment!A72</f>
        <v>B02-Q2</v>
      </c>
      <c r="H148" t="str">
        <f>B02_Assessment!B72</f>
        <v>What active services are currently fed from existing Rooms B-06, 141 and 236?</v>
      </c>
      <c r="I148" t="str">
        <f>B02_Assessment!C72</f>
        <v>OIT / Contractor</v>
      </c>
      <c r="J148" t="str">
        <f>B02_Assessment!D72</f>
        <v>Closed</v>
      </c>
      <c r="K148">
        <f>B02_Assessment!E72</f>
        <v>0</v>
      </c>
      <c r="L148">
        <f>B02_Assessment!F72</f>
        <v>0</v>
      </c>
      <c r="M148" t="str">
        <f>B02_Assessment!G72</f>
        <v>Potential communications/security outage</v>
      </c>
      <c r="N148">
        <f>B02_Assessment!H72</f>
        <v>0</v>
      </c>
      <c r="O148">
        <f>B02_Assessment!I72</f>
        <v>0</v>
      </c>
      <c r="P148">
        <f>B02_Assessment!J72</f>
        <v>0</v>
      </c>
      <c r="Q148" t="str">
        <f t="shared" si="2"/>
        <v>02|65</v>
      </c>
    </row>
    <row r="149" spans="1:17" ht="6.45" customHeight="1">
      <c r="A149" t="s">
        <v>604</v>
      </c>
      <c r="B149">
        <v>66</v>
      </c>
      <c r="C149" t="s">
        <v>15</v>
      </c>
      <c r="D149">
        <v>73</v>
      </c>
      <c r="E149" t="s">
        <v>1051</v>
      </c>
      <c r="F149" t="s">
        <v>5324</v>
      </c>
      <c r="G149" t="str">
        <f>B02_Assessment!A73</f>
        <v>B02-Q3</v>
      </c>
      <c r="H149" t="str">
        <f>B02_Assessment!B73</f>
        <v>What existing equipment is transferred, relocated, removed or protected in Rooms 141 and 236?</v>
      </c>
      <c r="I149" t="str">
        <f>B02_Assessment!C73</f>
        <v>OIT / Telecom</v>
      </c>
      <c r="J149" t="str">
        <f>B02_Assessment!D73</f>
        <v>Closed</v>
      </c>
      <c r="K149">
        <f>B02_Assessment!E73</f>
        <v>0</v>
      </c>
      <c r="L149">
        <f>B02_Assessment!F73</f>
        <v>0</v>
      </c>
      <c r="M149" t="str">
        <f>B02_Assessment!G73</f>
        <v>Cutover and rack elevation risk</v>
      </c>
      <c r="N149">
        <f>B02_Assessment!H73</f>
        <v>0</v>
      </c>
      <c r="O149">
        <f>B02_Assessment!I73</f>
        <v>0</v>
      </c>
      <c r="P149">
        <f>B02_Assessment!J73</f>
        <v>0</v>
      </c>
      <c r="Q149" t="str">
        <f t="shared" si="2"/>
        <v>02|66</v>
      </c>
    </row>
    <row r="150" spans="1:17" ht="6.45" customHeight="1">
      <c r="A150" t="s">
        <v>604</v>
      </c>
      <c r="B150">
        <v>67</v>
      </c>
      <c r="C150" t="s">
        <v>15</v>
      </c>
      <c r="D150">
        <v>74</v>
      </c>
      <c r="E150" t="s">
        <v>1051</v>
      </c>
      <c r="F150" t="s">
        <v>5324</v>
      </c>
      <c r="G150" t="str">
        <f>B02_Assessment!A74</f>
        <v>B02-Q4</v>
      </c>
      <c r="H150" t="str">
        <f>B02_Assessment!B74</f>
        <v>Which IU/CU pair serves each TR and are they on emergency/backup power?</v>
      </c>
      <c r="I150" t="str">
        <f>B02_Assessment!C74</f>
        <v>Mechanical / Electrical / VA</v>
      </c>
      <c r="J150" t="str">
        <f>B02_Assessment!D74</f>
        <v>Closed</v>
      </c>
      <c r="K150">
        <f>B02_Assessment!E74</f>
        <v>0</v>
      </c>
      <c r="L150">
        <f>B02_Assessment!F74</f>
        <v>0</v>
      </c>
      <c r="M150" t="str">
        <f>B02_Assessment!G74</f>
        <v>Cooling continuity unclear</v>
      </c>
      <c r="N150">
        <f>B02_Assessment!H74</f>
        <v>0</v>
      </c>
      <c r="O150">
        <f>B02_Assessment!I74</f>
        <v>0</v>
      </c>
      <c r="P150">
        <f>B02_Assessment!J74</f>
        <v>0</v>
      </c>
      <c r="Q150" t="str">
        <f t="shared" si="2"/>
        <v>02|67</v>
      </c>
    </row>
    <row r="151" spans="1:17" ht="6.45" customHeight="1">
      <c r="A151" t="s">
        <v>604</v>
      </c>
      <c r="B151">
        <v>68</v>
      </c>
      <c r="C151" t="s">
        <v>15</v>
      </c>
      <c r="D151">
        <v>75</v>
      </c>
      <c r="E151" t="s">
        <v>1051</v>
      </c>
      <c r="F151" t="s">
        <v>5324</v>
      </c>
      <c r="G151" t="str">
        <f>B02_Assessment!A75</f>
        <v>B02-Q5</v>
      </c>
      <c r="H151" t="str">
        <f>B02_Assessment!B75</f>
        <v>Where are clean-agent/CO2 extinguisher cabinets located within 75 ft of Rooms 141, 236 and 342?</v>
      </c>
      <c r="I151" t="str">
        <f>B02_Assessment!C75</f>
        <v>GC / COR</v>
      </c>
      <c r="J151" t="str">
        <f>B02_Assessment!D75</f>
        <v>Closed</v>
      </c>
      <c r="K151">
        <f>B02_Assessment!E75</f>
        <v>0</v>
      </c>
      <c r="L151">
        <f>B02_Assessment!F75</f>
        <v>0</v>
      </c>
      <c r="M151" t="str">
        <f>B02_Assessment!G75</f>
        <v>Life-safety acceptance risk</v>
      </c>
      <c r="N151">
        <f>B02_Assessment!H75</f>
        <v>0</v>
      </c>
      <c r="O151">
        <f>B02_Assessment!I75</f>
        <v>0</v>
      </c>
      <c r="P151">
        <f>B02_Assessment!J75</f>
        <v>0</v>
      </c>
      <c r="Q151" t="str">
        <f t="shared" si="2"/>
        <v>02|68</v>
      </c>
    </row>
    <row r="152" spans="1:17" ht="6.45" customHeight="1">
      <c r="A152" t="s">
        <v>604</v>
      </c>
      <c r="B152">
        <v>69</v>
      </c>
      <c r="C152" t="s">
        <v>15</v>
      </c>
      <c r="D152">
        <v>76</v>
      </c>
      <c r="E152" t="s">
        <v>1051</v>
      </c>
      <c r="F152" t="s">
        <v>5324</v>
      </c>
      <c r="G152" t="str">
        <f>B02_Assessment!A76</f>
        <v>B02-Q6</v>
      </c>
      <c r="H152" t="str">
        <f>B02_Assessment!B76</f>
        <v>Are B02-TR141/236/342 A/B sources, rack receptacles, SPDs, labels and 30-day load measurements approved?</v>
      </c>
      <c r="I152" t="str">
        <f>B02_Assessment!C76</f>
        <v>Electrical / Designer</v>
      </c>
      <c r="J152" t="str">
        <f>B02_Assessment!D76</f>
        <v>Closed</v>
      </c>
      <c r="K152">
        <f>B02_Assessment!E76</f>
        <v>0</v>
      </c>
      <c r="L152">
        <f>B02_Assessment!F76</f>
        <v>0</v>
      </c>
      <c r="M152" t="str">
        <f>B02_Assessment!G76</f>
        <v>Electrical readiness unknown</v>
      </c>
      <c r="N152">
        <f>B02_Assessment!H76</f>
        <v>0</v>
      </c>
      <c r="O152">
        <f>B02_Assessment!I76</f>
        <v>0</v>
      </c>
      <c r="P152">
        <f>B02_Assessment!J76</f>
        <v>0</v>
      </c>
      <c r="Q152" t="str">
        <f t="shared" si="2"/>
        <v>02|69</v>
      </c>
    </row>
    <row r="153" spans="1:17" ht="6.45" customHeight="1">
      <c r="A153" t="s">
        <v>604</v>
      </c>
      <c r="B153">
        <v>70</v>
      </c>
      <c r="C153" t="s">
        <v>15</v>
      </c>
      <c r="D153">
        <v>77</v>
      </c>
      <c r="E153" t="s">
        <v>1051</v>
      </c>
      <c r="F153" t="s">
        <v>5324</v>
      </c>
      <c r="G153" t="str">
        <f>B02_Assessment!A77</f>
        <v>B02-Q7</v>
      </c>
      <c r="H153" t="str">
        <f>B02_Assessment!B77</f>
        <v>Are all rated wall/floor penetrations, sleeves, cable tray entries and firestopping details identified?</v>
      </c>
      <c r="I153" t="str">
        <f>B02_Assessment!C77</f>
        <v>GC / Firestop</v>
      </c>
      <c r="J153" t="str">
        <f>B02_Assessment!D77</f>
        <v>Closed</v>
      </c>
      <c r="K153">
        <f>B02_Assessment!E77</f>
        <v>0</v>
      </c>
      <c r="L153">
        <f>B02_Assessment!F77</f>
        <v>0</v>
      </c>
      <c r="M153" t="str">
        <f>B02_Assessment!G77</f>
        <v>Fire/smoke spread risk</v>
      </c>
      <c r="N153">
        <f>B02_Assessment!H77</f>
        <v>0</v>
      </c>
      <c r="O153">
        <f>B02_Assessment!I77</f>
        <v>0</v>
      </c>
      <c r="P153">
        <f>B02_Assessment!J77</f>
        <v>0</v>
      </c>
      <c r="Q153" t="str">
        <f t="shared" si="2"/>
        <v>02|70</v>
      </c>
    </row>
    <row r="154" spans="1:17" ht="6.45" customHeight="1">
      <c r="A154" t="s">
        <v>604</v>
      </c>
      <c r="B154">
        <v>71</v>
      </c>
      <c r="C154" t="s">
        <v>15</v>
      </c>
      <c r="D154">
        <v>78</v>
      </c>
      <c r="E154" t="s">
        <v>1051</v>
      </c>
      <c r="F154" t="s">
        <v>5324</v>
      </c>
      <c r="G154" t="str">
        <f>B02_Assessment!A78</f>
        <v>B02-Q8</v>
      </c>
      <c r="H154" t="str">
        <f>B02_Assessment!B78</f>
        <v>Which third-party inspections and commissioning forms are required before VA/OIT acceptance?</v>
      </c>
      <c r="I154" t="str">
        <f>B02_Assessment!C78</f>
        <v>GC / Cx Manager / OIT</v>
      </c>
      <c r="J154" t="str">
        <f>B02_Assessment!D78</f>
        <v>Closed</v>
      </c>
      <c r="K154">
        <f>B02_Assessment!E78</f>
        <v>0</v>
      </c>
      <c r="L154">
        <f>B02_Assessment!F78</f>
        <v>0</v>
      </c>
      <c r="M154" t="str">
        <f>B02_Assessment!G78</f>
        <v>Turnover package gap</v>
      </c>
      <c r="N154">
        <f>B02_Assessment!H78</f>
        <v>0</v>
      </c>
      <c r="O154">
        <f>B02_Assessment!I78</f>
        <v>0</v>
      </c>
      <c r="P154">
        <f>B02_Assessment!J78</f>
        <v>0</v>
      </c>
      <c r="Q154" t="str">
        <f t="shared" si="2"/>
        <v>02|71</v>
      </c>
    </row>
    <row r="155" spans="1:17" ht="6.45" customHeight="1">
      <c r="A155" t="s">
        <v>604</v>
      </c>
      <c r="B155">
        <v>72</v>
      </c>
      <c r="C155" t="s">
        <v>15</v>
      </c>
      <c r="D155">
        <v>79</v>
      </c>
      <c r="E155" t="s">
        <v>1051</v>
      </c>
      <c r="F155" t="s">
        <v>5325</v>
      </c>
      <c r="G155">
        <f>B02_Assessment!A79</f>
        <v>0</v>
      </c>
      <c r="H155">
        <f>B02_Assessment!B79</f>
        <v>0</v>
      </c>
      <c r="I155">
        <f>B02_Assessment!C79</f>
        <v>0</v>
      </c>
      <c r="J155">
        <f>B02_Assessment!D79</f>
        <v>0</v>
      </c>
      <c r="K155">
        <f>B02_Assessment!E79</f>
        <v>0</v>
      </c>
      <c r="L155">
        <f>B02_Assessment!F79</f>
        <v>0</v>
      </c>
      <c r="M155">
        <f>B02_Assessment!G79</f>
        <v>0</v>
      </c>
      <c r="N155">
        <f>B02_Assessment!H79</f>
        <v>0</v>
      </c>
      <c r="O155">
        <f>B02_Assessment!I79</f>
        <v>0</v>
      </c>
      <c r="P155">
        <f>B02_Assessment!J79</f>
        <v>0</v>
      </c>
      <c r="Q155" t="str">
        <f t="shared" si="2"/>
        <v>02|72</v>
      </c>
    </row>
    <row r="156" spans="1:17" ht="6.45" customHeight="1">
      <c r="A156" t="s">
        <v>604</v>
      </c>
      <c r="B156">
        <v>73</v>
      </c>
      <c r="C156" t="s">
        <v>15</v>
      </c>
      <c r="D156">
        <v>80</v>
      </c>
      <c r="E156" t="s">
        <v>1052</v>
      </c>
      <c r="F156" t="s">
        <v>5322</v>
      </c>
      <c r="G156" t="str">
        <f>B02_Assessment!A80</f>
        <v>10. PHOTO LOG</v>
      </c>
      <c r="H156">
        <f>B02_Assessment!B80</f>
        <v>0</v>
      </c>
      <c r="I156">
        <f>B02_Assessment!C80</f>
        <v>0</v>
      </c>
      <c r="J156">
        <f>B02_Assessment!D80</f>
        <v>0</v>
      </c>
      <c r="K156">
        <f>B02_Assessment!E80</f>
        <v>0</v>
      </c>
      <c r="L156">
        <f>B02_Assessment!F80</f>
        <v>0</v>
      </c>
      <c r="M156">
        <f>B02_Assessment!G80</f>
        <v>0</v>
      </c>
      <c r="N156">
        <f>B02_Assessment!H80</f>
        <v>0</v>
      </c>
      <c r="O156">
        <f>B02_Assessment!I80</f>
        <v>0</v>
      </c>
      <c r="P156">
        <f>B02_Assessment!J80</f>
        <v>0</v>
      </c>
      <c r="Q156" t="str">
        <f t="shared" si="2"/>
        <v>02|73</v>
      </c>
    </row>
    <row r="157" spans="1:17" ht="6.45" customHeight="1">
      <c r="A157" t="s">
        <v>604</v>
      </c>
      <c r="B157">
        <v>74</v>
      </c>
      <c r="C157" t="s">
        <v>15</v>
      </c>
      <c r="D157">
        <v>81</v>
      </c>
      <c r="E157" t="s">
        <v>1052</v>
      </c>
      <c r="F157" t="s">
        <v>5323</v>
      </c>
      <c r="G157" t="str">
        <f>B02_Assessment!A81</f>
        <v>Photo ID</v>
      </c>
      <c r="H157" t="str">
        <f>B02_Assessment!B81</f>
        <v>Room</v>
      </c>
      <c r="I157" t="str">
        <f>B02_Assessment!C81</f>
        <v>Category</v>
      </c>
      <c r="J157" t="str">
        <f>B02_Assessment!D81</f>
        <v>Description</v>
      </c>
      <c r="K157" t="str">
        <f>B02_Assessment!E81</f>
        <v>Date</v>
      </c>
      <c r="L157" t="str">
        <f>B02_Assessment!F81</f>
        <v>Taken By</v>
      </c>
      <c r="M157" t="str">
        <f>B02_Assessment!G81</f>
        <v>File / Link</v>
      </c>
      <c r="N157" t="str">
        <f>B02_Assessment!H81</f>
        <v>Related Risk</v>
      </c>
      <c r="O157" t="str">
        <f>B02_Assessment!I81</f>
        <v>Status</v>
      </c>
      <c r="P157" t="str">
        <f>B02_Assessment!J81</f>
        <v>Notes</v>
      </c>
      <c r="Q157" t="str">
        <f t="shared" si="2"/>
        <v>02|74</v>
      </c>
    </row>
    <row r="158" spans="1:17" ht="6.45" customHeight="1">
      <c r="A158" t="s">
        <v>604</v>
      </c>
      <c r="B158">
        <v>75</v>
      </c>
      <c r="C158" t="s">
        <v>15</v>
      </c>
      <c r="D158">
        <v>82</v>
      </c>
      <c r="E158" t="s">
        <v>1052</v>
      </c>
      <c r="F158" t="s">
        <v>5324</v>
      </c>
      <c r="G158" t="str">
        <f>B02_Assessment!A82</f>
        <v>B02-P001</v>
      </c>
      <c r="H158" t="str">
        <f>B02_Assessment!B82</f>
        <v>141</v>
      </c>
      <c r="I158" t="str">
        <f>B02_Assessment!C82</f>
        <v>Existing / New Condition</v>
      </c>
      <c r="J158" t="str">
        <f>B02_Assessment!D82</f>
        <v>Room 141 walls, ceiling/deck, floor, door, racks/future rack, panels, HVAC, cable tray, 174-CAM-01, penetrations and demo/relocation conditions</v>
      </c>
      <c r="K158">
        <f>B02_Assessment!E82</f>
        <v>0</v>
      </c>
      <c r="L158" t="str">
        <f>B02_Assessment!F82</f>
        <v>Paul</v>
      </c>
      <c r="M158">
        <f>B02_Assessment!G82</f>
        <v>0</v>
      </c>
      <c r="N158" t="str">
        <f>B02_Assessment!H82</f>
        <v>B02-R1/B02-R3</v>
      </c>
      <c r="O158" t="str">
        <f>B02_Assessment!I82</f>
        <v>Closed</v>
      </c>
      <c r="P158">
        <f>B02_Assessment!J82</f>
        <v>0</v>
      </c>
      <c r="Q158" t="str">
        <f t="shared" si="2"/>
        <v>02|75</v>
      </c>
    </row>
    <row r="159" spans="1:17" ht="6.45" customHeight="1">
      <c r="A159" t="s">
        <v>604</v>
      </c>
      <c r="B159">
        <v>76</v>
      </c>
      <c r="C159" t="s">
        <v>15</v>
      </c>
      <c r="D159">
        <v>83</v>
      </c>
      <c r="E159" t="s">
        <v>1052</v>
      </c>
      <c r="F159" t="s">
        <v>5324</v>
      </c>
      <c r="G159" t="str">
        <f>B02_Assessment!A83</f>
        <v>B02-P002</v>
      </c>
      <c r="H159" t="str">
        <f>B02_Assessment!B83</f>
        <v>236</v>
      </c>
      <c r="I159" t="str">
        <f>B02_Assessment!C83</f>
        <v>Existing / New Condition</v>
      </c>
      <c r="J159" t="str">
        <f>B02_Assessment!D83</f>
        <v>Room 236 walls, ceiling/deck, floor, door, racks/future rack, panels, HVAC, cable tray, 236-CAM-01, penetrations and existing transfer conditions</v>
      </c>
      <c r="K159">
        <f>B02_Assessment!E83</f>
        <v>0</v>
      </c>
      <c r="L159" t="str">
        <f>B02_Assessment!F83</f>
        <v>Paul</v>
      </c>
      <c r="M159">
        <f>B02_Assessment!G83</f>
        <v>0</v>
      </c>
      <c r="N159" t="str">
        <f>B02_Assessment!H83</f>
        <v>B02-R1/B02-R6</v>
      </c>
      <c r="O159" t="str">
        <f>B02_Assessment!I83</f>
        <v>Closed</v>
      </c>
      <c r="P159">
        <f>B02_Assessment!J83</f>
        <v>0</v>
      </c>
      <c r="Q159" t="str">
        <f t="shared" si="2"/>
        <v>02|76</v>
      </c>
    </row>
    <row r="160" spans="1:17" ht="6.45" customHeight="1">
      <c r="A160" t="s">
        <v>604</v>
      </c>
      <c r="B160">
        <v>77</v>
      </c>
      <c r="C160" t="s">
        <v>15</v>
      </c>
      <c r="D160">
        <v>84</v>
      </c>
      <c r="E160" t="s">
        <v>1052</v>
      </c>
      <c r="F160" t="s">
        <v>5324</v>
      </c>
      <c r="G160" t="str">
        <f>B02_Assessment!A84</f>
        <v>B02-P003</v>
      </c>
      <c r="H160" t="str">
        <f>B02_Assessment!B84</f>
        <v>342</v>
      </c>
      <c r="I160" t="str">
        <f>B02_Assessment!C84</f>
        <v>Existing / New Condition</v>
      </c>
      <c r="J160" t="str">
        <f>B02_Assessment!D84</f>
        <v>Room 342 walls, ceiling/deck, floor, door, racks/future rack, panels, HVAC, cable tray, 342-CAM-01, penetrations and 342A-CK-A</v>
      </c>
      <c r="K160">
        <f>B02_Assessment!E84</f>
        <v>0</v>
      </c>
      <c r="L160" t="str">
        <f>B02_Assessment!F84</f>
        <v>Paul</v>
      </c>
      <c r="M160">
        <f>B02_Assessment!G84</f>
        <v>0</v>
      </c>
      <c r="N160" t="str">
        <f>B02_Assessment!H84</f>
        <v>B02-R1/B02-R7</v>
      </c>
      <c r="O160" t="str">
        <f>B02_Assessment!I84</f>
        <v>Closed</v>
      </c>
      <c r="P160">
        <f>B02_Assessment!J84</f>
        <v>0</v>
      </c>
      <c r="Q160" t="str">
        <f t="shared" si="2"/>
        <v>02|77</v>
      </c>
    </row>
    <row r="161" spans="1:17" ht="6.45" customHeight="1">
      <c r="A161" t="s">
        <v>604</v>
      </c>
      <c r="B161">
        <v>78</v>
      </c>
      <c r="C161" t="s">
        <v>15</v>
      </c>
      <c r="D161">
        <v>85</v>
      </c>
      <c r="E161" t="s">
        <v>1052</v>
      </c>
      <c r="F161" t="s">
        <v>5324</v>
      </c>
      <c r="G161" t="str">
        <f>B02_Assessment!A85</f>
        <v>B02-P004</v>
      </c>
      <c r="H161" t="str">
        <f>B02_Assessment!B85</f>
        <v>B-06</v>
      </c>
      <c r="I161" t="str">
        <f>B02_Assessment!C85</f>
        <v>Existing Equipment</v>
      </c>
      <c r="J161" t="str">
        <f>B02_Assessment!D85</f>
        <v>Basement existing telecom room B-06 legacy rack/patch panels, active service labels and cable entries</v>
      </c>
      <c r="K161">
        <f>B02_Assessment!E85</f>
        <v>0</v>
      </c>
      <c r="L161" t="str">
        <f>B02_Assessment!F85</f>
        <v>Paul</v>
      </c>
      <c r="M161">
        <f>B02_Assessment!G85</f>
        <v>0</v>
      </c>
      <c r="N161" t="str">
        <f>B02_Assessment!H85</f>
        <v>B02-R2</v>
      </c>
      <c r="O161" t="str">
        <f>B02_Assessment!I85</f>
        <v>Closed</v>
      </c>
      <c r="P161">
        <f>B02_Assessment!J85</f>
        <v>0</v>
      </c>
      <c r="Q161" t="str">
        <f t="shared" si="2"/>
        <v>02|78</v>
      </c>
    </row>
    <row r="162" spans="1:17" ht="6.45" customHeight="1">
      <c r="A162" t="s">
        <v>604</v>
      </c>
      <c r="B162">
        <v>79</v>
      </c>
      <c r="C162" t="s">
        <v>15</v>
      </c>
      <c r="D162">
        <v>86</v>
      </c>
      <c r="E162" t="s">
        <v>1052</v>
      </c>
      <c r="F162" t="s">
        <v>5324</v>
      </c>
      <c r="G162" t="str">
        <f>B02_Assessment!A86</f>
        <v>B02-P005</v>
      </c>
      <c r="H162" t="str">
        <f>B02_Assessment!B86</f>
        <v>Existing 141 / 236</v>
      </c>
      <c r="I162" t="str">
        <f>B02_Assessment!C86</f>
        <v>Existing Equipment</v>
      </c>
      <c r="J162" t="str">
        <f>B02_Assessment!D86</f>
        <v>Existing first/second-level telecom rooms 141 and 236, existing patch panels, relocated/removed equipment and fire alarm cabinet conditions</v>
      </c>
      <c r="K162">
        <f>B02_Assessment!E86</f>
        <v>0</v>
      </c>
      <c r="L162" t="str">
        <f>B02_Assessment!F86</f>
        <v>Paul</v>
      </c>
      <c r="M162">
        <f>B02_Assessment!G86</f>
        <v>0</v>
      </c>
      <c r="N162" t="str">
        <f>B02_Assessment!H86</f>
        <v>B02-R2/B02-R6</v>
      </c>
      <c r="O162" t="str">
        <f>B02_Assessment!I86</f>
        <v>Closed</v>
      </c>
      <c r="P162">
        <f>B02_Assessment!J86</f>
        <v>0</v>
      </c>
      <c r="Q162" t="str">
        <f t="shared" si="2"/>
        <v>02|79</v>
      </c>
    </row>
    <row r="163" spans="1:17" ht="6.45" customHeight="1">
      <c r="A163" t="s">
        <v>604</v>
      </c>
      <c r="B163">
        <v>80</v>
      </c>
      <c r="C163" t="s">
        <v>15</v>
      </c>
      <c r="D163">
        <v>87</v>
      </c>
      <c r="E163" t="s">
        <v>1052</v>
      </c>
      <c r="F163" t="s">
        <v>5324</v>
      </c>
      <c r="G163" t="str">
        <f>B02_Assessment!A87</f>
        <v>B02-P006</v>
      </c>
      <c r="H163" t="str">
        <f>B02_Assessment!B87</f>
        <v>All TRs</v>
      </c>
      <c r="I163" t="str">
        <f>B02_Assessment!C87</f>
        <v>Electrical / HVAC</v>
      </c>
      <c r="J163" t="str">
        <f>B02_Assessment!D87</f>
        <v>B02-TR141/236/342 A/B panels, rack receptacles, breakers, SPD, UPS/PDU, CU/IU equipment, condensate, disconnects and labels</v>
      </c>
      <c r="K163">
        <f>B02_Assessment!E87</f>
        <v>0</v>
      </c>
      <c r="L163" t="str">
        <f>B02_Assessment!F87</f>
        <v>Paul</v>
      </c>
      <c r="M163">
        <f>B02_Assessment!G87</f>
        <v>0</v>
      </c>
      <c r="N163" t="str">
        <f>B02_Assessment!H87</f>
        <v>B02-R3/B02-R4</v>
      </c>
      <c r="O163" t="str">
        <f>B02_Assessment!I87</f>
        <v>Closed</v>
      </c>
      <c r="P163">
        <f>B02_Assessment!J87</f>
        <v>0</v>
      </c>
      <c r="Q163" t="str">
        <f t="shared" si="2"/>
        <v>02|80</v>
      </c>
    </row>
    <row r="164" spans="1:17" ht="6.45" customHeight="1">
      <c r="A164" t="s">
        <v>604</v>
      </c>
      <c r="B164">
        <v>81</v>
      </c>
      <c r="C164" t="s">
        <v>15</v>
      </c>
      <c r="D164">
        <v>88</v>
      </c>
      <c r="E164" t="s">
        <v>1052</v>
      </c>
      <c r="F164" t="s">
        <v>5324</v>
      </c>
      <c r="G164" t="str">
        <f>B02_Assessment!A88</f>
        <v>B02-P007</v>
      </c>
      <c r="H164" t="str">
        <f>B02_Assessment!B88</f>
        <v>All</v>
      </c>
      <c r="I164" t="str">
        <f>B02_Assessment!C88</f>
        <v>Cable Tray / Firestop</v>
      </c>
      <c r="J164" t="str">
        <f>B02_Assessment!D88</f>
        <v>Basement/first/second/third/fourth cable tray route, supports, seismic bracing, 40% fill, penetrations and before/after firestopping</v>
      </c>
      <c r="K164">
        <f>B02_Assessment!E88</f>
        <v>0</v>
      </c>
      <c r="L164" t="str">
        <f>B02_Assessment!F88</f>
        <v>Paul</v>
      </c>
      <c r="M164">
        <f>B02_Assessment!G88</f>
        <v>0</v>
      </c>
      <c r="N164" t="str">
        <f>B02_Assessment!H88</f>
        <v>B02-R5</v>
      </c>
      <c r="O164" t="str">
        <f>B02_Assessment!I88</f>
        <v>Closed</v>
      </c>
      <c r="P164">
        <f>B02_Assessment!J88</f>
        <v>0</v>
      </c>
      <c r="Q164" t="str">
        <f t="shared" si="2"/>
        <v>02|81</v>
      </c>
    </row>
    <row r="165" spans="1:17" ht="6.45" customHeight="1">
      <c r="A165" t="s">
        <v>604</v>
      </c>
      <c r="B165">
        <v>82</v>
      </c>
      <c r="C165" t="s">
        <v>15</v>
      </c>
      <c r="D165">
        <v>89</v>
      </c>
      <c r="E165" t="s">
        <v>1052</v>
      </c>
      <c r="F165" t="s">
        <v>5324</v>
      </c>
      <c r="G165" t="str">
        <f>B02_Assessment!A89</f>
        <v>B02-P008</v>
      </c>
      <c r="H165" t="str">
        <f>B02_Assessment!B89</f>
        <v>All TRs</v>
      </c>
      <c r="I165" t="str">
        <f>B02_Assessment!C89</f>
        <v>Telecom / Security</v>
      </c>
      <c r="J165" t="str">
        <f>B02_Assessment!D89</f>
        <v>Racks, Fiber LIU, Cat6A, patch panels, labels/test records, cameras, PACS and existing rack transfer work</v>
      </c>
      <c r="K165">
        <f>B02_Assessment!E89</f>
        <v>0</v>
      </c>
      <c r="L165" t="str">
        <f>B02_Assessment!F89</f>
        <v>Paul</v>
      </c>
      <c r="M165">
        <f>B02_Assessment!G89</f>
        <v>0</v>
      </c>
      <c r="N165" t="str">
        <f>B02_Assessment!H89</f>
        <v>B02-R6/B02-R8</v>
      </c>
      <c r="O165" t="str">
        <f>B02_Assessment!I89</f>
        <v>Closed</v>
      </c>
      <c r="P165">
        <f>B02_Assessment!J89</f>
        <v>0</v>
      </c>
      <c r="Q165" t="str">
        <f t="shared" si="2"/>
        <v>02|82</v>
      </c>
    </row>
    <row r="166" spans="1:17" ht="6.45" customHeight="1">
      <c r="A166" t="s">
        <v>604</v>
      </c>
      <c r="B166">
        <v>83</v>
      </c>
      <c r="C166" t="s">
        <v>15</v>
      </c>
      <c r="D166">
        <v>90</v>
      </c>
      <c r="E166" t="s">
        <v>1052</v>
      </c>
      <c r="F166" t="s">
        <v>5325</v>
      </c>
      <c r="G166">
        <f>B02_Assessment!A90</f>
        <v>0</v>
      </c>
      <c r="H166">
        <f>B02_Assessment!B90</f>
        <v>0</v>
      </c>
      <c r="I166">
        <f>B02_Assessment!C90</f>
        <v>0</v>
      </c>
      <c r="J166">
        <f>B02_Assessment!D90</f>
        <v>0</v>
      </c>
      <c r="K166">
        <f>B02_Assessment!E90</f>
        <v>0</v>
      </c>
      <c r="L166">
        <f>B02_Assessment!F90</f>
        <v>0</v>
      </c>
      <c r="M166">
        <f>B02_Assessment!G90</f>
        <v>0</v>
      </c>
      <c r="N166">
        <f>B02_Assessment!H90</f>
        <v>0</v>
      </c>
      <c r="O166">
        <f>B02_Assessment!I90</f>
        <v>0</v>
      </c>
      <c r="P166">
        <f>B02_Assessment!J90</f>
        <v>0</v>
      </c>
      <c r="Q166" t="str">
        <f t="shared" si="2"/>
        <v>02|83</v>
      </c>
    </row>
    <row r="167" spans="1:17" ht="6.45" customHeight="1">
      <c r="A167" t="s">
        <v>625</v>
      </c>
      <c r="B167">
        <v>1</v>
      </c>
      <c r="C167" t="s">
        <v>17</v>
      </c>
      <c r="D167">
        <v>8</v>
      </c>
      <c r="E167" t="s">
        <v>918</v>
      </c>
      <c r="F167" t="s">
        <v>5322</v>
      </c>
      <c r="G167" t="str">
        <f>B03_Assessment!A8</f>
        <v>1. ROOM INVENTORY</v>
      </c>
      <c r="H167">
        <f>B03_Assessment!B8</f>
        <v>0</v>
      </c>
      <c r="I167">
        <f>B03_Assessment!C8</f>
        <v>0</v>
      </c>
      <c r="J167">
        <f>B03_Assessment!D8</f>
        <v>0</v>
      </c>
      <c r="K167">
        <f>B03_Assessment!E8</f>
        <v>0</v>
      </c>
      <c r="L167">
        <f>B03_Assessment!F8</f>
        <v>0</v>
      </c>
      <c r="M167">
        <f>B03_Assessment!G8</f>
        <v>0</v>
      </c>
      <c r="N167">
        <f>B03_Assessment!H8</f>
        <v>0</v>
      </c>
      <c r="O167">
        <f>B03_Assessment!I8</f>
        <v>0</v>
      </c>
      <c r="P167">
        <f>B03_Assessment!J8</f>
        <v>0</v>
      </c>
      <c r="Q167" t="str">
        <f t="shared" si="2"/>
        <v>03|1</v>
      </c>
    </row>
    <row r="168" spans="1:17" ht="6.45" customHeight="1">
      <c r="A168" t="s">
        <v>625</v>
      </c>
      <c r="B168">
        <v>2</v>
      </c>
      <c r="C168" t="s">
        <v>17</v>
      </c>
      <c r="D168">
        <v>9</v>
      </c>
      <c r="E168" t="s">
        <v>918</v>
      </c>
      <c r="F168" t="s">
        <v>5323</v>
      </c>
      <c r="G168" t="str">
        <f>B03_Assessment!A9</f>
        <v>Building</v>
      </c>
      <c r="H168" t="str">
        <f>B03_Assessment!B9</f>
        <v>Room</v>
      </c>
      <c r="I168" t="str">
        <f>B03_Assessment!C9</f>
        <v>Floor</v>
      </c>
      <c r="J168" t="str">
        <f>B03_Assessment!D9</f>
        <v>Existing Use</v>
      </c>
      <c r="K168" t="str">
        <f>B03_Assessment!E9</f>
        <v>New Use</v>
      </c>
      <c r="L168" t="str">
        <f>B03_Assessment!F9</f>
        <v>Rack Count</v>
      </c>
      <c r="M168" t="str">
        <f>B03_Assessment!G9</f>
        <v>Future Rack</v>
      </c>
      <c r="N168" t="str">
        <f>B03_Assessment!H9</f>
        <v>Status</v>
      </c>
      <c r="O168" t="str">
        <f>B03_Assessment!I9</f>
        <v>Drawing Ref</v>
      </c>
      <c r="P168" t="str">
        <f>B03_Assessment!J9</f>
        <v>Notes</v>
      </c>
      <c r="Q168" t="str">
        <f t="shared" si="2"/>
        <v>03|2</v>
      </c>
    </row>
    <row r="169" spans="1:17" ht="6.45" customHeight="1">
      <c r="A169" t="s">
        <v>625</v>
      </c>
      <c r="B169">
        <v>3</v>
      </c>
      <c r="C169" t="s">
        <v>17</v>
      </c>
      <c r="D169">
        <v>10</v>
      </c>
      <c r="E169" t="s">
        <v>918</v>
      </c>
      <c r="F169" t="s">
        <v>5324</v>
      </c>
      <c r="G169" t="str">
        <f>B03_Assessment!A10</f>
        <v>03</v>
      </c>
      <c r="H169" t="str">
        <f>B03_Assessment!B10</f>
        <v>101E</v>
      </c>
      <c r="I169" t="str">
        <f>B03_Assessment!C10</f>
        <v>First</v>
      </c>
      <c r="J169" t="str">
        <f>B03_Assessment!D10</f>
        <v>New telecom room buildout / relocated TR function</v>
      </c>
      <c r="K169" t="str">
        <f>B03_Assessment!E10</f>
        <v>Telecom Room</v>
      </c>
      <c r="L169">
        <f>B03_Assessment!F10</f>
        <v>2</v>
      </c>
      <c r="M169">
        <f>B03_Assessment!G10</f>
        <v>1</v>
      </c>
      <c r="N169" t="str">
        <f>B03_Assessment!H10</f>
        <v>Verify</v>
      </c>
      <c r="O169" t="str">
        <f>B03_Assessment!I10</f>
        <v>03A-401 / 03E-101 / 03E-401 / 03E-601 / 03E-701 / 03T-101 / 03T-401 / 03T-604 / 03T-701</v>
      </c>
      <c r="P169" t="str">
        <f>B03_Assessment!J10</f>
        <v>Primary Building 03 TR. Schedules identify RM101E with 143 WAO total, 213 active ports, 187 scheduled ports, 206 total ports with 10% allowance, Rack IDs TR01-101E-1 and TR01-101E-2, 5kW UPS, Zone PDU, fiber LIU, Cat6A patch panels, and future rack/switch capacity.</v>
      </c>
      <c r="Q169" t="str">
        <f t="shared" si="2"/>
        <v>03|3</v>
      </c>
    </row>
    <row r="170" spans="1:17" ht="6.45" customHeight="1">
      <c r="A170" t="s">
        <v>625</v>
      </c>
      <c r="B170">
        <v>4</v>
      </c>
      <c r="C170" t="s">
        <v>17</v>
      </c>
      <c r="D170">
        <v>11</v>
      </c>
      <c r="E170" t="s">
        <v>918</v>
      </c>
      <c r="F170" t="s">
        <v>5324</v>
      </c>
      <c r="G170" t="str">
        <f>B03_Assessment!A11</f>
        <v>03</v>
      </c>
      <c r="H170" t="str">
        <f>B03_Assessment!B11</f>
        <v>107</v>
      </c>
      <c r="I170" t="str">
        <f>B03_Assessment!C11</f>
        <v>Basement</v>
      </c>
      <c r="J170" t="str">
        <f>B03_Assessment!D11</f>
        <v>Existing telecom room / legacy rack equipment</v>
      </c>
      <c r="K170" t="str">
        <f>B03_Assessment!E11</f>
        <v>Existing telecom transition point</v>
      </c>
      <c r="L170">
        <f>B03_Assessment!F11</f>
        <v>1</v>
      </c>
      <c r="M170">
        <f>B03_Assessment!G11</f>
        <v>0</v>
      </c>
      <c r="N170" t="str">
        <f>B03_Assessment!H11</f>
        <v>Verify</v>
      </c>
      <c r="O170" t="str">
        <f>B03_Assessment!I11</f>
        <v>03T-100 / 03T-403 / 03T-604 / 03R-900</v>
      </c>
      <c r="P170" t="str">
        <f>B03_Assessment!J11</f>
        <v>Existing Basement Telecom Room 107. Rack elevation identifies Building 3 existing B3-LB-B13-TC-FIBER rack with UPS on floor, Cisco switch, legacy 48-port patch panels, and fiber LIU wall-mounted. 03T-403 provides Room 107 inventory list for reference.</v>
      </c>
      <c r="Q170" t="str">
        <f t="shared" si="2"/>
        <v>03|4</v>
      </c>
    </row>
    <row r="171" spans="1:17" ht="6.45" customHeight="1">
      <c r="A171" t="s">
        <v>625</v>
      </c>
      <c r="B171">
        <v>5</v>
      </c>
      <c r="C171" t="s">
        <v>17</v>
      </c>
      <c r="D171">
        <v>12</v>
      </c>
      <c r="E171" t="s">
        <v>918</v>
      </c>
      <c r="F171" t="s">
        <v>5324</v>
      </c>
      <c r="G171" t="str">
        <f>B03_Assessment!A12</f>
        <v>03</v>
      </c>
      <c r="H171" t="str">
        <f>B03_Assessment!B12</f>
        <v>101C</v>
      </c>
      <c r="I171" t="str">
        <f>B03_Assessment!C12</f>
        <v>First</v>
      </c>
      <c r="J171" t="str">
        <f>B03_Assessment!D12</f>
        <v>Existing DMARC / telecom room</v>
      </c>
      <c r="K171" t="str">
        <f>B03_Assessment!E12</f>
        <v>Existing DMARC transition point</v>
      </c>
      <c r="L171">
        <f>B03_Assessment!F12</f>
        <v>1</v>
      </c>
      <c r="M171">
        <f>B03_Assessment!G12</f>
        <v>0</v>
      </c>
      <c r="N171" t="str">
        <f>B03_Assessment!H12</f>
        <v>Verify</v>
      </c>
      <c r="O171" t="str">
        <f>B03_Assessment!I12</f>
        <v>03T-101 / 03T-401 / 03T-604 / 03R-900</v>
      </c>
      <c r="P171" t="str">
        <f>B03_Assessment!J12</f>
        <v>First-floor existing DMARC Room 101C / telecom room. Enlarged plan shows existing/removal patch panels, existing branch panel, telecom cabinet, 101C-CAM-01, 101C-CK-A, 101C-A/B/C/D and AP locations. Protect active DMARC/fiber until new service is operational.</v>
      </c>
      <c r="Q171" t="str">
        <f t="shared" si="2"/>
        <v>03|5</v>
      </c>
    </row>
    <row r="172" spans="1:17" ht="6.45" customHeight="1">
      <c r="A172" t="s">
        <v>625</v>
      </c>
      <c r="B172">
        <v>6</v>
      </c>
      <c r="C172" t="s">
        <v>17</v>
      </c>
      <c r="D172">
        <v>13</v>
      </c>
      <c r="E172" t="s">
        <v>918</v>
      </c>
      <c r="F172" t="s">
        <v>5324</v>
      </c>
      <c r="G172" t="str">
        <f>B03_Assessment!A13</f>
        <v>03</v>
      </c>
      <c r="H172" t="str">
        <f>B03_Assessment!B13</f>
        <v>108 / 107A / 101C related WAO areas</v>
      </c>
      <c r="I172" t="str">
        <f>B03_Assessment!C13</f>
        <v>First</v>
      </c>
      <c r="J172" t="str">
        <f>B03_Assessment!D13</f>
        <v>Work area outlets and WAP/camera locations</v>
      </c>
      <c r="K172" t="str">
        <f>B03_Assessment!E13</f>
        <v>WAO recabling / device support</v>
      </c>
      <c r="L172">
        <f>B03_Assessment!F13</f>
        <v>0</v>
      </c>
      <c r="M172">
        <f>B03_Assessment!G13</f>
        <v>0</v>
      </c>
      <c r="N172" t="str">
        <f>B03_Assessment!H13</f>
        <v>Verify</v>
      </c>
      <c r="O172" t="str">
        <f>B03_Assessment!I13</f>
        <v>03T-101 / 03T-701</v>
      </c>
      <c r="P172" t="str">
        <f>B03_Assessment!J13</f>
        <v>WAO schedule includes first-level outlets such as 108-A/B/C, 108-CK-A, 108-AP-A, 107A-AP-A, 101C-CAM-01, 101C-A/B/C/D and AP locations served from TR01-101E-1/2.</v>
      </c>
      <c r="Q172" t="str">
        <f t="shared" si="2"/>
        <v>03|6</v>
      </c>
    </row>
    <row r="173" spans="1:17" ht="6.45" customHeight="1">
      <c r="A173" t="s">
        <v>625</v>
      </c>
      <c r="B173">
        <v>7</v>
      </c>
      <c r="C173" t="s">
        <v>17</v>
      </c>
      <c r="D173">
        <v>14</v>
      </c>
      <c r="E173" t="s">
        <v>918</v>
      </c>
      <c r="F173" t="s">
        <v>5325</v>
      </c>
      <c r="G173">
        <f>B03_Assessment!A14</f>
        <v>0</v>
      </c>
      <c r="H173">
        <f>B03_Assessment!B14</f>
        <v>0</v>
      </c>
      <c r="I173">
        <f>B03_Assessment!C14</f>
        <v>0</v>
      </c>
      <c r="J173">
        <f>B03_Assessment!D14</f>
        <v>0</v>
      </c>
      <c r="K173">
        <f>B03_Assessment!E14</f>
        <v>0</v>
      </c>
      <c r="L173">
        <f>B03_Assessment!F14</f>
        <v>0</v>
      </c>
      <c r="M173">
        <f>B03_Assessment!G14</f>
        <v>0</v>
      </c>
      <c r="N173">
        <f>B03_Assessment!H14</f>
        <v>0</v>
      </c>
      <c r="O173">
        <f>B03_Assessment!I14</f>
        <v>0</v>
      </c>
      <c r="P173">
        <f>B03_Assessment!J14</f>
        <v>0</v>
      </c>
      <c r="Q173" t="str">
        <f t="shared" si="2"/>
        <v>03|7</v>
      </c>
    </row>
    <row r="174" spans="1:17" ht="6.45" customHeight="1">
      <c r="A174" t="s">
        <v>625</v>
      </c>
      <c r="B174">
        <v>8</v>
      </c>
      <c r="C174" t="s">
        <v>17</v>
      </c>
      <c r="D174">
        <v>15</v>
      </c>
      <c r="E174" t="s">
        <v>936</v>
      </c>
      <c r="F174" t="s">
        <v>5322</v>
      </c>
      <c r="G174" t="str">
        <f>B03_Assessment!A15</f>
        <v>2. ROOM READINESS</v>
      </c>
      <c r="H174">
        <f>B03_Assessment!B15</f>
        <v>0</v>
      </c>
      <c r="I174">
        <f>B03_Assessment!C15</f>
        <v>0</v>
      </c>
      <c r="J174">
        <f>B03_Assessment!D15</f>
        <v>0</v>
      </c>
      <c r="K174">
        <f>B03_Assessment!E15</f>
        <v>0</v>
      </c>
      <c r="L174">
        <f>B03_Assessment!F15</f>
        <v>0</v>
      </c>
      <c r="M174">
        <f>B03_Assessment!G15</f>
        <v>0</v>
      </c>
      <c r="N174">
        <f>B03_Assessment!H15</f>
        <v>0</v>
      </c>
      <c r="O174">
        <f>B03_Assessment!I15</f>
        <v>0</v>
      </c>
      <c r="P174">
        <f>B03_Assessment!J15</f>
        <v>0</v>
      </c>
      <c r="Q174" t="str">
        <f t="shared" si="2"/>
        <v>03|8</v>
      </c>
    </row>
    <row r="175" spans="1:17" ht="6.45" customHeight="1">
      <c r="A175" t="s">
        <v>625</v>
      </c>
      <c r="B175">
        <v>9</v>
      </c>
      <c r="C175" t="s">
        <v>17</v>
      </c>
      <c r="D175">
        <v>16</v>
      </c>
      <c r="E175" t="s">
        <v>936</v>
      </c>
      <c r="F175" t="s">
        <v>5323</v>
      </c>
      <c r="G175" t="str">
        <f>B03_Assessment!A16</f>
        <v>Room</v>
      </c>
      <c r="H175" t="str">
        <f>B03_Assessment!B16</f>
        <v>Walls / 1-hr Rating</v>
      </c>
      <c r="I175" t="str">
        <f>B03_Assessment!C16</f>
        <v>Ceiling</v>
      </c>
      <c r="J175" t="str">
        <f>B03_Assessment!D16</f>
        <v>Floor / SDC</v>
      </c>
      <c r="K175" t="str">
        <f>B03_Assessment!E16</f>
        <v>Penetrations</v>
      </c>
      <c r="L175" t="str">
        <f>B03_Assessment!F16</f>
        <v>Access Control</v>
      </c>
      <c r="M175" t="str">
        <f>B03_Assessment!G16</f>
        <v>Clearances</v>
      </c>
      <c r="N175" t="str">
        <f>B03_Assessment!H16</f>
        <v>Housekeeping</v>
      </c>
      <c r="O175" t="str">
        <f>B03_Assessment!I16</f>
        <v>Overall</v>
      </c>
      <c r="P175" t="str">
        <f>B03_Assessment!J16</f>
        <v>Comments</v>
      </c>
      <c r="Q175" t="str">
        <f t="shared" si="2"/>
        <v>03|9</v>
      </c>
    </row>
    <row r="176" spans="1:17" ht="6.45" customHeight="1">
      <c r="A176" t="s">
        <v>625</v>
      </c>
      <c r="B176">
        <v>10</v>
      </c>
      <c r="C176" t="s">
        <v>17</v>
      </c>
      <c r="D176">
        <v>17</v>
      </c>
      <c r="E176" t="s">
        <v>936</v>
      </c>
      <c r="F176" t="s">
        <v>5324</v>
      </c>
      <c r="G176" t="str">
        <f>B03_Assessment!A17</f>
        <v>101E</v>
      </c>
      <c r="H176" t="str">
        <f>B03_Assessment!B17</f>
        <v>Verify</v>
      </c>
      <c r="I176" t="str">
        <f>B03_Assessment!C17</f>
        <v>Verify</v>
      </c>
      <c r="J176" t="str">
        <f>B03_Assessment!D17</f>
        <v>Verify</v>
      </c>
      <c r="K176" t="str">
        <f>B03_Assessment!E17</f>
        <v>Verify</v>
      </c>
      <c r="L176" t="str">
        <f>B03_Assessment!F17</f>
        <v>Verify</v>
      </c>
      <c r="M176" t="str">
        <f>B03_Assessment!G17</f>
        <v>Verify</v>
      </c>
      <c r="N176" t="str">
        <f>B03_Assessment!H17</f>
        <v>Verify</v>
      </c>
      <c r="O176" t="str">
        <f>B03_Assessment!I17</f>
        <v>Verify</v>
      </c>
      <c r="P176" t="str">
        <f>B03_Assessment!J17</f>
        <v>New/renovated TR. Verify rated walls/smoke barriers, door/access-control hardware, ceiling/deck, floor finish, rack/future rack clearances, wall backing, cable tray, fiber path A/B, and working clearances around rack, panels and cooling equipment.</v>
      </c>
      <c r="Q176" t="str">
        <f t="shared" si="2"/>
        <v>03|10</v>
      </c>
    </row>
    <row r="177" spans="1:17" ht="6.45" customHeight="1">
      <c r="A177" t="s">
        <v>625</v>
      </c>
      <c r="B177">
        <v>11</v>
      </c>
      <c r="C177" t="s">
        <v>17</v>
      </c>
      <c r="D177">
        <v>18</v>
      </c>
      <c r="E177" t="s">
        <v>936</v>
      </c>
      <c r="F177" t="s">
        <v>5324</v>
      </c>
      <c r="G177" t="str">
        <f>B03_Assessment!A18</f>
        <v>107</v>
      </c>
      <c r="H177" t="str">
        <f>B03_Assessment!B18</f>
        <v>Existing / Verify</v>
      </c>
      <c r="I177" t="str">
        <f>B03_Assessment!C18</f>
        <v>Existing / Verify</v>
      </c>
      <c r="J177" t="str">
        <f>B03_Assessment!D18</f>
        <v>Existing / Verify</v>
      </c>
      <c r="K177" t="str">
        <f>B03_Assessment!E18</f>
        <v>Verify</v>
      </c>
      <c r="L177" t="str">
        <f>B03_Assessment!F18</f>
        <v>Verify Existing</v>
      </c>
      <c r="M177" t="str">
        <f>B03_Assessment!G18</f>
        <v>Verify</v>
      </c>
      <c r="N177" t="str">
        <f>B03_Assessment!H18</f>
        <v>Verify</v>
      </c>
      <c r="O177" t="str">
        <f>B03_Assessment!I18</f>
        <v>Verify</v>
      </c>
      <c r="P177" t="str">
        <f>B03_Assessment!J18</f>
        <v>Existing basement telecom room must remain operational until cutover. Verify active equipment, rack access, existing UPS on floor, wall/floor rack conditions, and transfer/abandonment scope.</v>
      </c>
      <c r="Q177" t="str">
        <f t="shared" si="2"/>
        <v>03|11</v>
      </c>
    </row>
    <row r="178" spans="1:17" ht="6.45" customHeight="1">
      <c r="A178" t="s">
        <v>625</v>
      </c>
      <c r="B178">
        <v>12</v>
      </c>
      <c r="C178" t="s">
        <v>17</v>
      </c>
      <c r="D178">
        <v>19</v>
      </c>
      <c r="E178" t="s">
        <v>936</v>
      </c>
      <c r="F178" t="s">
        <v>5324</v>
      </c>
      <c r="G178" t="str">
        <f>B03_Assessment!A19</f>
        <v>101C</v>
      </c>
      <c r="H178" t="str">
        <f>B03_Assessment!B19</f>
        <v>Existing / Verify</v>
      </c>
      <c r="I178" t="str">
        <f>B03_Assessment!C19</f>
        <v>Existing / Verify</v>
      </c>
      <c r="J178" t="str">
        <f>B03_Assessment!D19</f>
        <v>Existing / Verify</v>
      </c>
      <c r="K178" t="str">
        <f>B03_Assessment!E19</f>
        <v>Verify</v>
      </c>
      <c r="L178" t="str">
        <f>B03_Assessment!F19</f>
        <v>Verify Existing</v>
      </c>
      <c r="M178" t="str">
        <f>B03_Assessment!G19</f>
        <v>Verify</v>
      </c>
      <c r="N178" t="str">
        <f>B03_Assessment!H19</f>
        <v>Verify</v>
      </c>
      <c r="O178" t="str">
        <f>B03_Assessment!I19</f>
        <v>Verify</v>
      </c>
      <c r="P178" t="str">
        <f>B03_Assessment!J19</f>
        <v>Existing DMARC/telecom transition point; verify active provider/fiber/DMARC services, branch panel, patch panels, cabinet and protection-in-place.</v>
      </c>
      <c r="Q178" t="str">
        <f t="shared" si="2"/>
        <v>03|12</v>
      </c>
    </row>
    <row r="179" spans="1:17" ht="6.45" customHeight="1">
      <c r="A179" t="s">
        <v>625</v>
      </c>
      <c r="B179">
        <v>13</v>
      </c>
      <c r="C179" t="s">
        <v>17</v>
      </c>
      <c r="D179">
        <v>20</v>
      </c>
      <c r="E179" t="s">
        <v>936</v>
      </c>
      <c r="F179" t="s">
        <v>5324</v>
      </c>
      <c r="G179" t="str">
        <f>B03_Assessment!A20</f>
        <v>WAO Areas</v>
      </c>
      <c r="H179" t="str">
        <f>B03_Assessment!B20</f>
        <v>Existing / Verify</v>
      </c>
      <c r="I179" t="str">
        <f>B03_Assessment!C20</f>
        <v>Existing / Verify</v>
      </c>
      <c r="J179" t="str">
        <f>B03_Assessment!D20</f>
        <v>Existing / Verify</v>
      </c>
      <c r="K179" t="str">
        <f>B03_Assessment!E20</f>
        <v>Verify</v>
      </c>
      <c r="L179" t="str">
        <f>B03_Assessment!F20</f>
        <v>N/A / Verify</v>
      </c>
      <c r="M179" t="str">
        <f>B03_Assessment!G20</f>
        <v>Verify</v>
      </c>
      <c r="N179" t="str">
        <f>B03_Assessment!H20</f>
        <v>Verify</v>
      </c>
      <c r="O179" t="str">
        <f>B03_Assessment!I20</f>
        <v>Verify</v>
      </c>
      <c r="P179" t="str">
        <f>B03_Assessment!J20</f>
        <v>Verify existing conduit reuse, surface raceway where needed, 40% fill, WAP protection-in-place, access above ceilings, and infection-control controls.</v>
      </c>
      <c r="Q179" t="str">
        <f t="shared" si="2"/>
        <v>03|13</v>
      </c>
    </row>
    <row r="180" spans="1:17" ht="6.45" customHeight="1">
      <c r="A180" t="s">
        <v>625</v>
      </c>
      <c r="B180">
        <v>14</v>
      </c>
      <c r="C180" t="s">
        <v>17</v>
      </c>
      <c r="D180">
        <v>21</v>
      </c>
      <c r="E180" t="s">
        <v>936</v>
      </c>
      <c r="F180" t="s">
        <v>5325</v>
      </c>
      <c r="G180">
        <f>B03_Assessment!A21</f>
        <v>0</v>
      </c>
      <c r="H180">
        <f>B03_Assessment!B21</f>
        <v>0</v>
      </c>
      <c r="I180">
        <f>B03_Assessment!C21</f>
        <v>0</v>
      </c>
      <c r="J180">
        <f>B03_Assessment!D21</f>
        <v>0</v>
      </c>
      <c r="K180">
        <f>B03_Assessment!E21</f>
        <v>0</v>
      </c>
      <c r="L180">
        <f>B03_Assessment!F21</f>
        <v>0</v>
      </c>
      <c r="M180">
        <f>B03_Assessment!G21</f>
        <v>0</v>
      </c>
      <c r="N180">
        <f>B03_Assessment!H21</f>
        <v>0</v>
      </c>
      <c r="O180">
        <f>B03_Assessment!I21</f>
        <v>0</v>
      </c>
      <c r="P180">
        <f>B03_Assessment!J21</f>
        <v>0</v>
      </c>
      <c r="Q180" t="str">
        <f t="shared" si="2"/>
        <v>03|14</v>
      </c>
    </row>
    <row r="181" spans="1:17" ht="6.45" customHeight="1">
      <c r="A181" t="s">
        <v>625</v>
      </c>
      <c r="B181">
        <v>15</v>
      </c>
      <c r="C181" t="s">
        <v>17</v>
      </c>
      <c r="D181">
        <v>22</v>
      </c>
      <c r="E181" t="s">
        <v>951</v>
      </c>
      <c r="F181" t="s">
        <v>5322</v>
      </c>
      <c r="G181" t="str">
        <f>B03_Assessment!A22</f>
        <v>3. FIRE PROTECTION</v>
      </c>
      <c r="H181">
        <f>B03_Assessment!B22</f>
        <v>0</v>
      </c>
      <c r="I181">
        <f>B03_Assessment!C22</f>
        <v>0</v>
      </c>
      <c r="J181">
        <f>B03_Assessment!D22</f>
        <v>0</v>
      </c>
      <c r="K181">
        <f>B03_Assessment!E22</f>
        <v>0</v>
      </c>
      <c r="L181">
        <f>B03_Assessment!F22</f>
        <v>0</v>
      </c>
      <c r="M181">
        <f>B03_Assessment!G22</f>
        <v>0</v>
      </c>
      <c r="N181">
        <f>B03_Assessment!H22</f>
        <v>0</v>
      </c>
      <c r="O181">
        <f>B03_Assessment!I22</f>
        <v>0</v>
      </c>
      <c r="P181">
        <f>B03_Assessment!J22</f>
        <v>0</v>
      </c>
      <c r="Q181" t="str">
        <f t="shared" si="2"/>
        <v>03|15</v>
      </c>
    </row>
    <row r="182" spans="1:17" ht="6.45" customHeight="1">
      <c r="A182" t="s">
        <v>625</v>
      </c>
      <c r="B182">
        <v>16</v>
      </c>
      <c r="C182" t="s">
        <v>17</v>
      </c>
      <c r="D182">
        <v>23</v>
      </c>
      <c r="E182" t="s">
        <v>951</v>
      </c>
      <c r="F182" t="s">
        <v>5323</v>
      </c>
      <c r="G182" t="str">
        <f>B03_Assessment!A23</f>
        <v>Room</v>
      </c>
      <c r="H182" t="str">
        <f>B03_Assessment!B23</f>
        <v>Sprinkler</v>
      </c>
      <c r="I182" t="str">
        <f>B03_Assessment!C23</f>
        <v>Cage</v>
      </c>
      <c r="J182" t="str">
        <f>B03_Assessment!D23</f>
        <v>Detector</v>
      </c>
      <c r="K182" t="str">
        <f>B03_Assessment!E23</f>
        <v>Horn/Strobe</v>
      </c>
      <c r="L182" t="str">
        <f>B03_Assessment!F23</f>
        <v>Extinguisher &lt;75 ft</v>
      </c>
      <c r="M182" t="str">
        <f>B03_Assessment!G23</f>
        <v>Firestop</v>
      </c>
      <c r="N182" t="str">
        <f>B03_Assessment!H23</f>
        <v>Temp Firestop</v>
      </c>
      <c r="O182" t="str">
        <f>B03_Assessment!I23</f>
        <v>Overall</v>
      </c>
      <c r="P182" t="str">
        <f>B03_Assessment!J23</f>
        <v>Risk / Notes</v>
      </c>
      <c r="Q182" t="str">
        <f t="shared" si="2"/>
        <v>03|16</v>
      </c>
    </row>
    <row r="183" spans="1:17" ht="6.45" customHeight="1">
      <c r="A183" t="s">
        <v>625</v>
      </c>
      <c r="B183">
        <v>17</v>
      </c>
      <c r="C183" t="s">
        <v>17</v>
      </c>
      <c r="D183">
        <v>24</v>
      </c>
      <c r="E183" t="s">
        <v>951</v>
      </c>
      <c r="F183" t="s">
        <v>5324</v>
      </c>
      <c r="G183" t="str">
        <f>B03_Assessment!A24</f>
        <v>101E</v>
      </c>
      <c r="H183" t="str">
        <f>B03_Assessment!B24</f>
        <v>Verify</v>
      </c>
      <c r="I183" t="str">
        <f>B03_Assessment!C24</f>
        <v>Verify</v>
      </c>
      <c r="J183" t="str">
        <f>B03_Assessment!D24</f>
        <v>Verify</v>
      </c>
      <c r="K183" t="str">
        <f>B03_Assessment!E24</f>
        <v>Verify</v>
      </c>
      <c r="L183" t="str">
        <f>B03_Assessment!F24</f>
        <v>Verify</v>
      </c>
      <c r="M183" t="str">
        <f>B03_Assessment!G24</f>
        <v>Verify</v>
      </c>
      <c r="N183" t="str">
        <f>B03_Assessment!H24</f>
        <v>Verify</v>
      </c>
      <c r="O183" t="str">
        <f>B03_Assessment!I24</f>
        <v>Verify</v>
      </c>
      <c r="P183" t="str">
        <f>B03_Assessment!J24</f>
        <v>Full fire protection scope included. Verify sprinkler modifications, fire alarm devices, clean-agent/CO2 2A:10B:C FEC within 75 ft, rated wall/floor penetrations, temporary firestopping and final UL systems.</v>
      </c>
      <c r="Q183" t="str">
        <f t="shared" si="2"/>
        <v>03|17</v>
      </c>
    </row>
    <row r="184" spans="1:17" ht="6.45" customHeight="1">
      <c r="A184" t="s">
        <v>625</v>
      </c>
      <c r="B184">
        <v>18</v>
      </c>
      <c r="C184" t="s">
        <v>17</v>
      </c>
      <c r="D184">
        <v>25</v>
      </c>
      <c r="E184" t="s">
        <v>951</v>
      </c>
      <c r="F184" t="s">
        <v>5324</v>
      </c>
      <c r="G184" t="str">
        <f>B03_Assessment!A25</f>
        <v>107</v>
      </c>
      <c r="H184" t="str">
        <f>B03_Assessment!B25</f>
        <v>Existing / Verify</v>
      </c>
      <c r="I184" t="str">
        <f>B03_Assessment!C25</f>
        <v>N/A</v>
      </c>
      <c r="J184" t="str">
        <f>B03_Assessment!D25</f>
        <v>Verify Existing</v>
      </c>
      <c r="K184" t="str">
        <f>B03_Assessment!E25</f>
        <v>Verify Existing</v>
      </c>
      <c r="L184" t="str">
        <f>B03_Assessment!F25</f>
        <v>Verify</v>
      </c>
      <c r="M184" t="str">
        <f>B03_Assessment!G25</f>
        <v>Verify</v>
      </c>
      <c r="N184" t="str">
        <f>B03_Assessment!H25</f>
        <v>Verify</v>
      </c>
      <c r="O184" t="str">
        <f>B03_Assessment!I25</f>
        <v>Verify</v>
      </c>
      <c r="P184" t="str">
        <f>B03_Assessment!J25</f>
        <v>Existing telecom room; verify fire alarm/sprinkler protection-in-place and seal penetrations after fiber/cable transfer or reuse.</v>
      </c>
      <c r="Q184" t="str">
        <f t="shared" si="2"/>
        <v>03|18</v>
      </c>
    </row>
    <row r="185" spans="1:17" ht="6.45" customHeight="1">
      <c r="A185" t="s">
        <v>625</v>
      </c>
      <c r="B185">
        <v>19</v>
      </c>
      <c r="C185" t="s">
        <v>17</v>
      </c>
      <c r="D185">
        <v>26</v>
      </c>
      <c r="E185" t="s">
        <v>951</v>
      </c>
      <c r="F185" t="s">
        <v>5324</v>
      </c>
      <c r="G185" t="str">
        <f>B03_Assessment!A26</f>
        <v>101C</v>
      </c>
      <c r="H185" t="str">
        <f>B03_Assessment!B26</f>
        <v>Existing / Verify</v>
      </c>
      <c r="I185" t="str">
        <f>B03_Assessment!C26</f>
        <v>N/A</v>
      </c>
      <c r="J185" t="str">
        <f>B03_Assessment!D26</f>
        <v>Verify Existing</v>
      </c>
      <c r="K185" t="str">
        <f>B03_Assessment!E26</f>
        <v>Verify Existing</v>
      </c>
      <c r="L185" t="str">
        <f>B03_Assessment!F26</f>
        <v>Verify</v>
      </c>
      <c r="M185" t="str">
        <f>B03_Assessment!G26</f>
        <v>Verify</v>
      </c>
      <c r="N185" t="str">
        <f>B03_Assessment!H26</f>
        <v>Verify</v>
      </c>
      <c r="O185" t="str">
        <f>B03_Assessment!I26</f>
        <v>Verify</v>
      </c>
      <c r="P185" t="str">
        <f>B03_Assessment!J26</f>
        <v>Existing DMARC/telecom room; fire alarm/sprinkler and firestopping must remain in service during transfer.</v>
      </c>
      <c r="Q185" t="str">
        <f t="shared" si="2"/>
        <v>03|19</v>
      </c>
    </row>
    <row r="186" spans="1:17" ht="6.45" customHeight="1">
      <c r="A186" t="s">
        <v>625</v>
      </c>
      <c r="B186">
        <v>20</v>
      </c>
      <c r="C186" t="s">
        <v>17</v>
      </c>
      <c r="D186">
        <v>27</v>
      </c>
      <c r="E186" t="s">
        <v>951</v>
      </c>
      <c r="F186" t="s">
        <v>5324</v>
      </c>
      <c r="G186" t="str">
        <f>B03_Assessment!A27</f>
        <v>WAO Areas</v>
      </c>
      <c r="H186" t="str">
        <f>B03_Assessment!B27</f>
        <v>Existing / Verify</v>
      </c>
      <c r="I186" t="str">
        <f>B03_Assessment!C27</f>
        <v>N/A</v>
      </c>
      <c r="J186" t="str">
        <f>B03_Assessment!D27</f>
        <v>Verify Existing</v>
      </c>
      <c r="K186" t="str">
        <f>B03_Assessment!E27</f>
        <v>Verify Existing</v>
      </c>
      <c r="L186" t="str">
        <f>B03_Assessment!F27</f>
        <v>N/A</v>
      </c>
      <c r="M186" t="str">
        <f>B03_Assessment!G27</f>
        <v>Verify</v>
      </c>
      <c r="N186" t="str">
        <f>B03_Assessment!H27</f>
        <v>Verify</v>
      </c>
      <c r="O186" t="str">
        <f>B03_Assessment!I27</f>
        <v>Verify</v>
      </c>
      <c r="P186" t="str">
        <f>B03_Assessment!J27</f>
        <v>Coordinate ceiling removal, temporary barriers/upright sprinklers if ceiling tiles remain open, and firestopping at all rated penetrations.</v>
      </c>
      <c r="Q186" t="str">
        <f t="shared" si="2"/>
        <v>03|20</v>
      </c>
    </row>
    <row r="187" spans="1:17" ht="6.45" customHeight="1">
      <c r="A187" t="s">
        <v>625</v>
      </c>
      <c r="B187">
        <v>21</v>
      </c>
      <c r="C187" t="s">
        <v>17</v>
      </c>
      <c r="D187">
        <v>28</v>
      </c>
      <c r="E187" t="s">
        <v>951</v>
      </c>
      <c r="F187" t="s">
        <v>5325</v>
      </c>
      <c r="G187">
        <f>B03_Assessment!A28</f>
        <v>0</v>
      </c>
      <c r="H187">
        <f>B03_Assessment!B28</f>
        <v>0</v>
      </c>
      <c r="I187">
        <f>B03_Assessment!C28</f>
        <v>0</v>
      </c>
      <c r="J187">
        <f>B03_Assessment!D28</f>
        <v>0</v>
      </c>
      <c r="K187">
        <f>B03_Assessment!E28</f>
        <v>0</v>
      </c>
      <c r="L187">
        <f>B03_Assessment!F28</f>
        <v>0</v>
      </c>
      <c r="M187">
        <f>B03_Assessment!G28</f>
        <v>0</v>
      </c>
      <c r="N187">
        <f>B03_Assessment!H28</f>
        <v>0</v>
      </c>
      <c r="O187">
        <f>B03_Assessment!I28</f>
        <v>0</v>
      </c>
      <c r="P187">
        <f>B03_Assessment!J28</f>
        <v>0</v>
      </c>
      <c r="Q187" t="str">
        <f t="shared" si="2"/>
        <v>03|21</v>
      </c>
    </row>
    <row r="188" spans="1:17" ht="6.45" customHeight="1">
      <c r="A188" t="s">
        <v>625</v>
      </c>
      <c r="B188">
        <v>22</v>
      </c>
      <c r="C188" t="s">
        <v>17</v>
      </c>
      <c r="D188">
        <v>29</v>
      </c>
      <c r="E188" t="s">
        <v>964</v>
      </c>
      <c r="F188" t="s">
        <v>5322</v>
      </c>
      <c r="G188" t="str">
        <f>B03_Assessment!A29</f>
        <v>4. HVAC / COOLING</v>
      </c>
      <c r="H188">
        <f>B03_Assessment!B29</f>
        <v>0</v>
      </c>
      <c r="I188">
        <f>B03_Assessment!C29</f>
        <v>0</v>
      </c>
      <c r="J188">
        <f>B03_Assessment!D29</f>
        <v>0</v>
      </c>
      <c r="K188">
        <f>B03_Assessment!E29</f>
        <v>0</v>
      </c>
      <c r="L188">
        <f>B03_Assessment!F29</f>
        <v>0</v>
      </c>
      <c r="M188">
        <f>B03_Assessment!G29</f>
        <v>0</v>
      </c>
      <c r="N188">
        <f>B03_Assessment!H29</f>
        <v>0</v>
      </c>
      <c r="O188">
        <f>B03_Assessment!I29</f>
        <v>0</v>
      </c>
      <c r="P188">
        <f>B03_Assessment!J29</f>
        <v>0</v>
      </c>
      <c r="Q188" t="str">
        <f t="shared" si="2"/>
        <v>03|22</v>
      </c>
    </row>
    <row r="189" spans="1:17" ht="6.45" customHeight="1">
      <c r="A189" t="s">
        <v>625</v>
      </c>
      <c r="B189">
        <v>23</v>
      </c>
      <c r="C189" t="s">
        <v>17</v>
      </c>
      <c r="D189">
        <v>30</v>
      </c>
      <c r="E189" t="s">
        <v>964</v>
      </c>
      <c r="F189" t="s">
        <v>5323</v>
      </c>
      <c r="G189" t="str">
        <f>B03_Assessment!A30</f>
        <v>Room</v>
      </c>
      <c r="H189" t="str">
        <f>B03_Assessment!B30</f>
        <v>Dedicated Unit</v>
      </c>
      <c r="I189" t="str">
        <f>B03_Assessment!C30</f>
        <v>Capacity Verified</v>
      </c>
      <c r="J189" t="str">
        <f>B03_Assessment!D30</f>
        <v>Emergency Power</v>
      </c>
      <c r="K189" t="str">
        <f>B03_Assessment!E30</f>
        <v>Controls / BACnet</v>
      </c>
      <c r="L189" t="str">
        <f>B03_Assessment!F30</f>
        <v>Condensate Routed</v>
      </c>
      <c r="M189" t="str">
        <f>B03_Assessment!G30</f>
        <v>High Temp Alarm</v>
      </c>
      <c r="N189" t="str">
        <f>B03_Assessment!H30</f>
        <v>24/7 Operation</v>
      </c>
      <c r="O189" t="str">
        <f>B03_Assessment!I30</f>
        <v>Overall</v>
      </c>
      <c r="P189" t="str">
        <f>B03_Assessment!J30</f>
        <v>Risk / Notes</v>
      </c>
      <c r="Q189" t="str">
        <f t="shared" si="2"/>
        <v>03|23</v>
      </c>
    </row>
    <row r="190" spans="1:17" ht="6.45" customHeight="1">
      <c r="A190" t="s">
        <v>625</v>
      </c>
      <c r="B190">
        <v>24</v>
      </c>
      <c r="C190" t="s">
        <v>17</v>
      </c>
      <c r="D190">
        <v>31</v>
      </c>
      <c r="E190" t="s">
        <v>964</v>
      </c>
      <c r="F190" t="s">
        <v>5324</v>
      </c>
      <c r="G190" t="str">
        <f>B03_Assessment!A31</f>
        <v>101E</v>
      </c>
      <c r="H190" t="str">
        <f>B03_Assessment!B31</f>
        <v>CU-01 / TR cooling assignment verify</v>
      </c>
      <c r="I190" t="str">
        <f>B03_Assessment!C31</f>
        <v>Verify</v>
      </c>
      <c r="J190" t="str">
        <f>B03_Assessment!D31</f>
        <v>Verify</v>
      </c>
      <c r="K190" t="str">
        <f>B03_Assessment!E31</f>
        <v>Verify</v>
      </c>
      <c r="L190" t="str">
        <f>B03_Assessment!F31</f>
        <v>Verify</v>
      </c>
      <c r="M190" t="str">
        <f>B03_Assessment!G31</f>
        <v>Verify</v>
      </c>
      <c r="N190" t="str">
        <f>B03_Assessment!H31</f>
        <v>Verify</v>
      </c>
      <c r="O190" t="str">
        <f>B03_Assessment!I31</f>
        <v>Verify</v>
      </c>
      <c r="P190" t="str">
        <f>B03_Assessment!J31</f>
        <v>Electrical schedule references CU-01 on B03-TR101CB and mechanical package includes dedicated TR cooling. Confirm indoor/outdoor unit serving Room 101E, capacity, emergency source, condensate route, controls/BACnet and high-temperature alarm.</v>
      </c>
      <c r="Q190" t="str">
        <f t="shared" si="2"/>
        <v>03|24</v>
      </c>
    </row>
    <row r="191" spans="1:17" ht="6.45" customHeight="1">
      <c r="A191" t="s">
        <v>625</v>
      </c>
      <c r="B191">
        <v>25</v>
      </c>
      <c r="C191" t="s">
        <v>17</v>
      </c>
      <c r="D191">
        <v>32</v>
      </c>
      <c r="E191" t="s">
        <v>964</v>
      </c>
      <c r="F191" t="s">
        <v>5324</v>
      </c>
      <c r="G191" t="str">
        <f>B03_Assessment!A32</f>
        <v>107</v>
      </c>
      <c r="H191" t="str">
        <f>B03_Assessment!B32</f>
        <v>Existing / Verify</v>
      </c>
      <c r="I191" t="str">
        <f>B03_Assessment!C32</f>
        <v>Verify</v>
      </c>
      <c r="J191" t="str">
        <f>B03_Assessment!D32</f>
        <v>Verify</v>
      </c>
      <c r="K191" t="str">
        <f>B03_Assessment!E32</f>
        <v>Verify</v>
      </c>
      <c r="L191" t="str">
        <f>B03_Assessment!F32</f>
        <v>Verify</v>
      </c>
      <c r="M191" t="str">
        <f>B03_Assessment!G32</f>
        <v>Verify</v>
      </c>
      <c r="N191" t="str">
        <f>B03_Assessment!H32</f>
        <v>Verify</v>
      </c>
      <c r="O191" t="str">
        <f>B03_Assessment!I32</f>
        <v>Verify</v>
      </c>
      <c r="P191" t="str">
        <f>B03_Assessment!J32</f>
        <v>Existing basement telecom equipment may remain active during transfer. Verify ambient temperature/cooling protection until migration is complete.</v>
      </c>
      <c r="Q191" t="str">
        <f t="shared" si="2"/>
        <v>03|25</v>
      </c>
    </row>
    <row r="192" spans="1:17" ht="6.45" customHeight="1">
      <c r="A192" t="s">
        <v>625</v>
      </c>
      <c r="B192">
        <v>26</v>
      </c>
      <c r="C192" t="s">
        <v>17</v>
      </c>
      <c r="D192">
        <v>33</v>
      </c>
      <c r="E192" t="s">
        <v>964</v>
      </c>
      <c r="F192" t="s">
        <v>5324</v>
      </c>
      <c r="G192" t="str">
        <f>B03_Assessment!A33</f>
        <v>101C</v>
      </c>
      <c r="H192" t="str">
        <f>B03_Assessment!B33</f>
        <v>Existing / Verify</v>
      </c>
      <c r="I192" t="str">
        <f>B03_Assessment!C33</f>
        <v>Verify</v>
      </c>
      <c r="J192" t="str">
        <f>B03_Assessment!D33</f>
        <v>Verify</v>
      </c>
      <c r="K192" t="str">
        <f>B03_Assessment!E33</f>
        <v>Verify</v>
      </c>
      <c r="L192" t="str">
        <f>B03_Assessment!F33</f>
        <v>Verify</v>
      </c>
      <c r="M192" t="str">
        <f>B03_Assessment!G33</f>
        <v>Verify</v>
      </c>
      <c r="N192" t="str">
        <f>B03_Assessment!H33</f>
        <v>Verify</v>
      </c>
      <c r="O192" t="str">
        <f>B03_Assessment!I33</f>
        <v>Verify</v>
      </c>
      <c r="P192" t="str">
        <f>B03_Assessment!J33</f>
        <v>Existing DMARC/fiber services may remain active during cutover; verify existing environmental conditions and heat load if equipment remains.</v>
      </c>
      <c r="Q192" t="str">
        <f t="shared" si="2"/>
        <v>03|26</v>
      </c>
    </row>
    <row r="193" spans="1:17" ht="6.45" customHeight="1">
      <c r="A193" t="s">
        <v>625</v>
      </c>
      <c r="B193">
        <v>27</v>
      </c>
      <c r="C193" t="s">
        <v>17</v>
      </c>
      <c r="D193">
        <v>34</v>
      </c>
      <c r="E193" t="s">
        <v>964</v>
      </c>
      <c r="F193" t="s">
        <v>5324</v>
      </c>
      <c r="G193" t="str">
        <f>B03_Assessment!A34</f>
        <v>WAO Areas</v>
      </c>
      <c r="H193" t="str">
        <f>B03_Assessment!B34</f>
        <v>N/A</v>
      </c>
      <c r="I193" t="str">
        <f>B03_Assessment!C34</f>
        <v>N/A</v>
      </c>
      <c r="J193" t="str">
        <f>B03_Assessment!D34</f>
        <v>N/A</v>
      </c>
      <c r="K193" t="str">
        <f>B03_Assessment!E34</f>
        <v>N/A</v>
      </c>
      <c r="L193" t="str">
        <f>B03_Assessment!F34</f>
        <v>N/A</v>
      </c>
      <c r="M193" t="str">
        <f>B03_Assessment!G34</f>
        <v>N/A</v>
      </c>
      <c r="N193" t="str">
        <f>B03_Assessment!H34</f>
        <v>N/A</v>
      </c>
      <c r="O193" t="str">
        <f>B03_Assessment!I34</f>
        <v>N/A</v>
      </c>
      <c r="P193" t="str">
        <f>B03_Assessment!J34</f>
        <v>No dedicated HVAC for WAO areas; maintain infection control/IAQ and ceiling restoration requirements.</v>
      </c>
      <c r="Q193" t="str">
        <f t="shared" si="2"/>
        <v>03|27</v>
      </c>
    </row>
    <row r="194" spans="1:17" ht="6.45" customHeight="1">
      <c r="A194" t="s">
        <v>625</v>
      </c>
      <c r="B194">
        <v>28</v>
      </c>
      <c r="C194" t="s">
        <v>17</v>
      </c>
      <c r="D194">
        <v>35</v>
      </c>
      <c r="E194" t="s">
        <v>964</v>
      </c>
      <c r="F194" t="s">
        <v>5325</v>
      </c>
      <c r="G194">
        <f>B03_Assessment!A35</f>
        <v>0</v>
      </c>
      <c r="H194">
        <f>B03_Assessment!B35</f>
        <v>0</v>
      </c>
      <c r="I194">
        <f>B03_Assessment!C35</f>
        <v>0</v>
      </c>
      <c r="J194">
        <f>B03_Assessment!D35</f>
        <v>0</v>
      </c>
      <c r="K194">
        <f>B03_Assessment!E35</f>
        <v>0</v>
      </c>
      <c r="L194">
        <f>B03_Assessment!F35</f>
        <v>0</v>
      </c>
      <c r="M194">
        <f>B03_Assessment!G35</f>
        <v>0</v>
      </c>
      <c r="N194">
        <f>B03_Assessment!H35</f>
        <v>0</v>
      </c>
      <c r="O194">
        <f>B03_Assessment!I35</f>
        <v>0</v>
      </c>
      <c r="P194">
        <f>B03_Assessment!J35</f>
        <v>0</v>
      </c>
      <c r="Q194" t="str">
        <f t="shared" ref="Q194:Q257" si="3">A194&amp;"|"&amp;B194</f>
        <v>03|28</v>
      </c>
    </row>
    <row r="195" spans="1:17" ht="6.45" customHeight="1">
      <c r="A195" t="s">
        <v>625</v>
      </c>
      <c r="B195">
        <v>29</v>
      </c>
      <c r="C195" t="s">
        <v>17</v>
      </c>
      <c r="D195">
        <v>36</v>
      </c>
      <c r="E195" t="s">
        <v>977</v>
      </c>
      <c r="F195" t="s">
        <v>5322</v>
      </c>
      <c r="G195" t="str">
        <f>B03_Assessment!A36</f>
        <v>5. ELECTRICAL / UPS</v>
      </c>
      <c r="H195">
        <f>B03_Assessment!B36</f>
        <v>0</v>
      </c>
      <c r="I195">
        <f>B03_Assessment!C36</f>
        <v>0</v>
      </c>
      <c r="J195">
        <f>B03_Assessment!D36</f>
        <v>0</v>
      </c>
      <c r="K195">
        <f>B03_Assessment!E36</f>
        <v>0</v>
      </c>
      <c r="L195">
        <f>B03_Assessment!F36</f>
        <v>0</v>
      </c>
      <c r="M195">
        <f>B03_Assessment!G36</f>
        <v>0</v>
      </c>
      <c r="N195">
        <f>B03_Assessment!H36</f>
        <v>0</v>
      </c>
      <c r="O195">
        <f>B03_Assessment!I36</f>
        <v>0</v>
      </c>
      <c r="P195">
        <f>B03_Assessment!J36</f>
        <v>0</v>
      </c>
      <c r="Q195" t="str">
        <f t="shared" si="3"/>
        <v>03|29</v>
      </c>
    </row>
    <row r="196" spans="1:17" ht="6.45" customHeight="1">
      <c r="A196" t="s">
        <v>625</v>
      </c>
      <c r="B196">
        <v>30</v>
      </c>
      <c r="C196" t="s">
        <v>17</v>
      </c>
      <c r="D196">
        <v>37</v>
      </c>
      <c r="E196" t="s">
        <v>977</v>
      </c>
      <c r="F196" t="s">
        <v>5323</v>
      </c>
      <c r="G196" t="str">
        <f>B03_Assessment!A37</f>
        <v>Room</v>
      </c>
      <c r="H196" t="str">
        <f>B03_Assessment!B37</f>
        <v>UPS Installed</v>
      </c>
      <c r="I196" t="str">
        <f>B03_Assessment!C37</f>
        <v>UPS Size</v>
      </c>
      <c r="J196" t="str">
        <f>B03_Assessment!D37</f>
        <v>PDU Installed</v>
      </c>
      <c r="K196" t="str">
        <f>B03_Assessment!E37</f>
        <v>Rack Receptacles</v>
      </c>
      <c r="L196" t="str">
        <f>B03_Assessment!F37</f>
        <v>Panel Assigned</v>
      </c>
      <c r="M196" t="str">
        <f>B03_Assessment!G37</f>
        <v>Emergency Source</v>
      </c>
      <c r="N196" t="str">
        <f>B03_Assessment!H37</f>
        <v>SPD / Labeling</v>
      </c>
      <c r="O196" t="str">
        <f>B03_Assessment!I37</f>
        <v>Overall</v>
      </c>
      <c r="P196" t="str">
        <f>B03_Assessment!J37</f>
        <v>Notes</v>
      </c>
      <c r="Q196" t="str">
        <f t="shared" si="3"/>
        <v>03|30</v>
      </c>
    </row>
    <row r="197" spans="1:17" ht="6.45" customHeight="1">
      <c r="A197" t="s">
        <v>625</v>
      </c>
      <c r="B197">
        <v>31</v>
      </c>
      <c r="C197" t="s">
        <v>17</v>
      </c>
      <c r="D197">
        <v>38</v>
      </c>
      <c r="E197" t="s">
        <v>977</v>
      </c>
      <c r="F197" t="s">
        <v>5324</v>
      </c>
      <c r="G197" t="str">
        <f>B03_Assessment!A38</f>
        <v>101E</v>
      </c>
      <c r="H197" t="str">
        <f>B03_Assessment!B38</f>
        <v>Verify</v>
      </c>
      <c r="I197" t="str">
        <f>B03_Assessment!C38</f>
        <v>5 kW / 208V rack UPS</v>
      </c>
      <c r="J197" t="str">
        <f>B03_Assessment!D38</f>
        <v>Verify</v>
      </c>
      <c r="K197" t="str">
        <f>B03_Assessment!E38</f>
        <v>Verify</v>
      </c>
      <c r="L197" t="str">
        <f>B03_Assessment!F38</f>
        <v>B03-TR101CA / B03-TR101CB</v>
      </c>
      <c r="M197" t="str">
        <f>B03_Assessment!G38</f>
        <v>Verify</v>
      </c>
      <c r="N197" t="str">
        <f>B03_Assessment!H38</f>
        <v>Verify</v>
      </c>
      <c r="O197" t="str">
        <f>B03_Assessment!I38</f>
        <v>Verify</v>
      </c>
      <c r="P197" t="str">
        <f>B03_Assessment!J38</f>
        <v>Electrical one-line/schedules identify B03-TR101CA/B with rack receptacles, TR receptacles, access controller, CU-01 on B03-TR101CB, SPDs integral to telecom panels, PXR20 trip units, and 30-day load measurement requirements.</v>
      </c>
      <c r="Q197" t="str">
        <f t="shared" si="3"/>
        <v>03|31</v>
      </c>
    </row>
    <row r="198" spans="1:17" ht="6.45" customHeight="1">
      <c r="A198" t="s">
        <v>625</v>
      </c>
      <c r="B198">
        <v>32</v>
      </c>
      <c r="C198" t="s">
        <v>17</v>
      </c>
      <c r="D198">
        <v>39</v>
      </c>
      <c r="E198" t="s">
        <v>977</v>
      </c>
      <c r="F198" t="s">
        <v>5324</v>
      </c>
      <c r="G198" t="str">
        <f>B03_Assessment!A39</f>
        <v>107</v>
      </c>
      <c r="H198" t="str">
        <f>B03_Assessment!B39</f>
        <v>Existing</v>
      </c>
      <c r="I198" t="str">
        <f>B03_Assessment!C39</f>
        <v>UPS on floor</v>
      </c>
      <c r="J198" t="str">
        <f>B03_Assessment!D39</f>
        <v>Existing / Verify</v>
      </c>
      <c r="K198" t="str">
        <f>B03_Assessment!E39</f>
        <v>Verify</v>
      </c>
      <c r="L198" t="str">
        <f>B03_Assessment!F39</f>
        <v>Existing / Verify</v>
      </c>
      <c r="M198" t="str">
        <f>B03_Assessment!G39</f>
        <v>Verify</v>
      </c>
      <c r="N198" t="str">
        <f>B03_Assessment!H39</f>
        <v>Verify</v>
      </c>
      <c r="O198" t="str">
        <f>B03_Assessment!I39</f>
        <v>Verify</v>
      </c>
      <c r="P198" t="str">
        <f>B03_Assessment!J39</f>
        <v>Existing Room 107 rack elevation shows UPS on floor and legacy telecom equipment. Verify active source circuits and transfer requirements.</v>
      </c>
      <c r="Q198" t="str">
        <f t="shared" si="3"/>
        <v>03|32</v>
      </c>
    </row>
    <row r="199" spans="1:17" ht="6.45" customHeight="1">
      <c r="A199" t="s">
        <v>625</v>
      </c>
      <c r="B199">
        <v>33</v>
      </c>
      <c r="C199" t="s">
        <v>17</v>
      </c>
      <c r="D199">
        <v>40</v>
      </c>
      <c r="E199" t="s">
        <v>977</v>
      </c>
      <c r="F199" t="s">
        <v>5324</v>
      </c>
      <c r="G199" t="str">
        <f>B03_Assessment!A40</f>
        <v>101C</v>
      </c>
      <c r="H199" t="str">
        <f>B03_Assessment!B40</f>
        <v>Existing / Verify</v>
      </c>
      <c r="I199" t="str">
        <f>B03_Assessment!C40</f>
        <v>Existing / Verify</v>
      </c>
      <c r="J199" t="str">
        <f>B03_Assessment!D40</f>
        <v>Existing / Verify</v>
      </c>
      <c r="K199" t="str">
        <f>B03_Assessment!E40</f>
        <v>Verify</v>
      </c>
      <c r="L199" t="str">
        <f>B03_Assessment!F40</f>
        <v>Existing branch panel / B03-TR101CA/B transition</v>
      </c>
      <c r="M199" t="str">
        <f>B03_Assessment!G40</f>
        <v>Verify</v>
      </c>
      <c r="N199" t="str">
        <f>B03_Assessment!H40</f>
        <v>Verify</v>
      </c>
      <c r="O199" t="str">
        <f>B03_Assessment!I40</f>
        <v>Verify</v>
      </c>
      <c r="P199" t="str">
        <f>B03_Assessment!J40</f>
        <v>Existing DMARC plan shows existing branch panel and patch panel removal/relocation scope. Verify source circuits before demolition or transfer.</v>
      </c>
      <c r="Q199" t="str">
        <f t="shared" si="3"/>
        <v>03|33</v>
      </c>
    </row>
    <row r="200" spans="1:17" ht="6.45" customHeight="1">
      <c r="A200" t="s">
        <v>625</v>
      </c>
      <c r="B200">
        <v>34</v>
      </c>
      <c r="C200" t="s">
        <v>17</v>
      </c>
      <c r="D200">
        <v>41</v>
      </c>
      <c r="E200" t="s">
        <v>977</v>
      </c>
      <c r="F200" t="s">
        <v>5324</v>
      </c>
      <c r="G200" t="str">
        <f>B03_Assessment!A41</f>
        <v>WAO Areas</v>
      </c>
      <c r="H200" t="str">
        <f>B03_Assessment!B41</f>
        <v>N/A</v>
      </c>
      <c r="I200" t="str">
        <f>B03_Assessment!C41</f>
        <v>N/A</v>
      </c>
      <c r="J200" t="str">
        <f>B03_Assessment!D41</f>
        <v>N/A</v>
      </c>
      <c r="K200" t="str">
        <f>B03_Assessment!E41</f>
        <v>N/A</v>
      </c>
      <c r="L200" t="str">
        <f>B03_Assessment!F41</f>
        <v>Existing / new outlet circuits as needed</v>
      </c>
      <c r="M200" t="str">
        <f>B03_Assessment!G41</f>
        <v>N/A</v>
      </c>
      <c r="N200" t="str">
        <f>B03_Assessment!H41</f>
        <v>Verify labels</v>
      </c>
      <c r="O200" t="str">
        <f>B03_Assessment!I41</f>
        <v>Verify</v>
      </c>
      <c r="P200" t="str">
        <f>B03_Assessment!J41</f>
        <v>Verify power/data coordination at outlets, cameras, WAPs, Centrak/clock devices and hard-lid ceiling locations.</v>
      </c>
      <c r="Q200" t="str">
        <f t="shared" si="3"/>
        <v>03|34</v>
      </c>
    </row>
    <row r="201" spans="1:17" ht="6.45" customHeight="1">
      <c r="A201" t="s">
        <v>625</v>
      </c>
      <c r="B201">
        <v>35</v>
      </c>
      <c r="C201" t="s">
        <v>17</v>
      </c>
      <c r="D201">
        <v>42</v>
      </c>
      <c r="E201" t="s">
        <v>977</v>
      </c>
      <c r="F201" t="s">
        <v>5325</v>
      </c>
      <c r="G201">
        <f>B03_Assessment!A42</f>
        <v>0</v>
      </c>
      <c r="H201">
        <f>B03_Assessment!B42</f>
        <v>0</v>
      </c>
      <c r="I201">
        <f>B03_Assessment!C42</f>
        <v>0</v>
      </c>
      <c r="J201">
        <f>B03_Assessment!D42</f>
        <v>0</v>
      </c>
      <c r="K201">
        <f>B03_Assessment!E42</f>
        <v>0</v>
      </c>
      <c r="L201">
        <f>B03_Assessment!F42</f>
        <v>0</v>
      </c>
      <c r="M201">
        <f>B03_Assessment!G42</f>
        <v>0</v>
      </c>
      <c r="N201">
        <f>B03_Assessment!H42</f>
        <v>0</v>
      </c>
      <c r="O201">
        <f>B03_Assessment!I42</f>
        <v>0</v>
      </c>
      <c r="P201">
        <f>B03_Assessment!J42</f>
        <v>0</v>
      </c>
      <c r="Q201" t="str">
        <f t="shared" si="3"/>
        <v>03|35</v>
      </c>
    </row>
    <row r="202" spans="1:17" ht="6.45" customHeight="1">
      <c r="A202" t="s">
        <v>625</v>
      </c>
      <c r="B202">
        <v>36</v>
      </c>
      <c r="C202" t="s">
        <v>17</v>
      </c>
      <c r="D202">
        <v>43</v>
      </c>
      <c r="E202" t="s">
        <v>994</v>
      </c>
      <c r="F202" t="s">
        <v>5322</v>
      </c>
      <c r="G202" t="str">
        <f>B03_Assessment!A43</f>
        <v>6. TELECOMMUNICATIONS</v>
      </c>
      <c r="H202">
        <f>B03_Assessment!B43</f>
        <v>0</v>
      </c>
      <c r="I202">
        <f>B03_Assessment!C43</f>
        <v>0</v>
      </c>
      <c r="J202">
        <f>B03_Assessment!D43</f>
        <v>0</v>
      </c>
      <c r="K202">
        <f>B03_Assessment!E43</f>
        <v>0</v>
      </c>
      <c r="L202">
        <f>B03_Assessment!F43</f>
        <v>0</v>
      </c>
      <c r="M202">
        <f>B03_Assessment!G43</f>
        <v>0</v>
      </c>
      <c r="N202">
        <f>B03_Assessment!H43</f>
        <v>0</v>
      </c>
      <c r="O202">
        <f>B03_Assessment!I43</f>
        <v>0</v>
      </c>
      <c r="P202">
        <f>B03_Assessment!J43</f>
        <v>0</v>
      </c>
      <c r="Q202" t="str">
        <f t="shared" si="3"/>
        <v>03|36</v>
      </c>
    </row>
    <row r="203" spans="1:17" ht="6.45" customHeight="1">
      <c r="A203" t="s">
        <v>625</v>
      </c>
      <c r="B203">
        <v>37</v>
      </c>
      <c r="C203" t="s">
        <v>17</v>
      </c>
      <c r="D203">
        <v>44</v>
      </c>
      <c r="E203" t="s">
        <v>994</v>
      </c>
      <c r="F203" t="s">
        <v>5323</v>
      </c>
      <c r="G203" t="str">
        <f>B03_Assessment!A44</f>
        <v>Room</v>
      </c>
      <c r="H203" t="str">
        <f>B03_Assessment!B44</f>
        <v>Rack Installed</v>
      </c>
      <c r="I203" t="str">
        <f>B03_Assessment!C44</f>
        <v>Ladder Tray</v>
      </c>
      <c r="J203" t="str">
        <f>B03_Assessment!D44</f>
        <v>Fiber Installed</v>
      </c>
      <c r="K203" t="str">
        <f>B03_Assessment!E44</f>
        <v>Grounding</v>
      </c>
      <c r="L203" t="str">
        <f>B03_Assessment!F44</f>
        <v>Labeling</v>
      </c>
      <c r="M203" t="str">
        <f>B03_Assessment!G44</f>
        <v>Testing</v>
      </c>
      <c r="N203" t="str">
        <f>B03_Assessment!H44</f>
        <v>VA Acceptance</v>
      </c>
      <c r="O203" t="str">
        <f>B03_Assessment!I44</f>
        <v>Overall</v>
      </c>
      <c r="P203" t="str">
        <f>B03_Assessment!J44</f>
        <v>Notes</v>
      </c>
      <c r="Q203" t="str">
        <f t="shared" si="3"/>
        <v>03|37</v>
      </c>
    </row>
    <row r="204" spans="1:17" ht="6.45" customHeight="1">
      <c r="A204" t="s">
        <v>625</v>
      </c>
      <c r="B204">
        <v>38</v>
      </c>
      <c r="C204" t="s">
        <v>17</v>
      </c>
      <c r="D204">
        <v>45</v>
      </c>
      <c r="E204" t="s">
        <v>994</v>
      </c>
      <c r="F204" t="s">
        <v>5324</v>
      </c>
      <c r="G204" t="str">
        <f>B03_Assessment!A45</f>
        <v>101E</v>
      </c>
      <c r="H204" t="str">
        <f>B03_Assessment!B45</f>
        <v>Verify</v>
      </c>
      <c r="I204" t="str">
        <f>B03_Assessment!C45</f>
        <v>Verify</v>
      </c>
      <c r="J204" t="str">
        <f>B03_Assessment!D45</f>
        <v>Verify</v>
      </c>
      <c r="K204" t="str">
        <f>B03_Assessment!E45</f>
        <v>Verify</v>
      </c>
      <c r="L204" t="str">
        <f>B03_Assessment!F45</f>
        <v>Verify</v>
      </c>
      <c r="M204" t="str">
        <f>B03_Assessment!G45</f>
        <v>Verify</v>
      </c>
      <c r="N204" t="str">
        <f>B03_Assessment!H45</f>
        <v>Verify</v>
      </c>
      <c r="O204" t="str">
        <f>B03_Assessment!I45</f>
        <v>Verify</v>
      </c>
      <c r="P204" t="str">
        <f>B03_Assessment!J45</f>
        <v>03T-701 identifies RM101E with 143 WAO total, 213 active ports, 187 scheduled ports and 206 total ports with 10% allowance. Cable tray schedule totals 961 ft: 615 ft basement level and 346 ft first level. Rack IDs TR01-101E-1 and TR01-101E-2.</v>
      </c>
      <c r="Q204" t="str">
        <f t="shared" si="3"/>
        <v>03|38</v>
      </c>
    </row>
    <row r="205" spans="1:17" ht="6.45" customHeight="1">
      <c r="A205" t="s">
        <v>625</v>
      </c>
      <c r="B205">
        <v>39</v>
      </c>
      <c r="C205" t="s">
        <v>17</v>
      </c>
      <c r="D205">
        <v>46</v>
      </c>
      <c r="E205" t="s">
        <v>994</v>
      </c>
      <c r="F205" t="s">
        <v>5324</v>
      </c>
      <c r="G205" t="str">
        <f>B03_Assessment!A46</f>
        <v>107</v>
      </c>
      <c r="H205" t="str">
        <f>B03_Assessment!B46</f>
        <v>Existing / Transfer</v>
      </c>
      <c r="I205" t="str">
        <f>B03_Assessment!C46</f>
        <v>Existing</v>
      </c>
      <c r="J205" t="str">
        <f>B03_Assessment!D46</f>
        <v>Existing</v>
      </c>
      <c r="K205" t="str">
        <f>B03_Assessment!E46</f>
        <v>Verify</v>
      </c>
      <c r="L205" t="str">
        <f>B03_Assessment!F46</f>
        <v>Verify</v>
      </c>
      <c r="M205" t="str">
        <f>B03_Assessment!G46</f>
        <v>Verify</v>
      </c>
      <c r="N205" t="str">
        <f>B03_Assessment!H46</f>
        <v>Verify</v>
      </c>
      <c r="O205" t="str">
        <f>B03_Assessment!I46</f>
        <v>Verify</v>
      </c>
      <c r="P205" t="str">
        <f>B03_Assessment!J46</f>
        <v>Existing Room 107 rack supports legacy active services; verify B3-LB-B13-TC-FIBER equipment inventory, fiber LIU, patch panels, Cisco switch and UPS before cutover.</v>
      </c>
      <c r="Q205" t="str">
        <f t="shared" si="3"/>
        <v>03|39</v>
      </c>
    </row>
    <row r="206" spans="1:17" ht="6.45" customHeight="1">
      <c r="A206" t="s">
        <v>625</v>
      </c>
      <c r="B206">
        <v>40</v>
      </c>
      <c r="C206" t="s">
        <v>17</v>
      </c>
      <c r="D206">
        <v>47</v>
      </c>
      <c r="E206" t="s">
        <v>994</v>
      </c>
      <c r="F206" t="s">
        <v>5324</v>
      </c>
      <c r="G206" t="str">
        <f>B03_Assessment!A47</f>
        <v>101C</v>
      </c>
      <c r="H206" t="str">
        <f>B03_Assessment!B47</f>
        <v>Existing / Transfer</v>
      </c>
      <c r="I206" t="str">
        <f>B03_Assessment!C47</f>
        <v>Existing</v>
      </c>
      <c r="J206" t="str">
        <f>B03_Assessment!D47</f>
        <v>Existing</v>
      </c>
      <c r="K206" t="str">
        <f>B03_Assessment!E47</f>
        <v>Verify</v>
      </c>
      <c r="L206" t="str">
        <f>B03_Assessment!F47</f>
        <v>Verify</v>
      </c>
      <c r="M206" t="str">
        <f>B03_Assessment!G47</f>
        <v>Verify</v>
      </c>
      <c r="N206" t="str">
        <f>B03_Assessment!H47</f>
        <v>Verify</v>
      </c>
      <c r="O206" t="str">
        <f>B03_Assessment!I47</f>
        <v>Verify</v>
      </c>
      <c r="P206" t="str">
        <f>B03_Assessment!J47</f>
        <v>Existing DMARC/telecom room 101C includes patch panels/cabinet/branch panel and 101C-CAM-01; protect active provider/fiber/DMARC services until new fiber/rack work is accepted.</v>
      </c>
      <c r="Q206" t="str">
        <f t="shared" si="3"/>
        <v>03|40</v>
      </c>
    </row>
    <row r="207" spans="1:17" ht="6.45" customHeight="1">
      <c r="A207" t="s">
        <v>625</v>
      </c>
      <c r="B207">
        <v>41</v>
      </c>
      <c r="C207" t="s">
        <v>17</v>
      </c>
      <c r="D207">
        <v>48</v>
      </c>
      <c r="E207" t="s">
        <v>994</v>
      </c>
      <c r="F207" t="s">
        <v>5324</v>
      </c>
      <c r="G207" t="str">
        <f>B03_Assessment!A48</f>
        <v>WAO Areas</v>
      </c>
      <c r="H207" t="str">
        <f>B03_Assessment!B48</f>
        <v>N/A</v>
      </c>
      <c r="I207" t="str">
        <f>B03_Assessment!C48</f>
        <v>Verify route</v>
      </c>
      <c r="J207" t="str">
        <f>B03_Assessment!D48</f>
        <v>N/A</v>
      </c>
      <c r="K207" t="str">
        <f>B03_Assessment!E48</f>
        <v>N/A</v>
      </c>
      <c r="L207" t="str">
        <f>B03_Assessment!F48</f>
        <v>Verify</v>
      </c>
      <c r="M207" t="str">
        <f>B03_Assessment!G48</f>
        <v>Verify</v>
      </c>
      <c r="N207" t="str">
        <f>B03_Assessment!H48</f>
        <v>Verify</v>
      </c>
      <c r="O207" t="str">
        <f>B03_Assessment!I48</f>
        <v>Verify</v>
      </c>
      <c r="P207" t="str">
        <f>B03_Assessment!J48</f>
        <v>Existing ports replaced; 3- and 4-port outlets reduced to two Cat6A ports where coordinated. WAPs remain protected in place while cabling/faceplate/jack are replaced.</v>
      </c>
      <c r="Q207" t="str">
        <f t="shared" si="3"/>
        <v>03|41</v>
      </c>
    </row>
    <row r="208" spans="1:17" ht="6.45" customHeight="1">
      <c r="A208" t="s">
        <v>625</v>
      </c>
      <c r="B208">
        <v>42</v>
      </c>
      <c r="C208" t="s">
        <v>17</v>
      </c>
      <c r="D208">
        <v>49</v>
      </c>
      <c r="E208" t="s">
        <v>994</v>
      </c>
      <c r="F208" t="s">
        <v>5325</v>
      </c>
      <c r="G208">
        <f>B03_Assessment!A49</f>
        <v>0</v>
      </c>
      <c r="H208">
        <f>B03_Assessment!B49</f>
        <v>0</v>
      </c>
      <c r="I208">
        <f>B03_Assessment!C49</f>
        <v>0</v>
      </c>
      <c r="J208">
        <f>B03_Assessment!D49</f>
        <v>0</v>
      </c>
      <c r="K208">
        <f>B03_Assessment!E49</f>
        <v>0</v>
      </c>
      <c r="L208">
        <f>B03_Assessment!F49</f>
        <v>0</v>
      </c>
      <c r="M208">
        <f>B03_Assessment!G49</f>
        <v>0</v>
      </c>
      <c r="N208">
        <f>B03_Assessment!H49</f>
        <v>0</v>
      </c>
      <c r="O208">
        <f>B03_Assessment!I49</f>
        <v>0</v>
      </c>
      <c r="P208">
        <f>B03_Assessment!J49</f>
        <v>0</v>
      </c>
      <c r="Q208" t="str">
        <f t="shared" si="3"/>
        <v>03|42</v>
      </c>
    </row>
    <row r="209" spans="1:17" ht="6.45" customHeight="1">
      <c r="A209" t="s">
        <v>625</v>
      </c>
      <c r="B209">
        <v>43</v>
      </c>
      <c r="C209" t="s">
        <v>17</v>
      </c>
      <c r="D209">
        <v>50</v>
      </c>
      <c r="E209" t="s">
        <v>1007</v>
      </c>
      <c r="F209" t="s">
        <v>5322</v>
      </c>
      <c r="G209" t="str">
        <f>B03_Assessment!A50</f>
        <v>7. SECURITY / PACS / CCTV</v>
      </c>
      <c r="H209">
        <f>B03_Assessment!B50</f>
        <v>0</v>
      </c>
      <c r="I209">
        <f>B03_Assessment!C50</f>
        <v>0</v>
      </c>
      <c r="J209">
        <f>B03_Assessment!D50</f>
        <v>0</v>
      </c>
      <c r="K209">
        <f>B03_Assessment!E50</f>
        <v>0</v>
      </c>
      <c r="L209">
        <f>B03_Assessment!F50</f>
        <v>0</v>
      </c>
      <c r="M209">
        <f>B03_Assessment!G50</f>
        <v>0</v>
      </c>
      <c r="N209">
        <f>B03_Assessment!H50</f>
        <v>0</v>
      </c>
      <c r="O209">
        <f>B03_Assessment!I50</f>
        <v>0</v>
      </c>
      <c r="P209">
        <f>B03_Assessment!J50</f>
        <v>0</v>
      </c>
      <c r="Q209" t="str">
        <f t="shared" si="3"/>
        <v>03|43</v>
      </c>
    </row>
    <row r="210" spans="1:17" ht="6.45" customHeight="1">
      <c r="A210" t="s">
        <v>625</v>
      </c>
      <c r="B210">
        <v>44</v>
      </c>
      <c r="C210" t="s">
        <v>17</v>
      </c>
      <c r="D210">
        <v>51</v>
      </c>
      <c r="E210" t="s">
        <v>1007</v>
      </c>
      <c r="F210" t="s">
        <v>5323</v>
      </c>
      <c r="G210" t="str">
        <f>B03_Assessment!A51</f>
        <v>Room</v>
      </c>
      <c r="H210" t="str">
        <f>B03_Assessment!B51</f>
        <v>PACS</v>
      </c>
      <c r="I210" t="str">
        <f>B03_Assessment!C51</f>
        <v>Card Reader</v>
      </c>
      <c r="J210" t="str">
        <f>B03_Assessment!D51</f>
        <v>Door Position</v>
      </c>
      <c r="K210" t="str">
        <f>B03_Assessment!E51</f>
        <v>Electric Strike</v>
      </c>
      <c r="L210" t="str">
        <f>B03_Assessment!F51</f>
        <v>CCTV</v>
      </c>
      <c r="M210" t="str">
        <f>B03_Assessment!G51</f>
        <v>Motion Sensor</v>
      </c>
      <c r="N210" t="str">
        <f>B03_Assessment!H51</f>
        <v>Integration</v>
      </c>
      <c r="O210" t="str">
        <f>B03_Assessment!I51</f>
        <v>Overall</v>
      </c>
      <c r="P210" t="str">
        <f>B03_Assessment!J51</f>
        <v>Notes</v>
      </c>
      <c r="Q210" t="str">
        <f t="shared" si="3"/>
        <v>03|44</v>
      </c>
    </row>
    <row r="211" spans="1:17" ht="6.45" customHeight="1">
      <c r="A211" t="s">
        <v>625</v>
      </c>
      <c r="B211">
        <v>45</v>
      </c>
      <c r="C211" t="s">
        <v>17</v>
      </c>
      <c r="D211">
        <v>52</v>
      </c>
      <c r="E211" t="s">
        <v>1007</v>
      </c>
      <c r="F211" t="s">
        <v>5324</v>
      </c>
      <c r="G211" t="str">
        <f>B03_Assessment!A52</f>
        <v>101E</v>
      </c>
      <c r="H211" t="str">
        <f>B03_Assessment!B52</f>
        <v>Verify</v>
      </c>
      <c r="I211" t="str">
        <f>B03_Assessment!C52</f>
        <v>Verify</v>
      </c>
      <c r="J211" t="str">
        <f>B03_Assessment!D52</f>
        <v>Verify</v>
      </c>
      <c r="K211" t="str">
        <f>B03_Assessment!E52</f>
        <v>Verify</v>
      </c>
      <c r="L211" t="str">
        <f>B03_Assessment!F52</f>
        <v>Verify</v>
      </c>
      <c r="M211" t="str">
        <f>B03_Assessment!G52</f>
        <v>Verify</v>
      </c>
      <c r="N211" t="str">
        <f>B03_Assessment!H52</f>
        <v>Verify</v>
      </c>
      <c r="O211" t="str">
        <f>B03_Assessment!I52</f>
        <v>Verify</v>
      </c>
      <c r="P211" t="str">
        <f>B03_Assessment!J52</f>
        <v>Plans require PACS for TR doors and electrical details include access-controlled door rough-in. Verify access controller, power supply/battery backup, CR/RX/DC/ES/MD devices, reader, strike and door hardware coordination.</v>
      </c>
      <c r="Q211" t="str">
        <f t="shared" si="3"/>
        <v>03|45</v>
      </c>
    </row>
    <row r="212" spans="1:17" ht="6.45" customHeight="1">
      <c r="A212" t="s">
        <v>625</v>
      </c>
      <c r="B212">
        <v>46</v>
      </c>
      <c r="C212" t="s">
        <v>17</v>
      </c>
      <c r="D212">
        <v>53</v>
      </c>
      <c r="E212" t="s">
        <v>1007</v>
      </c>
      <c r="F212" t="s">
        <v>5324</v>
      </c>
      <c r="G212" t="str">
        <f>B03_Assessment!A53</f>
        <v>101C</v>
      </c>
      <c r="H212" t="str">
        <f>B03_Assessment!B53</f>
        <v>Existing / Verify</v>
      </c>
      <c r="I212" t="str">
        <f>B03_Assessment!C53</f>
        <v>Existing / Verify</v>
      </c>
      <c r="J212" t="str">
        <f>B03_Assessment!D53</f>
        <v>Existing / Verify</v>
      </c>
      <c r="K212" t="str">
        <f>B03_Assessment!E53</f>
        <v>Existing / Verify</v>
      </c>
      <c r="L212" t="str">
        <f>B03_Assessment!F53</f>
        <v>101C-CAM-01 Verify</v>
      </c>
      <c r="M212" t="str">
        <f>B03_Assessment!G53</f>
        <v>Verify</v>
      </c>
      <c r="N212" t="str">
        <f>B03_Assessment!H53</f>
        <v>Verify</v>
      </c>
      <c r="O212" t="str">
        <f>B03_Assessment!I53</f>
        <v>Verify</v>
      </c>
      <c r="P212" t="str">
        <f>B03_Assessment!J53</f>
        <v>Enlarged plan and schedule identify 101C-CAM-01 and 101C-CK-A. Verify camera/VMS integration, existing camera angles and protection-in-place.</v>
      </c>
      <c r="Q212" t="str">
        <f t="shared" si="3"/>
        <v>03|46</v>
      </c>
    </row>
    <row r="213" spans="1:17" ht="6.45" customHeight="1">
      <c r="A213" t="s">
        <v>625</v>
      </c>
      <c r="B213">
        <v>47</v>
      </c>
      <c r="C213" t="s">
        <v>17</v>
      </c>
      <c r="D213">
        <v>54</v>
      </c>
      <c r="E213" t="s">
        <v>1007</v>
      </c>
      <c r="F213" t="s">
        <v>5324</v>
      </c>
      <c r="G213" t="str">
        <f>B03_Assessment!A54</f>
        <v>107</v>
      </c>
      <c r="H213" t="str">
        <f>B03_Assessment!B54</f>
        <v>Existing / Verify</v>
      </c>
      <c r="I213" t="str">
        <f>B03_Assessment!C54</f>
        <v>Existing / Verify</v>
      </c>
      <c r="J213" t="str">
        <f>B03_Assessment!D54</f>
        <v>Existing / Verify</v>
      </c>
      <c r="K213" t="str">
        <f>B03_Assessment!E54</f>
        <v>Existing / Verify</v>
      </c>
      <c r="L213" t="str">
        <f>B03_Assessment!F54</f>
        <v>Verify Existing</v>
      </c>
      <c r="M213" t="str">
        <f>B03_Assessment!G54</f>
        <v>Verify Existing</v>
      </c>
      <c r="N213" t="str">
        <f>B03_Assessment!H54</f>
        <v>Verify</v>
      </c>
      <c r="O213" t="str">
        <f>B03_Assessment!I54</f>
        <v>Verify</v>
      </c>
      <c r="P213" t="str">
        <f>B03_Assessment!J54</f>
        <v>Verify existing security/CCTV/PACS impacts during basement telecom room transfer.</v>
      </c>
      <c r="Q213" t="str">
        <f t="shared" si="3"/>
        <v>03|47</v>
      </c>
    </row>
    <row r="214" spans="1:17" ht="6.45" customHeight="1">
      <c r="A214" t="s">
        <v>625</v>
      </c>
      <c r="B214">
        <v>48</v>
      </c>
      <c r="C214" t="s">
        <v>17</v>
      </c>
      <c r="D214">
        <v>55</v>
      </c>
      <c r="E214" t="s">
        <v>1007</v>
      </c>
      <c r="F214" t="s">
        <v>5324</v>
      </c>
      <c r="G214" t="str">
        <f>B03_Assessment!A55</f>
        <v>WAO Areas</v>
      </c>
      <c r="H214" t="str">
        <f>B03_Assessment!B55</f>
        <v>N/A / Verify</v>
      </c>
      <c r="I214" t="str">
        <f>B03_Assessment!C55</f>
        <v>N/A / Verify</v>
      </c>
      <c r="J214" t="str">
        <f>B03_Assessment!D55</f>
        <v>N/A / Verify</v>
      </c>
      <c r="K214" t="str">
        <f>B03_Assessment!E55</f>
        <v>N/A / Verify</v>
      </c>
      <c r="L214" t="str">
        <f>B03_Assessment!F55</f>
        <v>Verify Existing</v>
      </c>
      <c r="M214" t="str">
        <f>B03_Assessment!G55</f>
        <v>Verify Existing</v>
      </c>
      <c r="N214" t="str">
        <f>B03_Assessment!H55</f>
        <v>Verify</v>
      </c>
      <c r="O214" t="str">
        <f>B03_Assessment!I55</f>
        <v>Verify</v>
      </c>
      <c r="P214" t="str">
        <f>B03_Assessment!J55</f>
        <v>Maintain existing camera angles when re-cabling; verify WAP/security/clock/Centrak devices are relabeled and tested.</v>
      </c>
      <c r="Q214" t="str">
        <f t="shared" si="3"/>
        <v>03|48</v>
      </c>
    </row>
    <row r="215" spans="1:17" ht="6.45" customHeight="1">
      <c r="A215" t="s">
        <v>625</v>
      </c>
      <c r="B215">
        <v>49</v>
      </c>
      <c r="C215" t="s">
        <v>17</v>
      </c>
      <c r="D215">
        <v>56</v>
      </c>
      <c r="E215" t="s">
        <v>1007</v>
      </c>
      <c r="F215" t="s">
        <v>5325</v>
      </c>
      <c r="G215">
        <f>B03_Assessment!A56</f>
        <v>0</v>
      </c>
      <c r="H215">
        <f>B03_Assessment!B56</f>
        <v>0</v>
      </c>
      <c r="I215">
        <f>B03_Assessment!C56</f>
        <v>0</v>
      </c>
      <c r="J215">
        <f>B03_Assessment!D56</f>
        <v>0</v>
      </c>
      <c r="K215">
        <f>B03_Assessment!E56</f>
        <v>0</v>
      </c>
      <c r="L215">
        <f>B03_Assessment!F56</f>
        <v>0</v>
      </c>
      <c r="M215">
        <f>B03_Assessment!G56</f>
        <v>0</v>
      </c>
      <c r="N215">
        <f>B03_Assessment!H56</f>
        <v>0</v>
      </c>
      <c r="O215">
        <f>B03_Assessment!I56</f>
        <v>0</v>
      </c>
      <c r="P215">
        <f>B03_Assessment!J56</f>
        <v>0</v>
      </c>
      <c r="Q215" t="str">
        <f t="shared" si="3"/>
        <v>03|49</v>
      </c>
    </row>
    <row r="216" spans="1:17" ht="6.45" customHeight="1">
      <c r="A216" t="s">
        <v>625</v>
      </c>
      <c r="B216">
        <v>50</v>
      </c>
      <c r="C216" t="s">
        <v>17</v>
      </c>
      <c r="D216">
        <v>57</v>
      </c>
      <c r="E216" t="s">
        <v>1019</v>
      </c>
      <c r="F216" t="s">
        <v>5322</v>
      </c>
      <c r="G216" t="str">
        <f>B03_Assessment!A57</f>
        <v>8. OWNER RISKS</v>
      </c>
      <c r="H216">
        <f>B03_Assessment!B57</f>
        <v>0</v>
      </c>
      <c r="I216">
        <f>B03_Assessment!C57</f>
        <v>0</v>
      </c>
      <c r="J216">
        <f>B03_Assessment!D57</f>
        <v>0</v>
      </c>
      <c r="K216">
        <f>B03_Assessment!E57</f>
        <v>0</v>
      </c>
      <c r="L216">
        <f>B03_Assessment!F57</f>
        <v>0</v>
      </c>
      <c r="M216">
        <f>B03_Assessment!G57</f>
        <v>0</v>
      </c>
      <c r="N216">
        <f>B03_Assessment!H57</f>
        <v>0</v>
      </c>
      <c r="O216">
        <f>B03_Assessment!I57</f>
        <v>0</v>
      </c>
      <c r="P216">
        <f>B03_Assessment!J57</f>
        <v>0</v>
      </c>
      <c r="Q216" t="str">
        <f t="shared" si="3"/>
        <v>03|50</v>
      </c>
    </row>
    <row r="217" spans="1:17" ht="6.45" customHeight="1">
      <c r="A217" t="s">
        <v>625</v>
      </c>
      <c r="B217">
        <v>51</v>
      </c>
      <c r="C217" t="s">
        <v>17</v>
      </c>
      <c r="D217">
        <v>58</v>
      </c>
      <c r="E217" t="s">
        <v>1019</v>
      </c>
      <c r="F217" t="s">
        <v>5323</v>
      </c>
      <c r="G217" t="str">
        <f>B03_Assessment!A58</f>
        <v>Risk ID</v>
      </c>
      <c r="H217" t="str">
        <f>B03_Assessment!B58</f>
        <v>Room</v>
      </c>
      <c r="I217" t="str">
        <f>B03_Assessment!C58</f>
        <v>Risk</v>
      </c>
      <c r="J217" t="str">
        <f>B03_Assessment!D58</f>
        <v>Impact</v>
      </c>
      <c r="K217" t="str">
        <f>B03_Assessment!E58</f>
        <v>Probability</v>
      </c>
      <c r="L217" t="str">
        <f>B03_Assessment!F58</f>
        <v>Score</v>
      </c>
      <c r="M217" t="str">
        <f>B03_Assessment!G58</f>
        <v>Mitigation</v>
      </c>
      <c r="N217" t="str">
        <f>B03_Assessment!H58</f>
        <v>Owner</v>
      </c>
      <c r="O217" t="str">
        <f>B03_Assessment!I58</f>
        <v>Status</v>
      </c>
      <c r="P217" t="str">
        <f>B03_Assessment!J58</f>
        <v>Notes</v>
      </c>
      <c r="Q217" t="str">
        <f t="shared" si="3"/>
        <v>03|51</v>
      </c>
    </row>
    <row r="218" spans="1:17" ht="6.45" customHeight="1">
      <c r="A218" t="s">
        <v>625</v>
      </c>
      <c r="B218">
        <v>52</v>
      </c>
      <c r="C218" t="s">
        <v>17</v>
      </c>
      <c r="D218">
        <v>59</v>
      </c>
      <c r="E218" t="s">
        <v>1019</v>
      </c>
      <c r="F218" t="s">
        <v>5324</v>
      </c>
      <c r="G218" t="str">
        <f>B03_Assessment!A59</f>
        <v>B03-R1</v>
      </c>
      <c r="H218" t="str">
        <f>B03_Assessment!B59</f>
        <v>All</v>
      </c>
      <c r="I218" t="str">
        <f>B03_Assessment!C59</f>
        <v>Existing conditions for Room 101E and transition rooms 107/101C not field verified</v>
      </c>
      <c r="J218" t="str">
        <f>B03_Assessment!D59</f>
        <v>High</v>
      </c>
      <c r="K218" t="str">
        <f>B03_Assessment!E59</f>
        <v>Medium</v>
      </c>
      <c r="L218">
        <f>B03_Assessment!F59</f>
        <v>6</v>
      </c>
      <c r="M218" t="str">
        <f>B03_Assessment!G59</f>
        <v>Perform existing conditions survey with photos and active-service inventory before mobilization</v>
      </c>
      <c r="N218" t="str">
        <f>B03_Assessment!H59</f>
        <v>GCC / Contractor</v>
      </c>
      <c r="O218" t="str">
        <f>B03_Assessment!I59</f>
        <v>Closed</v>
      </c>
      <c r="P218" t="str">
        <f>B03_Assessment!J59</f>
        <v>B03 has new TR work tied to existing basement telecom and first-floor DMARC.</v>
      </c>
      <c r="Q218" t="str">
        <f t="shared" si="3"/>
        <v>03|52</v>
      </c>
    </row>
    <row r="219" spans="1:17" ht="6.45" customHeight="1">
      <c r="A219" t="s">
        <v>625</v>
      </c>
      <c r="B219">
        <v>53</v>
      </c>
      <c r="C219" t="s">
        <v>17</v>
      </c>
      <c r="D219">
        <v>60</v>
      </c>
      <c r="E219" t="s">
        <v>1019</v>
      </c>
      <c r="F219" t="s">
        <v>5324</v>
      </c>
      <c r="G219" t="str">
        <f>B03_Assessment!A60</f>
        <v>B03-R2</v>
      </c>
      <c r="H219" t="str">
        <f>B03_Assessment!B60</f>
        <v>107 / 101C</v>
      </c>
      <c r="I219" t="str">
        <f>B03_Assessment!C60</f>
        <v>Existing DMARC/fiber/telecom equipment may remain active during transfer to Room 101E</v>
      </c>
      <c r="J219" t="str">
        <f>B03_Assessment!D60</f>
        <v>Critical</v>
      </c>
      <c r="K219" t="str">
        <f>B03_Assessment!E60</f>
        <v>Medium</v>
      </c>
      <c r="L219">
        <f>B03_Assessment!F60</f>
        <v>8</v>
      </c>
      <c r="M219" t="str">
        <f>B03_Assessment!G60</f>
        <v>Document active services, protect in place, identify OIT/provider cutover windows, phasing, rollback path and temporary utilities</v>
      </c>
      <c r="N219" t="str">
        <f>B03_Assessment!H60</f>
        <v>Telecom / OIT</v>
      </c>
      <c r="O219" t="str">
        <f>B03_Assessment!I60</f>
        <v>Closed</v>
      </c>
      <c r="P219" t="str">
        <f>B03_Assessment!J60</f>
        <v>Existing 107 rack and 101C DMARC/patch panels must not be disrupted before new services are operational.</v>
      </c>
      <c r="Q219" t="str">
        <f t="shared" si="3"/>
        <v>03|53</v>
      </c>
    </row>
    <row r="220" spans="1:17" ht="6.45" customHeight="1">
      <c r="A220" t="s">
        <v>625</v>
      </c>
      <c r="B220">
        <v>54</v>
      </c>
      <c r="C220" t="s">
        <v>17</v>
      </c>
      <c r="D220">
        <v>61</v>
      </c>
      <c r="E220" t="s">
        <v>1019</v>
      </c>
      <c r="F220" t="s">
        <v>5324</v>
      </c>
      <c r="G220" t="str">
        <f>B03_Assessment!A61</f>
        <v>B03-R3</v>
      </c>
      <c r="H220" t="str">
        <f>B03_Assessment!B61</f>
        <v>101E</v>
      </c>
      <c r="I220" t="str">
        <f>B03_Assessment!C61</f>
        <v>Dedicated cooling assignment, emergency power, condensate, BACnet and alarms not verified</v>
      </c>
      <c r="J220" t="str">
        <f>B03_Assessment!D61</f>
        <v>Critical</v>
      </c>
      <c r="K220" t="str">
        <f>B03_Assessment!E61</f>
        <v>Medium</v>
      </c>
      <c r="L220">
        <f>B03_Assessment!F61</f>
        <v>8</v>
      </c>
      <c r="M220" t="str">
        <f>B03_Assessment!G61</f>
        <v>Confirm CU-01/IU serving Room 101E, power source, condensate, controls, BACnet, thermostat and high-temp alarms</v>
      </c>
      <c r="N220" t="str">
        <f>B03_Assessment!H61</f>
        <v>Mechanical / Electrical</v>
      </c>
      <c r="O220" t="str">
        <f>B03_Assessment!I61</f>
        <v>Closed</v>
      </c>
      <c r="P220" t="str">
        <f>B03_Assessment!J61</f>
        <v>CU-01 is referenced in electrical schedules; mechanical assignment must be verified.</v>
      </c>
      <c r="Q220" t="str">
        <f t="shared" si="3"/>
        <v>03|54</v>
      </c>
    </row>
    <row r="221" spans="1:17" ht="6.45" customHeight="1">
      <c r="A221" t="s">
        <v>625</v>
      </c>
      <c r="B221">
        <v>55</v>
      </c>
      <c r="C221" t="s">
        <v>17</v>
      </c>
      <c r="D221">
        <v>62</v>
      </c>
      <c r="E221" t="s">
        <v>1019</v>
      </c>
      <c r="F221" t="s">
        <v>5324</v>
      </c>
      <c r="G221" t="str">
        <f>B03_Assessment!A62</f>
        <v>B03-R4</v>
      </c>
      <c r="H221" t="str">
        <f>B03_Assessment!B62</f>
        <v>101E</v>
      </c>
      <c r="I221" t="str">
        <f>B03_Assessment!C62</f>
        <v>B03-TR101CA/B UPS/PDU and panel source coordination could delay energization</v>
      </c>
      <c r="J221" t="str">
        <f>B03_Assessment!D62</f>
        <v>High</v>
      </c>
      <c r="K221" t="str">
        <f>B03_Assessment!E62</f>
        <v>Medium</v>
      </c>
      <c r="L221">
        <f>B03_Assessment!F62</f>
        <v>6</v>
      </c>
      <c r="M221" t="str">
        <f>B03_Assessment!G62</f>
        <v>Verify panels, breakers, receptacles, SPDs, PXR20 trip units, labels, 30-day load measurement and LOTO needs</v>
      </c>
      <c r="N221" t="str">
        <f>B03_Assessment!H62</f>
        <v>Electrical / GCC</v>
      </c>
      <c r="O221" t="str">
        <f>B03_Assessment!I62</f>
        <v>Closed</v>
      </c>
      <c r="P221" t="str">
        <f>B03_Assessment!J62</f>
        <v>New telecom panels and rack circuits must be proven before acceptance.</v>
      </c>
      <c r="Q221" t="str">
        <f t="shared" si="3"/>
        <v>03|55</v>
      </c>
    </row>
    <row r="222" spans="1:17" ht="6.45" customHeight="1">
      <c r="A222" t="s">
        <v>625</v>
      </c>
      <c r="B222">
        <v>56</v>
      </c>
      <c r="C222" t="s">
        <v>17</v>
      </c>
      <c r="D222">
        <v>63</v>
      </c>
      <c r="E222" t="s">
        <v>1019</v>
      </c>
      <c r="F222" t="s">
        <v>5324</v>
      </c>
      <c r="G222" t="str">
        <f>B03_Assessment!A63</f>
        <v>B03-R5</v>
      </c>
      <c r="H222" t="str">
        <f>B03_Assessment!B63</f>
        <v>All</v>
      </c>
      <c r="I222" t="str">
        <f>B03_Assessment!C63</f>
        <v>961 feet of cable tray/pathway requires coordination and firestop tracking</v>
      </c>
      <c r="J222" t="str">
        <f>B03_Assessment!D63</f>
        <v>High</v>
      </c>
      <c r="K222" t="str">
        <f>B03_Assessment!E63</f>
        <v>Medium</v>
      </c>
      <c r="L222">
        <f>B03_Assessment!F63</f>
        <v>6</v>
      </c>
      <c r="M222" t="str">
        <f>B03_Assessment!G63</f>
        <v>Verify route, supports, seismic bracing, 40% fill, penetrations, lighting/HVAC conflicts and firestop assemblies</v>
      </c>
      <c r="N222" t="str">
        <f>B03_Assessment!H63</f>
        <v>Telecom / GC</v>
      </c>
      <c r="O222" t="str">
        <f>B03_Assessment!I63</f>
        <v>Closed</v>
      </c>
      <c r="P222" t="str">
        <f>B03_Assessment!J63</f>
        <v>Cable tray schedule: basement 615 ft and first level 346 ft.</v>
      </c>
      <c r="Q222" t="str">
        <f t="shared" si="3"/>
        <v>03|56</v>
      </c>
    </row>
    <row r="223" spans="1:17" ht="6.45" customHeight="1">
      <c r="A223" t="s">
        <v>625</v>
      </c>
      <c r="B223">
        <v>57</v>
      </c>
      <c r="C223" t="s">
        <v>17</v>
      </c>
      <c r="D223">
        <v>64</v>
      </c>
      <c r="E223" t="s">
        <v>1019</v>
      </c>
      <c r="F223" t="s">
        <v>5324</v>
      </c>
      <c r="G223" t="str">
        <f>B03_Assessment!A64</f>
        <v>B03-R6</v>
      </c>
      <c r="H223" t="str">
        <f>B03_Assessment!B64</f>
        <v>All</v>
      </c>
      <c r="I223" t="str">
        <f>B03_Assessment!C64</f>
        <v>Telecom/fiber cutover could affect active hospital communications and provider/DMARC services</v>
      </c>
      <c r="J223" t="str">
        <f>B03_Assessment!D64</f>
        <v>Critical</v>
      </c>
      <c r="K223" t="str">
        <f>B03_Assessment!E64</f>
        <v>Medium</v>
      </c>
      <c r="L223">
        <f>B03_Assessment!F64</f>
        <v>8</v>
      </c>
      <c r="M223" t="str">
        <f>B03_Assessment!G64</f>
        <v>Require cutover plan, test records, labels, as-builts, OIT/provider coordination and VA acceptance before active connection</v>
      </c>
      <c r="N223" t="str">
        <f>B03_Assessment!H64</f>
        <v>Telecom / OIT</v>
      </c>
      <c r="O223" t="str">
        <f>B03_Assessment!I64</f>
        <v>Closed</v>
      </c>
      <c r="P223" t="str">
        <f>B03_Assessment!J64</f>
        <v>Room 101E supports 206 total ports with allowance and replacement of basement/first-level WAOs.</v>
      </c>
      <c r="Q223" t="str">
        <f t="shared" si="3"/>
        <v>03|57</v>
      </c>
    </row>
    <row r="224" spans="1:17" ht="6.45" customHeight="1">
      <c r="A224" t="s">
        <v>625</v>
      </c>
      <c r="B224">
        <v>58</v>
      </c>
      <c r="C224" t="s">
        <v>17</v>
      </c>
      <c r="D224">
        <v>65</v>
      </c>
      <c r="E224" t="s">
        <v>1019</v>
      </c>
      <c r="F224" t="s">
        <v>5324</v>
      </c>
      <c r="G224" t="str">
        <f>B03_Assessment!A65</f>
        <v>B03-R7</v>
      </c>
      <c r="H224" t="str">
        <f>B03_Assessment!B65</f>
        <v>101E / 101C</v>
      </c>
      <c r="I224" t="str">
        <f>B03_Assessment!C65</f>
        <v>PACS/CCTV/door hardware coordination may not be ready at room acceptance</v>
      </c>
      <c r="J224" t="str">
        <f>B03_Assessment!D65</f>
        <v>High</v>
      </c>
      <c r="K224" t="str">
        <f>B03_Assessment!E65</f>
        <v>Medium</v>
      </c>
      <c r="L224">
        <f>B03_Assessment!F65</f>
        <v>6</v>
      </c>
      <c r="M224" t="str">
        <f>B03_Assessment!G65</f>
        <v>Verify access-control rough-in, power supply/battery backup, reader, strike, door position, 101C-CAM-01 and VMS/PACS test records</v>
      </c>
      <c r="N224" t="str">
        <f>B03_Assessment!H65</f>
        <v>Security / Electrical</v>
      </c>
      <c r="O224" t="str">
        <f>B03_Assessment!I65</f>
        <v>Closed</v>
      </c>
      <c r="P224" t="str">
        <f>B03_Assessment!J65</f>
        <v>Plans identify 101C-CAM-01 and PACS/access control requirements.</v>
      </c>
      <c r="Q224" t="str">
        <f t="shared" si="3"/>
        <v>03|58</v>
      </c>
    </row>
    <row r="225" spans="1:17" ht="6.45" customHeight="1">
      <c r="A225" t="s">
        <v>625</v>
      </c>
      <c r="B225">
        <v>59</v>
      </c>
      <c r="C225" t="s">
        <v>17</v>
      </c>
      <c r="D225">
        <v>66</v>
      </c>
      <c r="E225" t="s">
        <v>1019</v>
      </c>
      <c r="F225" t="s">
        <v>5324</v>
      </c>
      <c r="G225" t="str">
        <f>B03_Assessment!A66</f>
        <v>B03-R8</v>
      </c>
      <c r="H225" t="str">
        <f>B03_Assessment!B66</f>
        <v>All</v>
      </c>
      <c r="I225" t="str">
        <f>B03_Assessment!C66</f>
        <v>Commissioning/third-party inspection reports may not be complete at turnover</v>
      </c>
      <c r="J225" t="str">
        <f>B03_Assessment!D66</f>
        <v>High</v>
      </c>
      <c r="K225" t="str">
        <f>B03_Assessment!E66</f>
        <v>Medium</v>
      </c>
      <c r="L225">
        <f>B03_Assessment!F66</f>
        <v>6</v>
      </c>
      <c r="M225" t="str">
        <f>B03_Assessment!G66</f>
        <v>Track commissioning, inspections, FA/FP acceptance, power verification, cabling tests, labels and as-builts</v>
      </c>
      <c r="N225" t="str">
        <f>B03_Assessment!H66</f>
        <v>GC / Cx Manager</v>
      </c>
      <c r="O225" t="str">
        <f>B03_Assessment!I66</f>
        <v>Closed</v>
      </c>
      <c r="P225" t="str">
        <f>B03_Assessment!J66</f>
        <v>50-sheet IFC package with full discipline scope and third-party inspection requirements.</v>
      </c>
      <c r="Q225" t="str">
        <f t="shared" si="3"/>
        <v>03|59</v>
      </c>
    </row>
    <row r="226" spans="1:17" ht="6.45" customHeight="1">
      <c r="A226" t="s">
        <v>625</v>
      </c>
      <c r="B226">
        <v>60</v>
      </c>
      <c r="C226" t="s">
        <v>17</v>
      </c>
      <c r="D226">
        <v>67</v>
      </c>
      <c r="E226" t="s">
        <v>1019</v>
      </c>
      <c r="F226" t="s">
        <v>5325</v>
      </c>
      <c r="G226">
        <f>B03_Assessment!A67</f>
        <v>0</v>
      </c>
      <c r="H226">
        <f>B03_Assessment!B67</f>
        <v>0</v>
      </c>
      <c r="I226">
        <f>B03_Assessment!C67</f>
        <v>0</v>
      </c>
      <c r="J226">
        <f>B03_Assessment!D67</f>
        <v>0</v>
      </c>
      <c r="K226">
        <f>B03_Assessment!E67</f>
        <v>0</v>
      </c>
      <c r="L226">
        <f>B03_Assessment!F67</f>
        <v>0</v>
      </c>
      <c r="M226">
        <f>B03_Assessment!G67</f>
        <v>0</v>
      </c>
      <c r="N226">
        <f>B03_Assessment!H67</f>
        <v>0</v>
      </c>
      <c r="O226">
        <f>B03_Assessment!I67</f>
        <v>0</v>
      </c>
      <c r="P226">
        <f>B03_Assessment!J67</f>
        <v>0</v>
      </c>
      <c r="Q226" t="str">
        <f t="shared" si="3"/>
        <v>03|60</v>
      </c>
    </row>
    <row r="227" spans="1:17" ht="6.45" customHeight="1">
      <c r="A227" t="s">
        <v>625</v>
      </c>
      <c r="B227">
        <v>61</v>
      </c>
      <c r="C227" t="s">
        <v>17</v>
      </c>
      <c r="D227">
        <v>68</v>
      </c>
      <c r="E227" t="s">
        <v>1051</v>
      </c>
      <c r="F227" t="s">
        <v>5322</v>
      </c>
      <c r="G227" t="str">
        <f>B03_Assessment!A68</f>
        <v>9. OPEN QUESTIONS</v>
      </c>
      <c r="H227">
        <f>B03_Assessment!B68</f>
        <v>0</v>
      </c>
      <c r="I227">
        <f>B03_Assessment!C68</f>
        <v>0</v>
      </c>
      <c r="J227">
        <f>B03_Assessment!D68</f>
        <v>0</v>
      </c>
      <c r="K227">
        <f>B03_Assessment!E68</f>
        <v>0</v>
      </c>
      <c r="L227">
        <f>B03_Assessment!F68</f>
        <v>0</v>
      </c>
      <c r="M227">
        <f>B03_Assessment!G68</f>
        <v>0</v>
      </c>
      <c r="N227">
        <f>B03_Assessment!H68</f>
        <v>0</v>
      </c>
      <c r="O227">
        <f>B03_Assessment!I68</f>
        <v>0</v>
      </c>
      <c r="P227">
        <f>B03_Assessment!J68</f>
        <v>0</v>
      </c>
      <c r="Q227" t="str">
        <f t="shared" si="3"/>
        <v>03|61</v>
      </c>
    </row>
    <row r="228" spans="1:17" ht="6.45" customHeight="1">
      <c r="A228" t="s">
        <v>625</v>
      </c>
      <c r="B228">
        <v>62</v>
      </c>
      <c r="C228" t="s">
        <v>17</v>
      </c>
      <c r="D228">
        <v>69</v>
      </c>
      <c r="E228" t="s">
        <v>1051</v>
      </c>
      <c r="F228" t="s">
        <v>5323</v>
      </c>
      <c r="G228" t="str">
        <f>B03_Assessment!A69</f>
        <v>Question ID</v>
      </c>
      <c r="H228" t="str">
        <f>B03_Assessment!B69</f>
        <v>Question</v>
      </c>
      <c r="I228" t="str">
        <f>B03_Assessment!C69</f>
        <v>Assigned To</v>
      </c>
      <c r="J228" t="str">
        <f>B03_Assessment!D69</f>
        <v>Status</v>
      </c>
      <c r="K228" t="str">
        <f>B03_Assessment!E69</f>
        <v>Needed By</v>
      </c>
      <c r="L228" t="str">
        <f>B03_Assessment!F69</f>
        <v>Answer / Resolution</v>
      </c>
      <c r="M228" t="str">
        <f>B03_Assessment!G69</f>
        <v>Impact if Unanswered</v>
      </c>
      <c r="N228" t="str">
        <f>B03_Assessment!H69</f>
        <v>Follow-up</v>
      </c>
      <c r="O228" t="str">
        <f>B03_Assessment!I69</f>
        <v>Date Closed</v>
      </c>
      <c r="P228" t="str">
        <f>B03_Assessment!J69</f>
        <v>Notes</v>
      </c>
      <c r="Q228" t="str">
        <f t="shared" si="3"/>
        <v>03|62</v>
      </c>
    </row>
    <row r="229" spans="1:17" ht="6.45" customHeight="1">
      <c r="A229" t="s">
        <v>625</v>
      </c>
      <c r="B229">
        <v>63</v>
      </c>
      <c r="C229" t="s">
        <v>17</v>
      </c>
      <c r="D229">
        <v>70</v>
      </c>
      <c r="E229" t="s">
        <v>1051</v>
      </c>
      <c r="F229" t="s">
        <v>5324</v>
      </c>
      <c r="G229" t="str">
        <f>B03_Assessment!A70</f>
        <v>B03-Q1</v>
      </c>
      <c r="H229" t="str">
        <f>B03_Assessment!B70</f>
        <v>Confirm final telecom scope: new Room 101E with existing Basement Room 107 and existing DMARC Room 101C transition points?</v>
      </c>
      <c r="I229" t="str">
        <f>B03_Assessment!C70</f>
        <v>VA / OIT / Designer</v>
      </c>
      <c r="J229" t="str">
        <f>B03_Assessment!D70</f>
        <v>Closed</v>
      </c>
      <c r="K229">
        <f>B03_Assessment!E70</f>
        <v>0</v>
      </c>
      <c r="L229">
        <f>B03_Assessment!F70</f>
        <v>0</v>
      </c>
      <c r="M229" t="str">
        <f>B03_Assessment!G70</f>
        <v>Room inventory could miss scope</v>
      </c>
      <c r="N229">
        <f>B03_Assessment!H70</f>
        <v>0</v>
      </c>
      <c r="O229">
        <f>B03_Assessment!I70</f>
        <v>0</v>
      </c>
      <c r="P229">
        <f>B03_Assessment!J70</f>
        <v>0</v>
      </c>
      <c r="Q229" t="str">
        <f t="shared" si="3"/>
        <v>03|63</v>
      </c>
    </row>
    <row r="230" spans="1:17" ht="6.45" customHeight="1">
      <c r="A230" t="s">
        <v>625</v>
      </c>
      <c r="B230">
        <v>64</v>
      </c>
      <c r="C230" t="s">
        <v>17</v>
      </c>
      <c r="D230">
        <v>71</v>
      </c>
      <c r="E230" t="s">
        <v>1051</v>
      </c>
      <c r="F230" t="s">
        <v>5324</v>
      </c>
      <c r="G230" t="str">
        <f>B03_Assessment!A71</f>
        <v>B03-Q2</v>
      </c>
      <c r="H230" t="str">
        <f>B03_Assessment!B71</f>
        <v>What active services are currently fed from existing Room 107 and DMARC Room 101C?</v>
      </c>
      <c r="I230" t="str">
        <f>B03_Assessment!C71</f>
        <v>OIT / Contractor / Provider</v>
      </c>
      <c r="J230" t="str">
        <f>B03_Assessment!D71</f>
        <v>Closed</v>
      </c>
      <c r="K230">
        <f>B03_Assessment!E71</f>
        <v>0</v>
      </c>
      <c r="L230">
        <f>B03_Assessment!F71</f>
        <v>0</v>
      </c>
      <c r="M230" t="str">
        <f>B03_Assessment!G71</f>
        <v>Potential communications/provider outage</v>
      </c>
      <c r="N230">
        <f>B03_Assessment!H71</f>
        <v>0</v>
      </c>
      <c r="O230">
        <f>B03_Assessment!I71</f>
        <v>0</v>
      </c>
      <c r="P230">
        <f>B03_Assessment!J71</f>
        <v>0</v>
      </c>
      <c r="Q230" t="str">
        <f t="shared" si="3"/>
        <v>03|64</v>
      </c>
    </row>
    <row r="231" spans="1:17" ht="6.45" customHeight="1">
      <c r="A231" t="s">
        <v>625</v>
      </c>
      <c r="B231">
        <v>65</v>
      </c>
      <c r="C231" t="s">
        <v>17</v>
      </c>
      <c r="D231">
        <v>72</v>
      </c>
      <c r="E231" t="s">
        <v>1051</v>
      </c>
      <c r="F231" t="s">
        <v>5324</v>
      </c>
      <c r="G231" t="str">
        <f>B03_Assessment!A72</f>
        <v>B03-Q3</v>
      </c>
      <c r="H231" t="str">
        <f>B03_Assessment!B72</f>
        <v>What existing equipment transfers to new Room 101E versus remains/decommissions?</v>
      </c>
      <c r="I231" t="str">
        <f>B03_Assessment!C72</f>
        <v>OIT / Telecom</v>
      </c>
      <c r="J231" t="str">
        <f>B03_Assessment!D72</f>
        <v>Closed</v>
      </c>
      <c r="K231">
        <f>B03_Assessment!E72</f>
        <v>0</v>
      </c>
      <c r="L231">
        <f>B03_Assessment!F72</f>
        <v>0</v>
      </c>
      <c r="M231" t="str">
        <f>B03_Assessment!G72</f>
        <v>Cutover and rack elevation risk</v>
      </c>
      <c r="N231">
        <f>B03_Assessment!H72</f>
        <v>0</v>
      </c>
      <c r="O231">
        <f>B03_Assessment!I72</f>
        <v>0</v>
      </c>
      <c r="P231">
        <f>B03_Assessment!J72</f>
        <v>0</v>
      </c>
      <c r="Q231" t="str">
        <f t="shared" si="3"/>
        <v>03|65</v>
      </c>
    </row>
    <row r="232" spans="1:17" ht="6.45" customHeight="1">
      <c r="A232" t="s">
        <v>625</v>
      </c>
      <c r="B232">
        <v>66</v>
      </c>
      <c r="C232" t="s">
        <v>17</v>
      </c>
      <c r="D232">
        <v>73</v>
      </c>
      <c r="E232" t="s">
        <v>1051</v>
      </c>
      <c r="F232" t="s">
        <v>5324</v>
      </c>
      <c r="G232" t="str">
        <f>B03_Assessment!A73</f>
        <v>B03-Q4</v>
      </c>
      <c r="H232" t="str">
        <f>B03_Assessment!B73</f>
        <v>Which IU/CU pair serves Room 101E and is it on emergency/backup power?</v>
      </c>
      <c r="I232" t="str">
        <f>B03_Assessment!C73</f>
        <v>Mechanical / Electrical / VA</v>
      </c>
      <c r="J232" t="str">
        <f>B03_Assessment!D73</f>
        <v>Closed</v>
      </c>
      <c r="K232">
        <f>B03_Assessment!E73</f>
        <v>0</v>
      </c>
      <c r="L232">
        <f>B03_Assessment!F73</f>
        <v>0</v>
      </c>
      <c r="M232" t="str">
        <f>B03_Assessment!G73</f>
        <v>Cooling continuity unclear</v>
      </c>
      <c r="N232">
        <f>B03_Assessment!H73</f>
        <v>0</v>
      </c>
      <c r="O232">
        <f>B03_Assessment!I73</f>
        <v>0</v>
      </c>
      <c r="P232">
        <f>B03_Assessment!J73</f>
        <v>0</v>
      </c>
      <c r="Q232" t="str">
        <f t="shared" si="3"/>
        <v>03|66</v>
      </c>
    </row>
    <row r="233" spans="1:17" ht="6.45" customHeight="1">
      <c r="A233" t="s">
        <v>625</v>
      </c>
      <c r="B233">
        <v>67</v>
      </c>
      <c r="C233" t="s">
        <v>17</v>
      </c>
      <c r="D233">
        <v>74</v>
      </c>
      <c r="E233" t="s">
        <v>1051</v>
      </c>
      <c r="F233" t="s">
        <v>5324</v>
      </c>
      <c r="G233" t="str">
        <f>B03_Assessment!A74</f>
        <v>B03-Q5</v>
      </c>
      <c r="H233" t="str">
        <f>B03_Assessment!B74</f>
        <v>Where is the clean-agent/CO2 extinguisher cabinet located within 75 ft of Room 101E?</v>
      </c>
      <c r="I233" t="str">
        <f>B03_Assessment!C74</f>
        <v>GC / COR</v>
      </c>
      <c r="J233" t="str">
        <f>B03_Assessment!D74</f>
        <v>Closed</v>
      </c>
      <c r="K233">
        <f>B03_Assessment!E74</f>
        <v>0</v>
      </c>
      <c r="L233">
        <f>B03_Assessment!F74</f>
        <v>0</v>
      </c>
      <c r="M233" t="str">
        <f>B03_Assessment!G74</f>
        <v>Life-safety acceptance risk</v>
      </c>
      <c r="N233">
        <f>B03_Assessment!H74</f>
        <v>0</v>
      </c>
      <c r="O233">
        <f>B03_Assessment!I74</f>
        <v>0</v>
      </c>
      <c r="P233">
        <f>B03_Assessment!J74</f>
        <v>0</v>
      </c>
      <c r="Q233" t="str">
        <f t="shared" si="3"/>
        <v>03|67</v>
      </c>
    </row>
    <row r="234" spans="1:17" ht="6.45" customHeight="1">
      <c r="A234" t="s">
        <v>625</v>
      </c>
      <c r="B234">
        <v>68</v>
      </c>
      <c r="C234" t="s">
        <v>17</v>
      </c>
      <c r="D234">
        <v>75</v>
      </c>
      <c r="E234" t="s">
        <v>1051</v>
      </c>
      <c r="F234" t="s">
        <v>5324</v>
      </c>
      <c r="G234" t="str">
        <f>B03_Assessment!A75</f>
        <v>B03-Q6</v>
      </c>
      <c r="H234" t="str">
        <f>B03_Assessment!B75</f>
        <v>Are B03-TR101CA/B sources, rack receptacles, SPDs, labels and 30-day load measurements approved?</v>
      </c>
      <c r="I234" t="str">
        <f>B03_Assessment!C75</f>
        <v>Electrical / Designer</v>
      </c>
      <c r="J234" t="str">
        <f>B03_Assessment!D75</f>
        <v>Closed</v>
      </c>
      <c r="K234">
        <f>B03_Assessment!E75</f>
        <v>0</v>
      </c>
      <c r="L234">
        <f>B03_Assessment!F75</f>
        <v>0</v>
      </c>
      <c r="M234" t="str">
        <f>B03_Assessment!G75</f>
        <v>Electrical readiness unknown</v>
      </c>
      <c r="N234">
        <f>B03_Assessment!H75</f>
        <v>0</v>
      </c>
      <c r="O234">
        <f>B03_Assessment!I75</f>
        <v>0</v>
      </c>
      <c r="P234">
        <f>B03_Assessment!J75</f>
        <v>0</v>
      </c>
      <c r="Q234" t="str">
        <f t="shared" si="3"/>
        <v>03|68</v>
      </c>
    </row>
    <row r="235" spans="1:17" ht="6.45" customHeight="1">
      <c r="A235" t="s">
        <v>625</v>
      </c>
      <c r="B235">
        <v>69</v>
      </c>
      <c r="C235" t="s">
        <v>17</v>
      </c>
      <c r="D235">
        <v>76</v>
      </c>
      <c r="E235" t="s">
        <v>1051</v>
      </c>
      <c r="F235" t="s">
        <v>5324</v>
      </c>
      <c r="G235" t="str">
        <f>B03_Assessment!A76</f>
        <v>B03-Q7</v>
      </c>
      <c r="H235" t="str">
        <f>B03_Assessment!B76</f>
        <v>Are all rated wall/floor penetrations, sleeves, cable tray entries and firestopping details identified?</v>
      </c>
      <c r="I235" t="str">
        <f>B03_Assessment!C76</f>
        <v>GC / Firestop</v>
      </c>
      <c r="J235" t="str">
        <f>B03_Assessment!D76</f>
        <v>Closed</v>
      </c>
      <c r="K235">
        <f>B03_Assessment!E76</f>
        <v>0</v>
      </c>
      <c r="L235">
        <f>B03_Assessment!F76</f>
        <v>0</v>
      </c>
      <c r="M235" t="str">
        <f>B03_Assessment!G76</f>
        <v>Fire/smoke spread risk</v>
      </c>
      <c r="N235">
        <f>B03_Assessment!H76</f>
        <v>0</v>
      </c>
      <c r="O235">
        <f>B03_Assessment!I76</f>
        <v>0</v>
      </c>
      <c r="P235">
        <f>B03_Assessment!J76</f>
        <v>0</v>
      </c>
      <c r="Q235" t="str">
        <f t="shared" si="3"/>
        <v>03|69</v>
      </c>
    </row>
    <row r="236" spans="1:17" ht="6.45" customHeight="1">
      <c r="A236" t="s">
        <v>625</v>
      </c>
      <c r="B236">
        <v>70</v>
      </c>
      <c r="C236" t="s">
        <v>17</v>
      </c>
      <c r="D236">
        <v>77</v>
      </c>
      <c r="E236" t="s">
        <v>1051</v>
      </c>
      <c r="F236" t="s">
        <v>5324</v>
      </c>
      <c r="G236" t="str">
        <f>B03_Assessment!A77</f>
        <v>B03-Q8</v>
      </c>
      <c r="H236" t="str">
        <f>B03_Assessment!B77</f>
        <v>Which third-party inspections and commissioning forms are required before VA/OIT acceptance?</v>
      </c>
      <c r="I236" t="str">
        <f>B03_Assessment!C77</f>
        <v>GC / Cx Manager / OIT</v>
      </c>
      <c r="J236" t="str">
        <f>B03_Assessment!D77</f>
        <v>Closed</v>
      </c>
      <c r="K236">
        <f>B03_Assessment!E77</f>
        <v>0</v>
      </c>
      <c r="L236">
        <f>B03_Assessment!F77</f>
        <v>0</v>
      </c>
      <c r="M236" t="str">
        <f>B03_Assessment!G77</f>
        <v>Turnover package gap</v>
      </c>
      <c r="N236">
        <f>B03_Assessment!H77</f>
        <v>0</v>
      </c>
      <c r="O236">
        <f>B03_Assessment!I77</f>
        <v>0</v>
      </c>
      <c r="P236">
        <f>B03_Assessment!J77</f>
        <v>0</v>
      </c>
      <c r="Q236" t="str">
        <f t="shared" si="3"/>
        <v>03|70</v>
      </c>
    </row>
    <row r="237" spans="1:17" ht="6.45" customHeight="1">
      <c r="A237" t="s">
        <v>625</v>
      </c>
      <c r="B237">
        <v>71</v>
      </c>
      <c r="C237" t="s">
        <v>17</v>
      </c>
      <c r="D237">
        <v>78</v>
      </c>
      <c r="E237" t="s">
        <v>1051</v>
      </c>
      <c r="F237" t="s">
        <v>5325</v>
      </c>
      <c r="G237">
        <f>B03_Assessment!A78</f>
        <v>0</v>
      </c>
      <c r="H237">
        <f>B03_Assessment!B78</f>
        <v>0</v>
      </c>
      <c r="I237">
        <f>B03_Assessment!C78</f>
        <v>0</v>
      </c>
      <c r="J237">
        <f>B03_Assessment!D78</f>
        <v>0</v>
      </c>
      <c r="K237">
        <f>B03_Assessment!E78</f>
        <v>0</v>
      </c>
      <c r="L237">
        <f>B03_Assessment!F78</f>
        <v>0</v>
      </c>
      <c r="M237">
        <f>B03_Assessment!G78</f>
        <v>0</v>
      </c>
      <c r="N237">
        <f>B03_Assessment!H78</f>
        <v>0</v>
      </c>
      <c r="O237">
        <f>B03_Assessment!I78</f>
        <v>0</v>
      </c>
      <c r="P237">
        <f>B03_Assessment!J78</f>
        <v>0</v>
      </c>
      <c r="Q237" t="str">
        <f t="shared" si="3"/>
        <v>03|71</v>
      </c>
    </row>
    <row r="238" spans="1:17" ht="6.45" customHeight="1">
      <c r="A238" t="s">
        <v>625</v>
      </c>
      <c r="B238">
        <v>72</v>
      </c>
      <c r="C238" t="s">
        <v>17</v>
      </c>
      <c r="D238">
        <v>79</v>
      </c>
      <c r="E238" t="s">
        <v>1052</v>
      </c>
      <c r="F238" t="s">
        <v>5322</v>
      </c>
      <c r="G238" t="str">
        <f>B03_Assessment!A79</f>
        <v>10. PHOTO LOG</v>
      </c>
      <c r="H238">
        <f>B03_Assessment!B79</f>
        <v>0</v>
      </c>
      <c r="I238">
        <f>B03_Assessment!C79</f>
        <v>0</v>
      </c>
      <c r="J238">
        <f>B03_Assessment!D79</f>
        <v>0</v>
      </c>
      <c r="K238">
        <f>B03_Assessment!E79</f>
        <v>0</v>
      </c>
      <c r="L238">
        <f>B03_Assessment!F79</f>
        <v>0</v>
      </c>
      <c r="M238">
        <f>B03_Assessment!G79</f>
        <v>0</v>
      </c>
      <c r="N238">
        <f>B03_Assessment!H79</f>
        <v>0</v>
      </c>
      <c r="O238">
        <f>B03_Assessment!I79</f>
        <v>0</v>
      </c>
      <c r="P238">
        <f>B03_Assessment!J79</f>
        <v>0</v>
      </c>
      <c r="Q238" t="str">
        <f t="shared" si="3"/>
        <v>03|72</v>
      </c>
    </row>
    <row r="239" spans="1:17" ht="6.45" customHeight="1">
      <c r="A239" t="s">
        <v>625</v>
      </c>
      <c r="B239">
        <v>73</v>
      </c>
      <c r="C239" t="s">
        <v>17</v>
      </c>
      <c r="D239">
        <v>80</v>
      </c>
      <c r="E239" t="s">
        <v>1052</v>
      </c>
      <c r="F239" t="s">
        <v>5323</v>
      </c>
      <c r="G239" t="str">
        <f>B03_Assessment!A80</f>
        <v>Photo ID</v>
      </c>
      <c r="H239" t="str">
        <f>B03_Assessment!B80</f>
        <v>Room</v>
      </c>
      <c r="I239" t="str">
        <f>B03_Assessment!C80</f>
        <v>Category</v>
      </c>
      <c r="J239" t="str">
        <f>B03_Assessment!D80</f>
        <v>Description</v>
      </c>
      <c r="K239" t="str">
        <f>B03_Assessment!E80</f>
        <v>Date</v>
      </c>
      <c r="L239" t="str">
        <f>B03_Assessment!F80</f>
        <v>Taken By</v>
      </c>
      <c r="M239" t="str">
        <f>B03_Assessment!G80</f>
        <v>File / Link</v>
      </c>
      <c r="N239" t="str">
        <f>B03_Assessment!H80</f>
        <v>Related Risk</v>
      </c>
      <c r="O239" t="str">
        <f>B03_Assessment!I80</f>
        <v>Status</v>
      </c>
      <c r="P239" t="str">
        <f>B03_Assessment!J80</f>
        <v>Notes</v>
      </c>
      <c r="Q239" t="str">
        <f t="shared" si="3"/>
        <v>03|73</v>
      </c>
    </row>
    <row r="240" spans="1:17" ht="6.45" customHeight="1">
      <c r="A240" t="s">
        <v>625</v>
      </c>
      <c r="B240">
        <v>74</v>
      </c>
      <c r="C240" t="s">
        <v>17</v>
      </c>
      <c r="D240">
        <v>81</v>
      </c>
      <c r="E240" t="s">
        <v>1052</v>
      </c>
      <c r="F240" t="s">
        <v>5324</v>
      </c>
      <c r="G240" t="str">
        <f>B03_Assessment!A81</f>
        <v>B03-P001</v>
      </c>
      <c r="H240" t="str">
        <f>B03_Assessment!B81</f>
        <v>101E</v>
      </c>
      <c r="I240" t="str">
        <f>B03_Assessment!C81</f>
        <v>Existing / New Condition</v>
      </c>
      <c r="J240" t="str">
        <f>B03_Assessment!D81</f>
        <v>Room 101E walls, ceiling/deck, floor, door, racks/future rack, panels, HVAC, cable tray, penetrations, PACS and final TR layout</v>
      </c>
      <c r="K240">
        <f>B03_Assessment!E81</f>
        <v>0</v>
      </c>
      <c r="L240" t="str">
        <f>B03_Assessment!F81</f>
        <v>Paul</v>
      </c>
      <c r="M240">
        <f>B03_Assessment!G81</f>
        <v>0</v>
      </c>
      <c r="N240" t="str">
        <f>B03_Assessment!H81</f>
        <v>B03-R1/B03-R3</v>
      </c>
      <c r="O240" t="str">
        <f>B03_Assessment!I81</f>
        <v>Closed</v>
      </c>
      <c r="P240">
        <f>B03_Assessment!J81</f>
        <v>0</v>
      </c>
      <c r="Q240" t="str">
        <f t="shared" si="3"/>
        <v>03|74</v>
      </c>
    </row>
    <row r="241" spans="1:17" ht="6.45" customHeight="1">
      <c r="A241" t="s">
        <v>625</v>
      </c>
      <c r="B241">
        <v>75</v>
      </c>
      <c r="C241" t="s">
        <v>17</v>
      </c>
      <c r="D241">
        <v>82</v>
      </c>
      <c r="E241" t="s">
        <v>1052</v>
      </c>
      <c r="F241" t="s">
        <v>5324</v>
      </c>
      <c r="G241" t="str">
        <f>B03_Assessment!A82</f>
        <v>B03-P002</v>
      </c>
      <c r="H241" t="str">
        <f>B03_Assessment!B82</f>
        <v>107</v>
      </c>
      <c r="I241" t="str">
        <f>B03_Assessment!C82</f>
        <v>Existing Equipment</v>
      </c>
      <c r="J241" t="str">
        <f>B03_Assessment!D82</f>
        <v>Basement existing telecom room 107 rack, UPS on floor, Cisco switch, legacy patch panels, fiber LIU, active service labels and cable entries</v>
      </c>
      <c r="K241">
        <f>B03_Assessment!E82</f>
        <v>0</v>
      </c>
      <c r="L241" t="str">
        <f>B03_Assessment!F82</f>
        <v>Paul</v>
      </c>
      <c r="M241">
        <f>B03_Assessment!G82</f>
        <v>0</v>
      </c>
      <c r="N241" t="str">
        <f>B03_Assessment!H82</f>
        <v>B03-R1/B03-R2</v>
      </c>
      <c r="O241" t="str">
        <f>B03_Assessment!I82</f>
        <v>Closed</v>
      </c>
      <c r="P241">
        <f>B03_Assessment!J82</f>
        <v>0</v>
      </c>
      <c r="Q241" t="str">
        <f t="shared" si="3"/>
        <v>03|75</v>
      </c>
    </row>
    <row r="242" spans="1:17" ht="6.45" customHeight="1">
      <c r="A242" t="s">
        <v>625</v>
      </c>
      <c r="B242">
        <v>76</v>
      </c>
      <c r="C242" t="s">
        <v>17</v>
      </c>
      <c r="D242">
        <v>83</v>
      </c>
      <c r="E242" t="s">
        <v>1052</v>
      </c>
      <c r="F242" t="s">
        <v>5324</v>
      </c>
      <c r="G242" t="str">
        <f>B03_Assessment!A83</f>
        <v>B03-P003</v>
      </c>
      <c r="H242" t="str">
        <f>B03_Assessment!B83</f>
        <v>101C</v>
      </c>
      <c r="I242" t="str">
        <f>B03_Assessment!C83</f>
        <v>Existing DMARC</v>
      </c>
      <c r="J242" t="str">
        <f>B03_Assessment!D83</f>
        <v>First-floor existing DMARC Room 101C, patch panels, telecom cabinet, branch panel, provider/fiber equipment, 101C-CAM-01 and active service labels</v>
      </c>
      <c r="K242">
        <f>B03_Assessment!E83</f>
        <v>0</v>
      </c>
      <c r="L242" t="str">
        <f>B03_Assessment!F83</f>
        <v>Paul</v>
      </c>
      <c r="M242">
        <f>B03_Assessment!G83</f>
        <v>0</v>
      </c>
      <c r="N242" t="str">
        <f>B03_Assessment!H83</f>
        <v>B03-R2/B03-R6</v>
      </c>
      <c r="O242" t="str">
        <f>B03_Assessment!I83</f>
        <v>Closed</v>
      </c>
      <c r="P242">
        <f>B03_Assessment!J83</f>
        <v>0</v>
      </c>
      <c r="Q242" t="str">
        <f t="shared" si="3"/>
        <v>03|76</v>
      </c>
    </row>
    <row r="243" spans="1:17" ht="6.45" customHeight="1">
      <c r="A243" t="s">
        <v>625</v>
      </c>
      <c r="B243">
        <v>77</v>
      </c>
      <c r="C243" t="s">
        <v>17</v>
      </c>
      <c r="D243">
        <v>84</v>
      </c>
      <c r="E243" t="s">
        <v>1052</v>
      </c>
      <c r="F243" t="s">
        <v>5324</v>
      </c>
      <c r="G243" t="str">
        <f>B03_Assessment!A84</f>
        <v>B03-P004</v>
      </c>
      <c r="H243" t="str">
        <f>B03_Assessment!B84</f>
        <v>101E / 101C</v>
      </c>
      <c r="I243" t="str">
        <f>B03_Assessment!C84</f>
        <v>Electrical / Security</v>
      </c>
      <c r="J243" t="str">
        <f>B03_Assessment!D84</f>
        <v>B03-TR101CA/B panels, rack receptacles, breakers, SPD, UPS/PDU, access controller, CU-01, 101C-CAM-01 and labels</v>
      </c>
      <c r="K243">
        <f>B03_Assessment!E84</f>
        <v>0</v>
      </c>
      <c r="L243" t="str">
        <f>B03_Assessment!F84</f>
        <v>Paul</v>
      </c>
      <c r="M243">
        <f>B03_Assessment!G84</f>
        <v>0</v>
      </c>
      <c r="N243" t="str">
        <f>B03_Assessment!H84</f>
        <v>B03-R4/B03-R7</v>
      </c>
      <c r="O243" t="str">
        <f>B03_Assessment!I84</f>
        <v>Closed</v>
      </c>
      <c r="P243">
        <f>B03_Assessment!J84</f>
        <v>0</v>
      </c>
      <c r="Q243" t="str">
        <f t="shared" si="3"/>
        <v>03|77</v>
      </c>
    </row>
    <row r="244" spans="1:17" ht="6.45" customHeight="1">
      <c r="A244" t="s">
        <v>625</v>
      </c>
      <c r="B244">
        <v>78</v>
      </c>
      <c r="C244" t="s">
        <v>17</v>
      </c>
      <c r="D244">
        <v>85</v>
      </c>
      <c r="E244" t="s">
        <v>1052</v>
      </c>
      <c r="F244" t="s">
        <v>5324</v>
      </c>
      <c r="G244" t="str">
        <f>B03_Assessment!A85</f>
        <v>B03-P005</v>
      </c>
      <c r="H244" t="str">
        <f>B03_Assessment!B85</f>
        <v>101E</v>
      </c>
      <c r="I244" t="str">
        <f>B03_Assessment!C85</f>
        <v>HVAC</v>
      </c>
      <c r="J244" t="str">
        <f>B03_Assessment!D85</f>
        <v>IU/CU-01, condensate route, thermostat, BACnet adapter, disconnects, alarm points and emergency power source</v>
      </c>
      <c r="K244">
        <f>B03_Assessment!E85</f>
        <v>0</v>
      </c>
      <c r="L244" t="str">
        <f>B03_Assessment!F85</f>
        <v>Paul</v>
      </c>
      <c r="M244">
        <f>B03_Assessment!G85</f>
        <v>0</v>
      </c>
      <c r="N244" t="str">
        <f>B03_Assessment!H85</f>
        <v>B03-R3</v>
      </c>
      <c r="O244" t="str">
        <f>B03_Assessment!I85</f>
        <v>Closed</v>
      </c>
      <c r="P244">
        <f>B03_Assessment!J85</f>
        <v>0</v>
      </c>
      <c r="Q244" t="str">
        <f t="shared" si="3"/>
        <v>03|78</v>
      </c>
    </row>
    <row r="245" spans="1:17" ht="6.45" customHeight="1">
      <c r="A245" t="s">
        <v>625</v>
      </c>
      <c r="B245">
        <v>79</v>
      </c>
      <c r="C245" t="s">
        <v>17</v>
      </c>
      <c r="D245">
        <v>86</v>
      </c>
      <c r="E245" t="s">
        <v>1052</v>
      </c>
      <c r="F245" t="s">
        <v>5324</v>
      </c>
      <c r="G245" t="str">
        <f>B03_Assessment!A86</f>
        <v>B03-P006</v>
      </c>
      <c r="H245" t="str">
        <f>B03_Assessment!B86</f>
        <v>All</v>
      </c>
      <c r="I245" t="str">
        <f>B03_Assessment!C86</f>
        <v>Cable Tray / Firestop</v>
      </c>
      <c r="J245" t="str">
        <f>B03_Assessment!D86</f>
        <v>Basement and first-level cable tray route, supports, seismic bracing, 40% fill, penetrations and before/after firestopping</v>
      </c>
      <c r="K245">
        <f>B03_Assessment!E86</f>
        <v>0</v>
      </c>
      <c r="L245" t="str">
        <f>B03_Assessment!F86</f>
        <v>Paul</v>
      </c>
      <c r="M245">
        <f>B03_Assessment!G86</f>
        <v>0</v>
      </c>
      <c r="N245" t="str">
        <f>B03_Assessment!H86</f>
        <v>B03-R5</v>
      </c>
      <c r="O245" t="str">
        <f>B03_Assessment!I86</f>
        <v>Closed</v>
      </c>
      <c r="P245">
        <f>B03_Assessment!J86</f>
        <v>0</v>
      </c>
      <c r="Q245" t="str">
        <f t="shared" si="3"/>
        <v>03|79</v>
      </c>
    </row>
    <row r="246" spans="1:17" ht="6.45" customHeight="1">
      <c r="A246" t="s">
        <v>625</v>
      </c>
      <c r="B246">
        <v>80</v>
      </c>
      <c r="C246" t="s">
        <v>17</v>
      </c>
      <c r="D246">
        <v>87</v>
      </c>
      <c r="E246" t="s">
        <v>1052</v>
      </c>
      <c r="F246" t="s">
        <v>5324</v>
      </c>
      <c r="G246" t="str">
        <f>B03_Assessment!A87</f>
        <v>B03-P007</v>
      </c>
      <c r="H246" t="str">
        <f>B03_Assessment!B87</f>
        <v>WAO Areas</v>
      </c>
      <c r="I246" t="str">
        <f>B03_Assessment!C87</f>
        <v>Telecom Devices</v>
      </c>
      <c r="J246" t="str">
        <f>B03_Assessment!D87</f>
        <v>Representative outlets/WAPs/Centrak/clock/camera locations including 108-A/B/C, 108-CK-A, 107A-AP-A, 101C-CAM-01 and related labels</v>
      </c>
      <c r="K246">
        <f>B03_Assessment!E87</f>
        <v>0</v>
      </c>
      <c r="L246" t="str">
        <f>B03_Assessment!F87</f>
        <v>Paul</v>
      </c>
      <c r="M246">
        <f>B03_Assessment!G87</f>
        <v>0</v>
      </c>
      <c r="N246" t="str">
        <f>B03_Assessment!H87</f>
        <v>B03-R6</v>
      </c>
      <c r="O246" t="str">
        <f>B03_Assessment!I87</f>
        <v>Closed</v>
      </c>
      <c r="P246">
        <f>B03_Assessment!J87</f>
        <v>0</v>
      </c>
      <c r="Q246" t="str">
        <f t="shared" si="3"/>
        <v>03|80</v>
      </c>
    </row>
    <row r="247" spans="1:17" ht="6.45" customHeight="1">
      <c r="A247" t="s">
        <v>625</v>
      </c>
      <c r="B247">
        <v>81</v>
      </c>
      <c r="C247" t="s">
        <v>17</v>
      </c>
      <c r="D247">
        <v>88</v>
      </c>
      <c r="E247" t="s">
        <v>1052</v>
      </c>
      <c r="F247" t="s">
        <v>5324</v>
      </c>
      <c r="G247" t="str">
        <f>B03_Assessment!A88</f>
        <v>B03-P008</v>
      </c>
      <c r="H247" t="str">
        <f>B03_Assessment!B88</f>
        <v>101E / Existing Rooms</v>
      </c>
      <c r="I247" t="str">
        <f>B03_Assessment!C88</f>
        <v>Telecom Acceptance</v>
      </c>
      <c r="J247" t="str">
        <f>B03_Assessment!D88</f>
        <v>New racks TR01-101E-1/2, Fiber LIU, Cat6A, patch panels, labels/test records and existing rack transfer work</v>
      </c>
      <c r="K247">
        <f>B03_Assessment!E88</f>
        <v>0</v>
      </c>
      <c r="L247" t="str">
        <f>B03_Assessment!F88</f>
        <v>Paul</v>
      </c>
      <c r="M247">
        <f>B03_Assessment!G88</f>
        <v>0</v>
      </c>
      <c r="N247" t="str">
        <f>B03_Assessment!H88</f>
        <v>B03-R6/B03-R8</v>
      </c>
      <c r="O247" t="str">
        <f>B03_Assessment!I88</f>
        <v>Closed</v>
      </c>
      <c r="P247">
        <f>B03_Assessment!J88</f>
        <v>0</v>
      </c>
      <c r="Q247" t="str">
        <f t="shared" si="3"/>
        <v>03|81</v>
      </c>
    </row>
    <row r="248" spans="1:17" ht="6.45" customHeight="1">
      <c r="A248" t="s">
        <v>625</v>
      </c>
      <c r="B248">
        <v>82</v>
      </c>
      <c r="C248" t="s">
        <v>17</v>
      </c>
      <c r="D248">
        <v>89</v>
      </c>
      <c r="E248" t="s">
        <v>1052</v>
      </c>
      <c r="F248" t="s">
        <v>5325</v>
      </c>
      <c r="G248">
        <f>B03_Assessment!A89</f>
        <v>0</v>
      </c>
      <c r="H248">
        <f>B03_Assessment!B89</f>
        <v>0</v>
      </c>
      <c r="I248">
        <f>B03_Assessment!C89</f>
        <v>0</v>
      </c>
      <c r="J248">
        <f>B03_Assessment!D89</f>
        <v>0</v>
      </c>
      <c r="K248">
        <f>B03_Assessment!E89</f>
        <v>0</v>
      </c>
      <c r="L248">
        <f>B03_Assessment!F89</f>
        <v>0</v>
      </c>
      <c r="M248">
        <f>B03_Assessment!G89</f>
        <v>0</v>
      </c>
      <c r="N248">
        <f>B03_Assessment!H89</f>
        <v>0</v>
      </c>
      <c r="O248">
        <f>B03_Assessment!I89</f>
        <v>0</v>
      </c>
      <c r="P248">
        <f>B03_Assessment!J89</f>
        <v>0</v>
      </c>
      <c r="Q248" t="str">
        <f t="shared" si="3"/>
        <v>03|82</v>
      </c>
    </row>
    <row r="249" spans="1:17" ht="6.45" customHeight="1">
      <c r="A249" t="s">
        <v>641</v>
      </c>
      <c r="B249">
        <v>1</v>
      </c>
      <c r="C249" t="s">
        <v>19</v>
      </c>
      <c r="D249">
        <v>8</v>
      </c>
      <c r="E249" t="s">
        <v>918</v>
      </c>
      <c r="F249" t="s">
        <v>5322</v>
      </c>
      <c r="G249" t="str">
        <f>B04_Assessment!A8</f>
        <v>1. ROOM INVENTORY</v>
      </c>
      <c r="H249">
        <f>B04_Assessment!B8</f>
        <v>0</v>
      </c>
      <c r="I249">
        <f>B04_Assessment!C8</f>
        <v>0</v>
      </c>
      <c r="J249">
        <f>B04_Assessment!D8</f>
        <v>0</v>
      </c>
      <c r="K249">
        <f>B04_Assessment!E8</f>
        <v>0</v>
      </c>
      <c r="L249">
        <f>B04_Assessment!F8</f>
        <v>0</v>
      </c>
      <c r="M249">
        <f>B04_Assessment!G8</f>
        <v>0</v>
      </c>
      <c r="N249">
        <f>B04_Assessment!H8</f>
        <v>0</v>
      </c>
      <c r="O249">
        <f>B04_Assessment!I8</f>
        <v>0</v>
      </c>
      <c r="P249">
        <f>B04_Assessment!J8</f>
        <v>0</v>
      </c>
      <c r="Q249" t="str">
        <f t="shared" si="3"/>
        <v>04|1</v>
      </c>
    </row>
    <row r="250" spans="1:17" ht="6.45" customHeight="1">
      <c r="A250" t="s">
        <v>641</v>
      </c>
      <c r="B250">
        <v>2</v>
      </c>
      <c r="C250" t="s">
        <v>19</v>
      </c>
      <c r="D250">
        <v>9</v>
      </c>
      <c r="E250" t="s">
        <v>918</v>
      </c>
      <c r="F250" t="s">
        <v>5323</v>
      </c>
      <c r="G250" t="str">
        <f>B04_Assessment!A9</f>
        <v>Building</v>
      </c>
      <c r="H250" t="str">
        <f>B04_Assessment!B9</f>
        <v>Room</v>
      </c>
      <c r="I250" t="str">
        <f>B04_Assessment!C9</f>
        <v>Floor</v>
      </c>
      <c r="J250" t="str">
        <f>B04_Assessment!D9</f>
        <v>Existing Use</v>
      </c>
      <c r="K250" t="str">
        <f>B04_Assessment!E9</f>
        <v>New Use</v>
      </c>
      <c r="L250" t="str">
        <f>B04_Assessment!F9</f>
        <v>Rack Count</v>
      </c>
      <c r="M250" t="str">
        <f>B04_Assessment!G9</f>
        <v>Future Rack</v>
      </c>
      <c r="N250" t="str">
        <f>B04_Assessment!H9</f>
        <v>Status</v>
      </c>
      <c r="O250" t="str">
        <f>B04_Assessment!I9</f>
        <v>Drawing Ref</v>
      </c>
      <c r="P250" t="str">
        <f>B04_Assessment!J9</f>
        <v>Notes</v>
      </c>
      <c r="Q250" t="str">
        <f t="shared" si="3"/>
        <v>04|2</v>
      </c>
    </row>
    <row r="251" spans="1:17" ht="6.45" customHeight="1">
      <c r="A251" t="s">
        <v>641</v>
      </c>
      <c r="B251">
        <v>3</v>
      </c>
      <c r="C251" t="s">
        <v>19</v>
      </c>
      <c r="D251">
        <v>10</v>
      </c>
      <c r="E251" t="s">
        <v>918</v>
      </c>
      <c r="F251" t="s">
        <v>5324</v>
      </c>
      <c r="G251" t="str">
        <f>B04_Assessment!A10</f>
        <v>04</v>
      </c>
      <c r="H251" t="str">
        <f>B04_Assessment!B10</f>
        <v>B05</v>
      </c>
      <c r="I251" t="str">
        <f>B04_Assessment!C10</f>
        <v>Basement</v>
      </c>
      <c r="J251" t="str">
        <f>B04_Assessment!D10</f>
        <v>Existing telecom / service area</v>
      </c>
      <c r="K251" t="str">
        <f>B04_Assessment!E10</f>
        <v>TR</v>
      </c>
      <c r="L251">
        <f>B04_Assessment!F10</f>
        <v>2</v>
      </c>
      <c r="M251">
        <f>B04_Assessment!G10</f>
        <v>0</v>
      </c>
      <c r="N251" t="str">
        <f>B04_Assessment!H10</f>
        <v>Verify</v>
      </c>
      <c r="O251" t="str">
        <f>B04_Assessment!I10</f>
        <v>04A-400 / 04T-604 / 04E-701</v>
      </c>
      <c r="P251" t="str">
        <f>B04_Assessment!J10</f>
        <v>Rack elevations show B05 with Rack 1 of 2 and Rack 2 of 2; new B04-TRB05A/B panels and NPA-TR feed shown.</v>
      </c>
      <c r="Q251" t="str">
        <f t="shared" si="3"/>
        <v>04|3</v>
      </c>
    </row>
    <row r="252" spans="1:17" ht="6.45" customHeight="1">
      <c r="A252" t="s">
        <v>641</v>
      </c>
      <c r="B252">
        <v>4</v>
      </c>
      <c r="C252" t="s">
        <v>19</v>
      </c>
      <c r="D252">
        <v>11</v>
      </c>
      <c r="E252" t="s">
        <v>918</v>
      </c>
      <c r="F252" t="s">
        <v>5324</v>
      </c>
      <c r="G252" t="str">
        <f>B04_Assessment!A11</f>
        <v>04</v>
      </c>
      <c r="H252" t="str">
        <f>B04_Assessment!B11</f>
        <v>141</v>
      </c>
      <c r="I252" t="str">
        <f>B04_Assessment!C11</f>
        <v>First</v>
      </c>
      <c r="J252" t="str">
        <f>B04_Assessment!D11</f>
        <v>Existing room to be converted / upgraded</v>
      </c>
      <c r="K252" t="str">
        <f>B04_Assessment!E11</f>
        <v>TR</v>
      </c>
      <c r="L252">
        <f>B04_Assessment!F11</f>
        <v>1</v>
      </c>
      <c r="M252">
        <f>B04_Assessment!G11</f>
        <v>1</v>
      </c>
      <c r="N252" t="str">
        <f>B04_Assessment!H11</f>
        <v>Verify</v>
      </c>
      <c r="O252" t="str">
        <f>B04_Assessment!I11</f>
        <v>04A-401 / 04T-604 / 04E-701</v>
      </c>
      <c r="P252" t="str">
        <f>B04_Assessment!J11</f>
        <v>Architectural enlarged views identify Room 141; new 45-minute rated door/frame, 1-hour/smoke-rated envelope, open-to-deck TR, and future rack.</v>
      </c>
      <c r="Q252" t="str">
        <f t="shared" si="3"/>
        <v>04|4</v>
      </c>
    </row>
    <row r="253" spans="1:17" ht="6.45" customHeight="1">
      <c r="A253" t="s">
        <v>641</v>
      </c>
      <c r="B253">
        <v>5</v>
      </c>
      <c r="C253" t="s">
        <v>19</v>
      </c>
      <c r="D253">
        <v>12</v>
      </c>
      <c r="E253" t="s">
        <v>918</v>
      </c>
      <c r="F253" t="s">
        <v>5324</v>
      </c>
      <c r="G253" t="str">
        <f>B04_Assessment!A12</f>
        <v>04</v>
      </c>
      <c r="H253" t="str">
        <f>B04_Assessment!B12</f>
        <v>244A</v>
      </c>
      <c r="I253" t="str">
        <f>B04_Assessment!C12</f>
        <v>Second</v>
      </c>
      <c r="J253" t="str">
        <f>B04_Assessment!D12</f>
        <v>Existing or renovated telecom area</v>
      </c>
      <c r="K253" t="str">
        <f>B04_Assessment!E12</f>
        <v>TR</v>
      </c>
      <c r="L253">
        <f>B04_Assessment!F12</f>
        <v>1</v>
      </c>
      <c r="M253">
        <f>B04_Assessment!G12</f>
        <v>1</v>
      </c>
      <c r="N253" t="str">
        <f>B04_Assessment!H12</f>
        <v>Verify</v>
      </c>
      <c r="O253" t="str">
        <f>B04_Assessment!I12</f>
        <v>04T / 04E-701</v>
      </c>
      <c r="P253" t="str">
        <f>B04_Assessment!J12</f>
        <v>Panel schedule identifies B04-TR244A; room requires field verification of rack count, cooling, pathways, fire protection, and PACS/CCTV requirements.</v>
      </c>
      <c r="Q253" t="str">
        <f t="shared" si="3"/>
        <v>04|5</v>
      </c>
    </row>
    <row r="254" spans="1:17" ht="6.45" customHeight="1">
      <c r="A254" t="s">
        <v>641</v>
      </c>
      <c r="B254">
        <v>6</v>
      </c>
      <c r="C254" t="s">
        <v>19</v>
      </c>
      <c r="D254">
        <v>13</v>
      </c>
      <c r="E254" t="s">
        <v>918</v>
      </c>
      <c r="F254" t="s">
        <v>5325</v>
      </c>
      <c r="G254">
        <f>B04_Assessment!A13</f>
        <v>0</v>
      </c>
      <c r="H254">
        <f>B04_Assessment!B13</f>
        <v>0</v>
      </c>
      <c r="I254">
        <f>B04_Assessment!C13</f>
        <v>0</v>
      </c>
      <c r="J254">
        <f>B04_Assessment!D13</f>
        <v>0</v>
      </c>
      <c r="K254">
        <f>B04_Assessment!E13</f>
        <v>0</v>
      </c>
      <c r="L254">
        <f>B04_Assessment!F13</f>
        <v>0</v>
      </c>
      <c r="M254">
        <f>B04_Assessment!G13</f>
        <v>0</v>
      </c>
      <c r="N254">
        <f>B04_Assessment!H13</f>
        <v>0</v>
      </c>
      <c r="O254">
        <f>B04_Assessment!I13</f>
        <v>0</v>
      </c>
      <c r="P254">
        <f>B04_Assessment!J13</f>
        <v>0</v>
      </c>
      <c r="Q254" t="str">
        <f t="shared" si="3"/>
        <v>04|6</v>
      </c>
    </row>
    <row r="255" spans="1:17" ht="6.45" customHeight="1">
      <c r="A255" t="s">
        <v>641</v>
      </c>
      <c r="B255">
        <v>7</v>
      </c>
      <c r="C255" t="s">
        <v>19</v>
      </c>
      <c r="D255">
        <v>14</v>
      </c>
      <c r="E255" t="s">
        <v>936</v>
      </c>
      <c r="F255" t="s">
        <v>5322</v>
      </c>
      <c r="G255" t="str">
        <f>B04_Assessment!A14</f>
        <v>2. ROOM READINESS</v>
      </c>
      <c r="H255">
        <f>B04_Assessment!B14</f>
        <v>0</v>
      </c>
      <c r="I255">
        <f>B04_Assessment!C14</f>
        <v>0</v>
      </c>
      <c r="J255">
        <f>B04_Assessment!D14</f>
        <v>0</v>
      </c>
      <c r="K255">
        <f>B04_Assessment!E14</f>
        <v>0</v>
      </c>
      <c r="L255">
        <f>B04_Assessment!F14</f>
        <v>0</v>
      </c>
      <c r="M255">
        <f>B04_Assessment!G14</f>
        <v>0</v>
      </c>
      <c r="N255">
        <f>B04_Assessment!H14</f>
        <v>0</v>
      </c>
      <c r="O255">
        <f>B04_Assessment!I14</f>
        <v>0</v>
      </c>
      <c r="P255">
        <f>B04_Assessment!J14</f>
        <v>0</v>
      </c>
      <c r="Q255" t="str">
        <f t="shared" si="3"/>
        <v>04|7</v>
      </c>
    </row>
    <row r="256" spans="1:17" ht="6.45" customHeight="1">
      <c r="A256" t="s">
        <v>641</v>
      </c>
      <c r="B256">
        <v>8</v>
      </c>
      <c r="C256" t="s">
        <v>19</v>
      </c>
      <c r="D256">
        <v>15</v>
      </c>
      <c r="E256" t="s">
        <v>936</v>
      </c>
      <c r="F256" t="s">
        <v>5323</v>
      </c>
      <c r="G256" t="str">
        <f>B04_Assessment!A15</f>
        <v>Room</v>
      </c>
      <c r="H256" t="str">
        <f>B04_Assessment!B15</f>
        <v>Walls / 1-hr Rating</v>
      </c>
      <c r="I256" t="str">
        <f>B04_Assessment!C15</f>
        <v>Ceiling</v>
      </c>
      <c r="J256" t="str">
        <f>B04_Assessment!D15</f>
        <v>Floor / SDC</v>
      </c>
      <c r="K256" t="str">
        <f>B04_Assessment!E15</f>
        <v>Penetrations</v>
      </c>
      <c r="L256" t="str">
        <f>B04_Assessment!F15</f>
        <v>Access Control</v>
      </c>
      <c r="M256" t="str">
        <f>B04_Assessment!G15</f>
        <v>Clearances</v>
      </c>
      <c r="N256" t="str">
        <f>B04_Assessment!H15</f>
        <v>Housekeeping</v>
      </c>
      <c r="O256" t="str">
        <f>B04_Assessment!I15</f>
        <v>Overall</v>
      </c>
      <c r="P256" t="str">
        <f>B04_Assessment!J15</f>
        <v>Comments</v>
      </c>
      <c r="Q256" t="str">
        <f t="shared" si="3"/>
        <v>04|8</v>
      </c>
    </row>
    <row r="257" spans="1:17" ht="6.45" customHeight="1">
      <c r="A257" t="s">
        <v>641</v>
      </c>
      <c r="B257">
        <v>9</v>
      </c>
      <c r="C257" t="s">
        <v>19</v>
      </c>
      <c r="D257">
        <v>16</v>
      </c>
      <c r="E257" t="s">
        <v>936</v>
      </c>
      <c r="F257" t="s">
        <v>5324</v>
      </c>
      <c r="G257" t="str">
        <f>B04_Assessment!A16</f>
        <v>B05</v>
      </c>
      <c r="H257" t="str">
        <f>B04_Assessment!B16</f>
        <v>Verify</v>
      </c>
      <c r="I257" t="str">
        <f>B04_Assessment!C16</f>
        <v>Verify</v>
      </c>
      <c r="J257" t="str">
        <f>B04_Assessment!D16</f>
        <v>Verify</v>
      </c>
      <c r="K257" t="str">
        <f>B04_Assessment!E16</f>
        <v>Verify</v>
      </c>
      <c r="L257" t="str">
        <f>B04_Assessment!F16</f>
        <v>Verify</v>
      </c>
      <c r="M257" t="str">
        <f>B04_Assessment!G16</f>
        <v>Verify</v>
      </c>
      <c r="N257" t="str">
        <f>B04_Assessment!H16</f>
        <v>Verify</v>
      </c>
      <c r="O257" t="str">
        <f>B04_Assessment!I16</f>
        <v>Verify</v>
      </c>
      <c r="P257" t="str">
        <f>B04_Assessment!J16</f>
        <v>Basement TR; verify existing utilities, abatement, wall/firestop conditions, and two-rack layout.</v>
      </c>
      <c r="Q257" t="str">
        <f t="shared" si="3"/>
        <v>04|9</v>
      </c>
    </row>
    <row r="258" spans="1:17" ht="6.45" customHeight="1">
      <c r="A258" t="s">
        <v>641</v>
      </c>
      <c r="B258">
        <v>10</v>
      </c>
      <c r="C258" t="s">
        <v>19</v>
      </c>
      <c r="D258">
        <v>17</v>
      </c>
      <c r="E258" t="s">
        <v>936</v>
      </c>
      <c r="F258" t="s">
        <v>5324</v>
      </c>
      <c r="G258" t="str">
        <f>B04_Assessment!A17</f>
        <v>141</v>
      </c>
      <c r="H258" t="str">
        <f>B04_Assessment!B17</f>
        <v>Verify</v>
      </c>
      <c r="I258" t="str">
        <f>B04_Assessment!C17</f>
        <v>Verify</v>
      </c>
      <c r="J258" t="str">
        <f>B04_Assessment!D17</f>
        <v>Verify</v>
      </c>
      <c r="K258" t="str">
        <f>B04_Assessment!E17</f>
        <v>Verify</v>
      </c>
      <c r="L258" t="str">
        <f>B04_Assessment!F17</f>
        <v>Verify</v>
      </c>
      <c r="M258" t="str">
        <f>B04_Assessment!G17</f>
        <v>Verify</v>
      </c>
      <c r="N258" t="str">
        <f>B04_Assessment!H17</f>
        <v>Verify</v>
      </c>
      <c r="O258" t="str">
        <f>B04_Assessment!I17</f>
        <v>Verify</v>
      </c>
      <c r="P258" t="str">
        <f>B04_Assessment!J17</f>
        <v>Existing wall to become 1-hour fire/smoke rated; open to deck; new 45-minute rated door and access-control hardware coordination.</v>
      </c>
      <c r="Q258" t="str">
        <f t="shared" ref="Q258:Q321" si="4">A258&amp;"|"&amp;B258</f>
        <v>04|10</v>
      </c>
    </row>
    <row r="259" spans="1:17" ht="6.45" customHeight="1">
      <c r="A259" t="s">
        <v>641</v>
      </c>
      <c r="B259">
        <v>11</v>
      </c>
      <c r="C259" t="s">
        <v>19</v>
      </c>
      <c r="D259">
        <v>18</v>
      </c>
      <c r="E259" t="s">
        <v>936</v>
      </c>
      <c r="F259" t="s">
        <v>5324</v>
      </c>
      <c r="G259" t="str">
        <f>B04_Assessment!A18</f>
        <v>244A</v>
      </c>
      <c r="H259" t="str">
        <f>B04_Assessment!B18</f>
        <v>Verify</v>
      </c>
      <c r="I259" t="str">
        <f>B04_Assessment!C18</f>
        <v>Verify</v>
      </c>
      <c r="J259" t="str">
        <f>B04_Assessment!D18</f>
        <v>Verify</v>
      </c>
      <c r="K259" t="str">
        <f>B04_Assessment!E18</f>
        <v>Verify</v>
      </c>
      <c r="L259" t="str">
        <f>B04_Assessment!F18</f>
        <v>Verify</v>
      </c>
      <c r="M259" t="str">
        <f>B04_Assessment!G18</f>
        <v>Verify</v>
      </c>
      <c r="N259" t="str">
        <f>B04_Assessment!H18</f>
        <v>Verify</v>
      </c>
      <c r="O259" t="str">
        <f>B04_Assessment!I18</f>
        <v>Verify</v>
      </c>
      <c r="P259" t="str">
        <f>B04_Assessment!J18</f>
        <v>Second-floor TR referenced by electrical panel schedule; field verify room conditions and plan locations.</v>
      </c>
      <c r="Q259" t="str">
        <f t="shared" si="4"/>
        <v>04|11</v>
      </c>
    </row>
    <row r="260" spans="1:17" ht="6.45" customHeight="1">
      <c r="A260" t="s">
        <v>641</v>
      </c>
      <c r="B260">
        <v>12</v>
      </c>
      <c r="C260" t="s">
        <v>19</v>
      </c>
      <c r="D260">
        <v>19</v>
      </c>
      <c r="E260" t="s">
        <v>936</v>
      </c>
      <c r="F260" t="s">
        <v>5325</v>
      </c>
      <c r="G260">
        <f>B04_Assessment!A19</f>
        <v>0</v>
      </c>
      <c r="H260">
        <f>B04_Assessment!B19</f>
        <v>0</v>
      </c>
      <c r="I260">
        <f>B04_Assessment!C19</f>
        <v>0</v>
      </c>
      <c r="J260">
        <f>B04_Assessment!D19</f>
        <v>0</v>
      </c>
      <c r="K260">
        <f>B04_Assessment!E19</f>
        <v>0</v>
      </c>
      <c r="L260">
        <f>B04_Assessment!F19</f>
        <v>0</v>
      </c>
      <c r="M260">
        <f>B04_Assessment!G19</f>
        <v>0</v>
      </c>
      <c r="N260">
        <f>B04_Assessment!H19</f>
        <v>0</v>
      </c>
      <c r="O260">
        <f>B04_Assessment!I19</f>
        <v>0</v>
      </c>
      <c r="P260">
        <f>B04_Assessment!J19</f>
        <v>0</v>
      </c>
      <c r="Q260" t="str">
        <f t="shared" si="4"/>
        <v>04|12</v>
      </c>
    </row>
    <row r="261" spans="1:17" ht="6.45" customHeight="1">
      <c r="A261" t="s">
        <v>641</v>
      </c>
      <c r="B261">
        <v>13</v>
      </c>
      <c r="C261" t="s">
        <v>19</v>
      </c>
      <c r="D261">
        <v>20</v>
      </c>
      <c r="E261" t="s">
        <v>951</v>
      </c>
      <c r="F261" t="s">
        <v>5322</v>
      </c>
      <c r="G261" t="str">
        <f>B04_Assessment!A20</f>
        <v>3. FIRE PROTECTION</v>
      </c>
      <c r="H261">
        <f>B04_Assessment!B20</f>
        <v>0</v>
      </c>
      <c r="I261">
        <f>B04_Assessment!C20</f>
        <v>0</v>
      </c>
      <c r="J261">
        <f>B04_Assessment!D20</f>
        <v>0</v>
      </c>
      <c r="K261">
        <f>B04_Assessment!E20</f>
        <v>0</v>
      </c>
      <c r="L261">
        <f>B04_Assessment!F20</f>
        <v>0</v>
      </c>
      <c r="M261">
        <f>B04_Assessment!G20</f>
        <v>0</v>
      </c>
      <c r="N261">
        <f>B04_Assessment!H20</f>
        <v>0</v>
      </c>
      <c r="O261">
        <f>B04_Assessment!I20</f>
        <v>0</v>
      </c>
      <c r="P261">
        <f>B04_Assessment!J20</f>
        <v>0</v>
      </c>
      <c r="Q261" t="str">
        <f t="shared" si="4"/>
        <v>04|13</v>
      </c>
    </row>
    <row r="262" spans="1:17" ht="6.45" customHeight="1">
      <c r="A262" t="s">
        <v>641</v>
      </c>
      <c r="B262">
        <v>14</v>
      </c>
      <c r="C262" t="s">
        <v>19</v>
      </c>
      <c r="D262">
        <v>21</v>
      </c>
      <c r="E262" t="s">
        <v>951</v>
      </c>
      <c r="F262" t="s">
        <v>5323</v>
      </c>
      <c r="G262" t="str">
        <f>B04_Assessment!A21</f>
        <v>Room</v>
      </c>
      <c r="H262" t="str">
        <f>B04_Assessment!B21</f>
        <v>Sprinkler</v>
      </c>
      <c r="I262" t="str">
        <f>B04_Assessment!C21</f>
        <v>Cage</v>
      </c>
      <c r="J262" t="str">
        <f>B04_Assessment!D21</f>
        <v>Detector</v>
      </c>
      <c r="K262" t="str">
        <f>B04_Assessment!E21</f>
        <v>Horn/Strobe</v>
      </c>
      <c r="L262" t="str">
        <f>B04_Assessment!F21</f>
        <v>Extinguisher &lt;75 ft</v>
      </c>
      <c r="M262" t="str">
        <f>B04_Assessment!G21</f>
        <v>Firestop</v>
      </c>
      <c r="N262" t="str">
        <f>B04_Assessment!H21</f>
        <v>Temp Firestop</v>
      </c>
      <c r="O262" t="str">
        <f>B04_Assessment!I21</f>
        <v>Overall</v>
      </c>
      <c r="P262" t="str">
        <f>B04_Assessment!J21</f>
        <v>Risk / Notes</v>
      </c>
      <c r="Q262" t="str">
        <f t="shared" si="4"/>
        <v>04|14</v>
      </c>
    </row>
    <row r="263" spans="1:17" ht="6.45" customHeight="1">
      <c r="A263" t="s">
        <v>641</v>
      </c>
      <c r="B263">
        <v>15</v>
      </c>
      <c r="C263" t="s">
        <v>19</v>
      </c>
      <c r="D263">
        <v>22</v>
      </c>
      <c r="E263" t="s">
        <v>951</v>
      </c>
      <c r="F263" t="s">
        <v>5324</v>
      </c>
      <c r="G263" t="str">
        <f>B04_Assessment!A22</f>
        <v>B05</v>
      </c>
      <c r="H263" t="str">
        <f>B04_Assessment!B22</f>
        <v>Verify</v>
      </c>
      <c r="I263" t="str">
        <f>B04_Assessment!C22</f>
        <v>Verify</v>
      </c>
      <c r="J263" t="str">
        <f>B04_Assessment!D22</f>
        <v>Verify</v>
      </c>
      <c r="K263" t="str">
        <f>B04_Assessment!E22</f>
        <v>Verify</v>
      </c>
      <c r="L263" t="str">
        <f>B04_Assessment!F22</f>
        <v>Verify</v>
      </c>
      <c r="M263" t="str">
        <f>B04_Assessment!G22</f>
        <v>Verify</v>
      </c>
      <c r="N263" t="str">
        <f>B04_Assessment!H22</f>
        <v>Verify</v>
      </c>
      <c r="O263" t="str">
        <f>B04_Assessment!I22</f>
        <v>Verify</v>
      </c>
      <c r="P263" t="str">
        <f>B04_Assessment!J22</f>
        <v>Fully sprinklered building; basement TR requires verification of sprinkler coverage and impairment planning.</v>
      </c>
      <c r="Q263" t="str">
        <f t="shared" si="4"/>
        <v>04|15</v>
      </c>
    </row>
    <row r="264" spans="1:17" ht="6.45" customHeight="1">
      <c r="A264" t="s">
        <v>641</v>
      </c>
      <c r="B264">
        <v>16</v>
      </c>
      <c r="C264" t="s">
        <v>19</v>
      </c>
      <c r="D264">
        <v>23</v>
      </c>
      <c r="E264" t="s">
        <v>951</v>
      </c>
      <c r="F264" t="s">
        <v>5324</v>
      </c>
      <c r="G264" t="str">
        <f>B04_Assessment!A23</f>
        <v>141</v>
      </c>
      <c r="H264" t="str">
        <f>B04_Assessment!B23</f>
        <v>Verify</v>
      </c>
      <c r="I264" t="str">
        <f>B04_Assessment!C23</f>
        <v>Verify</v>
      </c>
      <c r="J264" t="str">
        <f>B04_Assessment!D23</f>
        <v>Verify</v>
      </c>
      <c r="K264" t="str">
        <f>B04_Assessment!E23</f>
        <v>Verify</v>
      </c>
      <c r="L264" t="str">
        <f>B04_Assessment!F23</f>
        <v>Verify</v>
      </c>
      <c r="M264" t="str">
        <f>B04_Assessment!G23</f>
        <v>Verify</v>
      </c>
      <c r="N264" t="str">
        <f>B04_Assessment!H23</f>
        <v>Verify</v>
      </c>
      <c r="O264" t="str">
        <f>B04_Assessment!I23</f>
        <v>Verify</v>
      </c>
      <c r="P264" t="str">
        <f>B04_Assessment!J23</f>
        <v>FEC with clean-agent 2A:10B:C extinguisher within 75 ft; TR open to deck; maintain rated assemblies.</v>
      </c>
      <c r="Q264" t="str">
        <f t="shared" si="4"/>
        <v>04|16</v>
      </c>
    </row>
    <row r="265" spans="1:17" ht="6.45" customHeight="1">
      <c r="A265" t="s">
        <v>641</v>
      </c>
      <c r="B265">
        <v>17</v>
      </c>
      <c r="C265" t="s">
        <v>19</v>
      </c>
      <c r="D265">
        <v>24</v>
      </c>
      <c r="E265" t="s">
        <v>951</v>
      </c>
      <c r="F265" t="s">
        <v>5324</v>
      </c>
      <c r="G265" t="str">
        <f>B04_Assessment!A24</f>
        <v>244A</v>
      </c>
      <c r="H265" t="str">
        <f>B04_Assessment!B24</f>
        <v>Verify</v>
      </c>
      <c r="I265" t="str">
        <f>B04_Assessment!C24</f>
        <v>Verify</v>
      </c>
      <c r="J265" t="str">
        <f>B04_Assessment!D24</f>
        <v>Verify</v>
      </c>
      <c r="K265" t="str">
        <f>B04_Assessment!E24</f>
        <v>Verify</v>
      </c>
      <c r="L265" t="str">
        <f>B04_Assessment!F24</f>
        <v>Verify</v>
      </c>
      <c r="M265" t="str">
        <f>B04_Assessment!G24</f>
        <v>Verify</v>
      </c>
      <c r="N265" t="str">
        <f>B04_Assessment!H24</f>
        <v>Verify</v>
      </c>
      <c r="O265" t="str">
        <f>B04_Assessment!I24</f>
        <v>Verify</v>
      </c>
      <c r="P265" t="str">
        <f>B04_Assessment!J24</f>
        <v>Verify sprinkler/fire alarm device locations and firestop for riser/pathway penetrations.</v>
      </c>
      <c r="Q265" t="str">
        <f t="shared" si="4"/>
        <v>04|17</v>
      </c>
    </row>
    <row r="266" spans="1:17" ht="6.45" customHeight="1">
      <c r="A266" t="s">
        <v>641</v>
      </c>
      <c r="B266">
        <v>18</v>
      </c>
      <c r="C266" t="s">
        <v>19</v>
      </c>
      <c r="D266">
        <v>25</v>
      </c>
      <c r="E266" t="s">
        <v>951</v>
      </c>
      <c r="F266" t="s">
        <v>5325</v>
      </c>
      <c r="G266">
        <f>B04_Assessment!A25</f>
        <v>0</v>
      </c>
      <c r="H266">
        <f>B04_Assessment!B25</f>
        <v>0</v>
      </c>
      <c r="I266">
        <f>B04_Assessment!C25</f>
        <v>0</v>
      </c>
      <c r="J266">
        <f>B04_Assessment!D25</f>
        <v>0</v>
      </c>
      <c r="K266">
        <f>B04_Assessment!E25</f>
        <v>0</v>
      </c>
      <c r="L266">
        <f>B04_Assessment!F25</f>
        <v>0</v>
      </c>
      <c r="M266">
        <f>B04_Assessment!G25</f>
        <v>0</v>
      </c>
      <c r="N266">
        <f>B04_Assessment!H25</f>
        <v>0</v>
      </c>
      <c r="O266">
        <f>B04_Assessment!I25</f>
        <v>0</v>
      </c>
      <c r="P266">
        <f>B04_Assessment!J25</f>
        <v>0</v>
      </c>
      <c r="Q266" t="str">
        <f t="shared" si="4"/>
        <v>04|18</v>
      </c>
    </row>
    <row r="267" spans="1:17" ht="6.45" customHeight="1">
      <c r="A267" t="s">
        <v>641</v>
      </c>
      <c r="B267">
        <v>19</v>
      </c>
      <c r="C267" t="s">
        <v>19</v>
      </c>
      <c r="D267">
        <v>26</v>
      </c>
      <c r="E267" t="s">
        <v>964</v>
      </c>
      <c r="F267" t="s">
        <v>5322</v>
      </c>
      <c r="G267" t="str">
        <f>B04_Assessment!A26</f>
        <v>4. HVAC / COOLING</v>
      </c>
      <c r="H267">
        <f>B04_Assessment!B26</f>
        <v>0</v>
      </c>
      <c r="I267">
        <f>B04_Assessment!C26</f>
        <v>0</v>
      </c>
      <c r="J267">
        <f>B04_Assessment!D26</f>
        <v>0</v>
      </c>
      <c r="K267">
        <f>B04_Assessment!E26</f>
        <v>0</v>
      </c>
      <c r="L267">
        <f>B04_Assessment!F26</f>
        <v>0</v>
      </c>
      <c r="M267">
        <f>B04_Assessment!G26</f>
        <v>0</v>
      </c>
      <c r="N267">
        <f>B04_Assessment!H26</f>
        <v>0</v>
      </c>
      <c r="O267">
        <f>B04_Assessment!I26</f>
        <v>0</v>
      </c>
      <c r="P267">
        <f>B04_Assessment!J26</f>
        <v>0</v>
      </c>
      <c r="Q267" t="str">
        <f t="shared" si="4"/>
        <v>04|19</v>
      </c>
    </row>
    <row r="268" spans="1:17" ht="6.45" customHeight="1">
      <c r="A268" t="s">
        <v>641</v>
      </c>
      <c r="B268">
        <v>20</v>
      </c>
      <c r="C268" t="s">
        <v>19</v>
      </c>
      <c r="D268">
        <v>27</v>
      </c>
      <c r="E268" t="s">
        <v>964</v>
      </c>
      <c r="F268" t="s">
        <v>5323</v>
      </c>
      <c r="G268" t="str">
        <f>B04_Assessment!A27</f>
        <v>Room</v>
      </c>
      <c r="H268" t="str">
        <f>B04_Assessment!B27</f>
        <v>Dedicated Unit</v>
      </c>
      <c r="I268" t="str">
        <f>B04_Assessment!C27</f>
        <v>Capacity Verified</v>
      </c>
      <c r="J268" t="str">
        <f>B04_Assessment!D27</f>
        <v>Emergency Power</v>
      </c>
      <c r="K268" t="str">
        <f>B04_Assessment!E27</f>
        <v>Controls / BACnet</v>
      </c>
      <c r="L268" t="str">
        <f>B04_Assessment!F27</f>
        <v>Condensate Routed</v>
      </c>
      <c r="M268" t="str">
        <f>B04_Assessment!G27</f>
        <v>High Temp Alarm</v>
      </c>
      <c r="N268" t="str">
        <f>B04_Assessment!H27</f>
        <v>24/7 Operation</v>
      </c>
      <c r="O268" t="str">
        <f>B04_Assessment!I27</f>
        <v>Overall</v>
      </c>
      <c r="P268" t="str">
        <f>B04_Assessment!J27</f>
        <v>Risk / Notes</v>
      </c>
      <c r="Q268" t="str">
        <f t="shared" si="4"/>
        <v>04|20</v>
      </c>
    </row>
    <row r="269" spans="1:17" ht="6.45" customHeight="1">
      <c r="A269" t="s">
        <v>641</v>
      </c>
      <c r="B269">
        <v>21</v>
      </c>
      <c r="C269" t="s">
        <v>19</v>
      </c>
      <c r="D269">
        <v>28</v>
      </c>
      <c r="E269" t="s">
        <v>964</v>
      </c>
      <c r="F269" t="s">
        <v>5324</v>
      </c>
      <c r="G269" t="str">
        <f>B04_Assessment!A28</f>
        <v>B05</v>
      </c>
      <c r="H269" t="str">
        <f>B04_Assessment!B28</f>
        <v>Verify</v>
      </c>
      <c r="I269" t="str">
        <f>B04_Assessment!C28</f>
        <v>Verify</v>
      </c>
      <c r="J269" t="str">
        <f>B04_Assessment!D28</f>
        <v>Verify</v>
      </c>
      <c r="K269" t="str">
        <f>B04_Assessment!E28</f>
        <v>Verify</v>
      </c>
      <c r="L269" t="str">
        <f>B04_Assessment!F28</f>
        <v>Verify</v>
      </c>
      <c r="M269" t="str">
        <f>B04_Assessment!G28</f>
        <v>Verify</v>
      </c>
      <c r="N269" t="str">
        <f>B04_Assessment!H28</f>
        <v>Verify</v>
      </c>
      <c r="O269" t="str">
        <f>B04_Assessment!I28</f>
        <v>Verify</v>
      </c>
      <c r="P269" t="str">
        <f>B04_Assessment!J28</f>
        <v>Verify dedicated cooling for two-rack basement TR and whether unit/controls/condensate are backed up.</v>
      </c>
      <c r="Q269" t="str">
        <f t="shared" si="4"/>
        <v>04|21</v>
      </c>
    </row>
    <row r="270" spans="1:17" ht="6.45" customHeight="1">
      <c r="A270" t="s">
        <v>641</v>
      </c>
      <c r="B270">
        <v>22</v>
      </c>
      <c r="C270" t="s">
        <v>19</v>
      </c>
      <c r="D270">
        <v>29</v>
      </c>
      <c r="E270" t="s">
        <v>964</v>
      </c>
      <c r="F270" t="s">
        <v>5324</v>
      </c>
      <c r="G270" t="str">
        <f>B04_Assessment!A29</f>
        <v>141</v>
      </c>
      <c r="H270" t="str">
        <f>B04_Assessment!B29</f>
        <v>Verify</v>
      </c>
      <c r="I270" t="str">
        <f>B04_Assessment!C29</f>
        <v>Verify</v>
      </c>
      <c r="J270" t="str">
        <f>B04_Assessment!D29</f>
        <v>Verify</v>
      </c>
      <c r="K270" t="str">
        <f>B04_Assessment!E29</f>
        <v>Verify</v>
      </c>
      <c r="L270" t="str">
        <f>B04_Assessment!F29</f>
        <v>Verify</v>
      </c>
      <c r="M270" t="str">
        <f>B04_Assessment!G29</f>
        <v>Verify</v>
      </c>
      <c r="N270" t="str">
        <f>B04_Assessment!H29</f>
        <v>Verify</v>
      </c>
      <c r="O270" t="str">
        <f>B04_Assessment!I29</f>
        <v>Verify</v>
      </c>
      <c r="P270" t="str">
        <f>B04_Assessment!J29</f>
        <v>Verify dedicated cooling and coordination with open-to-deck room, racks, cable tray, and access control.</v>
      </c>
      <c r="Q270" t="str">
        <f t="shared" si="4"/>
        <v>04|22</v>
      </c>
    </row>
    <row r="271" spans="1:17" ht="6.45" customHeight="1">
      <c r="A271" t="s">
        <v>641</v>
      </c>
      <c r="B271">
        <v>23</v>
      </c>
      <c r="C271" t="s">
        <v>19</v>
      </c>
      <c r="D271">
        <v>30</v>
      </c>
      <c r="E271" t="s">
        <v>964</v>
      </c>
      <c r="F271" t="s">
        <v>5324</v>
      </c>
      <c r="G271" t="str">
        <f>B04_Assessment!A30</f>
        <v>244A</v>
      </c>
      <c r="H271" t="str">
        <f>B04_Assessment!B30</f>
        <v>Verify</v>
      </c>
      <c r="I271" t="str">
        <f>B04_Assessment!C30</f>
        <v>Verify</v>
      </c>
      <c r="J271" t="str">
        <f>B04_Assessment!D30</f>
        <v>Verify</v>
      </c>
      <c r="K271" t="str">
        <f>B04_Assessment!E30</f>
        <v>Verify</v>
      </c>
      <c r="L271" t="str">
        <f>B04_Assessment!F30</f>
        <v>Verify</v>
      </c>
      <c r="M271" t="str">
        <f>B04_Assessment!G30</f>
        <v>Verify</v>
      </c>
      <c r="N271" t="str">
        <f>B04_Assessment!H30</f>
        <v>Verify</v>
      </c>
      <c r="O271" t="str">
        <f>B04_Assessment!I30</f>
        <v>Verify</v>
      </c>
      <c r="P271" t="str">
        <f>B04_Assessment!J30</f>
        <v>Verify cooling unit, routing, condensate, controls, and emergency/backup power path.</v>
      </c>
      <c r="Q271" t="str">
        <f t="shared" si="4"/>
        <v>04|23</v>
      </c>
    </row>
    <row r="272" spans="1:17" ht="6.45" customHeight="1">
      <c r="A272" t="s">
        <v>641</v>
      </c>
      <c r="B272">
        <v>24</v>
      </c>
      <c r="C272" t="s">
        <v>19</v>
      </c>
      <c r="D272">
        <v>31</v>
      </c>
      <c r="E272" t="s">
        <v>964</v>
      </c>
      <c r="F272" t="s">
        <v>5325</v>
      </c>
      <c r="G272">
        <f>B04_Assessment!A31</f>
        <v>0</v>
      </c>
      <c r="H272">
        <f>B04_Assessment!B31</f>
        <v>0</v>
      </c>
      <c r="I272">
        <f>B04_Assessment!C31</f>
        <v>0</v>
      </c>
      <c r="J272">
        <f>B04_Assessment!D31</f>
        <v>0</v>
      </c>
      <c r="K272">
        <f>B04_Assessment!E31</f>
        <v>0</v>
      </c>
      <c r="L272">
        <f>B04_Assessment!F31</f>
        <v>0</v>
      </c>
      <c r="M272">
        <f>B04_Assessment!G31</f>
        <v>0</v>
      </c>
      <c r="N272">
        <f>B04_Assessment!H31</f>
        <v>0</v>
      </c>
      <c r="O272">
        <f>B04_Assessment!I31</f>
        <v>0</v>
      </c>
      <c r="P272">
        <f>B04_Assessment!J31</f>
        <v>0</v>
      </c>
      <c r="Q272" t="str">
        <f t="shared" si="4"/>
        <v>04|24</v>
      </c>
    </row>
    <row r="273" spans="1:17" ht="6.45" customHeight="1">
      <c r="A273" t="s">
        <v>641</v>
      </c>
      <c r="B273">
        <v>25</v>
      </c>
      <c r="C273" t="s">
        <v>19</v>
      </c>
      <c r="D273">
        <v>32</v>
      </c>
      <c r="E273" t="s">
        <v>977</v>
      </c>
      <c r="F273" t="s">
        <v>5322</v>
      </c>
      <c r="G273" t="str">
        <f>B04_Assessment!A32</f>
        <v>5. ELECTRICAL / UPS</v>
      </c>
      <c r="H273">
        <f>B04_Assessment!B32</f>
        <v>0</v>
      </c>
      <c r="I273">
        <f>B04_Assessment!C32</f>
        <v>0</v>
      </c>
      <c r="J273">
        <f>B04_Assessment!D32</f>
        <v>0</v>
      </c>
      <c r="K273">
        <f>B04_Assessment!E32</f>
        <v>0</v>
      </c>
      <c r="L273">
        <f>B04_Assessment!F32</f>
        <v>0</v>
      </c>
      <c r="M273">
        <f>B04_Assessment!G32</f>
        <v>0</v>
      </c>
      <c r="N273">
        <f>B04_Assessment!H32</f>
        <v>0</v>
      </c>
      <c r="O273">
        <f>B04_Assessment!I32</f>
        <v>0</v>
      </c>
      <c r="P273">
        <f>B04_Assessment!J32</f>
        <v>0</v>
      </c>
      <c r="Q273" t="str">
        <f t="shared" si="4"/>
        <v>04|25</v>
      </c>
    </row>
    <row r="274" spans="1:17" ht="6.45" customHeight="1">
      <c r="A274" t="s">
        <v>641</v>
      </c>
      <c r="B274">
        <v>26</v>
      </c>
      <c r="C274" t="s">
        <v>19</v>
      </c>
      <c r="D274">
        <v>33</v>
      </c>
      <c r="E274" t="s">
        <v>977</v>
      </c>
      <c r="F274" t="s">
        <v>5323</v>
      </c>
      <c r="G274" t="str">
        <f>B04_Assessment!A33</f>
        <v>Room</v>
      </c>
      <c r="H274" t="str">
        <f>B04_Assessment!B33</f>
        <v>UPS Installed</v>
      </c>
      <c r="I274" t="str">
        <f>B04_Assessment!C33</f>
        <v>UPS Size</v>
      </c>
      <c r="J274" t="str">
        <f>B04_Assessment!D33</f>
        <v>PDU Installed</v>
      </c>
      <c r="K274" t="str">
        <f>B04_Assessment!E33</f>
        <v>Rack Receptacles</v>
      </c>
      <c r="L274" t="str">
        <f>B04_Assessment!F33</f>
        <v>Panel Assigned</v>
      </c>
      <c r="M274" t="str">
        <f>B04_Assessment!G33</f>
        <v>Emergency Source</v>
      </c>
      <c r="N274" t="str">
        <f>B04_Assessment!H33</f>
        <v>SPD / Labeling</v>
      </c>
      <c r="O274" t="str">
        <f>B04_Assessment!I33</f>
        <v>Overall</v>
      </c>
      <c r="P274" t="str">
        <f>B04_Assessment!J33</f>
        <v>Notes</v>
      </c>
      <c r="Q274" t="str">
        <f t="shared" si="4"/>
        <v>04|26</v>
      </c>
    </row>
    <row r="275" spans="1:17" ht="6.45" customHeight="1">
      <c r="A275" t="s">
        <v>641</v>
      </c>
      <c r="B275">
        <v>27</v>
      </c>
      <c r="C275" t="s">
        <v>19</v>
      </c>
      <c r="D275">
        <v>34</v>
      </c>
      <c r="E275" t="s">
        <v>977</v>
      </c>
      <c r="F275" t="s">
        <v>5324</v>
      </c>
      <c r="G275" t="str">
        <f>B04_Assessment!A34</f>
        <v>B05</v>
      </c>
      <c r="H275" t="str">
        <f>B04_Assessment!B34</f>
        <v>Verify</v>
      </c>
      <c r="I275" t="str">
        <f>B04_Assessment!C34</f>
        <v>5 kW</v>
      </c>
      <c r="J275" t="str">
        <f>B04_Assessment!D34</f>
        <v>Verify</v>
      </c>
      <c r="K275" t="str">
        <f>B04_Assessment!E34</f>
        <v>Verify</v>
      </c>
      <c r="L275" t="str">
        <f>B04_Assessment!F34</f>
        <v>B04-NPA-TR / B04-TRB05A / B04-TRB05B</v>
      </c>
      <c r="M275" t="str">
        <f>B04_Assessment!G34</f>
        <v>Verify</v>
      </c>
      <c r="N275" t="str">
        <f>B04_Assessment!H34</f>
        <v>Verify</v>
      </c>
      <c r="O275" t="str">
        <f>B04_Assessment!I34</f>
        <v>Verify</v>
      </c>
      <c r="P275" t="str">
        <f>B04_Assessment!J34</f>
        <v>Panel schedule shows B04-NPA-TR in Telecom Room B05, feeding B04-TRB05A/B; TRB05A includes rack receptacle and branch circuits.</v>
      </c>
      <c r="Q275" t="str">
        <f t="shared" si="4"/>
        <v>04|27</v>
      </c>
    </row>
    <row r="276" spans="1:17" ht="6.45" customHeight="1">
      <c r="A276" t="s">
        <v>641</v>
      </c>
      <c r="B276">
        <v>28</v>
      </c>
      <c r="C276" t="s">
        <v>19</v>
      </c>
      <c r="D276">
        <v>35</v>
      </c>
      <c r="E276" t="s">
        <v>977</v>
      </c>
      <c r="F276" t="s">
        <v>5324</v>
      </c>
      <c r="G276" t="str">
        <f>B04_Assessment!A35</f>
        <v>141</v>
      </c>
      <c r="H276" t="str">
        <f>B04_Assessment!B35</f>
        <v>Verify</v>
      </c>
      <c r="I276" t="str">
        <f>B04_Assessment!C35</f>
        <v>5 kW</v>
      </c>
      <c r="J276" t="str">
        <f>B04_Assessment!D35</f>
        <v>Verify</v>
      </c>
      <c r="K276" t="str">
        <f>B04_Assessment!E35</f>
        <v>Verify</v>
      </c>
      <c r="L276" t="str">
        <f>B04_Assessment!F35</f>
        <v>B04-TR141A</v>
      </c>
      <c r="M276" t="str">
        <f>B04_Assessment!G35</f>
        <v>Verify</v>
      </c>
      <c r="N276" t="str">
        <f>B04_Assessment!H35</f>
        <v>Verify</v>
      </c>
      <c r="O276" t="str">
        <f>B04_Assessment!I35</f>
        <v>Verify</v>
      </c>
      <c r="P276" t="str">
        <f>B04_Assessment!J35</f>
        <v>Panel schedule identifies B04-TR141A 60A 3-pole load; verify rack/UPS/PDU circuiting.</v>
      </c>
      <c r="Q276" t="str">
        <f t="shared" si="4"/>
        <v>04|28</v>
      </c>
    </row>
    <row r="277" spans="1:17" ht="6.45" customHeight="1">
      <c r="A277" t="s">
        <v>641</v>
      </c>
      <c r="B277">
        <v>29</v>
      </c>
      <c r="C277" t="s">
        <v>19</v>
      </c>
      <c r="D277">
        <v>36</v>
      </c>
      <c r="E277" t="s">
        <v>977</v>
      </c>
      <c r="F277" t="s">
        <v>5324</v>
      </c>
      <c r="G277" t="str">
        <f>B04_Assessment!A36</f>
        <v>244A</v>
      </c>
      <c r="H277" t="str">
        <f>B04_Assessment!B36</f>
        <v>Verify</v>
      </c>
      <c r="I277" t="str">
        <f>B04_Assessment!C36</f>
        <v>5 kW</v>
      </c>
      <c r="J277" t="str">
        <f>B04_Assessment!D36</f>
        <v>Verify</v>
      </c>
      <c r="K277" t="str">
        <f>B04_Assessment!E36</f>
        <v>Verify</v>
      </c>
      <c r="L277" t="str">
        <f>B04_Assessment!F36</f>
        <v>B04-TR244A</v>
      </c>
      <c r="M277" t="str">
        <f>B04_Assessment!G36</f>
        <v>Verify</v>
      </c>
      <c r="N277" t="str">
        <f>B04_Assessment!H36</f>
        <v>Verify</v>
      </c>
      <c r="O277" t="str">
        <f>B04_Assessment!I36</f>
        <v>Verify</v>
      </c>
      <c r="P277" t="str">
        <f>B04_Assessment!J36</f>
        <v>Panel schedule identifies B04-TR244A 60A 3-pole load; confirm panel/circuit locations and source.</v>
      </c>
      <c r="Q277" t="str">
        <f t="shared" si="4"/>
        <v>04|29</v>
      </c>
    </row>
    <row r="278" spans="1:17" ht="6.45" customHeight="1">
      <c r="A278" t="s">
        <v>641</v>
      </c>
      <c r="B278">
        <v>30</v>
      </c>
      <c r="C278" t="s">
        <v>19</v>
      </c>
      <c r="D278">
        <v>37</v>
      </c>
      <c r="E278" t="s">
        <v>977</v>
      </c>
      <c r="F278" t="s">
        <v>5325</v>
      </c>
      <c r="G278">
        <f>B04_Assessment!A37</f>
        <v>0</v>
      </c>
      <c r="H278">
        <f>B04_Assessment!B37</f>
        <v>0</v>
      </c>
      <c r="I278">
        <f>B04_Assessment!C37</f>
        <v>0</v>
      </c>
      <c r="J278">
        <f>B04_Assessment!D37</f>
        <v>0</v>
      </c>
      <c r="K278">
        <f>B04_Assessment!E37</f>
        <v>0</v>
      </c>
      <c r="L278">
        <f>B04_Assessment!F37</f>
        <v>0</v>
      </c>
      <c r="M278">
        <f>B04_Assessment!G37</f>
        <v>0</v>
      </c>
      <c r="N278">
        <f>B04_Assessment!H37</f>
        <v>0</v>
      </c>
      <c r="O278">
        <f>B04_Assessment!I37</f>
        <v>0</v>
      </c>
      <c r="P278">
        <f>B04_Assessment!J37</f>
        <v>0</v>
      </c>
      <c r="Q278" t="str">
        <f t="shared" si="4"/>
        <v>04|30</v>
      </c>
    </row>
    <row r="279" spans="1:17" ht="6.45" customHeight="1">
      <c r="A279" t="s">
        <v>641</v>
      </c>
      <c r="B279">
        <v>31</v>
      </c>
      <c r="C279" t="s">
        <v>19</v>
      </c>
      <c r="D279">
        <v>38</v>
      </c>
      <c r="E279" t="s">
        <v>994</v>
      </c>
      <c r="F279" t="s">
        <v>5322</v>
      </c>
      <c r="G279" t="str">
        <f>B04_Assessment!A38</f>
        <v>6. TELECOMMUNICATIONS</v>
      </c>
      <c r="H279">
        <f>B04_Assessment!B38</f>
        <v>0</v>
      </c>
      <c r="I279">
        <f>B04_Assessment!C38</f>
        <v>0</v>
      </c>
      <c r="J279">
        <f>B04_Assessment!D38</f>
        <v>0</v>
      </c>
      <c r="K279">
        <f>B04_Assessment!E38</f>
        <v>0</v>
      </c>
      <c r="L279">
        <f>B04_Assessment!F38</f>
        <v>0</v>
      </c>
      <c r="M279">
        <f>B04_Assessment!G38</f>
        <v>0</v>
      </c>
      <c r="N279">
        <f>B04_Assessment!H38</f>
        <v>0</v>
      </c>
      <c r="O279">
        <f>B04_Assessment!I38</f>
        <v>0</v>
      </c>
      <c r="P279">
        <f>B04_Assessment!J38</f>
        <v>0</v>
      </c>
      <c r="Q279" t="str">
        <f t="shared" si="4"/>
        <v>04|31</v>
      </c>
    </row>
    <row r="280" spans="1:17" ht="6.45" customHeight="1">
      <c r="A280" t="s">
        <v>641</v>
      </c>
      <c r="B280">
        <v>32</v>
      </c>
      <c r="C280" t="s">
        <v>19</v>
      </c>
      <c r="D280">
        <v>39</v>
      </c>
      <c r="E280" t="s">
        <v>994</v>
      </c>
      <c r="F280" t="s">
        <v>5323</v>
      </c>
      <c r="G280" t="str">
        <f>B04_Assessment!A39</f>
        <v>Room</v>
      </c>
      <c r="H280" t="str">
        <f>B04_Assessment!B39</f>
        <v>Rack Installed</v>
      </c>
      <c r="I280" t="str">
        <f>B04_Assessment!C39</f>
        <v>Ladder Tray</v>
      </c>
      <c r="J280" t="str">
        <f>B04_Assessment!D39</f>
        <v>Fiber Installed</v>
      </c>
      <c r="K280" t="str">
        <f>B04_Assessment!E39</f>
        <v>Grounding</v>
      </c>
      <c r="L280" t="str">
        <f>B04_Assessment!F39</f>
        <v>Labeling</v>
      </c>
      <c r="M280" t="str">
        <f>B04_Assessment!G39</f>
        <v>Testing</v>
      </c>
      <c r="N280" t="str">
        <f>B04_Assessment!H39</f>
        <v>VA Acceptance</v>
      </c>
      <c r="O280" t="str">
        <f>B04_Assessment!I39</f>
        <v>Overall</v>
      </c>
      <c r="P280" t="str">
        <f>B04_Assessment!J39</f>
        <v>Notes</v>
      </c>
      <c r="Q280" t="str">
        <f t="shared" si="4"/>
        <v>04|32</v>
      </c>
    </row>
    <row r="281" spans="1:17" ht="6.45" customHeight="1">
      <c r="A281" t="s">
        <v>641</v>
      </c>
      <c r="B281">
        <v>33</v>
      </c>
      <c r="C281" t="s">
        <v>19</v>
      </c>
      <c r="D281">
        <v>40</v>
      </c>
      <c r="E281" t="s">
        <v>994</v>
      </c>
      <c r="F281" t="s">
        <v>5324</v>
      </c>
      <c r="G281" t="str">
        <f>B04_Assessment!A40</f>
        <v>B05</v>
      </c>
      <c r="H281" t="str">
        <f>B04_Assessment!B40</f>
        <v>Verify</v>
      </c>
      <c r="I281" t="str">
        <f>B04_Assessment!C40</f>
        <v>Verify</v>
      </c>
      <c r="J281" t="str">
        <f>B04_Assessment!D40</f>
        <v>Verify</v>
      </c>
      <c r="K281" t="str">
        <f>B04_Assessment!E40</f>
        <v>Verify</v>
      </c>
      <c r="L281" t="str">
        <f>B04_Assessment!F40</f>
        <v>Verify</v>
      </c>
      <c r="M281" t="str">
        <f>B04_Assessment!G40</f>
        <v>Verify</v>
      </c>
      <c r="N281" t="str">
        <f>B04_Assessment!H40</f>
        <v>Verify</v>
      </c>
      <c r="O281" t="str">
        <f>B04_Assessment!I40</f>
        <v>Verify</v>
      </c>
      <c r="P281" t="str">
        <f>B04_Assessment!J40</f>
        <v>New rack elevations show two 4-post floor racks with UPS, Zone PDU, cable managers, network switches, Cat6A patch panels, Cat5E patch panel, and Fiber LIU.</v>
      </c>
      <c r="Q281" t="str">
        <f t="shared" si="4"/>
        <v>04|33</v>
      </c>
    </row>
    <row r="282" spans="1:17" ht="6.45" customHeight="1">
      <c r="A282" t="s">
        <v>641</v>
      </c>
      <c r="B282">
        <v>34</v>
      </c>
      <c r="C282" t="s">
        <v>19</v>
      </c>
      <c r="D282">
        <v>41</v>
      </c>
      <c r="E282" t="s">
        <v>994</v>
      </c>
      <c r="F282" t="s">
        <v>5324</v>
      </c>
      <c r="G282" t="str">
        <f>B04_Assessment!A41</f>
        <v>141</v>
      </c>
      <c r="H282" t="str">
        <f>B04_Assessment!B41</f>
        <v>Verify</v>
      </c>
      <c r="I282" t="str">
        <f>B04_Assessment!C41</f>
        <v>Verify</v>
      </c>
      <c r="J282" t="str">
        <f>B04_Assessment!D41</f>
        <v>Verify</v>
      </c>
      <c r="K282" t="str">
        <f>B04_Assessment!E41</f>
        <v>Verify</v>
      </c>
      <c r="L282" t="str">
        <f>B04_Assessment!F41</f>
        <v>Verify</v>
      </c>
      <c r="M282" t="str">
        <f>B04_Assessment!G41</f>
        <v>Verify</v>
      </c>
      <c r="N282" t="str">
        <f>B04_Assessment!H41</f>
        <v>Verify</v>
      </c>
      <c r="O282" t="str">
        <f>B04_Assessment!I41</f>
        <v>Verify</v>
      </c>
      <c r="P282" t="str">
        <f>B04_Assessment!J41</f>
        <v>New rack elevation shows one 4-post rack plus future rack; includes UPS, future Zone PDU, switches, cable managers, Cat6A patch panels, Cat5E patch panel, and Fiber LIU.</v>
      </c>
      <c r="Q282" t="str">
        <f t="shared" si="4"/>
        <v>04|34</v>
      </c>
    </row>
    <row r="283" spans="1:17" ht="6.45" customHeight="1">
      <c r="A283" t="s">
        <v>641</v>
      </c>
      <c r="B283">
        <v>35</v>
      </c>
      <c r="C283" t="s">
        <v>19</v>
      </c>
      <c r="D283">
        <v>42</v>
      </c>
      <c r="E283" t="s">
        <v>994</v>
      </c>
      <c r="F283" t="s">
        <v>5324</v>
      </c>
      <c r="G283" t="str">
        <f>B04_Assessment!A42</f>
        <v>244A</v>
      </c>
      <c r="H283" t="str">
        <f>B04_Assessment!B42</f>
        <v>Verify</v>
      </c>
      <c r="I283" t="str">
        <f>B04_Assessment!C42</f>
        <v>Verify</v>
      </c>
      <c r="J283" t="str">
        <f>B04_Assessment!D42</f>
        <v>Verify</v>
      </c>
      <c r="K283" t="str">
        <f>B04_Assessment!E42</f>
        <v>Verify</v>
      </c>
      <c r="L283" t="str">
        <f>B04_Assessment!F42</f>
        <v>Verify</v>
      </c>
      <c r="M283" t="str">
        <f>B04_Assessment!G42</f>
        <v>Verify</v>
      </c>
      <c r="N283" t="str">
        <f>B04_Assessment!H42</f>
        <v>Verify</v>
      </c>
      <c r="O283" t="str">
        <f>B04_Assessment!I42</f>
        <v>Verify</v>
      </c>
      <c r="P283" t="str">
        <f>B04_Assessment!J42</f>
        <v>TR/panel identified; verify rack elevation and pathway details against 04T sheets.</v>
      </c>
      <c r="Q283" t="str">
        <f t="shared" si="4"/>
        <v>04|35</v>
      </c>
    </row>
    <row r="284" spans="1:17" ht="6.45" customHeight="1">
      <c r="A284" t="s">
        <v>641</v>
      </c>
      <c r="B284">
        <v>36</v>
      </c>
      <c r="C284" t="s">
        <v>19</v>
      </c>
      <c r="D284">
        <v>43</v>
      </c>
      <c r="E284" t="s">
        <v>994</v>
      </c>
      <c r="F284" t="s">
        <v>5325</v>
      </c>
      <c r="G284">
        <f>B04_Assessment!A43</f>
        <v>0</v>
      </c>
      <c r="H284">
        <f>B04_Assessment!B43</f>
        <v>0</v>
      </c>
      <c r="I284">
        <f>B04_Assessment!C43</f>
        <v>0</v>
      </c>
      <c r="J284">
        <f>B04_Assessment!D43</f>
        <v>0</v>
      </c>
      <c r="K284">
        <f>B04_Assessment!E43</f>
        <v>0</v>
      </c>
      <c r="L284">
        <f>B04_Assessment!F43</f>
        <v>0</v>
      </c>
      <c r="M284">
        <f>B04_Assessment!G43</f>
        <v>0</v>
      </c>
      <c r="N284">
        <f>B04_Assessment!H43</f>
        <v>0</v>
      </c>
      <c r="O284">
        <f>B04_Assessment!I43</f>
        <v>0</v>
      </c>
      <c r="P284">
        <f>B04_Assessment!J43</f>
        <v>0</v>
      </c>
      <c r="Q284" t="str">
        <f t="shared" si="4"/>
        <v>04|36</v>
      </c>
    </row>
    <row r="285" spans="1:17" ht="6.45" customHeight="1">
      <c r="A285" t="s">
        <v>641</v>
      </c>
      <c r="B285">
        <v>37</v>
      </c>
      <c r="C285" t="s">
        <v>19</v>
      </c>
      <c r="D285">
        <v>44</v>
      </c>
      <c r="E285" t="s">
        <v>1007</v>
      </c>
      <c r="F285" t="s">
        <v>5322</v>
      </c>
      <c r="G285" t="str">
        <f>B04_Assessment!A44</f>
        <v>7. SECURITY / PACS / CCTV</v>
      </c>
      <c r="H285">
        <f>B04_Assessment!B44</f>
        <v>0</v>
      </c>
      <c r="I285">
        <f>B04_Assessment!C44</f>
        <v>0</v>
      </c>
      <c r="J285">
        <f>B04_Assessment!D44</f>
        <v>0</v>
      </c>
      <c r="K285">
        <f>B04_Assessment!E44</f>
        <v>0</v>
      </c>
      <c r="L285">
        <f>B04_Assessment!F44</f>
        <v>0</v>
      </c>
      <c r="M285">
        <f>B04_Assessment!G44</f>
        <v>0</v>
      </c>
      <c r="N285">
        <f>B04_Assessment!H44</f>
        <v>0</v>
      </c>
      <c r="O285">
        <f>B04_Assessment!I44</f>
        <v>0</v>
      </c>
      <c r="P285">
        <f>B04_Assessment!J44</f>
        <v>0</v>
      </c>
      <c r="Q285" t="str">
        <f t="shared" si="4"/>
        <v>04|37</v>
      </c>
    </row>
    <row r="286" spans="1:17" ht="6.45" customHeight="1">
      <c r="A286" t="s">
        <v>641</v>
      </c>
      <c r="B286">
        <v>38</v>
      </c>
      <c r="C286" t="s">
        <v>19</v>
      </c>
      <c r="D286">
        <v>45</v>
      </c>
      <c r="E286" t="s">
        <v>1007</v>
      </c>
      <c r="F286" t="s">
        <v>5323</v>
      </c>
      <c r="G286" t="str">
        <f>B04_Assessment!A45</f>
        <v>Room</v>
      </c>
      <c r="H286" t="str">
        <f>B04_Assessment!B45</f>
        <v>PACS</v>
      </c>
      <c r="I286" t="str">
        <f>B04_Assessment!C45</f>
        <v>Card Reader</v>
      </c>
      <c r="J286" t="str">
        <f>B04_Assessment!D45</f>
        <v>Door Position</v>
      </c>
      <c r="K286" t="str">
        <f>B04_Assessment!E45</f>
        <v>Electric Strike</v>
      </c>
      <c r="L286" t="str">
        <f>B04_Assessment!F45</f>
        <v>CCTV</v>
      </c>
      <c r="M286" t="str">
        <f>B04_Assessment!G45</f>
        <v>Motion Sensor</v>
      </c>
      <c r="N286" t="str">
        <f>B04_Assessment!H45</f>
        <v>Integration</v>
      </c>
      <c r="O286" t="str">
        <f>B04_Assessment!I45</f>
        <v>Overall</v>
      </c>
      <c r="P286" t="str">
        <f>B04_Assessment!J45</f>
        <v>Notes</v>
      </c>
      <c r="Q286" t="str">
        <f t="shared" si="4"/>
        <v>04|38</v>
      </c>
    </row>
    <row r="287" spans="1:17" ht="6.45" customHeight="1">
      <c r="A287" t="s">
        <v>641</v>
      </c>
      <c r="B287">
        <v>39</v>
      </c>
      <c r="C287" t="s">
        <v>19</v>
      </c>
      <c r="D287">
        <v>46</v>
      </c>
      <c r="E287" t="s">
        <v>1007</v>
      </c>
      <c r="F287" t="s">
        <v>5324</v>
      </c>
      <c r="G287" t="str">
        <f>B04_Assessment!A46</f>
        <v>B05</v>
      </c>
      <c r="H287" t="str">
        <f>B04_Assessment!B46</f>
        <v>Verify</v>
      </c>
      <c r="I287" t="str">
        <f>B04_Assessment!C46</f>
        <v>Verify</v>
      </c>
      <c r="J287" t="str">
        <f>B04_Assessment!D46</f>
        <v>Verify</v>
      </c>
      <c r="K287" t="str">
        <f>B04_Assessment!E46</f>
        <v>Verify</v>
      </c>
      <c r="L287" t="str">
        <f>B04_Assessment!F46</f>
        <v>Verify</v>
      </c>
      <c r="M287" t="str">
        <f>B04_Assessment!G46</f>
        <v>Verify</v>
      </c>
      <c r="N287" t="str">
        <f>B04_Assessment!H46</f>
        <v>Verify</v>
      </c>
      <c r="O287" t="str">
        <f>B04_Assessment!I46</f>
        <v>Verify</v>
      </c>
      <c r="P287" t="str">
        <f>B04_Assessment!J46</f>
        <v>Verify access-controlled TR door, camera, and VMS/PACS integration.</v>
      </c>
      <c r="Q287" t="str">
        <f t="shared" si="4"/>
        <v>04|39</v>
      </c>
    </row>
    <row r="288" spans="1:17" ht="6.45" customHeight="1">
      <c r="A288" t="s">
        <v>641</v>
      </c>
      <c r="B288">
        <v>40</v>
      </c>
      <c r="C288" t="s">
        <v>19</v>
      </c>
      <c r="D288">
        <v>47</v>
      </c>
      <c r="E288" t="s">
        <v>1007</v>
      </c>
      <c r="F288" t="s">
        <v>5324</v>
      </c>
      <c r="G288" t="str">
        <f>B04_Assessment!A47</f>
        <v>141</v>
      </c>
      <c r="H288" t="str">
        <f>B04_Assessment!B47</f>
        <v>Verify</v>
      </c>
      <c r="I288" t="str">
        <f>B04_Assessment!C47</f>
        <v>Verify</v>
      </c>
      <c r="J288" t="str">
        <f>B04_Assessment!D47</f>
        <v>Verify</v>
      </c>
      <c r="K288" t="str">
        <f>B04_Assessment!E47</f>
        <v>Verify</v>
      </c>
      <c r="L288" t="str">
        <f>B04_Assessment!F47</f>
        <v>Verify</v>
      </c>
      <c r="M288" t="str">
        <f>B04_Assessment!G47</f>
        <v>Verify</v>
      </c>
      <c r="N288" t="str">
        <f>B04_Assessment!H47</f>
        <v>Verify</v>
      </c>
      <c r="O288" t="str">
        <f>B04_Assessment!I47</f>
        <v>Verify</v>
      </c>
      <c r="P288" t="str">
        <f>B04_Assessment!J47</f>
        <v>Architectural notes require door/access control coordination; verify card reader/electric strike rough-in.</v>
      </c>
      <c r="Q288" t="str">
        <f t="shared" si="4"/>
        <v>04|40</v>
      </c>
    </row>
    <row r="289" spans="1:17" ht="6.45" customHeight="1">
      <c r="A289" t="s">
        <v>641</v>
      </c>
      <c r="B289">
        <v>41</v>
      </c>
      <c r="C289" t="s">
        <v>19</v>
      </c>
      <c r="D289">
        <v>48</v>
      </c>
      <c r="E289" t="s">
        <v>1007</v>
      </c>
      <c r="F289" t="s">
        <v>5324</v>
      </c>
      <c r="G289" t="str">
        <f>B04_Assessment!A48</f>
        <v>244A</v>
      </c>
      <c r="H289" t="str">
        <f>B04_Assessment!B48</f>
        <v>Verify</v>
      </c>
      <c r="I289" t="str">
        <f>B04_Assessment!C48</f>
        <v>Verify</v>
      </c>
      <c r="J289" t="str">
        <f>B04_Assessment!D48</f>
        <v>Verify</v>
      </c>
      <c r="K289" t="str">
        <f>B04_Assessment!E48</f>
        <v>Verify</v>
      </c>
      <c r="L289" t="str">
        <f>B04_Assessment!F48</f>
        <v>Verify</v>
      </c>
      <c r="M289" t="str">
        <f>B04_Assessment!G48</f>
        <v>Verify</v>
      </c>
      <c r="N289" t="str">
        <f>B04_Assessment!H48</f>
        <v>Verify</v>
      </c>
      <c r="O289" t="str">
        <f>B04_Assessment!I48</f>
        <v>Verify</v>
      </c>
      <c r="P289" t="str">
        <f>B04_Assessment!J48</f>
        <v>Verify room security details and device integration with VA systems.</v>
      </c>
      <c r="Q289" t="str">
        <f t="shared" si="4"/>
        <v>04|41</v>
      </c>
    </row>
    <row r="290" spans="1:17" ht="6.45" customHeight="1">
      <c r="A290" t="s">
        <v>641</v>
      </c>
      <c r="B290">
        <v>42</v>
      </c>
      <c r="C290" t="s">
        <v>19</v>
      </c>
      <c r="D290">
        <v>49</v>
      </c>
      <c r="E290" t="s">
        <v>1007</v>
      </c>
      <c r="F290" t="s">
        <v>5325</v>
      </c>
      <c r="G290">
        <f>B04_Assessment!A49</f>
        <v>0</v>
      </c>
      <c r="H290">
        <f>B04_Assessment!B49</f>
        <v>0</v>
      </c>
      <c r="I290">
        <f>B04_Assessment!C49</f>
        <v>0</v>
      </c>
      <c r="J290">
        <f>B04_Assessment!D49</f>
        <v>0</v>
      </c>
      <c r="K290">
        <f>B04_Assessment!E49</f>
        <v>0</v>
      </c>
      <c r="L290">
        <f>B04_Assessment!F49</f>
        <v>0</v>
      </c>
      <c r="M290">
        <f>B04_Assessment!G49</f>
        <v>0</v>
      </c>
      <c r="N290">
        <f>B04_Assessment!H49</f>
        <v>0</v>
      </c>
      <c r="O290">
        <f>B04_Assessment!I49</f>
        <v>0</v>
      </c>
      <c r="P290">
        <f>B04_Assessment!J49</f>
        <v>0</v>
      </c>
      <c r="Q290" t="str">
        <f t="shared" si="4"/>
        <v>04|42</v>
      </c>
    </row>
    <row r="291" spans="1:17" ht="6.45" customHeight="1">
      <c r="A291" t="s">
        <v>641</v>
      </c>
      <c r="B291">
        <v>43</v>
      </c>
      <c r="C291" t="s">
        <v>19</v>
      </c>
      <c r="D291">
        <v>50</v>
      </c>
      <c r="E291" t="s">
        <v>1019</v>
      </c>
      <c r="F291" t="s">
        <v>5322</v>
      </c>
      <c r="G291" t="str">
        <f>B04_Assessment!A50</f>
        <v>8. OWNER RISKS</v>
      </c>
      <c r="H291">
        <f>B04_Assessment!B50</f>
        <v>0</v>
      </c>
      <c r="I291">
        <f>B04_Assessment!C50</f>
        <v>0</v>
      </c>
      <c r="J291">
        <f>B04_Assessment!D50</f>
        <v>0</v>
      </c>
      <c r="K291">
        <f>B04_Assessment!E50</f>
        <v>0</v>
      </c>
      <c r="L291">
        <f>B04_Assessment!F50</f>
        <v>0</v>
      </c>
      <c r="M291">
        <f>B04_Assessment!G50</f>
        <v>0</v>
      </c>
      <c r="N291">
        <f>B04_Assessment!H50</f>
        <v>0</v>
      </c>
      <c r="O291">
        <f>B04_Assessment!I50</f>
        <v>0</v>
      </c>
      <c r="P291">
        <f>B04_Assessment!J50</f>
        <v>0</v>
      </c>
      <c r="Q291" t="str">
        <f t="shared" si="4"/>
        <v>04|43</v>
      </c>
    </row>
    <row r="292" spans="1:17" ht="6.45" customHeight="1">
      <c r="A292" t="s">
        <v>641</v>
      </c>
      <c r="B292">
        <v>44</v>
      </c>
      <c r="C292" t="s">
        <v>19</v>
      </c>
      <c r="D292">
        <v>51</v>
      </c>
      <c r="E292" t="s">
        <v>1019</v>
      </c>
      <c r="F292" t="s">
        <v>5323</v>
      </c>
      <c r="G292" t="str">
        <f>B04_Assessment!A51</f>
        <v>Risk ID</v>
      </c>
      <c r="H292" t="str">
        <f>B04_Assessment!B51</f>
        <v>Room</v>
      </c>
      <c r="I292" t="str">
        <f>B04_Assessment!C51</f>
        <v>Risk</v>
      </c>
      <c r="J292" t="str">
        <f>B04_Assessment!D51</f>
        <v>Impact</v>
      </c>
      <c r="K292" t="str">
        <f>B04_Assessment!E51</f>
        <v>Probability</v>
      </c>
      <c r="L292" t="str">
        <f>B04_Assessment!F51</f>
        <v>Score</v>
      </c>
      <c r="M292" t="str">
        <f>B04_Assessment!G51</f>
        <v>Mitigation</v>
      </c>
      <c r="N292" t="str">
        <f>B04_Assessment!H51</f>
        <v>Owner</v>
      </c>
      <c r="O292" t="str">
        <f>B04_Assessment!I51</f>
        <v>Status</v>
      </c>
      <c r="P292" t="str">
        <f>B04_Assessment!J51</f>
        <v>Notes</v>
      </c>
      <c r="Q292" t="str">
        <f t="shared" si="4"/>
        <v>04|44</v>
      </c>
    </row>
    <row r="293" spans="1:17" ht="6.45" customHeight="1">
      <c r="A293" t="s">
        <v>641</v>
      </c>
      <c r="B293">
        <v>45</v>
      </c>
      <c r="C293" t="s">
        <v>19</v>
      </c>
      <c r="D293">
        <v>52</v>
      </c>
      <c r="E293" t="s">
        <v>1019</v>
      </c>
      <c r="F293" t="s">
        <v>5324</v>
      </c>
      <c r="G293" t="str">
        <f>B04_Assessment!A52</f>
        <v>B04-R1</v>
      </c>
      <c r="H293" t="str">
        <f>B04_Assessment!B52</f>
        <v>All</v>
      </c>
      <c r="I293" t="str">
        <f>B04_Assessment!C52</f>
        <v>Existing conditions across basement/first/second TR areas not verified</v>
      </c>
      <c r="J293" t="str">
        <f>B04_Assessment!D52</f>
        <v>High</v>
      </c>
      <c r="K293" t="str">
        <f>B04_Assessment!E52</f>
        <v>Medium</v>
      </c>
      <c r="L293">
        <f>B04_Assessment!F52</f>
        <v>6</v>
      </c>
      <c r="M293" t="str">
        <f>B04_Assessment!G52</f>
        <v>Perform existing conditions survey with photos before mobilization</v>
      </c>
      <c r="N293" t="str">
        <f>B04_Assessment!H52</f>
        <v>GCC / GC</v>
      </c>
      <c r="O293" t="str">
        <f>B04_Assessment!I52</f>
        <v>Closed</v>
      </c>
      <c r="P293" t="str">
        <f>B04_Assessment!J52</f>
        <v>B04 has multiple TR work areas.</v>
      </c>
      <c r="Q293" t="str">
        <f t="shared" si="4"/>
        <v>04|45</v>
      </c>
    </row>
    <row r="294" spans="1:17" ht="6.45" customHeight="1">
      <c r="A294" t="s">
        <v>641</v>
      </c>
      <c r="B294">
        <v>46</v>
      </c>
      <c r="C294" t="s">
        <v>19</v>
      </c>
      <c r="D294">
        <v>53</v>
      </c>
      <c r="E294" t="s">
        <v>1019</v>
      </c>
      <c r="F294" t="s">
        <v>5324</v>
      </c>
      <c r="G294" t="str">
        <f>B04_Assessment!A53</f>
        <v>B04-R2</v>
      </c>
      <c r="H294" t="str">
        <f>B04_Assessment!B53</f>
        <v>B05</v>
      </c>
      <c r="I294" t="str">
        <f>B04_Assessment!C53</f>
        <v>Basement TR routing may conflict with existing utilities / abatement areas</v>
      </c>
      <c r="J294" t="str">
        <f>B04_Assessment!D53</f>
        <v>High</v>
      </c>
      <c r="K294" t="str">
        <f>B04_Assessment!E53</f>
        <v>Medium</v>
      </c>
      <c r="L294">
        <f>B04_Assessment!F53</f>
        <v>6</v>
      </c>
      <c r="M294" t="str">
        <f>B04_Assessment!G53</f>
        <v>Coordinate hazardous material survey, utility locations, penetrations, and pathway routing</v>
      </c>
      <c r="N294" t="str">
        <f>B04_Assessment!H53</f>
        <v>GCC / Contractor</v>
      </c>
      <c r="O294" t="str">
        <f>B04_Assessment!I53</f>
        <v>Closed</v>
      </c>
      <c r="P294" t="str">
        <f>B04_Assessment!J53</f>
        <v>Hazardous drawings included for basement and first levels.</v>
      </c>
      <c r="Q294" t="str">
        <f t="shared" si="4"/>
        <v>04|46</v>
      </c>
    </row>
    <row r="295" spans="1:17" ht="6.45" customHeight="1">
      <c r="A295" t="s">
        <v>641</v>
      </c>
      <c r="B295">
        <v>47</v>
      </c>
      <c r="C295" t="s">
        <v>19</v>
      </c>
      <c r="D295">
        <v>54</v>
      </c>
      <c r="E295" t="s">
        <v>1019</v>
      </c>
      <c r="F295" t="s">
        <v>5324</v>
      </c>
      <c r="G295" t="str">
        <f>B04_Assessment!A54</f>
        <v>B04-R3</v>
      </c>
      <c r="H295" t="str">
        <f>B04_Assessment!B54</f>
        <v>141</v>
      </c>
      <c r="I295" t="str">
        <f>B04_Assessment!C54</f>
        <v>1-hour fire/smoke-rated envelope and 45-minute door not field verified</v>
      </c>
      <c r="J295" t="str">
        <f>B04_Assessment!D54</f>
        <v>High</v>
      </c>
      <c r="K295" t="str">
        <f>B04_Assessment!E54</f>
        <v>Medium</v>
      </c>
      <c r="L295">
        <f>B04_Assessment!F54</f>
        <v>6</v>
      </c>
      <c r="M295" t="str">
        <f>B04_Assessment!G54</f>
        <v>Inspect rated walls, door/frame, ceiling/open-to-deck conditions, and penetrations</v>
      </c>
      <c r="N295" t="str">
        <f>B04_Assessment!H54</f>
        <v>GCC / GC</v>
      </c>
      <c r="O295" t="str">
        <f>B04_Assessment!I54</f>
        <v>Closed</v>
      </c>
      <c r="P295" t="str">
        <f>B04_Assessment!J54</f>
        <v>Architectural notes identify new 45-minute door/frame and rated wall work.</v>
      </c>
      <c r="Q295" t="str">
        <f t="shared" si="4"/>
        <v>04|47</v>
      </c>
    </row>
    <row r="296" spans="1:17" ht="6.45" customHeight="1">
      <c r="A296" t="s">
        <v>641</v>
      </c>
      <c r="B296">
        <v>48</v>
      </c>
      <c r="C296" t="s">
        <v>19</v>
      </c>
      <c r="D296">
        <v>55</v>
      </c>
      <c r="E296" t="s">
        <v>1019</v>
      </c>
      <c r="F296" t="s">
        <v>5324</v>
      </c>
      <c r="G296" t="str">
        <f>B04_Assessment!A55</f>
        <v>B04-R4</v>
      </c>
      <c r="H296" t="str">
        <f>B04_Assessment!B55</f>
        <v>All</v>
      </c>
      <c r="I296" t="str">
        <f>B04_Assessment!C55</f>
        <v>Cooling emergency power / 24/7 continuity not verified</v>
      </c>
      <c r="J296" t="str">
        <f>B04_Assessment!D55</f>
        <v>Critical</v>
      </c>
      <c r="K296" t="str">
        <f>B04_Assessment!E55</f>
        <v>Medium</v>
      </c>
      <c r="L296">
        <f>B04_Assessment!F55</f>
        <v>8</v>
      </c>
      <c r="M296" t="str">
        <f>B04_Assessment!G55</f>
        <v>Confirm source power for indoor/outdoor units, controls, condensate pumps, and alarms</v>
      </c>
      <c r="N296" t="str">
        <f>B04_Assessment!H55</f>
        <v>GCC / VA / Electrical</v>
      </c>
      <c r="O296" t="str">
        <f>B04_Assessment!I55</f>
        <v>Closed</v>
      </c>
      <c r="P296" t="str">
        <f>B04_Assessment!J55</f>
        <v>Owner continuity item.</v>
      </c>
      <c r="Q296" t="str">
        <f t="shared" si="4"/>
        <v>04|48</v>
      </c>
    </row>
    <row r="297" spans="1:17" ht="6.45" customHeight="1">
      <c r="A297" t="s">
        <v>641</v>
      </c>
      <c r="B297">
        <v>49</v>
      </c>
      <c r="C297" t="s">
        <v>19</v>
      </c>
      <c r="D297">
        <v>56</v>
      </c>
      <c r="E297" t="s">
        <v>1019</v>
      </c>
      <c r="F297" t="s">
        <v>5324</v>
      </c>
      <c r="G297" t="str">
        <f>B04_Assessment!A56</f>
        <v>B04-R5</v>
      </c>
      <c r="H297" t="str">
        <f>B04_Assessment!B56</f>
        <v>All</v>
      </c>
      <c r="I297" t="str">
        <f>B04_Assessment!C56</f>
        <v>UPS/PDU/rack electrical source and load coordination unresolved</v>
      </c>
      <c r="J297" t="str">
        <f>B04_Assessment!D56</f>
        <v>High</v>
      </c>
      <c r="K297" t="str">
        <f>B04_Assessment!E56</f>
        <v>Medium</v>
      </c>
      <c r="L297">
        <f>B04_Assessment!F56</f>
        <v>6</v>
      </c>
      <c r="M297" t="str">
        <f>B04_Assessment!G56</f>
        <v>Verify panel schedules, source, SPD, breaker sizes, labeling, and load measurements</v>
      </c>
      <c r="N297" t="str">
        <f>B04_Assessment!H56</f>
        <v>Electrical / GCC</v>
      </c>
      <c r="O297" t="str">
        <f>B04_Assessment!I56</f>
        <v>Closed</v>
      </c>
      <c r="P297" t="str">
        <f>B04_Assessment!J56</f>
        <v>Panel schedule shows B04-NPA-TR, TRB05A/B, TR141A, TR244A.</v>
      </c>
      <c r="Q297" t="str">
        <f t="shared" si="4"/>
        <v>04|49</v>
      </c>
    </row>
    <row r="298" spans="1:17" ht="6.45" customHeight="1">
      <c r="A298" t="s">
        <v>641</v>
      </c>
      <c r="B298">
        <v>50</v>
      </c>
      <c r="C298" t="s">
        <v>19</v>
      </c>
      <c r="D298">
        <v>57</v>
      </c>
      <c r="E298" t="s">
        <v>1019</v>
      </c>
      <c r="F298" t="s">
        <v>5324</v>
      </c>
      <c r="G298" t="str">
        <f>B04_Assessment!A57</f>
        <v>B04-R6</v>
      </c>
      <c r="H298" t="str">
        <f>B04_Assessment!B57</f>
        <v>All</v>
      </c>
      <c r="I298" t="str">
        <f>B04_Assessment!C57</f>
        <v>Telecom/fiber cutover could affect active hospital communications</v>
      </c>
      <c r="J298" t="str">
        <f>B04_Assessment!D57</f>
        <v>Critical</v>
      </c>
      <c r="K298" t="str">
        <f>B04_Assessment!E57</f>
        <v>Medium</v>
      </c>
      <c r="L298">
        <f>B04_Assessment!F57</f>
        <v>8</v>
      </c>
      <c r="M298" t="str">
        <f>B04_Assessment!G57</f>
        <v>Require phasing plan, test results, and VA/OIT acceptance before cutover</v>
      </c>
      <c r="N298" t="str">
        <f>B04_Assessment!H57</f>
        <v>Telecom / OIT / GC</v>
      </c>
      <c r="O298" t="str">
        <f>B04_Assessment!I57</f>
        <v>Closed</v>
      </c>
      <c r="P298" t="str">
        <f>B04_Assessment!J57</f>
        <v>All telecom equipment/cabling must be tested and accepted before connecting active operations.</v>
      </c>
      <c r="Q298" t="str">
        <f t="shared" si="4"/>
        <v>04|50</v>
      </c>
    </row>
    <row r="299" spans="1:17" ht="6.45" customHeight="1">
      <c r="A299" t="s">
        <v>641</v>
      </c>
      <c r="B299">
        <v>51</v>
      </c>
      <c r="C299" t="s">
        <v>19</v>
      </c>
      <c r="D299">
        <v>58</v>
      </c>
      <c r="E299" t="s">
        <v>1019</v>
      </c>
      <c r="F299" t="s">
        <v>5324</v>
      </c>
      <c r="G299" t="str">
        <f>B04_Assessment!A58</f>
        <v>B04-R7</v>
      </c>
      <c r="H299" t="str">
        <f>B04_Assessment!B58</f>
        <v>All</v>
      </c>
      <c r="I299" t="str">
        <f>B04_Assessment!C58</f>
        <v>Fire alarm/sprinkler impairments during construction could affect occupied operations</v>
      </c>
      <c r="J299" t="str">
        <f>B04_Assessment!D58</f>
        <v>Critical</v>
      </c>
      <c r="K299" t="str">
        <f>B04_Assessment!E58</f>
        <v>Medium</v>
      </c>
      <c r="L299">
        <f>B04_Assessment!F58</f>
        <v>8</v>
      </c>
      <c r="M299" t="str">
        <f>B04_Assessment!G58</f>
        <v>Track impairments, fire watch, temporary firestopping, and third-party reports</v>
      </c>
      <c r="N299" t="str">
        <f>B04_Assessment!H58</f>
        <v>GC / FP / FA</v>
      </c>
      <c r="O299" t="str">
        <f>B04_Assessment!I58</f>
        <v>Closed</v>
      </c>
      <c r="P299" t="str">
        <f>B04_Assessment!J58</f>
        <v>Shutdowns limited to one at a time campus-wide.</v>
      </c>
      <c r="Q299" t="str">
        <f t="shared" si="4"/>
        <v>04|51</v>
      </c>
    </row>
    <row r="300" spans="1:17" ht="6.45" customHeight="1">
      <c r="A300" t="s">
        <v>641</v>
      </c>
      <c r="B300">
        <v>52</v>
      </c>
      <c r="C300" t="s">
        <v>19</v>
      </c>
      <c r="D300">
        <v>59</v>
      </c>
      <c r="E300" t="s">
        <v>1019</v>
      </c>
      <c r="F300" t="s">
        <v>5324</v>
      </c>
      <c r="G300" t="str">
        <f>B04_Assessment!A59</f>
        <v>B04-R8</v>
      </c>
      <c r="H300" t="str">
        <f>B04_Assessment!B59</f>
        <v>All</v>
      </c>
      <c r="I300" t="str">
        <f>B04_Assessment!C59</f>
        <v>Commissioning and third-party inspection reports incomplete before turnover</v>
      </c>
      <c r="J300" t="str">
        <f>B04_Assessment!D59</f>
        <v>High</v>
      </c>
      <c r="K300" t="str">
        <f>B04_Assessment!E59</f>
        <v>Medium</v>
      </c>
      <c r="L300">
        <f>B04_Assessment!F59</f>
        <v>6</v>
      </c>
      <c r="M300" t="str">
        <f>B04_Assessment!G59</f>
        <v>Track Cx and 3rd-party inspection deliverables by trade</v>
      </c>
      <c r="N300" t="str">
        <f>B04_Assessment!H59</f>
        <v>GC / Cx Manager</v>
      </c>
      <c r="O300" t="str">
        <f>B04_Assessment!I59</f>
        <v>Closed</v>
      </c>
      <c r="P300" t="str">
        <f>B04_Assessment!J59</f>
        <v>Required by cover sheet and commissioning scope.</v>
      </c>
      <c r="Q300" t="str">
        <f t="shared" si="4"/>
        <v>04|52</v>
      </c>
    </row>
    <row r="301" spans="1:17" ht="6.45" customHeight="1">
      <c r="A301" t="s">
        <v>641</v>
      </c>
      <c r="B301">
        <v>53</v>
      </c>
      <c r="C301" t="s">
        <v>19</v>
      </c>
      <c r="D301">
        <v>60</v>
      </c>
      <c r="E301" t="s">
        <v>1019</v>
      </c>
      <c r="F301" t="s">
        <v>5325</v>
      </c>
      <c r="G301">
        <f>B04_Assessment!A60</f>
        <v>0</v>
      </c>
      <c r="H301">
        <f>B04_Assessment!B60</f>
        <v>0</v>
      </c>
      <c r="I301">
        <f>B04_Assessment!C60</f>
        <v>0</v>
      </c>
      <c r="J301">
        <f>B04_Assessment!D60</f>
        <v>0</v>
      </c>
      <c r="K301">
        <f>B04_Assessment!E60</f>
        <v>0</v>
      </c>
      <c r="L301">
        <f>B04_Assessment!F60</f>
        <v>0</v>
      </c>
      <c r="M301">
        <f>B04_Assessment!G60</f>
        <v>0</v>
      </c>
      <c r="N301">
        <f>B04_Assessment!H60</f>
        <v>0</v>
      </c>
      <c r="O301">
        <f>B04_Assessment!I60</f>
        <v>0</v>
      </c>
      <c r="P301">
        <f>B04_Assessment!J60</f>
        <v>0</v>
      </c>
      <c r="Q301" t="str">
        <f t="shared" si="4"/>
        <v>04|53</v>
      </c>
    </row>
    <row r="302" spans="1:17" ht="6.45" customHeight="1">
      <c r="A302" t="s">
        <v>641</v>
      </c>
      <c r="B302">
        <v>54</v>
      </c>
      <c r="C302" t="s">
        <v>19</v>
      </c>
      <c r="D302">
        <v>61</v>
      </c>
      <c r="E302" t="s">
        <v>1051</v>
      </c>
      <c r="F302" t="s">
        <v>5322</v>
      </c>
      <c r="G302" t="str">
        <f>B04_Assessment!A61</f>
        <v>9. OPEN QUESTIONS</v>
      </c>
      <c r="H302">
        <f>B04_Assessment!B61</f>
        <v>0</v>
      </c>
      <c r="I302">
        <f>B04_Assessment!C61</f>
        <v>0</v>
      </c>
      <c r="J302">
        <f>B04_Assessment!D61</f>
        <v>0</v>
      </c>
      <c r="K302">
        <f>B04_Assessment!E61</f>
        <v>0</v>
      </c>
      <c r="L302">
        <f>B04_Assessment!F61</f>
        <v>0</v>
      </c>
      <c r="M302">
        <f>B04_Assessment!G61</f>
        <v>0</v>
      </c>
      <c r="N302">
        <f>B04_Assessment!H61</f>
        <v>0</v>
      </c>
      <c r="O302">
        <f>B04_Assessment!I61</f>
        <v>0</v>
      </c>
      <c r="P302">
        <f>B04_Assessment!J61</f>
        <v>0</v>
      </c>
      <c r="Q302" t="str">
        <f t="shared" si="4"/>
        <v>04|54</v>
      </c>
    </row>
    <row r="303" spans="1:17" ht="6.45" customHeight="1">
      <c r="A303" t="s">
        <v>641</v>
      </c>
      <c r="B303">
        <v>55</v>
      </c>
      <c r="C303" t="s">
        <v>19</v>
      </c>
      <c r="D303">
        <v>62</v>
      </c>
      <c r="E303" t="s">
        <v>1051</v>
      </c>
      <c r="F303" t="s">
        <v>5323</v>
      </c>
      <c r="G303" t="str">
        <f>B04_Assessment!A62</f>
        <v>Question ID</v>
      </c>
      <c r="H303" t="str">
        <f>B04_Assessment!B62</f>
        <v>Question</v>
      </c>
      <c r="I303" t="str">
        <f>B04_Assessment!C62</f>
        <v>Assigned To</v>
      </c>
      <c r="J303" t="str">
        <f>B04_Assessment!D62</f>
        <v>Status</v>
      </c>
      <c r="K303" t="str">
        <f>B04_Assessment!E62</f>
        <v>Needed By</v>
      </c>
      <c r="L303" t="str">
        <f>B04_Assessment!F62</f>
        <v>Answer / Resolution</v>
      </c>
      <c r="M303" t="str">
        <f>B04_Assessment!G62</f>
        <v>Impact if Unanswered</v>
      </c>
      <c r="N303" t="str">
        <f>B04_Assessment!H62</f>
        <v>Follow-up</v>
      </c>
      <c r="O303" t="str">
        <f>B04_Assessment!I62</f>
        <v>Date Closed</v>
      </c>
      <c r="P303" t="str">
        <f>B04_Assessment!J62</f>
        <v>Notes</v>
      </c>
      <c r="Q303" t="str">
        <f t="shared" si="4"/>
        <v>04|55</v>
      </c>
    </row>
    <row r="304" spans="1:17" ht="6.45" customHeight="1">
      <c r="A304" t="s">
        <v>641</v>
      </c>
      <c r="B304">
        <v>56</v>
      </c>
      <c r="C304" t="s">
        <v>19</v>
      </c>
      <c r="D304">
        <v>63</v>
      </c>
      <c r="E304" t="s">
        <v>1051</v>
      </c>
      <c r="F304" t="s">
        <v>5324</v>
      </c>
      <c r="G304" t="str">
        <f>B04_Assessment!A63</f>
        <v>B04-Q1</v>
      </c>
      <c r="H304" t="str">
        <f>B04_Assessment!B63</f>
        <v>Confirm final TR room list: B05, 141, and 244A; are there additional served-from rooms?</v>
      </c>
      <c r="I304" t="str">
        <f>B04_Assessment!C63</f>
        <v>VA / OIT / Designer</v>
      </c>
      <c r="J304" t="str">
        <f>B04_Assessment!D63</f>
        <v>Closed</v>
      </c>
      <c r="K304">
        <f>B04_Assessment!E63</f>
        <v>0</v>
      </c>
      <c r="L304">
        <f>B04_Assessment!F63</f>
        <v>0</v>
      </c>
      <c r="M304" t="str">
        <f>B04_Assessment!G63</f>
        <v>Incomplete room inventory / missed scope</v>
      </c>
      <c r="N304">
        <f>B04_Assessment!H63</f>
        <v>0</v>
      </c>
      <c r="O304">
        <f>B04_Assessment!I63</f>
        <v>0</v>
      </c>
      <c r="P304">
        <f>B04_Assessment!J63</f>
        <v>0</v>
      </c>
      <c r="Q304" t="str">
        <f t="shared" si="4"/>
        <v>04|56</v>
      </c>
    </row>
    <row r="305" spans="1:17" ht="6.45" customHeight="1">
      <c r="A305" t="s">
        <v>641</v>
      </c>
      <c r="B305">
        <v>57</v>
      </c>
      <c r="C305" t="s">
        <v>19</v>
      </c>
      <c r="D305">
        <v>64</v>
      </c>
      <c r="E305" t="s">
        <v>1051</v>
      </c>
      <c r="F305" t="s">
        <v>5324</v>
      </c>
      <c r="G305" t="str">
        <f>B04_Assessment!A64</f>
        <v>B04-Q2</v>
      </c>
      <c r="H305" t="str">
        <f>B04_Assessment!B64</f>
        <v>Are B05, 141, and 244A cooling systems on emergency/backup power?</v>
      </c>
      <c r="I305" t="str">
        <f>B04_Assessment!C64</f>
        <v>VA / Electrical / Mechanical</v>
      </c>
      <c r="J305" t="str">
        <f>B04_Assessment!D64</f>
        <v>Closed</v>
      </c>
      <c r="K305">
        <f>B04_Assessment!E64</f>
        <v>0</v>
      </c>
      <c r="L305">
        <f>B04_Assessment!F64</f>
        <v>0</v>
      </c>
      <c r="M305" t="str">
        <f>B04_Assessment!G64</f>
        <v>Cooling continuity not confirmed</v>
      </c>
      <c r="N305">
        <f>B04_Assessment!H64</f>
        <v>0</v>
      </c>
      <c r="O305">
        <f>B04_Assessment!I64</f>
        <v>0</v>
      </c>
      <c r="P305">
        <f>B04_Assessment!J64</f>
        <v>0</v>
      </c>
      <c r="Q305" t="str">
        <f t="shared" si="4"/>
        <v>04|57</v>
      </c>
    </row>
    <row r="306" spans="1:17" ht="6.45" customHeight="1">
      <c r="A306" t="s">
        <v>641</v>
      </c>
      <c r="B306">
        <v>58</v>
      </c>
      <c r="C306" t="s">
        <v>19</v>
      </c>
      <c r="D306">
        <v>65</v>
      </c>
      <c r="E306" t="s">
        <v>1051</v>
      </c>
      <c r="F306" t="s">
        <v>5324</v>
      </c>
      <c r="G306" t="str">
        <f>B04_Assessment!A65</f>
        <v>B04-Q3</v>
      </c>
      <c r="H306" t="str">
        <f>B04_Assessment!B65</f>
        <v>Where are clean-agent/CO2 extinguisher cabinets located within 75 ft of each TR?</v>
      </c>
      <c r="I306" t="str">
        <f>B04_Assessment!C65</f>
        <v>GC / COR</v>
      </c>
      <c r="J306" t="str">
        <f>B04_Assessment!D65</f>
        <v>Closed</v>
      </c>
      <c r="K306">
        <f>B04_Assessment!E65</f>
        <v>0</v>
      </c>
      <c r="L306">
        <f>B04_Assessment!F65</f>
        <v>0</v>
      </c>
      <c r="M306" t="str">
        <f>B04_Assessment!G65</f>
        <v>Life safety acceptance risk</v>
      </c>
      <c r="N306">
        <f>B04_Assessment!H65</f>
        <v>0</v>
      </c>
      <c r="O306">
        <f>B04_Assessment!I65</f>
        <v>0</v>
      </c>
      <c r="P306">
        <f>B04_Assessment!J65</f>
        <v>0</v>
      </c>
      <c r="Q306" t="str">
        <f t="shared" si="4"/>
        <v>04|58</v>
      </c>
    </row>
    <row r="307" spans="1:17" ht="6.45" customHeight="1">
      <c r="A307" t="s">
        <v>641</v>
      </c>
      <c r="B307">
        <v>59</v>
      </c>
      <c r="C307" t="s">
        <v>19</v>
      </c>
      <c r="D307">
        <v>66</v>
      </c>
      <c r="E307" t="s">
        <v>1051</v>
      </c>
      <c r="F307" t="s">
        <v>5324</v>
      </c>
      <c r="G307" t="str">
        <f>B04_Assessment!A66</f>
        <v>B04-Q4</v>
      </c>
      <c r="H307" t="str">
        <f>B04_Assessment!B66</f>
        <v>What is the approved migration and cutover sequence for active Building 04 services?</v>
      </c>
      <c r="I307" t="str">
        <f>B04_Assessment!C66</f>
        <v>OIT / Contractor</v>
      </c>
      <c r="J307" t="str">
        <f>B04_Assessment!D66</f>
        <v>Closed</v>
      </c>
      <c r="K307">
        <f>B04_Assessment!E66</f>
        <v>0</v>
      </c>
      <c r="L307">
        <f>B04_Assessment!F66</f>
        <v>0</v>
      </c>
      <c r="M307" t="str">
        <f>B04_Assessment!G66</f>
        <v>Potential communications outage</v>
      </c>
      <c r="N307">
        <f>B04_Assessment!H66</f>
        <v>0</v>
      </c>
      <c r="O307">
        <f>B04_Assessment!I66</f>
        <v>0</v>
      </c>
      <c r="P307">
        <f>B04_Assessment!J66</f>
        <v>0</v>
      </c>
      <c r="Q307" t="str">
        <f t="shared" si="4"/>
        <v>04|59</v>
      </c>
    </row>
    <row r="308" spans="1:17" ht="6.45" customHeight="1">
      <c r="A308" t="s">
        <v>641</v>
      </c>
      <c r="B308">
        <v>60</v>
      </c>
      <c r="C308" t="s">
        <v>19</v>
      </c>
      <c r="D308">
        <v>67</v>
      </c>
      <c r="E308" t="s">
        <v>1051</v>
      </c>
      <c r="F308" t="s">
        <v>5324</v>
      </c>
      <c r="G308" t="str">
        <f>B04_Assessment!A67</f>
        <v>B04-Q5</v>
      </c>
      <c r="H308" t="str">
        <f>B04_Assessment!B67</f>
        <v>Are hazardous/abatement impacts cleared for basement and first-level penetrations/floor work?</v>
      </c>
      <c r="I308" t="str">
        <f>B04_Assessment!C67</f>
        <v>GC / COR</v>
      </c>
      <c r="J308" t="str">
        <f>B04_Assessment!D67</f>
        <v>Closed</v>
      </c>
      <c r="K308">
        <f>B04_Assessment!E67</f>
        <v>0</v>
      </c>
      <c r="L308">
        <f>B04_Assessment!F67</f>
        <v>0</v>
      </c>
      <c r="M308" t="str">
        <f>B04_Assessment!G67</f>
        <v>Work stoppage or exposure risk</v>
      </c>
      <c r="N308">
        <f>B04_Assessment!H67</f>
        <v>0</v>
      </c>
      <c r="O308">
        <f>B04_Assessment!I67</f>
        <v>0</v>
      </c>
      <c r="P308">
        <f>B04_Assessment!J67</f>
        <v>0</v>
      </c>
      <c r="Q308" t="str">
        <f t="shared" si="4"/>
        <v>04|60</v>
      </c>
    </row>
    <row r="309" spans="1:17" ht="6.45" customHeight="1">
      <c r="A309" t="s">
        <v>641</v>
      </c>
      <c r="B309">
        <v>61</v>
      </c>
      <c r="C309" t="s">
        <v>19</v>
      </c>
      <c r="D309">
        <v>68</v>
      </c>
      <c r="E309" t="s">
        <v>1051</v>
      </c>
      <c r="F309" t="s">
        <v>5324</v>
      </c>
      <c r="G309" t="str">
        <f>B04_Assessment!A68</f>
        <v>B04-Q6</v>
      </c>
      <c r="H309" t="str">
        <f>B04_Assessment!B68</f>
        <v>Are all B04 panelboards/feeders/breakers/SPDs/load measurements approved before renovation?</v>
      </c>
      <c r="I309" t="str">
        <f>B04_Assessment!C68</f>
        <v>Electrical / Designer</v>
      </c>
      <c r="J309" t="str">
        <f>B04_Assessment!D68</f>
        <v>Closed</v>
      </c>
      <c r="K309">
        <f>B04_Assessment!E68</f>
        <v>0</v>
      </c>
      <c r="L309">
        <f>B04_Assessment!F68</f>
        <v>0</v>
      </c>
      <c r="M309" t="str">
        <f>B04_Assessment!G68</f>
        <v>Electrical delay or overload risk</v>
      </c>
      <c r="N309">
        <f>B04_Assessment!H68</f>
        <v>0</v>
      </c>
      <c r="O309">
        <f>B04_Assessment!I68</f>
        <v>0</v>
      </c>
      <c r="P309">
        <f>B04_Assessment!J68</f>
        <v>0</v>
      </c>
      <c r="Q309" t="str">
        <f t="shared" si="4"/>
        <v>04|61</v>
      </c>
    </row>
    <row r="310" spans="1:17" ht="6.45" customHeight="1">
      <c r="A310" t="s">
        <v>641</v>
      </c>
      <c r="B310">
        <v>62</v>
      </c>
      <c r="C310" t="s">
        <v>19</v>
      </c>
      <c r="D310">
        <v>69</v>
      </c>
      <c r="E310" t="s">
        <v>1051</v>
      </c>
      <c r="F310" t="s">
        <v>5324</v>
      </c>
      <c r="G310" t="str">
        <f>B04_Assessment!A69</f>
        <v>B04-Q7</v>
      </c>
      <c r="H310" t="str">
        <f>B04_Assessment!B69</f>
        <v>Are all rated wall/floor penetrations and speed sleeves identified and firestopped?</v>
      </c>
      <c r="I310" t="str">
        <f>B04_Assessment!C69</f>
        <v>GC / Designer</v>
      </c>
      <c r="J310" t="str">
        <f>B04_Assessment!D69</f>
        <v>Closed</v>
      </c>
      <c r="K310">
        <f>B04_Assessment!E69</f>
        <v>0</v>
      </c>
      <c r="L310">
        <f>B04_Assessment!F69</f>
        <v>0</v>
      </c>
      <c r="M310" t="str">
        <f>B04_Assessment!G69</f>
        <v>Fire/smoke spread risk</v>
      </c>
      <c r="N310">
        <f>B04_Assessment!H69</f>
        <v>0</v>
      </c>
      <c r="O310">
        <f>B04_Assessment!I69</f>
        <v>0</v>
      </c>
      <c r="P310">
        <f>B04_Assessment!J69</f>
        <v>0</v>
      </c>
      <c r="Q310" t="str">
        <f t="shared" si="4"/>
        <v>04|62</v>
      </c>
    </row>
    <row r="311" spans="1:17" ht="6.45" customHeight="1">
      <c r="A311" t="s">
        <v>641</v>
      </c>
      <c r="B311">
        <v>63</v>
      </c>
      <c r="C311" t="s">
        <v>19</v>
      </c>
      <c r="D311">
        <v>70</v>
      </c>
      <c r="E311" t="s">
        <v>1051</v>
      </c>
      <c r="F311" t="s">
        <v>5324</v>
      </c>
      <c r="G311" t="str">
        <f>B04_Assessment!A70</f>
        <v>B04-Q8</v>
      </c>
      <c r="H311" t="str">
        <f>B04_Assessment!B70</f>
        <v>Which third-party tests, commissioning forms, and acceptance documents are required before VA turnover?</v>
      </c>
      <c r="I311" t="str">
        <f>B04_Assessment!C70</f>
        <v>GC / Cx Manager</v>
      </c>
      <c r="J311" t="str">
        <f>B04_Assessment!D70</f>
        <v>Closed</v>
      </c>
      <c r="K311">
        <f>B04_Assessment!E70</f>
        <v>0</v>
      </c>
      <c r="L311">
        <f>B04_Assessment!F70</f>
        <v>0</v>
      </c>
      <c r="M311" t="str">
        <f>B04_Assessment!G70</f>
        <v>Incomplete turnover package</v>
      </c>
      <c r="N311">
        <f>B04_Assessment!H70</f>
        <v>0</v>
      </c>
      <c r="O311">
        <f>B04_Assessment!I70</f>
        <v>0</v>
      </c>
      <c r="P311">
        <f>B04_Assessment!J70</f>
        <v>0</v>
      </c>
      <c r="Q311" t="str">
        <f t="shared" si="4"/>
        <v>04|63</v>
      </c>
    </row>
    <row r="312" spans="1:17" ht="6.45" customHeight="1">
      <c r="A312" t="s">
        <v>641</v>
      </c>
      <c r="B312">
        <v>64</v>
      </c>
      <c r="C312" t="s">
        <v>19</v>
      </c>
      <c r="D312">
        <v>71</v>
      </c>
      <c r="E312" t="s">
        <v>1051</v>
      </c>
      <c r="F312" t="s">
        <v>5325</v>
      </c>
      <c r="G312">
        <f>B04_Assessment!A71</f>
        <v>0</v>
      </c>
      <c r="H312">
        <f>B04_Assessment!B71</f>
        <v>0</v>
      </c>
      <c r="I312">
        <f>B04_Assessment!C71</f>
        <v>0</v>
      </c>
      <c r="J312">
        <f>B04_Assessment!D71</f>
        <v>0</v>
      </c>
      <c r="K312">
        <f>B04_Assessment!E71</f>
        <v>0</v>
      </c>
      <c r="L312">
        <f>B04_Assessment!F71</f>
        <v>0</v>
      </c>
      <c r="M312">
        <f>B04_Assessment!G71</f>
        <v>0</v>
      </c>
      <c r="N312">
        <f>B04_Assessment!H71</f>
        <v>0</v>
      </c>
      <c r="O312">
        <f>B04_Assessment!I71</f>
        <v>0</v>
      </c>
      <c r="P312">
        <f>B04_Assessment!J71</f>
        <v>0</v>
      </c>
      <c r="Q312" t="str">
        <f t="shared" si="4"/>
        <v>04|64</v>
      </c>
    </row>
    <row r="313" spans="1:17" ht="6.45" customHeight="1">
      <c r="A313" t="s">
        <v>641</v>
      </c>
      <c r="B313">
        <v>65</v>
      </c>
      <c r="C313" t="s">
        <v>19</v>
      </c>
      <c r="D313">
        <v>72</v>
      </c>
      <c r="E313" t="s">
        <v>1052</v>
      </c>
      <c r="F313" t="s">
        <v>5322</v>
      </c>
      <c r="G313" t="str">
        <f>B04_Assessment!A72</f>
        <v>10. PHOTO LOG</v>
      </c>
      <c r="H313">
        <f>B04_Assessment!B72</f>
        <v>0</v>
      </c>
      <c r="I313">
        <f>B04_Assessment!C72</f>
        <v>0</v>
      </c>
      <c r="J313">
        <f>B04_Assessment!D72</f>
        <v>0</v>
      </c>
      <c r="K313">
        <f>B04_Assessment!E72</f>
        <v>0</v>
      </c>
      <c r="L313">
        <f>B04_Assessment!F72</f>
        <v>0</v>
      </c>
      <c r="M313">
        <f>B04_Assessment!G72</f>
        <v>0</v>
      </c>
      <c r="N313">
        <f>B04_Assessment!H72</f>
        <v>0</v>
      </c>
      <c r="O313">
        <f>B04_Assessment!I72</f>
        <v>0</v>
      </c>
      <c r="P313">
        <f>B04_Assessment!J72</f>
        <v>0</v>
      </c>
      <c r="Q313" t="str">
        <f t="shared" si="4"/>
        <v>04|65</v>
      </c>
    </row>
    <row r="314" spans="1:17" ht="6.45" customHeight="1">
      <c r="A314" t="s">
        <v>641</v>
      </c>
      <c r="B314">
        <v>66</v>
      </c>
      <c r="C314" t="s">
        <v>19</v>
      </c>
      <c r="D314">
        <v>73</v>
      </c>
      <c r="E314" t="s">
        <v>1052</v>
      </c>
      <c r="F314" t="s">
        <v>5323</v>
      </c>
      <c r="G314" t="str">
        <f>B04_Assessment!A73</f>
        <v>Photo ID</v>
      </c>
      <c r="H314" t="str">
        <f>B04_Assessment!B73</f>
        <v>Room</v>
      </c>
      <c r="I314" t="str">
        <f>B04_Assessment!C73</f>
        <v>Category</v>
      </c>
      <c r="J314" t="str">
        <f>B04_Assessment!D73</f>
        <v>Description</v>
      </c>
      <c r="K314" t="str">
        <f>B04_Assessment!E73</f>
        <v>Date</v>
      </c>
      <c r="L314" t="str">
        <f>B04_Assessment!F73</f>
        <v>Taken By</v>
      </c>
      <c r="M314" t="str">
        <f>B04_Assessment!G73</f>
        <v>File / Link</v>
      </c>
      <c r="N314" t="str">
        <f>B04_Assessment!H73</f>
        <v>Related Risk</v>
      </c>
      <c r="O314" t="str">
        <f>B04_Assessment!I73</f>
        <v>Status</v>
      </c>
      <c r="P314" t="str">
        <f>B04_Assessment!J73</f>
        <v>Notes</v>
      </c>
      <c r="Q314" t="str">
        <f t="shared" si="4"/>
        <v>04|66</v>
      </c>
    </row>
    <row r="315" spans="1:17" ht="6.45" customHeight="1">
      <c r="A315" t="s">
        <v>641</v>
      </c>
      <c r="B315">
        <v>67</v>
      </c>
      <c r="C315" t="s">
        <v>19</v>
      </c>
      <c r="D315">
        <v>74</v>
      </c>
      <c r="E315" t="s">
        <v>1052</v>
      </c>
      <c r="F315" t="s">
        <v>5324</v>
      </c>
      <c r="G315" t="str">
        <f>B04_Assessment!A74</f>
        <v>B04-P001</v>
      </c>
      <c r="H315" t="str">
        <f>B04_Assessment!B74</f>
        <v>B05</v>
      </c>
      <c r="I315" t="str">
        <f>B04_Assessment!C74</f>
        <v>Existing Condition</v>
      </c>
      <c r="J315" t="str">
        <f>B04_Assessment!D74</f>
        <v>Basement TR B05 existing conditions, racks, utilities, penetrations, panels</v>
      </c>
      <c r="K315">
        <f>B04_Assessment!E74</f>
        <v>0</v>
      </c>
      <c r="L315" t="str">
        <f>B04_Assessment!F74</f>
        <v>Paul</v>
      </c>
      <c r="M315">
        <f>B04_Assessment!G74</f>
        <v>0</v>
      </c>
      <c r="N315" t="str">
        <f>B04_Assessment!H74</f>
        <v>B04-R1/B04-R2</v>
      </c>
      <c r="O315" t="str">
        <f>B04_Assessment!I74</f>
        <v>Closed</v>
      </c>
      <c r="P315">
        <f>B04_Assessment!J74</f>
        <v>0</v>
      </c>
      <c r="Q315" t="str">
        <f t="shared" si="4"/>
        <v>04|67</v>
      </c>
    </row>
    <row r="316" spans="1:17" ht="6.45" customHeight="1">
      <c r="A316" t="s">
        <v>641</v>
      </c>
      <c r="B316">
        <v>68</v>
      </c>
      <c r="C316" t="s">
        <v>19</v>
      </c>
      <c r="D316">
        <v>75</v>
      </c>
      <c r="E316" t="s">
        <v>1052</v>
      </c>
      <c r="F316" t="s">
        <v>5324</v>
      </c>
      <c r="G316" t="str">
        <f>B04_Assessment!A75</f>
        <v>B04-P002</v>
      </c>
      <c r="H316" t="str">
        <f>B04_Assessment!B75</f>
        <v>141</v>
      </c>
      <c r="I316" t="str">
        <f>B04_Assessment!C75</f>
        <v>Existing Condition</v>
      </c>
      <c r="J316" t="str">
        <f>B04_Assessment!D75</f>
        <v>Room 141 existing conditions, door/walls/ceiling/window/floor conditions</v>
      </c>
      <c r="K316">
        <f>B04_Assessment!E75</f>
        <v>0</v>
      </c>
      <c r="L316" t="str">
        <f>B04_Assessment!F75</f>
        <v>Paul</v>
      </c>
      <c r="M316">
        <f>B04_Assessment!G75</f>
        <v>0</v>
      </c>
      <c r="N316" t="str">
        <f>B04_Assessment!H75</f>
        <v>B04-R3</v>
      </c>
      <c r="O316" t="str">
        <f>B04_Assessment!I75</f>
        <v>Closed</v>
      </c>
      <c r="P316">
        <f>B04_Assessment!J75</f>
        <v>0</v>
      </c>
      <c r="Q316" t="str">
        <f t="shared" si="4"/>
        <v>04|68</v>
      </c>
    </row>
    <row r="317" spans="1:17" ht="6.45" customHeight="1">
      <c r="A317" t="s">
        <v>641</v>
      </c>
      <c r="B317">
        <v>69</v>
      </c>
      <c r="C317" t="s">
        <v>19</v>
      </c>
      <c r="D317">
        <v>76</v>
      </c>
      <c r="E317" t="s">
        <v>1052</v>
      </c>
      <c r="F317" t="s">
        <v>5324</v>
      </c>
      <c r="G317" t="str">
        <f>B04_Assessment!A76</f>
        <v>B04-P003</v>
      </c>
      <c r="H317" t="str">
        <f>B04_Assessment!B76</f>
        <v>244A</v>
      </c>
      <c r="I317" t="str">
        <f>B04_Assessment!C76</f>
        <v>Existing Condition</v>
      </c>
      <c r="J317" t="str">
        <f>B04_Assessment!D76</f>
        <v>Room 244A TR existing condition and panel/rack area</v>
      </c>
      <c r="K317">
        <f>B04_Assessment!E76</f>
        <v>0</v>
      </c>
      <c r="L317" t="str">
        <f>B04_Assessment!F76</f>
        <v>Paul</v>
      </c>
      <c r="M317">
        <f>B04_Assessment!G76</f>
        <v>0</v>
      </c>
      <c r="N317" t="str">
        <f>B04_Assessment!H76</f>
        <v>B04-R1</v>
      </c>
      <c r="O317" t="str">
        <f>B04_Assessment!I76</f>
        <v>Closed</v>
      </c>
      <c r="P317">
        <f>B04_Assessment!J76</f>
        <v>0</v>
      </c>
      <c r="Q317" t="str">
        <f t="shared" si="4"/>
        <v>04|69</v>
      </c>
    </row>
    <row r="318" spans="1:17" ht="6.45" customHeight="1">
      <c r="A318" t="s">
        <v>641</v>
      </c>
      <c r="B318">
        <v>70</v>
      </c>
      <c r="C318" t="s">
        <v>19</v>
      </c>
      <c r="D318">
        <v>77</v>
      </c>
      <c r="E318" t="s">
        <v>1052</v>
      </c>
      <c r="F318" t="s">
        <v>5324</v>
      </c>
      <c r="G318" t="str">
        <f>B04_Assessment!A77</f>
        <v>B04-P004</v>
      </c>
      <c r="H318" t="str">
        <f>B04_Assessment!B77</f>
        <v>All</v>
      </c>
      <c r="I318" t="str">
        <f>B04_Assessment!C77</f>
        <v>Firestop</v>
      </c>
      <c r="J318" t="str">
        <f>B04_Assessment!D77</f>
        <v>All floor/wall/sleeve/tray penetrations before and after firestop</v>
      </c>
      <c r="K318">
        <f>B04_Assessment!E77</f>
        <v>0</v>
      </c>
      <c r="L318" t="str">
        <f>B04_Assessment!F77</f>
        <v>Paul</v>
      </c>
      <c r="M318">
        <f>B04_Assessment!G77</f>
        <v>0</v>
      </c>
      <c r="N318" t="str">
        <f>B04_Assessment!H77</f>
        <v>B04-R7</v>
      </c>
      <c r="O318" t="str">
        <f>B04_Assessment!I77</f>
        <v>Closed</v>
      </c>
      <c r="P318">
        <f>B04_Assessment!J77</f>
        <v>0</v>
      </c>
      <c r="Q318" t="str">
        <f t="shared" si="4"/>
        <v>04|70</v>
      </c>
    </row>
    <row r="319" spans="1:17" ht="6.45" customHeight="1">
      <c r="A319" t="s">
        <v>641</v>
      </c>
      <c r="B319">
        <v>71</v>
      </c>
      <c r="C319" t="s">
        <v>19</v>
      </c>
      <c r="D319">
        <v>78</v>
      </c>
      <c r="E319" t="s">
        <v>1052</v>
      </c>
      <c r="F319" t="s">
        <v>5324</v>
      </c>
      <c r="G319" t="str">
        <f>B04_Assessment!A78</f>
        <v>B04-P005</v>
      </c>
      <c r="H319" t="str">
        <f>B04_Assessment!B78</f>
        <v>All</v>
      </c>
      <c r="I319" t="str">
        <f>B04_Assessment!C78</f>
        <v>HVAC</v>
      </c>
      <c r="J319" t="str">
        <f>B04_Assessment!D78</f>
        <v>Cooling units, condensate routing, controls, high-temp alarms</v>
      </c>
      <c r="K319">
        <f>B04_Assessment!E78</f>
        <v>0</v>
      </c>
      <c r="L319" t="str">
        <f>B04_Assessment!F78</f>
        <v>Paul</v>
      </c>
      <c r="M319">
        <f>B04_Assessment!G78</f>
        <v>0</v>
      </c>
      <c r="N319" t="str">
        <f>B04_Assessment!H78</f>
        <v>B04-R4</v>
      </c>
      <c r="O319" t="str">
        <f>B04_Assessment!I78</f>
        <v>Closed</v>
      </c>
      <c r="P319">
        <f>B04_Assessment!J78</f>
        <v>0</v>
      </c>
      <c r="Q319" t="str">
        <f t="shared" si="4"/>
        <v>04|71</v>
      </c>
    </row>
    <row r="320" spans="1:17" ht="6.45" customHeight="1">
      <c r="A320" t="s">
        <v>641</v>
      </c>
      <c r="B320">
        <v>72</v>
      </c>
      <c r="C320" t="s">
        <v>19</v>
      </c>
      <c r="D320">
        <v>79</v>
      </c>
      <c r="E320" t="s">
        <v>1052</v>
      </c>
      <c r="F320" t="s">
        <v>5324</v>
      </c>
      <c r="G320" t="str">
        <f>B04_Assessment!A79</f>
        <v>B04-P006</v>
      </c>
      <c r="H320" t="str">
        <f>B04_Assessment!B79</f>
        <v>All</v>
      </c>
      <c r="I320" t="str">
        <f>B04_Assessment!C79</f>
        <v>Electrical</v>
      </c>
      <c r="J320" t="str">
        <f>B04_Assessment!D79</f>
        <v>Panels, breakers, UPS/PDU receptacles, SPD, grounding/bonding</v>
      </c>
      <c r="K320">
        <f>B04_Assessment!E79</f>
        <v>0</v>
      </c>
      <c r="L320" t="str">
        <f>B04_Assessment!F79</f>
        <v>Paul</v>
      </c>
      <c r="M320">
        <f>B04_Assessment!G79</f>
        <v>0</v>
      </c>
      <c r="N320" t="str">
        <f>B04_Assessment!H79</f>
        <v>B04-R5</v>
      </c>
      <c r="O320" t="str">
        <f>B04_Assessment!I79</f>
        <v>Closed</v>
      </c>
      <c r="P320">
        <f>B04_Assessment!J79</f>
        <v>0</v>
      </c>
      <c r="Q320" t="str">
        <f t="shared" si="4"/>
        <v>04|72</v>
      </c>
    </row>
    <row r="321" spans="1:17" ht="6.45" customHeight="1">
      <c r="A321" t="s">
        <v>641</v>
      </c>
      <c r="B321">
        <v>73</v>
      </c>
      <c r="C321" t="s">
        <v>19</v>
      </c>
      <c r="D321">
        <v>80</v>
      </c>
      <c r="E321" t="s">
        <v>1052</v>
      </c>
      <c r="F321" t="s">
        <v>5324</v>
      </c>
      <c r="G321" t="str">
        <f>B04_Assessment!A80</f>
        <v>B04-P007</v>
      </c>
      <c r="H321" t="str">
        <f>B04_Assessment!B80</f>
        <v>All</v>
      </c>
      <c r="I321" t="str">
        <f>B04_Assessment!C80</f>
        <v>Telecom</v>
      </c>
      <c r="J321" t="str">
        <f>B04_Assessment!D80</f>
        <v>Racks, ladder tray, fiber, Cat6A, labels, LIU, cable managers</v>
      </c>
      <c r="K321">
        <f>B04_Assessment!E80</f>
        <v>0</v>
      </c>
      <c r="L321" t="str">
        <f>B04_Assessment!F80</f>
        <v>Paul</v>
      </c>
      <c r="M321">
        <f>B04_Assessment!G80</f>
        <v>0</v>
      </c>
      <c r="N321" t="str">
        <f>B04_Assessment!H80</f>
        <v>B04-R6</v>
      </c>
      <c r="O321" t="str">
        <f>B04_Assessment!I80</f>
        <v>Closed</v>
      </c>
      <c r="P321">
        <f>B04_Assessment!J80</f>
        <v>0</v>
      </c>
      <c r="Q321" t="str">
        <f t="shared" si="4"/>
        <v>04|73</v>
      </c>
    </row>
    <row r="322" spans="1:17" ht="6.45" customHeight="1">
      <c r="A322" t="s">
        <v>641</v>
      </c>
      <c r="B322">
        <v>74</v>
      </c>
      <c r="C322" t="s">
        <v>19</v>
      </c>
      <c r="D322">
        <v>81</v>
      </c>
      <c r="E322" t="s">
        <v>1052</v>
      </c>
      <c r="F322" t="s">
        <v>5324</v>
      </c>
      <c r="G322" t="str">
        <f>B04_Assessment!A81</f>
        <v>B04-P008</v>
      </c>
      <c r="H322" t="str">
        <f>B04_Assessment!B81</f>
        <v>All</v>
      </c>
      <c r="I322" t="str">
        <f>B04_Assessment!C81</f>
        <v>Security</v>
      </c>
      <c r="J322" t="str">
        <f>B04_Assessment!D81</f>
        <v>PACS, card reader, electric strike, camera, motion sensor rough-in</v>
      </c>
      <c r="K322">
        <f>B04_Assessment!E81</f>
        <v>0</v>
      </c>
      <c r="L322" t="str">
        <f>B04_Assessment!F81</f>
        <v>Paul</v>
      </c>
      <c r="M322">
        <f>B04_Assessment!G81</f>
        <v>0</v>
      </c>
      <c r="N322" t="str">
        <f>B04_Assessment!H81</f>
        <v>B04-R3</v>
      </c>
      <c r="O322" t="str">
        <f>B04_Assessment!I81</f>
        <v>Closed</v>
      </c>
      <c r="P322">
        <f>B04_Assessment!J81</f>
        <v>0</v>
      </c>
      <c r="Q322" t="str">
        <f t="shared" ref="Q322:Q385" si="5">A322&amp;"|"&amp;B322</f>
        <v>04|74</v>
      </c>
    </row>
    <row r="323" spans="1:17" ht="6.45" customHeight="1">
      <c r="A323" t="s">
        <v>641</v>
      </c>
      <c r="B323">
        <v>75</v>
      </c>
      <c r="C323" t="s">
        <v>19</v>
      </c>
      <c r="D323">
        <v>82</v>
      </c>
      <c r="E323" t="s">
        <v>1052</v>
      </c>
      <c r="F323" t="s">
        <v>5325</v>
      </c>
      <c r="G323">
        <f>B04_Assessment!A82</f>
        <v>0</v>
      </c>
      <c r="H323">
        <f>B04_Assessment!B82</f>
        <v>0</v>
      </c>
      <c r="I323">
        <f>B04_Assessment!C82</f>
        <v>0</v>
      </c>
      <c r="J323">
        <f>B04_Assessment!D82</f>
        <v>0</v>
      </c>
      <c r="K323">
        <f>B04_Assessment!E82</f>
        <v>0</v>
      </c>
      <c r="L323">
        <f>B04_Assessment!F82</f>
        <v>0</v>
      </c>
      <c r="M323">
        <f>B04_Assessment!G82</f>
        <v>0</v>
      </c>
      <c r="N323">
        <f>B04_Assessment!H82</f>
        <v>0</v>
      </c>
      <c r="O323">
        <f>B04_Assessment!I82</f>
        <v>0</v>
      </c>
      <c r="P323">
        <f>B04_Assessment!J82</f>
        <v>0</v>
      </c>
      <c r="Q323" t="str">
        <f t="shared" si="5"/>
        <v>04|75</v>
      </c>
    </row>
    <row r="324" spans="1:17" ht="6.45" customHeight="1">
      <c r="A324" t="s">
        <v>1462</v>
      </c>
      <c r="B324">
        <v>1</v>
      </c>
      <c r="C324" t="s">
        <v>21</v>
      </c>
      <c r="D324">
        <v>8</v>
      </c>
      <c r="E324" t="s">
        <v>918</v>
      </c>
      <c r="F324" t="s">
        <v>5322</v>
      </c>
      <c r="G324" t="str">
        <f>B05_Assessment!A8</f>
        <v>1. ROOM INVENTORY</v>
      </c>
      <c r="H324">
        <f>B05_Assessment!B8</f>
        <v>0</v>
      </c>
      <c r="I324">
        <f>B05_Assessment!C8</f>
        <v>0</v>
      </c>
      <c r="J324">
        <f>B05_Assessment!D8</f>
        <v>0</v>
      </c>
      <c r="K324">
        <f>B05_Assessment!E8</f>
        <v>0</v>
      </c>
      <c r="L324">
        <f>B05_Assessment!F8</f>
        <v>0</v>
      </c>
      <c r="M324">
        <f>B05_Assessment!G8</f>
        <v>0</v>
      </c>
      <c r="N324">
        <f>B05_Assessment!H8</f>
        <v>0</v>
      </c>
      <c r="O324">
        <f>B05_Assessment!I8</f>
        <v>0</v>
      </c>
      <c r="P324">
        <f>B05_Assessment!J8</f>
        <v>0</v>
      </c>
      <c r="Q324" t="str">
        <f t="shared" si="5"/>
        <v>05|1</v>
      </c>
    </row>
    <row r="325" spans="1:17" ht="6.45" customHeight="1">
      <c r="A325" t="s">
        <v>1462</v>
      </c>
      <c r="B325">
        <v>2</v>
      </c>
      <c r="C325" t="s">
        <v>21</v>
      </c>
      <c r="D325">
        <v>9</v>
      </c>
      <c r="E325" t="s">
        <v>918</v>
      </c>
      <c r="F325" t="s">
        <v>5323</v>
      </c>
      <c r="G325" t="str">
        <f>B05_Assessment!A9</f>
        <v>Building</v>
      </c>
      <c r="H325" t="str">
        <f>B05_Assessment!B9</f>
        <v>Room</v>
      </c>
      <c r="I325" t="str">
        <f>B05_Assessment!C9</f>
        <v>Floor</v>
      </c>
      <c r="J325" t="str">
        <f>B05_Assessment!D9</f>
        <v>Existing Use</v>
      </c>
      <c r="K325" t="str">
        <f>B05_Assessment!E9</f>
        <v>New Use</v>
      </c>
      <c r="L325" t="str">
        <f>B05_Assessment!F9</f>
        <v>Rack Count</v>
      </c>
      <c r="M325" t="str">
        <f>B05_Assessment!G9</f>
        <v>Future Rack</v>
      </c>
      <c r="N325" t="str">
        <f>B05_Assessment!H9</f>
        <v>Status</v>
      </c>
      <c r="O325" t="str">
        <f>B05_Assessment!I9</f>
        <v>Drawing Ref</v>
      </c>
      <c r="P325" t="str">
        <f>B05_Assessment!J9</f>
        <v>Notes</v>
      </c>
      <c r="Q325" t="str">
        <f t="shared" si="5"/>
        <v>05|2</v>
      </c>
    </row>
    <row r="326" spans="1:17" ht="6.45" customHeight="1">
      <c r="A326" t="s">
        <v>1462</v>
      </c>
      <c r="B326">
        <v>3</v>
      </c>
      <c r="C326" t="s">
        <v>21</v>
      </c>
      <c r="D326">
        <v>10</v>
      </c>
      <c r="E326" t="s">
        <v>918</v>
      </c>
      <c r="F326" t="s">
        <v>5324</v>
      </c>
      <c r="G326" t="str">
        <f>B05_Assessment!A10</f>
        <v>05</v>
      </c>
      <c r="H326" t="str">
        <f>B05_Assessment!B10</f>
        <v>150</v>
      </c>
      <c r="I326" t="str">
        <f>B05_Assessment!C10</f>
        <v>First</v>
      </c>
      <c r="J326" t="str">
        <f>B05_Assessment!D10</f>
        <v>Telecom / equipment location</v>
      </c>
      <c r="K326" t="str">
        <f>B05_Assessment!E10</f>
        <v>Telecom Enclosure (TE)</v>
      </c>
      <c r="L326">
        <f>B05_Assessment!F10</f>
        <v>1</v>
      </c>
      <c r="M326">
        <f>B05_Assessment!G10</f>
        <v>0</v>
      </c>
      <c r="N326" t="str">
        <f>B05_Assessment!H10</f>
        <v>Verify</v>
      </c>
      <c r="O326" t="str">
        <f>B05_Assessment!I10</f>
        <v>05T-604 / 05T-401 / 05E-401</v>
      </c>
      <c r="P326" t="str">
        <f>B05_Assessment!J10</f>
        <v>New elevation identifies Room 150 with one 12RU Telecom Enclosure; includes APC UPS, PDUs, cable managers, 48-port patch panels, Cat6A patch panel, and Fiber LIU.</v>
      </c>
      <c r="Q326" t="str">
        <f t="shared" si="5"/>
        <v>05|3</v>
      </c>
    </row>
    <row r="327" spans="1:17" ht="6.45" customHeight="1">
      <c r="A327" t="s">
        <v>1462</v>
      </c>
      <c r="B327">
        <v>4</v>
      </c>
      <c r="C327" t="s">
        <v>21</v>
      </c>
      <c r="D327">
        <v>11</v>
      </c>
      <c r="E327" t="s">
        <v>918</v>
      </c>
      <c r="F327" t="s">
        <v>5324</v>
      </c>
      <c r="G327" t="str">
        <f>B05_Assessment!A11</f>
        <v>05</v>
      </c>
      <c r="H327" t="str">
        <f>B05_Assessment!B11</f>
        <v>153-A</v>
      </c>
      <c r="I327" t="str">
        <f>B05_Assessment!C11</f>
        <v>First</v>
      </c>
      <c r="J327" t="str">
        <f>B05_Assessment!D11</f>
        <v>Existing wall-mounted TE / existing rack area</v>
      </c>
      <c r="K327" t="str">
        <f>B05_Assessment!E11</f>
        <v>Existing equipment / transition point</v>
      </c>
      <c r="L327">
        <f>B05_Assessment!F11</f>
        <v>1</v>
      </c>
      <c r="M327">
        <f>B05_Assessment!G11</f>
        <v>0</v>
      </c>
      <c r="N327" t="str">
        <f>B05_Assessment!H11</f>
        <v>Verify</v>
      </c>
      <c r="O327" t="str">
        <f>B05_Assessment!I11</f>
        <v>05T-604</v>
      </c>
      <c r="P327" t="str">
        <f>B05_Assessment!J11</f>
        <v>Existing elevation shows wall or wall-mount TE at Room 153-A with Cisco switches and multiple legacy 24-port patch panels; existing floor UPS shown.</v>
      </c>
      <c r="Q327" t="str">
        <f t="shared" si="5"/>
        <v>05|4</v>
      </c>
    </row>
    <row r="328" spans="1:17" ht="6.45" customHeight="1">
      <c r="A328" t="s">
        <v>1462</v>
      </c>
      <c r="B328">
        <v>5</v>
      </c>
      <c r="C328" t="s">
        <v>21</v>
      </c>
      <c r="D328">
        <v>12</v>
      </c>
      <c r="E328" t="s">
        <v>918</v>
      </c>
      <c r="F328" t="s">
        <v>5325</v>
      </c>
      <c r="G328">
        <f>B05_Assessment!A12</f>
        <v>0</v>
      </c>
      <c r="H328">
        <f>B05_Assessment!B12</f>
        <v>0</v>
      </c>
      <c r="I328">
        <f>B05_Assessment!C12</f>
        <v>0</v>
      </c>
      <c r="J328">
        <f>B05_Assessment!D12</f>
        <v>0</v>
      </c>
      <c r="K328">
        <f>B05_Assessment!E12</f>
        <v>0</v>
      </c>
      <c r="L328">
        <f>B05_Assessment!F12</f>
        <v>0</v>
      </c>
      <c r="M328">
        <f>B05_Assessment!G12</f>
        <v>0</v>
      </c>
      <c r="N328">
        <f>B05_Assessment!H12</f>
        <v>0</v>
      </c>
      <c r="O328">
        <f>B05_Assessment!I12</f>
        <v>0</v>
      </c>
      <c r="P328">
        <f>B05_Assessment!J12</f>
        <v>0</v>
      </c>
      <c r="Q328" t="str">
        <f t="shared" si="5"/>
        <v>05|5</v>
      </c>
    </row>
    <row r="329" spans="1:17" ht="6.45" customHeight="1">
      <c r="A329" t="s">
        <v>1462</v>
      </c>
      <c r="B329">
        <v>6</v>
      </c>
      <c r="C329" t="s">
        <v>21</v>
      </c>
      <c r="D329">
        <v>13</v>
      </c>
      <c r="E329" t="s">
        <v>936</v>
      </c>
      <c r="F329" t="s">
        <v>5322</v>
      </c>
      <c r="G329" t="str">
        <f>B05_Assessment!A13</f>
        <v>2. ROOM READINESS</v>
      </c>
      <c r="H329">
        <f>B05_Assessment!B13</f>
        <v>0</v>
      </c>
      <c r="I329">
        <f>B05_Assessment!C13</f>
        <v>0</v>
      </c>
      <c r="J329">
        <f>B05_Assessment!D13</f>
        <v>0</v>
      </c>
      <c r="K329">
        <f>B05_Assessment!E13</f>
        <v>0</v>
      </c>
      <c r="L329">
        <f>B05_Assessment!F13</f>
        <v>0</v>
      </c>
      <c r="M329">
        <f>B05_Assessment!G13</f>
        <v>0</v>
      </c>
      <c r="N329">
        <f>B05_Assessment!H13</f>
        <v>0</v>
      </c>
      <c r="O329">
        <f>B05_Assessment!I13</f>
        <v>0</v>
      </c>
      <c r="P329" t="str">
        <f>B05_Assessment!J13</f>
        <v>Existing active telecommunications equipment remains in Room 153-A. Environmental conditioning supporting this equipment was not identified. Contractor shall verify that operating conditions comply with equipment manufacturer requirements for all active equipment remaining in service.</v>
      </c>
      <c r="Q329" t="str">
        <f t="shared" si="5"/>
        <v>05|6</v>
      </c>
    </row>
    <row r="330" spans="1:17" ht="6.45" customHeight="1">
      <c r="A330" t="s">
        <v>1462</v>
      </c>
      <c r="B330">
        <v>7</v>
      </c>
      <c r="C330" t="s">
        <v>21</v>
      </c>
      <c r="D330">
        <v>14</v>
      </c>
      <c r="E330" t="s">
        <v>936</v>
      </c>
      <c r="F330" t="s">
        <v>5323</v>
      </c>
      <c r="G330" t="str">
        <f>B05_Assessment!A14</f>
        <v>Room</v>
      </c>
      <c r="H330" t="str">
        <f>B05_Assessment!B14</f>
        <v>Walls / 1-hr Rating</v>
      </c>
      <c r="I330" t="str">
        <f>B05_Assessment!C14</f>
        <v>Ceiling</v>
      </c>
      <c r="J330" t="str">
        <f>B05_Assessment!D14</f>
        <v>Floor / SDC</v>
      </c>
      <c r="K330" t="str">
        <f>B05_Assessment!E14</f>
        <v>Penetrations</v>
      </c>
      <c r="L330" t="str">
        <f>B05_Assessment!F14</f>
        <v>Access Control</v>
      </c>
      <c r="M330" t="str">
        <f>B05_Assessment!G14</f>
        <v>Clearances</v>
      </c>
      <c r="N330" t="str">
        <f>B05_Assessment!H14</f>
        <v>Housekeeping</v>
      </c>
      <c r="O330" t="str">
        <f>B05_Assessment!I14</f>
        <v>Overall</v>
      </c>
      <c r="P330" t="str">
        <f>B05_Assessment!J14</f>
        <v>Comments</v>
      </c>
      <c r="Q330" t="str">
        <f t="shared" si="5"/>
        <v>05|7</v>
      </c>
    </row>
    <row r="331" spans="1:17" ht="6.45" customHeight="1">
      <c r="A331" t="s">
        <v>1462</v>
      </c>
      <c r="B331">
        <v>8</v>
      </c>
      <c r="C331" t="s">
        <v>21</v>
      </c>
      <c r="D331">
        <v>15</v>
      </c>
      <c r="E331" t="s">
        <v>936</v>
      </c>
      <c r="F331" t="s">
        <v>5324</v>
      </c>
      <c r="G331" t="str">
        <f>B05_Assessment!A15</f>
        <v>150</v>
      </c>
      <c r="H331" t="str">
        <f>B05_Assessment!B15</f>
        <v>Verify</v>
      </c>
      <c r="I331" t="str">
        <f>B05_Assessment!C15</f>
        <v>Verify</v>
      </c>
      <c r="J331" t="str">
        <f>B05_Assessment!D15</f>
        <v>Verify</v>
      </c>
      <c r="K331" t="str">
        <f>B05_Assessment!E15</f>
        <v>Verify</v>
      </c>
      <c r="L331" t="str">
        <f>B05_Assessment!F15</f>
        <v>Verify</v>
      </c>
      <c r="M331" t="str">
        <f>B05_Assessment!G15</f>
        <v>Verify</v>
      </c>
      <c r="N331" t="str">
        <f>B05_Assessment!H15</f>
        <v>Verify</v>
      </c>
      <c r="O331" t="str">
        <f>B05_Assessment!I15</f>
        <v>Verify</v>
      </c>
      <c r="P331" t="str">
        <f>B05_Assessment!J15</f>
        <v>TE installation; verify mounting wall/backing, access clearance, power location, pathway/firestop, and room readiness.</v>
      </c>
      <c r="Q331" t="str">
        <f t="shared" si="5"/>
        <v>05|8</v>
      </c>
    </row>
    <row r="332" spans="1:17" ht="6.45" customHeight="1">
      <c r="A332" t="s">
        <v>1462</v>
      </c>
      <c r="B332">
        <v>9</v>
      </c>
      <c r="C332" t="s">
        <v>21</v>
      </c>
      <c r="D332">
        <v>16</v>
      </c>
      <c r="E332" t="s">
        <v>936</v>
      </c>
      <c r="F332" t="s">
        <v>5324</v>
      </c>
      <c r="G332" t="str">
        <f>B05_Assessment!A16</f>
        <v>153-A</v>
      </c>
      <c r="H332" t="str">
        <f>B05_Assessment!B16</f>
        <v>Verify</v>
      </c>
      <c r="I332" t="str">
        <f>B05_Assessment!C16</f>
        <v>Verify</v>
      </c>
      <c r="J332" t="str">
        <f>B05_Assessment!D16</f>
        <v>Verify</v>
      </c>
      <c r="K332" t="str">
        <f>B05_Assessment!E16</f>
        <v>Verify</v>
      </c>
      <c r="L332" t="str">
        <f>B05_Assessment!F16</f>
        <v>Verify</v>
      </c>
      <c r="M332" t="str">
        <f>B05_Assessment!G16</f>
        <v>Verify</v>
      </c>
      <c r="N332" t="str">
        <f>B05_Assessment!H16</f>
        <v>Verify</v>
      </c>
      <c r="O332" t="str">
        <f>B05_Assessment!I16</f>
        <v>Verify</v>
      </c>
      <c r="P332" t="str">
        <f>B05_Assessment!J16</f>
        <v>Existing equipment area; verify what remains operational and how legacy equipment transitions to new TE.</v>
      </c>
      <c r="Q332" t="str">
        <f t="shared" si="5"/>
        <v>05|9</v>
      </c>
    </row>
    <row r="333" spans="1:17" ht="6.45" customHeight="1">
      <c r="A333" t="s">
        <v>1462</v>
      </c>
      <c r="B333">
        <v>10</v>
      </c>
      <c r="C333" t="s">
        <v>21</v>
      </c>
      <c r="D333">
        <v>17</v>
      </c>
      <c r="E333" t="s">
        <v>936</v>
      </c>
      <c r="F333" t="s">
        <v>5325</v>
      </c>
      <c r="G333">
        <f>B05_Assessment!A17</f>
        <v>0</v>
      </c>
      <c r="H333">
        <f>B05_Assessment!B17</f>
        <v>0</v>
      </c>
      <c r="I333">
        <f>B05_Assessment!C17</f>
        <v>0</v>
      </c>
      <c r="J333">
        <f>B05_Assessment!D17</f>
        <v>0</v>
      </c>
      <c r="K333">
        <f>B05_Assessment!E17</f>
        <v>0</v>
      </c>
      <c r="L333">
        <f>B05_Assessment!F17</f>
        <v>0</v>
      </c>
      <c r="M333">
        <f>B05_Assessment!G17</f>
        <v>0</v>
      </c>
      <c r="N333">
        <f>B05_Assessment!H17</f>
        <v>0</v>
      </c>
      <c r="O333">
        <f>B05_Assessment!I17</f>
        <v>0</v>
      </c>
      <c r="P333">
        <f>B05_Assessment!J17</f>
        <v>0</v>
      </c>
      <c r="Q333" t="str">
        <f t="shared" si="5"/>
        <v>05|10</v>
      </c>
    </row>
    <row r="334" spans="1:17" ht="6.45" customHeight="1">
      <c r="A334" t="s">
        <v>1462</v>
      </c>
      <c r="B334">
        <v>11</v>
      </c>
      <c r="C334" t="s">
        <v>21</v>
      </c>
      <c r="D334">
        <v>18</v>
      </c>
      <c r="E334" t="s">
        <v>951</v>
      </c>
      <c r="F334" t="s">
        <v>5322</v>
      </c>
      <c r="G334" t="str">
        <f>B05_Assessment!A18</f>
        <v>3. FIRE PROTECTION</v>
      </c>
      <c r="H334">
        <f>B05_Assessment!B18</f>
        <v>0</v>
      </c>
      <c r="I334">
        <f>B05_Assessment!C18</f>
        <v>0</v>
      </c>
      <c r="J334">
        <f>B05_Assessment!D18</f>
        <v>0</v>
      </c>
      <c r="K334">
        <f>B05_Assessment!E18</f>
        <v>0</v>
      </c>
      <c r="L334">
        <f>B05_Assessment!F18</f>
        <v>0</v>
      </c>
      <c r="M334">
        <f>B05_Assessment!G18</f>
        <v>0</v>
      </c>
      <c r="N334">
        <f>B05_Assessment!H18</f>
        <v>0</v>
      </c>
      <c r="O334">
        <f>B05_Assessment!I18</f>
        <v>0</v>
      </c>
      <c r="P334">
        <f>B05_Assessment!J18</f>
        <v>0</v>
      </c>
      <c r="Q334" t="str">
        <f t="shared" si="5"/>
        <v>05|11</v>
      </c>
    </row>
    <row r="335" spans="1:17" ht="6.45" customHeight="1">
      <c r="A335" t="s">
        <v>1462</v>
      </c>
      <c r="B335">
        <v>12</v>
      </c>
      <c r="C335" t="s">
        <v>21</v>
      </c>
      <c r="D335">
        <v>19</v>
      </c>
      <c r="E335" t="s">
        <v>951</v>
      </c>
      <c r="F335" t="s">
        <v>5323</v>
      </c>
      <c r="G335" t="str">
        <f>B05_Assessment!A19</f>
        <v>Room</v>
      </c>
      <c r="H335" t="str">
        <f>B05_Assessment!B19</f>
        <v>Sprinkler</v>
      </c>
      <c r="I335" t="str">
        <f>B05_Assessment!C19</f>
        <v>Cage</v>
      </c>
      <c r="J335" t="str">
        <f>B05_Assessment!D19</f>
        <v>Detector</v>
      </c>
      <c r="K335" t="str">
        <f>B05_Assessment!E19</f>
        <v>Horn/Strobe</v>
      </c>
      <c r="L335" t="str">
        <f>B05_Assessment!F19</f>
        <v>Extinguisher &lt;75 ft</v>
      </c>
      <c r="M335" t="str">
        <f>B05_Assessment!G19</f>
        <v>Firestop</v>
      </c>
      <c r="N335" t="str">
        <f>B05_Assessment!H19</f>
        <v>Temp Firestop</v>
      </c>
      <c r="O335" t="str">
        <f>B05_Assessment!I19</f>
        <v>Overall</v>
      </c>
      <c r="P335" t="str">
        <f>B05_Assessment!J19</f>
        <v>Risk / Notes</v>
      </c>
      <c r="Q335" t="str">
        <f t="shared" si="5"/>
        <v>05|12</v>
      </c>
    </row>
    <row r="336" spans="1:17" ht="6.45" customHeight="1">
      <c r="A336" t="s">
        <v>1462</v>
      </c>
      <c r="B336">
        <v>13</v>
      </c>
      <c r="C336" t="s">
        <v>21</v>
      </c>
      <c r="D336">
        <v>20</v>
      </c>
      <c r="E336" t="s">
        <v>951</v>
      </c>
      <c r="F336" t="s">
        <v>5324</v>
      </c>
      <c r="G336" t="str">
        <f>B05_Assessment!A20</f>
        <v>150</v>
      </c>
      <c r="H336" t="str">
        <f>B05_Assessment!B20</f>
        <v>N/A</v>
      </c>
      <c r="I336" t="str">
        <f>B05_Assessment!C20</f>
        <v>N/A</v>
      </c>
      <c r="J336" t="str">
        <f>B05_Assessment!D20</f>
        <v>Verify</v>
      </c>
      <c r="K336" t="str">
        <f>B05_Assessment!E20</f>
        <v>Verify</v>
      </c>
      <c r="L336" t="str">
        <f>B05_Assessment!F20</f>
        <v>Verify</v>
      </c>
      <c r="M336" t="str">
        <f>B05_Assessment!G20</f>
        <v>Verify</v>
      </c>
      <c r="N336" t="str">
        <f>B05_Assessment!H20</f>
        <v>Verify</v>
      </c>
      <c r="O336" t="str">
        <f>B05_Assessment!I20</f>
        <v>Verify</v>
      </c>
      <c r="P336" t="str">
        <f>B05_Assessment!J20</f>
        <v>Cover sheet note states mechanical and fire protection scope excluded; still verify firestopping and existing fire alarm/life safety impacts.</v>
      </c>
      <c r="Q336" t="str">
        <f t="shared" si="5"/>
        <v>05|13</v>
      </c>
    </row>
    <row r="337" spans="1:17" ht="6.45" customHeight="1">
      <c r="A337" t="s">
        <v>1462</v>
      </c>
      <c r="B337">
        <v>14</v>
      </c>
      <c r="C337" t="s">
        <v>21</v>
      </c>
      <c r="D337">
        <v>21</v>
      </c>
      <c r="E337" t="s">
        <v>951</v>
      </c>
      <c r="F337" t="s">
        <v>5324</v>
      </c>
      <c r="G337" t="str">
        <f>B05_Assessment!A21</f>
        <v>153-A</v>
      </c>
      <c r="H337" t="str">
        <f>B05_Assessment!B21</f>
        <v>N/A</v>
      </c>
      <c r="I337" t="str">
        <f>B05_Assessment!C21</f>
        <v>N/A</v>
      </c>
      <c r="J337" t="str">
        <f>B05_Assessment!D21</f>
        <v>Verify</v>
      </c>
      <c r="K337" t="str">
        <f>B05_Assessment!E21</f>
        <v>Verify</v>
      </c>
      <c r="L337" t="str">
        <f>B05_Assessment!F21</f>
        <v>Verify</v>
      </c>
      <c r="M337" t="str">
        <f>B05_Assessment!G21</f>
        <v>Verify</v>
      </c>
      <c r="N337" t="str">
        <f>B05_Assessment!H21</f>
        <v>Verify</v>
      </c>
      <c r="O337" t="str">
        <f>B05_Assessment!I21</f>
        <v>Verify</v>
      </c>
      <c r="P337" t="str">
        <f>B05_Assessment!J21</f>
        <v>Existing conditions only; verify protection-in-place and no unsealed penetrations after cabling.</v>
      </c>
      <c r="Q337" t="str">
        <f t="shared" si="5"/>
        <v>05|14</v>
      </c>
    </row>
    <row r="338" spans="1:17" ht="6.45" customHeight="1">
      <c r="A338" t="s">
        <v>1462</v>
      </c>
      <c r="B338">
        <v>15</v>
      </c>
      <c r="C338" t="s">
        <v>21</v>
      </c>
      <c r="D338">
        <v>22</v>
      </c>
      <c r="E338" t="s">
        <v>951</v>
      </c>
      <c r="F338" t="s">
        <v>5325</v>
      </c>
      <c r="G338">
        <f>B05_Assessment!A22</f>
        <v>0</v>
      </c>
      <c r="H338">
        <f>B05_Assessment!B22</f>
        <v>0</v>
      </c>
      <c r="I338">
        <f>B05_Assessment!C22</f>
        <v>0</v>
      </c>
      <c r="J338">
        <f>B05_Assessment!D22</f>
        <v>0</v>
      </c>
      <c r="K338">
        <f>B05_Assessment!E22</f>
        <v>0</v>
      </c>
      <c r="L338">
        <f>B05_Assessment!F22</f>
        <v>0</v>
      </c>
      <c r="M338">
        <f>B05_Assessment!G22</f>
        <v>0</v>
      </c>
      <c r="N338">
        <f>B05_Assessment!H22</f>
        <v>0</v>
      </c>
      <c r="O338">
        <f>B05_Assessment!I22</f>
        <v>0</v>
      </c>
      <c r="P338">
        <f>B05_Assessment!J22</f>
        <v>0</v>
      </c>
      <c r="Q338" t="str">
        <f t="shared" si="5"/>
        <v>05|15</v>
      </c>
    </row>
    <row r="339" spans="1:17" ht="6.45" customHeight="1">
      <c r="A339" t="s">
        <v>1462</v>
      </c>
      <c r="B339">
        <v>16</v>
      </c>
      <c r="C339" t="s">
        <v>21</v>
      </c>
      <c r="D339">
        <v>23</v>
      </c>
      <c r="E339" t="s">
        <v>964</v>
      </c>
      <c r="F339" t="s">
        <v>5322</v>
      </c>
      <c r="G339" t="str">
        <f>B05_Assessment!A23</f>
        <v>4. HVAC / COOLING</v>
      </c>
      <c r="H339">
        <f>B05_Assessment!B23</f>
        <v>0</v>
      </c>
      <c r="I339">
        <f>B05_Assessment!C23</f>
        <v>0</v>
      </c>
      <c r="J339">
        <f>B05_Assessment!D23</f>
        <v>0</v>
      </c>
      <c r="K339">
        <f>B05_Assessment!E23</f>
        <v>0</v>
      </c>
      <c r="L339">
        <f>B05_Assessment!F23</f>
        <v>0</v>
      </c>
      <c r="M339">
        <f>B05_Assessment!G23</f>
        <v>0</v>
      </c>
      <c r="N339">
        <f>B05_Assessment!H23</f>
        <v>0</v>
      </c>
      <c r="O339">
        <f>B05_Assessment!I23</f>
        <v>0</v>
      </c>
      <c r="P339">
        <f>B05_Assessment!J23</f>
        <v>0</v>
      </c>
      <c r="Q339" t="str">
        <f t="shared" si="5"/>
        <v>05|16</v>
      </c>
    </row>
    <row r="340" spans="1:17" ht="6.45" customHeight="1">
      <c r="A340" t="s">
        <v>1462</v>
      </c>
      <c r="B340">
        <v>17</v>
      </c>
      <c r="C340" t="s">
        <v>21</v>
      </c>
      <c r="D340">
        <v>24</v>
      </c>
      <c r="E340" t="s">
        <v>964</v>
      </c>
      <c r="F340" t="s">
        <v>5323</v>
      </c>
      <c r="G340" t="str">
        <f>B05_Assessment!A24</f>
        <v>Room</v>
      </c>
      <c r="H340" t="str">
        <f>B05_Assessment!B24</f>
        <v>Dedicated Unit</v>
      </c>
      <c r="I340" t="str">
        <f>B05_Assessment!C24</f>
        <v>Capacity Verified</v>
      </c>
      <c r="J340" t="str">
        <f>B05_Assessment!D24</f>
        <v>Emergency Power</v>
      </c>
      <c r="K340" t="str">
        <f>B05_Assessment!E24</f>
        <v>Controls / BACnet</v>
      </c>
      <c r="L340" t="str">
        <f>B05_Assessment!F24</f>
        <v>Condensate Routed</v>
      </c>
      <c r="M340" t="str">
        <f>B05_Assessment!G24</f>
        <v>High Temp Alarm</v>
      </c>
      <c r="N340" t="str">
        <f>B05_Assessment!H24</f>
        <v>24/7 Operation</v>
      </c>
      <c r="O340" t="str">
        <f>B05_Assessment!I24</f>
        <v>Overall</v>
      </c>
      <c r="P340" t="str">
        <f>B05_Assessment!J24</f>
        <v>Risk / Notes</v>
      </c>
      <c r="Q340" t="str">
        <f t="shared" si="5"/>
        <v>05|17</v>
      </c>
    </row>
    <row r="341" spans="1:17" ht="6.45" customHeight="1">
      <c r="A341" t="s">
        <v>1462</v>
      </c>
      <c r="B341">
        <v>18</v>
      </c>
      <c r="C341" t="s">
        <v>21</v>
      </c>
      <c r="D341">
        <v>25</v>
      </c>
      <c r="E341" t="s">
        <v>964</v>
      </c>
      <c r="F341" t="s">
        <v>5324</v>
      </c>
      <c r="G341" t="str">
        <f>B05_Assessment!A25</f>
        <v>150</v>
      </c>
      <c r="H341" t="str">
        <f>B05_Assessment!B25</f>
        <v>N/A</v>
      </c>
      <c r="I341" t="str">
        <f>B05_Assessment!C25</f>
        <v>N/A</v>
      </c>
      <c r="J341" t="str">
        <f>B05_Assessment!D25</f>
        <v>N/A</v>
      </c>
      <c r="K341" t="str">
        <f>B05_Assessment!E25</f>
        <v>N/A</v>
      </c>
      <c r="L341" t="str">
        <f>B05_Assessment!F25</f>
        <v>N/A</v>
      </c>
      <c r="M341" t="str">
        <f>B05_Assessment!G25</f>
        <v>N/A</v>
      </c>
      <c r="N341" t="str">
        <f>B05_Assessment!H25</f>
        <v>N/A</v>
      </c>
      <c r="O341" t="str">
        <f>B05_Assessment!I25</f>
        <v>N/A</v>
      </c>
      <c r="P341" t="str">
        <f>B05_Assessment!J25</f>
        <v>Mechanical scope is excluded for Building 05; verify TE heat load is acceptable in existing space and does not require added cooling.</v>
      </c>
      <c r="Q341" t="str">
        <f t="shared" si="5"/>
        <v>05|18</v>
      </c>
    </row>
    <row r="342" spans="1:17" ht="6.45" customHeight="1">
      <c r="A342" t="s">
        <v>1462</v>
      </c>
      <c r="B342">
        <v>19</v>
      </c>
      <c r="C342" t="s">
        <v>21</v>
      </c>
      <c r="D342">
        <v>26</v>
      </c>
      <c r="E342" t="s">
        <v>964</v>
      </c>
      <c r="F342" t="s">
        <v>5324</v>
      </c>
      <c r="G342" t="str">
        <f>B05_Assessment!A26</f>
        <v>153-A</v>
      </c>
      <c r="H342" t="str">
        <f>B05_Assessment!B26</f>
        <v>N/A</v>
      </c>
      <c r="I342" t="str">
        <f>B05_Assessment!C26</f>
        <v>N/A</v>
      </c>
      <c r="J342" t="str">
        <f>B05_Assessment!D26</f>
        <v>N/A</v>
      </c>
      <c r="K342" t="str">
        <f>B05_Assessment!E26</f>
        <v>N/A</v>
      </c>
      <c r="L342" t="str">
        <f>B05_Assessment!F26</f>
        <v>N/A</v>
      </c>
      <c r="M342" t="str">
        <f>B05_Assessment!G26</f>
        <v>N/A</v>
      </c>
      <c r="N342" t="str">
        <f>B05_Assessment!H26</f>
        <v>N/A</v>
      </c>
      <c r="O342" t="str">
        <f>B05_Assessment!I26</f>
        <v>N/A</v>
      </c>
      <c r="P342" t="str">
        <f>B05_Assessment!J26</f>
        <v>Existing wall/wall-mount TE area; verify existing environmental conditions during field survey.</v>
      </c>
      <c r="Q342" t="str">
        <f t="shared" si="5"/>
        <v>05|19</v>
      </c>
    </row>
    <row r="343" spans="1:17" ht="6.45" customHeight="1">
      <c r="A343" t="s">
        <v>1462</v>
      </c>
      <c r="B343">
        <v>20</v>
      </c>
      <c r="C343" t="s">
        <v>21</v>
      </c>
      <c r="D343">
        <v>27</v>
      </c>
      <c r="E343" t="s">
        <v>964</v>
      </c>
      <c r="F343" t="s">
        <v>5325</v>
      </c>
      <c r="G343">
        <f>B05_Assessment!A27</f>
        <v>0</v>
      </c>
      <c r="H343">
        <f>B05_Assessment!B27</f>
        <v>0</v>
      </c>
      <c r="I343">
        <f>B05_Assessment!C27</f>
        <v>0</v>
      </c>
      <c r="J343">
        <f>B05_Assessment!D27</f>
        <v>0</v>
      </c>
      <c r="K343">
        <f>B05_Assessment!E27</f>
        <v>0</v>
      </c>
      <c r="L343">
        <f>B05_Assessment!F27</f>
        <v>0</v>
      </c>
      <c r="M343">
        <f>B05_Assessment!G27</f>
        <v>0</v>
      </c>
      <c r="N343">
        <f>B05_Assessment!H27</f>
        <v>0</v>
      </c>
      <c r="O343">
        <f>B05_Assessment!I27</f>
        <v>0</v>
      </c>
      <c r="P343">
        <f>B05_Assessment!J27</f>
        <v>0</v>
      </c>
      <c r="Q343" t="str">
        <f t="shared" si="5"/>
        <v>05|20</v>
      </c>
    </row>
    <row r="344" spans="1:17" ht="6.45" customHeight="1">
      <c r="A344" t="s">
        <v>1462</v>
      </c>
      <c r="B344">
        <v>21</v>
      </c>
      <c r="C344" t="s">
        <v>21</v>
      </c>
      <c r="D344">
        <v>28</v>
      </c>
      <c r="E344" t="s">
        <v>977</v>
      </c>
      <c r="F344" t="s">
        <v>5322</v>
      </c>
      <c r="G344" t="str">
        <f>B05_Assessment!A28</f>
        <v>5. ELECTRICAL / UPS</v>
      </c>
      <c r="H344">
        <f>B05_Assessment!B28</f>
        <v>0</v>
      </c>
      <c r="I344">
        <f>B05_Assessment!C28</f>
        <v>0</v>
      </c>
      <c r="J344">
        <f>B05_Assessment!D28</f>
        <v>0</v>
      </c>
      <c r="K344">
        <f>B05_Assessment!E28</f>
        <v>0</v>
      </c>
      <c r="L344">
        <f>B05_Assessment!F28</f>
        <v>0</v>
      </c>
      <c r="M344">
        <f>B05_Assessment!G28</f>
        <v>0</v>
      </c>
      <c r="N344">
        <f>B05_Assessment!H28</f>
        <v>0</v>
      </c>
      <c r="O344">
        <f>B05_Assessment!I28</f>
        <v>0</v>
      </c>
      <c r="P344">
        <f>B05_Assessment!J28</f>
        <v>0</v>
      </c>
      <c r="Q344" t="str">
        <f t="shared" si="5"/>
        <v>05|21</v>
      </c>
    </row>
    <row r="345" spans="1:17" ht="6.45" customHeight="1">
      <c r="A345" t="s">
        <v>1462</v>
      </c>
      <c r="B345">
        <v>22</v>
      </c>
      <c r="C345" t="s">
        <v>21</v>
      </c>
      <c r="D345">
        <v>29</v>
      </c>
      <c r="E345" t="s">
        <v>977</v>
      </c>
      <c r="F345" t="s">
        <v>5323</v>
      </c>
      <c r="G345" t="str">
        <f>B05_Assessment!A29</f>
        <v>Room</v>
      </c>
      <c r="H345" t="str">
        <f>B05_Assessment!B29</f>
        <v>UPS Installed</v>
      </c>
      <c r="I345" t="str">
        <f>B05_Assessment!C29</f>
        <v>UPS Size</v>
      </c>
      <c r="J345" t="str">
        <f>B05_Assessment!D29</f>
        <v>PDU Installed</v>
      </c>
      <c r="K345" t="str">
        <f>B05_Assessment!E29</f>
        <v>Rack Receptacles</v>
      </c>
      <c r="L345" t="str">
        <f>B05_Assessment!F29</f>
        <v>Panel Assigned</v>
      </c>
      <c r="M345" t="str">
        <f>B05_Assessment!G29</f>
        <v>Emergency Source</v>
      </c>
      <c r="N345" t="str">
        <f>B05_Assessment!H29</f>
        <v>SPD / Labeling</v>
      </c>
      <c r="O345" t="str">
        <f>B05_Assessment!I29</f>
        <v>Overall</v>
      </c>
      <c r="P345" t="str">
        <f>B05_Assessment!J29</f>
        <v>Notes</v>
      </c>
      <c r="Q345" t="str">
        <f t="shared" si="5"/>
        <v>05|22</v>
      </c>
    </row>
    <row r="346" spans="1:17" ht="6.45" customHeight="1">
      <c r="A346" t="s">
        <v>1462</v>
      </c>
      <c r="B346">
        <v>23</v>
      </c>
      <c r="C346" t="s">
        <v>21</v>
      </c>
      <c r="D346">
        <v>30</v>
      </c>
      <c r="E346" t="s">
        <v>977</v>
      </c>
      <c r="F346" t="s">
        <v>5324</v>
      </c>
      <c r="G346" t="str">
        <f>B05_Assessment!A30</f>
        <v>150</v>
      </c>
      <c r="H346" t="str">
        <f>B05_Assessment!B30</f>
        <v>Verify</v>
      </c>
      <c r="I346" t="str">
        <f>B05_Assessment!C30</f>
        <v>APC UPS / TE scale</v>
      </c>
      <c r="J346" t="str">
        <f>B05_Assessment!D30</f>
        <v>Verify</v>
      </c>
      <c r="K346" t="str">
        <f>B05_Assessment!E30</f>
        <v>Verify</v>
      </c>
      <c r="L346" t="str">
        <f>B05_Assessment!F30</f>
        <v>Verify</v>
      </c>
      <c r="M346" t="str">
        <f>B05_Assessment!G30</f>
        <v>Verify</v>
      </c>
      <c r="N346" t="str">
        <f>B05_Assessment!H30</f>
        <v>Verify</v>
      </c>
      <c r="O346" t="str">
        <f>B05_Assessment!I30</f>
        <v>Verify</v>
      </c>
      <c r="P346" t="str">
        <f>B05_Assessment!J30</f>
        <v>05T-604 shows APC UPS, two PDU L-530 input / NEMA 5-20 output units, 1200V outlet UPS, and 1200V outlet PDU; verify actual electrical schedule/panel/circuit source.</v>
      </c>
      <c r="Q346" t="str">
        <f t="shared" si="5"/>
        <v>05|23</v>
      </c>
    </row>
    <row r="347" spans="1:17" ht="6.45" customHeight="1">
      <c r="A347" t="s">
        <v>1462</v>
      </c>
      <c r="B347">
        <v>24</v>
      </c>
      <c r="C347" t="s">
        <v>21</v>
      </c>
      <c r="D347">
        <v>31</v>
      </c>
      <c r="E347" t="s">
        <v>977</v>
      </c>
      <c r="F347" t="s">
        <v>5324</v>
      </c>
      <c r="G347" t="str">
        <f>B05_Assessment!A31</f>
        <v>153-A</v>
      </c>
      <c r="H347" t="str">
        <f>B05_Assessment!B31</f>
        <v>Existing</v>
      </c>
      <c r="I347" t="str">
        <f>B05_Assessment!C31</f>
        <v>Existing floor UPS</v>
      </c>
      <c r="J347" t="str">
        <f>B05_Assessment!D31</f>
        <v>Existing</v>
      </c>
      <c r="K347" t="str">
        <f>B05_Assessment!E31</f>
        <v>Verify</v>
      </c>
      <c r="L347" t="str">
        <f>B05_Assessment!F31</f>
        <v>Verify</v>
      </c>
      <c r="M347" t="str">
        <f>B05_Assessment!G31</f>
        <v>Verify</v>
      </c>
      <c r="N347" t="str">
        <f>B05_Assessment!H31</f>
        <v>Verify</v>
      </c>
      <c r="O347" t="str">
        <f>B05_Assessment!I31</f>
        <v>Verify</v>
      </c>
      <c r="P347" t="str">
        <f>B05_Assessment!J31</f>
        <v>Existing elevation shows floor UPS and legacy wall-mounted TE equipment; protect active equipment until cutover.</v>
      </c>
      <c r="Q347" t="str">
        <f t="shared" si="5"/>
        <v>05|24</v>
      </c>
    </row>
    <row r="348" spans="1:17" ht="6.45" customHeight="1">
      <c r="A348" t="s">
        <v>1462</v>
      </c>
      <c r="B348">
        <v>25</v>
      </c>
      <c r="C348" t="s">
        <v>21</v>
      </c>
      <c r="D348">
        <v>32</v>
      </c>
      <c r="E348" t="s">
        <v>977</v>
      </c>
      <c r="F348" t="s">
        <v>5325</v>
      </c>
      <c r="G348">
        <f>B05_Assessment!A32</f>
        <v>0</v>
      </c>
      <c r="H348">
        <f>B05_Assessment!B32</f>
        <v>0</v>
      </c>
      <c r="I348">
        <f>B05_Assessment!C32</f>
        <v>0</v>
      </c>
      <c r="J348">
        <f>B05_Assessment!D32</f>
        <v>0</v>
      </c>
      <c r="K348">
        <f>B05_Assessment!E32</f>
        <v>0</v>
      </c>
      <c r="L348">
        <f>B05_Assessment!F32</f>
        <v>0</v>
      </c>
      <c r="M348">
        <f>B05_Assessment!G32</f>
        <v>0</v>
      </c>
      <c r="N348">
        <f>B05_Assessment!H32</f>
        <v>0</v>
      </c>
      <c r="O348">
        <f>B05_Assessment!I32</f>
        <v>0</v>
      </c>
      <c r="P348">
        <f>B05_Assessment!J32</f>
        <v>0</v>
      </c>
      <c r="Q348" t="str">
        <f t="shared" si="5"/>
        <v>05|25</v>
      </c>
    </row>
    <row r="349" spans="1:17" ht="6.45" customHeight="1">
      <c r="A349" t="s">
        <v>1462</v>
      </c>
      <c r="B349">
        <v>26</v>
      </c>
      <c r="C349" t="s">
        <v>21</v>
      </c>
      <c r="D349">
        <v>33</v>
      </c>
      <c r="E349" t="s">
        <v>994</v>
      </c>
      <c r="F349" t="s">
        <v>5322</v>
      </c>
      <c r="G349" t="str">
        <f>B05_Assessment!A33</f>
        <v>6. TELECOMMUNICATIONS</v>
      </c>
      <c r="H349">
        <f>B05_Assessment!B33</f>
        <v>0</v>
      </c>
      <c r="I349">
        <f>B05_Assessment!C33</f>
        <v>0</v>
      </c>
      <c r="J349">
        <f>B05_Assessment!D33</f>
        <v>0</v>
      </c>
      <c r="K349">
        <f>B05_Assessment!E33</f>
        <v>0</v>
      </c>
      <c r="L349">
        <f>B05_Assessment!F33</f>
        <v>0</v>
      </c>
      <c r="M349">
        <f>B05_Assessment!G33</f>
        <v>0</v>
      </c>
      <c r="N349">
        <f>B05_Assessment!H33</f>
        <v>0</v>
      </c>
      <c r="O349">
        <f>B05_Assessment!I33</f>
        <v>0</v>
      </c>
      <c r="P349">
        <f>B05_Assessment!J33</f>
        <v>0</v>
      </c>
      <c r="Q349" t="str">
        <f t="shared" si="5"/>
        <v>05|26</v>
      </c>
    </row>
    <row r="350" spans="1:17" ht="6.45" customHeight="1">
      <c r="A350" t="s">
        <v>1462</v>
      </c>
      <c r="B350">
        <v>27</v>
      </c>
      <c r="C350" t="s">
        <v>21</v>
      </c>
      <c r="D350">
        <v>34</v>
      </c>
      <c r="E350" t="s">
        <v>994</v>
      </c>
      <c r="F350" t="s">
        <v>5323</v>
      </c>
      <c r="G350" t="str">
        <f>B05_Assessment!A34</f>
        <v>Room</v>
      </c>
      <c r="H350" t="str">
        <f>B05_Assessment!B34</f>
        <v>Rack Installed</v>
      </c>
      <c r="I350" t="str">
        <f>B05_Assessment!C34</f>
        <v>Ladder Tray</v>
      </c>
      <c r="J350" t="str">
        <f>B05_Assessment!D34</f>
        <v>Fiber Installed</v>
      </c>
      <c r="K350" t="str">
        <f>B05_Assessment!E34</f>
        <v>Grounding</v>
      </c>
      <c r="L350" t="str">
        <f>B05_Assessment!F34</f>
        <v>Labeling</v>
      </c>
      <c r="M350" t="str">
        <f>B05_Assessment!G34</f>
        <v>Testing</v>
      </c>
      <c r="N350" t="str">
        <f>B05_Assessment!H34</f>
        <v>VA Acceptance</v>
      </c>
      <c r="O350" t="str">
        <f>B05_Assessment!I34</f>
        <v>Overall</v>
      </c>
      <c r="P350" t="str">
        <f>B05_Assessment!J34</f>
        <v>Notes</v>
      </c>
      <c r="Q350" t="str">
        <f t="shared" si="5"/>
        <v>05|27</v>
      </c>
    </row>
    <row r="351" spans="1:17" ht="6.45" customHeight="1">
      <c r="A351" t="s">
        <v>1462</v>
      </c>
      <c r="B351">
        <v>28</v>
      </c>
      <c r="C351" t="s">
        <v>21</v>
      </c>
      <c r="D351">
        <v>35</v>
      </c>
      <c r="E351" t="s">
        <v>994</v>
      </c>
      <c r="F351" t="s">
        <v>5324</v>
      </c>
      <c r="G351" t="str">
        <f>B05_Assessment!A35</f>
        <v>150</v>
      </c>
      <c r="H351" t="str">
        <f>B05_Assessment!B35</f>
        <v>Verify</v>
      </c>
      <c r="I351" t="str">
        <f>B05_Assessment!C35</f>
        <v>N/A / TE</v>
      </c>
      <c r="J351" t="str">
        <f>B05_Assessment!D35</f>
        <v>Verify</v>
      </c>
      <c r="K351" t="str">
        <f>B05_Assessment!E35</f>
        <v>Verify</v>
      </c>
      <c r="L351" t="str">
        <f>B05_Assessment!F35</f>
        <v>Verify</v>
      </c>
      <c r="M351" t="str">
        <f>B05_Assessment!G35</f>
        <v>Verify</v>
      </c>
      <c r="N351" t="str">
        <f>B05_Assessment!H35</f>
        <v>Verify</v>
      </c>
      <c r="O351" t="str">
        <f>B05_Assessment!I35</f>
        <v>Verify</v>
      </c>
      <c r="P351" t="str">
        <f>B05_Assessment!J35</f>
        <v>New Room 150 Telecom Enclosure: 12RU TE with APC UPS, PDUs, cable managers, 48-port angled patch panels, 48-port Cat6A patch panel, and Fiber LIU.</v>
      </c>
      <c r="Q351" t="str">
        <f t="shared" si="5"/>
        <v>05|28</v>
      </c>
    </row>
    <row r="352" spans="1:17" ht="6.45" customHeight="1">
      <c r="A352" t="s">
        <v>1462</v>
      </c>
      <c r="B352">
        <v>29</v>
      </c>
      <c r="C352" t="s">
        <v>21</v>
      </c>
      <c r="D352">
        <v>36</v>
      </c>
      <c r="E352" t="s">
        <v>994</v>
      </c>
      <c r="F352" t="s">
        <v>5324</v>
      </c>
      <c r="G352" t="str">
        <f>B05_Assessment!A36</f>
        <v>153-A</v>
      </c>
      <c r="H352" t="str">
        <f>B05_Assessment!B36</f>
        <v>Existing</v>
      </c>
      <c r="I352" t="str">
        <f>B05_Assessment!C36</f>
        <v>N/A / Wall TE</v>
      </c>
      <c r="J352" t="str">
        <f>B05_Assessment!D36</f>
        <v>Existing</v>
      </c>
      <c r="K352" t="str">
        <f>B05_Assessment!E36</f>
        <v>Verify</v>
      </c>
      <c r="L352" t="str">
        <f>B05_Assessment!F36</f>
        <v>Verify</v>
      </c>
      <c r="M352" t="str">
        <f>B05_Assessment!G36</f>
        <v>Verify</v>
      </c>
      <c r="N352" t="str">
        <f>B05_Assessment!H36</f>
        <v>Verify</v>
      </c>
      <c r="O352" t="str">
        <f>B05_Assessment!I36</f>
        <v>Verify</v>
      </c>
      <c r="P352" t="str">
        <f>B05_Assessment!J36</f>
        <v>Existing Room 153-A wall/wall-mount TE contains Cisco switches and legacy 24-port patch panels; confirm cutover, reuse, demo, and records.</v>
      </c>
      <c r="Q352" t="str">
        <f t="shared" si="5"/>
        <v>05|29</v>
      </c>
    </row>
    <row r="353" spans="1:17" ht="6.45" customHeight="1">
      <c r="A353" t="s">
        <v>1462</v>
      </c>
      <c r="B353">
        <v>30</v>
      </c>
      <c r="C353" t="s">
        <v>21</v>
      </c>
      <c r="D353">
        <v>37</v>
      </c>
      <c r="E353" t="s">
        <v>994</v>
      </c>
      <c r="F353" t="s">
        <v>5325</v>
      </c>
      <c r="G353">
        <f>B05_Assessment!A37</f>
        <v>0</v>
      </c>
      <c r="H353">
        <f>B05_Assessment!B37</f>
        <v>0</v>
      </c>
      <c r="I353">
        <f>B05_Assessment!C37</f>
        <v>0</v>
      </c>
      <c r="J353">
        <f>B05_Assessment!D37</f>
        <v>0</v>
      </c>
      <c r="K353">
        <f>B05_Assessment!E37</f>
        <v>0</v>
      </c>
      <c r="L353">
        <f>B05_Assessment!F37</f>
        <v>0</v>
      </c>
      <c r="M353">
        <f>B05_Assessment!G37</f>
        <v>0</v>
      </c>
      <c r="N353">
        <f>B05_Assessment!H37</f>
        <v>0</v>
      </c>
      <c r="O353">
        <f>B05_Assessment!I37</f>
        <v>0</v>
      </c>
      <c r="P353">
        <f>B05_Assessment!J37</f>
        <v>0</v>
      </c>
      <c r="Q353" t="str">
        <f t="shared" si="5"/>
        <v>05|30</v>
      </c>
    </row>
    <row r="354" spans="1:17" ht="6.45" customHeight="1">
      <c r="A354" t="s">
        <v>1462</v>
      </c>
      <c r="B354">
        <v>31</v>
      </c>
      <c r="C354" t="s">
        <v>21</v>
      </c>
      <c r="D354">
        <v>38</v>
      </c>
      <c r="E354" t="s">
        <v>1007</v>
      </c>
      <c r="F354" t="s">
        <v>5322</v>
      </c>
      <c r="G354" t="str">
        <f>B05_Assessment!A38</f>
        <v>7. SECURITY / PACS / CCTV</v>
      </c>
      <c r="H354">
        <f>B05_Assessment!B38</f>
        <v>0</v>
      </c>
      <c r="I354">
        <f>B05_Assessment!C38</f>
        <v>0</v>
      </c>
      <c r="J354">
        <f>B05_Assessment!D38</f>
        <v>0</v>
      </c>
      <c r="K354">
        <f>B05_Assessment!E38</f>
        <v>0</v>
      </c>
      <c r="L354">
        <f>B05_Assessment!F38</f>
        <v>0</v>
      </c>
      <c r="M354">
        <f>B05_Assessment!G38</f>
        <v>0</v>
      </c>
      <c r="N354">
        <f>B05_Assessment!H38</f>
        <v>0</v>
      </c>
      <c r="O354">
        <f>B05_Assessment!I38</f>
        <v>0</v>
      </c>
      <c r="P354">
        <f>B05_Assessment!J38</f>
        <v>0</v>
      </c>
      <c r="Q354" t="str">
        <f t="shared" si="5"/>
        <v>05|31</v>
      </c>
    </row>
    <row r="355" spans="1:17" ht="6.45" customHeight="1">
      <c r="A355" t="s">
        <v>1462</v>
      </c>
      <c r="B355">
        <v>32</v>
      </c>
      <c r="C355" t="s">
        <v>21</v>
      </c>
      <c r="D355">
        <v>39</v>
      </c>
      <c r="E355" t="s">
        <v>1007</v>
      </c>
      <c r="F355" t="s">
        <v>5323</v>
      </c>
      <c r="G355" t="str">
        <f>B05_Assessment!A39</f>
        <v>Room</v>
      </c>
      <c r="H355" t="str">
        <f>B05_Assessment!B39</f>
        <v>PACS</v>
      </c>
      <c r="I355" t="str">
        <f>B05_Assessment!C39</f>
        <v>Card Reader</v>
      </c>
      <c r="J355" t="str">
        <f>B05_Assessment!D39</f>
        <v>Door Position</v>
      </c>
      <c r="K355" t="str">
        <f>B05_Assessment!E39</f>
        <v>Electric Strike</v>
      </c>
      <c r="L355" t="str">
        <f>B05_Assessment!F39</f>
        <v>CCTV</v>
      </c>
      <c r="M355" t="str">
        <f>B05_Assessment!G39</f>
        <v>Motion Sensor</v>
      </c>
      <c r="N355" t="str">
        <f>B05_Assessment!H39</f>
        <v>Integration</v>
      </c>
      <c r="O355" t="str">
        <f>B05_Assessment!I39</f>
        <v>Overall</v>
      </c>
      <c r="P355" t="str">
        <f>B05_Assessment!J39</f>
        <v>Notes</v>
      </c>
      <c r="Q355" t="str">
        <f t="shared" si="5"/>
        <v>05|32</v>
      </c>
    </row>
    <row r="356" spans="1:17" ht="6.45" customHeight="1">
      <c r="A356" t="s">
        <v>1462</v>
      </c>
      <c r="B356">
        <v>33</v>
      </c>
      <c r="C356" t="s">
        <v>21</v>
      </c>
      <c r="D356">
        <v>40</v>
      </c>
      <c r="E356" t="s">
        <v>1007</v>
      </c>
      <c r="F356" t="s">
        <v>5324</v>
      </c>
      <c r="G356" t="str">
        <f>B05_Assessment!A40</f>
        <v>150</v>
      </c>
      <c r="H356" t="str">
        <f>B05_Assessment!B40</f>
        <v>Verify</v>
      </c>
      <c r="I356" t="str">
        <f>B05_Assessment!C40</f>
        <v>Verify</v>
      </c>
      <c r="J356" t="str">
        <f>B05_Assessment!D40</f>
        <v>Verify</v>
      </c>
      <c r="K356" t="str">
        <f>B05_Assessment!E40</f>
        <v>Verify</v>
      </c>
      <c r="L356" t="str">
        <f>B05_Assessment!F40</f>
        <v>Verify</v>
      </c>
      <c r="M356" t="str">
        <f>B05_Assessment!G40</f>
        <v>Verify</v>
      </c>
      <c r="N356" t="str">
        <f>B05_Assessment!H40</f>
        <v>Verify</v>
      </c>
      <c r="O356" t="str">
        <f>B05_Assessment!I40</f>
        <v>Verify</v>
      </c>
      <c r="P356" t="str">
        <f>B05_Assessment!J40</f>
        <v>Project general scope includes CCTV and PACS for telecom spaces; verify whether TE location receives camera/access control or is served by existing room controls.</v>
      </c>
      <c r="Q356" t="str">
        <f t="shared" si="5"/>
        <v>05|33</v>
      </c>
    </row>
    <row r="357" spans="1:17" ht="6.45" customHeight="1">
      <c r="A357" t="s">
        <v>1462</v>
      </c>
      <c r="B357">
        <v>34</v>
      </c>
      <c r="C357" t="s">
        <v>21</v>
      </c>
      <c r="D357">
        <v>41</v>
      </c>
      <c r="E357" t="s">
        <v>1007</v>
      </c>
      <c r="F357" t="s">
        <v>5324</v>
      </c>
      <c r="G357" t="str">
        <f>B05_Assessment!A41</f>
        <v>153-A</v>
      </c>
      <c r="H357" t="str">
        <f>B05_Assessment!B41</f>
        <v>Verify</v>
      </c>
      <c r="I357" t="str">
        <f>B05_Assessment!C41</f>
        <v>Verify</v>
      </c>
      <c r="J357" t="str">
        <f>B05_Assessment!D41</f>
        <v>Verify</v>
      </c>
      <c r="K357" t="str">
        <f>B05_Assessment!E41</f>
        <v>Verify</v>
      </c>
      <c r="L357" t="str">
        <f>B05_Assessment!F41</f>
        <v>Verify</v>
      </c>
      <c r="M357" t="str">
        <f>B05_Assessment!G41</f>
        <v>Verify</v>
      </c>
      <c r="N357" t="str">
        <f>B05_Assessment!H41</f>
        <v>Verify</v>
      </c>
      <c r="O357" t="str">
        <f>B05_Assessment!I41</f>
        <v>Verify</v>
      </c>
      <c r="P357" t="str">
        <f>B05_Assessment!J41</f>
        <v>Verify existing security protection and whether access-control work is needed for existing TE area.</v>
      </c>
      <c r="Q357" t="str">
        <f t="shared" si="5"/>
        <v>05|34</v>
      </c>
    </row>
    <row r="358" spans="1:17" ht="6.45" customHeight="1">
      <c r="A358" t="s">
        <v>1462</v>
      </c>
      <c r="B358">
        <v>35</v>
      </c>
      <c r="C358" t="s">
        <v>21</v>
      </c>
      <c r="D358">
        <v>42</v>
      </c>
      <c r="E358" t="s">
        <v>1007</v>
      </c>
      <c r="F358" t="s">
        <v>5325</v>
      </c>
      <c r="G358">
        <f>B05_Assessment!A42</f>
        <v>0</v>
      </c>
      <c r="H358">
        <f>B05_Assessment!B42</f>
        <v>0</v>
      </c>
      <c r="I358">
        <f>B05_Assessment!C42</f>
        <v>0</v>
      </c>
      <c r="J358">
        <f>B05_Assessment!D42</f>
        <v>0</v>
      </c>
      <c r="K358">
        <f>B05_Assessment!E42</f>
        <v>0</v>
      </c>
      <c r="L358">
        <f>B05_Assessment!F42</f>
        <v>0</v>
      </c>
      <c r="M358">
        <f>B05_Assessment!G42</f>
        <v>0</v>
      </c>
      <c r="N358">
        <f>B05_Assessment!H42</f>
        <v>0</v>
      </c>
      <c r="O358">
        <f>B05_Assessment!I42</f>
        <v>0</v>
      </c>
      <c r="P358">
        <f>B05_Assessment!J42</f>
        <v>0</v>
      </c>
      <c r="Q358" t="str">
        <f t="shared" si="5"/>
        <v>05|35</v>
      </c>
    </row>
    <row r="359" spans="1:17" ht="6.45" customHeight="1">
      <c r="A359" t="s">
        <v>1462</v>
      </c>
      <c r="B359">
        <v>36</v>
      </c>
      <c r="C359" t="s">
        <v>21</v>
      </c>
      <c r="D359">
        <v>43</v>
      </c>
      <c r="E359" t="s">
        <v>1019</v>
      </c>
      <c r="F359" t="s">
        <v>5322</v>
      </c>
      <c r="G359" t="str">
        <f>B05_Assessment!A43</f>
        <v>8. OWNER RISKS</v>
      </c>
      <c r="H359">
        <f>B05_Assessment!B43</f>
        <v>0</v>
      </c>
      <c r="I359">
        <f>B05_Assessment!C43</f>
        <v>0</v>
      </c>
      <c r="J359">
        <f>B05_Assessment!D43</f>
        <v>0</v>
      </c>
      <c r="K359">
        <f>B05_Assessment!E43</f>
        <v>0</v>
      </c>
      <c r="L359">
        <f>B05_Assessment!F43</f>
        <v>0</v>
      </c>
      <c r="M359">
        <f>B05_Assessment!G43</f>
        <v>0</v>
      </c>
      <c r="N359">
        <f>B05_Assessment!H43</f>
        <v>0</v>
      </c>
      <c r="O359">
        <f>B05_Assessment!I43</f>
        <v>0</v>
      </c>
      <c r="P359">
        <f>B05_Assessment!J43</f>
        <v>0</v>
      </c>
      <c r="Q359" t="str">
        <f t="shared" si="5"/>
        <v>05|36</v>
      </c>
    </row>
    <row r="360" spans="1:17" ht="6.45" customHeight="1">
      <c r="A360" t="s">
        <v>1462</v>
      </c>
      <c r="B360">
        <v>37</v>
      </c>
      <c r="C360" t="s">
        <v>21</v>
      </c>
      <c r="D360">
        <v>44</v>
      </c>
      <c r="E360" t="s">
        <v>1019</v>
      </c>
      <c r="F360" t="s">
        <v>5323</v>
      </c>
      <c r="G360" t="str">
        <f>B05_Assessment!A44</f>
        <v>Risk ID</v>
      </c>
      <c r="H360" t="str">
        <f>B05_Assessment!B44</f>
        <v>Room</v>
      </c>
      <c r="I360" t="str">
        <f>B05_Assessment!C44</f>
        <v>Risk</v>
      </c>
      <c r="J360" t="str">
        <f>B05_Assessment!D44</f>
        <v>Impact</v>
      </c>
      <c r="K360" t="str">
        <f>B05_Assessment!E44</f>
        <v>Probability</v>
      </c>
      <c r="L360" t="str">
        <f>B05_Assessment!F44</f>
        <v>Score</v>
      </c>
      <c r="M360" t="str">
        <f>B05_Assessment!G44</f>
        <v>Mitigation</v>
      </c>
      <c r="N360" t="str">
        <f>B05_Assessment!H44</f>
        <v>Owner</v>
      </c>
      <c r="O360" t="str">
        <f>B05_Assessment!I44</f>
        <v>Status</v>
      </c>
      <c r="P360" t="str">
        <f>B05_Assessment!J44</f>
        <v>Notes</v>
      </c>
      <c r="Q360" t="str">
        <f t="shared" si="5"/>
        <v>05|37</v>
      </c>
    </row>
    <row r="361" spans="1:17" ht="6.45" customHeight="1">
      <c r="A361" t="s">
        <v>1462</v>
      </c>
      <c r="B361">
        <v>38</v>
      </c>
      <c r="C361" t="s">
        <v>21</v>
      </c>
      <c r="D361">
        <v>45</v>
      </c>
      <c r="E361" t="s">
        <v>1019</v>
      </c>
      <c r="F361" t="s">
        <v>5324</v>
      </c>
      <c r="G361" t="str">
        <f>B05_Assessment!A45</f>
        <v>B05-R1</v>
      </c>
      <c r="H361" t="str">
        <f>B05_Assessment!B45</f>
        <v>150</v>
      </c>
      <c r="I361" t="str">
        <f>B05_Assessment!C45</f>
        <v>Telecom Enclosure installation details not field verified</v>
      </c>
      <c r="J361" t="str">
        <f>B05_Assessment!D45</f>
        <v>High</v>
      </c>
      <c r="K361" t="str">
        <f>B05_Assessment!E45</f>
        <v>Medium</v>
      </c>
      <c r="L361">
        <f>B05_Assessment!F45</f>
        <v>6</v>
      </c>
      <c r="M361" t="str">
        <f>B05_Assessment!G45</f>
        <v>Survey wall/backing, clearances, power, conduit/wireway, and access path before installation</v>
      </c>
      <c r="N361" t="str">
        <f>B05_Assessment!H45</f>
        <v>GCC / Contractor</v>
      </c>
      <c r="O361" t="str">
        <f>B05_Assessment!I45</f>
        <v>Closed</v>
      </c>
      <c r="P361" t="str">
        <f>B05_Assessment!J45</f>
        <v>TE rather than full TR.</v>
      </c>
      <c r="Q361" t="str">
        <f t="shared" si="5"/>
        <v>05|38</v>
      </c>
    </row>
    <row r="362" spans="1:17" ht="6.45" customHeight="1">
      <c r="A362" t="s">
        <v>1462</v>
      </c>
      <c r="B362">
        <v>39</v>
      </c>
      <c r="C362" t="s">
        <v>21</v>
      </c>
      <c r="D362">
        <v>46</v>
      </c>
      <c r="E362" t="s">
        <v>1019</v>
      </c>
      <c r="F362" t="s">
        <v>5324</v>
      </c>
      <c r="G362" t="str">
        <f>B05_Assessment!A46</f>
        <v>B05-R2</v>
      </c>
      <c r="H362" t="str">
        <f>B05_Assessment!B46</f>
        <v>153-A</v>
      </c>
      <c r="I362" t="str">
        <f>B05_Assessment!C46</f>
        <v>Existing legacy equipment/cabling may remain active during cutover</v>
      </c>
      <c r="J362" t="str">
        <f>B05_Assessment!D46</f>
        <v>Critical</v>
      </c>
      <c r="K362" t="str">
        <f>B05_Assessment!E46</f>
        <v>Medium</v>
      </c>
      <c r="L362">
        <f>B05_Assessment!F46</f>
        <v>8</v>
      </c>
      <c r="M362" t="str">
        <f>B05_Assessment!G46</f>
        <v>Document active services, create cutover plan, protect-in-place until new TE is operational</v>
      </c>
      <c r="N362" t="str">
        <f>B05_Assessment!H46</f>
        <v>Telecom / OIT / Contractor</v>
      </c>
      <c r="O362" t="str">
        <f>B05_Assessment!I46</f>
        <v>Closed</v>
      </c>
      <c r="P362" t="str">
        <f>B05_Assessment!J46</f>
        <v>Existing Cisco switches and patch panels shown.</v>
      </c>
      <c r="Q362" t="str">
        <f t="shared" si="5"/>
        <v>05|39</v>
      </c>
    </row>
    <row r="363" spans="1:17" ht="6.45" customHeight="1">
      <c r="A363" t="s">
        <v>1462</v>
      </c>
      <c r="B363">
        <v>40</v>
      </c>
      <c r="C363" t="s">
        <v>21</v>
      </c>
      <c r="D363">
        <v>47</v>
      </c>
      <c r="E363" t="s">
        <v>1019</v>
      </c>
      <c r="F363" t="s">
        <v>5324</v>
      </c>
      <c r="G363" t="str">
        <f>B05_Assessment!A47</f>
        <v>B05-R3</v>
      </c>
      <c r="H363" t="str">
        <f>B05_Assessment!B47</f>
        <v>All</v>
      </c>
      <c r="I363" t="str">
        <f>B05_Assessment!C47</f>
        <v>Mechanical/fire protection scope excluded may hide interface risks</v>
      </c>
      <c r="J363" t="str">
        <f>B05_Assessment!D47</f>
        <v>Medium</v>
      </c>
      <c r="K363" t="str">
        <f>B05_Assessment!E47</f>
        <v>Medium</v>
      </c>
      <c r="L363">
        <f>B05_Assessment!F47</f>
        <v>4</v>
      </c>
      <c r="M363" t="str">
        <f>B05_Assessment!G47</f>
        <v>Confirm no added cooling/sprinkler work is required and document basis for N/A</v>
      </c>
      <c r="N363" t="str">
        <f>B05_Assessment!H47</f>
        <v>GCC / VA / Designer</v>
      </c>
      <c r="O363" t="str">
        <f>B05_Assessment!I47</f>
        <v>Closed</v>
      </c>
      <c r="P363" t="str">
        <f>B05_Assessment!J47</f>
        <v>Cover sheet specifically excludes mechanical and fire protection scope.</v>
      </c>
      <c r="Q363" t="str">
        <f t="shared" si="5"/>
        <v>05|40</v>
      </c>
    </row>
    <row r="364" spans="1:17" ht="6.45" customHeight="1">
      <c r="A364" t="s">
        <v>1462</v>
      </c>
      <c r="B364">
        <v>41</v>
      </c>
      <c r="C364" t="s">
        <v>21</v>
      </c>
      <c r="D364">
        <v>48</v>
      </c>
      <c r="E364" t="s">
        <v>1019</v>
      </c>
      <c r="F364" t="s">
        <v>5324</v>
      </c>
      <c r="G364" t="str">
        <f>B05_Assessment!A48</f>
        <v>B05-R4</v>
      </c>
      <c r="H364" t="str">
        <f>B05_Assessment!B48</f>
        <v>150</v>
      </c>
      <c r="I364" t="str">
        <f>B05_Assessment!C48</f>
        <v>Electrical panel/circuit source for TE equipment not confirmed</v>
      </c>
      <c r="J364" t="str">
        <f>B05_Assessment!D48</f>
        <v>High</v>
      </c>
      <c r="K364" t="str">
        <f>B05_Assessment!E48</f>
        <v>Medium</v>
      </c>
      <c r="L364">
        <f>B05_Assessment!F48</f>
        <v>6</v>
      </c>
      <c r="M364" t="str">
        <f>B05_Assessment!G48</f>
        <v>Verify 05E-401/501/601/701 schedules, UPS/PDU receptacles, labels, and emergency power source</v>
      </c>
      <c r="N364" t="str">
        <f>B05_Assessment!H48</f>
        <v>Electrical / GCC</v>
      </c>
      <c r="O364" t="str">
        <f>B05_Assessment!I48</f>
        <v>Closed</v>
      </c>
      <c r="P364" t="str">
        <f>B05_Assessment!J48</f>
        <v>UPS/PDU devices shown in rack elevation.</v>
      </c>
      <c r="Q364" t="str">
        <f t="shared" si="5"/>
        <v>05|41</v>
      </c>
    </row>
    <row r="365" spans="1:17" ht="6.45" customHeight="1">
      <c r="A365" t="s">
        <v>1462</v>
      </c>
      <c r="B365">
        <v>42</v>
      </c>
      <c r="C365" t="s">
        <v>21</v>
      </c>
      <c r="D365">
        <v>49</v>
      </c>
      <c r="E365" t="s">
        <v>1019</v>
      </c>
      <c r="F365" t="s">
        <v>5324</v>
      </c>
      <c r="G365" t="str">
        <f>B05_Assessment!A49</f>
        <v>B05-R5</v>
      </c>
      <c r="H365" t="str">
        <f>B05_Assessment!B49</f>
        <v>All</v>
      </c>
      <c r="I365" t="str">
        <f>B05_Assessment!C49</f>
        <v>Firestopping/penetration sealing still required despite fire protection scope exclusion</v>
      </c>
      <c r="J365" t="str">
        <f>B05_Assessment!D49</f>
        <v>High</v>
      </c>
      <c r="K365" t="str">
        <f>B05_Assessment!E49</f>
        <v>Medium</v>
      </c>
      <c r="L365">
        <f>B05_Assessment!F49</f>
        <v>6</v>
      </c>
      <c r="M365" t="str">
        <f>B05_Assessment!G49</f>
        <v>Inspect all new and reused conduits, sleeves, wall/floor penetrations, and temporary firestop</v>
      </c>
      <c r="N365" t="str">
        <f>B05_Assessment!H49</f>
        <v>GC / Firestop Contractor</v>
      </c>
      <c r="O365" t="str">
        <f>B05_Assessment!I49</f>
        <v>Closed</v>
      </c>
      <c r="P365" t="str">
        <f>B05_Assessment!J49</f>
        <v>Cabling work can create rated assembly risk.</v>
      </c>
      <c r="Q365" t="str">
        <f t="shared" si="5"/>
        <v>05|42</v>
      </c>
    </row>
    <row r="366" spans="1:17" ht="6.45" customHeight="1">
      <c r="A366" t="s">
        <v>1462</v>
      </c>
      <c r="B366">
        <v>43</v>
      </c>
      <c r="C366" t="s">
        <v>21</v>
      </c>
      <c r="D366">
        <v>50</v>
      </c>
      <c r="E366" t="s">
        <v>1019</v>
      </c>
      <c r="F366" t="s">
        <v>5324</v>
      </c>
      <c r="G366" t="str">
        <f>B05_Assessment!A50</f>
        <v>B05-R6</v>
      </c>
      <c r="H366" t="str">
        <f>B05_Assessment!B50</f>
        <v>All</v>
      </c>
      <c r="I366" t="str">
        <f>B05_Assessment!C50</f>
        <v>Commissioning / acceptance documentation may be treated as minor due to TE scope</v>
      </c>
      <c r="J366" t="str">
        <f>B05_Assessment!D50</f>
        <v>Medium</v>
      </c>
      <c r="K366" t="str">
        <f>B05_Assessment!E50</f>
        <v>Medium</v>
      </c>
      <c r="L366">
        <f>B05_Assessment!F50</f>
        <v>4</v>
      </c>
      <c r="M366" t="str">
        <f>B05_Assessment!G50</f>
        <v>Track testing, labeling, OIT acceptance, third-party inspections, and as-builts</v>
      </c>
      <c r="N366" t="str">
        <f>B05_Assessment!H50</f>
        <v>GCC / GC / OIT</v>
      </c>
      <c r="O366" t="str">
        <f>B05_Assessment!I50</f>
        <v>Closed</v>
      </c>
      <c r="P366" t="str">
        <f>B05_Assessment!J50</f>
        <v>All telecom cabling must be tested and accepted.</v>
      </c>
      <c r="Q366" t="str">
        <f t="shared" si="5"/>
        <v>05|43</v>
      </c>
    </row>
    <row r="367" spans="1:17" ht="6.45" customHeight="1">
      <c r="A367" t="s">
        <v>1462</v>
      </c>
      <c r="B367">
        <v>44</v>
      </c>
      <c r="C367" t="s">
        <v>21</v>
      </c>
      <c r="D367">
        <v>51</v>
      </c>
      <c r="E367" t="s">
        <v>1019</v>
      </c>
      <c r="F367" t="s">
        <v>5325</v>
      </c>
      <c r="G367">
        <f>B05_Assessment!A51</f>
        <v>0</v>
      </c>
      <c r="H367">
        <f>B05_Assessment!B51</f>
        <v>0</v>
      </c>
      <c r="I367">
        <f>B05_Assessment!C51</f>
        <v>0</v>
      </c>
      <c r="J367">
        <f>B05_Assessment!D51</f>
        <v>0</v>
      </c>
      <c r="K367">
        <f>B05_Assessment!E51</f>
        <v>0</v>
      </c>
      <c r="L367">
        <f>B05_Assessment!F51</f>
        <v>0</v>
      </c>
      <c r="M367">
        <f>B05_Assessment!G51</f>
        <v>0</v>
      </c>
      <c r="N367">
        <f>B05_Assessment!H51</f>
        <v>0</v>
      </c>
      <c r="O367">
        <f>B05_Assessment!I51</f>
        <v>0</v>
      </c>
      <c r="P367">
        <f>B05_Assessment!J51</f>
        <v>0</v>
      </c>
      <c r="Q367" t="str">
        <f t="shared" si="5"/>
        <v>05|44</v>
      </c>
    </row>
    <row r="368" spans="1:17" ht="6.45" customHeight="1">
      <c r="A368" t="s">
        <v>1462</v>
      </c>
      <c r="B368">
        <v>45</v>
      </c>
      <c r="C368" t="s">
        <v>21</v>
      </c>
      <c r="D368">
        <v>52</v>
      </c>
      <c r="E368" t="s">
        <v>1051</v>
      </c>
      <c r="F368" t="s">
        <v>5322</v>
      </c>
      <c r="G368" t="str">
        <f>B05_Assessment!A52</f>
        <v>9. OPEN QUESTIONS</v>
      </c>
      <c r="H368">
        <f>B05_Assessment!B52</f>
        <v>0</v>
      </c>
      <c r="I368">
        <f>B05_Assessment!C52</f>
        <v>0</v>
      </c>
      <c r="J368">
        <f>B05_Assessment!D52</f>
        <v>0</v>
      </c>
      <c r="K368">
        <f>B05_Assessment!E52</f>
        <v>0</v>
      </c>
      <c r="L368">
        <f>B05_Assessment!F52</f>
        <v>0</v>
      </c>
      <c r="M368">
        <f>B05_Assessment!G52</f>
        <v>0</v>
      </c>
      <c r="N368">
        <f>B05_Assessment!H52</f>
        <v>0</v>
      </c>
      <c r="O368">
        <f>B05_Assessment!I52</f>
        <v>0</v>
      </c>
      <c r="P368">
        <f>B05_Assessment!J52</f>
        <v>0</v>
      </c>
      <c r="Q368" t="str">
        <f t="shared" si="5"/>
        <v>05|45</v>
      </c>
    </row>
    <row r="369" spans="1:17" ht="6.45" customHeight="1">
      <c r="A369" t="s">
        <v>1462</v>
      </c>
      <c r="B369">
        <v>46</v>
      </c>
      <c r="C369" t="s">
        <v>21</v>
      </c>
      <c r="D369">
        <v>53</v>
      </c>
      <c r="E369" t="s">
        <v>1051</v>
      </c>
      <c r="F369" t="s">
        <v>5323</v>
      </c>
      <c r="G369" t="str">
        <f>B05_Assessment!A53</f>
        <v>Question ID</v>
      </c>
      <c r="H369" t="str">
        <f>B05_Assessment!B53</f>
        <v>Question</v>
      </c>
      <c r="I369" t="str">
        <f>B05_Assessment!C53</f>
        <v>Assigned To</v>
      </c>
      <c r="J369" t="str">
        <f>B05_Assessment!D53</f>
        <v>Status</v>
      </c>
      <c r="K369" t="str">
        <f>B05_Assessment!E53</f>
        <v>Needed By</v>
      </c>
      <c r="L369" t="str">
        <f>B05_Assessment!F53</f>
        <v>Answer / Resolution</v>
      </c>
      <c r="M369" t="str">
        <f>B05_Assessment!G53</f>
        <v>Impact if Unanswered</v>
      </c>
      <c r="N369" t="str">
        <f>B05_Assessment!H53</f>
        <v>Follow-up</v>
      </c>
      <c r="O369" t="str">
        <f>B05_Assessment!I53</f>
        <v>Date Closed</v>
      </c>
      <c r="P369" t="str">
        <f>B05_Assessment!J53</f>
        <v>Notes</v>
      </c>
      <c r="Q369" t="str">
        <f t="shared" si="5"/>
        <v>05|46</v>
      </c>
    </row>
    <row r="370" spans="1:17" ht="6.45" customHeight="1">
      <c r="A370" t="s">
        <v>1462</v>
      </c>
      <c r="B370">
        <v>47</v>
      </c>
      <c r="C370" t="s">
        <v>21</v>
      </c>
      <c r="D370">
        <v>54</v>
      </c>
      <c r="E370" t="s">
        <v>1051</v>
      </c>
      <c r="F370" t="s">
        <v>5324</v>
      </c>
      <c r="G370" t="str">
        <f>B05_Assessment!A54</f>
        <v>B05-Q1</v>
      </c>
      <c r="H370" t="str">
        <f>B05_Assessment!B54</f>
        <v>Confirm final TE room/location: Room 150 new TE and Room 153-A existing TE transition point?</v>
      </c>
      <c r="I370" t="str">
        <f>B05_Assessment!C54</f>
        <v>VA / OIT / Designer</v>
      </c>
      <c r="J370" t="str">
        <f>B05_Assessment!D54</f>
        <v>Closed</v>
      </c>
      <c r="K370">
        <f>B05_Assessment!E54</f>
        <v>0</v>
      </c>
      <c r="L370">
        <f>B05_Assessment!F54</f>
        <v>0</v>
      </c>
      <c r="M370" t="str">
        <f>B05_Assessment!G54</f>
        <v>Room inventory could be wrong</v>
      </c>
      <c r="N370">
        <f>B05_Assessment!H54</f>
        <v>0</v>
      </c>
      <c r="O370">
        <f>B05_Assessment!I54</f>
        <v>0</v>
      </c>
      <c r="P370">
        <f>B05_Assessment!J54</f>
        <v>0</v>
      </c>
      <c r="Q370" t="str">
        <f t="shared" si="5"/>
        <v>05|47</v>
      </c>
    </row>
    <row r="371" spans="1:17" ht="6.45" customHeight="1">
      <c r="A371" t="s">
        <v>1462</v>
      </c>
      <c r="B371">
        <v>48</v>
      </c>
      <c r="C371" t="s">
        <v>21</v>
      </c>
      <c r="D371">
        <v>55</v>
      </c>
      <c r="E371" t="s">
        <v>1051</v>
      </c>
      <c r="F371" t="s">
        <v>5324</v>
      </c>
      <c r="G371" t="str">
        <f>B05_Assessment!A55</f>
        <v>B05-Q2</v>
      </c>
      <c r="H371" t="str">
        <f>B05_Assessment!B55</f>
        <v>What active services are currently fed from the existing 153-A TE/legacy patch panels?</v>
      </c>
      <c r="I371" t="str">
        <f>B05_Assessment!C55</f>
        <v>OIT / Contractor</v>
      </c>
      <c r="J371" t="str">
        <f>B05_Assessment!D55</f>
        <v>Closed</v>
      </c>
      <c r="K371">
        <f>B05_Assessment!E55</f>
        <v>0</v>
      </c>
      <c r="L371">
        <f>B05_Assessment!F55</f>
        <v>0</v>
      </c>
      <c r="M371" t="str">
        <f>B05_Assessment!G55</f>
        <v>Potential communications outage</v>
      </c>
      <c r="N371">
        <f>B05_Assessment!H55</f>
        <v>0</v>
      </c>
      <c r="O371">
        <f>B05_Assessment!I55</f>
        <v>0</v>
      </c>
      <c r="P371">
        <f>B05_Assessment!J55</f>
        <v>0</v>
      </c>
      <c r="Q371" t="str">
        <f t="shared" si="5"/>
        <v>05|48</v>
      </c>
    </row>
    <row r="372" spans="1:17" ht="6.45" customHeight="1">
      <c r="A372" t="s">
        <v>1462</v>
      </c>
      <c r="B372">
        <v>49</v>
      </c>
      <c r="C372" t="s">
        <v>21</v>
      </c>
      <c r="D372">
        <v>56</v>
      </c>
      <c r="E372" t="s">
        <v>1051</v>
      </c>
      <c r="F372" t="s">
        <v>5324</v>
      </c>
      <c r="G372" t="str">
        <f>B05_Assessment!A56</f>
        <v>B05-Q3</v>
      </c>
      <c r="H372" t="str">
        <f>B05_Assessment!B56</f>
        <v>What is the approved cutover sequence from existing 153-A equipment to new Room 150 TE?</v>
      </c>
      <c r="I372" t="str">
        <f>B05_Assessment!C56</f>
        <v>OIT / Contractor</v>
      </c>
      <c r="J372" t="str">
        <f>B05_Assessment!D56</f>
        <v>Closed</v>
      </c>
      <c r="K372">
        <f>B05_Assessment!E56</f>
        <v>0</v>
      </c>
      <c r="L372">
        <f>B05_Assessment!F56</f>
        <v>0</v>
      </c>
      <c r="M372" t="str">
        <f>B05_Assessment!G56</f>
        <v>Cutover risk</v>
      </c>
      <c r="N372">
        <f>B05_Assessment!H56</f>
        <v>0</v>
      </c>
      <c r="O372">
        <f>B05_Assessment!I56</f>
        <v>0</v>
      </c>
      <c r="P372">
        <f>B05_Assessment!J56</f>
        <v>0</v>
      </c>
      <c r="Q372" t="str">
        <f t="shared" si="5"/>
        <v>05|49</v>
      </c>
    </row>
    <row r="373" spans="1:17" ht="6.45" customHeight="1">
      <c r="A373" t="s">
        <v>1462</v>
      </c>
      <c r="B373">
        <v>50</v>
      </c>
      <c r="C373" t="s">
        <v>21</v>
      </c>
      <c r="D373">
        <v>57</v>
      </c>
      <c r="E373" t="s">
        <v>1051</v>
      </c>
      <c r="F373" t="s">
        <v>5324</v>
      </c>
      <c r="G373" t="str">
        <f>B05_Assessment!A57</f>
        <v>B05-Q4</v>
      </c>
      <c r="H373" t="str">
        <f>B05_Assessment!B57</f>
        <v>Which electrical panel/circuit serves the Room 150 UPS/PDU outlets?</v>
      </c>
      <c r="I373" t="str">
        <f>B05_Assessment!C57</f>
        <v>Electrical / Designer</v>
      </c>
      <c r="J373" t="str">
        <f>B05_Assessment!D57</f>
        <v>Closed</v>
      </c>
      <c r="K373">
        <f>B05_Assessment!E57</f>
        <v>0</v>
      </c>
      <c r="L373">
        <f>B05_Assessment!F57</f>
        <v>0</v>
      </c>
      <c r="M373" t="str">
        <f>B05_Assessment!G57</f>
        <v>Power source cannot be verified</v>
      </c>
      <c r="N373">
        <f>B05_Assessment!H57</f>
        <v>0</v>
      </c>
      <c r="O373">
        <f>B05_Assessment!I57</f>
        <v>0</v>
      </c>
      <c r="P373">
        <f>B05_Assessment!J57</f>
        <v>0</v>
      </c>
      <c r="Q373" t="str">
        <f t="shared" si="5"/>
        <v>05|50</v>
      </c>
    </row>
    <row r="374" spans="1:17" ht="6.45" customHeight="1">
      <c r="A374" t="s">
        <v>1462</v>
      </c>
      <c r="B374">
        <v>51</v>
      </c>
      <c r="C374" t="s">
        <v>21</v>
      </c>
      <c r="D374">
        <v>58</v>
      </c>
      <c r="E374" t="s">
        <v>1051</v>
      </c>
      <c r="F374" t="s">
        <v>5324</v>
      </c>
      <c r="G374" t="str">
        <f>B05_Assessment!A58</f>
        <v>B05-Q5</v>
      </c>
      <c r="H374" t="str">
        <f>B05_Assessment!B58</f>
        <v>Is emergency/backup power required or provided for the TE UPS/PDU source?</v>
      </c>
      <c r="I374" t="str">
        <f>B05_Assessment!C58</f>
        <v>VA / Electrical</v>
      </c>
      <c r="J374" t="str">
        <f>B05_Assessment!D58</f>
        <v>Closed</v>
      </c>
      <c r="K374">
        <f>B05_Assessment!E58</f>
        <v>0</v>
      </c>
      <c r="L374">
        <f>B05_Assessment!F58</f>
        <v>0</v>
      </c>
      <c r="M374" t="str">
        <f>B05_Assessment!G58</f>
        <v>Continuity requirement unclear</v>
      </c>
      <c r="N374">
        <f>B05_Assessment!H58</f>
        <v>0</v>
      </c>
      <c r="O374">
        <f>B05_Assessment!I58</f>
        <v>0</v>
      </c>
      <c r="P374">
        <f>B05_Assessment!J58</f>
        <v>0</v>
      </c>
      <c r="Q374" t="str">
        <f t="shared" si="5"/>
        <v>05|51</v>
      </c>
    </row>
    <row r="375" spans="1:17" ht="6.45" customHeight="1">
      <c r="A375" t="s">
        <v>1462</v>
      </c>
      <c r="B375">
        <v>52</v>
      </c>
      <c r="C375" t="s">
        <v>21</v>
      </c>
      <c r="D375">
        <v>59</v>
      </c>
      <c r="E375" t="s">
        <v>1051</v>
      </c>
      <c r="F375" t="s">
        <v>5324</v>
      </c>
      <c r="G375" t="str">
        <f>B05_Assessment!A59</f>
        <v>B05-Q6</v>
      </c>
      <c r="H375" t="str">
        <f>B05_Assessment!B59</f>
        <v>Are firestopping locations and surface raceway/conduit routes shown and coordinated?</v>
      </c>
      <c r="I375" t="str">
        <f>B05_Assessment!C59</f>
        <v>GC / Designer</v>
      </c>
      <c r="J375" t="str">
        <f>B05_Assessment!D59</f>
        <v>Closed</v>
      </c>
      <c r="K375">
        <f>B05_Assessment!E59</f>
        <v>0</v>
      </c>
      <c r="L375">
        <f>B05_Assessment!F59</f>
        <v>0</v>
      </c>
      <c r="M375" t="str">
        <f>B05_Assessment!G59</f>
        <v>Rated assembly/firestop risk</v>
      </c>
      <c r="N375">
        <f>B05_Assessment!H59</f>
        <v>0</v>
      </c>
      <c r="O375">
        <f>B05_Assessment!I59</f>
        <v>0</v>
      </c>
      <c r="P375">
        <f>B05_Assessment!J59</f>
        <v>0</v>
      </c>
      <c r="Q375" t="str">
        <f t="shared" si="5"/>
        <v>05|52</v>
      </c>
    </row>
    <row r="376" spans="1:17" ht="6.45" customHeight="1">
      <c r="A376" t="s">
        <v>1462</v>
      </c>
      <c r="B376">
        <v>53</v>
      </c>
      <c r="C376" t="s">
        <v>21</v>
      </c>
      <c r="D376">
        <v>60</v>
      </c>
      <c r="E376" t="s">
        <v>1051</v>
      </c>
      <c r="F376" t="s">
        <v>5324</v>
      </c>
      <c r="G376" t="str">
        <f>B05_Assessment!A60</f>
        <v>B05-Q7</v>
      </c>
      <c r="H376" t="str">
        <f>B05_Assessment!B60</f>
        <v>Does Room 150 or existing Room 153-A require PACS/CCTV modifications, or is existing security adequate?</v>
      </c>
      <c r="I376" t="str">
        <f>B05_Assessment!C60</f>
        <v>Security / VA</v>
      </c>
      <c r="J376" t="str">
        <f>B05_Assessment!D60</f>
        <v>Closed</v>
      </c>
      <c r="K376">
        <f>B05_Assessment!E60</f>
        <v>0</v>
      </c>
      <c r="L376">
        <f>B05_Assessment!F60</f>
        <v>0</v>
      </c>
      <c r="M376" t="str">
        <f>B05_Assessment!G60</f>
        <v>Security acceptance risk</v>
      </c>
      <c r="N376">
        <f>B05_Assessment!H60</f>
        <v>0</v>
      </c>
      <c r="O376">
        <f>B05_Assessment!I60</f>
        <v>0</v>
      </c>
      <c r="P376">
        <f>B05_Assessment!J60</f>
        <v>0</v>
      </c>
      <c r="Q376" t="str">
        <f t="shared" si="5"/>
        <v>05|53</v>
      </c>
    </row>
    <row r="377" spans="1:17" ht="6.45" customHeight="1">
      <c r="A377" t="s">
        <v>1462</v>
      </c>
      <c r="B377">
        <v>54</v>
      </c>
      <c r="C377" t="s">
        <v>21</v>
      </c>
      <c r="D377">
        <v>61</v>
      </c>
      <c r="E377" t="s">
        <v>1051</v>
      </c>
      <c r="F377" t="s">
        <v>5325</v>
      </c>
      <c r="G377">
        <f>B05_Assessment!A61</f>
        <v>0</v>
      </c>
      <c r="H377">
        <f>B05_Assessment!B61</f>
        <v>0</v>
      </c>
      <c r="I377">
        <f>B05_Assessment!C61</f>
        <v>0</v>
      </c>
      <c r="J377">
        <f>B05_Assessment!D61</f>
        <v>0</v>
      </c>
      <c r="K377">
        <f>B05_Assessment!E61</f>
        <v>0</v>
      </c>
      <c r="L377">
        <f>B05_Assessment!F61</f>
        <v>0</v>
      </c>
      <c r="M377">
        <f>B05_Assessment!G61</f>
        <v>0</v>
      </c>
      <c r="N377">
        <f>B05_Assessment!H61</f>
        <v>0</v>
      </c>
      <c r="O377">
        <f>B05_Assessment!I61</f>
        <v>0</v>
      </c>
      <c r="P377">
        <f>B05_Assessment!J61</f>
        <v>0</v>
      </c>
      <c r="Q377" t="str">
        <f t="shared" si="5"/>
        <v>05|54</v>
      </c>
    </row>
    <row r="378" spans="1:17" ht="6.45" customHeight="1">
      <c r="A378" t="s">
        <v>1462</v>
      </c>
      <c r="B378">
        <v>55</v>
      </c>
      <c r="C378" t="s">
        <v>21</v>
      </c>
      <c r="D378">
        <v>62</v>
      </c>
      <c r="E378" t="s">
        <v>1052</v>
      </c>
      <c r="F378" t="s">
        <v>5322</v>
      </c>
      <c r="G378" t="str">
        <f>B05_Assessment!A62</f>
        <v>10. PHOTO LOG</v>
      </c>
      <c r="H378">
        <f>B05_Assessment!B62</f>
        <v>0</v>
      </c>
      <c r="I378">
        <f>B05_Assessment!C62</f>
        <v>0</v>
      </c>
      <c r="J378">
        <f>B05_Assessment!D62</f>
        <v>0</v>
      </c>
      <c r="K378">
        <f>B05_Assessment!E62</f>
        <v>0</v>
      </c>
      <c r="L378">
        <f>B05_Assessment!F62</f>
        <v>0</v>
      </c>
      <c r="M378">
        <f>B05_Assessment!G62</f>
        <v>0</v>
      </c>
      <c r="N378">
        <f>B05_Assessment!H62</f>
        <v>0</v>
      </c>
      <c r="O378">
        <f>B05_Assessment!I62</f>
        <v>0</v>
      </c>
      <c r="P378">
        <f>B05_Assessment!J62</f>
        <v>0</v>
      </c>
      <c r="Q378" t="str">
        <f t="shared" si="5"/>
        <v>05|55</v>
      </c>
    </row>
    <row r="379" spans="1:17" ht="6.45" customHeight="1">
      <c r="A379" t="s">
        <v>1462</v>
      </c>
      <c r="B379">
        <v>56</v>
      </c>
      <c r="C379" t="s">
        <v>21</v>
      </c>
      <c r="D379">
        <v>63</v>
      </c>
      <c r="E379" t="s">
        <v>1052</v>
      </c>
      <c r="F379" t="s">
        <v>5323</v>
      </c>
      <c r="G379" t="str">
        <f>B05_Assessment!A63</f>
        <v>Photo ID</v>
      </c>
      <c r="H379" t="str">
        <f>B05_Assessment!B63</f>
        <v>Room</v>
      </c>
      <c r="I379" t="str">
        <f>B05_Assessment!C63</f>
        <v>Category</v>
      </c>
      <c r="J379" t="str">
        <f>B05_Assessment!D63</f>
        <v>Description</v>
      </c>
      <c r="K379" t="str">
        <f>B05_Assessment!E63</f>
        <v>Date</v>
      </c>
      <c r="L379" t="str">
        <f>B05_Assessment!F63</f>
        <v>Taken By</v>
      </c>
      <c r="M379" t="str">
        <f>B05_Assessment!G63</f>
        <v>File / Link</v>
      </c>
      <c r="N379" t="str">
        <f>B05_Assessment!H63</f>
        <v>Related Risk</v>
      </c>
      <c r="O379" t="str">
        <f>B05_Assessment!I63</f>
        <v>Status</v>
      </c>
      <c r="P379" t="str">
        <f>B05_Assessment!J63</f>
        <v>Notes</v>
      </c>
      <c r="Q379" t="str">
        <f t="shared" si="5"/>
        <v>05|56</v>
      </c>
    </row>
    <row r="380" spans="1:17" ht="6.45" customHeight="1">
      <c r="A380" t="s">
        <v>1462</v>
      </c>
      <c r="B380">
        <v>57</v>
      </c>
      <c r="C380" t="s">
        <v>21</v>
      </c>
      <c r="D380">
        <v>64</v>
      </c>
      <c r="E380" t="s">
        <v>1052</v>
      </c>
      <c r="F380" t="s">
        <v>5324</v>
      </c>
      <c r="G380" t="str">
        <f>B05_Assessment!A64</f>
        <v>B05-P001</v>
      </c>
      <c r="H380" t="str">
        <f>B05_Assessment!B64</f>
        <v>150</v>
      </c>
      <c r="I380" t="str">
        <f>B05_Assessment!C64</f>
        <v>Existing Condition</v>
      </c>
      <c r="J380" t="str">
        <f>B05_Assessment!D64</f>
        <v>Room 150 wall/TE location, mounting surface, clearances, power, pathway</v>
      </c>
      <c r="K380">
        <f>B05_Assessment!E64</f>
        <v>0</v>
      </c>
      <c r="L380" t="str">
        <f>B05_Assessment!F64</f>
        <v>Paul</v>
      </c>
      <c r="M380">
        <f>B05_Assessment!G64</f>
        <v>0</v>
      </c>
      <c r="N380" t="str">
        <f>B05_Assessment!H64</f>
        <v>B05-R1/B05-R4</v>
      </c>
      <c r="O380" t="str">
        <f>B05_Assessment!I64</f>
        <v>Closed</v>
      </c>
      <c r="P380">
        <f>B05_Assessment!J64</f>
        <v>0</v>
      </c>
      <c r="Q380" t="str">
        <f t="shared" si="5"/>
        <v>05|57</v>
      </c>
    </row>
    <row r="381" spans="1:17" ht="6.45" customHeight="1">
      <c r="A381" t="s">
        <v>1462</v>
      </c>
      <c r="B381">
        <v>58</v>
      </c>
      <c r="C381" t="s">
        <v>21</v>
      </c>
      <c r="D381">
        <v>65</v>
      </c>
      <c r="E381" t="s">
        <v>1052</v>
      </c>
      <c r="F381" t="s">
        <v>5324</v>
      </c>
      <c r="G381" t="str">
        <f>B05_Assessment!A65</f>
        <v>B05-P002</v>
      </c>
      <c r="H381" t="str">
        <f>B05_Assessment!B65</f>
        <v>153-A</v>
      </c>
      <c r="I381" t="str">
        <f>B05_Assessment!C65</f>
        <v>Existing Condition</v>
      </c>
      <c r="J381" t="str">
        <f>B05_Assessment!D65</f>
        <v>Existing wall/wall-mount TE, Cisco switches, legacy patch panels, floor UPS</v>
      </c>
      <c r="K381">
        <f>B05_Assessment!E65</f>
        <v>0</v>
      </c>
      <c r="L381" t="str">
        <f>B05_Assessment!F65</f>
        <v>Paul</v>
      </c>
      <c r="M381">
        <f>B05_Assessment!G65</f>
        <v>0</v>
      </c>
      <c r="N381" t="str">
        <f>B05_Assessment!H65</f>
        <v>B05-R2</v>
      </c>
      <c r="O381" t="str">
        <f>B05_Assessment!I65</f>
        <v>Closed</v>
      </c>
      <c r="P381">
        <f>B05_Assessment!J65</f>
        <v>0</v>
      </c>
      <c r="Q381" t="str">
        <f t="shared" si="5"/>
        <v>05|58</v>
      </c>
    </row>
    <row r="382" spans="1:17" ht="6.45" customHeight="1">
      <c r="A382" t="s">
        <v>1462</v>
      </c>
      <c r="B382">
        <v>59</v>
      </c>
      <c r="C382" t="s">
        <v>21</v>
      </c>
      <c r="D382">
        <v>66</v>
      </c>
      <c r="E382" t="s">
        <v>1052</v>
      </c>
      <c r="F382" t="s">
        <v>5324</v>
      </c>
      <c r="G382" t="str">
        <f>B05_Assessment!A66</f>
        <v>B05-P003</v>
      </c>
      <c r="H382" t="str">
        <f>B05_Assessment!B66</f>
        <v>All</v>
      </c>
      <c r="I382" t="str">
        <f>B05_Assessment!C66</f>
        <v>Firestop</v>
      </c>
      <c r="J382" t="str">
        <f>B05_Assessment!D66</f>
        <v>All new/reused penetrations and surface raceway/conduit routes</v>
      </c>
      <c r="K382">
        <f>B05_Assessment!E66</f>
        <v>0</v>
      </c>
      <c r="L382" t="str">
        <f>B05_Assessment!F66</f>
        <v>Paul</v>
      </c>
      <c r="M382">
        <f>B05_Assessment!G66</f>
        <v>0</v>
      </c>
      <c r="N382" t="str">
        <f>B05_Assessment!H66</f>
        <v>B05-R5</v>
      </c>
      <c r="O382" t="str">
        <f>B05_Assessment!I66</f>
        <v>Closed</v>
      </c>
      <c r="P382">
        <f>B05_Assessment!J66</f>
        <v>0</v>
      </c>
      <c r="Q382" t="str">
        <f t="shared" si="5"/>
        <v>05|59</v>
      </c>
    </row>
    <row r="383" spans="1:17" ht="6.45" customHeight="1">
      <c r="A383" t="s">
        <v>1462</v>
      </c>
      <c r="B383">
        <v>60</v>
      </c>
      <c r="C383" t="s">
        <v>21</v>
      </c>
      <c r="D383">
        <v>67</v>
      </c>
      <c r="E383" t="s">
        <v>1052</v>
      </c>
      <c r="F383" t="s">
        <v>5324</v>
      </c>
      <c r="G383" t="str">
        <f>B05_Assessment!A67</f>
        <v>B05-P004</v>
      </c>
      <c r="H383" t="str">
        <f>B05_Assessment!B67</f>
        <v>150</v>
      </c>
      <c r="I383" t="str">
        <f>B05_Assessment!C67</f>
        <v>Electrical</v>
      </c>
      <c r="J383" t="str">
        <f>B05_Assessment!D67</f>
        <v>UPS/PDU outlet, circuit label, panel source, grounding/bonding</v>
      </c>
      <c r="K383">
        <f>B05_Assessment!E67</f>
        <v>0</v>
      </c>
      <c r="L383" t="str">
        <f>B05_Assessment!F67</f>
        <v>Paul</v>
      </c>
      <c r="M383">
        <f>B05_Assessment!G67</f>
        <v>0</v>
      </c>
      <c r="N383" t="str">
        <f>B05_Assessment!H67</f>
        <v>B05-R4</v>
      </c>
      <c r="O383" t="str">
        <f>B05_Assessment!I67</f>
        <v>Closed</v>
      </c>
      <c r="P383">
        <f>B05_Assessment!J67</f>
        <v>0</v>
      </c>
      <c r="Q383" t="str">
        <f t="shared" si="5"/>
        <v>05|60</v>
      </c>
    </row>
    <row r="384" spans="1:17" ht="6.45" customHeight="1">
      <c r="A384" t="s">
        <v>1462</v>
      </c>
      <c r="B384">
        <v>61</v>
      </c>
      <c r="C384" t="s">
        <v>21</v>
      </c>
      <c r="D384">
        <v>68</v>
      </c>
      <c r="E384" t="s">
        <v>1052</v>
      </c>
      <c r="F384" t="s">
        <v>5324</v>
      </c>
      <c r="G384" t="str">
        <f>B05_Assessment!A68</f>
        <v>B05-P005</v>
      </c>
      <c r="H384" t="str">
        <f>B05_Assessment!B68</f>
        <v>All</v>
      </c>
      <c r="I384" t="str">
        <f>B05_Assessment!C68</f>
        <v>Telecom</v>
      </c>
      <c r="J384" t="str">
        <f>B05_Assessment!D68</f>
        <v>TE, patch panels, Fiber LIU, labels, testing records, as-built conditions</v>
      </c>
      <c r="K384">
        <f>B05_Assessment!E68</f>
        <v>0</v>
      </c>
      <c r="L384" t="str">
        <f>B05_Assessment!F68</f>
        <v>Paul</v>
      </c>
      <c r="M384">
        <f>B05_Assessment!G68</f>
        <v>0</v>
      </c>
      <c r="N384" t="str">
        <f>B05_Assessment!H68</f>
        <v>B05-R6</v>
      </c>
      <c r="O384" t="str">
        <f>B05_Assessment!I68</f>
        <v>Closed</v>
      </c>
      <c r="P384">
        <f>B05_Assessment!J68</f>
        <v>0</v>
      </c>
      <c r="Q384" t="str">
        <f t="shared" si="5"/>
        <v>05|61</v>
      </c>
    </row>
    <row r="385" spans="1:17" ht="6.45" customHeight="1">
      <c r="A385" t="s">
        <v>1462</v>
      </c>
      <c r="B385">
        <v>62</v>
      </c>
      <c r="C385" t="s">
        <v>21</v>
      </c>
      <c r="D385">
        <v>69</v>
      </c>
      <c r="E385" t="s">
        <v>1052</v>
      </c>
      <c r="F385" t="s">
        <v>5324</v>
      </c>
      <c r="G385" t="str">
        <f>B05_Assessment!A69</f>
        <v>B05-P006</v>
      </c>
      <c r="H385" t="str">
        <f>B05_Assessment!B69</f>
        <v>All</v>
      </c>
      <c r="I385" t="str">
        <f>B05_Assessment!C69</f>
        <v>Security</v>
      </c>
      <c r="J385" t="str">
        <f>B05_Assessment!D69</f>
        <v>Door/security/CCTV/PACS conditions at TE location</v>
      </c>
      <c r="K385">
        <f>B05_Assessment!E69</f>
        <v>0</v>
      </c>
      <c r="L385" t="str">
        <f>B05_Assessment!F69</f>
        <v>Paul</v>
      </c>
      <c r="M385">
        <f>B05_Assessment!G69</f>
        <v>0</v>
      </c>
      <c r="N385" t="str">
        <f>B05_Assessment!H69</f>
        <v>B05-R6</v>
      </c>
      <c r="O385" t="str">
        <f>B05_Assessment!I69</f>
        <v>Closed</v>
      </c>
      <c r="P385">
        <f>B05_Assessment!J69</f>
        <v>0</v>
      </c>
      <c r="Q385" t="str">
        <f t="shared" si="5"/>
        <v>05|62</v>
      </c>
    </row>
    <row r="386" spans="1:17" ht="6.45" customHeight="1">
      <c r="A386" t="s">
        <v>1462</v>
      </c>
      <c r="B386">
        <v>63</v>
      </c>
      <c r="C386" t="s">
        <v>21</v>
      </c>
      <c r="D386">
        <v>70</v>
      </c>
      <c r="E386" t="s">
        <v>1052</v>
      </c>
      <c r="F386" t="s">
        <v>5325</v>
      </c>
      <c r="G386">
        <f>B05_Assessment!A70</f>
        <v>0</v>
      </c>
      <c r="H386">
        <f>B05_Assessment!B70</f>
        <v>0</v>
      </c>
      <c r="I386">
        <f>B05_Assessment!C70</f>
        <v>0</v>
      </c>
      <c r="J386">
        <f>B05_Assessment!D70</f>
        <v>0</v>
      </c>
      <c r="K386">
        <f>B05_Assessment!E70</f>
        <v>0</v>
      </c>
      <c r="L386">
        <f>B05_Assessment!F70</f>
        <v>0</v>
      </c>
      <c r="M386">
        <f>B05_Assessment!G70</f>
        <v>0</v>
      </c>
      <c r="N386">
        <f>B05_Assessment!H70</f>
        <v>0</v>
      </c>
      <c r="O386">
        <f>B05_Assessment!I70</f>
        <v>0</v>
      </c>
      <c r="P386">
        <f>B05_Assessment!J70</f>
        <v>0</v>
      </c>
      <c r="Q386" t="str">
        <f t="shared" ref="Q386:Q449" si="6">A386&amp;"|"&amp;B386</f>
        <v>05|63</v>
      </c>
    </row>
    <row r="387" spans="1:17" ht="6.45" customHeight="1">
      <c r="A387" t="s">
        <v>1566</v>
      </c>
      <c r="B387">
        <v>1</v>
      </c>
      <c r="C387" t="s">
        <v>23</v>
      </c>
      <c r="D387">
        <v>8</v>
      </c>
      <c r="E387" t="s">
        <v>918</v>
      </c>
      <c r="F387" t="s">
        <v>5322</v>
      </c>
      <c r="G387" t="str">
        <f>B06_Assessment!A8</f>
        <v>1. ROOM INVENTORY</v>
      </c>
      <c r="H387">
        <f>B06_Assessment!B8</f>
        <v>0</v>
      </c>
      <c r="I387">
        <f>B06_Assessment!C8</f>
        <v>0</v>
      </c>
      <c r="J387">
        <f>B06_Assessment!D8</f>
        <v>0</v>
      </c>
      <c r="K387">
        <f>B06_Assessment!E8</f>
        <v>0</v>
      </c>
      <c r="L387">
        <f>B06_Assessment!F8</f>
        <v>0</v>
      </c>
      <c r="M387">
        <f>B06_Assessment!G8</f>
        <v>0</v>
      </c>
      <c r="N387">
        <f>B06_Assessment!H8</f>
        <v>0</v>
      </c>
      <c r="O387">
        <f>B06_Assessment!I8</f>
        <v>0</v>
      </c>
      <c r="P387">
        <f>B06_Assessment!J8</f>
        <v>0</v>
      </c>
      <c r="Q387" t="str">
        <f t="shared" si="6"/>
        <v>06|1</v>
      </c>
    </row>
    <row r="388" spans="1:17" ht="6.45" customHeight="1">
      <c r="A388" t="s">
        <v>1566</v>
      </c>
      <c r="B388">
        <v>2</v>
      </c>
      <c r="C388" t="s">
        <v>23</v>
      </c>
      <c r="D388">
        <v>9</v>
      </c>
      <c r="E388" t="s">
        <v>918</v>
      </c>
      <c r="F388" t="s">
        <v>5323</v>
      </c>
      <c r="G388" t="str">
        <f>B06_Assessment!A9</f>
        <v>Building</v>
      </c>
      <c r="H388" t="str">
        <f>B06_Assessment!B9</f>
        <v>Room</v>
      </c>
      <c r="I388" t="str">
        <f>B06_Assessment!C9</f>
        <v>Floor</v>
      </c>
      <c r="J388" t="str">
        <f>B06_Assessment!D9</f>
        <v>Existing Use</v>
      </c>
      <c r="K388" t="str">
        <f>B06_Assessment!E9</f>
        <v>New Use</v>
      </c>
      <c r="L388" t="str">
        <f>B06_Assessment!F9</f>
        <v>Rack Count</v>
      </c>
      <c r="M388" t="str">
        <f>B06_Assessment!G9</f>
        <v>Future Rack</v>
      </c>
      <c r="N388" t="str">
        <f>B06_Assessment!H9</f>
        <v>Status</v>
      </c>
      <c r="O388" t="str">
        <f>B06_Assessment!I9</f>
        <v>Drawing Ref</v>
      </c>
      <c r="P388" t="str">
        <f>B06_Assessment!J9</f>
        <v>Notes</v>
      </c>
      <c r="Q388" t="str">
        <f t="shared" si="6"/>
        <v>06|2</v>
      </c>
    </row>
    <row r="389" spans="1:17" ht="6.45" customHeight="1">
      <c r="A389" t="s">
        <v>1566</v>
      </c>
      <c r="B389">
        <v>3</v>
      </c>
      <c r="C389" t="s">
        <v>23</v>
      </c>
      <c r="D389">
        <v>10</v>
      </c>
      <c r="E389" t="s">
        <v>918</v>
      </c>
      <c r="F389" t="s">
        <v>5324</v>
      </c>
      <c r="G389" t="str">
        <f>B06_Assessment!A10</f>
        <v>06</v>
      </c>
      <c r="H389" t="str">
        <f>B06_Assessment!B10</f>
        <v>B-01</v>
      </c>
      <c r="I389" t="str">
        <f>B06_Assessment!C10</f>
        <v>Basement</v>
      </c>
      <c r="J389" t="str">
        <f>B06_Assessment!D10</f>
        <v>Existing wall/wall-mount TE and floor UPS</v>
      </c>
      <c r="K389" t="str">
        <f>B06_Assessment!E10</f>
        <v>Existing equipment / transition point</v>
      </c>
      <c r="L389">
        <f>B06_Assessment!F10</f>
        <v>1</v>
      </c>
      <c r="M389">
        <f>B06_Assessment!G10</f>
        <v>0</v>
      </c>
      <c r="N389" t="str">
        <f>B06_Assessment!H10</f>
        <v>Verify</v>
      </c>
      <c r="O389" t="str">
        <f>B06_Assessment!I10</f>
        <v>06T-604</v>
      </c>
      <c r="P389" t="str">
        <f>B06_Assessment!J10</f>
        <v>Existing basement wall/wall-mount TE with Cisco switches, legacy Ortronics 48-port patch panels, and floor UPS.</v>
      </c>
      <c r="Q389" t="str">
        <f t="shared" si="6"/>
        <v>06|3</v>
      </c>
    </row>
    <row r="390" spans="1:17" ht="6.45" customHeight="1">
      <c r="A390" t="s">
        <v>1566</v>
      </c>
      <c r="B390">
        <v>4</v>
      </c>
      <c r="C390" t="s">
        <v>23</v>
      </c>
      <c r="D390">
        <v>11</v>
      </c>
      <c r="E390" t="s">
        <v>918</v>
      </c>
      <c r="F390" t="s">
        <v>5324</v>
      </c>
      <c r="G390" t="str">
        <f>B06_Assessment!A11</f>
        <v>06</v>
      </c>
      <c r="H390" t="str">
        <f>B06_Assessment!B11</f>
        <v>178</v>
      </c>
      <c r="I390" t="str">
        <f>B06_Assessment!C11</f>
        <v>First</v>
      </c>
      <c r="J390" t="str">
        <f>B06_Assessment!D11</f>
        <v>Existing telecom room / group therapy area adjacent</v>
      </c>
      <c r="K390" t="str">
        <f>B06_Assessment!E11</f>
        <v>Telecom Room</v>
      </c>
      <c r="L390">
        <f>B06_Assessment!F11</f>
        <v>2</v>
      </c>
      <c r="M390">
        <f>B06_Assessment!G11</f>
        <v>0</v>
      </c>
      <c r="N390" t="str">
        <f>B06_Assessment!H11</f>
        <v>Verify</v>
      </c>
      <c r="O390" t="str">
        <f>B06_Assessment!I11</f>
        <v>06A-401 / 06E-401 / 06T-604 / 06E-701</v>
      </c>
      <c r="P390" t="str">
        <f>B06_Assessment!J11</f>
        <v>Room 178 shown as 114 SF Telecom Room; existing 2-post racks and new B06-TR178A/B panel work with IU-1-01 cooling.</v>
      </c>
      <c r="Q390" t="str">
        <f t="shared" si="6"/>
        <v>06|4</v>
      </c>
    </row>
    <row r="391" spans="1:17" ht="6.45" customHeight="1">
      <c r="A391" t="s">
        <v>1566</v>
      </c>
      <c r="B391">
        <v>5</v>
      </c>
      <c r="C391" t="s">
        <v>23</v>
      </c>
      <c r="D391">
        <v>12</v>
      </c>
      <c r="E391" t="s">
        <v>918</v>
      </c>
      <c r="F391" t="s">
        <v>5324</v>
      </c>
      <c r="G391" t="str">
        <f>B06_Assessment!A12</f>
        <v>06</v>
      </c>
      <c r="H391" t="str">
        <f>B06_Assessment!B12</f>
        <v>233</v>
      </c>
      <c r="I391" t="str">
        <f>B06_Assessment!C12</f>
        <v>Second</v>
      </c>
      <c r="J391" t="str">
        <f>B06_Assessment!D12</f>
        <v>Data closet / patient toilet area conversion</v>
      </c>
      <c r="K391" t="str">
        <f>B06_Assessment!E12</f>
        <v>Telecom Room</v>
      </c>
      <c r="L391">
        <f>B06_Assessment!F12</f>
        <v>1</v>
      </c>
      <c r="M391">
        <f>B06_Assessment!G12</f>
        <v>1</v>
      </c>
      <c r="N391" t="str">
        <f>B06_Assessment!H12</f>
        <v>Verify</v>
      </c>
      <c r="O391" t="str">
        <f>B06_Assessment!I12</f>
        <v>06A-402 / 06E-401 / 06T-604 / 06E-701</v>
      </c>
      <c r="P391" t="str">
        <f>B06_Assessment!J12</f>
        <v>Room 233 shown as 119 SF Telecom Room/Data Closet; future rack elevation, B06-TR233A/B panels, and IU-2-01 cooling.</v>
      </c>
      <c r="Q391" t="str">
        <f t="shared" si="6"/>
        <v>06|5</v>
      </c>
    </row>
    <row r="392" spans="1:17" ht="6.45" customHeight="1">
      <c r="A392" t="s">
        <v>1566</v>
      </c>
      <c r="B392">
        <v>6</v>
      </c>
      <c r="C392" t="s">
        <v>23</v>
      </c>
      <c r="D392">
        <v>13</v>
      </c>
      <c r="E392" t="s">
        <v>918</v>
      </c>
      <c r="F392" t="s">
        <v>5325</v>
      </c>
      <c r="G392">
        <f>B06_Assessment!A13</f>
        <v>0</v>
      </c>
      <c r="H392">
        <f>B06_Assessment!B13</f>
        <v>0</v>
      </c>
      <c r="I392">
        <f>B06_Assessment!C13</f>
        <v>0</v>
      </c>
      <c r="J392">
        <f>B06_Assessment!D13</f>
        <v>0</v>
      </c>
      <c r="K392">
        <f>B06_Assessment!E13</f>
        <v>0</v>
      </c>
      <c r="L392">
        <f>B06_Assessment!F13</f>
        <v>0</v>
      </c>
      <c r="M392">
        <f>B06_Assessment!G13</f>
        <v>0</v>
      </c>
      <c r="N392">
        <f>B06_Assessment!H13</f>
        <v>0</v>
      </c>
      <c r="O392">
        <f>B06_Assessment!I13</f>
        <v>0</v>
      </c>
      <c r="P392">
        <f>B06_Assessment!J13</f>
        <v>0</v>
      </c>
      <c r="Q392" t="str">
        <f t="shared" si="6"/>
        <v>06|6</v>
      </c>
    </row>
    <row r="393" spans="1:17" ht="6.45" customHeight="1">
      <c r="A393" t="s">
        <v>1566</v>
      </c>
      <c r="B393">
        <v>7</v>
      </c>
      <c r="C393" t="s">
        <v>23</v>
      </c>
      <c r="D393">
        <v>14</v>
      </c>
      <c r="E393" t="s">
        <v>936</v>
      </c>
      <c r="F393" t="s">
        <v>5322</v>
      </c>
      <c r="G393" t="str">
        <f>B06_Assessment!A14</f>
        <v>2. ROOM READINESS</v>
      </c>
      <c r="H393">
        <f>B06_Assessment!B14</f>
        <v>0</v>
      </c>
      <c r="I393">
        <f>B06_Assessment!C14</f>
        <v>0</v>
      </c>
      <c r="J393">
        <f>B06_Assessment!D14</f>
        <v>0</v>
      </c>
      <c r="K393">
        <f>B06_Assessment!E14</f>
        <v>0</v>
      </c>
      <c r="L393">
        <f>B06_Assessment!F14</f>
        <v>0</v>
      </c>
      <c r="M393">
        <f>B06_Assessment!G14</f>
        <v>0</v>
      </c>
      <c r="N393">
        <f>B06_Assessment!H14</f>
        <v>0</v>
      </c>
      <c r="O393">
        <f>B06_Assessment!I14</f>
        <v>0</v>
      </c>
      <c r="P393">
        <f>B06_Assessment!J14</f>
        <v>0</v>
      </c>
      <c r="Q393" t="str">
        <f t="shared" si="6"/>
        <v>06|7</v>
      </c>
    </row>
    <row r="394" spans="1:17" ht="6.45" customHeight="1">
      <c r="A394" t="s">
        <v>1566</v>
      </c>
      <c r="B394">
        <v>8</v>
      </c>
      <c r="C394" t="s">
        <v>23</v>
      </c>
      <c r="D394">
        <v>15</v>
      </c>
      <c r="E394" t="s">
        <v>936</v>
      </c>
      <c r="F394" t="s">
        <v>5323</v>
      </c>
      <c r="G394" t="str">
        <f>B06_Assessment!A15</f>
        <v>Room</v>
      </c>
      <c r="H394" t="str">
        <f>B06_Assessment!B15</f>
        <v>Walls / 1-hr Rating</v>
      </c>
      <c r="I394" t="str">
        <f>B06_Assessment!C15</f>
        <v>Ceiling</v>
      </c>
      <c r="J394" t="str">
        <f>B06_Assessment!D15</f>
        <v>Floor / SDC</v>
      </c>
      <c r="K394" t="str">
        <f>B06_Assessment!E15</f>
        <v>Penetrations</v>
      </c>
      <c r="L394" t="str">
        <f>B06_Assessment!F15</f>
        <v>Access Control</v>
      </c>
      <c r="M394" t="str">
        <f>B06_Assessment!G15</f>
        <v>Clearances</v>
      </c>
      <c r="N394" t="str">
        <f>B06_Assessment!H15</f>
        <v>Housekeeping</v>
      </c>
      <c r="O394" t="str">
        <f>B06_Assessment!I15</f>
        <v>Overall</v>
      </c>
      <c r="P394" t="str">
        <f>B06_Assessment!J15</f>
        <v>Comments</v>
      </c>
      <c r="Q394" t="str">
        <f t="shared" si="6"/>
        <v>06|8</v>
      </c>
    </row>
    <row r="395" spans="1:17" ht="6.45" customHeight="1">
      <c r="A395" t="s">
        <v>1566</v>
      </c>
      <c r="B395">
        <v>9</v>
      </c>
      <c r="C395" t="s">
        <v>23</v>
      </c>
      <c r="D395">
        <v>16</v>
      </c>
      <c r="E395" t="s">
        <v>936</v>
      </c>
      <c r="F395" t="s">
        <v>5324</v>
      </c>
      <c r="G395" t="str">
        <f>B06_Assessment!A16</f>
        <v>B-01</v>
      </c>
      <c r="H395" t="str">
        <f>B06_Assessment!B16</f>
        <v>Verify</v>
      </c>
      <c r="I395" t="str">
        <f>B06_Assessment!C16</f>
        <v>Verify</v>
      </c>
      <c r="J395" t="str">
        <f>B06_Assessment!D16</f>
        <v>Verify</v>
      </c>
      <c r="K395" t="str">
        <f>B06_Assessment!E16</f>
        <v>Verify</v>
      </c>
      <c r="L395" t="str">
        <f>B06_Assessment!F16</f>
        <v>Verify</v>
      </c>
      <c r="M395" t="str">
        <f>B06_Assessment!G16</f>
        <v>Verify</v>
      </c>
      <c r="N395" t="str">
        <f>B06_Assessment!H16</f>
        <v>Verify</v>
      </c>
      <c r="O395" t="str">
        <f>B06_Assessment!I16</f>
        <v>Verify</v>
      </c>
      <c r="P395" t="str">
        <f>B06_Assessment!J16</f>
        <v>Existing basement TE/UPS; protect active services and verify transitions.</v>
      </c>
      <c r="Q395" t="str">
        <f t="shared" si="6"/>
        <v>06|9</v>
      </c>
    </row>
    <row r="396" spans="1:17" ht="6.45" customHeight="1">
      <c r="A396" t="s">
        <v>1566</v>
      </c>
      <c r="B396">
        <v>10</v>
      </c>
      <c r="C396" t="s">
        <v>23</v>
      </c>
      <c r="D396">
        <v>17</v>
      </c>
      <c r="E396" t="s">
        <v>936</v>
      </c>
      <c r="F396" t="s">
        <v>5324</v>
      </c>
      <c r="G396" t="str">
        <f>B06_Assessment!A17</f>
        <v>178</v>
      </c>
      <c r="H396" t="str">
        <f>B06_Assessment!B17</f>
        <v>Verify</v>
      </c>
      <c r="I396" t="str">
        <f>B06_Assessment!C17</f>
        <v>Verify</v>
      </c>
      <c r="J396" t="str">
        <f>B06_Assessment!D17</f>
        <v>Verify</v>
      </c>
      <c r="K396" t="str">
        <f>B06_Assessment!E17</f>
        <v>Verify</v>
      </c>
      <c r="L396" t="str">
        <f>B06_Assessment!F17</f>
        <v>Verify</v>
      </c>
      <c r="M396" t="str">
        <f>B06_Assessment!G17</f>
        <v>Verify</v>
      </c>
      <c r="N396" t="str">
        <f>B06_Assessment!H17</f>
        <v>Verify</v>
      </c>
      <c r="O396" t="str">
        <f>B06_Assessment!I17</f>
        <v>Verify</v>
      </c>
      <c r="P396" t="str">
        <f>B06_Assessment!J17</f>
        <v>First-level TR; verify rated construction, door/security, equipment clearance, cooling unit, and electrical panels.</v>
      </c>
      <c r="Q396" t="str">
        <f t="shared" si="6"/>
        <v>06|10</v>
      </c>
    </row>
    <row r="397" spans="1:17" ht="6.45" customHeight="1">
      <c r="A397" t="s">
        <v>1566</v>
      </c>
      <c r="B397">
        <v>11</v>
      </c>
      <c r="C397" t="s">
        <v>23</v>
      </c>
      <c r="D397">
        <v>18</v>
      </c>
      <c r="E397" t="s">
        <v>936</v>
      </c>
      <c r="F397" t="s">
        <v>5324</v>
      </c>
      <c r="G397" t="str">
        <f>B06_Assessment!A18</f>
        <v>233</v>
      </c>
      <c r="H397" t="str">
        <f>B06_Assessment!B18</f>
        <v>Verify</v>
      </c>
      <c r="I397" t="str">
        <f>B06_Assessment!C18</f>
        <v>Verify</v>
      </c>
      <c r="J397" t="str">
        <f>B06_Assessment!D18</f>
        <v>Verify</v>
      </c>
      <c r="K397" t="str">
        <f>B06_Assessment!E18</f>
        <v>Verify</v>
      </c>
      <c r="L397" t="str">
        <f>B06_Assessment!F18</f>
        <v>Verify</v>
      </c>
      <c r="M397" t="str">
        <f>B06_Assessment!G18</f>
        <v>Verify</v>
      </c>
      <c r="N397" t="str">
        <f>B06_Assessment!H18</f>
        <v>Verify</v>
      </c>
      <c r="O397" t="str">
        <f>B06_Assessment!I18</f>
        <v>Verify</v>
      </c>
      <c r="P397" t="str">
        <f>B06_Assessment!J18</f>
        <v>Second-level TR/Data Closet; architectural notes identify rated wall/door work and fire extinguisher requirements.</v>
      </c>
      <c r="Q397" t="str">
        <f t="shared" si="6"/>
        <v>06|11</v>
      </c>
    </row>
    <row r="398" spans="1:17" ht="6.45" customHeight="1">
      <c r="A398" t="s">
        <v>1566</v>
      </c>
      <c r="B398">
        <v>12</v>
      </c>
      <c r="C398" t="s">
        <v>23</v>
      </c>
      <c r="D398">
        <v>19</v>
      </c>
      <c r="E398" t="s">
        <v>936</v>
      </c>
      <c r="F398" t="s">
        <v>5325</v>
      </c>
      <c r="G398">
        <f>B06_Assessment!A19</f>
        <v>0</v>
      </c>
      <c r="H398">
        <f>B06_Assessment!B19</f>
        <v>0</v>
      </c>
      <c r="I398">
        <f>B06_Assessment!C19</f>
        <v>0</v>
      </c>
      <c r="J398">
        <f>B06_Assessment!D19</f>
        <v>0</v>
      </c>
      <c r="K398">
        <f>B06_Assessment!E19</f>
        <v>0</v>
      </c>
      <c r="L398">
        <f>B06_Assessment!F19</f>
        <v>0</v>
      </c>
      <c r="M398">
        <f>B06_Assessment!G19</f>
        <v>0</v>
      </c>
      <c r="N398">
        <f>B06_Assessment!H19</f>
        <v>0</v>
      </c>
      <c r="O398">
        <f>B06_Assessment!I19</f>
        <v>0</v>
      </c>
      <c r="P398">
        <f>B06_Assessment!J19</f>
        <v>0</v>
      </c>
      <c r="Q398" t="str">
        <f t="shared" si="6"/>
        <v>06|12</v>
      </c>
    </row>
    <row r="399" spans="1:17" ht="6.45" customHeight="1">
      <c r="A399" t="s">
        <v>1566</v>
      </c>
      <c r="B399">
        <v>13</v>
      </c>
      <c r="C399" t="s">
        <v>23</v>
      </c>
      <c r="D399">
        <v>20</v>
      </c>
      <c r="E399" t="s">
        <v>951</v>
      </c>
      <c r="F399" t="s">
        <v>5322</v>
      </c>
      <c r="G399" t="str">
        <f>B06_Assessment!A20</f>
        <v>3. FIRE PROTECTION</v>
      </c>
      <c r="H399">
        <f>B06_Assessment!B20</f>
        <v>0</v>
      </c>
      <c r="I399">
        <f>B06_Assessment!C20</f>
        <v>0</v>
      </c>
      <c r="J399">
        <f>B06_Assessment!D20</f>
        <v>0</v>
      </c>
      <c r="K399">
        <f>B06_Assessment!E20</f>
        <v>0</v>
      </c>
      <c r="L399">
        <f>B06_Assessment!F20</f>
        <v>0</v>
      </c>
      <c r="M399">
        <f>B06_Assessment!G20</f>
        <v>0</v>
      </c>
      <c r="N399">
        <f>B06_Assessment!H20</f>
        <v>0</v>
      </c>
      <c r="O399">
        <f>B06_Assessment!I20</f>
        <v>0</v>
      </c>
      <c r="P399">
        <f>B06_Assessment!J20</f>
        <v>0</v>
      </c>
      <c r="Q399" t="str">
        <f t="shared" si="6"/>
        <v>06|13</v>
      </c>
    </row>
    <row r="400" spans="1:17" ht="6.45" customHeight="1">
      <c r="A400" t="s">
        <v>1566</v>
      </c>
      <c r="B400">
        <v>14</v>
      </c>
      <c r="C400" t="s">
        <v>23</v>
      </c>
      <c r="D400">
        <v>21</v>
      </c>
      <c r="E400" t="s">
        <v>951</v>
      </c>
      <c r="F400" t="s">
        <v>5323</v>
      </c>
      <c r="G400" t="str">
        <f>B06_Assessment!A21</f>
        <v>Room</v>
      </c>
      <c r="H400" t="str">
        <f>B06_Assessment!B21</f>
        <v>Sprinkler</v>
      </c>
      <c r="I400" t="str">
        <f>B06_Assessment!C21</f>
        <v>Cage</v>
      </c>
      <c r="J400" t="str">
        <f>B06_Assessment!D21</f>
        <v>Detector</v>
      </c>
      <c r="K400" t="str">
        <f>B06_Assessment!E21</f>
        <v>Horn/Strobe</v>
      </c>
      <c r="L400" t="str">
        <f>B06_Assessment!F21</f>
        <v>Extinguisher &lt;75 ft</v>
      </c>
      <c r="M400" t="str">
        <f>B06_Assessment!G21</f>
        <v>Firestop</v>
      </c>
      <c r="N400" t="str">
        <f>B06_Assessment!H21</f>
        <v>Temp Firestop</v>
      </c>
      <c r="O400" t="str">
        <f>B06_Assessment!I21</f>
        <v>Overall</v>
      </c>
      <c r="P400" t="str">
        <f>B06_Assessment!J21</f>
        <v>Risk / Notes</v>
      </c>
      <c r="Q400" t="str">
        <f t="shared" si="6"/>
        <v>06|14</v>
      </c>
    </row>
    <row r="401" spans="1:17" ht="6.45" customHeight="1">
      <c r="A401" t="s">
        <v>1566</v>
      </c>
      <c r="B401">
        <v>15</v>
      </c>
      <c r="C401" t="s">
        <v>23</v>
      </c>
      <c r="D401">
        <v>22</v>
      </c>
      <c r="E401" t="s">
        <v>951</v>
      </c>
      <c r="F401" t="s">
        <v>5324</v>
      </c>
      <c r="G401" t="str">
        <f>B06_Assessment!A22</f>
        <v>B-01</v>
      </c>
      <c r="H401" t="str">
        <f>B06_Assessment!B22</f>
        <v>Verify</v>
      </c>
      <c r="I401" t="str">
        <f>B06_Assessment!C22</f>
        <v>N/A</v>
      </c>
      <c r="J401" t="str">
        <f>B06_Assessment!D22</f>
        <v>Verify</v>
      </c>
      <c r="K401" t="str">
        <f>B06_Assessment!E22</f>
        <v>Verify</v>
      </c>
      <c r="L401" t="str">
        <f>B06_Assessment!F22</f>
        <v>Verify</v>
      </c>
      <c r="M401" t="str">
        <f>B06_Assessment!G22</f>
        <v>Verify</v>
      </c>
      <c r="N401" t="str">
        <f>B06_Assessment!H22</f>
        <v>Verify</v>
      </c>
      <c r="O401" t="str">
        <f>B06_Assessment!I22</f>
        <v>Verify</v>
      </c>
      <c r="P401" t="str">
        <f>B06_Assessment!J22</f>
        <v>Existing equipment area; verify no cabling penetrations are left unsealed.</v>
      </c>
      <c r="Q401" t="str">
        <f t="shared" si="6"/>
        <v>06|15</v>
      </c>
    </row>
    <row r="402" spans="1:17" ht="6.45" customHeight="1">
      <c r="A402" t="s">
        <v>1566</v>
      </c>
      <c r="B402">
        <v>16</v>
      </c>
      <c r="C402" t="s">
        <v>23</v>
      </c>
      <c r="D402">
        <v>23</v>
      </c>
      <c r="E402" t="s">
        <v>951</v>
      </c>
      <c r="F402" t="s">
        <v>5324</v>
      </c>
      <c r="G402" t="str">
        <f>B06_Assessment!A23</f>
        <v>178</v>
      </c>
      <c r="H402" t="str">
        <f>B06_Assessment!B23</f>
        <v>Verify</v>
      </c>
      <c r="I402" t="str">
        <f>B06_Assessment!C23</f>
        <v>Verify</v>
      </c>
      <c r="J402" t="str">
        <f>B06_Assessment!D23</f>
        <v>Verify</v>
      </c>
      <c r="K402" t="str">
        <f>B06_Assessment!E23</f>
        <v>Verify</v>
      </c>
      <c r="L402" t="str">
        <f>B06_Assessment!F23</f>
        <v>Verify</v>
      </c>
      <c r="M402" t="str">
        <f>B06_Assessment!G23</f>
        <v>Verify</v>
      </c>
      <c r="N402" t="str">
        <f>B06_Assessment!H23</f>
        <v>Verify</v>
      </c>
      <c r="O402" t="str">
        <f>B06_Assessment!I23</f>
        <v>Verify</v>
      </c>
      <c r="P402" t="str">
        <f>B06_Assessment!J23</f>
        <v>Fully sprinklered building; verify sprinkler modifications, fire alarm devices, FEC location, and impairment/fire watch needs.</v>
      </c>
      <c r="Q402" t="str">
        <f t="shared" si="6"/>
        <v>06|16</v>
      </c>
    </row>
    <row r="403" spans="1:17" ht="6.45" customHeight="1">
      <c r="A403" t="s">
        <v>1566</v>
      </c>
      <c r="B403">
        <v>17</v>
      </c>
      <c r="C403" t="s">
        <v>23</v>
      </c>
      <c r="D403">
        <v>24</v>
      </c>
      <c r="E403" t="s">
        <v>951</v>
      </c>
      <c r="F403" t="s">
        <v>5324</v>
      </c>
      <c r="G403" t="str">
        <f>B06_Assessment!A24</f>
        <v>233</v>
      </c>
      <c r="H403" t="str">
        <f>B06_Assessment!B24</f>
        <v>Verify</v>
      </c>
      <c r="I403" t="str">
        <f>B06_Assessment!C24</f>
        <v>Verify</v>
      </c>
      <c r="J403" t="str">
        <f>B06_Assessment!D24</f>
        <v>Verify</v>
      </c>
      <c r="K403" t="str">
        <f>B06_Assessment!E24</f>
        <v>Verify</v>
      </c>
      <c r="L403" t="str">
        <f>B06_Assessment!F24</f>
        <v>Verify</v>
      </c>
      <c r="M403" t="str">
        <f>B06_Assessment!G24</f>
        <v>Verify</v>
      </c>
      <c r="N403" t="str">
        <f>B06_Assessment!H24</f>
        <v>Verify</v>
      </c>
      <c r="O403" t="str">
        <f>B06_Assessment!I24</f>
        <v>Verify</v>
      </c>
      <c r="P403" t="str">
        <f>B06_Assessment!J24</f>
        <v>Architectural enlarged views call for 1-hour fire/smoke-rated walls, 45-minute door/frame, and FEC within 75 ft.</v>
      </c>
      <c r="Q403" t="str">
        <f t="shared" si="6"/>
        <v>06|17</v>
      </c>
    </row>
    <row r="404" spans="1:17" ht="6.45" customHeight="1">
      <c r="A404" t="s">
        <v>1566</v>
      </c>
      <c r="B404">
        <v>18</v>
      </c>
      <c r="C404" t="s">
        <v>23</v>
      </c>
      <c r="D404">
        <v>25</v>
      </c>
      <c r="E404" t="s">
        <v>951</v>
      </c>
      <c r="F404" t="s">
        <v>5325</v>
      </c>
      <c r="G404">
        <f>B06_Assessment!A25</f>
        <v>0</v>
      </c>
      <c r="H404">
        <f>B06_Assessment!B25</f>
        <v>0</v>
      </c>
      <c r="I404">
        <f>B06_Assessment!C25</f>
        <v>0</v>
      </c>
      <c r="J404">
        <f>B06_Assessment!D25</f>
        <v>0</v>
      </c>
      <c r="K404">
        <f>B06_Assessment!E25</f>
        <v>0</v>
      </c>
      <c r="L404">
        <f>B06_Assessment!F25</f>
        <v>0</v>
      </c>
      <c r="M404">
        <f>B06_Assessment!G25</f>
        <v>0</v>
      </c>
      <c r="N404">
        <f>B06_Assessment!H25</f>
        <v>0</v>
      </c>
      <c r="O404">
        <f>B06_Assessment!I25</f>
        <v>0</v>
      </c>
      <c r="P404">
        <f>B06_Assessment!J25</f>
        <v>0</v>
      </c>
      <c r="Q404" t="str">
        <f t="shared" si="6"/>
        <v>06|18</v>
      </c>
    </row>
    <row r="405" spans="1:17" ht="6.45" customHeight="1">
      <c r="A405" t="s">
        <v>1566</v>
      </c>
      <c r="B405">
        <v>19</v>
      </c>
      <c r="C405" t="s">
        <v>23</v>
      </c>
      <c r="D405">
        <v>26</v>
      </c>
      <c r="E405" t="s">
        <v>964</v>
      </c>
      <c r="F405" t="s">
        <v>5322</v>
      </c>
      <c r="G405" t="str">
        <f>B06_Assessment!A26</f>
        <v>4. HVAC / COOLING</v>
      </c>
      <c r="H405">
        <f>B06_Assessment!B26</f>
        <v>0</v>
      </c>
      <c r="I405">
        <f>B06_Assessment!C26</f>
        <v>0</v>
      </c>
      <c r="J405">
        <f>B06_Assessment!D26</f>
        <v>0</v>
      </c>
      <c r="K405">
        <f>B06_Assessment!E26</f>
        <v>0</v>
      </c>
      <c r="L405">
        <f>B06_Assessment!F26</f>
        <v>0</v>
      </c>
      <c r="M405">
        <f>B06_Assessment!G26</f>
        <v>0</v>
      </c>
      <c r="N405">
        <f>B06_Assessment!H26</f>
        <v>0</v>
      </c>
      <c r="O405">
        <f>B06_Assessment!I26</f>
        <v>0</v>
      </c>
      <c r="P405">
        <f>B06_Assessment!J26</f>
        <v>0</v>
      </c>
      <c r="Q405" t="str">
        <f t="shared" si="6"/>
        <v>06|19</v>
      </c>
    </row>
    <row r="406" spans="1:17" ht="6.45" customHeight="1">
      <c r="A406" t="s">
        <v>1566</v>
      </c>
      <c r="B406">
        <v>20</v>
      </c>
      <c r="C406" t="s">
        <v>23</v>
      </c>
      <c r="D406">
        <v>27</v>
      </c>
      <c r="E406" t="s">
        <v>964</v>
      </c>
      <c r="F406" t="s">
        <v>5323</v>
      </c>
      <c r="G406" t="str">
        <f>B06_Assessment!A27</f>
        <v>Room</v>
      </c>
      <c r="H406" t="str">
        <f>B06_Assessment!B27</f>
        <v>Dedicated Unit</v>
      </c>
      <c r="I406" t="str">
        <f>B06_Assessment!C27</f>
        <v>Capacity Verified</v>
      </c>
      <c r="J406" t="str">
        <f>B06_Assessment!D27</f>
        <v>Emergency Power</v>
      </c>
      <c r="K406" t="str">
        <f>B06_Assessment!E27</f>
        <v>Controls / BACnet</v>
      </c>
      <c r="L406" t="str">
        <f>B06_Assessment!F27</f>
        <v>Condensate Routed</v>
      </c>
      <c r="M406" t="str">
        <f>B06_Assessment!G27</f>
        <v>High Temp Alarm</v>
      </c>
      <c r="N406" t="str">
        <f>B06_Assessment!H27</f>
        <v>24/7 Operation</v>
      </c>
      <c r="O406" t="str">
        <f>B06_Assessment!I27</f>
        <v>Overall</v>
      </c>
      <c r="P406" t="str">
        <f>B06_Assessment!J27</f>
        <v>Risk / Notes</v>
      </c>
      <c r="Q406" t="str">
        <f t="shared" si="6"/>
        <v>06|20</v>
      </c>
    </row>
    <row r="407" spans="1:17" ht="6.45" customHeight="1">
      <c r="A407" t="s">
        <v>1566</v>
      </c>
      <c r="B407">
        <v>21</v>
      </c>
      <c r="C407" t="s">
        <v>23</v>
      </c>
      <c r="D407">
        <v>28</v>
      </c>
      <c r="E407" t="s">
        <v>964</v>
      </c>
      <c r="F407" t="s">
        <v>5324</v>
      </c>
      <c r="G407" t="str">
        <f>B06_Assessment!A28</f>
        <v>B-01</v>
      </c>
      <c r="H407" t="str">
        <f>B06_Assessment!B28</f>
        <v>Existing</v>
      </c>
      <c r="I407" t="str">
        <f>B06_Assessment!C28</f>
        <v>Verify</v>
      </c>
      <c r="J407" t="str">
        <f>B06_Assessment!D28</f>
        <v>Verify</v>
      </c>
      <c r="K407" t="str">
        <f>B06_Assessment!E28</f>
        <v>Verify</v>
      </c>
      <c r="L407" t="str">
        <f>B06_Assessment!F28</f>
        <v>Verify</v>
      </c>
      <c r="M407" t="str">
        <f>B06_Assessment!G28</f>
        <v>Verify</v>
      </c>
      <c r="N407" t="str">
        <f>B06_Assessment!H28</f>
        <v>Verify</v>
      </c>
      <c r="O407" t="str">
        <f>B06_Assessment!I28</f>
        <v>Verify</v>
      </c>
      <c r="P407" t="str">
        <f>B06_Assessment!J28</f>
        <v>Verify basement equipment environmental condition and any heat/load issues during cutover.</v>
      </c>
      <c r="Q407" t="str">
        <f t="shared" si="6"/>
        <v>06|21</v>
      </c>
    </row>
    <row r="408" spans="1:17" ht="6.45" customHeight="1">
      <c r="A408" t="s">
        <v>1566</v>
      </c>
      <c r="B408">
        <v>22</v>
      </c>
      <c r="C408" t="s">
        <v>23</v>
      </c>
      <c r="D408">
        <v>29</v>
      </c>
      <c r="E408" t="s">
        <v>964</v>
      </c>
      <c r="F408" t="s">
        <v>5324</v>
      </c>
      <c r="G408" t="str">
        <f>B06_Assessment!A29</f>
        <v>178</v>
      </c>
      <c r="H408" t="str">
        <f>B06_Assessment!B29</f>
        <v>IU-1-01 / CU-1-01</v>
      </c>
      <c r="I408" t="str">
        <f>B06_Assessment!C29</f>
        <v>Verify</v>
      </c>
      <c r="J408" t="str">
        <f>B06_Assessment!D29</f>
        <v>Verify</v>
      </c>
      <c r="K408" t="str">
        <f>B06_Assessment!E29</f>
        <v>Verify</v>
      </c>
      <c r="L408" t="str">
        <f>B06_Assessment!F29</f>
        <v>Verify</v>
      </c>
      <c r="M408" t="str">
        <f>B06_Assessment!G29</f>
        <v>Verify</v>
      </c>
      <c r="N408" t="str">
        <f>B06_Assessment!H29</f>
        <v>Verify</v>
      </c>
      <c r="O408" t="str">
        <f>B06_Assessment!I29</f>
        <v>Verify</v>
      </c>
      <c r="P408" t="str">
        <f>B06_Assessment!J29</f>
        <v>Mechanical enlarged plan shows new indoor unit IU-1-01 and outdoor CU-1-01; confirm 208V emergency power, BACnet adapter, thermostat, condensate route.</v>
      </c>
      <c r="Q408" t="str">
        <f t="shared" si="6"/>
        <v>06|22</v>
      </c>
    </row>
    <row r="409" spans="1:17" ht="6.45" customHeight="1">
      <c r="A409" t="s">
        <v>1566</v>
      </c>
      <c r="B409">
        <v>23</v>
      </c>
      <c r="C409" t="s">
        <v>23</v>
      </c>
      <c r="D409">
        <v>30</v>
      </c>
      <c r="E409" t="s">
        <v>964</v>
      </c>
      <c r="F409" t="s">
        <v>5324</v>
      </c>
      <c r="G409" t="str">
        <f>B06_Assessment!A30</f>
        <v>233</v>
      </c>
      <c r="H409" t="str">
        <f>B06_Assessment!B30</f>
        <v>IU-2-01 / CU-2-01</v>
      </c>
      <c r="I409" t="str">
        <f>B06_Assessment!C30</f>
        <v>Verify</v>
      </c>
      <c r="J409" t="str">
        <f>B06_Assessment!D30</f>
        <v>Verify</v>
      </c>
      <c r="K409" t="str">
        <f>B06_Assessment!E30</f>
        <v>Verify</v>
      </c>
      <c r="L409" t="str">
        <f>B06_Assessment!F30</f>
        <v>Verify</v>
      </c>
      <c r="M409" t="str">
        <f>B06_Assessment!G30</f>
        <v>Verify</v>
      </c>
      <c r="N409" t="str">
        <f>B06_Assessment!H30</f>
        <v>Verify</v>
      </c>
      <c r="O409" t="str">
        <f>B06_Assessment!I30</f>
        <v>Verify</v>
      </c>
      <c r="P409" t="str">
        <f>B06_Assessment!J30</f>
        <v>Mechanical enlarged plan shows new indoor unit IU-2-01 and outdoor CU-2-01; confirm 208V emergency power, condensate and controls.</v>
      </c>
      <c r="Q409" t="str">
        <f t="shared" si="6"/>
        <v>06|23</v>
      </c>
    </row>
    <row r="410" spans="1:17" ht="6.45" customHeight="1">
      <c r="A410" t="s">
        <v>1566</v>
      </c>
      <c r="B410">
        <v>24</v>
      </c>
      <c r="C410" t="s">
        <v>23</v>
      </c>
      <c r="D410">
        <v>31</v>
      </c>
      <c r="E410" t="s">
        <v>964</v>
      </c>
      <c r="F410" t="s">
        <v>5325</v>
      </c>
      <c r="G410">
        <f>B06_Assessment!A31</f>
        <v>0</v>
      </c>
      <c r="H410">
        <f>B06_Assessment!B31</f>
        <v>0</v>
      </c>
      <c r="I410">
        <f>B06_Assessment!C31</f>
        <v>0</v>
      </c>
      <c r="J410">
        <f>B06_Assessment!D31</f>
        <v>0</v>
      </c>
      <c r="K410">
        <f>B06_Assessment!E31</f>
        <v>0</v>
      </c>
      <c r="L410">
        <f>B06_Assessment!F31</f>
        <v>0</v>
      </c>
      <c r="M410">
        <f>B06_Assessment!G31</f>
        <v>0</v>
      </c>
      <c r="N410">
        <f>B06_Assessment!H31</f>
        <v>0</v>
      </c>
      <c r="O410">
        <f>B06_Assessment!I31</f>
        <v>0</v>
      </c>
      <c r="P410">
        <f>B06_Assessment!J31</f>
        <v>0</v>
      </c>
      <c r="Q410" t="str">
        <f t="shared" si="6"/>
        <v>06|24</v>
      </c>
    </row>
    <row r="411" spans="1:17" ht="6.45" customHeight="1">
      <c r="A411" t="s">
        <v>1566</v>
      </c>
      <c r="B411">
        <v>25</v>
      </c>
      <c r="C411" t="s">
        <v>23</v>
      </c>
      <c r="D411">
        <v>32</v>
      </c>
      <c r="E411" t="s">
        <v>977</v>
      </c>
      <c r="F411" t="s">
        <v>5322</v>
      </c>
      <c r="G411" t="str">
        <f>B06_Assessment!A32</f>
        <v>5. ELECTRICAL / UPS</v>
      </c>
      <c r="H411">
        <f>B06_Assessment!B32</f>
        <v>0</v>
      </c>
      <c r="I411">
        <f>B06_Assessment!C32</f>
        <v>0</v>
      </c>
      <c r="J411">
        <f>B06_Assessment!D32</f>
        <v>0</v>
      </c>
      <c r="K411">
        <f>B06_Assessment!E32</f>
        <v>0</v>
      </c>
      <c r="L411">
        <f>B06_Assessment!F32</f>
        <v>0</v>
      </c>
      <c r="M411">
        <f>B06_Assessment!G32</f>
        <v>0</v>
      </c>
      <c r="N411">
        <f>B06_Assessment!H32</f>
        <v>0</v>
      </c>
      <c r="O411">
        <f>B06_Assessment!I32</f>
        <v>0</v>
      </c>
      <c r="P411">
        <f>B06_Assessment!J32</f>
        <v>0</v>
      </c>
      <c r="Q411" t="str">
        <f t="shared" si="6"/>
        <v>06|25</v>
      </c>
    </row>
    <row r="412" spans="1:17" ht="6.45" customHeight="1">
      <c r="A412" t="s">
        <v>1566</v>
      </c>
      <c r="B412">
        <v>26</v>
      </c>
      <c r="C412" t="s">
        <v>23</v>
      </c>
      <c r="D412">
        <v>33</v>
      </c>
      <c r="E412" t="s">
        <v>977</v>
      </c>
      <c r="F412" t="s">
        <v>5323</v>
      </c>
      <c r="G412" t="str">
        <f>B06_Assessment!A33</f>
        <v>Room</v>
      </c>
      <c r="H412" t="str">
        <f>B06_Assessment!B33</f>
        <v>UPS Installed</v>
      </c>
      <c r="I412" t="str">
        <f>B06_Assessment!C33</f>
        <v>UPS Size</v>
      </c>
      <c r="J412" t="str">
        <f>B06_Assessment!D33</f>
        <v>PDU Installed</v>
      </c>
      <c r="K412" t="str">
        <f>B06_Assessment!E33</f>
        <v>Rack Receptacles</v>
      </c>
      <c r="L412" t="str">
        <f>B06_Assessment!F33</f>
        <v>Panel Assigned</v>
      </c>
      <c r="M412" t="str">
        <f>B06_Assessment!G33</f>
        <v>Emergency Source</v>
      </c>
      <c r="N412" t="str">
        <f>B06_Assessment!H33</f>
        <v>SPD / Labeling</v>
      </c>
      <c r="O412" t="str">
        <f>B06_Assessment!I33</f>
        <v>Overall</v>
      </c>
      <c r="P412" t="str">
        <f>B06_Assessment!J33</f>
        <v>Notes</v>
      </c>
      <c r="Q412" t="str">
        <f t="shared" si="6"/>
        <v>06|26</v>
      </c>
    </row>
    <row r="413" spans="1:17" ht="6.45" customHeight="1">
      <c r="A413" t="s">
        <v>1566</v>
      </c>
      <c r="B413">
        <v>27</v>
      </c>
      <c r="C413" t="s">
        <v>23</v>
      </c>
      <c r="D413">
        <v>34</v>
      </c>
      <c r="E413" t="s">
        <v>977</v>
      </c>
      <c r="F413" t="s">
        <v>5324</v>
      </c>
      <c r="G413" t="str">
        <f>B06_Assessment!A34</f>
        <v>B-01</v>
      </c>
      <c r="H413" t="str">
        <f>B06_Assessment!B34</f>
        <v>Existing</v>
      </c>
      <c r="I413" t="str">
        <f>B06_Assessment!C34</f>
        <v>Existing floor UPS</v>
      </c>
      <c r="J413" t="str">
        <f>B06_Assessment!D34</f>
        <v>Existing</v>
      </c>
      <c r="K413" t="str">
        <f>B06_Assessment!E34</f>
        <v>Verify</v>
      </c>
      <c r="L413" t="str">
        <f>B06_Assessment!F34</f>
        <v>Verify</v>
      </c>
      <c r="M413" t="str">
        <f>B06_Assessment!G34</f>
        <v>Verify</v>
      </c>
      <c r="N413" t="str">
        <f>B06_Assessment!H34</f>
        <v>Verify</v>
      </c>
      <c r="O413" t="str">
        <f>B06_Assessment!I34</f>
        <v>Verify</v>
      </c>
      <c r="P413" t="str">
        <f>B06_Assessment!J34</f>
        <v>Existing UPS on floor shown at B-01; protect active service and confirm any transition/demo requirements.</v>
      </c>
      <c r="Q413" t="str">
        <f t="shared" si="6"/>
        <v>06|27</v>
      </c>
    </row>
    <row r="414" spans="1:17" ht="6.45" customHeight="1">
      <c r="A414" t="s">
        <v>1566</v>
      </c>
      <c r="B414">
        <v>28</v>
      </c>
      <c r="C414" t="s">
        <v>23</v>
      </c>
      <c r="D414">
        <v>35</v>
      </c>
      <c r="E414" t="s">
        <v>977</v>
      </c>
      <c r="F414" t="s">
        <v>5324</v>
      </c>
      <c r="G414" t="str">
        <f>B06_Assessment!A35</f>
        <v>178</v>
      </c>
      <c r="H414" t="str">
        <f>B06_Assessment!B35</f>
        <v>Verify</v>
      </c>
      <c r="I414" t="str">
        <f>B06_Assessment!C35</f>
        <v>5 kW / rack equipment</v>
      </c>
      <c r="J414" t="str">
        <f>B06_Assessment!D35</f>
        <v>Verify</v>
      </c>
      <c r="K414" t="str">
        <f>B06_Assessment!E35</f>
        <v>Verify</v>
      </c>
      <c r="L414" t="str">
        <f>B06_Assessment!F35</f>
        <v>B06-NP-TR / B06-EP-TR / B06-TR178A / B06-TR178B</v>
      </c>
      <c r="M414" t="str">
        <f>B06_Assessment!G35</f>
        <v>Verify</v>
      </c>
      <c r="N414" t="str">
        <f>B06_Assessment!H35</f>
        <v>Verify</v>
      </c>
      <c r="O414" t="str">
        <f>B06_Assessment!I35</f>
        <v>Verify</v>
      </c>
      <c r="P414" t="str">
        <f>B06_Assessment!J35</f>
        <v>Panel schedule shows B06-EP-TR in Telecom Room 178; B06-TR178A/B panels and SPD requirements; load measurement required prior to panel renovation.</v>
      </c>
      <c r="Q414" t="str">
        <f t="shared" si="6"/>
        <v>06|28</v>
      </c>
    </row>
    <row r="415" spans="1:17" ht="6.45" customHeight="1">
      <c r="A415" t="s">
        <v>1566</v>
      </c>
      <c r="B415">
        <v>29</v>
      </c>
      <c r="C415" t="s">
        <v>23</v>
      </c>
      <c r="D415">
        <v>36</v>
      </c>
      <c r="E415" t="s">
        <v>977</v>
      </c>
      <c r="F415" t="s">
        <v>5324</v>
      </c>
      <c r="G415" t="str">
        <f>B06_Assessment!A36</f>
        <v>233</v>
      </c>
      <c r="H415" t="str">
        <f>B06_Assessment!B36</f>
        <v>Verify</v>
      </c>
      <c r="I415" t="str">
        <f>B06_Assessment!C36</f>
        <v>5 kW / rack equipment</v>
      </c>
      <c r="J415" t="str">
        <f>B06_Assessment!D36</f>
        <v>Verify</v>
      </c>
      <c r="K415" t="str">
        <f>B06_Assessment!E36</f>
        <v>Verify</v>
      </c>
      <c r="L415" t="str">
        <f>B06_Assessment!F36</f>
        <v>B06-TR233A / B06-TR233B</v>
      </c>
      <c r="M415" t="str">
        <f>B06_Assessment!G36</f>
        <v>Verify</v>
      </c>
      <c r="N415" t="str">
        <f>B06_Assessment!H36</f>
        <v>Verify</v>
      </c>
      <c r="O415" t="str">
        <f>B06_Assessment!I36</f>
        <v>Verify</v>
      </c>
      <c r="P415" t="str">
        <f>B06_Assessment!J36</f>
        <v>Panel schedule identifies B06-TR233A/B in Telecom Room 233; verify source, circuits, rack receptacles and emergency power.</v>
      </c>
      <c r="Q415" t="str">
        <f t="shared" si="6"/>
        <v>06|29</v>
      </c>
    </row>
    <row r="416" spans="1:17" ht="6.45" customHeight="1">
      <c r="A416" t="s">
        <v>1566</v>
      </c>
      <c r="B416">
        <v>30</v>
      </c>
      <c r="C416" t="s">
        <v>23</v>
      </c>
      <c r="D416">
        <v>37</v>
      </c>
      <c r="E416" t="s">
        <v>977</v>
      </c>
      <c r="F416" t="s">
        <v>5325</v>
      </c>
      <c r="G416">
        <f>B06_Assessment!A37</f>
        <v>0</v>
      </c>
      <c r="H416">
        <f>B06_Assessment!B37</f>
        <v>0</v>
      </c>
      <c r="I416">
        <f>B06_Assessment!C37</f>
        <v>0</v>
      </c>
      <c r="J416">
        <f>B06_Assessment!D37</f>
        <v>0</v>
      </c>
      <c r="K416">
        <f>B06_Assessment!E37</f>
        <v>0</v>
      </c>
      <c r="L416">
        <f>B06_Assessment!F37</f>
        <v>0</v>
      </c>
      <c r="M416">
        <f>B06_Assessment!G37</f>
        <v>0</v>
      </c>
      <c r="N416">
        <f>B06_Assessment!H37</f>
        <v>0</v>
      </c>
      <c r="O416">
        <f>B06_Assessment!I37</f>
        <v>0</v>
      </c>
      <c r="P416">
        <f>B06_Assessment!J37</f>
        <v>0</v>
      </c>
      <c r="Q416" t="str">
        <f t="shared" si="6"/>
        <v>06|30</v>
      </c>
    </row>
    <row r="417" spans="1:17" ht="6.45" customHeight="1">
      <c r="A417" t="s">
        <v>1566</v>
      </c>
      <c r="B417">
        <v>31</v>
      </c>
      <c r="C417" t="s">
        <v>23</v>
      </c>
      <c r="D417">
        <v>38</v>
      </c>
      <c r="E417" t="s">
        <v>994</v>
      </c>
      <c r="F417" t="s">
        <v>5322</v>
      </c>
      <c r="G417" t="str">
        <f>B06_Assessment!A38</f>
        <v>6. TELECOMMUNICATIONS</v>
      </c>
      <c r="H417">
        <f>B06_Assessment!B38</f>
        <v>0</v>
      </c>
      <c r="I417">
        <f>B06_Assessment!C38</f>
        <v>0</v>
      </c>
      <c r="J417">
        <f>B06_Assessment!D38</f>
        <v>0</v>
      </c>
      <c r="K417">
        <f>B06_Assessment!E38</f>
        <v>0</v>
      </c>
      <c r="L417">
        <f>B06_Assessment!F38</f>
        <v>0</v>
      </c>
      <c r="M417">
        <f>B06_Assessment!G38</f>
        <v>0</v>
      </c>
      <c r="N417">
        <f>B06_Assessment!H38</f>
        <v>0</v>
      </c>
      <c r="O417">
        <f>B06_Assessment!I38</f>
        <v>0</v>
      </c>
      <c r="P417">
        <f>B06_Assessment!J38</f>
        <v>0</v>
      </c>
      <c r="Q417" t="str">
        <f t="shared" si="6"/>
        <v>06|31</v>
      </c>
    </row>
    <row r="418" spans="1:17" ht="6.45" customHeight="1">
      <c r="A418" t="s">
        <v>1566</v>
      </c>
      <c r="B418">
        <v>32</v>
      </c>
      <c r="C418" t="s">
        <v>23</v>
      </c>
      <c r="D418">
        <v>39</v>
      </c>
      <c r="E418" t="s">
        <v>994</v>
      </c>
      <c r="F418" t="s">
        <v>5323</v>
      </c>
      <c r="G418" t="str">
        <f>B06_Assessment!A39</f>
        <v>Room</v>
      </c>
      <c r="H418" t="str">
        <f>B06_Assessment!B39</f>
        <v>Rack Installed</v>
      </c>
      <c r="I418" t="str">
        <f>B06_Assessment!C39</f>
        <v>Ladder Tray</v>
      </c>
      <c r="J418" t="str">
        <f>B06_Assessment!D39</f>
        <v>Fiber Installed</v>
      </c>
      <c r="K418" t="str">
        <f>B06_Assessment!E39</f>
        <v>Grounding</v>
      </c>
      <c r="L418" t="str">
        <f>B06_Assessment!F39</f>
        <v>Labeling</v>
      </c>
      <c r="M418" t="str">
        <f>B06_Assessment!G39</f>
        <v>Testing</v>
      </c>
      <c r="N418" t="str">
        <f>B06_Assessment!H39</f>
        <v>VA Acceptance</v>
      </c>
      <c r="O418" t="str">
        <f>B06_Assessment!I39</f>
        <v>Overall</v>
      </c>
      <c r="P418" t="str">
        <f>B06_Assessment!J39</f>
        <v>Notes</v>
      </c>
      <c r="Q418" t="str">
        <f t="shared" si="6"/>
        <v>06|32</v>
      </c>
    </row>
    <row r="419" spans="1:17" ht="6.45" customHeight="1">
      <c r="A419" t="s">
        <v>1566</v>
      </c>
      <c r="B419">
        <v>33</v>
      </c>
      <c r="C419" t="s">
        <v>23</v>
      </c>
      <c r="D419">
        <v>40</v>
      </c>
      <c r="E419" t="s">
        <v>994</v>
      </c>
      <c r="F419" t="s">
        <v>5324</v>
      </c>
      <c r="G419" t="str">
        <f>B06_Assessment!A40</f>
        <v>B-01</v>
      </c>
      <c r="H419" t="str">
        <f>B06_Assessment!B40</f>
        <v>Existing</v>
      </c>
      <c r="I419" t="str">
        <f>B06_Assessment!C40</f>
        <v>N/A / TE</v>
      </c>
      <c r="J419" t="str">
        <f>B06_Assessment!D40</f>
        <v>Existing</v>
      </c>
      <c r="K419" t="str">
        <f>B06_Assessment!E40</f>
        <v>Verify</v>
      </c>
      <c r="L419" t="str">
        <f>B06_Assessment!F40</f>
        <v>Verify</v>
      </c>
      <c r="M419" t="str">
        <f>B06_Assessment!G40</f>
        <v>Verify</v>
      </c>
      <c r="N419" t="str">
        <f>B06_Assessment!H40</f>
        <v>Verify</v>
      </c>
      <c r="O419" t="str">
        <f>B06_Assessment!I40</f>
        <v>Verify</v>
      </c>
      <c r="P419" t="str">
        <f>B06_Assessment!J40</f>
        <v>Existing Cisco switches, legacy 48-port patch panels, wall/wall-mount TE and floor UPS.</v>
      </c>
      <c r="Q419" t="str">
        <f t="shared" si="6"/>
        <v>06|33</v>
      </c>
    </row>
    <row r="420" spans="1:17" ht="6.45" customHeight="1">
      <c r="A420" t="s">
        <v>1566</v>
      </c>
      <c r="B420">
        <v>34</v>
      </c>
      <c r="C420" t="s">
        <v>23</v>
      </c>
      <c r="D420">
        <v>41</v>
      </c>
      <c r="E420" t="s">
        <v>994</v>
      </c>
      <c r="F420" t="s">
        <v>5324</v>
      </c>
      <c r="G420" t="str">
        <f>B06_Assessment!A41</f>
        <v>178</v>
      </c>
      <c r="H420" t="str">
        <f>B06_Assessment!B41</f>
        <v>Verify</v>
      </c>
      <c r="I420" t="str">
        <f>B06_Assessment!C41</f>
        <v>Verify</v>
      </c>
      <c r="J420" t="str">
        <f>B06_Assessment!D41</f>
        <v>Verify</v>
      </c>
      <c r="K420" t="str">
        <f>B06_Assessment!E41</f>
        <v>Verify</v>
      </c>
      <c r="L420" t="str">
        <f>B06_Assessment!F41</f>
        <v>Verify</v>
      </c>
      <c r="M420" t="str">
        <f>B06_Assessment!G41</f>
        <v>Verify</v>
      </c>
      <c r="N420" t="str">
        <f>B06_Assessment!H41</f>
        <v>Verify</v>
      </c>
      <c r="O420" t="str">
        <f>B06_Assessment!I41</f>
        <v>Verify</v>
      </c>
      <c r="P420" t="str">
        <f>B06_Assessment!J41</f>
        <v>Existing Room 178 rack elevations show multiple existing 2-post racks; new electrical, cable path, grounding and cutover require verification.</v>
      </c>
      <c r="Q420" t="str">
        <f t="shared" si="6"/>
        <v>06|34</v>
      </c>
    </row>
    <row r="421" spans="1:17" ht="6.45" customHeight="1">
      <c r="A421" t="s">
        <v>1566</v>
      </c>
      <c r="B421">
        <v>35</v>
      </c>
      <c r="C421" t="s">
        <v>23</v>
      </c>
      <c r="D421">
        <v>42</v>
      </c>
      <c r="E421" t="s">
        <v>994</v>
      </c>
      <c r="F421" t="s">
        <v>5324</v>
      </c>
      <c r="G421" t="str">
        <f>B06_Assessment!A42</f>
        <v>233</v>
      </c>
      <c r="H421" t="str">
        <f>B06_Assessment!B42</f>
        <v>Verify</v>
      </c>
      <c r="I421" t="str">
        <f>B06_Assessment!C42</f>
        <v>Verify</v>
      </c>
      <c r="J421" t="str">
        <f>B06_Assessment!D42</f>
        <v>Verify</v>
      </c>
      <c r="K421" t="str">
        <f>B06_Assessment!E42</f>
        <v>Verify</v>
      </c>
      <c r="L421" t="str">
        <f>B06_Assessment!F42</f>
        <v>Verify</v>
      </c>
      <c r="M421" t="str">
        <f>B06_Assessment!G42</f>
        <v>Verify</v>
      </c>
      <c r="N421" t="str">
        <f>B06_Assessment!H42</f>
        <v>Verify</v>
      </c>
      <c r="O421" t="str">
        <f>B06_Assessment!I42</f>
        <v>Verify</v>
      </c>
      <c r="P421" t="str">
        <f>B06_Assessment!J42</f>
        <v>Room 233 future new rack elevation shows UPS, network switches, cable managers, Cat6A patch panels, Cat5E patch panel and Fiber LIU.</v>
      </c>
      <c r="Q421" t="str">
        <f t="shared" si="6"/>
        <v>06|35</v>
      </c>
    </row>
    <row r="422" spans="1:17" ht="6.45" customHeight="1">
      <c r="A422" t="s">
        <v>1566</v>
      </c>
      <c r="B422">
        <v>36</v>
      </c>
      <c r="C422" t="s">
        <v>23</v>
      </c>
      <c r="D422">
        <v>43</v>
      </c>
      <c r="E422" t="s">
        <v>994</v>
      </c>
      <c r="F422" t="s">
        <v>5325</v>
      </c>
      <c r="G422">
        <f>B06_Assessment!A43</f>
        <v>0</v>
      </c>
      <c r="H422">
        <f>B06_Assessment!B43</f>
        <v>0</v>
      </c>
      <c r="I422">
        <f>B06_Assessment!C43</f>
        <v>0</v>
      </c>
      <c r="J422">
        <f>B06_Assessment!D43</f>
        <v>0</v>
      </c>
      <c r="K422">
        <f>B06_Assessment!E43</f>
        <v>0</v>
      </c>
      <c r="L422">
        <f>B06_Assessment!F43</f>
        <v>0</v>
      </c>
      <c r="M422">
        <f>B06_Assessment!G43</f>
        <v>0</v>
      </c>
      <c r="N422">
        <f>B06_Assessment!H43</f>
        <v>0</v>
      </c>
      <c r="O422">
        <f>B06_Assessment!I43</f>
        <v>0</v>
      </c>
      <c r="P422">
        <f>B06_Assessment!J43</f>
        <v>0</v>
      </c>
      <c r="Q422" t="str">
        <f t="shared" si="6"/>
        <v>06|36</v>
      </c>
    </row>
    <row r="423" spans="1:17" ht="6.45" customHeight="1">
      <c r="A423" t="s">
        <v>1566</v>
      </c>
      <c r="B423">
        <v>37</v>
      </c>
      <c r="C423" t="s">
        <v>23</v>
      </c>
      <c r="D423">
        <v>44</v>
      </c>
      <c r="E423" t="s">
        <v>1007</v>
      </c>
      <c r="F423" t="s">
        <v>5322</v>
      </c>
      <c r="G423" t="str">
        <f>B06_Assessment!A44</f>
        <v>7. SECURITY / PACS / CCTV</v>
      </c>
      <c r="H423">
        <f>B06_Assessment!B44</f>
        <v>0</v>
      </c>
      <c r="I423">
        <f>B06_Assessment!C44</f>
        <v>0</v>
      </c>
      <c r="J423">
        <f>B06_Assessment!D44</f>
        <v>0</v>
      </c>
      <c r="K423">
        <f>B06_Assessment!E44</f>
        <v>0</v>
      </c>
      <c r="L423">
        <f>B06_Assessment!F44</f>
        <v>0</v>
      </c>
      <c r="M423">
        <f>B06_Assessment!G44</f>
        <v>0</v>
      </c>
      <c r="N423">
        <f>B06_Assessment!H44</f>
        <v>0</v>
      </c>
      <c r="O423">
        <f>B06_Assessment!I44</f>
        <v>0</v>
      </c>
      <c r="P423">
        <f>B06_Assessment!J44</f>
        <v>0</v>
      </c>
      <c r="Q423" t="str">
        <f t="shared" si="6"/>
        <v>06|37</v>
      </c>
    </row>
    <row r="424" spans="1:17" ht="6.45" customHeight="1">
      <c r="A424" t="s">
        <v>1566</v>
      </c>
      <c r="B424">
        <v>38</v>
      </c>
      <c r="C424" t="s">
        <v>23</v>
      </c>
      <c r="D424">
        <v>45</v>
      </c>
      <c r="E424" t="s">
        <v>1007</v>
      </c>
      <c r="F424" t="s">
        <v>5323</v>
      </c>
      <c r="G424" t="str">
        <f>B06_Assessment!A45</f>
        <v>Room</v>
      </c>
      <c r="H424" t="str">
        <f>B06_Assessment!B45</f>
        <v>PACS</v>
      </c>
      <c r="I424" t="str">
        <f>B06_Assessment!C45</f>
        <v>Card Reader</v>
      </c>
      <c r="J424" t="str">
        <f>B06_Assessment!D45</f>
        <v>Door Position</v>
      </c>
      <c r="K424" t="str">
        <f>B06_Assessment!E45</f>
        <v>Electric Strike</v>
      </c>
      <c r="L424" t="str">
        <f>B06_Assessment!F45</f>
        <v>CCTV</v>
      </c>
      <c r="M424" t="str">
        <f>B06_Assessment!G45</f>
        <v>Motion Sensor</v>
      </c>
      <c r="N424" t="str">
        <f>B06_Assessment!H45</f>
        <v>Integration</v>
      </c>
      <c r="O424" t="str">
        <f>B06_Assessment!I45</f>
        <v>Overall</v>
      </c>
      <c r="P424" t="str">
        <f>B06_Assessment!J45</f>
        <v>Notes</v>
      </c>
      <c r="Q424" t="str">
        <f t="shared" si="6"/>
        <v>06|38</v>
      </c>
    </row>
    <row r="425" spans="1:17" ht="6.45" customHeight="1">
      <c r="A425" t="s">
        <v>1566</v>
      </c>
      <c r="B425">
        <v>39</v>
      </c>
      <c r="C425" t="s">
        <v>23</v>
      </c>
      <c r="D425">
        <v>46</v>
      </c>
      <c r="E425" t="s">
        <v>1007</v>
      </c>
      <c r="F425" t="s">
        <v>5324</v>
      </c>
      <c r="G425" t="str">
        <f>B06_Assessment!A46</f>
        <v>B-01</v>
      </c>
      <c r="H425" t="str">
        <f>B06_Assessment!B46</f>
        <v>Verify</v>
      </c>
      <c r="I425" t="str">
        <f>B06_Assessment!C46</f>
        <v>Verify</v>
      </c>
      <c r="J425" t="str">
        <f>B06_Assessment!D46</f>
        <v>Verify</v>
      </c>
      <c r="K425" t="str">
        <f>B06_Assessment!E46</f>
        <v>Verify</v>
      </c>
      <c r="L425" t="str">
        <f>B06_Assessment!F46</f>
        <v>Verify</v>
      </c>
      <c r="M425" t="str">
        <f>B06_Assessment!G46</f>
        <v>Verify</v>
      </c>
      <c r="N425" t="str">
        <f>B06_Assessment!H46</f>
        <v>Verify</v>
      </c>
      <c r="O425" t="str">
        <f>B06_Assessment!I46</f>
        <v>Verify</v>
      </c>
      <c r="P425" t="str">
        <f>B06_Assessment!J46</f>
        <v>Verify existing basement access/security while protecting active equipment.</v>
      </c>
      <c r="Q425" t="str">
        <f t="shared" si="6"/>
        <v>06|39</v>
      </c>
    </row>
    <row r="426" spans="1:17" ht="6.45" customHeight="1">
      <c r="A426" t="s">
        <v>1566</v>
      </c>
      <c r="B426">
        <v>40</v>
      </c>
      <c r="C426" t="s">
        <v>23</v>
      </c>
      <c r="D426">
        <v>47</v>
      </c>
      <c r="E426" t="s">
        <v>1007</v>
      </c>
      <c r="F426" t="s">
        <v>5324</v>
      </c>
      <c r="G426" t="str">
        <f>B06_Assessment!A47</f>
        <v>178</v>
      </c>
      <c r="H426" t="str">
        <f>B06_Assessment!B47</f>
        <v>Verify</v>
      </c>
      <c r="I426" t="str">
        <f>B06_Assessment!C47</f>
        <v>Verify</v>
      </c>
      <c r="J426" t="str">
        <f>B06_Assessment!D47</f>
        <v>Verify</v>
      </c>
      <c r="K426" t="str">
        <f>B06_Assessment!E47</f>
        <v>Verify</v>
      </c>
      <c r="L426" t="str">
        <f>B06_Assessment!F47</f>
        <v>Verify</v>
      </c>
      <c r="M426" t="str">
        <f>B06_Assessment!G47</f>
        <v>Verify</v>
      </c>
      <c r="N426" t="str">
        <f>B06_Assessment!H47</f>
        <v>Verify</v>
      </c>
      <c r="O426" t="str">
        <f>B06_Assessment!I47</f>
        <v>Verify</v>
      </c>
      <c r="P426" t="str">
        <f>B06_Assessment!J47</f>
        <v>Electrical enlarged plan references existing card reader to remain/protect in place and new tri-tech motion sensor; verify PACS/CCTV integration.</v>
      </c>
      <c r="Q426" t="str">
        <f t="shared" si="6"/>
        <v>06|40</v>
      </c>
    </row>
    <row r="427" spans="1:17" ht="6.45" customHeight="1">
      <c r="A427" t="s">
        <v>1566</v>
      </c>
      <c r="B427">
        <v>41</v>
      </c>
      <c r="C427" t="s">
        <v>23</v>
      </c>
      <c r="D427">
        <v>48</v>
      </c>
      <c r="E427" t="s">
        <v>1007</v>
      </c>
      <c r="F427" t="s">
        <v>5324</v>
      </c>
      <c r="G427" t="str">
        <f>B06_Assessment!A48</f>
        <v>233</v>
      </c>
      <c r="H427" t="str">
        <f>B06_Assessment!B48</f>
        <v>Verify</v>
      </c>
      <c r="I427" t="str">
        <f>B06_Assessment!C48</f>
        <v>Verify</v>
      </c>
      <c r="J427" t="str">
        <f>B06_Assessment!D48</f>
        <v>Verify</v>
      </c>
      <c r="K427" t="str">
        <f>B06_Assessment!E48</f>
        <v>Verify</v>
      </c>
      <c r="L427" t="str">
        <f>B06_Assessment!F48</f>
        <v>Verify</v>
      </c>
      <c r="M427" t="str">
        <f>B06_Assessment!G48</f>
        <v>Verify</v>
      </c>
      <c r="N427" t="str">
        <f>B06_Assessment!H48</f>
        <v>Verify</v>
      </c>
      <c r="O427" t="str">
        <f>B06_Assessment!I48</f>
        <v>Verify</v>
      </c>
      <c r="P427" t="str">
        <f>B06_Assessment!J48</f>
        <v>Verify door hardware/access control, motion sensor, camera, and VA security integration.</v>
      </c>
      <c r="Q427" t="str">
        <f t="shared" si="6"/>
        <v>06|41</v>
      </c>
    </row>
    <row r="428" spans="1:17" ht="6.45" customHeight="1">
      <c r="A428" t="s">
        <v>1566</v>
      </c>
      <c r="B428">
        <v>42</v>
      </c>
      <c r="C428" t="s">
        <v>23</v>
      </c>
      <c r="D428">
        <v>49</v>
      </c>
      <c r="E428" t="s">
        <v>1007</v>
      </c>
      <c r="F428" t="s">
        <v>5325</v>
      </c>
      <c r="G428">
        <f>B06_Assessment!A49</f>
        <v>0</v>
      </c>
      <c r="H428">
        <f>B06_Assessment!B49</f>
        <v>0</v>
      </c>
      <c r="I428">
        <f>B06_Assessment!C49</f>
        <v>0</v>
      </c>
      <c r="J428">
        <f>B06_Assessment!D49</f>
        <v>0</v>
      </c>
      <c r="K428">
        <f>B06_Assessment!E49</f>
        <v>0</v>
      </c>
      <c r="L428">
        <f>B06_Assessment!F49</f>
        <v>0</v>
      </c>
      <c r="M428">
        <f>B06_Assessment!G49</f>
        <v>0</v>
      </c>
      <c r="N428">
        <f>B06_Assessment!H49</f>
        <v>0</v>
      </c>
      <c r="O428">
        <f>B06_Assessment!I49</f>
        <v>0</v>
      </c>
      <c r="P428">
        <f>B06_Assessment!J49</f>
        <v>0</v>
      </c>
      <c r="Q428" t="str">
        <f t="shared" si="6"/>
        <v>06|42</v>
      </c>
    </row>
    <row r="429" spans="1:17" ht="6.45" customHeight="1">
      <c r="A429" t="s">
        <v>1566</v>
      </c>
      <c r="B429">
        <v>43</v>
      </c>
      <c r="C429" t="s">
        <v>23</v>
      </c>
      <c r="D429">
        <v>50</v>
      </c>
      <c r="E429" t="s">
        <v>1019</v>
      </c>
      <c r="F429" t="s">
        <v>5322</v>
      </c>
      <c r="G429" t="str">
        <f>B06_Assessment!A50</f>
        <v>8. OWNER RISKS</v>
      </c>
      <c r="H429">
        <f>B06_Assessment!B50</f>
        <v>0</v>
      </c>
      <c r="I429">
        <f>B06_Assessment!C50</f>
        <v>0</v>
      </c>
      <c r="J429">
        <f>B06_Assessment!D50</f>
        <v>0</v>
      </c>
      <c r="K429">
        <f>B06_Assessment!E50</f>
        <v>0</v>
      </c>
      <c r="L429">
        <f>B06_Assessment!F50</f>
        <v>0</v>
      </c>
      <c r="M429">
        <f>B06_Assessment!G50</f>
        <v>0</v>
      </c>
      <c r="N429">
        <f>B06_Assessment!H50</f>
        <v>0</v>
      </c>
      <c r="O429">
        <f>B06_Assessment!I50</f>
        <v>0</v>
      </c>
      <c r="P429">
        <f>B06_Assessment!J50</f>
        <v>0</v>
      </c>
      <c r="Q429" t="str">
        <f t="shared" si="6"/>
        <v>06|43</v>
      </c>
    </row>
    <row r="430" spans="1:17" ht="6.45" customHeight="1">
      <c r="A430" t="s">
        <v>1566</v>
      </c>
      <c r="B430">
        <v>44</v>
      </c>
      <c r="C430" t="s">
        <v>23</v>
      </c>
      <c r="D430">
        <v>51</v>
      </c>
      <c r="E430" t="s">
        <v>1019</v>
      </c>
      <c r="F430" t="s">
        <v>5323</v>
      </c>
      <c r="G430" t="str">
        <f>B06_Assessment!A51</f>
        <v>Risk ID</v>
      </c>
      <c r="H430" t="str">
        <f>B06_Assessment!B51</f>
        <v>Room</v>
      </c>
      <c r="I430" t="str">
        <f>B06_Assessment!C51</f>
        <v>Risk</v>
      </c>
      <c r="J430" t="str">
        <f>B06_Assessment!D51</f>
        <v>Impact</v>
      </c>
      <c r="K430" t="str">
        <f>B06_Assessment!E51</f>
        <v>Probability</v>
      </c>
      <c r="L430" t="str">
        <f>B06_Assessment!F51</f>
        <v>Score</v>
      </c>
      <c r="M430" t="str">
        <f>B06_Assessment!G51</f>
        <v>Mitigation</v>
      </c>
      <c r="N430" t="str">
        <f>B06_Assessment!H51</f>
        <v>Owner</v>
      </c>
      <c r="O430" t="str">
        <f>B06_Assessment!I51</f>
        <v>Status</v>
      </c>
      <c r="P430" t="str">
        <f>B06_Assessment!J51</f>
        <v>Notes</v>
      </c>
      <c r="Q430" t="str">
        <f t="shared" si="6"/>
        <v>06|44</v>
      </c>
    </row>
    <row r="431" spans="1:17" ht="6.45" customHeight="1">
      <c r="A431" t="s">
        <v>1566</v>
      </c>
      <c r="B431">
        <v>45</v>
      </c>
      <c r="C431" t="s">
        <v>23</v>
      </c>
      <c r="D431">
        <v>52</v>
      </c>
      <c r="E431" t="s">
        <v>1019</v>
      </c>
      <c r="F431" t="s">
        <v>5324</v>
      </c>
      <c r="G431" t="str">
        <f>B06_Assessment!A52</f>
        <v>B06-R1</v>
      </c>
      <c r="H431" t="str">
        <f>B06_Assessment!B52</f>
        <v>All</v>
      </c>
      <c r="I431" t="str">
        <f>B06_Assessment!C52</f>
        <v>Existing conditions across B-01, 178 and 233 not field verified</v>
      </c>
      <c r="J431" t="str">
        <f>B06_Assessment!D52</f>
        <v>High</v>
      </c>
      <c r="K431" t="str">
        <f>B06_Assessment!E52</f>
        <v>Medium</v>
      </c>
      <c r="L431">
        <f>B06_Assessment!F52</f>
        <v>6</v>
      </c>
      <c r="M431" t="str">
        <f>B06_Assessment!G52</f>
        <v>Perform existing conditions survey with photos before mobilization</v>
      </c>
      <c r="N431" t="str">
        <f>B06_Assessment!H52</f>
        <v>GCC / Contractor</v>
      </c>
      <c r="O431" t="str">
        <f>B06_Assessment!I52</f>
        <v>Closed</v>
      </c>
      <c r="P431" t="str">
        <f>B06_Assessment!J52</f>
        <v>Building 06 includes basement, first and second level work.</v>
      </c>
      <c r="Q431" t="str">
        <f t="shared" si="6"/>
        <v>06|45</v>
      </c>
    </row>
    <row r="432" spans="1:17" ht="6.45" customHeight="1">
      <c r="A432" t="s">
        <v>1566</v>
      </c>
      <c r="B432">
        <v>46</v>
      </c>
      <c r="C432" t="s">
        <v>23</v>
      </c>
      <c r="D432">
        <v>53</v>
      </c>
      <c r="E432" t="s">
        <v>1019</v>
      </c>
      <c r="F432" t="s">
        <v>5324</v>
      </c>
      <c r="G432" t="str">
        <f>B06_Assessment!A53</f>
        <v>B06-R2</v>
      </c>
      <c r="H432" t="str">
        <f>B06_Assessment!B53</f>
        <v>B-01</v>
      </c>
      <c r="I432" t="str">
        <f>B06_Assessment!C53</f>
        <v>Existing basement equipment may remain active during cutover</v>
      </c>
      <c r="J432" t="str">
        <f>B06_Assessment!D53</f>
        <v>Critical</v>
      </c>
      <c r="K432" t="str">
        <f>B06_Assessment!E53</f>
        <v>Medium</v>
      </c>
      <c r="L432">
        <f>B06_Assessment!F53</f>
        <v>8</v>
      </c>
      <c r="M432" t="str">
        <f>B06_Assessment!G53</f>
        <v>Document active services and protect in place until new system is tested and accepted</v>
      </c>
      <c r="N432" t="str">
        <f>B06_Assessment!H53</f>
        <v>Telecom / OIT</v>
      </c>
      <c r="O432" t="str">
        <f>B06_Assessment!I53</f>
        <v>Closed</v>
      </c>
      <c r="P432" t="str">
        <f>B06_Assessment!J53</f>
        <v>Existing Cisco/legacy patch panels and UPS shown.</v>
      </c>
      <c r="Q432" t="str">
        <f t="shared" si="6"/>
        <v>06|46</v>
      </c>
    </row>
    <row r="433" spans="1:17" ht="6.45" customHeight="1">
      <c r="A433" t="s">
        <v>1566</v>
      </c>
      <c r="B433">
        <v>47</v>
      </c>
      <c r="C433" t="s">
        <v>23</v>
      </c>
      <c r="D433">
        <v>54</v>
      </c>
      <c r="E433" t="s">
        <v>1019</v>
      </c>
      <c r="F433" t="s">
        <v>5324</v>
      </c>
      <c r="G433" t="str">
        <f>B06_Assessment!A54</f>
        <v>B06-R3</v>
      </c>
      <c r="H433" t="str">
        <f>B06_Assessment!B54</f>
        <v>178</v>
      </c>
      <c r="I433" t="str">
        <f>B06_Assessment!C54</f>
        <v>Electrical panel replacement/new telecom power could interrupt active systems</v>
      </c>
      <c r="J433" t="str">
        <f>B06_Assessment!D54</f>
        <v>Critical</v>
      </c>
      <c r="K433" t="str">
        <f>B06_Assessment!E54</f>
        <v>Medium</v>
      </c>
      <c r="L433">
        <f>B06_Assessment!F54</f>
        <v>8</v>
      </c>
      <c r="M433" t="str">
        <f>B06_Assessment!G54</f>
        <v>Coordinate load measurement, panel renovation, shutdowns and temporary power plan</v>
      </c>
      <c r="N433" t="str">
        <f>B06_Assessment!H54</f>
        <v>Electrical / GCC</v>
      </c>
      <c r="O433" t="str">
        <f>B06_Assessment!I54</f>
        <v>Closed</v>
      </c>
      <c r="P433" t="str">
        <f>B06_Assessment!J54</f>
        <v>B06-EP-TR and B06-TR178A/B panel work.</v>
      </c>
      <c r="Q433" t="str">
        <f t="shared" si="6"/>
        <v>06|47</v>
      </c>
    </row>
    <row r="434" spans="1:17" ht="6.45" customHeight="1">
      <c r="A434" t="s">
        <v>1566</v>
      </c>
      <c r="B434">
        <v>48</v>
      </c>
      <c r="C434" t="s">
        <v>23</v>
      </c>
      <c r="D434">
        <v>55</v>
      </c>
      <c r="E434" t="s">
        <v>1019</v>
      </c>
      <c r="F434" t="s">
        <v>5324</v>
      </c>
      <c r="G434" t="str">
        <f>B06_Assessment!A55</f>
        <v>B06-R4</v>
      </c>
      <c r="H434" t="str">
        <f>B06_Assessment!B55</f>
        <v>233</v>
      </c>
      <c r="I434" t="str">
        <f>B06_Assessment!C55</f>
        <v>Room 233 conversion/rated wall and door work may impact adjacent patient toilet/private bath areas</v>
      </c>
      <c r="J434" t="str">
        <f>B06_Assessment!D55</f>
        <v>High</v>
      </c>
      <c r="K434" t="str">
        <f>B06_Assessment!E55</f>
        <v>Medium</v>
      </c>
      <c r="L434">
        <f>B06_Assessment!F55</f>
        <v>6</v>
      </c>
      <c r="M434" t="str">
        <f>B06_Assessment!G55</f>
        <v>Verify phasing, barriers, infection control and temporary life-safety provisions</v>
      </c>
      <c r="N434" t="str">
        <f>B06_Assessment!H55</f>
        <v>GC / VA</v>
      </c>
      <c r="O434" t="str">
        <f>B06_Assessment!I55</f>
        <v>Closed</v>
      </c>
      <c r="P434" t="str">
        <f>B06_Assessment!J55</f>
        <v>Architectural enlarged views show TR 233 adjacent to patient toilet/private bath.</v>
      </c>
      <c r="Q434" t="str">
        <f t="shared" si="6"/>
        <v>06|48</v>
      </c>
    </row>
    <row r="435" spans="1:17" ht="6.45" customHeight="1">
      <c r="A435" t="s">
        <v>1566</v>
      </c>
      <c r="B435">
        <v>49</v>
      </c>
      <c r="C435" t="s">
        <v>23</v>
      </c>
      <c r="D435">
        <v>56</v>
      </c>
      <c r="E435" t="s">
        <v>1019</v>
      </c>
      <c r="F435" t="s">
        <v>5324</v>
      </c>
      <c r="G435" t="str">
        <f>B06_Assessment!A56</f>
        <v>B06-R5</v>
      </c>
      <c r="H435" t="str">
        <f>B06_Assessment!B56</f>
        <v>178/233</v>
      </c>
      <c r="I435" t="str">
        <f>B06_Assessment!C56</f>
        <v>Dedicated cooling emergency power, controls, condensate and BACnet interface not verified</v>
      </c>
      <c r="J435" t="str">
        <f>B06_Assessment!D56</f>
        <v>Critical</v>
      </c>
      <c r="K435" t="str">
        <f>B06_Assessment!E56</f>
        <v>Medium</v>
      </c>
      <c r="L435">
        <f>B06_Assessment!F56</f>
        <v>8</v>
      </c>
      <c r="M435" t="str">
        <f>B06_Assessment!G56</f>
        <v>Confirm emergency power source, disconnects, condensate routes, BACnet adapter and high-temp alarms</v>
      </c>
      <c r="N435" t="str">
        <f>B06_Assessment!H56</f>
        <v>Mechanical / Electrical</v>
      </c>
      <c r="O435" t="str">
        <f>B06_Assessment!I56</f>
        <v>Closed</v>
      </c>
      <c r="P435" t="str">
        <f>B06_Assessment!J56</f>
        <v>IU-1-01/CU-1-01 and IU-2-01/CU-2-01.</v>
      </c>
      <c r="Q435" t="str">
        <f t="shared" si="6"/>
        <v>06|49</v>
      </c>
    </row>
    <row r="436" spans="1:17" ht="6.45" customHeight="1">
      <c r="A436" t="s">
        <v>1566</v>
      </c>
      <c r="B436">
        <v>50</v>
      </c>
      <c r="C436" t="s">
        <v>23</v>
      </c>
      <c r="D436">
        <v>57</v>
      </c>
      <c r="E436" t="s">
        <v>1019</v>
      </c>
      <c r="F436" t="s">
        <v>5324</v>
      </c>
      <c r="G436" t="str">
        <f>B06_Assessment!A57</f>
        <v>B06-R6</v>
      </c>
      <c r="H436" t="str">
        <f>B06_Assessment!B57</f>
        <v>All</v>
      </c>
      <c r="I436" t="str">
        <f>B06_Assessment!C57</f>
        <v>Fire alarm/sprinkler impairments and penetrations may affect occupied operations</v>
      </c>
      <c r="J436" t="str">
        <f>B06_Assessment!D57</f>
        <v>Critical</v>
      </c>
      <c r="K436" t="str">
        <f>B06_Assessment!E57</f>
        <v>Medium</v>
      </c>
      <c r="L436">
        <f>B06_Assessment!F57</f>
        <v>8</v>
      </c>
      <c r="M436" t="str">
        <f>B06_Assessment!G57</f>
        <v>Track impairments, fire watch, temporary firestop and third-party reports</v>
      </c>
      <c r="N436" t="str">
        <f>B06_Assessment!H57</f>
        <v>GC / FP / FA</v>
      </c>
      <c r="O436" t="str">
        <f>B06_Assessment!I57</f>
        <v>Closed</v>
      </c>
      <c r="P436" t="str">
        <f>B06_Assessment!J57</f>
        <v>Shutdowns limited one at a time campus-wide.</v>
      </c>
      <c r="Q436" t="str">
        <f t="shared" si="6"/>
        <v>06|50</v>
      </c>
    </row>
    <row r="437" spans="1:17" ht="6.45" customHeight="1">
      <c r="A437" t="s">
        <v>1566</v>
      </c>
      <c r="B437">
        <v>51</v>
      </c>
      <c r="C437" t="s">
        <v>23</v>
      </c>
      <c r="D437">
        <v>58</v>
      </c>
      <c r="E437" t="s">
        <v>1019</v>
      </c>
      <c r="F437" t="s">
        <v>5324</v>
      </c>
      <c r="G437" t="str">
        <f>B06_Assessment!A58</f>
        <v>B06-R7</v>
      </c>
      <c r="H437" t="str">
        <f>B06_Assessment!B58</f>
        <v>All</v>
      </c>
      <c r="I437" t="str">
        <f>B06_Assessment!C58</f>
        <v>Telecom/fiber cutover could affect active hospital communications</v>
      </c>
      <c r="J437" t="str">
        <f>B06_Assessment!D58</f>
        <v>Critical</v>
      </c>
      <c r="K437" t="str">
        <f>B06_Assessment!E58</f>
        <v>Medium</v>
      </c>
      <c r="L437">
        <f>B06_Assessment!F58</f>
        <v>8</v>
      </c>
      <c r="M437" t="str">
        <f>B06_Assessment!G58</f>
        <v>Require cutover plan, test results and VA/OIT acceptance before energizing active operations</v>
      </c>
      <c r="N437" t="str">
        <f>B06_Assessment!H58</f>
        <v>Telecom / OIT</v>
      </c>
      <c r="O437" t="str">
        <f>B06_Assessment!I58</f>
        <v>Closed</v>
      </c>
      <c r="P437" t="str">
        <f>B06_Assessment!J58</f>
        <v>All cabling must be tested, approved and accepted.</v>
      </c>
      <c r="Q437" t="str">
        <f t="shared" si="6"/>
        <v>06|51</v>
      </c>
    </row>
    <row r="438" spans="1:17" ht="6.45" customHeight="1">
      <c r="A438" t="s">
        <v>1566</v>
      </c>
      <c r="B438">
        <v>52</v>
      </c>
      <c r="C438" t="s">
        <v>23</v>
      </c>
      <c r="D438">
        <v>59</v>
      </c>
      <c r="E438" t="s">
        <v>1019</v>
      </c>
      <c r="F438" t="s">
        <v>5324</v>
      </c>
      <c r="G438" t="str">
        <f>B06_Assessment!A59</f>
        <v>B06-R8</v>
      </c>
      <c r="H438" t="str">
        <f>B06_Assessment!B59</f>
        <v>All</v>
      </c>
      <c r="I438" t="str">
        <f>B06_Assessment!C59</f>
        <v>Commissioning/third-party inspection reports may not be ready at turnover</v>
      </c>
      <c r="J438" t="str">
        <f>B06_Assessment!D59</f>
        <v>High</v>
      </c>
      <c r="K438" t="str">
        <f>B06_Assessment!E59</f>
        <v>Medium</v>
      </c>
      <c r="L438">
        <f>B06_Assessment!F59</f>
        <v>6</v>
      </c>
      <c r="M438" t="str">
        <f>B06_Assessment!G59</f>
        <v>Track commissioning and third-party inspection deliverables by trade</v>
      </c>
      <c r="N438" t="str">
        <f>B06_Assessment!H59</f>
        <v>GC / Cx Manager</v>
      </c>
      <c r="O438" t="str">
        <f>B06_Assessment!I59</f>
        <v>Closed</v>
      </c>
      <c r="P438" t="str">
        <f>B06_Assessment!J59</f>
        <v>Required by cover sheet and commissioning sections.</v>
      </c>
      <c r="Q438" t="str">
        <f t="shared" si="6"/>
        <v>06|52</v>
      </c>
    </row>
    <row r="439" spans="1:17" ht="6.45" customHeight="1">
      <c r="A439" t="s">
        <v>1566</v>
      </c>
      <c r="B439">
        <v>53</v>
      </c>
      <c r="C439" t="s">
        <v>23</v>
      </c>
      <c r="D439">
        <v>60</v>
      </c>
      <c r="E439" t="s">
        <v>1019</v>
      </c>
      <c r="F439" t="s">
        <v>5325</v>
      </c>
      <c r="G439">
        <f>B06_Assessment!A60</f>
        <v>0</v>
      </c>
      <c r="H439">
        <f>B06_Assessment!B60</f>
        <v>0</v>
      </c>
      <c r="I439">
        <f>B06_Assessment!C60</f>
        <v>0</v>
      </c>
      <c r="J439">
        <f>B06_Assessment!D60</f>
        <v>0</v>
      </c>
      <c r="K439">
        <f>B06_Assessment!E60</f>
        <v>0</v>
      </c>
      <c r="L439">
        <f>B06_Assessment!F60</f>
        <v>0</v>
      </c>
      <c r="M439">
        <f>B06_Assessment!G60</f>
        <v>0</v>
      </c>
      <c r="N439">
        <f>B06_Assessment!H60</f>
        <v>0</v>
      </c>
      <c r="O439">
        <f>B06_Assessment!I60</f>
        <v>0</v>
      </c>
      <c r="P439">
        <f>B06_Assessment!J60</f>
        <v>0</v>
      </c>
      <c r="Q439" t="str">
        <f t="shared" si="6"/>
        <v>06|53</v>
      </c>
    </row>
    <row r="440" spans="1:17" ht="6.45" customHeight="1">
      <c r="A440" t="s">
        <v>1566</v>
      </c>
      <c r="B440">
        <v>54</v>
      </c>
      <c r="C440" t="s">
        <v>23</v>
      </c>
      <c r="D440">
        <v>61</v>
      </c>
      <c r="E440" t="s">
        <v>1051</v>
      </c>
      <c r="F440" t="s">
        <v>5322</v>
      </c>
      <c r="G440" t="str">
        <f>B06_Assessment!A61</f>
        <v>9. OPEN QUESTIONS</v>
      </c>
      <c r="H440">
        <f>B06_Assessment!B61</f>
        <v>0</v>
      </c>
      <c r="I440">
        <f>B06_Assessment!C61</f>
        <v>0</v>
      </c>
      <c r="J440">
        <f>B06_Assessment!D61</f>
        <v>0</v>
      </c>
      <c r="K440">
        <f>B06_Assessment!E61</f>
        <v>0</v>
      </c>
      <c r="L440">
        <f>B06_Assessment!F61</f>
        <v>0</v>
      </c>
      <c r="M440">
        <f>B06_Assessment!G61</f>
        <v>0</v>
      </c>
      <c r="N440">
        <f>B06_Assessment!H61</f>
        <v>0</v>
      </c>
      <c r="O440">
        <f>B06_Assessment!I61</f>
        <v>0</v>
      </c>
      <c r="P440">
        <f>B06_Assessment!J61</f>
        <v>0</v>
      </c>
      <c r="Q440" t="str">
        <f t="shared" si="6"/>
        <v>06|54</v>
      </c>
    </row>
    <row r="441" spans="1:17" ht="6.45" customHeight="1">
      <c r="A441" t="s">
        <v>1566</v>
      </c>
      <c r="B441">
        <v>55</v>
      </c>
      <c r="C441" t="s">
        <v>23</v>
      </c>
      <c r="D441">
        <v>62</v>
      </c>
      <c r="E441" t="s">
        <v>1051</v>
      </c>
      <c r="F441" t="s">
        <v>5323</v>
      </c>
      <c r="G441" t="str">
        <f>B06_Assessment!A62</f>
        <v>Question ID</v>
      </c>
      <c r="H441" t="str">
        <f>B06_Assessment!B62</f>
        <v>Question</v>
      </c>
      <c r="I441" t="str">
        <f>B06_Assessment!C62</f>
        <v>Assigned To</v>
      </c>
      <c r="J441" t="str">
        <f>B06_Assessment!D62</f>
        <v>Status</v>
      </c>
      <c r="K441" t="str">
        <f>B06_Assessment!E62</f>
        <v>Needed By</v>
      </c>
      <c r="L441" t="str">
        <f>B06_Assessment!F62</f>
        <v>Answer / Resolution</v>
      </c>
      <c r="M441" t="str">
        <f>B06_Assessment!G62</f>
        <v>Impact if Unanswered</v>
      </c>
      <c r="N441" t="str">
        <f>B06_Assessment!H62</f>
        <v>Follow-up</v>
      </c>
      <c r="O441" t="str">
        <f>B06_Assessment!I62</f>
        <v>Date Closed</v>
      </c>
      <c r="P441" t="str">
        <f>B06_Assessment!J62</f>
        <v>Notes</v>
      </c>
      <c r="Q441" t="str">
        <f t="shared" si="6"/>
        <v>06|55</v>
      </c>
    </row>
    <row r="442" spans="1:17" ht="6.45" customHeight="1">
      <c r="A442" t="s">
        <v>1566</v>
      </c>
      <c r="B442">
        <v>56</v>
      </c>
      <c r="C442" t="s">
        <v>23</v>
      </c>
      <c r="D442">
        <v>63</v>
      </c>
      <c r="E442" t="s">
        <v>1051</v>
      </c>
      <c r="F442" t="s">
        <v>5324</v>
      </c>
      <c r="G442" t="str">
        <f>B06_Assessment!A63</f>
        <v>B06-Q1</v>
      </c>
      <c r="H442" t="str">
        <f>B06_Assessment!B63</f>
        <v>Confirm final TR/TE scope: B-01 existing equipment, Room 178, and Room 233?</v>
      </c>
      <c r="I442" t="str">
        <f>B06_Assessment!C63</f>
        <v>VA / OIT / Designer</v>
      </c>
      <c r="J442" t="str">
        <f>B06_Assessment!D63</f>
        <v>Closed</v>
      </c>
      <c r="K442">
        <f>B06_Assessment!E63</f>
        <v>0</v>
      </c>
      <c r="L442">
        <f>B06_Assessment!F63</f>
        <v>0</v>
      </c>
      <c r="M442" t="str">
        <f>B06_Assessment!G63</f>
        <v>Room inventory could miss scope</v>
      </c>
      <c r="N442">
        <f>B06_Assessment!H63</f>
        <v>0</v>
      </c>
      <c r="O442">
        <f>B06_Assessment!I63</f>
        <v>0</v>
      </c>
      <c r="P442">
        <f>B06_Assessment!J63</f>
        <v>0</v>
      </c>
      <c r="Q442" t="str">
        <f t="shared" si="6"/>
        <v>06|56</v>
      </c>
    </row>
    <row r="443" spans="1:17" ht="6.45" customHeight="1">
      <c r="A443" t="s">
        <v>1566</v>
      </c>
      <c r="B443">
        <v>57</v>
      </c>
      <c r="C443" t="s">
        <v>23</v>
      </c>
      <c r="D443">
        <v>64</v>
      </c>
      <c r="E443" t="s">
        <v>1051</v>
      </c>
      <c r="F443" t="s">
        <v>5324</v>
      </c>
      <c r="G443" t="str">
        <f>B06_Assessment!A64</f>
        <v>B06-Q2</v>
      </c>
      <c r="H443" t="str">
        <f>B06_Assessment!B64</f>
        <v>What active services are fed from existing B-01 and Room 178 legacy equipment?</v>
      </c>
      <c r="I443" t="str">
        <f>B06_Assessment!C64</f>
        <v>OIT / Contractor</v>
      </c>
      <c r="J443" t="str">
        <f>B06_Assessment!D64</f>
        <v>Closed</v>
      </c>
      <c r="K443">
        <f>B06_Assessment!E64</f>
        <v>0</v>
      </c>
      <c r="L443">
        <f>B06_Assessment!F64</f>
        <v>0</v>
      </c>
      <c r="M443" t="str">
        <f>B06_Assessment!G64</f>
        <v>Potential communications outage</v>
      </c>
      <c r="N443">
        <f>B06_Assessment!H64</f>
        <v>0</v>
      </c>
      <c r="O443">
        <f>B06_Assessment!I64</f>
        <v>0</v>
      </c>
      <c r="P443">
        <f>B06_Assessment!J64</f>
        <v>0</v>
      </c>
      <c r="Q443" t="str">
        <f t="shared" si="6"/>
        <v>06|57</v>
      </c>
    </row>
    <row r="444" spans="1:17" ht="6.45" customHeight="1">
      <c r="A444" t="s">
        <v>1566</v>
      </c>
      <c r="B444">
        <v>58</v>
      </c>
      <c r="C444" t="s">
        <v>23</v>
      </c>
      <c r="D444">
        <v>65</v>
      </c>
      <c r="E444" t="s">
        <v>1051</v>
      </c>
      <c r="F444" t="s">
        <v>5324</v>
      </c>
      <c r="G444" t="str">
        <f>B06_Assessment!A65</f>
        <v>B06-Q3</v>
      </c>
      <c r="H444" t="str">
        <f>B06_Assessment!B65</f>
        <v>What is the approved cutover sequence for B-01, 178 and 233?</v>
      </c>
      <c r="I444" t="str">
        <f>B06_Assessment!C65</f>
        <v>OIT / Contractor</v>
      </c>
      <c r="J444" t="str">
        <f>B06_Assessment!D65</f>
        <v>Closed</v>
      </c>
      <c r="K444">
        <f>B06_Assessment!E65</f>
        <v>0</v>
      </c>
      <c r="L444">
        <f>B06_Assessment!F65</f>
        <v>0</v>
      </c>
      <c r="M444" t="str">
        <f>B06_Assessment!G65</f>
        <v>Cutover risk</v>
      </c>
      <c r="N444">
        <f>B06_Assessment!H65</f>
        <v>0</v>
      </c>
      <c r="O444">
        <f>B06_Assessment!I65</f>
        <v>0</v>
      </c>
      <c r="P444">
        <f>B06_Assessment!J65</f>
        <v>0</v>
      </c>
      <c r="Q444" t="str">
        <f t="shared" si="6"/>
        <v>06|58</v>
      </c>
    </row>
    <row r="445" spans="1:17" ht="6.45" customHeight="1">
      <c r="A445" t="s">
        <v>1566</v>
      </c>
      <c r="B445">
        <v>59</v>
      </c>
      <c r="C445" t="s">
        <v>23</v>
      </c>
      <c r="D445">
        <v>66</v>
      </c>
      <c r="E445" t="s">
        <v>1051</v>
      </c>
      <c r="F445" t="s">
        <v>5324</v>
      </c>
      <c r="G445" t="str">
        <f>B06_Assessment!A66</f>
        <v>B06-Q4</v>
      </c>
      <c r="H445" t="str">
        <f>B06_Assessment!B66</f>
        <v>Are IU-1-01/CU-1-01 and IU-2-01/CU-2-01 on emergency/backup power?</v>
      </c>
      <c r="I445" t="str">
        <f>B06_Assessment!C66</f>
        <v>Mechanical / Electrical / VA</v>
      </c>
      <c r="J445" t="str">
        <f>B06_Assessment!D66</f>
        <v>Closed</v>
      </c>
      <c r="K445">
        <f>B06_Assessment!E66</f>
        <v>0</v>
      </c>
      <c r="L445">
        <f>B06_Assessment!F66</f>
        <v>0</v>
      </c>
      <c r="M445" t="str">
        <f>B06_Assessment!G66</f>
        <v>Cooling continuity unclear</v>
      </c>
      <c r="N445">
        <f>B06_Assessment!H66</f>
        <v>0</v>
      </c>
      <c r="O445">
        <f>B06_Assessment!I66</f>
        <v>0</v>
      </c>
      <c r="P445">
        <f>B06_Assessment!J66</f>
        <v>0</v>
      </c>
      <c r="Q445" t="str">
        <f t="shared" si="6"/>
        <v>06|59</v>
      </c>
    </row>
    <row r="446" spans="1:17" ht="6.45" customHeight="1">
      <c r="A446" t="s">
        <v>1566</v>
      </c>
      <c r="B446">
        <v>60</v>
      </c>
      <c r="C446" t="s">
        <v>23</v>
      </c>
      <c r="D446">
        <v>67</v>
      </c>
      <c r="E446" t="s">
        <v>1051</v>
      </c>
      <c r="F446" t="s">
        <v>5324</v>
      </c>
      <c r="G446" t="str">
        <f>B06_Assessment!A67</f>
        <v>B06-Q5</v>
      </c>
      <c r="H446" t="str">
        <f>B06_Assessment!B67</f>
        <v>Where are clean-agent/CO2 extinguisher cabinets located within 75 ft of each TR?</v>
      </c>
      <c r="I446" t="str">
        <f>B06_Assessment!C67</f>
        <v>GC / COR</v>
      </c>
      <c r="J446" t="str">
        <f>B06_Assessment!D67</f>
        <v>Closed</v>
      </c>
      <c r="K446">
        <f>B06_Assessment!E67</f>
        <v>0</v>
      </c>
      <c r="L446">
        <f>B06_Assessment!F67</f>
        <v>0</v>
      </c>
      <c r="M446" t="str">
        <f>B06_Assessment!G67</f>
        <v>Life safety acceptance risk</v>
      </c>
      <c r="N446">
        <f>B06_Assessment!H67</f>
        <v>0</v>
      </c>
      <c r="O446">
        <f>B06_Assessment!I67</f>
        <v>0</v>
      </c>
      <c r="P446">
        <f>B06_Assessment!J67</f>
        <v>0</v>
      </c>
      <c r="Q446" t="str">
        <f t="shared" si="6"/>
        <v>06|60</v>
      </c>
    </row>
    <row r="447" spans="1:17" ht="6.45" customHeight="1">
      <c r="A447" t="s">
        <v>1566</v>
      </c>
      <c r="B447">
        <v>61</v>
      </c>
      <c r="C447" t="s">
        <v>23</v>
      </c>
      <c r="D447">
        <v>68</v>
      </c>
      <c r="E447" t="s">
        <v>1051</v>
      </c>
      <c r="F447" t="s">
        <v>5324</v>
      </c>
      <c r="G447" t="str">
        <f>B06_Assessment!A68</f>
        <v>B06-Q6</v>
      </c>
      <c r="H447" t="str">
        <f>B06_Assessment!B68</f>
        <v>Are all panel load measurements, replacement panels, breakers, SPDs and labels approved?</v>
      </c>
      <c r="I447" t="str">
        <f>B06_Assessment!C68</f>
        <v>Electrical / Designer</v>
      </c>
      <c r="J447" t="str">
        <f>B06_Assessment!D68</f>
        <v>Closed</v>
      </c>
      <c r="K447">
        <f>B06_Assessment!E68</f>
        <v>0</v>
      </c>
      <c r="L447">
        <f>B06_Assessment!F68</f>
        <v>0</v>
      </c>
      <c r="M447" t="str">
        <f>B06_Assessment!G68</f>
        <v>Electrical readiness unknown</v>
      </c>
      <c r="N447">
        <f>B06_Assessment!H68</f>
        <v>0</v>
      </c>
      <c r="O447">
        <f>B06_Assessment!I68</f>
        <v>0</v>
      </c>
      <c r="P447">
        <f>B06_Assessment!J68</f>
        <v>0</v>
      </c>
      <c r="Q447" t="str">
        <f t="shared" si="6"/>
        <v>06|61</v>
      </c>
    </row>
    <row r="448" spans="1:17" ht="6.45" customHeight="1">
      <c r="A448" t="s">
        <v>1566</v>
      </c>
      <c r="B448">
        <v>62</v>
      </c>
      <c r="C448" t="s">
        <v>23</v>
      </c>
      <c r="D448">
        <v>69</v>
      </c>
      <c r="E448" t="s">
        <v>1051</v>
      </c>
      <c r="F448" t="s">
        <v>5324</v>
      </c>
      <c r="G448" t="str">
        <f>B06_Assessment!A69</f>
        <v>B06-Q7</v>
      </c>
      <c r="H448" t="str">
        <f>B06_Assessment!B69</f>
        <v>Are all rated wall/floor penetrations, sleeves and firestopping identified?</v>
      </c>
      <c r="I448" t="str">
        <f>B06_Assessment!C69</f>
        <v>GC / Firestop</v>
      </c>
      <c r="J448" t="str">
        <f>B06_Assessment!D69</f>
        <v>Closed</v>
      </c>
      <c r="K448">
        <f>B06_Assessment!E69</f>
        <v>0</v>
      </c>
      <c r="L448">
        <f>B06_Assessment!F69</f>
        <v>0</v>
      </c>
      <c r="M448" t="str">
        <f>B06_Assessment!G69</f>
        <v>Fire/smoke spread risk</v>
      </c>
      <c r="N448">
        <f>B06_Assessment!H69</f>
        <v>0</v>
      </c>
      <c r="O448">
        <f>B06_Assessment!I69</f>
        <v>0</v>
      </c>
      <c r="P448">
        <f>B06_Assessment!J69</f>
        <v>0</v>
      </c>
      <c r="Q448" t="str">
        <f t="shared" si="6"/>
        <v>06|62</v>
      </c>
    </row>
    <row r="449" spans="1:17" ht="6.45" customHeight="1">
      <c r="A449" t="s">
        <v>1566</v>
      </c>
      <c r="B449">
        <v>63</v>
      </c>
      <c r="C449" t="s">
        <v>23</v>
      </c>
      <c r="D449">
        <v>70</v>
      </c>
      <c r="E449" t="s">
        <v>1051</v>
      </c>
      <c r="F449" t="s">
        <v>5324</v>
      </c>
      <c r="G449" t="str">
        <f>B06_Assessment!A70</f>
        <v>B06-Q8</v>
      </c>
      <c r="H449" t="str">
        <f>B06_Assessment!B70</f>
        <v>Which commissioning/third-party tests must be complete before VA acceptance?</v>
      </c>
      <c r="I449" t="str">
        <f>B06_Assessment!C70</f>
        <v>GC / Cx Manager</v>
      </c>
      <c r="J449" t="str">
        <f>B06_Assessment!D70</f>
        <v>Closed</v>
      </c>
      <c r="K449">
        <f>B06_Assessment!E70</f>
        <v>0</v>
      </c>
      <c r="L449">
        <f>B06_Assessment!F70</f>
        <v>0</v>
      </c>
      <c r="M449" t="str">
        <f>B06_Assessment!G70</f>
        <v>Turnover package gap</v>
      </c>
      <c r="N449">
        <f>B06_Assessment!H70</f>
        <v>0</v>
      </c>
      <c r="O449">
        <f>B06_Assessment!I70</f>
        <v>0</v>
      </c>
      <c r="P449">
        <f>B06_Assessment!J70</f>
        <v>0</v>
      </c>
      <c r="Q449" t="str">
        <f t="shared" si="6"/>
        <v>06|63</v>
      </c>
    </row>
    <row r="450" spans="1:17" ht="6.45" customHeight="1">
      <c r="A450" t="s">
        <v>1566</v>
      </c>
      <c r="B450">
        <v>64</v>
      </c>
      <c r="C450" t="s">
        <v>23</v>
      </c>
      <c r="D450">
        <v>71</v>
      </c>
      <c r="E450" t="s">
        <v>1051</v>
      </c>
      <c r="F450" t="s">
        <v>5325</v>
      </c>
      <c r="G450">
        <f>B06_Assessment!A71</f>
        <v>0</v>
      </c>
      <c r="H450">
        <f>B06_Assessment!B71</f>
        <v>0</v>
      </c>
      <c r="I450">
        <f>B06_Assessment!C71</f>
        <v>0</v>
      </c>
      <c r="J450">
        <f>B06_Assessment!D71</f>
        <v>0</v>
      </c>
      <c r="K450">
        <f>B06_Assessment!E71</f>
        <v>0</v>
      </c>
      <c r="L450">
        <f>B06_Assessment!F71</f>
        <v>0</v>
      </c>
      <c r="M450">
        <f>B06_Assessment!G71</f>
        <v>0</v>
      </c>
      <c r="N450">
        <f>B06_Assessment!H71</f>
        <v>0</v>
      </c>
      <c r="O450">
        <f>B06_Assessment!I71</f>
        <v>0</v>
      </c>
      <c r="P450">
        <f>B06_Assessment!J71</f>
        <v>0</v>
      </c>
      <c r="Q450" t="str">
        <f t="shared" ref="Q450:Q513" si="7">A450&amp;"|"&amp;B450</f>
        <v>06|64</v>
      </c>
    </row>
    <row r="451" spans="1:17" ht="6.45" customHeight="1">
      <c r="A451" t="s">
        <v>1566</v>
      </c>
      <c r="B451">
        <v>65</v>
      </c>
      <c r="C451" t="s">
        <v>23</v>
      </c>
      <c r="D451">
        <v>72</v>
      </c>
      <c r="E451" t="s">
        <v>1052</v>
      </c>
      <c r="F451" t="s">
        <v>5322</v>
      </c>
      <c r="G451" t="str">
        <f>B06_Assessment!A72</f>
        <v>10. PHOTO LOG</v>
      </c>
      <c r="H451">
        <f>B06_Assessment!B72</f>
        <v>0</v>
      </c>
      <c r="I451">
        <f>B06_Assessment!C72</f>
        <v>0</v>
      </c>
      <c r="J451">
        <f>B06_Assessment!D72</f>
        <v>0</v>
      </c>
      <c r="K451">
        <f>B06_Assessment!E72</f>
        <v>0</v>
      </c>
      <c r="L451">
        <f>B06_Assessment!F72</f>
        <v>0</v>
      </c>
      <c r="M451">
        <f>B06_Assessment!G72</f>
        <v>0</v>
      </c>
      <c r="N451">
        <f>B06_Assessment!H72</f>
        <v>0</v>
      </c>
      <c r="O451">
        <f>B06_Assessment!I72</f>
        <v>0</v>
      </c>
      <c r="P451">
        <f>B06_Assessment!J72</f>
        <v>0</v>
      </c>
      <c r="Q451" t="str">
        <f t="shared" si="7"/>
        <v>06|65</v>
      </c>
    </row>
    <row r="452" spans="1:17" ht="6.45" customHeight="1">
      <c r="A452" t="s">
        <v>1566</v>
      </c>
      <c r="B452">
        <v>66</v>
      </c>
      <c r="C452" t="s">
        <v>23</v>
      </c>
      <c r="D452">
        <v>73</v>
      </c>
      <c r="E452" t="s">
        <v>1052</v>
      </c>
      <c r="F452" t="s">
        <v>5323</v>
      </c>
      <c r="G452" t="str">
        <f>B06_Assessment!A73</f>
        <v>Photo ID</v>
      </c>
      <c r="H452" t="str">
        <f>B06_Assessment!B73</f>
        <v>Room</v>
      </c>
      <c r="I452" t="str">
        <f>B06_Assessment!C73</f>
        <v>Category</v>
      </c>
      <c r="J452" t="str">
        <f>B06_Assessment!D73</f>
        <v>Description</v>
      </c>
      <c r="K452" t="str">
        <f>B06_Assessment!E73</f>
        <v>Date</v>
      </c>
      <c r="L452" t="str">
        <f>B06_Assessment!F73</f>
        <v>Taken By</v>
      </c>
      <c r="M452" t="str">
        <f>B06_Assessment!G73</f>
        <v>File / Link</v>
      </c>
      <c r="N452" t="str">
        <f>B06_Assessment!H73</f>
        <v>Related Risk</v>
      </c>
      <c r="O452" t="str">
        <f>B06_Assessment!I73</f>
        <v>Status</v>
      </c>
      <c r="P452" t="str">
        <f>B06_Assessment!J73</f>
        <v>Notes</v>
      </c>
      <c r="Q452" t="str">
        <f t="shared" si="7"/>
        <v>06|66</v>
      </c>
    </row>
    <row r="453" spans="1:17" ht="6.45" customHeight="1">
      <c r="A453" t="s">
        <v>1566</v>
      </c>
      <c r="B453">
        <v>67</v>
      </c>
      <c r="C453" t="s">
        <v>23</v>
      </c>
      <c r="D453">
        <v>74</v>
      </c>
      <c r="E453" t="s">
        <v>1052</v>
      </c>
      <c r="F453" t="s">
        <v>5324</v>
      </c>
      <c r="G453" t="str">
        <f>B06_Assessment!A74</f>
        <v>B06-P001</v>
      </c>
      <c r="H453" t="str">
        <f>B06_Assessment!B74</f>
        <v>B-01</v>
      </c>
      <c r="I453" t="str">
        <f>B06_Assessment!C74</f>
        <v>Existing Condition</v>
      </c>
      <c r="J453" t="str">
        <f>B06_Assessment!D74</f>
        <v>Existing basement wall/wall-mount TE, Cisco switches, legacy patch panels, floor UPS</v>
      </c>
      <c r="K453">
        <f>B06_Assessment!E74</f>
        <v>0</v>
      </c>
      <c r="L453" t="str">
        <f>B06_Assessment!F74</f>
        <v>Paul</v>
      </c>
      <c r="M453">
        <f>B06_Assessment!G74</f>
        <v>0</v>
      </c>
      <c r="N453" t="str">
        <f>B06_Assessment!H74</f>
        <v>B06-R1/B06-R2</v>
      </c>
      <c r="O453" t="str">
        <f>B06_Assessment!I74</f>
        <v>Closed</v>
      </c>
      <c r="P453">
        <f>B06_Assessment!J74</f>
        <v>0</v>
      </c>
      <c r="Q453" t="str">
        <f t="shared" si="7"/>
        <v>06|67</v>
      </c>
    </row>
    <row r="454" spans="1:17" ht="6.45" customHeight="1">
      <c r="A454" t="s">
        <v>1566</v>
      </c>
      <c r="B454">
        <v>68</v>
      </c>
      <c r="C454" t="s">
        <v>23</v>
      </c>
      <c r="D454">
        <v>75</v>
      </c>
      <c r="E454" t="s">
        <v>1052</v>
      </c>
      <c r="F454" t="s">
        <v>5324</v>
      </c>
      <c r="G454" t="str">
        <f>B06_Assessment!A75</f>
        <v>B06-P002</v>
      </c>
      <c r="H454" t="str">
        <f>B06_Assessment!B75</f>
        <v>178</v>
      </c>
      <c r="I454" t="str">
        <f>B06_Assessment!C75</f>
        <v>Existing Condition</v>
      </c>
      <c r="J454" t="str">
        <f>B06_Assessment!D75</f>
        <v>Room 178 TR, existing 2-post racks, panels, card reader/security, HVAC location</v>
      </c>
      <c r="K454">
        <f>B06_Assessment!E75</f>
        <v>0</v>
      </c>
      <c r="L454" t="str">
        <f>B06_Assessment!F75</f>
        <v>Paul</v>
      </c>
      <c r="M454">
        <f>B06_Assessment!G75</f>
        <v>0</v>
      </c>
      <c r="N454" t="str">
        <f>B06_Assessment!H75</f>
        <v>B06-R1/B06-R3</v>
      </c>
      <c r="O454" t="str">
        <f>B06_Assessment!I75</f>
        <v>Closed</v>
      </c>
      <c r="P454">
        <f>B06_Assessment!J75</f>
        <v>0</v>
      </c>
      <c r="Q454" t="str">
        <f t="shared" si="7"/>
        <v>06|68</v>
      </c>
    </row>
    <row r="455" spans="1:17" ht="6.45" customHeight="1">
      <c r="A455" t="s">
        <v>1566</v>
      </c>
      <c r="B455">
        <v>69</v>
      </c>
      <c r="C455" t="s">
        <v>23</v>
      </c>
      <c r="D455">
        <v>76</v>
      </c>
      <c r="E455" t="s">
        <v>1052</v>
      </c>
      <c r="F455" t="s">
        <v>5324</v>
      </c>
      <c r="G455" t="str">
        <f>B06_Assessment!A76</f>
        <v>B06-P003</v>
      </c>
      <c r="H455" t="str">
        <f>B06_Assessment!B76</f>
        <v>233</v>
      </c>
      <c r="I455" t="str">
        <f>B06_Assessment!C76</f>
        <v>Existing Condition</v>
      </c>
      <c r="J455" t="str">
        <f>B06_Assessment!D76</f>
        <v>Room 233/Data Closet, adjacent toilet/bath areas, walls/door/ceiling/penetrations</v>
      </c>
      <c r="K455">
        <f>B06_Assessment!E76</f>
        <v>0</v>
      </c>
      <c r="L455" t="str">
        <f>B06_Assessment!F76</f>
        <v>Paul</v>
      </c>
      <c r="M455">
        <f>B06_Assessment!G76</f>
        <v>0</v>
      </c>
      <c r="N455" t="str">
        <f>B06_Assessment!H76</f>
        <v>B06-R4</v>
      </c>
      <c r="O455" t="str">
        <f>B06_Assessment!I76</f>
        <v>Closed</v>
      </c>
      <c r="P455">
        <f>B06_Assessment!J76</f>
        <v>0</v>
      </c>
      <c r="Q455" t="str">
        <f t="shared" si="7"/>
        <v>06|69</v>
      </c>
    </row>
    <row r="456" spans="1:17" ht="6.45" customHeight="1">
      <c r="A456" t="s">
        <v>1566</v>
      </c>
      <c r="B456">
        <v>70</v>
      </c>
      <c r="C456" t="s">
        <v>23</v>
      </c>
      <c r="D456">
        <v>77</v>
      </c>
      <c r="E456" t="s">
        <v>1052</v>
      </c>
      <c r="F456" t="s">
        <v>5324</v>
      </c>
      <c r="G456" t="str">
        <f>B06_Assessment!A77</f>
        <v>B06-P004</v>
      </c>
      <c r="H456" t="str">
        <f>B06_Assessment!B77</f>
        <v>All</v>
      </c>
      <c r="I456" t="str">
        <f>B06_Assessment!C77</f>
        <v>Firestop</v>
      </c>
      <c r="J456" t="str">
        <f>B06_Assessment!D77</f>
        <v>All wall/floor/sleeve/tray penetrations before and after firestop</v>
      </c>
      <c r="K456">
        <f>B06_Assessment!E77</f>
        <v>0</v>
      </c>
      <c r="L456" t="str">
        <f>B06_Assessment!F77</f>
        <v>Paul</v>
      </c>
      <c r="M456">
        <f>B06_Assessment!G77</f>
        <v>0</v>
      </c>
      <c r="N456" t="str">
        <f>B06_Assessment!H77</f>
        <v>B06-R6</v>
      </c>
      <c r="O456" t="str">
        <f>B06_Assessment!I77</f>
        <v>Closed</v>
      </c>
      <c r="P456">
        <f>B06_Assessment!J77</f>
        <v>0</v>
      </c>
      <c r="Q456" t="str">
        <f t="shared" si="7"/>
        <v>06|70</v>
      </c>
    </row>
    <row r="457" spans="1:17" ht="6.45" customHeight="1">
      <c r="A457" t="s">
        <v>1566</v>
      </c>
      <c r="B457">
        <v>71</v>
      </c>
      <c r="C457" t="s">
        <v>23</v>
      </c>
      <c r="D457">
        <v>78</v>
      </c>
      <c r="E457" t="s">
        <v>1052</v>
      </c>
      <c r="F457" t="s">
        <v>5324</v>
      </c>
      <c r="G457" t="str">
        <f>B06_Assessment!A78</f>
        <v>B06-P005</v>
      </c>
      <c r="H457" t="str">
        <f>B06_Assessment!B78</f>
        <v>178/233</v>
      </c>
      <c r="I457" t="str">
        <f>B06_Assessment!C78</f>
        <v>HVAC</v>
      </c>
      <c r="J457" t="str">
        <f>B06_Assessment!D78</f>
        <v>IU/CU equipment, condensate, thermostat, BACnet adapter, disconnects, high-temp alarm</v>
      </c>
      <c r="K457">
        <f>B06_Assessment!E78</f>
        <v>0</v>
      </c>
      <c r="L457" t="str">
        <f>B06_Assessment!F78</f>
        <v>Paul</v>
      </c>
      <c r="M457">
        <f>B06_Assessment!G78</f>
        <v>0</v>
      </c>
      <c r="N457" t="str">
        <f>B06_Assessment!H78</f>
        <v>B06-R5</v>
      </c>
      <c r="O457" t="str">
        <f>B06_Assessment!I78</f>
        <v>Closed</v>
      </c>
      <c r="P457">
        <f>B06_Assessment!J78</f>
        <v>0</v>
      </c>
      <c r="Q457" t="str">
        <f t="shared" si="7"/>
        <v>06|71</v>
      </c>
    </row>
    <row r="458" spans="1:17" ht="6.45" customHeight="1">
      <c r="A458" t="s">
        <v>1566</v>
      </c>
      <c r="B458">
        <v>72</v>
      </c>
      <c r="C458" t="s">
        <v>23</v>
      </c>
      <c r="D458">
        <v>79</v>
      </c>
      <c r="E458" t="s">
        <v>1052</v>
      </c>
      <c r="F458" t="s">
        <v>5324</v>
      </c>
      <c r="G458" t="str">
        <f>B06_Assessment!A79</f>
        <v>B06-P006</v>
      </c>
      <c r="H458" t="str">
        <f>B06_Assessment!B79</f>
        <v>All</v>
      </c>
      <c r="I458" t="str">
        <f>B06_Assessment!C79</f>
        <v>Electrical</v>
      </c>
      <c r="J458" t="str">
        <f>B06_Assessment!D79</f>
        <v>B06-NP-TR, B06-EP-TR, B06-TR178A/B, B06-TR233A/B, breakers, SPD, labels</v>
      </c>
      <c r="K458">
        <f>B06_Assessment!E79</f>
        <v>0</v>
      </c>
      <c r="L458" t="str">
        <f>B06_Assessment!F79</f>
        <v>Paul</v>
      </c>
      <c r="M458">
        <f>B06_Assessment!G79</f>
        <v>0</v>
      </c>
      <c r="N458" t="str">
        <f>B06_Assessment!H79</f>
        <v>B06-R3/B06-R6</v>
      </c>
      <c r="O458" t="str">
        <f>B06_Assessment!I79</f>
        <v>Closed</v>
      </c>
      <c r="P458">
        <f>B06_Assessment!J79</f>
        <v>0</v>
      </c>
      <c r="Q458" t="str">
        <f t="shared" si="7"/>
        <v>06|72</v>
      </c>
    </row>
    <row r="459" spans="1:17" ht="6.45" customHeight="1">
      <c r="A459" t="s">
        <v>1566</v>
      </c>
      <c r="B459">
        <v>73</v>
      </c>
      <c r="C459" t="s">
        <v>23</v>
      </c>
      <c r="D459">
        <v>80</v>
      </c>
      <c r="E459" t="s">
        <v>1052</v>
      </c>
      <c r="F459" t="s">
        <v>5324</v>
      </c>
      <c r="G459" t="str">
        <f>B06_Assessment!A80</f>
        <v>B06-P007</v>
      </c>
      <c r="H459" t="str">
        <f>B06_Assessment!B80</f>
        <v>All</v>
      </c>
      <c r="I459" t="str">
        <f>B06_Assessment!C80</f>
        <v>Telecom</v>
      </c>
      <c r="J459" t="str">
        <f>B06_Assessment!D80</f>
        <v>Racks, ladder tray, fiber, Cat6A, LIU, patch panels, labels, test records</v>
      </c>
      <c r="K459">
        <f>B06_Assessment!E80</f>
        <v>0</v>
      </c>
      <c r="L459" t="str">
        <f>B06_Assessment!F80</f>
        <v>Paul</v>
      </c>
      <c r="M459">
        <f>B06_Assessment!G80</f>
        <v>0</v>
      </c>
      <c r="N459" t="str">
        <f>B06_Assessment!H80</f>
        <v>B06-R7</v>
      </c>
      <c r="O459" t="str">
        <f>B06_Assessment!I80</f>
        <v>Closed</v>
      </c>
      <c r="P459">
        <f>B06_Assessment!J80</f>
        <v>0</v>
      </c>
      <c r="Q459" t="str">
        <f t="shared" si="7"/>
        <v>06|73</v>
      </c>
    </row>
    <row r="460" spans="1:17" ht="6.45" customHeight="1">
      <c r="A460" t="s">
        <v>1566</v>
      </c>
      <c r="B460">
        <v>74</v>
      </c>
      <c r="C460" t="s">
        <v>23</v>
      </c>
      <c r="D460">
        <v>81</v>
      </c>
      <c r="E460" t="s">
        <v>1052</v>
      </c>
      <c r="F460" t="s">
        <v>5324</v>
      </c>
      <c r="G460" t="str">
        <f>B06_Assessment!A81</f>
        <v>B06-P008</v>
      </c>
      <c r="H460" t="str">
        <f>B06_Assessment!B81</f>
        <v>All</v>
      </c>
      <c r="I460" t="str">
        <f>B06_Assessment!C81</f>
        <v>Security</v>
      </c>
      <c r="J460" t="str">
        <f>B06_Assessment!D81</f>
        <v>Card readers, electric strikes, door position, motion sensors, CCTV/PACS integration</v>
      </c>
      <c r="K460">
        <f>B06_Assessment!E81</f>
        <v>0</v>
      </c>
      <c r="L460" t="str">
        <f>B06_Assessment!F81</f>
        <v>Paul</v>
      </c>
      <c r="M460">
        <f>B06_Assessment!G81</f>
        <v>0</v>
      </c>
      <c r="N460" t="str">
        <f>B06_Assessment!H81</f>
        <v>B06-R4</v>
      </c>
      <c r="O460" t="str">
        <f>B06_Assessment!I81</f>
        <v>Closed</v>
      </c>
      <c r="P460">
        <f>B06_Assessment!J81</f>
        <v>0</v>
      </c>
      <c r="Q460" t="str">
        <f t="shared" si="7"/>
        <v>06|74</v>
      </c>
    </row>
    <row r="461" spans="1:17" ht="6.45" customHeight="1">
      <c r="A461" t="s">
        <v>1566</v>
      </c>
      <c r="B461">
        <v>75</v>
      </c>
      <c r="C461" t="s">
        <v>23</v>
      </c>
      <c r="D461">
        <v>82</v>
      </c>
      <c r="E461" t="s">
        <v>1052</v>
      </c>
      <c r="F461" t="s">
        <v>5325</v>
      </c>
      <c r="G461">
        <f>B06_Assessment!A82</f>
        <v>0</v>
      </c>
      <c r="H461">
        <f>B06_Assessment!B82</f>
        <v>0</v>
      </c>
      <c r="I461">
        <f>B06_Assessment!C82</f>
        <v>0</v>
      </c>
      <c r="J461">
        <f>B06_Assessment!D82</f>
        <v>0</v>
      </c>
      <c r="K461">
        <f>B06_Assessment!E82</f>
        <v>0</v>
      </c>
      <c r="L461">
        <f>B06_Assessment!F82</f>
        <v>0</v>
      </c>
      <c r="M461">
        <f>B06_Assessment!G82</f>
        <v>0</v>
      </c>
      <c r="N461">
        <f>B06_Assessment!H82</f>
        <v>0</v>
      </c>
      <c r="O461">
        <f>B06_Assessment!I82</f>
        <v>0</v>
      </c>
      <c r="P461">
        <f>B06_Assessment!J82</f>
        <v>0</v>
      </c>
      <c r="Q461" t="str">
        <f t="shared" si="7"/>
        <v>06|75</v>
      </c>
    </row>
    <row r="462" spans="1:17" ht="6.45" customHeight="1">
      <c r="A462" t="s">
        <v>1680</v>
      </c>
      <c r="B462">
        <v>1</v>
      </c>
      <c r="C462" t="s">
        <v>25</v>
      </c>
      <c r="D462">
        <v>8</v>
      </c>
      <c r="E462" t="s">
        <v>918</v>
      </c>
      <c r="F462" t="s">
        <v>5322</v>
      </c>
      <c r="G462" t="str">
        <f>B07_Assessment!A8</f>
        <v>1. ROOM INVENTORY</v>
      </c>
      <c r="H462">
        <f>B07_Assessment!B8</f>
        <v>0</v>
      </c>
      <c r="I462">
        <f>B07_Assessment!C8</f>
        <v>0</v>
      </c>
      <c r="J462">
        <f>B07_Assessment!D8</f>
        <v>0</v>
      </c>
      <c r="K462">
        <f>B07_Assessment!E8</f>
        <v>0</v>
      </c>
      <c r="L462">
        <f>B07_Assessment!F8</f>
        <v>0</v>
      </c>
      <c r="M462">
        <f>B07_Assessment!G8</f>
        <v>0</v>
      </c>
      <c r="N462">
        <f>B07_Assessment!H8</f>
        <v>0</v>
      </c>
      <c r="O462">
        <f>B07_Assessment!I8</f>
        <v>0</v>
      </c>
      <c r="P462">
        <f>B07_Assessment!J8</f>
        <v>0</v>
      </c>
      <c r="Q462" t="str">
        <f t="shared" si="7"/>
        <v>07|1</v>
      </c>
    </row>
    <row r="463" spans="1:17" ht="6.45" customHeight="1">
      <c r="A463" t="s">
        <v>1680</v>
      </c>
      <c r="B463">
        <v>2</v>
      </c>
      <c r="C463" t="s">
        <v>25</v>
      </c>
      <c r="D463">
        <v>9</v>
      </c>
      <c r="E463" t="s">
        <v>918</v>
      </c>
      <c r="F463" t="s">
        <v>5323</v>
      </c>
      <c r="G463" t="str">
        <f>B07_Assessment!A9</f>
        <v>Building</v>
      </c>
      <c r="H463" t="str">
        <f>B07_Assessment!B9</f>
        <v>Room</v>
      </c>
      <c r="I463" t="str">
        <f>B07_Assessment!C9</f>
        <v>Floor</v>
      </c>
      <c r="J463" t="str">
        <f>B07_Assessment!D9</f>
        <v>Existing Use</v>
      </c>
      <c r="K463" t="str">
        <f>B07_Assessment!E9</f>
        <v>New Use</v>
      </c>
      <c r="L463" t="str">
        <f>B07_Assessment!F9</f>
        <v>Rack Count</v>
      </c>
      <c r="M463" t="str">
        <f>B07_Assessment!G9</f>
        <v>Future Rack</v>
      </c>
      <c r="N463" t="str">
        <f>B07_Assessment!H9</f>
        <v>Status</v>
      </c>
      <c r="O463" t="str">
        <f>B07_Assessment!I9</f>
        <v>Drawing Ref</v>
      </c>
      <c r="P463" t="str">
        <f>B07_Assessment!J9</f>
        <v>Notes</v>
      </c>
      <c r="Q463" t="str">
        <f t="shared" si="7"/>
        <v>07|2</v>
      </c>
    </row>
    <row r="464" spans="1:17" ht="6.45" customHeight="1">
      <c r="A464" t="s">
        <v>1680</v>
      </c>
      <c r="B464">
        <v>3</v>
      </c>
      <c r="C464" t="s">
        <v>25</v>
      </c>
      <c r="D464">
        <v>10</v>
      </c>
      <c r="E464" t="s">
        <v>918</v>
      </c>
      <c r="F464" t="s">
        <v>5324</v>
      </c>
      <c r="G464" t="str">
        <f>B07_Assessment!A10</f>
        <v>07</v>
      </c>
      <c r="H464" t="str">
        <f>B07_Assessment!B10</f>
        <v>B-18</v>
      </c>
      <c r="I464" t="str">
        <f>B07_Assessment!C10</f>
        <v>Basement</v>
      </c>
      <c r="J464" t="str">
        <f>B07_Assessment!D10</f>
        <v>Existing office / telecom-service area</v>
      </c>
      <c r="K464" t="str">
        <f>B07_Assessment!E10</f>
        <v>Telecom Room</v>
      </c>
      <c r="L464">
        <f>B07_Assessment!F10</f>
        <v>1</v>
      </c>
      <c r="M464">
        <f>B07_Assessment!G10</f>
        <v>1</v>
      </c>
      <c r="N464" t="str">
        <f>B07_Assessment!H10</f>
        <v>Verify</v>
      </c>
      <c r="O464" t="str">
        <f>B07_Assessment!I10</f>
        <v>07A-400 / 07E-401 / 07T-604 / 07M-701</v>
      </c>
      <c r="P464" t="str">
        <f>B07_Assessment!J10</f>
        <v>Rack elevation shows B-18 as 1 of 1 + future, 4-post floor rack, UPS, future Zone PDU, network switches, Cat6A patch panels, Cat5E patch panel and Fiber LIU.</v>
      </c>
      <c r="Q464" t="str">
        <f t="shared" si="7"/>
        <v>07|3</v>
      </c>
    </row>
    <row r="465" spans="1:17" ht="6.45" customHeight="1">
      <c r="A465" t="s">
        <v>1680</v>
      </c>
      <c r="B465">
        <v>4</v>
      </c>
      <c r="C465" t="s">
        <v>25</v>
      </c>
      <c r="D465">
        <v>11</v>
      </c>
      <c r="E465" t="s">
        <v>918</v>
      </c>
      <c r="F465" t="s">
        <v>5324</v>
      </c>
      <c r="G465" t="str">
        <f>B07_Assessment!A11</f>
        <v>07</v>
      </c>
      <c r="H465" t="str">
        <f>B07_Assessment!B11</f>
        <v>228A</v>
      </c>
      <c r="I465" t="str">
        <f>B07_Assessment!C11</f>
        <v>Second</v>
      </c>
      <c r="J465" t="str">
        <f>B07_Assessment!D11</f>
        <v>Social worker shared / adjacent OPM storage and DOM MSA area</v>
      </c>
      <c r="K465" t="str">
        <f>B07_Assessment!E11</f>
        <v>Telecom Room</v>
      </c>
      <c r="L465">
        <f>B07_Assessment!F11</f>
        <v>1</v>
      </c>
      <c r="M465">
        <f>B07_Assessment!G11</f>
        <v>1</v>
      </c>
      <c r="N465" t="str">
        <f>B07_Assessment!H11</f>
        <v>Verify</v>
      </c>
      <c r="O465" t="str">
        <f>B07_Assessment!I11</f>
        <v>07A-401 / 07E-401 / 07T-604 / 07M-701</v>
      </c>
      <c r="P465" t="str">
        <f>B07_Assessment!J11</f>
        <v>Architectural enlarged view identifies Telecom Room 228A at 236 SF; includes fire-rated door/wall work, FEC requirement, exterior furring wall/window enclosure and temporary dust barrier.</v>
      </c>
      <c r="Q465" t="str">
        <f t="shared" si="7"/>
        <v>07|4</v>
      </c>
    </row>
    <row r="466" spans="1:17" ht="6.45" customHeight="1">
      <c r="A466" t="s">
        <v>1680</v>
      </c>
      <c r="B466">
        <v>5</v>
      </c>
      <c r="C466" t="s">
        <v>25</v>
      </c>
      <c r="D466">
        <v>12</v>
      </c>
      <c r="E466" t="s">
        <v>918</v>
      </c>
      <c r="F466" t="s">
        <v>5325</v>
      </c>
      <c r="G466">
        <f>B07_Assessment!A12</f>
        <v>0</v>
      </c>
      <c r="H466">
        <f>B07_Assessment!B12</f>
        <v>0</v>
      </c>
      <c r="I466">
        <f>B07_Assessment!C12</f>
        <v>0</v>
      </c>
      <c r="J466">
        <f>B07_Assessment!D12</f>
        <v>0</v>
      </c>
      <c r="K466">
        <f>B07_Assessment!E12</f>
        <v>0</v>
      </c>
      <c r="L466">
        <f>B07_Assessment!F12</f>
        <v>0</v>
      </c>
      <c r="M466">
        <f>B07_Assessment!G12</f>
        <v>0</v>
      </c>
      <c r="N466">
        <f>B07_Assessment!H12</f>
        <v>0</v>
      </c>
      <c r="O466">
        <f>B07_Assessment!I12</f>
        <v>0</v>
      </c>
      <c r="P466">
        <f>B07_Assessment!J12</f>
        <v>0</v>
      </c>
      <c r="Q466" t="str">
        <f t="shared" si="7"/>
        <v>07|5</v>
      </c>
    </row>
    <row r="467" spans="1:17" ht="6.45" customHeight="1">
      <c r="A467" t="s">
        <v>1680</v>
      </c>
      <c r="B467">
        <v>6</v>
      </c>
      <c r="C467" t="s">
        <v>25</v>
      </c>
      <c r="D467">
        <v>13</v>
      </c>
      <c r="E467" t="s">
        <v>936</v>
      </c>
      <c r="F467" t="s">
        <v>5322</v>
      </c>
      <c r="G467" t="str">
        <f>B07_Assessment!A13</f>
        <v>2. ROOM READINESS</v>
      </c>
      <c r="H467">
        <f>B07_Assessment!B13</f>
        <v>0</v>
      </c>
      <c r="I467">
        <f>B07_Assessment!C13</f>
        <v>0</v>
      </c>
      <c r="J467">
        <f>B07_Assessment!D13</f>
        <v>0</v>
      </c>
      <c r="K467">
        <f>B07_Assessment!E13</f>
        <v>0</v>
      </c>
      <c r="L467">
        <f>B07_Assessment!F13</f>
        <v>0</v>
      </c>
      <c r="M467">
        <f>B07_Assessment!G13</f>
        <v>0</v>
      </c>
      <c r="N467">
        <f>B07_Assessment!H13</f>
        <v>0</v>
      </c>
      <c r="O467">
        <f>B07_Assessment!I13</f>
        <v>0</v>
      </c>
      <c r="P467">
        <f>B07_Assessment!J13</f>
        <v>0</v>
      </c>
      <c r="Q467" t="str">
        <f t="shared" si="7"/>
        <v>07|6</v>
      </c>
    </row>
    <row r="468" spans="1:17" ht="6.45" customHeight="1">
      <c r="A468" t="s">
        <v>1680</v>
      </c>
      <c r="B468">
        <v>7</v>
      </c>
      <c r="C468" t="s">
        <v>25</v>
      </c>
      <c r="D468">
        <v>14</v>
      </c>
      <c r="E468" t="s">
        <v>936</v>
      </c>
      <c r="F468" t="s">
        <v>5323</v>
      </c>
      <c r="G468" t="str">
        <f>B07_Assessment!A14</f>
        <v>Room</v>
      </c>
      <c r="H468" t="str">
        <f>B07_Assessment!B14</f>
        <v>Walls / 1-hr Rating</v>
      </c>
      <c r="I468" t="str">
        <f>B07_Assessment!C14</f>
        <v>Ceiling</v>
      </c>
      <c r="J468" t="str">
        <f>B07_Assessment!D14</f>
        <v>Floor / SDC</v>
      </c>
      <c r="K468" t="str">
        <f>B07_Assessment!E14</f>
        <v>Penetrations</v>
      </c>
      <c r="L468" t="str">
        <f>B07_Assessment!F14</f>
        <v>Access Control</v>
      </c>
      <c r="M468" t="str">
        <f>B07_Assessment!G14</f>
        <v>Clearances</v>
      </c>
      <c r="N468" t="str">
        <f>B07_Assessment!H14</f>
        <v>Housekeeping</v>
      </c>
      <c r="O468" t="str">
        <f>B07_Assessment!I14</f>
        <v>Overall</v>
      </c>
      <c r="P468" t="str">
        <f>B07_Assessment!J14</f>
        <v>Comments</v>
      </c>
      <c r="Q468" t="str">
        <f t="shared" si="7"/>
        <v>07|7</v>
      </c>
    </row>
    <row r="469" spans="1:17" ht="6.45" customHeight="1">
      <c r="A469" t="s">
        <v>1680</v>
      </c>
      <c r="B469">
        <v>8</v>
      </c>
      <c r="C469" t="s">
        <v>25</v>
      </c>
      <c r="D469">
        <v>15</v>
      </c>
      <c r="E469" t="s">
        <v>936</v>
      </c>
      <c r="F469" t="s">
        <v>5324</v>
      </c>
      <c r="G469" t="str">
        <f>B07_Assessment!A15</f>
        <v>B-18</v>
      </c>
      <c r="H469" t="str">
        <f>B07_Assessment!B15</f>
        <v>Verify</v>
      </c>
      <c r="I469" t="str">
        <f>B07_Assessment!C15</f>
        <v>Verify</v>
      </c>
      <c r="J469" t="str">
        <f>B07_Assessment!D15</f>
        <v>Verify</v>
      </c>
      <c r="K469" t="str">
        <f>B07_Assessment!E15</f>
        <v>Verify</v>
      </c>
      <c r="L469" t="str">
        <f>B07_Assessment!F15</f>
        <v>Verify</v>
      </c>
      <c r="M469" t="str">
        <f>B07_Assessment!G15</f>
        <v>Verify</v>
      </c>
      <c r="N469" t="str">
        <f>B07_Assessment!H15</f>
        <v>Verify</v>
      </c>
      <c r="O469" t="str">
        <f>B07_Assessment!I15</f>
        <v>Verify</v>
      </c>
      <c r="P469" t="str">
        <f>B07_Assessment!J15</f>
        <v>Basement TR; verify office-to-TR conversion conditions, existing utilities, wall/ceiling/firestop conditions and future rack clearance.</v>
      </c>
      <c r="Q469" t="str">
        <f t="shared" si="7"/>
        <v>07|8</v>
      </c>
    </row>
    <row r="470" spans="1:17" ht="6.45" customHeight="1">
      <c r="A470" t="s">
        <v>1680</v>
      </c>
      <c r="B470">
        <v>9</v>
      </c>
      <c r="C470" t="s">
        <v>25</v>
      </c>
      <c r="D470">
        <v>16</v>
      </c>
      <c r="E470" t="s">
        <v>936</v>
      </c>
      <c r="F470" t="s">
        <v>5324</v>
      </c>
      <c r="G470" t="str">
        <f>B07_Assessment!A16</f>
        <v>228A</v>
      </c>
      <c r="H470" t="str">
        <f>B07_Assessment!B16</f>
        <v>Verify</v>
      </c>
      <c r="I470" t="str">
        <f>B07_Assessment!C16</f>
        <v>Verify</v>
      </c>
      <c r="J470" t="str">
        <f>B07_Assessment!D16</f>
        <v>Verify</v>
      </c>
      <c r="K470" t="str">
        <f>B07_Assessment!E16</f>
        <v>Verify</v>
      </c>
      <c r="L470" t="str">
        <f>B07_Assessment!F16</f>
        <v>Verify</v>
      </c>
      <c r="M470" t="str">
        <f>B07_Assessment!G16</f>
        <v>Verify</v>
      </c>
      <c r="N470" t="str">
        <f>B07_Assessment!H16</f>
        <v>Verify</v>
      </c>
      <c r="O470" t="str">
        <f>B07_Assessment!I16</f>
        <v>Verify</v>
      </c>
      <c r="P470" t="str">
        <f>B07_Assessment!J16</f>
        <v>Second-floor TR; verify 1-hour fire/smoke-rated wall, 45-minute door/frame, open-to-deck/furring wall details, access control and equipment clearances.</v>
      </c>
      <c r="Q470" t="str">
        <f t="shared" si="7"/>
        <v>07|9</v>
      </c>
    </row>
    <row r="471" spans="1:17" ht="6.45" customHeight="1">
      <c r="A471" t="s">
        <v>1680</v>
      </c>
      <c r="B471">
        <v>10</v>
      </c>
      <c r="C471" t="s">
        <v>25</v>
      </c>
      <c r="D471">
        <v>17</v>
      </c>
      <c r="E471" t="s">
        <v>936</v>
      </c>
      <c r="F471" t="s">
        <v>5325</v>
      </c>
      <c r="G471">
        <f>B07_Assessment!A17</f>
        <v>0</v>
      </c>
      <c r="H471">
        <f>B07_Assessment!B17</f>
        <v>0</v>
      </c>
      <c r="I471">
        <f>B07_Assessment!C17</f>
        <v>0</v>
      </c>
      <c r="J471">
        <f>B07_Assessment!D17</f>
        <v>0</v>
      </c>
      <c r="K471">
        <f>B07_Assessment!E17</f>
        <v>0</v>
      </c>
      <c r="L471">
        <f>B07_Assessment!F17</f>
        <v>0</v>
      </c>
      <c r="M471">
        <f>B07_Assessment!G17</f>
        <v>0</v>
      </c>
      <c r="N471">
        <f>B07_Assessment!H17</f>
        <v>0</v>
      </c>
      <c r="O471">
        <f>B07_Assessment!I17</f>
        <v>0</v>
      </c>
      <c r="P471">
        <f>B07_Assessment!J17</f>
        <v>0</v>
      </c>
      <c r="Q471" t="str">
        <f t="shared" si="7"/>
        <v>07|10</v>
      </c>
    </row>
    <row r="472" spans="1:17" ht="6.45" customHeight="1">
      <c r="A472" t="s">
        <v>1680</v>
      </c>
      <c r="B472">
        <v>11</v>
      </c>
      <c r="C472" t="s">
        <v>25</v>
      </c>
      <c r="D472">
        <v>18</v>
      </c>
      <c r="E472" t="s">
        <v>951</v>
      </c>
      <c r="F472" t="s">
        <v>5322</v>
      </c>
      <c r="G472" t="str">
        <f>B07_Assessment!A18</f>
        <v>3. FIRE PROTECTION</v>
      </c>
      <c r="H472">
        <f>B07_Assessment!B18</f>
        <v>0</v>
      </c>
      <c r="I472">
        <f>B07_Assessment!C18</f>
        <v>0</v>
      </c>
      <c r="J472">
        <f>B07_Assessment!D18</f>
        <v>0</v>
      </c>
      <c r="K472">
        <f>B07_Assessment!E18</f>
        <v>0</v>
      </c>
      <c r="L472">
        <f>B07_Assessment!F18</f>
        <v>0</v>
      </c>
      <c r="M472">
        <f>B07_Assessment!G18</f>
        <v>0</v>
      </c>
      <c r="N472">
        <f>B07_Assessment!H18</f>
        <v>0</v>
      </c>
      <c r="O472">
        <f>B07_Assessment!I18</f>
        <v>0</v>
      </c>
      <c r="P472">
        <f>B07_Assessment!J18</f>
        <v>0</v>
      </c>
      <c r="Q472" t="str">
        <f t="shared" si="7"/>
        <v>07|11</v>
      </c>
    </row>
    <row r="473" spans="1:17" ht="6.45" customHeight="1">
      <c r="A473" t="s">
        <v>1680</v>
      </c>
      <c r="B473">
        <v>12</v>
      </c>
      <c r="C473" t="s">
        <v>25</v>
      </c>
      <c r="D473">
        <v>19</v>
      </c>
      <c r="E473" t="s">
        <v>951</v>
      </c>
      <c r="F473" t="s">
        <v>5323</v>
      </c>
      <c r="G473" t="str">
        <f>B07_Assessment!A19</f>
        <v>Room</v>
      </c>
      <c r="H473" t="str">
        <f>B07_Assessment!B19</f>
        <v>Sprinkler</v>
      </c>
      <c r="I473" t="str">
        <f>B07_Assessment!C19</f>
        <v>Cage</v>
      </c>
      <c r="J473" t="str">
        <f>B07_Assessment!D19</f>
        <v>Detector</v>
      </c>
      <c r="K473" t="str">
        <f>B07_Assessment!E19</f>
        <v>Horn/Strobe</v>
      </c>
      <c r="L473" t="str">
        <f>B07_Assessment!F19</f>
        <v>Extinguisher &lt;75 ft</v>
      </c>
      <c r="M473" t="str">
        <f>B07_Assessment!G19</f>
        <v>Firestop</v>
      </c>
      <c r="N473" t="str">
        <f>B07_Assessment!H19</f>
        <v>Temp Firestop</v>
      </c>
      <c r="O473" t="str">
        <f>B07_Assessment!I19</f>
        <v>Overall</v>
      </c>
      <c r="P473" t="str">
        <f>B07_Assessment!J19</f>
        <v>Risk / Notes</v>
      </c>
      <c r="Q473" t="str">
        <f t="shared" si="7"/>
        <v>07|12</v>
      </c>
    </row>
    <row r="474" spans="1:17" ht="6.45" customHeight="1">
      <c r="A474" t="s">
        <v>1680</v>
      </c>
      <c r="B474">
        <v>13</v>
      </c>
      <c r="C474" t="s">
        <v>25</v>
      </c>
      <c r="D474">
        <v>20</v>
      </c>
      <c r="E474" t="s">
        <v>951</v>
      </c>
      <c r="F474" t="s">
        <v>5324</v>
      </c>
      <c r="G474" t="str">
        <f>B07_Assessment!A20</f>
        <v>B-18</v>
      </c>
      <c r="H474" t="str">
        <f>B07_Assessment!B20</f>
        <v>Verify</v>
      </c>
      <c r="I474" t="str">
        <f>B07_Assessment!C20</f>
        <v>Verify</v>
      </c>
      <c r="J474" t="str">
        <f>B07_Assessment!D20</f>
        <v>Verify</v>
      </c>
      <c r="K474" t="str">
        <f>B07_Assessment!E20</f>
        <v>Verify</v>
      </c>
      <c r="L474" t="str">
        <f>B07_Assessment!F20</f>
        <v>Verify</v>
      </c>
      <c r="M474" t="str">
        <f>B07_Assessment!G20</f>
        <v>Verify</v>
      </c>
      <c r="N474" t="str">
        <f>B07_Assessment!H20</f>
        <v>Verify</v>
      </c>
      <c r="O474" t="str">
        <f>B07_Assessment!I20</f>
        <v>Verify</v>
      </c>
      <c r="P474" t="str">
        <f>B07_Assessment!J20</f>
        <v>Fully sprinklered building; basement TR requires sprinkler coverage verification, firestop at cabling/sleeves and impairment coordination.</v>
      </c>
      <c r="Q474" t="str">
        <f t="shared" si="7"/>
        <v>07|13</v>
      </c>
    </row>
    <row r="475" spans="1:17" ht="6.45" customHeight="1">
      <c r="A475" t="s">
        <v>1680</v>
      </c>
      <c r="B475">
        <v>14</v>
      </c>
      <c r="C475" t="s">
        <v>25</v>
      </c>
      <c r="D475">
        <v>21</v>
      </c>
      <c r="E475" t="s">
        <v>951</v>
      </c>
      <c r="F475" t="s">
        <v>5324</v>
      </c>
      <c r="G475" t="str">
        <f>B07_Assessment!A21</f>
        <v>228A</v>
      </c>
      <c r="H475" t="str">
        <f>B07_Assessment!B21</f>
        <v>Verify</v>
      </c>
      <c r="I475" t="str">
        <f>B07_Assessment!C21</f>
        <v>Verify</v>
      </c>
      <c r="J475" t="str">
        <f>B07_Assessment!D21</f>
        <v>Verify</v>
      </c>
      <c r="K475" t="str">
        <f>B07_Assessment!E21</f>
        <v>Verify</v>
      </c>
      <c r="L475" t="str">
        <f>B07_Assessment!F21</f>
        <v>Verify</v>
      </c>
      <c r="M475" t="str">
        <f>B07_Assessment!G21</f>
        <v>Verify</v>
      </c>
      <c r="N475" t="str">
        <f>B07_Assessment!H21</f>
        <v>Verify</v>
      </c>
      <c r="O475" t="str">
        <f>B07_Assessment!I21</f>
        <v>Verify</v>
      </c>
      <c r="P475" t="str">
        <f>B07_Assessment!J21</f>
        <v>Architectural notes require clean-agent 2A:10B:C extinguisher within 75 ft, 45-minute rated door/frame and rated wall construction; verify FA/FP modifications.</v>
      </c>
      <c r="Q475" t="str">
        <f t="shared" si="7"/>
        <v>07|14</v>
      </c>
    </row>
    <row r="476" spans="1:17" ht="6.45" customHeight="1">
      <c r="A476" t="s">
        <v>1680</v>
      </c>
      <c r="B476">
        <v>15</v>
      </c>
      <c r="C476" t="s">
        <v>25</v>
      </c>
      <c r="D476">
        <v>22</v>
      </c>
      <c r="E476" t="s">
        <v>951</v>
      </c>
      <c r="F476" t="s">
        <v>5325</v>
      </c>
      <c r="G476">
        <f>B07_Assessment!A22</f>
        <v>0</v>
      </c>
      <c r="H476">
        <f>B07_Assessment!B22</f>
        <v>0</v>
      </c>
      <c r="I476">
        <f>B07_Assessment!C22</f>
        <v>0</v>
      </c>
      <c r="J476">
        <f>B07_Assessment!D22</f>
        <v>0</v>
      </c>
      <c r="K476">
        <f>B07_Assessment!E22</f>
        <v>0</v>
      </c>
      <c r="L476">
        <f>B07_Assessment!F22</f>
        <v>0</v>
      </c>
      <c r="M476">
        <f>B07_Assessment!G22</f>
        <v>0</v>
      </c>
      <c r="N476">
        <f>B07_Assessment!H22</f>
        <v>0</v>
      </c>
      <c r="O476">
        <f>B07_Assessment!I22</f>
        <v>0</v>
      </c>
      <c r="P476">
        <f>B07_Assessment!J22</f>
        <v>0</v>
      </c>
      <c r="Q476" t="str">
        <f t="shared" si="7"/>
        <v>07|15</v>
      </c>
    </row>
    <row r="477" spans="1:17" ht="6.45" customHeight="1">
      <c r="A477" t="s">
        <v>1680</v>
      </c>
      <c r="B477">
        <v>16</v>
      </c>
      <c r="C477" t="s">
        <v>25</v>
      </c>
      <c r="D477">
        <v>23</v>
      </c>
      <c r="E477" t="s">
        <v>964</v>
      </c>
      <c r="F477" t="s">
        <v>5322</v>
      </c>
      <c r="G477" t="str">
        <f>B07_Assessment!A23</f>
        <v>4. HVAC / COOLING</v>
      </c>
      <c r="H477">
        <f>B07_Assessment!B23</f>
        <v>0</v>
      </c>
      <c r="I477">
        <f>B07_Assessment!C23</f>
        <v>0</v>
      </c>
      <c r="J477">
        <f>B07_Assessment!D23</f>
        <v>0</v>
      </c>
      <c r="K477">
        <f>B07_Assessment!E23</f>
        <v>0</v>
      </c>
      <c r="L477">
        <f>B07_Assessment!F23</f>
        <v>0</v>
      </c>
      <c r="M477">
        <f>B07_Assessment!G23</f>
        <v>0</v>
      </c>
      <c r="N477">
        <f>B07_Assessment!H23</f>
        <v>0</v>
      </c>
      <c r="O477">
        <f>B07_Assessment!I23</f>
        <v>0</v>
      </c>
      <c r="P477">
        <f>B07_Assessment!J23</f>
        <v>0</v>
      </c>
      <c r="Q477" t="str">
        <f t="shared" si="7"/>
        <v>07|16</v>
      </c>
    </row>
    <row r="478" spans="1:17" ht="6.45" customHeight="1">
      <c r="A478" t="s">
        <v>1680</v>
      </c>
      <c r="B478">
        <v>17</v>
      </c>
      <c r="C478" t="s">
        <v>25</v>
      </c>
      <c r="D478">
        <v>24</v>
      </c>
      <c r="E478" t="s">
        <v>964</v>
      </c>
      <c r="F478" t="s">
        <v>5323</v>
      </c>
      <c r="G478" t="str">
        <f>B07_Assessment!A24</f>
        <v>Room</v>
      </c>
      <c r="H478" t="str">
        <f>B07_Assessment!B24</f>
        <v>Dedicated Unit</v>
      </c>
      <c r="I478" t="str">
        <f>B07_Assessment!C24</f>
        <v>Capacity Verified</v>
      </c>
      <c r="J478" t="str">
        <f>B07_Assessment!D24</f>
        <v>Emergency Power</v>
      </c>
      <c r="K478" t="str">
        <f>B07_Assessment!E24</f>
        <v>Controls / BACnet</v>
      </c>
      <c r="L478" t="str">
        <f>B07_Assessment!F24</f>
        <v>Condensate Routed</v>
      </c>
      <c r="M478" t="str">
        <f>B07_Assessment!G24</f>
        <v>High Temp Alarm</v>
      </c>
      <c r="N478" t="str">
        <f>B07_Assessment!H24</f>
        <v>24/7 Operation</v>
      </c>
      <c r="O478" t="str">
        <f>B07_Assessment!I24</f>
        <v>Overall</v>
      </c>
      <c r="P478" t="str">
        <f>B07_Assessment!J24</f>
        <v>Risk / Notes</v>
      </c>
      <c r="Q478" t="str">
        <f t="shared" si="7"/>
        <v>07|17</v>
      </c>
    </row>
    <row r="479" spans="1:17" ht="6.45" customHeight="1">
      <c r="A479" t="s">
        <v>1680</v>
      </c>
      <c r="B479">
        <v>18</v>
      </c>
      <c r="C479" t="s">
        <v>25</v>
      </c>
      <c r="D479">
        <v>25</v>
      </c>
      <c r="E479" t="s">
        <v>964</v>
      </c>
      <c r="F479" t="s">
        <v>5324</v>
      </c>
      <c r="G479" t="str">
        <f>B07_Assessment!A25</f>
        <v>B-18</v>
      </c>
      <c r="H479" t="str">
        <f>B07_Assessment!B25</f>
        <v>IU-0-01 / CU-0-01</v>
      </c>
      <c r="I479" t="str">
        <f>B07_Assessment!C25</f>
        <v>Verify</v>
      </c>
      <c r="J479" t="str">
        <f>B07_Assessment!D25</f>
        <v>Verify</v>
      </c>
      <c r="K479" t="str">
        <f>B07_Assessment!E25</f>
        <v>Verify</v>
      </c>
      <c r="L479" t="str">
        <f>B07_Assessment!F25</f>
        <v>Verify</v>
      </c>
      <c r="M479" t="str">
        <f>B07_Assessment!G25</f>
        <v>Verify</v>
      </c>
      <c r="N479" t="str">
        <f>B07_Assessment!H25</f>
        <v>Verify</v>
      </c>
      <c r="O479" t="str">
        <f>B07_Assessment!I25</f>
        <v>Verify</v>
      </c>
      <c r="P479" t="str">
        <f>B07_Assessment!J25</f>
        <v>Mechanical schedule lists 18,000 BTUH wall-mounted IU-0-01 and CU-0-01; verify exact room assignment, emergency power, condensate, controls and high-temp alarm.</v>
      </c>
      <c r="Q479" t="str">
        <f t="shared" si="7"/>
        <v>07|18</v>
      </c>
    </row>
    <row r="480" spans="1:17" ht="6.45" customHeight="1">
      <c r="A480" t="s">
        <v>1680</v>
      </c>
      <c r="B480">
        <v>19</v>
      </c>
      <c r="C480" t="s">
        <v>25</v>
      </c>
      <c r="D480">
        <v>26</v>
      </c>
      <c r="E480" t="s">
        <v>964</v>
      </c>
      <c r="F480" t="s">
        <v>5324</v>
      </c>
      <c r="G480" t="str">
        <f>B07_Assessment!A26</f>
        <v>228A</v>
      </c>
      <c r="H480" t="str">
        <f>B07_Assessment!B26</f>
        <v>IU-2-01 / CU-2-01</v>
      </c>
      <c r="I480" t="str">
        <f>B07_Assessment!C26</f>
        <v>Verify</v>
      </c>
      <c r="J480" t="str">
        <f>B07_Assessment!D26</f>
        <v>Verify</v>
      </c>
      <c r="K480" t="str">
        <f>B07_Assessment!E26</f>
        <v>Verify</v>
      </c>
      <c r="L480" t="str">
        <f>B07_Assessment!F26</f>
        <v>Verify</v>
      </c>
      <c r="M480" t="str">
        <f>B07_Assessment!G26</f>
        <v>Verify</v>
      </c>
      <c r="N480" t="str">
        <f>B07_Assessment!H26</f>
        <v>Verify</v>
      </c>
      <c r="O480" t="str">
        <f>B07_Assessment!I26</f>
        <v>Verify</v>
      </c>
      <c r="P480" t="str">
        <f>B07_Assessment!J26</f>
        <v>Mechanical schedule lists 36,000 BTUH wall-mounted IU-2-01 and CU-2-01; electrical enlarged plan shows IU-2-01 at TR 228A; verify emergency power and condensate route.</v>
      </c>
      <c r="Q480" t="str">
        <f t="shared" si="7"/>
        <v>07|19</v>
      </c>
    </row>
    <row r="481" spans="1:17" ht="6.45" customHeight="1">
      <c r="A481" t="s">
        <v>1680</v>
      </c>
      <c r="B481">
        <v>20</v>
      </c>
      <c r="C481" t="s">
        <v>25</v>
      </c>
      <c r="D481">
        <v>27</v>
      </c>
      <c r="E481" t="s">
        <v>964</v>
      </c>
      <c r="F481" t="s">
        <v>5325</v>
      </c>
      <c r="G481">
        <f>B07_Assessment!A27</f>
        <v>0</v>
      </c>
      <c r="H481">
        <f>B07_Assessment!B27</f>
        <v>0</v>
      </c>
      <c r="I481">
        <f>B07_Assessment!C27</f>
        <v>0</v>
      </c>
      <c r="J481">
        <f>B07_Assessment!D27</f>
        <v>0</v>
      </c>
      <c r="K481">
        <f>B07_Assessment!E27</f>
        <v>0</v>
      </c>
      <c r="L481">
        <f>B07_Assessment!F27</f>
        <v>0</v>
      </c>
      <c r="M481">
        <f>B07_Assessment!G27</f>
        <v>0</v>
      </c>
      <c r="N481">
        <f>B07_Assessment!H27</f>
        <v>0</v>
      </c>
      <c r="O481">
        <f>B07_Assessment!I27</f>
        <v>0</v>
      </c>
      <c r="P481">
        <f>B07_Assessment!J27</f>
        <v>0</v>
      </c>
      <c r="Q481" t="str">
        <f t="shared" si="7"/>
        <v>07|20</v>
      </c>
    </row>
    <row r="482" spans="1:17" ht="6.45" customHeight="1">
      <c r="A482" t="s">
        <v>1680</v>
      </c>
      <c r="B482">
        <v>21</v>
      </c>
      <c r="C482" t="s">
        <v>25</v>
      </c>
      <c r="D482">
        <v>28</v>
      </c>
      <c r="E482" t="s">
        <v>977</v>
      </c>
      <c r="F482" t="s">
        <v>5322</v>
      </c>
      <c r="G482" t="str">
        <f>B07_Assessment!A28</f>
        <v>5. ELECTRICAL / UPS</v>
      </c>
      <c r="H482">
        <f>B07_Assessment!B28</f>
        <v>0</v>
      </c>
      <c r="I482">
        <f>B07_Assessment!C28</f>
        <v>0</v>
      </c>
      <c r="J482">
        <f>B07_Assessment!D28</f>
        <v>0</v>
      </c>
      <c r="K482">
        <f>B07_Assessment!E28</f>
        <v>0</v>
      </c>
      <c r="L482">
        <f>B07_Assessment!F28</f>
        <v>0</v>
      </c>
      <c r="M482">
        <f>B07_Assessment!G28</f>
        <v>0</v>
      </c>
      <c r="N482">
        <f>B07_Assessment!H28</f>
        <v>0</v>
      </c>
      <c r="O482">
        <f>B07_Assessment!I28</f>
        <v>0</v>
      </c>
      <c r="P482">
        <f>B07_Assessment!J28</f>
        <v>0</v>
      </c>
      <c r="Q482" t="str">
        <f t="shared" si="7"/>
        <v>07|21</v>
      </c>
    </row>
    <row r="483" spans="1:17" ht="6.45" customHeight="1">
      <c r="A483" t="s">
        <v>1680</v>
      </c>
      <c r="B483">
        <v>22</v>
      </c>
      <c r="C483" t="s">
        <v>25</v>
      </c>
      <c r="D483">
        <v>29</v>
      </c>
      <c r="E483" t="s">
        <v>977</v>
      </c>
      <c r="F483" t="s">
        <v>5323</v>
      </c>
      <c r="G483" t="str">
        <f>B07_Assessment!A29</f>
        <v>Room</v>
      </c>
      <c r="H483" t="str">
        <f>B07_Assessment!B29</f>
        <v>UPS Installed</v>
      </c>
      <c r="I483" t="str">
        <f>B07_Assessment!C29</f>
        <v>UPS Size</v>
      </c>
      <c r="J483" t="str">
        <f>B07_Assessment!D29</f>
        <v>PDU Installed</v>
      </c>
      <c r="K483" t="str">
        <f>B07_Assessment!E29</f>
        <v>Rack Receptacles</v>
      </c>
      <c r="L483" t="str">
        <f>B07_Assessment!F29</f>
        <v>Panel Assigned</v>
      </c>
      <c r="M483" t="str">
        <f>B07_Assessment!G29</f>
        <v>Emergency Source</v>
      </c>
      <c r="N483" t="str">
        <f>B07_Assessment!H29</f>
        <v>SPD / Labeling</v>
      </c>
      <c r="O483" t="str">
        <f>B07_Assessment!I29</f>
        <v>Overall</v>
      </c>
      <c r="P483" t="str">
        <f>B07_Assessment!J29</f>
        <v>Notes</v>
      </c>
      <c r="Q483" t="str">
        <f t="shared" si="7"/>
        <v>07|22</v>
      </c>
    </row>
    <row r="484" spans="1:17" ht="6.45" customHeight="1">
      <c r="A484" t="s">
        <v>1680</v>
      </c>
      <c r="B484">
        <v>23</v>
      </c>
      <c r="C484" t="s">
        <v>25</v>
      </c>
      <c r="D484">
        <v>30</v>
      </c>
      <c r="E484" t="s">
        <v>977</v>
      </c>
      <c r="F484" t="s">
        <v>5324</v>
      </c>
      <c r="G484" t="str">
        <f>B07_Assessment!A30</f>
        <v>B-18</v>
      </c>
      <c r="H484" t="str">
        <f>B07_Assessment!B30</f>
        <v>Verify</v>
      </c>
      <c r="I484" t="str">
        <f>B07_Assessment!C30</f>
        <v>5 kW / rack equipment</v>
      </c>
      <c r="J484" t="str">
        <f>B07_Assessment!D30</f>
        <v>Verify</v>
      </c>
      <c r="K484" t="str">
        <f>B07_Assessment!E30</f>
        <v>Verify</v>
      </c>
      <c r="L484" t="str">
        <f>B07_Assessment!F30</f>
        <v>B07-TRB18A / B07-TRB18B</v>
      </c>
      <c r="M484" t="str">
        <f>B07_Assessment!G30</f>
        <v>Verify</v>
      </c>
      <c r="N484" t="str">
        <f>B07_Assessment!H30</f>
        <v>Verify</v>
      </c>
      <c r="O484" t="str">
        <f>B07_Assessment!I30</f>
        <v>Verify</v>
      </c>
      <c r="P484" t="str">
        <f>B07_Assessment!J30</f>
        <v>Electrical enlarged plans identify B07-TRB18A/B circuits serving basement TR equipment; verify panel source, receptacles, SPD, emergency source and load measurement.</v>
      </c>
      <c r="Q484" t="str">
        <f t="shared" si="7"/>
        <v>07|23</v>
      </c>
    </row>
    <row r="485" spans="1:17" ht="6.45" customHeight="1">
      <c r="A485" t="s">
        <v>1680</v>
      </c>
      <c r="B485">
        <v>24</v>
      </c>
      <c r="C485" t="s">
        <v>25</v>
      </c>
      <c r="D485">
        <v>31</v>
      </c>
      <c r="E485" t="s">
        <v>977</v>
      </c>
      <c r="F485" t="s">
        <v>5324</v>
      </c>
      <c r="G485" t="str">
        <f>B07_Assessment!A31</f>
        <v>228A</v>
      </c>
      <c r="H485" t="str">
        <f>B07_Assessment!B31</f>
        <v>Verify</v>
      </c>
      <c r="I485" t="str">
        <f>B07_Assessment!C31</f>
        <v>5 kW / rack equipment</v>
      </c>
      <c r="J485" t="str">
        <f>B07_Assessment!D31</f>
        <v>Verify</v>
      </c>
      <c r="K485" t="str">
        <f>B07_Assessment!E31</f>
        <v>Verify</v>
      </c>
      <c r="L485" t="str">
        <f>B07_Assessment!F31</f>
        <v>B07-TR228A / B07-TR228B</v>
      </c>
      <c r="M485" t="str">
        <f>B07_Assessment!G31</f>
        <v>Verify</v>
      </c>
      <c r="N485" t="str">
        <f>B07_Assessment!H31</f>
        <v>Verify</v>
      </c>
      <c r="O485" t="str">
        <f>B07_Assessment!I31</f>
        <v>Verify</v>
      </c>
      <c r="P485" t="str">
        <f>B07_Assessment!J31</f>
        <v>Electrical enlarged plans identify B07-TR228A/B circuits serving TR 228A equipment and IU-2-01; verify rack receptacles, cooling power, SPD and labels.</v>
      </c>
      <c r="Q485" t="str">
        <f t="shared" si="7"/>
        <v>07|24</v>
      </c>
    </row>
    <row r="486" spans="1:17" ht="6.45" customHeight="1">
      <c r="A486" t="s">
        <v>1680</v>
      </c>
      <c r="B486">
        <v>25</v>
      </c>
      <c r="C486" t="s">
        <v>25</v>
      </c>
      <c r="D486">
        <v>32</v>
      </c>
      <c r="E486" t="s">
        <v>977</v>
      </c>
      <c r="F486" t="s">
        <v>5325</v>
      </c>
      <c r="G486">
        <f>B07_Assessment!A32</f>
        <v>0</v>
      </c>
      <c r="H486">
        <f>B07_Assessment!B32</f>
        <v>0</v>
      </c>
      <c r="I486">
        <f>B07_Assessment!C32</f>
        <v>0</v>
      </c>
      <c r="J486">
        <f>B07_Assessment!D32</f>
        <v>0</v>
      </c>
      <c r="K486">
        <f>B07_Assessment!E32</f>
        <v>0</v>
      </c>
      <c r="L486">
        <f>B07_Assessment!F32</f>
        <v>0</v>
      </c>
      <c r="M486">
        <f>B07_Assessment!G32</f>
        <v>0</v>
      </c>
      <c r="N486">
        <f>B07_Assessment!H32</f>
        <v>0</v>
      </c>
      <c r="O486">
        <f>B07_Assessment!I32</f>
        <v>0</v>
      </c>
      <c r="P486">
        <f>B07_Assessment!J32</f>
        <v>0</v>
      </c>
      <c r="Q486" t="str">
        <f t="shared" si="7"/>
        <v>07|25</v>
      </c>
    </row>
    <row r="487" spans="1:17" ht="6.45" customHeight="1">
      <c r="A487" t="s">
        <v>1680</v>
      </c>
      <c r="B487">
        <v>26</v>
      </c>
      <c r="C487" t="s">
        <v>25</v>
      </c>
      <c r="D487">
        <v>33</v>
      </c>
      <c r="E487" t="s">
        <v>994</v>
      </c>
      <c r="F487" t="s">
        <v>5322</v>
      </c>
      <c r="G487" t="str">
        <f>B07_Assessment!A33</f>
        <v>6. TELECOMMUNICATIONS</v>
      </c>
      <c r="H487">
        <f>B07_Assessment!B33</f>
        <v>0</v>
      </c>
      <c r="I487">
        <f>B07_Assessment!C33</f>
        <v>0</v>
      </c>
      <c r="J487">
        <f>B07_Assessment!D33</f>
        <v>0</v>
      </c>
      <c r="K487">
        <f>B07_Assessment!E33</f>
        <v>0</v>
      </c>
      <c r="L487">
        <f>B07_Assessment!F33</f>
        <v>0</v>
      </c>
      <c r="M487">
        <f>B07_Assessment!G33</f>
        <v>0</v>
      </c>
      <c r="N487">
        <f>B07_Assessment!H33</f>
        <v>0</v>
      </c>
      <c r="O487">
        <f>B07_Assessment!I33</f>
        <v>0</v>
      </c>
      <c r="P487">
        <f>B07_Assessment!J33</f>
        <v>0</v>
      </c>
      <c r="Q487" t="str">
        <f t="shared" si="7"/>
        <v>07|26</v>
      </c>
    </row>
    <row r="488" spans="1:17" ht="6.45" customHeight="1">
      <c r="A488" t="s">
        <v>1680</v>
      </c>
      <c r="B488">
        <v>27</v>
      </c>
      <c r="C488" t="s">
        <v>25</v>
      </c>
      <c r="D488">
        <v>34</v>
      </c>
      <c r="E488" t="s">
        <v>994</v>
      </c>
      <c r="F488" t="s">
        <v>5323</v>
      </c>
      <c r="G488" t="str">
        <f>B07_Assessment!A34</f>
        <v>Room</v>
      </c>
      <c r="H488" t="str">
        <f>B07_Assessment!B34</f>
        <v>Rack Installed</v>
      </c>
      <c r="I488" t="str">
        <f>B07_Assessment!C34</f>
        <v>Ladder Tray</v>
      </c>
      <c r="J488" t="str">
        <f>B07_Assessment!D34</f>
        <v>Fiber Installed</v>
      </c>
      <c r="K488" t="str">
        <f>B07_Assessment!E34</f>
        <v>Grounding</v>
      </c>
      <c r="L488" t="str">
        <f>B07_Assessment!F34</f>
        <v>Labeling</v>
      </c>
      <c r="M488" t="str">
        <f>B07_Assessment!G34</f>
        <v>Testing</v>
      </c>
      <c r="N488" t="str">
        <f>B07_Assessment!H34</f>
        <v>VA Acceptance</v>
      </c>
      <c r="O488" t="str">
        <f>B07_Assessment!I34</f>
        <v>Overall</v>
      </c>
      <c r="P488" t="str">
        <f>B07_Assessment!J34</f>
        <v>Notes</v>
      </c>
      <c r="Q488" t="str">
        <f t="shared" si="7"/>
        <v>07|27</v>
      </c>
    </row>
    <row r="489" spans="1:17" ht="6.45" customHeight="1">
      <c r="A489" t="s">
        <v>1680</v>
      </c>
      <c r="B489">
        <v>28</v>
      </c>
      <c r="C489" t="s">
        <v>25</v>
      </c>
      <c r="D489">
        <v>35</v>
      </c>
      <c r="E489" t="s">
        <v>994</v>
      </c>
      <c r="F489" t="s">
        <v>5324</v>
      </c>
      <c r="G489" t="str">
        <f>B07_Assessment!A35</f>
        <v>B-18</v>
      </c>
      <c r="H489" t="str">
        <f>B07_Assessment!B35</f>
        <v>Verify</v>
      </c>
      <c r="I489" t="str">
        <f>B07_Assessment!C35</f>
        <v>Verify</v>
      </c>
      <c r="J489" t="str">
        <f>B07_Assessment!D35</f>
        <v>Verify</v>
      </c>
      <c r="K489" t="str">
        <f>B07_Assessment!E35</f>
        <v>Verify</v>
      </c>
      <c r="L489" t="str">
        <f>B07_Assessment!F35</f>
        <v>Verify</v>
      </c>
      <c r="M489" t="str">
        <f>B07_Assessment!G35</f>
        <v>Verify</v>
      </c>
      <c r="N489" t="str">
        <f>B07_Assessment!H35</f>
        <v>Verify</v>
      </c>
      <c r="O489" t="str">
        <f>B07_Assessment!I35</f>
        <v>Verify</v>
      </c>
      <c r="P489" t="str">
        <f>B07_Assessment!J35</f>
        <v>07T-604 rack elevation: 1 rack plus future; includes UPS, future Zone PDU, cable managers, network switches, three 48-port Cat6A angled patch panels, 24-port Cat5E patch panel and Fiber LIU.</v>
      </c>
      <c r="Q489" t="str">
        <f t="shared" si="7"/>
        <v>07|28</v>
      </c>
    </row>
    <row r="490" spans="1:17" ht="6.45" customHeight="1">
      <c r="A490" t="s">
        <v>1680</v>
      </c>
      <c r="B490">
        <v>29</v>
      </c>
      <c r="C490" t="s">
        <v>25</v>
      </c>
      <c r="D490">
        <v>36</v>
      </c>
      <c r="E490" t="s">
        <v>994</v>
      </c>
      <c r="F490" t="s">
        <v>5324</v>
      </c>
      <c r="G490" t="str">
        <f>B07_Assessment!A36</f>
        <v>228A</v>
      </c>
      <c r="H490" t="str">
        <f>B07_Assessment!B36</f>
        <v>Verify</v>
      </c>
      <c r="I490" t="str">
        <f>B07_Assessment!C36</f>
        <v>Verify</v>
      </c>
      <c r="J490" t="str">
        <f>B07_Assessment!D36</f>
        <v>Verify</v>
      </c>
      <c r="K490" t="str">
        <f>B07_Assessment!E36</f>
        <v>Verify</v>
      </c>
      <c r="L490" t="str">
        <f>B07_Assessment!F36</f>
        <v>Verify</v>
      </c>
      <c r="M490" t="str">
        <f>B07_Assessment!G36</f>
        <v>Verify</v>
      </c>
      <c r="N490" t="str">
        <f>B07_Assessment!H36</f>
        <v>Verify</v>
      </c>
      <c r="O490" t="str">
        <f>B07_Assessment!I36</f>
        <v>Verify</v>
      </c>
      <c r="P490" t="str">
        <f>B07_Assessment!J36</f>
        <v>TR 228A is shown on second-level telecom/electrical enlarged plans; verify rack elevation, fiber paths, Cat6A replacement, labeling/testing and VA acceptance before cutover.</v>
      </c>
      <c r="Q490" t="str">
        <f t="shared" si="7"/>
        <v>07|29</v>
      </c>
    </row>
    <row r="491" spans="1:17" ht="6.45" customHeight="1">
      <c r="A491" t="s">
        <v>1680</v>
      </c>
      <c r="B491">
        <v>30</v>
      </c>
      <c r="C491" t="s">
        <v>25</v>
      </c>
      <c r="D491">
        <v>37</v>
      </c>
      <c r="E491" t="s">
        <v>994</v>
      </c>
      <c r="F491" t="s">
        <v>5325</v>
      </c>
      <c r="G491">
        <f>B07_Assessment!A37</f>
        <v>0</v>
      </c>
      <c r="H491">
        <f>B07_Assessment!B37</f>
        <v>0</v>
      </c>
      <c r="I491">
        <f>B07_Assessment!C37</f>
        <v>0</v>
      </c>
      <c r="J491">
        <f>B07_Assessment!D37</f>
        <v>0</v>
      </c>
      <c r="K491">
        <f>B07_Assessment!E37</f>
        <v>0</v>
      </c>
      <c r="L491">
        <f>B07_Assessment!F37</f>
        <v>0</v>
      </c>
      <c r="M491">
        <f>B07_Assessment!G37</f>
        <v>0</v>
      </c>
      <c r="N491">
        <f>B07_Assessment!H37</f>
        <v>0</v>
      </c>
      <c r="O491">
        <f>B07_Assessment!I37</f>
        <v>0</v>
      </c>
      <c r="P491">
        <f>B07_Assessment!J37</f>
        <v>0</v>
      </c>
      <c r="Q491" t="str">
        <f t="shared" si="7"/>
        <v>07|30</v>
      </c>
    </row>
    <row r="492" spans="1:17" ht="6.45" customHeight="1">
      <c r="A492" t="s">
        <v>1680</v>
      </c>
      <c r="B492">
        <v>31</v>
      </c>
      <c r="C492" t="s">
        <v>25</v>
      </c>
      <c r="D492">
        <v>38</v>
      </c>
      <c r="E492" t="s">
        <v>1007</v>
      </c>
      <c r="F492" t="s">
        <v>5322</v>
      </c>
      <c r="G492" t="str">
        <f>B07_Assessment!A38</f>
        <v>7. SECURITY / PACS / CCTV</v>
      </c>
      <c r="H492">
        <f>B07_Assessment!B38</f>
        <v>0</v>
      </c>
      <c r="I492">
        <f>B07_Assessment!C38</f>
        <v>0</v>
      </c>
      <c r="J492">
        <f>B07_Assessment!D38</f>
        <v>0</v>
      </c>
      <c r="K492">
        <f>B07_Assessment!E38</f>
        <v>0</v>
      </c>
      <c r="L492">
        <f>B07_Assessment!F38</f>
        <v>0</v>
      </c>
      <c r="M492">
        <f>B07_Assessment!G38</f>
        <v>0</v>
      </c>
      <c r="N492">
        <f>B07_Assessment!H38</f>
        <v>0</v>
      </c>
      <c r="O492">
        <f>B07_Assessment!I38</f>
        <v>0</v>
      </c>
      <c r="P492">
        <f>B07_Assessment!J38</f>
        <v>0</v>
      </c>
      <c r="Q492" t="str">
        <f t="shared" si="7"/>
        <v>07|31</v>
      </c>
    </row>
    <row r="493" spans="1:17" ht="6.45" customHeight="1">
      <c r="A493" t="s">
        <v>1680</v>
      </c>
      <c r="B493">
        <v>32</v>
      </c>
      <c r="C493" t="s">
        <v>25</v>
      </c>
      <c r="D493">
        <v>39</v>
      </c>
      <c r="E493" t="s">
        <v>1007</v>
      </c>
      <c r="F493" t="s">
        <v>5323</v>
      </c>
      <c r="G493" t="str">
        <f>B07_Assessment!A39</f>
        <v>Room</v>
      </c>
      <c r="H493" t="str">
        <f>B07_Assessment!B39</f>
        <v>PACS</v>
      </c>
      <c r="I493" t="str">
        <f>B07_Assessment!C39</f>
        <v>Card Reader</v>
      </c>
      <c r="J493" t="str">
        <f>B07_Assessment!D39</f>
        <v>Door Position</v>
      </c>
      <c r="K493" t="str">
        <f>B07_Assessment!E39</f>
        <v>Electric Strike</v>
      </c>
      <c r="L493" t="str">
        <f>B07_Assessment!F39</f>
        <v>CCTV</v>
      </c>
      <c r="M493" t="str">
        <f>B07_Assessment!G39</f>
        <v>Motion Sensor</v>
      </c>
      <c r="N493" t="str">
        <f>B07_Assessment!H39</f>
        <v>Integration</v>
      </c>
      <c r="O493" t="str">
        <f>B07_Assessment!I39</f>
        <v>Overall</v>
      </c>
      <c r="P493" t="str">
        <f>B07_Assessment!J39</f>
        <v>Notes</v>
      </c>
      <c r="Q493" t="str">
        <f t="shared" si="7"/>
        <v>07|32</v>
      </c>
    </row>
    <row r="494" spans="1:17" ht="6.45" customHeight="1">
      <c r="A494" t="s">
        <v>1680</v>
      </c>
      <c r="B494">
        <v>33</v>
      </c>
      <c r="C494" t="s">
        <v>25</v>
      </c>
      <c r="D494">
        <v>40</v>
      </c>
      <c r="E494" t="s">
        <v>1007</v>
      </c>
      <c r="F494" t="s">
        <v>5324</v>
      </c>
      <c r="G494" t="str">
        <f>B07_Assessment!A40</f>
        <v>B-18</v>
      </c>
      <c r="H494" t="str">
        <f>B07_Assessment!B40</f>
        <v>Verify</v>
      </c>
      <c r="I494" t="str">
        <f>B07_Assessment!C40</f>
        <v>Verify</v>
      </c>
      <c r="J494" t="str">
        <f>B07_Assessment!D40</f>
        <v>Verify</v>
      </c>
      <c r="K494" t="str">
        <f>B07_Assessment!E40</f>
        <v>Verify</v>
      </c>
      <c r="L494" t="str">
        <f>B07_Assessment!F40</f>
        <v>Verify</v>
      </c>
      <c r="M494" t="str">
        <f>B07_Assessment!G40</f>
        <v>Verify</v>
      </c>
      <c r="N494" t="str">
        <f>B07_Assessment!H40</f>
        <v>Verify</v>
      </c>
      <c r="O494" t="str">
        <f>B07_Assessment!I40</f>
        <v>Verify</v>
      </c>
      <c r="P494" t="str">
        <f>B07_Assessment!J40</f>
        <v>Verify access control, door hardware and CCTV/PACS integration for basement TR.</v>
      </c>
      <c r="Q494" t="str">
        <f t="shared" si="7"/>
        <v>07|33</v>
      </c>
    </row>
    <row r="495" spans="1:17" ht="6.45" customHeight="1">
      <c r="A495" t="s">
        <v>1680</v>
      </c>
      <c r="B495">
        <v>34</v>
      </c>
      <c r="C495" t="s">
        <v>25</v>
      </c>
      <c r="D495">
        <v>41</v>
      </c>
      <c r="E495" t="s">
        <v>1007</v>
      </c>
      <c r="F495" t="s">
        <v>5324</v>
      </c>
      <c r="G495" t="str">
        <f>B07_Assessment!A41</f>
        <v>228A</v>
      </c>
      <c r="H495" t="str">
        <f>B07_Assessment!B41</f>
        <v>Verify</v>
      </c>
      <c r="I495" t="str">
        <f>B07_Assessment!C41</f>
        <v>Verify</v>
      </c>
      <c r="J495" t="str">
        <f>B07_Assessment!D41</f>
        <v>Verify</v>
      </c>
      <c r="K495" t="str">
        <f>B07_Assessment!E41</f>
        <v>Verify</v>
      </c>
      <c r="L495" t="str">
        <f>B07_Assessment!F41</f>
        <v>Verify</v>
      </c>
      <c r="M495" t="str">
        <f>B07_Assessment!G41</f>
        <v>Verify</v>
      </c>
      <c r="N495" t="str">
        <f>B07_Assessment!H41</f>
        <v>Verify</v>
      </c>
      <c r="O495" t="str">
        <f>B07_Assessment!I41</f>
        <v>Verify</v>
      </c>
      <c r="P495" t="str">
        <f>B07_Assessment!J41</f>
        <v>Architectural notes require access control hardware modifications at new rated door; verify card reader, electric strike, door position switch, motion sensor and camera.</v>
      </c>
      <c r="Q495" t="str">
        <f t="shared" si="7"/>
        <v>07|34</v>
      </c>
    </row>
    <row r="496" spans="1:17" ht="6.45" customHeight="1">
      <c r="A496" t="s">
        <v>1680</v>
      </c>
      <c r="B496">
        <v>35</v>
      </c>
      <c r="C496" t="s">
        <v>25</v>
      </c>
      <c r="D496">
        <v>42</v>
      </c>
      <c r="E496" t="s">
        <v>1007</v>
      </c>
      <c r="F496" t="s">
        <v>5325</v>
      </c>
      <c r="G496">
        <f>B07_Assessment!A42</f>
        <v>0</v>
      </c>
      <c r="H496">
        <f>B07_Assessment!B42</f>
        <v>0</v>
      </c>
      <c r="I496">
        <f>B07_Assessment!C42</f>
        <v>0</v>
      </c>
      <c r="J496">
        <f>B07_Assessment!D42</f>
        <v>0</v>
      </c>
      <c r="K496">
        <f>B07_Assessment!E42</f>
        <v>0</v>
      </c>
      <c r="L496">
        <f>B07_Assessment!F42</f>
        <v>0</v>
      </c>
      <c r="M496">
        <f>B07_Assessment!G42</f>
        <v>0</v>
      </c>
      <c r="N496">
        <f>B07_Assessment!H42</f>
        <v>0</v>
      </c>
      <c r="O496">
        <f>B07_Assessment!I42</f>
        <v>0</v>
      </c>
      <c r="P496">
        <f>B07_Assessment!J42</f>
        <v>0</v>
      </c>
      <c r="Q496" t="str">
        <f t="shared" si="7"/>
        <v>07|35</v>
      </c>
    </row>
    <row r="497" spans="1:17" ht="6.45" customHeight="1">
      <c r="A497" t="s">
        <v>1680</v>
      </c>
      <c r="B497">
        <v>36</v>
      </c>
      <c r="C497" t="s">
        <v>25</v>
      </c>
      <c r="D497">
        <v>43</v>
      </c>
      <c r="E497" t="s">
        <v>1019</v>
      </c>
      <c r="F497" t="s">
        <v>5322</v>
      </c>
      <c r="G497" t="str">
        <f>B07_Assessment!A43</f>
        <v>8. OWNER RISKS</v>
      </c>
      <c r="H497">
        <f>B07_Assessment!B43</f>
        <v>0</v>
      </c>
      <c r="I497">
        <f>B07_Assessment!C43</f>
        <v>0</v>
      </c>
      <c r="J497">
        <f>B07_Assessment!D43</f>
        <v>0</v>
      </c>
      <c r="K497">
        <f>B07_Assessment!E43</f>
        <v>0</v>
      </c>
      <c r="L497">
        <f>B07_Assessment!F43</f>
        <v>0</v>
      </c>
      <c r="M497">
        <f>B07_Assessment!G43</f>
        <v>0</v>
      </c>
      <c r="N497">
        <f>B07_Assessment!H43</f>
        <v>0</v>
      </c>
      <c r="O497">
        <f>B07_Assessment!I43</f>
        <v>0</v>
      </c>
      <c r="P497">
        <f>B07_Assessment!J43</f>
        <v>0</v>
      </c>
      <c r="Q497" t="str">
        <f t="shared" si="7"/>
        <v>07|36</v>
      </c>
    </row>
    <row r="498" spans="1:17" ht="6.45" customHeight="1">
      <c r="A498" t="s">
        <v>1680</v>
      </c>
      <c r="B498">
        <v>37</v>
      </c>
      <c r="C498" t="s">
        <v>25</v>
      </c>
      <c r="D498">
        <v>44</v>
      </c>
      <c r="E498" t="s">
        <v>1019</v>
      </c>
      <c r="F498" t="s">
        <v>5323</v>
      </c>
      <c r="G498" t="str">
        <f>B07_Assessment!A44</f>
        <v>Risk ID</v>
      </c>
      <c r="H498" t="str">
        <f>B07_Assessment!B44</f>
        <v>Room</v>
      </c>
      <c r="I498" t="str">
        <f>B07_Assessment!C44</f>
        <v>Risk</v>
      </c>
      <c r="J498" t="str">
        <f>B07_Assessment!D44</f>
        <v>Impact</v>
      </c>
      <c r="K498" t="str">
        <f>B07_Assessment!E44</f>
        <v>Probability</v>
      </c>
      <c r="L498" t="str">
        <f>B07_Assessment!F44</f>
        <v>Score</v>
      </c>
      <c r="M498" t="str">
        <f>B07_Assessment!G44</f>
        <v>Mitigation</v>
      </c>
      <c r="N498" t="str">
        <f>B07_Assessment!H44</f>
        <v>Owner</v>
      </c>
      <c r="O498" t="str">
        <f>B07_Assessment!I44</f>
        <v>Status</v>
      </c>
      <c r="P498" t="str">
        <f>B07_Assessment!J44</f>
        <v>Notes</v>
      </c>
      <c r="Q498" t="str">
        <f t="shared" si="7"/>
        <v>07|37</v>
      </c>
    </row>
    <row r="499" spans="1:17" ht="6.45" customHeight="1">
      <c r="A499" t="s">
        <v>1680</v>
      </c>
      <c r="B499">
        <v>38</v>
      </c>
      <c r="C499" t="s">
        <v>25</v>
      </c>
      <c r="D499">
        <v>45</v>
      </c>
      <c r="E499" t="s">
        <v>1019</v>
      </c>
      <c r="F499" t="s">
        <v>5324</v>
      </c>
      <c r="G499" t="str">
        <f>B07_Assessment!A45</f>
        <v>B07-R1</v>
      </c>
      <c r="H499" t="str">
        <f>B07_Assessment!B45</f>
        <v>All</v>
      </c>
      <c r="I499" t="str">
        <f>B07_Assessment!C45</f>
        <v>Existing conditions for B-18 and 228A not field verified</v>
      </c>
      <c r="J499" t="str">
        <f>B07_Assessment!D45</f>
        <v>High</v>
      </c>
      <c r="K499" t="str">
        <f>B07_Assessment!E45</f>
        <v>Medium</v>
      </c>
      <c r="L499">
        <f>B07_Assessment!F45</f>
        <v>6</v>
      </c>
      <c r="M499" t="str">
        <f>B07_Assessment!G45</f>
        <v>Perform existing conditions survey with photos before mobilization</v>
      </c>
      <c r="N499" t="str">
        <f>B07_Assessment!H45</f>
        <v>GCC / Contractor</v>
      </c>
      <c r="O499" t="str">
        <f>B07_Assessment!I45</f>
        <v>Closed</v>
      </c>
      <c r="P499" t="str">
        <f>B07_Assessment!J45</f>
        <v>B07 includes basement and second-floor TR scope.</v>
      </c>
      <c r="Q499" t="str">
        <f t="shared" si="7"/>
        <v>07|38</v>
      </c>
    </row>
    <row r="500" spans="1:17" ht="6.45" customHeight="1">
      <c r="A500" t="s">
        <v>1680</v>
      </c>
      <c r="B500">
        <v>39</v>
      </c>
      <c r="C500" t="s">
        <v>25</v>
      </c>
      <c r="D500">
        <v>46</v>
      </c>
      <c r="E500" t="s">
        <v>1019</v>
      </c>
      <c r="F500" t="s">
        <v>5324</v>
      </c>
      <c r="G500" t="str">
        <f>B07_Assessment!A46</f>
        <v>B07-R2</v>
      </c>
      <c r="H500" t="str">
        <f>B07_Assessment!B46</f>
        <v>B-18</v>
      </c>
      <c r="I500" t="str">
        <f>B07_Assessment!C46</f>
        <v>Basement TR conversion may conflict with existing utilities, office finishes or active pathways</v>
      </c>
      <c r="J500" t="str">
        <f>B07_Assessment!D46</f>
        <v>High</v>
      </c>
      <c r="K500" t="str">
        <f>B07_Assessment!E46</f>
        <v>Medium</v>
      </c>
      <c r="L500">
        <f>B07_Assessment!F46</f>
        <v>6</v>
      </c>
      <c r="M500" t="str">
        <f>B07_Assessment!G46</f>
        <v>Verify routing, clearances, penetrations, existing conduit and access before work</v>
      </c>
      <c r="N500" t="str">
        <f>B07_Assessment!H46</f>
        <v>GC / Telecom</v>
      </c>
      <c r="O500" t="str">
        <f>B07_Assessment!I46</f>
        <v>Closed</v>
      </c>
      <c r="P500" t="str">
        <f>B07_Assessment!J46</f>
        <v>Basement B-18 shown on rack elevation and electrical enlarged plans.</v>
      </c>
      <c r="Q500" t="str">
        <f t="shared" si="7"/>
        <v>07|39</v>
      </c>
    </row>
    <row r="501" spans="1:17" ht="6.45" customHeight="1">
      <c r="A501" t="s">
        <v>1680</v>
      </c>
      <c r="B501">
        <v>40</v>
      </c>
      <c r="C501" t="s">
        <v>25</v>
      </c>
      <c r="D501">
        <v>47</v>
      </c>
      <c r="E501" t="s">
        <v>1019</v>
      </c>
      <c r="F501" t="s">
        <v>5324</v>
      </c>
      <c r="G501" t="str">
        <f>B07_Assessment!A47</f>
        <v>B07-R3</v>
      </c>
      <c r="H501" t="str">
        <f>B07_Assessment!B47</f>
        <v>228A</v>
      </c>
      <c r="I501" t="str">
        <f>B07_Assessment!C47</f>
        <v>Second-floor rated wall/door work and exterior furring wall/window enclosure could affect schedule</v>
      </c>
      <c r="J501" t="str">
        <f>B07_Assessment!D47</f>
        <v>High</v>
      </c>
      <c r="K501" t="str">
        <f>B07_Assessment!E47</f>
        <v>Medium</v>
      </c>
      <c r="L501">
        <f>B07_Assessment!F47</f>
        <v>6</v>
      </c>
      <c r="M501" t="str">
        <f>B07_Assessment!G47</f>
        <v>Coordinate architectural work, door/frame, wall rating, furring wall, finishes and infection control barriers</v>
      </c>
      <c r="N501" t="str">
        <f>B07_Assessment!H47</f>
        <v>GC / VA</v>
      </c>
      <c r="O501" t="str">
        <f>B07_Assessment!I47</f>
        <v>Closed</v>
      </c>
      <c r="P501" t="str">
        <f>B07_Assessment!J47</f>
        <v>07A-401 notes include 45-minute rated door and new furring wall at exterior wall.</v>
      </c>
      <c r="Q501" t="str">
        <f t="shared" si="7"/>
        <v>07|40</v>
      </c>
    </row>
    <row r="502" spans="1:17" ht="6.45" customHeight="1">
      <c r="A502" t="s">
        <v>1680</v>
      </c>
      <c r="B502">
        <v>41</v>
      </c>
      <c r="C502" t="s">
        <v>25</v>
      </c>
      <c r="D502">
        <v>48</v>
      </c>
      <c r="E502" t="s">
        <v>1019</v>
      </c>
      <c r="F502" t="s">
        <v>5324</v>
      </c>
      <c r="G502" t="str">
        <f>B07_Assessment!A48</f>
        <v>B07-R4</v>
      </c>
      <c r="H502" t="str">
        <f>B07_Assessment!B48</f>
        <v>B-18/228A</v>
      </c>
      <c r="I502" t="str">
        <f>B07_Assessment!C48</f>
        <v>Dedicated cooling emergency power, controls, condensate and high-temp alarms not verified</v>
      </c>
      <c r="J502" t="str">
        <f>B07_Assessment!D48</f>
        <v>Critical</v>
      </c>
      <c r="K502" t="str">
        <f>B07_Assessment!E48</f>
        <v>Medium</v>
      </c>
      <c r="L502">
        <f>B07_Assessment!F48</f>
        <v>8</v>
      </c>
      <c r="M502" t="str">
        <f>B07_Assessment!G48</f>
        <v>Confirm IU/CU assignments, emergency source, BACnet/interface, condensate pump routing and alarm points</v>
      </c>
      <c r="N502" t="str">
        <f>B07_Assessment!H48</f>
        <v>Mechanical / Electrical</v>
      </c>
      <c r="O502" t="str">
        <f>B07_Assessment!I48</f>
        <v>Closed</v>
      </c>
      <c r="P502" t="str">
        <f>B07_Assessment!J48</f>
        <v>IU-0-01/CU-0-01 and IU-2-01/CU-2-01 schedules.</v>
      </c>
      <c r="Q502" t="str">
        <f t="shared" si="7"/>
        <v>07|41</v>
      </c>
    </row>
    <row r="503" spans="1:17" ht="6.45" customHeight="1">
      <c r="A503" t="s">
        <v>1680</v>
      </c>
      <c r="B503">
        <v>42</v>
      </c>
      <c r="C503" t="s">
        <v>25</v>
      </c>
      <c r="D503">
        <v>49</v>
      </c>
      <c r="E503" t="s">
        <v>1019</v>
      </c>
      <c r="F503" t="s">
        <v>5324</v>
      </c>
      <c r="G503" t="str">
        <f>B07_Assessment!A49</f>
        <v>B07-R5</v>
      </c>
      <c r="H503" t="str">
        <f>B07_Assessment!B49</f>
        <v>All</v>
      </c>
      <c r="I503" t="str">
        <f>B07_Assessment!C49</f>
        <v>Electrical panel/circuit source and rack load coordination unresolved</v>
      </c>
      <c r="J503" t="str">
        <f>B07_Assessment!D49</f>
        <v>High</v>
      </c>
      <c r="K503" t="str">
        <f>B07_Assessment!E49</f>
        <v>Medium</v>
      </c>
      <c r="L503">
        <f>B07_Assessment!F49</f>
        <v>6</v>
      </c>
      <c r="M503" t="str">
        <f>B07_Assessment!G49</f>
        <v>Verify B07-TRB18A/B and B07-TR228A/B panel schedules, circuit labels, SPDs and load measurements</v>
      </c>
      <c r="N503" t="str">
        <f>B07_Assessment!H49</f>
        <v>Electrical / GCC</v>
      </c>
      <c r="O503" t="str">
        <f>B07_Assessment!I49</f>
        <v>Closed</v>
      </c>
      <c r="P503" t="str">
        <f>B07_Assessment!J49</f>
        <v>Electrical enlarged plans identify panel/circuit references.</v>
      </c>
      <c r="Q503" t="str">
        <f t="shared" si="7"/>
        <v>07|42</v>
      </c>
    </row>
    <row r="504" spans="1:17" ht="6.45" customHeight="1">
      <c r="A504" t="s">
        <v>1680</v>
      </c>
      <c r="B504">
        <v>43</v>
      </c>
      <c r="C504" t="s">
        <v>25</v>
      </c>
      <c r="D504">
        <v>50</v>
      </c>
      <c r="E504" t="s">
        <v>1019</v>
      </c>
      <c r="F504" t="s">
        <v>5324</v>
      </c>
      <c r="G504" t="str">
        <f>B07_Assessment!A50</f>
        <v>B07-R6</v>
      </c>
      <c r="H504" t="str">
        <f>B07_Assessment!B50</f>
        <v>All</v>
      </c>
      <c r="I504" t="str">
        <f>B07_Assessment!C50</f>
        <v>Telecom/fiber cutover may affect active hospital communications</v>
      </c>
      <c r="J504" t="str">
        <f>B07_Assessment!D50</f>
        <v>Critical</v>
      </c>
      <c r="K504" t="str">
        <f>B07_Assessment!E50</f>
        <v>Medium</v>
      </c>
      <c r="L504">
        <f>B07_Assessment!F50</f>
        <v>8</v>
      </c>
      <c r="M504" t="str">
        <f>B07_Assessment!G50</f>
        <v>Require cutover plan, test results, OIT coordination and VA acceptance before active connection</v>
      </c>
      <c r="N504" t="str">
        <f>B07_Assessment!H50</f>
        <v>Telecom / OIT</v>
      </c>
      <c r="O504" t="str">
        <f>B07_Assessment!I50</f>
        <v>Closed</v>
      </c>
      <c r="P504" t="str">
        <f>B07_Assessment!J50</f>
        <v>All cabling must be tested, approved and accepted before connecting to active operations.</v>
      </c>
      <c r="Q504" t="str">
        <f t="shared" si="7"/>
        <v>07|43</v>
      </c>
    </row>
    <row r="505" spans="1:17" ht="6.45" customHeight="1">
      <c r="A505" t="s">
        <v>1680</v>
      </c>
      <c r="B505">
        <v>44</v>
      </c>
      <c r="C505" t="s">
        <v>25</v>
      </c>
      <c r="D505">
        <v>51</v>
      </c>
      <c r="E505" t="s">
        <v>1019</v>
      </c>
      <c r="F505" t="s">
        <v>5324</v>
      </c>
      <c r="G505" t="str">
        <f>B07_Assessment!A51</f>
        <v>B07-R7</v>
      </c>
      <c r="H505" t="str">
        <f>B07_Assessment!B51</f>
        <v>All</v>
      </c>
      <c r="I505" t="str">
        <f>B07_Assessment!C51</f>
        <v>Fire alarm/sprinkler impairments and firestopping could affect occupied operations</v>
      </c>
      <c r="J505" t="str">
        <f>B07_Assessment!D51</f>
        <v>Critical</v>
      </c>
      <c r="K505" t="str">
        <f>B07_Assessment!E51</f>
        <v>Medium</v>
      </c>
      <c r="L505">
        <f>B07_Assessment!F51</f>
        <v>8</v>
      </c>
      <c r="M505" t="str">
        <f>B07_Assessment!G51</f>
        <v>Track impairments, temporary firestopping, fire watch, sprinkler/head changes and FA acceptance testing</v>
      </c>
      <c r="N505" t="str">
        <f>B07_Assessment!H51</f>
        <v>GC / FP / FA</v>
      </c>
      <c r="O505" t="str">
        <f>B07_Assessment!I51</f>
        <v>Closed</v>
      </c>
      <c r="P505" t="str">
        <f>B07_Assessment!J51</f>
        <v>Shutdowns limited one at a time campus-wide.</v>
      </c>
      <c r="Q505" t="str">
        <f t="shared" si="7"/>
        <v>07|44</v>
      </c>
    </row>
    <row r="506" spans="1:17" ht="6.45" customHeight="1">
      <c r="A506" t="s">
        <v>1680</v>
      </c>
      <c r="B506">
        <v>45</v>
      </c>
      <c r="C506" t="s">
        <v>25</v>
      </c>
      <c r="D506">
        <v>52</v>
      </c>
      <c r="E506" t="s">
        <v>1019</v>
      </c>
      <c r="F506" t="s">
        <v>5324</v>
      </c>
      <c r="G506" t="str">
        <f>B07_Assessment!A52</f>
        <v>B07-R8</v>
      </c>
      <c r="H506" t="str">
        <f>B07_Assessment!B52</f>
        <v>All</v>
      </c>
      <c r="I506" t="str">
        <f>B07_Assessment!C52</f>
        <v>Commissioning/third-party inspection reports may not be complete at turnover</v>
      </c>
      <c r="J506" t="str">
        <f>B07_Assessment!D52</f>
        <v>High</v>
      </c>
      <c r="K506" t="str">
        <f>B07_Assessment!E52</f>
        <v>Medium</v>
      </c>
      <c r="L506">
        <f>B07_Assessment!F52</f>
        <v>6</v>
      </c>
      <c r="M506" t="str">
        <f>B07_Assessment!G52</f>
        <v>Track commissioning, inspection, testing, labels and as-built deliverables by trade</v>
      </c>
      <c r="N506" t="str">
        <f>B07_Assessment!H52</f>
        <v>GC / Cx Manager</v>
      </c>
      <c r="O506" t="str">
        <f>B07_Assessment!I52</f>
        <v>Closed</v>
      </c>
      <c r="P506" t="str">
        <f>B07_Assessment!J52</f>
        <v>Required by cover/general notes.</v>
      </c>
      <c r="Q506" t="str">
        <f t="shared" si="7"/>
        <v>07|45</v>
      </c>
    </row>
    <row r="507" spans="1:17" ht="6.45" customHeight="1">
      <c r="A507" t="s">
        <v>1680</v>
      </c>
      <c r="B507">
        <v>46</v>
      </c>
      <c r="C507" t="s">
        <v>25</v>
      </c>
      <c r="D507">
        <v>53</v>
      </c>
      <c r="E507" t="s">
        <v>1019</v>
      </c>
      <c r="F507" t="s">
        <v>5325</v>
      </c>
      <c r="G507">
        <f>B07_Assessment!A53</f>
        <v>0</v>
      </c>
      <c r="H507">
        <f>B07_Assessment!B53</f>
        <v>0</v>
      </c>
      <c r="I507">
        <f>B07_Assessment!C53</f>
        <v>0</v>
      </c>
      <c r="J507">
        <f>B07_Assessment!D53</f>
        <v>0</v>
      </c>
      <c r="K507">
        <f>B07_Assessment!E53</f>
        <v>0</v>
      </c>
      <c r="L507">
        <f>B07_Assessment!F53</f>
        <v>0</v>
      </c>
      <c r="M507">
        <f>B07_Assessment!G53</f>
        <v>0</v>
      </c>
      <c r="N507">
        <f>B07_Assessment!H53</f>
        <v>0</v>
      </c>
      <c r="O507">
        <f>B07_Assessment!I53</f>
        <v>0</v>
      </c>
      <c r="P507">
        <f>B07_Assessment!J53</f>
        <v>0</v>
      </c>
      <c r="Q507" t="str">
        <f t="shared" si="7"/>
        <v>07|46</v>
      </c>
    </row>
    <row r="508" spans="1:17" ht="6.45" customHeight="1">
      <c r="A508" t="s">
        <v>1680</v>
      </c>
      <c r="B508">
        <v>47</v>
      </c>
      <c r="C508" t="s">
        <v>25</v>
      </c>
      <c r="D508">
        <v>54</v>
      </c>
      <c r="E508" t="s">
        <v>1051</v>
      </c>
      <c r="F508" t="s">
        <v>5322</v>
      </c>
      <c r="G508" t="str">
        <f>B07_Assessment!A54</f>
        <v>9. OPEN QUESTIONS</v>
      </c>
      <c r="H508">
        <f>B07_Assessment!B54</f>
        <v>0</v>
      </c>
      <c r="I508">
        <f>B07_Assessment!C54</f>
        <v>0</v>
      </c>
      <c r="J508">
        <f>B07_Assessment!D54</f>
        <v>0</v>
      </c>
      <c r="K508">
        <f>B07_Assessment!E54</f>
        <v>0</v>
      </c>
      <c r="L508">
        <f>B07_Assessment!F54</f>
        <v>0</v>
      </c>
      <c r="M508">
        <f>B07_Assessment!G54</f>
        <v>0</v>
      </c>
      <c r="N508">
        <f>B07_Assessment!H54</f>
        <v>0</v>
      </c>
      <c r="O508">
        <f>B07_Assessment!I54</f>
        <v>0</v>
      </c>
      <c r="P508">
        <f>B07_Assessment!J54</f>
        <v>0</v>
      </c>
      <c r="Q508" t="str">
        <f t="shared" si="7"/>
        <v>07|47</v>
      </c>
    </row>
    <row r="509" spans="1:17" ht="6.45" customHeight="1">
      <c r="A509" t="s">
        <v>1680</v>
      </c>
      <c r="B509">
        <v>48</v>
      </c>
      <c r="C509" t="s">
        <v>25</v>
      </c>
      <c r="D509">
        <v>55</v>
      </c>
      <c r="E509" t="s">
        <v>1051</v>
      </c>
      <c r="F509" t="s">
        <v>5323</v>
      </c>
      <c r="G509" t="str">
        <f>B07_Assessment!A55</f>
        <v>Question ID</v>
      </c>
      <c r="H509" t="str">
        <f>B07_Assessment!B55</f>
        <v>Question</v>
      </c>
      <c r="I509" t="str">
        <f>B07_Assessment!C55</f>
        <v>Assigned To</v>
      </c>
      <c r="J509" t="str">
        <f>B07_Assessment!D55</f>
        <v>Status</v>
      </c>
      <c r="K509" t="str">
        <f>B07_Assessment!E55</f>
        <v>Needed By</v>
      </c>
      <c r="L509" t="str">
        <f>B07_Assessment!F55</f>
        <v>Answer / Resolution</v>
      </c>
      <c r="M509" t="str">
        <f>B07_Assessment!G55</f>
        <v>Impact if Unanswered</v>
      </c>
      <c r="N509" t="str">
        <f>B07_Assessment!H55</f>
        <v>Follow-up</v>
      </c>
      <c r="O509" t="str">
        <f>B07_Assessment!I55</f>
        <v>Date Closed</v>
      </c>
      <c r="P509" t="str">
        <f>B07_Assessment!J55</f>
        <v>Notes</v>
      </c>
      <c r="Q509" t="str">
        <f t="shared" si="7"/>
        <v>07|48</v>
      </c>
    </row>
    <row r="510" spans="1:17" ht="6.45" customHeight="1">
      <c r="A510" t="s">
        <v>1680</v>
      </c>
      <c r="B510">
        <v>49</v>
      </c>
      <c r="C510" t="s">
        <v>25</v>
      </c>
      <c r="D510">
        <v>56</v>
      </c>
      <c r="E510" t="s">
        <v>1051</v>
      </c>
      <c r="F510" t="s">
        <v>5324</v>
      </c>
      <c r="G510" t="str">
        <f>B07_Assessment!A56</f>
        <v>B07-Q1</v>
      </c>
      <c r="H510" t="str">
        <f>B07_Assessment!B56</f>
        <v>Confirm final TR scope: B-18 basement and 228A second floor only?</v>
      </c>
      <c r="I510" t="str">
        <f>B07_Assessment!C56</f>
        <v>VA / OIT / Designer</v>
      </c>
      <c r="J510" t="str">
        <f>B07_Assessment!D56</f>
        <v>Closed</v>
      </c>
      <c r="K510">
        <f>B07_Assessment!E56</f>
        <v>0</v>
      </c>
      <c r="L510">
        <f>B07_Assessment!F56</f>
        <v>0</v>
      </c>
      <c r="M510" t="str">
        <f>B07_Assessment!G56</f>
        <v>Room inventory could miss scope</v>
      </c>
      <c r="N510">
        <f>B07_Assessment!H56</f>
        <v>0</v>
      </c>
      <c r="O510">
        <f>B07_Assessment!I56</f>
        <v>0</v>
      </c>
      <c r="P510">
        <f>B07_Assessment!J56</f>
        <v>0</v>
      </c>
      <c r="Q510" t="str">
        <f t="shared" si="7"/>
        <v>07|49</v>
      </c>
    </row>
    <row r="511" spans="1:17" ht="6.45" customHeight="1">
      <c r="A511" t="s">
        <v>1680</v>
      </c>
      <c r="B511">
        <v>50</v>
      </c>
      <c r="C511" t="s">
        <v>25</v>
      </c>
      <c r="D511">
        <v>57</v>
      </c>
      <c r="E511" t="s">
        <v>1051</v>
      </c>
      <c r="F511" t="s">
        <v>5324</v>
      </c>
      <c r="G511" t="str">
        <f>B07_Assessment!A57</f>
        <v>B07-Q2</v>
      </c>
      <c r="H511" t="str">
        <f>B07_Assessment!B57</f>
        <v>Are IU-0-01/CU-0-01 assigned to B-18 and IU-2-01/CU-2-01 assigned to 228A?</v>
      </c>
      <c r="I511" t="str">
        <f>B07_Assessment!C57</f>
        <v>Mechanical / Designer</v>
      </c>
      <c r="J511" t="str">
        <f>B07_Assessment!D57</f>
        <v>Closed</v>
      </c>
      <c r="K511">
        <f>B07_Assessment!E57</f>
        <v>0</v>
      </c>
      <c r="L511">
        <f>B07_Assessment!F57</f>
        <v>0</v>
      </c>
      <c r="M511" t="str">
        <f>B07_Assessment!G57</f>
        <v>Cooling scope unclear</v>
      </c>
      <c r="N511">
        <f>B07_Assessment!H57</f>
        <v>0</v>
      </c>
      <c r="O511">
        <f>B07_Assessment!I57</f>
        <v>0</v>
      </c>
      <c r="P511">
        <f>B07_Assessment!J57</f>
        <v>0</v>
      </c>
      <c r="Q511" t="str">
        <f t="shared" si="7"/>
        <v>07|50</v>
      </c>
    </row>
    <row r="512" spans="1:17" ht="6.45" customHeight="1">
      <c r="A512" t="s">
        <v>1680</v>
      </c>
      <c r="B512">
        <v>51</v>
      </c>
      <c r="C512" t="s">
        <v>25</v>
      </c>
      <c r="D512">
        <v>58</v>
      </c>
      <c r="E512" t="s">
        <v>1051</v>
      </c>
      <c r="F512" t="s">
        <v>5324</v>
      </c>
      <c r="G512" t="str">
        <f>B07_Assessment!A58</f>
        <v>B07-Q3</v>
      </c>
      <c r="H512" t="str">
        <f>B07_Assessment!B58</f>
        <v>Are cooling units and controls on emergency/backup power?</v>
      </c>
      <c r="I512" t="str">
        <f>B07_Assessment!C58</f>
        <v>Mechanical / Electrical / VA</v>
      </c>
      <c r="J512" t="str">
        <f>B07_Assessment!D58</f>
        <v>Closed</v>
      </c>
      <c r="K512">
        <f>B07_Assessment!E58</f>
        <v>0</v>
      </c>
      <c r="L512">
        <f>B07_Assessment!F58</f>
        <v>0</v>
      </c>
      <c r="M512" t="str">
        <f>B07_Assessment!G58</f>
        <v>Cooling continuity not confirmed</v>
      </c>
      <c r="N512">
        <f>B07_Assessment!H58</f>
        <v>0</v>
      </c>
      <c r="O512">
        <f>B07_Assessment!I58</f>
        <v>0</v>
      </c>
      <c r="P512">
        <f>B07_Assessment!J58</f>
        <v>0</v>
      </c>
      <c r="Q512" t="str">
        <f t="shared" si="7"/>
        <v>07|51</v>
      </c>
    </row>
    <row r="513" spans="1:17" ht="6.45" customHeight="1">
      <c r="A513" t="s">
        <v>1680</v>
      </c>
      <c r="B513">
        <v>52</v>
      </c>
      <c r="C513" t="s">
        <v>25</v>
      </c>
      <c r="D513">
        <v>59</v>
      </c>
      <c r="E513" t="s">
        <v>1051</v>
      </c>
      <c r="F513" t="s">
        <v>5324</v>
      </c>
      <c r="G513" t="str">
        <f>B07_Assessment!A59</f>
        <v>B07-Q4</v>
      </c>
      <c r="H513" t="str">
        <f>B07_Assessment!B59</f>
        <v>Where are clean-agent/CO2 extinguisher cabinets located within 75 ft of each TR?</v>
      </c>
      <c r="I513" t="str">
        <f>B07_Assessment!C59</f>
        <v>GC / COR</v>
      </c>
      <c r="J513" t="str">
        <f>B07_Assessment!D59</f>
        <v>Closed</v>
      </c>
      <c r="K513">
        <f>B07_Assessment!E59</f>
        <v>0</v>
      </c>
      <c r="L513">
        <f>B07_Assessment!F59</f>
        <v>0</v>
      </c>
      <c r="M513" t="str">
        <f>B07_Assessment!G59</f>
        <v>Life safety acceptance risk</v>
      </c>
      <c r="N513">
        <f>B07_Assessment!H59</f>
        <v>0</v>
      </c>
      <c r="O513">
        <f>B07_Assessment!I59</f>
        <v>0</v>
      </c>
      <c r="P513">
        <f>B07_Assessment!J59</f>
        <v>0</v>
      </c>
      <c r="Q513" t="str">
        <f t="shared" si="7"/>
        <v>07|52</v>
      </c>
    </row>
    <row r="514" spans="1:17" ht="6.45" customHeight="1">
      <c r="A514" t="s">
        <v>1680</v>
      </c>
      <c r="B514">
        <v>53</v>
      </c>
      <c r="C514" t="s">
        <v>25</v>
      </c>
      <c r="D514">
        <v>60</v>
      </c>
      <c r="E514" t="s">
        <v>1051</v>
      </c>
      <c r="F514" t="s">
        <v>5324</v>
      </c>
      <c r="G514" t="str">
        <f>B07_Assessment!A60</f>
        <v>B07-Q5</v>
      </c>
      <c r="H514" t="str">
        <f>B07_Assessment!B60</f>
        <v>What active services are currently fed from B-18 and/or existing pathways serving 228A?</v>
      </c>
      <c r="I514" t="str">
        <f>B07_Assessment!C60</f>
        <v>OIT / Contractor</v>
      </c>
      <c r="J514" t="str">
        <f>B07_Assessment!D60</f>
        <v>Closed</v>
      </c>
      <c r="K514">
        <f>B07_Assessment!E60</f>
        <v>0</v>
      </c>
      <c r="L514">
        <f>B07_Assessment!F60</f>
        <v>0</v>
      </c>
      <c r="M514" t="str">
        <f>B07_Assessment!G60</f>
        <v>Potential communications outage</v>
      </c>
      <c r="N514">
        <f>B07_Assessment!H60</f>
        <v>0</v>
      </c>
      <c r="O514">
        <f>B07_Assessment!I60</f>
        <v>0</v>
      </c>
      <c r="P514">
        <f>B07_Assessment!J60</f>
        <v>0</v>
      </c>
      <c r="Q514" t="str">
        <f t="shared" ref="Q514:Q577" si="8">A514&amp;"|"&amp;B514</f>
        <v>07|53</v>
      </c>
    </row>
    <row r="515" spans="1:17" ht="6.45" customHeight="1">
      <c r="A515" t="s">
        <v>1680</v>
      </c>
      <c r="B515">
        <v>54</v>
      </c>
      <c r="C515" t="s">
        <v>25</v>
      </c>
      <c r="D515">
        <v>61</v>
      </c>
      <c r="E515" t="s">
        <v>1051</v>
      </c>
      <c r="F515" t="s">
        <v>5324</v>
      </c>
      <c r="G515" t="str">
        <f>B07_Assessment!A61</f>
        <v>B07-Q6</v>
      </c>
      <c r="H515" t="str">
        <f>B07_Assessment!B61</f>
        <v>Are all B07 panelboard sources, circuits, SPDs, labels and load measurements approved?</v>
      </c>
      <c r="I515" t="str">
        <f>B07_Assessment!C61</f>
        <v>Electrical / Designer</v>
      </c>
      <c r="J515" t="str">
        <f>B07_Assessment!D61</f>
        <v>Closed</v>
      </c>
      <c r="K515">
        <f>B07_Assessment!E61</f>
        <v>0</v>
      </c>
      <c r="L515">
        <f>B07_Assessment!F61</f>
        <v>0</v>
      </c>
      <c r="M515" t="str">
        <f>B07_Assessment!G61</f>
        <v>Electrical readiness unknown</v>
      </c>
      <c r="N515">
        <f>B07_Assessment!H61</f>
        <v>0</v>
      </c>
      <c r="O515">
        <f>B07_Assessment!I61</f>
        <v>0</v>
      </c>
      <c r="P515">
        <f>B07_Assessment!J61</f>
        <v>0</v>
      </c>
      <c r="Q515" t="str">
        <f t="shared" si="8"/>
        <v>07|54</v>
      </c>
    </row>
    <row r="516" spans="1:17" ht="6.45" customHeight="1">
      <c r="A516" t="s">
        <v>1680</v>
      </c>
      <c r="B516">
        <v>55</v>
      </c>
      <c r="C516" t="s">
        <v>25</v>
      </c>
      <c r="D516">
        <v>62</v>
      </c>
      <c r="E516" t="s">
        <v>1051</v>
      </c>
      <c r="F516" t="s">
        <v>5324</v>
      </c>
      <c r="G516" t="str">
        <f>B07_Assessment!A62</f>
        <v>B07-Q7</v>
      </c>
      <c r="H516" t="str">
        <f>B07_Assessment!B62</f>
        <v>Are all rated wall/floor penetrations, sleeves and firestopping identified?</v>
      </c>
      <c r="I516" t="str">
        <f>B07_Assessment!C62</f>
        <v>GC / Firestop</v>
      </c>
      <c r="J516" t="str">
        <f>B07_Assessment!D62</f>
        <v>Closed</v>
      </c>
      <c r="K516">
        <f>B07_Assessment!E62</f>
        <v>0</v>
      </c>
      <c r="L516">
        <f>B07_Assessment!F62</f>
        <v>0</v>
      </c>
      <c r="M516" t="str">
        <f>B07_Assessment!G62</f>
        <v>Fire/smoke spread risk</v>
      </c>
      <c r="N516">
        <f>B07_Assessment!H62</f>
        <v>0</v>
      </c>
      <c r="O516">
        <f>B07_Assessment!I62</f>
        <v>0</v>
      </c>
      <c r="P516">
        <f>B07_Assessment!J62</f>
        <v>0</v>
      </c>
      <c r="Q516" t="str">
        <f t="shared" si="8"/>
        <v>07|55</v>
      </c>
    </row>
    <row r="517" spans="1:17" ht="6.45" customHeight="1">
      <c r="A517" t="s">
        <v>1680</v>
      </c>
      <c r="B517">
        <v>56</v>
      </c>
      <c r="C517" t="s">
        <v>25</v>
      </c>
      <c r="D517">
        <v>63</v>
      </c>
      <c r="E517" t="s">
        <v>1051</v>
      </c>
      <c r="F517" t="s">
        <v>5324</v>
      </c>
      <c r="G517" t="str">
        <f>B07_Assessment!A63</f>
        <v>B07-Q8</v>
      </c>
      <c r="H517" t="str">
        <f>B07_Assessment!B63</f>
        <v>Which third-party inspections and commissioning forms are required before VA acceptance?</v>
      </c>
      <c r="I517" t="str">
        <f>B07_Assessment!C63</f>
        <v>GC / Cx Manager</v>
      </c>
      <c r="J517" t="str">
        <f>B07_Assessment!D63</f>
        <v>Closed</v>
      </c>
      <c r="K517">
        <f>B07_Assessment!E63</f>
        <v>0</v>
      </c>
      <c r="L517">
        <f>B07_Assessment!F63</f>
        <v>0</v>
      </c>
      <c r="M517" t="str">
        <f>B07_Assessment!G63</f>
        <v>Turnover package gap</v>
      </c>
      <c r="N517">
        <f>B07_Assessment!H63</f>
        <v>0</v>
      </c>
      <c r="O517">
        <f>B07_Assessment!I63</f>
        <v>0</v>
      </c>
      <c r="P517">
        <f>B07_Assessment!J63</f>
        <v>0</v>
      </c>
      <c r="Q517" t="str">
        <f t="shared" si="8"/>
        <v>07|56</v>
      </c>
    </row>
    <row r="518" spans="1:17" ht="6.45" customHeight="1">
      <c r="A518" t="s">
        <v>1680</v>
      </c>
      <c r="B518">
        <v>57</v>
      </c>
      <c r="C518" t="s">
        <v>25</v>
      </c>
      <c r="D518">
        <v>64</v>
      </c>
      <c r="E518" t="s">
        <v>1051</v>
      </c>
      <c r="F518" t="s">
        <v>5325</v>
      </c>
      <c r="G518">
        <f>B07_Assessment!A64</f>
        <v>0</v>
      </c>
      <c r="H518">
        <f>B07_Assessment!B64</f>
        <v>0</v>
      </c>
      <c r="I518">
        <f>B07_Assessment!C64</f>
        <v>0</v>
      </c>
      <c r="J518">
        <f>B07_Assessment!D64</f>
        <v>0</v>
      </c>
      <c r="K518">
        <f>B07_Assessment!E64</f>
        <v>0</v>
      </c>
      <c r="L518">
        <f>B07_Assessment!F64</f>
        <v>0</v>
      </c>
      <c r="M518">
        <f>B07_Assessment!G64</f>
        <v>0</v>
      </c>
      <c r="N518">
        <f>B07_Assessment!H64</f>
        <v>0</v>
      </c>
      <c r="O518">
        <f>B07_Assessment!I64</f>
        <v>0</v>
      </c>
      <c r="P518">
        <f>B07_Assessment!J64</f>
        <v>0</v>
      </c>
      <c r="Q518" t="str">
        <f t="shared" si="8"/>
        <v>07|57</v>
      </c>
    </row>
    <row r="519" spans="1:17" ht="6.45" customHeight="1">
      <c r="A519" t="s">
        <v>1680</v>
      </c>
      <c r="B519">
        <v>58</v>
      </c>
      <c r="C519" t="s">
        <v>25</v>
      </c>
      <c r="D519">
        <v>65</v>
      </c>
      <c r="E519" t="s">
        <v>1052</v>
      </c>
      <c r="F519" t="s">
        <v>5322</v>
      </c>
      <c r="G519" t="str">
        <f>B07_Assessment!A65</f>
        <v>10. PHOTO LOG</v>
      </c>
      <c r="H519">
        <f>B07_Assessment!B65</f>
        <v>0</v>
      </c>
      <c r="I519">
        <f>B07_Assessment!C65</f>
        <v>0</v>
      </c>
      <c r="J519">
        <f>B07_Assessment!D65</f>
        <v>0</v>
      </c>
      <c r="K519">
        <f>B07_Assessment!E65</f>
        <v>0</v>
      </c>
      <c r="L519">
        <f>B07_Assessment!F65</f>
        <v>0</v>
      </c>
      <c r="M519">
        <f>B07_Assessment!G65</f>
        <v>0</v>
      </c>
      <c r="N519">
        <f>B07_Assessment!H65</f>
        <v>0</v>
      </c>
      <c r="O519">
        <f>B07_Assessment!I65</f>
        <v>0</v>
      </c>
      <c r="P519">
        <f>B07_Assessment!J65</f>
        <v>0</v>
      </c>
      <c r="Q519" t="str">
        <f t="shared" si="8"/>
        <v>07|58</v>
      </c>
    </row>
    <row r="520" spans="1:17" ht="6.45" customHeight="1">
      <c r="A520" t="s">
        <v>1680</v>
      </c>
      <c r="B520">
        <v>59</v>
      </c>
      <c r="C520" t="s">
        <v>25</v>
      </c>
      <c r="D520">
        <v>66</v>
      </c>
      <c r="E520" t="s">
        <v>1052</v>
      </c>
      <c r="F520" t="s">
        <v>5323</v>
      </c>
      <c r="G520" t="str">
        <f>B07_Assessment!A66</f>
        <v>Photo ID</v>
      </c>
      <c r="H520" t="str">
        <f>B07_Assessment!B66</f>
        <v>Room</v>
      </c>
      <c r="I520" t="str">
        <f>B07_Assessment!C66</f>
        <v>Category</v>
      </c>
      <c r="J520" t="str">
        <f>B07_Assessment!D66</f>
        <v>Description</v>
      </c>
      <c r="K520" t="str">
        <f>B07_Assessment!E66</f>
        <v>Date</v>
      </c>
      <c r="L520" t="str">
        <f>B07_Assessment!F66</f>
        <v>Taken By</v>
      </c>
      <c r="M520" t="str">
        <f>B07_Assessment!G66</f>
        <v>File / Link</v>
      </c>
      <c r="N520" t="str">
        <f>B07_Assessment!H66</f>
        <v>Related Risk</v>
      </c>
      <c r="O520" t="str">
        <f>B07_Assessment!I66</f>
        <v>Status</v>
      </c>
      <c r="P520" t="str">
        <f>B07_Assessment!J66</f>
        <v>Notes</v>
      </c>
      <c r="Q520" t="str">
        <f t="shared" si="8"/>
        <v>07|59</v>
      </c>
    </row>
    <row r="521" spans="1:17" ht="6.45" customHeight="1">
      <c r="A521" t="s">
        <v>1680</v>
      </c>
      <c r="B521">
        <v>60</v>
      </c>
      <c r="C521" t="s">
        <v>25</v>
      </c>
      <c r="D521">
        <v>67</v>
      </c>
      <c r="E521" t="s">
        <v>1052</v>
      </c>
      <c r="F521" t="s">
        <v>5324</v>
      </c>
      <c r="G521" t="str">
        <f>B07_Assessment!A67</f>
        <v>B07-P001</v>
      </c>
      <c r="H521" t="str">
        <f>B07_Assessment!B67</f>
        <v>B-18</v>
      </c>
      <c r="I521" t="str">
        <f>B07_Assessment!C67</f>
        <v>Existing Condition</v>
      </c>
      <c r="J521" t="str">
        <f>B07_Assessment!D67</f>
        <v>Basement TR B-18 existing room, walls, ceiling, floor, utilities, penetrations and pathway</v>
      </c>
      <c r="K521">
        <f>B07_Assessment!E67</f>
        <v>0</v>
      </c>
      <c r="L521" t="str">
        <f>B07_Assessment!F67</f>
        <v>Paul</v>
      </c>
      <c r="M521">
        <f>B07_Assessment!G67</f>
        <v>0</v>
      </c>
      <c r="N521" t="str">
        <f>B07_Assessment!H67</f>
        <v>B07-R1/B07-R2</v>
      </c>
      <c r="O521" t="str">
        <f>B07_Assessment!I67</f>
        <v>Closed</v>
      </c>
      <c r="P521">
        <f>B07_Assessment!J67</f>
        <v>0</v>
      </c>
      <c r="Q521" t="str">
        <f t="shared" si="8"/>
        <v>07|60</v>
      </c>
    </row>
    <row r="522" spans="1:17" ht="6.45" customHeight="1">
      <c r="A522" t="s">
        <v>1680</v>
      </c>
      <c r="B522">
        <v>61</v>
      </c>
      <c r="C522" t="s">
        <v>25</v>
      </c>
      <c r="D522">
        <v>68</v>
      </c>
      <c r="E522" t="s">
        <v>1052</v>
      </c>
      <c r="F522" t="s">
        <v>5324</v>
      </c>
      <c r="G522" t="str">
        <f>B07_Assessment!A68</f>
        <v>B07-P002</v>
      </c>
      <c r="H522" t="str">
        <f>B07_Assessment!B68</f>
        <v>228A</v>
      </c>
      <c r="I522" t="str">
        <f>B07_Assessment!C68</f>
        <v>Existing Condition</v>
      </c>
      <c r="J522" t="str">
        <f>B07_Assessment!D68</f>
        <v>Second-floor TR 228A, door/wall/furring/window conditions, adjacent spaces and pathway</v>
      </c>
      <c r="K522">
        <f>B07_Assessment!E68</f>
        <v>0</v>
      </c>
      <c r="L522" t="str">
        <f>B07_Assessment!F68</f>
        <v>Paul</v>
      </c>
      <c r="M522">
        <f>B07_Assessment!G68</f>
        <v>0</v>
      </c>
      <c r="N522" t="str">
        <f>B07_Assessment!H68</f>
        <v>B07-R1/B07-R3</v>
      </c>
      <c r="O522" t="str">
        <f>B07_Assessment!I68</f>
        <v>Closed</v>
      </c>
      <c r="P522">
        <f>B07_Assessment!J68</f>
        <v>0</v>
      </c>
      <c r="Q522" t="str">
        <f t="shared" si="8"/>
        <v>07|61</v>
      </c>
    </row>
    <row r="523" spans="1:17" ht="6.45" customHeight="1">
      <c r="A523" t="s">
        <v>1680</v>
      </c>
      <c r="B523">
        <v>62</v>
      </c>
      <c r="C523" t="s">
        <v>25</v>
      </c>
      <c r="D523">
        <v>69</v>
      </c>
      <c r="E523" t="s">
        <v>1052</v>
      </c>
      <c r="F523" t="s">
        <v>5324</v>
      </c>
      <c r="G523" t="str">
        <f>B07_Assessment!A69</f>
        <v>B07-P003</v>
      </c>
      <c r="H523" t="str">
        <f>B07_Assessment!B69</f>
        <v>All</v>
      </c>
      <c r="I523" t="str">
        <f>B07_Assessment!C69</f>
        <v>Firestop</v>
      </c>
      <c r="J523" t="str">
        <f>B07_Assessment!D69</f>
        <v>All wall/floor/sleeve/tray penetrations before and after firestop</v>
      </c>
      <c r="K523">
        <f>B07_Assessment!E69</f>
        <v>0</v>
      </c>
      <c r="L523" t="str">
        <f>B07_Assessment!F69</f>
        <v>Paul</v>
      </c>
      <c r="M523">
        <f>B07_Assessment!G69</f>
        <v>0</v>
      </c>
      <c r="N523" t="str">
        <f>B07_Assessment!H69</f>
        <v>B07-R7</v>
      </c>
      <c r="O523" t="str">
        <f>B07_Assessment!I69</f>
        <v>Closed</v>
      </c>
      <c r="P523">
        <f>B07_Assessment!J69</f>
        <v>0</v>
      </c>
      <c r="Q523" t="str">
        <f t="shared" si="8"/>
        <v>07|62</v>
      </c>
    </row>
    <row r="524" spans="1:17" ht="6.45" customHeight="1">
      <c r="A524" t="s">
        <v>1680</v>
      </c>
      <c r="B524">
        <v>63</v>
      </c>
      <c r="C524" t="s">
        <v>25</v>
      </c>
      <c r="D524">
        <v>70</v>
      </c>
      <c r="E524" t="s">
        <v>1052</v>
      </c>
      <c r="F524" t="s">
        <v>5324</v>
      </c>
      <c r="G524" t="str">
        <f>B07_Assessment!A70</f>
        <v>B07-P004</v>
      </c>
      <c r="H524" t="str">
        <f>B07_Assessment!B70</f>
        <v>B-18/228A</v>
      </c>
      <c r="I524" t="str">
        <f>B07_Assessment!C70</f>
        <v>HVAC</v>
      </c>
      <c r="J524" t="str">
        <f>B07_Assessment!D70</f>
        <v>IU/CU units, condensate, thermostat, BACnet adapter, disconnects, high-temp alarm and power source</v>
      </c>
      <c r="K524">
        <f>B07_Assessment!E70</f>
        <v>0</v>
      </c>
      <c r="L524" t="str">
        <f>B07_Assessment!F70</f>
        <v>Paul</v>
      </c>
      <c r="M524">
        <f>B07_Assessment!G70</f>
        <v>0</v>
      </c>
      <c r="N524" t="str">
        <f>B07_Assessment!H70</f>
        <v>B07-R4</v>
      </c>
      <c r="O524" t="str">
        <f>B07_Assessment!I70</f>
        <v>Closed</v>
      </c>
      <c r="P524">
        <f>B07_Assessment!J70</f>
        <v>0</v>
      </c>
      <c r="Q524" t="str">
        <f t="shared" si="8"/>
        <v>07|63</v>
      </c>
    </row>
    <row r="525" spans="1:17" ht="6.45" customHeight="1">
      <c r="A525" t="s">
        <v>1680</v>
      </c>
      <c r="B525">
        <v>64</v>
      </c>
      <c r="C525" t="s">
        <v>25</v>
      </c>
      <c r="D525">
        <v>71</v>
      </c>
      <c r="E525" t="s">
        <v>1052</v>
      </c>
      <c r="F525" t="s">
        <v>5324</v>
      </c>
      <c r="G525" t="str">
        <f>B07_Assessment!A71</f>
        <v>B07-P005</v>
      </c>
      <c r="H525" t="str">
        <f>B07_Assessment!B71</f>
        <v>All</v>
      </c>
      <c r="I525" t="str">
        <f>B07_Assessment!C71</f>
        <v>Electrical</v>
      </c>
      <c r="J525" t="str">
        <f>B07_Assessment!D71</f>
        <v>B07-TRB18A/B and B07-TR228A/B panels, breakers, SPD, rack receptacles and labels</v>
      </c>
      <c r="K525">
        <f>B07_Assessment!E71</f>
        <v>0</v>
      </c>
      <c r="L525" t="str">
        <f>B07_Assessment!F71</f>
        <v>Paul</v>
      </c>
      <c r="M525">
        <f>B07_Assessment!G71</f>
        <v>0</v>
      </c>
      <c r="N525" t="str">
        <f>B07_Assessment!H71</f>
        <v>B07-R5</v>
      </c>
      <c r="O525" t="str">
        <f>B07_Assessment!I71</f>
        <v>Closed</v>
      </c>
      <c r="P525">
        <f>B07_Assessment!J71</f>
        <v>0</v>
      </c>
      <c r="Q525" t="str">
        <f t="shared" si="8"/>
        <v>07|64</v>
      </c>
    </row>
    <row r="526" spans="1:17" ht="6.45" customHeight="1">
      <c r="A526" t="s">
        <v>1680</v>
      </c>
      <c r="B526">
        <v>65</v>
      </c>
      <c r="C526" t="s">
        <v>25</v>
      </c>
      <c r="D526">
        <v>72</v>
      </c>
      <c r="E526" t="s">
        <v>1052</v>
      </c>
      <c r="F526" t="s">
        <v>5324</v>
      </c>
      <c r="G526" t="str">
        <f>B07_Assessment!A72</f>
        <v>B07-P006</v>
      </c>
      <c r="H526" t="str">
        <f>B07_Assessment!B72</f>
        <v>All</v>
      </c>
      <c r="I526" t="str">
        <f>B07_Assessment!C72</f>
        <v>Telecom</v>
      </c>
      <c r="J526" t="str">
        <f>B07_Assessment!D72</f>
        <v>Racks, ladder tray, fiber, Cat6A, patch panels, LIU, labels and test records</v>
      </c>
      <c r="K526">
        <f>B07_Assessment!E72</f>
        <v>0</v>
      </c>
      <c r="L526" t="str">
        <f>B07_Assessment!F72</f>
        <v>Paul</v>
      </c>
      <c r="M526">
        <f>B07_Assessment!G72</f>
        <v>0</v>
      </c>
      <c r="N526" t="str">
        <f>B07_Assessment!H72</f>
        <v>B07-R6</v>
      </c>
      <c r="O526" t="str">
        <f>B07_Assessment!I72</f>
        <v>Closed</v>
      </c>
      <c r="P526">
        <f>B07_Assessment!J72</f>
        <v>0</v>
      </c>
      <c r="Q526" t="str">
        <f t="shared" si="8"/>
        <v>07|65</v>
      </c>
    </row>
    <row r="527" spans="1:17" ht="6.45" customHeight="1">
      <c r="A527" t="s">
        <v>1680</v>
      </c>
      <c r="B527">
        <v>66</v>
      </c>
      <c r="C527" t="s">
        <v>25</v>
      </c>
      <c r="D527">
        <v>73</v>
      </c>
      <c r="E527" t="s">
        <v>1052</v>
      </c>
      <c r="F527" t="s">
        <v>5324</v>
      </c>
      <c r="G527" t="str">
        <f>B07_Assessment!A73</f>
        <v>B07-P007</v>
      </c>
      <c r="H527" t="str">
        <f>B07_Assessment!B73</f>
        <v>All</v>
      </c>
      <c r="I527" t="str">
        <f>B07_Assessment!C73</f>
        <v>Security</v>
      </c>
      <c r="J527" t="str">
        <f>B07_Assessment!D73</f>
        <v>Card reader, electric strike, door position, CCTV/PACS and motion sensors</v>
      </c>
      <c r="K527">
        <f>B07_Assessment!E73</f>
        <v>0</v>
      </c>
      <c r="L527" t="str">
        <f>B07_Assessment!F73</f>
        <v>Paul</v>
      </c>
      <c r="M527">
        <f>B07_Assessment!G73</f>
        <v>0</v>
      </c>
      <c r="N527" t="str">
        <f>B07_Assessment!H73</f>
        <v>B07-R3</v>
      </c>
      <c r="O527" t="str">
        <f>B07_Assessment!I73</f>
        <v>Closed</v>
      </c>
      <c r="P527">
        <f>B07_Assessment!J73</f>
        <v>0</v>
      </c>
      <c r="Q527" t="str">
        <f t="shared" si="8"/>
        <v>07|66</v>
      </c>
    </row>
    <row r="528" spans="1:17" ht="6.45" customHeight="1">
      <c r="A528" t="s">
        <v>1680</v>
      </c>
      <c r="B528">
        <v>67</v>
      </c>
      <c r="C528" t="s">
        <v>25</v>
      </c>
      <c r="D528">
        <v>74</v>
      </c>
      <c r="E528" t="s">
        <v>1052</v>
      </c>
      <c r="F528" t="s">
        <v>5325</v>
      </c>
      <c r="G528">
        <f>B07_Assessment!A74</f>
        <v>0</v>
      </c>
      <c r="H528">
        <f>B07_Assessment!B74</f>
        <v>0</v>
      </c>
      <c r="I528">
        <f>B07_Assessment!C74</f>
        <v>0</v>
      </c>
      <c r="J528">
        <f>B07_Assessment!D74</f>
        <v>0</v>
      </c>
      <c r="K528">
        <f>B07_Assessment!E74</f>
        <v>0</v>
      </c>
      <c r="L528">
        <f>B07_Assessment!F74</f>
        <v>0</v>
      </c>
      <c r="M528">
        <f>B07_Assessment!G74</f>
        <v>0</v>
      </c>
      <c r="N528">
        <f>B07_Assessment!H74</f>
        <v>0</v>
      </c>
      <c r="O528">
        <f>B07_Assessment!I74</f>
        <v>0</v>
      </c>
      <c r="P528">
        <f>B07_Assessment!J74</f>
        <v>0</v>
      </c>
      <c r="Q528" t="str">
        <f t="shared" si="8"/>
        <v>07|67</v>
      </c>
    </row>
    <row r="529" spans="1:17" ht="6.45" customHeight="1">
      <c r="A529" t="s">
        <v>1778</v>
      </c>
      <c r="B529">
        <v>1</v>
      </c>
      <c r="C529" t="s">
        <v>27</v>
      </c>
      <c r="D529">
        <v>8</v>
      </c>
      <c r="E529" t="s">
        <v>918</v>
      </c>
      <c r="F529" t="s">
        <v>5322</v>
      </c>
      <c r="G529" t="str">
        <f>B08_Assessment!A8</f>
        <v>1. ROOM INVENTORY</v>
      </c>
      <c r="H529">
        <f>B08_Assessment!B8</f>
        <v>0</v>
      </c>
      <c r="I529">
        <f>B08_Assessment!C8</f>
        <v>0</v>
      </c>
      <c r="J529">
        <f>B08_Assessment!D8</f>
        <v>0</v>
      </c>
      <c r="K529">
        <f>B08_Assessment!E8</f>
        <v>0</v>
      </c>
      <c r="L529">
        <f>B08_Assessment!F8</f>
        <v>0</v>
      </c>
      <c r="M529">
        <f>B08_Assessment!G8</f>
        <v>0</v>
      </c>
      <c r="N529">
        <f>B08_Assessment!H8</f>
        <v>0</v>
      </c>
      <c r="O529">
        <f>B08_Assessment!I8</f>
        <v>0</v>
      </c>
      <c r="P529">
        <f>B08_Assessment!J8</f>
        <v>0</v>
      </c>
      <c r="Q529" t="str">
        <f t="shared" si="8"/>
        <v>08|1</v>
      </c>
    </row>
    <row r="530" spans="1:17" ht="6.45" customHeight="1">
      <c r="A530" t="s">
        <v>1778</v>
      </c>
      <c r="B530">
        <v>2</v>
      </c>
      <c r="C530" t="s">
        <v>27</v>
      </c>
      <c r="D530">
        <v>9</v>
      </c>
      <c r="E530" t="s">
        <v>918</v>
      </c>
      <c r="F530" t="s">
        <v>5323</v>
      </c>
      <c r="G530" t="str">
        <f>B08_Assessment!A9</f>
        <v>Building</v>
      </c>
      <c r="H530" t="str">
        <f>B08_Assessment!B9</f>
        <v>Room</v>
      </c>
      <c r="I530" t="str">
        <f>B08_Assessment!C9</f>
        <v>Floor</v>
      </c>
      <c r="J530" t="str">
        <f>B08_Assessment!D9</f>
        <v>Existing Use</v>
      </c>
      <c r="K530" t="str">
        <f>B08_Assessment!E9</f>
        <v>New Use</v>
      </c>
      <c r="L530" t="str">
        <f>B08_Assessment!F9</f>
        <v>Rack Count</v>
      </c>
      <c r="M530" t="str">
        <f>B08_Assessment!G9</f>
        <v>Future Rack</v>
      </c>
      <c r="N530" t="str">
        <f>B08_Assessment!H9</f>
        <v>Status</v>
      </c>
      <c r="O530" t="str">
        <f>B08_Assessment!I9</f>
        <v>Drawing Ref</v>
      </c>
      <c r="P530" t="str">
        <f>B08_Assessment!J9</f>
        <v>Notes</v>
      </c>
      <c r="Q530" t="str">
        <f t="shared" si="8"/>
        <v>08|2</v>
      </c>
    </row>
    <row r="531" spans="1:17" ht="6.45" customHeight="1">
      <c r="A531" t="s">
        <v>1778</v>
      </c>
      <c r="B531">
        <v>3</v>
      </c>
      <c r="C531" t="s">
        <v>27</v>
      </c>
      <c r="D531">
        <v>10</v>
      </c>
      <c r="E531" t="s">
        <v>918</v>
      </c>
      <c r="F531" t="s">
        <v>5324</v>
      </c>
      <c r="G531" t="str">
        <f>B08_Assessment!A10</f>
        <v>08</v>
      </c>
      <c r="H531" t="str">
        <f>B08_Assessment!B10</f>
        <v>B-15</v>
      </c>
      <c r="I531" t="str">
        <f>B08_Assessment!C10</f>
        <v>Basement</v>
      </c>
      <c r="J531" t="str">
        <f>B08_Assessment!D10</f>
        <v>Existing wall/wall-mounted TE and floor UPS</v>
      </c>
      <c r="K531" t="str">
        <f>B08_Assessment!E10</f>
        <v>Existing equipment / transition point</v>
      </c>
      <c r="L531">
        <f>B08_Assessment!F10</f>
        <v>2</v>
      </c>
      <c r="M531">
        <f>B08_Assessment!G10</f>
        <v>0</v>
      </c>
      <c r="N531" t="str">
        <f>B08_Assessment!H10</f>
        <v>Verify</v>
      </c>
      <c r="O531" t="str">
        <f>B08_Assessment!I10</f>
        <v>08T-604</v>
      </c>
      <c r="P531" t="str">
        <f>B08_Assessment!J10</f>
        <v>Existing rack elevation identifies Building 08 basement Room B-15 with wall/wall-mounted TE, legacy patch panels, legacy Fiber LIU, and floor UPS.</v>
      </c>
      <c r="Q531" t="str">
        <f t="shared" si="8"/>
        <v>08|3</v>
      </c>
    </row>
    <row r="532" spans="1:17" ht="6.45" customHeight="1">
      <c r="A532" t="s">
        <v>1778</v>
      </c>
      <c r="B532">
        <v>4</v>
      </c>
      <c r="C532" t="s">
        <v>27</v>
      </c>
      <c r="D532">
        <v>11</v>
      </c>
      <c r="E532" t="s">
        <v>918</v>
      </c>
      <c r="F532" t="s">
        <v>5324</v>
      </c>
      <c r="G532" t="str">
        <f>B08_Assessment!A11</f>
        <v>08</v>
      </c>
      <c r="H532" t="str">
        <f>B08_Assessment!B11</f>
        <v>B12B</v>
      </c>
      <c r="I532" t="str">
        <f>B08_Assessment!C11</f>
        <v>Basement</v>
      </c>
      <c r="J532" t="str">
        <f>B08_Assessment!D11</f>
        <v>Office / basement cabling area</v>
      </c>
      <c r="K532" t="str">
        <f>B08_Assessment!E11</f>
        <v>Telecom enclosure / TE cabling service area</v>
      </c>
      <c r="L532">
        <f>B08_Assessment!F11</f>
        <v>1</v>
      </c>
      <c r="M532">
        <f>B08_Assessment!G11</f>
        <v>0</v>
      </c>
      <c r="N532" t="str">
        <f>B08_Assessment!H11</f>
        <v>Verify</v>
      </c>
      <c r="O532" t="str">
        <f>B08_Assessment!I11</f>
        <v>08A-401 / 08E-701 / 08T-701</v>
      </c>
      <c r="P532" t="str">
        <f>B08_Assessment!J11</f>
        <v>Door schedule identifies B12B as Office with 45-minute door; telecom schedule and electrical schedule reference TE01-B12B-1 and TE receptacle Room B12B. Field verify actual TE/equipment scope.</v>
      </c>
      <c r="Q532" t="str">
        <f t="shared" si="8"/>
        <v>08|4</v>
      </c>
    </row>
    <row r="533" spans="1:17" ht="6.45" customHeight="1">
      <c r="A533" t="s">
        <v>1778</v>
      </c>
      <c r="B533">
        <v>5</v>
      </c>
      <c r="C533" t="s">
        <v>27</v>
      </c>
      <c r="D533">
        <v>12</v>
      </c>
      <c r="E533" t="s">
        <v>918</v>
      </c>
      <c r="F533" t="s">
        <v>5324</v>
      </c>
      <c r="G533" t="str">
        <f>B08_Assessment!A12</f>
        <v>08</v>
      </c>
      <c r="H533" t="str">
        <f>B08_Assessment!B12</f>
        <v>2065A</v>
      </c>
      <c r="I533" t="str">
        <f>B08_Assessment!C12</f>
        <v>Second</v>
      </c>
      <c r="J533" t="str">
        <f>B08_Assessment!D12</f>
        <v>Existing copy/office/storage area converted</v>
      </c>
      <c r="K533" t="str">
        <f>B08_Assessment!E12</f>
        <v>Telecom Room</v>
      </c>
      <c r="L533">
        <f>B08_Assessment!F12</f>
        <v>2</v>
      </c>
      <c r="M533">
        <f>B08_Assessment!G12</f>
        <v>0</v>
      </c>
      <c r="N533" t="str">
        <f>B08_Assessment!H12</f>
        <v>Verify</v>
      </c>
      <c r="O533" t="str">
        <f>B08_Assessment!I12</f>
        <v>08A-401 / 08E-701 / 08T-604 / 08M-701</v>
      </c>
      <c r="P533" t="str">
        <f>B08_Assessment!J12</f>
        <v>Telecom Room 2065A, 127 SF; new rack elevation shows two 4-post floor racks, UPS, Zone PDU, network switches, Cat6A patch panels, Cat5E patch panel and Fiber LIU.</v>
      </c>
      <c r="Q533" t="str">
        <f t="shared" si="8"/>
        <v>08|5</v>
      </c>
    </row>
    <row r="534" spans="1:17" ht="6.45" customHeight="1">
      <c r="A534" t="s">
        <v>1778</v>
      </c>
      <c r="B534">
        <v>6</v>
      </c>
      <c r="C534" t="s">
        <v>27</v>
      </c>
      <c r="D534">
        <v>13</v>
      </c>
      <c r="E534" t="s">
        <v>918</v>
      </c>
      <c r="F534" t="s">
        <v>5325</v>
      </c>
      <c r="G534">
        <f>B08_Assessment!A13</f>
        <v>0</v>
      </c>
      <c r="H534">
        <f>B08_Assessment!B13</f>
        <v>0</v>
      </c>
      <c r="I534">
        <f>B08_Assessment!C13</f>
        <v>0</v>
      </c>
      <c r="J534">
        <f>B08_Assessment!D13</f>
        <v>0</v>
      </c>
      <c r="K534">
        <f>B08_Assessment!E13</f>
        <v>0</v>
      </c>
      <c r="L534">
        <f>B08_Assessment!F13</f>
        <v>0</v>
      </c>
      <c r="M534">
        <f>B08_Assessment!G13</f>
        <v>0</v>
      </c>
      <c r="N534">
        <f>B08_Assessment!H13</f>
        <v>0</v>
      </c>
      <c r="O534">
        <f>B08_Assessment!I13</f>
        <v>0</v>
      </c>
      <c r="P534">
        <f>B08_Assessment!J13</f>
        <v>0</v>
      </c>
      <c r="Q534" t="str">
        <f t="shared" si="8"/>
        <v>08|6</v>
      </c>
    </row>
    <row r="535" spans="1:17" ht="6.45" customHeight="1">
      <c r="A535" t="s">
        <v>1778</v>
      </c>
      <c r="B535">
        <v>7</v>
      </c>
      <c r="C535" t="s">
        <v>27</v>
      </c>
      <c r="D535">
        <v>14</v>
      </c>
      <c r="E535" t="s">
        <v>936</v>
      </c>
      <c r="F535" t="s">
        <v>5322</v>
      </c>
      <c r="G535" t="str">
        <f>B08_Assessment!A14</f>
        <v>2. ROOM READINESS</v>
      </c>
      <c r="H535">
        <f>B08_Assessment!B14</f>
        <v>0</v>
      </c>
      <c r="I535">
        <f>B08_Assessment!C14</f>
        <v>0</v>
      </c>
      <c r="J535">
        <f>B08_Assessment!D14</f>
        <v>0</v>
      </c>
      <c r="K535">
        <f>B08_Assessment!E14</f>
        <v>0</v>
      </c>
      <c r="L535">
        <f>B08_Assessment!F14</f>
        <v>0</v>
      </c>
      <c r="M535">
        <f>B08_Assessment!G14</f>
        <v>0</v>
      </c>
      <c r="N535">
        <f>B08_Assessment!H14</f>
        <v>0</v>
      </c>
      <c r="O535">
        <f>B08_Assessment!I14</f>
        <v>0</v>
      </c>
      <c r="P535">
        <f>B08_Assessment!J14</f>
        <v>0</v>
      </c>
      <c r="Q535" t="str">
        <f t="shared" si="8"/>
        <v>08|7</v>
      </c>
    </row>
    <row r="536" spans="1:17" ht="6.45" customHeight="1">
      <c r="A536" t="s">
        <v>1778</v>
      </c>
      <c r="B536">
        <v>8</v>
      </c>
      <c r="C536" t="s">
        <v>27</v>
      </c>
      <c r="D536">
        <v>15</v>
      </c>
      <c r="E536" t="s">
        <v>936</v>
      </c>
      <c r="F536" t="s">
        <v>5323</v>
      </c>
      <c r="G536" t="str">
        <f>B08_Assessment!A15</f>
        <v>Room</v>
      </c>
      <c r="H536" t="str">
        <f>B08_Assessment!B15</f>
        <v>Walls / 1-hr Rating</v>
      </c>
      <c r="I536" t="str">
        <f>B08_Assessment!C15</f>
        <v>Ceiling</v>
      </c>
      <c r="J536" t="str">
        <f>B08_Assessment!D15</f>
        <v>Floor / SDC</v>
      </c>
      <c r="K536" t="str">
        <f>B08_Assessment!E15</f>
        <v>Penetrations</v>
      </c>
      <c r="L536" t="str">
        <f>B08_Assessment!F15</f>
        <v>Access Control</v>
      </c>
      <c r="M536" t="str">
        <f>B08_Assessment!G15</f>
        <v>Clearances</v>
      </c>
      <c r="N536" t="str">
        <f>B08_Assessment!H15</f>
        <v>Housekeeping</v>
      </c>
      <c r="O536" t="str">
        <f>B08_Assessment!I15</f>
        <v>Overall</v>
      </c>
      <c r="P536" t="str">
        <f>B08_Assessment!J15</f>
        <v>Comments</v>
      </c>
      <c r="Q536" t="str">
        <f t="shared" si="8"/>
        <v>08|8</v>
      </c>
    </row>
    <row r="537" spans="1:17" ht="6.45" customHeight="1">
      <c r="A537" t="s">
        <v>1778</v>
      </c>
      <c r="B537">
        <v>9</v>
      </c>
      <c r="C537" t="s">
        <v>27</v>
      </c>
      <c r="D537">
        <v>16</v>
      </c>
      <c r="E537" t="s">
        <v>936</v>
      </c>
      <c r="F537" t="s">
        <v>5324</v>
      </c>
      <c r="G537" t="str">
        <f>B08_Assessment!A16</f>
        <v>B-15</v>
      </c>
      <c r="H537" t="str">
        <f>B08_Assessment!B16</f>
        <v>Verify</v>
      </c>
      <c r="I537" t="str">
        <f>B08_Assessment!C16</f>
        <v>Verify</v>
      </c>
      <c r="J537" t="str">
        <f>B08_Assessment!D16</f>
        <v>Verify</v>
      </c>
      <c r="K537" t="str">
        <f>B08_Assessment!E16</f>
        <v>Verify</v>
      </c>
      <c r="L537" t="str">
        <f>B08_Assessment!F16</f>
        <v>Verify</v>
      </c>
      <c r="M537" t="str">
        <f>B08_Assessment!G16</f>
        <v>Verify</v>
      </c>
      <c r="N537" t="str">
        <f>B08_Assessment!H16</f>
        <v>Verify</v>
      </c>
      <c r="O537" t="str">
        <f>B08_Assessment!I16</f>
        <v>Verify</v>
      </c>
      <c r="P537" t="str">
        <f>B08_Assessment!J16</f>
        <v>Existing basement telecom equipment; protect active services and verify legacy equipment status.</v>
      </c>
      <c r="Q537" t="str">
        <f t="shared" si="8"/>
        <v>08|9</v>
      </c>
    </row>
    <row r="538" spans="1:17" ht="6.45" customHeight="1">
      <c r="A538" t="s">
        <v>1778</v>
      </c>
      <c r="B538">
        <v>10</v>
      </c>
      <c r="C538" t="s">
        <v>27</v>
      </c>
      <c r="D538">
        <v>17</v>
      </c>
      <c r="E538" t="s">
        <v>936</v>
      </c>
      <c r="F538" t="s">
        <v>5324</v>
      </c>
      <c r="G538" t="str">
        <f>B08_Assessment!A17</f>
        <v>B12B</v>
      </c>
      <c r="H538" t="str">
        <f>B08_Assessment!B17</f>
        <v>Verify</v>
      </c>
      <c r="I538" t="str">
        <f>B08_Assessment!C17</f>
        <v>Verify</v>
      </c>
      <c r="J538" t="str">
        <f>B08_Assessment!D17</f>
        <v>Verify</v>
      </c>
      <c r="K538" t="str">
        <f>B08_Assessment!E17</f>
        <v>Verify</v>
      </c>
      <c r="L538" t="str">
        <f>B08_Assessment!F17</f>
        <v>Verify</v>
      </c>
      <c r="M538" t="str">
        <f>B08_Assessment!G17</f>
        <v>Verify</v>
      </c>
      <c r="N538" t="str">
        <f>B08_Assessment!H17</f>
        <v>Verify</v>
      </c>
      <c r="O538" t="str">
        <f>B08_Assessment!I17</f>
        <v>Verify</v>
      </c>
      <c r="P538" t="str">
        <f>B08_Assessment!J17</f>
        <v>Basement Office/TE area; verify wall/door rating, pathways, outlet/panel scope, firestopping and actual TE location.</v>
      </c>
      <c r="Q538" t="str">
        <f t="shared" si="8"/>
        <v>08|10</v>
      </c>
    </row>
    <row r="539" spans="1:17" ht="6.45" customHeight="1">
      <c r="A539" t="s">
        <v>1778</v>
      </c>
      <c r="B539">
        <v>11</v>
      </c>
      <c r="C539" t="s">
        <v>27</v>
      </c>
      <c r="D539">
        <v>18</v>
      </c>
      <c r="E539" t="s">
        <v>936</v>
      </c>
      <c r="F539" t="s">
        <v>5324</v>
      </c>
      <c r="G539" t="str">
        <f>B08_Assessment!A18</f>
        <v>2065A</v>
      </c>
      <c r="H539" t="str">
        <f>B08_Assessment!B18</f>
        <v>Verify</v>
      </c>
      <c r="I539" t="str">
        <f>B08_Assessment!C18</f>
        <v>Verify</v>
      </c>
      <c r="J539" t="str">
        <f>B08_Assessment!D18</f>
        <v>Verify</v>
      </c>
      <c r="K539" t="str">
        <f>B08_Assessment!E18</f>
        <v>Verify</v>
      </c>
      <c r="L539" t="str">
        <f>B08_Assessment!F18</f>
        <v>Verify</v>
      </c>
      <c r="M539" t="str">
        <f>B08_Assessment!G18</f>
        <v>Verify</v>
      </c>
      <c r="N539" t="str">
        <f>B08_Assessment!H18</f>
        <v>Verify</v>
      </c>
      <c r="O539" t="str">
        <f>B08_Assessment!I18</f>
        <v>Verify</v>
      </c>
      <c r="P539" t="str">
        <f>B08_Assessment!J18</f>
        <v>New Telecom Room; verify 1-hour fire/smoke-rated room, 45-minute door/frame, open-to-deck construction, static-dissipative floor sealer, clearances and equipment layout.</v>
      </c>
      <c r="Q539" t="str">
        <f t="shared" si="8"/>
        <v>08|11</v>
      </c>
    </row>
    <row r="540" spans="1:17" ht="6.45" customHeight="1">
      <c r="A540" t="s">
        <v>1778</v>
      </c>
      <c r="B540">
        <v>12</v>
      </c>
      <c r="C540" t="s">
        <v>27</v>
      </c>
      <c r="D540">
        <v>19</v>
      </c>
      <c r="E540" t="s">
        <v>936</v>
      </c>
      <c r="F540" t="s">
        <v>5325</v>
      </c>
      <c r="G540">
        <f>B08_Assessment!A19</f>
        <v>0</v>
      </c>
      <c r="H540">
        <f>B08_Assessment!B19</f>
        <v>0</v>
      </c>
      <c r="I540">
        <f>B08_Assessment!C19</f>
        <v>0</v>
      </c>
      <c r="J540">
        <f>B08_Assessment!D19</f>
        <v>0</v>
      </c>
      <c r="K540">
        <f>B08_Assessment!E19</f>
        <v>0</v>
      </c>
      <c r="L540">
        <f>B08_Assessment!F19</f>
        <v>0</v>
      </c>
      <c r="M540">
        <f>B08_Assessment!G19</f>
        <v>0</v>
      </c>
      <c r="N540">
        <f>B08_Assessment!H19</f>
        <v>0</v>
      </c>
      <c r="O540">
        <f>B08_Assessment!I19</f>
        <v>0</v>
      </c>
      <c r="P540">
        <f>B08_Assessment!J19</f>
        <v>0</v>
      </c>
      <c r="Q540" t="str">
        <f t="shared" si="8"/>
        <v>08|12</v>
      </c>
    </row>
    <row r="541" spans="1:17" ht="6.45" customHeight="1">
      <c r="A541" t="s">
        <v>1778</v>
      </c>
      <c r="B541">
        <v>13</v>
      </c>
      <c r="C541" t="s">
        <v>27</v>
      </c>
      <c r="D541">
        <v>20</v>
      </c>
      <c r="E541" t="s">
        <v>951</v>
      </c>
      <c r="F541" t="s">
        <v>5322</v>
      </c>
      <c r="G541" t="str">
        <f>B08_Assessment!A20</f>
        <v>3. FIRE PROTECTION</v>
      </c>
      <c r="H541">
        <f>B08_Assessment!B20</f>
        <v>0</v>
      </c>
      <c r="I541">
        <f>B08_Assessment!C20</f>
        <v>0</v>
      </c>
      <c r="J541">
        <f>B08_Assessment!D20</f>
        <v>0</v>
      </c>
      <c r="K541">
        <f>B08_Assessment!E20</f>
        <v>0</v>
      </c>
      <c r="L541">
        <f>B08_Assessment!F20</f>
        <v>0</v>
      </c>
      <c r="M541">
        <f>B08_Assessment!G20</f>
        <v>0</v>
      </c>
      <c r="N541">
        <f>B08_Assessment!H20</f>
        <v>0</v>
      </c>
      <c r="O541">
        <f>B08_Assessment!I20</f>
        <v>0</v>
      </c>
      <c r="P541">
        <f>B08_Assessment!J20</f>
        <v>0</v>
      </c>
      <c r="Q541" t="str">
        <f t="shared" si="8"/>
        <v>08|13</v>
      </c>
    </row>
    <row r="542" spans="1:17" ht="6.45" customHeight="1">
      <c r="A542" t="s">
        <v>1778</v>
      </c>
      <c r="B542">
        <v>14</v>
      </c>
      <c r="C542" t="s">
        <v>27</v>
      </c>
      <c r="D542">
        <v>21</v>
      </c>
      <c r="E542" t="s">
        <v>951</v>
      </c>
      <c r="F542" t="s">
        <v>5323</v>
      </c>
      <c r="G542" t="str">
        <f>B08_Assessment!A21</f>
        <v>Room</v>
      </c>
      <c r="H542" t="str">
        <f>B08_Assessment!B21</f>
        <v>Sprinkler</v>
      </c>
      <c r="I542" t="str">
        <f>B08_Assessment!C21</f>
        <v>Cage</v>
      </c>
      <c r="J542" t="str">
        <f>B08_Assessment!D21</f>
        <v>Detector</v>
      </c>
      <c r="K542" t="str">
        <f>B08_Assessment!E21</f>
        <v>Horn/Strobe</v>
      </c>
      <c r="L542" t="str">
        <f>B08_Assessment!F21</f>
        <v>Extinguisher &lt;75 ft</v>
      </c>
      <c r="M542" t="str">
        <f>B08_Assessment!G21</f>
        <v>Firestop</v>
      </c>
      <c r="N542" t="str">
        <f>B08_Assessment!H21</f>
        <v>Temp Firestop</v>
      </c>
      <c r="O542" t="str">
        <f>B08_Assessment!I21</f>
        <v>Overall</v>
      </c>
      <c r="P542" t="str">
        <f>B08_Assessment!J21</f>
        <v>Risk / Notes</v>
      </c>
      <c r="Q542" t="str">
        <f t="shared" si="8"/>
        <v>08|14</v>
      </c>
    </row>
    <row r="543" spans="1:17" ht="6.45" customHeight="1">
      <c r="A543" t="s">
        <v>1778</v>
      </c>
      <c r="B543">
        <v>15</v>
      </c>
      <c r="C543" t="s">
        <v>27</v>
      </c>
      <c r="D543">
        <v>22</v>
      </c>
      <c r="E543" t="s">
        <v>951</v>
      </c>
      <c r="F543" t="s">
        <v>5324</v>
      </c>
      <c r="G543" t="str">
        <f>B08_Assessment!A22</f>
        <v>B-15</v>
      </c>
      <c r="H543" t="str">
        <f>B08_Assessment!B22</f>
        <v>Verify</v>
      </c>
      <c r="I543" t="str">
        <f>B08_Assessment!C22</f>
        <v>N/A</v>
      </c>
      <c r="J543" t="str">
        <f>B08_Assessment!D22</f>
        <v>Verify</v>
      </c>
      <c r="K543" t="str">
        <f>B08_Assessment!E22</f>
        <v>Verify</v>
      </c>
      <c r="L543" t="str">
        <f>B08_Assessment!F22</f>
        <v>Verify</v>
      </c>
      <c r="M543" t="str">
        <f>B08_Assessment!G22</f>
        <v>Verify</v>
      </c>
      <c r="N543" t="str">
        <f>B08_Assessment!H22</f>
        <v>Verify</v>
      </c>
      <c r="O543" t="str">
        <f>B08_Assessment!I22</f>
        <v>Verify</v>
      </c>
      <c r="P543" t="str">
        <f>B08_Assessment!J22</f>
        <v>Existing equipment area; verify no new penetrations are left unsealed and active systems remain protected.</v>
      </c>
      <c r="Q543" t="str">
        <f t="shared" si="8"/>
        <v>08|15</v>
      </c>
    </row>
    <row r="544" spans="1:17" ht="6.45" customHeight="1">
      <c r="A544" t="s">
        <v>1778</v>
      </c>
      <c r="B544">
        <v>16</v>
      </c>
      <c r="C544" t="s">
        <v>27</v>
      </c>
      <c r="D544">
        <v>23</v>
      </c>
      <c r="E544" t="s">
        <v>951</v>
      </c>
      <c r="F544" t="s">
        <v>5324</v>
      </c>
      <c r="G544" t="str">
        <f>B08_Assessment!A23</f>
        <v>B12B</v>
      </c>
      <c r="H544" t="str">
        <f>B08_Assessment!B23</f>
        <v>Verify</v>
      </c>
      <c r="I544" t="str">
        <f>B08_Assessment!C23</f>
        <v>Verify</v>
      </c>
      <c r="J544" t="str">
        <f>B08_Assessment!D23</f>
        <v>Verify</v>
      </c>
      <c r="K544" t="str">
        <f>B08_Assessment!E23</f>
        <v>Verify</v>
      </c>
      <c r="L544" t="str">
        <f>B08_Assessment!F23</f>
        <v>Verify</v>
      </c>
      <c r="M544" t="str">
        <f>B08_Assessment!G23</f>
        <v>Verify</v>
      </c>
      <c r="N544" t="str">
        <f>B08_Assessment!H23</f>
        <v>Verify</v>
      </c>
      <c r="O544" t="str">
        <f>B08_Assessment!I23</f>
        <v>Verify</v>
      </c>
      <c r="P544" t="str">
        <f>B08_Assessment!J23</f>
        <v>Door schedule shows 45-minute door; verify fire/smoke requirements, FEC requirement applicability, firestopping and temporary barriers.</v>
      </c>
      <c r="Q544" t="str">
        <f t="shared" si="8"/>
        <v>08|16</v>
      </c>
    </row>
    <row r="545" spans="1:17" ht="6.45" customHeight="1">
      <c r="A545" t="s">
        <v>1778</v>
      </c>
      <c r="B545">
        <v>17</v>
      </c>
      <c r="C545" t="s">
        <v>27</v>
      </c>
      <c r="D545">
        <v>24</v>
      </c>
      <c r="E545" t="s">
        <v>951</v>
      </c>
      <c r="F545" t="s">
        <v>5324</v>
      </c>
      <c r="G545" t="str">
        <f>B08_Assessment!A24</f>
        <v>2065A</v>
      </c>
      <c r="H545" t="str">
        <f>B08_Assessment!B24</f>
        <v>Verify</v>
      </c>
      <c r="I545" t="str">
        <f>B08_Assessment!C24</f>
        <v>Verify</v>
      </c>
      <c r="J545" t="str">
        <f>B08_Assessment!D24</f>
        <v>Verify</v>
      </c>
      <c r="K545" t="str">
        <f>B08_Assessment!E24</f>
        <v>Verify</v>
      </c>
      <c r="L545" t="str">
        <f>B08_Assessment!F24</f>
        <v>Verify</v>
      </c>
      <c r="M545" t="str">
        <f>B08_Assessment!G24</f>
        <v>Verify</v>
      </c>
      <c r="N545" t="str">
        <f>B08_Assessment!H24</f>
        <v>Verify</v>
      </c>
      <c r="O545" t="str">
        <f>B08_Assessment!I24</f>
        <v>Verify</v>
      </c>
      <c r="P545" t="str">
        <f>B08_Assessment!J24</f>
        <v>Architectural notes require new 45-minute door, clean-agent 2A:10B:C extinguisher within 75 ft, open-to-deck telecom room and 1-hour fire/smoke-rated existing wall upgrades.</v>
      </c>
      <c r="Q545" t="str">
        <f t="shared" si="8"/>
        <v>08|17</v>
      </c>
    </row>
    <row r="546" spans="1:17" ht="6.45" customHeight="1">
      <c r="A546" t="s">
        <v>1778</v>
      </c>
      <c r="B546">
        <v>18</v>
      </c>
      <c r="C546" t="s">
        <v>27</v>
      </c>
      <c r="D546">
        <v>25</v>
      </c>
      <c r="E546" t="s">
        <v>951</v>
      </c>
      <c r="F546" t="s">
        <v>5325</v>
      </c>
      <c r="G546">
        <f>B08_Assessment!A25</f>
        <v>0</v>
      </c>
      <c r="H546">
        <f>B08_Assessment!B25</f>
        <v>0</v>
      </c>
      <c r="I546">
        <f>B08_Assessment!C25</f>
        <v>0</v>
      </c>
      <c r="J546">
        <f>B08_Assessment!D25</f>
        <v>0</v>
      </c>
      <c r="K546">
        <f>B08_Assessment!E25</f>
        <v>0</v>
      </c>
      <c r="L546">
        <f>B08_Assessment!F25</f>
        <v>0</v>
      </c>
      <c r="M546">
        <f>B08_Assessment!G25</f>
        <v>0</v>
      </c>
      <c r="N546">
        <f>B08_Assessment!H25</f>
        <v>0</v>
      </c>
      <c r="O546">
        <f>B08_Assessment!I25</f>
        <v>0</v>
      </c>
      <c r="P546">
        <f>B08_Assessment!J25</f>
        <v>0</v>
      </c>
      <c r="Q546" t="str">
        <f t="shared" si="8"/>
        <v>08|18</v>
      </c>
    </row>
    <row r="547" spans="1:17" ht="6.45" customHeight="1">
      <c r="A547" t="s">
        <v>1778</v>
      </c>
      <c r="B547">
        <v>19</v>
      </c>
      <c r="C547" t="s">
        <v>27</v>
      </c>
      <c r="D547">
        <v>26</v>
      </c>
      <c r="E547" t="s">
        <v>964</v>
      </c>
      <c r="F547" t="s">
        <v>5322</v>
      </c>
      <c r="G547" t="str">
        <f>B08_Assessment!A26</f>
        <v>4. HVAC / COOLING</v>
      </c>
      <c r="H547">
        <f>B08_Assessment!B26</f>
        <v>0</v>
      </c>
      <c r="I547">
        <f>B08_Assessment!C26</f>
        <v>0</v>
      </c>
      <c r="J547">
        <f>B08_Assessment!D26</f>
        <v>0</v>
      </c>
      <c r="K547">
        <f>B08_Assessment!E26</f>
        <v>0</v>
      </c>
      <c r="L547">
        <f>B08_Assessment!F26</f>
        <v>0</v>
      </c>
      <c r="M547">
        <f>B08_Assessment!G26</f>
        <v>0</v>
      </c>
      <c r="N547">
        <f>B08_Assessment!H26</f>
        <v>0</v>
      </c>
      <c r="O547">
        <f>B08_Assessment!I26</f>
        <v>0</v>
      </c>
      <c r="P547">
        <f>B08_Assessment!J26</f>
        <v>0</v>
      </c>
      <c r="Q547" t="str">
        <f t="shared" si="8"/>
        <v>08|19</v>
      </c>
    </row>
    <row r="548" spans="1:17" ht="6.45" customHeight="1">
      <c r="A548" t="s">
        <v>1778</v>
      </c>
      <c r="B548">
        <v>20</v>
      </c>
      <c r="C548" t="s">
        <v>27</v>
      </c>
      <c r="D548">
        <v>27</v>
      </c>
      <c r="E548" t="s">
        <v>964</v>
      </c>
      <c r="F548" t="s">
        <v>5323</v>
      </c>
      <c r="G548" t="str">
        <f>B08_Assessment!A27</f>
        <v>Room</v>
      </c>
      <c r="H548" t="str">
        <f>B08_Assessment!B27</f>
        <v>Dedicated Unit</v>
      </c>
      <c r="I548" t="str">
        <f>B08_Assessment!C27</f>
        <v>Capacity Verified</v>
      </c>
      <c r="J548" t="str">
        <f>B08_Assessment!D27</f>
        <v>Emergency Power</v>
      </c>
      <c r="K548" t="str">
        <f>B08_Assessment!E27</f>
        <v>Controls / BACnet</v>
      </c>
      <c r="L548" t="str">
        <f>B08_Assessment!F27</f>
        <v>Condensate Routed</v>
      </c>
      <c r="M548" t="str">
        <f>B08_Assessment!G27</f>
        <v>High Temp Alarm</v>
      </c>
      <c r="N548" t="str">
        <f>B08_Assessment!H27</f>
        <v>24/7 Operation</v>
      </c>
      <c r="O548" t="str">
        <f>B08_Assessment!I27</f>
        <v>Overall</v>
      </c>
      <c r="P548" t="str">
        <f>B08_Assessment!J27</f>
        <v>Risk / Notes</v>
      </c>
      <c r="Q548" t="str">
        <f t="shared" si="8"/>
        <v>08|20</v>
      </c>
    </row>
    <row r="549" spans="1:17" ht="6.45" customHeight="1">
      <c r="A549" t="s">
        <v>1778</v>
      </c>
      <c r="B549">
        <v>21</v>
      </c>
      <c r="C549" t="s">
        <v>27</v>
      </c>
      <c r="D549">
        <v>28</v>
      </c>
      <c r="E549" t="s">
        <v>964</v>
      </c>
      <c r="F549" t="s">
        <v>5324</v>
      </c>
      <c r="G549" t="str">
        <f>B08_Assessment!A28</f>
        <v>B-15</v>
      </c>
      <c r="H549" t="str">
        <f>B08_Assessment!B28</f>
        <v>Existing</v>
      </c>
      <c r="I549" t="str">
        <f>B08_Assessment!C28</f>
        <v>Verify</v>
      </c>
      <c r="J549" t="str">
        <f>B08_Assessment!D28</f>
        <v>Verify</v>
      </c>
      <c r="K549" t="str">
        <f>B08_Assessment!E28</f>
        <v>Verify</v>
      </c>
      <c r="L549" t="str">
        <f>B08_Assessment!F28</f>
        <v>Verify</v>
      </c>
      <c r="M549" t="str">
        <f>B08_Assessment!G28</f>
        <v>Verify</v>
      </c>
      <c r="N549" t="str">
        <f>B08_Assessment!H28</f>
        <v>Verify</v>
      </c>
      <c r="O549" t="str">
        <f>B08_Assessment!I28</f>
        <v>Verify</v>
      </c>
      <c r="P549" t="str">
        <f>B08_Assessment!J28</f>
        <v>Verify existing environmental conditions and whether active legacy equipment remains during cutover.</v>
      </c>
      <c r="Q549" t="str">
        <f t="shared" si="8"/>
        <v>08|21</v>
      </c>
    </row>
    <row r="550" spans="1:17" ht="6.45" customHeight="1">
      <c r="A550" t="s">
        <v>1778</v>
      </c>
      <c r="B550">
        <v>22</v>
      </c>
      <c r="C550" t="s">
        <v>27</v>
      </c>
      <c r="D550">
        <v>29</v>
      </c>
      <c r="E550" t="s">
        <v>964</v>
      </c>
      <c r="F550" t="s">
        <v>5324</v>
      </c>
      <c r="G550" t="str">
        <f>B08_Assessment!A29</f>
        <v>B12B</v>
      </c>
      <c r="H550" t="str">
        <f>B08_Assessment!B29</f>
        <v>N/A / Verify</v>
      </c>
      <c r="I550" t="str">
        <f>B08_Assessment!C29</f>
        <v>Verify</v>
      </c>
      <c r="J550" t="str">
        <f>B08_Assessment!D29</f>
        <v>Verify</v>
      </c>
      <c r="K550" t="str">
        <f>B08_Assessment!E29</f>
        <v>Verify</v>
      </c>
      <c r="L550" t="str">
        <f>B08_Assessment!F29</f>
        <v>Verify</v>
      </c>
      <c r="M550" t="str">
        <f>B08_Assessment!G29</f>
        <v>Verify</v>
      </c>
      <c r="N550" t="str">
        <f>B08_Assessment!H29</f>
        <v>Verify</v>
      </c>
      <c r="O550" t="str">
        <f>B08_Assessment!I29</f>
        <v>Verify</v>
      </c>
      <c r="P550" t="str">
        <f>B08_Assessment!J29</f>
        <v>Field verify whether TE equipment load requires cooling or if served by existing building HVAC.</v>
      </c>
      <c r="Q550" t="str">
        <f t="shared" si="8"/>
        <v>08|22</v>
      </c>
    </row>
    <row r="551" spans="1:17" ht="6.45" customHeight="1">
      <c r="A551" t="s">
        <v>1778</v>
      </c>
      <c r="B551">
        <v>23</v>
      </c>
      <c r="C551" t="s">
        <v>27</v>
      </c>
      <c r="D551">
        <v>30</v>
      </c>
      <c r="E551" t="s">
        <v>964</v>
      </c>
      <c r="F551" t="s">
        <v>5324</v>
      </c>
      <c r="G551" t="str">
        <f>B08_Assessment!A30</f>
        <v>2065A</v>
      </c>
      <c r="H551" t="str">
        <f>B08_Assessment!B30</f>
        <v>IU-2-01 / CU-2-01</v>
      </c>
      <c r="I551" t="str">
        <f>B08_Assessment!C30</f>
        <v>Verify</v>
      </c>
      <c r="J551" t="str">
        <f>B08_Assessment!D30</f>
        <v>Verify</v>
      </c>
      <c r="K551" t="str">
        <f>B08_Assessment!E30</f>
        <v>Verify</v>
      </c>
      <c r="L551" t="str">
        <f>B08_Assessment!F30</f>
        <v>Verify</v>
      </c>
      <c r="M551" t="str">
        <f>B08_Assessment!G30</f>
        <v>Verify</v>
      </c>
      <c r="N551" t="str">
        <f>B08_Assessment!H30</f>
        <v>Verify</v>
      </c>
      <c r="O551" t="str">
        <f>B08_Assessment!I30</f>
        <v>Verify</v>
      </c>
      <c r="P551" t="str">
        <f>B08_Assessment!J30</f>
        <v>Mechanical schedule lists IU-2-01/CU-2-01 at 36,000 BTUH; verify room assignment, emergency power, condensate pump/route, BACnet controller and controls.</v>
      </c>
      <c r="Q551" t="str">
        <f t="shared" si="8"/>
        <v>08|23</v>
      </c>
    </row>
    <row r="552" spans="1:17" ht="6.45" customHeight="1">
      <c r="A552" t="s">
        <v>1778</v>
      </c>
      <c r="B552">
        <v>24</v>
      </c>
      <c r="C552" t="s">
        <v>27</v>
      </c>
      <c r="D552">
        <v>31</v>
      </c>
      <c r="E552" t="s">
        <v>964</v>
      </c>
      <c r="F552" t="s">
        <v>5325</v>
      </c>
      <c r="G552">
        <f>B08_Assessment!A31</f>
        <v>0</v>
      </c>
      <c r="H552">
        <f>B08_Assessment!B31</f>
        <v>0</v>
      </c>
      <c r="I552">
        <f>B08_Assessment!C31</f>
        <v>0</v>
      </c>
      <c r="J552">
        <f>B08_Assessment!D31</f>
        <v>0</v>
      </c>
      <c r="K552">
        <f>B08_Assessment!E31</f>
        <v>0</v>
      </c>
      <c r="L552">
        <f>B08_Assessment!F31</f>
        <v>0</v>
      </c>
      <c r="M552">
        <f>B08_Assessment!G31</f>
        <v>0</v>
      </c>
      <c r="N552">
        <f>B08_Assessment!H31</f>
        <v>0</v>
      </c>
      <c r="O552">
        <f>B08_Assessment!I31</f>
        <v>0</v>
      </c>
      <c r="P552">
        <f>B08_Assessment!J31</f>
        <v>0</v>
      </c>
      <c r="Q552" t="str">
        <f t="shared" si="8"/>
        <v>08|24</v>
      </c>
    </row>
    <row r="553" spans="1:17" ht="6.45" customHeight="1">
      <c r="A553" t="s">
        <v>1778</v>
      </c>
      <c r="B553">
        <v>25</v>
      </c>
      <c r="C553" t="s">
        <v>27</v>
      </c>
      <c r="D553">
        <v>32</v>
      </c>
      <c r="E553" t="s">
        <v>977</v>
      </c>
      <c r="F553" t="s">
        <v>5322</v>
      </c>
      <c r="G553" t="str">
        <f>B08_Assessment!A32</f>
        <v>5. ELECTRICAL / UPS</v>
      </c>
      <c r="H553">
        <f>B08_Assessment!B32</f>
        <v>0</v>
      </c>
      <c r="I553">
        <f>B08_Assessment!C32</f>
        <v>0</v>
      </c>
      <c r="J553">
        <f>B08_Assessment!D32</f>
        <v>0</v>
      </c>
      <c r="K553">
        <f>B08_Assessment!E32</f>
        <v>0</v>
      </c>
      <c r="L553">
        <f>B08_Assessment!F32</f>
        <v>0</v>
      </c>
      <c r="M553">
        <f>B08_Assessment!G32</f>
        <v>0</v>
      </c>
      <c r="N553">
        <f>B08_Assessment!H32</f>
        <v>0</v>
      </c>
      <c r="O553">
        <f>B08_Assessment!I32</f>
        <v>0</v>
      </c>
      <c r="P553">
        <f>B08_Assessment!J32</f>
        <v>0</v>
      </c>
      <c r="Q553" t="str">
        <f t="shared" si="8"/>
        <v>08|25</v>
      </c>
    </row>
    <row r="554" spans="1:17" ht="6.45" customHeight="1">
      <c r="A554" t="s">
        <v>1778</v>
      </c>
      <c r="B554">
        <v>26</v>
      </c>
      <c r="C554" t="s">
        <v>27</v>
      </c>
      <c r="D554">
        <v>33</v>
      </c>
      <c r="E554" t="s">
        <v>977</v>
      </c>
      <c r="F554" t="s">
        <v>5323</v>
      </c>
      <c r="G554" t="str">
        <f>B08_Assessment!A33</f>
        <v>Room</v>
      </c>
      <c r="H554" t="str">
        <f>B08_Assessment!B33</f>
        <v>UPS Installed</v>
      </c>
      <c r="I554" t="str">
        <f>B08_Assessment!C33</f>
        <v>UPS Size</v>
      </c>
      <c r="J554" t="str">
        <f>B08_Assessment!D33</f>
        <v>PDU Installed</v>
      </c>
      <c r="K554" t="str">
        <f>B08_Assessment!E33</f>
        <v>Rack Receptacles</v>
      </c>
      <c r="L554" t="str">
        <f>B08_Assessment!F33</f>
        <v>Panel Assigned</v>
      </c>
      <c r="M554" t="str">
        <f>B08_Assessment!G33</f>
        <v>Emergency Source</v>
      </c>
      <c r="N554" t="str">
        <f>B08_Assessment!H33</f>
        <v>SPD / Labeling</v>
      </c>
      <c r="O554" t="str">
        <f>B08_Assessment!I33</f>
        <v>Overall</v>
      </c>
      <c r="P554" t="str">
        <f>B08_Assessment!J33</f>
        <v>Notes</v>
      </c>
      <c r="Q554" t="str">
        <f t="shared" si="8"/>
        <v>08|26</v>
      </c>
    </row>
    <row r="555" spans="1:17" ht="6.45" customHeight="1">
      <c r="A555" t="s">
        <v>1778</v>
      </c>
      <c r="B555">
        <v>27</v>
      </c>
      <c r="C555" t="s">
        <v>27</v>
      </c>
      <c r="D555">
        <v>34</v>
      </c>
      <c r="E555" t="s">
        <v>977</v>
      </c>
      <c r="F555" t="s">
        <v>5324</v>
      </c>
      <c r="G555" t="str">
        <f>B08_Assessment!A34</f>
        <v>B-15</v>
      </c>
      <c r="H555" t="str">
        <f>B08_Assessment!B34</f>
        <v>Existing</v>
      </c>
      <c r="I555" t="str">
        <f>B08_Assessment!C34</f>
        <v>Existing floor UPS</v>
      </c>
      <c r="J555" t="str">
        <f>B08_Assessment!D34</f>
        <v>Existing</v>
      </c>
      <c r="K555" t="str">
        <f>B08_Assessment!E34</f>
        <v>Verify</v>
      </c>
      <c r="L555" t="str">
        <f>B08_Assessment!F34</f>
        <v>Verify</v>
      </c>
      <c r="M555" t="str">
        <f>B08_Assessment!G34</f>
        <v>Verify</v>
      </c>
      <c r="N555" t="str">
        <f>B08_Assessment!H34</f>
        <v>Verify</v>
      </c>
      <c r="O555" t="str">
        <f>B08_Assessment!I34</f>
        <v>Verify</v>
      </c>
      <c r="P555" t="str">
        <f>B08_Assessment!J34</f>
        <v>Existing rack elevation shows floor UPS and legacy equipment; protect active service and verify transition/demo requirements.</v>
      </c>
      <c r="Q555" t="str">
        <f t="shared" si="8"/>
        <v>08|27</v>
      </c>
    </row>
    <row r="556" spans="1:17" ht="6.45" customHeight="1">
      <c r="A556" t="s">
        <v>1778</v>
      </c>
      <c r="B556">
        <v>28</v>
      </c>
      <c r="C556" t="s">
        <v>27</v>
      </c>
      <c r="D556">
        <v>35</v>
      </c>
      <c r="E556" t="s">
        <v>977</v>
      </c>
      <c r="F556" t="s">
        <v>5324</v>
      </c>
      <c r="G556" t="str">
        <f>B08_Assessment!A35</f>
        <v>B12B</v>
      </c>
      <c r="H556" t="str">
        <f>B08_Assessment!B35</f>
        <v>Verify</v>
      </c>
      <c r="I556" t="str">
        <f>B08_Assessment!C35</f>
        <v>TE scale</v>
      </c>
      <c r="J556" t="str">
        <f>B08_Assessment!D35</f>
        <v>Verify</v>
      </c>
      <c r="K556" t="str">
        <f>B08_Assessment!E35</f>
        <v>Verify</v>
      </c>
      <c r="L556" t="str">
        <f>B08_Assessment!F35</f>
        <v>TE receptacle Room B12B / B08-TR2065AB reference</v>
      </c>
      <c r="M556" t="str">
        <f>B08_Assessment!G35</f>
        <v>Verify</v>
      </c>
      <c r="N556" t="str">
        <f>B08_Assessment!H35</f>
        <v>Verify</v>
      </c>
      <c r="O556" t="str">
        <f>B08_Assessment!I35</f>
        <v>Verify</v>
      </c>
      <c r="P556" t="str">
        <f>B08_Assessment!J35</f>
        <v>Electrical schedule includes TE receptacle Room B12B; confirm panel/circuit source and if B12B is served from telecom panel.</v>
      </c>
      <c r="Q556" t="str">
        <f t="shared" si="8"/>
        <v>08|28</v>
      </c>
    </row>
    <row r="557" spans="1:17" ht="6.45" customHeight="1">
      <c r="A557" t="s">
        <v>1778</v>
      </c>
      <c r="B557">
        <v>29</v>
      </c>
      <c r="C557" t="s">
        <v>27</v>
      </c>
      <c r="D557">
        <v>36</v>
      </c>
      <c r="E557" t="s">
        <v>977</v>
      </c>
      <c r="F557" t="s">
        <v>5324</v>
      </c>
      <c r="G557" t="str">
        <f>B08_Assessment!A36</f>
        <v>2065A</v>
      </c>
      <c r="H557" t="str">
        <f>B08_Assessment!B36</f>
        <v>Verify</v>
      </c>
      <c r="I557" t="str">
        <f>B08_Assessment!C36</f>
        <v>5 kW / rack equipment</v>
      </c>
      <c r="J557" t="str">
        <f>B08_Assessment!D36</f>
        <v>Verify</v>
      </c>
      <c r="K557" t="str">
        <f>B08_Assessment!E36</f>
        <v>Verify</v>
      </c>
      <c r="L557" t="str">
        <f>B08_Assessment!F36</f>
        <v>B08-TR2065AA / B08-TR2065AB</v>
      </c>
      <c r="M557" t="str">
        <f>B08_Assessment!G36</f>
        <v>Verify</v>
      </c>
      <c r="N557" t="str">
        <f>B08_Assessment!H36</f>
        <v>Verify</v>
      </c>
      <c r="O557" t="str">
        <f>B08_Assessment!I36</f>
        <v>Verify</v>
      </c>
      <c r="P557" t="str">
        <f>B08_Assessment!J36</f>
        <v>Electrical schedule identifies B08-TR2065AB in Telecom Room 2065A with TR receptacles, rack receptacles, lighting, access controller, CU-2-01 and SPD notes; verify B08-TR2065AA source/scope.</v>
      </c>
      <c r="Q557" t="str">
        <f t="shared" si="8"/>
        <v>08|29</v>
      </c>
    </row>
    <row r="558" spans="1:17" ht="6.45" customHeight="1">
      <c r="A558" t="s">
        <v>1778</v>
      </c>
      <c r="B558">
        <v>30</v>
      </c>
      <c r="C558" t="s">
        <v>27</v>
      </c>
      <c r="D558">
        <v>37</v>
      </c>
      <c r="E558" t="s">
        <v>977</v>
      </c>
      <c r="F558" t="s">
        <v>5325</v>
      </c>
      <c r="G558">
        <f>B08_Assessment!A37</f>
        <v>0</v>
      </c>
      <c r="H558">
        <f>B08_Assessment!B37</f>
        <v>0</v>
      </c>
      <c r="I558">
        <f>B08_Assessment!C37</f>
        <v>0</v>
      </c>
      <c r="J558">
        <f>B08_Assessment!D37</f>
        <v>0</v>
      </c>
      <c r="K558">
        <f>B08_Assessment!E37</f>
        <v>0</v>
      </c>
      <c r="L558">
        <f>B08_Assessment!F37</f>
        <v>0</v>
      </c>
      <c r="M558">
        <f>B08_Assessment!G37</f>
        <v>0</v>
      </c>
      <c r="N558">
        <f>B08_Assessment!H37</f>
        <v>0</v>
      </c>
      <c r="O558">
        <f>B08_Assessment!I37</f>
        <v>0</v>
      </c>
      <c r="P558">
        <f>B08_Assessment!J37</f>
        <v>0</v>
      </c>
      <c r="Q558" t="str">
        <f t="shared" si="8"/>
        <v>08|30</v>
      </c>
    </row>
    <row r="559" spans="1:17" ht="6.45" customHeight="1">
      <c r="A559" t="s">
        <v>1778</v>
      </c>
      <c r="B559">
        <v>31</v>
      </c>
      <c r="C559" t="s">
        <v>27</v>
      </c>
      <c r="D559">
        <v>38</v>
      </c>
      <c r="E559" t="s">
        <v>994</v>
      </c>
      <c r="F559" t="s">
        <v>5322</v>
      </c>
      <c r="G559" t="str">
        <f>B08_Assessment!A38</f>
        <v>6. TELECOMMUNICATIONS</v>
      </c>
      <c r="H559">
        <f>B08_Assessment!B38</f>
        <v>0</v>
      </c>
      <c r="I559">
        <f>B08_Assessment!C38</f>
        <v>0</v>
      </c>
      <c r="J559">
        <f>B08_Assessment!D38</f>
        <v>0</v>
      </c>
      <c r="K559">
        <f>B08_Assessment!E38</f>
        <v>0</v>
      </c>
      <c r="L559">
        <f>B08_Assessment!F38</f>
        <v>0</v>
      </c>
      <c r="M559">
        <f>B08_Assessment!G38</f>
        <v>0</v>
      </c>
      <c r="N559">
        <f>B08_Assessment!H38</f>
        <v>0</v>
      </c>
      <c r="O559">
        <f>B08_Assessment!I38</f>
        <v>0</v>
      </c>
      <c r="P559">
        <f>B08_Assessment!J38</f>
        <v>0</v>
      </c>
      <c r="Q559" t="str">
        <f t="shared" si="8"/>
        <v>08|31</v>
      </c>
    </row>
    <row r="560" spans="1:17" ht="6.45" customHeight="1">
      <c r="A560" t="s">
        <v>1778</v>
      </c>
      <c r="B560">
        <v>32</v>
      </c>
      <c r="C560" t="s">
        <v>27</v>
      </c>
      <c r="D560">
        <v>39</v>
      </c>
      <c r="E560" t="s">
        <v>994</v>
      </c>
      <c r="F560" t="s">
        <v>5323</v>
      </c>
      <c r="G560" t="str">
        <f>B08_Assessment!A39</f>
        <v>Room</v>
      </c>
      <c r="H560" t="str">
        <f>B08_Assessment!B39</f>
        <v>Rack Installed</v>
      </c>
      <c r="I560" t="str">
        <f>B08_Assessment!C39</f>
        <v>Ladder Tray</v>
      </c>
      <c r="J560" t="str">
        <f>B08_Assessment!D39</f>
        <v>Fiber Installed</v>
      </c>
      <c r="K560" t="str">
        <f>B08_Assessment!E39</f>
        <v>Grounding</v>
      </c>
      <c r="L560" t="str">
        <f>B08_Assessment!F39</f>
        <v>Labeling</v>
      </c>
      <c r="M560" t="str">
        <f>B08_Assessment!G39</f>
        <v>Testing</v>
      </c>
      <c r="N560" t="str">
        <f>B08_Assessment!H39</f>
        <v>VA Acceptance</v>
      </c>
      <c r="O560" t="str">
        <f>B08_Assessment!I39</f>
        <v>Overall</v>
      </c>
      <c r="P560" t="str">
        <f>B08_Assessment!J39</f>
        <v>Notes</v>
      </c>
      <c r="Q560" t="str">
        <f t="shared" si="8"/>
        <v>08|32</v>
      </c>
    </row>
    <row r="561" spans="1:17" ht="6.45" customHeight="1">
      <c r="A561" t="s">
        <v>1778</v>
      </c>
      <c r="B561">
        <v>33</v>
      </c>
      <c r="C561" t="s">
        <v>27</v>
      </c>
      <c r="D561">
        <v>40</v>
      </c>
      <c r="E561" t="s">
        <v>994</v>
      </c>
      <c r="F561" t="s">
        <v>5324</v>
      </c>
      <c r="G561" t="str">
        <f>B08_Assessment!A40</f>
        <v>B-15</v>
      </c>
      <c r="H561" t="str">
        <f>B08_Assessment!B40</f>
        <v>Existing</v>
      </c>
      <c r="I561" t="str">
        <f>B08_Assessment!C40</f>
        <v>N/A / TE</v>
      </c>
      <c r="J561" t="str">
        <f>B08_Assessment!D40</f>
        <v>Existing</v>
      </c>
      <c r="K561" t="str">
        <f>B08_Assessment!E40</f>
        <v>Verify</v>
      </c>
      <c r="L561" t="str">
        <f>B08_Assessment!F40</f>
        <v>Verify</v>
      </c>
      <c r="M561" t="str">
        <f>B08_Assessment!G40</f>
        <v>Verify</v>
      </c>
      <c r="N561" t="str">
        <f>B08_Assessment!H40</f>
        <v>Verify</v>
      </c>
      <c r="O561" t="str">
        <f>B08_Assessment!I40</f>
        <v>Verify</v>
      </c>
      <c r="P561" t="str">
        <f>B08_Assessment!J40</f>
        <v>Existing Room B-15 rack elevations show wall/wall-mounted TE, legacy 24/48-port patch panels, legacy Fiber LIU and UPS.</v>
      </c>
      <c r="Q561" t="str">
        <f t="shared" si="8"/>
        <v>08|33</v>
      </c>
    </row>
    <row r="562" spans="1:17" ht="6.45" customHeight="1">
      <c r="A562" t="s">
        <v>1778</v>
      </c>
      <c r="B562">
        <v>34</v>
      </c>
      <c r="C562" t="s">
        <v>27</v>
      </c>
      <c r="D562">
        <v>41</v>
      </c>
      <c r="E562" t="s">
        <v>994</v>
      </c>
      <c r="F562" t="s">
        <v>5324</v>
      </c>
      <c r="G562" t="str">
        <f>B08_Assessment!A41</f>
        <v>B12B</v>
      </c>
      <c r="H562" t="str">
        <f>B08_Assessment!B41</f>
        <v>Verify</v>
      </c>
      <c r="I562" t="str">
        <f>B08_Assessment!C41</f>
        <v>N/A / TE</v>
      </c>
      <c r="J562" t="str">
        <f>B08_Assessment!D41</f>
        <v>Verify</v>
      </c>
      <c r="K562" t="str">
        <f>B08_Assessment!E41</f>
        <v>Verify</v>
      </c>
      <c r="L562" t="str">
        <f>B08_Assessment!F41</f>
        <v>Verify</v>
      </c>
      <c r="M562" t="str">
        <f>B08_Assessment!G41</f>
        <v>Verify</v>
      </c>
      <c r="N562" t="str">
        <f>B08_Assessment!H41</f>
        <v>Verify</v>
      </c>
      <c r="O562" t="str">
        <f>B08_Assessment!I41</f>
        <v>Verify</v>
      </c>
      <c r="P562" t="str">
        <f>B08_Assessment!J41</f>
        <v>Telecom schedule uses Rack ID TE01-B12B-1; 80 WAO total, 159 active ports per survey, 116 total ports per schedule, and 128 total ports with 10% allowance.</v>
      </c>
      <c r="Q562" t="str">
        <f t="shared" si="8"/>
        <v>08|34</v>
      </c>
    </row>
    <row r="563" spans="1:17" ht="6.45" customHeight="1">
      <c r="A563" t="s">
        <v>1778</v>
      </c>
      <c r="B563">
        <v>35</v>
      </c>
      <c r="C563" t="s">
        <v>27</v>
      </c>
      <c r="D563">
        <v>42</v>
      </c>
      <c r="E563" t="s">
        <v>994</v>
      </c>
      <c r="F563" t="s">
        <v>5324</v>
      </c>
      <c r="G563" t="str">
        <f>B08_Assessment!A42</f>
        <v>2065A</v>
      </c>
      <c r="H563" t="str">
        <f>B08_Assessment!B42</f>
        <v>Verify</v>
      </c>
      <c r="I563" t="str">
        <f>B08_Assessment!C42</f>
        <v>Verify</v>
      </c>
      <c r="J563" t="str">
        <f>B08_Assessment!D42</f>
        <v>Verify</v>
      </c>
      <c r="K563" t="str">
        <f>B08_Assessment!E42</f>
        <v>Verify</v>
      </c>
      <c r="L563" t="str">
        <f>B08_Assessment!F42</f>
        <v>Verify</v>
      </c>
      <c r="M563" t="str">
        <f>B08_Assessment!G42</f>
        <v>Verify</v>
      </c>
      <c r="N563" t="str">
        <f>B08_Assessment!H42</f>
        <v>Verify</v>
      </c>
      <c r="O563" t="str">
        <f>B08_Assessment!I42</f>
        <v>Verify</v>
      </c>
      <c r="P563" t="str">
        <f>B08_Assessment!J42</f>
        <v>New Room 2065A rack elevations show two 4-post floor racks; Rack 1 includes Fiber LIU, 24-port Cat5E patch panel, four 48-port Cat6A patch panels, network switches, Zone PDU and UPS; Rack 2 includes future switches and UPS.</v>
      </c>
      <c r="Q563" t="str">
        <f t="shared" si="8"/>
        <v>08|35</v>
      </c>
    </row>
    <row r="564" spans="1:17" ht="6.45" customHeight="1">
      <c r="A564" t="s">
        <v>1778</v>
      </c>
      <c r="B564">
        <v>36</v>
      </c>
      <c r="C564" t="s">
        <v>27</v>
      </c>
      <c r="D564">
        <v>43</v>
      </c>
      <c r="E564" t="s">
        <v>994</v>
      </c>
      <c r="F564" t="s">
        <v>5325</v>
      </c>
      <c r="G564">
        <f>B08_Assessment!A43</f>
        <v>0</v>
      </c>
      <c r="H564">
        <f>B08_Assessment!B43</f>
        <v>0</v>
      </c>
      <c r="I564">
        <f>B08_Assessment!C43</f>
        <v>0</v>
      </c>
      <c r="J564">
        <f>B08_Assessment!D43</f>
        <v>0</v>
      </c>
      <c r="K564">
        <f>B08_Assessment!E43</f>
        <v>0</v>
      </c>
      <c r="L564">
        <f>B08_Assessment!F43</f>
        <v>0</v>
      </c>
      <c r="M564">
        <f>B08_Assessment!G43</f>
        <v>0</v>
      </c>
      <c r="N564">
        <f>B08_Assessment!H43</f>
        <v>0</v>
      </c>
      <c r="O564">
        <f>B08_Assessment!I43</f>
        <v>0</v>
      </c>
      <c r="P564">
        <f>B08_Assessment!J43</f>
        <v>0</v>
      </c>
      <c r="Q564" t="str">
        <f t="shared" si="8"/>
        <v>08|36</v>
      </c>
    </row>
    <row r="565" spans="1:17" ht="6.45" customHeight="1">
      <c r="A565" t="s">
        <v>1778</v>
      </c>
      <c r="B565">
        <v>37</v>
      </c>
      <c r="C565" t="s">
        <v>27</v>
      </c>
      <c r="D565">
        <v>44</v>
      </c>
      <c r="E565" t="s">
        <v>1007</v>
      </c>
      <c r="F565" t="s">
        <v>5322</v>
      </c>
      <c r="G565" t="str">
        <f>B08_Assessment!A44</f>
        <v>7. SECURITY / PACS / CCTV</v>
      </c>
      <c r="H565">
        <f>B08_Assessment!B44</f>
        <v>0</v>
      </c>
      <c r="I565">
        <f>B08_Assessment!C44</f>
        <v>0</v>
      </c>
      <c r="J565">
        <f>B08_Assessment!D44</f>
        <v>0</v>
      </c>
      <c r="K565">
        <f>B08_Assessment!E44</f>
        <v>0</v>
      </c>
      <c r="L565">
        <f>B08_Assessment!F44</f>
        <v>0</v>
      </c>
      <c r="M565">
        <f>B08_Assessment!G44</f>
        <v>0</v>
      </c>
      <c r="N565">
        <f>B08_Assessment!H44</f>
        <v>0</v>
      </c>
      <c r="O565">
        <f>B08_Assessment!I44</f>
        <v>0</v>
      </c>
      <c r="P565">
        <f>B08_Assessment!J44</f>
        <v>0</v>
      </c>
      <c r="Q565" t="str">
        <f t="shared" si="8"/>
        <v>08|37</v>
      </c>
    </row>
    <row r="566" spans="1:17" ht="6.45" customHeight="1">
      <c r="A566" t="s">
        <v>1778</v>
      </c>
      <c r="B566">
        <v>38</v>
      </c>
      <c r="C566" t="s">
        <v>27</v>
      </c>
      <c r="D566">
        <v>45</v>
      </c>
      <c r="E566" t="s">
        <v>1007</v>
      </c>
      <c r="F566" t="s">
        <v>5323</v>
      </c>
      <c r="G566" t="str">
        <f>B08_Assessment!A45</f>
        <v>Room</v>
      </c>
      <c r="H566" t="str">
        <f>B08_Assessment!B45</f>
        <v>PACS</v>
      </c>
      <c r="I566" t="str">
        <f>B08_Assessment!C45</f>
        <v>Card Reader</v>
      </c>
      <c r="J566" t="str">
        <f>B08_Assessment!D45</f>
        <v>Door Position</v>
      </c>
      <c r="K566" t="str">
        <f>B08_Assessment!E45</f>
        <v>Electric Strike</v>
      </c>
      <c r="L566" t="str">
        <f>B08_Assessment!F45</f>
        <v>CCTV</v>
      </c>
      <c r="M566" t="str">
        <f>B08_Assessment!G45</f>
        <v>Motion Sensor</v>
      </c>
      <c r="N566" t="str">
        <f>B08_Assessment!H45</f>
        <v>Integration</v>
      </c>
      <c r="O566" t="str">
        <f>B08_Assessment!I45</f>
        <v>Overall</v>
      </c>
      <c r="P566" t="str">
        <f>B08_Assessment!J45</f>
        <v>Notes</v>
      </c>
      <c r="Q566" t="str">
        <f t="shared" si="8"/>
        <v>08|38</v>
      </c>
    </row>
    <row r="567" spans="1:17" ht="6.45" customHeight="1">
      <c r="A567" t="s">
        <v>1778</v>
      </c>
      <c r="B567">
        <v>39</v>
      </c>
      <c r="C567" t="s">
        <v>27</v>
      </c>
      <c r="D567">
        <v>46</v>
      </c>
      <c r="E567" t="s">
        <v>1007</v>
      </c>
      <c r="F567" t="s">
        <v>5324</v>
      </c>
      <c r="G567" t="str">
        <f>B08_Assessment!A46</f>
        <v>B-15</v>
      </c>
      <c r="H567" t="str">
        <f>B08_Assessment!B46</f>
        <v>Verify</v>
      </c>
      <c r="I567" t="str">
        <f>B08_Assessment!C46</f>
        <v>Verify</v>
      </c>
      <c r="J567" t="str">
        <f>B08_Assessment!D46</f>
        <v>Verify</v>
      </c>
      <c r="K567" t="str">
        <f>B08_Assessment!E46</f>
        <v>Verify</v>
      </c>
      <c r="L567" t="str">
        <f>B08_Assessment!F46</f>
        <v>Verify</v>
      </c>
      <c r="M567" t="str">
        <f>B08_Assessment!G46</f>
        <v>Verify</v>
      </c>
      <c r="N567" t="str">
        <f>B08_Assessment!H46</f>
        <v>Verify</v>
      </c>
      <c r="O567" t="str">
        <f>B08_Assessment!I46</f>
        <v>Verify</v>
      </c>
      <c r="P567" t="str">
        <f>B08_Assessment!J46</f>
        <v>Verify existing basement access/security while protecting active equipment.</v>
      </c>
      <c r="Q567" t="str">
        <f t="shared" si="8"/>
        <v>08|39</v>
      </c>
    </row>
    <row r="568" spans="1:17" ht="6.45" customHeight="1">
      <c r="A568" t="s">
        <v>1778</v>
      </c>
      <c r="B568">
        <v>40</v>
      </c>
      <c r="C568" t="s">
        <v>27</v>
      </c>
      <c r="D568">
        <v>47</v>
      </c>
      <c r="E568" t="s">
        <v>1007</v>
      </c>
      <c r="F568" t="s">
        <v>5324</v>
      </c>
      <c r="G568" t="str">
        <f>B08_Assessment!A47</f>
        <v>B12B</v>
      </c>
      <c r="H568" t="str">
        <f>B08_Assessment!B47</f>
        <v>Verify</v>
      </c>
      <c r="I568" t="str">
        <f>B08_Assessment!C47</f>
        <v>Verify</v>
      </c>
      <c r="J568" t="str">
        <f>B08_Assessment!D47</f>
        <v>Verify</v>
      </c>
      <c r="K568" t="str">
        <f>B08_Assessment!E47</f>
        <v>Verify</v>
      </c>
      <c r="L568" t="str">
        <f>B08_Assessment!F47</f>
        <v>Verify</v>
      </c>
      <c r="M568" t="str">
        <f>B08_Assessment!G47</f>
        <v>Verify</v>
      </c>
      <c r="N568" t="str">
        <f>B08_Assessment!H47</f>
        <v>Verify</v>
      </c>
      <c r="O568" t="str">
        <f>B08_Assessment!I47</f>
        <v>Verify</v>
      </c>
      <c r="P568" t="str">
        <f>B08_Assessment!J47</f>
        <v>45-minute door shown; verify access-control hardware applicability and whether TE is secured.</v>
      </c>
      <c r="Q568" t="str">
        <f t="shared" si="8"/>
        <v>08|40</v>
      </c>
    </row>
    <row r="569" spans="1:17" ht="6.45" customHeight="1">
      <c r="A569" t="s">
        <v>1778</v>
      </c>
      <c r="B569">
        <v>41</v>
      </c>
      <c r="C569" t="s">
        <v>27</v>
      </c>
      <c r="D569">
        <v>48</v>
      </c>
      <c r="E569" t="s">
        <v>1007</v>
      </c>
      <c r="F569" t="s">
        <v>5324</v>
      </c>
      <c r="G569" t="str">
        <f>B08_Assessment!A48</f>
        <v>2065A</v>
      </c>
      <c r="H569" t="str">
        <f>B08_Assessment!B48</f>
        <v>Verify</v>
      </c>
      <c r="I569" t="str">
        <f>B08_Assessment!C48</f>
        <v>Verify</v>
      </c>
      <c r="J569" t="str">
        <f>B08_Assessment!D48</f>
        <v>Verify</v>
      </c>
      <c r="K569" t="str">
        <f>B08_Assessment!E48</f>
        <v>Verify</v>
      </c>
      <c r="L569" t="str">
        <f>B08_Assessment!F48</f>
        <v>Verify</v>
      </c>
      <c r="M569" t="str">
        <f>B08_Assessment!G48</f>
        <v>Verify</v>
      </c>
      <c r="N569" t="str">
        <f>B08_Assessment!H48</f>
        <v>Verify</v>
      </c>
      <c r="O569" t="str">
        <f>B08_Assessment!I48</f>
        <v>Verify</v>
      </c>
      <c r="P569" t="str">
        <f>B08_Assessment!J48</f>
        <v>Door schedule/hardware note requires coordination with electrical/access control; verify card reader, electric strike, door position, motion sensor, camera and VA integration.</v>
      </c>
      <c r="Q569" t="str">
        <f t="shared" si="8"/>
        <v>08|41</v>
      </c>
    </row>
    <row r="570" spans="1:17" ht="6.45" customHeight="1">
      <c r="A570" t="s">
        <v>1778</v>
      </c>
      <c r="B570">
        <v>42</v>
      </c>
      <c r="C570" t="s">
        <v>27</v>
      </c>
      <c r="D570">
        <v>49</v>
      </c>
      <c r="E570" t="s">
        <v>1007</v>
      </c>
      <c r="F570" t="s">
        <v>5325</v>
      </c>
      <c r="G570">
        <f>B08_Assessment!A49</f>
        <v>0</v>
      </c>
      <c r="H570">
        <f>B08_Assessment!B49</f>
        <v>0</v>
      </c>
      <c r="I570">
        <f>B08_Assessment!C49</f>
        <v>0</v>
      </c>
      <c r="J570">
        <f>B08_Assessment!D49</f>
        <v>0</v>
      </c>
      <c r="K570">
        <f>B08_Assessment!E49</f>
        <v>0</v>
      </c>
      <c r="L570">
        <f>B08_Assessment!F49</f>
        <v>0</v>
      </c>
      <c r="M570">
        <f>B08_Assessment!G49</f>
        <v>0</v>
      </c>
      <c r="N570">
        <f>B08_Assessment!H49</f>
        <v>0</v>
      </c>
      <c r="O570">
        <f>B08_Assessment!I49</f>
        <v>0</v>
      </c>
      <c r="P570">
        <f>B08_Assessment!J49</f>
        <v>0</v>
      </c>
      <c r="Q570" t="str">
        <f t="shared" si="8"/>
        <v>08|42</v>
      </c>
    </row>
    <row r="571" spans="1:17" ht="6.45" customHeight="1">
      <c r="A571" t="s">
        <v>1778</v>
      </c>
      <c r="B571">
        <v>43</v>
      </c>
      <c r="C571" t="s">
        <v>27</v>
      </c>
      <c r="D571">
        <v>50</v>
      </c>
      <c r="E571" t="s">
        <v>1019</v>
      </c>
      <c r="F571" t="s">
        <v>5322</v>
      </c>
      <c r="G571" t="str">
        <f>B08_Assessment!A50</f>
        <v>8. OWNER RISKS</v>
      </c>
      <c r="H571">
        <f>B08_Assessment!B50</f>
        <v>0</v>
      </c>
      <c r="I571">
        <f>B08_Assessment!C50</f>
        <v>0</v>
      </c>
      <c r="J571">
        <f>B08_Assessment!D50</f>
        <v>0</v>
      </c>
      <c r="K571">
        <f>B08_Assessment!E50</f>
        <v>0</v>
      </c>
      <c r="L571">
        <f>B08_Assessment!F50</f>
        <v>0</v>
      </c>
      <c r="M571">
        <f>B08_Assessment!G50</f>
        <v>0</v>
      </c>
      <c r="N571">
        <f>B08_Assessment!H50</f>
        <v>0</v>
      </c>
      <c r="O571">
        <f>B08_Assessment!I50</f>
        <v>0</v>
      </c>
      <c r="P571">
        <f>B08_Assessment!J50</f>
        <v>0</v>
      </c>
      <c r="Q571" t="str">
        <f t="shared" si="8"/>
        <v>08|43</v>
      </c>
    </row>
    <row r="572" spans="1:17" ht="6.45" customHeight="1">
      <c r="A572" t="s">
        <v>1778</v>
      </c>
      <c r="B572">
        <v>44</v>
      </c>
      <c r="C572" t="s">
        <v>27</v>
      </c>
      <c r="D572">
        <v>51</v>
      </c>
      <c r="E572" t="s">
        <v>1019</v>
      </c>
      <c r="F572" t="s">
        <v>5323</v>
      </c>
      <c r="G572" t="str">
        <f>B08_Assessment!A51</f>
        <v>Risk ID</v>
      </c>
      <c r="H572" t="str">
        <f>B08_Assessment!B51</f>
        <v>Room</v>
      </c>
      <c r="I572" t="str">
        <f>B08_Assessment!C51</f>
        <v>Risk</v>
      </c>
      <c r="J572" t="str">
        <f>B08_Assessment!D51</f>
        <v>Impact</v>
      </c>
      <c r="K572" t="str">
        <f>B08_Assessment!E51</f>
        <v>Probability</v>
      </c>
      <c r="L572" t="str">
        <f>B08_Assessment!F51</f>
        <v>Score</v>
      </c>
      <c r="M572" t="str">
        <f>B08_Assessment!G51</f>
        <v>Mitigation</v>
      </c>
      <c r="N572" t="str">
        <f>B08_Assessment!H51</f>
        <v>Owner</v>
      </c>
      <c r="O572" t="str">
        <f>B08_Assessment!I51</f>
        <v>Status</v>
      </c>
      <c r="P572" t="str">
        <f>B08_Assessment!J51</f>
        <v>Notes</v>
      </c>
      <c r="Q572" t="str">
        <f t="shared" si="8"/>
        <v>08|44</v>
      </c>
    </row>
    <row r="573" spans="1:17" ht="6.45" customHeight="1">
      <c r="A573" t="s">
        <v>1778</v>
      </c>
      <c r="B573">
        <v>45</v>
      </c>
      <c r="C573" t="s">
        <v>27</v>
      </c>
      <c r="D573">
        <v>52</v>
      </c>
      <c r="E573" t="s">
        <v>1019</v>
      </c>
      <c r="F573" t="s">
        <v>5324</v>
      </c>
      <c r="G573" t="str">
        <f>B08_Assessment!A52</f>
        <v>B08-R1</v>
      </c>
      <c r="H573" t="str">
        <f>B08_Assessment!B52</f>
        <v>All</v>
      </c>
      <c r="I573" t="str">
        <f>B08_Assessment!C52</f>
        <v>Existing conditions for B-15, B12B and 2065A not field verified</v>
      </c>
      <c r="J573" t="str">
        <f>B08_Assessment!D52</f>
        <v>High</v>
      </c>
      <c r="K573" t="str">
        <f>B08_Assessment!E52</f>
        <v>Medium</v>
      </c>
      <c r="L573">
        <f>B08_Assessment!F52</f>
        <v>6</v>
      </c>
      <c r="M573" t="str">
        <f>B08_Assessment!G52</f>
        <v>Perform existing conditions survey with photos before mobilization</v>
      </c>
      <c r="N573" t="str">
        <f>B08_Assessment!H52</f>
        <v>GCC / Contractor</v>
      </c>
      <c r="O573" t="str">
        <f>B08_Assessment!I52</f>
        <v>Closed</v>
      </c>
      <c r="P573" t="str">
        <f>B08_Assessment!J52</f>
        <v>B08 includes existing equipment, TE/cabling area and new TR scope.</v>
      </c>
      <c r="Q573" t="str">
        <f t="shared" si="8"/>
        <v>08|45</v>
      </c>
    </row>
    <row r="574" spans="1:17" ht="6.45" customHeight="1">
      <c r="A574" t="s">
        <v>1778</v>
      </c>
      <c r="B574">
        <v>46</v>
      </c>
      <c r="C574" t="s">
        <v>27</v>
      </c>
      <c r="D574">
        <v>53</v>
      </c>
      <c r="E574" t="s">
        <v>1019</v>
      </c>
      <c r="F574" t="s">
        <v>5324</v>
      </c>
      <c r="G574" t="str">
        <f>B08_Assessment!A53</f>
        <v>B08-R2</v>
      </c>
      <c r="H574" t="str">
        <f>B08_Assessment!B53</f>
        <v>B-15</v>
      </c>
      <c r="I574" t="str">
        <f>B08_Assessment!C53</f>
        <v>Existing basement legacy equipment may remain active during cutover</v>
      </c>
      <c r="J574" t="str">
        <f>B08_Assessment!D53</f>
        <v>Critical</v>
      </c>
      <c r="K574" t="str">
        <f>B08_Assessment!E53</f>
        <v>Medium</v>
      </c>
      <c r="L574">
        <f>B08_Assessment!F53</f>
        <v>8</v>
      </c>
      <c r="M574" t="str">
        <f>B08_Assessment!G53</f>
        <v>Document active services, protect in place and define cutover/demo sequence</v>
      </c>
      <c r="N574" t="str">
        <f>B08_Assessment!H53</f>
        <v>Telecom / OIT</v>
      </c>
      <c r="O574" t="str">
        <f>B08_Assessment!I53</f>
        <v>Closed</v>
      </c>
      <c r="P574" t="str">
        <f>B08_Assessment!J53</f>
        <v>Existing TE, patch panels, Fiber LIU and UPS shown.</v>
      </c>
      <c r="Q574" t="str">
        <f t="shared" si="8"/>
        <v>08|46</v>
      </c>
    </row>
    <row r="575" spans="1:17" ht="6.45" customHeight="1">
      <c r="A575" t="s">
        <v>1778</v>
      </c>
      <c r="B575">
        <v>47</v>
      </c>
      <c r="C575" t="s">
        <v>27</v>
      </c>
      <c r="D575">
        <v>54</v>
      </c>
      <c r="E575" t="s">
        <v>1019</v>
      </c>
      <c r="F575" t="s">
        <v>5324</v>
      </c>
      <c r="G575" t="str">
        <f>B08_Assessment!A54</f>
        <v>B08-R3</v>
      </c>
      <c r="H575" t="str">
        <f>B08_Assessment!B54</f>
        <v>B12B</v>
      </c>
      <c r="I575" t="str">
        <f>B08_Assessment!C54</f>
        <v>Basement B12B appears as Office in architectural schedule but TE in telecom/electrical schedules</v>
      </c>
      <c r="J575" t="str">
        <f>B08_Assessment!D54</f>
        <v>High</v>
      </c>
      <c r="K575" t="str">
        <f>B08_Assessment!E54</f>
        <v>Medium</v>
      </c>
      <c r="L575">
        <f>B08_Assessment!F54</f>
        <v>6</v>
      </c>
      <c r="M575" t="str">
        <f>B08_Assessment!G54</f>
        <v>Field verify actual TE location, room name, door/wall rating and panel/cable routing</v>
      </c>
      <c r="N575" t="str">
        <f>B08_Assessment!H54</f>
        <v>GCC / VA / Designer</v>
      </c>
      <c r="O575" t="str">
        <f>B08_Assessment!I54</f>
        <v>Closed</v>
      </c>
      <c r="P575" t="str">
        <f>B08_Assessment!J54</f>
        <v>Potential room/scope mismatch.</v>
      </c>
      <c r="Q575" t="str">
        <f t="shared" si="8"/>
        <v>08|47</v>
      </c>
    </row>
    <row r="576" spans="1:17" ht="6.45" customHeight="1">
      <c r="A576" t="s">
        <v>1778</v>
      </c>
      <c r="B576">
        <v>48</v>
      </c>
      <c r="C576" t="s">
        <v>27</v>
      </c>
      <c r="D576">
        <v>55</v>
      </c>
      <c r="E576" t="s">
        <v>1019</v>
      </c>
      <c r="F576" t="s">
        <v>5324</v>
      </c>
      <c r="G576" t="str">
        <f>B08_Assessment!A55</f>
        <v>B08-R4</v>
      </c>
      <c r="H576" t="str">
        <f>B08_Assessment!B55</f>
        <v>2065A</v>
      </c>
      <c r="I576" t="str">
        <f>B08_Assessment!C55</f>
        <v>Second-floor Telecom Room conversion includes rated wall/door/open-to-deck work and possible hazardous material impacts</v>
      </c>
      <c r="J576" t="str">
        <f>B08_Assessment!D55</f>
        <v>High</v>
      </c>
      <c r="K576" t="str">
        <f>B08_Assessment!E55</f>
        <v>Medium</v>
      </c>
      <c r="L576">
        <f>B08_Assessment!F55</f>
        <v>6</v>
      </c>
      <c r="M576" t="str">
        <f>B08_Assessment!G55</f>
        <v>Coordinate architectural work, dust barriers, floor abatement, FEC and rated assemblies before construction</v>
      </c>
      <c r="N576" t="str">
        <f>B08_Assessment!H55</f>
        <v>GC / VA</v>
      </c>
      <c r="O576" t="str">
        <f>B08_Assessment!I55</f>
        <v>Closed</v>
      </c>
      <c r="P576" t="str">
        <f>B08_Assessment!J55</f>
        <v>Hazardous material abatement plan included for Level 2.</v>
      </c>
      <c r="Q576" t="str">
        <f t="shared" si="8"/>
        <v>08|48</v>
      </c>
    </row>
    <row r="577" spans="1:17" ht="6.45" customHeight="1">
      <c r="A577" t="s">
        <v>1778</v>
      </c>
      <c r="B577">
        <v>49</v>
      </c>
      <c r="C577" t="s">
        <v>27</v>
      </c>
      <c r="D577">
        <v>56</v>
      </c>
      <c r="E577" t="s">
        <v>1019</v>
      </c>
      <c r="F577" t="s">
        <v>5324</v>
      </c>
      <c r="G577" t="str">
        <f>B08_Assessment!A56</f>
        <v>B08-R5</v>
      </c>
      <c r="H577" t="str">
        <f>B08_Assessment!B56</f>
        <v>2065A</v>
      </c>
      <c r="I577" t="str">
        <f>B08_Assessment!C56</f>
        <v>Dedicated cooling emergency power, controls, condensate and high-temp alarms not verified</v>
      </c>
      <c r="J577" t="str">
        <f>B08_Assessment!D56</f>
        <v>Critical</v>
      </c>
      <c r="K577" t="str">
        <f>B08_Assessment!E56</f>
        <v>Medium</v>
      </c>
      <c r="L577">
        <f>B08_Assessment!F56</f>
        <v>8</v>
      </c>
      <c r="M577" t="str">
        <f>B08_Assessment!G56</f>
        <v>Confirm IU/CU assignment, emergency source, BACnet/interface, condensate routing and alarm points</v>
      </c>
      <c r="N577" t="str">
        <f>B08_Assessment!H56</f>
        <v>Mechanical / Electrical</v>
      </c>
      <c r="O577" t="str">
        <f>B08_Assessment!I56</f>
        <v>Closed</v>
      </c>
      <c r="P577" t="str">
        <f>B08_Assessment!J56</f>
        <v>IU-2-01/CU-2-01 scheduled at 36,000 BTUH.</v>
      </c>
      <c r="Q577" t="str">
        <f t="shared" si="8"/>
        <v>08|49</v>
      </c>
    </row>
    <row r="578" spans="1:17" ht="6.45" customHeight="1">
      <c r="A578" t="s">
        <v>1778</v>
      </c>
      <c r="B578">
        <v>50</v>
      </c>
      <c r="C578" t="s">
        <v>27</v>
      </c>
      <c r="D578">
        <v>57</v>
      </c>
      <c r="E578" t="s">
        <v>1019</v>
      </c>
      <c r="F578" t="s">
        <v>5324</v>
      </c>
      <c r="G578" t="str">
        <f>B08_Assessment!A57</f>
        <v>B08-R6</v>
      </c>
      <c r="H578" t="str">
        <f>B08_Assessment!B57</f>
        <v>All</v>
      </c>
      <c r="I578" t="str">
        <f>B08_Assessment!C57</f>
        <v>Electrical panel/circuit source and rack load coordination unresolved</v>
      </c>
      <c r="J578" t="str">
        <f>B08_Assessment!D57</f>
        <v>High</v>
      </c>
      <c r="K578" t="str">
        <f>B08_Assessment!E57</f>
        <v>Medium</v>
      </c>
      <c r="L578">
        <f>B08_Assessment!F57</f>
        <v>6</v>
      </c>
      <c r="M578" t="str">
        <f>B08_Assessment!G57</f>
        <v>Verify B08-TR2065AA/AB panel schedules, rack receptacles, SPD, labels and load measurement requirements</v>
      </c>
      <c r="N578" t="str">
        <f>B08_Assessment!H57</f>
        <v>Electrical / GCC</v>
      </c>
      <c r="O578" t="str">
        <f>B08_Assessment!I57</f>
        <v>Closed</v>
      </c>
      <c r="P578" t="str">
        <f>B08_Assessment!J57</f>
        <v>Panel schedule includes telecom panelboard notes and 30-day load measurement requirements.</v>
      </c>
      <c r="Q578" t="str">
        <f t="shared" ref="Q578:Q641" si="9">A578&amp;"|"&amp;B578</f>
        <v>08|50</v>
      </c>
    </row>
    <row r="579" spans="1:17" ht="6.45" customHeight="1">
      <c r="A579" t="s">
        <v>1778</v>
      </c>
      <c r="B579">
        <v>51</v>
      </c>
      <c r="C579" t="s">
        <v>27</v>
      </c>
      <c r="D579">
        <v>58</v>
      </c>
      <c r="E579" t="s">
        <v>1019</v>
      </c>
      <c r="F579" t="s">
        <v>5324</v>
      </c>
      <c r="G579" t="str">
        <f>B08_Assessment!A58</f>
        <v>B08-R7</v>
      </c>
      <c r="H579" t="str">
        <f>B08_Assessment!B58</f>
        <v>All</v>
      </c>
      <c r="I579" t="str">
        <f>B08_Assessment!C58</f>
        <v>Fire alarm/sprinkler impairments and firestopping could affect occupied operations</v>
      </c>
      <c r="J579" t="str">
        <f>B08_Assessment!D58</f>
        <v>Critical</v>
      </c>
      <c r="K579" t="str">
        <f>B08_Assessment!E58</f>
        <v>Medium</v>
      </c>
      <c r="L579">
        <f>B08_Assessment!F58</f>
        <v>8</v>
      </c>
      <c r="M579" t="str">
        <f>B08_Assessment!G58</f>
        <v>Track impairments, temporary firestopping, fire watch, sprinkler/device changes and FA acceptance testing</v>
      </c>
      <c r="N579" t="str">
        <f>B08_Assessment!H58</f>
        <v>GC / FP / FA</v>
      </c>
      <c r="O579" t="str">
        <f>B08_Assessment!I58</f>
        <v>Closed</v>
      </c>
      <c r="P579" t="str">
        <f>B08_Assessment!J58</f>
        <v>Shutdowns limited one at a time campus-wide.</v>
      </c>
      <c r="Q579" t="str">
        <f t="shared" si="9"/>
        <v>08|51</v>
      </c>
    </row>
    <row r="580" spans="1:17" ht="6.45" customHeight="1">
      <c r="A580" t="s">
        <v>1778</v>
      </c>
      <c r="B580">
        <v>52</v>
      </c>
      <c r="C580" t="s">
        <v>27</v>
      </c>
      <c r="D580">
        <v>59</v>
      </c>
      <c r="E580" t="s">
        <v>1019</v>
      </c>
      <c r="F580" t="s">
        <v>5324</v>
      </c>
      <c r="G580" t="str">
        <f>B08_Assessment!A59</f>
        <v>B08-R8</v>
      </c>
      <c r="H580" t="str">
        <f>B08_Assessment!B59</f>
        <v>All</v>
      </c>
      <c r="I580" t="str">
        <f>B08_Assessment!C59</f>
        <v>Commissioning/third-party inspection reports may not be complete at turnover</v>
      </c>
      <c r="J580" t="str">
        <f>B08_Assessment!D59</f>
        <v>High</v>
      </c>
      <c r="K580" t="str">
        <f>B08_Assessment!E59</f>
        <v>Medium</v>
      </c>
      <c r="L580">
        <f>B08_Assessment!F59</f>
        <v>6</v>
      </c>
      <c r="M580" t="str">
        <f>B08_Assessment!G59</f>
        <v>Track commissioning, inspections, test records, labels, OIT acceptance and as-builts</v>
      </c>
      <c r="N580" t="str">
        <f>B08_Assessment!H59</f>
        <v>GC / Cx Manager</v>
      </c>
      <c r="O580" t="str">
        <f>B08_Assessment!I59</f>
        <v>Closed</v>
      </c>
      <c r="P580" t="str">
        <f>B08_Assessment!J59</f>
        <v>Required by cover/general notes.</v>
      </c>
      <c r="Q580" t="str">
        <f t="shared" si="9"/>
        <v>08|52</v>
      </c>
    </row>
    <row r="581" spans="1:17" ht="6.45" customHeight="1">
      <c r="A581" t="s">
        <v>1778</v>
      </c>
      <c r="B581">
        <v>53</v>
      </c>
      <c r="C581" t="s">
        <v>27</v>
      </c>
      <c r="D581">
        <v>60</v>
      </c>
      <c r="E581" t="s">
        <v>1019</v>
      </c>
      <c r="F581" t="s">
        <v>5325</v>
      </c>
      <c r="G581">
        <f>B08_Assessment!A60</f>
        <v>0</v>
      </c>
      <c r="H581">
        <f>B08_Assessment!B60</f>
        <v>0</v>
      </c>
      <c r="I581">
        <f>B08_Assessment!C60</f>
        <v>0</v>
      </c>
      <c r="J581">
        <f>B08_Assessment!D60</f>
        <v>0</v>
      </c>
      <c r="K581">
        <f>B08_Assessment!E60</f>
        <v>0</v>
      </c>
      <c r="L581">
        <f>B08_Assessment!F60</f>
        <v>0</v>
      </c>
      <c r="M581">
        <f>B08_Assessment!G60</f>
        <v>0</v>
      </c>
      <c r="N581">
        <f>B08_Assessment!H60</f>
        <v>0</v>
      </c>
      <c r="O581">
        <f>B08_Assessment!I60</f>
        <v>0</v>
      </c>
      <c r="P581">
        <f>B08_Assessment!J60</f>
        <v>0</v>
      </c>
      <c r="Q581" t="str">
        <f t="shared" si="9"/>
        <v>08|53</v>
      </c>
    </row>
    <row r="582" spans="1:17" ht="6.45" customHeight="1">
      <c r="A582" t="s">
        <v>1778</v>
      </c>
      <c r="B582">
        <v>54</v>
      </c>
      <c r="C582" t="s">
        <v>27</v>
      </c>
      <c r="D582">
        <v>61</v>
      </c>
      <c r="E582" t="s">
        <v>1051</v>
      </c>
      <c r="F582" t="s">
        <v>5322</v>
      </c>
      <c r="G582" t="str">
        <f>B08_Assessment!A61</f>
        <v>9. OPEN QUESTIONS</v>
      </c>
      <c r="H582">
        <f>B08_Assessment!B61</f>
        <v>0</v>
      </c>
      <c r="I582">
        <f>B08_Assessment!C61</f>
        <v>0</v>
      </c>
      <c r="J582">
        <f>B08_Assessment!D61</f>
        <v>0</v>
      </c>
      <c r="K582">
        <f>B08_Assessment!E61</f>
        <v>0</v>
      </c>
      <c r="L582">
        <f>B08_Assessment!F61</f>
        <v>0</v>
      </c>
      <c r="M582">
        <f>B08_Assessment!G61</f>
        <v>0</v>
      </c>
      <c r="N582">
        <f>B08_Assessment!H61</f>
        <v>0</v>
      </c>
      <c r="O582">
        <f>B08_Assessment!I61</f>
        <v>0</v>
      </c>
      <c r="P582">
        <f>B08_Assessment!J61</f>
        <v>0</v>
      </c>
      <c r="Q582" t="str">
        <f t="shared" si="9"/>
        <v>08|54</v>
      </c>
    </row>
    <row r="583" spans="1:17" ht="6.45" customHeight="1">
      <c r="A583" t="s">
        <v>1778</v>
      </c>
      <c r="B583">
        <v>55</v>
      </c>
      <c r="C583" t="s">
        <v>27</v>
      </c>
      <c r="D583">
        <v>62</v>
      </c>
      <c r="E583" t="s">
        <v>1051</v>
      </c>
      <c r="F583" t="s">
        <v>5323</v>
      </c>
      <c r="G583" t="str">
        <f>B08_Assessment!A62</f>
        <v>Question ID</v>
      </c>
      <c r="H583" t="str">
        <f>B08_Assessment!B62</f>
        <v>Question</v>
      </c>
      <c r="I583" t="str">
        <f>B08_Assessment!C62</f>
        <v>Assigned To</v>
      </c>
      <c r="J583" t="str">
        <f>B08_Assessment!D62</f>
        <v>Status</v>
      </c>
      <c r="K583" t="str">
        <f>B08_Assessment!E62</f>
        <v>Needed By</v>
      </c>
      <c r="L583" t="str">
        <f>B08_Assessment!F62</f>
        <v>Answer / Resolution</v>
      </c>
      <c r="M583" t="str">
        <f>B08_Assessment!G62</f>
        <v>Impact if Unanswered</v>
      </c>
      <c r="N583" t="str">
        <f>B08_Assessment!H62</f>
        <v>Follow-up</v>
      </c>
      <c r="O583" t="str">
        <f>B08_Assessment!I62</f>
        <v>Date Closed</v>
      </c>
      <c r="P583" t="str">
        <f>B08_Assessment!J62</f>
        <v>Notes</v>
      </c>
      <c r="Q583" t="str">
        <f t="shared" si="9"/>
        <v>08|55</v>
      </c>
    </row>
    <row r="584" spans="1:17" ht="6.45" customHeight="1">
      <c r="A584" t="s">
        <v>1778</v>
      </c>
      <c r="B584">
        <v>56</v>
      </c>
      <c r="C584" t="s">
        <v>27</v>
      </c>
      <c r="D584">
        <v>63</v>
      </c>
      <c r="E584" t="s">
        <v>1051</v>
      </c>
      <c r="F584" t="s">
        <v>5324</v>
      </c>
      <c r="G584" t="str">
        <f>B08_Assessment!A63</f>
        <v>B08-Q1</v>
      </c>
      <c r="H584" t="str">
        <f>B08_Assessment!B63</f>
        <v>Confirm final scope: existing B-15 equipment, B12B TE/cabling area, and new TR 2065A?</v>
      </c>
      <c r="I584" t="str">
        <f>B08_Assessment!C63</f>
        <v>VA / OIT / Designer</v>
      </c>
      <c r="J584" t="str">
        <f>B08_Assessment!D63</f>
        <v>Closed</v>
      </c>
      <c r="K584">
        <f>B08_Assessment!E63</f>
        <v>0</v>
      </c>
      <c r="L584">
        <f>B08_Assessment!F63</f>
        <v>0</v>
      </c>
      <c r="M584" t="str">
        <f>B08_Assessment!G63</f>
        <v>Room inventory may miss scope</v>
      </c>
      <c r="N584">
        <f>B08_Assessment!H63</f>
        <v>0</v>
      </c>
      <c r="O584">
        <f>B08_Assessment!I63</f>
        <v>0</v>
      </c>
      <c r="P584">
        <f>B08_Assessment!J63</f>
        <v>0</v>
      </c>
      <c r="Q584" t="str">
        <f t="shared" si="9"/>
        <v>08|56</v>
      </c>
    </row>
    <row r="585" spans="1:17" ht="6.45" customHeight="1">
      <c r="A585" t="s">
        <v>1778</v>
      </c>
      <c r="B585">
        <v>57</v>
      </c>
      <c r="C585" t="s">
        <v>27</v>
      </c>
      <c r="D585">
        <v>64</v>
      </c>
      <c r="E585" t="s">
        <v>1051</v>
      </c>
      <c r="F585" t="s">
        <v>5324</v>
      </c>
      <c r="G585" t="str">
        <f>B08_Assessment!A64</f>
        <v>B08-Q2</v>
      </c>
      <c r="H585" t="str">
        <f>B08_Assessment!B64</f>
        <v>What active services are currently fed from existing B-15 equipment?</v>
      </c>
      <c r="I585" t="str">
        <f>B08_Assessment!C64</f>
        <v>OIT / Contractor</v>
      </c>
      <c r="J585" t="str">
        <f>B08_Assessment!D64</f>
        <v>Closed</v>
      </c>
      <c r="K585">
        <f>B08_Assessment!E64</f>
        <v>0</v>
      </c>
      <c r="L585">
        <f>B08_Assessment!F64</f>
        <v>0</v>
      </c>
      <c r="M585" t="str">
        <f>B08_Assessment!G64</f>
        <v>Potential communications outage</v>
      </c>
      <c r="N585">
        <f>B08_Assessment!H64</f>
        <v>0</v>
      </c>
      <c r="O585">
        <f>B08_Assessment!I64</f>
        <v>0</v>
      </c>
      <c r="P585">
        <f>B08_Assessment!J64</f>
        <v>0</v>
      </c>
      <c r="Q585" t="str">
        <f t="shared" si="9"/>
        <v>08|57</v>
      </c>
    </row>
    <row r="586" spans="1:17" ht="6.45" customHeight="1">
      <c r="A586" t="s">
        <v>1778</v>
      </c>
      <c r="B586">
        <v>58</v>
      </c>
      <c r="C586" t="s">
        <v>27</v>
      </c>
      <c r="D586">
        <v>65</v>
      </c>
      <c r="E586" t="s">
        <v>1051</v>
      </c>
      <c r="F586" t="s">
        <v>5324</v>
      </c>
      <c r="G586" t="str">
        <f>B08_Assessment!A65</f>
        <v>B08-Q3</v>
      </c>
      <c r="H586" t="str">
        <f>B08_Assessment!B65</f>
        <v>Is B12B truly a TE/equipment location or only a cabling pathway/service area?</v>
      </c>
      <c r="I586" t="str">
        <f>B08_Assessment!C65</f>
        <v>VA / Designer / Contractor</v>
      </c>
      <c r="J586" t="str">
        <f>B08_Assessment!D65</f>
        <v>Closed</v>
      </c>
      <c r="K586">
        <f>B08_Assessment!E65</f>
        <v>0</v>
      </c>
      <c r="L586">
        <f>B08_Assessment!F65</f>
        <v>0</v>
      </c>
      <c r="M586" t="str">
        <f>B08_Assessment!G65</f>
        <v>Scope ambiguity</v>
      </c>
      <c r="N586">
        <f>B08_Assessment!H65</f>
        <v>0</v>
      </c>
      <c r="O586">
        <f>B08_Assessment!I65</f>
        <v>0</v>
      </c>
      <c r="P586">
        <f>B08_Assessment!J65</f>
        <v>0</v>
      </c>
      <c r="Q586" t="str">
        <f t="shared" si="9"/>
        <v>08|58</v>
      </c>
    </row>
    <row r="587" spans="1:17" ht="6.45" customHeight="1">
      <c r="A587" t="s">
        <v>1778</v>
      </c>
      <c r="B587">
        <v>59</v>
      </c>
      <c r="C587" t="s">
        <v>27</v>
      </c>
      <c r="D587">
        <v>66</v>
      </c>
      <c r="E587" t="s">
        <v>1051</v>
      </c>
      <c r="F587" t="s">
        <v>5324</v>
      </c>
      <c r="G587" t="str">
        <f>B08_Assessment!A66</f>
        <v>B08-Q4</v>
      </c>
      <c r="H587" t="str">
        <f>B08_Assessment!B66</f>
        <v>Is IU-2-01/CU-2-01 dedicated to TR 2065A and on emergency/backup power?</v>
      </c>
      <c r="I587" t="str">
        <f>B08_Assessment!C66</f>
        <v>Mechanical / Electrical / VA</v>
      </c>
      <c r="J587" t="str">
        <f>B08_Assessment!D66</f>
        <v>Closed</v>
      </c>
      <c r="K587">
        <f>B08_Assessment!E66</f>
        <v>0</v>
      </c>
      <c r="L587">
        <f>B08_Assessment!F66</f>
        <v>0</v>
      </c>
      <c r="M587" t="str">
        <f>B08_Assessment!G66</f>
        <v>Cooling continuity unclear</v>
      </c>
      <c r="N587">
        <f>B08_Assessment!H66</f>
        <v>0</v>
      </c>
      <c r="O587">
        <f>B08_Assessment!I66</f>
        <v>0</v>
      </c>
      <c r="P587">
        <f>B08_Assessment!J66</f>
        <v>0</v>
      </c>
      <c r="Q587" t="str">
        <f t="shared" si="9"/>
        <v>08|59</v>
      </c>
    </row>
    <row r="588" spans="1:17" ht="6.45" customHeight="1">
      <c r="A588" t="s">
        <v>1778</v>
      </c>
      <c r="B588">
        <v>60</v>
      </c>
      <c r="C588" t="s">
        <v>27</v>
      </c>
      <c r="D588">
        <v>67</v>
      </c>
      <c r="E588" t="s">
        <v>1051</v>
      </c>
      <c r="F588" t="s">
        <v>5324</v>
      </c>
      <c r="G588" t="str">
        <f>B08_Assessment!A67</f>
        <v>B08-Q5</v>
      </c>
      <c r="H588" t="str">
        <f>B08_Assessment!B67</f>
        <v>Where are clean-agent/CO2 extinguisher cabinets located within 75 ft of each TR/TE?</v>
      </c>
      <c r="I588" t="str">
        <f>B08_Assessment!C67</f>
        <v>GC / COR</v>
      </c>
      <c r="J588" t="str">
        <f>B08_Assessment!D67</f>
        <v>Closed</v>
      </c>
      <c r="K588">
        <f>B08_Assessment!E67</f>
        <v>0</v>
      </c>
      <c r="L588">
        <f>B08_Assessment!F67</f>
        <v>0</v>
      </c>
      <c r="M588" t="str">
        <f>B08_Assessment!G67</f>
        <v>Life safety acceptance risk</v>
      </c>
      <c r="N588">
        <f>B08_Assessment!H67</f>
        <v>0</v>
      </c>
      <c r="O588">
        <f>B08_Assessment!I67</f>
        <v>0</v>
      </c>
      <c r="P588">
        <f>B08_Assessment!J67</f>
        <v>0</v>
      </c>
      <c r="Q588" t="str">
        <f t="shared" si="9"/>
        <v>08|60</v>
      </c>
    </row>
    <row r="589" spans="1:17" ht="6.45" customHeight="1">
      <c r="A589" t="s">
        <v>1778</v>
      </c>
      <c r="B589">
        <v>61</v>
      </c>
      <c r="C589" t="s">
        <v>27</v>
      </c>
      <c r="D589">
        <v>68</v>
      </c>
      <c r="E589" t="s">
        <v>1051</v>
      </c>
      <c r="F589" t="s">
        <v>5324</v>
      </c>
      <c r="G589" t="str">
        <f>B08_Assessment!A68</f>
        <v>B08-Q6</v>
      </c>
      <c r="H589" t="str">
        <f>B08_Assessment!B68</f>
        <v>Are all B08 panelboard sources, circuits, SPDs, rack receptacles and load measurements approved?</v>
      </c>
      <c r="I589" t="str">
        <f>B08_Assessment!C68</f>
        <v>Electrical / Designer</v>
      </c>
      <c r="J589" t="str">
        <f>B08_Assessment!D68</f>
        <v>Closed</v>
      </c>
      <c r="K589">
        <f>B08_Assessment!E68</f>
        <v>0</v>
      </c>
      <c r="L589">
        <f>B08_Assessment!F68</f>
        <v>0</v>
      </c>
      <c r="M589" t="str">
        <f>B08_Assessment!G68</f>
        <v>Electrical readiness unknown</v>
      </c>
      <c r="N589">
        <f>B08_Assessment!H68</f>
        <v>0</v>
      </c>
      <c r="O589">
        <f>B08_Assessment!I68</f>
        <v>0</v>
      </c>
      <c r="P589">
        <f>B08_Assessment!J68</f>
        <v>0</v>
      </c>
      <c r="Q589" t="str">
        <f t="shared" si="9"/>
        <v>08|61</v>
      </c>
    </row>
    <row r="590" spans="1:17" ht="6.45" customHeight="1">
      <c r="A590" t="s">
        <v>1778</v>
      </c>
      <c r="B590">
        <v>62</v>
      </c>
      <c r="C590" t="s">
        <v>27</v>
      </c>
      <c r="D590">
        <v>69</v>
      </c>
      <c r="E590" t="s">
        <v>1051</v>
      </c>
      <c r="F590" t="s">
        <v>5324</v>
      </c>
      <c r="G590" t="str">
        <f>B08_Assessment!A69</f>
        <v>B08-Q7</v>
      </c>
      <c r="H590" t="str">
        <f>B08_Assessment!B69</f>
        <v>Are all rated wall/floor penetrations, sleeves and firestopping identified?</v>
      </c>
      <c r="I590" t="str">
        <f>B08_Assessment!C69</f>
        <v>GC / Firestop</v>
      </c>
      <c r="J590" t="str">
        <f>B08_Assessment!D69</f>
        <v>Closed</v>
      </c>
      <c r="K590">
        <f>B08_Assessment!E69</f>
        <v>0</v>
      </c>
      <c r="L590">
        <f>B08_Assessment!F69</f>
        <v>0</v>
      </c>
      <c r="M590" t="str">
        <f>B08_Assessment!G69</f>
        <v>Fire/smoke spread risk</v>
      </c>
      <c r="N590">
        <f>B08_Assessment!H69</f>
        <v>0</v>
      </c>
      <c r="O590">
        <f>B08_Assessment!I69</f>
        <v>0</v>
      </c>
      <c r="P590">
        <f>B08_Assessment!J69</f>
        <v>0</v>
      </c>
      <c r="Q590" t="str">
        <f t="shared" si="9"/>
        <v>08|62</v>
      </c>
    </row>
    <row r="591" spans="1:17" ht="6.45" customHeight="1">
      <c r="A591" t="s">
        <v>1778</v>
      </c>
      <c r="B591">
        <v>63</v>
      </c>
      <c r="C591" t="s">
        <v>27</v>
      </c>
      <c r="D591">
        <v>70</v>
      </c>
      <c r="E591" t="s">
        <v>1051</v>
      </c>
      <c r="F591" t="s">
        <v>5324</v>
      </c>
      <c r="G591" t="str">
        <f>B08_Assessment!A70</f>
        <v>B08-Q8</v>
      </c>
      <c r="H591" t="str">
        <f>B08_Assessment!B70</f>
        <v>Which hazardous material/abatement steps apply to Level 2 floor penetrations and flooring removal?</v>
      </c>
      <c r="I591" t="str">
        <f>B08_Assessment!C70</f>
        <v>GC / IH / COR</v>
      </c>
      <c r="J591" t="str">
        <f>B08_Assessment!D70</f>
        <v>Closed</v>
      </c>
      <c r="K591">
        <f>B08_Assessment!E70</f>
        <v>0</v>
      </c>
      <c r="L591">
        <f>B08_Assessment!F70</f>
        <v>0</v>
      </c>
      <c r="M591" t="str">
        <f>B08_Assessment!G70</f>
        <v>Work delay or exposure risk</v>
      </c>
      <c r="N591">
        <f>B08_Assessment!H70</f>
        <v>0</v>
      </c>
      <c r="O591">
        <f>B08_Assessment!I70</f>
        <v>0</v>
      </c>
      <c r="P591">
        <f>B08_Assessment!J70</f>
        <v>0</v>
      </c>
      <c r="Q591" t="str">
        <f t="shared" si="9"/>
        <v>08|63</v>
      </c>
    </row>
    <row r="592" spans="1:17" ht="6.45" customHeight="1">
      <c r="A592" t="s">
        <v>1778</v>
      </c>
      <c r="B592">
        <v>64</v>
      </c>
      <c r="C592" t="s">
        <v>27</v>
      </c>
      <c r="D592">
        <v>71</v>
      </c>
      <c r="E592" t="s">
        <v>1051</v>
      </c>
      <c r="F592" t="s">
        <v>5325</v>
      </c>
      <c r="G592">
        <f>B08_Assessment!A71</f>
        <v>0</v>
      </c>
      <c r="H592">
        <f>B08_Assessment!B71</f>
        <v>0</v>
      </c>
      <c r="I592">
        <f>B08_Assessment!C71</f>
        <v>0</v>
      </c>
      <c r="J592">
        <f>B08_Assessment!D71</f>
        <v>0</v>
      </c>
      <c r="K592">
        <f>B08_Assessment!E71</f>
        <v>0</v>
      </c>
      <c r="L592">
        <f>B08_Assessment!F71</f>
        <v>0</v>
      </c>
      <c r="M592">
        <f>B08_Assessment!G71</f>
        <v>0</v>
      </c>
      <c r="N592">
        <f>B08_Assessment!H71</f>
        <v>0</v>
      </c>
      <c r="O592">
        <f>B08_Assessment!I71</f>
        <v>0</v>
      </c>
      <c r="P592">
        <f>B08_Assessment!J71</f>
        <v>0</v>
      </c>
      <c r="Q592" t="str">
        <f t="shared" si="9"/>
        <v>08|64</v>
      </c>
    </row>
    <row r="593" spans="1:17" ht="6.45" customHeight="1">
      <c r="A593" t="s">
        <v>1778</v>
      </c>
      <c r="B593">
        <v>65</v>
      </c>
      <c r="C593" t="s">
        <v>27</v>
      </c>
      <c r="D593">
        <v>72</v>
      </c>
      <c r="E593" t="s">
        <v>1052</v>
      </c>
      <c r="F593" t="s">
        <v>5322</v>
      </c>
      <c r="G593" t="str">
        <f>B08_Assessment!A72</f>
        <v>10. PHOTO LOG</v>
      </c>
      <c r="H593">
        <f>B08_Assessment!B72</f>
        <v>0</v>
      </c>
      <c r="I593">
        <f>B08_Assessment!C72</f>
        <v>0</v>
      </c>
      <c r="J593">
        <f>B08_Assessment!D72</f>
        <v>0</v>
      </c>
      <c r="K593">
        <f>B08_Assessment!E72</f>
        <v>0</v>
      </c>
      <c r="L593">
        <f>B08_Assessment!F72</f>
        <v>0</v>
      </c>
      <c r="M593">
        <f>B08_Assessment!G72</f>
        <v>0</v>
      </c>
      <c r="N593">
        <f>B08_Assessment!H72</f>
        <v>0</v>
      </c>
      <c r="O593">
        <f>B08_Assessment!I72</f>
        <v>0</v>
      </c>
      <c r="P593">
        <f>B08_Assessment!J72</f>
        <v>0</v>
      </c>
      <c r="Q593" t="str">
        <f t="shared" si="9"/>
        <v>08|65</v>
      </c>
    </row>
    <row r="594" spans="1:17" ht="6.45" customHeight="1">
      <c r="A594" t="s">
        <v>1778</v>
      </c>
      <c r="B594">
        <v>66</v>
      </c>
      <c r="C594" t="s">
        <v>27</v>
      </c>
      <c r="D594">
        <v>73</v>
      </c>
      <c r="E594" t="s">
        <v>1052</v>
      </c>
      <c r="F594" t="s">
        <v>5323</v>
      </c>
      <c r="G594" t="str">
        <f>B08_Assessment!A73</f>
        <v>Photo ID</v>
      </c>
      <c r="H594" t="str">
        <f>B08_Assessment!B73</f>
        <v>Room</v>
      </c>
      <c r="I594" t="str">
        <f>B08_Assessment!C73</f>
        <v>Category</v>
      </c>
      <c r="J594" t="str">
        <f>B08_Assessment!D73</f>
        <v>Description</v>
      </c>
      <c r="K594" t="str">
        <f>B08_Assessment!E73</f>
        <v>Date</v>
      </c>
      <c r="L594" t="str">
        <f>B08_Assessment!F73</f>
        <v>Taken By</v>
      </c>
      <c r="M594" t="str">
        <f>B08_Assessment!G73</f>
        <v>File / Link</v>
      </c>
      <c r="N594" t="str">
        <f>B08_Assessment!H73</f>
        <v>Related Risk</v>
      </c>
      <c r="O594" t="str">
        <f>B08_Assessment!I73</f>
        <v>Status</v>
      </c>
      <c r="P594" t="str">
        <f>B08_Assessment!J73</f>
        <v>Notes</v>
      </c>
      <c r="Q594" t="str">
        <f t="shared" si="9"/>
        <v>08|66</v>
      </c>
    </row>
    <row r="595" spans="1:17" ht="6.45" customHeight="1">
      <c r="A595" t="s">
        <v>1778</v>
      </c>
      <c r="B595">
        <v>67</v>
      </c>
      <c r="C595" t="s">
        <v>27</v>
      </c>
      <c r="D595">
        <v>74</v>
      </c>
      <c r="E595" t="s">
        <v>1052</v>
      </c>
      <c r="F595" t="s">
        <v>5324</v>
      </c>
      <c r="G595" t="str">
        <f>B08_Assessment!A74</f>
        <v>B08-P001</v>
      </c>
      <c r="H595" t="str">
        <f>B08_Assessment!B74</f>
        <v>B-15</v>
      </c>
      <c r="I595" t="str">
        <f>B08_Assessment!C74</f>
        <v>Existing Condition</v>
      </c>
      <c r="J595" t="str">
        <f>B08_Assessment!D74</f>
        <v>Existing basement TE, legacy patch panels, Fiber LIU, floor UPS and pathways</v>
      </c>
      <c r="K595">
        <f>B08_Assessment!E74</f>
        <v>0</v>
      </c>
      <c r="L595" t="str">
        <f>B08_Assessment!F74</f>
        <v>Paul</v>
      </c>
      <c r="M595">
        <f>B08_Assessment!G74</f>
        <v>0</v>
      </c>
      <c r="N595" t="str">
        <f>B08_Assessment!H74</f>
        <v>B08-R1/B08-R2</v>
      </c>
      <c r="O595" t="str">
        <f>B08_Assessment!I74</f>
        <v>Closed</v>
      </c>
      <c r="P595">
        <f>B08_Assessment!J74</f>
        <v>0</v>
      </c>
      <c r="Q595" t="str">
        <f t="shared" si="9"/>
        <v>08|67</v>
      </c>
    </row>
    <row r="596" spans="1:17" ht="6.45" customHeight="1">
      <c r="A596" t="s">
        <v>1778</v>
      </c>
      <c r="B596">
        <v>68</v>
      </c>
      <c r="C596" t="s">
        <v>27</v>
      </c>
      <c r="D596">
        <v>75</v>
      </c>
      <c r="E596" t="s">
        <v>1052</v>
      </c>
      <c r="F596" t="s">
        <v>5324</v>
      </c>
      <c r="G596" t="str">
        <f>B08_Assessment!A75</f>
        <v>B08-P002</v>
      </c>
      <c r="H596" t="str">
        <f>B08_Assessment!B75</f>
        <v>B12B</v>
      </c>
      <c r="I596" t="str">
        <f>B08_Assessment!C75</f>
        <v>Existing Condition</v>
      </c>
      <c r="J596" t="str">
        <f>B08_Assessment!D75</f>
        <v>Basement B12B office/TE location, door, pathways, receptacles, panel source and penetrations</v>
      </c>
      <c r="K596">
        <f>B08_Assessment!E75</f>
        <v>0</v>
      </c>
      <c r="L596" t="str">
        <f>B08_Assessment!F75</f>
        <v>Paul</v>
      </c>
      <c r="M596">
        <f>B08_Assessment!G75</f>
        <v>0</v>
      </c>
      <c r="N596" t="str">
        <f>B08_Assessment!H75</f>
        <v>B08-R3</v>
      </c>
      <c r="O596" t="str">
        <f>B08_Assessment!I75</f>
        <v>Closed</v>
      </c>
      <c r="P596">
        <f>B08_Assessment!J75</f>
        <v>0</v>
      </c>
      <c r="Q596" t="str">
        <f t="shared" si="9"/>
        <v>08|68</v>
      </c>
    </row>
    <row r="597" spans="1:17" ht="6.45" customHeight="1">
      <c r="A597" t="s">
        <v>1778</v>
      </c>
      <c r="B597">
        <v>69</v>
      </c>
      <c r="C597" t="s">
        <v>27</v>
      </c>
      <c r="D597">
        <v>76</v>
      </c>
      <c r="E597" t="s">
        <v>1052</v>
      </c>
      <c r="F597" t="s">
        <v>5324</v>
      </c>
      <c r="G597" t="str">
        <f>B08_Assessment!A76</f>
        <v>B08-P003</v>
      </c>
      <c r="H597" t="str">
        <f>B08_Assessment!B76</f>
        <v>2065A</v>
      </c>
      <c r="I597" t="str">
        <f>B08_Assessment!C76</f>
        <v>Existing Condition</v>
      </c>
      <c r="J597" t="str">
        <f>B08_Assessment!D76</f>
        <v>Second-floor TR 2065A room, door/walls/ceiling/floor, exterior furring/window, penetrations</v>
      </c>
      <c r="K597">
        <f>B08_Assessment!E76</f>
        <v>0</v>
      </c>
      <c r="L597" t="str">
        <f>B08_Assessment!F76</f>
        <v>Paul</v>
      </c>
      <c r="M597">
        <f>B08_Assessment!G76</f>
        <v>0</v>
      </c>
      <c r="N597" t="str">
        <f>B08_Assessment!H76</f>
        <v>B08-R4</v>
      </c>
      <c r="O597" t="str">
        <f>B08_Assessment!I76</f>
        <v>Closed</v>
      </c>
      <c r="P597">
        <f>B08_Assessment!J76</f>
        <v>0</v>
      </c>
      <c r="Q597" t="str">
        <f t="shared" si="9"/>
        <v>08|69</v>
      </c>
    </row>
    <row r="598" spans="1:17" ht="6.45" customHeight="1">
      <c r="A598" t="s">
        <v>1778</v>
      </c>
      <c r="B598">
        <v>70</v>
      </c>
      <c r="C598" t="s">
        <v>27</v>
      </c>
      <c r="D598">
        <v>77</v>
      </c>
      <c r="E598" t="s">
        <v>1052</v>
      </c>
      <c r="F598" t="s">
        <v>5324</v>
      </c>
      <c r="G598" t="str">
        <f>B08_Assessment!A77</f>
        <v>B08-P004</v>
      </c>
      <c r="H598" t="str">
        <f>B08_Assessment!B77</f>
        <v>All</v>
      </c>
      <c r="I598" t="str">
        <f>B08_Assessment!C77</f>
        <v>Firestop</v>
      </c>
      <c r="J598" t="str">
        <f>B08_Assessment!D77</f>
        <v>All wall/floor/sleeve/tray penetrations before and after firestop</v>
      </c>
      <c r="K598">
        <f>B08_Assessment!E77</f>
        <v>0</v>
      </c>
      <c r="L598" t="str">
        <f>B08_Assessment!F77</f>
        <v>Paul</v>
      </c>
      <c r="M598">
        <f>B08_Assessment!G77</f>
        <v>0</v>
      </c>
      <c r="N598" t="str">
        <f>B08_Assessment!H77</f>
        <v>B08-R7</v>
      </c>
      <c r="O598" t="str">
        <f>B08_Assessment!I77</f>
        <v>Closed</v>
      </c>
      <c r="P598">
        <f>B08_Assessment!J77</f>
        <v>0</v>
      </c>
      <c r="Q598" t="str">
        <f t="shared" si="9"/>
        <v>08|70</v>
      </c>
    </row>
    <row r="599" spans="1:17" ht="6.45" customHeight="1">
      <c r="A599" t="s">
        <v>1778</v>
      </c>
      <c r="B599">
        <v>71</v>
      </c>
      <c r="C599" t="s">
        <v>27</v>
      </c>
      <c r="D599">
        <v>78</v>
      </c>
      <c r="E599" t="s">
        <v>1052</v>
      </c>
      <c r="F599" t="s">
        <v>5324</v>
      </c>
      <c r="G599" t="str">
        <f>B08_Assessment!A78</f>
        <v>B08-P005</v>
      </c>
      <c r="H599" t="str">
        <f>B08_Assessment!B78</f>
        <v>2065A</v>
      </c>
      <c r="I599" t="str">
        <f>B08_Assessment!C78</f>
        <v>HVAC</v>
      </c>
      <c r="J599" t="str">
        <f>B08_Assessment!D78</f>
        <v>IU-2-01/CU-2-01, condensate, thermostat, BACnet adapter, disconnects, high-temp alarm and power</v>
      </c>
      <c r="K599">
        <f>B08_Assessment!E78</f>
        <v>0</v>
      </c>
      <c r="L599" t="str">
        <f>B08_Assessment!F78</f>
        <v>Paul</v>
      </c>
      <c r="M599">
        <f>B08_Assessment!G78</f>
        <v>0</v>
      </c>
      <c r="N599" t="str">
        <f>B08_Assessment!H78</f>
        <v>B08-R5</v>
      </c>
      <c r="O599" t="str">
        <f>B08_Assessment!I78</f>
        <v>Closed</v>
      </c>
      <c r="P599">
        <f>B08_Assessment!J78</f>
        <v>0</v>
      </c>
      <c r="Q599" t="str">
        <f t="shared" si="9"/>
        <v>08|71</v>
      </c>
    </row>
    <row r="600" spans="1:17" ht="6.45" customHeight="1">
      <c r="A600" t="s">
        <v>1778</v>
      </c>
      <c r="B600">
        <v>72</v>
      </c>
      <c r="C600" t="s">
        <v>27</v>
      </c>
      <c r="D600">
        <v>79</v>
      </c>
      <c r="E600" t="s">
        <v>1052</v>
      </c>
      <c r="F600" t="s">
        <v>5324</v>
      </c>
      <c r="G600" t="str">
        <f>B08_Assessment!A79</f>
        <v>B08-P006</v>
      </c>
      <c r="H600" t="str">
        <f>B08_Assessment!B79</f>
        <v>All</v>
      </c>
      <c r="I600" t="str">
        <f>B08_Assessment!C79</f>
        <v>Electrical</v>
      </c>
      <c r="J600" t="str">
        <f>B08_Assessment!D79</f>
        <v>B08-TR2065AA/AB panels, breakers, SPD, rack receptacles, TE receptacle B12B and labels</v>
      </c>
      <c r="K600">
        <f>B08_Assessment!E79</f>
        <v>0</v>
      </c>
      <c r="L600" t="str">
        <f>B08_Assessment!F79</f>
        <v>Paul</v>
      </c>
      <c r="M600">
        <f>B08_Assessment!G79</f>
        <v>0</v>
      </c>
      <c r="N600" t="str">
        <f>B08_Assessment!H79</f>
        <v>B08-R6</v>
      </c>
      <c r="O600" t="str">
        <f>B08_Assessment!I79</f>
        <v>Closed</v>
      </c>
      <c r="P600">
        <f>B08_Assessment!J79</f>
        <v>0</v>
      </c>
      <c r="Q600" t="str">
        <f t="shared" si="9"/>
        <v>08|72</v>
      </c>
    </row>
    <row r="601" spans="1:17" ht="6.45" customHeight="1">
      <c r="A601" t="s">
        <v>1778</v>
      </c>
      <c r="B601">
        <v>73</v>
      </c>
      <c r="C601" t="s">
        <v>27</v>
      </c>
      <c r="D601">
        <v>80</v>
      </c>
      <c r="E601" t="s">
        <v>1052</v>
      </c>
      <c r="F601" t="s">
        <v>5324</v>
      </c>
      <c r="G601" t="str">
        <f>B08_Assessment!A80</f>
        <v>B08-P007</v>
      </c>
      <c r="H601" t="str">
        <f>B08_Assessment!B80</f>
        <v>All</v>
      </c>
      <c r="I601" t="str">
        <f>B08_Assessment!C80</f>
        <v>Telecom</v>
      </c>
      <c r="J601" t="str">
        <f>B08_Assessment!D80</f>
        <v>B-15 legacy equipment, B12B TE schedule, 2065A racks, fiber, Cat6A, patch panels, LIU, labels and test records</v>
      </c>
      <c r="K601">
        <f>B08_Assessment!E80</f>
        <v>0</v>
      </c>
      <c r="L601" t="str">
        <f>B08_Assessment!F80</f>
        <v>Paul</v>
      </c>
      <c r="M601">
        <f>B08_Assessment!G80</f>
        <v>0</v>
      </c>
      <c r="N601" t="str">
        <f>B08_Assessment!H80</f>
        <v>B08-R2/B08-R8</v>
      </c>
      <c r="O601" t="str">
        <f>B08_Assessment!I80</f>
        <v>Closed</v>
      </c>
      <c r="P601">
        <f>B08_Assessment!J80</f>
        <v>0</v>
      </c>
      <c r="Q601" t="str">
        <f t="shared" si="9"/>
        <v>08|73</v>
      </c>
    </row>
    <row r="602" spans="1:17" ht="6.45" customHeight="1">
      <c r="A602" t="s">
        <v>1778</v>
      </c>
      <c r="B602">
        <v>74</v>
      </c>
      <c r="C602" t="s">
        <v>27</v>
      </c>
      <c r="D602">
        <v>81</v>
      </c>
      <c r="E602" t="s">
        <v>1052</v>
      </c>
      <c r="F602" t="s">
        <v>5324</v>
      </c>
      <c r="G602" t="str">
        <f>B08_Assessment!A81</f>
        <v>B08-P008</v>
      </c>
      <c r="H602" t="str">
        <f>B08_Assessment!B81</f>
        <v>All</v>
      </c>
      <c r="I602" t="str">
        <f>B08_Assessment!C81</f>
        <v>Security</v>
      </c>
      <c r="J602" t="str">
        <f>B08_Assessment!D81</f>
        <v>Card reader, electric strike, door position, CCTV/PACS and motion sensors</v>
      </c>
      <c r="K602">
        <f>B08_Assessment!E81</f>
        <v>0</v>
      </c>
      <c r="L602" t="str">
        <f>B08_Assessment!F81</f>
        <v>Paul</v>
      </c>
      <c r="M602">
        <f>B08_Assessment!G81</f>
        <v>0</v>
      </c>
      <c r="N602" t="str">
        <f>B08_Assessment!H81</f>
        <v>B08-R4</v>
      </c>
      <c r="O602" t="str">
        <f>B08_Assessment!I81</f>
        <v>Closed</v>
      </c>
      <c r="P602">
        <f>B08_Assessment!J81</f>
        <v>0</v>
      </c>
      <c r="Q602" t="str">
        <f t="shared" si="9"/>
        <v>08|74</v>
      </c>
    </row>
    <row r="603" spans="1:17" ht="6.45" customHeight="1">
      <c r="A603" t="s">
        <v>1778</v>
      </c>
      <c r="B603">
        <v>75</v>
      </c>
      <c r="C603" t="s">
        <v>27</v>
      </c>
      <c r="D603">
        <v>82</v>
      </c>
      <c r="E603" t="s">
        <v>1052</v>
      </c>
      <c r="F603" t="s">
        <v>5325</v>
      </c>
      <c r="G603">
        <f>B08_Assessment!A82</f>
        <v>0</v>
      </c>
      <c r="H603">
        <f>B08_Assessment!B82</f>
        <v>0</v>
      </c>
      <c r="I603">
        <f>B08_Assessment!C82</f>
        <v>0</v>
      </c>
      <c r="J603">
        <f>B08_Assessment!D82</f>
        <v>0</v>
      </c>
      <c r="K603">
        <f>B08_Assessment!E82</f>
        <v>0</v>
      </c>
      <c r="L603">
        <f>B08_Assessment!F82</f>
        <v>0</v>
      </c>
      <c r="M603">
        <f>B08_Assessment!G82</f>
        <v>0</v>
      </c>
      <c r="N603">
        <f>B08_Assessment!H82</f>
        <v>0</v>
      </c>
      <c r="O603">
        <f>B08_Assessment!I82</f>
        <v>0</v>
      </c>
      <c r="P603">
        <f>B08_Assessment!J82</f>
        <v>0</v>
      </c>
      <c r="Q603" t="str">
        <f t="shared" si="9"/>
        <v>08|75</v>
      </c>
    </row>
    <row r="604" spans="1:17" ht="6.45" customHeight="1">
      <c r="A604" t="s">
        <v>1884</v>
      </c>
      <c r="B604">
        <v>1</v>
      </c>
      <c r="C604" t="s">
        <v>29</v>
      </c>
      <c r="D604">
        <v>8</v>
      </c>
      <c r="E604" t="s">
        <v>918</v>
      </c>
      <c r="F604" t="s">
        <v>5322</v>
      </c>
      <c r="G604" t="str">
        <f>B09_Assessment!A7</f>
        <v>1. ROOM INVENTORY</v>
      </c>
      <c r="H604">
        <f>B09_Assessment!B8</f>
        <v>0</v>
      </c>
      <c r="I604">
        <f>B09_Assessment!C8</f>
        <v>0</v>
      </c>
      <c r="J604">
        <f>B09_Assessment!D8</f>
        <v>0</v>
      </c>
      <c r="K604">
        <f>B09_Assessment!E8</f>
        <v>0</v>
      </c>
      <c r="L604">
        <f>B09_Assessment!F8</f>
        <v>0</v>
      </c>
      <c r="M604">
        <f>B09_Assessment!G8</f>
        <v>0</v>
      </c>
      <c r="N604">
        <f>B09_Assessment!H8</f>
        <v>0</v>
      </c>
      <c r="O604">
        <f>B09_Assessment!I8</f>
        <v>0</v>
      </c>
      <c r="P604">
        <f>B09_Assessment!J8</f>
        <v>0</v>
      </c>
      <c r="Q604" t="str">
        <f t="shared" si="9"/>
        <v>09|1</v>
      </c>
    </row>
    <row r="605" spans="1:17" ht="6.45" customHeight="1">
      <c r="A605" t="s">
        <v>1884</v>
      </c>
      <c r="B605">
        <v>2</v>
      </c>
      <c r="C605" t="s">
        <v>29</v>
      </c>
      <c r="D605">
        <v>9</v>
      </c>
      <c r="E605" t="s">
        <v>918</v>
      </c>
      <c r="F605" t="s">
        <v>5323</v>
      </c>
      <c r="G605" t="str">
        <f>B09_Assessment!A9</f>
        <v>Building</v>
      </c>
      <c r="H605" t="str">
        <f>B09_Assessment!B9</f>
        <v>Room</v>
      </c>
      <c r="I605" t="str">
        <f>B09_Assessment!C9</f>
        <v>Floor</v>
      </c>
      <c r="J605" t="str">
        <f>B09_Assessment!D9</f>
        <v>Existing Use</v>
      </c>
      <c r="K605" t="str">
        <f>B09_Assessment!E9</f>
        <v>New Use</v>
      </c>
      <c r="L605" t="str">
        <f>B09_Assessment!F9</f>
        <v>Rack Count</v>
      </c>
      <c r="M605" t="str">
        <f>B09_Assessment!G9</f>
        <v>Future Rack</v>
      </c>
      <c r="N605" t="str">
        <f>B09_Assessment!H9</f>
        <v>Status</v>
      </c>
      <c r="O605" t="str">
        <f>B09_Assessment!I9</f>
        <v>Drawing Ref</v>
      </c>
      <c r="P605" t="str">
        <f>B09_Assessment!J9</f>
        <v>Notes</v>
      </c>
      <c r="Q605" t="str">
        <f t="shared" si="9"/>
        <v>09|2</v>
      </c>
    </row>
    <row r="606" spans="1:17" ht="6.45" customHeight="1">
      <c r="A606" t="s">
        <v>1884</v>
      </c>
      <c r="B606">
        <v>3</v>
      </c>
      <c r="C606" t="s">
        <v>29</v>
      </c>
      <c r="D606">
        <v>10</v>
      </c>
      <c r="E606" t="s">
        <v>918</v>
      </c>
      <c r="F606" t="s">
        <v>5324</v>
      </c>
      <c r="G606" t="str">
        <f>B09_Assessment!A10</f>
        <v>09</v>
      </c>
      <c r="H606" t="str">
        <f>B09_Assessment!B10</f>
        <v>B01</v>
      </c>
      <c r="I606" t="str">
        <f>B09_Assessment!C10</f>
        <v>Basement</v>
      </c>
      <c r="J606" t="str">
        <f>B09_Assessment!D10</f>
        <v>Storage / existing telecom equipment area</v>
      </c>
      <c r="K606" t="str">
        <f>B09_Assessment!E10</f>
        <v>Telecom Room</v>
      </c>
      <c r="L606">
        <f>B09_Assessment!F10</f>
        <v>2</v>
      </c>
      <c r="M606">
        <f>B09_Assessment!G10</f>
        <v>0</v>
      </c>
      <c r="N606" t="str">
        <f>B09_Assessment!H10</f>
        <v>Verify</v>
      </c>
      <c r="O606" t="str">
        <f>B09_Assessment!I10</f>
        <v>09A-400 / 09E-402 / 09T-604 / 09E-701</v>
      </c>
      <c r="P606" t="str">
        <f>B09_Assessment!J10</f>
        <v>Telecom Room B01, 200 SF; existing/new telecom equipment shown with panels B09-TRB01A/B and cooling circuits CU-0-1, CU-1-1, CU-2-1 in electrical schedule/enlarged plans.</v>
      </c>
      <c r="Q606" t="str">
        <f t="shared" si="9"/>
        <v>09|3</v>
      </c>
    </row>
    <row r="607" spans="1:17" ht="6.45" customHeight="1">
      <c r="A607" t="s">
        <v>1884</v>
      </c>
      <c r="B607">
        <v>4</v>
      </c>
      <c r="C607" t="s">
        <v>29</v>
      </c>
      <c r="D607">
        <v>11</v>
      </c>
      <c r="E607" t="s">
        <v>918</v>
      </c>
      <c r="F607" t="s">
        <v>5324</v>
      </c>
      <c r="G607" t="str">
        <f>B09_Assessment!A11</f>
        <v>09</v>
      </c>
      <c r="H607" t="str">
        <f>B09_Assessment!B11</f>
        <v>104B</v>
      </c>
      <c r="I607" t="str">
        <f>B09_Assessment!C11</f>
        <v>First</v>
      </c>
      <c r="J607" t="str">
        <f>B09_Assessment!D11</f>
        <v>Interview room / existing area converted</v>
      </c>
      <c r="K607" t="str">
        <f>B09_Assessment!E11</f>
        <v>Telecom Room</v>
      </c>
      <c r="L607">
        <f>B09_Assessment!F11</f>
        <v>2</v>
      </c>
      <c r="M607">
        <f>B09_Assessment!G11</f>
        <v>0</v>
      </c>
      <c r="N607" t="str">
        <f>B09_Assessment!H11</f>
        <v>Verify</v>
      </c>
      <c r="O607" t="str">
        <f>B09_Assessment!I11</f>
        <v>09A-401 / 09E-401 / 09T-604 / 09E-701</v>
      </c>
      <c r="P607" t="str">
        <f>B09_Assessment!J11</f>
        <v>Telecom Room 104B, 85 SF; panels B09-TR104BA/B shown; first-level enlarged plans identify access control/security devices, IU-1-01, and TR receptacle/rack circuiting.</v>
      </c>
      <c r="Q607" t="str">
        <f t="shared" si="9"/>
        <v>09|4</v>
      </c>
    </row>
    <row r="608" spans="1:17" ht="6.45" customHeight="1">
      <c r="A608" t="s">
        <v>1884</v>
      </c>
      <c r="B608">
        <v>5</v>
      </c>
      <c r="C608" t="s">
        <v>29</v>
      </c>
      <c r="D608">
        <v>12</v>
      </c>
      <c r="E608" t="s">
        <v>918</v>
      </c>
      <c r="F608" t="s">
        <v>5324</v>
      </c>
      <c r="G608" t="str">
        <f>B09_Assessment!A12</f>
        <v>09</v>
      </c>
      <c r="H608" t="str">
        <f>B09_Assessment!B12</f>
        <v>206A</v>
      </c>
      <c r="I608" t="str">
        <f>B09_Assessment!C12</f>
        <v>Second</v>
      </c>
      <c r="J608" t="str">
        <f>B09_Assessment!D12</f>
        <v>Nursing service / adjacent office area</v>
      </c>
      <c r="K608" t="str">
        <f>B09_Assessment!E12</f>
        <v>Telecom Room</v>
      </c>
      <c r="L608">
        <f>B09_Assessment!F12</f>
        <v>2</v>
      </c>
      <c r="M608">
        <f>B09_Assessment!G12</f>
        <v>0</v>
      </c>
      <c r="N608" t="str">
        <f>B09_Assessment!H12</f>
        <v>Verify</v>
      </c>
      <c r="O608" t="str">
        <f>B09_Assessment!I12</f>
        <v>09A-401 / 09E-401 / 09T-604 / 09E-701</v>
      </c>
      <c r="P608" t="str">
        <f>B09_Assessment!J12</f>
        <v>Telecom Room 206A, 120 SF; panels B09-TR206AA/B shown; second-level enlarged plans identify IU-2-01, TR circuits, security devices, and room layout adjacent to Nursing Service 206.</v>
      </c>
      <c r="Q608" t="str">
        <f t="shared" si="9"/>
        <v>09|5</v>
      </c>
    </row>
    <row r="609" spans="1:17" ht="6.45" customHeight="1">
      <c r="A609" t="s">
        <v>1884</v>
      </c>
      <c r="B609">
        <v>6</v>
      </c>
      <c r="C609" t="s">
        <v>29</v>
      </c>
      <c r="D609">
        <v>13</v>
      </c>
      <c r="E609" t="s">
        <v>918</v>
      </c>
      <c r="F609" t="s">
        <v>5325</v>
      </c>
      <c r="G609">
        <f>B09_Assessment!A13</f>
        <v>0</v>
      </c>
      <c r="H609">
        <f>B09_Assessment!B13</f>
        <v>0</v>
      </c>
      <c r="I609">
        <f>B09_Assessment!C13</f>
        <v>0</v>
      </c>
      <c r="J609">
        <f>B09_Assessment!D13</f>
        <v>0</v>
      </c>
      <c r="K609">
        <f>B09_Assessment!E13</f>
        <v>0</v>
      </c>
      <c r="L609">
        <f>B09_Assessment!F13</f>
        <v>0</v>
      </c>
      <c r="M609">
        <f>B09_Assessment!G13</f>
        <v>0</v>
      </c>
      <c r="N609">
        <f>B09_Assessment!H13</f>
        <v>0</v>
      </c>
      <c r="O609">
        <f>B09_Assessment!I13</f>
        <v>0</v>
      </c>
      <c r="P609">
        <f>B09_Assessment!J13</f>
        <v>0</v>
      </c>
      <c r="Q609" t="str">
        <f t="shared" si="9"/>
        <v>09|6</v>
      </c>
    </row>
    <row r="610" spans="1:17" ht="6.45" customHeight="1">
      <c r="A610" t="s">
        <v>1884</v>
      </c>
      <c r="B610">
        <v>7</v>
      </c>
      <c r="C610" t="s">
        <v>29</v>
      </c>
      <c r="D610">
        <v>14</v>
      </c>
      <c r="E610" t="s">
        <v>936</v>
      </c>
      <c r="F610" t="s">
        <v>5322</v>
      </c>
      <c r="G610" t="str">
        <f>B09_Assessment!A14</f>
        <v>2. ROOM READINESS</v>
      </c>
      <c r="H610">
        <f>B09_Assessment!B14</f>
        <v>0</v>
      </c>
      <c r="I610">
        <f>B09_Assessment!C14</f>
        <v>0</v>
      </c>
      <c r="J610">
        <f>B09_Assessment!D14</f>
        <v>0</v>
      </c>
      <c r="K610">
        <f>B09_Assessment!E14</f>
        <v>0</v>
      </c>
      <c r="L610">
        <f>B09_Assessment!F14</f>
        <v>0</v>
      </c>
      <c r="M610">
        <f>B09_Assessment!G14</f>
        <v>0</v>
      </c>
      <c r="N610">
        <f>B09_Assessment!H14</f>
        <v>0</v>
      </c>
      <c r="O610">
        <f>B09_Assessment!I14</f>
        <v>0</v>
      </c>
      <c r="P610">
        <f>B09_Assessment!J14</f>
        <v>0</v>
      </c>
      <c r="Q610" t="str">
        <f t="shared" si="9"/>
        <v>09|7</v>
      </c>
    </row>
    <row r="611" spans="1:17" ht="6.45" customHeight="1">
      <c r="A611" t="s">
        <v>1884</v>
      </c>
      <c r="B611">
        <v>8</v>
      </c>
      <c r="C611" t="s">
        <v>29</v>
      </c>
      <c r="D611">
        <v>15</v>
      </c>
      <c r="E611" t="s">
        <v>936</v>
      </c>
      <c r="F611" t="s">
        <v>5323</v>
      </c>
      <c r="G611" t="str">
        <f>B09_Assessment!A15</f>
        <v>Room</v>
      </c>
      <c r="H611" t="str">
        <f>B09_Assessment!B15</f>
        <v>Walls / 1-hr Rating</v>
      </c>
      <c r="I611" t="str">
        <f>B09_Assessment!C15</f>
        <v>Ceiling</v>
      </c>
      <c r="J611" t="str">
        <f>B09_Assessment!D15</f>
        <v>Floor / SDC</v>
      </c>
      <c r="K611" t="str">
        <f>B09_Assessment!E15</f>
        <v>Penetrations</v>
      </c>
      <c r="L611" t="str">
        <f>B09_Assessment!F15</f>
        <v>Access Control</v>
      </c>
      <c r="M611" t="str">
        <f>B09_Assessment!G15</f>
        <v>Clearances</v>
      </c>
      <c r="N611" t="str">
        <f>B09_Assessment!H15</f>
        <v>Housekeeping</v>
      </c>
      <c r="O611" t="str">
        <f>B09_Assessment!I15</f>
        <v>Overall</v>
      </c>
      <c r="P611" t="str">
        <f>B09_Assessment!J15</f>
        <v>Comments</v>
      </c>
      <c r="Q611" t="str">
        <f t="shared" si="9"/>
        <v>09|8</v>
      </c>
    </row>
    <row r="612" spans="1:17" ht="6.45" customHeight="1">
      <c r="A612" t="s">
        <v>1884</v>
      </c>
      <c r="B612">
        <v>9</v>
      </c>
      <c r="C612" t="s">
        <v>29</v>
      </c>
      <c r="D612">
        <v>16</v>
      </c>
      <c r="E612" t="s">
        <v>936</v>
      </c>
      <c r="F612" t="s">
        <v>5324</v>
      </c>
      <c r="G612" t="str">
        <f>B09_Assessment!A16</f>
        <v>B01</v>
      </c>
      <c r="H612" t="str">
        <f>B09_Assessment!B16</f>
        <v>Verify</v>
      </c>
      <c r="I612" t="str">
        <f>B09_Assessment!C16</f>
        <v>Verify</v>
      </c>
      <c r="J612" t="str">
        <f>B09_Assessment!D16</f>
        <v>Verify</v>
      </c>
      <c r="K612" t="str">
        <f>B09_Assessment!E16</f>
        <v>Verify</v>
      </c>
      <c r="L612" t="str">
        <f>B09_Assessment!F16</f>
        <v>Verify</v>
      </c>
      <c r="M612" t="str">
        <f>B09_Assessment!G16</f>
        <v>Verify</v>
      </c>
      <c r="N612" t="str">
        <f>B09_Assessment!H16</f>
        <v>Verify</v>
      </c>
      <c r="O612" t="str">
        <f>B09_Assessment!I16</f>
        <v>Verify</v>
      </c>
      <c r="P612" t="str">
        <f>B09_Assessment!J16</f>
        <v>Basement TR; verify existing storage-to-TR conversion, wall/ceiling/floor condition, active equipment, pathways, and clearances.</v>
      </c>
      <c r="Q612" t="str">
        <f t="shared" si="9"/>
        <v>09|9</v>
      </c>
    </row>
    <row r="613" spans="1:17" ht="6.45" customHeight="1">
      <c r="A613" t="s">
        <v>1884</v>
      </c>
      <c r="B613">
        <v>10</v>
      </c>
      <c r="C613" t="s">
        <v>29</v>
      </c>
      <c r="D613">
        <v>17</v>
      </c>
      <c r="E613" t="s">
        <v>936</v>
      </c>
      <c r="F613" t="s">
        <v>5324</v>
      </c>
      <c r="G613" t="str">
        <f>B09_Assessment!A17</f>
        <v>104B</v>
      </c>
      <c r="H613" t="str">
        <f>B09_Assessment!B17</f>
        <v>Verify</v>
      </c>
      <c r="I613" t="str">
        <f>B09_Assessment!C17</f>
        <v>Verify</v>
      </c>
      <c r="J613" t="str">
        <f>B09_Assessment!D17</f>
        <v>Verify</v>
      </c>
      <c r="K613" t="str">
        <f>B09_Assessment!E17</f>
        <v>Verify</v>
      </c>
      <c r="L613" t="str">
        <f>B09_Assessment!F17</f>
        <v>Verify</v>
      </c>
      <c r="M613" t="str">
        <f>B09_Assessment!G17</f>
        <v>Verify</v>
      </c>
      <c r="N613" t="str">
        <f>B09_Assessment!H17</f>
        <v>Verify</v>
      </c>
      <c r="O613" t="str">
        <f>B09_Assessment!I17</f>
        <v>Verify</v>
      </c>
      <c r="P613" t="str">
        <f>B09_Assessment!J17</f>
        <v>First-level TR; verify 1-hour fire/smoke-rated wall requirements, 45-minute door/frame, access control, security devices, and equipment clearance.</v>
      </c>
      <c r="Q613" t="str">
        <f t="shared" si="9"/>
        <v>09|10</v>
      </c>
    </row>
    <row r="614" spans="1:17" ht="6.45" customHeight="1">
      <c r="A614" t="s">
        <v>1884</v>
      </c>
      <c r="B614">
        <v>11</v>
      </c>
      <c r="C614" t="s">
        <v>29</v>
      </c>
      <c r="D614">
        <v>18</v>
      </c>
      <c r="E614" t="s">
        <v>936</v>
      </c>
      <c r="F614" t="s">
        <v>5324</v>
      </c>
      <c r="G614" t="str">
        <f>B09_Assessment!A18</f>
        <v>206A</v>
      </c>
      <c r="H614" t="str">
        <f>B09_Assessment!B18</f>
        <v>Verify</v>
      </c>
      <c r="I614" t="str">
        <f>B09_Assessment!C18</f>
        <v>Verify</v>
      </c>
      <c r="J614" t="str">
        <f>B09_Assessment!D18</f>
        <v>Verify</v>
      </c>
      <c r="K614" t="str">
        <f>B09_Assessment!E18</f>
        <v>Verify</v>
      </c>
      <c r="L614" t="str">
        <f>B09_Assessment!F18</f>
        <v>Verify</v>
      </c>
      <c r="M614" t="str">
        <f>B09_Assessment!G18</f>
        <v>Verify</v>
      </c>
      <c r="N614" t="str">
        <f>B09_Assessment!H18</f>
        <v>Verify</v>
      </c>
      <c r="O614" t="str">
        <f>B09_Assessment!I18</f>
        <v>Verify</v>
      </c>
      <c r="P614" t="str">
        <f>B09_Assessment!J18</f>
        <v>Second-level TR; verify rated wall/door, open-to-deck conditions, penetrations, cooling unit, and rack/service clearance.</v>
      </c>
      <c r="Q614" t="str">
        <f t="shared" si="9"/>
        <v>09|11</v>
      </c>
    </row>
    <row r="615" spans="1:17" ht="6.45" customHeight="1">
      <c r="A615" t="s">
        <v>1884</v>
      </c>
      <c r="B615">
        <v>12</v>
      </c>
      <c r="C615" t="s">
        <v>29</v>
      </c>
      <c r="D615">
        <v>19</v>
      </c>
      <c r="E615" t="s">
        <v>936</v>
      </c>
      <c r="F615" t="s">
        <v>5325</v>
      </c>
      <c r="G615">
        <f>B09_Assessment!A19</f>
        <v>0</v>
      </c>
      <c r="H615">
        <f>B09_Assessment!B19</f>
        <v>0</v>
      </c>
      <c r="I615">
        <f>B09_Assessment!C19</f>
        <v>0</v>
      </c>
      <c r="J615">
        <f>B09_Assessment!D19</f>
        <v>0</v>
      </c>
      <c r="K615">
        <f>B09_Assessment!E19</f>
        <v>0</v>
      </c>
      <c r="L615">
        <f>B09_Assessment!F19</f>
        <v>0</v>
      </c>
      <c r="M615">
        <f>B09_Assessment!G19</f>
        <v>0</v>
      </c>
      <c r="N615">
        <f>B09_Assessment!H19</f>
        <v>0</v>
      </c>
      <c r="O615">
        <f>B09_Assessment!I19</f>
        <v>0</v>
      </c>
      <c r="P615">
        <f>B09_Assessment!J19</f>
        <v>0</v>
      </c>
      <c r="Q615" t="str">
        <f t="shared" si="9"/>
        <v>09|12</v>
      </c>
    </row>
    <row r="616" spans="1:17" ht="6.45" customHeight="1">
      <c r="A616" t="s">
        <v>1884</v>
      </c>
      <c r="B616">
        <v>13</v>
      </c>
      <c r="C616" t="s">
        <v>29</v>
      </c>
      <c r="D616">
        <v>20</v>
      </c>
      <c r="E616" t="s">
        <v>951</v>
      </c>
      <c r="F616" t="s">
        <v>5322</v>
      </c>
      <c r="G616" t="str">
        <f>B09_Assessment!A20</f>
        <v>3. FIRE PROTECTION</v>
      </c>
      <c r="H616">
        <f>B09_Assessment!B20</f>
        <v>0</v>
      </c>
      <c r="I616">
        <f>B09_Assessment!C20</f>
        <v>0</v>
      </c>
      <c r="J616">
        <f>B09_Assessment!D20</f>
        <v>0</v>
      </c>
      <c r="K616">
        <f>B09_Assessment!E20</f>
        <v>0</v>
      </c>
      <c r="L616">
        <f>B09_Assessment!F20</f>
        <v>0</v>
      </c>
      <c r="M616">
        <f>B09_Assessment!G20</f>
        <v>0</v>
      </c>
      <c r="N616">
        <f>B09_Assessment!H20</f>
        <v>0</v>
      </c>
      <c r="O616">
        <f>B09_Assessment!I20</f>
        <v>0</v>
      </c>
      <c r="P616">
        <f>B09_Assessment!J20</f>
        <v>0</v>
      </c>
      <c r="Q616" t="str">
        <f t="shared" si="9"/>
        <v>09|13</v>
      </c>
    </row>
    <row r="617" spans="1:17" ht="6.45" customHeight="1">
      <c r="A617" t="s">
        <v>1884</v>
      </c>
      <c r="B617">
        <v>14</v>
      </c>
      <c r="C617" t="s">
        <v>29</v>
      </c>
      <c r="D617">
        <v>21</v>
      </c>
      <c r="E617" t="s">
        <v>951</v>
      </c>
      <c r="F617" t="s">
        <v>5323</v>
      </c>
      <c r="G617" t="str">
        <f>B09_Assessment!A21</f>
        <v>Room</v>
      </c>
      <c r="H617" t="str">
        <f>B09_Assessment!B21</f>
        <v>Sprinkler</v>
      </c>
      <c r="I617" t="str">
        <f>B09_Assessment!C21</f>
        <v>Cage</v>
      </c>
      <c r="J617" t="str">
        <f>B09_Assessment!D21</f>
        <v>Detector</v>
      </c>
      <c r="K617" t="str">
        <f>B09_Assessment!E21</f>
        <v>Horn/Strobe</v>
      </c>
      <c r="L617" t="str">
        <f>B09_Assessment!F21</f>
        <v>Extinguisher &lt;75 ft</v>
      </c>
      <c r="M617" t="str">
        <f>B09_Assessment!G21</f>
        <v>Firestop</v>
      </c>
      <c r="N617" t="str">
        <f>B09_Assessment!H21</f>
        <v>Temp Firestop</v>
      </c>
      <c r="O617" t="str">
        <f>B09_Assessment!I21</f>
        <v>Overall</v>
      </c>
      <c r="P617" t="str">
        <f>B09_Assessment!J21</f>
        <v>Risk / Notes</v>
      </c>
      <c r="Q617" t="str">
        <f t="shared" si="9"/>
        <v>09|14</v>
      </c>
    </row>
    <row r="618" spans="1:17" ht="6.45" customHeight="1">
      <c r="A618" t="s">
        <v>1884</v>
      </c>
      <c r="B618">
        <v>15</v>
      </c>
      <c r="C618" t="s">
        <v>29</v>
      </c>
      <c r="D618">
        <v>22</v>
      </c>
      <c r="E618" t="s">
        <v>951</v>
      </c>
      <c r="F618" t="s">
        <v>5324</v>
      </c>
      <c r="G618" t="str">
        <f>B09_Assessment!A22</f>
        <v>B01</v>
      </c>
      <c r="H618" t="str">
        <f>B09_Assessment!B22</f>
        <v>Verify</v>
      </c>
      <c r="I618" t="str">
        <f>B09_Assessment!C22</f>
        <v>Verify</v>
      </c>
      <c r="J618" t="str">
        <f>B09_Assessment!D22</f>
        <v>Verify</v>
      </c>
      <c r="K618" t="str">
        <f>B09_Assessment!E22</f>
        <v>Verify</v>
      </c>
      <c r="L618" t="str">
        <f>B09_Assessment!F22</f>
        <v>Verify</v>
      </c>
      <c r="M618" t="str">
        <f>B09_Assessment!G22</f>
        <v>Verify</v>
      </c>
      <c r="N618" t="str">
        <f>B09_Assessment!H22</f>
        <v>Verify</v>
      </c>
      <c r="O618" t="str">
        <f>B09_Assessment!I22</f>
        <v>Verify</v>
      </c>
      <c r="P618" t="str">
        <f>B09_Assessment!J22</f>
        <v>Fully sprinklered building; verify sprinkler head coverage, rated penetrations, temporary firestopping, and FEC location for basement TR.</v>
      </c>
      <c r="Q618" t="str">
        <f t="shared" si="9"/>
        <v>09|15</v>
      </c>
    </row>
    <row r="619" spans="1:17" ht="6.45" customHeight="1">
      <c r="A619" t="s">
        <v>1884</v>
      </c>
      <c r="B619">
        <v>16</v>
      </c>
      <c r="C619" t="s">
        <v>29</v>
      </c>
      <c r="D619">
        <v>23</v>
      </c>
      <c r="E619" t="s">
        <v>951</v>
      </c>
      <c r="F619" t="s">
        <v>5324</v>
      </c>
      <c r="G619" t="str">
        <f>B09_Assessment!A23</f>
        <v>104B</v>
      </c>
      <c r="H619" t="str">
        <f>B09_Assessment!B23</f>
        <v>Verify</v>
      </c>
      <c r="I619" t="str">
        <f>B09_Assessment!C23</f>
        <v>Verify</v>
      </c>
      <c r="J619" t="str">
        <f>B09_Assessment!D23</f>
        <v>Verify</v>
      </c>
      <c r="K619" t="str">
        <f>B09_Assessment!E23</f>
        <v>Verify</v>
      </c>
      <c r="L619" t="str">
        <f>B09_Assessment!F23</f>
        <v>Verify</v>
      </c>
      <c r="M619" t="str">
        <f>B09_Assessment!G23</f>
        <v>Verify</v>
      </c>
      <c r="N619" t="str">
        <f>B09_Assessment!H23</f>
        <v>Verify</v>
      </c>
      <c r="O619" t="str">
        <f>B09_Assessment!I23</f>
        <v>Verify</v>
      </c>
      <c r="P619" t="str">
        <f>B09_Assessment!J23</f>
        <v>Fire protection enlarged plan shows Telecom Room 104B and rated wall legend; verify sprinkler/fire alarm modifications and clean-agent extinguisher within 75 ft.</v>
      </c>
      <c r="Q619" t="str">
        <f t="shared" si="9"/>
        <v>09|16</v>
      </c>
    </row>
    <row r="620" spans="1:17" ht="6.45" customHeight="1">
      <c r="A620" t="s">
        <v>1884</v>
      </c>
      <c r="B620">
        <v>17</v>
      </c>
      <c r="C620" t="s">
        <v>29</v>
      </c>
      <c r="D620">
        <v>24</v>
      </c>
      <c r="E620" t="s">
        <v>951</v>
      </c>
      <c r="F620" t="s">
        <v>5324</v>
      </c>
      <c r="G620" t="str">
        <f>B09_Assessment!A24</f>
        <v>206A</v>
      </c>
      <c r="H620" t="str">
        <f>B09_Assessment!B24</f>
        <v>Verify</v>
      </c>
      <c r="I620" t="str">
        <f>B09_Assessment!C24</f>
        <v>Verify</v>
      </c>
      <c r="J620" t="str">
        <f>B09_Assessment!D24</f>
        <v>Verify</v>
      </c>
      <c r="K620" t="str">
        <f>B09_Assessment!E24</f>
        <v>Verify</v>
      </c>
      <c r="L620" t="str">
        <f>B09_Assessment!F24</f>
        <v>Verify</v>
      </c>
      <c r="M620" t="str">
        <f>B09_Assessment!G24</f>
        <v>Verify</v>
      </c>
      <c r="N620" t="str">
        <f>B09_Assessment!H24</f>
        <v>Verify</v>
      </c>
      <c r="O620" t="str">
        <f>B09_Assessment!I24</f>
        <v>Verify</v>
      </c>
      <c r="P620" t="str">
        <f>B09_Assessment!J24</f>
        <v>Fire protection enlarged plan shows Telecom Room 206A; verify sprinkler cage/coverage, fire alarm device relocation/additions, and rated penetrations.</v>
      </c>
      <c r="Q620" t="str">
        <f t="shared" si="9"/>
        <v>09|17</v>
      </c>
    </row>
    <row r="621" spans="1:17" ht="6.45" customHeight="1">
      <c r="A621" t="s">
        <v>1884</v>
      </c>
      <c r="B621">
        <v>18</v>
      </c>
      <c r="C621" t="s">
        <v>29</v>
      </c>
      <c r="D621">
        <v>25</v>
      </c>
      <c r="E621" t="s">
        <v>951</v>
      </c>
      <c r="F621" t="s">
        <v>5325</v>
      </c>
      <c r="G621">
        <f>B09_Assessment!A25</f>
        <v>0</v>
      </c>
      <c r="H621">
        <f>B09_Assessment!B25</f>
        <v>0</v>
      </c>
      <c r="I621">
        <f>B09_Assessment!C25</f>
        <v>0</v>
      </c>
      <c r="J621">
        <f>B09_Assessment!D25</f>
        <v>0</v>
      </c>
      <c r="K621">
        <f>B09_Assessment!E25</f>
        <v>0</v>
      </c>
      <c r="L621">
        <f>B09_Assessment!F25</f>
        <v>0</v>
      </c>
      <c r="M621">
        <f>B09_Assessment!G25</f>
        <v>0</v>
      </c>
      <c r="N621">
        <f>B09_Assessment!H25</f>
        <v>0</v>
      </c>
      <c r="O621">
        <f>B09_Assessment!I25</f>
        <v>0</v>
      </c>
      <c r="P621">
        <f>B09_Assessment!J25</f>
        <v>0</v>
      </c>
      <c r="Q621" t="str">
        <f t="shared" si="9"/>
        <v>09|18</v>
      </c>
    </row>
    <row r="622" spans="1:17" ht="6.45" customHeight="1">
      <c r="A622" t="s">
        <v>1884</v>
      </c>
      <c r="B622">
        <v>19</v>
      </c>
      <c r="C622" t="s">
        <v>29</v>
      </c>
      <c r="D622">
        <v>26</v>
      </c>
      <c r="E622" t="s">
        <v>964</v>
      </c>
      <c r="F622" t="s">
        <v>5322</v>
      </c>
      <c r="G622" t="str">
        <f>B09_Assessment!A26</f>
        <v>4. HVAC / COOLING</v>
      </c>
      <c r="H622">
        <f>B09_Assessment!B26</f>
        <v>0</v>
      </c>
      <c r="I622">
        <f>B09_Assessment!C26</f>
        <v>0</v>
      </c>
      <c r="J622">
        <f>B09_Assessment!D26</f>
        <v>0</v>
      </c>
      <c r="K622">
        <f>B09_Assessment!E26</f>
        <v>0</v>
      </c>
      <c r="L622">
        <f>B09_Assessment!F26</f>
        <v>0</v>
      </c>
      <c r="M622">
        <f>B09_Assessment!G26</f>
        <v>0</v>
      </c>
      <c r="N622">
        <f>B09_Assessment!H26</f>
        <v>0</v>
      </c>
      <c r="O622">
        <f>B09_Assessment!I26</f>
        <v>0</v>
      </c>
      <c r="P622">
        <f>B09_Assessment!J26</f>
        <v>0</v>
      </c>
      <c r="Q622" t="str">
        <f t="shared" si="9"/>
        <v>09|19</v>
      </c>
    </row>
    <row r="623" spans="1:17" ht="6.45" customHeight="1">
      <c r="A623" t="s">
        <v>1884</v>
      </c>
      <c r="B623">
        <v>20</v>
      </c>
      <c r="C623" t="s">
        <v>29</v>
      </c>
      <c r="D623">
        <v>27</v>
      </c>
      <c r="E623" t="s">
        <v>964</v>
      </c>
      <c r="F623" t="s">
        <v>5323</v>
      </c>
      <c r="G623" t="str">
        <f>B09_Assessment!A27</f>
        <v>Room</v>
      </c>
      <c r="H623" t="str">
        <f>B09_Assessment!B27</f>
        <v>Dedicated Unit</v>
      </c>
      <c r="I623" t="str">
        <f>B09_Assessment!C27</f>
        <v>Capacity Verified</v>
      </c>
      <c r="J623" t="str">
        <f>B09_Assessment!D27</f>
        <v>Emergency Power</v>
      </c>
      <c r="K623" t="str">
        <f>B09_Assessment!E27</f>
        <v>Controls / BACnet</v>
      </c>
      <c r="L623" t="str">
        <f>B09_Assessment!F27</f>
        <v>Condensate Routed</v>
      </c>
      <c r="M623" t="str">
        <f>B09_Assessment!G27</f>
        <v>High Temp Alarm</v>
      </c>
      <c r="N623" t="str">
        <f>B09_Assessment!H27</f>
        <v>24/7 Operation</v>
      </c>
      <c r="O623" t="str">
        <f>B09_Assessment!I27</f>
        <v>Overall</v>
      </c>
      <c r="P623" t="str">
        <f>B09_Assessment!J27</f>
        <v>Risk / Notes</v>
      </c>
      <c r="Q623" t="str">
        <f t="shared" si="9"/>
        <v>09|20</v>
      </c>
    </row>
    <row r="624" spans="1:17" ht="6.45" customHeight="1">
      <c r="A624" t="s">
        <v>1884</v>
      </c>
      <c r="B624">
        <v>21</v>
      </c>
      <c r="C624" t="s">
        <v>29</v>
      </c>
      <c r="D624">
        <v>28</v>
      </c>
      <c r="E624" t="s">
        <v>964</v>
      </c>
      <c r="F624" t="s">
        <v>5324</v>
      </c>
      <c r="G624" t="str">
        <f>B09_Assessment!A28</f>
        <v>B01</v>
      </c>
      <c r="H624" t="str">
        <f>B09_Assessment!B28</f>
        <v>IU-0-01 / CU-0-1</v>
      </c>
      <c r="I624" t="str">
        <f>B09_Assessment!C28</f>
        <v>Verify</v>
      </c>
      <c r="J624" t="str">
        <f>B09_Assessment!D28</f>
        <v>Verify</v>
      </c>
      <c r="K624" t="str">
        <f>B09_Assessment!E28</f>
        <v>Verify</v>
      </c>
      <c r="L624" t="str">
        <f>B09_Assessment!F28</f>
        <v>Verify</v>
      </c>
      <c r="M624" t="str">
        <f>B09_Assessment!G28</f>
        <v>Verify</v>
      </c>
      <c r="N624" t="str">
        <f>B09_Assessment!H28</f>
        <v>Verify</v>
      </c>
      <c r="O624" t="str">
        <f>B09_Assessment!I28</f>
        <v>Verify</v>
      </c>
      <c r="P624" t="str">
        <f>B09_Assessment!J28</f>
        <v>Electrical enlarged/panel data identifies CU-0-1 serving basement work; verify mechanical schedule, emergency source, condensate, controls and alarms.</v>
      </c>
      <c r="Q624" t="str">
        <f t="shared" si="9"/>
        <v>09|21</v>
      </c>
    </row>
    <row r="625" spans="1:17" ht="6.45" customHeight="1">
      <c r="A625" t="s">
        <v>1884</v>
      </c>
      <c r="B625">
        <v>22</v>
      </c>
      <c r="C625" t="s">
        <v>29</v>
      </c>
      <c r="D625">
        <v>29</v>
      </c>
      <c r="E625" t="s">
        <v>964</v>
      </c>
      <c r="F625" t="s">
        <v>5324</v>
      </c>
      <c r="G625" t="str">
        <f>B09_Assessment!A29</f>
        <v>104B</v>
      </c>
      <c r="H625" t="str">
        <f>B09_Assessment!B29</f>
        <v>IU-1-01 / CU-1-1</v>
      </c>
      <c r="I625" t="str">
        <f>B09_Assessment!C29</f>
        <v>Verify</v>
      </c>
      <c r="J625" t="str">
        <f>B09_Assessment!D29</f>
        <v>Verify</v>
      </c>
      <c r="K625" t="str">
        <f>B09_Assessment!E29</f>
        <v>Verify</v>
      </c>
      <c r="L625" t="str">
        <f>B09_Assessment!F29</f>
        <v>Verify</v>
      </c>
      <c r="M625" t="str">
        <f>B09_Assessment!G29</f>
        <v>Verify</v>
      </c>
      <c r="N625" t="str">
        <f>B09_Assessment!H29</f>
        <v>Verify</v>
      </c>
      <c r="O625" t="str">
        <f>B09_Assessment!I29</f>
        <v>Verify</v>
      </c>
      <c r="P625" t="str">
        <f>B09_Assessment!J29</f>
        <v>Electrical enlarged plan identifies IU-1-01 in Telecom Room 104B and CU-1-1; verify dedicated 24/7 cooling and emergency power.</v>
      </c>
      <c r="Q625" t="str">
        <f t="shared" si="9"/>
        <v>09|22</v>
      </c>
    </row>
    <row r="626" spans="1:17" ht="6.45" customHeight="1">
      <c r="A626" t="s">
        <v>1884</v>
      </c>
      <c r="B626">
        <v>23</v>
      </c>
      <c r="C626" t="s">
        <v>29</v>
      </c>
      <c r="D626">
        <v>30</v>
      </c>
      <c r="E626" t="s">
        <v>964</v>
      </c>
      <c r="F626" t="s">
        <v>5324</v>
      </c>
      <c r="G626" t="str">
        <f>B09_Assessment!A30</f>
        <v>206A</v>
      </c>
      <c r="H626" t="str">
        <f>B09_Assessment!B30</f>
        <v>IU-2-01 / CU-2-1</v>
      </c>
      <c r="I626" t="str">
        <f>B09_Assessment!C30</f>
        <v>Verify</v>
      </c>
      <c r="J626" t="str">
        <f>B09_Assessment!D30</f>
        <v>Verify</v>
      </c>
      <c r="K626" t="str">
        <f>B09_Assessment!E30</f>
        <v>Verify</v>
      </c>
      <c r="L626" t="str">
        <f>B09_Assessment!F30</f>
        <v>Verify</v>
      </c>
      <c r="M626" t="str">
        <f>B09_Assessment!G30</f>
        <v>Verify</v>
      </c>
      <c r="N626" t="str">
        <f>B09_Assessment!H30</f>
        <v>Verify</v>
      </c>
      <c r="O626" t="str">
        <f>B09_Assessment!I30</f>
        <v>Verify</v>
      </c>
      <c r="P626" t="str">
        <f>B09_Assessment!J30</f>
        <v>Electrical enlarged plan identifies IU-2-01 in Telecom Room 206A and CU-2-1; verify dedicated 24/7 cooling and emergency power.</v>
      </c>
      <c r="Q626" t="str">
        <f t="shared" si="9"/>
        <v>09|23</v>
      </c>
    </row>
    <row r="627" spans="1:17" ht="6.45" customHeight="1">
      <c r="A627" t="s">
        <v>1884</v>
      </c>
      <c r="B627">
        <v>24</v>
      </c>
      <c r="C627" t="s">
        <v>29</v>
      </c>
      <c r="D627">
        <v>31</v>
      </c>
      <c r="E627" t="s">
        <v>964</v>
      </c>
      <c r="F627" t="s">
        <v>5325</v>
      </c>
      <c r="G627">
        <f>B09_Assessment!A31</f>
        <v>0</v>
      </c>
      <c r="H627">
        <f>B09_Assessment!B31</f>
        <v>0</v>
      </c>
      <c r="I627">
        <f>B09_Assessment!C31</f>
        <v>0</v>
      </c>
      <c r="J627">
        <f>B09_Assessment!D31</f>
        <v>0</v>
      </c>
      <c r="K627">
        <f>B09_Assessment!E31</f>
        <v>0</v>
      </c>
      <c r="L627">
        <f>B09_Assessment!F31</f>
        <v>0</v>
      </c>
      <c r="M627">
        <f>B09_Assessment!G31</f>
        <v>0</v>
      </c>
      <c r="N627">
        <f>B09_Assessment!H31</f>
        <v>0</v>
      </c>
      <c r="O627">
        <f>B09_Assessment!I31</f>
        <v>0</v>
      </c>
      <c r="P627">
        <f>B09_Assessment!J31</f>
        <v>0</v>
      </c>
      <c r="Q627" t="str">
        <f t="shared" si="9"/>
        <v>09|24</v>
      </c>
    </row>
    <row r="628" spans="1:17" ht="6.45" customHeight="1">
      <c r="A628" t="s">
        <v>1884</v>
      </c>
      <c r="B628">
        <v>25</v>
      </c>
      <c r="C628" t="s">
        <v>29</v>
      </c>
      <c r="D628">
        <v>32</v>
      </c>
      <c r="E628" t="s">
        <v>977</v>
      </c>
      <c r="F628" t="s">
        <v>5322</v>
      </c>
      <c r="G628" t="str">
        <f>B09_Assessment!A32</f>
        <v>5. ELECTRICAL / UPS</v>
      </c>
      <c r="H628">
        <f>B09_Assessment!B32</f>
        <v>0</v>
      </c>
      <c r="I628">
        <f>B09_Assessment!C32</f>
        <v>0</v>
      </c>
      <c r="J628">
        <f>B09_Assessment!D32</f>
        <v>0</v>
      </c>
      <c r="K628">
        <f>B09_Assessment!E32</f>
        <v>0</v>
      </c>
      <c r="L628">
        <f>B09_Assessment!F32</f>
        <v>0</v>
      </c>
      <c r="M628">
        <f>B09_Assessment!G32</f>
        <v>0</v>
      </c>
      <c r="N628">
        <f>B09_Assessment!H32</f>
        <v>0</v>
      </c>
      <c r="O628">
        <f>B09_Assessment!I32</f>
        <v>0</v>
      </c>
      <c r="P628">
        <f>B09_Assessment!J32</f>
        <v>0</v>
      </c>
      <c r="Q628" t="str">
        <f t="shared" si="9"/>
        <v>09|25</v>
      </c>
    </row>
    <row r="629" spans="1:17" ht="6.45" customHeight="1">
      <c r="A629" t="s">
        <v>1884</v>
      </c>
      <c r="B629">
        <v>26</v>
      </c>
      <c r="C629" t="s">
        <v>29</v>
      </c>
      <c r="D629">
        <v>33</v>
      </c>
      <c r="E629" t="s">
        <v>977</v>
      </c>
      <c r="F629" t="s">
        <v>5323</v>
      </c>
      <c r="G629" t="str">
        <f>B09_Assessment!A33</f>
        <v>Room</v>
      </c>
      <c r="H629" t="str">
        <f>B09_Assessment!B33</f>
        <v>UPS Installed</v>
      </c>
      <c r="I629" t="str">
        <f>B09_Assessment!C33</f>
        <v>UPS Size</v>
      </c>
      <c r="J629" t="str">
        <f>B09_Assessment!D33</f>
        <v>PDU Installed</v>
      </c>
      <c r="K629" t="str">
        <f>B09_Assessment!E33</f>
        <v>Rack Receptacles</v>
      </c>
      <c r="L629" t="str">
        <f>B09_Assessment!F33</f>
        <v>Panel Assigned</v>
      </c>
      <c r="M629" t="str">
        <f>B09_Assessment!G33</f>
        <v>Emergency Source</v>
      </c>
      <c r="N629" t="str">
        <f>B09_Assessment!H33</f>
        <v>SPD / Labeling</v>
      </c>
      <c r="O629" t="str">
        <f>B09_Assessment!I33</f>
        <v>Overall</v>
      </c>
      <c r="P629" t="str">
        <f>B09_Assessment!J33</f>
        <v>Notes</v>
      </c>
      <c r="Q629" t="str">
        <f t="shared" si="9"/>
        <v>09|26</v>
      </c>
    </row>
    <row r="630" spans="1:17" ht="6.45" customHeight="1">
      <c r="A630" t="s">
        <v>1884</v>
      </c>
      <c r="B630">
        <v>27</v>
      </c>
      <c r="C630" t="s">
        <v>29</v>
      </c>
      <c r="D630">
        <v>34</v>
      </c>
      <c r="E630" t="s">
        <v>977</v>
      </c>
      <c r="F630" t="s">
        <v>5324</v>
      </c>
      <c r="G630" t="str">
        <f>B09_Assessment!A34</f>
        <v>B01</v>
      </c>
      <c r="H630" t="str">
        <f>B09_Assessment!B34</f>
        <v>Verify</v>
      </c>
      <c r="I630" t="str">
        <f>B09_Assessment!C34</f>
        <v>5 kW / rack equipment</v>
      </c>
      <c r="J630" t="str">
        <f>B09_Assessment!D34</f>
        <v>Verify</v>
      </c>
      <c r="K630" t="str">
        <f>B09_Assessment!E34</f>
        <v>Verify</v>
      </c>
      <c r="L630" t="str">
        <f>B09_Assessment!F34</f>
        <v>B09-TRB01A / B09-TRB01B / B09-EP-TR</v>
      </c>
      <c r="M630" t="str">
        <f>B09_Assessment!G34</f>
        <v>Verify</v>
      </c>
      <c r="N630" t="str">
        <f>B09_Assessment!H34</f>
        <v>Verify</v>
      </c>
      <c r="O630" t="str">
        <f>B09_Assessment!I34</f>
        <v>Verify</v>
      </c>
      <c r="P630" t="str">
        <f>B09_Assessment!J34</f>
        <v>Panel schedule lists B09-TRB01A/B in Telecom Room B01 with 208Y/120V panels, rack receptacles, access controller, mechanical equipment, lighting and SPD notes.</v>
      </c>
      <c r="Q630" t="str">
        <f t="shared" si="9"/>
        <v>09|27</v>
      </c>
    </row>
    <row r="631" spans="1:17" ht="6.45" customHeight="1">
      <c r="A631" t="s">
        <v>1884</v>
      </c>
      <c r="B631">
        <v>28</v>
      </c>
      <c r="C631" t="s">
        <v>29</v>
      </c>
      <c r="D631">
        <v>35</v>
      </c>
      <c r="E631" t="s">
        <v>977</v>
      </c>
      <c r="F631" t="s">
        <v>5324</v>
      </c>
      <c r="G631" t="str">
        <f>B09_Assessment!A35</f>
        <v>104B</v>
      </c>
      <c r="H631" t="str">
        <f>B09_Assessment!B35</f>
        <v>Verify</v>
      </c>
      <c r="I631" t="str">
        <f>B09_Assessment!C35</f>
        <v>5 kW / rack equipment</v>
      </c>
      <c r="J631" t="str">
        <f>B09_Assessment!D35</f>
        <v>Verify</v>
      </c>
      <c r="K631" t="str">
        <f>B09_Assessment!E35</f>
        <v>Verify</v>
      </c>
      <c r="L631" t="str">
        <f>B09_Assessment!F35</f>
        <v>B09-TR104BA / B09-TR104BB</v>
      </c>
      <c r="M631" t="str">
        <f>B09_Assessment!G35</f>
        <v>Verify</v>
      </c>
      <c r="N631" t="str">
        <f>B09_Assessment!H35</f>
        <v>Verify</v>
      </c>
      <c r="O631" t="str">
        <f>B09_Assessment!I35</f>
        <v>Verify</v>
      </c>
      <c r="P631" t="str">
        <f>B09_Assessment!J35</f>
        <v>Electrical enlarged plan shows panel references B09-TR104BA/B, IU-1-01, security devices, lighting and receptacle/rack circuits.</v>
      </c>
      <c r="Q631" t="str">
        <f t="shared" si="9"/>
        <v>09|28</v>
      </c>
    </row>
    <row r="632" spans="1:17" ht="6.45" customHeight="1">
      <c r="A632" t="s">
        <v>1884</v>
      </c>
      <c r="B632">
        <v>29</v>
      </c>
      <c r="C632" t="s">
        <v>29</v>
      </c>
      <c r="D632">
        <v>36</v>
      </c>
      <c r="E632" t="s">
        <v>977</v>
      </c>
      <c r="F632" t="s">
        <v>5324</v>
      </c>
      <c r="G632" t="str">
        <f>B09_Assessment!A36</f>
        <v>206A</v>
      </c>
      <c r="H632" t="str">
        <f>B09_Assessment!B36</f>
        <v>Verify</v>
      </c>
      <c r="I632" t="str">
        <f>B09_Assessment!C36</f>
        <v>5 kW / rack equipment</v>
      </c>
      <c r="J632" t="str">
        <f>B09_Assessment!D36</f>
        <v>Verify</v>
      </c>
      <c r="K632" t="str">
        <f>B09_Assessment!E36</f>
        <v>Verify</v>
      </c>
      <c r="L632" t="str">
        <f>B09_Assessment!F36</f>
        <v>B09-TR206AA / B09-TR206AB</v>
      </c>
      <c r="M632" t="str">
        <f>B09_Assessment!G36</f>
        <v>Verify</v>
      </c>
      <c r="N632" t="str">
        <f>B09_Assessment!H36</f>
        <v>Verify</v>
      </c>
      <c r="O632" t="str">
        <f>B09_Assessment!I36</f>
        <v>Verify</v>
      </c>
      <c r="P632" t="str">
        <f>B09_Assessment!J36</f>
        <v>Electrical enlarged plan shows panel references B09-TR206AA/B, IU-2-01, security devices, lighting and receptacle/rack circuits.</v>
      </c>
      <c r="Q632" t="str">
        <f t="shared" si="9"/>
        <v>09|29</v>
      </c>
    </row>
    <row r="633" spans="1:17" ht="6.45" customHeight="1">
      <c r="A633" t="s">
        <v>1884</v>
      </c>
      <c r="B633">
        <v>30</v>
      </c>
      <c r="C633" t="s">
        <v>29</v>
      </c>
      <c r="D633">
        <v>37</v>
      </c>
      <c r="E633" t="s">
        <v>977</v>
      </c>
      <c r="F633" t="s">
        <v>5325</v>
      </c>
      <c r="G633">
        <f>B09_Assessment!A37</f>
        <v>0</v>
      </c>
      <c r="H633">
        <f>B09_Assessment!B37</f>
        <v>0</v>
      </c>
      <c r="I633">
        <f>B09_Assessment!C37</f>
        <v>0</v>
      </c>
      <c r="J633">
        <f>B09_Assessment!D37</f>
        <v>0</v>
      </c>
      <c r="K633">
        <f>B09_Assessment!E37</f>
        <v>0</v>
      </c>
      <c r="L633">
        <f>B09_Assessment!F37</f>
        <v>0</v>
      </c>
      <c r="M633">
        <f>B09_Assessment!G37</f>
        <v>0</v>
      </c>
      <c r="N633">
        <f>B09_Assessment!H37</f>
        <v>0</v>
      </c>
      <c r="O633">
        <f>B09_Assessment!I37</f>
        <v>0</v>
      </c>
      <c r="P633">
        <f>B09_Assessment!J37</f>
        <v>0</v>
      </c>
      <c r="Q633" t="str">
        <f t="shared" si="9"/>
        <v>09|30</v>
      </c>
    </row>
    <row r="634" spans="1:17" ht="6.45" customHeight="1">
      <c r="A634" t="s">
        <v>1884</v>
      </c>
      <c r="B634">
        <v>31</v>
      </c>
      <c r="C634" t="s">
        <v>29</v>
      </c>
      <c r="D634">
        <v>38</v>
      </c>
      <c r="E634" t="s">
        <v>994</v>
      </c>
      <c r="F634" t="s">
        <v>5322</v>
      </c>
      <c r="G634" t="str">
        <f>B09_Assessment!A38</f>
        <v>6. TELECOMMUNICATIONS</v>
      </c>
      <c r="H634">
        <f>B09_Assessment!B38</f>
        <v>0</v>
      </c>
      <c r="I634">
        <f>B09_Assessment!C38</f>
        <v>0</v>
      </c>
      <c r="J634">
        <f>B09_Assessment!D38</f>
        <v>0</v>
      </c>
      <c r="K634">
        <f>B09_Assessment!E38</f>
        <v>0</v>
      </c>
      <c r="L634">
        <f>B09_Assessment!F38</f>
        <v>0</v>
      </c>
      <c r="M634">
        <f>B09_Assessment!G38</f>
        <v>0</v>
      </c>
      <c r="N634">
        <f>B09_Assessment!H38</f>
        <v>0</v>
      </c>
      <c r="O634">
        <f>B09_Assessment!I38</f>
        <v>0</v>
      </c>
      <c r="P634">
        <f>B09_Assessment!J38</f>
        <v>0</v>
      </c>
      <c r="Q634" t="str">
        <f t="shared" si="9"/>
        <v>09|31</v>
      </c>
    </row>
    <row r="635" spans="1:17" ht="6.45" customHeight="1">
      <c r="A635" t="s">
        <v>1884</v>
      </c>
      <c r="B635">
        <v>32</v>
      </c>
      <c r="C635" t="s">
        <v>29</v>
      </c>
      <c r="D635">
        <v>39</v>
      </c>
      <c r="E635" t="s">
        <v>994</v>
      </c>
      <c r="F635" t="s">
        <v>5323</v>
      </c>
      <c r="G635" t="str">
        <f>B09_Assessment!A39</f>
        <v>Room</v>
      </c>
      <c r="H635" t="str">
        <f>B09_Assessment!B39</f>
        <v>Rack Installed</v>
      </c>
      <c r="I635" t="str">
        <f>B09_Assessment!C39</f>
        <v>Ladder Tray</v>
      </c>
      <c r="J635" t="str">
        <f>B09_Assessment!D39</f>
        <v>Fiber Installed</v>
      </c>
      <c r="K635" t="str">
        <f>B09_Assessment!E39</f>
        <v>Grounding</v>
      </c>
      <c r="L635" t="str">
        <f>B09_Assessment!F39</f>
        <v>Labeling</v>
      </c>
      <c r="M635" t="str">
        <f>B09_Assessment!G39</f>
        <v>Testing</v>
      </c>
      <c r="N635" t="str">
        <f>B09_Assessment!H39</f>
        <v>VA Acceptance</v>
      </c>
      <c r="O635" t="str">
        <f>B09_Assessment!I39</f>
        <v>Overall</v>
      </c>
      <c r="P635" t="str">
        <f>B09_Assessment!J39</f>
        <v>Notes</v>
      </c>
      <c r="Q635" t="str">
        <f t="shared" si="9"/>
        <v>09|32</v>
      </c>
    </row>
    <row r="636" spans="1:17" ht="6.45" customHeight="1">
      <c r="A636" t="s">
        <v>1884</v>
      </c>
      <c r="B636">
        <v>33</v>
      </c>
      <c r="C636" t="s">
        <v>29</v>
      </c>
      <c r="D636">
        <v>40</v>
      </c>
      <c r="E636" t="s">
        <v>994</v>
      </c>
      <c r="F636" t="s">
        <v>5324</v>
      </c>
      <c r="G636" t="str">
        <f>B09_Assessment!A40</f>
        <v>B01</v>
      </c>
      <c r="H636" t="str">
        <f>B09_Assessment!B40</f>
        <v>Verify</v>
      </c>
      <c r="I636" t="str">
        <f>B09_Assessment!C40</f>
        <v>Verify</v>
      </c>
      <c r="J636" t="str">
        <f>B09_Assessment!D40</f>
        <v>Verify</v>
      </c>
      <c r="K636" t="str">
        <f>B09_Assessment!E40</f>
        <v>Verify</v>
      </c>
      <c r="L636" t="str">
        <f>B09_Assessment!F40</f>
        <v>Verify</v>
      </c>
      <c r="M636" t="str">
        <f>B09_Assessment!G40</f>
        <v>Verify</v>
      </c>
      <c r="N636" t="str">
        <f>B09_Assessment!H40</f>
        <v>Verify</v>
      </c>
      <c r="O636" t="str">
        <f>B09_Assessment!I40</f>
        <v>Verify</v>
      </c>
      <c r="P636" t="str">
        <f>B09_Assessment!J40</f>
        <v>Fiber riser identifies Building 09 basement B01 with two-rack TR; verify rack elevations, fiber Path A/B, Cat6A replacement, LIU, bonding and cutover.</v>
      </c>
      <c r="Q636" t="str">
        <f t="shared" si="9"/>
        <v>09|33</v>
      </c>
    </row>
    <row r="637" spans="1:17" ht="6.45" customHeight="1">
      <c r="A637" t="s">
        <v>1884</v>
      </c>
      <c r="B637">
        <v>34</v>
      </c>
      <c r="C637" t="s">
        <v>29</v>
      </c>
      <c r="D637">
        <v>41</v>
      </c>
      <c r="E637" t="s">
        <v>994</v>
      </c>
      <c r="F637" t="s">
        <v>5324</v>
      </c>
      <c r="G637" t="str">
        <f>B09_Assessment!A41</f>
        <v>104B</v>
      </c>
      <c r="H637" t="str">
        <f>B09_Assessment!B41</f>
        <v>Verify</v>
      </c>
      <c r="I637" t="str">
        <f>B09_Assessment!C41</f>
        <v>Verify</v>
      </c>
      <c r="J637" t="str">
        <f>B09_Assessment!D41</f>
        <v>Verify</v>
      </c>
      <c r="K637" t="str">
        <f>B09_Assessment!E41</f>
        <v>Verify</v>
      </c>
      <c r="L637" t="str">
        <f>B09_Assessment!F41</f>
        <v>Verify</v>
      </c>
      <c r="M637" t="str">
        <f>B09_Assessment!G41</f>
        <v>Verify</v>
      </c>
      <c r="N637" t="str">
        <f>B09_Assessment!H41</f>
        <v>Verify</v>
      </c>
      <c r="O637" t="str">
        <f>B09_Assessment!I41</f>
        <v>Verify</v>
      </c>
      <c r="P637" t="str">
        <f>B09_Assessment!J41</f>
        <v>Fiber riser identifies first-level Room 104B with two-rack TR; verify rack elevation details, patch panels, UPS/PDU, fiber LIU, grounding and test records.</v>
      </c>
      <c r="Q637" t="str">
        <f t="shared" si="9"/>
        <v>09|34</v>
      </c>
    </row>
    <row r="638" spans="1:17" ht="6.45" customHeight="1">
      <c r="A638" t="s">
        <v>1884</v>
      </c>
      <c r="B638">
        <v>35</v>
      </c>
      <c r="C638" t="s">
        <v>29</v>
      </c>
      <c r="D638">
        <v>42</v>
      </c>
      <c r="E638" t="s">
        <v>994</v>
      </c>
      <c r="F638" t="s">
        <v>5324</v>
      </c>
      <c r="G638" t="str">
        <f>B09_Assessment!A42</f>
        <v>206A</v>
      </c>
      <c r="H638" t="str">
        <f>B09_Assessment!B42</f>
        <v>Verify</v>
      </c>
      <c r="I638" t="str">
        <f>B09_Assessment!C42</f>
        <v>Verify</v>
      </c>
      <c r="J638" t="str">
        <f>B09_Assessment!D42</f>
        <v>Verify</v>
      </c>
      <c r="K638" t="str">
        <f>B09_Assessment!E42</f>
        <v>Verify</v>
      </c>
      <c r="L638" t="str">
        <f>B09_Assessment!F42</f>
        <v>Verify</v>
      </c>
      <c r="M638" t="str">
        <f>B09_Assessment!G42</f>
        <v>Verify</v>
      </c>
      <c r="N638" t="str">
        <f>B09_Assessment!H42</f>
        <v>Verify</v>
      </c>
      <c r="O638" t="str">
        <f>B09_Assessment!I42</f>
        <v>Verify</v>
      </c>
      <c r="P638" t="str">
        <f>B09_Assessment!J42</f>
        <v>Fiber riser identifies second-level Room 206A with two-rack TR; verify rack elevation details, patch panels, UPS/PDU, fiber LIU, grounding and test records.</v>
      </c>
      <c r="Q638" t="str">
        <f t="shared" si="9"/>
        <v>09|35</v>
      </c>
    </row>
    <row r="639" spans="1:17" ht="6.45" customHeight="1">
      <c r="A639" t="s">
        <v>1884</v>
      </c>
      <c r="B639">
        <v>36</v>
      </c>
      <c r="C639" t="s">
        <v>29</v>
      </c>
      <c r="D639">
        <v>43</v>
      </c>
      <c r="E639" t="s">
        <v>994</v>
      </c>
      <c r="F639" t="s">
        <v>5325</v>
      </c>
      <c r="G639">
        <f>B09_Assessment!A43</f>
        <v>0</v>
      </c>
      <c r="H639">
        <f>B09_Assessment!B43</f>
        <v>0</v>
      </c>
      <c r="I639">
        <f>B09_Assessment!C43</f>
        <v>0</v>
      </c>
      <c r="J639">
        <f>B09_Assessment!D43</f>
        <v>0</v>
      </c>
      <c r="K639">
        <f>B09_Assessment!E43</f>
        <v>0</v>
      </c>
      <c r="L639">
        <f>B09_Assessment!F43</f>
        <v>0</v>
      </c>
      <c r="M639">
        <f>B09_Assessment!G43</f>
        <v>0</v>
      </c>
      <c r="N639">
        <f>B09_Assessment!H43</f>
        <v>0</v>
      </c>
      <c r="O639">
        <f>B09_Assessment!I43</f>
        <v>0</v>
      </c>
      <c r="P639">
        <f>B09_Assessment!J43</f>
        <v>0</v>
      </c>
      <c r="Q639" t="str">
        <f t="shared" si="9"/>
        <v>09|36</v>
      </c>
    </row>
    <row r="640" spans="1:17" ht="6.45" customHeight="1">
      <c r="A640" t="s">
        <v>1884</v>
      </c>
      <c r="B640">
        <v>37</v>
      </c>
      <c r="C640" t="s">
        <v>29</v>
      </c>
      <c r="D640">
        <v>44</v>
      </c>
      <c r="E640" t="s">
        <v>1007</v>
      </c>
      <c r="F640" t="s">
        <v>5322</v>
      </c>
      <c r="G640" t="str">
        <f>B09_Assessment!A44</f>
        <v>7. SECURITY / PACS / CCTV</v>
      </c>
      <c r="H640">
        <f>B09_Assessment!B44</f>
        <v>0</v>
      </c>
      <c r="I640">
        <f>B09_Assessment!C44</f>
        <v>0</v>
      </c>
      <c r="J640">
        <f>B09_Assessment!D44</f>
        <v>0</v>
      </c>
      <c r="K640">
        <f>B09_Assessment!E44</f>
        <v>0</v>
      </c>
      <c r="L640">
        <f>B09_Assessment!F44</f>
        <v>0</v>
      </c>
      <c r="M640">
        <f>B09_Assessment!G44</f>
        <v>0</v>
      </c>
      <c r="N640">
        <f>B09_Assessment!H44</f>
        <v>0</v>
      </c>
      <c r="O640">
        <f>B09_Assessment!I44</f>
        <v>0</v>
      </c>
      <c r="P640">
        <f>B09_Assessment!J44</f>
        <v>0</v>
      </c>
      <c r="Q640" t="str">
        <f t="shared" si="9"/>
        <v>09|37</v>
      </c>
    </row>
    <row r="641" spans="1:17" ht="6.45" customHeight="1">
      <c r="A641" t="s">
        <v>1884</v>
      </c>
      <c r="B641">
        <v>38</v>
      </c>
      <c r="C641" t="s">
        <v>29</v>
      </c>
      <c r="D641">
        <v>45</v>
      </c>
      <c r="E641" t="s">
        <v>1007</v>
      </c>
      <c r="F641" t="s">
        <v>5323</v>
      </c>
      <c r="G641" t="str">
        <f>B09_Assessment!A45</f>
        <v>Room</v>
      </c>
      <c r="H641" t="str">
        <f>B09_Assessment!B45</f>
        <v>PACS</v>
      </c>
      <c r="I641" t="str">
        <f>B09_Assessment!C45</f>
        <v>Card Reader</v>
      </c>
      <c r="J641" t="str">
        <f>B09_Assessment!D45</f>
        <v>Door Position</v>
      </c>
      <c r="K641" t="str">
        <f>B09_Assessment!E45</f>
        <v>Electric Strike</v>
      </c>
      <c r="L641" t="str">
        <f>B09_Assessment!F45</f>
        <v>CCTV</v>
      </c>
      <c r="M641" t="str">
        <f>B09_Assessment!G45</f>
        <v>Motion Sensor</v>
      </c>
      <c r="N641" t="str">
        <f>B09_Assessment!H45</f>
        <v>Integration</v>
      </c>
      <c r="O641" t="str">
        <f>B09_Assessment!I45</f>
        <v>Overall</v>
      </c>
      <c r="P641" t="str">
        <f>B09_Assessment!J45</f>
        <v>Notes</v>
      </c>
      <c r="Q641" t="str">
        <f t="shared" si="9"/>
        <v>09|38</v>
      </c>
    </row>
    <row r="642" spans="1:17" ht="6.45" customHeight="1">
      <c r="A642" t="s">
        <v>1884</v>
      </c>
      <c r="B642">
        <v>39</v>
      </c>
      <c r="C642" t="s">
        <v>29</v>
      </c>
      <c r="D642">
        <v>46</v>
      </c>
      <c r="E642" t="s">
        <v>1007</v>
      </c>
      <c r="F642" t="s">
        <v>5324</v>
      </c>
      <c r="G642" t="str">
        <f>B09_Assessment!A46</f>
        <v>B01</v>
      </c>
      <c r="H642" t="str">
        <f>B09_Assessment!B46</f>
        <v>Verify</v>
      </c>
      <c r="I642" t="str">
        <f>B09_Assessment!C46</f>
        <v>Verify</v>
      </c>
      <c r="J642" t="str">
        <f>B09_Assessment!D46</f>
        <v>Verify</v>
      </c>
      <c r="K642" t="str">
        <f>B09_Assessment!E46</f>
        <v>Verify</v>
      </c>
      <c r="L642" t="str">
        <f>B09_Assessment!F46</f>
        <v>Verify</v>
      </c>
      <c r="M642" t="str">
        <f>B09_Assessment!G46</f>
        <v>Verify</v>
      </c>
      <c r="N642" t="str">
        <f>B09_Assessment!H46</f>
        <v>Verify</v>
      </c>
      <c r="O642" t="str">
        <f>B09_Assessment!I46</f>
        <v>Verify</v>
      </c>
      <c r="P642" t="str">
        <f>B09_Assessment!J46</f>
        <v>Enlarged plans show existing/new security boxes, network door controller, camera/security scope; verify PACS/CCTV integration and protection of active security systems.</v>
      </c>
      <c r="Q642" t="str">
        <f t="shared" ref="Q642:Q705" si="10">A642&amp;"|"&amp;B642</f>
        <v>09|39</v>
      </c>
    </row>
    <row r="643" spans="1:17" ht="6.45" customHeight="1">
      <c r="A643" t="s">
        <v>1884</v>
      </c>
      <c r="B643">
        <v>40</v>
      </c>
      <c r="C643" t="s">
        <v>29</v>
      </c>
      <c r="D643">
        <v>47</v>
      </c>
      <c r="E643" t="s">
        <v>1007</v>
      </c>
      <c r="F643" t="s">
        <v>5324</v>
      </c>
      <c r="G643" t="str">
        <f>B09_Assessment!A47</f>
        <v>104B</v>
      </c>
      <c r="H643" t="str">
        <f>B09_Assessment!B47</f>
        <v>Verify</v>
      </c>
      <c r="I643" t="str">
        <f>B09_Assessment!C47</f>
        <v>Verify</v>
      </c>
      <c r="J643" t="str">
        <f>B09_Assessment!D47</f>
        <v>Verify</v>
      </c>
      <c r="K643" t="str">
        <f>B09_Assessment!E47</f>
        <v>Verify</v>
      </c>
      <c r="L643" t="str">
        <f>B09_Assessment!F47</f>
        <v>Verify</v>
      </c>
      <c r="M643" t="str">
        <f>B09_Assessment!G47</f>
        <v>Verify</v>
      </c>
      <c r="N643" t="str">
        <f>B09_Assessment!H47</f>
        <v>Verify</v>
      </c>
      <c r="O643" t="str">
        <f>B09_Assessment!I47</f>
        <v>Verify</v>
      </c>
      <c r="P643" t="str">
        <f>B09_Assessment!J47</f>
        <v>First-level enlarged plan shows CR/RX/DC/ES/MD-type device symbols and 104B camera designation; verify card reader, electric strike, door contact, motion and camera.</v>
      </c>
      <c r="Q643" t="str">
        <f t="shared" si="10"/>
        <v>09|40</v>
      </c>
    </row>
    <row r="644" spans="1:17" ht="6.45" customHeight="1">
      <c r="A644" t="s">
        <v>1884</v>
      </c>
      <c r="B644">
        <v>41</v>
      </c>
      <c r="C644" t="s">
        <v>29</v>
      </c>
      <c r="D644">
        <v>48</v>
      </c>
      <c r="E644" t="s">
        <v>1007</v>
      </c>
      <c r="F644" t="s">
        <v>5324</v>
      </c>
      <c r="G644" t="str">
        <f>B09_Assessment!A48</f>
        <v>206A</v>
      </c>
      <c r="H644" t="str">
        <f>B09_Assessment!B48</f>
        <v>Verify</v>
      </c>
      <c r="I644" t="str">
        <f>B09_Assessment!C48</f>
        <v>Verify</v>
      </c>
      <c r="J644" t="str">
        <f>B09_Assessment!D48</f>
        <v>Verify</v>
      </c>
      <c r="K644" t="str">
        <f>B09_Assessment!E48</f>
        <v>Verify</v>
      </c>
      <c r="L644" t="str">
        <f>B09_Assessment!F48</f>
        <v>Verify</v>
      </c>
      <c r="M644" t="str">
        <f>B09_Assessment!G48</f>
        <v>Verify</v>
      </c>
      <c r="N644" t="str">
        <f>B09_Assessment!H48</f>
        <v>Verify</v>
      </c>
      <c r="O644" t="str">
        <f>B09_Assessment!I48</f>
        <v>Verify</v>
      </c>
      <c r="P644" t="str">
        <f>B09_Assessment!J48</f>
        <v>Second-level enlarged plan shows CR/RX/DC/ES/MD-type device symbols and 206A camera designation; verify PACS/VMS integration and commissioning.</v>
      </c>
      <c r="Q644" t="str">
        <f t="shared" si="10"/>
        <v>09|41</v>
      </c>
    </row>
    <row r="645" spans="1:17" ht="6.45" customHeight="1">
      <c r="A645" t="s">
        <v>1884</v>
      </c>
      <c r="B645">
        <v>42</v>
      </c>
      <c r="C645" t="s">
        <v>29</v>
      </c>
      <c r="D645">
        <v>49</v>
      </c>
      <c r="E645" t="s">
        <v>1007</v>
      </c>
      <c r="F645" t="s">
        <v>5325</v>
      </c>
      <c r="G645">
        <f>B09_Assessment!A49</f>
        <v>0</v>
      </c>
      <c r="H645">
        <f>B09_Assessment!B49</f>
        <v>0</v>
      </c>
      <c r="I645">
        <f>B09_Assessment!C49</f>
        <v>0</v>
      </c>
      <c r="J645">
        <f>B09_Assessment!D49</f>
        <v>0</v>
      </c>
      <c r="K645">
        <f>B09_Assessment!E49</f>
        <v>0</v>
      </c>
      <c r="L645">
        <f>B09_Assessment!F49</f>
        <v>0</v>
      </c>
      <c r="M645">
        <f>B09_Assessment!G49</f>
        <v>0</v>
      </c>
      <c r="N645">
        <f>B09_Assessment!H49</f>
        <v>0</v>
      </c>
      <c r="O645">
        <f>B09_Assessment!I49</f>
        <v>0</v>
      </c>
      <c r="P645">
        <f>B09_Assessment!J49</f>
        <v>0</v>
      </c>
      <c r="Q645" t="str">
        <f t="shared" si="10"/>
        <v>09|42</v>
      </c>
    </row>
    <row r="646" spans="1:17" ht="6.45" customHeight="1">
      <c r="A646" t="s">
        <v>1884</v>
      </c>
      <c r="B646">
        <v>43</v>
      </c>
      <c r="C646" t="s">
        <v>29</v>
      </c>
      <c r="D646">
        <v>50</v>
      </c>
      <c r="E646" t="s">
        <v>1019</v>
      </c>
      <c r="F646" t="s">
        <v>5322</v>
      </c>
      <c r="G646" t="str">
        <f>B09_Assessment!A50</f>
        <v>8. OWNER RISKS</v>
      </c>
      <c r="H646">
        <f>B09_Assessment!B50</f>
        <v>0</v>
      </c>
      <c r="I646">
        <f>B09_Assessment!C50</f>
        <v>0</v>
      </c>
      <c r="J646">
        <f>B09_Assessment!D50</f>
        <v>0</v>
      </c>
      <c r="K646">
        <f>B09_Assessment!E50</f>
        <v>0</v>
      </c>
      <c r="L646">
        <f>B09_Assessment!F50</f>
        <v>0</v>
      </c>
      <c r="M646">
        <f>B09_Assessment!G50</f>
        <v>0</v>
      </c>
      <c r="N646">
        <f>B09_Assessment!H50</f>
        <v>0</v>
      </c>
      <c r="O646">
        <f>B09_Assessment!I50</f>
        <v>0</v>
      </c>
      <c r="P646">
        <f>B09_Assessment!J50</f>
        <v>0</v>
      </c>
      <c r="Q646" t="str">
        <f t="shared" si="10"/>
        <v>09|43</v>
      </c>
    </row>
    <row r="647" spans="1:17" ht="6.45" customHeight="1">
      <c r="A647" t="s">
        <v>1884</v>
      </c>
      <c r="B647">
        <v>44</v>
      </c>
      <c r="C647" t="s">
        <v>29</v>
      </c>
      <c r="D647">
        <v>51</v>
      </c>
      <c r="E647" t="s">
        <v>1019</v>
      </c>
      <c r="F647" t="s">
        <v>5323</v>
      </c>
      <c r="G647" t="str">
        <f>B09_Assessment!A51</f>
        <v>Risk ID</v>
      </c>
      <c r="H647" t="str">
        <f>B09_Assessment!B51</f>
        <v>Room</v>
      </c>
      <c r="I647" t="str">
        <f>B09_Assessment!C51</f>
        <v>Risk</v>
      </c>
      <c r="J647" t="str">
        <f>B09_Assessment!D51</f>
        <v>Impact</v>
      </c>
      <c r="K647" t="str">
        <f>B09_Assessment!E51</f>
        <v>Probability</v>
      </c>
      <c r="L647" t="str">
        <f>B09_Assessment!F51</f>
        <v>Score</v>
      </c>
      <c r="M647" t="str">
        <f>B09_Assessment!G51</f>
        <v>Mitigation</v>
      </c>
      <c r="N647" t="str">
        <f>B09_Assessment!H51</f>
        <v>Owner</v>
      </c>
      <c r="O647" t="str">
        <f>B09_Assessment!I51</f>
        <v>Status</v>
      </c>
      <c r="P647" t="str">
        <f>B09_Assessment!J51</f>
        <v>Notes</v>
      </c>
      <c r="Q647" t="str">
        <f t="shared" si="10"/>
        <v>09|44</v>
      </c>
    </row>
    <row r="648" spans="1:17" ht="6.45" customHeight="1">
      <c r="A648" t="s">
        <v>1884</v>
      </c>
      <c r="B648">
        <v>45</v>
      </c>
      <c r="C648" t="s">
        <v>29</v>
      </c>
      <c r="D648">
        <v>52</v>
      </c>
      <c r="E648" t="s">
        <v>1019</v>
      </c>
      <c r="F648" t="s">
        <v>5324</v>
      </c>
      <c r="G648" t="str">
        <f>B09_Assessment!A52</f>
        <v>B09-R1</v>
      </c>
      <c r="H648" t="str">
        <f>B09_Assessment!B52</f>
        <v>All</v>
      </c>
      <c r="I648" t="str">
        <f>B09_Assessment!C52</f>
        <v>Existing conditions for B01, 104B and 206A not field verified</v>
      </c>
      <c r="J648" t="str">
        <f>B09_Assessment!D52</f>
        <v>High</v>
      </c>
      <c r="K648" t="str">
        <f>B09_Assessment!E52</f>
        <v>Medium</v>
      </c>
      <c r="L648">
        <f>B09_Assessment!F52</f>
        <v>6</v>
      </c>
      <c r="M648" t="str">
        <f>B09_Assessment!G52</f>
        <v>Perform existing conditions survey with photos before mobilization</v>
      </c>
      <c r="N648" t="str">
        <f>B09_Assessment!H52</f>
        <v>GCC / Contractor</v>
      </c>
      <c r="O648" t="str">
        <f>B09_Assessment!I52</f>
        <v>Closed</v>
      </c>
      <c r="P648" t="str">
        <f>B09_Assessment!J52</f>
        <v>B09 includes basement, first and second level TR work.</v>
      </c>
      <c r="Q648" t="str">
        <f t="shared" si="10"/>
        <v>09|45</v>
      </c>
    </row>
    <row r="649" spans="1:17" ht="6.45" customHeight="1">
      <c r="A649" t="s">
        <v>1884</v>
      </c>
      <c r="B649">
        <v>46</v>
      </c>
      <c r="C649" t="s">
        <v>29</v>
      </c>
      <c r="D649">
        <v>53</v>
      </c>
      <c r="E649" t="s">
        <v>1019</v>
      </c>
      <c r="F649" t="s">
        <v>5324</v>
      </c>
      <c r="G649" t="str">
        <f>B09_Assessment!A53</f>
        <v>B09-R2</v>
      </c>
      <c r="H649" t="str">
        <f>B09_Assessment!B53</f>
        <v>B01</v>
      </c>
      <c r="I649" t="str">
        <f>B09_Assessment!C53</f>
        <v>Basement TR includes existing equipment and could remain active during cutover</v>
      </c>
      <c r="J649" t="str">
        <f>B09_Assessment!D53</f>
        <v>Critical</v>
      </c>
      <c r="K649" t="str">
        <f>B09_Assessment!E53</f>
        <v>Medium</v>
      </c>
      <c r="L649">
        <f>B09_Assessment!F53</f>
        <v>8</v>
      </c>
      <c r="M649" t="str">
        <f>B09_Assessment!G53</f>
        <v>Document active services, protect-in-place and define cutover/demo sequence</v>
      </c>
      <c r="N649" t="str">
        <f>B09_Assessment!H53</f>
        <v>Telecom / OIT</v>
      </c>
      <c r="O649" t="str">
        <f>B09_Assessment!I53</f>
        <v>Closed</v>
      </c>
      <c r="P649" t="str">
        <f>B09_Assessment!J53</f>
        <v>B01 shows existing security/network/telecom equipment and panel work.</v>
      </c>
      <c r="Q649" t="str">
        <f t="shared" si="10"/>
        <v>09|46</v>
      </c>
    </row>
    <row r="650" spans="1:17" ht="6.45" customHeight="1">
      <c r="A650" t="s">
        <v>1884</v>
      </c>
      <c r="B650">
        <v>47</v>
      </c>
      <c r="C650" t="s">
        <v>29</v>
      </c>
      <c r="D650">
        <v>54</v>
      </c>
      <c r="E650" t="s">
        <v>1019</v>
      </c>
      <c r="F650" t="s">
        <v>5324</v>
      </c>
      <c r="G650" t="str">
        <f>B09_Assessment!A54</f>
        <v>B09-R3</v>
      </c>
      <c r="H650" t="str">
        <f>B09_Assessment!B54</f>
        <v>All</v>
      </c>
      <c r="I650" t="str">
        <f>B09_Assessment!C54</f>
        <v>Hazardous material abatement plans exist for basement, first and second levels</v>
      </c>
      <c r="J650" t="str">
        <f>B09_Assessment!D54</f>
        <v>High</v>
      </c>
      <c r="K650" t="str">
        <f>B09_Assessment!E54</f>
        <v>Medium</v>
      </c>
      <c r="L650">
        <f>B09_Assessment!F54</f>
        <v>6</v>
      </c>
      <c r="M650" t="str">
        <f>B09_Assessment!G54</f>
        <v>Coordinate ACM/lead/abatement review before penetrations, flooring removal or ceiling/wall work</v>
      </c>
      <c r="N650" t="str">
        <f>B09_Assessment!H54</f>
        <v>GC / IH / COR</v>
      </c>
      <c r="O650" t="str">
        <f>B09_Assessment!I54</f>
        <v>Closed</v>
      </c>
      <c r="P650" t="str">
        <f>B09_Assessment!J54</f>
        <v>B09 drawing index includes 09H-100, 09H-101 and 09H-102.</v>
      </c>
      <c r="Q650" t="str">
        <f t="shared" si="10"/>
        <v>09|47</v>
      </c>
    </row>
    <row r="651" spans="1:17" ht="6.45" customHeight="1">
      <c r="A651" t="s">
        <v>1884</v>
      </c>
      <c r="B651">
        <v>48</v>
      </c>
      <c r="C651" t="s">
        <v>29</v>
      </c>
      <c r="D651">
        <v>55</v>
      </c>
      <c r="E651" t="s">
        <v>1019</v>
      </c>
      <c r="F651" t="s">
        <v>5324</v>
      </c>
      <c r="G651" t="str">
        <f>B09_Assessment!A55</f>
        <v>B09-R4</v>
      </c>
      <c r="H651" t="str">
        <f>B09_Assessment!B55</f>
        <v>104B/206A</v>
      </c>
      <c r="I651" t="str">
        <f>B09_Assessment!C55</f>
        <v>Rated wall/door work and fire/smoke assemblies could affect schedule and acceptance</v>
      </c>
      <c r="J651" t="str">
        <f>B09_Assessment!D55</f>
        <v>High</v>
      </c>
      <c r="K651" t="str">
        <f>B09_Assessment!E55</f>
        <v>Medium</v>
      </c>
      <c r="L651">
        <f>B09_Assessment!F55</f>
        <v>6</v>
      </c>
      <c r="M651" t="str">
        <f>B09_Assessment!G55</f>
        <v>Verify wall ratings, door/frame rating, penetrations, smoke/fire barriers and access control hardware</v>
      </c>
      <c r="N651" t="str">
        <f>B09_Assessment!H55</f>
        <v>GC / VA</v>
      </c>
      <c r="O651" t="str">
        <f>B09_Assessment!I55</f>
        <v>Closed</v>
      </c>
      <c r="P651" t="str">
        <f>B09_Assessment!J55</f>
        <v>Fire protection/architectural enlarged plans show rated wall legends and TR layouts.</v>
      </c>
      <c r="Q651" t="str">
        <f t="shared" si="10"/>
        <v>09|48</v>
      </c>
    </row>
    <row r="652" spans="1:17" ht="6.45" customHeight="1">
      <c r="A652" t="s">
        <v>1884</v>
      </c>
      <c r="B652">
        <v>49</v>
      </c>
      <c r="C652" t="s">
        <v>29</v>
      </c>
      <c r="D652">
        <v>56</v>
      </c>
      <c r="E652" t="s">
        <v>1019</v>
      </c>
      <c r="F652" t="s">
        <v>5324</v>
      </c>
      <c r="G652" t="str">
        <f>B09_Assessment!A56</f>
        <v>B09-R5</v>
      </c>
      <c r="H652" t="str">
        <f>B09_Assessment!B56</f>
        <v>All</v>
      </c>
      <c r="I652" t="str">
        <f>B09_Assessment!C56</f>
        <v>Dedicated cooling emergency power, controls, condensate and high-temp alarms not verified</v>
      </c>
      <c r="J652" t="str">
        <f>B09_Assessment!D56</f>
        <v>Critical</v>
      </c>
      <c r="K652" t="str">
        <f>B09_Assessment!E56</f>
        <v>Medium</v>
      </c>
      <c r="L652">
        <f>B09_Assessment!F56</f>
        <v>8</v>
      </c>
      <c r="M652" t="str">
        <f>B09_Assessment!G56</f>
        <v>Confirm IU/CU assignments, emergency source, BACnet/interface, condensate routing and alarms</v>
      </c>
      <c r="N652" t="str">
        <f>B09_Assessment!H56</f>
        <v>Mechanical / Electrical</v>
      </c>
      <c r="O652" t="str">
        <f>B09_Assessment!I56</f>
        <v>Closed</v>
      </c>
      <c r="P652" t="str">
        <f>B09_Assessment!J56</f>
        <v>IU-0/1/2 and CU-0/1/2 appear in electrical/enlarged data.</v>
      </c>
      <c r="Q652" t="str">
        <f t="shared" si="10"/>
        <v>09|49</v>
      </c>
    </row>
    <row r="653" spans="1:17" ht="6.45" customHeight="1">
      <c r="A653" t="s">
        <v>1884</v>
      </c>
      <c r="B653">
        <v>50</v>
      </c>
      <c r="C653" t="s">
        <v>29</v>
      </c>
      <c r="D653">
        <v>57</v>
      </c>
      <c r="E653" t="s">
        <v>1019</v>
      </c>
      <c r="F653" t="s">
        <v>5324</v>
      </c>
      <c r="G653" t="str">
        <f>B09_Assessment!A57</f>
        <v>B09-R6</v>
      </c>
      <c r="H653" t="str">
        <f>B09_Assessment!B57</f>
        <v>All</v>
      </c>
      <c r="I653" t="str">
        <f>B09_Assessment!C57</f>
        <v>Electrical panel/circuit source and rack load coordination unresolved</v>
      </c>
      <c r="J653" t="str">
        <f>B09_Assessment!D57</f>
        <v>High</v>
      </c>
      <c r="K653" t="str">
        <f>B09_Assessment!E57</f>
        <v>Medium</v>
      </c>
      <c r="L653">
        <f>B09_Assessment!F57</f>
        <v>6</v>
      </c>
      <c r="M653" t="str">
        <f>B09_Assessment!G57</f>
        <v>Verify B09-TRB01A/B, B09-TR104BA/B, B09-TR206AA/B schedules, SPDs, labels and load measurements</v>
      </c>
      <c r="N653" t="str">
        <f>B09_Assessment!H57</f>
        <v>Electrical / GCC</v>
      </c>
      <c r="O653" t="str">
        <f>B09_Assessment!I57</f>
        <v>Closed</v>
      </c>
      <c r="P653" t="str">
        <f>B09_Assessment!J57</f>
        <v>B09 has multiple TR panels across all three levels.</v>
      </c>
      <c r="Q653" t="str">
        <f t="shared" si="10"/>
        <v>09|50</v>
      </c>
    </row>
    <row r="654" spans="1:17" ht="6.45" customHeight="1">
      <c r="A654" t="s">
        <v>1884</v>
      </c>
      <c r="B654">
        <v>51</v>
      </c>
      <c r="C654" t="s">
        <v>29</v>
      </c>
      <c r="D654">
        <v>58</v>
      </c>
      <c r="E654" t="s">
        <v>1019</v>
      </c>
      <c r="F654" t="s">
        <v>5324</v>
      </c>
      <c r="G654" t="str">
        <f>B09_Assessment!A58</f>
        <v>B09-R7</v>
      </c>
      <c r="H654" t="str">
        <f>B09_Assessment!B58</f>
        <v>All</v>
      </c>
      <c r="I654" t="str">
        <f>B09_Assessment!C58</f>
        <v>Fire alarm/sprinkler impairments and firestopping could affect occupied operations</v>
      </c>
      <c r="J654" t="str">
        <f>B09_Assessment!D58</f>
        <v>Critical</v>
      </c>
      <c r="K654" t="str">
        <f>B09_Assessment!E58</f>
        <v>Medium</v>
      </c>
      <c r="L654">
        <f>B09_Assessment!F58</f>
        <v>8</v>
      </c>
      <c r="M654" t="str">
        <f>B09_Assessment!G58</f>
        <v>Track impairments, temporary firestopping, fire watch, sprinkler/head changes and FA acceptance testing</v>
      </c>
      <c r="N654" t="str">
        <f>B09_Assessment!H58</f>
        <v>GC / FP / FA</v>
      </c>
      <c r="O654" t="str">
        <f>B09_Assessment!I58</f>
        <v>Closed</v>
      </c>
      <c r="P654" t="str">
        <f>B09_Assessment!J58</f>
        <v>Shutdowns limited one at a time campus-wide.</v>
      </c>
      <c r="Q654" t="str">
        <f t="shared" si="10"/>
        <v>09|51</v>
      </c>
    </row>
    <row r="655" spans="1:17" ht="6.45" customHeight="1">
      <c r="A655" t="s">
        <v>1884</v>
      </c>
      <c r="B655">
        <v>52</v>
      </c>
      <c r="C655" t="s">
        <v>29</v>
      </c>
      <c r="D655">
        <v>59</v>
      </c>
      <c r="E655" t="s">
        <v>1019</v>
      </c>
      <c r="F655" t="s">
        <v>5324</v>
      </c>
      <c r="G655" t="str">
        <f>B09_Assessment!A59</f>
        <v>B09-R8</v>
      </c>
      <c r="H655" t="str">
        <f>B09_Assessment!B59</f>
        <v>All</v>
      </c>
      <c r="I655" t="str">
        <f>B09_Assessment!C59</f>
        <v>Commissioning/third-party inspection reports may not be complete at turnover</v>
      </c>
      <c r="J655" t="str">
        <f>B09_Assessment!D59</f>
        <v>High</v>
      </c>
      <c r="K655" t="str">
        <f>B09_Assessment!E59</f>
        <v>Medium</v>
      </c>
      <c r="L655">
        <f>B09_Assessment!F59</f>
        <v>6</v>
      </c>
      <c r="M655" t="str">
        <f>B09_Assessment!G59</f>
        <v>Track commissioning, inspections, test records, labels, OIT acceptance and as-builts</v>
      </c>
      <c r="N655" t="str">
        <f>B09_Assessment!H59</f>
        <v>GC / Cx Manager</v>
      </c>
      <c r="O655" t="str">
        <f>B09_Assessment!I59</f>
        <v>Closed</v>
      </c>
      <c r="P655" t="str">
        <f>B09_Assessment!J59</f>
        <v>Required by cover/general notes.</v>
      </c>
      <c r="Q655" t="str">
        <f t="shared" si="10"/>
        <v>09|52</v>
      </c>
    </row>
    <row r="656" spans="1:17" ht="6.45" customHeight="1">
      <c r="A656" t="s">
        <v>1884</v>
      </c>
      <c r="B656">
        <v>53</v>
      </c>
      <c r="C656" t="s">
        <v>29</v>
      </c>
      <c r="D656">
        <v>60</v>
      </c>
      <c r="E656" t="s">
        <v>1019</v>
      </c>
      <c r="F656" t="s">
        <v>5325</v>
      </c>
      <c r="G656">
        <f>B09_Assessment!A60</f>
        <v>0</v>
      </c>
      <c r="H656">
        <f>B09_Assessment!B60</f>
        <v>0</v>
      </c>
      <c r="I656">
        <f>B09_Assessment!C60</f>
        <v>0</v>
      </c>
      <c r="J656">
        <f>B09_Assessment!D60</f>
        <v>0</v>
      </c>
      <c r="K656">
        <f>B09_Assessment!E60</f>
        <v>0</v>
      </c>
      <c r="L656">
        <f>B09_Assessment!F60</f>
        <v>0</v>
      </c>
      <c r="M656">
        <f>B09_Assessment!G60</f>
        <v>0</v>
      </c>
      <c r="N656">
        <f>B09_Assessment!H60</f>
        <v>0</v>
      </c>
      <c r="O656">
        <f>B09_Assessment!I60</f>
        <v>0</v>
      </c>
      <c r="P656">
        <f>B09_Assessment!J60</f>
        <v>0</v>
      </c>
      <c r="Q656" t="str">
        <f t="shared" si="10"/>
        <v>09|53</v>
      </c>
    </row>
    <row r="657" spans="1:17" ht="6.45" customHeight="1">
      <c r="A657" t="s">
        <v>1884</v>
      </c>
      <c r="B657">
        <v>54</v>
      </c>
      <c r="C657" t="s">
        <v>29</v>
      </c>
      <c r="D657">
        <v>61</v>
      </c>
      <c r="E657" t="s">
        <v>1051</v>
      </c>
      <c r="F657" t="s">
        <v>5322</v>
      </c>
      <c r="G657" t="str">
        <f>B09_Assessment!A61</f>
        <v>9. OPEN QUESTIONS</v>
      </c>
      <c r="H657">
        <f>B09_Assessment!B61</f>
        <v>0</v>
      </c>
      <c r="I657">
        <f>B09_Assessment!C61</f>
        <v>0</v>
      </c>
      <c r="J657">
        <f>B09_Assessment!D61</f>
        <v>0</v>
      </c>
      <c r="K657">
        <f>B09_Assessment!E61</f>
        <v>0</v>
      </c>
      <c r="L657">
        <f>B09_Assessment!F61</f>
        <v>0</v>
      </c>
      <c r="M657">
        <f>B09_Assessment!G61</f>
        <v>0</v>
      </c>
      <c r="N657">
        <f>B09_Assessment!H61</f>
        <v>0</v>
      </c>
      <c r="O657">
        <f>B09_Assessment!I61</f>
        <v>0</v>
      </c>
      <c r="P657">
        <f>B09_Assessment!J61</f>
        <v>0</v>
      </c>
      <c r="Q657" t="str">
        <f t="shared" si="10"/>
        <v>09|54</v>
      </c>
    </row>
    <row r="658" spans="1:17" ht="6.45" customHeight="1">
      <c r="A658" t="s">
        <v>1884</v>
      </c>
      <c r="B658">
        <v>55</v>
      </c>
      <c r="C658" t="s">
        <v>29</v>
      </c>
      <c r="D658">
        <v>62</v>
      </c>
      <c r="E658" t="s">
        <v>1051</v>
      </c>
      <c r="F658" t="s">
        <v>5323</v>
      </c>
      <c r="G658" t="str">
        <f>B09_Assessment!A62</f>
        <v>Question ID</v>
      </c>
      <c r="H658" t="str">
        <f>B09_Assessment!B62</f>
        <v>Question</v>
      </c>
      <c r="I658" t="str">
        <f>B09_Assessment!C62</f>
        <v>Assigned To</v>
      </c>
      <c r="J658" t="str">
        <f>B09_Assessment!D62</f>
        <v>Status</v>
      </c>
      <c r="K658" t="str">
        <f>B09_Assessment!E62</f>
        <v>Needed By</v>
      </c>
      <c r="L658" t="str">
        <f>B09_Assessment!F62</f>
        <v>Answer / Resolution</v>
      </c>
      <c r="M658" t="str">
        <f>B09_Assessment!G62</f>
        <v>Impact if Unanswered</v>
      </c>
      <c r="N658" t="str">
        <f>B09_Assessment!H62</f>
        <v>Follow-up</v>
      </c>
      <c r="O658" t="str">
        <f>B09_Assessment!I62</f>
        <v>Date Closed</v>
      </c>
      <c r="P658" t="str">
        <f>B09_Assessment!J62</f>
        <v>Notes</v>
      </c>
      <c r="Q658" t="str">
        <f t="shared" si="10"/>
        <v>09|55</v>
      </c>
    </row>
    <row r="659" spans="1:17" ht="6.45" customHeight="1">
      <c r="A659" t="s">
        <v>1884</v>
      </c>
      <c r="B659">
        <v>56</v>
      </c>
      <c r="C659" t="s">
        <v>29</v>
      </c>
      <c r="D659">
        <v>63</v>
      </c>
      <c r="E659" t="s">
        <v>1051</v>
      </c>
      <c r="F659" t="s">
        <v>5324</v>
      </c>
      <c r="G659" t="str">
        <f>B09_Assessment!A63</f>
        <v>B09-Q1</v>
      </c>
      <c r="H659" t="str">
        <f>B09_Assessment!B63</f>
        <v>Confirm final TR scope: B01 basement, 104B first level, and 206A second level?</v>
      </c>
      <c r="I659" t="str">
        <f>B09_Assessment!C63</f>
        <v>VA / OIT / Designer</v>
      </c>
      <c r="J659" t="str">
        <f>B09_Assessment!D63</f>
        <v>Closed</v>
      </c>
      <c r="K659">
        <f>B09_Assessment!E63</f>
        <v>0</v>
      </c>
      <c r="L659">
        <f>B09_Assessment!F63</f>
        <v>0</v>
      </c>
      <c r="M659" t="str">
        <f>B09_Assessment!G63</f>
        <v>Room inventory may miss scope</v>
      </c>
      <c r="N659">
        <f>B09_Assessment!H63</f>
        <v>0</v>
      </c>
      <c r="O659">
        <f>B09_Assessment!I63</f>
        <v>0</v>
      </c>
      <c r="P659">
        <f>B09_Assessment!J63</f>
        <v>0</v>
      </c>
      <c r="Q659" t="str">
        <f t="shared" si="10"/>
        <v>09|56</v>
      </c>
    </row>
    <row r="660" spans="1:17" ht="6.45" customHeight="1">
      <c r="A660" t="s">
        <v>1884</v>
      </c>
      <c r="B660">
        <v>57</v>
      </c>
      <c r="C660" t="s">
        <v>29</v>
      </c>
      <c r="D660">
        <v>64</v>
      </c>
      <c r="E660" t="s">
        <v>1051</v>
      </c>
      <c r="F660" t="s">
        <v>5324</v>
      </c>
      <c r="G660" t="str">
        <f>B09_Assessment!A64</f>
        <v>B09-Q2</v>
      </c>
      <c r="H660" t="str">
        <f>B09_Assessment!B64</f>
        <v>What active services are currently fed from B01 existing equipment/security/network devices?</v>
      </c>
      <c r="I660" t="str">
        <f>B09_Assessment!C64</f>
        <v>OIT / Contractor</v>
      </c>
      <c r="J660" t="str">
        <f>B09_Assessment!D64</f>
        <v>Closed</v>
      </c>
      <c r="K660">
        <f>B09_Assessment!E64</f>
        <v>0</v>
      </c>
      <c r="L660">
        <f>B09_Assessment!F64</f>
        <v>0</v>
      </c>
      <c r="M660" t="str">
        <f>B09_Assessment!G64</f>
        <v>Potential communications/security outage</v>
      </c>
      <c r="N660">
        <f>B09_Assessment!H64</f>
        <v>0</v>
      </c>
      <c r="O660">
        <f>B09_Assessment!I64</f>
        <v>0</v>
      </c>
      <c r="P660">
        <f>B09_Assessment!J64</f>
        <v>0</v>
      </c>
      <c r="Q660" t="str">
        <f t="shared" si="10"/>
        <v>09|57</v>
      </c>
    </row>
    <row r="661" spans="1:17" ht="6.45" customHeight="1">
      <c r="A661" t="s">
        <v>1884</v>
      </c>
      <c r="B661">
        <v>58</v>
      </c>
      <c r="C661" t="s">
        <v>29</v>
      </c>
      <c r="D661">
        <v>65</v>
      </c>
      <c r="E661" t="s">
        <v>1051</v>
      </c>
      <c r="F661" t="s">
        <v>5324</v>
      </c>
      <c r="G661" t="str">
        <f>B09_Assessment!A65</f>
        <v>B09-Q3</v>
      </c>
      <c r="H661" t="str">
        <f>B09_Assessment!B65</f>
        <v>What hazardous/abatement steps apply to B01, 104B and 206A work areas?</v>
      </c>
      <c r="I661" t="str">
        <f>B09_Assessment!C65</f>
        <v>GC / IH / COR</v>
      </c>
      <c r="J661" t="str">
        <f>B09_Assessment!D65</f>
        <v>Closed</v>
      </c>
      <c r="K661">
        <f>B09_Assessment!E65</f>
        <v>0</v>
      </c>
      <c r="L661">
        <f>B09_Assessment!F65</f>
        <v>0</v>
      </c>
      <c r="M661" t="str">
        <f>B09_Assessment!G65</f>
        <v>Work delay or exposure risk</v>
      </c>
      <c r="N661">
        <f>B09_Assessment!H65</f>
        <v>0</v>
      </c>
      <c r="O661">
        <f>B09_Assessment!I65</f>
        <v>0</v>
      </c>
      <c r="P661">
        <f>B09_Assessment!J65</f>
        <v>0</v>
      </c>
      <c r="Q661" t="str">
        <f t="shared" si="10"/>
        <v>09|58</v>
      </c>
    </row>
    <row r="662" spans="1:17" ht="6.45" customHeight="1">
      <c r="A662" t="s">
        <v>1884</v>
      </c>
      <c r="B662">
        <v>59</v>
      </c>
      <c r="C662" t="s">
        <v>29</v>
      </c>
      <c r="D662">
        <v>66</v>
      </c>
      <c r="E662" t="s">
        <v>1051</v>
      </c>
      <c r="F662" t="s">
        <v>5324</v>
      </c>
      <c r="G662" t="str">
        <f>B09_Assessment!A66</f>
        <v>B09-Q4</v>
      </c>
      <c r="H662" t="str">
        <f>B09_Assessment!B66</f>
        <v>Are IU-0-01/CU-0-1, IU-1-01/CU-1-1 and IU-2-01/CU-2-1 on emergency/backup power?</v>
      </c>
      <c r="I662" t="str">
        <f>B09_Assessment!C66</f>
        <v>Mechanical / Electrical / VA</v>
      </c>
      <c r="J662" t="str">
        <f>B09_Assessment!D66</f>
        <v>Closed</v>
      </c>
      <c r="K662">
        <f>B09_Assessment!E66</f>
        <v>0</v>
      </c>
      <c r="L662">
        <f>B09_Assessment!F66</f>
        <v>0</v>
      </c>
      <c r="M662" t="str">
        <f>B09_Assessment!G66</f>
        <v>Cooling continuity unclear</v>
      </c>
      <c r="N662">
        <f>B09_Assessment!H66</f>
        <v>0</v>
      </c>
      <c r="O662">
        <f>B09_Assessment!I66</f>
        <v>0</v>
      </c>
      <c r="P662">
        <f>B09_Assessment!J66</f>
        <v>0</v>
      </c>
      <c r="Q662" t="str">
        <f t="shared" si="10"/>
        <v>09|59</v>
      </c>
    </row>
    <row r="663" spans="1:17" ht="6.45" customHeight="1">
      <c r="A663" t="s">
        <v>1884</v>
      </c>
      <c r="B663">
        <v>60</v>
      </c>
      <c r="C663" t="s">
        <v>29</v>
      </c>
      <c r="D663">
        <v>67</v>
      </c>
      <c r="E663" t="s">
        <v>1051</v>
      </c>
      <c r="F663" t="s">
        <v>5324</v>
      </c>
      <c r="G663" t="str">
        <f>B09_Assessment!A67</f>
        <v>B09-Q5</v>
      </c>
      <c r="H663" t="str">
        <f>B09_Assessment!B67</f>
        <v>Where are clean-agent/CO2 extinguisher cabinets located within 75 ft of each TR?</v>
      </c>
      <c r="I663" t="str">
        <f>B09_Assessment!C67</f>
        <v>GC / COR</v>
      </c>
      <c r="J663" t="str">
        <f>B09_Assessment!D67</f>
        <v>Closed</v>
      </c>
      <c r="K663">
        <f>B09_Assessment!E67</f>
        <v>0</v>
      </c>
      <c r="L663">
        <f>B09_Assessment!F67</f>
        <v>0</v>
      </c>
      <c r="M663" t="str">
        <f>B09_Assessment!G67</f>
        <v>Life safety acceptance risk</v>
      </c>
      <c r="N663">
        <f>B09_Assessment!H67</f>
        <v>0</v>
      </c>
      <c r="O663">
        <f>B09_Assessment!I67</f>
        <v>0</v>
      </c>
      <c r="P663">
        <f>B09_Assessment!J67</f>
        <v>0</v>
      </c>
      <c r="Q663" t="str">
        <f t="shared" si="10"/>
        <v>09|60</v>
      </c>
    </row>
    <row r="664" spans="1:17" ht="6.45" customHeight="1">
      <c r="A664" t="s">
        <v>1884</v>
      </c>
      <c r="B664">
        <v>61</v>
      </c>
      <c r="C664" t="s">
        <v>29</v>
      </c>
      <c r="D664">
        <v>68</v>
      </c>
      <c r="E664" t="s">
        <v>1051</v>
      </c>
      <c r="F664" t="s">
        <v>5324</v>
      </c>
      <c r="G664" t="str">
        <f>B09_Assessment!A68</f>
        <v>B09-Q6</v>
      </c>
      <c r="H664" t="str">
        <f>B09_Assessment!B68</f>
        <v>Are all B09 panelboard sources, circuits, SPDs, rack receptacles and load measurements approved?</v>
      </c>
      <c r="I664" t="str">
        <f>B09_Assessment!C68</f>
        <v>Electrical / Designer</v>
      </c>
      <c r="J664" t="str">
        <f>B09_Assessment!D68</f>
        <v>Closed</v>
      </c>
      <c r="K664">
        <f>B09_Assessment!E68</f>
        <v>0</v>
      </c>
      <c r="L664">
        <f>B09_Assessment!F68</f>
        <v>0</v>
      </c>
      <c r="M664" t="str">
        <f>B09_Assessment!G68</f>
        <v>Electrical readiness unknown</v>
      </c>
      <c r="N664">
        <f>B09_Assessment!H68</f>
        <v>0</v>
      </c>
      <c r="O664">
        <f>B09_Assessment!I68</f>
        <v>0</v>
      </c>
      <c r="P664">
        <f>B09_Assessment!J68</f>
        <v>0</v>
      </c>
      <c r="Q664" t="str">
        <f t="shared" si="10"/>
        <v>09|61</v>
      </c>
    </row>
    <row r="665" spans="1:17" ht="6.45" customHeight="1">
      <c r="A665" t="s">
        <v>1884</v>
      </c>
      <c r="B665">
        <v>62</v>
      </c>
      <c r="C665" t="s">
        <v>29</v>
      </c>
      <c r="D665">
        <v>69</v>
      </c>
      <c r="E665" t="s">
        <v>1051</v>
      </c>
      <c r="F665" t="s">
        <v>5324</v>
      </c>
      <c r="G665" t="str">
        <f>B09_Assessment!A69</f>
        <v>B09-Q7</v>
      </c>
      <c r="H665" t="str">
        <f>B09_Assessment!B69</f>
        <v>Are all rated wall/floor penetrations, sleeves and firestopping identified?</v>
      </c>
      <c r="I665" t="str">
        <f>B09_Assessment!C69</f>
        <v>GC / Firestop</v>
      </c>
      <c r="J665" t="str">
        <f>B09_Assessment!D69</f>
        <v>Closed</v>
      </c>
      <c r="K665">
        <f>B09_Assessment!E69</f>
        <v>0</v>
      </c>
      <c r="L665">
        <f>B09_Assessment!F69</f>
        <v>0</v>
      </c>
      <c r="M665" t="str">
        <f>B09_Assessment!G69</f>
        <v>Fire/smoke spread risk</v>
      </c>
      <c r="N665">
        <f>B09_Assessment!H69</f>
        <v>0</v>
      </c>
      <c r="O665">
        <f>B09_Assessment!I69</f>
        <v>0</v>
      </c>
      <c r="P665">
        <f>B09_Assessment!J69</f>
        <v>0</v>
      </c>
      <c r="Q665" t="str">
        <f t="shared" si="10"/>
        <v>09|62</v>
      </c>
    </row>
    <row r="666" spans="1:17" ht="6.45" customHeight="1">
      <c r="A666" t="s">
        <v>1884</v>
      </c>
      <c r="B666">
        <v>63</v>
      </c>
      <c r="C666" t="s">
        <v>29</v>
      </c>
      <c r="D666">
        <v>70</v>
      </c>
      <c r="E666" t="s">
        <v>1051</v>
      </c>
      <c r="F666" t="s">
        <v>5324</v>
      </c>
      <c r="G666" t="str">
        <f>B09_Assessment!A70</f>
        <v>B09-Q8</v>
      </c>
      <c r="H666" t="str">
        <f>B09_Assessment!B70</f>
        <v>Which third-party inspections and commissioning forms are required before VA acceptance?</v>
      </c>
      <c r="I666" t="str">
        <f>B09_Assessment!C70</f>
        <v>GC / Cx Manager</v>
      </c>
      <c r="J666" t="str">
        <f>B09_Assessment!D70</f>
        <v>Closed</v>
      </c>
      <c r="K666">
        <f>B09_Assessment!E70</f>
        <v>0</v>
      </c>
      <c r="L666">
        <f>B09_Assessment!F70</f>
        <v>0</v>
      </c>
      <c r="M666" t="str">
        <f>B09_Assessment!G70</f>
        <v>Turnover package gap</v>
      </c>
      <c r="N666">
        <f>B09_Assessment!H70</f>
        <v>0</v>
      </c>
      <c r="O666">
        <f>B09_Assessment!I70</f>
        <v>0</v>
      </c>
      <c r="P666">
        <f>B09_Assessment!J70</f>
        <v>0</v>
      </c>
      <c r="Q666" t="str">
        <f t="shared" si="10"/>
        <v>09|63</v>
      </c>
    </row>
    <row r="667" spans="1:17" ht="6.45" customHeight="1">
      <c r="A667" t="s">
        <v>1884</v>
      </c>
      <c r="B667">
        <v>64</v>
      </c>
      <c r="C667" t="s">
        <v>29</v>
      </c>
      <c r="D667">
        <v>71</v>
      </c>
      <c r="E667" t="s">
        <v>1051</v>
      </c>
      <c r="F667" t="s">
        <v>5325</v>
      </c>
      <c r="G667">
        <f>B09_Assessment!A71</f>
        <v>0</v>
      </c>
      <c r="H667">
        <f>B09_Assessment!B71</f>
        <v>0</v>
      </c>
      <c r="I667">
        <f>B09_Assessment!C71</f>
        <v>0</v>
      </c>
      <c r="J667">
        <f>B09_Assessment!D71</f>
        <v>0</v>
      </c>
      <c r="K667">
        <f>B09_Assessment!E71</f>
        <v>0</v>
      </c>
      <c r="L667">
        <f>B09_Assessment!F71</f>
        <v>0</v>
      </c>
      <c r="M667">
        <f>B09_Assessment!G71</f>
        <v>0</v>
      </c>
      <c r="N667">
        <f>B09_Assessment!H71</f>
        <v>0</v>
      </c>
      <c r="O667">
        <f>B09_Assessment!I71</f>
        <v>0</v>
      </c>
      <c r="P667">
        <f>B09_Assessment!J71</f>
        <v>0</v>
      </c>
      <c r="Q667" t="str">
        <f t="shared" si="10"/>
        <v>09|64</v>
      </c>
    </row>
    <row r="668" spans="1:17" ht="6.45" customHeight="1">
      <c r="A668" t="s">
        <v>1884</v>
      </c>
      <c r="B668">
        <v>65</v>
      </c>
      <c r="C668" t="s">
        <v>29</v>
      </c>
      <c r="D668">
        <v>72</v>
      </c>
      <c r="E668" t="s">
        <v>1052</v>
      </c>
      <c r="F668" t="s">
        <v>5322</v>
      </c>
      <c r="G668" t="str">
        <f>B09_Assessment!A72</f>
        <v>10. PHOTO LOG</v>
      </c>
      <c r="H668">
        <f>B09_Assessment!B72</f>
        <v>0</v>
      </c>
      <c r="I668">
        <f>B09_Assessment!C72</f>
        <v>0</v>
      </c>
      <c r="J668">
        <f>B09_Assessment!D72</f>
        <v>0</v>
      </c>
      <c r="K668">
        <f>B09_Assessment!E72</f>
        <v>0</v>
      </c>
      <c r="L668">
        <f>B09_Assessment!F72</f>
        <v>0</v>
      </c>
      <c r="M668">
        <f>B09_Assessment!G72</f>
        <v>0</v>
      </c>
      <c r="N668">
        <f>B09_Assessment!H72</f>
        <v>0</v>
      </c>
      <c r="O668">
        <f>B09_Assessment!I72</f>
        <v>0</v>
      </c>
      <c r="P668">
        <f>B09_Assessment!J72</f>
        <v>0</v>
      </c>
      <c r="Q668" t="str">
        <f t="shared" si="10"/>
        <v>09|65</v>
      </c>
    </row>
    <row r="669" spans="1:17" ht="6.45" customHeight="1">
      <c r="A669" t="s">
        <v>1884</v>
      </c>
      <c r="B669">
        <v>66</v>
      </c>
      <c r="C669" t="s">
        <v>29</v>
      </c>
      <c r="D669">
        <v>73</v>
      </c>
      <c r="E669" t="s">
        <v>1052</v>
      </c>
      <c r="F669" t="s">
        <v>5323</v>
      </c>
      <c r="G669" t="str">
        <f>B09_Assessment!A73</f>
        <v>Photo ID</v>
      </c>
      <c r="H669" t="str">
        <f>B09_Assessment!B73</f>
        <v>Room</v>
      </c>
      <c r="I669" t="str">
        <f>B09_Assessment!C73</f>
        <v>Category</v>
      </c>
      <c r="J669" t="str">
        <f>B09_Assessment!D73</f>
        <v>Description</v>
      </c>
      <c r="K669" t="str">
        <f>B09_Assessment!E73</f>
        <v>Date</v>
      </c>
      <c r="L669" t="str">
        <f>B09_Assessment!F73</f>
        <v>Taken By</v>
      </c>
      <c r="M669" t="str">
        <f>B09_Assessment!G73</f>
        <v>File / Link</v>
      </c>
      <c r="N669" t="str">
        <f>B09_Assessment!H73</f>
        <v>Related Risk</v>
      </c>
      <c r="O669" t="str">
        <f>B09_Assessment!I73</f>
        <v>Status</v>
      </c>
      <c r="P669" t="str">
        <f>B09_Assessment!J73</f>
        <v>Notes</v>
      </c>
      <c r="Q669" t="str">
        <f t="shared" si="10"/>
        <v>09|66</v>
      </c>
    </row>
    <row r="670" spans="1:17" ht="6.45" customHeight="1">
      <c r="A670" t="s">
        <v>1884</v>
      </c>
      <c r="B670">
        <v>67</v>
      </c>
      <c r="C670" t="s">
        <v>29</v>
      </c>
      <c r="D670">
        <v>74</v>
      </c>
      <c r="E670" t="s">
        <v>1052</v>
      </c>
      <c r="F670" t="s">
        <v>5324</v>
      </c>
      <c r="G670" t="str">
        <f>B09_Assessment!A74</f>
        <v>B09-P001</v>
      </c>
      <c r="H670" t="str">
        <f>B09_Assessment!B74</f>
        <v>B01</v>
      </c>
      <c r="I670" t="str">
        <f>B09_Assessment!C74</f>
        <v>Existing Condition</v>
      </c>
      <c r="J670" t="str">
        <f>B09_Assessment!D74</f>
        <v>Basement TR B01 existing telecom/security/network equipment, storage conditions, panels, ceiling, walls and pathways</v>
      </c>
      <c r="K670">
        <f>B09_Assessment!E74</f>
        <v>0</v>
      </c>
      <c r="L670" t="str">
        <f>B09_Assessment!F74</f>
        <v>Paul</v>
      </c>
      <c r="M670">
        <f>B09_Assessment!G74</f>
        <v>0</v>
      </c>
      <c r="N670" t="str">
        <f>B09_Assessment!H74</f>
        <v>B09-R1/B09-R2</v>
      </c>
      <c r="O670" t="str">
        <f>B09_Assessment!I74</f>
        <v>Closed</v>
      </c>
      <c r="P670">
        <f>B09_Assessment!J74</f>
        <v>0</v>
      </c>
      <c r="Q670" t="str">
        <f t="shared" si="10"/>
        <v>09|67</v>
      </c>
    </row>
    <row r="671" spans="1:17" ht="6.45" customHeight="1">
      <c r="A671" t="s">
        <v>1884</v>
      </c>
      <c r="B671">
        <v>68</v>
      </c>
      <c r="C671" t="s">
        <v>29</v>
      </c>
      <c r="D671">
        <v>75</v>
      </c>
      <c r="E671" t="s">
        <v>1052</v>
      </c>
      <c r="F671" t="s">
        <v>5324</v>
      </c>
      <c r="G671" t="str">
        <f>B09_Assessment!A75</f>
        <v>B09-P002</v>
      </c>
      <c r="H671" t="str">
        <f>B09_Assessment!B75</f>
        <v>104B</v>
      </c>
      <c r="I671" t="str">
        <f>B09_Assessment!C75</f>
        <v>Existing Condition</v>
      </c>
      <c r="J671" t="str">
        <f>B09_Assessment!D75</f>
        <v>First-level TR 104B, walls/door/ceiling/floor, security devices, IU-1-01 location and pathways</v>
      </c>
      <c r="K671">
        <f>B09_Assessment!E75</f>
        <v>0</v>
      </c>
      <c r="L671" t="str">
        <f>B09_Assessment!F75</f>
        <v>Paul</v>
      </c>
      <c r="M671">
        <f>B09_Assessment!G75</f>
        <v>0</v>
      </c>
      <c r="N671" t="str">
        <f>B09_Assessment!H75</f>
        <v>B09-R1/B09-R4</v>
      </c>
      <c r="O671" t="str">
        <f>B09_Assessment!I75</f>
        <v>Closed</v>
      </c>
      <c r="P671">
        <f>B09_Assessment!J75</f>
        <v>0</v>
      </c>
      <c r="Q671" t="str">
        <f t="shared" si="10"/>
        <v>09|68</v>
      </c>
    </row>
    <row r="672" spans="1:17" ht="6.45" customHeight="1">
      <c r="A672" t="s">
        <v>1884</v>
      </c>
      <c r="B672">
        <v>69</v>
      </c>
      <c r="C672" t="s">
        <v>29</v>
      </c>
      <c r="D672">
        <v>76</v>
      </c>
      <c r="E672" t="s">
        <v>1052</v>
      </c>
      <c r="F672" t="s">
        <v>5324</v>
      </c>
      <c r="G672" t="str">
        <f>B09_Assessment!A76</f>
        <v>B09-P003</v>
      </c>
      <c r="H672" t="str">
        <f>B09_Assessment!B76</f>
        <v>206A</v>
      </c>
      <c r="I672" t="str">
        <f>B09_Assessment!C76</f>
        <v>Existing Condition</v>
      </c>
      <c r="J672" t="str">
        <f>B09_Assessment!D76</f>
        <v>Second-level TR 206A, walls/door/ceiling/floor, adjacent Nursing Service 206, IU-2-01 location and pathways</v>
      </c>
      <c r="K672">
        <f>B09_Assessment!E76</f>
        <v>0</v>
      </c>
      <c r="L672" t="str">
        <f>B09_Assessment!F76</f>
        <v>Paul</v>
      </c>
      <c r="M672">
        <f>B09_Assessment!G76</f>
        <v>0</v>
      </c>
      <c r="N672" t="str">
        <f>B09_Assessment!H76</f>
        <v>B09-R1/B09-R4</v>
      </c>
      <c r="O672" t="str">
        <f>B09_Assessment!I76</f>
        <v>Closed</v>
      </c>
      <c r="P672">
        <f>B09_Assessment!J76</f>
        <v>0</v>
      </c>
      <c r="Q672" t="str">
        <f t="shared" si="10"/>
        <v>09|69</v>
      </c>
    </row>
    <row r="673" spans="1:17" ht="6.45" customHeight="1">
      <c r="A673" t="s">
        <v>1884</v>
      </c>
      <c r="B673">
        <v>70</v>
      </c>
      <c r="C673" t="s">
        <v>29</v>
      </c>
      <c r="D673">
        <v>77</v>
      </c>
      <c r="E673" t="s">
        <v>1052</v>
      </c>
      <c r="F673" t="s">
        <v>5324</v>
      </c>
      <c r="G673" t="str">
        <f>B09_Assessment!A77</f>
        <v>B09-P004</v>
      </c>
      <c r="H673" t="str">
        <f>B09_Assessment!B77</f>
        <v>All</v>
      </c>
      <c r="I673" t="str">
        <f>B09_Assessment!C77</f>
        <v>Hazardous Materials</v>
      </c>
      <c r="J673" t="str">
        <f>B09_Assessment!D77</f>
        <v>Flooring, ceilings, pipe insulation, penetrations and abatement-related locations before disturbance</v>
      </c>
      <c r="K673">
        <f>B09_Assessment!E77</f>
        <v>0</v>
      </c>
      <c r="L673" t="str">
        <f>B09_Assessment!F77</f>
        <v>Paul</v>
      </c>
      <c r="M673">
        <f>B09_Assessment!G77</f>
        <v>0</v>
      </c>
      <c r="N673" t="str">
        <f>B09_Assessment!H77</f>
        <v>B09-R3</v>
      </c>
      <c r="O673" t="str">
        <f>B09_Assessment!I77</f>
        <v>Closed</v>
      </c>
      <c r="P673">
        <f>B09_Assessment!J77</f>
        <v>0</v>
      </c>
      <c r="Q673" t="str">
        <f t="shared" si="10"/>
        <v>09|70</v>
      </c>
    </row>
    <row r="674" spans="1:17" ht="6.45" customHeight="1">
      <c r="A674" t="s">
        <v>1884</v>
      </c>
      <c r="B674">
        <v>71</v>
      </c>
      <c r="C674" t="s">
        <v>29</v>
      </c>
      <c r="D674">
        <v>78</v>
      </c>
      <c r="E674" t="s">
        <v>1052</v>
      </c>
      <c r="F674" t="s">
        <v>5324</v>
      </c>
      <c r="G674" t="str">
        <f>B09_Assessment!A78</f>
        <v>B09-P005</v>
      </c>
      <c r="H674" t="str">
        <f>B09_Assessment!B78</f>
        <v>All</v>
      </c>
      <c r="I674" t="str">
        <f>B09_Assessment!C78</f>
        <v>Firestop</v>
      </c>
      <c r="J674" t="str">
        <f>B09_Assessment!D78</f>
        <v>All wall/floor/sleeve/tray penetrations before and after firestop</v>
      </c>
      <c r="K674">
        <f>B09_Assessment!E78</f>
        <v>0</v>
      </c>
      <c r="L674" t="str">
        <f>B09_Assessment!F78</f>
        <v>Paul</v>
      </c>
      <c r="M674">
        <f>B09_Assessment!G78</f>
        <v>0</v>
      </c>
      <c r="N674" t="str">
        <f>B09_Assessment!H78</f>
        <v>B09-R7</v>
      </c>
      <c r="O674" t="str">
        <f>B09_Assessment!I78</f>
        <v>Closed</v>
      </c>
      <c r="P674">
        <f>B09_Assessment!J78</f>
        <v>0</v>
      </c>
      <c r="Q674" t="str">
        <f t="shared" si="10"/>
        <v>09|71</v>
      </c>
    </row>
    <row r="675" spans="1:17" ht="6.45" customHeight="1">
      <c r="A675" t="s">
        <v>1884</v>
      </c>
      <c r="B675">
        <v>72</v>
      </c>
      <c r="C675" t="s">
        <v>29</v>
      </c>
      <c r="D675">
        <v>79</v>
      </c>
      <c r="E675" t="s">
        <v>1052</v>
      </c>
      <c r="F675" t="s">
        <v>5324</v>
      </c>
      <c r="G675" t="str">
        <f>B09_Assessment!A79</f>
        <v>B09-P006</v>
      </c>
      <c r="H675" t="str">
        <f>B09_Assessment!B79</f>
        <v>All</v>
      </c>
      <c r="I675" t="str">
        <f>B09_Assessment!C79</f>
        <v>HVAC</v>
      </c>
      <c r="J675" t="str">
        <f>B09_Assessment!D79</f>
        <v>IU/CU equipment, condensate, thermostat, BACnet adapter, disconnects, high-temp alarm and power source</v>
      </c>
      <c r="K675">
        <f>B09_Assessment!E79</f>
        <v>0</v>
      </c>
      <c r="L675" t="str">
        <f>B09_Assessment!F79</f>
        <v>Paul</v>
      </c>
      <c r="M675">
        <f>B09_Assessment!G79</f>
        <v>0</v>
      </c>
      <c r="N675" t="str">
        <f>B09_Assessment!H79</f>
        <v>B09-R5</v>
      </c>
      <c r="O675" t="str">
        <f>B09_Assessment!I79</f>
        <v>Closed</v>
      </c>
      <c r="P675">
        <f>B09_Assessment!J79</f>
        <v>0</v>
      </c>
      <c r="Q675" t="str">
        <f t="shared" si="10"/>
        <v>09|72</v>
      </c>
    </row>
    <row r="676" spans="1:17" ht="6.45" customHeight="1">
      <c r="A676" t="s">
        <v>1884</v>
      </c>
      <c r="B676">
        <v>73</v>
      </c>
      <c r="C676" t="s">
        <v>29</v>
      </c>
      <c r="D676">
        <v>80</v>
      </c>
      <c r="E676" t="s">
        <v>1052</v>
      </c>
      <c r="F676" t="s">
        <v>5324</v>
      </c>
      <c r="G676" t="str">
        <f>B09_Assessment!A80</f>
        <v>B09-P007</v>
      </c>
      <c r="H676" t="str">
        <f>B09_Assessment!B80</f>
        <v>All</v>
      </c>
      <c r="I676" t="str">
        <f>B09_Assessment!C80</f>
        <v>Electrical</v>
      </c>
      <c r="J676" t="str">
        <f>B09_Assessment!D80</f>
        <v>B09 TR panels, breakers, SPD, rack receptacles, access controllers, lighting and labels</v>
      </c>
      <c r="K676">
        <f>B09_Assessment!E80</f>
        <v>0</v>
      </c>
      <c r="L676" t="str">
        <f>B09_Assessment!F80</f>
        <v>Paul</v>
      </c>
      <c r="M676">
        <f>B09_Assessment!G80</f>
        <v>0</v>
      </c>
      <c r="N676" t="str">
        <f>B09_Assessment!H80</f>
        <v>B09-R6</v>
      </c>
      <c r="O676" t="str">
        <f>B09_Assessment!I80</f>
        <v>Closed</v>
      </c>
      <c r="P676">
        <f>B09_Assessment!J80</f>
        <v>0</v>
      </c>
      <c r="Q676" t="str">
        <f t="shared" si="10"/>
        <v>09|73</v>
      </c>
    </row>
    <row r="677" spans="1:17" ht="6.45" customHeight="1">
      <c r="A677" t="s">
        <v>1884</v>
      </c>
      <c r="B677">
        <v>74</v>
      </c>
      <c r="C677" t="s">
        <v>29</v>
      </c>
      <c r="D677">
        <v>81</v>
      </c>
      <c r="E677" t="s">
        <v>1052</v>
      </c>
      <c r="F677" t="s">
        <v>5324</v>
      </c>
      <c r="G677" t="str">
        <f>B09_Assessment!A81</f>
        <v>B09-P008</v>
      </c>
      <c r="H677" t="str">
        <f>B09_Assessment!B81</f>
        <v>All</v>
      </c>
      <c r="I677" t="str">
        <f>B09_Assessment!C81</f>
        <v>Telecom/Security</v>
      </c>
      <c r="J677" t="str">
        <f>B09_Assessment!D81</f>
        <v>Racks, fiber, Cat6A, LIU, patch panels, labeling/testing, cameras, access control and VMS/PACS integration</v>
      </c>
      <c r="K677">
        <f>B09_Assessment!E81</f>
        <v>0</v>
      </c>
      <c r="L677" t="str">
        <f>B09_Assessment!F81</f>
        <v>Paul</v>
      </c>
      <c r="M677">
        <f>B09_Assessment!G81</f>
        <v>0</v>
      </c>
      <c r="N677" t="str">
        <f>B09_Assessment!H81</f>
        <v>B09-R8</v>
      </c>
      <c r="O677" t="str">
        <f>B09_Assessment!I81</f>
        <v>Closed</v>
      </c>
      <c r="P677">
        <f>B09_Assessment!J81</f>
        <v>0</v>
      </c>
      <c r="Q677" t="str">
        <f t="shared" si="10"/>
        <v>09|74</v>
      </c>
    </row>
    <row r="678" spans="1:17" ht="6.45" customHeight="1">
      <c r="A678" t="s">
        <v>1884</v>
      </c>
      <c r="B678">
        <v>75</v>
      </c>
      <c r="C678" t="s">
        <v>29</v>
      </c>
      <c r="D678">
        <v>82</v>
      </c>
      <c r="E678" t="s">
        <v>1052</v>
      </c>
      <c r="F678" t="s">
        <v>5325</v>
      </c>
      <c r="G678">
        <f>B09_Assessment!A82</f>
        <v>0</v>
      </c>
      <c r="H678">
        <f>B09_Assessment!B82</f>
        <v>0</v>
      </c>
      <c r="I678">
        <f>B09_Assessment!C82</f>
        <v>0</v>
      </c>
      <c r="J678">
        <f>B09_Assessment!D82</f>
        <v>0</v>
      </c>
      <c r="K678">
        <f>B09_Assessment!E82</f>
        <v>0</v>
      </c>
      <c r="L678">
        <f>B09_Assessment!F82</f>
        <v>0</v>
      </c>
      <c r="M678">
        <f>B09_Assessment!G82</f>
        <v>0</v>
      </c>
      <c r="N678">
        <f>B09_Assessment!H82</f>
        <v>0</v>
      </c>
      <c r="O678">
        <f>B09_Assessment!I82</f>
        <v>0</v>
      </c>
      <c r="P678">
        <f>B09_Assessment!J82</f>
        <v>0</v>
      </c>
      <c r="Q678" t="str">
        <f t="shared" si="10"/>
        <v>09|75</v>
      </c>
    </row>
    <row r="679" spans="1:17" ht="6.45" customHeight="1">
      <c r="A679" t="s">
        <v>697</v>
      </c>
      <c r="B679">
        <v>1</v>
      </c>
      <c r="C679" t="s">
        <v>31</v>
      </c>
      <c r="D679">
        <v>8</v>
      </c>
      <c r="E679" t="s">
        <v>918</v>
      </c>
      <c r="F679" t="s">
        <v>5322</v>
      </c>
      <c r="G679" t="str">
        <f>B10_Assessment!A8</f>
        <v>1. ROOM INVENTORY</v>
      </c>
      <c r="H679">
        <f>B10_Assessment!B8</f>
        <v>0</v>
      </c>
      <c r="I679">
        <f>B10_Assessment!C8</f>
        <v>0</v>
      </c>
      <c r="J679">
        <f>B10_Assessment!D8</f>
        <v>0</v>
      </c>
      <c r="K679">
        <f>B10_Assessment!E8</f>
        <v>0</v>
      </c>
      <c r="L679">
        <f>B10_Assessment!F8</f>
        <v>0</v>
      </c>
      <c r="M679">
        <f>B10_Assessment!G8</f>
        <v>0</v>
      </c>
      <c r="N679">
        <f>B10_Assessment!H8</f>
        <v>0</v>
      </c>
      <c r="O679">
        <f>B10_Assessment!I8</f>
        <v>0</v>
      </c>
      <c r="P679">
        <f>B10_Assessment!J8</f>
        <v>0</v>
      </c>
      <c r="Q679" t="str">
        <f t="shared" si="10"/>
        <v>10|1</v>
      </c>
    </row>
    <row r="680" spans="1:17" ht="6.45" customHeight="1">
      <c r="A680" t="s">
        <v>697</v>
      </c>
      <c r="B680">
        <v>2</v>
      </c>
      <c r="C680" t="s">
        <v>31</v>
      </c>
      <c r="D680">
        <v>9</v>
      </c>
      <c r="E680" t="s">
        <v>918</v>
      </c>
      <c r="F680" t="s">
        <v>5323</v>
      </c>
      <c r="G680" t="str">
        <f>B10_Assessment!A9</f>
        <v>Building</v>
      </c>
      <c r="H680" t="str">
        <f>B10_Assessment!B9</f>
        <v>Room</v>
      </c>
      <c r="I680" t="str">
        <f>B10_Assessment!C9</f>
        <v>Floor</v>
      </c>
      <c r="J680" t="str">
        <f>B10_Assessment!D9</f>
        <v>Existing Use</v>
      </c>
      <c r="K680" t="str">
        <f>B10_Assessment!E9</f>
        <v>New Use</v>
      </c>
      <c r="L680" t="str">
        <f>B10_Assessment!F9</f>
        <v>Rack Count</v>
      </c>
      <c r="M680" t="str">
        <f>B10_Assessment!G9</f>
        <v>Future Rack</v>
      </c>
      <c r="N680" t="str">
        <f>B10_Assessment!H9</f>
        <v>Status</v>
      </c>
      <c r="O680" t="str">
        <f>B10_Assessment!I9</f>
        <v>Drawing Ref</v>
      </c>
      <c r="P680" t="str">
        <f>B10_Assessment!J9</f>
        <v>Notes</v>
      </c>
      <c r="Q680" t="str">
        <f t="shared" si="10"/>
        <v>10|2</v>
      </c>
    </row>
    <row r="681" spans="1:17" ht="6.45" customHeight="1">
      <c r="A681" t="s">
        <v>697</v>
      </c>
      <c r="B681">
        <v>3</v>
      </c>
      <c r="C681" t="s">
        <v>31</v>
      </c>
      <c r="D681">
        <v>10</v>
      </c>
      <c r="E681" t="s">
        <v>918</v>
      </c>
      <c r="F681" t="s">
        <v>5324</v>
      </c>
      <c r="G681" t="str">
        <f>B10_Assessment!A10</f>
        <v>10</v>
      </c>
      <c r="H681" t="str">
        <f>B10_Assessment!B10</f>
        <v>200A</v>
      </c>
      <c r="I681" t="str">
        <f>B10_Assessment!C10</f>
        <v>Attic</v>
      </c>
      <c r="J681" t="str">
        <f>B10_Assessment!D10</f>
        <v>Existing attic telecom/equipment area</v>
      </c>
      <c r="K681" t="str">
        <f>B10_Assessment!E10</f>
        <v>Telecom Room</v>
      </c>
      <c r="L681">
        <f>B10_Assessment!F10</f>
        <v>2</v>
      </c>
      <c r="M681">
        <f>B10_Assessment!G10</f>
        <v>1</v>
      </c>
      <c r="N681" t="str">
        <f>B10_Assessment!H10</f>
        <v>Verify</v>
      </c>
      <c r="O681" t="str">
        <f>B10_Assessment!I10</f>
        <v>10A-401 / 10E-401 / 10T-604 / 10M-701</v>
      </c>
      <c r="P681" t="str">
        <f>B10_Assessment!J10</f>
        <v>Primary Building 10 TR. Drawings identify attic-level Room 200A with existing wall-mounted rack/equipment, new telecom rack equipment, panels B10-TR200AA/AB, IU-1-01, CU-1-01, rack receptacles and future rack space.</v>
      </c>
      <c r="Q681" t="str">
        <f t="shared" si="10"/>
        <v>10|3</v>
      </c>
    </row>
    <row r="682" spans="1:17" ht="6.45" customHeight="1">
      <c r="A682" t="s">
        <v>697</v>
      </c>
      <c r="B682">
        <v>4</v>
      </c>
      <c r="C682" t="s">
        <v>31</v>
      </c>
      <c r="D682">
        <v>11</v>
      </c>
      <c r="E682" t="s">
        <v>918</v>
      </c>
      <c r="F682" t="s">
        <v>5324</v>
      </c>
      <c r="G682" t="str">
        <f>B10_Assessment!A11</f>
        <v>10</v>
      </c>
      <c r="H682" t="str">
        <f>B10_Assessment!B11</f>
        <v>B24</v>
      </c>
      <c r="I682" t="str">
        <f>B10_Assessment!C11</f>
        <v>Basement</v>
      </c>
      <c r="J682" t="str">
        <f>B10_Assessment!D11</f>
        <v>Existing electrical room - normal power</v>
      </c>
      <c r="K682" t="str">
        <f>B10_Assessment!E11</f>
        <v>Electrical source / coordination room</v>
      </c>
      <c r="L682">
        <f>B10_Assessment!F11</f>
        <v>0</v>
      </c>
      <c r="M682">
        <f>B10_Assessment!G11</f>
        <v>0</v>
      </c>
      <c r="N682" t="str">
        <f>B10_Assessment!H11</f>
        <v>Verify</v>
      </c>
      <c r="O682" t="str">
        <f>B10_Assessment!I11</f>
        <v>10E-401 / 10E-701</v>
      </c>
      <c r="P682" t="str">
        <f>B10_Assessment!J11</f>
        <v>Basement existing electrical room normal power referenced on electrical enlarged plan; coordinate B10-MDP/B10-L10-E feeders and load measurement.</v>
      </c>
      <c r="Q682" t="str">
        <f t="shared" si="10"/>
        <v>10|4</v>
      </c>
    </row>
    <row r="683" spans="1:17" ht="6.45" customHeight="1">
      <c r="A683" t="s">
        <v>697</v>
      </c>
      <c r="B683">
        <v>5</v>
      </c>
      <c r="C683" t="s">
        <v>31</v>
      </c>
      <c r="D683">
        <v>12</v>
      </c>
      <c r="E683" t="s">
        <v>918</v>
      </c>
      <c r="F683" t="s">
        <v>5324</v>
      </c>
      <c r="G683" t="str">
        <f>B10_Assessment!A12</f>
        <v>10</v>
      </c>
      <c r="H683" t="str">
        <f>B10_Assessment!B12</f>
        <v>B25</v>
      </c>
      <c r="I683" t="str">
        <f>B10_Assessment!C12</f>
        <v>Basement</v>
      </c>
      <c r="J683" t="str">
        <f>B10_Assessment!D12</f>
        <v>Existing electrical room - emergency power</v>
      </c>
      <c r="K683" t="str">
        <f>B10_Assessment!E12</f>
        <v>Emergency electrical source / coordination room</v>
      </c>
      <c r="L683">
        <f>B10_Assessment!F12</f>
        <v>0</v>
      </c>
      <c r="M683">
        <f>B10_Assessment!G12</f>
        <v>0</v>
      </c>
      <c r="N683" t="str">
        <f>B10_Assessment!H12</f>
        <v>Verify</v>
      </c>
      <c r="O683" t="str">
        <f>B10_Assessment!I12</f>
        <v>10E-401 / 10E-601 / 10E-701</v>
      </c>
      <c r="P683" t="str">
        <f>B10_Assessment!J12</f>
        <v>Basement existing electrical room emergency power referenced on electrical enlarged plan; coordinate ATS-B10-LSD, emergency source and TR equipment continuity.</v>
      </c>
      <c r="Q683" t="str">
        <f t="shared" si="10"/>
        <v>10|5</v>
      </c>
    </row>
    <row r="684" spans="1:17" ht="6.45" customHeight="1">
      <c r="A684" t="s">
        <v>697</v>
      </c>
      <c r="B684">
        <v>6</v>
      </c>
      <c r="C684" t="s">
        <v>31</v>
      </c>
      <c r="D684">
        <v>13</v>
      </c>
      <c r="E684" t="s">
        <v>918</v>
      </c>
      <c r="F684" t="s">
        <v>5325</v>
      </c>
      <c r="G684">
        <f>B10_Assessment!A13</f>
        <v>0</v>
      </c>
      <c r="H684">
        <f>B10_Assessment!B13</f>
        <v>0</v>
      </c>
      <c r="I684">
        <f>B10_Assessment!C13</f>
        <v>0</v>
      </c>
      <c r="J684">
        <f>B10_Assessment!D13</f>
        <v>0</v>
      </c>
      <c r="K684">
        <f>B10_Assessment!E13</f>
        <v>0</v>
      </c>
      <c r="L684">
        <f>B10_Assessment!F13</f>
        <v>0</v>
      </c>
      <c r="M684">
        <f>B10_Assessment!G13</f>
        <v>0</v>
      </c>
      <c r="N684">
        <f>B10_Assessment!H13</f>
        <v>0</v>
      </c>
      <c r="O684">
        <f>B10_Assessment!I13</f>
        <v>0</v>
      </c>
      <c r="P684">
        <f>B10_Assessment!J13</f>
        <v>0</v>
      </c>
      <c r="Q684" t="str">
        <f t="shared" si="10"/>
        <v>10|6</v>
      </c>
    </row>
    <row r="685" spans="1:17" ht="6.45" customHeight="1">
      <c r="A685" t="s">
        <v>697</v>
      </c>
      <c r="B685">
        <v>7</v>
      </c>
      <c r="C685" t="s">
        <v>31</v>
      </c>
      <c r="D685">
        <v>14</v>
      </c>
      <c r="E685" t="s">
        <v>936</v>
      </c>
      <c r="F685" t="s">
        <v>5322</v>
      </c>
      <c r="G685" t="str">
        <f>B10_Assessment!A14</f>
        <v>2. ROOM READINESS</v>
      </c>
      <c r="H685">
        <f>B10_Assessment!B14</f>
        <v>0</v>
      </c>
      <c r="I685">
        <f>B10_Assessment!C14</f>
        <v>0</v>
      </c>
      <c r="J685">
        <f>B10_Assessment!D14</f>
        <v>0</v>
      </c>
      <c r="K685">
        <f>B10_Assessment!E14</f>
        <v>0</v>
      </c>
      <c r="L685">
        <f>B10_Assessment!F14</f>
        <v>0</v>
      </c>
      <c r="M685">
        <f>B10_Assessment!G14</f>
        <v>0</v>
      </c>
      <c r="N685">
        <f>B10_Assessment!H14</f>
        <v>0</v>
      </c>
      <c r="O685">
        <f>B10_Assessment!I14</f>
        <v>0</v>
      </c>
      <c r="P685">
        <f>B10_Assessment!J14</f>
        <v>0</v>
      </c>
      <c r="Q685" t="str">
        <f t="shared" si="10"/>
        <v>10|7</v>
      </c>
    </row>
    <row r="686" spans="1:17" ht="6.45" customHeight="1">
      <c r="A686" t="s">
        <v>697</v>
      </c>
      <c r="B686">
        <v>8</v>
      </c>
      <c r="C686" t="s">
        <v>31</v>
      </c>
      <c r="D686">
        <v>15</v>
      </c>
      <c r="E686" t="s">
        <v>936</v>
      </c>
      <c r="F686" t="s">
        <v>5323</v>
      </c>
      <c r="G686" t="str">
        <f>B10_Assessment!A15</f>
        <v>Room</v>
      </c>
      <c r="H686" t="str">
        <f>B10_Assessment!B15</f>
        <v>Walls / 1-hr Rating</v>
      </c>
      <c r="I686" t="str">
        <f>B10_Assessment!C15</f>
        <v>Ceiling</v>
      </c>
      <c r="J686" t="str">
        <f>B10_Assessment!D15</f>
        <v>Floor / SDC</v>
      </c>
      <c r="K686" t="str">
        <f>B10_Assessment!E15</f>
        <v>Penetrations</v>
      </c>
      <c r="L686" t="str">
        <f>B10_Assessment!F15</f>
        <v>Access Control</v>
      </c>
      <c r="M686" t="str">
        <f>B10_Assessment!G15</f>
        <v>Clearances</v>
      </c>
      <c r="N686" t="str">
        <f>B10_Assessment!H15</f>
        <v>Housekeeping</v>
      </c>
      <c r="O686" t="str">
        <f>B10_Assessment!I15</f>
        <v>Overall</v>
      </c>
      <c r="P686" t="str">
        <f>B10_Assessment!J15</f>
        <v>Comments</v>
      </c>
      <c r="Q686" t="str">
        <f t="shared" si="10"/>
        <v>10|8</v>
      </c>
    </row>
    <row r="687" spans="1:17" ht="6.45" customHeight="1">
      <c r="A687" t="s">
        <v>697</v>
      </c>
      <c r="B687">
        <v>9</v>
      </c>
      <c r="C687" t="s">
        <v>31</v>
      </c>
      <c r="D687">
        <v>16</v>
      </c>
      <c r="E687" t="s">
        <v>936</v>
      </c>
      <c r="F687" t="s">
        <v>5324</v>
      </c>
      <c r="G687" t="str">
        <f>B10_Assessment!A16</f>
        <v>200A</v>
      </c>
      <c r="H687" t="str">
        <f>B10_Assessment!B16</f>
        <v>Verify</v>
      </c>
      <c r="I687" t="str">
        <f>B10_Assessment!C16</f>
        <v>Verify</v>
      </c>
      <c r="J687" t="str">
        <f>B10_Assessment!D16</f>
        <v>Verify</v>
      </c>
      <c r="K687" t="str">
        <f>B10_Assessment!E16</f>
        <v>Verify</v>
      </c>
      <c r="L687" t="str">
        <f>B10_Assessment!F16</f>
        <v>Verify</v>
      </c>
      <c r="M687" t="str">
        <f>B10_Assessment!G16</f>
        <v>Verify</v>
      </c>
      <c r="N687" t="str">
        <f>B10_Assessment!H16</f>
        <v>Verify</v>
      </c>
      <c r="O687" t="str">
        <f>B10_Assessment!I16</f>
        <v>Verify</v>
      </c>
      <c r="P687" t="str">
        <f>B10_Assessment!J16</f>
        <v>Attic TR; verify room enclosure, open-to-deck/rated wall requirements, existing rack/equipment, attic access, structural/pathway clearance, future rack clearance and housekeeping.</v>
      </c>
      <c r="Q687" t="str">
        <f t="shared" si="10"/>
        <v>10|9</v>
      </c>
    </row>
    <row r="688" spans="1:17" ht="6.45" customHeight="1">
      <c r="A688" t="s">
        <v>697</v>
      </c>
      <c r="B688">
        <v>10</v>
      </c>
      <c r="C688" t="s">
        <v>31</v>
      </c>
      <c r="D688">
        <v>17</v>
      </c>
      <c r="E688" t="s">
        <v>936</v>
      </c>
      <c r="F688" t="s">
        <v>5324</v>
      </c>
      <c r="G688" t="str">
        <f>B10_Assessment!A17</f>
        <v>B24</v>
      </c>
      <c r="H688" t="str">
        <f>B10_Assessment!B17</f>
        <v>N/A</v>
      </c>
      <c r="I688" t="str">
        <f>B10_Assessment!C17</f>
        <v>N/A</v>
      </c>
      <c r="J688" t="str">
        <f>B10_Assessment!D17</f>
        <v>N/A</v>
      </c>
      <c r="K688" t="str">
        <f>B10_Assessment!E17</f>
        <v>Verify</v>
      </c>
      <c r="L688" t="str">
        <f>B10_Assessment!F17</f>
        <v>N/A</v>
      </c>
      <c r="M688" t="str">
        <f>B10_Assessment!G17</f>
        <v>Verify</v>
      </c>
      <c r="N688" t="str">
        <f>B10_Assessment!H17</f>
        <v>Verify</v>
      </c>
      <c r="O688" t="str">
        <f>B10_Assessment!I17</f>
        <v>Verify</v>
      </c>
      <c r="P688" t="str">
        <f>B10_Assessment!J17</f>
        <v>Electrical source room; verify panel access, breaker/feeder routes, lockout/tagout needs and working clearances.</v>
      </c>
      <c r="Q688" t="str">
        <f t="shared" si="10"/>
        <v>10|10</v>
      </c>
    </row>
    <row r="689" spans="1:17" ht="6.45" customHeight="1">
      <c r="A689" t="s">
        <v>697</v>
      </c>
      <c r="B689">
        <v>11</v>
      </c>
      <c r="C689" t="s">
        <v>31</v>
      </c>
      <c r="D689">
        <v>18</v>
      </c>
      <c r="E689" t="s">
        <v>936</v>
      </c>
      <c r="F689" t="s">
        <v>5324</v>
      </c>
      <c r="G689" t="str">
        <f>B10_Assessment!A18</f>
        <v>B25</v>
      </c>
      <c r="H689" t="str">
        <f>B10_Assessment!B18</f>
        <v>N/A</v>
      </c>
      <c r="I689" t="str">
        <f>B10_Assessment!C18</f>
        <v>N/A</v>
      </c>
      <c r="J689" t="str">
        <f>B10_Assessment!D18</f>
        <v>N/A</v>
      </c>
      <c r="K689" t="str">
        <f>B10_Assessment!E18</f>
        <v>Verify</v>
      </c>
      <c r="L689" t="str">
        <f>B10_Assessment!F18</f>
        <v>N/A</v>
      </c>
      <c r="M689" t="str">
        <f>B10_Assessment!G18</f>
        <v>Verify</v>
      </c>
      <c r="N689" t="str">
        <f>B10_Assessment!H18</f>
        <v>Verify</v>
      </c>
      <c r="O689" t="str">
        <f>B10_Assessment!I18</f>
        <v>Verify</v>
      </c>
      <c r="P689" t="str">
        <f>B10_Assessment!J18</f>
        <v>Emergency electrical source room; verify ATS/emergency panel access, shutdown constraints and power continuity.</v>
      </c>
      <c r="Q689" t="str">
        <f t="shared" si="10"/>
        <v>10|11</v>
      </c>
    </row>
    <row r="690" spans="1:17" ht="6.45" customHeight="1">
      <c r="A690" t="s">
        <v>697</v>
      </c>
      <c r="B690">
        <v>12</v>
      </c>
      <c r="C690" t="s">
        <v>31</v>
      </c>
      <c r="D690">
        <v>19</v>
      </c>
      <c r="E690" t="s">
        <v>936</v>
      </c>
      <c r="F690" t="s">
        <v>5325</v>
      </c>
      <c r="G690">
        <f>B10_Assessment!A19</f>
        <v>0</v>
      </c>
      <c r="H690">
        <f>B10_Assessment!B19</f>
        <v>0</v>
      </c>
      <c r="I690">
        <f>B10_Assessment!C19</f>
        <v>0</v>
      </c>
      <c r="J690">
        <f>B10_Assessment!D19</f>
        <v>0</v>
      </c>
      <c r="K690">
        <f>B10_Assessment!E19</f>
        <v>0</v>
      </c>
      <c r="L690">
        <f>B10_Assessment!F19</f>
        <v>0</v>
      </c>
      <c r="M690">
        <f>B10_Assessment!G19</f>
        <v>0</v>
      </c>
      <c r="N690">
        <f>B10_Assessment!H19</f>
        <v>0</v>
      </c>
      <c r="O690">
        <f>B10_Assessment!I19</f>
        <v>0</v>
      </c>
      <c r="P690">
        <f>B10_Assessment!J19</f>
        <v>0</v>
      </c>
      <c r="Q690" t="str">
        <f t="shared" si="10"/>
        <v>10|12</v>
      </c>
    </row>
    <row r="691" spans="1:17" ht="6.45" customHeight="1">
      <c r="A691" t="s">
        <v>697</v>
      </c>
      <c r="B691">
        <v>13</v>
      </c>
      <c r="C691" t="s">
        <v>31</v>
      </c>
      <c r="D691">
        <v>20</v>
      </c>
      <c r="E691" t="s">
        <v>951</v>
      </c>
      <c r="F691" t="s">
        <v>5322</v>
      </c>
      <c r="G691" t="str">
        <f>B10_Assessment!A20</f>
        <v>3. FIRE PROTECTION</v>
      </c>
      <c r="H691">
        <f>B10_Assessment!B20</f>
        <v>0</v>
      </c>
      <c r="I691">
        <f>B10_Assessment!C20</f>
        <v>0</v>
      </c>
      <c r="J691">
        <f>B10_Assessment!D20</f>
        <v>0</v>
      </c>
      <c r="K691">
        <f>B10_Assessment!E20</f>
        <v>0</v>
      </c>
      <c r="L691">
        <f>B10_Assessment!F20</f>
        <v>0</v>
      </c>
      <c r="M691">
        <f>B10_Assessment!G20</f>
        <v>0</v>
      </c>
      <c r="N691">
        <f>B10_Assessment!H20</f>
        <v>0</v>
      </c>
      <c r="O691">
        <f>B10_Assessment!I20</f>
        <v>0</v>
      </c>
      <c r="P691">
        <f>B10_Assessment!J20</f>
        <v>0</v>
      </c>
      <c r="Q691" t="str">
        <f t="shared" si="10"/>
        <v>10|13</v>
      </c>
    </row>
    <row r="692" spans="1:17" ht="6.45" customHeight="1">
      <c r="A692" t="s">
        <v>697</v>
      </c>
      <c r="B692">
        <v>14</v>
      </c>
      <c r="C692" t="s">
        <v>31</v>
      </c>
      <c r="D692">
        <v>21</v>
      </c>
      <c r="E692" t="s">
        <v>951</v>
      </c>
      <c r="F692" t="s">
        <v>5323</v>
      </c>
      <c r="G692" t="str">
        <f>B10_Assessment!A21</f>
        <v>Room</v>
      </c>
      <c r="H692" t="str">
        <f>B10_Assessment!B21</f>
        <v>Sprinkler</v>
      </c>
      <c r="I692" t="str">
        <f>B10_Assessment!C21</f>
        <v>Cage</v>
      </c>
      <c r="J692" t="str">
        <f>B10_Assessment!D21</f>
        <v>Detector</v>
      </c>
      <c r="K692" t="str">
        <f>B10_Assessment!E21</f>
        <v>Horn/Strobe</v>
      </c>
      <c r="L692" t="str">
        <f>B10_Assessment!F21</f>
        <v>Extinguisher &lt;75 ft</v>
      </c>
      <c r="M692" t="str">
        <f>B10_Assessment!G21</f>
        <v>Firestop</v>
      </c>
      <c r="N692" t="str">
        <f>B10_Assessment!H21</f>
        <v>Temp Firestop</v>
      </c>
      <c r="O692" t="str">
        <f>B10_Assessment!I21</f>
        <v>Overall</v>
      </c>
      <c r="P692" t="str">
        <f>B10_Assessment!J21</f>
        <v>Risk / Notes</v>
      </c>
      <c r="Q692" t="str">
        <f t="shared" si="10"/>
        <v>10|14</v>
      </c>
    </row>
    <row r="693" spans="1:17" ht="6.45" customHeight="1">
      <c r="A693" t="s">
        <v>697</v>
      </c>
      <c r="B693">
        <v>15</v>
      </c>
      <c r="C693" t="s">
        <v>31</v>
      </c>
      <c r="D693">
        <v>22</v>
      </c>
      <c r="E693" t="s">
        <v>951</v>
      </c>
      <c r="F693" t="s">
        <v>5324</v>
      </c>
      <c r="G693" t="str">
        <f>B10_Assessment!A22</f>
        <v>200A</v>
      </c>
      <c r="H693" t="str">
        <f>B10_Assessment!B22</f>
        <v>Verify</v>
      </c>
      <c r="I693" t="str">
        <f>B10_Assessment!C22</f>
        <v>Verify</v>
      </c>
      <c r="J693" t="str">
        <f>B10_Assessment!D22</f>
        <v>Verify</v>
      </c>
      <c r="K693" t="str">
        <f>B10_Assessment!E22</f>
        <v>Verify</v>
      </c>
      <c r="L693" t="str">
        <f>B10_Assessment!F22</f>
        <v>Verify</v>
      </c>
      <c r="M693" t="str">
        <f>B10_Assessment!G22</f>
        <v>Verify</v>
      </c>
      <c r="N693" t="str">
        <f>B10_Assessment!H22</f>
        <v>Verify</v>
      </c>
      <c r="O693" t="str">
        <f>B10_Assessment!I22</f>
        <v>Verify</v>
      </c>
      <c r="P693" t="str">
        <f>B10_Assessment!J22</f>
        <v>Attic-level TR requires verification of sprinkler/fire alarm modifications, clean-agent 2A:10B:C FEC within 75 ft, rated penetrations and temporary firestopping.</v>
      </c>
      <c r="Q693" t="str">
        <f t="shared" si="10"/>
        <v>10|15</v>
      </c>
    </row>
    <row r="694" spans="1:17" ht="6.45" customHeight="1">
      <c r="A694" t="s">
        <v>697</v>
      </c>
      <c r="B694">
        <v>16</v>
      </c>
      <c r="C694" t="s">
        <v>31</v>
      </c>
      <c r="D694">
        <v>23</v>
      </c>
      <c r="E694" t="s">
        <v>951</v>
      </c>
      <c r="F694" t="s">
        <v>5324</v>
      </c>
      <c r="G694" t="str">
        <f>B10_Assessment!A23</f>
        <v>B24</v>
      </c>
      <c r="H694" t="str">
        <f>B10_Assessment!B23</f>
        <v>Verify</v>
      </c>
      <c r="I694" t="str">
        <f>B10_Assessment!C23</f>
        <v>N/A</v>
      </c>
      <c r="J694" t="str">
        <f>B10_Assessment!D23</f>
        <v>Verify</v>
      </c>
      <c r="K694" t="str">
        <f>B10_Assessment!E23</f>
        <v>Verify</v>
      </c>
      <c r="L694" t="str">
        <f>B10_Assessment!F23</f>
        <v>Verify</v>
      </c>
      <c r="M694" t="str">
        <f>B10_Assessment!G23</f>
        <v>Verify</v>
      </c>
      <c r="N694" t="str">
        <f>B10_Assessment!H23</f>
        <v>Verify</v>
      </c>
      <c r="O694" t="str">
        <f>B10_Assessment!I23</f>
        <v>Verify</v>
      </c>
      <c r="P694" t="str">
        <f>B10_Assessment!J23</f>
        <v>Electrical work may require penetrations or shutdowns; verify firestopping and protection-in-place.</v>
      </c>
      <c r="Q694" t="str">
        <f t="shared" si="10"/>
        <v>10|16</v>
      </c>
    </row>
    <row r="695" spans="1:17" ht="6.45" customHeight="1">
      <c r="A695" t="s">
        <v>697</v>
      </c>
      <c r="B695">
        <v>17</v>
      </c>
      <c r="C695" t="s">
        <v>31</v>
      </c>
      <c r="D695">
        <v>24</v>
      </c>
      <c r="E695" t="s">
        <v>951</v>
      </c>
      <c r="F695" t="s">
        <v>5324</v>
      </c>
      <c r="G695" t="str">
        <f>B10_Assessment!A24</f>
        <v>B25</v>
      </c>
      <c r="H695" t="str">
        <f>B10_Assessment!B24</f>
        <v>Verify</v>
      </c>
      <c r="I695" t="str">
        <f>B10_Assessment!C24</f>
        <v>N/A</v>
      </c>
      <c r="J695" t="str">
        <f>B10_Assessment!D24</f>
        <v>Verify</v>
      </c>
      <c r="K695" t="str">
        <f>B10_Assessment!E24</f>
        <v>Verify</v>
      </c>
      <c r="L695" t="str">
        <f>B10_Assessment!F24</f>
        <v>Verify</v>
      </c>
      <c r="M695" t="str">
        <f>B10_Assessment!G24</f>
        <v>Verify</v>
      </c>
      <c r="N695" t="str">
        <f>B10_Assessment!H24</f>
        <v>Verify</v>
      </c>
      <c r="O695" t="str">
        <f>B10_Assessment!I24</f>
        <v>Verify</v>
      </c>
      <c r="P695" t="str">
        <f>B10_Assessment!J24</f>
        <v>Emergency electrical room coordination; verify no unsealed penetrations or life-safety impairment.</v>
      </c>
      <c r="Q695" t="str">
        <f t="shared" si="10"/>
        <v>10|17</v>
      </c>
    </row>
    <row r="696" spans="1:17" ht="6.45" customHeight="1">
      <c r="A696" t="s">
        <v>697</v>
      </c>
      <c r="B696">
        <v>18</v>
      </c>
      <c r="C696" t="s">
        <v>31</v>
      </c>
      <c r="D696">
        <v>25</v>
      </c>
      <c r="E696" t="s">
        <v>951</v>
      </c>
      <c r="F696" t="s">
        <v>5325</v>
      </c>
      <c r="G696">
        <f>B10_Assessment!A25</f>
        <v>0</v>
      </c>
      <c r="H696">
        <f>B10_Assessment!B25</f>
        <v>0</v>
      </c>
      <c r="I696">
        <f>B10_Assessment!C25</f>
        <v>0</v>
      </c>
      <c r="J696">
        <f>B10_Assessment!D25</f>
        <v>0</v>
      </c>
      <c r="K696">
        <f>B10_Assessment!E25</f>
        <v>0</v>
      </c>
      <c r="L696">
        <f>B10_Assessment!F25</f>
        <v>0</v>
      </c>
      <c r="M696">
        <f>B10_Assessment!G25</f>
        <v>0</v>
      </c>
      <c r="N696">
        <f>B10_Assessment!H25</f>
        <v>0</v>
      </c>
      <c r="O696">
        <f>B10_Assessment!I25</f>
        <v>0</v>
      </c>
      <c r="P696">
        <f>B10_Assessment!J25</f>
        <v>0</v>
      </c>
      <c r="Q696" t="str">
        <f t="shared" si="10"/>
        <v>10|18</v>
      </c>
    </row>
    <row r="697" spans="1:17" ht="6.45" customHeight="1">
      <c r="A697" t="s">
        <v>697</v>
      </c>
      <c r="B697">
        <v>19</v>
      </c>
      <c r="C697" t="s">
        <v>31</v>
      </c>
      <c r="D697">
        <v>26</v>
      </c>
      <c r="E697" t="s">
        <v>964</v>
      </c>
      <c r="F697" t="s">
        <v>5322</v>
      </c>
      <c r="G697" t="str">
        <f>B10_Assessment!A26</f>
        <v>4. HVAC / COOLING</v>
      </c>
      <c r="H697">
        <f>B10_Assessment!B26</f>
        <v>0</v>
      </c>
      <c r="I697">
        <f>B10_Assessment!C26</f>
        <v>0</v>
      </c>
      <c r="J697">
        <f>B10_Assessment!D26</f>
        <v>0</v>
      </c>
      <c r="K697">
        <f>B10_Assessment!E26</f>
        <v>0</v>
      </c>
      <c r="L697">
        <f>B10_Assessment!F26</f>
        <v>0</v>
      </c>
      <c r="M697">
        <f>B10_Assessment!G26</f>
        <v>0</v>
      </c>
      <c r="N697">
        <f>B10_Assessment!H26</f>
        <v>0</v>
      </c>
      <c r="O697">
        <f>B10_Assessment!I26</f>
        <v>0</v>
      </c>
      <c r="P697">
        <f>B10_Assessment!J26</f>
        <v>0</v>
      </c>
      <c r="Q697" t="str">
        <f t="shared" si="10"/>
        <v>10|19</v>
      </c>
    </row>
    <row r="698" spans="1:17" ht="6.45" customHeight="1">
      <c r="A698" t="s">
        <v>697</v>
      </c>
      <c r="B698">
        <v>20</v>
      </c>
      <c r="C698" t="s">
        <v>31</v>
      </c>
      <c r="D698">
        <v>27</v>
      </c>
      <c r="E698" t="s">
        <v>964</v>
      </c>
      <c r="F698" t="s">
        <v>5323</v>
      </c>
      <c r="G698" t="str">
        <f>B10_Assessment!A27</f>
        <v>Room</v>
      </c>
      <c r="H698" t="str">
        <f>B10_Assessment!B27</f>
        <v>Dedicated Unit</v>
      </c>
      <c r="I698" t="str">
        <f>B10_Assessment!C27</f>
        <v>Capacity Verified</v>
      </c>
      <c r="J698" t="str">
        <f>B10_Assessment!D27</f>
        <v>Emergency Power</v>
      </c>
      <c r="K698" t="str">
        <f>B10_Assessment!E27</f>
        <v>Controls / BACnet</v>
      </c>
      <c r="L698" t="str">
        <f>B10_Assessment!F27</f>
        <v>Condensate Routed</v>
      </c>
      <c r="M698" t="str">
        <f>B10_Assessment!G27</f>
        <v>High Temp Alarm</v>
      </c>
      <c r="N698" t="str">
        <f>B10_Assessment!H27</f>
        <v>24/7 Operation</v>
      </c>
      <c r="O698" t="str">
        <f>B10_Assessment!I27</f>
        <v>Overall</v>
      </c>
      <c r="P698" t="str">
        <f>B10_Assessment!J27</f>
        <v>Risk / Notes</v>
      </c>
      <c r="Q698" t="str">
        <f t="shared" si="10"/>
        <v>10|20</v>
      </c>
    </row>
    <row r="699" spans="1:17" ht="6.45" customHeight="1">
      <c r="A699" t="s">
        <v>697</v>
      </c>
      <c r="B699">
        <v>21</v>
      </c>
      <c r="C699" t="s">
        <v>31</v>
      </c>
      <c r="D699">
        <v>28</v>
      </c>
      <c r="E699" t="s">
        <v>964</v>
      </c>
      <c r="F699" t="s">
        <v>5324</v>
      </c>
      <c r="G699" t="str">
        <f>B10_Assessment!A28</f>
        <v>200A</v>
      </c>
      <c r="H699" t="str">
        <f>B10_Assessment!B28</f>
        <v>IU-1-01 / CU-1-01</v>
      </c>
      <c r="I699" t="str">
        <f>B10_Assessment!C28</f>
        <v>Verify</v>
      </c>
      <c r="J699" t="str">
        <f>B10_Assessment!D28</f>
        <v>Verify</v>
      </c>
      <c r="K699" t="str">
        <f>B10_Assessment!E28</f>
        <v>Verify</v>
      </c>
      <c r="L699" t="str">
        <f>B10_Assessment!F28</f>
        <v>Verify</v>
      </c>
      <c r="M699" t="str">
        <f>B10_Assessment!G28</f>
        <v>Verify</v>
      </c>
      <c r="N699" t="str">
        <f>B10_Assessment!H28</f>
        <v>Verify</v>
      </c>
      <c r="O699" t="str">
        <f>B10_Assessment!I28</f>
        <v>Verify</v>
      </c>
      <c r="P699" t="str">
        <f>B10_Assessment!J28</f>
        <v>Mechanical/electrical drawings identify IU-1-01 in Telecom Room 200A and CU-1-01 outdoor unit; verify capacity, emergency power, condensate route, BACnet adapter and high-temp alarm.</v>
      </c>
      <c r="Q699" t="str">
        <f t="shared" si="10"/>
        <v>10|21</v>
      </c>
    </row>
    <row r="700" spans="1:17" ht="6.45" customHeight="1">
      <c r="A700" t="s">
        <v>697</v>
      </c>
      <c r="B700">
        <v>22</v>
      </c>
      <c r="C700" t="s">
        <v>31</v>
      </c>
      <c r="D700">
        <v>29</v>
      </c>
      <c r="E700" t="s">
        <v>964</v>
      </c>
      <c r="F700" t="s">
        <v>5324</v>
      </c>
      <c r="G700" t="str">
        <f>B10_Assessment!A29</f>
        <v>B24</v>
      </c>
      <c r="H700" t="str">
        <f>B10_Assessment!B29</f>
        <v>N/A</v>
      </c>
      <c r="I700" t="str">
        <f>B10_Assessment!C29</f>
        <v>N/A</v>
      </c>
      <c r="J700" t="str">
        <f>B10_Assessment!D29</f>
        <v>N/A</v>
      </c>
      <c r="K700" t="str">
        <f>B10_Assessment!E29</f>
        <v>N/A</v>
      </c>
      <c r="L700" t="str">
        <f>B10_Assessment!F29</f>
        <v>N/A</v>
      </c>
      <c r="M700" t="str">
        <f>B10_Assessment!G29</f>
        <v>N/A</v>
      </c>
      <c r="N700" t="str">
        <f>B10_Assessment!H29</f>
        <v>N/A</v>
      </c>
      <c r="O700" t="str">
        <f>B10_Assessment!I29</f>
        <v>N/A</v>
      </c>
      <c r="P700" t="str">
        <f>B10_Assessment!J29</f>
        <v>No dedicated TR cooling scope; verify electrical room ventilation is not impacted by new work.</v>
      </c>
      <c r="Q700" t="str">
        <f t="shared" si="10"/>
        <v>10|22</v>
      </c>
    </row>
    <row r="701" spans="1:17" ht="6.45" customHeight="1">
      <c r="A701" t="s">
        <v>697</v>
      </c>
      <c r="B701">
        <v>23</v>
      </c>
      <c r="C701" t="s">
        <v>31</v>
      </c>
      <c r="D701">
        <v>30</v>
      </c>
      <c r="E701" t="s">
        <v>964</v>
      </c>
      <c r="F701" t="s">
        <v>5324</v>
      </c>
      <c r="G701" t="str">
        <f>B10_Assessment!A30</f>
        <v>B25</v>
      </c>
      <c r="H701" t="str">
        <f>B10_Assessment!B30</f>
        <v>N/A</v>
      </c>
      <c r="I701" t="str">
        <f>B10_Assessment!C30</f>
        <v>N/A</v>
      </c>
      <c r="J701" t="str">
        <f>B10_Assessment!D30</f>
        <v>N/A</v>
      </c>
      <c r="K701" t="str">
        <f>B10_Assessment!E30</f>
        <v>N/A</v>
      </c>
      <c r="L701" t="str">
        <f>B10_Assessment!F30</f>
        <v>N/A</v>
      </c>
      <c r="M701" t="str">
        <f>B10_Assessment!G30</f>
        <v>N/A</v>
      </c>
      <c r="N701" t="str">
        <f>B10_Assessment!H30</f>
        <v>N/A</v>
      </c>
      <c r="O701" t="str">
        <f>B10_Assessment!I30</f>
        <v>N/A</v>
      </c>
      <c r="P701" t="str">
        <f>B10_Assessment!J30</f>
        <v>No dedicated TR cooling scope; verify emergency electrical room ventilation is not impacted.</v>
      </c>
      <c r="Q701" t="str">
        <f t="shared" si="10"/>
        <v>10|23</v>
      </c>
    </row>
    <row r="702" spans="1:17" ht="6.45" customHeight="1">
      <c r="A702" t="s">
        <v>697</v>
      </c>
      <c r="B702">
        <v>24</v>
      </c>
      <c r="C702" t="s">
        <v>31</v>
      </c>
      <c r="D702">
        <v>31</v>
      </c>
      <c r="E702" t="s">
        <v>964</v>
      </c>
      <c r="F702" t="s">
        <v>5325</v>
      </c>
      <c r="G702">
        <f>B10_Assessment!A31</f>
        <v>0</v>
      </c>
      <c r="H702">
        <f>B10_Assessment!B31</f>
        <v>0</v>
      </c>
      <c r="I702">
        <f>B10_Assessment!C31</f>
        <v>0</v>
      </c>
      <c r="J702">
        <f>B10_Assessment!D31</f>
        <v>0</v>
      </c>
      <c r="K702">
        <f>B10_Assessment!E31</f>
        <v>0</v>
      </c>
      <c r="L702">
        <f>B10_Assessment!F31</f>
        <v>0</v>
      </c>
      <c r="M702">
        <f>B10_Assessment!G31</f>
        <v>0</v>
      </c>
      <c r="N702">
        <f>B10_Assessment!H31</f>
        <v>0</v>
      </c>
      <c r="O702">
        <f>B10_Assessment!I31</f>
        <v>0</v>
      </c>
      <c r="P702">
        <f>B10_Assessment!J31</f>
        <v>0</v>
      </c>
      <c r="Q702" t="str">
        <f t="shared" si="10"/>
        <v>10|24</v>
      </c>
    </row>
    <row r="703" spans="1:17" ht="6.45" customHeight="1">
      <c r="A703" t="s">
        <v>697</v>
      </c>
      <c r="B703">
        <v>25</v>
      </c>
      <c r="C703" t="s">
        <v>31</v>
      </c>
      <c r="D703">
        <v>32</v>
      </c>
      <c r="E703" t="s">
        <v>977</v>
      </c>
      <c r="F703" t="s">
        <v>5322</v>
      </c>
      <c r="G703" t="str">
        <f>B10_Assessment!A32</f>
        <v>5. ELECTRICAL / UPS</v>
      </c>
      <c r="H703">
        <f>B10_Assessment!B32</f>
        <v>0</v>
      </c>
      <c r="I703">
        <f>B10_Assessment!C32</f>
        <v>0</v>
      </c>
      <c r="J703">
        <f>B10_Assessment!D32</f>
        <v>0</v>
      </c>
      <c r="K703">
        <f>B10_Assessment!E32</f>
        <v>0</v>
      </c>
      <c r="L703">
        <f>B10_Assessment!F32</f>
        <v>0</v>
      </c>
      <c r="M703">
        <f>B10_Assessment!G32</f>
        <v>0</v>
      </c>
      <c r="N703">
        <f>B10_Assessment!H32</f>
        <v>0</v>
      </c>
      <c r="O703">
        <f>B10_Assessment!I32</f>
        <v>0</v>
      </c>
      <c r="P703">
        <f>B10_Assessment!J32</f>
        <v>0</v>
      </c>
      <c r="Q703" t="str">
        <f t="shared" si="10"/>
        <v>10|25</v>
      </c>
    </row>
    <row r="704" spans="1:17" ht="6.45" customHeight="1">
      <c r="A704" t="s">
        <v>697</v>
      </c>
      <c r="B704">
        <v>26</v>
      </c>
      <c r="C704" t="s">
        <v>31</v>
      </c>
      <c r="D704">
        <v>33</v>
      </c>
      <c r="E704" t="s">
        <v>977</v>
      </c>
      <c r="F704" t="s">
        <v>5323</v>
      </c>
      <c r="G704" t="str">
        <f>B10_Assessment!A33</f>
        <v>Room</v>
      </c>
      <c r="H704" t="str">
        <f>B10_Assessment!B33</f>
        <v>UPS Installed</v>
      </c>
      <c r="I704" t="str">
        <f>B10_Assessment!C33</f>
        <v>UPS Size</v>
      </c>
      <c r="J704" t="str">
        <f>B10_Assessment!D33</f>
        <v>PDU Installed</v>
      </c>
      <c r="K704" t="str">
        <f>B10_Assessment!E33</f>
        <v>Rack Receptacles</v>
      </c>
      <c r="L704" t="str">
        <f>B10_Assessment!F33</f>
        <v>Panel Assigned</v>
      </c>
      <c r="M704" t="str">
        <f>B10_Assessment!G33</f>
        <v>Emergency Source</v>
      </c>
      <c r="N704" t="str">
        <f>B10_Assessment!H33</f>
        <v>SPD / Labeling</v>
      </c>
      <c r="O704" t="str">
        <f>B10_Assessment!I33</f>
        <v>Overall</v>
      </c>
      <c r="P704" t="str">
        <f>B10_Assessment!J33</f>
        <v>Notes</v>
      </c>
      <c r="Q704" t="str">
        <f t="shared" si="10"/>
        <v>10|26</v>
      </c>
    </row>
    <row r="705" spans="1:17" ht="6.45" customHeight="1">
      <c r="A705" t="s">
        <v>697</v>
      </c>
      <c r="B705">
        <v>27</v>
      </c>
      <c r="C705" t="s">
        <v>31</v>
      </c>
      <c r="D705">
        <v>34</v>
      </c>
      <c r="E705" t="s">
        <v>977</v>
      </c>
      <c r="F705" t="s">
        <v>5324</v>
      </c>
      <c r="G705" t="str">
        <f>B10_Assessment!A34</f>
        <v>200A</v>
      </c>
      <c r="H705" t="str">
        <f>B10_Assessment!B34</f>
        <v>Verify</v>
      </c>
      <c r="I705" t="str">
        <f>B10_Assessment!C34</f>
        <v>5 kW / rack equipment</v>
      </c>
      <c r="J705" t="str">
        <f>B10_Assessment!D34</f>
        <v>Verify</v>
      </c>
      <c r="K705" t="str">
        <f>B10_Assessment!E34</f>
        <v>Verify</v>
      </c>
      <c r="L705" t="str">
        <f>B10_Assessment!F34</f>
        <v>B10-TR200AA / B10-TR200AB</v>
      </c>
      <c r="M705" t="str">
        <f>B10_Assessment!G34</f>
        <v>Verify</v>
      </c>
      <c r="N705" t="str">
        <f>B10_Assessment!H34</f>
        <v>Verify</v>
      </c>
      <c r="O705" t="str">
        <f>B10_Assessment!I34</f>
        <v>Verify</v>
      </c>
      <c r="P705" t="str">
        <f>B10_Assessment!J34</f>
        <v>Electrical schedule identifies B10-TR200AA/AB in Telecom Room 200A with rack receptacles, TR receptacles, lighting, access controller, CU-1-01 and SPD requirements; verify source and labels.</v>
      </c>
      <c r="Q705" t="str">
        <f t="shared" si="10"/>
        <v>10|27</v>
      </c>
    </row>
    <row r="706" spans="1:17" ht="6.45" customHeight="1">
      <c r="A706" t="s">
        <v>697</v>
      </c>
      <c r="B706">
        <v>28</v>
      </c>
      <c r="C706" t="s">
        <v>31</v>
      </c>
      <c r="D706">
        <v>35</v>
      </c>
      <c r="E706" t="s">
        <v>977</v>
      </c>
      <c r="F706" t="s">
        <v>5324</v>
      </c>
      <c r="G706" t="str">
        <f>B10_Assessment!A35</f>
        <v>B24</v>
      </c>
      <c r="H706" t="str">
        <f>B10_Assessment!B35</f>
        <v>N/A</v>
      </c>
      <c r="I706" t="str">
        <f>B10_Assessment!C35</f>
        <v>N/A</v>
      </c>
      <c r="J706" t="str">
        <f>B10_Assessment!D35</f>
        <v>N/A</v>
      </c>
      <c r="K706" t="str">
        <f>B10_Assessment!E35</f>
        <v>N/A</v>
      </c>
      <c r="L706" t="str">
        <f>B10_Assessment!F35</f>
        <v>B10-MDP / B10-L10-E</v>
      </c>
      <c r="M706" t="str">
        <f>B10_Assessment!G35</f>
        <v>Verify</v>
      </c>
      <c r="N706" t="str">
        <f>B10_Assessment!H35</f>
        <v>Verify</v>
      </c>
      <c r="O706" t="str">
        <f>B10_Assessment!I35</f>
        <v>Verify</v>
      </c>
      <c r="P706" t="str">
        <f>B10_Assessment!J35</f>
        <v>Basement normal electrical source; verify load measurement, new breakers/feeders, panel access, LOTO and shutdown sequencing.</v>
      </c>
      <c r="Q706" t="str">
        <f t="shared" ref="Q706:Q769" si="11">A706&amp;"|"&amp;B706</f>
        <v>10|28</v>
      </c>
    </row>
    <row r="707" spans="1:17" ht="6.45" customHeight="1">
      <c r="A707" t="s">
        <v>697</v>
      </c>
      <c r="B707">
        <v>29</v>
      </c>
      <c r="C707" t="s">
        <v>31</v>
      </c>
      <c r="D707">
        <v>36</v>
      </c>
      <c r="E707" t="s">
        <v>977</v>
      </c>
      <c r="F707" t="s">
        <v>5324</v>
      </c>
      <c r="G707" t="str">
        <f>B10_Assessment!A36</f>
        <v>B25</v>
      </c>
      <c r="H707" t="str">
        <f>B10_Assessment!B36</f>
        <v>N/A</v>
      </c>
      <c r="I707" t="str">
        <f>B10_Assessment!C36</f>
        <v>N/A</v>
      </c>
      <c r="J707" t="str">
        <f>B10_Assessment!D36</f>
        <v>N/A</v>
      </c>
      <c r="K707" t="str">
        <f>B10_Assessment!E36</f>
        <v>N/A</v>
      </c>
      <c r="L707" t="str">
        <f>B10_Assessment!F36</f>
        <v>ATS-B10-LSD / emergency distribution</v>
      </c>
      <c r="M707" t="str">
        <f>B10_Assessment!G36</f>
        <v>Verify</v>
      </c>
      <c r="N707" t="str">
        <f>B10_Assessment!H36</f>
        <v>Verify</v>
      </c>
      <c r="O707" t="str">
        <f>B10_Assessment!I36</f>
        <v>Verify</v>
      </c>
      <c r="P707" t="str">
        <f>B10_Assessment!J36</f>
        <v>Emergency source coordination; verify generator/ATS feed to TR critical loads and cooling where required.</v>
      </c>
      <c r="Q707" t="str">
        <f t="shared" si="11"/>
        <v>10|29</v>
      </c>
    </row>
    <row r="708" spans="1:17" ht="6.45" customHeight="1">
      <c r="A708" t="s">
        <v>697</v>
      </c>
      <c r="B708">
        <v>30</v>
      </c>
      <c r="C708" t="s">
        <v>31</v>
      </c>
      <c r="D708">
        <v>37</v>
      </c>
      <c r="E708" t="s">
        <v>977</v>
      </c>
      <c r="F708" t="s">
        <v>5325</v>
      </c>
      <c r="G708">
        <f>B10_Assessment!A37</f>
        <v>0</v>
      </c>
      <c r="H708">
        <f>B10_Assessment!B37</f>
        <v>0</v>
      </c>
      <c r="I708">
        <f>B10_Assessment!C37</f>
        <v>0</v>
      </c>
      <c r="J708">
        <f>B10_Assessment!D37</f>
        <v>0</v>
      </c>
      <c r="K708">
        <f>B10_Assessment!E37</f>
        <v>0</v>
      </c>
      <c r="L708">
        <f>B10_Assessment!F37</f>
        <v>0</v>
      </c>
      <c r="M708">
        <f>B10_Assessment!G37</f>
        <v>0</v>
      </c>
      <c r="N708">
        <f>B10_Assessment!H37</f>
        <v>0</v>
      </c>
      <c r="O708">
        <f>B10_Assessment!I37</f>
        <v>0</v>
      </c>
      <c r="P708">
        <f>B10_Assessment!J37</f>
        <v>0</v>
      </c>
      <c r="Q708" t="str">
        <f t="shared" si="11"/>
        <v>10|30</v>
      </c>
    </row>
    <row r="709" spans="1:17" ht="6.45" customHeight="1">
      <c r="A709" t="s">
        <v>697</v>
      </c>
      <c r="B709">
        <v>31</v>
      </c>
      <c r="C709" t="s">
        <v>31</v>
      </c>
      <c r="D709">
        <v>38</v>
      </c>
      <c r="E709" t="s">
        <v>994</v>
      </c>
      <c r="F709" t="s">
        <v>5322</v>
      </c>
      <c r="G709" t="str">
        <f>B10_Assessment!A38</f>
        <v>6. TELECOMMUNICATIONS</v>
      </c>
      <c r="H709">
        <f>B10_Assessment!B38</f>
        <v>0</v>
      </c>
      <c r="I709">
        <f>B10_Assessment!C38</f>
        <v>0</v>
      </c>
      <c r="J709">
        <f>B10_Assessment!D38</f>
        <v>0</v>
      </c>
      <c r="K709">
        <f>B10_Assessment!E38</f>
        <v>0</v>
      </c>
      <c r="L709">
        <f>B10_Assessment!F38</f>
        <v>0</v>
      </c>
      <c r="M709">
        <f>B10_Assessment!G38</f>
        <v>0</v>
      </c>
      <c r="N709">
        <f>B10_Assessment!H38</f>
        <v>0</v>
      </c>
      <c r="O709">
        <f>B10_Assessment!I38</f>
        <v>0</v>
      </c>
      <c r="P709">
        <f>B10_Assessment!J38</f>
        <v>0</v>
      </c>
      <c r="Q709" t="str">
        <f t="shared" si="11"/>
        <v>10|31</v>
      </c>
    </row>
    <row r="710" spans="1:17" ht="6.45" customHeight="1">
      <c r="A710" t="s">
        <v>697</v>
      </c>
      <c r="B710">
        <v>32</v>
      </c>
      <c r="C710" t="s">
        <v>31</v>
      </c>
      <c r="D710">
        <v>39</v>
      </c>
      <c r="E710" t="s">
        <v>994</v>
      </c>
      <c r="F710" t="s">
        <v>5323</v>
      </c>
      <c r="G710" t="str">
        <f>B10_Assessment!A39</f>
        <v>Room</v>
      </c>
      <c r="H710" t="str">
        <f>B10_Assessment!B39</f>
        <v>Rack Installed</v>
      </c>
      <c r="I710" t="str">
        <f>B10_Assessment!C39</f>
        <v>Ladder Tray</v>
      </c>
      <c r="J710" t="str">
        <f>B10_Assessment!D39</f>
        <v>Fiber Installed</v>
      </c>
      <c r="K710" t="str">
        <f>B10_Assessment!E39</f>
        <v>Grounding</v>
      </c>
      <c r="L710" t="str">
        <f>B10_Assessment!F39</f>
        <v>Labeling</v>
      </c>
      <c r="M710" t="str">
        <f>B10_Assessment!G39</f>
        <v>Testing</v>
      </c>
      <c r="N710" t="str">
        <f>B10_Assessment!H39</f>
        <v>VA Acceptance</v>
      </c>
      <c r="O710" t="str">
        <f>B10_Assessment!I39</f>
        <v>Overall</v>
      </c>
      <c r="P710" t="str">
        <f>B10_Assessment!J39</f>
        <v>Notes</v>
      </c>
      <c r="Q710" t="str">
        <f t="shared" si="11"/>
        <v>10|32</v>
      </c>
    </row>
    <row r="711" spans="1:17" ht="6.45" customHeight="1">
      <c r="A711" t="s">
        <v>697</v>
      </c>
      <c r="B711">
        <v>33</v>
      </c>
      <c r="C711" t="s">
        <v>31</v>
      </c>
      <c r="D711">
        <v>40</v>
      </c>
      <c r="E711" t="s">
        <v>994</v>
      </c>
      <c r="F711" t="s">
        <v>5324</v>
      </c>
      <c r="G711" t="str">
        <f>B10_Assessment!A40</f>
        <v>200A</v>
      </c>
      <c r="H711" t="str">
        <f>B10_Assessment!B40</f>
        <v>Verify</v>
      </c>
      <c r="I711" t="str">
        <f>B10_Assessment!C40</f>
        <v>Verify</v>
      </c>
      <c r="J711" t="str">
        <f>B10_Assessment!D40</f>
        <v>Verify</v>
      </c>
      <c r="K711" t="str">
        <f>B10_Assessment!E40</f>
        <v>Verify</v>
      </c>
      <c r="L711" t="str">
        <f>B10_Assessment!F40</f>
        <v>Verify</v>
      </c>
      <c r="M711" t="str">
        <f>B10_Assessment!G40</f>
        <v>Verify</v>
      </c>
      <c r="N711" t="str">
        <f>B10_Assessment!H40</f>
        <v>Verify</v>
      </c>
      <c r="O711" t="str">
        <f>B10_Assessment!I40</f>
        <v>Verify</v>
      </c>
      <c r="P711" t="str">
        <f>B10_Assessment!J40</f>
        <v>10T sheets show attic telecom plan/rack elevations; provide 4-post racks, UPS, redundant PDUs, switches, Cat6A patch panels, Fiber LIU, bonding/grounding, labeling, testing and VA acceptance before cutover.</v>
      </c>
      <c r="Q711" t="str">
        <f t="shared" si="11"/>
        <v>10|33</v>
      </c>
    </row>
    <row r="712" spans="1:17" ht="6.45" customHeight="1">
      <c r="A712" t="s">
        <v>697</v>
      </c>
      <c r="B712">
        <v>34</v>
      </c>
      <c r="C712" t="s">
        <v>31</v>
      </c>
      <c r="D712">
        <v>41</v>
      </c>
      <c r="E712" t="s">
        <v>994</v>
      </c>
      <c r="F712" t="s">
        <v>5324</v>
      </c>
      <c r="G712" t="str">
        <f>B10_Assessment!A41</f>
        <v>B24</v>
      </c>
      <c r="H712" t="str">
        <f>B10_Assessment!B41</f>
        <v>N/A</v>
      </c>
      <c r="I712" t="str">
        <f>B10_Assessment!C41</f>
        <v>N/A</v>
      </c>
      <c r="J712" t="str">
        <f>B10_Assessment!D41</f>
        <v>N/A</v>
      </c>
      <c r="K712" t="str">
        <f>B10_Assessment!E41</f>
        <v>Verify</v>
      </c>
      <c r="L712" t="str">
        <f>B10_Assessment!F41</f>
        <v>N/A</v>
      </c>
      <c r="M712" t="str">
        <f>B10_Assessment!G41</f>
        <v>N/A</v>
      </c>
      <c r="N712" t="str">
        <f>B10_Assessment!H41</f>
        <v>N/A</v>
      </c>
      <c r="O712" t="str">
        <f>B10_Assessment!I41</f>
        <v>Verify</v>
      </c>
      <c r="P712" t="str">
        <f>B10_Assessment!J41</f>
        <v>Coordinate telecom power pathways through/source from basement electrical room if applicable.</v>
      </c>
      <c r="Q712" t="str">
        <f t="shared" si="11"/>
        <v>10|34</v>
      </c>
    </row>
    <row r="713" spans="1:17" ht="6.45" customHeight="1">
      <c r="A713" t="s">
        <v>697</v>
      </c>
      <c r="B713">
        <v>35</v>
      </c>
      <c r="C713" t="s">
        <v>31</v>
      </c>
      <c r="D713">
        <v>42</v>
      </c>
      <c r="E713" t="s">
        <v>994</v>
      </c>
      <c r="F713" t="s">
        <v>5324</v>
      </c>
      <c r="G713" t="str">
        <f>B10_Assessment!A42</f>
        <v>B25</v>
      </c>
      <c r="H713" t="str">
        <f>B10_Assessment!B42</f>
        <v>N/A</v>
      </c>
      <c r="I713" t="str">
        <f>B10_Assessment!C42</f>
        <v>N/A</v>
      </c>
      <c r="J713" t="str">
        <f>B10_Assessment!D42</f>
        <v>N/A</v>
      </c>
      <c r="K713" t="str">
        <f>B10_Assessment!E42</f>
        <v>Verify</v>
      </c>
      <c r="L713" t="str">
        <f>B10_Assessment!F42</f>
        <v>N/A</v>
      </c>
      <c r="M713" t="str">
        <f>B10_Assessment!G42</f>
        <v>N/A</v>
      </c>
      <c r="N713" t="str">
        <f>B10_Assessment!H42</f>
        <v>N/A</v>
      </c>
      <c r="O713" t="str">
        <f>B10_Assessment!I42</f>
        <v>Verify</v>
      </c>
      <c r="P713" t="str">
        <f>B10_Assessment!J42</f>
        <v>Coordinate emergency source/backup power pathways for telecom equipment and cooling.</v>
      </c>
      <c r="Q713" t="str">
        <f t="shared" si="11"/>
        <v>10|35</v>
      </c>
    </row>
    <row r="714" spans="1:17" ht="6.45" customHeight="1">
      <c r="A714" t="s">
        <v>697</v>
      </c>
      <c r="B714">
        <v>36</v>
      </c>
      <c r="C714" t="s">
        <v>31</v>
      </c>
      <c r="D714">
        <v>43</v>
      </c>
      <c r="E714" t="s">
        <v>994</v>
      </c>
      <c r="F714" t="s">
        <v>5325</v>
      </c>
      <c r="G714">
        <f>B10_Assessment!A43</f>
        <v>0</v>
      </c>
      <c r="H714">
        <f>B10_Assessment!B43</f>
        <v>0</v>
      </c>
      <c r="I714">
        <f>B10_Assessment!C43</f>
        <v>0</v>
      </c>
      <c r="J714">
        <f>B10_Assessment!D43</f>
        <v>0</v>
      </c>
      <c r="K714">
        <f>B10_Assessment!E43</f>
        <v>0</v>
      </c>
      <c r="L714">
        <f>B10_Assessment!F43</f>
        <v>0</v>
      </c>
      <c r="M714">
        <f>B10_Assessment!G43</f>
        <v>0</v>
      </c>
      <c r="N714">
        <f>B10_Assessment!H43</f>
        <v>0</v>
      </c>
      <c r="O714">
        <f>B10_Assessment!I43</f>
        <v>0</v>
      </c>
      <c r="P714">
        <f>B10_Assessment!J43</f>
        <v>0</v>
      </c>
      <c r="Q714" t="str">
        <f t="shared" si="11"/>
        <v>10|36</v>
      </c>
    </row>
    <row r="715" spans="1:17" ht="6.45" customHeight="1">
      <c r="A715" t="s">
        <v>697</v>
      </c>
      <c r="B715">
        <v>37</v>
      </c>
      <c r="C715" t="s">
        <v>31</v>
      </c>
      <c r="D715">
        <v>44</v>
      </c>
      <c r="E715" t="s">
        <v>1007</v>
      </c>
      <c r="F715" t="s">
        <v>5322</v>
      </c>
      <c r="G715" t="str">
        <f>B10_Assessment!A44</f>
        <v>7. SECURITY / PACS / CCTV</v>
      </c>
      <c r="H715">
        <f>B10_Assessment!B44</f>
        <v>0</v>
      </c>
      <c r="I715">
        <f>B10_Assessment!C44</f>
        <v>0</v>
      </c>
      <c r="J715">
        <f>B10_Assessment!D44</f>
        <v>0</v>
      </c>
      <c r="K715">
        <f>B10_Assessment!E44</f>
        <v>0</v>
      </c>
      <c r="L715">
        <f>B10_Assessment!F44</f>
        <v>0</v>
      </c>
      <c r="M715">
        <f>B10_Assessment!G44</f>
        <v>0</v>
      </c>
      <c r="N715">
        <f>B10_Assessment!H44</f>
        <v>0</v>
      </c>
      <c r="O715">
        <f>B10_Assessment!I44</f>
        <v>0</v>
      </c>
      <c r="P715">
        <f>B10_Assessment!J44</f>
        <v>0</v>
      </c>
      <c r="Q715" t="str">
        <f t="shared" si="11"/>
        <v>10|37</v>
      </c>
    </row>
    <row r="716" spans="1:17" ht="6.45" customHeight="1">
      <c r="A716" t="s">
        <v>697</v>
      </c>
      <c r="B716">
        <v>38</v>
      </c>
      <c r="C716" t="s">
        <v>31</v>
      </c>
      <c r="D716">
        <v>45</v>
      </c>
      <c r="E716" t="s">
        <v>1007</v>
      </c>
      <c r="F716" t="s">
        <v>5323</v>
      </c>
      <c r="G716" t="str">
        <f>B10_Assessment!A45</f>
        <v>Room</v>
      </c>
      <c r="H716" t="str">
        <f>B10_Assessment!B45</f>
        <v>PACS</v>
      </c>
      <c r="I716" t="str">
        <f>B10_Assessment!C45</f>
        <v>Card Reader</v>
      </c>
      <c r="J716" t="str">
        <f>B10_Assessment!D45</f>
        <v>Door Position</v>
      </c>
      <c r="K716" t="str">
        <f>B10_Assessment!E45</f>
        <v>Electric Strike</v>
      </c>
      <c r="L716" t="str">
        <f>B10_Assessment!F45</f>
        <v>CCTV</v>
      </c>
      <c r="M716" t="str">
        <f>B10_Assessment!G45</f>
        <v>Motion Sensor</v>
      </c>
      <c r="N716" t="str">
        <f>B10_Assessment!H45</f>
        <v>Integration</v>
      </c>
      <c r="O716" t="str">
        <f>B10_Assessment!I45</f>
        <v>Overall</v>
      </c>
      <c r="P716" t="str">
        <f>B10_Assessment!J45</f>
        <v>Notes</v>
      </c>
      <c r="Q716" t="str">
        <f t="shared" si="11"/>
        <v>10|38</v>
      </c>
    </row>
    <row r="717" spans="1:17" ht="6.45" customHeight="1">
      <c r="A717" t="s">
        <v>697</v>
      </c>
      <c r="B717">
        <v>39</v>
      </c>
      <c r="C717" t="s">
        <v>31</v>
      </c>
      <c r="D717">
        <v>46</v>
      </c>
      <c r="E717" t="s">
        <v>1007</v>
      </c>
      <c r="F717" t="s">
        <v>5324</v>
      </c>
      <c r="G717" t="str">
        <f>B10_Assessment!A46</f>
        <v>200A</v>
      </c>
      <c r="H717" t="str">
        <f>B10_Assessment!B46</f>
        <v>Verify</v>
      </c>
      <c r="I717" t="str">
        <f>B10_Assessment!C46</f>
        <v>Verify</v>
      </c>
      <c r="J717" t="str">
        <f>B10_Assessment!D46</f>
        <v>Verify</v>
      </c>
      <c r="K717" t="str">
        <f>B10_Assessment!E46</f>
        <v>Verify</v>
      </c>
      <c r="L717" t="str">
        <f>B10_Assessment!F46</f>
        <v>Verify</v>
      </c>
      <c r="M717" t="str">
        <f>B10_Assessment!G46</f>
        <v>Verify</v>
      </c>
      <c r="N717" t="str">
        <f>B10_Assessment!H46</f>
        <v>Verify</v>
      </c>
      <c r="O717" t="str">
        <f>B10_Assessment!I46</f>
        <v>Verify</v>
      </c>
      <c r="P717" t="str">
        <f>B10_Assessment!J46</f>
        <v>General scope requires PACS/CCTV for TR doors; verify door hardware, access controller, camera/VMS integration and any existing attic access/security constraints.</v>
      </c>
      <c r="Q717" t="str">
        <f t="shared" si="11"/>
        <v>10|39</v>
      </c>
    </row>
    <row r="718" spans="1:17" ht="6.45" customHeight="1">
      <c r="A718" t="s">
        <v>697</v>
      </c>
      <c r="B718">
        <v>40</v>
      </c>
      <c r="C718" t="s">
        <v>31</v>
      </c>
      <c r="D718">
        <v>47</v>
      </c>
      <c r="E718" t="s">
        <v>1007</v>
      </c>
      <c r="F718" t="s">
        <v>5324</v>
      </c>
      <c r="G718" t="str">
        <f>B10_Assessment!A47</f>
        <v>B24</v>
      </c>
      <c r="H718" t="str">
        <f>B10_Assessment!B47</f>
        <v>N/A</v>
      </c>
      <c r="I718" t="str">
        <f>B10_Assessment!C47</f>
        <v>N/A</v>
      </c>
      <c r="J718" t="str">
        <f>B10_Assessment!D47</f>
        <v>N/A</v>
      </c>
      <c r="K718" t="str">
        <f>B10_Assessment!E47</f>
        <v>N/A</v>
      </c>
      <c r="L718" t="str">
        <f>B10_Assessment!F47</f>
        <v>Verify</v>
      </c>
      <c r="M718" t="str">
        <f>B10_Assessment!G47</f>
        <v>N/A</v>
      </c>
      <c r="N718" t="str">
        <f>B10_Assessment!H47</f>
        <v>Verify</v>
      </c>
      <c r="O718" t="str">
        <f>B10_Assessment!I47</f>
        <v>Verify</v>
      </c>
      <c r="P718" t="str">
        <f>B10_Assessment!J47</f>
        <v>Verify security impact only if electrical source room access or devices are modified.</v>
      </c>
      <c r="Q718" t="str">
        <f t="shared" si="11"/>
        <v>10|40</v>
      </c>
    </row>
    <row r="719" spans="1:17" ht="6.45" customHeight="1">
      <c r="A719" t="s">
        <v>697</v>
      </c>
      <c r="B719">
        <v>41</v>
      </c>
      <c r="C719" t="s">
        <v>31</v>
      </c>
      <c r="D719">
        <v>48</v>
      </c>
      <c r="E719" t="s">
        <v>1007</v>
      </c>
      <c r="F719" t="s">
        <v>5324</v>
      </c>
      <c r="G719" t="str">
        <f>B10_Assessment!A48</f>
        <v>B25</v>
      </c>
      <c r="H719" t="str">
        <f>B10_Assessment!B48</f>
        <v>N/A</v>
      </c>
      <c r="I719" t="str">
        <f>B10_Assessment!C48</f>
        <v>N/A</v>
      </c>
      <c r="J719" t="str">
        <f>B10_Assessment!D48</f>
        <v>N/A</v>
      </c>
      <c r="K719" t="str">
        <f>B10_Assessment!E48</f>
        <v>N/A</v>
      </c>
      <c r="L719" t="str">
        <f>B10_Assessment!F48</f>
        <v>Verify</v>
      </c>
      <c r="M719" t="str">
        <f>B10_Assessment!G48</f>
        <v>N/A</v>
      </c>
      <c r="N719" t="str">
        <f>B10_Assessment!H48</f>
        <v>Verify</v>
      </c>
      <c r="O719" t="str">
        <f>B10_Assessment!I48</f>
        <v>Verify</v>
      </c>
      <c r="P719" t="str">
        <f>B10_Assessment!J48</f>
        <v>Verify emergency electrical room security impact if work requires access control changes.</v>
      </c>
      <c r="Q719" t="str">
        <f t="shared" si="11"/>
        <v>10|41</v>
      </c>
    </row>
    <row r="720" spans="1:17" ht="6.45" customHeight="1">
      <c r="A720" t="s">
        <v>697</v>
      </c>
      <c r="B720">
        <v>42</v>
      </c>
      <c r="C720" t="s">
        <v>31</v>
      </c>
      <c r="D720">
        <v>49</v>
      </c>
      <c r="E720" t="s">
        <v>1007</v>
      </c>
      <c r="F720" t="s">
        <v>5325</v>
      </c>
      <c r="G720">
        <f>B10_Assessment!A49</f>
        <v>0</v>
      </c>
      <c r="H720">
        <f>B10_Assessment!B49</f>
        <v>0</v>
      </c>
      <c r="I720">
        <f>B10_Assessment!C49</f>
        <v>0</v>
      </c>
      <c r="J720">
        <f>B10_Assessment!D49</f>
        <v>0</v>
      </c>
      <c r="K720">
        <f>B10_Assessment!E49</f>
        <v>0</v>
      </c>
      <c r="L720">
        <f>B10_Assessment!F49</f>
        <v>0</v>
      </c>
      <c r="M720">
        <f>B10_Assessment!G49</f>
        <v>0</v>
      </c>
      <c r="N720">
        <f>B10_Assessment!H49</f>
        <v>0</v>
      </c>
      <c r="O720">
        <f>B10_Assessment!I49</f>
        <v>0</v>
      </c>
      <c r="P720">
        <f>B10_Assessment!J49</f>
        <v>0</v>
      </c>
      <c r="Q720" t="str">
        <f t="shared" si="11"/>
        <v>10|42</v>
      </c>
    </row>
    <row r="721" spans="1:17" ht="6.45" customHeight="1">
      <c r="A721" t="s">
        <v>697</v>
      </c>
      <c r="B721">
        <v>43</v>
      </c>
      <c r="C721" t="s">
        <v>31</v>
      </c>
      <c r="D721">
        <v>50</v>
      </c>
      <c r="E721" t="s">
        <v>1019</v>
      </c>
      <c r="F721" t="s">
        <v>5322</v>
      </c>
      <c r="G721" t="str">
        <f>B10_Assessment!A50</f>
        <v>8. OWNER RISKS</v>
      </c>
      <c r="H721">
        <f>B10_Assessment!B50</f>
        <v>0</v>
      </c>
      <c r="I721">
        <f>B10_Assessment!C50</f>
        <v>0</v>
      </c>
      <c r="J721">
        <f>B10_Assessment!D50</f>
        <v>0</v>
      </c>
      <c r="K721">
        <f>B10_Assessment!E50</f>
        <v>0</v>
      </c>
      <c r="L721">
        <f>B10_Assessment!F50</f>
        <v>0</v>
      </c>
      <c r="M721">
        <f>B10_Assessment!G50</f>
        <v>0</v>
      </c>
      <c r="N721">
        <f>B10_Assessment!H50</f>
        <v>0</v>
      </c>
      <c r="O721">
        <f>B10_Assessment!I50</f>
        <v>0</v>
      </c>
      <c r="P721">
        <f>B10_Assessment!J50</f>
        <v>0</v>
      </c>
      <c r="Q721" t="str">
        <f t="shared" si="11"/>
        <v>10|43</v>
      </c>
    </row>
    <row r="722" spans="1:17" ht="6.45" customHeight="1">
      <c r="A722" t="s">
        <v>697</v>
      </c>
      <c r="B722">
        <v>44</v>
      </c>
      <c r="C722" t="s">
        <v>31</v>
      </c>
      <c r="D722">
        <v>51</v>
      </c>
      <c r="E722" t="s">
        <v>1019</v>
      </c>
      <c r="F722" t="s">
        <v>5323</v>
      </c>
      <c r="G722" t="str">
        <f>B10_Assessment!A51</f>
        <v>Risk ID</v>
      </c>
      <c r="H722" t="str">
        <f>B10_Assessment!B51</f>
        <v>Room</v>
      </c>
      <c r="I722" t="str">
        <f>B10_Assessment!C51</f>
        <v>Risk</v>
      </c>
      <c r="J722" t="str">
        <f>B10_Assessment!D51</f>
        <v>Impact</v>
      </c>
      <c r="K722" t="str">
        <f>B10_Assessment!E51</f>
        <v>Probability</v>
      </c>
      <c r="L722" t="str">
        <f>B10_Assessment!F51</f>
        <v>Score</v>
      </c>
      <c r="M722" t="str">
        <f>B10_Assessment!G51</f>
        <v>Mitigation</v>
      </c>
      <c r="N722" t="str">
        <f>B10_Assessment!H51</f>
        <v>Owner</v>
      </c>
      <c r="O722" t="str">
        <f>B10_Assessment!I51</f>
        <v>Status</v>
      </c>
      <c r="P722" t="str">
        <f>B10_Assessment!J51</f>
        <v>Notes</v>
      </c>
      <c r="Q722" t="str">
        <f t="shared" si="11"/>
        <v>10|44</v>
      </c>
    </row>
    <row r="723" spans="1:17" ht="6.45" customHeight="1">
      <c r="A723" t="s">
        <v>697</v>
      </c>
      <c r="B723">
        <v>45</v>
      </c>
      <c r="C723" t="s">
        <v>31</v>
      </c>
      <c r="D723">
        <v>52</v>
      </c>
      <c r="E723" t="s">
        <v>1019</v>
      </c>
      <c r="F723" t="s">
        <v>5324</v>
      </c>
      <c r="G723" t="str">
        <f>B10_Assessment!A52</f>
        <v>B10-R1</v>
      </c>
      <c r="H723" t="str">
        <f>B10_Assessment!B52</f>
        <v>200A</v>
      </c>
      <c r="I723" t="str">
        <f>B10_Assessment!C52</f>
        <v>Attic Telecom Room existing conditions and access not field verified</v>
      </c>
      <c r="J723" t="str">
        <f>B10_Assessment!D52</f>
        <v>High</v>
      </c>
      <c r="K723" t="str">
        <f>B10_Assessment!E52</f>
        <v>Medium</v>
      </c>
      <c r="L723">
        <f>B10_Assessment!F52</f>
        <v>6</v>
      </c>
      <c r="M723" t="str">
        <f>B10_Assessment!G52</f>
        <v>Survey Room 200A, attic access route, existing rack/equipment, floor/deck conditions, clearances and utilities</v>
      </c>
      <c r="N723" t="str">
        <f>B10_Assessment!H52</f>
        <v>GCC / Contractor</v>
      </c>
      <c r="O723" t="str">
        <f>B10_Assessment!I52</f>
        <v>Closed</v>
      </c>
      <c r="P723" t="str">
        <f>B10_Assessment!J52</f>
        <v>Attic work may have access and staging constraints.</v>
      </c>
      <c r="Q723" t="str">
        <f t="shared" si="11"/>
        <v>10|45</v>
      </c>
    </row>
    <row r="724" spans="1:17" ht="6.45" customHeight="1">
      <c r="A724" t="s">
        <v>697</v>
      </c>
      <c r="B724">
        <v>46</v>
      </c>
      <c r="C724" t="s">
        <v>31</v>
      </c>
      <c r="D724">
        <v>53</v>
      </c>
      <c r="E724" t="s">
        <v>1019</v>
      </c>
      <c r="F724" t="s">
        <v>5324</v>
      </c>
      <c r="G724" t="str">
        <f>B10_Assessment!A53</f>
        <v>B10-R2</v>
      </c>
      <c r="H724" t="str">
        <f>B10_Assessment!B53</f>
        <v>200A</v>
      </c>
      <c r="I724" t="str">
        <f>B10_Assessment!C53</f>
        <v>Hazardous material abatement plan exists for attic level</v>
      </c>
      <c r="J724" t="str">
        <f>B10_Assessment!D53</f>
        <v>High</v>
      </c>
      <c r="K724" t="str">
        <f>B10_Assessment!E53</f>
        <v>Medium</v>
      </c>
      <c r="L724">
        <f>B10_Assessment!F53</f>
        <v>6</v>
      </c>
      <c r="M724" t="str">
        <f>B10_Assessment!G53</f>
        <v>Coordinate attic abatement/IH review before penetrations, ceiling/floor work, cabling or HVAC/electrical installation</v>
      </c>
      <c r="N724" t="str">
        <f>B10_Assessment!H53</f>
        <v>GC / IH / COR</v>
      </c>
      <c r="O724" t="str">
        <f>B10_Assessment!I53</f>
        <v>Closed</v>
      </c>
      <c r="P724" t="str">
        <f>B10_Assessment!J53</f>
        <v>Drawing index includes 10H-102 hazardous material abatement plan - attic.</v>
      </c>
      <c r="Q724" t="str">
        <f t="shared" si="11"/>
        <v>10|46</v>
      </c>
    </row>
    <row r="725" spans="1:17" ht="6.45" customHeight="1">
      <c r="A725" t="s">
        <v>697</v>
      </c>
      <c r="B725">
        <v>47</v>
      </c>
      <c r="C725" t="s">
        <v>31</v>
      </c>
      <c r="D725">
        <v>54</v>
      </c>
      <c r="E725" t="s">
        <v>1019</v>
      </c>
      <c r="F725" t="s">
        <v>5324</v>
      </c>
      <c r="G725" t="str">
        <f>B10_Assessment!A54</f>
        <v>B10-R3</v>
      </c>
      <c r="H725" t="str">
        <f>B10_Assessment!B54</f>
        <v>200A</v>
      </c>
      <c r="I725" t="str">
        <f>B10_Assessment!C54</f>
        <v>Existing wall-mounted rack/equipment may remain active during cutover</v>
      </c>
      <c r="J725" t="str">
        <f>B10_Assessment!D54</f>
        <v>Critical</v>
      </c>
      <c r="K725" t="str">
        <f>B10_Assessment!E54</f>
        <v>Medium</v>
      </c>
      <c r="L725">
        <f>B10_Assessment!F54</f>
        <v>8</v>
      </c>
      <c r="M725" t="str">
        <f>B10_Assessment!G54</f>
        <v>Document active services, protect in place and develop night-shift cutover/temporary rack plan</v>
      </c>
      <c r="N725" t="str">
        <f>B10_Assessment!H54</f>
        <v>Telecom / OIT</v>
      </c>
      <c r="O725" t="str">
        <f>B10_Assessment!I54</f>
        <v>Closed</v>
      </c>
      <c r="P725" t="str">
        <f>B10_Assessment!J54</f>
        <v>Telecom drawings reference existing wall-mounted rack/equipment to be replaced/transferred.</v>
      </c>
      <c r="Q725" t="str">
        <f t="shared" si="11"/>
        <v>10|47</v>
      </c>
    </row>
    <row r="726" spans="1:17" ht="6.45" customHeight="1">
      <c r="A726" t="s">
        <v>697</v>
      </c>
      <c r="B726">
        <v>48</v>
      </c>
      <c r="C726" t="s">
        <v>31</v>
      </c>
      <c r="D726">
        <v>55</v>
      </c>
      <c r="E726" t="s">
        <v>1019</v>
      </c>
      <c r="F726" t="s">
        <v>5324</v>
      </c>
      <c r="G726" t="str">
        <f>B10_Assessment!A55</f>
        <v>B10-R4</v>
      </c>
      <c r="H726" t="str">
        <f>B10_Assessment!B55</f>
        <v>200A</v>
      </c>
      <c r="I726" t="str">
        <f>B10_Assessment!C55</f>
        <v>Dedicated cooling emergency power, condensate, BACnet and alarms not verified</v>
      </c>
      <c r="J726" t="str">
        <f>B10_Assessment!D55</f>
        <v>Critical</v>
      </c>
      <c r="K726" t="str">
        <f>B10_Assessment!E55</f>
        <v>Medium</v>
      </c>
      <c r="L726">
        <f>B10_Assessment!F55</f>
        <v>8</v>
      </c>
      <c r="M726" t="str">
        <f>B10_Assessment!G55</f>
        <v>Confirm IU-1-01/CU-1-01 capacity, power source, condensate routing, BACnet adapter, thermostat and high-temp alarm</v>
      </c>
      <c r="N726" t="str">
        <f>B10_Assessment!H55</f>
        <v>Mechanical / Electrical</v>
      </c>
      <c r="O726" t="str">
        <f>B10_Assessment!I55</f>
        <v>Closed</v>
      </c>
      <c r="P726" t="str">
        <f>B10_Assessment!J55</f>
        <v>Cooling is central to TR readiness.</v>
      </c>
      <c r="Q726" t="str">
        <f t="shared" si="11"/>
        <v>10|48</v>
      </c>
    </row>
    <row r="727" spans="1:17" ht="6.45" customHeight="1">
      <c r="A727" t="s">
        <v>697</v>
      </c>
      <c r="B727">
        <v>49</v>
      </c>
      <c r="C727" t="s">
        <v>31</v>
      </c>
      <c r="D727">
        <v>56</v>
      </c>
      <c r="E727" t="s">
        <v>1019</v>
      </c>
      <c r="F727" t="s">
        <v>5324</v>
      </c>
      <c r="G727" t="str">
        <f>B10_Assessment!A56</f>
        <v>B10-R5</v>
      </c>
      <c r="H727" t="str">
        <f>B10_Assessment!B56</f>
        <v>B24/B25</v>
      </c>
      <c r="I727" t="str">
        <f>B10_Assessment!C56</f>
        <v>Panel source, generator/ATS path and shutdown sequencing unclear</v>
      </c>
      <c r="J727" t="str">
        <f>B10_Assessment!D56</f>
        <v>Critical</v>
      </c>
      <c r="K727" t="str">
        <f>B10_Assessment!E56</f>
        <v>Medium</v>
      </c>
      <c r="L727">
        <f>B10_Assessment!F56</f>
        <v>8</v>
      </c>
      <c r="M727" t="str">
        <f>B10_Assessment!G56</f>
        <v>Verify B10-MDP, B10-L10-E, ATS-B10-LSD, panel feeders, load measurement and LOTO before electrical work</v>
      </c>
      <c r="N727" t="str">
        <f>B10_Assessment!H56</f>
        <v>Electrical / GCC</v>
      </c>
      <c r="O727" t="str">
        <f>B10_Assessment!I56</f>
        <v>Closed</v>
      </c>
      <c r="P727" t="str">
        <f>B10_Assessment!J56</f>
        <v>Basement normal/emergency electrical rooms are source coordination points.</v>
      </c>
      <c r="Q727" t="str">
        <f t="shared" si="11"/>
        <v>10|49</v>
      </c>
    </row>
    <row r="728" spans="1:17" ht="6.45" customHeight="1">
      <c r="A728" t="s">
        <v>697</v>
      </c>
      <c r="B728">
        <v>50</v>
      </c>
      <c r="C728" t="s">
        <v>31</v>
      </c>
      <c r="D728">
        <v>57</v>
      </c>
      <c r="E728" t="s">
        <v>1019</v>
      </c>
      <c r="F728" t="s">
        <v>5324</v>
      </c>
      <c r="G728" t="str">
        <f>B10_Assessment!A57</f>
        <v>B10-R6</v>
      </c>
      <c r="H728" t="str">
        <f>B10_Assessment!B57</f>
        <v>200A</v>
      </c>
      <c r="I728" t="str">
        <f>B10_Assessment!C57</f>
        <v>Fire alarm/sprinkler/firestopping work in attic TR could affect occupied operations</v>
      </c>
      <c r="J728" t="str">
        <f>B10_Assessment!D57</f>
        <v>Critical</v>
      </c>
      <c r="K728" t="str">
        <f>B10_Assessment!E57</f>
        <v>Medium</v>
      </c>
      <c r="L728">
        <f>B10_Assessment!F57</f>
        <v>8</v>
      </c>
      <c r="M728" t="str">
        <f>B10_Assessment!G57</f>
        <v>Track impairments, fire watch, sprinkler/head changes, FA device work, rated penetrations and temporary firestopping</v>
      </c>
      <c r="N728" t="str">
        <f>B10_Assessment!H57</f>
        <v>GC / FP / FA</v>
      </c>
      <c r="O728" t="str">
        <f>B10_Assessment!I57</f>
        <v>Closed</v>
      </c>
      <c r="P728" t="str">
        <f>B10_Assessment!J57</f>
        <v>Shutdowns limited one at a time campus-wide.</v>
      </c>
      <c r="Q728" t="str">
        <f t="shared" si="11"/>
        <v>10|50</v>
      </c>
    </row>
    <row r="729" spans="1:17" ht="6.45" customHeight="1">
      <c r="A729" t="s">
        <v>697</v>
      </c>
      <c r="B729">
        <v>51</v>
      </c>
      <c r="C729" t="s">
        <v>31</v>
      </c>
      <c r="D729">
        <v>58</v>
      </c>
      <c r="E729" t="s">
        <v>1019</v>
      </c>
      <c r="F729" t="s">
        <v>5324</v>
      </c>
      <c r="G729" t="str">
        <f>B10_Assessment!A58</f>
        <v>B10-R7</v>
      </c>
      <c r="H729" t="str">
        <f>B10_Assessment!B58</f>
        <v>200A</v>
      </c>
      <c r="I729" t="str">
        <f>B10_Assessment!C58</f>
        <v>Telecom/fiber cutover could affect active hospital communications</v>
      </c>
      <c r="J729" t="str">
        <f>B10_Assessment!D58</f>
        <v>Critical</v>
      </c>
      <c r="K729" t="str">
        <f>B10_Assessment!E58</f>
        <v>Medium</v>
      </c>
      <c r="L729">
        <f>B10_Assessment!F58</f>
        <v>8</v>
      </c>
      <c r="M729" t="str">
        <f>B10_Assessment!G58</f>
        <v>Require cutover plan, testing, labels, as-builts, OIT coordination and VA acceptance before active connection</v>
      </c>
      <c r="N729" t="str">
        <f>B10_Assessment!H58</f>
        <v>Telecom / OIT</v>
      </c>
      <c r="O729" t="str">
        <f>B10_Assessment!I58</f>
        <v>Closed</v>
      </c>
      <c r="P729" t="str">
        <f>B10_Assessment!J58</f>
        <v>All telecom cabling must be tested, approved and accepted before connecting to active operations.</v>
      </c>
      <c r="Q729" t="str">
        <f t="shared" si="11"/>
        <v>10|51</v>
      </c>
    </row>
    <row r="730" spans="1:17" ht="6.45" customHeight="1">
      <c r="A730" t="s">
        <v>697</v>
      </c>
      <c r="B730">
        <v>52</v>
      </c>
      <c r="C730" t="s">
        <v>31</v>
      </c>
      <c r="D730">
        <v>59</v>
      </c>
      <c r="E730" t="s">
        <v>1019</v>
      </c>
      <c r="F730" t="s">
        <v>5324</v>
      </c>
      <c r="G730" t="str">
        <f>B10_Assessment!A59</f>
        <v>B10-R8</v>
      </c>
      <c r="H730" t="str">
        <f>B10_Assessment!B59</f>
        <v>All</v>
      </c>
      <c r="I730" t="str">
        <f>B10_Assessment!C59</f>
        <v>Commissioning/third-party inspection reports may not be complete at turnover</v>
      </c>
      <c r="J730" t="str">
        <f>B10_Assessment!D59</f>
        <v>High</v>
      </c>
      <c r="K730" t="str">
        <f>B10_Assessment!E59</f>
        <v>Medium</v>
      </c>
      <c r="L730">
        <f>B10_Assessment!F59</f>
        <v>6</v>
      </c>
      <c r="M730" t="str">
        <f>B10_Assessment!G59</f>
        <v>Track commissioning, inspections, test reports, power verification, labels and as-builts</v>
      </c>
      <c r="N730" t="str">
        <f>B10_Assessment!H59</f>
        <v>GC / Cx Manager</v>
      </c>
      <c r="O730" t="str">
        <f>B10_Assessment!I59</f>
        <v>Closed</v>
      </c>
      <c r="P730" t="str">
        <f>B10_Assessment!J59</f>
        <v>Required by cover/general notes.</v>
      </c>
      <c r="Q730" t="str">
        <f t="shared" si="11"/>
        <v>10|52</v>
      </c>
    </row>
    <row r="731" spans="1:17" ht="6.45" customHeight="1">
      <c r="A731" t="s">
        <v>697</v>
      </c>
      <c r="B731">
        <v>53</v>
      </c>
      <c r="C731" t="s">
        <v>31</v>
      </c>
      <c r="D731">
        <v>60</v>
      </c>
      <c r="E731" t="s">
        <v>1019</v>
      </c>
      <c r="F731" t="s">
        <v>5325</v>
      </c>
      <c r="G731">
        <f>B10_Assessment!A60</f>
        <v>0</v>
      </c>
      <c r="H731">
        <f>B10_Assessment!B60</f>
        <v>0</v>
      </c>
      <c r="I731">
        <f>B10_Assessment!C60</f>
        <v>0</v>
      </c>
      <c r="J731">
        <f>B10_Assessment!D60</f>
        <v>0</v>
      </c>
      <c r="K731">
        <f>B10_Assessment!E60</f>
        <v>0</v>
      </c>
      <c r="L731">
        <f>B10_Assessment!F60</f>
        <v>0</v>
      </c>
      <c r="M731">
        <f>B10_Assessment!G60</f>
        <v>0</v>
      </c>
      <c r="N731">
        <f>B10_Assessment!H60</f>
        <v>0</v>
      </c>
      <c r="O731">
        <f>B10_Assessment!I60</f>
        <v>0</v>
      </c>
      <c r="P731">
        <f>B10_Assessment!J60</f>
        <v>0</v>
      </c>
      <c r="Q731" t="str">
        <f t="shared" si="11"/>
        <v>10|53</v>
      </c>
    </row>
    <row r="732" spans="1:17" ht="6.45" customHeight="1">
      <c r="A732" t="s">
        <v>697</v>
      </c>
      <c r="B732">
        <v>54</v>
      </c>
      <c r="C732" t="s">
        <v>31</v>
      </c>
      <c r="D732">
        <v>61</v>
      </c>
      <c r="E732" t="s">
        <v>1051</v>
      </c>
      <c r="F732" t="s">
        <v>5322</v>
      </c>
      <c r="G732" t="str">
        <f>B10_Assessment!A61</f>
        <v>9. OPEN QUESTIONS</v>
      </c>
      <c r="H732">
        <f>B10_Assessment!B61</f>
        <v>0</v>
      </c>
      <c r="I732">
        <f>B10_Assessment!C61</f>
        <v>0</v>
      </c>
      <c r="J732">
        <f>B10_Assessment!D61</f>
        <v>0</v>
      </c>
      <c r="K732">
        <f>B10_Assessment!E61</f>
        <v>0</v>
      </c>
      <c r="L732">
        <f>B10_Assessment!F61</f>
        <v>0</v>
      </c>
      <c r="M732">
        <f>B10_Assessment!G61</f>
        <v>0</v>
      </c>
      <c r="N732">
        <f>B10_Assessment!H61</f>
        <v>0</v>
      </c>
      <c r="O732">
        <f>B10_Assessment!I61</f>
        <v>0</v>
      </c>
      <c r="P732">
        <f>B10_Assessment!J61</f>
        <v>0</v>
      </c>
      <c r="Q732" t="str">
        <f t="shared" si="11"/>
        <v>10|54</v>
      </c>
    </row>
    <row r="733" spans="1:17" ht="6.45" customHeight="1">
      <c r="A733" t="s">
        <v>697</v>
      </c>
      <c r="B733">
        <v>55</v>
      </c>
      <c r="C733" t="s">
        <v>31</v>
      </c>
      <c r="D733">
        <v>62</v>
      </c>
      <c r="E733" t="s">
        <v>1051</v>
      </c>
      <c r="F733" t="s">
        <v>5323</v>
      </c>
      <c r="G733" t="str">
        <f>B10_Assessment!A62</f>
        <v>Question ID</v>
      </c>
      <c r="H733" t="str">
        <f>B10_Assessment!B62</f>
        <v>Question</v>
      </c>
      <c r="I733" t="str">
        <f>B10_Assessment!C62</f>
        <v>Assigned To</v>
      </c>
      <c r="J733" t="str">
        <f>B10_Assessment!D62</f>
        <v>Status</v>
      </c>
      <c r="K733" t="str">
        <f>B10_Assessment!E62</f>
        <v>Needed By</v>
      </c>
      <c r="L733" t="str">
        <f>B10_Assessment!F62</f>
        <v>Answer / Resolution</v>
      </c>
      <c r="M733" t="str">
        <f>B10_Assessment!G62</f>
        <v>Impact if Unanswered</v>
      </c>
      <c r="N733" t="str">
        <f>B10_Assessment!H62</f>
        <v>Follow-up</v>
      </c>
      <c r="O733" t="str">
        <f>B10_Assessment!I62</f>
        <v>Date Closed</v>
      </c>
      <c r="P733" t="str">
        <f>B10_Assessment!J62</f>
        <v>Notes</v>
      </c>
      <c r="Q733" t="str">
        <f t="shared" si="11"/>
        <v>10|55</v>
      </c>
    </row>
    <row r="734" spans="1:17" ht="6.45" customHeight="1">
      <c r="A734" t="s">
        <v>697</v>
      </c>
      <c r="B734">
        <v>56</v>
      </c>
      <c r="C734" t="s">
        <v>31</v>
      </c>
      <c r="D734">
        <v>63</v>
      </c>
      <c r="E734" t="s">
        <v>1051</v>
      </c>
      <c r="F734" t="s">
        <v>5324</v>
      </c>
      <c r="G734" t="str">
        <f>B10_Assessment!A63</f>
        <v>B10-Q1</v>
      </c>
      <c r="H734" t="str">
        <f>B10_Assessment!B63</f>
        <v>Confirm final scope: attic Telecom Room 200A only, with basement electrical source coordination in B24/B25?</v>
      </c>
      <c r="I734" t="str">
        <f>B10_Assessment!C63</f>
        <v>VA / OIT / Designer</v>
      </c>
      <c r="J734" t="str">
        <f>B10_Assessment!D63</f>
        <v>Closed</v>
      </c>
      <c r="K734">
        <f>B10_Assessment!E63</f>
        <v>0</v>
      </c>
      <c r="L734">
        <f>B10_Assessment!F63</f>
        <v>0</v>
      </c>
      <c r="M734" t="str">
        <f>B10_Assessment!G63</f>
        <v>Room inventory could miss scope</v>
      </c>
      <c r="N734">
        <f>B10_Assessment!H63</f>
        <v>0</v>
      </c>
      <c r="O734">
        <f>B10_Assessment!I63</f>
        <v>0</v>
      </c>
      <c r="P734">
        <f>B10_Assessment!J63</f>
        <v>0</v>
      </c>
      <c r="Q734" t="str">
        <f t="shared" si="11"/>
        <v>10|56</v>
      </c>
    </row>
    <row r="735" spans="1:17" ht="6.45" customHeight="1">
      <c r="A735" t="s">
        <v>697</v>
      </c>
      <c r="B735">
        <v>57</v>
      </c>
      <c r="C735" t="s">
        <v>31</v>
      </c>
      <c r="D735">
        <v>64</v>
      </c>
      <c r="E735" t="s">
        <v>1051</v>
      </c>
      <c r="F735" t="s">
        <v>5324</v>
      </c>
      <c r="G735" t="str">
        <f>B10_Assessment!A64</f>
        <v>B10-Q2</v>
      </c>
      <c r="H735" t="str">
        <f>B10_Assessment!B64</f>
        <v>What active services are currently fed from the existing wall-mounted rack/equipment in Room 200A?</v>
      </c>
      <c r="I735" t="str">
        <f>B10_Assessment!C64</f>
        <v>OIT / Contractor</v>
      </c>
      <c r="J735" t="str">
        <f>B10_Assessment!D64</f>
        <v>Closed</v>
      </c>
      <c r="K735">
        <f>B10_Assessment!E64</f>
        <v>0</v>
      </c>
      <c r="L735">
        <f>B10_Assessment!F64</f>
        <v>0</v>
      </c>
      <c r="M735" t="str">
        <f>B10_Assessment!G64</f>
        <v>Potential communications outage</v>
      </c>
      <c r="N735">
        <f>B10_Assessment!H64</f>
        <v>0</v>
      </c>
      <c r="O735">
        <f>B10_Assessment!I64</f>
        <v>0</v>
      </c>
      <c r="P735">
        <f>B10_Assessment!J64</f>
        <v>0</v>
      </c>
      <c r="Q735" t="str">
        <f t="shared" si="11"/>
        <v>10|57</v>
      </c>
    </row>
    <row r="736" spans="1:17" ht="6.45" customHeight="1">
      <c r="A736" t="s">
        <v>697</v>
      </c>
      <c r="B736">
        <v>58</v>
      </c>
      <c r="C736" t="s">
        <v>31</v>
      </c>
      <c r="D736">
        <v>65</v>
      </c>
      <c r="E736" t="s">
        <v>1051</v>
      </c>
      <c r="F736" t="s">
        <v>5324</v>
      </c>
      <c r="G736" t="str">
        <f>B10_Assessment!A65</f>
        <v>B10-Q3</v>
      </c>
      <c r="H736" t="str">
        <f>B10_Assessment!B65</f>
        <v>What attic hazardous material/abatement steps apply before cabling, penetrations, HVAC or electrical work?</v>
      </c>
      <c r="I736" t="str">
        <f>B10_Assessment!C65</f>
        <v>GC / IH / COR</v>
      </c>
      <c r="J736" t="str">
        <f>B10_Assessment!D65</f>
        <v>Closed</v>
      </c>
      <c r="K736">
        <f>B10_Assessment!E65</f>
        <v>0</v>
      </c>
      <c r="L736">
        <f>B10_Assessment!F65</f>
        <v>0</v>
      </c>
      <c r="M736" t="str">
        <f>B10_Assessment!G65</f>
        <v>Work delay/exposure risk</v>
      </c>
      <c r="N736">
        <f>B10_Assessment!H65</f>
        <v>0</v>
      </c>
      <c r="O736">
        <f>B10_Assessment!I65</f>
        <v>0</v>
      </c>
      <c r="P736">
        <f>B10_Assessment!J65</f>
        <v>0</v>
      </c>
      <c r="Q736" t="str">
        <f t="shared" si="11"/>
        <v>10|58</v>
      </c>
    </row>
    <row r="737" spans="1:17" ht="6.45" customHeight="1">
      <c r="A737" t="s">
        <v>697</v>
      </c>
      <c r="B737">
        <v>59</v>
      </c>
      <c r="C737" t="s">
        <v>31</v>
      </c>
      <c r="D737">
        <v>66</v>
      </c>
      <c r="E737" t="s">
        <v>1051</v>
      </c>
      <c r="F737" t="s">
        <v>5324</v>
      </c>
      <c r="G737" t="str">
        <f>B10_Assessment!A66</f>
        <v>B10-Q4</v>
      </c>
      <c r="H737" t="str">
        <f>B10_Assessment!B66</f>
        <v>Is IU-1-01/CU-1-01 on emergency/backup power and does it serve Room 200A only?</v>
      </c>
      <c r="I737" t="str">
        <f>B10_Assessment!C66</f>
        <v>Mechanical / Electrical / VA</v>
      </c>
      <c r="J737" t="str">
        <f>B10_Assessment!D66</f>
        <v>Closed</v>
      </c>
      <c r="K737">
        <f>B10_Assessment!E66</f>
        <v>0</v>
      </c>
      <c r="L737">
        <f>B10_Assessment!F66</f>
        <v>0</v>
      </c>
      <c r="M737" t="str">
        <f>B10_Assessment!G66</f>
        <v>Cooling continuity unclear</v>
      </c>
      <c r="N737">
        <f>B10_Assessment!H66</f>
        <v>0</v>
      </c>
      <c r="O737">
        <f>B10_Assessment!I66</f>
        <v>0</v>
      </c>
      <c r="P737">
        <f>B10_Assessment!J66</f>
        <v>0</v>
      </c>
      <c r="Q737" t="str">
        <f t="shared" si="11"/>
        <v>10|59</v>
      </c>
    </row>
    <row r="738" spans="1:17" ht="6.45" customHeight="1">
      <c r="A738" t="s">
        <v>697</v>
      </c>
      <c r="B738">
        <v>60</v>
      </c>
      <c r="C738" t="s">
        <v>31</v>
      </c>
      <c r="D738">
        <v>67</v>
      </c>
      <c r="E738" t="s">
        <v>1051</v>
      </c>
      <c r="F738" t="s">
        <v>5324</v>
      </c>
      <c r="G738" t="str">
        <f>B10_Assessment!A67</f>
        <v>B10-Q5</v>
      </c>
      <c r="H738" t="str">
        <f>B10_Assessment!B67</f>
        <v>Where is the clean-agent/CO2 extinguisher cabinet located within 75 ft of Room 200A?</v>
      </c>
      <c r="I738" t="str">
        <f>B10_Assessment!C67</f>
        <v>GC / COR</v>
      </c>
      <c r="J738" t="str">
        <f>B10_Assessment!D67</f>
        <v>Closed</v>
      </c>
      <c r="K738">
        <f>B10_Assessment!E67</f>
        <v>0</v>
      </c>
      <c r="L738">
        <f>B10_Assessment!F67</f>
        <v>0</v>
      </c>
      <c r="M738" t="str">
        <f>B10_Assessment!G67</f>
        <v>Life-safety acceptance risk</v>
      </c>
      <c r="N738">
        <f>B10_Assessment!H67</f>
        <v>0</v>
      </c>
      <c r="O738">
        <f>B10_Assessment!I67</f>
        <v>0</v>
      </c>
      <c r="P738">
        <f>B10_Assessment!J67</f>
        <v>0</v>
      </c>
      <c r="Q738" t="str">
        <f t="shared" si="11"/>
        <v>10|60</v>
      </c>
    </row>
    <row r="739" spans="1:17" ht="6.45" customHeight="1">
      <c r="A739" t="s">
        <v>697</v>
      </c>
      <c r="B739">
        <v>61</v>
      </c>
      <c r="C739" t="s">
        <v>31</v>
      </c>
      <c r="D739">
        <v>68</v>
      </c>
      <c r="E739" t="s">
        <v>1051</v>
      </c>
      <c r="F739" t="s">
        <v>5324</v>
      </c>
      <c r="G739" t="str">
        <f>B10_Assessment!A68</f>
        <v>B10-Q6</v>
      </c>
      <c r="H739" t="str">
        <f>B10_Assessment!B68</f>
        <v>Are B10-TR200AA/AB, B10-MDP, B10-L10-E and ATS-B10-LSD source circuits/load measurements approved?</v>
      </c>
      <c r="I739" t="str">
        <f>B10_Assessment!C68</f>
        <v>Electrical / Designer</v>
      </c>
      <c r="J739" t="str">
        <f>B10_Assessment!D68</f>
        <v>Closed</v>
      </c>
      <c r="K739">
        <f>B10_Assessment!E68</f>
        <v>0</v>
      </c>
      <c r="L739">
        <f>B10_Assessment!F68</f>
        <v>0</v>
      </c>
      <c r="M739" t="str">
        <f>B10_Assessment!G68</f>
        <v>Electrical readiness unknown</v>
      </c>
      <c r="N739">
        <f>B10_Assessment!H68</f>
        <v>0</v>
      </c>
      <c r="O739">
        <f>B10_Assessment!I68</f>
        <v>0</v>
      </c>
      <c r="P739">
        <f>B10_Assessment!J68</f>
        <v>0</v>
      </c>
      <c r="Q739" t="str">
        <f t="shared" si="11"/>
        <v>10|61</v>
      </c>
    </row>
    <row r="740" spans="1:17" ht="6.45" customHeight="1">
      <c r="A740" t="s">
        <v>697</v>
      </c>
      <c r="B740">
        <v>62</v>
      </c>
      <c r="C740" t="s">
        <v>31</v>
      </c>
      <c r="D740">
        <v>69</v>
      </c>
      <c r="E740" t="s">
        <v>1051</v>
      </c>
      <c r="F740" t="s">
        <v>5324</v>
      </c>
      <c r="G740" t="str">
        <f>B10_Assessment!A69</f>
        <v>B10-Q7</v>
      </c>
      <c r="H740" t="str">
        <f>B10_Assessment!B69</f>
        <v>Are all attic wall/floor/ceiling penetrations, sleeves and firestopping details identified?</v>
      </c>
      <c r="I740" t="str">
        <f>B10_Assessment!C69</f>
        <v>GC / Firestop</v>
      </c>
      <c r="J740" t="str">
        <f>B10_Assessment!D69</f>
        <v>Closed</v>
      </c>
      <c r="K740">
        <f>B10_Assessment!E69</f>
        <v>0</v>
      </c>
      <c r="L740">
        <f>B10_Assessment!F69</f>
        <v>0</v>
      </c>
      <c r="M740" t="str">
        <f>B10_Assessment!G69</f>
        <v>Fire/smoke spread risk</v>
      </c>
      <c r="N740">
        <f>B10_Assessment!H69</f>
        <v>0</v>
      </c>
      <c r="O740">
        <f>B10_Assessment!I69</f>
        <v>0</v>
      </c>
      <c r="P740">
        <f>B10_Assessment!J69</f>
        <v>0</v>
      </c>
      <c r="Q740" t="str">
        <f t="shared" si="11"/>
        <v>10|62</v>
      </c>
    </row>
    <row r="741" spans="1:17" ht="6.45" customHeight="1">
      <c r="A741" t="s">
        <v>697</v>
      </c>
      <c r="B741">
        <v>63</v>
      </c>
      <c r="C741" t="s">
        <v>31</v>
      </c>
      <c r="D741">
        <v>70</v>
      </c>
      <c r="E741" t="s">
        <v>1051</v>
      </c>
      <c r="F741" t="s">
        <v>5324</v>
      </c>
      <c r="G741" t="str">
        <f>B10_Assessment!A70</f>
        <v>B10-Q8</v>
      </c>
      <c r="H741" t="str">
        <f>B10_Assessment!B70</f>
        <v>Which third-party inspections and commissioning forms are required before VA acceptance?</v>
      </c>
      <c r="I741" t="str">
        <f>B10_Assessment!C70</f>
        <v>GC / Cx Manager</v>
      </c>
      <c r="J741" t="str">
        <f>B10_Assessment!D70</f>
        <v>Closed</v>
      </c>
      <c r="K741">
        <f>B10_Assessment!E70</f>
        <v>0</v>
      </c>
      <c r="L741">
        <f>B10_Assessment!F70</f>
        <v>0</v>
      </c>
      <c r="M741" t="str">
        <f>B10_Assessment!G70</f>
        <v>Turnover package gap</v>
      </c>
      <c r="N741">
        <f>B10_Assessment!H70</f>
        <v>0</v>
      </c>
      <c r="O741">
        <f>B10_Assessment!I70</f>
        <v>0</v>
      </c>
      <c r="P741">
        <f>B10_Assessment!J70</f>
        <v>0</v>
      </c>
      <c r="Q741" t="str">
        <f t="shared" si="11"/>
        <v>10|63</v>
      </c>
    </row>
    <row r="742" spans="1:17" ht="6.45" customHeight="1">
      <c r="A742" t="s">
        <v>697</v>
      </c>
      <c r="B742">
        <v>64</v>
      </c>
      <c r="C742" t="s">
        <v>31</v>
      </c>
      <c r="D742">
        <v>71</v>
      </c>
      <c r="E742" t="s">
        <v>1051</v>
      </c>
      <c r="F742" t="s">
        <v>5325</v>
      </c>
      <c r="G742">
        <f>B10_Assessment!A71</f>
        <v>0</v>
      </c>
      <c r="H742">
        <f>B10_Assessment!B71</f>
        <v>0</v>
      </c>
      <c r="I742">
        <f>B10_Assessment!C71</f>
        <v>0</v>
      </c>
      <c r="J742">
        <f>B10_Assessment!D71</f>
        <v>0</v>
      </c>
      <c r="K742">
        <f>B10_Assessment!E71</f>
        <v>0</v>
      </c>
      <c r="L742">
        <f>B10_Assessment!F71</f>
        <v>0</v>
      </c>
      <c r="M742">
        <f>B10_Assessment!G71</f>
        <v>0</v>
      </c>
      <c r="N742">
        <f>B10_Assessment!H71</f>
        <v>0</v>
      </c>
      <c r="O742">
        <f>B10_Assessment!I71</f>
        <v>0</v>
      </c>
      <c r="P742">
        <f>B10_Assessment!J71</f>
        <v>0</v>
      </c>
      <c r="Q742" t="str">
        <f t="shared" si="11"/>
        <v>10|64</v>
      </c>
    </row>
    <row r="743" spans="1:17" ht="6.45" customHeight="1">
      <c r="A743" t="s">
        <v>697</v>
      </c>
      <c r="B743">
        <v>65</v>
      </c>
      <c r="C743" t="s">
        <v>31</v>
      </c>
      <c r="D743">
        <v>72</v>
      </c>
      <c r="E743" t="s">
        <v>1052</v>
      </c>
      <c r="F743" t="s">
        <v>5322</v>
      </c>
      <c r="G743" t="str">
        <f>B10_Assessment!A72</f>
        <v>10. PHOTO LOG</v>
      </c>
      <c r="H743">
        <f>B10_Assessment!B72</f>
        <v>0</v>
      </c>
      <c r="I743">
        <f>B10_Assessment!C72</f>
        <v>0</v>
      </c>
      <c r="J743">
        <f>B10_Assessment!D72</f>
        <v>0</v>
      </c>
      <c r="K743">
        <f>B10_Assessment!E72</f>
        <v>0</v>
      </c>
      <c r="L743">
        <f>B10_Assessment!F72</f>
        <v>0</v>
      </c>
      <c r="M743">
        <f>B10_Assessment!G72</f>
        <v>0</v>
      </c>
      <c r="N743">
        <f>B10_Assessment!H72</f>
        <v>0</v>
      </c>
      <c r="O743">
        <f>B10_Assessment!I72</f>
        <v>0</v>
      </c>
      <c r="P743">
        <f>B10_Assessment!J72</f>
        <v>0</v>
      </c>
      <c r="Q743" t="str">
        <f t="shared" si="11"/>
        <v>10|65</v>
      </c>
    </row>
    <row r="744" spans="1:17" ht="6.45" customHeight="1">
      <c r="A744" t="s">
        <v>697</v>
      </c>
      <c r="B744">
        <v>66</v>
      </c>
      <c r="C744" t="s">
        <v>31</v>
      </c>
      <c r="D744">
        <v>73</v>
      </c>
      <c r="E744" t="s">
        <v>1052</v>
      </c>
      <c r="F744" t="s">
        <v>5323</v>
      </c>
      <c r="G744" t="str">
        <f>B10_Assessment!A73</f>
        <v>Photo ID</v>
      </c>
      <c r="H744" t="str">
        <f>B10_Assessment!B73</f>
        <v>Room</v>
      </c>
      <c r="I744" t="str">
        <f>B10_Assessment!C73</f>
        <v>Category</v>
      </c>
      <c r="J744" t="str">
        <f>B10_Assessment!D73</f>
        <v>Description</v>
      </c>
      <c r="K744" t="str">
        <f>B10_Assessment!E73</f>
        <v>Date</v>
      </c>
      <c r="L744" t="str">
        <f>B10_Assessment!F73</f>
        <v>Taken By</v>
      </c>
      <c r="M744" t="str">
        <f>B10_Assessment!G73</f>
        <v>File / Link</v>
      </c>
      <c r="N744" t="str">
        <f>B10_Assessment!H73</f>
        <v>Related Risk</v>
      </c>
      <c r="O744" t="str">
        <f>B10_Assessment!I73</f>
        <v>Status</v>
      </c>
      <c r="P744" t="str">
        <f>B10_Assessment!J73</f>
        <v>Notes</v>
      </c>
      <c r="Q744" t="str">
        <f t="shared" si="11"/>
        <v>10|66</v>
      </c>
    </row>
    <row r="745" spans="1:17" ht="6.45" customHeight="1">
      <c r="A745" t="s">
        <v>697</v>
      </c>
      <c r="B745">
        <v>67</v>
      </c>
      <c r="C745" t="s">
        <v>31</v>
      </c>
      <c r="D745">
        <v>74</v>
      </c>
      <c r="E745" t="s">
        <v>1052</v>
      </c>
      <c r="F745" t="s">
        <v>5324</v>
      </c>
      <c r="G745" t="str">
        <f>B10_Assessment!A74</f>
        <v>B10-P001</v>
      </c>
      <c r="H745" t="str">
        <f>B10_Assessment!B74</f>
        <v>200A</v>
      </c>
      <c r="I745" t="str">
        <f>B10_Assessment!C74</f>
        <v>Existing Condition</v>
      </c>
      <c r="J745" t="str">
        <f>B10_Assessment!D74</f>
        <v>Attic TR 200A existing rack/equipment, floor/deck, walls, access route, pathways and clearances</v>
      </c>
      <c r="K745">
        <f>B10_Assessment!E74</f>
        <v>0</v>
      </c>
      <c r="L745" t="str">
        <f>B10_Assessment!F74</f>
        <v>Paul</v>
      </c>
      <c r="M745">
        <f>B10_Assessment!G74</f>
        <v>0</v>
      </c>
      <c r="N745" t="str">
        <f>B10_Assessment!H74</f>
        <v>B10-R1/B10-R3</v>
      </c>
      <c r="O745" t="str">
        <f>B10_Assessment!I74</f>
        <v>Closed</v>
      </c>
      <c r="P745">
        <f>B10_Assessment!J74</f>
        <v>0</v>
      </c>
      <c r="Q745" t="str">
        <f t="shared" si="11"/>
        <v>10|67</v>
      </c>
    </row>
    <row r="746" spans="1:17" ht="6.45" customHeight="1">
      <c r="A746" t="s">
        <v>697</v>
      </c>
      <c r="B746">
        <v>68</v>
      </c>
      <c r="C746" t="s">
        <v>31</v>
      </c>
      <c r="D746">
        <v>75</v>
      </c>
      <c r="E746" t="s">
        <v>1052</v>
      </c>
      <c r="F746" t="s">
        <v>5324</v>
      </c>
      <c r="G746" t="str">
        <f>B10_Assessment!A75</f>
        <v>B10-P002</v>
      </c>
      <c r="H746" t="str">
        <f>B10_Assessment!B75</f>
        <v>200A</v>
      </c>
      <c r="I746" t="str">
        <f>B10_Assessment!C75</f>
        <v>Hazardous Materials</v>
      </c>
      <c r="J746" t="str">
        <f>B10_Assessment!D75</f>
        <v>Attic abatement-related materials, flooring/penetrations, ceiling/deck and disturbance areas</v>
      </c>
      <c r="K746">
        <f>B10_Assessment!E75</f>
        <v>0</v>
      </c>
      <c r="L746" t="str">
        <f>B10_Assessment!F75</f>
        <v>Paul</v>
      </c>
      <c r="M746">
        <f>B10_Assessment!G75</f>
        <v>0</v>
      </c>
      <c r="N746" t="str">
        <f>B10_Assessment!H75</f>
        <v>B10-R2</v>
      </c>
      <c r="O746" t="str">
        <f>B10_Assessment!I75</f>
        <v>Closed</v>
      </c>
      <c r="P746">
        <f>B10_Assessment!J75</f>
        <v>0</v>
      </c>
      <c r="Q746" t="str">
        <f t="shared" si="11"/>
        <v>10|68</v>
      </c>
    </row>
    <row r="747" spans="1:17" ht="6.45" customHeight="1">
      <c r="A747" t="s">
        <v>697</v>
      </c>
      <c r="B747">
        <v>69</v>
      </c>
      <c r="C747" t="s">
        <v>31</v>
      </c>
      <c r="D747">
        <v>76</v>
      </c>
      <c r="E747" t="s">
        <v>1052</v>
      </c>
      <c r="F747" t="s">
        <v>5324</v>
      </c>
      <c r="G747" t="str">
        <f>B10_Assessment!A76</f>
        <v>B10-P003</v>
      </c>
      <c r="H747" t="str">
        <f>B10_Assessment!B76</f>
        <v>B24</v>
      </c>
      <c r="I747" t="str">
        <f>B10_Assessment!C76</f>
        <v>Electrical</v>
      </c>
      <c r="J747" t="str">
        <f>B10_Assessment!D76</f>
        <v>Existing normal electrical room panels, B10-MDP/B10-L10-E, feeder route and working clearances</v>
      </c>
      <c r="K747">
        <f>B10_Assessment!E76</f>
        <v>0</v>
      </c>
      <c r="L747" t="str">
        <f>B10_Assessment!F76</f>
        <v>Paul</v>
      </c>
      <c r="M747">
        <f>B10_Assessment!G76</f>
        <v>0</v>
      </c>
      <c r="N747" t="str">
        <f>B10_Assessment!H76</f>
        <v>B10-R5</v>
      </c>
      <c r="O747" t="str">
        <f>B10_Assessment!I76</f>
        <v>Closed</v>
      </c>
      <c r="P747">
        <f>B10_Assessment!J76</f>
        <v>0</v>
      </c>
      <c r="Q747" t="str">
        <f t="shared" si="11"/>
        <v>10|69</v>
      </c>
    </row>
    <row r="748" spans="1:17" ht="6.45" customHeight="1">
      <c r="A748" t="s">
        <v>697</v>
      </c>
      <c r="B748">
        <v>70</v>
      </c>
      <c r="C748" t="s">
        <v>31</v>
      </c>
      <c r="D748">
        <v>77</v>
      </c>
      <c r="E748" t="s">
        <v>1052</v>
      </c>
      <c r="F748" t="s">
        <v>5324</v>
      </c>
      <c r="G748" t="str">
        <f>B10_Assessment!A77</f>
        <v>B10-P004</v>
      </c>
      <c r="H748" t="str">
        <f>B10_Assessment!B77</f>
        <v>B25</v>
      </c>
      <c r="I748" t="str">
        <f>B10_Assessment!C77</f>
        <v>Electrical</v>
      </c>
      <c r="J748" t="str">
        <f>B10_Assessment!D77</f>
        <v>Existing emergency electrical room, ATS-B10-LSD/emergency distribution and access constraints</v>
      </c>
      <c r="K748">
        <f>B10_Assessment!E77</f>
        <v>0</v>
      </c>
      <c r="L748" t="str">
        <f>B10_Assessment!F77</f>
        <v>Paul</v>
      </c>
      <c r="M748">
        <f>B10_Assessment!G77</f>
        <v>0</v>
      </c>
      <c r="N748" t="str">
        <f>B10_Assessment!H77</f>
        <v>B10-R5</v>
      </c>
      <c r="O748" t="str">
        <f>B10_Assessment!I77</f>
        <v>Closed</v>
      </c>
      <c r="P748">
        <f>B10_Assessment!J77</f>
        <v>0</v>
      </c>
      <c r="Q748" t="str">
        <f t="shared" si="11"/>
        <v>10|70</v>
      </c>
    </row>
    <row r="749" spans="1:17" ht="6.45" customHeight="1">
      <c r="A749" t="s">
        <v>697</v>
      </c>
      <c r="B749">
        <v>71</v>
      </c>
      <c r="C749" t="s">
        <v>31</v>
      </c>
      <c r="D749">
        <v>78</v>
      </c>
      <c r="E749" t="s">
        <v>1052</v>
      </c>
      <c r="F749" t="s">
        <v>5324</v>
      </c>
      <c r="G749" t="str">
        <f>B10_Assessment!A78</f>
        <v>B10-P005</v>
      </c>
      <c r="H749" t="str">
        <f>B10_Assessment!B78</f>
        <v>200A</v>
      </c>
      <c r="I749" t="str">
        <f>B10_Assessment!C78</f>
        <v>Firestop</v>
      </c>
      <c r="J749" t="str">
        <f>B10_Assessment!D78</f>
        <v>All attic wall/floor/sleeve/tray penetrations before and after firestop</v>
      </c>
      <c r="K749">
        <f>B10_Assessment!E78</f>
        <v>0</v>
      </c>
      <c r="L749" t="str">
        <f>B10_Assessment!F78</f>
        <v>Paul</v>
      </c>
      <c r="M749">
        <f>B10_Assessment!G78</f>
        <v>0</v>
      </c>
      <c r="N749" t="str">
        <f>B10_Assessment!H78</f>
        <v>B10-R6</v>
      </c>
      <c r="O749" t="str">
        <f>B10_Assessment!I78</f>
        <v>Closed</v>
      </c>
      <c r="P749">
        <f>B10_Assessment!J78</f>
        <v>0</v>
      </c>
      <c r="Q749" t="str">
        <f t="shared" si="11"/>
        <v>10|71</v>
      </c>
    </row>
    <row r="750" spans="1:17" ht="6.45" customHeight="1">
      <c r="A750" t="s">
        <v>697</v>
      </c>
      <c r="B750">
        <v>72</v>
      </c>
      <c r="C750" t="s">
        <v>31</v>
      </c>
      <c r="D750">
        <v>79</v>
      </c>
      <c r="E750" t="s">
        <v>1052</v>
      </c>
      <c r="F750" t="s">
        <v>5324</v>
      </c>
      <c r="G750" t="str">
        <f>B10_Assessment!A79</f>
        <v>B10-P006</v>
      </c>
      <c r="H750" t="str">
        <f>B10_Assessment!B79</f>
        <v>200A</v>
      </c>
      <c r="I750" t="str">
        <f>B10_Assessment!C79</f>
        <v>HVAC</v>
      </c>
      <c r="J750" t="str">
        <f>B10_Assessment!D79</f>
        <v>IU-1-01/CU-1-01, condensate, thermostat, BACnet adapter, disconnects, high-temp alarm and power source</v>
      </c>
      <c r="K750">
        <f>B10_Assessment!E79</f>
        <v>0</v>
      </c>
      <c r="L750" t="str">
        <f>B10_Assessment!F79</f>
        <v>Paul</v>
      </c>
      <c r="M750">
        <f>B10_Assessment!G79</f>
        <v>0</v>
      </c>
      <c r="N750" t="str">
        <f>B10_Assessment!H79</f>
        <v>B10-R4</v>
      </c>
      <c r="O750" t="str">
        <f>B10_Assessment!I79</f>
        <v>Closed</v>
      </c>
      <c r="P750">
        <f>B10_Assessment!J79</f>
        <v>0</v>
      </c>
      <c r="Q750" t="str">
        <f t="shared" si="11"/>
        <v>10|72</v>
      </c>
    </row>
    <row r="751" spans="1:17" ht="6.45" customHeight="1">
      <c r="A751" t="s">
        <v>697</v>
      </c>
      <c r="B751">
        <v>73</v>
      </c>
      <c r="C751" t="s">
        <v>31</v>
      </c>
      <c r="D751">
        <v>80</v>
      </c>
      <c r="E751" t="s">
        <v>1052</v>
      </c>
      <c r="F751" t="s">
        <v>5324</v>
      </c>
      <c r="G751" t="str">
        <f>B10_Assessment!A80</f>
        <v>B10-P007</v>
      </c>
      <c r="H751" t="str">
        <f>B10_Assessment!B80</f>
        <v>200A</v>
      </c>
      <c r="I751" t="str">
        <f>B10_Assessment!C80</f>
        <v>Telecom</v>
      </c>
      <c r="J751" t="str">
        <f>B10_Assessment!D80</f>
        <v>Racks, UPS/PDU, fiber, Cat6A, patch panels, LIU, bonding, labels and test records</v>
      </c>
      <c r="K751">
        <f>B10_Assessment!E80</f>
        <v>0</v>
      </c>
      <c r="L751" t="str">
        <f>B10_Assessment!F80</f>
        <v>Paul</v>
      </c>
      <c r="M751">
        <f>B10_Assessment!G80</f>
        <v>0</v>
      </c>
      <c r="N751" t="str">
        <f>B10_Assessment!H80</f>
        <v>B10-R7</v>
      </c>
      <c r="O751" t="str">
        <f>B10_Assessment!I80</f>
        <v>Closed</v>
      </c>
      <c r="P751">
        <f>B10_Assessment!J80</f>
        <v>0</v>
      </c>
      <c r="Q751" t="str">
        <f t="shared" si="11"/>
        <v>10|73</v>
      </c>
    </row>
    <row r="752" spans="1:17" ht="6.45" customHeight="1">
      <c r="A752" t="s">
        <v>697</v>
      </c>
      <c r="B752">
        <v>74</v>
      </c>
      <c r="C752" t="s">
        <v>31</v>
      </c>
      <c r="D752">
        <v>81</v>
      </c>
      <c r="E752" t="s">
        <v>1052</v>
      </c>
      <c r="F752" t="s">
        <v>5324</v>
      </c>
      <c r="G752" t="str">
        <f>B10_Assessment!A81</f>
        <v>B10-P008</v>
      </c>
      <c r="H752" t="str">
        <f>B10_Assessment!B81</f>
        <v>200A</v>
      </c>
      <c r="I752" t="str">
        <f>B10_Assessment!C81</f>
        <v>Security</v>
      </c>
      <c r="J752" t="str">
        <f>B10_Assessment!D81</f>
        <v>Card reader, electric strike, door position, CCTV/PACS, motion sensor and VMS/PACS integration</v>
      </c>
      <c r="K752">
        <f>B10_Assessment!E81</f>
        <v>0</v>
      </c>
      <c r="L752" t="str">
        <f>B10_Assessment!F81</f>
        <v>Paul</v>
      </c>
      <c r="M752">
        <f>B10_Assessment!G81</f>
        <v>0</v>
      </c>
      <c r="N752" t="str">
        <f>B10_Assessment!H81</f>
        <v>B10-R8</v>
      </c>
      <c r="O752" t="str">
        <f>B10_Assessment!I81</f>
        <v>Closed</v>
      </c>
      <c r="P752">
        <f>B10_Assessment!J81</f>
        <v>0</v>
      </c>
      <c r="Q752" t="str">
        <f t="shared" si="11"/>
        <v>10|74</v>
      </c>
    </row>
    <row r="753" spans="1:17" ht="6.45" customHeight="1">
      <c r="A753" t="s">
        <v>697</v>
      </c>
      <c r="B753">
        <v>75</v>
      </c>
      <c r="C753" t="s">
        <v>31</v>
      </c>
      <c r="D753">
        <v>82</v>
      </c>
      <c r="E753" t="s">
        <v>1052</v>
      </c>
      <c r="F753" t="s">
        <v>5325</v>
      </c>
      <c r="G753">
        <f>B10_Assessment!A82</f>
        <v>0</v>
      </c>
      <c r="H753">
        <f>B10_Assessment!B82</f>
        <v>0</v>
      </c>
      <c r="I753">
        <f>B10_Assessment!C82</f>
        <v>0</v>
      </c>
      <c r="J753">
        <f>B10_Assessment!D82</f>
        <v>0</v>
      </c>
      <c r="K753">
        <f>B10_Assessment!E82</f>
        <v>0</v>
      </c>
      <c r="L753">
        <f>B10_Assessment!F82</f>
        <v>0</v>
      </c>
      <c r="M753">
        <f>B10_Assessment!G82</f>
        <v>0</v>
      </c>
      <c r="N753">
        <f>B10_Assessment!H82</f>
        <v>0</v>
      </c>
      <c r="O753">
        <f>B10_Assessment!I82</f>
        <v>0</v>
      </c>
      <c r="P753">
        <f>B10_Assessment!J82</f>
        <v>0</v>
      </c>
      <c r="Q753" t="str">
        <f t="shared" si="11"/>
        <v>10|75</v>
      </c>
    </row>
    <row r="754" spans="1:17" ht="6.45" customHeight="1">
      <c r="A754" t="s">
        <v>2096</v>
      </c>
      <c r="B754">
        <v>1</v>
      </c>
      <c r="C754" t="s">
        <v>33</v>
      </c>
      <c r="D754">
        <v>8</v>
      </c>
      <c r="E754" t="s">
        <v>918</v>
      </c>
      <c r="F754" t="s">
        <v>5322</v>
      </c>
      <c r="G754" t="str">
        <f>B12_Assessment!A8</f>
        <v>1. ROOM INVENTORY</v>
      </c>
      <c r="H754">
        <f>B12_Assessment!B8</f>
        <v>0</v>
      </c>
      <c r="I754">
        <f>B12_Assessment!C8</f>
        <v>0</v>
      </c>
      <c r="J754">
        <f>B12_Assessment!D8</f>
        <v>0</v>
      </c>
      <c r="K754">
        <f>B12_Assessment!E8</f>
        <v>0</v>
      </c>
      <c r="L754">
        <f>B12_Assessment!F8</f>
        <v>0</v>
      </c>
      <c r="M754">
        <f>B12_Assessment!G8</f>
        <v>0</v>
      </c>
      <c r="N754">
        <f>B12_Assessment!H8</f>
        <v>0</v>
      </c>
      <c r="O754">
        <f>B12_Assessment!I8</f>
        <v>0</v>
      </c>
      <c r="P754">
        <f>B12_Assessment!J8</f>
        <v>0</v>
      </c>
      <c r="Q754" t="str">
        <f t="shared" si="11"/>
        <v>12|1</v>
      </c>
    </row>
    <row r="755" spans="1:17" ht="6.45" customHeight="1">
      <c r="A755" t="s">
        <v>2096</v>
      </c>
      <c r="B755">
        <v>2</v>
      </c>
      <c r="C755" t="s">
        <v>33</v>
      </c>
      <c r="D755">
        <v>9</v>
      </c>
      <c r="E755" t="s">
        <v>918</v>
      </c>
      <c r="F755" t="s">
        <v>5323</v>
      </c>
      <c r="G755" t="str">
        <f>B12_Assessment!A9</f>
        <v>Building</v>
      </c>
      <c r="H755" t="str">
        <f>B12_Assessment!B9</f>
        <v>Room</v>
      </c>
      <c r="I755" t="str">
        <f>B12_Assessment!C9</f>
        <v>Floor</v>
      </c>
      <c r="J755" t="str">
        <f>B12_Assessment!D9</f>
        <v>Existing Use</v>
      </c>
      <c r="K755" t="str">
        <f>B12_Assessment!E9</f>
        <v>New Use</v>
      </c>
      <c r="L755" t="str">
        <f>B12_Assessment!F9</f>
        <v>Rack Count</v>
      </c>
      <c r="M755" t="str">
        <f>B12_Assessment!G9</f>
        <v>Future Rack</v>
      </c>
      <c r="N755" t="str">
        <f>B12_Assessment!H9</f>
        <v>Status</v>
      </c>
      <c r="O755" t="str">
        <f>B12_Assessment!I9</f>
        <v>Drawing Ref</v>
      </c>
      <c r="P755" t="str">
        <f>B12_Assessment!J9</f>
        <v>Notes</v>
      </c>
      <c r="Q755" t="str">
        <f t="shared" si="11"/>
        <v>12|2</v>
      </c>
    </row>
    <row r="756" spans="1:17" ht="6.45" customHeight="1">
      <c r="A756" t="s">
        <v>2096</v>
      </c>
      <c r="B756">
        <v>3</v>
      </c>
      <c r="C756" t="s">
        <v>33</v>
      </c>
      <c r="D756">
        <v>10</v>
      </c>
      <c r="E756" t="s">
        <v>918</v>
      </c>
      <c r="F756" t="s">
        <v>5324</v>
      </c>
      <c r="G756" t="str">
        <f>B12_Assessment!A10</f>
        <v>12</v>
      </c>
      <c r="H756" t="str">
        <f>B12_Assessment!B10</f>
        <v>00 / existing fiber path</v>
      </c>
      <c r="I756" t="str">
        <f>B12_Assessment!C10</f>
        <v>B/1/2</v>
      </c>
      <c r="J756" t="str">
        <f>B12_Assessment!D10</f>
        <v>Existing building fiber pathway / pull-through route</v>
      </c>
      <c r="K756" t="str">
        <f>B12_Assessment!E10</f>
        <v>Fiber-only pull-through scope</v>
      </c>
      <c r="L756">
        <f>B12_Assessment!F10</f>
        <v>0</v>
      </c>
      <c r="M756">
        <f>B12_Assessment!G10</f>
        <v>0</v>
      </c>
      <c r="N756" t="str">
        <f>B12_Assessment!H10</f>
        <v>Verify</v>
      </c>
      <c r="O756" t="str">
        <f>B12_Assessment!I10</f>
        <v>12G-000 / 12T-100 / 12T-101 / 12T-604</v>
      </c>
      <c r="P756" t="str">
        <f>B12_Assessment!J10</f>
        <v>Cover sheet states Building 12 receives fiber only. Rack elevation sheet identifies Building 12 as existing rack elevation/fiber only with no rack mounting and no new TR buildout.</v>
      </c>
      <c r="Q756" t="str">
        <f t="shared" si="11"/>
        <v>12|3</v>
      </c>
    </row>
    <row r="757" spans="1:17" ht="6.45" customHeight="1">
      <c r="A757" t="s">
        <v>2096</v>
      </c>
      <c r="B757">
        <v>4</v>
      </c>
      <c r="C757" t="s">
        <v>33</v>
      </c>
      <c r="D757">
        <v>11</v>
      </c>
      <c r="E757" t="s">
        <v>918</v>
      </c>
      <c r="F757" t="s">
        <v>5324</v>
      </c>
      <c r="G757" t="str">
        <f>B12_Assessment!A11</f>
        <v>12</v>
      </c>
      <c r="H757" t="str">
        <f>B12_Assessment!B11</f>
        <v>Existing rack/demarc - field verify</v>
      </c>
      <c r="I757" t="str">
        <f>B12_Assessment!C11</f>
        <v>Field verify</v>
      </c>
      <c r="J757" t="str">
        <f>B12_Assessment!D11</f>
        <v>Existing service point / serving closet</v>
      </c>
      <c r="K757" t="str">
        <f>B12_Assessment!E11</f>
        <v>Protect-in-place / fiber transition point</v>
      </c>
      <c r="L757">
        <f>B12_Assessment!F11</f>
        <v>0</v>
      </c>
      <c r="M757">
        <f>B12_Assessment!G11</f>
        <v>0</v>
      </c>
      <c r="N757" t="str">
        <f>B12_Assessment!H11</f>
        <v>Verify</v>
      </c>
      <c r="O757" t="str">
        <f>B12_Assessment!I11</f>
        <v>12T-604 / 12T-601 / 12T-602 / 12T-603A/B</v>
      </c>
      <c r="P757" t="str">
        <f>B12_Assessment!J11</f>
        <v>12T-604 identifies building level B/1/2 and mounting type NONE/FIBER ONLY. Field verification required to document where fiber enters, passes through, and terminates.</v>
      </c>
      <c r="Q757" t="str">
        <f t="shared" si="11"/>
        <v>12|4</v>
      </c>
    </row>
    <row r="758" spans="1:17" ht="6.45" customHeight="1">
      <c r="A758" t="s">
        <v>2096</v>
      </c>
      <c r="B758">
        <v>5</v>
      </c>
      <c r="C758" t="s">
        <v>33</v>
      </c>
      <c r="D758">
        <v>12</v>
      </c>
      <c r="E758" t="s">
        <v>918</v>
      </c>
      <c r="F758" t="s">
        <v>5325</v>
      </c>
      <c r="G758">
        <f>B12_Assessment!A12</f>
        <v>0</v>
      </c>
      <c r="H758">
        <f>B12_Assessment!B12</f>
        <v>0</v>
      </c>
      <c r="I758">
        <f>B12_Assessment!C12</f>
        <v>0</v>
      </c>
      <c r="J758">
        <f>B12_Assessment!D12</f>
        <v>0</v>
      </c>
      <c r="K758">
        <f>B12_Assessment!E12</f>
        <v>0</v>
      </c>
      <c r="L758">
        <f>B12_Assessment!F12</f>
        <v>0</v>
      </c>
      <c r="M758">
        <f>B12_Assessment!G12</f>
        <v>0</v>
      </c>
      <c r="N758">
        <f>B12_Assessment!H12</f>
        <v>0</v>
      </c>
      <c r="O758">
        <f>B12_Assessment!I12</f>
        <v>0</v>
      </c>
      <c r="P758">
        <f>B12_Assessment!J12</f>
        <v>0</v>
      </c>
      <c r="Q758" t="str">
        <f t="shared" si="11"/>
        <v>12|5</v>
      </c>
    </row>
    <row r="759" spans="1:17" ht="6.45" customHeight="1">
      <c r="A759" t="s">
        <v>2096</v>
      </c>
      <c r="B759">
        <v>6</v>
      </c>
      <c r="C759" t="s">
        <v>33</v>
      </c>
      <c r="D759">
        <v>13</v>
      </c>
      <c r="E759" t="s">
        <v>936</v>
      </c>
      <c r="F759" t="s">
        <v>5322</v>
      </c>
      <c r="G759" t="str">
        <f>B12_Assessment!A13</f>
        <v>2. ROOM READINESS</v>
      </c>
      <c r="H759">
        <f>B12_Assessment!B13</f>
        <v>0</v>
      </c>
      <c r="I759">
        <f>B12_Assessment!C13</f>
        <v>0</v>
      </c>
      <c r="J759">
        <f>B12_Assessment!D13</f>
        <v>0</v>
      </c>
      <c r="K759">
        <f>B12_Assessment!E13</f>
        <v>0</v>
      </c>
      <c r="L759">
        <f>B12_Assessment!F13</f>
        <v>0</v>
      </c>
      <c r="M759">
        <f>B12_Assessment!G13</f>
        <v>0</v>
      </c>
      <c r="N759">
        <f>B12_Assessment!H13</f>
        <v>0</v>
      </c>
      <c r="O759">
        <f>B12_Assessment!I13</f>
        <v>0</v>
      </c>
      <c r="P759">
        <f>B12_Assessment!J13</f>
        <v>0</v>
      </c>
      <c r="Q759" t="str">
        <f t="shared" si="11"/>
        <v>12|6</v>
      </c>
    </row>
    <row r="760" spans="1:17" ht="6.45" customHeight="1">
      <c r="A760" t="s">
        <v>2096</v>
      </c>
      <c r="B760">
        <v>7</v>
      </c>
      <c r="C760" t="s">
        <v>33</v>
      </c>
      <c r="D760">
        <v>14</v>
      </c>
      <c r="E760" t="s">
        <v>936</v>
      </c>
      <c r="F760" t="s">
        <v>5323</v>
      </c>
      <c r="G760" t="str">
        <f>B12_Assessment!A14</f>
        <v>Room</v>
      </c>
      <c r="H760" t="str">
        <f>B12_Assessment!B14</f>
        <v>Walls / 1-hr Rating</v>
      </c>
      <c r="I760" t="str">
        <f>B12_Assessment!C14</f>
        <v>Ceiling</v>
      </c>
      <c r="J760" t="str">
        <f>B12_Assessment!D14</f>
        <v>Floor / SDC</v>
      </c>
      <c r="K760" t="str">
        <f>B12_Assessment!E14</f>
        <v>Penetrations</v>
      </c>
      <c r="L760" t="str">
        <f>B12_Assessment!F14</f>
        <v>Access Control</v>
      </c>
      <c r="M760" t="str">
        <f>B12_Assessment!G14</f>
        <v>Clearances</v>
      </c>
      <c r="N760" t="str">
        <f>B12_Assessment!H14</f>
        <v>Housekeeping</v>
      </c>
      <c r="O760" t="str">
        <f>B12_Assessment!I14</f>
        <v>Overall</v>
      </c>
      <c r="P760" t="str">
        <f>B12_Assessment!J14</f>
        <v>Comments</v>
      </c>
      <c r="Q760" t="str">
        <f t="shared" si="11"/>
        <v>12|7</v>
      </c>
    </row>
    <row r="761" spans="1:17" ht="6.45" customHeight="1">
      <c r="A761" t="s">
        <v>2096</v>
      </c>
      <c r="B761">
        <v>8</v>
      </c>
      <c r="C761" t="s">
        <v>33</v>
      </c>
      <c r="D761">
        <v>15</v>
      </c>
      <c r="E761" t="s">
        <v>936</v>
      </c>
      <c r="F761" t="s">
        <v>5324</v>
      </c>
      <c r="G761" t="str">
        <f>B12_Assessment!A15</f>
        <v>Fiber path B/1/2</v>
      </c>
      <c r="H761" t="str">
        <f>B12_Assessment!B15</f>
        <v>N/A / Verify</v>
      </c>
      <c r="I761" t="str">
        <f>B12_Assessment!C15</f>
        <v>N/A / Verify</v>
      </c>
      <c r="J761" t="str">
        <f>B12_Assessment!D15</f>
        <v>N/A</v>
      </c>
      <c r="K761" t="str">
        <f>B12_Assessment!E15</f>
        <v>Verify</v>
      </c>
      <c r="L761" t="str">
        <f>B12_Assessment!F15</f>
        <v>N/A</v>
      </c>
      <c r="M761" t="str">
        <f>B12_Assessment!G15</f>
        <v>Verify</v>
      </c>
      <c r="N761" t="str">
        <f>B12_Assessment!H15</f>
        <v>Verify</v>
      </c>
      <c r="O761" t="str">
        <f>B12_Assessment!I15</f>
        <v>Verify</v>
      </c>
      <c r="P761" t="str">
        <f>B12_Assessment!J15</f>
        <v>No new TR room indicated; focus is route readiness, penetrations, cable tray/conduit capacity, and access to existing pathway.</v>
      </c>
      <c r="Q761" t="str">
        <f t="shared" si="11"/>
        <v>12|8</v>
      </c>
    </row>
    <row r="762" spans="1:17" ht="6.45" customHeight="1">
      <c r="A762" t="s">
        <v>2096</v>
      </c>
      <c r="B762">
        <v>9</v>
      </c>
      <c r="C762" t="s">
        <v>33</v>
      </c>
      <c r="D762">
        <v>16</v>
      </c>
      <c r="E762" t="s">
        <v>936</v>
      </c>
      <c r="F762" t="s">
        <v>5324</v>
      </c>
      <c r="G762" t="str">
        <f>B12_Assessment!A16</f>
        <v>Existing rack/demarc - field verify</v>
      </c>
      <c r="H762" t="str">
        <f>B12_Assessment!B16</f>
        <v>N/A / Verify</v>
      </c>
      <c r="I762" t="str">
        <f>B12_Assessment!C16</f>
        <v>N/A / Verify</v>
      </c>
      <c r="J762" t="str">
        <f>B12_Assessment!D16</f>
        <v>N/A</v>
      </c>
      <c r="K762" t="str">
        <f>B12_Assessment!E16</f>
        <v>Verify</v>
      </c>
      <c r="L762" t="str">
        <f>B12_Assessment!F16</f>
        <v>N/A / Verify</v>
      </c>
      <c r="M762" t="str">
        <f>B12_Assessment!G16</f>
        <v>Verify</v>
      </c>
      <c r="N762" t="str">
        <f>B12_Assessment!H16</f>
        <v>Verify</v>
      </c>
      <c r="O762" t="str">
        <f>B12_Assessment!I16</f>
        <v>Verify</v>
      </c>
      <c r="P762" t="str">
        <f>B12_Assessment!J16</f>
        <v>Confirm existing equipment, demarc, or closet location; protect active services and confirm no new rack required.</v>
      </c>
      <c r="Q762" t="str">
        <f t="shared" si="11"/>
        <v>12|9</v>
      </c>
    </row>
    <row r="763" spans="1:17" ht="6.45" customHeight="1">
      <c r="A763" t="s">
        <v>2096</v>
      </c>
      <c r="B763">
        <v>10</v>
      </c>
      <c r="C763" t="s">
        <v>33</v>
      </c>
      <c r="D763">
        <v>17</v>
      </c>
      <c r="E763" t="s">
        <v>936</v>
      </c>
      <c r="F763" t="s">
        <v>5325</v>
      </c>
      <c r="G763">
        <f>B12_Assessment!A17</f>
        <v>0</v>
      </c>
      <c r="H763">
        <f>B12_Assessment!B17</f>
        <v>0</v>
      </c>
      <c r="I763">
        <f>B12_Assessment!C17</f>
        <v>0</v>
      </c>
      <c r="J763">
        <f>B12_Assessment!D17</f>
        <v>0</v>
      </c>
      <c r="K763">
        <f>B12_Assessment!E17</f>
        <v>0</v>
      </c>
      <c r="L763">
        <f>B12_Assessment!F17</f>
        <v>0</v>
      </c>
      <c r="M763">
        <f>B12_Assessment!G17</f>
        <v>0</v>
      </c>
      <c r="N763">
        <f>B12_Assessment!H17</f>
        <v>0</v>
      </c>
      <c r="O763">
        <f>B12_Assessment!I17</f>
        <v>0</v>
      </c>
      <c r="P763">
        <f>B12_Assessment!J17</f>
        <v>0</v>
      </c>
      <c r="Q763" t="str">
        <f t="shared" si="11"/>
        <v>12|10</v>
      </c>
    </row>
    <row r="764" spans="1:17" ht="6.45" customHeight="1">
      <c r="A764" t="s">
        <v>2096</v>
      </c>
      <c r="B764">
        <v>11</v>
      </c>
      <c r="C764" t="s">
        <v>33</v>
      </c>
      <c r="D764">
        <v>18</v>
      </c>
      <c r="E764" t="s">
        <v>951</v>
      </c>
      <c r="F764" t="s">
        <v>5322</v>
      </c>
      <c r="G764" t="str">
        <f>B12_Assessment!A18</f>
        <v>3. FIRE PROTECTION</v>
      </c>
      <c r="H764">
        <f>B12_Assessment!B18</f>
        <v>0</v>
      </c>
      <c r="I764">
        <f>B12_Assessment!C18</f>
        <v>0</v>
      </c>
      <c r="J764">
        <f>B12_Assessment!D18</f>
        <v>0</v>
      </c>
      <c r="K764">
        <f>B12_Assessment!E18</f>
        <v>0</v>
      </c>
      <c r="L764">
        <f>B12_Assessment!F18</f>
        <v>0</v>
      </c>
      <c r="M764">
        <f>B12_Assessment!G18</f>
        <v>0</v>
      </c>
      <c r="N764">
        <f>B12_Assessment!H18</f>
        <v>0</v>
      </c>
      <c r="O764">
        <f>B12_Assessment!I18</f>
        <v>0</v>
      </c>
      <c r="P764">
        <f>B12_Assessment!J18</f>
        <v>0</v>
      </c>
      <c r="Q764" t="str">
        <f t="shared" si="11"/>
        <v>12|11</v>
      </c>
    </row>
    <row r="765" spans="1:17" ht="6.45" customHeight="1">
      <c r="A765" t="s">
        <v>2096</v>
      </c>
      <c r="B765">
        <v>12</v>
      </c>
      <c r="C765" t="s">
        <v>33</v>
      </c>
      <c r="D765">
        <v>19</v>
      </c>
      <c r="E765" t="s">
        <v>951</v>
      </c>
      <c r="F765" t="s">
        <v>5323</v>
      </c>
      <c r="G765" t="str">
        <f>B12_Assessment!A19</f>
        <v>Room</v>
      </c>
      <c r="H765" t="str">
        <f>B12_Assessment!B19</f>
        <v>Sprinkler</v>
      </c>
      <c r="I765" t="str">
        <f>B12_Assessment!C19</f>
        <v>Cage</v>
      </c>
      <c r="J765" t="str">
        <f>B12_Assessment!D19</f>
        <v>Detector</v>
      </c>
      <c r="K765" t="str">
        <f>B12_Assessment!E19</f>
        <v>Horn/Strobe</v>
      </c>
      <c r="L765" t="str">
        <f>B12_Assessment!F19</f>
        <v>Extinguisher &lt;75 ft</v>
      </c>
      <c r="M765" t="str">
        <f>B12_Assessment!G19</f>
        <v>Firestop</v>
      </c>
      <c r="N765" t="str">
        <f>B12_Assessment!H19</f>
        <v>Temp Firestop</v>
      </c>
      <c r="O765" t="str">
        <f>B12_Assessment!I19</f>
        <v>Overall</v>
      </c>
      <c r="P765" t="str">
        <f>B12_Assessment!J19</f>
        <v>Risk / Notes</v>
      </c>
      <c r="Q765" t="str">
        <f t="shared" si="11"/>
        <v>12|12</v>
      </c>
    </row>
    <row r="766" spans="1:17" ht="6.45" customHeight="1">
      <c r="A766" t="s">
        <v>2096</v>
      </c>
      <c r="B766">
        <v>13</v>
      </c>
      <c r="C766" t="s">
        <v>33</v>
      </c>
      <c r="D766">
        <v>20</v>
      </c>
      <c r="E766" t="s">
        <v>951</v>
      </c>
      <c r="F766" t="s">
        <v>5324</v>
      </c>
      <c r="G766" t="str">
        <f>B12_Assessment!A20</f>
        <v>Fiber path B/1/2</v>
      </c>
      <c r="H766" t="str">
        <f>B12_Assessment!B20</f>
        <v>N/A</v>
      </c>
      <c r="I766" t="str">
        <f>B12_Assessment!C20</f>
        <v>N/A</v>
      </c>
      <c r="J766" t="str">
        <f>B12_Assessment!D20</f>
        <v>N/A / Verify</v>
      </c>
      <c r="K766" t="str">
        <f>B12_Assessment!E20</f>
        <v>N/A / Verify</v>
      </c>
      <c r="L766" t="str">
        <f>B12_Assessment!F20</f>
        <v>N/A</v>
      </c>
      <c r="M766" t="str">
        <f>B12_Assessment!G20</f>
        <v>Verify</v>
      </c>
      <c r="N766" t="str">
        <f>B12_Assessment!H20</f>
        <v>Verify</v>
      </c>
      <c r="O766" t="str">
        <f>B12_Assessment!I20</f>
        <v>Verify</v>
      </c>
      <c r="P766" t="str">
        <f>B12_Assessment!J20</f>
        <v>No fire protection drawing package beyond general notes; verify penetrations/firestopping for fiber pull-through route.</v>
      </c>
      <c r="Q766" t="str">
        <f t="shared" si="11"/>
        <v>12|13</v>
      </c>
    </row>
    <row r="767" spans="1:17" ht="6.45" customHeight="1">
      <c r="A767" t="s">
        <v>2096</v>
      </c>
      <c r="B767">
        <v>14</v>
      </c>
      <c r="C767" t="s">
        <v>33</v>
      </c>
      <c r="D767">
        <v>21</v>
      </c>
      <c r="E767" t="s">
        <v>951</v>
      </c>
      <c r="F767" t="s">
        <v>5324</v>
      </c>
      <c r="G767" t="str">
        <f>B12_Assessment!A21</f>
        <v>Existing rack/demarc - field verify</v>
      </c>
      <c r="H767" t="str">
        <f>B12_Assessment!B21</f>
        <v>N/A</v>
      </c>
      <c r="I767" t="str">
        <f>B12_Assessment!C21</f>
        <v>N/A</v>
      </c>
      <c r="J767" t="str">
        <f>B12_Assessment!D21</f>
        <v>N/A / Verify</v>
      </c>
      <c r="K767" t="str">
        <f>B12_Assessment!E21</f>
        <v>N/A / Verify</v>
      </c>
      <c r="L767" t="str">
        <f>B12_Assessment!F21</f>
        <v>N/A</v>
      </c>
      <c r="M767" t="str">
        <f>B12_Assessment!G21</f>
        <v>Verify</v>
      </c>
      <c r="N767" t="str">
        <f>B12_Assessment!H21</f>
        <v>Verify</v>
      </c>
      <c r="O767" t="str">
        <f>B12_Assessment!I21</f>
        <v>Verify</v>
      </c>
      <c r="P767" t="str">
        <f>B12_Assessment!J21</f>
        <v>No new TR/FEC shown; verify no rated assemblies are compromised by fiber pathway work.</v>
      </c>
      <c r="Q767" t="str">
        <f t="shared" si="11"/>
        <v>12|14</v>
      </c>
    </row>
    <row r="768" spans="1:17" ht="6.45" customHeight="1">
      <c r="A768" t="s">
        <v>2096</v>
      </c>
      <c r="B768">
        <v>15</v>
      </c>
      <c r="C768" t="s">
        <v>33</v>
      </c>
      <c r="D768">
        <v>22</v>
      </c>
      <c r="E768" t="s">
        <v>951</v>
      </c>
      <c r="F768" t="s">
        <v>5325</v>
      </c>
      <c r="G768">
        <f>B12_Assessment!A22</f>
        <v>0</v>
      </c>
      <c r="H768">
        <f>B12_Assessment!B22</f>
        <v>0</v>
      </c>
      <c r="I768">
        <f>B12_Assessment!C22</f>
        <v>0</v>
      </c>
      <c r="J768">
        <f>B12_Assessment!D22</f>
        <v>0</v>
      </c>
      <c r="K768">
        <f>B12_Assessment!E22</f>
        <v>0</v>
      </c>
      <c r="L768">
        <f>B12_Assessment!F22</f>
        <v>0</v>
      </c>
      <c r="M768">
        <f>B12_Assessment!G22</f>
        <v>0</v>
      </c>
      <c r="N768">
        <f>B12_Assessment!H22</f>
        <v>0</v>
      </c>
      <c r="O768">
        <f>B12_Assessment!I22</f>
        <v>0</v>
      </c>
      <c r="P768">
        <f>B12_Assessment!J22</f>
        <v>0</v>
      </c>
      <c r="Q768" t="str">
        <f t="shared" si="11"/>
        <v>12|15</v>
      </c>
    </row>
    <row r="769" spans="1:17" ht="6.45" customHeight="1">
      <c r="A769" t="s">
        <v>2096</v>
      </c>
      <c r="B769">
        <v>16</v>
      </c>
      <c r="C769" t="s">
        <v>33</v>
      </c>
      <c r="D769">
        <v>23</v>
      </c>
      <c r="E769" t="s">
        <v>964</v>
      </c>
      <c r="F769" t="s">
        <v>5322</v>
      </c>
      <c r="G769" t="str">
        <f>B12_Assessment!A23</f>
        <v>4. HVAC / COOLING</v>
      </c>
      <c r="H769">
        <f>B12_Assessment!B23</f>
        <v>0</v>
      </c>
      <c r="I769">
        <f>B12_Assessment!C23</f>
        <v>0</v>
      </c>
      <c r="J769">
        <f>B12_Assessment!D23</f>
        <v>0</v>
      </c>
      <c r="K769">
        <f>B12_Assessment!E23</f>
        <v>0</v>
      </c>
      <c r="L769">
        <f>B12_Assessment!F23</f>
        <v>0</v>
      </c>
      <c r="M769">
        <f>B12_Assessment!G23</f>
        <v>0</v>
      </c>
      <c r="N769">
        <f>B12_Assessment!H23</f>
        <v>0</v>
      </c>
      <c r="O769">
        <f>B12_Assessment!I23</f>
        <v>0</v>
      </c>
      <c r="P769">
        <f>B12_Assessment!J23</f>
        <v>0</v>
      </c>
      <c r="Q769" t="str">
        <f t="shared" si="11"/>
        <v>12|16</v>
      </c>
    </row>
    <row r="770" spans="1:17" ht="6.45" customHeight="1">
      <c r="A770" t="s">
        <v>2096</v>
      </c>
      <c r="B770">
        <v>17</v>
      </c>
      <c r="C770" t="s">
        <v>33</v>
      </c>
      <c r="D770">
        <v>24</v>
      </c>
      <c r="E770" t="s">
        <v>964</v>
      </c>
      <c r="F770" t="s">
        <v>5323</v>
      </c>
      <c r="G770" t="str">
        <f>B12_Assessment!A24</f>
        <v>Room</v>
      </c>
      <c r="H770" t="str">
        <f>B12_Assessment!B24</f>
        <v>Dedicated Unit</v>
      </c>
      <c r="I770" t="str">
        <f>B12_Assessment!C24</f>
        <v>Capacity Verified</v>
      </c>
      <c r="J770" t="str">
        <f>B12_Assessment!D24</f>
        <v>Emergency Power</v>
      </c>
      <c r="K770" t="str">
        <f>B12_Assessment!E24</f>
        <v>Controls / BACnet</v>
      </c>
      <c r="L770" t="str">
        <f>B12_Assessment!F24</f>
        <v>Condensate Routed</v>
      </c>
      <c r="M770" t="str">
        <f>B12_Assessment!G24</f>
        <v>High Temp Alarm</v>
      </c>
      <c r="N770" t="str">
        <f>B12_Assessment!H24</f>
        <v>24/7 Operation</v>
      </c>
      <c r="O770" t="str">
        <f>B12_Assessment!I24</f>
        <v>Overall</v>
      </c>
      <c r="P770" t="str">
        <f>B12_Assessment!J24</f>
        <v>Risk / Notes</v>
      </c>
      <c r="Q770" t="str">
        <f t="shared" ref="Q770:Q833" si="12">A770&amp;"|"&amp;B770</f>
        <v>12|17</v>
      </c>
    </row>
    <row r="771" spans="1:17" ht="6.45" customHeight="1">
      <c r="A771" t="s">
        <v>2096</v>
      </c>
      <c r="B771">
        <v>18</v>
      </c>
      <c r="C771" t="s">
        <v>33</v>
      </c>
      <c r="D771">
        <v>25</v>
      </c>
      <c r="E771" t="s">
        <v>964</v>
      </c>
      <c r="F771" t="s">
        <v>5324</v>
      </c>
      <c r="G771" t="str">
        <f>B12_Assessment!A25</f>
        <v>Fiber path B/1/2</v>
      </c>
      <c r="H771" t="str">
        <f>B12_Assessment!B25</f>
        <v>N/A</v>
      </c>
      <c r="I771" t="str">
        <f>B12_Assessment!C25</f>
        <v>N/A</v>
      </c>
      <c r="J771" t="str">
        <f>B12_Assessment!D25</f>
        <v>N/A</v>
      </c>
      <c r="K771" t="str">
        <f>B12_Assessment!E25</f>
        <v>N/A</v>
      </c>
      <c r="L771" t="str">
        <f>B12_Assessment!F25</f>
        <v>N/A</v>
      </c>
      <c r="M771" t="str">
        <f>B12_Assessment!G25</f>
        <v>N/A</v>
      </c>
      <c r="N771" t="str">
        <f>B12_Assessment!H25</f>
        <v>N/A</v>
      </c>
      <c r="O771" t="str">
        <f>B12_Assessment!I25</f>
        <v>N/A</v>
      </c>
      <c r="P771" t="str">
        <f>B12_Assessment!J25</f>
        <v>No HVAC drawing package for Building 12; fiber-only scope does not indicate new cooling equipment.</v>
      </c>
      <c r="Q771" t="str">
        <f t="shared" si="12"/>
        <v>12|18</v>
      </c>
    </row>
    <row r="772" spans="1:17" ht="6.45" customHeight="1">
      <c r="A772" t="s">
        <v>2096</v>
      </c>
      <c r="B772">
        <v>19</v>
      </c>
      <c r="C772" t="s">
        <v>33</v>
      </c>
      <c r="D772">
        <v>26</v>
      </c>
      <c r="E772" t="s">
        <v>964</v>
      </c>
      <c r="F772" t="s">
        <v>5324</v>
      </c>
      <c r="G772" t="str">
        <f>B12_Assessment!A26</f>
        <v>Existing rack/demarc - field verify</v>
      </c>
      <c r="H772" t="str">
        <f>B12_Assessment!B26</f>
        <v>Existing / N/A</v>
      </c>
      <c r="I772" t="str">
        <f>B12_Assessment!C26</f>
        <v>N/A</v>
      </c>
      <c r="J772" t="str">
        <f>B12_Assessment!D26</f>
        <v>N/A</v>
      </c>
      <c r="K772" t="str">
        <f>B12_Assessment!E26</f>
        <v>N/A</v>
      </c>
      <c r="L772" t="str">
        <f>B12_Assessment!F26</f>
        <v>N/A</v>
      </c>
      <c r="M772" t="str">
        <f>B12_Assessment!G26</f>
        <v>N/A</v>
      </c>
      <c r="N772" t="str">
        <f>B12_Assessment!H26</f>
        <v>N/A</v>
      </c>
      <c r="O772" t="str">
        <f>B12_Assessment!I26</f>
        <v>N/A</v>
      </c>
      <c r="P772" t="str">
        <f>B12_Assessment!J26</f>
        <v>Field verify existing environmental conditions only if existing service point/equipment is accessed.</v>
      </c>
      <c r="Q772" t="str">
        <f t="shared" si="12"/>
        <v>12|19</v>
      </c>
    </row>
    <row r="773" spans="1:17" ht="6.45" customHeight="1">
      <c r="A773" t="s">
        <v>2096</v>
      </c>
      <c r="B773">
        <v>20</v>
      </c>
      <c r="C773" t="s">
        <v>33</v>
      </c>
      <c r="D773">
        <v>27</v>
      </c>
      <c r="E773" t="s">
        <v>964</v>
      </c>
      <c r="F773" t="s">
        <v>5325</v>
      </c>
      <c r="G773">
        <f>B12_Assessment!A27</f>
        <v>0</v>
      </c>
      <c r="H773">
        <f>B12_Assessment!B27</f>
        <v>0</v>
      </c>
      <c r="I773">
        <f>B12_Assessment!C27</f>
        <v>0</v>
      </c>
      <c r="J773">
        <f>B12_Assessment!D27</f>
        <v>0</v>
      </c>
      <c r="K773">
        <f>B12_Assessment!E27</f>
        <v>0</v>
      </c>
      <c r="L773">
        <f>B12_Assessment!F27</f>
        <v>0</v>
      </c>
      <c r="M773">
        <f>B12_Assessment!G27</f>
        <v>0</v>
      </c>
      <c r="N773">
        <f>B12_Assessment!H27</f>
        <v>0</v>
      </c>
      <c r="O773">
        <f>B12_Assessment!I27</f>
        <v>0</v>
      </c>
      <c r="P773">
        <f>B12_Assessment!J27</f>
        <v>0</v>
      </c>
      <c r="Q773" t="str">
        <f t="shared" si="12"/>
        <v>12|20</v>
      </c>
    </row>
    <row r="774" spans="1:17" ht="6.45" customHeight="1">
      <c r="A774" t="s">
        <v>2096</v>
      </c>
      <c r="B774">
        <v>21</v>
      </c>
      <c r="C774" t="s">
        <v>33</v>
      </c>
      <c r="D774">
        <v>28</v>
      </c>
      <c r="E774" t="s">
        <v>977</v>
      </c>
      <c r="F774" t="s">
        <v>5322</v>
      </c>
      <c r="G774" t="str">
        <f>B12_Assessment!A28</f>
        <v>5. ELECTRICAL / UPS</v>
      </c>
      <c r="H774">
        <f>B12_Assessment!B28</f>
        <v>0</v>
      </c>
      <c r="I774">
        <f>B12_Assessment!C28</f>
        <v>0</v>
      </c>
      <c r="J774">
        <f>B12_Assessment!D28</f>
        <v>0</v>
      </c>
      <c r="K774">
        <f>B12_Assessment!E28</f>
        <v>0</v>
      </c>
      <c r="L774">
        <f>B12_Assessment!F28</f>
        <v>0</v>
      </c>
      <c r="M774">
        <f>B12_Assessment!G28</f>
        <v>0</v>
      </c>
      <c r="N774">
        <f>B12_Assessment!H28</f>
        <v>0</v>
      </c>
      <c r="O774">
        <f>B12_Assessment!I28</f>
        <v>0</v>
      </c>
      <c r="P774">
        <f>B12_Assessment!J28</f>
        <v>0</v>
      </c>
      <c r="Q774" t="str">
        <f t="shared" si="12"/>
        <v>12|21</v>
      </c>
    </row>
    <row r="775" spans="1:17" ht="6.45" customHeight="1">
      <c r="A775" t="s">
        <v>2096</v>
      </c>
      <c r="B775">
        <v>22</v>
      </c>
      <c r="C775" t="s">
        <v>33</v>
      </c>
      <c r="D775">
        <v>29</v>
      </c>
      <c r="E775" t="s">
        <v>977</v>
      </c>
      <c r="F775" t="s">
        <v>5323</v>
      </c>
      <c r="G775" t="str">
        <f>B12_Assessment!A29</f>
        <v>Room</v>
      </c>
      <c r="H775" t="str">
        <f>B12_Assessment!B29</f>
        <v>UPS Installed</v>
      </c>
      <c r="I775" t="str">
        <f>B12_Assessment!C29</f>
        <v>UPS Size</v>
      </c>
      <c r="J775" t="str">
        <f>B12_Assessment!D29</f>
        <v>PDU Installed</v>
      </c>
      <c r="K775" t="str">
        <f>B12_Assessment!E29</f>
        <v>Rack Receptacles</v>
      </c>
      <c r="L775" t="str">
        <f>B12_Assessment!F29</f>
        <v>Panel Assigned</v>
      </c>
      <c r="M775" t="str">
        <f>B12_Assessment!G29</f>
        <v>Emergency Source</v>
      </c>
      <c r="N775" t="str">
        <f>B12_Assessment!H29</f>
        <v>SPD / Labeling</v>
      </c>
      <c r="O775" t="str">
        <f>B12_Assessment!I29</f>
        <v>Overall</v>
      </c>
      <c r="P775" t="str">
        <f>B12_Assessment!J29</f>
        <v>Notes</v>
      </c>
      <c r="Q775" t="str">
        <f t="shared" si="12"/>
        <v>12|22</v>
      </c>
    </row>
    <row r="776" spans="1:17" ht="6.45" customHeight="1">
      <c r="A776" t="s">
        <v>2096</v>
      </c>
      <c r="B776">
        <v>23</v>
      </c>
      <c r="C776" t="s">
        <v>33</v>
      </c>
      <c r="D776">
        <v>30</v>
      </c>
      <c r="E776" t="s">
        <v>977</v>
      </c>
      <c r="F776" t="s">
        <v>5324</v>
      </c>
      <c r="G776" t="str">
        <f>B12_Assessment!A30</f>
        <v>Fiber path B/1/2</v>
      </c>
      <c r="H776" t="str">
        <f>B12_Assessment!B30</f>
        <v>N/A</v>
      </c>
      <c r="I776" t="str">
        <f>B12_Assessment!C30</f>
        <v>N/A</v>
      </c>
      <c r="J776" t="str">
        <f>B12_Assessment!D30</f>
        <v>N/A</v>
      </c>
      <c r="K776" t="str">
        <f>B12_Assessment!E30</f>
        <v>N/A</v>
      </c>
      <c r="L776" t="str">
        <f>B12_Assessment!F30</f>
        <v>N/A</v>
      </c>
      <c r="M776" t="str">
        <f>B12_Assessment!G30</f>
        <v>N/A</v>
      </c>
      <c r="N776" t="str">
        <f>B12_Assessment!H30</f>
        <v>Labeling Verify</v>
      </c>
      <c r="O776" t="str">
        <f>B12_Assessment!I30</f>
        <v>Verify</v>
      </c>
      <c r="P776" t="str">
        <f>B12_Assessment!J30</f>
        <v>No electrical drawing package for Building 12; no new panel/UPS/PDU/rack receptacle scope shown.</v>
      </c>
      <c r="Q776" t="str">
        <f t="shared" si="12"/>
        <v>12|23</v>
      </c>
    </row>
    <row r="777" spans="1:17" ht="6.45" customHeight="1">
      <c r="A777" t="s">
        <v>2096</v>
      </c>
      <c r="B777">
        <v>24</v>
      </c>
      <c r="C777" t="s">
        <v>33</v>
      </c>
      <c r="D777">
        <v>31</v>
      </c>
      <c r="E777" t="s">
        <v>977</v>
      </c>
      <c r="F777" t="s">
        <v>5324</v>
      </c>
      <c r="G777" t="str">
        <f>B12_Assessment!A31</f>
        <v>Existing rack/demarc - field verify</v>
      </c>
      <c r="H777" t="str">
        <f>B12_Assessment!B31</f>
        <v>Existing / N/A</v>
      </c>
      <c r="I777" t="str">
        <f>B12_Assessment!C31</f>
        <v>N/A</v>
      </c>
      <c r="J777" t="str">
        <f>B12_Assessment!D31</f>
        <v>N/A</v>
      </c>
      <c r="K777" t="str">
        <f>B12_Assessment!E31</f>
        <v>N/A</v>
      </c>
      <c r="L777" t="str">
        <f>B12_Assessment!F31</f>
        <v>N/A</v>
      </c>
      <c r="M777" t="str">
        <f>B12_Assessment!G31</f>
        <v>N/A</v>
      </c>
      <c r="N777" t="str">
        <f>B12_Assessment!H31</f>
        <v>Labeling Verify</v>
      </c>
      <c r="O777" t="str">
        <f>B12_Assessment!I31</f>
        <v>Verify</v>
      </c>
      <c r="P777" t="str">
        <f>B12_Assessment!J31</f>
        <v>Confirm whether any existing equipment is touched. Scope appears limited to fiber pull-through and testing/labeling.</v>
      </c>
      <c r="Q777" t="str">
        <f t="shared" si="12"/>
        <v>12|24</v>
      </c>
    </row>
    <row r="778" spans="1:17" ht="6.45" customHeight="1">
      <c r="A778" t="s">
        <v>2096</v>
      </c>
      <c r="B778">
        <v>25</v>
      </c>
      <c r="C778" t="s">
        <v>33</v>
      </c>
      <c r="D778">
        <v>32</v>
      </c>
      <c r="E778" t="s">
        <v>977</v>
      </c>
      <c r="F778" t="s">
        <v>5325</v>
      </c>
      <c r="G778">
        <f>B12_Assessment!A32</f>
        <v>0</v>
      </c>
      <c r="H778">
        <f>B12_Assessment!B32</f>
        <v>0</v>
      </c>
      <c r="I778">
        <f>B12_Assessment!C32</f>
        <v>0</v>
      </c>
      <c r="J778">
        <f>B12_Assessment!D32</f>
        <v>0</v>
      </c>
      <c r="K778">
        <f>B12_Assessment!E32</f>
        <v>0</v>
      </c>
      <c r="L778">
        <f>B12_Assessment!F32</f>
        <v>0</v>
      </c>
      <c r="M778">
        <f>B12_Assessment!G32</f>
        <v>0</v>
      </c>
      <c r="N778">
        <f>B12_Assessment!H32</f>
        <v>0</v>
      </c>
      <c r="O778">
        <f>B12_Assessment!I32</f>
        <v>0</v>
      </c>
      <c r="P778">
        <f>B12_Assessment!J32</f>
        <v>0</v>
      </c>
      <c r="Q778" t="str">
        <f t="shared" si="12"/>
        <v>12|25</v>
      </c>
    </row>
    <row r="779" spans="1:17" ht="6.45" customHeight="1">
      <c r="A779" t="s">
        <v>2096</v>
      </c>
      <c r="B779">
        <v>26</v>
      </c>
      <c r="C779" t="s">
        <v>33</v>
      </c>
      <c r="D779">
        <v>33</v>
      </c>
      <c r="E779" t="s">
        <v>994</v>
      </c>
      <c r="F779" t="s">
        <v>5322</v>
      </c>
      <c r="G779" t="str">
        <f>B12_Assessment!A33</f>
        <v>6. TELECOMMUNICATIONS</v>
      </c>
      <c r="H779">
        <f>B12_Assessment!B33</f>
        <v>0</v>
      </c>
      <c r="I779">
        <f>B12_Assessment!C33</f>
        <v>0</v>
      </c>
      <c r="J779">
        <f>B12_Assessment!D33</f>
        <v>0</v>
      </c>
      <c r="K779">
        <f>B12_Assessment!E33</f>
        <v>0</v>
      </c>
      <c r="L779">
        <f>B12_Assessment!F33</f>
        <v>0</v>
      </c>
      <c r="M779">
        <f>B12_Assessment!G33</f>
        <v>0</v>
      </c>
      <c r="N779">
        <f>B12_Assessment!H33</f>
        <v>0</v>
      </c>
      <c r="O779">
        <f>B12_Assessment!I33</f>
        <v>0</v>
      </c>
      <c r="P779">
        <f>B12_Assessment!J33</f>
        <v>0</v>
      </c>
      <c r="Q779" t="str">
        <f t="shared" si="12"/>
        <v>12|26</v>
      </c>
    </row>
    <row r="780" spans="1:17" ht="6.45" customHeight="1">
      <c r="A780" t="s">
        <v>2096</v>
      </c>
      <c r="B780">
        <v>27</v>
      </c>
      <c r="C780" t="s">
        <v>33</v>
      </c>
      <c r="D780">
        <v>34</v>
      </c>
      <c r="E780" t="s">
        <v>994</v>
      </c>
      <c r="F780" t="s">
        <v>5323</v>
      </c>
      <c r="G780" t="str">
        <f>B12_Assessment!A34</f>
        <v>Room</v>
      </c>
      <c r="H780" t="str">
        <f>B12_Assessment!B34</f>
        <v>Rack Installed</v>
      </c>
      <c r="I780" t="str">
        <f>B12_Assessment!C34</f>
        <v>Ladder Tray</v>
      </c>
      <c r="J780" t="str">
        <f>B12_Assessment!D34</f>
        <v>Fiber Installed</v>
      </c>
      <c r="K780" t="str">
        <f>B12_Assessment!E34</f>
        <v>Grounding</v>
      </c>
      <c r="L780" t="str">
        <f>B12_Assessment!F34</f>
        <v>Labeling</v>
      </c>
      <c r="M780" t="str">
        <f>B12_Assessment!G34</f>
        <v>Testing</v>
      </c>
      <c r="N780" t="str">
        <f>B12_Assessment!H34</f>
        <v>VA Acceptance</v>
      </c>
      <c r="O780" t="str">
        <f>B12_Assessment!I34</f>
        <v>Overall</v>
      </c>
      <c r="P780" t="str">
        <f>B12_Assessment!J34</f>
        <v>Notes</v>
      </c>
      <c r="Q780" t="str">
        <f t="shared" si="12"/>
        <v>12|27</v>
      </c>
    </row>
    <row r="781" spans="1:17" ht="6.45" customHeight="1">
      <c r="A781" t="s">
        <v>2096</v>
      </c>
      <c r="B781">
        <v>28</v>
      </c>
      <c r="C781" t="s">
        <v>33</v>
      </c>
      <c r="D781">
        <v>35</v>
      </c>
      <c r="E781" t="s">
        <v>994</v>
      </c>
      <c r="F781" t="s">
        <v>5324</v>
      </c>
      <c r="G781" t="str">
        <f>B12_Assessment!A35</f>
        <v>Fiber path B/1/2</v>
      </c>
      <c r="H781" t="str">
        <f>B12_Assessment!B35</f>
        <v>N/A</v>
      </c>
      <c r="I781" t="str">
        <f>B12_Assessment!C35</f>
        <v>Verify</v>
      </c>
      <c r="J781" t="str">
        <f>B12_Assessment!D35</f>
        <v>Verify</v>
      </c>
      <c r="K781" t="str">
        <f>B12_Assessment!E35</f>
        <v>Verify</v>
      </c>
      <c r="L781" t="str">
        <f>B12_Assessment!F35</f>
        <v>Verify</v>
      </c>
      <c r="M781" t="str">
        <f>B12_Assessment!G35</f>
        <v>Verify</v>
      </c>
      <c r="N781" t="str">
        <f>B12_Assessment!H35</f>
        <v>Verify</v>
      </c>
      <c r="O781" t="str">
        <f>B12_Assessment!I35</f>
        <v>Verify</v>
      </c>
      <c r="P781" t="str">
        <f>B12_Assessment!J35</f>
        <v>Building 12 receives fiber only. Verify pull-through path on basement/first/second telecom plans, redundant Path A/B fiber, pathway capacity, grounding/bonding where applicable, labeling and testing.</v>
      </c>
      <c r="Q781" t="str">
        <f t="shared" si="12"/>
        <v>12|28</v>
      </c>
    </row>
    <row r="782" spans="1:17" ht="6.45" customHeight="1">
      <c r="A782" t="s">
        <v>2096</v>
      </c>
      <c r="B782">
        <v>29</v>
      </c>
      <c r="C782" t="s">
        <v>33</v>
      </c>
      <c r="D782">
        <v>36</v>
      </c>
      <c r="E782" t="s">
        <v>994</v>
      </c>
      <c r="F782" t="s">
        <v>5324</v>
      </c>
      <c r="G782" t="str">
        <f>B12_Assessment!A36</f>
        <v>Existing rack/demarc - field verify</v>
      </c>
      <c r="H782" t="str">
        <f>B12_Assessment!B36</f>
        <v>Existing / none new</v>
      </c>
      <c r="I782" t="str">
        <f>B12_Assessment!C36</f>
        <v>N/A / Verify</v>
      </c>
      <c r="J782" t="str">
        <f>B12_Assessment!D36</f>
        <v>Verify</v>
      </c>
      <c r="K782" t="str">
        <f>B12_Assessment!E36</f>
        <v>Verify</v>
      </c>
      <c r="L782" t="str">
        <f>B12_Assessment!F36</f>
        <v>Verify</v>
      </c>
      <c r="M782" t="str">
        <f>B12_Assessment!G36</f>
        <v>Verify</v>
      </c>
      <c r="N782" t="str">
        <f>B12_Assessment!H36</f>
        <v>Verify</v>
      </c>
      <c r="O782" t="str">
        <f>B12_Assessment!I36</f>
        <v>Verify</v>
      </c>
      <c r="P782" t="str">
        <f>B12_Assessment!J36</f>
        <v>12T-604 shows rack number 00/room 00 and notes fiber-only with no mounting type; verify existing service/termination point and whether fiber passes through only.</v>
      </c>
      <c r="Q782" t="str">
        <f t="shared" si="12"/>
        <v>12|29</v>
      </c>
    </row>
    <row r="783" spans="1:17" ht="6.45" customHeight="1">
      <c r="A783" t="s">
        <v>2096</v>
      </c>
      <c r="B783">
        <v>30</v>
      </c>
      <c r="C783" t="s">
        <v>33</v>
      </c>
      <c r="D783">
        <v>37</v>
      </c>
      <c r="E783" t="s">
        <v>994</v>
      </c>
      <c r="F783" t="s">
        <v>5325</v>
      </c>
      <c r="G783">
        <f>B12_Assessment!A37</f>
        <v>0</v>
      </c>
      <c r="H783">
        <f>B12_Assessment!B37</f>
        <v>0</v>
      </c>
      <c r="I783">
        <f>B12_Assessment!C37</f>
        <v>0</v>
      </c>
      <c r="J783">
        <f>B12_Assessment!D37</f>
        <v>0</v>
      </c>
      <c r="K783">
        <f>B12_Assessment!E37</f>
        <v>0</v>
      </c>
      <c r="L783">
        <f>B12_Assessment!F37</f>
        <v>0</v>
      </c>
      <c r="M783">
        <f>B12_Assessment!G37</f>
        <v>0</v>
      </c>
      <c r="N783">
        <f>B12_Assessment!H37</f>
        <v>0</v>
      </c>
      <c r="O783">
        <f>B12_Assessment!I37</f>
        <v>0</v>
      </c>
      <c r="P783">
        <f>B12_Assessment!J37</f>
        <v>0</v>
      </c>
      <c r="Q783" t="str">
        <f t="shared" si="12"/>
        <v>12|30</v>
      </c>
    </row>
    <row r="784" spans="1:17" ht="6.45" customHeight="1">
      <c r="A784" t="s">
        <v>2096</v>
      </c>
      <c r="B784">
        <v>31</v>
      </c>
      <c r="C784" t="s">
        <v>33</v>
      </c>
      <c r="D784">
        <v>38</v>
      </c>
      <c r="E784" t="s">
        <v>1007</v>
      </c>
      <c r="F784" t="s">
        <v>5322</v>
      </c>
      <c r="G784" t="str">
        <f>B12_Assessment!A38</f>
        <v>7. SECURITY / PACS / CCTV</v>
      </c>
      <c r="H784">
        <f>B12_Assessment!B38</f>
        <v>0</v>
      </c>
      <c r="I784">
        <f>B12_Assessment!C38</f>
        <v>0</v>
      </c>
      <c r="J784">
        <f>B12_Assessment!D38</f>
        <v>0</v>
      </c>
      <c r="K784">
        <f>B12_Assessment!E38</f>
        <v>0</v>
      </c>
      <c r="L784">
        <f>B12_Assessment!F38</f>
        <v>0</v>
      </c>
      <c r="M784">
        <f>B12_Assessment!G38</f>
        <v>0</v>
      </c>
      <c r="N784">
        <f>B12_Assessment!H38</f>
        <v>0</v>
      </c>
      <c r="O784">
        <f>B12_Assessment!I38</f>
        <v>0</v>
      </c>
      <c r="P784">
        <f>B12_Assessment!J38</f>
        <v>0</v>
      </c>
      <c r="Q784" t="str">
        <f t="shared" si="12"/>
        <v>12|31</v>
      </c>
    </row>
    <row r="785" spans="1:17" ht="6.45" customHeight="1">
      <c r="A785" t="s">
        <v>2096</v>
      </c>
      <c r="B785">
        <v>32</v>
      </c>
      <c r="C785" t="s">
        <v>33</v>
      </c>
      <c r="D785">
        <v>39</v>
      </c>
      <c r="E785" t="s">
        <v>1007</v>
      </c>
      <c r="F785" t="s">
        <v>5323</v>
      </c>
      <c r="G785" t="str">
        <f>B12_Assessment!A39</f>
        <v>Room</v>
      </c>
      <c r="H785" t="str">
        <f>B12_Assessment!B39</f>
        <v>PACS</v>
      </c>
      <c r="I785" t="str">
        <f>B12_Assessment!C39</f>
        <v>Card Reader</v>
      </c>
      <c r="J785" t="str">
        <f>B12_Assessment!D39</f>
        <v>Door Position</v>
      </c>
      <c r="K785" t="str">
        <f>B12_Assessment!E39</f>
        <v>Electric Strike</v>
      </c>
      <c r="L785" t="str">
        <f>B12_Assessment!F39</f>
        <v>CCTV</v>
      </c>
      <c r="M785" t="str">
        <f>B12_Assessment!G39</f>
        <v>Motion Sensor</v>
      </c>
      <c r="N785" t="str">
        <f>B12_Assessment!H39</f>
        <v>Integration</v>
      </c>
      <c r="O785" t="str">
        <f>B12_Assessment!I39</f>
        <v>Overall</v>
      </c>
      <c r="P785" t="str">
        <f>B12_Assessment!J39</f>
        <v>Notes</v>
      </c>
      <c r="Q785" t="str">
        <f t="shared" si="12"/>
        <v>12|32</v>
      </c>
    </row>
    <row r="786" spans="1:17" ht="6.45" customHeight="1">
      <c r="A786" t="s">
        <v>2096</v>
      </c>
      <c r="B786">
        <v>33</v>
      </c>
      <c r="C786" t="s">
        <v>33</v>
      </c>
      <c r="D786">
        <v>40</v>
      </c>
      <c r="E786" t="s">
        <v>1007</v>
      </c>
      <c r="F786" t="s">
        <v>5324</v>
      </c>
      <c r="G786" t="str">
        <f>B12_Assessment!A40</f>
        <v>Fiber path B/1/2</v>
      </c>
      <c r="H786" t="str">
        <f>B12_Assessment!B40</f>
        <v>N/A</v>
      </c>
      <c r="I786" t="str">
        <f>B12_Assessment!C40</f>
        <v>N/A</v>
      </c>
      <c r="J786" t="str">
        <f>B12_Assessment!D40</f>
        <v>N/A</v>
      </c>
      <c r="K786" t="str">
        <f>B12_Assessment!E40</f>
        <v>N/A</v>
      </c>
      <c r="L786" t="str">
        <f>B12_Assessment!F40</f>
        <v>N/A / Verify</v>
      </c>
      <c r="M786" t="str">
        <f>B12_Assessment!G40</f>
        <v>N/A</v>
      </c>
      <c r="N786" t="str">
        <f>B12_Assessment!H40</f>
        <v>N/A</v>
      </c>
      <c r="O786" t="str">
        <f>B12_Assessment!I40</f>
        <v>N/A / Verify</v>
      </c>
      <c r="P786" t="str">
        <f>B12_Assessment!J40</f>
        <v>No new TR door or PACS/CCTV package shown for Building 12; verify security access only for work areas and existing equipment rooms.</v>
      </c>
      <c r="Q786" t="str">
        <f t="shared" si="12"/>
        <v>12|33</v>
      </c>
    </row>
    <row r="787" spans="1:17" ht="6.45" customHeight="1">
      <c r="A787" t="s">
        <v>2096</v>
      </c>
      <c r="B787">
        <v>34</v>
      </c>
      <c r="C787" t="s">
        <v>33</v>
      </c>
      <c r="D787">
        <v>41</v>
      </c>
      <c r="E787" t="s">
        <v>1007</v>
      </c>
      <c r="F787" t="s">
        <v>5324</v>
      </c>
      <c r="G787" t="str">
        <f>B12_Assessment!A41</f>
        <v>Existing rack/demarc - field verify</v>
      </c>
      <c r="H787" t="str">
        <f>B12_Assessment!B41</f>
        <v>N/A / Verify</v>
      </c>
      <c r="I787" t="str">
        <f>B12_Assessment!C41</f>
        <v>N/A / Verify</v>
      </c>
      <c r="J787" t="str">
        <f>B12_Assessment!D41</f>
        <v>N/A</v>
      </c>
      <c r="K787" t="str">
        <f>B12_Assessment!E41</f>
        <v>N/A</v>
      </c>
      <c r="L787" t="str">
        <f>B12_Assessment!F41</f>
        <v>N/A / Verify</v>
      </c>
      <c r="M787" t="str">
        <f>B12_Assessment!G41</f>
        <v>N/A</v>
      </c>
      <c r="N787" t="str">
        <f>B12_Assessment!H41</f>
        <v>N/A</v>
      </c>
      <c r="O787" t="str">
        <f>B12_Assessment!I41</f>
        <v>N/A / Verify</v>
      </c>
      <c r="P787" t="str">
        <f>B12_Assessment!J41</f>
        <v>Confirm access requirements to existing closet/demarc while protecting active operations.</v>
      </c>
      <c r="Q787" t="str">
        <f t="shared" si="12"/>
        <v>12|34</v>
      </c>
    </row>
    <row r="788" spans="1:17" ht="6.45" customHeight="1">
      <c r="A788" t="s">
        <v>2096</v>
      </c>
      <c r="B788">
        <v>35</v>
      </c>
      <c r="C788" t="s">
        <v>33</v>
      </c>
      <c r="D788">
        <v>42</v>
      </c>
      <c r="E788" t="s">
        <v>1007</v>
      </c>
      <c r="F788" t="s">
        <v>5325</v>
      </c>
      <c r="G788">
        <f>B12_Assessment!A42</f>
        <v>0</v>
      </c>
      <c r="H788">
        <f>B12_Assessment!B42</f>
        <v>0</v>
      </c>
      <c r="I788">
        <f>B12_Assessment!C42</f>
        <v>0</v>
      </c>
      <c r="J788">
        <f>B12_Assessment!D42</f>
        <v>0</v>
      </c>
      <c r="K788">
        <f>B12_Assessment!E42</f>
        <v>0</v>
      </c>
      <c r="L788">
        <f>B12_Assessment!F42</f>
        <v>0</v>
      </c>
      <c r="M788">
        <f>B12_Assessment!G42</f>
        <v>0</v>
      </c>
      <c r="N788">
        <f>B12_Assessment!H42</f>
        <v>0</v>
      </c>
      <c r="O788">
        <f>B12_Assessment!I42</f>
        <v>0</v>
      </c>
      <c r="P788">
        <f>B12_Assessment!J42</f>
        <v>0</v>
      </c>
      <c r="Q788" t="str">
        <f t="shared" si="12"/>
        <v>12|35</v>
      </c>
    </row>
    <row r="789" spans="1:17" ht="6.45" customHeight="1">
      <c r="A789" t="s">
        <v>2096</v>
      </c>
      <c r="B789">
        <v>36</v>
      </c>
      <c r="C789" t="s">
        <v>33</v>
      </c>
      <c r="D789">
        <v>43</v>
      </c>
      <c r="E789" t="s">
        <v>1019</v>
      </c>
      <c r="F789" t="s">
        <v>5322</v>
      </c>
      <c r="G789" t="str">
        <f>B12_Assessment!A43</f>
        <v>8. OWNER RISKS</v>
      </c>
      <c r="H789">
        <f>B12_Assessment!B43</f>
        <v>0</v>
      </c>
      <c r="I789">
        <f>B12_Assessment!C43</f>
        <v>0</v>
      </c>
      <c r="J789">
        <f>B12_Assessment!D43</f>
        <v>0</v>
      </c>
      <c r="K789">
        <f>B12_Assessment!E43</f>
        <v>0</v>
      </c>
      <c r="L789">
        <f>B12_Assessment!F43</f>
        <v>0</v>
      </c>
      <c r="M789">
        <f>B12_Assessment!G43</f>
        <v>0</v>
      </c>
      <c r="N789">
        <f>B12_Assessment!H43</f>
        <v>0</v>
      </c>
      <c r="O789">
        <f>B12_Assessment!I43</f>
        <v>0</v>
      </c>
      <c r="P789">
        <f>B12_Assessment!J43</f>
        <v>0</v>
      </c>
      <c r="Q789" t="str">
        <f t="shared" si="12"/>
        <v>12|36</v>
      </c>
    </row>
    <row r="790" spans="1:17" ht="6.45" customHeight="1">
      <c r="A790" t="s">
        <v>2096</v>
      </c>
      <c r="B790">
        <v>37</v>
      </c>
      <c r="C790" t="s">
        <v>33</v>
      </c>
      <c r="D790">
        <v>44</v>
      </c>
      <c r="E790" t="s">
        <v>1019</v>
      </c>
      <c r="F790" t="s">
        <v>5323</v>
      </c>
      <c r="G790" t="str">
        <f>B12_Assessment!A44</f>
        <v>Risk ID</v>
      </c>
      <c r="H790" t="str">
        <f>B12_Assessment!B44</f>
        <v>Room</v>
      </c>
      <c r="I790" t="str">
        <f>B12_Assessment!C44</f>
        <v>Risk</v>
      </c>
      <c r="J790" t="str">
        <f>B12_Assessment!D44</f>
        <v>Impact</v>
      </c>
      <c r="K790" t="str">
        <f>B12_Assessment!E44</f>
        <v>Probability</v>
      </c>
      <c r="L790" t="str">
        <f>B12_Assessment!F44</f>
        <v>Score</v>
      </c>
      <c r="M790" t="str">
        <f>B12_Assessment!G44</f>
        <v>Mitigation</v>
      </c>
      <c r="N790" t="str">
        <f>B12_Assessment!H44</f>
        <v>Owner</v>
      </c>
      <c r="O790" t="str">
        <f>B12_Assessment!I44</f>
        <v>Status</v>
      </c>
      <c r="P790" t="str">
        <f>B12_Assessment!J44</f>
        <v>Notes</v>
      </c>
      <c r="Q790" t="str">
        <f t="shared" si="12"/>
        <v>12|37</v>
      </c>
    </row>
    <row r="791" spans="1:17" ht="6.45" customHeight="1">
      <c r="A791" t="s">
        <v>2096</v>
      </c>
      <c r="B791">
        <v>38</v>
      </c>
      <c r="C791" t="s">
        <v>33</v>
      </c>
      <c r="D791">
        <v>45</v>
      </c>
      <c r="E791" t="s">
        <v>1019</v>
      </c>
      <c r="F791" t="s">
        <v>5324</v>
      </c>
      <c r="G791" t="str">
        <f>B12_Assessment!A45</f>
        <v>B12-R1</v>
      </c>
      <c r="H791" t="str">
        <f>B12_Assessment!B45</f>
        <v>All</v>
      </c>
      <c r="I791" t="str">
        <f>B12_Assessment!C45</f>
        <v>Fiber-only scope could be mistaken for full TR scope or skipped as minor work</v>
      </c>
      <c r="J791" t="str">
        <f>B12_Assessment!D45</f>
        <v>High</v>
      </c>
      <c r="K791" t="str">
        <f>B12_Assessment!E45</f>
        <v>Medium</v>
      </c>
      <c r="L791">
        <f>B12_Assessment!F45</f>
        <v>6</v>
      </c>
      <c r="M791" t="str">
        <f>B12_Assessment!G45</f>
        <v>Clearly tag Building 12 as fiber-only and verify required fiber path, testing, labels and acceptance deliverables</v>
      </c>
      <c r="N791" t="str">
        <f>B12_Assessment!H45</f>
        <v>GCC / OIT / GC</v>
      </c>
      <c r="O791" t="str">
        <f>B12_Assessment!I45</f>
        <v>Closed</v>
      </c>
      <c r="P791" t="str">
        <f>B12_Assessment!J45</f>
        <v>Cover sheet note says this building is to receive fiber only.</v>
      </c>
      <c r="Q791" t="str">
        <f t="shared" si="12"/>
        <v>12|38</v>
      </c>
    </row>
    <row r="792" spans="1:17" ht="6.45" customHeight="1">
      <c r="A792" t="s">
        <v>2096</v>
      </c>
      <c r="B792">
        <v>39</v>
      </c>
      <c r="C792" t="s">
        <v>33</v>
      </c>
      <c r="D792">
        <v>46</v>
      </c>
      <c r="E792" t="s">
        <v>1019</v>
      </c>
      <c r="F792" t="s">
        <v>5324</v>
      </c>
      <c r="G792" t="str">
        <f>B12_Assessment!A46</f>
        <v>B12-R2</v>
      </c>
      <c r="H792" t="str">
        <f>B12_Assessment!B46</f>
        <v>Fiber path B/1/2</v>
      </c>
      <c r="I792" t="str">
        <f>B12_Assessment!C46</f>
        <v>Existing pull-through pathway not field verified</v>
      </c>
      <c r="J792" t="str">
        <f>B12_Assessment!D46</f>
        <v>High</v>
      </c>
      <c r="K792" t="str">
        <f>B12_Assessment!E46</f>
        <v>Medium</v>
      </c>
      <c r="L792">
        <f>B12_Assessment!F46</f>
        <v>6</v>
      </c>
      <c r="M792" t="str">
        <f>B12_Assessment!G46</f>
        <v>Trace basement/first/second level pathway, conduit/cable tray capacity, pull points and access before scheduled pull</v>
      </c>
      <c r="N792" t="str">
        <f>B12_Assessment!H46</f>
        <v>Telecom Contractor</v>
      </c>
      <c r="O792" t="str">
        <f>B12_Assessment!I46</f>
        <v>Closed</v>
      </c>
      <c r="P792" t="str">
        <f>B12_Assessment!J46</f>
        <v>12T-100/101 plan sheets and 12T-604 identify fiber-only B/1/2 scope.</v>
      </c>
      <c r="Q792" t="str">
        <f t="shared" si="12"/>
        <v>12|39</v>
      </c>
    </row>
    <row r="793" spans="1:17" ht="6.45" customHeight="1">
      <c r="A793" t="s">
        <v>2096</v>
      </c>
      <c r="B793">
        <v>40</v>
      </c>
      <c r="C793" t="s">
        <v>33</v>
      </c>
      <c r="D793">
        <v>47</v>
      </c>
      <c r="E793" t="s">
        <v>1019</v>
      </c>
      <c r="F793" t="s">
        <v>5324</v>
      </c>
      <c r="G793" t="str">
        <f>B12_Assessment!A47</f>
        <v>B12-R3</v>
      </c>
      <c r="H793" t="str">
        <f>B12_Assessment!B47</f>
        <v>All</v>
      </c>
      <c r="I793" t="str">
        <f>B12_Assessment!C47</f>
        <v>Existing service continuity during fiber pull/cutover may not be defined</v>
      </c>
      <c r="J793" t="str">
        <f>B12_Assessment!D47</f>
        <v>Critical</v>
      </c>
      <c r="K793" t="str">
        <f>B12_Assessment!E47</f>
        <v>Medium</v>
      </c>
      <c r="L793">
        <f>B12_Assessment!F47</f>
        <v>8</v>
      </c>
      <c r="M793" t="str">
        <f>B12_Assessment!G47</f>
        <v>Coordinate with VA OIT, submit phasing/cutover plan, and maintain legacy service until new fiber is tested and accepted</v>
      </c>
      <c r="N793" t="str">
        <f>B12_Assessment!H47</f>
        <v>OIT / Telecom</v>
      </c>
      <c r="O793" t="str">
        <f>B12_Assessment!I47</f>
        <v>Closed</v>
      </c>
      <c r="P793" t="str">
        <f>B12_Assessment!J47</f>
        <v>All telecom cabling must be tested, approved and accepted before active connection.</v>
      </c>
      <c r="Q793" t="str">
        <f t="shared" si="12"/>
        <v>12|40</v>
      </c>
    </row>
    <row r="794" spans="1:17" ht="6.45" customHeight="1">
      <c r="A794" t="s">
        <v>2096</v>
      </c>
      <c r="B794">
        <v>41</v>
      </c>
      <c r="C794" t="s">
        <v>33</v>
      </c>
      <c r="D794">
        <v>48</v>
      </c>
      <c r="E794" t="s">
        <v>1019</v>
      </c>
      <c r="F794" t="s">
        <v>5324</v>
      </c>
      <c r="G794" t="str">
        <f>B12_Assessment!A48</f>
        <v>B12-R4</v>
      </c>
      <c r="H794" t="str">
        <f>B12_Assessment!B48</f>
        <v>All</v>
      </c>
      <c r="I794" t="str">
        <f>B12_Assessment!C48</f>
        <v>Pathway penetrations/firestopping may be overlooked because there is no architectural/FP package</v>
      </c>
      <c r="J794" t="str">
        <f>B12_Assessment!D48</f>
        <v>High</v>
      </c>
      <c r="K794" t="str">
        <f>B12_Assessment!E48</f>
        <v>Medium</v>
      </c>
      <c r="L794">
        <f>B12_Assessment!F48</f>
        <v>6</v>
      </c>
      <c r="M794" t="str">
        <f>B12_Assessment!G48</f>
        <v>Inspect all new/reused penetrations and require permanent or temporary firestopping at end of shift</v>
      </c>
      <c r="N794" t="str">
        <f>B12_Assessment!H48</f>
        <v>GC / Firestop</v>
      </c>
      <c r="O794" t="str">
        <f>B12_Assessment!I48</f>
        <v>Closed</v>
      </c>
      <c r="P794" t="str">
        <f>B12_Assessment!J48</f>
        <v>General notes still require firestopping for floor/rated wall penetrations.</v>
      </c>
      <c r="Q794" t="str">
        <f t="shared" si="12"/>
        <v>12|41</v>
      </c>
    </row>
    <row r="795" spans="1:17" ht="6.45" customHeight="1">
      <c r="A795" t="s">
        <v>2096</v>
      </c>
      <c r="B795">
        <v>42</v>
      </c>
      <c r="C795" t="s">
        <v>33</v>
      </c>
      <c r="D795">
        <v>49</v>
      </c>
      <c r="E795" t="s">
        <v>1019</v>
      </c>
      <c r="F795" t="s">
        <v>5324</v>
      </c>
      <c r="G795" t="str">
        <f>B12_Assessment!A49</f>
        <v>B12-R5</v>
      </c>
      <c r="H795" t="str">
        <f>B12_Assessment!B49</f>
        <v>Existing rack/demarc - field verify</v>
      </c>
      <c r="I795" t="str">
        <f>B12_Assessment!C49</f>
        <v>Existing termination/demarc location and ownership unclear</v>
      </c>
      <c r="J795" t="str">
        <f>B12_Assessment!D49</f>
        <v>Medium</v>
      </c>
      <c r="K795" t="str">
        <f>B12_Assessment!E49</f>
        <v>Medium</v>
      </c>
      <c r="L795">
        <f>B12_Assessment!F49</f>
        <v>4</v>
      </c>
      <c r="M795" t="str">
        <f>B12_Assessment!G49</f>
        <v>Field document existing rack/demarc/serving closet and confirm where new fiber terminates or passes through</v>
      </c>
      <c r="N795" t="str">
        <f>B12_Assessment!H49</f>
        <v>GCC / OIT</v>
      </c>
      <c r="O795" t="str">
        <f>B12_Assessment!I49</f>
        <v>Closed</v>
      </c>
      <c r="P795" t="str">
        <f>B12_Assessment!J49</f>
        <v>12T-604 shows room/rack as 00; actual field condition must be documented.</v>
      </c>
      <c r="Q795" t="str">
        <f t="shared" si="12"/>
        <v>12|42</v>
      </c>
    </row>
    <row r="796" spans="1:17" ht="6.45" customHeight="1">
      <c r="A796" t="s">
        <v>2096</v>
      </c>
      <c r="B796">
        <v>43</v>
      </c>
      <c r="C796" t="s">
        <v>33</v>
      </c>
      <c r="D796">
        <v>50</v>
      </c>
      <c r="E796" t="s">
        <v>1019</v>
      </c>
      <c r="F796" t="s">
        <v>5324</v>
      </c>
      <c r="G796" t="str">
        <f>B12_Assessment!A50</f>
        <v>B12-R6</v>
      </c>
      <c r="H796" t="str">
        <f>B12_Assessment!B50</f>
        <v>All</v>
      </c>
      <c r="I796" t="str">
        <f>B12_Assessment!C50</f>
        <v>Test reports, labels and as-builts may be incomplete for fiber-only work</v>
      </c>
      <c r="J796" t="str">
        <f>B12_Assessment!D50</f>
        <v>High</v>
      </c>
      <c r="K796" t="str">
        <f>B12_Assessment!E50</f>
        <v>Medium</v>
      </c>
      <c r="L796">
        <f>B12_Assessment!F50</f>
        <v>6</v>
      </c>
      <c r="M796" t="str">
        <f>B12_Assessment!G50</f>
        <v>Track fiber OTDR/certification, labeling, route documentation and VA/OIT acceptance before closeout</v>
      </c>
      <c r="N796" t="str">
        <f>B12_Assessment!H50</f>
        <v>Telecom / GCC</v>
      </c>
      <c r="O796" t="str">
        <f>B12_Assessment!I50</f>
        <v>Closed</v>
      </c>
      <c r="P796" t="str">
        <f>B12_Assessment!J50</f>
        <v>Fiber-only work still requires record drawings and acceptance.</v>
      </c>
      <c r="Q796" t="str">
        <f t="shared" si="12"/>
        <v>12|43</v>
      </c>
    </row>
    <row r="797" spans="1:17" ht="6.45" customHeight="1">
      <c r="A797" t="s">
        <v>2096</v>
      </c>
      <c r="B797">
        <v>44</v>
      </c>
      <c r="C797" t="s">
        <v>33</v>
      </c>
      <c r="D797">
        <v>51</v>
      </c>
      <c r="E797" t="s">
        <v>1019</v>
      </c>
      <c r="F797" t="s">
        <v>5325</v>
      </c>
      <c r="G797">
        <f>B12_Assessment!A51</f>
        <v>0</v>
      </c>
      <c r="H797">
        <f>B12_Assessment!B51</f>
        <v>0</v>
      </c>
      <c r="I797">
        <f>B12_Assessment!C51</f>
        <v>0</v>
      </c>
      <c r="J797">
        <f>B12_Assessment!D51</f>
        <v>0</v>
      </c>
      <c r="K797">
        <f>B12_Assessment!E51</f>
        <v>0</v>
      </c>
      <c r="L797">
        <f>B12_Assessment!F51</f>
        <v>0</v>
      </c>
      <c r="M797">
        <f>B12_Assessment!G51</f>
        <v>0</v>
      </c>
      <c r="N797">
        <f>B12_Assessment!H51</f>
        <v>0</v>
      </c>
      <c r="O797">
        <f>B12_Assessment!I51</f>
        <v>0</v>
      </c>
      <c r="P797">
        <f>B12_Assessment!J51</f>
        <v>0</v>
      </c>
      <c r="Q797" t="str">
        <f t="shared" si="12"/>
        <v>12|44</v>
      </c>
    </row>
    <row r="798" spans="1:17" ht="6.45" customHeight="1">
      <c r="A798" t="s">
        <v>2096</v>
      </c>
      <c r="B798">
        <v>45</v>
      </c>
      <c r="C798" t="s">
        <v>33</v>
      </c>
      <c r="D798">
        <v>52</v>
      </c>
      <c r="E798" t="s">
        <v>1051</v>
      </c>
      <c r="F798" t="s">
        <v>5322</v>
      </c>
      <c r="G798" t="str">
        <f>B12_Assessment!A52</f>
        <v>9. OPEN QUESTIONS</v>
      </c>
      <c r="H798">
        <f>B12_Assessment!B52</f>
        <v>0</v>
      </c>
      <c r="I798">
        <f>B12_Assessment!C52</f>
        <v>0</v>
      </c>
      <c r="J798">
        <f>B12_Assessment!D52</f>
        <v>0</v>
      </c>
      <c r="K798">
        <f>B12_Assessment!E52</f>
        <v>0</v>
      </c>
      <c r="L798">
        <f>B12_Assessment!F52</f>
        <v>0</v>
      </c>
      <c r="M798">
        <f>B12_Assessment!G52</f>
        <v>0</v>
      </c>
      <c r="N798">
        <f>B12_Assessment!H52</f>
        <v>0</v>
      </c>
      <c r="O798">
        <f>B12_Assessment!I52</f>
        <v>0</v>
      </c>
      <c r="P798">
        <f>B12_Assessment!J52</f>
        <v>0</v>
      </c>
      <c r="Q798" t="str">
        <f t="shared" si="12"/>
        <v>12|45</v>
      </c>
    </row>
    <row r="799" spans="1:17" ht="6.45" customHeight="1">
      <c r="A799" t="s">
        <v>2096</v>
      </c>
      <c r="B799">
        <v>46</v>
      </c>
      <c r="C799" t="s">
        <v>33</v>
      </c>
      <c r="D799">
        <v>53</v>
      </c>
      <c r="E799" t="s">
        <v>1051</v>
      </c>
      <c r="F799" t="s">
        <v>5323</v>
      </c>
      <c r="G799" t="str">
        <f>B12_Assessment!A53</f>
        <v>Question ID</v>
      </c>
      <c r="H799" t="str">
        <f>B12_Assessment!B53</f>
        <v>Question</v>
      </c>
      <c r="I799" t="str">
        <f>B12_Assessment!C53</f>
        <v>Assigned To</v>
      </c>
      <c r="J799" t="str">
        <f>B12_Assessment!D53</f>
        <v>Status</v>
      </c>
      <c r="K799" t="str">
        <f>B12_Assessment!E53</f>
        <v>Needed By</v>
      </c>
      <c r="L799" t="str">
        <f>B12_Assessment!F53</f>
        <v>Answer / Resolution</v>
      </c>
      <c r="M799" t="str">
        <f>B12_Assessment!G53</f>
        <v>Impact if Unanswered</v>
      </c>
      <c r="N799" t="str">
        <f>B12_Assessment!H53</f>
        <v>Follow-up</v>
      </c>
      <c r="O799" t="str">
        <f>B12_Assessment!I53</f>
        <v>Date Closed</v>
      </c>
      <c r="P799" t="str">
        <f>B12_Assessment!J53</f>
        <v>Notes</v>
      </c>
      <c r="Q799" t="str">
        <f t="shared" si="12"/>
        <v>12|46</v>
      </c>
    </row>
    <row r="800" spans="1:17" ht="6.45" customHeight="1">
      <c r="A800" t="s">
        <v>2096</v>
      </c>
      <c r="B800">
        <v>47</v>
      </c>
      <c r="C800" t="s">
        <v>33</v>
      </c>
      <c r="D800">
        <v>54</v>
      </c>
      <c r="E800" t="s">
        <v>1051</v>
      </c>
      <c r="F800" t="s">
        <v>5324</v>
      </c>
      <c r="G800" t="str">
        <f>B12_Assessment!A54</f>
        <v>B12-Q1</v>
      </c>
      <c r="H800" t="str">
        <f>B12_Assessment!B54</f>
        <v>Confirm Building 12 scope is fiber-only with no new TR, no new rack, no new electrical, HVAC, fire protection, PACS or CCTV work?</v>
      </c>
      <c r="I800" t="str">
        <f>B12_Assessment!C54</f>
        <v>VA / OIT / Designer</v>
      </c>
      <c r="J800" t="str">
        <f>B12_Assessment!D54</f>
        <v>Closed</v>
      </c>
      <c r="K800">
        <f>B12_Assessment!E54</f>
        <v>0</v>
      </c>
      <c r="L800">
        <f>B12_Assessment!F54</f>
        <v>0</v>
      </c>
      <c r="M800" t="str">
        <f>B12_Assessment!G54</f>
        <v>Scope misunderstanding</v>
      </c>
      <c r="N800">
        <f>B12_Assessment!H54</f>
        <v>0</v>
      </c>
      <c r="O800">
        <f>B12_Assessment!I54</f>
        <v>0</v>
      </c>
      <c r="P800">
        <f>B12_Assessment!J54</f>
        <v>0</v>
      </c>
      <c r="Q800" t="str">
        <f t="shared" si="12"/>
        <v>12|47</v>
      </c>
    </row>
    <row r="801" spans="1:17" ht="6.45" customHeight="1">
      <c r="A801" t="s">
        <v>2096</v>
      </c>
      <c r="B801">
        <v>48</v>
      </c>
      <c r="C801" t="s">
        <v>33</v>
      </c>
      <c r="D801">
        <v>55</v>
      </c>
      <c r="E801" t="s">
        <v>1051</v>
      </c>
      <c r="F801" t="s">
        <v>5324</v>
      </c>
      <c r="G801" t="str">
        <f>B12_Assessment!A55</f>
        <v>B12-Q2</v>
      </c>
      <c r="H801" t="str">
        <f>B12_Assessment!B55</f>
        <v>What exact pathway does the Building 12 fiber take through basement, first and second levels?</v>
      </c>
      <c r="I801" t="str">
        <f>B12_Assessment!C55</f>
        <v>Telecom Contractor / OIT</v>
      </c>
      <c r="J801" t="str">
        <f>B12_Assessment!D55</f>
        <v>Closed</v>
      </c>
      <c r="K801">
        <f>B12_Assessment!E55</f>
        <v>0</v>
      </c>
      <c r="L801">
        <f>B12_Assessment!F55</f>
        <v>0</v>
      </c>
      <c r="M801" t="str">
        <f>B12_Assessment!G55</f>
        <v>Fiber pull and access risk</v>
      </c>
      <c r="N801">
        <f>B12_Assessment!H55</f>
        <v>0</v>
      </c>
      <c r="O801">
        <f>B12_Assessment!I55</f>
        <v>0</v>
      </c>
      <c r="P801">
        <f>B12_Assessment!J55</f>
        <v>0</v>
      </c>
      <c r="Q801" t="str">
        <f t="shared" si="12"/>
        <v>12|48</v>
      </c>
    </row>
    <row r="802" spans="1:17" ht="6.45" customHeight="1">
      <c r="A802" t="s">
        <v>2096</v>
      </c>
      <c r="B802">
        <v>49</v>
      </c>
      <c r="C802" t="s">
        <v>33</v>
      </c>
      <c r="D802">
        <v>56</v>
      </c>
      <c r="E802" t="s">
        <v>1051</v>
      </c>
      <c r="F802" t="s">
        <v>5324</v>
      </c>
      <c r="G802" t="str">
        <f>B12_Assessment!A56</f>
        <v>B12-Q3</v>
      </c>
      <c r="H802" t="str">
        <f>B12_Assessment!B56</f>
        <v>Where does the Building 12 fiber terminate, and is the existing rack/demarc/closet to be touched?</v>
      </c>
      <c r="I802" t="str">
        <f>B12_Assessment!C56</f>
        <v>OIT / Contractor</v>
      </c>
      <c r="J802" t="str">
        <f>B12_Assessment!D56</f>
        <v>Closed</v>
      </c>
      <c r="K802">
        <f>B12_Assessment!E56</f>
        <v>0</v>
      </c>
      <c r="L802">
        <f>B12_Assessment!F56</f>
        <v>0</v>
      </c>
      <c r="M802" t="str">
        <f>B12_Assessment!G56</f>
        <v>Termination and ownership unclear</v>
      </c>
      <c r="N802">
        <f>B12_Assessment!H56</f>
        <v>0</v>
      </c>
      <c r="O802">
        <f>B12_Assessment!I56</f>
        <v>0</v>
      </c>
      <c r="P802">
        <f>B12_Assessment!J56</f>
        <v>0</v>
      </c>
      <c r="Q802" t="str">
        <f t="shared" si="12"/>
        <v>12|49</v>
      </c>
    </row>
    <row r="803" spans="1:17" ht="6.45" customHeight="1">
      <c r="A803" t="s">
        <v>2096</v>
      </c>
      <c r="B803">
        <v>50</v>
      </c>
      <c r="C803" t="s">
        <v>33</v>
      </c>
      <c r="D803">
        <v>57</v>
      </c>
      <c r="E803" t="s">
        <v>1051</v>
      </c>
      <c r="F803" t="s">
        <v>5324</v>
      </c>
      <c r="G803" t="str">
        <f>B12_Assessment!A57</f>
        <v>B12-Q4</v>
      </c>
      <c r="H803" t="str">
        <f>B12_Assessment!B57</f>
        <v>Are existing conduits/cable trays available and below fill limits for the new fiber?</v>
      </c>
      <c r="I803" t="str">
        <f>B12_Assessment!C57</f>
        <v>Telecom Contractor</v>
      </c>
      <c r="J803" t="str">
        <f>B12_Assessment!D57</f>
        <v>Closed</v>
      </c>
      <c r="K803">
        <f>B12_Assessment!E57</f>
        <v>0</v>
      </c>
      <c r="L803">
        <f>B12_Assessment!F57</f>
        <v>0</v>
      </c>
      <c r="M803" t="str">
        <f>B12_Assessment!G57</f>
        <v>Pathway capacity risk</v>
      </c>
      <c r="N803">
        <f>B12_Assessment!H57</f>
        <v>0</v>
      </c>
      <c r="O803">
        <f>B12_Assessment!I57</f>
        <v>0</v>
      </c>
      <c r="P803">
        <f>B12_Assessment!J57</f>
        <v>0</v>
      </c>
      <c r="Q803" t="str">
        <f t="shared" si="12"/>
        <v>12|50</v>
      </c>
    </row>
    <row r="804" spans="1:17" ht="6.45" customHeight="1">
      <c r="A804" t="s">
        <v>2096</v>
      </c>
      <c r="B804">
        <v>51</v>
      </c>
      <c r="C804" t="s">
        <v>33</v>
      </c>
      <c r="D804">
        <v>58</v>
      </c>
      <c r="E804" t="s">
        <v>1051</v>
      </c>
      <c r="F804" t="s">
        <v>5324</v>
      </c>
      <c r="G804" t="str">
        <f>B12_Assessment!A58</f>
        <v>B12-Q5</v>
      </c>
      <c r="H804" t="str">
        <f>B12_Assessment!B58</f>
        <v>Are there any floor/rated wall penetrations requiring firestop or temporary firestop during cable pull?</v>
      </c>
      <c r="I804" t="str">
        <f>B12_Assessment!C58</f>
        <v>GC / Firestop</v>
      </c>
      <c r="J804" t="str">
        <f>B12_Assessment!D58</f>
        <v>Closed</v>
      </c>
      <c r="K804">
        <f>B12_Assessment!E58</f>
        <v>0</v>
      </c>
      <c r="L804">
        <f>B12_Assessment!F58</f>
        <v>0</v>
      </c>
      <c r="M804" t="str">
        <f>B12_Assessment!G58</f>
        <v>Life safety/firestop risk</v>
      </c>
      <c r="N804">
        <f>B12_Assessment!H58</f>
        <v>0</v>
      </c>
      <c r="O804">
        <f>B12_Assessment!I58</f>
        <v>0</v>
      </c>
      <c r="P804">
        <f>B12_Assessment!J58</f>
        <v>0</v>
      </c>
      <c r="Q804" t="str">
        <f t="shared" si="12"/>
        <v>12|51</v>
      </c>
    </row>
    <row r="805" spans="1:17" ht="6.45" customHeight="1">
      <c r="A805" t="s">
        <v>2096</v>
      </c>
      <c r="B805">
        <v>52</v>
      </c>
      <c r="C805" t="s">
        <v>33</v>
      </c>
      <c r="D805">
        <v>59</v>
      </c>
      <c r="E805" t="s">
        <v>1051</v>
      </c>
      <c r="F805" t="s">
        <v>5324</v>
      </c>
      <c r="G805" t="str">
        <f>B12_Assessment!A59</f>
        <v>B12-Q6</v>
      </c>
      <c r="H805" t="str">
        <f>B12_Assessment!B59</f>
        <v>What is the approved cutover/testing/acceptance sequence for Building 12 fiber?</v>
      </c>
      <c r="I805" t="str">
        <f>B12_Assessment!C59</f>
        <v>OIT / COR / Contractor</v>
      </c>
      <c r="J805" t="str">
        <f>B12_Assessment!D59</f>
        <v>Closed</v>
      </c>
      <c r="K805">
        <f>B12_Assessment!E59</f>
        <v>0</v>
      </c>
      <c r="L805">
        <f>B12_Assessment!F59</f>
        <v>0</v>
      </c>
      <c r="M805" t="str">
        <f>B12_Assessment!G59</f>
        <v>Possible outage or acceptance delay</v>
      </c>
      <c r="N805">
        <f>B12_Assessment!H59</f>
        <v>0</v>
      </c>
      <c r="O805">
        <f>B12_Assessment!I59</f>
        <v>0</v>
      </c>
      <c r="P805">
        <f>B12_Assessment!J59</f>
        <v>0</v>
      </c>
      <c r="Q805" t="str">
        <f t="shared" si="12"/>
        <v>12|52</v>
      </c>
    </row>
    <row r="806" spans="1:17" ht="6.45" customHeight="1">
      <c r="A806" t="s">
        <v>2096</v>
      </c>
      <c r="B806">
        <v>53</v>
      </c>
      <c r="C806" t="s">
        <v>33</v>
      </c>
      <c r="D806">
        <v>60</v>
      </c>
      <c r="E806" t="s">
        <v>1051</v>
      </c>
      <c r="F806" t="s">
        <v>5324</v>
      </c>
      <c r="G806" t="str">
        <f>B12_Assessment!A60</f>
        <v>B12-Q7</v>
      </c>
      <c r="H806" t="str">
        <f>B12_Assessment!B60</f>
        <v>Which fiber test reports, labels, route documentation and as-builts are required for closeout?</v>
      </c>
      <c r="I806" t="str">
        <f>B12_Assessment!C60</f>
        <v>Telecom / GCC</v>
      </c>
      <c r="J806" t="str">
        <f>B12_Assessment!D60</f>
        <v>Closed</v>
      </c>
      <c r="K806">
        <f>B12_Assessment!E60</f>
        <v>0</v>
      </c>
      <c r="L806">
        <f>B12_Assessment!F60</f>
        <v>0</v>
      </c>
      <c r="M806" t="str">
        <f>B12_Assessment!G60</f>
        <v>Closeout documentation gap</v>
      </c>
      <c r="N806">
        <f>B12_Assessment!H60</f>
        <v>0</v>
      </c>
      <c r="O806">
        <f>B12_Assessment!I60</f>
        <v>0</v>
      </c>
      <c r="P806">
        <f>B12_Assessment!J60</f>
        <v>0</v>
      </c>
      <c r="Q806" t="str">
        <f t="shared" si="12"/>
        <v>12|53</v>
      </c>
    </row>
    <row r="807" spans="1:17" ht="6.45" customHeight="1">
      <c r="A807" t="s">
        <v>2096</v>
      </c>
      <c r="B807">
        <v>54</v>
      </c>
      <c r="C807" t="s">
        <v>33</v>
      </c>
      <c r="D807">
        <v>61</v>
      </c>
      <c r="E807" t="s">
        <v>1051</v>
      </c>
      <c r="F807" t="s">
        <v>5325</v>
      </c>
      <c r="G807">
        <f>B12_Assessment!A61</f>
        <v>0</v>
      </c>
      <c r="H807">
        <f>B12_Assessment!B61</f>
        <v>0</v>
      </c>
      <c r="I807">
        <f>B12_Assessment!C61</f>
        <v>0</v>
      </c>
      <c r="J807">
        <f>B12_Assessment!D61</f>
        <v>0</v>
      </c>
      <c r="K807">
        <f>B12_Assessment!E61</f>
        <v>0</v>
      </c>
      <c r="L807">
        <f>B12_Assessment!F61</f>
        <v>0</v>
      </c>
      <c r="M807">
        <f>B12_Assessment!G61</f>
        <v>0</v>
      </c>
      <c r="N807">
        <f>B12_Assessment!H61</f>
        <v>0</v>
      </c>
      <c r="O807">
        <f>B12_Assessment!I61</f>
        <v>0</v>
      </c>
      <c r="P807">
        <f>B12_Assessment!J61</f>
        <v>0</v>
      </c>
      <c r="Q807" t="str">
        <f t="shared" si="12"/>
        <v>12|54</v>
      </c>
    </row>
    <row r="808" spans="1:17" ht="6.45" customHeight="1">
      <c r="A808" t="s">
        <v>2096</v>
      </c>
      <c r="B808">
        <v>55</v>
      </c>
      <c r="C808" t="s">
        <v>33</v>
      </c>
      <c r="D808">
        <v>62</v>
      </c>
      <c r="E808" t="s">
        <v>1052</v>
      </c>
      <c r="F808" t="s">
        <v>5322</v>
      </c>
      <c r="G808" t="str">
        <f>B12_Assessment!A62</f>
        <v>10. PHOTO LOG</v>
      </c>
      <c r="H808">
        <f>B12_Assessment!B62</f>
        <v>0</v>
      </c>
      <c r="I808">
        <f>B12_Assessment!C62</f>
        <v>0</v>
      </c>
      <c r="J808">
        <f>B12_Assessment!D62</f>
        <v>0</v>
      </c>
      <c r="K808">
        <f>B12_Assessment!E62</f>
        <v>0</v>
      </c>
      <c r="L808">
        <f>B12_Assessment!F62</f>
        <v>0</v>
      </c>
      <c r="M808">
        <f>B12_Assessment!G62</f>
        <v>0</v>
      </c>
      <c r="N808">
        <f>B12_Assessment!H62</f>
        <v>0</v>
      </c>
      <c r="O808">
        <f>B12_Assessment!I62</f>
        <v>0</v>
      </c>
      <c r="P808">
        <f>B12_Assessment!J62</f>
        <v>0</v>
      </c>
      <c r="Q808" t="str">
        <f t="shared" si="12"/>
        <v>12|55</v>
      </c>
    </row>
    <row r="809" spans="1:17" ht="6.45" customHeight="1">
      <c r="A809" t="s">
        <v>2096</v>
      </c>
      <c r="B809">
        <v>56</v>
      </c>
      <c r="C809" t="s">
        <v>33</v>
      </c>
      <c r="D809">
        <v>63</v>
      </c>
      <c r="E809" t="s">
        <v>1052</v>
      </c>
      <c r="F809" t="s">
        <v>5323</v>
      </c>
      <c r="G809" t="str">
        <f>B12_Assessment!A63</f>
        <v>Photo ID</v>
      </c>
      <c r="H809" t="str">
        <f>B12_Assessment!B63</f>
        <v>Room</v>
      </c>
      <c r="I809" t="str">
        <f>B12_Assessment!C63</f>
        <v>Category</v>
      </c>
      <c r="J809" t="str">
        <f>B12_Assessment!D63</f>
        <v>Description</v>
      </c>
      <c r="K809" t="str">
        <f>B12_Assessment!E63</f>
        <v>Date</v>
      </c>
      <c r="L809" t="str">
        <f>B12_Assessment!F63</f>
        <v>Taken By</v>
      </c>
      <c r="M809" t="str">
        <f>B12_Assessment!G63</f>
        <v>File / Link</v>
      </c>
      <c r="N809" t="str">
        <f>B12_Assessment!H63</f>
        <v>Related Risk</v>
      </c>
      <c r="O809" t="str">
        <f>B12_Assessment!I63</f>
        <v>Status</v>
      </c>
      <c r="P809" t="str">
        <f>B12_Assessment!J63</f>
        <v>Notes</v>
      </c>
      <c r="Q809" t="str">
        <f t="shared" si="12"/>
        <v>12|56</v>
      </c>
    </row>
    <row r="810" spans="1:17" ht="6.45" customHeight="1">
      <c r="A810" t="s">
        <v>2096</v>
      </c>
      <c r="B810">
        <v>57</v>
      </c>
      <c r="C810" t="s">
        <v>33</v>
      </c>
      <c r="D810">
        <v>64</v>
      </c>
      <c r="E810" t="s">
        <v>1052</v>
      </c>
      <c r="F810" t="s">
        <v>5324</v>
      </c>
      <c r="G810" t="str">
        <f>B12_Assessment!A64</f>
        <v>B12-P001</v>
      </c>
      <c r="H810" t="str">
        <f>B12_Assessment!B64</f>
        <v>Fiber path B/1/2</v>
      </c>
      <c r="I810" t="str">
        <f>B12_Assessment!C64</f>
        <v>Existing Condition</v>
      </c>
      <c r="J810" t="str">
        <f>B12_Assessment!D64</f>
        <v>Existing conduit/cable tray/pathway from entry through basement/first/second levels</v>
      </c>
      <c r="K810">
        <f>B12_Assessment!E64</f>
        <v>0</v>
      </c>
      <c r="L810" t="str">
        <f>B12_Assessment!F64</f>
        <v>Paul</v>
      </c>
      <c r="M810">
        <f>B12_Assessment!G64</f>
        <v>0</v>
      </c>
      <c r="N810" t="str">
        <f>B12_Assessment!H64</f>
        <v>B12-R2</v>
      </c>
      <c r="O810" t="str">
        <f>B12_Assessment!I64</f>
        <v>Closed</v>
      </c>
      <c r="P810">
        <f>B12_Assessment!J64</f>
        <v>0</v>
      </c>
      <c r="Q810" t="str">
        <f t="shared" si="12"/>
        <v>12|57</v>
      </c>
    </row>
    <row r="811" spans="1:17" ht="6.45" customHeight="1">
      <c r="A811" t="s">
        <v>2096</v>
      </c>
      <c r="B811">
        <v>58</v>
      </c>
      <c r="C811" t="s">
        <v>33</v>
      </c>
      <c r="D811">
        <v>65</v>
      </c>
      <c r="E811" t="s">
        <v>1052</v>
      </c>
      <c r="F811" t="s">
        <v>5324</v>
      </c>
      <c r="G811" t="str">
        <f>B12_Assessment!A65</f>
        <v>B12-P002</v>
      </c>
      <c r="H811" t="str">
        <f>B12_Assessment!B65</f>
        <v>Existing rack/demarc - field verify</v>
      </c>
      <c r="I811" t="str">
        <f>B12_Assessment!C65</f>
        <v>Existing Condition</v>
      </c>
      <c r="J811" t="str">
        <f>B12_Assessment!D65</f>
        <v>Existing rack, demarc, serving closet or fiber termination/pass-through point</v>
      </c>
      <c r="K811">
        <f>B12_Assessment!E65</f>
        <v>0</v>
      </c>
      <c r="L811" t="str">
        <f>B12_Assessment!F65</f>
        <v>Paul</v>
      </c>
      <c r="M811">
        <f>B12_Assessment!G65</f>
        <v>0</v>
      </c>
      <c r="N811" t="str">
        <f>B12_Assessment!H65</f>
        <v>B12-R5</v>
      </c>
      <c r="O811" t="str">
        <f>B12_Assessment!I65</f>
        <v>Closed</v>
      </c>
      <c r="P811">
        <f>B12_Assessment!J65</f>
        <v>0</v>
      </c>
      <c r="Q811" t="str">
        <f t="shared" si="12"/>
        <v>12|58</v>
      </c>
    </row>
    <row r="812" spans="1:17" ht="6.45" customHeight="1">
      <c r="A812" t="s">
        <v>2096</v>
      </c>
      <c r="B812">
        <v>59</v>
      </c>
      <c r="C812" t="s">
        <v>33</v>
      </c>
      <c r="D812">
        <v>66</v>
      </c>
      <c r="E812" t="s">
        <v>1052</v>
      </c>
      <c r="F812" t="s">
        <v>5324</v>
      </c>
      <c r="G812" t="str">
        <f>B12_Assessment!A66</f>
        <v>B12-P003</v>
      </c>
      <c r="H812" t="str">
        <f>B12_Assessment!B66</f>
        <v>All</v>
      </c>
      <c r="I812" t="str">
        <f>B12_Assessment!C66</f>
        <v>Firestop</v>
      </c>
      <c r="J812" t="str">
        <f>B12_Assessment!D66</f>
        <v>All floor/wall/sleeve penetrations before pull, during work, and after permanent firestop</v>
      </c>
      <c r="K812">
        <f>B12_Assessment!E66</f>
        <v>0</v>
      </c>
      <c r="L812" t="str">
        <f>B12_Assessment!F66</f>
        <v>Paul</v>
      </c>
      <c r="M812">
        <f>B12_Assessment!G66</f>
        <v>0</v>
      </c>
      <c r="N812" t="str">
        <f>B12_Assessment!H66</f>
        <v>B12-R4</v>
      </c>
      <c r="O812" t="str">
        <f>B12_Assessment!I66</f>
        <v>Closed</v>
      </c>
      <c r="P812">
        <f>B12_Assessment!J66</f>
        <v>0</v>
      </c>
      <c r="Q812" t="str">
        <f t="shared" si="12"/>
        <v>12|59</v>
      </c>
    </row>
    <row r="813" spans="1:17" ht="6.45" customHeight="1">
      <c r="A813" t="s">
        <v>2096</v>
      </c>
      <c r="B813">
        <v>60</v>
      </c>
      <c r="C813" t="s">
        <v>33</v>
      </c>
      <c r="D813">
        <v>67</v>
      </c>
      <c r="E813" t="s">
        <v>1052</v>
      </c>
      <c r="F813" t="s">
        <v>5324</v>
      </c>
      <c r="G813" t="str">
        <f>B12_Assessment!A67</f>
        <v>B12-P004</v>
      </c>
      <c r="H813" t="str">
        <f>B12_Assessment!B67</f>
        <v>All</v>
      </c>
      <c r="I813" t="str">
        <f>B12_Assessment!C67</f>
        <v>Telecom</v>
      </c>
      <c r="J813" t="str">
        <f>B12_Assessment!D67</f>
        <v>Fiber reels, pull route, pull boxes, labels, slack loops, termination points and test records</v>
      </c>
      <c r="K813">
        <f>B12_Assessment!E67</f>
        <v>0</v>
      </c>
      <c r="L813" t="str">
        <f>B12_Assessment!F67</f>
        <v>Paul</v>
      </c>
      <c r="M813">
        <f>B12_Assessment!G67</f>
        <v>0</v>
      </c>
      <c r="N813" t="str">
        <f>B12_Assessment!H67</f>
        <v>B12-R3/B12-R6</v>
      </c>
      <c r="O813" t="str">
        <f>B12_Assessment!I67</f>
        <v>Closed</v>
      </c>
      <c r="P813">
        <f>B12_Assessment!J67</f>
        <v>0</v>
      </c>
      <c r="Q813" t="str">
        <f t="shared" si="12"/>
        <v>12|60</v>
      </c>
    </row>
    <row r="814" spans="1:17" ht="6.45" customHeight="1">
      <c r="A814" t="s">
        <v>2096</v>
      </c>
      <c r="B814">
        <v>61</v>
      </c>
      <c r="C814" t="s">
        <v>33</v>
      </c>
      <c r="D814">
        <v>68</v>
      </c>
      <c r="E814" t="s">
        <v>1052</v>
      </c>
      <c r="F814" t="s">
        <v>5324</v>
      </c>
      <c r="G814" t="str">
        <f>B12_Assessment!A68</f>
        <v>B12-P005</v>
      </c>
      <c r="H814" t="str">
        <f>B12_Assessment!B68</f>
        <v>All</v>
      </c>
      <c r="I814" t="str">
        <f>B12_Assessment!C68</f>
        <v>Closeout</v>
      </c>
      <c r="J814" t="str">
        <f>B12_Assessment!D68</f>
        <v>Fiber certification/OTDR screenshots, labeling, as-built route and VA/OIT acceptance evidence</v>
      </c>
      <c r="K814">
        <f>B12_Assessment!E68</f>
        <v>0</v>
      </c>
      <c r="L814" t="str">
        <f>B12_Assessment!F68</f>
        <v>Paul</v>
      </c>
      <c r="M814">
        <f>B12_Assessment!G68</f>
        <v>0</v>
      </c>
      <c r="N814" t="str">
        <f>B12_Assessment!H68</f>
        <v>B12-R6</v>
      </c>
      <c r="O814" t="str">
        <f>B12_Assessment!I68</f>
        <v>Closed</v>
      </c>
      <c r="P814">
        <f>B12_Assessment!J68</f>
        <v>0</v>
      </c>
      <c r="Q814" t="str">
        <f t="shared" si="12"/>
        <v>12|61</v>
      </c>
    </row>
    <row r="815" spans="1:17" ht="6.45" customHeight="1">
      <c r="A815" t="s">
        <v>2096</v>
      </c>
      <c r="B815">
        <v>62</v>
      </c>
      <c r="C815" t="s">
        <v>33</v>
      </c>
      <c r="D815">
        <v>69</v>
      </c>
      <c r="E815" t="s">
        <v>1052</v>
      </c>
      <c r="F815" t="s">
        <v>5325</v>
      </c>
      <c r="G815">
        <f>B12_Assessment!A69</f>
        <v>0</v>
      </c>
      <c r="H815">
        <f>B12_Assessment!B69</f>
        <v>0</v>
      </c>
      <c r="I815">
        <f>B12_Assessment!C69</f>
        <v>0</v>
      </c>
      <c r="J815">
        <f>B12_Assessment!D69</f>
        <v>0</v>
      </c>
      <c r="K815">
        <f>B12_Assessment!E69</f>
        <v>0</v>
      </c>
      <c r="L815">
        <f>B12_Assessment!F69</f>
        <v>0</v>
      </c>
      <c r="M815">
        <f>B12_Assessment!G69</f>
        <v>0</v>
      </c>
      <c r="N815">
        <f>B12_Assessment!H69</f>
        <v>0</v>
      </c>
      <c r="O815">
        <f>B12_Assessment!I69</f>
        <v>0</v>
      </c>
      <c r="P815">
        <f>B12_Assessment!J69</f>
        <v>0</v>
      </c>
      <c r="Q815" t="str">
        <f t="shared" si="12"/>
        <v>12|62</v>
      </c>
    </row>
    <row r="816" spans="1:17" ht="6.45" customHeight="1">
      <c r="A816" t="s">
        <v>698</v>
      </c>
      <c r="B816">
        <v>1</v>
      </c>
      <c r="C816" t="s">
        <v>35</v>
      </c>
      <c r="D816">
        <v>8</v>
      </c>
      <c r="E816" t="s">
        <v>918</v>
      </c>
      <c r="F816" t="s">
        <v>5322</v>
      </c>
      <c r="G816" t="str">
        <f>B13_Assessment!A8</f>
        <v>1. ROOM INVENTORY</v>
      </c>
      <c r="H816">
        <f>B13_Assessment!B8</f>
        <v>0</v>
      </c>
      <c r="I816">
        <f>B13_Assessment!C8</f>
        <v>0</v>
      </c>
      <c r="J816">
        <f>B13_Assessment!D8</f>
        <v>0</v>
      </c>
      <c r="K816">
        <f>B13_Assessment!E8</f>
        <v>0</v>
      </c>
      <c r="L816">
        <f>B13_Assessment!F8</f>
        <v>0</v>
      </c>
      <c r="M816">
        <f>B13_Assessment!G8</f>
        <v>0</v>
      </c>
      <c r="N816">
        <f>B13_Assessment!H8</f>
        <v>0</v>
      </c>
      <c r="O816">
        <f>B13_Assessment!I8</f>
        <v>0</v>
      </c>
      <c r="P816">
        <f>B13_Assessment!J8</f>
        <v>0</v>
      </c>
      <c r="Q816" t="str">
        <f t="shared" si="12"/>
        <v>13|1</v>
      </c>
    </row>
    <row r="817" spans="1:17" ht="6.45" customHeight="1">
      <c r="A817" t="s">
        <v>698</v>
      </c>
      <c r="B817">
        <v>2</v>
      </c>
      <c r="C817" t="s">
        <v>35</v>
      </c>
      <c r="D817">
        <v>9</v>
      </c>
      <c r="E817" t="s">
        <v>918</v>
      </c>
      <c r="F817" t="s">
        <v>5323</v>
      </c>
      <c r="G817" t="str">
        <f>B13_Assessment!A9</f>
        <v>Building</v>
      </c>
      <c r="H817" t="str">
        <f>B13_Assessment!B9</f>
        <v>Room</v>
      </c>
      <c r="I817" t="str">
        <f>B13_Assessment!C9</f>
        <v>Floor</v>
      </c>
      <c r="J817" t="str">
        <f>B13_Assessment!D9</f>
        <v>Existing Use</v>
      </c>
      <c r="K817" t="str">
        <f>B13_Assessment!E9</f>
        <v>New Use</v>
      </c>
      <c r="L817" t="str">
        <f>B13_Assessment!F9</f>
        <v>Rack Count</v>
      </c>
      <c r="M817" t="str">
        <f>B13_Assessment!G9</f>
        <v>Future Rack</v>
      </c>
      <c r="N817" t="str">
        <f>B13_Assessment!H9</f>
        <v>Status</v>
      </c>
      <c r="O817" t="str">
        <f>B13_Assessment!I9</f>
        <v>Drawing Ref</v>
      </c>
      <c r="P817" t="str">
        <f>B13_Assessment!J9</f>
        <v>Notes</v>
      </c>
      <c r="Q817" t="str">
        <f t="shared" si="12"/>
        <v>13|2</v>
      </c>
    </row>
    <row r="818" spans="1:17" ht="6.45" customHeight="1">
      <c r="A818" t="s">
        <v>698</v>
      </c>
      <c r="B818">
        <v>3</v>
      </c>
      <c r="C818" t="s">
        <v>35</v>
      </c>
      <c r="D818">
        <v>10</v>
      </c>
      <c r="E818" t="s">
        <v>918</v>
      </c>
      <c r="F818" t="s">
        <v>5324</v>
      </c>
      <c r="G818" t="str">
        <f>B13_Assessment!A10</f>
        <v>13</v>
      </c>
      <c r="H818" t="str">
        <f>B13_Assessment!B10</f>
        <v>124</v>
      </c>
      <c r="I818" t="str">
        <f>B13_Assessment!C10</f>
        <v>First</v>
      </c>
      <c r="J818" t="str">
        <f>B13_Assessment!D10</f>
        <v>Telecom Room / new TR build area</v>
      </c>
      <c r="K818" t="str">
        <f>B13_Assessment!E10</f>
        <v>Telecom Room</v>
      </c>
      <c r="L818">
        <f>B13_Assessment!F10</f>
        <v>2</v>
      </c>
      <c r="M818">
        <f>B13_Assessment!G10</f>
        <v>1</v>
      </c>
      <c r="N818" t="str">
        <f>B13_Assessment!H10</f>
        <v>Verify</v>
      </c>
      <c r="O818" t="str">
        <f>B13_Assessment!I10</f>
        <v>13A-401 / 13E-401 / 13T-100 / 13T-701</v>
      </c>
      <c r="P818" t="str">
        <f>B13_Assessment!J10</f>
        <v>Primary Building 13 TR. Plans identify Telecom Room 124 at 119 SF, served by Rack ID TR01-124-1, panels B13-TR124AA/AB, 240V UPS/PDU rack power, IU-1-01/CU-1-01 cooling, and a future rack allowance.</v>
      </c>
      <c r="Q818" t="str">
        <f t="shared" si="12"/>
        <v>13|3</v>
      </c>
    </row>
    <row r="819" spans="1:17" ht="6.45" customHeight="1">
      <c r="A819" t="s">
        <v>698</v>
      </c>
      <c r="B819">
        <v>4</v>
      </c>
      <c r="C819" t="s">
        <v>35</v>
      </c>
      <c r="D819">
        <v>11</v>
      </c>
      <c r="E819" t="s">
        <v>918</v>
      </c>
      <c r="F819" t="s">
        <v>5324</v>
      </c>
      <c r="G819" t="str">
        <f>B13_Assessment!A11</f>
        <v>13</v>
      </c>
      <c r="H819" t="str">
        <f>B13_Assessment!B11</f>
        <v>222</v>
      </c>
      <c r="I819" t="str">
        <f>B13_Assessment!C11</f>
        <v>Second</v>
      </c>
      <c r="J819" t="str">
        <f>B13_Assessment!D11</f>
        <v>Existing Tel Room / existing rack and patching area</v>
      </c>
      <c r="K819" t="str">
        <f>B13_Assessment!E11</f>
        <v>Existing telecom transition point</v>
      </c>
      <c r="L819">
        <f>B13_Assessment!F11</f>
        <v>1</v>
      </c>
      <c r="M819">
        <f>B13_Assessment!G11</f>
        <v>0</v>
      </c>
      <c r="N819" t="str">
        <f>B13_Assessment!H11</f>
        <v>Verify</v>
      </c>
      <c r="O819" t="str">
        <f>B13_Assessment!I11</f>
        <v>13T-100 / 13R-900</v>
      </c>
      <c r="P819" t="str">
        <f>B13_Assessment!J11</f>
        <v>Existing second-level Tel Room 222 shown with existing telco patch, plywood backboard, indoor AC unit, wall-mounted rack, patch panel, and security cabinet. Protect active services and verify what is transferred to Room 124.</v>
      </c>
      <c r="Q819" t="str">
        <f t="shared" si="12"/>
        <v>13|4</v>
      </c>
    </row>
    <row r="820" spans="1:17" ht="6.45" customHeight="1">
      <c r="A820" t="s">
        <v>698</v>
      </c>
      <c r="B820">
        <v>5</v>
      </c>
      <c r="C820" t="s">
        <v>35</v>
      </c>
      <c r="D820">
        <v>12</v>
      </c>
      <c r="E820" t="s">
        <v>918</v>
      </c>
      <c r="F820" t="s">
        <v>5325</v>
      </c>
      <c r="G820">
        <f>B13_Assessment!A12</f>
        <v>0</v>
      </c>
      <c r="H820">
        <f>B13_Assessment!B12</f>
        <v>0</v>
      </c>
      <c r="I820">
        <f>B13_Assessment!C12</f>
        <v>0</v>
      </c>
      <c r="J820">
        <f>B13_Assessment!D12</f>
        <v>0</v>
      </c>
      <c r="K820">
        <f>B13_Assessment!E12</f>
        <v>0</v>
      </c>
      <c r="L820">
        <f>B13_Assessment!F12</f>
        <v>0</v>
      </c>
      <c r="M820">
        <f>B13_Assessment!G12</f>
        <v>0</v>
      </c>
      <c r="N820">
        <f>B13_Assessment!H12</f>
        <v>0</v>
      </c>
      <c r="O820">
        <f>B13_Assessment!I12</f>
        <v>0</v>
      </c>
      <c r="P820">
        <f>B13_Assessment!J12</f>
        <v>0</v>
      </c>
      <c r="Q820" t="str">
        <f t="shared" si="12"/>
        <v>13|5</v>
      </c>
    </row>
    <row r="821" spans="1:17" ht="6.45" customHeight="1">
      <c r="A821" t="s">
        <v>698</v>
      </c>
      <c r="B821">
        <v>6</v>
      </c>
      <c r="C821" t="s">
        <v>35</v>
      </c>
      <c r="D821">
        <v>13</v>
      </c>
      <c r="E821" t="s">
        <v>936</v>
      </c>
      <c r="F821" t="s">
        <v>5322</v>
      </c>
      <c r="G821" t="str">
        <f>B13_Assessment!A13</f>
        <v>2. ROOM READINESS</v>
      </c>
      <c r="H821">
        <f>B13_Assessment!B13</f>
        <v>0</v>
      </c>
      <c r="I821">
        <f>B13_Assessment!C13</f>
        <v>0</v>
      </c>
      <c r="J821">
        <f>B13_Assessment!D13</f>
        <v>0</v>
      </c>
      <c r="K821">
        <f>B13_Assessment!E13</f>
        <v>0</v>
      </c>
      <c r="L821">
        <f>B13_Assessment!F13</f>
        <v>0</v>
      </c>
      <c r="M821">
        <f>B13_Assessment!G13</f>
        <v>0</v>
      </c>
      <c r="N821">
        <f>B13_Assessment!H13</f>
        <v>0</v>
      </c>
      <c r="O821">
        <f>B13_Assessment!I13</f>
        <v>0</v>
      </c>
      <c r="P821">
        <f>B13_Assessment!J13</f>
        <v>0</v>
      </c>
      <c r="Q821" t="str">
        <f t="shared" si="12"/>
        <v>13|6</v>
      </c>
    </row>
    <row r="822" spans="1:17" ht="6.45" customHeight="1">
      <c r="A822" t="s">
        <v>698</v>
      </c>
      <c r="B822">
        <v>7</v>
      </c>
      <c r="C822" t="s">
        <v>35</v>
      </c>
      <c r="D822">
        <v>14</v>
      </c>
      <c r="E822" t="s">
        <v>936</v>
      </c>
      <c r="F822" t="s">
        <v>5323</v>
      </c>
      <c r="G822" t="str">
        <f>B13_Assessment!A14</f>
        <v>Room</v>
      </c>
      <c r="H822" t="str">
        <f>B13_Assessment!B14</f>
        <v>Walls / 1-hr Rating</v>
      </c>
      <c r="I822" t="str">
        <f>B13_Assessment!C14</f>
        <v>Ceiling</v>
      </c>
      <c r="J822" t="str">
        <f>B13_Assessment!D14</f>
        <v>Floor / SDC</v>
      </c>
      <c r="K822" t="str">
        <f>B13_Assessment!E14</f>
        <v>Penetrations</v>
      </c>
      <c r="L822" t="str">
        <f>B13_Assessment!F14</f>
        <v>Access Control</v>
      </c>
      <c r="M822" t="str">
        <f>B13_Assessment!G14</f>
        <v>Clearances</v>
      </c>
      <c r="N822" t="str">
        <f>B13_Assessment!H14</f>
        <v>Housekeeping</v>
      </c>
      <c r="O822" t="str">
        <f>B13_Assessment!I14</f>
        <v>Overall</v>
      </c>
      <c r="P822" t="str">
        <f>B13_Assessment!J14</f>
        <v>Comments</v>
      </c>
      <c r="Q822" t="str">
        <f t="shared" si="12"/>
        <v>13|7</v>
      </c>
    </row>
    <row r="823" spans="1:17" ht="6.45" customHeight="1">
      <c r="A823" t="s">
        <v>698</v>
      </c>
      <c r="B823">
        <v>8</v>
      </c>
      <c r="C823" t="s">
        <v>35</v>
      </c>
      <c r="D823">
        <v>15</v>
      </c>
      <c r="E823" t="s">
        <v>936</v>
      </c>
      <c r="F823" t="s">
        <v>5324</v>
      </c>
      <c r="G823" t="str">
        <f>B13_Assessment!A15</f>
        <v>124</v>
      </c>
      <c r="H823" t="str">
        <f>B13_Assessment!B15</f>
        <v>Verify</v>
      </c>
      <c r="I823" t="str">
        <f>B13_Assessment!C15</f>
        <v>Verify</v>
      </c>
      <c r="J823" t="str">
        <f>B13_Assessment!D15</f>
        <v>Verify</v>
      </c>
      <c r="K823" t="str">
        <f>B13_Assessment!E15</f>
        <v>Verify</v>
      </c>
      <c r="L823" t="str">
        <f>B13_Assessment!F15</f>
        <v>Verify</v>
      </c>
      <c r="M823" t="str">
        <f>B13_Assessment!G15</f>
        <v>Verify</v>
      </c>
      <c r="N823" t="str">
        <f>B13_Assessment!H15</f>
        <v>Verify</v>
      </c>
      <c r="O823" t="str">
        <f>B13_Assessment!I15</f>
        <v>Verify</v>
      </c>
      <c r="P823" t="str">
        <f>B13_Assessment!J15</f>
        <v>First-level TR; verify 1-hour fire/smoke-rated enclosure, open-to-deck conditions, door hardware/access control, static-control floor sealer, rack clearances, wall backing, and pathway entry points.</v>
      </c>
      <c r="Q823" t="str">
        <f t="shared" si="12"/>
        <v>13|8</v>
      </c>
    </row>
    <row r="824" spans="1:17" ht="6.45" customHeight="1">
      <c r="A824" t="s">
        <v>698</v>
      </c>
      <c r="B824">
        <v>9</v>
      </c>
      <c r="C824" t="s">
        <v>35</v>
      </c>
      <c r="D824">
        <v>16</v>
      </c>
      <c r="E824" t="s">
        <v>936</v>
      </c>
      <c r="F824" t="s">
        <v>5324</v>
      </c>
      <c r="G824" t="str">
        <f>B13_Assessment!A16</f>
        <v>222</v>
      </c>
      <c r="H824" t="str">
        <f>B13_Assessment!B16</f>
        <v>Existing / Verify</v>
      </c>
      <c r="I824" t="str">
        <f>B13_Assessment!C16</f>
        <v>Existing / Verify</v>
      </c>
      <c r="J824" t="str">
        <f>B13_Assessment!D16</f>
        <v>Existing / Verify</v>
      </c>
      <c r="K824" t="str">
        <f>B13_Assessment!E16</f>
        <v>Verify</v>
      </c>
      <c r="L824" t="str">
        <f>B13_Assessment!F16</f>
        <v>Verify</v>
      </c>
      <c r="M824" t="str">
        <f>B13_Assessment!G16</f>
        <v>Verify</v>
      </c>
      <c r="N824" t="str">
        <f>B13_Assessment!H16</f>
        <v>Verify</v>
      </c>
      <c r="O824" t="str">
        <f>B13_Assessment!I16</f>
        <v>Verify</v>
      </c>
      <c r="P824" t="str">
        <f>B13_Assessment!J16</f>
        <v>Existing second-floor tel room; verify existing equipment status, pathway, AC unit, backboard, and transition/abandonment scope.</v>
      </c>
      <c r="Q824" t="str">
        <f t="shared" si="12"/>
        <v>13|9</v>
      </c>
    </row>
    <row r="825" spans="1:17" ht="6.45" customHeight="1">
      <c r="A825" t="s">
        <v>698</v>
      </c>
      <c r="B825">
        <v>10</v>
      </c>
      <c r="C825" t="s">
        <v>35</v>
      </c>
      <c r="D825">
        <v>17</v>
      </c>
      <c r="E825" t="s">
        <v>936</v>
      </c>
      <c r="F825" t="s">
        <v>5325</v>
      </c>
      <c r="G825">
        <f>B13_Assessment!A17</f>
        <v>0</v>
      </c>
      <c r="H825">
        <f>B13_Assessment!B17</f>
        <v>0</v>
      </c>
      <c r="I825">
        <f>B13_Assessment!C17</f>
        <v>0</v>
      </c>
      <c r="J825">
        <f>B13_Assessment!D17</f>
        <v>0</v>
      </c>
      <c r="K825">
        <f>B13_Assessment!E17</f>
        <v>0</v>
      </c>
      <c r="L825">
        <f>B13_Assessment!F17</f>
        <v>0</v>
      </c>
      <c r="M825">
        <f>B13_Assessment!G17</f>
        <v>0</v>
      </c>
      <c r="N825">
        <f>B13_Assessment!H17</f>
        <v>0</v>
      </c>
      <c r="O825">
        <f>B13_Assessment!I17</f>
        <v>0</v>
      </c>
      <c r="P825">
        <f>B13_Assessment!J17</f>
        <v>0</v>
      </c>
      <c r="Q825" t="str">
        <f t="shared" si="12"/>
        <v>13|10</v>
      </c>
    </row>
    <row r="826" spans="1:17" ht="6.45" customHeight="1">
      <c r="A826" t="s">
        <v>698</v>
      </c>
      <c r="B826">
        <v>11</v>
      </c>
      <c r="C826" t="s">
        <v>35</v>
      </c>
      <c r="D826">
        <v>18</v>
      </c>
      <c r="E826" t="s">
        <v>951</v>
      </c>
      <c r="F826" t="s">
        <v>5322</v>
      </c>
      <c r="G826" t="str">
        <f>B13_Assessment!A18</f>
        <v>3. FIRE PROTECTION</v>
      </c>
      <c r="H826">
        <f>B13_Assessment!B18</f>
        <v>0</v>
      </c>
      <c r="I826">
        <f>B13_Assessment!C18</f>
        <v>0</v>
      </c>
      <c r="J826">
        <f>B13_Assessment!D18</f>
        <v>0</v>
      </c>
      <c r="K826">
        <f>B13_Assessment!E18</f>
        <v>0</v>
      </c>
      <c r="L826">
        <f>B13_Assessment!F18</f>
        <v>0</v>
      </c>
      <c r="M826">
        <f>B13_Assessment!G18</f>
        <v>0</v>
      </c>
      <c r="N826">
        <f>B13_Assessment!H18</f>
        <v>0</v>
      </c>
      <c r="O826">
        <f>B13_Assessment!I18</f>
        <v>0</v>
      </c>
      <c r="P826">
        <f>B13_Assessment!J18</f>
        <v>0</v>
      </c>
      <c r="Q826" t="str">
        <f t="shared" si="12"/>
        <v>13|11</v>
      </c>
    </row>
    <row r="827" spans="1:17" ht="6.45" customHeight="1">
      <c r="A827" t="s">
        <v>698</v>
      </c>
      <c r="B827">
        <v>12</v>
      </c>
      <c r="C827" t="s">
        <v>35</v>
      </c>
      <c r="D827">
        <v>19</v>
      </c>
      <c r="E827" t="s">
        <v>951</v>
      </c>
      <c r="F827" t="s">
        <v>5323</v>
      </c>
      <c r="G827" t="str">
        <f>B13_Assessment!A19</f>
        <v>Room</v>
      </c>
      <c r="H827" t="str">
        <f>B13_Assessment!B19</f>
        <v>Sprinkler</v>
      </c>
      <c r="I827" t="str">
        <f>B13_Assessment!C19</f>
        <v>Cage</v>
      </c>
      <c r="J827" t="str">
        <f>B13_Assessment!D19</f>
        <v>Detector</v>
      </c>
      <c r="K827" t="str">
        <f>B13_Assessment!E19</f>
        <v>Horn/Strobe</v>
      </c>
      <c r="L827" t="str">
        <f>B13_Assessment!F19</f>
        <v>Extinguisher &lt;75 ft</v>
      </c>
      <c r="M827" t="str">
        <f>B13_Assessment!G19</f>
        <v>Firestop</v>
      </c>
      <c r="N827" t="str">
        <f>B13_Assessment!H19</f>
        <v>Temp Firestop</v>
      </c>
      <c r="O827" t="str">
        <f>B13_Assessment!I19</f>
        <v>Overall</v>
      </c>
      <c r="P827" t="str">
        <f>B13_Assessment!J19</f>
        <v>Risk / Notes</v>
      </c>
      <c r="Q827" t="str">
        <f t="shared" si="12"/>
        <v>13|12</v>
      </c>
    </row>
    <row r="828" spans="1:17" ht="6.45" customHeight="1">
      <c r="A828" t="s">
        <v>698</v>
      </c>
      <c r="B828">
        <v>13</v>
      </c>
      <c r="C828" t="s">
        <v>35</v>
      </c>
      <c r="D828">
        <v>20</v>
      </c>
      <c r="E828" t="s">
        <v>951</v>
      </c>
      <c r="F828" t="s">
        <v>5324</v>
      </c>
      <c r="G828" t="str">
        <f>B13_Assessment!A20</f>
        <v>124</v>
      </c>
      <c r="H828" t="str">
        <f>B13_Assessment!B20</f>
        <v>Verify</v>
      </c>
      <c r="I828" t="str">
        <f>B13_Assessment!C20</f>
        <v>Verify</v>
      </c>
      <c r="J828" t="str">
        <f>B13_Assessment!D20</f>
        <v>Verify</v>
      </c>
      <c r="K828" t="str">
        <f>B13_Assessment!E20</f>
        <v>Verify</v>
      </c>
      <c r="L828" t="str">
        <f>B13_Assessment!F20</f>
        <v>Verify</v>
      </c>
      <c r="M828" t="str">
        <f>B13_Assessment!G20</f>
        <v>Verify</v>
      </c>
      <c r="N828" t="str">
        <f>B13_Assessment!H20</f>
        <v>Verify</v>
      </c>
      <c r="O828" t="str">
        <f>B13_Assessment!I20</f>
        <v>Verify</v>
      </c>
      <c r="P828" t="str">
        <f>B13_Assessment!J20</f>
        <v>Fully sprinklered building; confirm sprinkler/fire alarm modifications, clean-agent 2A:10B:C extinguisher within 75 ft, rated wall/ceiling penetrations, and temporary firestopping during cable pulls.</v>
      </c>
      <c r="Q828" t="str">
        <f t="shared" si="12"/>
        <v>13|13</v>
      </c>
    </row>
    <row r="829" spans="1:17" ht="6.45" customHeight="1">
      <c r="A829" t="s">
        <v>698</v>
      </c>
      <c r="B829">
        <v>14</v>
      </c>
      <c r="C829" t="s">
        <v>35</v>
      </c>
      <c r="D829">
        <v>21</v>
      </c>
      <c r="E829" t="s">
        <v>951</v>
      </c>
      <c r="F829" t="s">
        <v>5324</v>
      </c>
      <c r="G829" t="str">
        <f>B13_Assessment!A21</f>
        <v>222</v>
      </c>
      <c r="H829" t="str">
        <f>B13_Assessment!B21</f>
        <v>Verify</v>
      </c>
      <c r="I829" t="str">
        <f>B13_Assessment!C21</f>
        <v>N/A</v>
      </c>
      <c r="J829" t="str">
        <f>B13_Assessment!D21</f>
        <v>Verify</v>
      </c>
      <c r="K829" t="str">
        <f>B13_Assessment!E21</f>
        <v>Verify</v>
      </c>
      <c r="L829" t="str">
        <f>B13_Assessment!F21</f>
        <v>Verify</v>
      </c>
      <c r="M829" t="str">
        <f>B13_Assessment!G21</f>
        <v>Verify</v>
      </c>
      <c r="N829" t="str">
        <f>B13_Assessment!H21</f>
        <v>Verify</v>
      </c>
      <c r="O829" t="str">
        <f>B13_Assessment!I21</f>
        <v>Verify</v>
      </c>
      <c r="P829" t="str">
        <f>B13_Assessment!J21</f>
        <v>Existing tel room; verify fire alarm/sprinkler protection-in-place and seal any removed/reused penetration after cutover.</v>
      </c>
      <c r="Q829" t="str">
        <f t="shared" si="12"/>
        <v>13|14</v>
      </c>
    </row>
    <row r="830" spans="1:17" ht="6.45" customHeight="1">
      <c r="A830" t="s">
        <v>698</v>
      </c>
      <c r="B830">
        <v>15</v>
      </c>
      <c r="C830" t="s">
        <v>35</v>
      </c>
      <c r="D830">
        <v>22</v>
      </c>
      <c r="E830" t="s">
        <v>951</v>
      </c>
      <c r="F830" t="s">
        <v>5325</v>
      </c>
      <c r="G830">
        <f>B13_Assessment!A22</f>
        <v>0</v>
      </c>
      <c r="H830">
        <f>B13_Assessment!B22</f>
        <v>0</v>
      </c>
      <c r="I830">
        <f>B13_Assessment!C22</f>
        <v>0</v>
      </c>
      <c r="J830">
        <f>B13_Assessment!D22</f>
        <v>0</v>
      </c>
      <c r="K830">
        <f>B13_Assessment!E22</f>
        <v>0</v>
      </c>
      <c r="L830">
        <f>B13_Assessment!F22</f>
        <v>0</v>
      </c>
      <c r="M830">
        <f>B13_Assessment!G22</f>
        <v>0</v>
      </c>
      <c r="N830">
        <f>B13_Assessment!H22</f>
        <v>0</v>
      </c>
      <c r="O830">
        <f>B13_Assessment!I22</f>
        <v>0</v>
      </c>
      <c r="P830">
        <f>B13_Assessment!J22</f>
        <v>0</v>
      </c>
      <c r="Q830" t="str">
        <f t="shared" si="12"/>
        <v>13|15</v>
      </c>
    </row>
    <row r="831" spans="1:17" ht="6.45" customHeight="1">
      <c r="A831" t="s">
        <v>698</v>
      </c>
      <c r="B831">
        <v>16</v>
      </c>
      <c r="C831" t="s">
        <v>35</v>
      </c>
      <c r="D831">
        <v>23</v>
      </c>
      <c r="E831" t="s">
        <v>964</v>
      </c>
      <c r="F831" t="s">
        <v>5322</v>
      </c>
      <c r="G831" t="str">
        <f>B13_Assessment!A23</f>
        <v>4. HVAC / COOLING</v>
      </c>
      <c r="H831">
        <f>B13_Assessment!B23</f>
        <v>0</v>
      </c>
      <c r="I831">
        <f>B13_Assessment!C23</f>
        <v>0</v>
      </c>
      <c r="J831">
        <f>B13_Assessment!D23</f>
        <v>0</v>
      </c>
      <c r="K831">
        <f>B13_Assessment!E23</f>
        <v>0</v>
      </c>
      <c r="L831">
        <f>B13_Assessment!F23</f>
        <v>0</v>
      </c>
      <c r="M831">
        <f>B13_Assessment!G23</f>
        <v>0</v>
      </c>
      <c r="N831">
        <f>B13_Assessment!H23</f>
        <v>0</v>
      </c>
      <c r="O831">
        <f>B13_Assessment!I23</f>
        <v>0</v>
      </c>
      <c r="P831">
        <f>B13_Assessment!J23</f>
        <v>0</v>
      </c>
      <c r="Q831" t="str">
        <f t="shared" si="12"/>
        <v>13|16</v>
      </c>
    </row>
    <row r="832" spans="1:17" ht="6.45" customHeight="1">
      <c r="A832" t="s">
        <v>698</v>
      </c>
      <c r="B832">
        <v>17</v>
      </c>
      <c r="C832" t="s">
        <v>35</v>
      </c>
      <c r="D832">
        <v>24</v>
      </c>
      <c r="E832" t="s">
        <v>964</v>
      </c>
      <c r="F832" t="s">
        <v>5323</v>
      </c>
      <c r="G832" t="str">
        <f>B13_Assessment!A24</f>
        <v>Room</v>
      </c>
      <c r="H832" t="str">
        <f>B13_Assessment!B24</f>
        <v>Dedicated Unit</v>
      </c>
      <c r="I832" t="str">
        <f>B13_Assessment!C24</f>
        <v>Capacity Verified</v>
      </c>
      <c r="J832" t="str">
        <f>B13_Assessment!D24</f>
        <v>Emergency Power</v>
      </c>
      <c r="K832" t="str">
        <f>B13_Assessment!E24</f>
        <v>Controls / BACnet</v>
      </c>
      <c r="L832" t="str">
        <f>B13_Assessment!F24</f>
        <v>Condensate Routed</v>
      </c>
      <c r="M832" t="str">
        <f>B13_Assessment!G24</f>
        <v>High Temp Alarm</v>
      </c>
      <c r="N832" t="str">
        <f>B13_Assessment!H24</f>
        <v>24/7 Operation</v>
      </c>
      <c r="O832" t="str">
        <f>B13_Assessment!I24</f>
        <v>Overall</v>
      </c>
      <c r="P832" t="str">
        <f>B13_Assessment!J24</f>
        <v>Risk / Notes</v>
      </c>
      <c r="Q832" t="str">
        <f t="shared" si="12"/>
        <v>13|17</v>
      </c>
    </row>
    <row r="833" spans="1:17" ht="6.45" customHeight="1">
      <c r="A833" t="s">
        <v>698</v>
      </c>
      <c r="B833">
        <v>18</v>
      </c>
      <c r="C833" t="s">
        <v>35</v>
      </c>
      <c r="D833">
        <v>25</v>
      </c>
      <c r="E833" t="s">
        <v>964</v>
      </c>
      <c r="F833" t="s">
        <v>5324</v>
      </c>
      <c r="G833" t="str">
        <f>B13_Assessment!A25</f>
        <v>124</v>
      </c>
      <c r="H833" t="str">
        <f>B13_Assessment!B25</f>
        <v>IU-1-01 / CU-1-01</v>
      </c>
      <c r="I833" t="str">
        <f>B13_Assessment!C25</f>
        <v>Verify</v>
      </c>
      <c r="J833" t="str">
        <f>B13_Assessment!D25</f>
        <v>Verify</v>
      </c>
      <c r="K833" t="str">
        <f>B13_Assessment!E25</f>
        <v>Verify</v>
      </c>
      <c r="L833" t="str">
        <f>B13_Assessment!F25</f>
        <v>Verify</v>
      </c>
      <c r="M833" t="str">
        <f>B13_Assessment!G25</f>
        <v>Verify</v>
      </c>
      <c r="N833" t="str">
        <f>B13_Assessment!H25</f>
        <v>Verify</v>
      </c>
      <c r="O833" t="str">
        <f>B13_Assessment!I25</f>
        <v>Verify</v>
      </c>
      <c r="P833" t="str">
        <f>B13_Assessment!J25</f>
        <v>Mechanical/electrical drawings show IU-1-01 in Telecom Room 124 and CU-1-01 outdoor unit. Confirm capacity, emergency/standby source, BACnet adapter, thermostat/control point, condensate path, disconnects, and high-temperature alarm.</v>
      </c>
      <c r="Q833" t="str">
        <f t="shared" si="12"/>
        <v>13|18</v>
      </c>
    </row>
    <row r="834" spans="1:17" ht="6.45" customHeight="1">
      <c r="A834" t="s">
        <v>698</v>
      </c>
      <c r="B834">
        <v>19</v>
      </c>
      <c r="C834" t="s">
        <v>35</v>
      </c>
      <c r="D834">
        <v>26</v>
      </c>
      <c r="E834" t="s">
        <v>964</v>
      </c>
      <c r="F834" t="s">
        <v>5324</v>
      </c>
      <c r="G834" t="str">
        <f>B13_Assessment!A26</f>
        <v>222</v>
      </c>
      <c r="H834" t="str">
        <f>B13_Assessment!B26</f>
        <v>Existing indoor AC unit</v>
      </c>
      <c r="I834" t="str">
        <f>B13_Assessment!C26</f>
        <v>Verify</v>
      </c>
      <c r="J834" t="str">
        <f>B13_Assessment!D26</f>
        <v>Verify</v>
      </c>
      <c r="K834" t="str">
        <f>B13_Assessment!E26</f>
        <v>Verify</v>
      </c>
      <c r="L834" t="str">
        <f>B13_Assessment!F26</f>
        <v>Verify</v>
      </c>
      <c r="M834" t="str">
        <f>B13_Assessment!G26</f>
        <v>Verify</v>
      </c>
      <c r="N834" t="str">
        <f>B13_Assessment!H26</f>
        <v>Verify</v>
      </c>
      <c r="O834" t="str">
        <f>B13_Assessment!I26</f>
        <v>Verify</v>
      </c>
      <c r="P834" t="str">
        <f>B13_Assessment!J26</f>
        <v>Existing Tel Room 222 photo/reference notes show existing indoor AC unit; verify whether it remains active, is abandoned, or needs protection during cutover.</v>
      </c>
      <c r="Q834" t="str">
        <f t="shared" ref="Q834:Q897" si="13">A834&amp;"|"&amp;B834</f>
        <v>13|19</v>
      </c>
    </row>
    <row r="835" spans="1:17" ht="6.45" customHeight="1">
      <c r="A835" t="s">
        <v>698</v>
      </c>
      <c r="B835">
        <v>20</v>
      </c>
      <c r="C835" t="s">
        <v>35</v>
      </c>
      <c r="D835">
        <v>27</v>
      </c>
      <c r="E835" t="s">
        <v>964</v>
      </c>
      <c r="F835" t="s">
        <v>5325</v>
      </c>
      <c r="G835">
        <f>B13_Assessment!A27</f>
        <v>0</v>
      </c>
      <c r="H835">
        <f>B13_Assessment!B27</f>
        <v>0</v>
      </c>
      <c r="I835">
        <f>B13_Assessment!C27</f>
        <v>0</v>
      </c>
      <c r="J835">
        <f>B13_Assessment!D27</f>
        <v>0</v>
      </c>
      <c r="K835">
        <f>B13_Assessment!E27</f>
        <v>0</v>
      </c>
      <c r="L835">
        <f>B13_Assessment!F27</f>
        <v>0</v>
      </c>
      <c r="M835">
        <f>B13_Assessment!G27</f>
        <v>0</v>
      </c>
      <c r="N835">
        <f>B13_Assessment!H27</f>
        <v>0</v>
      </c>
      <c r="O835">
        <f>B13_Assessment!I27</f>
        <v>0</v>
      </c>
      <c r="P835">
        <f>B13_Assessment!J27</f>
        <v>0</v>
      </c>
      <c r="Q835" t="str">
        <f t="shared" si="13"/>
        <v>13|20</v>
      </c>
    </row>
    <row r="836" spans="1:17" ht="6.45" customHeight="1">
      <c r="A836" t="s">
        <v>698</v>
      </c>
      <c r="B836">
        <v>21</v>
      </c>
      <c r="C836" t="s">
        <v>35</v>
      </c>
      <c r="D836">
        <v>28</v>
      </c>
      <c r="E836" t="s">
        <v>977</v>
      </c>
      <c r="F836" t="s">
        <v>5322</v>
      </c>
      <c r="G836" t="str">
        <f>B13_Assessment!A28</f>
        <v>5. ELECTRICAL / UPS</v>
      </c>
      <c r="H836">
        <f>B13_Assessment!B28</f>
        <v>0</v>
      </c>
      <c r="I836">
        <f>B13_Assessment!C28</f>
        <v>0</v>
      </c>
      <c r="J836">
        <f>B13_Assessment!D28</f>
        <v>0</v>
      </c>
      <c r="K836">
        <f>B13_Assessment!E28</f>
        <v>0</v>
      </c>
      <c r="L836">
        <f>B13_Assessment!F28</f>
        <v>0</v>
      </c>
      <c r="M836">
        <f>B13_Assessment!G28</f>
        <v>0</v>
      </c>
      <c r="N836">
        <f>B13_Assessment!H28</f>
        <v>0</v>
      </c>
      <c r="O836">
        <f>B13_Assessment!I28</f>
        <v>0</v>
      </c>
      <c r="P836">
        <f>B13_Assessment!J28</f>
        <v>0</v>
      </c>
      <c r="Q836" t="str">
        <f t="shared" si="13"/>
        <v>13|21</v>
      </c>
    </row>
    <row r="837" spans="1:17" ht="6.45" customHeight="1">
      <c r="A837" t="s">
        <v>698</v>
      </c>
      <c r="B837">
        <v>22</v>
      </c>
      <c r="C837" t="s">
        <v>35</v>
      </c>
      <c r="D837">
        <v>29</v>
      </c>
      <c r="E837" t="s">
        <v>977</v>
      </c>
      <c r="F837" t="s">
        <v>5323</v>
      </c>
      <c r="G837" t="str">
        <f>B13_Assessment!A29</f>
        <v>Room</v>
      </c>
      <c r="H837" t="str">
        <f>B13_Assessment!B29</f>
        <v>UPS Installed</v>
      </c>
      <c r="I837" t="str">
        <f>B13_Assessment!C29</f>
        <v>UPS Size</v>
      </c>
      <c r="J837" t="str">
        <f>B13_Assessment!D29</f>
        <v>PDU Installed</v>
      </c>
      <c r="K837" t="str">
        <f>B13_Assessment!E29</f>
        <v>Rack Receptacles</v>
      </c>
      <c r="L837" t="str">
        <f>B13_Assessment!F29</f>
        <v>Panel Assigned</v>
      </c>
      <c r="M837" t="str">
        <f>B13_Assessment!G29</f>
        <v>Emergency Source</v>
      </c>
      <c r="N837" t="str">
        <f>B13_Assessment!H29</f>
        <v>SPD / Labeling</v>
      </c>
      <c r="O837" t="str">
        <f>B13_Assessment!I29</f>
        <v>Overall</v>
      </c>
      <c r="P837" t="str">
        <f>B13_Assessment!J29</f>
        <v>Notes</v>
      </c>
      <c r="Q837" t="str">
        <f t="shared" si="13"/>
        <v>13|22</v>
      </c>
    </row>
    <row r="838" spans="1:17" ht="6.45" customHeight="1">
      <c r="A838" t="s">
        <v>698</v>
      </c>
      <c r="B838">
        <v>23</v>
      </c>
      <c r="C838" t="s">
        <v>35</v>
      </c>
      <c r="D838">
        <v>30</v>
      </c>
      <c r="E838" t="s">
        <v>977</v>
      </c>
      <c r="F838" t="s">
        <v>5324</v>
      </c>
      <c r="G838" t="str">
        <f>B13_Assessment!A30</f>
        <v>124</v>
      </c>
      <c r="H838" t="str">
        <f>B13_Assessment!B30</f>
        <v>Verify</v>
      </c>
      <c r="I838" t="str">
        <f>B13_Assessment!C30</f>
        <v>5 kW / 240V rack UPS</v>
      </c>
      <c r="J838" t="str">
        <f>B13_Assessment!D30</f>
        <v>Verify</v>
      </c>
      <c r="K838" t="str">
        <f>B13_Assessment!E30</f>
        <v>Verify</v>
      </c>
      <c r="L838" t="str">
        <f>B13_Assessment!F30</f>
        <v>B13-TR124AA / B13-TR124AB</v>
      </c>
      <c r="M838" t="str">
        <f>B13_Assessment!G30</f>
        <v>Verify</v>
      </c>
      <c r="N838" t="str">
        <f>B13_Assessment!H30</f>
        <v>Verify</v>
      </c>
      <c r="O838" t="str">
        <f>B13_Assessment!I30</f>
        <v>Verify</v>
      </c>
      <c r="P838" t="str">
        <f>B13_Assessment!J30</f>
        <v>Electrical enlarged plans and schedules identify B13-TR124AA/AB, 240V 1-phase UPS circuits, normal/emergency rack power, rack receptacles, TR receptacles, access/security devices, lighting, CU-1-01, and SPD requirements.</v>
      </c>
      <c r="Q838" t="str">
        <f t="shared" si="13"/>
        <v>13|23</v>
      </c>
    </row>
    <row r="839" spans="1:17" ht="6.45" customHeight="1">
      <c r="A839" t="s">
        <v>698</v>
      </c>
      <c r="B839">
        <v>24</v>
      </c>
      <c r="C839" t="s">
        <v>35</v>
      </c>
      <c r="D839">
        <v>31</v>
      </c>
      <c r="E839" t="s">
        <v>977</v>
      </c>
      <c r="F839" t="s">
        <v>5324</v>
      </c>
      <c r="G839" t="str">
        <f>B13_Assessment!A31</f>
        <v>222</v>
      </c>
      <c r="H839" t="str">
        <f>B13_Assessment!B31</f>
        <v>Existing</v>
      </c>
      <c r="I839" t="str">
        <f>B13_Assessment!C31</f>
        <v>Existing</v>
      </c>
      <c r="J839" t="str">
        <f>B13_Assessment!D31</f>
        <v>Existing</v>
      </c>
      <c r="K839" t="str">
        <f>B13_Assessment!E31</f>
        <v>Verify</v>
      </c>
      <c r="L839" t="str">
        <f>B13_Assessment!F31</f>
        <v>Existing / Verify</v>
      </c>
      <c r="M839" t="str">
        <f>B13_Assessment!G31</f>
        <v>Verify</v>
      </c>
      <c r="N839" t="str">
        <f>B13_Assessment!H31</f>
        <v>Verify</v>
      </c>
      <c r="O839" t="str">
        <f>B13_Assessment!I31</f>
        <v>Verify</v>
      </c>
      <c r="P839" t="str">
        <f>B13_Assessment!J31</f>
        <v>Existing rack/equipment area; verify power source, active equipment, UPS status, and transition requirements before disconnect or removal.</v>
      </c>
      <c r="Q839" t="str">
        <f t="shared" si="13"/>
        <v>13|24</v>
      </c>
    </row>
    <row r="840" spans="1:17" ht="6.45" customHeight="1">
      <c r="A840" t="s">
        <v>698</v>
      </c>
      <c r="B840">
        <v>25</v>
      </c>
      <c r="C840" t="s">
        <v>35</v>
      </c>
      <c r="D840">
        <v>32</v>
      </c>
      <c r="E840" t="s">
        <v>977</v>
      </c>
      <c r="F840" t="s">
        <v>5325</v>
      </c>
      <c r="G840">
        <f>B13_Assessment!A32</f>
        <v>0</v>
      </c>
      <c r="H840">
        <f>B13_Assessment!B32</f>
        <v>0</v>
      </c>
      <c r="I840">
        <f>B13_Assessment!C32</f>
        <v>0</v>
      </c>
      <c r="J840">
        <f>B13_Assessment!D32</f>
        <v>0</v>
      </c>
      <c r="K840">
        <f>B13_Assessment!E32</f>
        <v>0</v>
      </c>
      <c r="L840">
        <f>B13_Assessment!F32</f>
        <v>0</v>
      </c>
      <c r="M840">
        <f>B13_Assessment!G32</f>
        <v>0</v>
      </c>
      <c r="N840">
        <f>B13_Assessment!H32</f>
        <v>0</v>
      </c>
      <c r="O840">
        <f>B13_Assessment!I32</f>
        <v>0</v>
      </c>
      <c r="P840">
        <f>B13_Assessment!J32</f>
        <v>0</v>
      </c>
      <c r="Q840" t="str">
        <f t="shared" si="13"/>
        <v>13|25</v>
      </c>
    </row>
    <row r="841" spans="1:17" ht="6.45" customHeight="1">
      <c r="A841" t="s">
        <v>698</v>
      </c>
      <c r="B841">
        <v>26</v>
      </c>
      <c r="C841" t="s">
        <v>35</v>
      </c>
      <c r="D841">
        <v>33</v>
      </c>
      <c r="E841" t="s">
        <v>994</v>
      </c>
      <c r="F841" t="s">
        <v>5322</v>
      </c>
      <c r="G841" t="str">
        <f>B13_Assessment!A33</f>
        <v>6. TELECOMMUNICATIONS</v>
      </c>
      <c r="H841">
        <f>B13_Assessment!B33</f>
        <v>0</v>
      </c>
      <c r="I841">
        <f>B13_Assessment!C33</f>
        <v>0</v>
      </c>
      <c r="J841">
        <f>B13_Assessment!D33</f>
        <v>0</v>
      </c>
      <c r="K841">
        <f>B13_Assessment!E33</f>
        <v>0</v>
      </c>
      <c r="L841">
        <f>B13_Assessment!F33</f>
        <v>0</v>
      </c>
      <c r="M841">
        <f>B13_Assessment!G33</f>
        <v>0</v>
      </c>
      <c r="N841">
        <f>B13_Assessment!H33</f>
        <v>0</v>
      </c>
      <c r="O841">
        <f>B13_Assessment!I33</f>
        <v>0</v>
      </c>
      <c r="P841">
        <f>B13_Assessment!J33</f>
        <v>0</v>
      </c>
      <c r="Q841" t="str">
        <f t="shared" si="13"/>
        <v>13|26</v>
      </c>
    </row>
    <row r="842" spans="1:17" ht="6.45" customHeight="1">
      <c r="A842" t="s">
        <v>698</v>
      </c>
      <c r="B842">
        <v>27</v>
      </c>
      <c r="C842" t="s">
        <v>35</v>
      </c>
      <c r="D842">
        <v>34</v>
      </c>
      <c r="E842" t="s">
        <v>994</v>
      </c>
      <c r="F842" t="s">
        <v>5323</v>
      </c>
      <c r="G842" t="str">
        <f>B13_Assessment!A34</f>
        <v>Room</v>
      </c>
      <c r="H842" t="str">
        <f>B13_Assessment!B34</f>
        <v>Rack Installed</v>
      </c>
      <c r="I842" t="str">
        <f>B13_Assessment!C34</f>
        <v>Ladder Tray</v>
      </c>
      <c r="J842" t="str">
        <f>B13_Assessment!D34</f>
        <v>Fiber Installed</v>
      </c>
      <c r="K842" t="str">
        <f>B13_Assessment!E34</f>
        <v>Grounding</v>
      </c>
      <c r="L842" t="str">
        <f>B13_Assessment!F34</f>
        <v>Labeling</v>
      </c>
      <c r="M842" t="str">
        <f>B13_Assessment!G34</f>
        <v>Testing</v>
      </c>
      <c r="N842" t="str">
        <f>B13_Assessment!H34</f>
        <v>VA Acceptance</v>
      </c>
      <c r="O842" t="str">
        <f>B13_Assessment!I34</f>
        <v>Overall</v>
      </c>
      <c r="P842" t="str">
        <f>B13_Assessment!J34</f>
        <v>Notes</v>
      </c>
      <c r="Q842" t="str">
        <f t="shared" si="13"/>
        <v>13|27</v>
      </c>
    </row>
    <row r="843" spans="1:17" ht="6.45" customHeight="1">
      <c r="A843" t="s">
        <v>698</v>
      </c>
      <c r="B843">
        <v>28</v>
      </c>
      <c r="C843" t="s">
        <v>35</v>
      </c>
      <c r="D843">
        <v>35</v>
      </c>
      <c r="E843" t="s">
        <v>994</v>
      </c>
      <c r="F843" t="s">
        <v>5324</v>
      </c>
      <c r="G843" t="str">
        <f>B13_Assessment!A35</f>
        <v>124</v>
      </c>
      <c r="H843" t="str">
        <f>B13_Assessment!B35</f>
        <v>Verify</v>
      </c>
      <c r="I843" t="str">
        <f>B13_Assessment!C35</f>
        <v>Verify</v>
      </c>
      <c r="J843" t="str">
        <f>B13_Assessment!D35</f>
        <v>Verify</v>
      </c>
      <c r="K843" t="str">
        <f>B13_Assessment!E35</f>
        <v>Verify</v>
      </c>
      <c r="L843" t="str">
        <f>B13_Assessment!F35</f>
        <v>Verify</v>
      </c>
      <c r="M843" t="str">
        <f>B13_Assessment!G35</f>
        <v>Verify</v>
      </c>
      <c r="N843" t="str">
        <f>B13_Assessment!H35</f>
        <v>Verify</v>
      </c>
      <c r="O843" t="str">
        <f>B13_Assessment!I35</f>
        <v>Verify</v>
      </c>
      <c r="P843" t="str">
        <f>B13_Assessment!J35</f>
        <v>13T-701 identifies Room 124 schedule: 58 WAO total, 65 active ports per survey, 91 total ports per schedule, and 100 total ports with 10% allowance. New Rack ID TR01-124-1 serves first and second level outlets with Fiber Path A/B.</v>
      </c>
      <c r="Q843" t="str">
        <f t="shared" si="13"/>
        <v>13|28</v>
      </c>
    </row>
    <row r="844" spans="1:17" ht="6.45" customHeight="1">
      <c r="A844" t="s">
        <v>698</v>
      </c>
      <c r="B844">
        <v>29</v>
      </c>
      <c r="C844" t="s">
        <v>35</v>
      </c>
      <c r="D844">
        <v>36</v>
      </c>
      <c r="E844" t="s">
        <v>994</v>
      </c>
      <c r="F844" t="s">
        <v>5324</v>
      </c>
      <c r="G844" t="str">
        <f>B13_Assessment!A36</f>
        <v>222</v>
      </c>
      <c r="H844" t="str">
        <f>B13_Assessment!B36</f>
        <v>Existing</v>
      </c>
      <c r="I844" t="str">
        <f>B13_Assessment!C36</f>
        <v>Existing</v>
      </c>
      <c r="J844" t="str">
        <f>B13_Assessment!D36</f>
        <v>Existing</v>
      </c>
      <c r="K844" t="str">
        <f>B13_Assessment!E36</f>
        <v>Verify</v>
      </c>
      <c r="L844" t="str">
        <f>B13_Assessment!F36</f>
        <v>Verify</v>
      </c>
      <c r="M844" t="str">
        <f>B13_Assessment!G36</f>
        <v>Verify</v>
      </c>
      <c r="N844" t="str">
        <f>B13_Assessment!H36</f>
        <v>Verify</v>
      </c>
      <c r="O844" t="str">
        <f>B13_Assessment!I36</f>
        <v>Verify</v>
      </c>
      <c r="P844" t="str">
        <f>B13_Assessment!J36</f>
        <v>Existing Room 222 equipment includes wall-mounted rack, telco patch, plywood backboard, patch panel, security cabinet, and existing AC; verify active services and transfer plan to Room 124.</v>
      </c>
      <c r="Q844" t="str">
        <f t="shared" si="13"/>
        <v>13|29</v>
      </c>
    </row>
    <row r="845" spans="1:17" ht="6.45" customHeight="1">
      <c r="A845" t="s">
        <v>698</v>
      </c>
      <c r="B845">
        <v>30</v>
      </c>
      <c r="C845" t="s">
        <v>35</v>
      </c>
      <c r="D845">
        <v>37</v>
      </c>
      <c r="E845" t="s">
        <v>994</v>
      </c>
      <c r="F845" t="s">
        <v>5325</v>
      </c>
      <c r="G845">
        <f>B13_Assessment!A37</f>
        <v>0</v>
      </c>
      <c r="H845">
        <f>B13_Assessment!B37</f>
        <v>0</v>
      </c>
      <c r="I845">
        <f>B13_Assessment!C37</f>
        <v>0</v>
      </c>
      <c r="J845">
        <f>B13_Assessment!D37</f>
        <v>0</v>
      </c>
      <c r="K845">
        <f>B13_Assessment!E37</f>
        <v>0</v>
      </c>
      <c r="L845">
        <f>B13_Assessment!F37</f>
        <v>0</v>
      </c>
      <c r="M845">
        <f>B13_Assessment!G37</f>
        <v>0</v>
      </c>
      <c r="N845">
        <f>B13_Assessment!H37</f>
        <v>0</v>
      </c>
      <c r="O845">
        <f>B13_Assessment!I37</f>
        <v>0</v>
      </c>
      <c r="P845">
        <f>B13_Assessment!J37</f>
        <v>0</v>
      </c>
      <c r="Q845" t="str">
        <f t="shared" si="13"/>
        <v>13|30</v>
      </c>
    </row>
    <row r="846" spans="1:17" ht="6.45" customHeight="1">
      <c r="A846" t="s">
        <v>698</v>
      </c>
      <c r="B846">
        <v>31</v>
      </c>
      <c r="C846" t="s">
        <v>35</v>
      </c>
      <c r="D846">
        <v>38</v>
      </c>
      <c r="E846" t="s">
        <v>1007</v>
      </c>
      <c r="F846" t="s">
        <v>5322</v>
      </c>
      <c r="G846" t="str">
        <f>B13_Assessment!A38</f>
        <v>7. SECURITY / PACS / CCTV</v>
      </c>
      <c r="H846">
        <f>B13_Assessment!B38</f>
        <v>0</v>
      </c>
      <c r="I846">
        <f>B13_Assessment!C38</f>
        <v>0</v>
      </c>
      <c r="J846">
        <f>B13_Assessment!D38</f>
        <v>0</v>
      </c>
      <c r="K846">
        <f>B13_Assessment!E38</f>
        <v>0</v>
      </c>
      <c r="L846">
        <f>B13_Assessment!F38</f>
        <v>0</v>
      </c>
      <c r="M846">
        <f>B13_Assessment!G38</f>
        <v>0</v>
      </c>
      <c r="N846">
        <f>B13_Assessment!H38</f>
        <v>0</v>
      </c>
      <c r="O846">
        <f>B13_Assessment!I38</f>
        <v>0</v>
      </c>
      <c r="P846">
        <f>B13_Assessment!J38</f>
        <v>0</v>
      </c>
      <c r="Q846" t="str">
        <f t="shared" si="13"/>
        <v>13|31</v>
      </c>
    </row>
    <row r="847" spans="1:17" ht="6.45" customHeight="1">
      <c r="A847" t="s">
        <v>698</v>
      </c>
      <c r="B847">
        <v>32</v>
      </c>
      <c r="C847" t="s">
        <v>35</v>
      </c>
      <c r="D847">
        <v>39</v>
      </c>
      <c r="E847" t="s">
        <v>1007</v>
      </c>
      <c r="F847" t="s">
        <v>5323</v>
      </c>
      <c r="G847" t="str">
        <f>B13_Assessment!A39</f>
        <v>Room</v>
      </c>
      <c r="H847" t="str">
        <f>B13_Assessment!B39</f>
        <v>PACS</v>
      </c>
      <c r="I847" t="str">
        <f>B13_Assessment!C39</f>
        <v>Card Reader</v>
      </c>
      <c r="J847" t="str">
        <f>B13_Assessment!D39</f>
        <v>Door Position</v>
      </c>
      <c r="K847" t="str">
        <f>B13_Assessment!E39</f>
        <v>Electric Strike</v>
      </c>
      <c r="L847" t="str">
        <f>B13_Assessment!F39</f>
        <v>CCTV</v>
      </c>
      <c r="M847" t="str">
        <f>B13_Assessment!G39</f>
        <v>Motion Sensor</v>
      </c>
      <c r="N847" t="str">
        <f>B13_Assessment!H39</f>
        <v>Integration</v>
      </c>
      <c r="O847" t="str">
        <f>B13_Assessment!I39</f>
        <v>Overall</v>
      </c>
      <c r="P847" t="str">
        <f>B13_Assessment!J39</f>
        <v>Notes</v>
      </c>
      <c r="Q847" t="str">
        <f t="shared" si="13"/>
        <v>13|32</v>
      </c>
    </row>
    <row r="848" spans="1:17" ht="6.45" customHeight="1">
      <c r="A848" t="s">
        <v>698</v>
      </c>
      <c r="B848">
        <v>33</v>
      </c>
      <c r="C848" t="s">
        <v>35</v>
      </c>
      <c r="D848">
        <v>40</v>
      </c>
      <c r="E848" t="s">
        <v>1007</v>
      </c>
      <c r="F848" t="s">
        <v>5324</v>
      </c>
      <c r="G848" t="str">
        <f>B13_Assessment!A40</f>
        <v>124</v>
      </c>
      <c r="H848" t="str">
        <f>B13_Assessment!B40</f>
        <v>Verify</v>
      </c>
      <c r="I848" t="str">
        <f>B13_Assessment!C40</f>
        <v>Verify</v>
      </c>
      <c r="J848" t="str">
        <f>B13_Assessment!D40</f>
        <v>Verify</v>
      </c>
      <c r="K848" t="str">
        <f>B13_Assessment!E40</f>
        <v>Verify</v>
      </c>
      <c r="L848" t="str">
        <f>B13_Assessment!F40</f>
        <v>Verify</v>
      </c>
      <c r="M848" t="str">
        <f>B13_Assessment!G40</f>
        <v>Verify</v>
      </c>
      <c r="N848" t="str">
        <f>B13_Assessment!H40</f>
        <v>Verify</v>
      </c>
      <c r="O848" t="str">
        <f>B13_Assessment!I40</f>
        <v>Verify</v>
      </c>
      <c r="P848" t="str">
        <f>B13_Assessment!J40</f>
        <v>Electrical enlarged plan shows security/access-control device callouts at Room 124 and 124-CAM-01 camera designation; verify CR/RX/DC/ES/MD devices, controller, camera/VMS integration, and door hardware coordination.</v>
      </c>
      <c r="Q848" t="str">
        <f t="shared" si="13"/>
        <v>13|33</v>
      </c>
    </row>
    <row r="849" spans="1:17" ht="6.45" customHeight="1">
      <c r="A849" t="s">
        <v>698</v>
      </c>
      <c r="B849">
        <v>34</v>
      </c>
      <c r="C849" t="s">
        <v>35</v>
      </c>
      <c r="D849">
        <v>41</v>
      </c>
      <c r="E849" t="s">
        <v>1007</v>
      </c>
      <c r="F849" t="s">
        <v>5324</v>
      </c>
      <c r="G849" t="str">
        <f>B13_Assessment!A41</f>
        <v>222</v>
      </c>
      <c r="H849" t="str">
        <f>B13_Assessment!B41</f>
        <v>Verify</v>
      </c>
      <c r="I849" t="str">
        <f>B13_Assessment!C41</f>
        <v>Verify</v>
      </c>
      <c r="J849" t="str">
        <f>B13_Assessment!D41</f>
        <v>Verify</v>
      </c>
      <c r="K849" t="str">
        <f>B13_Assessment!E41</f>
        <v>Verify</v>
      </c>
      <c r="L849" t="str">
        <f>B13_Assessment!F41</f>
        <v>Verify</v>
      </c>
      <c r="M849" t="str">
        <f>B13_Assessment!G41</f>
        <v>Verify</v>
      </c>
      <c r="N849" t="str">
        <f>B13_Assessment!H41</f>
        <v>Verify</v>
      </c>
      <c r="O849" t="str">
        <f>B13_Assessment!I41</f>
        <v>Verify</v>
      </c>
      <c r="P849" t="str">
        <f>B13_Assessment!J41</f>
        <v>Existing security cabinet shown in Tel Room 222; verify whether security equipment remains, is relocated, or requires temporary protection during cutover.</v>
      </c>
      <c r="Q849" t="str">
        <f t="shared" si="13"/>
        <v>13|34</v>
      </c>
    </row>
    <row r="850" spans="1:17" ht="6.45" customHeight="1">
      <c r="A850" t="s">
        <v>698</v>
      </c>
      <c r="B850">
        <v>35</v>
      </c>
      <c r="C850" t="s">
        <v>35</v>
      </c>
      <c r="D850">
        <v>42</v>
      </c>
      <c r="E850" t="s">
        <v>1007</v>
      </c>
      <c r="F850" t="s">
        <v>5325</v>
      </c>
      <c r="G850">
        <f>B13_Assessment!A42</f>
        <v>0</v>
      </c>
      <c r="H850">
        <f>B13_Assessment!B42</f>
        <v>0</v>
      </c>
      <c r="I850">
        <f>B13_Assessment!C42</f>
        <v>0</v>
      </c>
      <c r="J850">
        <f>B13_Assessment!D42</f>
        <v>0</v>
      </c>
      <c r="K850">
        <f>B13_Assessment!E42</f>
        <v>0</v>
      </c>
      <c r="L850">
        <f>B13_Assessment!F42</f>
        <v>0</v>
      </c>
      <c r="M850">
        <f>B13_Assessment!G42</f>
        <v>0</v>
      </c>
      <c r="N850">
        <f>B13_Assessment!H42</f>
        <v>0</v>
      </c>
      <c r="O850">
        <f>B13_Assessment!I42</f>
        <v>0</v>
      </c>
      <c r="P850">
        <f>B13_Assessment!J42</f>
        <v>0</v>
      </c>
      <c r="Q850" t="str">
        <f t="shared" si="13"/>
        <v>13|35</v>
      </c>
    </row>
    <row r="851" spans="1:17" ht="6.45" customHeight="1">
      <c r="A851" t="s">
        <v>698</v>
      </c>
      <c r="B851">
        <v>36</v>
      </c>
      <c r="C851" t="s">
        <v>35</v>
      </c>
      <c r="D851">
        <v>43</v>
      </c>
      <c r="E851" t="s">
        <v>1019</v>
      </c>
      <c r="F851" t="s">
        <v>5322</v>
      </c>
      <c r="G851" t="str">
        <f>B13_Assessment!A43</f>
        <v>8. OWNER RISKS</v>
      </c>
      <c r="H851">
        <f>B13_Assessment!B43</f>
        <v>0</v>
      </c>
      <c r="I851">
        <f>B13_Assessment!C43</f>
        <v>0</v>
      </c>
      <c r="J851">
        <f>B13_Assessment!D43</f>
        <v>0</v>
      </c>
      <c r="K851">
        <f>B13_Assessment!E43</f>
        <v>0</v>
      </c>
      <c r="L851">
        <f>B13_Assessment!F43</f>
        <v>0</v>
      </c>
      <c r="M851">
        <f>B13_Assessment!G43</f>
        <v>0</v>
      </c>
      <c r="N851">
        <f>B13_Assessment!H43</f>
        <v>0</v>
      </c>
      <c r="O851">
        <f>B13_Assessment!I43</f>
        <v>0</v>
      </c>
      <c r="P851">
        <f>B13_Assessment!J43</f>
        <v>0</v>
      </c>
      <c r="Q851" t="str">
        <f t="shared" si="13"/>
        <v>13|36</v>
      </c>
    </row>
    <row r="852" spans="1:17" ht="6.45" customHeight="1">
      <c r="A852" t="s">
        <v>698</v>
      </c>
      <c r="B852">
        <v>37</v>
      </c>
      <c r="C852" t="s">
        <v>35</v>
      </c>
      <c r="D852">
        <v>44</v>
      </c>
      <c r="E852" t="s">
        <v>1019</v>
      </c>
      <c r="F852" t="s">
        <v>5323</v>
      </c>
      <c r="G852" t="str">
        <f>B13_Assessment!A44</f>
        <v>Risk ID</v>
      </c>
      <c r="H852" t="str">
        <f>B13_Assessment!B44</f>
        <v>Room</v>
      </c>
      <c r="I852" t="str">
        <f>B13_Assessment!C44</f>
        <v>Risk</v>
      </c>
      <c r="J852" t="str">
        <f>B13_Assessment!D44</f>
        <v>Impact</v>
      </c>
      <c r="K852" t="str">
        <f>B13_Assessment!E44</f>
        <v>Probability</v>
      </c>
      <c r="L852" t="str">
        <f>B13_Assessment!F44</f>
        <v>Score</v>
      </c>
      <c r="M852" t="str">
        <f>B13_Assessment!G44</f>
        <v>Mitigation</v>
      </c>
      <c r="N852" t="str">
        <f>B13_Assessment!H44</f>
        <v>Owner</v>
      </c>
      <c r="O852" t="str">
        <f>B13_Assessment!I44</f>
        <v>Status</v>
      </c>
      <c r="P852" t="str">
        <f>B13_Assessment!J44</f>
        <v>Notes</v>
      </c>
      <c r="Q852" t="str">
        <f t="shared" si="13"/>
        <v>13|37</v>
      </c>
    </row>
    <row r="853" spans="1:17" ht="6.45" customHeight="1">
      <c r="A853" t="s">
        <v>698</v>
      </c>
      <c r="B853">
        <v>38</v>
      </c>
      <c r="C853" t="s">
        <v>35</v>
      </c>
      <c r="D853">
        <v>45</v>
      </c>
      <c r="E853" t="s">
        <v>1019</v>
      </c>
      <c r="F853" t="s">
        <v>5324</v>
      </c>
      <c r="G853" t="str">
        <f>B13_Assessment!A45</f>
        <v>B13-R1</v>
      </c>
      <c r="H853" t="str">
        <f>B13_Assessment!B45</f>
        <v>All</v>
      </c>
      <c r="I853" t="str">
        <f>B13_Assessment!C45</f>
        <v>Existing conditions for Room 124 and existing Tel Room 222 not field verified</v>
      </c>
      <c r="J853" t="str">
        <f>B13_Assessment!D45</f>
        <v>High</v>
      </c>
      <c r="K853" t="str">
        <f>B13_Assessment!E45</f>
        <v>Medium</v>
      </c>
      <c r="L853">
        <f>B13_Assessment!F45</f>
        <v>6</v>
      </c>
      <c r="M853" t="str">
        <f>B13_Assessment!G45</f>
        <v>Perform existing conditions survey with photos before mobilization</v>
      </c>
      <c r="N853" t="str">
        <f>B13_Assessment!H45</f>
        <v>GCC / Contractor</v>
      </c>
      <c r="O853" t="str">
        <f>B13_Assessment!I45</f>
        <v>Closed</v>
      </c>
      <c r="P853" t="str">
        <f>B13_Assessment!J45</f>
        <v>B13 includes new TR plus existing second-level tel transition point.</v>
      </c>
      <c r="Q853" t="str">
        <f t="shared" si="13"/>
        <v>13|38</v>
      </c>
    </row>
    <row r="854" spans="1:17" ht="6.45" customHeight="1">
      <c r="A854" t="s">
        <v>698</v>
      </c>
      <c r="B854">
        <v>39</v>
      </c>
      <c r="C854" t="s">
        <v>35</v>
      </c>
      <c r="D854">
        <v>46</v>
      </c>
      <c r="E854" t="s">
        <v>1019</v>
      </c>
      <c r="F854" t="s">
        <v>5324</v>
      </c>
      <c r="G854" t="str">
        <f>B13_Assessment!A46</f>
        <v>B13-R2</v>
      </c>
      <c r="H854" t="str">
        <f>B13_Assessment!B46</f>
        <v>124</v>
      </c>
      <c r="I854" t="str">
        <f>B13_Assessment!C46</f>
        <v>First-level hazardous material abatement plan exists</v>
      </c>
      <c r="J854" t="str">
        <f>B13_Assessment!D46</f>
        <v>High</v>
      </c>
      <c r="K854" t="str">
        <f>B13_Assessment!E46</f>
        <v>Medium</v>
      </c>
      <c r="L854">
        <f>B13_Assessment!F46</f>
        <v>6</v>
      </c>
      <c r="M854" t="str">
        <f>B13_Assessment!G46</f>
        <v>Coordinate IH/abatement review before wall, floor, ceiling, conduit, or penetration work</v>
      </c>
      <c r="N854" t="str">
        <f>B13_Assessment!H46</f>
        <v>GC / IH / COR</v>
      </c>
      <c r="O854" t="str">
        <f>B13_Assessment!I46</f>
        <v>Closed</v>
      </c>
      <c r="P854" t="str">
        <f>B13_Assessment!J46</f>
        <v>Drawing index includes 13H-101 hazardous material abatement plan - first level.</v>
      </c>
      <c r="Q854" t="str">
        <f t="shared" si="13"/>
        <v>13|39</v>
      </c>
    </row>
    <row r="855" spans="1:17" ht="6.45" customHeight="1">
      <c r="A855" t="s">
        <v>698</v>
      </c>
      <c r="B855">
        <v>40</v>
      </c>
      <c r="C855" t="s">
        <v>35</v>
      </c>
      <c r="D855">
        <v>47</v>
      </c>
      <c r="E855" t="s">
        <v>1019</v>
      </c>
      <c r="F855" t="s">
        <v>5324</v>
      </c>
      <c r="G855" t="str">
        <f>B13_Assessment!A47</f>
        <v>B13-R3</v>
      </c>
      <c r="H855" t="str">
        <f>B13_Assessment!B47</f>
        <v>222</v>
      </c>
      <c r="I855" t="str">
        <f>B13_Assessment!C47</f>
        <v>Existing Tel Room 222 equipment may remain active during cutover</v>
      </c>
      <c r="J855" t="str">
        <f>B13_Assessment!D47</f>
        <v>Critical</v>
      </c>
      <c r="K855" t="str">
        <f>B13_Assessment!E47</f>
        <v>Medium</v>
      </c>
      <c r="L855">
        <f>B13_Assessment!F47</f>
        <v>8</v>
      </c>
      <c r="M855" t="str">
        <f>B13_Assessment!G47</f>
        <v>Document active services, protect in place, identify owner/OIT cutover windows, and preserve rollback path</v>
      </c>
      <c r="N855" t="str">
        <f>B13_Assessment!H47</f>
        <v>Telecom / OIT</v>
      </c>
      <c r="O855" t="str">
        <f>B13_Assessment!I47</f>
        <v>Closed</v>
      </c>
      <c r="P855" t="str">
        <f>B13_Assessment!J47</f>
        <v>Existing rack/backboard/security/patch equipment shown.</v>
      </c>
      <c r="Q855" t="str">
        <f t="shared" si="13"/>
        <v>13|40</v>
      </c>
    </row>
    <row r="856" spans="1:17" ht="6.45" customHeight="1">
      <c r="A856" t="s">
        <v>698</v>
      </c>
      <c r="B856">
        <v>41</v>
      </c>
      <c r="C856" t="s">
        <v>35</v>
      </c>
      <c r="D856">
        <v>48</v>
      </c>
      <c r="E856" t="s">
        <v>1019</v>
      </c>
      <c r="F856" t="s">
        <v>5324</v>
      </c>
      <c r="G856" t="str">
        <f>B13_Assessment!A48</f>
        <v>B13-R4</v>
      </c>
      <c r="H856" t="str">
        <f>B13_Assessment!B48</f>
        <v>124</v>
      </c>
      <c r="I856" t="str">
        <f>B13_Assessment!C48</f>
        <v>Dedicated cooling emergency power, condensate, BACnet and alarms not verified</v>
      </c>
      <c r="J856" t="str">
        <f>B13_Assessment!D48</f>
        <v>Critical</v>
      </c>
      <c r="K856" t="str">
        <f>B13_Assessment!E48</f>
        <v>Medium</v>
      </c>
      <c r="L856">
        <f>B13_Assessment!F48</f>
        <v>8</v>
      </c>
      <c r="M856" t="str">
        <f>B13_Assessment!G48</f>
        <v>Confirm IU-1-01/CU-1-01 power source, condensate route, controls, BACnet adapter, thermostat and high-temp alarm</v>
      </c>
      <c r="N856" t="str">
        <f>B13_Assessment!H48</f>
        <v>Mechanical / Electrical</v>
      </c>
      <c r="O856" t="str">
        <f>B13_Assessment!I48</f>
        <v>Closed</v>
      </c>
      <c r="P856" t="str">
        <f>B13_Assessment!J48</f>
        <v>Cooling is central to TR readiness.</v>
      </c>
      <c r="Q856" t="str">
        <f t="shared" si="13"/>
        <v>13|41</v>
      </c>
    </row>
    <row r="857" spans="1:17" ht="6.45" customHeight="1">
      <c r="A857" t="s">
        <v>698</v>
      </c>
      <c r="B857">
        <v>42</v>
      </c>
      <c r="C857" t="s">
        <v>35</v>
      </c>
      <c r="D857">
        <v>49</v>
      </c>
      <c r="E857" t="s">
        <v>1019</v>
      </c>
      <c r="F857" t="s">
        <v>5324</v>
      </c>
      <c r="G857" t="str">
        <f>B13_Assessment!A49</f>
        <v>B13-R5</v>
      </c>
      <c r="H857" t="str">
        <f>B13_Assessment!B49</f>
        <v>124</v>
      </c>
      <c r="I857" t="str">
        <f>B13_Assessment!C49</f>
        <v>240V UPS/PDU and panel source coordination could delay energization</v>
      </c>
      <c r="J857" t="str">
        <f>B13_Assessment!D49</f>
        <v>High</v>
      </c>
      <c r="K857" t="str">
        <f>B13_Assessment!E49</f>
        <v>Medium</v>
      </c>
      <c r="L857">
        <f>B13_Assessment!F49</f>
        <v>6</v>
      </c>
      <c r="M857" t="str">
        <f>B13_Assessment!G49</f>
        <v>Verify B13-TR124AA/AB schedules, breakers, receptacles, SPD, labels, load measurement, normal/emergency source and LOTO needs</v>
      </c>
      <c r="N857" t="str">
        <f>B13_Assessment!H49</f>
        <v>Electrical / GCC</v>
      </c>
      <c r="O857" t="str">
        <f>B13_Assessment!I49</f>
        <v>Closed</v>
      </c>
      <c r="P857" t="str">
        <f>B13_Assessment!J49</f>
        <v>Panel and circuit references are concentrated at Room 124.</v>
      </c>
      <c r="Q857" t="str">
        <f t="shared" si="13"/>
        <v>13|42</v>
      </c>
    </row>
    <row r="858" spans="1:17" ht="6.45" customHeight="1">
      <c r="A858" t="s">
        <v>698</v>
      </c>
      <c r="B858">
        <v>43</v>
      </c>
      <c r="C858" t="s">
        <v>35</v>
      </c>
      <c r="D858">
        <v>50</v>
      </c>
      <c r="E858" t="s">
        <v>1019</v>
      </c>
      <c r="F858" t="s">
        <v>5324</v>
      </c>
      <c r="G858" t="str">
        <f>B13_Assessment!A50</f>
        <v>B13-R6</v>
      </c>
      <c r="H858" t="str">
        <f>B13_Assessment!B50</f>
        <v>124</v>
      </c>
      <c r="I858" t="str">
        <f>B13_Assessment!C50</f>
        <v>Rated wall/door/firestop scope may affect life-safety acceptance</v>
      </c>
      <c r="J858" t="str">
        <f>B13_Assessment!D50</f>
        <v>High</v>
      </c>
      <c r="K858" t="str">
        <f>B13_Assessment!E50</f>
        <v>Medium</v>
      </c>
      <c r="L858">
        <f>B13_Assessment!F50</f>
        <v>6</v>
      </c>
      <c r="M858" t="str">
        <f>B13_Assessment!G50</f>
        <v>Inspect 1-hour wall/smoke barrier conditions, rated door/frame, penetrations, FEC location, temporary firestopping and final UL systems</v>
      </c>
      <c r="N858" t="str">
        <f>B13_Assessment!H50</f>
        <v>GC / FP / FA</v>
      </c>
      <c r="O858" t="str">
        <f>B13_Assessment!I50</f>
        <v>Closed</v>
      </c>
      <c r="P858" t="str">
        <f>B13_Assessment!J50</f>
        <v>New TRs must be 1-hour fire/smoke rated.</v>
      </c>
      <c r="Q858" t="str">
        <f t="shared" si="13"/>
        <v>13|43</v>
      </c>
    </row>
    <row r="859" spans="1:17" ht="6.45" customHeight="1">
      <c r="A859" t="s">
        <v>698</v>
      </c>
      <c r="B859">
        <v>44</v>
      </c>
      <c r="C859" t="s">
        <v>35</v>
      </c>
      <c r="D859">
        <v>51</v>
      </c>
      <c r="E859" t="s">
        <v>1019</v>
      </c>
      <c r="F859" t="s">
        <v>5324</v>
      </c>
      <c r="G859" t="str">
        <f>B13_Assessment!A51</f>
        <v>B13-R7</v>
      </c>
      <c r="H859" t="str">
        <f>B13_Assessment!B51</f>
        <v>All</v>
      </c>
      <c r="I859" t="str">
        <f>B13_Assessment!C51</f>
        <v>Telecom/fiber cutover could affect active hospital communications across first and second levels</v>
      </c>
      <c r="J859" t="str">
        <f>B13_Assessment!D51</f>
        <v>Critical</v>
      </c>
      <c r="K859" t="str">
        <f>B13_Assessment!E51</f>
        <v>Medium</v>
      </c>
      <c r="L859">
        <f>B13_Assessment!F51</f>
        <v>8</v>
      </c>
      <c r="M859" t="str">
        <f>B13_Assessment!G51</f>
        <v>Require cutover plan, test records, labels, as-builts, OIT coordination and VA acceptance before active connection</v>
      </c>
      <c r="N859" t="str">
        <f>B13_Assessment!H51</f>
        <v>Telecom / OIT</v>
      </c>
      <c r="O859" t="str">
        <f>B13_Assessment!I51</f>
        <v>Closed</v>
      </c>
      <c r="P859" t="str">
        <f>B13_Assessment!J51</f>
        <v>13T-701 shows Room 124 serving large port count and Level 2 outlets.</v>
      </c>
      <c r="Q859" t="str">
        <f t="shared" si="13"/>
        <v>13|44</v>
      </c>
    </row>
    <row r="860" spans="1:17" ht="6.45" customHeight="1">
      <c r="A860" t="s">
        <v>698</v>
      </c>
      <c r="B860">
        <v>45</v>
      </c>
      <c r="C860" t="s">
        <v>35</v>
      </c>
      <c r="D860">
        <v>52</v>
      </c>
      <c r="E860" t="s">
        <v>1019</v>
      </c>
      <c r="F860" t="s">
        <v>5324</v>
      </c>
      <c r="G860" t="str">
        <f>B13_Assessment!A52</f>
        <v>B13-R8</v>
      </c>
      <c r="H860" t="str">
        <f>B13_Assessment!B52</f>
        <v>All</v>
      </c>
      <c r="I860" t="str">
        <f>B13_Assessment!C52</f>
        <v>Commissioning/third-party inspection reports may not be complete at turnover</v>
      </c>
      <c r="J860" t="str">
        <f>B13_Assessment!D52</f>
        <v>High</v>
      </c>
      <c r="K860" t="str">
        <f>B13_Assessment!E52</f>
        <v>Medium</v>
      </c>
      <c r="L860">
        <f>B13_Assessment!F52</f>
        <v>6</v>
      </c>
      <c r="M860" t="str">
        <f>B13_Assessment!G52</f>
        <v>Track commissioning, inspections, fire alarm/sprinkler acceptance, power verification, cabling test records, labels and as-builts</v>
      </c>
      <c r="N860" t="str">
        <f>B13_Assessment!H52</f>
        <v>GC / Cx Manager</v>
      </c>
      <c r="O860" t="str">
        <f>B13_Assessment!I52</f>
        <v>Closed</v>
      </c>
      <c r="P860" t="str">
        <f>B13_Assessment!J52</f>
        <v>Required by cover/general notes.</v>
      </c>
      <c r="Q860" t="str">
        <f t="shared" si="13"/>
        <v>13|45</v>
      </c>
    </row>
    <row r="861" spans="1:17" ht="6.45" customHeight="1">
      <c r="A861" t="s">
        <v>698</v>
      </c>
      <c r="B861">
        <v>46</v>
      </c>
      <c r="C861" t="s">
        <v>35</v>
      </c>
      <c r="D861">
        <v>53</v>
      </c>
      <c r="E861" t="s">
        <v>1019</v>
      </c>
      <c r="F861" t="s">
        <v>5325</v>
      </c>
      <c r="G861">
        <f>B13_Assessment!A53</f>
        <v>0</v>
      </c>
      <c r="H861">
        <f>B13_Assessment!B53</f>
        <v>0</v>
      </c>
      <c r="I861">
        <f>B13_Assessment!C53</f>
        <v>0</v>
      </c>
      <c r="J861">
        <f>B13_Assessment!D53</f>
        <v>0</v>
      </c>
      <c r="K861">
        <f>B13_Assessment!E53</f>
        <v>0</v>
      </c>
      <c r="L861">
        <f>B13_Assessment!F53</f>
        <v>0</v>
      </c>
      <c r="M861">
        <f>B13_Assessment!G53</f>
        <v>0</v>
      </c>
      <c r="N861">
        <f>B13_Assessment!H53</f>
        <v>0</v>
      </c>
      <c r="O861">
        <f>B13_Assessment!I53</f>
        <v>0</v>
      </c>
      <c r="P861">
        <f>B13_Assessment!J53</f>
        <v>0</v>
      </c>
      <c r="Q861" t="str">
        <f t="shared" si="13"/>
        <v>13|46</v>
      </c>
    </row>
    <row r="862" spans="1:17" ht="6.45" customHeight="1">
      <c r="A862" t="s">
        <v>698</v>
      </c>
      <c r="B862">
        <v>47</v>
      </c>
      <c r="C862" t="s">
        <v>35</v>
      </c>
      <c r="D862">
        <v>54</v>
      </c>
      <c r="E862" t="s">
        <v>1051</v>
      </c>
      <c r="F862" t="s">
        <v>5322</v>
      </c>
      <c r="G862" t="str">
        <f>B13_Assessment!A54</f>
        <v>9. OPEN QUESTIONS</v>
      </c>
      <c r="H862">
        <f>B13_Assessment!B54</f>
        <v>0</v>
      </c>
      <c r="I862">
        <f>B13_Assessment!C54</f>
        <v>0</v>
      </c>
      <c r="J862">
        <f>B13_Assessment!D54</f>
        <v>0</v>
      </c>
      <c r="K862">
        <f>B13_Assessment!E54</f>
        <v>0</v>
      </c>
      <c r="L862">
        <f>B13_Assessment!F54</f>
        <v>0</v>
      </c>
      <c r="M862">
        <f>B13_Assessment!G54</f>
        <v>0</v>
      </c>
      <c r="N862">
        <f>B13_Assessment!H54</f>
        <v>0</v>
      </c>
      <c r="O862">
        <f>B13_Assessment!I54</f>
        <v>0</v>
      </c>
      <c r="P862">
        <f>B13_Assessment!J54</f>
        <v>0</v>
      </c>
      <c r="Q862" t="str">
        <f t="shared" si="13"/>
        <v>13|47</v>
      </c>
    </row>
    <row r="863" spans="1:17" ht="6.45" customHeight="1">
      <c r="A863" t="s">
        <v>698</v>
      </c>
      <c r="B863">
        <v>48</v>
      </c>
      <c r="C863" t="s">
        <v>35</v>
      </c>
      <c r="D863">
        <v>55</v>
      </c>
      <c r="E863" t="s">
        <v>1051</v>
      </c>
      <c r="F863" t="s">
        <v>5323</v>
      </c>
      <c r="G863" t="str">
        <f>B13_Assessment!A55</f>
        <v>Question ID</v>
      </c>
      <c r="H863" t="str">
        <f>B13_Assessment!B55</f>
        <v>Question</v>
      </c>
      <c r="I863" t="str">
        <f>B13_Assessment!C55</f>
        <v>Assigned To</v>
      </c>
      <c r="J863" t="str">
        <f>B13_Assessment!D55</f>
        <v>Status</v>
      </c>
      <c r="K863" t="str">
        <f>B13_Assessment!E55</f>
        <v>Needed By</v>
      </c>
      <c r="L863" t="str">
        <f>B13_Assessment!F55</f>
        <v>Answer / Resolution</v>
      </c>
      <c r="M863" t="str">
        <f>B13_Assessment!G55</f>
        <v>Impact if Unanswered</v>
      </c>
      <c r="N863" t="str">
        <f>B13_Assessment!H55</f>
        <v>Follow-up</v>
      </c>
      <c r="O863" t="str">
        <f>B13_Assessment!I55</f>
        <v>Date Closed</v>
      </c>
      <c r="P863" t="str">
        <f>B13_Assessment!J55</f>
        <v>Notes</v>
      </c>
      <c r="Q863" t="str">
        <f t="shared" si="13"/>
        <v>13|48</v>
      </c>
    </row>
    <row r="864" spans="1:17" ht="6.45" customHeight="1">
      <c r="A864" t="s">
        <v>698</v>
      </c>
      <c r="B864">
        <v>49</v>
      </c>
      <c r="C864" t="s">
        <v>35</v>
      </c>
      <c r="D864">
        <v>56</v>
      </c>
      <c r="E864" t="s">
        <v>1051</v>
      </c>
      <c r="F864" t="s">
        <v>5324</v>
      </c>
      <c r="G864" t="str">
        <f>B13_Assessment!A56</f>
        <v>B13-Q1</v>
      </c>
      <c r="H864" t="str">
        <f>B13_Assessment!B56</f>
        <v>Confirm final telecom scope: new Room 124 and existing Tel Room 222 transition only?</v>
      </c>
      <c r="I864" t="str">
        <f>B13_Assessment!C56</f>
        <v>VA / OIT / Designer</v>
      </c>
      <c r="J864" t="str">
        <f>B13_Assessment!D56</f>
        <v>Closed</v>
      </c>
      <c r="K864">
        <f>B13_Assessment!E56</f>
        <v>0</v>
      </c>
      <c r="L864">
        <f>B13_Assessment!F56</f>
        <v>0</v>
      </c>
      <c r="M864" t="str">
        <f>B13_Assessment!G56</f>
        <v>Room inventory could miss scope</v>
      </c>
      <c r="N864">
        <f>B13_Assessment!H56</f>
        <v>0</v>
      </c>
      <c r="O864">
        <f>B13_Assessment!I56</f>
        <v>0</v>
      </c>
      <c r="P864">
        <f>B13_Assessment!J56</f>
        <v>0</v>
      </c>
      <c r="Q864" t="str">
        <f t="shared" si="13"/>
        <v>13|49</v>
      </c>
    </row>
    <row r="865" spans="1:17" ht="6.45" customHeight="1">
      <c r="A865" t="s">
        <v>698</v>
      </c>
      <c r="B865">
        <v>50</v>
      </c>
      <c r="C865" t="s">
        <v>35</v>
      </c>
      <c r="D865">
        <v>57</v>
      </c>
      <c r="E865" t="s">
        <v>1051</v>
      </c>
      <c r="F865" t="s">
        <v>5324</v>
      </c>
      <c r="G865" t="str">
        <f>B13_Assessment!A57</f>
        <v>B13-Q2</v>
      </c>
      <c r="H865" t="str">
        <f>B13_Assessment!B57</f>
        <v>What active services are currently fed from existing Tel Room 222 equipment?</v>
      </c>
      <c r="I865" t="str">
        <f>B13_Assessment!C57</f>
        <v>OIT / Contractor</v>
      </c>
      <c r="J865" t="str">
        <f>B13_Assessment!D57</f>
        <v>Closed</v>
      </c>
      <c r="K865">
        <f>B13_Assessment!E57</f>
        <v>0</v>
      </c>
      <c r="L865">
        <f>B13_Assessment!F57</f>
        <v>0</v>
      </c>
      <c r="M865" t="str">
        <f>B13_Assessment!G57</f>
        <v>Potential communications/security outage</v>
      </c>
      <c r="N865">
        <f>B13_Assessment!H57</f>
        <v>0</v>
      </c>
      <c r="O865">
        <f>B13_Assessment!I57</f>
        <v>0</v>
      </c>
      <c r="P865">
        <f>B13_Assessment!J57</f>
        <v>0</v>
      </c>
      <c r="Q865" t="str">
        <f t="shared" si="13"/>
        <v>13|50</v>
      </c>
    </row>
    <row r="866" spans="1:17" ht="6.45" customHeight="1">
      <c r="A866" t="s">
        <v>698</v>
      </c>
      <c r="B866">
        <v>51</v>
      </c>
      <c r="C866" t="s">
        <v>35</v>
      </c>
      <c r="D866">
        <v>58</v>
      </c>
      <c r="E866" t="s">
        <v>1051</v>
      </c>
      <c r="F866" t="s">
        <v>5324</v>
      </c>
      <c r="G866" t="str">
        <f>B13_Assessment!A58</f>
        <v>B13-Q3</v>
      </c>
      <c r="H866" t="str">
        <f>B13_Assessment!B58</f>
        <v>What hazardous/abatement steps apply to first-level Room 124 work?</v>
      </c>
      <c r="I866" t="str">
        <f>B13_Assessment!C58</f>
        <v>GC / IH / COR</v>
      </c>
      <c r="J866" t="str">
        <f>B13_Assessment!D58</f>
        <v>Closed</v>
      </c>
      <c r="K866">
        <f>B13_Assessment!E58</f>
        <v>0</v>
      </c>
      <c r="L866">
        <f>B13_Assessment!F58</f>
        <v>0</v>
      </c>
      <c r="M866" t="str">
        <f>B13_Assessment!G58</f>
        <v>Work delay or exposure risk</v>
      </c>
      <c r="N866">
        <f>B13_Assessment!H58</f>
        <v>0</v>
      </c>
      <c r="O866">
        <f>B13_Assessment!I58</f>
        <v>0</v>
      </c>
      <c r="P866">
        <f>B13_Assessment!J58</f>
        <v>0</v>
      </c>
      <c r="Q866" t="str">
        <f t="shared" si="13"/>
        <v>13|51</v>
      </c>
    </row>
    <row r="867" spans="1:17" ht="6.45" customHeight="1">
      <c r="A867" t="s">
        <v>698</v>
      </c>
      <c r="B867">
        <v>52</v>
      </c>
      <c r="C867" t="s">
        <v>35</v>
      </c>
      <c r="D867">
        <v>59</v>
      </c>
      <c r="E867" t="s">
        <v>1051</v>
      </c>
      <c r="F867" t="s">
        <v>5324</v>
      </c>
      <c r="G867" t="str">
        <f>B13_Assessment!A59</f>
        <v>B13-Q4</v>
      </c>
      <c r="H867" t="str">
        <f>B13_Assessment!B59</f>
        <v>Is IU-1-01/CU-1-01 on emergency/backup power and dedicated to Room 124?</v>
      </c>
      <c r="I867" t="str">
        <f>B13_Assessment!C59</f>
        <v>Mechanical / Electrical / VA</v>
      </c>
      <c r="J867" t="str">
        <f>B13_Assessment!D59</f>
        <v>Closed</v>
      </c>
      <c r="K867">
        <f>B13_Assessment!E59</f>
        <v>0</v>
      </c>
      <c r="L867">
        <f>B13_Assessment!F59</f>
        <v>0</v>
      </c>
      <c r="M867" t="str">
        <f>B13_Assessment!G59</f>
        <v>Cooling continuity unclear</v>
      </c>
      <c r="N867">
        <f>B13_Assessment!H59</f>
        <v>0</v>
      </c>
      <c r="O867">
        <f>B13_Assessment!I59</f>
        <v>0</v>
      </c>
      <c r="P867">
        <f>B13_Assessment!J59</f>
        <v>0</v>
      </c>
      <c r="Q867" t="str">
        <f t="shared" si="13"/>
        <v>13|52</v>
      </c>
    </row>
    <row r="868" spans="1:17" ht="6.45" customHeight="1">
      <c r="A868" t="s">
        <v>698</v>
      </c>
      <c r="B868">
        <v>53</v>
      </c>
      <c r="C868" t="s">
        <v>35</v>
      </c>
      <c r="D868">
        <v>60</v>
      </c>
      <c r="E868" t="s">
        <v>1051</v>
      </c>
      <c r="F868" t="s">
        <v>5324</v>
      </c>
      <c r="G868" t="str">
        <f>B13_Assessment!A60</f>
        <v>B13-Q5</v>
      </c>
      <c r="H868" t="str">
        <f>B13_Assessment!B60</f>
        <v>Where is the clean-agent/CO2 extinguisher cabinet located within 75 ft of Room 124?</v>
      </c>
      <c r="I868" t="str">
        <f>B13_Assessment!C60</f>
        <v>GC / COR</v>
      </c>
      <c r="J868" t="str">
        <f>B13_Assessment!D60</f>
        <v>Closed</v>
      </c>
      <c r="K868">
        <f>B13_Assessment!E60</f>
        <v>0</v>
      </c>
      <c r="L868">
        <f>B13_Assessment!F60</f>
        <v>0</v>
      </c>
      <c r="M868" t="str">
        <f>B13_Assessment!G60</f>
        <v>Life-safety acceptance risk</v>
      </c>
      <c r="N868">
        <f>B13_Assessment!H60</f>
        <v>0</v>
      </c>
      <c r="O868">
        <f>B13_Assessment!I60</f>
        <v>0</v>
      </c>
      <c r="P868">
        <f>B13_Assessment!J60</f>
        <v>0</v>
      </c>
      <c r="Q868" t="str">
        <f t="shared" si="13"/>
        <v>13|53</v>
      </c>
    </row>
    <row r="869" spans="1:17" ht="6.45" customHeight="1">
      <c r="A869" t="s">
        <v>698</v>
      </c>
      <c r="B869">
        <v>54</v>
      </c>
      <c r="C869" t="s">
        <v>35</v>
      </c>
      <c r="D869">
        <v>61</v>
      </c>
      <c r="E869" t="s">
        <v>1051</v>
      </c>
      <c r="F869" t="s">
        <v>5324</v>
      </c>
      <c r="G869" t="str">
        <f>B13_Assessment!A61</f>
        <v>B13-Q6</v>
      </c>
      <c r="H869" t="str">
        <f>B13_Assessment!B61</f>
        <v>Are B13-TR124AA/AB sources, rack receptacles, SPDs, circuit labels and load measurements approved?</v>
      </c>
      <c r="I869" t="str">
        <f>B13_Assessment!C61</f>
        <v>Electrical / Designer</v>
      </c>
      <c r="J869" t="str">
        <f>B13_Assessment!D61</f>
        <v>Closed</v>
      </c>
      <c r="K869">
        <f>B13_Assessment!E61</f>
        <v>0</v>
      </c>
      <c r="L869">
        <f>B13_Assessment!F61</f>
        <v>0</v>
      </c>
      <c r="M869" t="str">
        <f>B13_Assessment!G61</f>
        <v>Electrical readiness unknown</v>
      </c>
      <c r="N869">
        <f>B13_Assessment!H61</f>
        <v>0</v>
      </c>
      <c r="O869">
        <f>B13_Assessment!I61</f>
        <v>0</v>
      </c>
      <c r="P869">
        <f>B13_Assessment!J61</f>
        <v>0</v>
      </c>
      <c r="Q869" t="str">
        <f t="shared" si="13"/>
        <v>13|54</v>
      </c>
    </row>
    <row r="870" spans="1:17" ht="6.45" customHeight="1">
      <c r="A870" t="s">
        <v>698</v>
      </c>
      <c r="B870">
        <v>55</v>
      </c>
      <c r="C870" t="s">
        <v>35</v>
      </c>
      <c r="D870">
        <v>62</v>
      </c>
      <c r="E870" t="s">
        <v>1051</v>
      </c>
      <c r="F870" t="s">
        <v>5324</v>
      </c>
      <c r="G870" t="str">
        <f>B13_Assessment!A62</f>
        <v>B13-Q7</v>
      </c>
      <c r="H870" t="str">
        <f>B13_Assessment!B62</f>
        <v>Are all rated wall/floor penetrations, sleeves, cable tray entries and firestopping details identified?</v>
      </c>
      <c r="I870" t="str">
        <f>B13_Assessment!C62</f>
        <v>GC / Firestop</v>
      </c>
      <c r="J870" t="str">
        <f>B13_Assessment!D62</f>
        <v>Closed</v>
      </c>
      <c r="K870">
        <f>B13_Assessment!E62</f>
        <v>0</v>
      </c>
      <c r="L870">
        <f>B13_Assessment!F62</f>
        <v>0</v>
      </c>
      <c r="M870" t="str">
        <f>B13_Assessment!G62</f>
        <v>Fire/smoke spread risk</v>
      </c>
      <c r="N870">
        <f>B13_Assessment!H62</f>
        <v>0</v>
      </c>
      <c r="O870">
        <f>B13_Assessment!I62</f>
        <v>0</v>
      </c>
      <c r="P870">
        <f>B13_Assessment!J62</f>
        <v>0</v>
      </c>
      <c r="Q870" t="str">
        <f t="shared" si="13"/>
        <v>13|55</v>
      </c>
    </row>
    <row r="871" spans="1:17" ht="6.45" customHeight="1">
      <c r="A871" t="s">
        <v>698</v>
      </c>
      <c r="B871">
        <v>56</v>
      </c>
      <c r="C871" t="s">
        <v>35</v>
      </c>
      <c r="D871">
        <v>63</v>
      </c>
      <c r="E871" t="s">
        <v>1051</v>
      </c>
      <c r="F871" t="s">
        <v>5324</v>
      </c>
      <c r="G871" t="str">
        <f>B13_Assessment!A63</f>
        <v>B13-Q8</v>
      </c>
      <c r="H871" t="str">
        <f>B13_Assessment!B63</f>
        <v>Which third-party inspections and commissioning forms are required before VA acceptance?</v>
      </c>
      <c r="I871" t="str">
        <f>B13_Assessment!C63</f>
        <v>GC / Cx Manager</v>
      </c>
      <c r="J871" t="str">
        <f>B13_Assessment!D63</f>
        <v>Closed</v>
      </c>
      <c r="K871">
        <f>B13_Assessment!E63</f>
        <v>0</v>
      </c>
      <c r="L871">
        <f>B13_Assessment!F63</f>
        <v>0</v>
      </c>
      <c r="M871" t="str">
        <f>B13_Assessment!G63</f>
        <v>Turnover package gap</v>
      </c>
      <c r="N871">
        <f>B13_Assessment!H63</f>
        <v>0</v>
      </c>
      <c r="O871">
        <f>B13_Assessment!I63</f>
        <v>0</v>
      </c>
      <c r="P871">
        <f>B13_Assessment!J63</f>
        <v>0</v>
      </c>
      <c r="Q871" t="str">
        <f t="shared" si="13"/>
        <v>13|56</v>
      </c>
    </row>
    <row r="872" spans="1:17" ht="6.45" customHeight="1">
      <c r="A872" t="s">
        <v>698</v>
      </c>
      <c r="B872">
        <v>57</v>
      </c>
      <c r="C872" t="s">
        <v>35</v>
      </c>
      <c r="D872">
        <v>64</v>
      </c>
      <c r="E872" t="s">
        <v>1051</v>
      </c>
      <c r="F872" t="s">
        <v>5325</v>
      </c>
      <c r="G872">
        <f>B13_Assessment!A64</f>
        <v>0</v>
      </c>
      <c r="H872">
        <f>B13_Assessment!B64</f>
        <v>0</v>
      </c>
      <c r="I872">
        <f>B13_Assessment!C64</f>
        <v>0</v>
      </c>
      <c r="J872">
        <f>B13_Assessment!D64</f>
        <v>0</v>
      </c>
      <c r="K872">
        <f>B13_Assessment!E64</f>
        <v>0</v>
      </c>
      <c r="L872">
        <f>B13_Assessment!F64</f>
        <v>0</v>
      </c>
      <c r="M872">
        <f>B13_Assessment!G64</f>
        <v>0</v>
      </c>
      <c r="N872">
        <f>B13_Assessment!H64</f>
        <v>0</v>
      </c>
      <c r="O872">
        <f>B13_Assessment!I64</f>
        <v>0</v>
      </c>
      <c r="P872">
        <f>B13_Assessment!J64</f>
        <v>0</v>
      </c>
      <c r="Q872" t="str">
        <f t="shared" si="13"/>
        <v>13|57</v>
      </c>
    </row>
    <row r="873" spans="1:17" ht="6.45" customHeight="1">
      <c r="A873" t="s">
        <v>698</v>
      </c>
      <c r="B873">
        <v>58</v>
      </c>
      <c r="C873" t="s">
        <v>35</v>
      </c>
      <c r="D873">
        <v>65</v>
      </c>
      <c r="E873" t="s">
        <v>1052</v>
      </c>
      <c r="F873" t="s">
        <v>5322</v>
      </c>
      <c r="G873" t="str">
        <f>B13_Assessment!A65</f>
        <v>10. PHOTO LOG</v>
      </c>
      <c r="H873">
        <f>B13_Assessment!B65</f>
        <v>0</v>
      </c>
      <c r="I873">
        <f>B13_Assessment!C65</f>
        <v>0</v>
      </c>
      <c r="J873">
        <f>B13_Assessment!D65</f>
        <v>0</v>
      </c>
      <c r="K873">
        <f>B13_Assessment!E65</f>
        <v>0</v>
      </c>
      <c r="L873">
        <f>B13_Assessment!F65</f>
        <v>0</v>
      </c>
      <c r="M873">
        <f>B13_Assessment!G65</f>
        <v>0</v>
      </c>
      <c r="N873">
        <f>B13_Assessment!H65</f>
        <v>0</v>
      </c>
      <c r="O873">
        <f>B13_Assessment!I65</f>
        <v>0</v>
      </c>
      <c r="P873">
        <f>B13_Assessment!J65</f>
        <v>0</v>
      </c>
      <c r="Q873" t="str">
        <f t="shared" si="13"/>
        <v>13|58</v>
      </c>
    </row>
    <row r="874" spans="1:17" ht="6.45" customHeight="1">
      <c r="A874" t="s">
        <v>698</v>
      </c>
      <c r="B874">
        <v>59</v>
      </c>
      <c r="C874" t="s">
        <v>35</v>
      </c>
      <c r="D874">
        <v>66</v>
      </c>
      <c r="E874" t="s">
        <v>1052</v>
      </c>
      <c r="F874" t="s">
        <v>5323</v>
      </c>
      <c r="G874" t="str">
        <f>B13_Assessment!A66</f>
        <v>Photo ID</v>
      </c>
      <c r="H874" t="str">
        <f>B13_Assessment!B66</f>
        <v>Room</v>
      </c>
      <c r="I874" t="str">
        <f>B13_Assessment!C66</f>
        <v>Category</v>
      </c>
      <c r="J874" t="str">
        <f>B13_Assessment!D66</f>
        <v>Description</v>
      </c>
      <c r="K874" t="str">
        <f>B13_Assessment!E66</f>
        <v>Date</v>
      </c>
      <c r="L874" t="str">
        <f>B13_Assessment!F66</f>
        <v>Taken By</v>
      </c>
      <c r="M874" t="str">
        <f>B13_Assessment!G66</f>
        <v>File / Link</v>
      </c>
      <c r="N874" t="str">
        <f>B13_Assessment!H66</f>
        <v>Related Risk</v>
      </c>
      <c r="O874" t="str">
        <f>B13_Assessment!I66</f>
        <v>Status</v>
      </c>
      <c r="P874" t="str">
        <f>B13_Assessment!J66</f>
        <v>Notes</v>
      </c>
      <c r="Q874" t="str">
        <f t="shared" si="13"/>
        <v>13|59</v>
      </c>
    </row>
    <row r="875" spans="1:17" ht="6.45" customHeight="1">
      <c r="A875" t="s">
        <v>698</v>
      </c>
      <c r="B875">
        <v>60</v>
      </c>
      <c r="C875" t="s">
        <v>35</v>
      </c>
      <c r="D875">
        <v>67</v>
      </c>
      <c r="E875" t="s">
        <v>1052</v>
      </c>
      <c r="F875" t="s">
        <v>5324</v>
      </c>
      <c r="G875" t="str">
        <f>B13_Assessment!A67</f>
        <v>B13-P001</v>
      </c>
      <c r="H875" t="str">
        <f>B13_Assessment!B67</f>
        <v>124</v>
      </c>
      <c r="I875" t="str">
        <f>B13_Assessment!C67</f>
        <v>Existing Condition</v>
      </c>
      <c r="J875" t="str">
        <f>B13_Assessment!D67</f>
        <v>Room 124 walls, ceiling/deck, floor, door, adjacent Telehealth 124A/109, rack location, pathways and penetrations</v>
      </c>
      <c r="K875">
        <f>B13_Assessment!E67</f>
        <v>0</v>
      </c>
      <c r="L875" t="str">
        <f>B13_Assessment!F67</f>
        <v>Paul</v>
      </c>
      <c r="M875">
        <f>B13_Assessment!G67</f>
        <v>0</v>
      </c>
      <c r="N875" t="str">
        <f>B13_Assessment!H67</f>
        <v>B13-R1/B13-R6</v>
      </c>
      <c r="O875" t="str">
        <f>B13_Assessment!I67</f>
        <v>Closed</v>
      </c>
      <c r="P875">
        <f>B13_Assessment!J67</f>
        <v>0</v>
      </c>
      <c r="Q875" t="str">
        <f t="shared" si="13"/>
        <v>13|60</v>
      </c>
    </row>
    <row r="876" spans="1:17" ht="6.45" customHeight="1">
      <c r="A876" t="s">
        <v>698</v>
      </c>
      <c r="B876">
        <v>61</v>
      </c>
      <c r="C876" t="s">
        <v>35</v>
      </c>
      <c r="D876">
        <v>68</v>
      </c>
      <c r="E876" t="s">
        <v>1052</v>
      </c>
      <c r="F876" t="s">
        <v>5324</v>
      </c>
      <c r="G876" t="str">
        <f>B13_Assessment!A68</f>
        <v>B13-P002</v>
      </c>
      <c r="H876" t="str">
        <f>B13_Assessment!B68</f>
        <v>222</v>
      </c>
      <c r="I876" t="str">
        <f>B13_Assessment!C68</f>
        <v>Existing Condition</v>
      </c>
      <c r="J876" t="str">
        <f>B13_Assessment!D68</f>
        <v>Existing Tel Room 222 wall rack, telco patch, plywood backboard, AC unit, patch panel and security cabinet</v>
      </c>
      <c r="K876">
        <f>B13_Assessment!E68</f>
        <v>0</v>
      </c>
      <c r="L876" t="str">
        <f>B13_Assessment!F68</f>
        <v>Paul</v>
      </c>
      <c r="M876">
        <f>B13_Assessment!G68</f>
        <v>0</v>
      </c>
      <c r="N876" t="str">
        <f>B13_Assessment!H68</f>
        <v>B13-R1/B13-R3</v>
      </c>
      <c r="O876" t="str">
        <f>B13_Assessment!I68</f>
        <v>Closed</v>
      </c>
      <c r="P876">
        <f>B13_Assessment!J68</f>
        <v>0</v>
      </c>
      <c r="Q876" t="str">
        <f t="shared" si="13"/>
        <v>13|61</v>
      </c>
    </row>
    <row r="877" spans="1:17" ht="6.45" customHeight="1">
      <c r="A877" t="s">
        <v>698</v>
      </c>
      <c r="B877">
        <v>62</v>
      </c>
      <c r="C877" t="s">
        <v>35</v>
      </c>
      <c r="D877">
        <v>69</v>
      </c>
      <c r="E877" t="s">
        <v>1052</v>
      </c>
      <c r="F877" t="s">
        <v>5324</v>
      </c>
      <c r="G877" t="str">
        <f>B13_Assessment!A69</f>
        <v>B13-P003</v>
      </c>
      <c r="H877" t="str">
        <f>B13_Assessment!B69</f>
        <v>124</v>
      </c>
      <c r="I877" t="str">
        <f>B13_Assessment!C69</f>
        <v>Hazardous Materials</v>
      </c>
      <c r="J877" t="str">
        <f>B13_Assessment!D69</f>
        <v>First-level abatement-related materials, flooring, walls, ceiling/penetrations, and disturbance areas</v>
      </c>
      <c r="K877">
        <f>B13_Assessment!E69</f>
        <v>0</v>
      </c>
      <c r="L877" t="str">
        <f>B13_Assessment!F69</f>
        <v>Paul</v>
      </c>
      <c r="M877">
        <f>B13_Assessment!G69</f>
        <v>0</v>
      </c>
      <c r="N877" t="str">
        <f>B13_Assessment!H69</f>
        <v>B13-R2</v>
      </c>
      <c r="O877" t="str">
        <f>B13_Assessment!I69</f>
        <v>Closed</v>
      </c>
      <c r="P877">
        <f>B13_Assessment!J69</f>
        <v>0</v>
      </c>
      <c r="Q877" t="str">
        <f t="shared" si="13"/>
        <v>13|62</v>
      </c>
    </row>
    <row r="878" spans="1:17" ht="6.45" customHeight="1">
      <c r="A878" t="s">
        <v>698</v>
      </c>
      <c r="B878">
        <v>63</v>
      </c>
      <c r="C878" t="s">
        <v>35</v>
      </c>
      <c r="D878">
        <v>70</v>
      </c>
      <c r="E878" t="s">
        <v>1052</v>
      </c>
      <c r="F878" t="s">
        <v>5324</v>
      </c>
      <c r="G878" t="str">
        <f>B13_Assessment!A70</f>
        <v>B13-P004</v>
      </c>
      <c r="H878" t="str">
        <f>B13_Assessment!B70</f>
        <v>124</v>
      </c>
      <c r="I878" t="str">
        <f>B13_Assessment!C70</f>
        <v>Firestop</v>
      </c>
      <c r="J878" t="str">
        <f>B13_Assessment!D70</f>
        <v>All wall/floor/sleeve/tray penetrations before and after firestop</v>
      </c>
      <c r="K878">
        <f>B13_Assessment!E70</f>
        <v>0</v>
      </c>
      <c r="L878" t="str">
        <f>B13_Assessment!F70</f>
        <v>Paul</v>
      </c>
      <c r="M878">
        <f>B13_Assessment!G70</f>
        <v>0</v>
      </c>
      <c r="N878" t="str">
        <f>B13_Assessment!H70</f>
        <v>B13-R6</v>
      </c>
      <c r="O878" t="str">
        <f>B13_Assessment!I70</f>
        <v>Closed</v>
      </c>
      <c r="P878">
        <f>B13_Assessment!J70</f>
        <v>0</v>
      </c>
      <c r="Q878" t="str">
        <f t="shared" si="13"/>
        <v>13|63</v>
      </c>
    </row>
    <row r="879" spans="1:17" ht="6.45" customHeight="1">
      <c r="A879" t="s">
        <v>698</v>
      </c>
      <c r="B879">
        <v>64</v>
      </c>
      <c r="C879" t="s">
        <v>35</v>
      </c>
      <c r="D879">
        <v>71</v>
      </c>
      <c r="E879" t="s">
        <v>1052</v>
      </c>
      <c r="F879" t="s">
        <v>5324</v>
      </c>
      <c r="G879" t="str">
        <f>B13_Assessment!A71</f>
        <v>B13-P005</v>
      </c>
      <c r="H879" t="str">
        <f>B13_Assessment!B71</f>
        <v>124</v>
      </c>
      <c r="I879" t="str">
        <f>B13_Assessment!C71</f>
        <v>HVAC</v>
      </c>
      <c r="J879" t="str">
        <f>B13_Assessment!D71</f>
        <v>IU-1-01/CU-1-01, condensate, thermostat, BACnet adapter, disconnects, high-temp alarm and power source</v>
      </c>
      <c r="K879">
        <f>B13_Assessment!E71</f>
        <v>0</v>
      </c>
      <c r="L879" t="str">
        <f>B13_Assessment!F71</f>
        <v>Paul</v>
      </c>
      <c r="M879">
        <f>B13_Assessment!G71</f>
        <v>0</v>
      </c>
      <c r="N879" t="str">
        <f>B13_Assessment!H71</f>
        <v>B13-R4</v>
      </c>
      <c r="O879" t="str">
        <f>B13_Assessment!I71</f>
        <v>Closed</v>
      </c>
      <c r="P879">
        <f>B13_Assessment!J71</f>
        <v>0</v>
      </c>
      <c r="Q879" t="str">
        <f t="shared" si="13"/>
        <v>13|64</v>
      </c>
    </row>
    <row r="880" spans="1:17" ht="6.45" customHeight="1">
      <c r="A880" t="s">
        <v>698</v>
      </c>
      <c r="B880">
        <v>65</v>
      </c>
      <c r="C880" t="s">
        <v>35</v>
      </c>
      <c r="D880">
        <v>72</v>
      </c>
      <c r="E880" t="s">
        <v>1052</v>
      </c>
      <c r="F880" t="s">
        <v>5324</v>
      </c>
      <c r="G880" t="str">
        <f>B13_Assessment!A72</f>
        <v>B13-P006</v>
      </c>
      <c r="H880" t="str">
        <f>B13_Assessment!B72</f>
        <v>124</v>
      </c>
      <c r="I880" t="str">
        <f>B13_Assessment!C72</f>
        <v>Electrical</v>
      </c>
      <c r="J880" t="str">
        <f>B13_Assessment!D72</f>
        <v>B13-TR124AA/AB panels, rack receptacles, breakers, SPD, access controller, lighting and labels</v>
      </c>
      <c r="K880">
        <f>B13_Assessment!E72</f>
        <v>0</v>
      </c>
      <c r="L880" t="str">
        <f>B13_Assessment!F72</f>
        <v>Paul</v>
      </c>
      <c r="M880">
        <f>B13_Assessment!G72</f>
        <v>0</v>
      </c>
      <c r="N880" t="str">
        <f>B13_Assessment!H72</f>
        <v>B13-R5</v>
      </c>
      <c r="O880" t="str">
        <f>B13_Assessment!I72</f>
        <v>Closed</v>
      </c>
      <c r="P880">
        <f>B13_Assessment!J72</f>
        <v>0</v>
      </c>
      <c r="Q880" t="str">
        <f t="shared" si="13"/>
        <v>13|65</v>
      </c>
    </row>
    <row r="881" spans="1:17" ht="6.45" customHeight="1">
      <c r="A881" t="s">
        <v>698</v>
      </c>
      <c r="B881">
        <v>66</v>
      </c>
      <c r="C881" t="s">
        <v>35</v>
      </c>
      <c r="D881">
        <v>73</v>
      </c>
      <c r="E881" t="s">
        <v>1052</v>
      </c>
      <c r="F881" t="s">
        <v>5324</v>
      </c>
      <c r="G881" t="str">
        <f>B13_Assessment!A73</f>
        <v>B13-P007</v>
      </c>
      <c r="H881" t="str">
        <f>B13_Assessment!B73</f>
        <v>124/222</v>
      </c>
      <c r="I881" t="str">
        <f>B13_Assessment!C73</f>
        <v>Telecom</v>
      </c>
      <c r="J881" t="str">
        <f>B13_Assessment!D73</f>
        <v>New racks, fiber path A/B, Cat6A, patch panels, LIU, labels/test records and existing Room 222 transfer work</v>
      </c>
      <c r="K881">
        <f>B13_Assessment!E73</f>
        <v>0</v>
      </c>
      <c r="L881" t="str">
        <f>B13_Assessment!F73</f>
        <v>Paul</v>
      </c>
      <c r="M881">
        <f>B13_Assessment!G73</f>
        <v>0</v>
      </c>
      <c r="N881" t="str">
        <f>B13_Assessment!H73</f>
        <v>B13-R7</v>
      </c>
      <c r="O881" t="str">
        <f>B13_Assessment!I73</f>
        <v>Closed</v>
      </c>
      <c r="P881">
        <f>B13_Assessment!J73</f>
        <v>0</v>
      </c>
      <c r="Q881" t="str">
        <f t="shared" si="13"/>
        <v>13|66</v>
      </c>
    </row>
    <row r="882" spans="1:17" ht="6.45" customHeight="1">
      <c r="A882" t="s">
        <v>698</v>
      </c>
      <c r="B882">
        <v>67</v>
      </c>
      <c r="C882" t="s">
        <v>35</v>
      </c>
      <c r="D882">
        <v>74</v>
      </c>
      <c r="E882" t="s">
        <v>1052</v>
      </c>
      <c r="F882" t="s">
        <v>5324</v>
      </c>
      <c r="G882" t="str">
        <f>B13_Assessment!A74</f>
        <v>B13-P008</v>
      </c>
      <c r="H882" t="str">
        <f>B13_Assessment!B74</f>
        <v>124/222</v>
      </c>
      <c r="I882" t="str">
        <f>B13_Assessment!C74</f>
        <v>Security</v>
      </c>
      <c r="J882" t="str">
        <f>B13_Assessment!D74</f>
        <v>124-CAM-01, card reader, electric strike, door position, motion sensor, existing security cabinet and VMS/PACS integration</v>
      </c>
      <c r="K882">
        <f>B13_Assessment!E74</f>
        <v>0</v>
      </c>
      <c r="L882" t="str">
        <f>B13_Assessment!F74</f>
        <v>Paul</v>
      </c>
      <c r="M882">
        <f>B13_Assessment!G74</f>
        <v>0</v>
      </c>
      <c r="N882" t="str">
        <f>B13_Assessment!H74</f>
        <v>B13-R8</v>
      </c>
      <c r="O882" t="str">
        <f>B13_Assessment!I74</f>
        <v>Closed</v>
      </c>
      <c r="P882">
        <f>B13_Assessment!J74</f>
        <v>0</v>
      </c>
      <c r="Q882" t="str">
        <f t="shared" si="13"/>
        <v>13|67</v>
      </c>
    </row>
    <row r="883" spans="1:17" ht="6.45" customHeight="1">
      <c r="A883" t="s">
        <v>698</v>
      </c>
      <c r="B883">
        <v>68</v>
      </c>
      <c r="C883" t="s">
        <v>35</v>
      </c>
      <c r="D883">
        <v>75</v>
      </c>
      <c r="E883" t="s">
        <v>1052</v>
      </c>
      <c r="F883" t="s">
        <v>5325</v>
      </c>
      <c r="G883">
        <f>B13_Assessment!A75</f>
        <v>0</v>
      </c>
      <c r="H883">
        <f>B13_Assessment!B75</f>
        <v>0</v>
      </c>
      <c r="I883">
        <f>B13_Assessment!C75</f>
        <v>0</v>
      </c>
      <c r="J883">
        <f>B13_Assessment!D75</f>
        <v>0</v>
      </c>
      <c r="K883">
        <f>B13_Assessment!E75</f>
        <v>0</v>
      </c>
      <c r="L883">
        <f>B13_Assessment!F75</f>
        <v>0</v>
      </c>
      <c r="M883">
        <f>B13_Assessment!G75</f>
        <v>0</v>
      </c>
      <c r="N883">
        <f>B13_Assessment!H75</f>
        <v>0</v>
      </c>
      <c r="O883">
        <f>B13_Assessment!I75</f>
        <v>0</v>
      </c>
      <c r="P883">
        <f>B13_Assessment!J75</f>
        <v>0</v>
      </c>
      <c r="Q883" t="str">
        <f t="shared" si="13"/>
        <v>13|68</v>
      </c>
    </row>
    <row r="884" spans="1:17" ht="6.45" customHeight="1">
      <c r="A884" t="s">
        <v>700</v>
      </c>
      <c r="B884">
        <v>1</v>
      </c>
      <c r="C884" t="s">
        <v>37</v>
      </c>
      <c r="D884">
        <v>8</v>
      </c>
      <c r="E884" t="s">
        <v>918</v>
      </c>
      <c r="F884" t="s">
        <v>5322</v>
      </c>
      <c r="G884" t="str">
        <f>B14_Assessment!A8</f>
        <v>1. ROOM INVENTORY</v>
      </c>
      <c r="H884">
        <f>B14_Assessment!B8</f>
        <v>0</v>
      </c>
      <c r="I884">
        <f>B14_Assessment!C8</f>
        <v>0</v>
      </c>
      <c r="J884">
        <f>B14_Assessment!D8</f>
        <v>0</v>
      </c>
      <c r="K884">
        <f>B14_Assessment!E8</f>
        <v>0</v>
      </c>
      <c r="L884">
        <f>B14_Assessment!F8</f>
        <v>0</v>
      </c>
      <c r="M884">
        <f>B14_Assessment!G8</f>
        <v>0</v>
      </c>
      <c r="N884">
        <f>B14_Assessment!H8</f>
        <v>0</v>
      </c>
      <c r="O884">
        <f>B14_Assessment!I8</f>
        <v>0</v>
      </c>
      <c r="P884">
        <f>B14_Assessment!J8</f>
        <v>0</v>
      </c>
      <c r="Q884" t="str">
        <f t="shared" si="13"/>
        <v>14|1</v>
      </c>
    </row>
    <row r="885" spans="1:17" ht="6.45" customHeight="1">
      <c r="A885" t="s">
        <v>700</v>
      </c>
      <c r="B885">
        <v>2</v>
      </c>
      <c r="C885" t="s">
        <v>37</v>
      </c>
      <c r="D885">
        <v>9</v>
      </c>
      <c r="E885" t="s">
        <v>918</v>
      </c>
      <c r="F885" t="s">
        <v>5323</v>
      </c>
      <c r="G885" t="str">
        <f>B14_Assessment!A9</f>
        <v>Building</v>
      </c>
      <c r="H885" t="str">
        <f>B14_Assessment!B9</f>
        <v>Room</v>
      </c>
      <c r="I885" t="str">
        <f>B14_Assessment!C9</f>
        <v>Floor</v>
      </c>
      <c r="J885" t="str">
        <f>B14_Assessment!D9</f>
        <v>Existing Use</v>
      </c>
      <c r="K885" t="str">
        <f>B14_Assessment!E9</f>
        <v>New Use</v>
      </c>
      <c r="L885" t="str">
        <f>B14_Assessment!F9</f>
        <v>Rack Count</v>
      </c>
      <c r="M885" t="str">
        <f>B14_Assessment!G9</f>
        <v>Future Rack</v>
      </c>
      <c r="N885" t="str">
        <f>B14_Assessment!H9</f>
        <v>Status</v>
      </c>
      <c r="O885" t="str">
        <f>B14_Assessment!I9</f>
        <v>Drawing Ref</v>
      </c>
      <c r="P885" t="str">
        <f>B14_Assessment!J9</f>
        <v>Notes</v>
      </c>
      <c r="Q885" t="str">
        <f t="shared" si="13"/>
        <v>14|2</v>
      </c>
    </row>
    <row r="886" spans="1:17" ht="6.45" customHeight="1">
      <c r="A886" t="s">
        <v>700</v>
      </c>
      <c r="B886">
        <v>3</v>
      </c>
      <c r="C886" t="s">
        <v>37</v>
      </c>
      <c r="D886">
        <v>10</v>
      </c>
      <c r="E886" t="s">
        <v>918</v>
      </c>
      <c r="F886" t="s">
        <v>5324</v>
      </c>
      <c r="G886" t="str">
        <f>B14_Assessment!A10</f>
        <v>14</v>
      </c>
      <c r="H886" t="str">
        <f>B14_Assessment!B10</f>
        <v>119</v>
      </c>
      <c r="I886" t="str">
        <f>B14_Assessment!C10</f>
        <v>First</v>
      </c>
      <c r="J886" t="str">
        <f>B14_Assessment!D10</f>
        <v>Telecom Room / new TR build area</v>
      </c>
      <c r="K886" t="str">
        <f>B14_Assessment!E10</f>
        <v>Telecom Room</v>
      </c>
      <c r="L886">
        <f>B14_Assessment!F10</f>
        <v>1</v>
      </c>
      <c r="M886">
        <f>B14_Assessment!G10</f>
        <v>1</v>
      </c>
      <c r="N886" t="str">
        <f>B14_Assessment!H10</f>
        <v>Verify</v>
      </c>
      <c r="O886" t="str">
        <f>B14_Assessment!I10</f>
        <v>14A-401 / 14E-100 / 14T-100 / 14T-604 / 14T-701</v>
      </c>
      <c r="P886" t="str">
        <f>B14_Assessment!J10</f>
        <v>Primary Building 14 TR. Plans identify Telecom Room 119 at 124 SF, served by Rack ID TR01-119-1, panels B14-TR119A/B, 240V UPS/PDU rack power, IU-1-01/CU-1-01 cooling, 56 feet of first-level cable tray, and a future rack allowance.</v>
      </c>
      <c r="Q886" t="str">
        <f t="shared" si="13"/>
        <v>14|3</v>
      </c>
    </row>
    <row r="887" spans="1:17" ht="6.45" customHeight="1">
      <c r="A887" t="s">
        <v>700</v>
      </c>
      <c r="B887">
        <v>4</v>
      </c>
      <c r="C887" t="s">
        <v>37</v>
      </c>
      <c r="D887">
        <v>11</v>
      </c>
      <c r="E887" t="s">
        <v>918</v>
      </c>
      <c r="F887" t="s">
        <v>5324</v>
      </c>
      <c r="G887" t="str">
        <f>B14_Assessment!A11</f>
        <v>14</v>
      </c>
      <c r="H887" t="str">
        <f>B14_Assessment!B11</f>
        <v>B.01</v>
      </c>
      <c r="I887" t="str">
        <f>B14_Assessment!C11</f>
        <v>Basement</v>
      </c>
      <c r="J887" t="str">
        <f>B14_Assessment!D11</f>
        <v>Existing Tel/F Panel room / telecom equipment area</v>
      </c>
      <c r="K887" t="str">
        <f>B14_Assessment!E11</f>
        <v>Existing telecom transition point</v>
      </c>
      <c r="L887">
        <f>B14_Assessment!F11</f>
        <v>1</v>
      </c>
      <c r="M887">
        <f>B14_Assessment!G11</f>
        <v>0</v>
      </c>
      <c r="N887" t="str">
        <f>B14_Assessment!H11</f>
        <v>Verify</v>
      </c>
      <c r="O887" t="str">
        <f>B14_Assessment!I11</f>
        <v>14T-100 / 14T-604 / 14R-900</v>
      </c>
      <c r="P887" t="str">
        <f>B14_Assessment!J11</f>
        <v>Existing basement Tel/F Panel B.01 shown at 165 SF with existing wall-mounted TE, patch panels, telco patch, plywood backboards, and legacy fiber/equipment. Protect active services and verify what transfers to Room 119.</v>
      </c>
      <c r="Q887" t="str">
        <f t="shared" si="13"/>
        <v>14|4</v>
      </c>
    </row>
    <row r="888" spans="1:17" ht="6.45" customHeight="1">
      <c r="A888" t="s">
        <v>700</v>
      </c>
      <c r="B888">
        <v>5</v>
      </c>
      <c r="C888" t="s">
        <v>37</v>
      </c>
      <c r="D888">
        <v>12</v>
      </c>
      <c r="E888" t="s">
        <v>918</v>
      </c>
      <c r="F888" t="s">
        <v>5324</v>
      </c>
      <c r="G888" t="str">
        <f>B14_Assessment!A12</f>
        <v>14</v>
      </c>
      <c r="H888" t="str">
        <f>B14_Assessment!B12</f>
        <v>B2</v>
      </c>
      <c r="I888" t="str">
        <f>B14_Assessment!C12</f>
        <v>Basement</v>
      </c>
      <c r="J888" t="str">
        <f>B14_Assessment!D12</f>
        <v>Existing telecom room reference</v>
      </c>
      <c r="K888" t="str">
        <f>B14_Assessment!E12</f>
        <v>Existing telecom transition point</v>
      </c>
      <c r="L888">
        <f>B14_Assessment!F12</f>
        <v>1</v>
      </c>
      <c r="M888">
        <f>B14_Assessment!G12</f>
        <v>0</v>
      </c>
      <c r="N888" t="str">
        <f>B14_Assessment!H12</f>
        <v>Verify</v>
      </c>
      <c r="O888" t="str">
        <f>B14_Assessment!I12</f>
        <v>14R-900</v>
      </c>
      <c r="P888" t="str">
        <f>B14_Assessment!J12</f>
        <v>Photo reference sheet identifies basement existing telecom room B2. Field verify whether B2 is same/related to B.01 or separate legacy telecom space.</v>
      </c>
      <c r="Q888" t="str">
        <f t="shared" si="13"/>
        <v>14|5</v>
      </c>
    </row>
    <row r="889" spans="1:17" ht="6.45" customHeight="1">
      <c r="A889" t="s">
        <v>700</v>
      </c>
      <c r="B889">
        <v>6</v>
      </c>
      <c r="C889" t="s">
        <v>37</v>
      </c>
      <c r="D889">
        <v>13</v>
      </c>
      <c r="E889" t="s">
        <v>918</v>
      </c>
      <c r="F889" t="s">
        <v>5325</v>
      </c>
      <c r="G889">
        <f>B14_Assessment!A13</f>
        <v>0</v>
      </c>
      <c r="H889">
        <f>B14_Assessment!B13</f>
        <v>0</v>
      </c>
      <c r="I889">
        <f>B14_Assessment!C13</f>
        <v>0</v>
      </c>
      <c r="J889">
        <f>B14_Assessment!D13</f>
        <v>0</v>
      </c>
      <c r="K889">
        <f>B14_Assessment!E13</f>
        <v>0</v>
      </c>
      <c r="L889">
        <f>B14_Assessment!F13</f>
        <v>0</v>
      </c>
      <c r="M889">
        <f>B14_Assessment!G13</f>
        <v>0</v>
      </c>
      <c r="N889">
        <f>B14_Assessment!H13</f>
        <v>0</v>
      </c>
      <c r="O889">
        <f>B14_Assessment!I13</f>
        <v>0</v>
      </c>
      <c r="P889">
        <f>B14_Assessment!J13</f>
        <v>0</v>
      </c>
      <c r="Q889" t="str">
        <f t="shared" si="13"/>
        <v>14|6</v>
      </c>
    </row>
    <row r="890" spans="1:17" ht="6.45" customHeight="1">
      <c r="A890" t="s">
        <v>700</v>
      </c>
      <c r="B890">
        <v>7</v>
      </c>
      <c r="C890" t="s">
        <v>37</v>
      </c>
      <c r="D890">
        <v>14</v>
      </c>
      <c r="E890" t="s">
        <v>936</v>
      </c>
      <c r="F890" t="s">
        <v>5322</v>
      </c>
      <c r="G890" t="str">
        <f>B14_Assessment!A14</f>
        <v>2. ROOM READINESS</v>
      </c>
      <c r="H890">
        <f>B14_Assessment!B14</f>
        <v>0</v>
      </c>
      <c r="I890">
        <f>B14_Assessment!C14</f>
        <v>0</v>
      </c>
      <c r="J890">
        <f>B14_Assessment!D14</f>
        <v>0</v>
      </c>
      <c r="K890">
        <f>B14_Assessment!E14</f>
        <v>0</v>
      </c>
      <c r="L890">
        <f>B14_Assessment!F14</f>
        <v>0</v>
      </c>
      <c r="M890">
        <f>B14_Assessment!G14</f>
        <v>0</v>
      </c>
      <c r="N890">
        <f>B14_Assessment!H14</f>
        <v>0</v>
      </c>
      <c r="O890">
        <f>B14_Assessment!I14</f>
        <v>0</v>
      </c>
      <c r="P890">
        <f>B14_Assessment!J14</f>
        <v>0</v>
      </c>
      <c r="Q890" t="str">
        <f t="shared" si="13"/>
        <v>14|7</v>
      </c>
    </row>
    <row r="891" spans="1:17" ht="6.45" customHeight="1">
      <c r="A891" t="s">
        <v>700</v>
      </c>
      <c r="B891">
        <v>8</v>
      </c>
      <c r="C891" t="s">
        <v>37</v>
      </c>
      <c r="D891">
        <v>15</v>
      </c>
      <c r="E891" t="s">
        <v>936</v>
      </c>
      <c r="F891" t="s">
        <v>5323</v>
      </c>
      <c r="G891" t="str">
        <f>B14_Assessment!A15</f>
        <v>Room</v>
      </c>
      <c r="H891" t="str">
        <f>B14_Assessment!B15</f>
        <v>Walls / 1-hr Rating</v>
      </c>
      <c r="I891" t="str">
        <f>B14_Assessment!C15</f>
        <v>Ceiling</v>
      </c>
      <c r="J891" t="str">
        <f>B14_Assessment!D15</f>
        <v>Floor / SDC</v>
      </c>
      <c r="K891" t="str">
        <f>B14_Assessment!E15</f>
        <v>Penetrations</v>
      </c>
      <c r="L891" t="str">
        <f>B14_Assessment!F15</f>
        <v>Access Control</v>
      </c>
      <c r="M891" t="str">
        <f>B14_Assessment!G15</f>
        <v>Clearances</v>
      </c>
      <c r="N891" t="str">
        <f>B14_Assessment!H15</f>
        <v>Housekeeping</v>
      </c>
      <c r="O891" t="str">
        <f>B14_Assessment!I15</f>
        <v>Overall</v>
      </c>
      <c r="P891" t="str">
        <f>B14_Assessment!J15</f>
        <v>Comments</v>
      </c>
      <c r="Q891" t="str">
        <f t="shared" si="13"/>
        <v>14|8</v>
      </c>
    </row>
    <row r="892" spans="1:17" ht="6.45" customHeight="1">
      <c r="A892" t="s">
        <v>700</v>
      </c>
      <c r="B892">
        <v>9</v>
      </c>
      <c r="C892" t="s">
        <v>37</v>
      </c>
      <c r="D892">
        <v>16</v>
      </c>
      <c r="E892" t="s">
        <v>936</v>
      </c>
      <c r="F892" t="s">
        <v>5324</v>
      </c>
      <c r="G892" t="str">
        <f>B14_Assessment!A16</f>
        <v>119</v>
      </c>
      <c r="H892" t="str">
        <f>B14_Assessment!B16</f>
        <v>Verify</v>
      </c>
      <c r="I892" t="str">
        <f>B14_Assessment!C16</f>
        <v>Verify</v>
      </c>
      <c r="J892" t="str">
        <f>B14_Assessment!D16</f>
        <v>Verify</v>
      </c>
      <c r="K892" t="str">
        <f>B14_Assessment!E16</f>
        <v>Verify</v>
      </c>
      <c r="L892" t="str">
        <f>B14_Assessment!F16</f>
        <v>Verify</v>
      </c>
      <c r="M892" t="str">
        <f>B14_Assessment!G16</f>
        <v>Verify</v>
      </c>
      <c r="N892" t="str">
        <f>B14_Assessment!H16</f>
        <v>Verify</v>
      </c>
      <c r="O892" t="str">
        <f>B14_Assessment!I16</f>
        <v>Verify</v>
      </c>
      <c r="P892" t="str">
        <f>B14_Assessment!J16</f>
        <v>First-level TR; verify 1-hour fire/smoke-rated enclosure, open-to-deck conditions, door hardware/access control, static-control floor sealer, rack/future rack clearances, wall backing, and pathway entry points.</v>
      </c>
      <c r="Q892" t="str">
        <f t="shared" si="13"/>
        <v>14|9</v>
      </c>
    </row>
    <row r="893" spans="1:17" ht="6.45" customHeight="1">
      <c r="A893" t="s">
        <v>700</v>
      </c>
      <c r="B893">
        <v>10</v>
      </c>
      <c r="C893" t="s">
        <v>37</v>
      </c>
      <c r="D893">
        <v>17</v>
      </c>
      <c r="E893" t="s">
        <v>936</v>
      </c>
      <c r="F893" t="s">
        <v>5324</v>
      </c>
      <c r="G893" t="str">
        <f>B14_Assessment!A17</f>
        <v>B.01</v>
      </c>
      <c r="H893" t="str">
        <f>B14_Assessment!B17</f>
        <v>Existing / Verify</v>
      </c>
      <c r="I893" t="str">
        <f>B14_Assessment!C17</f>
        <v>Existing / Verify</v>
      </c>
      <c r="J893" t="str">
        <f>B14_Assessment!D17</f>
        <v>Existing / Verify</v>
      </c>
      <c r="K893" t="str">
        <f>B14_Assessment!E17</f>
        <v>Verify</v>
      </c>
      <c r="L893" t="str">
        <f>B14_Assessment!F17</f>
        <v>Verify</v>
      </c>
      <c r="M893" t="str">
        <f>B14_Assessment!G17</f>
        <v>Verify</v>
      </c>
      <c r="N893" t="str">
        <f>B14_Assessment!H17</f>
        <v>Verify</v>
      </c>
      <c r="O893" t="str">
        <f>B14_Assessment!I17</f>
        <v>Verify</v>
      </c>
      <c r="P893" t="str">
        <f>B14_Assessment!J17</f>
        <v>Existing basement telecom room; verify active equipment status, pathway, backboards, wall-mounted TE, and transition/abandonment scope.</v>
      </c>
      <c r="Q893" t="str">
        <f t="shared" si="13"/>
        <v>14|10</v>
      </c>
    </row>
    <row r="894" spans="1:17" ht="6.45" customHeight="1">
      <c r="A894" t="s">
        <v>700</v>
      </c>
      <c r="B894">
        <v>11</v>
      </c>
      <c r="C894" t="s">
        <v>37</v>
      </c>
      <c r="D894">
        <v>18</v>
      </c>
      <c r="E894" t="s">
        <v>936</v>
      </c>
      <c r="F894" t="s">
        <v>5324</v>
      </c>
      <c r="G894" t="str">
        <f>B14_Assessment!A18</f>
        <v>B2</v>
      </c>
      <c r="H894" t="str">
        <f>B14_Assessment!B18</f>
        <v>Existing / Verify</v>
      </c>
      <c r="I894" t="str">
        <f>B14_Assessment!C18</f>
        <v>Existing / Verify</v>
      </c>
      <c r="J894" t="str">
        <f>B14_Assessment!D18</f>
        <v>Existing / Verify</v>
      </c>
      <c r="K894" t="str">
        <f>B14_Assessment!E18</f>
        <v>Verify</v>
      </c>
      <c r="L894" t="str">
        <f>B14_Assessment!F18</f>
        <v>Verify</v>
      </c>
      <c r="M894" t="str">
        <f>B14_Assessment!G18</f>
        <v>Verify</v>
      </c>
      <c r="N894" t="str">
        <f>B14_Assessment!H18</f>
        <v>Verify</v>
      </c>
      <c r="O894" t="str">
        <f>B14_Assessment!I18</f>
        <v>Verify</v>
      </c>
      <c r="P894" t="str">
        <f>B14_Assessment!J18</f>
        <v>Existing basement telecom room photo reference; verify whether active services/equipment remain and confirm relationship to B.01.</v>
      </c>
      <c r="Q894" t="str">
        <f t="shared" si="13"/>
        <v>14|11</v>
      </c>
    </row>
    <row r="895" spans="1:17" ht="6.45" customHeight="1">
      <c r="A895" t="s">
        <v>700</v>
      </c>
      <c r="B895">
        <v>12</v>
      </c>
      <c r="C895" t="s">
        <v>37</v>
      </c>
      <c r="D895">
        <v>19</v>
      </c>
      <c r="E895" t="s">
        <v>936</v>
      </c>
      <c r="F895" t="s">
        <v>5325</v>
      </c>
      <c r="G895">
        <f>B14_Assessment!A19</f>
        <v>0</v>
      </c>
      <c r="H895">
        <f>B14_Assessment!B19</f>
        <v>0</v>
      </c>
      <c r="I895">
        <f>B14_Assessment!C19</f>
        <v>0</v>
      </c>
      <c r="J895">
        <f>B14_Assessment!D19</f>
        <v>0</v>
      </c>
      <c r="K895">
        <f>B14_Assessment!E19</f>
        <v>0</v>
      </c>
      <c r="L895">
        <f>B14_Assessment!F19</f>
        <v>0</v>
      </c>
      <c r="M895">
        <f>B14_Assessment!G19</f>
        <v>0</v>
      </c>
      <c r="N895">
        <f>B14_Assessment!H19</f>
        <v>0</v>
      </c>
      <c r="O895">
        <f>B14_Assessment!I19</f>
        <v>0</v>
      </c>
      <c r="P895">
        <f>B14_Assessment!J19</f>
        <v>0</v>
      </c>
      <c r="Q895" t="str">
        <f t="shared" si="13"/>
        <v>14|12</v>
      </c>
    </row>
    <row r="896" spans="1:17" ht="6.45" customHeight="1">
      <c r="A896" t="s">
        <v>700</v>
      </c>
      <c r="B896">
        <v>13</v>
      </c>
      <c r="C896" t="s">
        <v>37</v>
      </c>
      <c r="D896">
        <v>20</v>
      </c>
      <c r="E896" t="s">
        <v>951</v>
      </c>
      <c r="F896" t="s">
        <v>5322</v>
      </c>
      <c r="G896" t="str">
        <f>B14_Assessment!A20</f>
        <v>3. FIRE PROTECTION</v>
      </c>
      <c r="H896">
        <f>B14_Assessment!B20</f>
        <v>0</v>
      </c>
      <c r="I896">
        <f>B14_Assessment!C20</f>
        <v>0</v>
      </c>
      <c r="J896">
        <f>B14_Assessment!D20</f>
        <v>0</v>
      </c>
      <c r="K896">
        <f>B14_Assessment!E20</f>
        <v>0</v>
      </c>
      <c r="L896">
        <f>B14_Assessment!F20</f>
        <v>0</v>
      </c>
      <c r="M896">
        <f>B14_Assessment!G20</f>
        <v>0</v>
      </c>
      <c r="N896">
        <f>B14_Assessment!H20</f>
        <v>0</v>
      </c>
      <c r="O896">
        <f>B14_Assessment!I20</f>
        <v>0</v>
      </c>
      <c r="P896">
        <f>B14_Assessment!J20</f>
        <v>0</v>
      </c>
      <c r="Q896" t="str">
        <f t="shared" si="13"/>
        <v>14|13</v>
      </c>
    </row>
    <row r="897" spans="1:17" ht="6.45" customHeight="1">
      <c r="A897" t="s">
        <v>700</v>
      </c>
      <c r="B897">
        <v>14</v>
      </c>
      <c r="C897" t="s">
        <v>37</v>
      </c>
      <c r="D897">
        <v>21</v>
      </c>
      <c r="E897" t="s">
        <v>951</v>
      </c>
      <c r="F897" t="s">
        <v>5323</v>
      </c>
      <c r="G897" t="str">
        <f>B14_Assessment!A21</f>
        <v>Room</v>
      </c>
      <c r="H897" t="str">
        <f>B14_Assessment!B21</f>
        <v>Sprinkler</v>
      </c>
      <c r="I897" t="str">
        <f>B14_Assessment!C21</f>
        <v>Cage</v>
      </c>
      <c r="J897" t="str">
        <f>B14_Assessment!D21</f>
        <v>Detector</v>
      </c>
      <c r="K897" t="str">
        <f>B14_Assessment!E21</f>
        <v>Horn/Strobe</v>
      </c>
      <c r="L897" t="str">
        <f>B14_Assessment!F21</f>
        <v>Extinguisher &lt;75 ft</v>
      </c>
      <c r="M897" t="str">
        <f>B14_Assessment!G21</f>
        <v>Firestop</v>
      </c>
      <c r="N897" t="str">
        <f>B14_Assessment!H21</f>
        <v>Temp Firestop</v>
      </c>
      <c r="O897" t="str">
        <f>B14_Assessment!I21</f>
        <v>Overall</v>
      </c>
      <c r="P897" t="str">
        <f>B14_Assessment!J21</f>
        <v>Risk / Notes</v>
      </c>
      <c r="Q897" t="str">
        <f t="shared" si="13"/>
        <v>14|14</v>
      </c>
    </row>
    <row r="898" spans="1:17" ht="6.45" customHeight="1">
      <c r="A898" t="s">
        <v>700</v>
      </c>
      <c r="B898">
        <v>15</v>
      </c>
      <c r="C898" t="s">
        <v>37</v>
      </c>
      <c r="D898">
        <v>22</v>
      </c>
      <c r="E898" t="s">
        <v>951</v>
      </c>
      <c r="F898" t="s">
        <v>5324</v>
      </c>
      <c r="G898" t="str">
        <f>B14_Assessment!A22</f>
        <v>119</v>
      </c>
      <c r="H898" t="str">
        <f>B14_Assessment!B22</f>
        <v>Verify</v>
      </c>
      <c r="I898" t="str">
        <f>B14_Assessment!C22</f>
        <v>Verify</v>
      </c>
      <c r="J898" t="str">
        <f>B14_Assessment!D22</f>
        <v>Verify</v>
      </c>
      <c r="K898" t="str">
        <f>B14_Assessment!E22</f>
        <v>Verify</v>
      </c>
      <c r="L898" t="str">
        <f>B14_Assessment!F22</f>
        <v>Verify</v>
      </c>
      <c r="M898" t="str">
        <f>B14_Assessment!G22</f>
        <v>Verify</v>
      </c>
      <c r="N898" t="str">
        <f>B14_Assessment!H22</f>
        <v>Verify</v>
      </c>
      <c r="O898" t="str">
        <f>B14_Assessment!I22</f>
        <v>Verify</v>
      </c>
      <c r="P898" t="str">
        <f>B14_Assessment!J22</f>
        <v>Fully sprinklered building; confirm sprinkler/fire alarm modifications, clean-agent 2A:10B:C extinguisher within 75 ft, rated wall/ceiling penetrations, and temporary firestopping during cable pulls.</v>
      </c>
      <c r="Q898" t="str">
        <f t="shared" ref="Q898:Q961" si="14">A898&amp;"|"&amp;B898</f>
        <v>14|15</v>
      </c>
    </row>
    <row r="899" spans="1:17" ht="6.45" customHeight="1">
      <c r="A899" t="s">
        <v>700</v>
      </c>
      <c r="B899">
        <v>16</v>
      </c>
      <c r="C899" t="s">
        <v>37</v>
      </c>
      <c r="D899">
        <v>23</v>
      </c>
      <c r="E899" t="s">
        <v>951</v>
      </c>
      <c r="F899" t="s">
        <v>5324</v>
      </c>
      <c r="G899" t="str">
        <f>B14_Assessment!A23</f>
        <v>B.01</v>
      </c>
      <c r="H899" t="str">
        <f>B14_Assessment!B23</f>
        <v>Verify</v>
      </c>
      <c r="I899" t="str">
        <f>B14_Assessment!C23</f>
        <v>N/A</v>
      </c>
      <c r="J899" t="str">
        <f>B14_Assessment!D23</f>
        <v>Verify</v>
      </c>
      <c r="K899" t="str">
        <f>B14_Assessment!E23</f>
        <v>Verify</v>
      </c>
      <c r="L899" t="str">
        <f>B14_Assessment!F23</f>
        <v>Verify</v>
      </c>
      <c r="M899" t="str">
        <f>B14_Assessment!G23</f>
        <v>Verify</v>
      </c>
      <c r="N899" t="str">
        <f>B14_Assessment!H23</f>
        <v>Verify</v>
      </c>
      <c r="O899" t="str">
        <f>B14_Assessment!I23</f>
        <v>Verify</v>
      </c>
      <c r="P899" t="str">
        <f>B14_Assessment!J23</f>
        <v>Existing basement tel room; verify fire alarm/sprinkler protection-in-place and seal any removed/reused penetration after cutover.</v>
      </c>
      <c r="Q899" t="str">
        <f t="shared" si="14"/>
        <v>14|16</v>
      </c>
    </row>
    <row r="900" spans="1:17" ht="6.45" customHeight="1">
      <c r="A900" t="s">
        <v>700</v>
      </c>
      <c r="B900">
        <v>17</v>
      </c>
      <c r="C900" t="s">
        <v>37</v>
      </c>
      <c r="D900">
        <v>24</v>
      </c>
      <c r="E900" t="s">
        <v>951</v>
      </c>
      <c r="F900" t="s">
        <v>5324</v>
      </c>
      <c r="G900" t="str">
        <f>B14_Assessment!A24</f>
        <v>B2</v>
      </c>
      <c r="H900" t="str">
        <f>B14_Assessment!B24</f>
        <v>Verify</v>
      </c>
      <c r="I900" t="str">
        <f>B14_Assessment!C24</f>
        <v>N/A</v>
      </c>
      <c r="J900" t="str">
        <f>B14_Assessment!D24</f>
        <v>Verify</v>
      </c>
      <c r="K900" t="str">
        <f>B14_Assessment!E24</f>
        <v>Verify</v>
      </c>
      <c r="L900" t="str">
        <f>B14_Assessment!F24</f>
        <v>Verify</v>
      </c>
      <c r="M900" t="str">
        <f>B14_Assessment!G24</f>
        <v>Verify</v>
      </c>
      <c r="N900" t="str">
        <f>B14_Assessment!H24</f>
        <v>Verify</v>
      </c>
      <c r="O900" t="str">
        <f>B14_Assessment!I24</f>
        <v>Verify</v>
      </c>
      <c r="P900" t="str">
        <f>B14_Assessment!J24</f>
        <v>Existing basement telecom room; verify no unsealed penetrations remain after cable transfer or reuse.</v>
      </c>
      <c r="Q900" t="str">
        <f t="shared" si="14"/>
        <v>14|17</v>
      </c>
    </row>
    <row r="901" spans="1:17" ht="6.45" customHeight="1">
      <c r="A901" t="s">
        <v>700</v>
      </c>
      <c r="B901">
        <v>18</v>
      </c>
      <c r="C901" t="s">
        <v>37</v>
      </c>
      <c r="D901">
        <v>25</v>
      </c>
      <c r="E901" t="s">
        <v>951</v>
      </c>
      <c r="F901" t="s">
        <v>5325</v>
      </c>
      <c r="G901">
        <f>B14_Assessment!A25</f>
        <v>0</v>
      </c>
      <c r="H901">
        <f>B14_Assessment!B25</f>
        <v>0</v>
      </c>
      <c r="I901">
        <f>B14_Assessment!C25</f>
        <v>0</v>
      </c>
      <c r="J901">
        <f>B14_Assessment!D25</f>
        <v>0</v>
      </c>
      <c r="K901">
        <f>B14_Assessment!E25</f>
        <v>0</v>
      </c>
      <c r="L901">
        <f>B14_Assessment!F25</f>
        <v>0</v>
      </c>
      <c r="M901">
        <f>B14_Assessment!G25</f>
        <v>0</v>
      </c>
      <c r="N901">
        <f>B14_Assessment!H25</f>
        <v>0</v>
      </c>
      <c r="O901">
        <f>B14_Assessment!I25</f>
        <v>0</v>
      </c>
      <c r="P901">
        <f>B14_Assessment!J25</f>
        <v>0</v>
      </c>
      <c r="Q901" t="str">
        <f t="shared" si="14"/>
        <v>14|18</v>
      </c>
    </row>
    <row r="902" spans="1:17" ht="6.45" customHeight="1">
      <c r="A902" t="s">
        <v>700</v>
      </c>
      <c r="B902">
        <v>19</v>
      </c>
      <c r="C902" t="s">
        <v>37</v>
      </c>
      <c r="D902">
        <v>26</v>
      </c>
      <c r="E902" t="s">
        <v>964</v>
      </c>
      <c r="F902" t="s">
        <v>5322</v>
      </c>
      <c r="G902" t="str">
        <f>B14_Assessment!A26</f>
        <v>4. HVAC / COOLING</v>
      </c>
      <c r="H902">
        <f>B14_Assessment!B26</f>
        <v>0</v>
      </c>
      <c r="I902">
        <f>B14_Assessment!C26</f>
        <v>0</v>
      </c>
      <c r="J902">
        <f>B14_Assessment!D26</f>
        <v>0</v>
      </c>
      <c r="K902">
        <f>B14_Assessment!E26</f>
        <v>0</v>
      </c>
      <c r="L902">
        <f>B14_Assessment!F26</f>
        <v>0</v>
      </c>
      <c r="M902">
        <f>B14_Assessment!G26</f>
        <v>0</v>
      </c>
      <c r="N902">
        <f>B14_Assessment!H26</f>
        <v>0</v>
      </c>
      <c r="O902">
        <f>B14_Assessment!I26</f>
        <v>0</v>
      </c>
      <c r="P902">
        <f>B14_Assessment!J26</f>
        <v>0</v>
      </c>
      <c r="Q902" t="str">
        <f t="shared" si="14"/>
        <v>14|19</v>
      </c>
    </row>
    <row r="903" spans="1:17" ht="6.45" customHeight="1">
      <c r="A903" t="s">
        <v>700</v>
      </c>
      <c r="B903">
        <v>20</v>
      </c>
      <c r="C903" t="s">
        <v>37</v>
      </c>
      <c r="D903">
        <v>27</v>
      </c>
      <c r="E903" t="s">
        <v>964</v>
      </c>
      <c r="F903" t="s">
        <v>5323</v>
      </c>
      <c r="G903" t="str">
        <f>B14_Assessment!A27</f>
        <v>Room</v>
      </c>
      <c r="H903" t="str">
        <f>B14_Assessment!B27</f>
        <v>Dedicated Unit</v>
      </c>
      <c r="I903" t="str">
        <f>B14_Assessment!C27</f>
        <v>Capacity Verified</v>
      </c>
      <c r="J903" t="str">
        <f>B14_Assessment!D27</f>
        <v>Emergency Power</v>
      </c>
      <c r="K903" t="str">
        <f>B14_Assessment!E27</f>
        <v>Controls / BACnet</v>
      </c>
      <c r="L903" t="str">
        <f>B14_Assessment!F27</f>
        <v>Condensate Routed</v>
      </c>
      <c r="M903" t="str">
        <f>B14_Assessment!G27</f>
        <v>High Temp Alarm</v>
      </c>
      <c r="N903" t="str">
        <f>B14_Assessment!H27</f>
        <v>24/7 Operation</v>
      </c>
      <c r="O903" t="str">
        <f>B14_Assessment!I27</f>
        <v>Overall</v>
      </c>
      <c r="P903" t="str">
        <f>B14_Assessment!J27</f>
        <v>Risk / Notes</v>
      </c>
      <c r="Q903" t="str">
        <f t="shared" si="14"/>
        <v>14|20</v>
      </c>
    </row>
    <row r="904" spans="1:17" ht="6.45" customHeight="1">
      <c r="A904" t="s">
        <v>700</v>
      </c>
      <c r="B904">
        <v>21</v>
      </c>
      <c r="C904" t="s">
        <v>37</v>
      </c>
      <c r="D904">
        <v>28</v>
      </c>
      <c r="E904" t="s">
        <v>964</v>
      </c>
      <c r="F904" t="s">
        <v>5324</v>
      </c>
      <c r="G904" t="str">
        <f>B14_Assessment!A28</f>
        <v>119</v>
      </c>
      <c r="H904" t="str">
        <f>B14_Assessment!B28</f>
        <v>IU-1-01 / CU-1-01</v>
      </c>
      <c r="I904" t="str">
        <f>B14_Assessment!C28</f>
        <v>Verify</v>
      </c>
      <c r="J904" t="str">
        <f>B14_Assessment!D28</f>
        <v>Verify</v>
      </c>
      <c r="K904" t="str">
        <f>B14_Assessment!E28</f>
        <v>Verify</v>
      </c>
      <c r="L904" t="str">
        <f>B14_Assessment!F28</f>
        <v>Verify</v>
      </c>
      <c r="M904" t="str">
        <f>B14_Assessment!G28</f>
        <v>Verify</v>
      </c>
      <c r="N904" t="str">
        <f>B14_Assessment!H28</f>
        <v>Verify</v>
      </c>
      <c r="O904" t="str">
        <f>B14_Assessment!I28</f>
        <v>Verify</v>
      </c>
      <c r="P904" t="str">
        <f>B14_Assessment!J28</f>
        <v>Mechanical/electrical drawings show IU-1-01 in Telecom Room 119 and CU-1-01 outdoor unit. Confirm capacity, emergency/standby source, BACnet adapter, thermostat/control point, condensate path, disconnects, and high-temperature alarm.</v>
      </c>
      <c r="Q904" t="str">
        <f t="shared" si="14"/>
        <v>14|21</v>
      </c>
    </row>
    <row r="905" spans="1:17" ht="6.45" customHeight="1">
      <c r="A905" t="s">
        <v>700</v>
      </c>
      <c r="B905">
        <v>22</v>
      </c>
      <c r="C905" t="s">
        <v>37</v>
      </c>
      <c r="D905">
        <v>29</v>
      </c>
      <c r="E905" t="s">
        <v>964</v>
      </c>
      <c r="F905" t="s">
        <v>5324</v>
      </c>
      <c r="G905" t="str">
        <f>B14_Assessment!A29</f>
        <v>B.01</v>
      </c>
      <c r="H905" t="str">
        <f>B14_Assessment!B29</f>
        <v>Existing / Verify</v>
      </c>
      <c r="I905" t="str">
        <f>B14_Assessment!C29</f>
        <v>Verify</v>
      </c>
      <c r="J905" t="str">
        <f>B14_Assessment!D29</f>
        <v>Verify</v>
      </c>
      <c r="K905" t="str">
        <f>B14_Assessment!E29</f>
        <v>Verify</v>
      </c>
      <c r="L905" t="str">
        <f>B14_Assessment!F29</f>
        <v>Verify</v>
      </c>
      <c r="M905" t="str">
        <f>B14_Assessment!G29</f>
        <v>Verify</v>
      </c>
      <c r="N905" t="str">
        <f>B14_Assessment!H29</f>
        <v>Verify</v>
      </c>
      <c r="O905" t="str">
        <f>B14_Assessment!I29</f>
        <v>Verify</v>
      </c>
      <c r="P905" t="str">
        <f>B14_Assessment!J29</f>
        <v>Existing Tel/F Panel room; verify existing environmental conditions during cutover and whether legacy equipment remains active.</v>
      </c>
      <c r="Q905" t="str">
        <f t="shared" si="14"/>
        <v>14|22</v>
      </c>
    </row>
    <row r="906" spans="1:17" ht="6.45" customHeight="1">
      <c r="A906" t="s">
        <v>700</v>
      </c>
      <c r="B906">
        <v>23</v>
      </c>
      <c r="C906" t="s">
        <v>37</v>
      </c>
      <c r="D906">
        <v>30</v>
      </c>
      <c r="E906" t="s">
        <v>964</v>
      </c>
      <c r="F906" t="s">
        <v>5324</v>
      </c>
      <c r="G906" t="str">
        <f>B14_Assessment!A30</f>
        <v>B2</v>
      </c>
      <c r="H906" t="str">
        <f>B14_Assessment!B30</f>
        <v>Existing / Verify</v>
      </c>
      <c r="I906" t="str">
        <f>B14_Assessment!C30</f>
        <v>Verify</v>
      </c>
      <c r="J906" t="str">
        <f>B14_Assessment!D30</f>
        <v>Verify</v>
      </c>
      <c r="K906" t="str">
        <f>B14_Assessment!E30</f>
        <v>Verify</v>
      </c>
      <c r="L906" t="str">
        <f>B14_Assessment!F30</f>
        <v>Verify</v>
      </c>
      <c r="M906" t="str">
        <f>B14_Assessment!G30</f>
        <v>Verify</v>
      </c>
      <c r="N906" t="str">
        <f>B14_Assessment!H30</f>
        <v>Verify</v>
      </c>
      <c r="O906" t="str">
        <f>B14_Assessment!I30</f>
        <v>Verify</v>
      </c>
      <c r="P906" t="str">
        <f>B14_Assessment!J30</f>
        <v>Existing telecom room reference; field verify cooling/ventilation and active equipment condition.</v>
      </c>
      <c r="Q906" t="str">
        <f t="shared" si="14"/>
        <v>14|23</v>
      </c>
    </row>
    <row r="907" spans="1:17" ht="6.45" customHeight="1">
      <c r="A907" t="s">
        <v>700</v>
      </c>
      <c r="B907">
        <v>24</v>
      </c>
      <c r="C907" t="s">
        <v>37</v>
      </c>
      <c r="D907">
        <v>31</v>
      </c>
      <c r="E907" t="s">
        <v>964</v>
      </c>
      <c r="F907" t="s">
        <v>5325</v>
      </c>
      <c r="G907">
        <f>B14_Assessment!A31</f>
        <v>0</v>
      </c>
      <c r="H907">
        <f>B14_Assessment!B31</f>
        <v>0</v>
      </c>
      <c r="I907">
        <f>B14_Assessment!C31</f>
        <v>0</v>
      </c>
      <c r="J907">
        <f>B14_Assessment!D31</f>
        <v>0</v>
      </c>
      <c r="K907">
        <f>B14_Assessment!E31</f>
        <v>0</v>
      </c>
      <c r="L907">
        <f>B14_Assessment!F31</f>
        <v>0</v>
      </c>
      <c r="M907">
        <f>B14_Assessment!G31</f>
        <v>0</v>
      </c>
      <c r="N907">
        <f>B14_Assessment!H31</f>
        <v>0</v>
      </c>
      <c r="O907">
        <f>B14_Assessment!I31</f>
        <v>0</v>
      </c>
      <c r="P907">
        <f>B14_Assessment!J31</f>
        <v>0</v>
      </c>
      <c r="Q907" t="str">
        <f t="shared" si="14"/>
        <v>14|24</v>
      </c>
    </row>
    <row r="908" spans="1:17" ht="6.45" customHeight="1">
      <c r="A908" t="s">
        <v>700</v>
      </c>
      <c r="B908">
        <v>25</v>
      </c>
      <c r="C908" t="s">
        <v>37</v>
      </c>
      <c r="D908">
        <v>32</v>
      </c>
      <c r="E908" t="s">
        <v>977</v>
      </c>
      <c r="F908" t="s">
        <v>5322</v>
      </c>
      <c r="G908" t="str">
        <f>B14_Assessment!A32</f>
        <v>5. ELECTRICAL / UPS</v>
      </c>
      <c r="H908">
        <f>B14_Assessment!B32</f>
        <v>0</v>
      </c>
      <c r="I908">
        <f>B14_Assessment!C32</f>
        <v>0</v>
      </c>
      <c r="J908">
        <f>B14_Assessment!D32</f>
        <v>0</v>
      </c>
      <c r="K908">
        <f>B14_Assessment!E32</f>
        <v>0</v>
      </c>
      <c r="L908">
        <f>B14_Assessment!F32</f>
        <v>0</v>
      </c>
      <c r="M908">
        <f>B14_Assessment!G32</f>
        <v>0</v>
      </c>
      <c r="N908">
        <f>B14_Assessment!H32</f>
        <v>0</v>
      </c>
      <c r="O908">
        <f>B14_Assessment!I32</f>
        <v>0</v>
      </c>
      <c r="P908">
        <f>B14_Assessment!J32</f>
        <v>0</v>
      </c>
      <c r="Q908" t="str">
        <f t="shared" si="14"/>
        <v>14|25</v>
      </c>
    </row>
    <row r="909" spans="1:17" ht="6.45" customHeight="1">
      <c r="A909" t="s">
        <v>700</v>
      </c>
      <c r="B909">
        <v>26</v>
      </c>
      <c r="C909" t="s">
        <v>37</v>
      </c>
      <c r="D909">
        <v>33</v>
      </c>
      <c r="E909" t="s">
        <v>977</v>
      </c>
      <c r="F909" t="s">
        <v>5323</v>
      </c>
      <c r="G909" t="str">
        <f>B14_Assessment!A33</f>
        <v>Room</v>
      </c>
      <c r="H909" t="str">
        <f>B14_Assessment!B33</f>
        <v>UPS Installed</v>
      </c>
      <c r="I909" t="str">
        <f>B14_Assessment!C33</f>
        <v>UPS Size</v>
      </c>
      <c r="J909" t="str">
        <f>B14_Assessment!D33</f>
        <v>PDU Installed</v>
      </c>
      <c r="K909" t="str">
        <f>B14_Assessment!E33</f>
        <v>Rack Receptacles</v>
      </c>
      <c r="L909" t="str">
        <f>B14_Assessment!F33</f>
        <v>Panel Assigned</v>
      </c>
      <c r="M909" t="str">
        <f>B14_Assessment!G33</f>
        <v>Emergency Source</v>
      </c>
      <c r="N909" t="str">
        <f>B14_Assessment!H33</f>
        <v>SPD / Labeling</v>
      </c>
      <c r="O909" t="str">
        <f>B14_Assessment!I33</f>
        <v>Overall</v>
      </c>
      <c r="P909" t="str">
        <f>B14_Assessment!J33</f>
        <v>Notes</v>
      </c>
      <c r="Q909" t="str">
        <f t="shared" si="14"/>
        <v>14|26</v>
      </c>
    </row>
    <row r="910" spans="1:17" ht="6.45" customHeight="1">
      <c r="A910" t="s">
        <v>700</v>
      </c>
      <c r="B910">
        <v>27</v>
      </c>
      <c r="C910" t="s">
        <v>37</v>
      </c>
      <c r="D910">
        <v>34</v>
      </c>
      <c r="E910" t="s">
        <v>977</v>
      </c>
      <c r="F910" t="s">
        <v>5324</v>
      </c>
      <c r="G910" t="str">
        <f>B14_Assessment!A34</f>
        <v>119</v>
      </c>
      <c r="H910" t="str">
        <f>B14_Assessment!B34</f>
        <v>Verify</v>
      </c>
      <c r="I910" t="str">
        <f>B14_Assessment!C34</f>
        <v>5 kW / 240V rack UPS</v>
      </c>
      <c r="J910" t="str">
        <f>B14_Assessment!D34</f>
        <v>Verify</v>
      </c>
      <c r="K910" t="str">
        <f>B14_Assessment!E34</f>
        <v>Verify</v>
      </c>
      <c r="L910" t="str">
        <f>B14_Assessment!F34</f>
        <v>B14-TR119A / B14-TR119B</v>
      </c>
      <c r="M910" t="str">
        <f>B14_Assessment!G34</f>
        <v>Verify</v>
      </c>
      <c r="N910" t="str">
        <f>B14_Assessment!H34</f>
        <v>Verify</v>
      </c>
      <c r="O910" t="str">
        <f>B14_Assessment!I34</f>
        <v>Verify</v>
      </c>
      <c r="P910" t="str">
        <f>B14_Assessment!J34</f>
        <v>Electrical plan/schedules identify B14-TR119A/B, 240V rack UPS requirements, normal/emergency rack power, rack receptacles, TR receptacles, lighting, CU-1-01, SPD requirements, and panel load measurement requirements.</v>
      </c>
      <c r="Q910" t="str">
        <f t="shared" si="14"/>
        <v>14|27</v>
      </c>
    </row>
    <row r="911" spans="1:17" ht="6.45" customHeight="1">
      <c r="A911" t="s">
        <v>700</v>
      </c>
      <c r="B911">
        <v>28</v>
      </c>
      <c r="C911" t="s">
        <v>37</v>
      </c>
      <c r="D911">
        <v>35</v>
      </c>
      <c r="E911" t="s">
        <v>977</v>
      </c>
      <c r="F911" t="s">
        <v>5324</v>
      </c>
      <c r="G911" t="str">
        <f>B14_Assessment!A35</f>
        <v>B.01</v>
      </c>
      <c r="H911" t="str">
        <f>B14_Assessment!B35</f>
        <v>Existing</v>
      </c>
      <c r="I911" t="str">
        <f>B14_Assessment!C35</f>
        <v>Existing</v>
      </c>
      <c r="J911" t="str">
        <f>B14_Assessment!D35</f>
        <v>Existing</v>
      </c>
      <c r="K911" t="str">
        <f>B14_Assessment!E35</f>
        <v>Verify</v>
      </c>
      <c r="L911" t="str">
        <f>B14_Assessment!F35</f>
        <v>Existing / Verify</v>
      </c>
      <c r="M911" t="str">
        <f>B14_Assessment!G35</f>
        <v>Verify</v>
      </c>
      <c r="N911" t="str">
        <f>B14_Assessment!H35</f>
        <v>Verify</v>
      </c>
      <c r="O911" t="str">
        <f>B14_Assessment!I35</f>
        <v>Verify</v>
      </c>
      <c r="P911" t="str">
        <f>B14_Assessment!J35</f>
        <v>Existing basement wall-mounted TE/equipment area; verify power source, active equipment, UPS/PDU status, and transition requirements before disconnect or removal.</v>
      </c>
      <c r="Q911" t="str">
        <f t="shared" si="14"/>
        <v>14|28</v>
      </c>
    </row>
    <row r="912" spans="1:17" ht="6.45" customHeight="1">
      <c r="A912" t="s">
        <v>700</v>
      </c>
      <c r="B912">
        <v>29</v>
      </c>
      <c r="C912" t="s">
        <v>37</v>
      </c>
      <c r="D912">
        <v>36</v>
      </c>
      <c r="E912" t="s">
        <v>977</v>
      </c>
      <c r="F912" t="s">
        <v>5324</v>
      </c>
      <c r="G912" t="str">
        <f>B14_Assessment!A36</f>
        <v>B2</v>
      </c>
      <c r="H912" t="str">
        <f>B14_Assessment!B36</f>
        <v>Existing / Verify</v>
      </c>
      <c r="I912" t="str">
        <f>B14_Assessment!C36</f>
        <v>Existing / Verify</v>
      </c>
      <c r="J912" t="str">
        <f>B14_Assessment!D36</f>
        <v>Existing / Verify</v>
      </c>
      <c r="K912" t="str">
        <f>B14_Assessment!E36</f>
        <v>Verify</v>
      </c>
      <c r="L912" t="str">
        <f>B14_Assessment!F36</f>
        <v>Existing / Verify</v>
      </c>
      <c r="M912" t="str">
        <f>B14_Assessment!G36</f>
        <v>Verify</v>
      </c>
      <c r="N912" t="str">
        <f>B14_Assessment!H36</f>
        <v>Verify</v>
      </c>
      <c r="O912" t="str">
        <f>B14_Assessment!I36</f>
        <v>Verify</v>
      </c>
      <c r="P912" t="str">
        <f>B14_Assessment!J36</f>
        <v>Existing telecom room photo reference; confirm power sources and any cutover requirements.</v>
      </c>
      <c r="Q912" t="str">
        <f t="shared" si="14"/>
        <v>14|29</v>
      </c>
    </row>
    <row r="913" spans="1:17" ht="6.45" customHeight="1">
      <c r="A913" t="s">
        <v>700</v>
      </c>
      <c r="B913">
        <v>30</v>
      </c>
      <c r="C913" t="s">
        <v>37</v>
      </c>
      <c r="D913">
        <v>37</v>
      </c>
      <c r="E913" t="s">
        <v>977</v>
      </c>
      <c r="F913" t="s">
        <v>5325</v>
      </c>
      <c r="G913">
        <f>B14_Assessment!A37</f>
        <v>0</v>
      </c>
      <c r="H913">
        <f>B14_Assessment!B37</f>
        <v>0</v>
      </c>
      <c r="I913">
        <f>B14_Assessment!C37</f>
        <v>0</v>
      </c>
      <c r="J913">
        <f>B14_Assessment!D37</f>
        <v>0</v>
      </c>
      <c r="K913">
        <f>B14_Assessment!E37</f>
        <v>0</v>
      </c>
      <c r="L913">
        <f>B14_Assessment!F37</f>
        <v>0</v>
      </c>
      <c r="M913">
        <f>B14_Assessment!G37</f>
        <v>0</v>
      </c>
      <c r="N913">
        <f>B14_Assessment!H37</f>
        <v>0</v>
      </c>
      <c r="O913">
        <f>B14_Assessment!I37</f>
        <v>0</v>
      </c>
      <c r="P913">
        <f>B14_Assessment!J37</f>
        <v>0</v>
      </c>
      <c r="Q913" t="str">
        <f t="shared" si="14"/>
        <v>14|30</v>
      </c>
    </row>
    <row r="914" spans="1:17" ht="6.45" customHeight="1">
      <c r="A914" t="s">
        <v>700</v>
      </c>
      <c r="B914">
        <v>31</v>
      </c>
      <c r="C914" t="s">
        <v>37</v>
      </c>
      <c r="D914">
        <v>38</v>
      </c>
      <c r="E914" t="s">
        <v>994</v>
      </c>
      <c r="F914" t="s">
        <v>5322</v>
      </c>
      <c r="G914" t="str">
        <f>B14_Assessment!A38</f>
        <v>6. TELECOMMUNICATIONS</v>
      </c>
      <c r="H914">
        <f>B14_Assessment!B38</f>
        <v>0</v>
      </c>
      <c r="I914">
        <f>B14_Assessment!C38</f>
        <v>0</v>
      </c>
      <c r="J914">
        <f>B14_Assessment!D38</f>
        <v>0</v>
      </c>
      <c r="K914">
        <f>B14_Assessment!E38</f>
        <v>0</v>
      </c>
      <c r="L914">
        <f>B14_Assessment!F38</f>
        <v>0</v>
      </c>
      <c r="M914">
        <f>B14_Assessment!G38</f>
        <v>0</v>
      </c>
      <c r="N914">
        <f>B14_Assessment!H38</f>
        <v>0</v>
      </c>
      <c r="O914">
        <f>B14_Assessment!I38</f>
        <v>0</v>
      </c>
      <c r="P914">
        <f>B14_Assessment!J38</f>
        <v>0</v>
      </c>
      <c r="Q914" t="str">
        <f t="shared" si="14"/>
        <v>14|31</v>
      </c>
    </row>
    <row r="915" spans="1:17" ht="6.45" customHeight="1">
      <c r="A915" t="s">
        <v>700</v>
      </c>
      <c r="B915">
        <v>32</v>
      </c>
      <c r="C915" t="s">
        <v>37</v>
      </c>
      <c r="D915">
        <v>39</v>
      </c>
      <c r="E915" t="s">
        <v>994</v>
      </c>
      <c r="F915" t="s">
        <v>5323</v>
      </c>
      <c r="G915" t="str">
        <f>B14_Assessment!A39</f>
        <v>Room</v>
      </c>
      <c r="H915" t="str">
        <f>B14_Assessment!B39</f>
        <v>Rack Installed</v>
      </c>
      <c r="I915" t="str">
        <f>B14_Assessment!C39</f>
        <v>Ladder Tray</v>
      </c>
      <c r="J915" t="str">
        <f>B14_Assessment!D39</f>
        <v>Fiber Installed</v>
      </c>
      <c r="K915" t="str">
        <f>B14_Assessment!E39</f>
        <v>Grounding</v>
      </c>
      <c r="L915" t="str">
        <f>B14_Assessment!F39</f>
        <v>Labeling</v>
      </c>
      <c r="M915" t="str">
        <f>B14_Assessment!G39</f>
        <v>Testing</v>
      </c>
      <c r="N915" t="str">
        <f>B14_Assessment!H39</f>
        <v>VA Acceptance</v>
      </c>
      <c r="O915" t="str">
        <f>B14_Assessment!I39</f>
        <v>Overall</v>
      </c>
      <c r="P915" t="str">
        <f>B14_Assessment!J39</f>
        <v>Notes</v>
      </c>
      <c r="Q915" t="str">
        <f t="shared" si="14"/>
        <v>14|32</v>
      </c>
    </row>
    <row r="916" spans="1:17" ht="6.45" customHeight="1">
      <c r="A916" t="s">
        <v>700</v>
      </c>
      <c r="B916">
        <v>33</v>
      </c>
      <c r="C916" t="s">
        <v>37</v>
      </c>
      <c r="D916">
        <v>40</v>
      </c>
      <c r="E916" t="s">
        <v>994</v>
      </c>
      <c r="F916" t="s">
        <v>5324</v>
      </c>
      <c r="G916" t="str">
        <f>B14_Assessment!A40</f>
        <v>119</v>
      </c>
      <c r="H916" t="str">
        <f>B14_Assessment!B40</f>
        <v>Verify</v>
      </c>
      <c r="I916" t="str">
        <f>B14_Assessment!C40</f>
        <v>Verify</v>
      </c>
      <c r="J916" t="str">
        <f>B14_Assessment!D40</f>
        <v>Verify</v>
      </c>
      <c r="K916" t="str">
        <f>B14_Assessment!E40</f>
        <v>Verify</v>
      </c>
      <c r="L916" t="str">
        <f>B14_Assessment!F40</f>
        <v>Verify</v>
      </c>
      <c r="M916" t="str">
        <f>B14_Assessment!G40</f>
        <v>Verify</v>
      </c>
      <c r="N916" t="str">
        <f>B14_Assessment!H40</f>
        <v>Verify</v>
      </c>
      <c r="O916" t="str">
        <f>B14_Assessment!I40</f>
        <v>Verify</v>
      </c>
      <c r="P916" t="str">
        <f>B14_Assessment!J40</f>
        <v>14T-701 identifies Room 119 schedule: 44 WAO total, 29 active ports per survey, 76 total ports per schedule, and 84 total ports with 10% allowance. New Rack ID TR01-119-1 serves first and second level outlets with Fiber Path A/B.</v>
      </c>
      <c r="Q916" t="str">
        <f t="shared" si="14"/>
        <v>14|33</v>
      </c>
    </row>
    <row r="917" spans="1:17" ht="6.45" customHeight="1">
      <c r="A917" t="s">
        <v>700</v>
      </c>
      <c r="B917">
        <v>34</v>
      </c>
      <c r="C917" t="s">
        <v>37</v>
      </c>
      <c r="D917">
        <v>41</v>
      </c>
      <c r="E917" t="s">
        <v>994</v>
      </c>
      <c r="F917" t="s">
        <v>5324</v>
      </c>
      <c r="G917" t="str">
        <f>B14_Assessment!A41</f>
        <v>B.01</v>
      </c>
      <c r="H917" t="str">
        <f>B14_Assessment!B41</f>
        <v>Existing</v>
      </c>
      <c r="I917" t="str">
        <f>B14_Assessment!C41</f>
        <v>Existing</v>
      </c>
      <c r="J917" t="str">
        <f>B14_Assessment!D41</f>
        <v>Existing</v>
      </c>
      <c r="K917" t="str">
        <f>B14_Assessment!E41</f>
        <v>Verify</v>
      </c>
      <c r="L917" t="str">
        <f>B14_Assessment!F41</f>
        <v>Verify</v>
      </c>
      <c r="M917" t="str">
        <f>B14_Assessment!G41</f>
        <v>Verify</v>
      </c>
      <c r="N917" t="str">
        <f>B14_Assessment!H41</f>
        <v>Verify</v>
      </c>
      <c r="O917" t="str">
        <f>B14_Assessment!I41</f>
        <v>Verify</v>
      </c>
      <c r="P917" t="str">
        <f>B14_Assessment!J41</f>
        <v>Existing Room B.01 equipment includes wall-mounted TE, Cisco switch/legacy patch panel, telco patch, plywood backboards, and legacy Fiber LIU; verify active services and transfer plan to Room 119.</v>
      </c>
      <c r="Q917" t="str">
        <f t="shared" si="14"/>
        <v>14|34</v>
      </c>
    </row>
    <row r="918" spans="1:17" ht="6.45" customHeight="1">
      <c r="A918" t="s">
        <v>700</v>
      </c>
      <c r="B918">
        <v>35</v>
      </c>
      <c r="C918" t="s">
        <v>37</v>
      </c>
      <c r="D918">
        <v>42</v>
      </c>
      <c r="E918" t="s">
        <v>994</v>
      </c>
      <c r="F918" t="s">
        <v>5324</v>
      </c>
      <c r="G918" t="str">
        <f>B14_Assessment!A42</f>
        <v>B2</v>
      </c>
      <c r="H918" t="str">
        <f>B14_Assessment!B42</f>
        <v>Existing</v>
      </c>
      <c r="I918" t="str">
        <f>B14_Assessment!C42</f>
        <v>Existing</v>
      </c>
      <c r="J918" t="str">
        <f>B14_Assessment!D42</f>
        <v>Existing</v>
      </c>
      <c r="K918" t="str">
        <f>B14_Assessment!E42</f>
        <v>Verify</v>
      </c>
      <c r="L918" t="str">
        <f>B14_Assessment!F42</f>
        <v>Verify</v>
      </c>
      <c r="M918" t="str">
        <f>B14_Assessment!G42</f>
        <v>Verify</v>
      </c>
      <c r="N918" t="str">
        <f>B14_Assessment!H42</f>
        <v>Verify</v>
      </c>
      <c r="O918" t="str">
        <f>B14_Assessment!I42</f>
        <v>Verify</v>
      </c>
      <c r="P918" t="str">
        <f>B14_Assessment!J42</f>
        <v>Existing basement telecom room B2 is identified by photo reference; verify active devices, routing, and relation to B.01.</v>
      </c>
      <c r="Q918" t="str">
        <f t="shared" si="14"/>
        <v>14|35</v>
      </c>
    </row>
    <row r="919" spans="1:17" ht="6.45" customHeight="1">
      <c r="A919" t="s">
        <v>700</v>
      </c>
      <c r="B919">
        <v>36</v>
      </c>
      <c r="C919" t="s">
        <v>37</v>
      </c>
      <c r="D919">
        <v>43</v>
      </c>
      <c r="E919" t="s">
        <v>994</v>
      </c>
      <c r="F919" t="s">
        <v>5325</v>
      </c>
      <c r="G919">
        <f>B14_Assessment!A43</f>
        <v>0</v>
      </c>
      <c r="H919">
        <f>B14_Assessment!B43</f>
        <v>0</v>
      </c>
      <c r="I919">
        <f>B14_Assessment!C43</f>
        <v>0</v>
      </c>
      <c r="J919">
        <f>B14_Assessment!D43</f>
        <v>0</v>
      </c>
      <c r="K919">
        <f>B14_Assessment!E43</f>
        <v>0</v>
      </c>
      <c r="L919">
        <f>B14_Assessment!F43</f>
        <v>0</v>
      </c>
      <c r="M919">
        <f>B14_Assessment!G43</f>
        <v>0</v>
      </c>
      <c r="N919">
        <f>B14_Assessment!H43</f>
        <v>0</v>
      </c>
      <c r="O919">
        <f>B14_Assessment!I43</f>
        <v>0</v>
      </c>
      <c r="P919">
        <f>B14_Assessment!J43</f>
        <v>0</v>
      </c>
      <c r="Q919" t="str">
        <f t="shared" si="14"/>
        <v>14|36</v>
      </c>
    </row>
    <row r="920" spans="1:17" ht="6.45" customHeight="1">
      <c r="A920" t="s">
        <v>700</v>
      </c>
      <c r="B920">
        <v>37</v>
      </c>
      <c r="C920" t="s">
        <v>37</v>
      </c>
      <c r="D920">
        <v>44</v>
      </c>
      <c r="E920" t="s">
        <v>1007</v>
      </c>
      <c r="F920" t="s">
        <v>5322</v>
      </c>
      <c r="G920" t="str">
        <f>B14_Assessment!A44</f>
        <v>7. SECURITY / PACS / CCTV</v>
      </c>
      <c r="H920">
        <f>B14_Assessment!B44</f>
        <v>0</v>
      </c>
      <c r="I920">
        <f>B14_Assessment!C44</f>
        <v>0</v>
      </c>
      <c r="J920">
        <f>B14_Assessment!D44</f>
        <v>0</v>
      </c>
      <c r="K920">
        <f>B14_Assessment!E44</f>
        <v>0</v>
      </c>
      <c r="L920">
        <f>B14_Assessment!F44</f>
        <v>0</v>
      </c>
      <c r="M920">
        <f>B14_Assessment!G44</f>
        <v>0</v>
      </c>
      <c r="N920">
        <f>B14_Assessment!H44</f>
        <v>0</v>
      </c>
      <c r="O920">
        <f>B14_Assessment!I44</f>
        <v>0</v>
      </c>
      <c r="P920">
        <f>B14_Assessment!J44</f>
        <v>0</v>
      </c>
      <c r="Q920" t="str">
        <f t="shared" si="14"/>
        <v>14|37</v>
      </c>
    </row>
    <row r="921" spans="1:17" ht="6.45" customHeight="1">
      <c r="A921" t="s">
        <v>700</v>
      </c>
      <c r="B921">
        <v>38</v>
      </c>
      <c r="C921" t="s">
        <v>37</v>
      </c>
      <c r="D921">
        <v>45</v>
      </c>
      <c r="E921" t="s">
        <v>1007</v>
      </c>
      <c r="F921" t="s">
        <v>5323</v>
      </c>
      <c r="G921" t="str">
        <f>B14_Assessment!A45</f>
        <v>Room</v>
      </c>
      <c r="H921" t="str">
        <f>B14_Assessment!B45</f>
        <v>PACS</v>
      </c>
      <c r="I921" t="str">
        <f>B14_Assessment!C45</f>
        <v>Card Reader</v>
      </c>
      <c r="J921" t="str">
        <f>B14_Assessment!D45</f>
        <v>Door Position</v>
      </c>
      <c r="K921" t="str">
        <f>B14_Assessment!E45</f>
        <v>Electric Strike</v>
      </c>
      <c r="L921" t="str">
        <f>B14_Assessment!F45</f>
        <v>CCTV</v>
      </c>
      <c r="M921" t="str">
        <f>B14_Assessment!G45</f>
        <v>Motion Sensor</v>
      </c>
      <c r="N921" t="str">
        <f>B14_Assessment!H45</f>
        <v>Integration</v>
      </c>
      <c r="O921" t="str">
        <f>B14_Assessment!I45</f>
        <v>Overall</v>
      </c>
      <c r="P921" t="str">
        <f>B14_Assessment!J45</f>
        <v>Notes</v>
      </c>
      <c r="Q921" t="str">
        <f t="shared" si="14"/>
        <v>14|38</v>
      </c>
    </row>
    <row r="922" spans="1:17" ht="6.45" customHeight="1">
      <c r="A922" t="s">
        <v>700</v>
      </c>
      <c r="B922">
        <v>39</v>
      </c>
      <c r="C922" t="s">
        <v>37</v>
      </c>
      <c r="D922">
        <v>46</v>
      </c>
      <c r="E922" t="s">
        <v>1007</v>
      </c>
      <c r="F922" t="s">
        <v>5324</v>
      </c>
      <c r="G922" t="str">
        <f>B14_Assessment!A46</f>
        <v>119</v>
      </c>
      <c r="H922" t="str">
        <f>B14_Assessment!B46</f>
        <v>Verify</v>
      </c>
      <c r="I922" t="str">
        <f>B14_Assessment!C46</f>
        <v>Verify</v>
      </c>
      <c r="J922" t="str">
        <f>B14_Assessment!D46</f>
        <v>Verify</v>
      </c>
      <c r="K922" t="str">
        <f>B14_Assessment!E46</f>
        <v>Verify</v>
      </c>
      <c r="L922" t="str">
        <f>B14_Assessment!F46</f>
        <v>Verify</v>
      </c>
      <c r="M922" t="str">
        <f>B14_Assessment!G46</f>
        <v>Verify</v>
      </c>
      <c r="N922" t="str">
        <f>B14_Assessment!H46</f>
        <v>Verify</v>
      </c>
      <c r="O922" t="str">
        <f>B14_Assessment!I46</f>
        <v>Verify</v>
      </c>
      <c r="P922" t="str">
        <f>B14_Assessment!J46</f>
        <v>Telecom/electrical plans show 119-CAM-01 and security/access-control scope for Room 119; verify CR/RX/DC/ES/MD devices, controller, camera/VMS integration, and door hardware coordination.</v>
      </c>
      <c r="Q922" t="str">
        <f t="shared" si="14"/>
        <v>14|39</v>
      </c>
    </row>
    <row r="923" spans="1:17" ht="6.45" customHeight="1">
      <c r="A923" t="s">
        <v>700</v>
      </c>
      <c r="B923">
        <v>40</v>
      </c>
      <c r="C923" t="s">
        <v>37</v>
      </c>
      <c r="D923">
        <v>47</v>
      </c>
      <c r="E923" t="s">
        <v>1007</v>
      </c>
      <c r="F923" t="s">
        <v>5324</v>
      </c>
      <c r="G923" t="str">
        <f>B14_Assessment!A47</f>
        <v>B.01</v>
      </c>
      <c r="H923" t="str">
        <f>B14_Assessment!B47</f>
        <v>Verify</v>
      </c>
      <c r="I923" t="str">
        <f>B14_Assessment!C47</f>
        <v>Verify</v>
      </c>
      <c r="J923" t="str">
        <f>B14_Assessment!D47</f>
        <v>Verify</v>
      </c>
      <c r="K923" t="str">
        <f>B14_Assessment!E47</f>
        <v>Verify</v>
      </c>
      <c r="L923" t="str">
        <f>B14_Assessment!F47</f>
        <v>Verify</v>
      </c>
      <c r="M923" t="str">
        <f>B14_Assessment!G47</f>
        <v>Verify</v>
      </c>
      <c r="N923" t="str">
        <f>B14_Assessment!H47</f>
        <v>Verify</v>
      </c>
      <c r="O923" t="str">
        <f>B14_Assessment!I47</f>
        <v>Verify</v>
      </c>
      <c r="P923" t="str">
        <f>B14_Assessment!J47</f>
        <v>Verify whether existing security equipment remains, is relocated, or requires temporary protection during cutover.</v>
      </c>
      <c r="Q923" t="str">
        <f t="shared" si="14"/>
        <v>14|40</v>
      </c>
    </row>
    <row r="924" spans="1:17" ht="6.45" customHeight="1">
      <c r="A924" t="s">
        <v>700</v>
      </c>
      <c r="B924">
        <v>41</v>
      </c>
      <c r="C924" t="s">
        <v>37</v>
      </c>
      <c r="D924">
        <v>48</v>
      </c>
      <c r="E924" t="s">
        <v>1007</v>
      </c>
      <c r="F924" t="s">
        <v>5324</v>
      </c>
      <c r="G924" t="str">
        <f>B14_Assessment!A48</f>
        <v>B2</v>
      </c>
      <c r="H924" t="str">
        <f>B14_Assessment!B48</f>
        <v>Verify</v>
      </c>
      <c r="I924" t="str">
        <f>B14_Assessment!C48</f>
        <v>Verify</v>
      </c>
      <c r="J924" t="str">
        <f>B14_Assessment!D48</f>
        <v>Verify</v>
      </c>
      <c r="K924" t="str">
        <f>B14_Assessment!E48</f>
        <v>Verify</v>
      </c>
      <c r="L924" t="str">
        <f>B14_Assessment!F48</f>
        <v>Verify</v>
      </c>
      <c r="M924" t="str">
        <f>B14_Assessment!G48</f>
        <v>Verify</v>
      </c>
      <c r="N924" t="str">
        <f>B14_Assessment!H48</f>
        <v>Verify</v>
      </c>
      <c r="O924" t="str">
        <f>B14_Assessment!I48</f>
        <v>Verify</v>
      </c>
      <c r="P924" t="str">
        <f>B14_Assessment!J48</f>
        <v>Verify security/access conditions and whether any legacy security equipment is present.</v>
      </c>
      <c r="Q924" t="str">
        <f t="shared" si="14"/>
        <v>14|41</v>
      </c>
    </row>
    <row r="925" spans="1:17" ht="6.45" customHeight="1">
      <c r="A925" t="s">
        <v>700</v>
      </c>
      <c r="B925">
        <v>42</v>
      </c>
      <c r="C925" t="s">
        <v>37</v>
      </c>
      <c r="D925">
        <v>49</v>
      </c>
      <c r="E925" t="s">
        <v>1007</v>
      </c>
      <c r="F925" t="s">
        <v>5325</v>
      </c>
      <c r="G925">
        <f>B14_Assessment!A49</f>
        <v>0</v>
      </c>
      <c r="H925">
        <f>B14_Assessment!B49</f>
        <v>0</v>
      </c>
      <c r="I925">
        <f>B14_Assessment!C49</f>
        <v>0</v>
      </c>
      <c r="J925">
        <f>B14_Assessment!D49</f>
        <v>0</v>
      </c>
      <c r="K925">
        <f>B14_Assessment!E49</f>
        <v>0</v>
      </c>
      <c r="L925">
        <f>B14_Assessment!F49</f>
        <v>0</v>
      </c>
      <c r="M925">
        <f>B14_Assessment!G49</f>
        <v>0</v>
      </c>
      <c r="N925">
        <f>B14_Assessment!H49</f>
        <v>0</v>
      </c>
      <c r="O925">
        <f>B14_Assessment!I49</f>
        <v>0</v>
      </c>
      <c r="P925">
        <f>B14_Assessment!J49</f>
        <v>0</v>
      </c>
      <c r="Q925" t="str">
        <f t="shared" si="14"/>
        <v>14|42</v>
      </c>
    </row>
    <row r="926" spans="1:17" ht="6.45" customHeight="1">
      <c r="A926" t="s">
        <v>700</v>
      </c>
      <c r="B926">
        <v>43</v>
      </c>
      <c r="C926" t="s">
        <v>37</v>
      </c>
      <c r="D926">
        <v>50</v>
      </c>
      <c r="E926" t="s">
        <v>1019</v>
      </c>
      <c r="F926" t="s">
        <v>5322</v>
      </c>
      <c r="G926" t="str">
        <f>B14_Assessment!A50</f>
        <v>8. OWNER RISKS</v>
      </c>
      <c r="H926">
        <f>B14_Assessment!B50</f>
        <v>0</v>
      </c>
      <c r="I926">
        <f>B14_Assessment!C50</f>
        <v>0</v>
      </c>
      <c r="J926">
        <f>B14_Assessment!D50</f>
        <v>0</v>
      </c>
      <c r="K926">
        <f>B14_Assessment!E50</f>
        <v>0</v>
      </c>
      <c r="L926">
        <f>B14_Assessment!F50</f>
        <v>0</v>
      </c>
      <c r="M926">
        <f>B14_Assessment!G50</f>
        <v>0</v>
      </c>
      <c r="N926">
        <f>B14_Assessment!H50</f>
        <v>0</v>
      </c>
      <c r="O926">
        <f>B14_Assessment!I50</f>
        <v>0</v>
      </c>
      <c r="P926">
        <f>B14_Assessment!J50</f>
        <v>0</v>
      </c>
      <c r="Q926" t="str">
        <f t="shared" si="14"/>
        <v>14|43</v>
      </c>
    </row>
    <row r="927" spans="1:17" ht="6.45" customHeight="1">
      <c r="A927" t="s">
        <v>700</v>
      </c>
      <c r="B927">
        <v>44</v>
      </c>
      <c r="C927" t="s">
        <v>37</v>
      </c>
      <c r="D927">
        <v>51</v>
      </c>
      <c r="E927" t="s">
        <v>1019</v>
      </c>
      <c r="F927" t="s">
        <v>5323</v>
      </c>
      <c r="G927" t="str">
        <f>B14_Assessment!A51</f>
        <v>Risk ID</v>
      </c>
      <c r="H927" t="str">
        <f>B14_Assessment!B51</f>
        <v>Room</v>
      </c>
      <c r="I927" t="str">
        <f>B14_Assessment!C51</f>
        <v>Risk</v>
      </c>
      <c r="J927" t="str">
        <f>B14_Assessment!D51</f>
        <v>Impact</v>
      </c>
      <c r="K927" t="str">
        <f>B14_Assessment!E51</f>
        <v>Probability</v>
      </c>
      <c r="L927" t="str">
        <f>B14_Assessment!F51</f>
        <v>Score</v>
      </c>
      <c r="M927" t="str">
        <f>B14_Assessment!G51</f>
        <v>Mitigation</v>
      </c>
      <c r="N927" t="str">
        <f>B14_Assessment!H51</f>
        <v>Owner</v>
      </c>
      <c r="O927" t="str">
        <f>B14_Assessment!I51</f>
        <v>Status</v>
      </c>
      <c r="P927" t="str">
        <f>B14_Assessment!J51</f>
        <v>Notes</v>
      </c>
      <c r="Q927" t="str">
        <f t="shared" si="14"/>
        <v>14|44</v>
      </c>
    </row>
    <row r="928" spans="1:17" ht="6.45" customHeight="1">
      <c r="A928" t="s">
        <v>700</v>
      </c>
      <c r="B928">
        <v>45</v>
      </c>
      <c r="C928" t="s">
        <v>37</v>
      </c>
      <c r="D928">
        <v>52</v>
      </c>
      <c r="E928" t="s">
        <v>1019</v>
      </c>
      <c r="F928" t="s">
        <v>5324</v>
      </c>
      <c r="G928" t="str">
        <f>B14_Assessment!A52</f>
        <v>B14-R1</v>
      </c>
      <c r="H928" t="str">
        <f>B14_Assessment!B52</f>
        <v>All</v>
      </c>
      <c r="I928" t="str">
        <f>B14_Assessment!C52</f>
        <v>Existing conditions for Room 119 and existing basement telecom rooms B.01/B2 not field verified</v>
      </c>
      <c r="J928" t="str">
        <f>B14_Assessment!D52</f>
        <v>High</v>
      </c>
      <c r="K928" t="str">
        <f>B14_Assessment!E52</f>
        <v>Medium</v>
      </c>
      <c r="L928">
        <f>B14_Assessment!F52</f>
        <v>6</v>
      </c>
      <c r="M928" t="str">
        <f>B14_Assessment!G52</f>
        <v>Perform existing conditions survey with photos before mobilization</v>
      </c>
      <c r="N928" t="str">
        <f>B14_Assessment!H52</f>
        <v>GCC / Contractor</v>
      </c>
      <c r="O928" t="str">
        <f>B14_Assessment!I52</f>
        <v>Closed</v>
      </c>
      <c r="P928" t="str">
        <f>B14_Assessment!J52</f>
        <v>B14 includes new TR plus existing basement telecom transition points.</v>
      </c>
      <c r="Q928" t="str">
        <f t="shared" si="14"/>
        <v>14|45</v>
      </c>
    </row>
    <row r="929" spans="1:17" ht="6.45" customHeight="1">
      <c r="A929" t="s">
        <v>700</v>
      </c>
      <c r="B929">
        <v>46</v>
      </c>
      <c r="C929" t="s">
        <v>37</v>
      </c>
      <c r="D929">
        <v>53</v>
      </c>
      <c r="E929" t="s">
        <v>1019</v>
      </c>
      <c r="F929" t="s">
        <v>5324</v>
      </c>
      <c r="G929" t="str">
        <f>B14_Assessment!A53</f>
        <v>B14-R2</v>
      </c>
      <c r="H929" t="str">
        <f>B14_Assessment!B53</f>
        <v>119</v>
      </c>
      <c r="I929" t="str">
        <f>B14_Assessment!C53</f>
        <v>First-level hazardous material abatement plan exists</v>
      </c>
      <c r="J929" t="str">
        <f>B14_Assessment!D53</f>
        <v>High</v>
      </c>
      <c r="K929" t="str">
        <f>B14_Assessment!E53</f>
        <v>Medium</v>
      </c>
      <c r="L929">
        <f>B14_Assessment!F53</f>
        <v>6</v>
      </c>
      <c r="M929" t="str">
        <f>B14_Assessment!G53</f>
        <v>Coordinate IH/abatement review before wall, floor, ceiling, conduit, or penetration work</v>
      </c>
      <c r="N929" t="str">
        <f>B14_Assessment!H53</f>
        <v>GC / IH / COR</v>
      </c>
      <c r="O929" t="str">
        <f>B14_Assessment!I53</f>
        <v>Closed</v>
      </c>
      <c r="P929" t="str">
        <f>B14_Assessment!J53</f>
        <v>Drawing index includes 14H-101 hazardous material abatement plan - first level; page 6 notes lead-based paint abatement in room/restroom context.</v>
      </c>
      <c r="Q929" t="str">
        <f t="shared" si="14"/>
        <v>14|46</v>
      </c>
    </row>
    <row r="930" spans="1:17" ht="6.45" customHeight="1">
      <c r="A930" t="s">
        <v>700</v>
      </c>
      <c r="B930">
        <v>47</v>
      </c>
      <c r="C930" t="s">
        <v>37</v>
      </c>
      <c r="D930">
        <v>54</v>
      </c>
      <c r="E930" t="s">
        <v>1019</v>
      </c>
      <c r="F930" t="s">
        <v>5324</v>
      </c>
      <c r="G930" t="str">
        <f>B14_Assessment!A54</f>
        <v>B14-R3</v>
      </c>
      <c r="H930" t="str">
        <f>B14_Assessment!B54</f>
        <v>B.01/B2</v>
      </c>
      <c r="I930" t="str">
        <f>B14_Assessment!C54</f>
        <v>Existing basement telecom equipment may remain active during cutover</v>
      </c>
      <c r="J930" t="str">
        <f>B14_Assessment!D54</f>
        <v>Critical</v>
      </c>
      <c r="K930" t="str">
        <f>B14_Assessment!E54</f>
        <v>Medium</v>
      </c>
      <c r="L930">
        <f>B14_Assessment!F54</f>
        <v>8</v>
      </c>
      <c r="M930" t="str">
        <f>B14_Assessment!G54</f>
        <v>Document active services, protect in place, identify owner/OIT cutover windows, and preserve rollback path</v>
      </c>
      <c r="N930" t="str">
        <f>B14_Assessment!H54</f>
        <v>Telecom / OIT</v>
      </c>
      <c r="O930" t="str">
        <f>B14_Assessment!I54</f>
        <v>Closed</v>
      </c>
      <c r="P930" t="str">
        <f>B14_Assessment!J54</f>
        <v>Existing wall-mounted TE, patch panels, telco patch and legacy Fiber LIU shown.</v>
      </c>
      <c r="Q930" t="str">
        <f t="shared" si="14"/>
        <v>14|47</v>
      </c>
    </row>
    <row r="931" spans="1:17" ht="6.45" customHeight="1">
      <c r="A931" t="s">
        <v>700</v>
      </c>
      <c r="B931">
        <v>48</v>
      </c>
      <c r="C931" t="s">
        <v>37</v>
      </c>
      <c r="D931">
        <v>55</v>
      </c>
      <c r="E931" t="s">
        <v>1019</v>
      </c>
      <c r="F931" t="s">
        <v>5324</v>
      </c>
      <c r="G931" t="str">
        <f>B14_Assessment!A55</f>
        <v>B14-R4</v>
      </c>
      <c r="H931" t="str">
        <f>B14_Assessment!B55</f>
        <v>119</v>
      </c>
      <c r="I931" t="str">
        <f>B14_Assessment!C55</f>
        <v>Dedicated cooling emergency power, condensate, BACnet and alarms not verified</v>
      </c>
      <c r="J931" t="str">
        <f>B14_Assessment!D55</f>
        <v>Critical</v>
      </c>
      <c r="K931" t="str">
        <f>B14_Assessment!E55</f>
        <v>Medium</v>
      </c>
      <c r="L931">
        <f>B14_Assessment!F55</f>
        <v>8</v>
      </c>
      <c r="M931" t="str">
        <f>B14_Assessment!G55</f>
        <v>Confirm IU-1-01/CU-1-01 power source, condensate route, controls, BACnet adapter, thermostat and high-temp alarm</v>
      </c>
      <c r="N931" t="str">
        <f>B14_Assessment!H55</f>
        <v>Mechanical / Electrical</v>
      </c>
      <c r="O931" t="str">
        <f>B14_Assessment!I55</f>
        <v>Closed</v>
      </c>
      <c r="P931" t="str">
        <f>B14_Assessment!J55</f>
        <v>Cooling is central to TR readiness.</v>
      </c>
      <c r="Q931" t="str">
        <f t="shared" si="14"/>
        <v>14|48</v>
      </c>
    </row>
    <row r="932" spans="1:17" ht="6.45" customHeight="1">
      <c r="A932" t="s">
        <v>700</v>
      </c>
      <c r="B932">
        <v>49</v>
      </c>
      <c r="C932" t="s">
        <v>37</v>
      </c>
      <c r="D932">
        <v>56</v>
      </c>
      <c r="E932" t="s">
        <v>1019</v>
      </c>
      <c r="F932" t="s">
        <v>5324</v>
      </c>
      <c r="G932" t="str">
        <f>B14_Assessment!A56</f>
        <v>B14-R5</v>
      </c>
      <c r="H932" t="str">
        <f>B14_Assessment!B56</f>
        <v>119</v>
      </c>
      <c r="I932" t="str">
        <f>B14_Assessment!C56</f>
        <v>240V UPS/PDU and panel source coordination could delay energization</v>
      </c>
      <c r="J932" t="str">
        <f>B14_Assessment!D56</f>
        <v>High</v>
      </c>
      <c r="K932" t="str">
        <f>B14_Assessment!E56</f>
        <v>Medium</v>
      </c>
      <c r="L932">
        <f>B14_Assessment!F56</f>
        <v>6</v>
      </c>
      <c r="M932" t="str">
        <f>B14_Assessment!G56</f>
        <v>Verify B14-TR119A/B schedules, breakers, receptacles, SPD, labels, load measurement, normal/emergency source and LOTO needs</v>
      </c>
      <c r="N932" t="str">
        <f>B14_Assessment!H56</f>
        <v>Electrical / GCC</v>
      </c>
      <c r="O932" t="str">
        <f>B14_Assessment!I56</f>
        <v>Closed</v>
      </c>
      <c r="P932" t="str">
        <f>B14_Assessment!J56</f>
        <v>Panel and circuit references are concentrated at Room 119.</v>
      </c>
      <c r="Q932" t="str">
        <f t="shared" si="14"/>
        <v>14|49</v>
      </c>
    </row>
    <row r="933" spans="1:17" ht="6.45" customHeight="1">
      <c r="A933" t="s">
        <v>700</v>
      </c>
      <c r="B933">
        <v>50</v>
      </c>
      <c r="C933" t="s">
        <v>37</v>
      </c>
      <c r="D933">
        <v>57</v>
      </c>
      <c r="E933" t="s">
        <v>1019</v>
      </c>
      <c r="F933" t="s">
        <v>5324</v>
      </c>
      <c r="G933" t="str">
        <f>B14_Assessment!A57</f>
        <v>B14-R6</v>
      </c>
      <c r="H933" t="str">
        <f>B14_Assessment!B57</f>
        <v>119</v>
      </c>
      <c r="I933" t="str">
        <f>B14_Assessment!C57</f>
        <v>Rated wall/door/firestop scope may affect life-safety acceptance</v>
      </c>
      <c r="J933" t="str">
        <f>B14_Assessment!D57</f>
        <v>High</v>
      </c>
      <c r="K933" t="str">
        <f>B14_Assessment!E57</f>
        <v>Medium</v>
      </c>
      <c r="L933">
        <f>B14_Assessment!F57</f>
        <v>6</v>
      </c>
      <c r="M933" t="str">
        <f>B14_Assessment!G57</f>
        <v>Inspect 1-hour wall/smoke barrier conditions, rated door/frame, penetrations, FEC location, temporary firestopping and final UL systems</v>
      </c>
      <c r="N933" t="str">
        <f>B14_Assessment!H57</f>
        <v>GC / FP / FA</v>
      </c>
      <c r="O933" t="str">
        <f>B14_Assessment!I57</f>
        <v>Closed</v>
      </c>
      <c r="P933" t="str">
        <f>B14_Assessment!J57</f>
        <v>New TRs must be 1-hour fire/smoke rated.</v>
      </c>
      <c r="Q933" t="str">
        <f t="shared" si="14"/>
        <v>14|50</v>
      </c>
    </row>
    <row r="934" spans="1:17" ht="6.45" customHeight="1">
      <c r="A934" t="s">
        <v>700</v>
      </c>
      <c r="B934">
        <v>51</v>
      </c>
      <c r="C934" t="s">
        <v>37</v>
      </c>
      <c r="D934">
        <v>58</v>
      </c>
      <c r="E934" t="s">
        <v>1019</v>
      </c>
      <c r="F934" t="s">
        <v>5324</v>
      </c>
      <c r="G934" t="str">
        <f>B14_Assessment!A58</f>
        <v>B14-R7</v>
      </c>
      <c r="H934" t="str">
        <f>B14_Assessment!B58</f>
        <v>All</v>
      </c>
      <c r="I934" t="str">
        <f>B14_Assessment!C58</f>
        <v>Telecom/fiber cutover could affect active hospital communications across basement, first and second levels</v>
      </c>
      <c r="J934" t="str">
        <f>B14_Assessment!D58</f>
        <v>Critical</v>
      </c>
      <c r="K934" t="str">
        <f>B14_Assessment!E58</f>
        <v>Medium</v>
      </c>
      <c r="L934">
        <f>B14_Assessment!F58</f>
        <v>8</v>
      </c>
      <c r="M934" t="str">
        <f>B14_Assessment!G58</f>
        <v>Require cutover plan, test records, labels, as-builts, OIT coordination and VA acceptance before active connection</v>
      </c>
      <c r="N934" t="str">
        <f>B14_Assessment!H58</f>
        <v>Telecom / OIT</v>
      </c>
      <c r="O934" t="str">
        <f>B14_Assessment!I58</f>
        <v>Closed</v>
      </c>
      <c r="P934" t="str">
        <f>B14_Assessment!J58</f>
        <v>14T-701 shows Room 119 serving Level 1 and Level 2 outlets with 84 total ports including allowance.</v>
      </c>
      <c r="Q934" t="str">
        <f t="shared" si="14"/>
        <v>14|51</v>
      </c>
    </row>
    <row r="935" spans="1:17" ht="6.45" customHeight="1">
      <c r="A935" t="s">
        <v>700</v>
      </c>
      <c r="B935">
        <v>52</v>
      </c>
      <c r="C935" t="s">
        <v>37</v>
      </c>
      <c r="D935">
        <v>59</v>
      </c>
      <c r="E935" t="s">
        <v>1019</v>
      </c>
      <c r="F935" t="s">
        <v>5324</v>
      </c>
      <c r="G935" t="str">
        <f>B14_Assessment!A59</f>
        <v>B14-R8</v>
      </c>
      <c r="H935" t="str">
        <f>B14_Assessment!B59</f>
        <v>All</v>
      </c>
      <c r="I935" t="str">
        <f>B14_Assessment!C59</f>
        <v>Commissioning/third-party inspection reports may not be complete at turnover</v>
      </c>
      <c r="J935" t="str">
        <f>B14_Assessment!D59</f>
        <v>High</v>
      </c>
      <c r="K935" t="str">
        <f>B14_Assessment!E59</f>
        <v>Medium</v>
      </c>
      <c r="L935">
        <f>B14_Assessment!F59</f>
        <v>6</v>
      </c>
      <c r="M935" t="str">
        <f>B14_Assessment!G59</f>
        <v>Track commissioning, inspections, fire alarm/sprinkler acceptance, power verification, cabling test records, labels and as-builts</v>
      </c>
      <c r="N935" t="str">
        <f>B14_Assessment!H59</f>
        <v>GC / Cx Manager</v>
      </c>
      <c r="O935" t="str">
        <f>B14_Assessment!I59</f>
        <v>Closed</v>
      </c>
      <c r="P935" t="str">
        <f>B14_Assessment!J59</f>
        <v>Required by cover/general notes.</v>
      </c>
      <c r="Q935" t="str">
        <f t="shared" si="14"/>
        <v>14|52</v>
      </c>
    </row>
    <row r="936" spans="1:17" ht="6.45" customHeight="1">
      <c r="A936" t="s">
        <v>700</v>
      </c>
      <c r="B936">
        <v>53</v>
      </c>
      <c r="C936" t="s">
        <v>37</v>
      </c>
      <c r="D936">
        <v>60</v>
      </c>
      <c r="E936" t="s">
        <v>1019</v>
      </c>
      <c r="F936" t="s">
        <v>5325</v>
      </c>
      <c r="G936">
        <f>B14_Assessment!A60</f>
        <v>0</v>
      </c>
      <c r="H936">
        <f>B14_Assessment!B60</f>
        <v>0</v>
      </c>
      <c r="I936">
        <f>B14_Assessment!C60</f>
        <v>0</v>
      </c>
      <c r="J936">
        <f>B14_Assessment!D60</f>
        <v>0</v>
      </c>
      <c r="K936">
        <f>B14_Assessment!E60</f>
        <v>0</v>
      </c>
      <c r="L936">
        <f>B14_Assessment!F60</f>
        <v>0</v>
      </c>
      <c r="M936">
        <f>B14_Assessment!G60</f>
        <v>0</v>
      </c>
      <c r="N936">
        <f>B14_Assessment!H60</f>
        <v>0</v>
      </c>
      <c r="O936">
        <f>B14_Assessment!I60</f>
        <v>0</v>
      </c>
      <c r="P936">
        <f>B14_Assessment!J60</f>
        <v>0</v>
      </c>
      <c r="Q936" t="str">
        <f t="shared" si="14"/>
        <v>14|53</v>
      </c>
    </row>
    <row r="937" spans="1:17" ht="6.45" customHeight="1">
      <c r="A937" t="s">
        <v>700</v>
      </c>
      <c r="B937">
        <v>54</v>
      </c>
      <c r="C937" t="s">
        <v>37</v>
      </c>
      <c r="D937">
        <v>61</v>
      </c>
      <c r="E937" t="s">
        <v>1051</v>
      </c>
      <c r="F937" t="s">
        <v>5322</v>
      </c>
      <c r="G937" t="str">
        <f>B14_Assessment!A61</f>
        <v>9. OPEN QUESTIONS</v>
      </c>
      <c r="H937">
        <f>B14_Assessment!B61</f>
        <v>0</v>
      </c>
      <c r="I937">
        <f>B14_Assessment!C61</f>
        <v>0</v>
      </c>
      <c r="J937">
        <f>B14_Assessment!D61</f>
        <v>0</v>
      </c>
      <c r="K937">
        <f>B14_Assessment!E61</f>
        <v>0</v>
      </c>
      <c r="L937">
        <f>B14_Assessment!F61</f>
        <v>0</v>
      </c>
      <c r="M937">
        <f>B14_Assessment!G61</f>
        <v>0</v>
      </c>
      <c r="N937">
        <f>B14_Assessment!H61</f>
        <v>0</v>
      </c>
      <c r="O937">
        <f>B14_Assessment!I61</f>
        <v>0</v>
      </c>
      <c r="P937">
        <f>B14_Assessment!J61</f>
        <v>0</v>
      </c>
      <c r="Q937" t="str">
        <f t="shared" si="14"/>
        <v>14|54</v>
      </c>
    </row>
    <row r="938" spans="1:17" ht="6.45" customHeight="1">
      <c r="A938" t="s">
        <v>700</v>
      </c>
      <c r="B938">
        <v>55</v>
      </c>
      <c r="C938" t="s">
        <v>37</v>
      </c>
      <c r="D938">
        <v>62</v>
      </c>
      <c r="E938" t="s">
        <v>1051</v>
      </c>
      <c r="F938" t="s">
        <v>5323</v>
      </c>
      <c r="G938" t="str">
        <f>B14_Assessment!A62</f>
        <v>Question ID</v>
      </c>
      <c r="H938" t="str">
        <f>B14_Assessment!B62</f>
        <v>Question</v>
      </c>
      <c r="I938" t="str">
        <f>B14_Assessment!C62</f>
        <v>Assigned To</v>
      </c>
      <c r="J938" t="str">
        <f>B14_Assessment!D62</f>
        <v>Status</v>
      </c>
      <c r="K938" t="str">
        <f>B14_Assessment!E62</f>
        <v>Needed By</v>
      </c>
      <c r="L938" t="str">
        <f>B14_Assessment!F62</f>
        <v>Answer / Resolution</v>
      </c>
      <c r="M938" t="str">
        <f>B14_Assessment!G62</f>
        <v>Impact if Unanswered</v>
      </c>
      <c r="N938" t="str">
        <f>B14_Assessment!H62</f>
        <v>Follow-up</v>
      </c>
      <c r="O938" t="str">
        <f>B14_Assessment!I62</f>
        <v>Date Closed</v>
      </c>
      <c r="P938" t="str">
        <f>B14_Assessment!J62</f>
        <v>Notes</v>
      </c>
      <c r="Q938" t="str">
        <f t="shared" si="14"/>
        <v>14|55</v>
      </c>
    </row>
    <row r="939" spans="1:17" ht="6.45" customHeight="1">
      <c r="A939" t="s">
        <v>700</v>
      </c>
      <c r="B939">
        <v>56</v>
      </c>
      <c r="C939" t="s">
        <v>37</v>
      </c>
      <c r="D939">
        <v>63</v>
      </c>
      <c r="E939" t="s">
        <v>1051</v>
      </c>
      <c r="F939" t="s">
        <v>5324</v>
      </c>
      <c r="G939" t="str">
        <f>B14_Assessment!A63</f>
        <v>B14-Q1</v>
      </c>
      <c r="H939" t="str">
        <f>B14_Assessment!B63</f>
        <v>Confirm final telecom scope: new Room 119 and existing basement B.01/B2 transition only?</v>
      </c>
      <c r="I939" t="str">
        <f>B14_Assessment!C63</f>
        <v>VA / OIT / Designer</v>
      </c>
      <c r="J939" t="str">
        <f>B14_Assessment!D63</f>
        <v>Closed</v>
      </c>
      <c r="K939">
        <f>B14_Assessment!E63</f>
        <v>0</v>
      </c>
      <c r="L939">
        <f>B14_Assessment!F63</f>
        <v>0</v>
      </c>
      <c r="M939" t="str">
        <f>B14_Assessment!G63</f>
        <v>Room inventory could miss scope</v>
      </c>
      <c r="N939">
        <f>B14_Assessment!H63</f>
        <v>0</v>
      </c>
      <c r="O939">
        <f>B14_Assessment!I63</f>
        <v>0</v>
      </c>
      <c r="P939">
        <f>B14_Assessment!J63</f>
        <v>0</v>
      </c>
      <c r="Q939" t="str">
        <f t="shared" si="14"/>
        <v>14|56</v>
      </c>
    </row>
    <row r="940" spans="1:17" ht="6.45" customHeight="1">
      <c r="A940" t="s">
        <v>700</v>
      </c>
      <c r="B940">
        <v>57</v>
      </c>
      <c r="C940" t="s">
        <v>37</v>
      </c>
      <c r="D940">
        <v>64</v>
      </c>
      <c r="E940" t="s">
        <v>1051</v>
      </c>
      <c r="F940" t="s">
        <v>5324</v>
      </c>
      <c r="G940" t="str">
        <f>B14_Assessment!A64</f>
        <v>B14-Q2</v>
      </c>
      <c r="H940" t="str">
        <f>B14_Assessment!B64</f>
        <v>What active services are currently fed from existing B.01/B2 equipment?</v>
      </c>
      <c r="I940" t="str">
        <f>B14_Assessment!C64</f>
        <v>OIT / Contractor</v>
      </c>
      <c r="J940" t="str">
        <f>B14_Assessment!D64</f>
        <v>Closed</v>
      </c>
      <c r="K940">
        <f>B14_Assessment!E64</f>
        <v>0</v>
      </c>
      <c r="L940">
        <f>B14_Assessment!F64</f>
        <v>0</v>
      </c>
      <c r="M940" t="str">
        <f>B14_Assessment!G64</f>
        <v>Potential communications/security outage</v>
      </c>
      <c r="N940">
        <f>B14_Assessment!H64</f>
        <v>0</v>
      </c>
      <c r="O940">
        <f>B14_Assessment!I64</f>
        <v>0</v>
      </c>
      <c r="P940">
        <f>B14_Assessment!J64</f>
        <v>0</v>
      </c>
      <c r="Q940" t="str">
        <f t="shared" si="14"/>
        <v>14|57</v>
      </c>
    </row>
    <row r="941" spans="1:17" ht="6.45" customHeight="1">
      <c r="A941" t="s">
        <v>700</v>
      </c>
      <c r="B941">
        <v>58</v>
      </c>
      <c r="C941" t="s">
        <v>37</v>
      </c>
      <c r="D941">
        <v>65</v>
      </c>
      <c r="E941" t="s">
        <v>1051</v>
      </c>
      <c r="F941" t="s">
        <v>5324</v>
      </c>
      <c r="G941" t="str">
        <f>B14_Assessment!A65</f>
        <v>B14-Q3</v>
      </c>
      <c r="H941" t="str">
        <f>B14_Assessment!B65</f>
        <v>What hazardous/abatement steps apply to first-level Room 119 work?</v>
      </c>
      <c r="I941" t="str">
        <f>B14_Assessment!C65</f>
        <v>GC / IH / COR</v>
      </c>
      <c r="J941" t="str">
        <f>B14_Assessment!D65</f>
        <v>Closed</v>
      </c>
      <c r="K941">
        <f>B14_Assessment!E65</f>
        <v>0</v>
      </c>
      <c r="L941">
        <f>B14_Assessment!F65</f>
        <v>0</v>
      </c>
      <c r="M941" t="str">
        <f>B14_Assessment!G65</f>
        <v>Work delay or exposure risk</v>
      </c>
      <c r="N941">
        <f>B14_Assessment!H65</f>
        <v>0</v>
      </c>
      <c r="O941">
        <f>B14_Assessment!I65</f>
        <v>0</v>
      </c>
      <c r="P941">
        <f>B14_Assessment!J65</f>
        <v>0</v>
      </c>
      <c r="Q941" t="str">
        <f t="shared" si="14"/>
        <v>14|58</v>
      </c>
    </row>
    <row r="942" spans="1:17" ht="6.45" customHeight="1">
      <c r="A942" t="s">
        <v>700</v>
      </c>
      <c r="B942">
        <v>59</v>
      </c>
      <c r="C942" t="s">
        <v>37</v>
      </c>
      <c r="D942">
        <v>66</v>
      </c>
      <c r="E942" t="s">
        <v>1051</v>
      </c>
      <c r="F942" t="s">
        <v>5324</v>
      </c>
      <c r="G942" t="str">
        <f>B14_Assessment!A66</f>
        <v>B14-Q4</v>
      </c>
      <c r="H942" t="str">
        <f>B14_Assessment!B66</f>
        <v>Is IU-1-01/CU-1-01 on emergency/backup power and dedicated to Room 119?</v>
      </c>
      <c r="I942" t="str">
        <f>B14_Assessment!C66</f>
        <v>Mechanical / Electrical / VA</v>
      </c>
      <c r="J942" t="str">
        <f>B14_Assessment!D66</f>
        <v>Closed</v>
      </c>
      <c r="K942">
        <f>B14_Assessment!E66</f>
        <v>0</v>
      </c>
      <c r="L942">
        <f>B14_Assessment!F66</f>
        <v>0</v>
      </c>
      <c r="M942" t="str">
        <f>B14_Assessment!G66</f>
        <v>Cooling continuity unclear</v>
      </c>
      <c r="N942">
        <f>B14_Assessment!H66</f>
        <v>0</v>
      </c>
      <c r="O942">
        <f>B14_Assessment!I66</f>
        <v>0</v>
      </c>
      <c r="P942">
        <f>B14_Assessment!J66</f>
        <v>0</v>
      </c>
      <c r="Q942" t="str">
        <f t="shared" si="14"/>
        <v>14|59</v>
      </c>
    </row>
    <row r="943" spans="1:17" ht="6.45" customHeight="1">
      <c r="A943" t="s">
        <v>700</v>
      </c>
      <c r="B943">
        <v>60</v>
      </c>
      <c r="C943" t="s">
        <v>37</v>
      </c>
      <c r="D943">
        <v>67</v>
      </c>
      <c r="E943" t="s">
        <v>1051</v>
      </c>
      <c r="F943" t="s">
        <v>5324</v>
      </c>
      <c r="G943" t="str">
        <f>B14_Assessment!A67</f>
        <v>B14-Q5</v>
      </c>
      <c r="H943" t="str">
        <f>B14_Assessment!B67</f>
        <v>Where is the clean-agent/CO2 extinguisher cabinet located within 75 ft of Room 119?</v>
      </c>
      <c r="I943" t="str">
        <f>B14_Assessment!C67</f>
        <v>GC / COR</v>
      </c>
      <c r="J943" t="str">
        <f>B14_Assessment!D67</f>
        <v>Closed</v>
      </c>
      <c r="K943">
        <f>B14_Assessment!E67</f>
        <v>0</v>
      </c>
      <c r="L943">
        <f>B14_Assessment!F67</f>
        <v>0</v>
      </c>
      <c r="M943" t="str">
        <f>B14_Assessment!G67</f>
        <v>Life-safety acceptance risk</v>
      </c>
      <c r="N943">
        <f>B14_Assessment!H67</f>
        <v>0</v>
      </c>
      <c r="O943">
        <f>B14_Assessment!I67</f>
        <v>0</v>
      </c>
      <c r="P943">
        <f>B14_Assessment!J67</f>
        <v>0</v>
      </c>
      <c r="Q943" t="str">
        <f t="shared" si="14"/>
        <v>14|60</v>
      </c>
    </row>
    <row r="944" spans="1:17" ht="6.45" customHeight="1">
      <c r="A944" t="s">
        <v>700</v>
      </c>
      <c r="B944">
        <v>61</v>
      </c>
      <c r="C944" t="s">
        <v>37</v>
      </c>
      <c r="D944">
        <v>68</v>
      </c>
      <c r="E944" t="s">
        <v>1051</v>
      </c>
      <c r="F944" t="s">
        <v>5324</v>
      </c>
      <c r="G944" t="str">
        <f>B14_Assessment!A68</f>
        <v>B14-Q6</v>
      </c>
      <c r="H944" t="str">
        <f>B14_Assessment!B68</f>
        <v>Are B14-TR119A/B sources, rack receptacles, SPDs, circuit labels and load measurements approved?</v>
      </c>
      <c r="I944" t="str">
        <f>B14_Assessment!C68</f>
        <v>Electrical / Designer</v>
      </c>
      <c r="J944" t="str">
        <f>B14_Assessment!D68</f>
        <v>Closed</v>
      </c>
      <c r="K944">
        <f>B14_Assessment!E68</f>
        <v>0</v>
      </c>
      <c r="L944">
        <f>B14_Assessment!F68</f>
        <v>0</v>
      </c>
      <c r="M944" t="str">
        <f>B14_Assessment!G68</f>
        <v>Electrical readiness unknown</v>
      </c>
      <c r="N944">
        <f>B14_Assessment!H68</f>
        <v>0</v>
      </c>
      <c r="O944">
        <f>B14_Assessment!I68</f>
        <v>0</v>
      </c>
      <c r="P944">
        <f>B14_Assessment!J68</f>
        <v>0</v>
      </c>
      <c r="Q944" t="str">
        <f t="shared" si="14"/>
        <v>14|61</v>
      </c>
    </row>
    <row r="945" spans="1:17" ht="6.45" customHeight="1">
      <c r="A945" t="s">
        <v>700</v>
      </c>
      <c r="B945">
        <v>62</v>
      </c>
      <c r="C945" t="s">
        <v>37</v>
      </c>
      <c r="D945">
        <v>69</v>
      </c>
      <c r="E945" t="s">
        <v>1051</v>
      </c>
      <c r="F945" t="s">
        <v>5324</v>
      </c>
      <c r="G945" t="str">
        <f>B14_Assessment!A69</f>
        <v>B14-Q7</v>
      </c>
      <c r="H945" t="str">
        <f>B14_Assessment!B69</f>
        <v>Are all rated wall/floor penetrations, sleeves, cable tray entries and firestopping details identified?</v>
      </c>
      <c r="I945" t="str">
        <f>B14_Assessment!C69</f>
        <v>GC / Firestop</v>
      </c>
      <c r="J945" t="str">
        <f>B14_Assessment!D69</f>
        <v>Closed</v>
      </c>
      <c r="K945">
        <f>B14_Assessment!E69</f>
        <v>0</v>
      </c>
      <c r="L945">
        <f>B14_Assessment!F69</f>
        <v>0</v>
      </c>
      <c r="M945" t="str">
        <f>B14_Assessment!G69</f>
        <v>Fire/smoke spread risk</v>
      </c>
      <c r="N945">
        <f>B14_Assessment!H69</f>
        <v>0</v>
      </c>
      <c r="O945">
        <f>B14_Assessment!I69</f>
        <v>0</v>
      </c>
      <c r="P945">
        <f>B14_Assessment!J69</f>
        <v>0</v>
      </c>
      <c r="Q945" t="str">
        <f t="shared" si="14"/>
        <v>14|62</v>
      </c>
    </row>
    <row r="946" spans="1:17" ht="6.45" customHeight="1">
      <c r="A946" t="s">
        <v>700</v>
      </c>
      <c r="B946">
        <v>63</v>
      </c>
      <c r="C946" t="s">
        <v>37</v>
      </c>
      <c r="D946">
        <v>70</v>
      </c>
      <c r="E946" t="s">
        <v>1051</v>
      </c>
      <c r="F946" t="s">
        <v>5324</v>
      </c>
      <c r="G946" t="str">
        <f>B14_Assessment!A70</f>
        <v>B14-Q8</v>
      </c>
      <c r="H946" t="str">
        <f>B14_Assessment!B70</f>
        <v>Which third-party inspections and commissioning forms are required before VA acceptance?</v>
      </c>
      <c r="I946" t="str">
        <f>B14_Assessment!C70</f>
        <v>GC / Cx Manager</v>
      </c>
      <c r="J946" t="str">
        <f>B14_Assessment!D70</f>
        <v>Closed</v>
      </c>
      <c r="K946">
        <f>B14_Assessment!E70</f>
        <v>0</v>
      </c>
      <c r="L946">
        <f>B14_Assessment!F70</f>
        <v>0</v>
      </c>
      <c r="M946" t="str">
        <f>B14_Assessment!G70</f>
        <v>Turnover package gap</v>
      </c>
      <c r="N946">
        <f>B14_Assessment!H70</f>
        <v>0</v>
      </c>
      <c r="O946">
        <f>B14_Assessment!I70</f>
        <v>0</v>
      </c>
      <c r="P946">
        <f>B14_Assessment!J70</f>
        <v>0</v>
      </c>
      <c r="Q946" t="str">
        <f t="shared" si="14"/>
        <v>14|63</v>
      </c>
    </row>
    <row r="947" spans="1:17" ht="6.45" customHeight="1">
      <c r="A947" t="s">
        <v>700</v>
      </c>
      <c r="B947">
        <v>64</v>
      </c>
      <c r="C947" t="s">
        <v>37</v>
      </c>
      <c r="D947">
        <v>71</v>
      </c>
      <c r="E947" t="s">
        <v>1051</v>
      </c>
      <c r="F947" t="s">
        <v>5325</v>
      </c>
      <c r="G947">
        <f>B14_Assessment!A71</f>
        <v>0</v>
      </c>
      <c r="H947">
        <f>B14_Assessment!B71</f>
        <v>0</v>
      </c>
      <c r="I947">
        <f>B14_Assessment!C71</f>
        <v>0</v>
      </c>
      <c r="J947">
        <f>B14_Assessment!D71</f>
        <v>0</v>
      </c>
      <c r="K947">
        <f>B14_Assessment!E71</f>
        <v>0</v>
      </c>
      <c r="L947">
        <f>B14_Assessment!F71</f>
        <v>0</v>
      </c>
      <c r="M947">
        <f>B14_Assessment!G71</f>
        <v>0</v>
      </c>
      <c r="N947">
        <f>B14_Assessment!H71</f>
        <v>0</v>
      </c>
      <c r="O947">
        <f>B14_Assessment!I71</f>
        <v>0</v>
      </c>
      <c r="P947">
        <f>B14_Assessment!J71</f>
        <v>0</v>
      </c>
      <c r="Q947" t="str">
        <f t="shared" si="14"/>
        <v>14|64</v>
      </c>
    </row>
    <row r="948" spans="1:17" ht="6.45" customHeight="1">
      <c r="A948" t="s">
        <v>700</v>
      </c>
      <c r="B948">
        <v>65</v>
      </c>
      <c r="C948" t="s">
        <v>37</v>
      </c>
      <c r="D948">
        <v>72</v>
      </c>
      <c r="E948" t="s">
        <v>1052</v>
      </c>
      <c r="F948" t="s">
        <v>5322</v>
      </c>
      <c r="G948" t="str">
        <f>B14_Assessment!A72</f>
        <v>10. PHOTO LOG</v>
      </c>
      <c r="H948">
        <f>B14_Assessment!B72</f>
        <v>0</v>
      </c>
      <c r="I948">
        <f>B14_Assessment!C72</f>
        <v>0</v>
      </c>
      <c r="J948">
        <f>B14_Assessment!D72</f>
        <v>0</v>
      </c>
      <c r="K948">
        <f>B14_Assessment!E72</f>
        <v>0</v>
      </c>
      <c r="L948">
        <f>B14_Assessment!F72</f>
        <v>0</v>
      </c>
      <c r="M948">
        <f>B14_Assessment!G72</f>
        <v>0</v>
      </c>
      <c r="N948">
        <f>B14_Assessment!H72</f>
        <v>0</v>
      </c>
      <c r="O948">
        <f>B14_Assessment!I72</f>
        <v>0</v>
      </c>
      <c r="P948">
        <f>B14_Assessment!J72</f>
        <v>0</v>
      </c>
      <c r="Q948" t="str">
        <f t="shared" si="14"/>
        <v>14|65</v>
      </c>
    </row>
    <row r="949" spans="1:17" ht="6.45" customHeight="1">
      <c r="A949" t="s">
        <v>700</v>
      </c>
      <c r="B949">
        <v>66</v>
      </c>
      <c r="C949" t="s">
        <v>37</v>
      </c>
      <c r="D949">
        <v>73</v>
      </c>
      <c r="E949" t="s">
        <v>1052</v>
      </c>
      <c r="F949" t="s">
        <v>5323</v>
      </c>
      <c r="G949" t="str">
        <f>B14_Assessment!A73</f>
        <v>Photo ID</v>
      </c>
      <c r="H949" t="str">
        <f>B14_Assessment!B73</f>
        <v>Room</v>
      </c>
      <c r="I949" t="str">
        <f>B14_Assessment!C73</f>
        <v>Category</v>
      </c>
      <c r="J949" t="str">
        <f>B14_Assessment!D73</f>
        <v>Description</v>
      </c>
      <c r="K949" t="str">
        <f>B14_Assessment!E73</f>
        <v>Date</v>
      </c>
      <c r="L949" t="str">
        <f>B14_Assessment!F73</f>
        <v>Taken By</v>
      </c>
      <c r="M949" t="str">
        <f>B14_Assessment!G73</f>
        <v>File / Link</v>
      </c>
      <c r="N949" t="str">
        <f>B14_Assessment!H73</f>
        <v>Related Risk</v>
      </c>
      <c r="O949" t="str">
        <f>B14_Assessment!I73</f>
        <v>Status</v>
      </c>
      <c r="P949" t="str">
        <f>B14_Assessment!J73</f>
        <v>Notes</v>
      </c>
      <c r="Q949" t="str">
        <f t="shared" si="14"/>
        <v>14|66</v>
      </c>
    </row>
    <row r="950" spans="1:17" ht="6.45" customHeight="1">
      <c r="A950" t="s">
        <v>700</v>
      </c>
      <c r="B950">
        <v>67</v>
      </c>
      <c r="C950" t="s">
        <v>37</v>
      </c>
      <c r="D950">
        <v>74</v>
      </c>
      <c r="E950" t="s">
        <v>1052</v>
      </c>
      <c r="F950" t="s">
        <v>5324</v>
      </c>
      <c r="G950" t="str">
        <f>B14_Assessment!A74</f>
        <v>B14-P001</v>
      </c>
      <c r="H950" t="str">
        <f>B14_Assessment!B74</f>
        <v>119</v>
      </c>
      <c r="I950" t="str">
        <f>B14_Assessment!C74</f>
        <v>Existing Condition</v>
      </c>
      <c r="J950" t="str">
        <f>B14_Assessment!D74</f>
        <v>Room 119 walls, ceiling/deck, floor, door, adjacent conference/restroom/office spaces, rack location, pathways and penetrations</v>
      </c>
      <c r="K950">
        <f>B14_Assessment!E74</f>
        <v>0</v>
      </c>
      <c r="L950" t="str">
        <f>B14_Assessment!F74</f>
        <v>Paul</v>
      </c>
      <c r="M950">
        <f>B14_Assessment!G74</f>
        <v>0</v>
      </c>
      <c r="N950" t="str">
        <f>B14_Assessment!H74</f>
        <v>B14-R1/B14-R6</v>
      </c>
      <c r="O950" t="str">
        <f>B14_Assessment!I74</f>
        <v>Closed</v>
      </c>
      <c r="P950">
        <f>B14_Assessment!J74</f>
        <v>0</v>
      </c>
      <c r="Q950" t="str">
        <f t="shared" si="14"/>
        <v>14|67</v>
      </c>
    </row>
    <row r="951" spans="1:17" ht="6.45" customHeight="1">
      <c r="A951" t="s">
        <v>700</v>
      </c>
      <c r="B951">
        <v>68</v>
      </c>
      <c r="C951" t="s">
        <v>37</v>
      </c>
      <c r="D951">
        <v>75</v>
      </c>
      <c r="E951" t="s">
        <v>1052</v>
      </c>
      <c r="F951" t="s">
        <v>5324</v>
      </c>
      <c r="G951" t="str">
        <f>B14_Assessment!A75</f>
        <v>B14-P002</v>
      </c>
      <c r="H951" t="str">
        <f>B14_Assessment!B75</f>
        <v>B.01</v>
      </c>
      <c r="I951" t="str">
        <f>B14_Assessment!C75</f>
        <v>Existing Condition</v>
      </c>
      <c r="J951" t="str">
        <f>B14_Assessment!D75</f>
        <v>Existing basement Tel/F Panel B.01, wall-mounted TE, patch panels, telco patch, plywood backboards, legacy Fiber LIU and pathways</v>
      </c>
      <c r="K951">
        <f>B14_Assessment!E75</f>
        <v>0</v>
      </c>
      <c r="L951" t="str">
        <f>B14_Assessment!F75</f>
        <v>Paul</v>
      </c>
      <c r="M951">
        <f>B14_Assessment!G75</f>
        <v>0</v>
      </c>
      <c r="N951" t="str">
        <f>B14_Assessment!H75</f>
        <v>B14-R1/B14-R3</v>
      </c>
      <c r="O951" t="str">
        <f>B14_Assessment!I75</f>
        <v>Closed</v>
      </c>
      <c r="P951">
        <f>B14_Assessment!J75</f>
        <v>0</v>
      </c>
      <c r="Q951" t="str">
        <f t="shared" si="14"/>
        <v>14|68</v>
      </c>
    </row>
    <row r="952" spans="1:17" ht="6.45" customHeight="1">
      <c r="A952" t="s">
        <v>700</v>
      </c>
      <c r="B952">
        <v>69</v>
      </c>
      <c r="C952" t="s">
        <v>37</v>
      </c>
      <c r="D952">
        <v>76</v>
      </c>
      <c r="E952" t="s">
        <v>1052</v>
      </c>
      <c r="F952" t="s">
        <v>5324</v>
      </c>
      <c r="G952" t="str">
        <f>B14_Assessment!A76</f>
        <v>B14-P003</v>
      </c>
      <c r="H952" t="str">
        <f>B14_Assessment!B76</f>
        <v>B2</v>
      </c>
      <c r="I952" t="str">
        <f>B14_Assessment!C76</f>
        <v>Existing Condition</v>
      </c>
      <c r="J952" t="str">
        <f>B14_Assessment!D76</f>
        <v>Existing basement telecom room B2 photo reference, equipment, pathways, power and protection-in-place needs</v>
      </c>
      <c r="K952">
        <f>B14_Assessment!E76</f>
        <v>0</v>
      </c>
      <c r="L952" t="str">
        <f>B14_Assessment!F76</f>
        <v>Paul</v>
      </c>
      <c r="M952">
        <f>B14_Assessment!G76</f>
        <v>0</v>
      </c>
      <c r="N952" t="str">
        <f>B14_Assessment!H76</f>
        <v>B14-R1/B14-R3</v>
      </c>
      <c r="O952" t="str">
        <f>B14_Assessment!I76</f>
        <v>Closed</v>
      </c>
      <c r="P952">
        <f>B14_Assessment!J76</f>
        <v>0</v>
      </c>
      <c r="Q952" t="str">
        <f t="shared" si="14"/>
        <v>14|69</v>
      </c>
    </row>
    <row r="953" spans="1:17" ht="6.45" customHeight="1">
      <c r="A953" t="s">
        <v>700</v>
      </c>
      <c r="B953">
        <v>70</v>
      </c>
      <c r="C953" t="s">
        <v>37</v>
      </c>
      <c r="D953">
        <v>77</v>
      </c>
      <c r="E953" t="s">
        <v>1052</v>
      </c>
      <c r="F953" t="s">
        <v>5324</v>
      </c>
      <c r="G953" t="str">
        <f>B14_Assessment!A77</f>
        <v>B14-P004</v>
      </c>
      <c r="H953" t="str">
        <f>B14_Assessment!B77</f>
        <v>119</v>
      </c>
      <c r="I953" t="str">
        <f>B14_Assessment!C77</f>
        <v>Hazardous Materials</v>
      </c>
      <c r="J953" t="str">
        <f>B14_Assessment!D77</f>
        <v>First-level abatement-related materials, flooring, walls, ceiling/penetrations, and disturbance areas</v>
      </c>
      <c r="K953">
        <f>B14_Assessment!E77</f>
        <v>0</v>
      </c>
      <c r="L953" t="str">
        <f>B14_Assessment!F77</f>
        <v>Paul</v>
      </c>
      <c r="M953">
        <f>B14_Assessment!G77</f>
        <v>0</v>
      </c>
      <c r="N953" t="str">
        <f>B14_Assessment!H77</f>
        <v>B14-R2</v>
      </c>
      <c r="O953" t="str">
        <f>B14_Assessment!I77</f>
        <v>Closed</v>
      </c>
      <c r="P953">
        <f>B14_Assessment!J77</f>
        <v>0</v>
      </c>
      <c r="Q953" t="str">
        <f t="shared" si="14"/>
        <v>14|70</v>
      </c>
    </row>
    <row r="954" spans="1:17" ht="6.45" customHeight="1">
      <c r="A954" t="s">
        <v>700</v>
      </c>
      <c r="B954">
        <v>71</v>
      </c>
      <c r="C954" t="s">
        <v>37</v>
      </c>
      <c r="D954">
        <v>78</v>
      </c>
      <c r="E954" t="s">
        <v>1052</v>
      </c>
      <c r="F954" t="s">
        <v>5324</v>
      </c>
      <c r="G954" t="str">
        <f>B14_Assessment!A78</f>
        <v>B14-P005</v>
      </c>
      <c r="H954" t="str">
        <f>B14_Assessment!B78</f>
        <v>119</v>
      </c>
      <c r="I954" t="str">
        <f>B14_Assessment!C78</f>
        <v>Firestop</v>
      </c>
      <c r="J954" t="str">
        <f>B14_Assessment!D78</f>
        <v>All wall/floor/sleeve/tray penetrations before and after firestop</v>
      </c>
      <c r="K954">
        <f>B14_Assessment!E78</f>
        <v>0</v>
      </c>
      <c r="L954" t="str">
        <f>B14_Assessment!F78</f>
        <v>Paul</v>
      </c>
      <c r="M954">
        <f>B14_Assessment!G78</f>
        <v>0</v>
      </c>
      <c r="N954" t="str">
        <f>B14_Assessment!H78</f>
        <v>B14-R6</v>
      </c>
      <c r="O954" t="str">
        <f>B14_Assessment!I78</f>
        <v>Closed</v>
      </c>
      <c r="P954">
        <f>B14_Assessment!J78</f>
        <v>0</v>
      </c>
      <c r="Q954" t="str">
        <f t="shared" si="14"/>
        <v>14|71</v>
      </c>
    </row>
    <row r="955" spans="1:17" ht="6.45" customHeight="1">
      <c r="A955" t="s">
        <v>700</v>
      </c>
      <c r="B955">
        <v>72</v>
      </c>
      <c r="C955" t="s">
        <v>37</v>
      </c>
      <c r="D955">
        <v>79</v>
      </c>
      <c r="E955" t="s">
        <v>1052</v>
      </c>
      <c r="F955" t="s">
        <v>5324</v>
      </c>
      <c r="G955" t="str">
        <f>B14_Assessment!A79</f>
        <v>B14-P006</v>
      </c>
      <c r="H955" t="str">
        <f>B14_Assessment!B79</f>
        <v>119</v>
      </c>
      <c r="I955" t="str">
        <f>B14_Assessment!C79</f>
        <v>HVAC</v>
      </c>
      <c r="J955" t="str">
        <f>B14_Assessment!D79</f>
        <v>IU-1-01/CU-1-01, condensate, thermostat, BACnet adapter, disconnects, high-temp alarm and power source</v>
      </c>
      <c r="K955">
        <f>B14_Assessment!E79</f>
        <v>0</v>
      </c>
      <c r="L955" t="str">
        <f>B14_Assessment!F79</f>
        <v>Paul</v>
      </c>
      <c r="M955">
        <f>B14_Assessment!G79</f>
        <v>0</v>
      </c>
      <c r="N955" t="str">
        <f>B14_Assessment!H79</f>
        <v>B14-R4</v>
      </c>
      <c r="O955" t="str">
        <f>B14_Assessment!I79</f>
        <v>Closed</v>
      </c>
      <c r="P955">
        <f>B14_Assessment!J79</f>
        <v>0</v>
      </c>
      <c r="Q955" t="str">
        <f t="shared" si="14"/>
        <v>14|72</v>
      </c>
    </row>
    <row r="956" spans="1:17" ht="6.45" customHeight="1">
      <c r="A956" t="s">
        <v>700</v>
      </c>
      <c r="B956">
        <v>73</v>
      </c>
      <c r="C956" t="s">
        <v>37</v>
      </c>
      <c r="D956">
        <v>80</v>
      </c>
      <c r="E956" t="s">
        <v>1052</v>
      </c>
      <c r="F956" t="s">
        <v>5324</v>
      </c>
      <c r="G956" t="str">
        <f>B14_Assessment!A80</f>
        <v>B14-P007</v>
      </c>
      <c r="H956" t="str">
        <f>B14_Assessment!B80</f>
        <v>119</v>
      </c>
      <c r="I956" t="str">
        <f>B14_Assessment!C80</f>
        <v>Electrical</v>
      </c>
      <c r="J956" t="str">
        <f>B14_Assessment!D80</f>
        <v>B14-TR119A/B panels, rack receptacles, breakers, SPD, access controller, lighting, CU-1-01 and labels</v>
      </c>
      <c r="K956">
        <f>B14_Assessment!E80</f>
        <v>0</v>
      </c>
      <c r="L956" t="str">
        <f>B14_Assessment!F80</f>
        <v>Paul</v>
      </c>
      <c r="M956">
        <f>B14_Assessment!G80</f>
        <v>0</v>
      </c>
      <c r="N956" t="str">
        <f>B14_Assessment!H80</f>
        <v>B14-R5</v>
      </c>
      <c r="O956" t="str">
        <f>B14_Assessment!I80</f>
        <v>Closed</v>
      </c>
      <c r="P956">
        <f>B14_Assessment!J80</f>
        <v>0</v>
      </c>
      <c r="Q956" t="str">
        <f t="shared" si="14"/>
        <v>14|73</v>
      </c>
    </row>
    <row r="957" spans="1:17" ht="6.45" customHeight="1">
      <c r="A957" t="s">
        <v>700</v>
      </c>
      <c r="B957">
        <v>74</v>
      </c>
      <c r="C957" t="s">
        <v>37</v>
      </c>
      <c r="D957">
        <v>81</v>
      </c>
      <c r="E957" t="s">
        <v>1052</v>
      </c>
      <c r="F957" t="s">
        <v>5324</v>
      </c>
      <c r="G957" t="str">
        <f>B14_Assessment!A81</f>
        <v>B14-P008</v>
      </c>
      <c r="H957" t="str">
        <f>B14_Assessment!B81</f>
        <v>119/B.01</v>
      </c>
      <c r="I957" t="str">
        <f>B14_Assessment!C81</f>
        <v>Telecom/Security</v>
      </c>
      <c r="J957" t="str">
        <f>B14_Assessment!D81</f>
        <v>New rack/future rack, fiber path A/B, Cat6A, patch panels, LIU, labels/test records, 119-CAM-01 and existing B.01/B2 transfer work</v>
      </c>
      <c r="K957">
        <f>B14_Assessment!E81</f>
        <v>0</v>
      </c>
      <c r="L957" t="str">
        <f>B14_Assessment!F81</f>
        <v>Paul</v>
      </c>
      <c r="M957">
        <f>B14_Assessment!G81</f>
        <v>0</v>
      </c>
      <c r="N957" t="str">
        <f>B14_Assessment!H81</f>
        <v>B14-R7/B14-R8</v>
      </c>
      <c r="O957" t="str">
        <f>B14_Assessment!I81</f>
        <v>Closed</v>
      </c>
      <c r="P957">
        <f>B14_Assessment!J81</f>
        <v>0</v>
      </c>
      <c r="Q957" t="str">
        <f t="shared" si="14"/>
        <v>14|74</v>
      </c>
    </row>
    <row r="958" spans="1:17" ht="6.45" customHeight="1">
      <c r="A958" t="s">
        <v>700</v>
      </c>
      <c r="B958">
        <v>75</v>
      </c>
      <c r="C958" t="s">
        <v>37</v>
      </c>
      <c r="D958">
        <v>82</v>
      </c>
      <c r="E958" t="s">
        <v>1052</v>
      </c>
      <c r="F958" t="s">
        <v>5325</v>
      </c>
      <c r="G958">
        <f>B14_Assessment!A82</f>
        <v>0</v>
      </c>
      <c r="H958">
        <f>B14_Assessment!B82</f>
        <v>0</v>
      </c>
      <c r="I958">
        <f>B14_Assessment!C82</f>
        <v>0</v>
      </c>
      <c r="J958">
        <f>B14_Assessment!D82</f>
        <v>0</v>
      </c>
      <c r="K958">
        <f>B14_Assessment!E82</f>
        <v>0</v>
      </c>
      <c r="L958">
        <f>B14_Assessment!F82</f>
        <v>0</v>
      </c>
      <c r="M958">
        <f>B14_Assessment!G82</f>
        <v>0</v>
      </c>
      <c r="N958">
        <f>B14_Assessment!H82</f>
        <v>0</v>
      </c>
      <c r="O958">
        <f>B14_Assessment!I82</f>
        <v>0</v>
      </c>
      <c r="P958">
        <f>B14_Assessment!J82</f>
        <v>0</v>
      </c>
      <c r="Q958" t="str">
        <f t="shared" si="14"/>
        <v>14|75</v>
      </c>
    </row>
    <row r="959" spans="1:17" ht="6.45" customHeight="1">
      <c r="A959" t="s">
        <v>702</v>
      </c>
      <c r="B959">
        <v>1</v>
      </c>
      <c r="C959" t="s">
        <v>39</v>
      </c>
      <c r="D959">
        <v>8</v>
      </c>
      <c r="E959" t="s">
        <v>918</v>
      </c>
      <c r="F959" t="s">
        <v>5322</v>
      </c>
      <c r="G959" t="str">
        <f>B15_Assessment!A8</f>
        <v>1. ROOM INVENTORY</v>
      </c>
      <c r="H959">
        <f>B15_Assessment!B8</f>
        <v>0</v>
      </c>
      <c r="I959">
        <f>B15_Assessment!C8</f>
        <v>0</v>
      </c>
      <c r="J959">
        <f>B15_Assessment!D8</f>
        <v>0</v>
      </c>
      <c r="K959">
        <f>B15_Assessment!E8</f>
        <v>0</v>
      </c>
      <c r="L959">
        <f>B15_Assessment!F8</f>
        <v>0</v>
      </c>
      <c r="M959">
        <f>B15_Assessment!G8</f>
        <v>0</v>
      </c>
      <c r="N959">
        <f>B15_Assessment!H8</f>
        <v>0</v>
      </c>
      <c r="O959">
        <f>B15_Assessment!I8</f>
        <v>0</v>
      </c>
      <c r="P959">
        <f>B15_Assessment!J8</f>
        <v>0</v>
      </c>
      <c r="Q959" t="str">
        <f t="shared" si="14"/>
        <v>15|1</v>
      </c>
    </row>
    <row r="960" spans="1:17" ht="6.45" customHeight="1">
      <c r="A960" t="s">
        <v>702</v>
      </c>
      <c r="B960">
        <v>2</v>
      </c>
      <c r="C960" t="s">
        <v>39</v>
      </c>
      <c r="D960">
        <v>9</v>
      </c>
      <c r="E960" t="s">
        <v>918</v>
      </c>
      <c r="F960" t="s">
        <v>5323</v>
      </c>
      <c r="G960" t="str">
        <f>B15_Assessment!A9</f>
        <v>Building</v>
      </c>
      <c r="H960" t="str">
        <f>B15_Assessment!B9</f>
        <v>Room</v>
      </c>
      <c r="I960" t="str">
        <f>B15_Assessment!C9</f>
        <v>Floor</v>
      </c>
      <c r="J960" t="str">
        <f>B15_Assessment!D9</f>
        <v>Existing Use</v>
      </c>
      <c r="K960" t="str">
        <f>B15_Assessment!E9</f>
        <v>New Use</v>
      </c>
      <c r="L960" t="str">
        <f>B15_Assessment!F9</f>
        <v>Rack Count</v>
      </c>
      <c r="M960" t="str">
        <f>B15_Assessment!G9</f>
        <v>Future Rack</v>
      </c>
      <c r="N960" t="str">
        <f>B15_Assessment!H9</f>
        <v>Status</v>
      </c>
      <c r="O960" t="str">
        <f>B15_Assessment!I9</f>
        <v>Drawing Ref</v>
      </c>
      <c r="P960" t="str">
        <f>B15_Assessment!J9</f>
        <v>Notes</v>
      </c>
      <c r="Q960" t="str">
        <f t="shared" si="14"/>
        <v>15|2</v>
      </c>
    </row>
    <row r="961" spans="1:17" ht="6.45" customHeight="1">
      <c r="A961" t="s">
        <v>702</v>
      </c>
      <c r="B961">
        <v>3</v>
      </c>
      <c r="C961" t="s">
        <v>39</v>
      </c>
      <c r="D961">
        <v>10</v>
      </c>
      <c r="E961" t="s">
        <v>918</v>
      </c>
      <c r="F961" t="s">
        <v>5324</v>
      </c>
      <c r="G961" t="str">
        <f>B15_Assessment!A10</f>
        <v>15</v>
      </c>
      <c r="H961" t="str">
        <f>B15_Assessment!B10</f>
        <v>124A</v>
      </c>
      <c r="I961" t="str">
        <f>B15_Assessment!C10</f>
        <v>First</v>
      </c>
      <c r="J961" t="str">
        <f>B15_Assessment!D10</f>
        <v>Office/room converted to Telecom Room</v>
      </c>
      <c r="K961" t="str">
        <f>B15_Assessment!E10</f>
        <v>Telecom Room</v>
      </c>
      <c r="L961">
        <f>B15_Assessment!F10</f>
        <v>1</v>
      </c>
      <c r="M961">
        <f>B15_Assessment!G10</f>
        <v>1</v>
      </c>
      <c r="N961" t="str">
        <f>B15_Assessment!H10</f>
        <v>Verify</v>
      </c>
      <c r="O961" t="str">
        <f>B15_Assessment!I10</f>
        <v>15A-401 / 15E-401 / 15T-100 / 15T-604 / 15T-701</v>
      </c>
      <c r="P961" t="str">
        <f>B15_Assessment!J10</f>
        <v>Primary Building 15 TR. Plans identify Telecom Room 124A at 121 SF, served by Rack ID TR15-109A-01, panels B15-TR124AA/AB, 240V UPS/PDU rack power, IU-1-01/CU-1-01 cooling, and a future rack allowance.</v>
      </c>
      <c r="Q961" t="str">
        <f t="shared" si="14"/>
        <v>15|3</v>
      </c>
    </row>
    <row r="962" spans="1:17" ht="6.45" customHeight="1">
      <c r="A962" t="s">
        <v>702</v>
      </c>
      <c r="B962">
        <v>4</v>
      </c>
      <c r="C962" t="s">
        <v>39</v>
      </c>
      <c r="D962">
        <v>11</v>
      </c>
      <c r="E962" t="s">
        <v>918</v>
      </c>
      <c r="F962" t="s">
        <v>5324</v>
      </c>
      <c r="G962" t="str">
        <f>B15_Assessment!A11</f>
        <v>15</v>
      </c>
      <c r="H962" t="str">
        <f>B15_Assessment!B11</f>
        <v>222</v>
      </c>
      <c r="I962" t="str">
        <f>B15_Assessment!C11</f>
        <v>Second</v>
      </c>
      <c r="J962" t="str">
        <f>B15_Assessment!D11</f>
        <v>Existing Tel Room / wall-mounted rack and support equipment</v>
      </c>
      <c r="K962" t="str">
        <f>B15_Assessment!E11</f>
        <v>Existing telecom transition point</v>
      </c>
      <c r="L962">
        <f>B15_Assessment!F11</f>
        <v>1</v>
      </c>
      <c r="M962">
        <f>B15_Assessment!G11</f>
        <v>0</v>
      </c>
      <c r="N962" t="str">
        <f>B15_Assessment!H11</f>
        <v>Verify</v>
      </c>
      <c r="O962" t="str">
        <f>B15_Assessment!I11</f>
        <v>15T-100 / 15T-604 / 15R-900</v>
      </c>
      <c r="P962" t="str">
        <f>B15_Assessment!J11</f>
        <v>Existing second-level Tel Room 222 shown at 65 SF with existing/remain indoor AC unit, security cabinet, ground bar, plywood backboard, wall-mounted rack, existing Cisco switches, legacy patch panels, and floor UPS; protect active services and verify transfer to Room 124A.</v>
      </c>
      <c r="Q962" t="str">
        <f t="shared" ref="Q962:Q1025" si="15">A962&amp;"|"&amp;B962</f>
        <v>15|4</v>
      </c>
    </row>
    <row r="963" spans="1:17" ht="6.45" customHeight="1">
      <c r="A963" t="s">
        <v>702</v>
      </c>
      <c r="B963">
        <v>5</v>
      </c>
      <c r="C963" t="s">
        <v>39</v>
      </c>
      <c r="D963">
        <v>12</v>
      </c>
      <c r="E963" t="s">
        <v>918</v>
      </c>
      <c r="F963" t="s">
        <v>5324</v>
      </c>
      <c r="G963" t="str">
        <f>B15_Assessment!A12</f>
        <v>15</v>
      </c>
      <c r="H963" t="str">
        <f>B15_Assessment!B12</f>
        <v>B01</v>
      </c>
      <c r="I963" t="str">
        <f>B15_Assessment!C12</f>
        <v>Basement</v>
      </c>
      <c r="J963" t="str">
        <f>B15_Assessment!D12</f>
        <v>Existing telecom/crossover area</v>
      </c>
      <c r="K963" t="str">
        <f>B15_Assessment!E12</f>
        <v>Existing telecom transition point</v>
      </c>
      <c r="L963">
        <f>B15_Assessment!F12</f>
        <v>1</v>
      </c>
      <c r="M963">
        <f>B15_Assessment!G12</f>
        <v>0</v>
      </c>
      <c r="N963" t="str">
        <f>B15_Assessment!H12</f>
        <v>Verify</v>
      </c>
      <c r="O963" t="str">
        <f>B15_Assessment!I12</f>
        <v>15T-604 / 15R-900</v>
      </c>
      <c r="P963" t="str">
        <f>B15_Assessment!J12</f>
        <v>Rack elevations identify existing B-01 crossover wall/wall-mount TE with legacy 24-port patch panel. Photo reference identifies basement existing telecom room B01.</v>
      </c>
      <c r="Q963" t="str">
        <f t="shared" si="15"/>
        <v>15|5</v>
      </c>
    </row>
    <row r="964" spans="1:17" ht="6.45" customHeight="1">
      <c r="A964" t="s">
        <v>702</v>
      </c>
      <c r="B964">
        <v>6</v>
      </c>
      <c r="C964" t="s">
        <v>39</v>
      </c>
      <c r="D964">
        <v>13</v>
      </c>
      <c r="E964" t="s">
        <v>918</v>
      </c>
      <c r="F964" t="s">
        <v>5325</v>
      </c>
      <c r="G964">
        <f>B15_Assessment!A13</f>
        <v>0</v>
      </c>
      <c r="H964">
        <f>B15_Assessment!B13</f>
        <v>0</v>
      </c>
      <c r="I964">
        <f>B15_Assessment!C13</f>
        <v>0</v>
      </c>
      <c r="J964">
        <f>B15_Assessment!D13</f>
        <v>0</v>
      </c>
      <c r="K964">
        <f>B15_Assessment!E13</f>
        <v>0</v>
      </c>
      <c r="L964">
        <f>B15_Assessment!F13</f>
        <v>0</v>
      </c>
      <c r="M964">
        <f>B15_Assessment!G13</f>
        <v>0</v>
      </c>
      <c r="N964">
        <f>B15_Assessment!H13</f>
        <v>0</v>
      </c>
      <c r="O964">
        <f>B15_Assessment!I13</f>
        <v>0</v>
      </c>
      <c r="P964">
        <f>B15_Assessment!J13</f>
        <v>0</v>
      </c>
      <c r="Q964" t="str">
        <f t="shared" si="15"/>
        <v>15|6</v>
      </c>
    </row>
    <row r="965" spans="1:17" ht="6.45" customHeight="1">
      <c r="A965" t="s">
        <v>702</v>
      </c>
      <c r="B965">
        <v>7</v>
      </c>
      <c r="C965" t="s">
        <v>39</v>
      </c>
      <c r="D965">
        <v>14</v>
      </c>
      <c r="E965" t="s">
        <v>936</v>
      </c>
      <c r="F965" t="s">
        <v>5322</v>
      </c>
      <c r="G965" t="str">
        <f>B15_Assessment!A14</f>
        <v>2. ROOM READINESS</v>
      </c>
      <c r="H965">
        <f>B15_Assessment!B14</f>
        <v>0</v>
      </c>
      <c r="I965">
        <f>B15_Assessment!C14</f>
        <v>0</v>
      </c>
      <c r="J965">
        <f>B15_Assessment!D14</f>
        <v>0</v>
      </c>
      <c r="K965">
        <f>B15_Assessment!E14</f>
        <v>0</v>
      </c>
      <c r="L965">
        <f>B15_Assessment!F14</f>
        <v>0</v>
      </c>
      <c r="M965">
        <f>B15_Assessment!G14</f>
        <v>0</v>
      </c>
      <c r="N965">
        <f>B15_Assessment!H14</f>
        <v>0</v>
      </c>
      <c r="O965">
        <f>B15_Assessment!I14</f>
        <v>0</v>
      </c>
      <c r="P965">
        <f>B15_Assessment!J14</f>
        <v>0</v>
      </c>
      <c r="Q965" t="str">
        <f t="shared" si="15"/>
        <v>15|7</v>
      </c>
    </row>
    <row r="966" spans="1:17" ht="6.45" customHeight="1">
      <c r="A966" t="s">
        <v>702</v>
      </c>
      <c r="B966">
        <v>8</v>
      </c>
      <c r="C966" t="s">
        <v>39</v>
      </c>
      <c r="D966">
        <v>15</v>
      </c>
      <c r="E966" t="s">
        <v>936</v>
      </c>
      <c r="F966" t="s">
        <v>5323</v>
      </c>
      <c r="G966" t="str">
        <f>B15_Assessment!A15</f>
        <v>Room</v>
      </c>
      <c r="H966" t="str">
        <f>B15_Assessment!B15</f>
        <v>Walls / 1-hr Rating</v>
      </c>
      <c r="I966" t="str">
        <f>B15_Assessment!C15</f>
        <v>Ceiling</v>
      </c>
      <c r="J966" t="str">
        <f>B15_Assessment!D15</f>
        <v>Floor / SDC</v>
      </c>
      <c r="K966" t="str">
        <f>B15_Assessment!E15</f>
        <v>Penetrations</v>
      </c>
      <c r="L966" t="str">
        <f>B15_Assessment!F15</f>
        <v>Access Control</v>
      </c>
      <c r="M966" t="str">
        <f>B15_Assessment!G15</f>
        <v>Clearances</v>
      </c>
      <c r="N966" t="str">
        <f>B15_Assessment!H15</f>
        <v>Housekeeping</v>
      </c>
      <c r="O966" t="str">
        <f>B15_Assessment!I15</f>
        <v>Overall</v>
      </c>
      <c r="P966" t="str">
        <f>B15_Assessment!J15</f>
        <v>Comments</v>
      </c>
      <c r="Q966" t="str">
        <f t="shared" si="15"/>
        <v>15|8</v>
      </c>
    </row>
    <row r="967" spans="1:17" ht="6.45" customHeight="1">
      <c r="A967" t="s">
        <v>702</v>
      </c>
      <c r="B967">
        <v>9</v>
      </c>
      <c r="C967" t="s">
        <v>39</v>
      </c>
      <c r="D967">
        <v>16</v>
      </c>
      <c r="E967" t="s">
        <v>936</v>
      </c>
      <c r="F967" t="s">
        <v>5324</v>
      </c>
      <c r="G967" t="str">
        <f>B15_Assessment!A16</f>
        <v>124A</v>
      </c>
      <c r="H967" t="str">
        <f>B15_Assessment!B16</f>
        <v>Verify</v>
      </c>
      <c r="I967" t="str">
        <f>B15_Assessment!C16</f>
        <v>Verify</v>
      </c>
      <c r="J967" t="str">
        <f>B15_Assessment!D16</f>
        <v>Verify</v>
      </c>
      <c r="K967" t="str">
        <f>B15_Assessment!E16</f>
        <v>Verify</v>
      </c>
      <c r="L967" t="str">
        <f>B15_Assessment!F16</f>
        <v>Verify</v>
      </c>
      <c r="M967" t="str">
        <f>B15_Assessment!G16</f>
        <v>Verify</v>
      </c>
      <c r="N967" t="str">
        <f>B15_Assessment!H16</f>
        <v>Verify</v>
      </c>
      <c r="O967" t="str">
        <f>B15_Assessment!I16</f>
        <v>Verify</v>
      </c>
      <c r="P967" t="str">
        <f>B15_Assessment!J16</f>
        <v>First-level TR; verify 1-hour fire/smoke-rated enclosure, open-to-deck conditions, door hardware/access control, static-control floor sealer, rack/future rack clearances, wall backing, and pathway entry points.</v>
      </c>
      <c r="Q967" t="str">
        <f t="shared" si="15"/>
        <v>15|9</v>
      </c>
    </row>
    <row r="968" spans="1:17" ht="6.45" customHeight="1">
      <c r="A968" t="s">
        <v>702</v>
      </c>
      <c r="B968">
        <v>10</v>
      </c>
      <c r="C968" t="s">
        <v>39</v>
      </c>
      <c r="D968">
        <v>17</v>
      </c>
      <c r="E968" t="s">
        <v>936</v>
      </c>
      <c r="F968" t="s">
        <v>5324</v>
      </c>
      <c r="G968" t="str">
        <f>B15_Assessment!A17</f>
        <v>222</v>
      </c>
      <c r="H968" t="str">
        <f>B15_Assessment!B17</f>
        <v>Existing / Verify</v>
      </c>
      <c r="I968" t="str">
        <f>B15_Assessment!C17</f>
        <v>Existing / Verify</v>
      </c>
      <c r="J968" t="str">
        <f>B15_Assessment!D17</f>
        <v>Existing / Verify</v>
      </c>
      <c r="K968" t="str">
        <f>B15_Assessment!E17</f>
        <v>Verify</v>
      </c>
      <c r="L968" t="str">
        <f>B15_Assessment!F17</f>
        <v>Verify</v>
      </c>
      <c r="M968" t="str">
        <f>B15_Assessment!G17</f>
        <v>Verify</v>
      </c>
      <c r="N968" t="str">
        <f>B15_Assessment!H17</f>
        <v>Verify</v>
      </c>
      <c r="O968" t="str">
        <f>B15_Assessment!I17</f>
        <v>Verify</v>
      </c>
      <c r="P968" t="str">
        <f>B15_Assessment!J17</f>
        <v>Existing second-level tel room; verify active equipment status, pathway, indoor AC unit, ground bar, backboard, wall rack, UPS, and transition/abandonment scope.</v>
      </c>
      <c r="Q968" t="str">
        <f t="shared" si="15"/>
        <v>15|10</v>
      </c>
    </row>
    <row r="969" spans="1:17" ht="6.45" customHeight="1">
      <c r="A969" t="s">
        <v>702</v>
      </c>
      <c r="B969">
        <v>11</v>
      </c>
      <c r="C969" t="s">
        <v>39</v>
      </c>
      <c r="D969">
        <v>18</v>
      </c>
      <c r="E969" t="s">
        <v>936</v>
      </c>
      <c r="F969" t="s">
        <v>5324</v>
      </c>
      <c r="G969" t="str">
        <f>B15_Assessment!A18</f>
        <v>B01</v>
      </c>
      <c r="H969" t="str">
        <f>B15_Assessment!B18</f>
        <v>Existing / Verify</v>
      </c>
      <c r="I969" t="str">
        <f>B15_Assessment!C18</f>
        <v>Existing / Verify</v>
      </c>
      <c r="J969" t="str">
        <f>B15_Assessment!D18</f>
        <v>Existing / Verify</v>
      </c>
      <c r="K969" t="str">
        <f>B15_Assessment!E18</f>
        <v>Verify</v>
      </c>
      <c r="L969" t="str">
        <f>B15_Assessment!F18</f>
        <v>Verify</v>
      </c>
      <c r="M969" t="str">
        <f>B15_Assessment!G18</f>
        <v>Verify</v>
      </c>
      <c r="N969" t="str">
        <f>B15_Assessment!H18</f>
        <v>Verify</v>
      </c>
      <c r="O969" t="str">
        <f>B15_Assessment!I18</f>
        <v>Verify</v>
      </c>
      <c r="P969" t="str">
        <f>B15_Assessment!J18</f>
        <v>Existing basement telecom/crossover room; verify active equipment status, pathway, legacy 24-port patch panel, power, and relationship to Room 222/124A transfer.</v>
      </c>
      <c r="Q969" t="str">
        <f t="shared" si="15"/>
        <v>15|11</v>
      </c>
    </row>
    <row r="970" spans="1:17" ht="6.45" customHeight="1">
      <c r="A970" t="s">
        <v>702</v>
      </c>
      <c r="B970">
        <v>12</v>
      </c>
      <c r="C970" t="s">
        <v>39</v>
      </c>
      <c r="D970">
        <v>19</v>
      </c>
      <c r="E970" t="s">
        <v>936</v>
      </c>
      <c r="F970" t="s">
        <v>5325</v>
      </c>
      <c r="G970">
        <f>B15_Assessment!A19</f>
        <v>0</v>
      </c>
      <c r="H970">
        <f>B15_Assessment!B19</f>
        <v>0</v>
      </c>
      <c r="I970">
        <f>B15_Assessment!C19</f>
        <v>0</v>
      </c>
      <c r="J970">
        <f>B15_Assessment!D19</f>
        <v>0</v>
      </c>
      <c r="K970">
        <f>B15_Assessment!E19</f>
        <v>0</v>
      </c>
      <c r="L970">
        <f>B15_Assessment!F19</f>
        <v>0</v>
      </c>
      <c r="M970">
        <f>B15_Assessment!G19</f>
        <v>0</v>
      </c>
      <c r="N970">
        <f>B15_Assessment!H19</f>
        <v>0</v>
      </c>
      <c r="O970">
        <f>B15_Assessment!I19</f>
        <v>0</v>
      </c>
      <c r="P970">
        <f>B15_Assessment!J19</f>
        <v>0</v>
      </c>
      <c r="Q970" t="str">
        <f t="shared" si="15"/>
        <v>15|12</v>
      </c>
    </row>
    <row r="971" spans="1:17" ht="6.45" customHeight="1">
      <c r="A971" t="s">
        <v>702</v>
      </c>
      <c r="B971">
        <v>13</v>
      </c>
      <c r="C971" t="s">
        <v>39</v>
      </c>
      <c r="D971">
        <v>20</v>
      </c>
      <c r="E971" t="s">
        <v>951</v>
      </c>
      <c r="F971" t="s">
        <v>5322</v>
      </c>
      <c r="G971" t="str">
        <f>B15_Assessment!A20</f>
        <v>3. FIRE PROTECTION</v>
      </c>
      <c r="H971">
        <f>B15_Assessment!B20</f>
        <v>0</v>
      </c>
      <c r="I971">
        <f>B15_Assessment!C20</f>
        <v>0</v>
      </c>
      <c r="J971">
        <f>B15_Assessment!D20</f>
        <v>0</v>
      </c>
      <c r="K971">
        <f>B15_Assessment!E20</f>
        <v>0</v>
      </c>
      <c r="L971">
        <f>B15_Assessment!F20</f>
        <v>0</v>
      </c>
      <c r="M971">
        <f>B15_Assessment!G20</f>
        <v>0</v>
      </c>
      <c r="N971">
        <f>B15_Assessment!H20</f>
        <v>0</v>
      </c>
      <c r="O971">
        <f>B15_Assessment!I20</f>
        <v>0</v>
      </c>
      <c r="P971">
        <f>B15_Assessment!J20</f>
        <v>0</v>
      </c>
      <c r="Q971" t="str">
        <f t="shared" si="15"/>
        <v>15|13</v>
      </c>
    </row>
    <row r="972" spans="1:17" ht="6.45" customHeight="1">
      <c r="A972" t="s">
        <v>702</v>
      </c>
      <c r="B972">
        <v>14</v>
      </c>
      <c r="C972" t="s">
        <v>39</v>
      </c>
      <c r="D972">
        <v>21</v>
      </c>
      <c r="E972" t="s">
        <v>951</v>
      </c>
      <c r="F972" t="s">
        <v>5323</v>
      </c>
      <c r="G972" t="str">
        <f>B15_Assessment!A21</f>
        <v>Room</v>
      </c>
      <c r="H972" t="str">
        <f>B15_Assessment!B21</f>
        <v>Sprinkler</v>
      </c>
      <c r="I972" t="str">
        <f>B15_Assessment!C21</f>
        <v>Cage</v>
      </c>
      <c r="J972" t="str">
        <f>B15_Assessment!D21</f>
        <v>Detector</v>
      </c>
      <c r="K972" t="str">
        <f>B15_Assessment!E21</f>
        <v>Horn/Strobe</v>
      </c>
      <c r="L972" t="str">
        <f>B15_Assessment!F21</f>
        <v>Extinguisher &lt;75 ft</v>
      </c>
      <c r="M972" t="str">
        <f>B15_Assessment!G21</f>
        <v>Firestop</v>
      </c>
      <c r="N972" t="str">
        <f>B15_Assessment!H21</f>
        <v>Temp Firestop</v>
      </c>
      <c r="O972" t="str">
        <f>B15_Assessment!I21</f>
        <v>Overall</v>
      </c>
      <c r="P972" t="str">
        <f>B15_Assessment!J21</f>
        <v>Risk / Notes</v>
      </c>
      <c r="Q972" t="str">
        <f t="shared" si="15"/>
        <v>15|14</v>
      </c>
    </row>
    <row r="973" spans="1:17" ht="6.45" customHeight="1">
      <c r="A973" t="s">
        <v>702</v>
      </c>
      <c r="B973">
        <v>15</v>
      </c>
      <c r="C973" t="s">
        <v>39</v>
      </c>
      <c r="D973">
        <v>22</v>
      </c>
      <c r="E973" t="s">
        <v>951</v>
      </c>
      <c r="F973" t="s">
        <v>5324</v>
      </c>
      <c r="G973" t="str">
        <f>B15_Assessment!A22</f>
        <v>124A</v>
      </c>
      <c r="H973" t="str">
        <f>B15_Assessment!B22</f>
        <v>Verify</v>
      </c>
      <c r="I973" t="str">
        <f>B15_Assessment!C22</f>
        <v>Verify</v>
      </c>
      <c r="J973" t="str">
        <f>B15_Assessment!D22</f>
        <v>Verify</v>
      </c>
      <c r="K973" t="str">
        <f>B15_Assessment!E22</f>
        <v>Verify</v>
      </c>
      <c r="L973" t="str">
        <f>B15_Assessment!F22</f>
        <v>Verify</v>
      </c>
      <c r="M973" t="str">
        <f>B15_Assessment!G22</f>
        <v>Verify</v>
      </c>
      <c r="N973" t="str">
        <f>B15_Assessment!H22</f>
        <v>Verify</v>
      </c>
      <c r="O973" t="str">
        <f>B15_Assessment!I22</f>
        <v>Verify</v>
      </c>
      <c r="P973" t="str">
        <f>B15_Assessment!J22</f>
        <v>Fully sprinklered building; confirm sprinkler/fire alarm modifications, clean-agent 2A:10B:C extinguisher within 75 ft, rated wall/ceiling penetrations, and temporary firestopping during cable pulls.</v>
      </c>
      <c r="Q973" t="str">
        <f t="shared" si="15"/>
        <v>15|15</v>
      </c>
    </row>
    <row r="974" spans="1:17" ht="6.45" customHeight="1">
      <c r="A974" t="s">
        <v>702</v>
      </c>
      <c r="B974">
        <v>16</v>
      </c>
      <c r="C974" t="s">
        <v>39</v>
      </c>
      <c r="D974">
        <v>23</v>
      </c>
      <c r="E974" t="s">
        <v>951</v>
      </c>
      <c r="F974" t="s">
        <v>5324</v>
      </c>
      <c r="G974" t="str">
        <f>B15_Assessment!A23</f>
        <v>222</v>
      </c>
      <c r="H974" t="str">
        <f>B15_Assessment!B23</f>
        <v>Verify</v>
      </c>
      <c r="I974" t="str">
        <f>B15_Assessment!C23</f>
        <v>N/A</v>
      </c>
      <c r="J974" t="str">
        <f>B15_Assessment!D23</f>
        <v>Verify</v>
      </c>
      <c r="K974" t="str">
        <f>B15_Assessment!E23</f>
        <v>Verify</v>
      </c>
      <c r="L974" t="str">
        <f>B15_Assessment!F23</f>
        <v>Verify</v>
      </c>
      <c r="M974" t="str">
        <f>B15_Assessment!G23</f>
        <v>Verify</v>
      </c>
      <c r="N974" t="str">
        <f>B15_Assessment!H23</f>
        <v>Verify</v>
      </c>
      <c r="O974" t="str">
        <f>B15_Assessment!I23</f>
        <v>Verify</v>
      </c>
      <c r="P974" t="str">
        <f>B15_Assessment!J23</f>
        <v>Existing tel room; verify fire alarm/sprinkler protection-in-place and seal any removed/reused penetration after cutover.</v>
      </c>
      <c r="Q974" t="str">
        <f t="shared" si="15"/>
        <v>15|16</v>
      </c>
    </row>
    <row r="975" spans="1:17" ht="6.45" customHeight="1">
      <c r="A975" t="s">
        <v>702</v>
      </c>
      <c r="B975">
        <v>17</v>
      </c>
      <c r="C975" t="s">
        <v>39</v>
      </c>
      <c r="D975">
        <v>24</v>
      </c>
      <c r="E975" t="s">
        <v>951</v>
      </c>
      <c r="F975" t="s">
        <v>5324</v>
      </c>
      <c r="G975" t="str">
        <f>B15_Assessment!A24</f>
        <v>B01</v>
      </c>
      <c r="H975" t="str">
        <f>B15_Assessment!B24</f>
        <v>Verify</v>
      </c>
      <c r="I975" t="str">
        <f>B15_Assessment!C24</f>
        <v>N/A</v>
      </c>
      <c r="J975" t="str">
        <f>B15_Assessment!D24</f>
        <v>Verify</v>
      </c>
      <c r="K975" t="str">
        <f>B15_Assessment!E24</f>
        <v>Verify</v>
      </c>
      <c r="L975" t="str">
        <f>B15_Assessment!F24</f>
        <v>Verify</v>
      </c>
      <c r="M975" t="str">
        <f>B15_Assessment!G24</f>
        <v>Verify</v>
      </c>
      <c r="N975" t="str">
        <f>B15_Assessment!H24</f>
        <v>Verify</v>
      </c>
      <c r="O975" t="str">
        <f>B15_Assessment!I24</f>
        <v>Verify</v>
      </c>
      <c r="P975" t="str">
        <f>B15_Assessment!J24</f>
        <v>Existing basement telecom/crossover room; verify no unsealed penetrations remain after cable transfer or reuse.</v>
      </c>
      <c r="Q975" t="str">
        <f t="shared" si="15"/>
        <v>15|17</v>
      </c>
    </row>
    <row r="976" spans="1:17" ht="6.45" customHeight="1">
      <c r="A976" t="s">
        <v>702</v>
      </c>
      <c r="B976">
        <v>18</v>
      </c>
      <c r="C976" t="s">
        <v>39</v>
      </c>
      <c r="D976">
        <v>25</v>
      </c>
      <c r="E976" t="s">
        <v>951</v>
      </c>
      <c r="F976" t="s">
        <v>5325</v>
      </c>
      <c r="G976">
        <f>B15_Assessment!A25</f>
        <v>0</v>
      </c>
      <c r="H976">
        <f>B15_Assessment!B25</f>
        <v>0</v>
      </c>
      <c r="I976">
        <f>B15_Assessment!C25</f>
        <v>0</v>
      </c>
      <c r="J976">
        <f>B15_Assessment!D25</f>
        <v>0</v>
      </c>
      <c r="K976">
        <f>B15_Assessment!E25</f>
        <v>0</v>
      </c>
      <c r="L976">
        <f>B15_Assessment!F25</f>
        <v>0</v>
      </c>
      <c r="M976">
        <f>B15_Assessment!G25</f>
        <v>0</v>
      </c>
      <c r="N976">
        <f>B15_Assessment!H25</f>
        <v>0</v>
      </c>
      <c r="O976">
        <f>B15_Assessment!I25</f>
        <v>0</v>
      </c>
      <c r="P976">
        <f>B15_Assessment!J25</f>
        <v>0</v>
      </c>
      <c r="Q976" t="str">
        <f t="shared" si="15"/>
        <v>15|18</v>
      </c>
    </row>
    <row r="977" spans="1:17" ht="6.45" customHeight="1">
      <c r="A977" t="s">
        <v>702</v>
      </c>
      <c r="B977">
        <v>19</v>
      </c>
      <c r="C977" t="s">
        <v>39</v>
      </c>
      <c r="D977">
        <v>26</v>
      </c>
      <c r="E977" t="s">
        <v>964</v>
      </c>
      <c r="F977" t="s">
        <v>5322</v>
      </c>
      <c r="G977" t="str">
        <f>B15_Assessment!A26</f>
        <v>4. HVAC / COOLING</v>
      </c>
      <c r="H977">
        <f>B15_Assessment!B26</f>
        <v>0</v>
      </c>
      <c r="I977">
        <f>B15_Assessment!C26</f>
        <v>0</v>
      </c>
      <c r="J977">
        <f>B15_Assessment!D26</f>
        <v>0</v>
      </c>
      <c r="K977">
        <f>B15_Assessment!E26</f>
        <v>0</v>
      </c>
      <c r="L977">
        <f>B15_Assessment!F26</f>
        <v>0</v>
      </c>
      <c r="M977">
        <f>B15_Assessment!G26</f>
        <v>0</v>
      </c>
      <c r="N977">
        <f>B15_Assessment!H26</f>
        <v>0</v>
      </c>
      <c r="O977">
        <f>B15_Assessment!I26</f>
        <v>0</v>
      </c>
      <c r="P977">
        <f>B15_Assessment!J26</f>
        <v>0</v>
      </c>
      <c r="Q977" t="str">
        <f t="shared" si="15"/>
        <v>15|19</v>
      </c>
    </row>
    <row r="978" spans="1:17" ht="6.45" customHeight="1">
      <c r="A978" t="s">
        <v>702</v>
      </c>
      <c r="B978">
        <v>20</v>
      </c>
      <c r="C978" t="s">
        <v>39</v>
      </c>
      <c r="D978">
        <v>27</v>
      </c>
      <c r="E978" t="s">
        <v>964</v>
      </c>
      <c r="F978" t="s">
        <v>5323</v>
      </c>
      <c r="G978" t="str">
        <f>B15_Assessment!A27</f>
        <v>Room</v>
      </c>
      <c r="H978" t="str">
        <f>B15_Assessment!B27</f>
        <v>Dedicated Unit</v>
      </c>
      <c r="I978" t="str">
        <f>B15_Assessment!C27</f>
        <v>Capacity Verified</v>
      </c>
      <c r="J978" t="str">
        <f>B15_Assessment!D27</f>
        <v>Emergency Power</v>
      </c>
      <c r="K978" t="str">
        <f>B15_Assessment!E27</f>
        <v>Controls / BACnet</v>
      </c>
      <c r="L978" t="str">
        <f>B15_Assessment!F27</f>
        <v>Condensate Routed</v>
      </c>
      <c r="M978" t="str">
        <f>B15_Assessment!G27</f>
        <v>High Temp Alarm</v>
      </c>
      <c r="N978" t="str">
        <f>B15_Assessment!H27</f>
        <v>24/7 Operation</v>
      </c>
      <c r="O978" t="str">
        <f>B15_Assessment!I27</f>
        <v>Overall</v>
      </c>
      <c r="P978" t="str">
        <f>B15_Assessment!J27</f>
        <v>Risk / Notes</v>
      </c>
      <c r="Q978" t="str">
        <f t="shared" si="15"/>
        <v>15|20</v>
      </c>
    </row>
    <row r="979" spans="1:17" ht="6.45" customHeight="1">
      <c r="A979" t="s">
        <v>702</v>
      </c>
      <c r="B979">
        <v>21</v>
      </c>
      <c r="C979" t="s">
        <v>39</v>
      </c>
      <c r="D979">
        <v>28</v>
      </c>
      <c r="E979" t="s">
        <v>964</v>
      </c>
      <c r="F979" t="s">
        <v>5324</v>
      </c>
      <c r="G979" t="str">
        <f>B15_Assessment!A28</f>
        <v>124A</v>
      </c>
      <c r="H979" t="str">
        <f>B15_Assessment!B28</f>
        <v>IU-1-01 / CU-1-01</v>
      </c>
      <c r="I979" t="str">
        <f>B15_Assessment!C28</f>
        <v>Verify</v>
      </c>
      <c r="J979" t="str">
        <f>B15_Assessment!D28</f>
        <v>Verify</v>
      </c>
      <c r="K979" t="str">
        <f>B15_Assessment!E28</f>
        <v>Verify</v>
      </c>
      <c r="L979" t="str">
        <f>B15_Assessment!F28</f>
        <v>Verify</v>
      </c>
      <c r="M979" t="str">
        <f>B15_Assessment!G28</f>
        <v>Verify</v>
      </c>
      <c r="N979" t="str">
        <f>B15_Assessment!H28</f>
        <v>Verify</v>
      </c>
      <c r="O979" t="str">
        <f>B15_Assessment!I28</f>
        <v>Verify</v>
      </c>
      <c r="P979" t="str">
        <f>B15_Assessment!J28</f>
        <v>Mechanical/electrical drawings show IU-1-01 in Telecom Room 124A and CU-1-01 outdoor heat-pump/A/C unit. Confirm capacity, emergency/standby source, BACnet adapter, thermostat/control point, condensate path, disconnects, and high-temperature alarm.</v>
      </c>
      <c r="Q979" t="str">
        <f t="shared" si="15"/>
        <v>15|21</v>
      </c>
    </row>
    <row r="980" spans="1:17" ht="6.45" customHeight="1">
      <c r="A980" t="s">
        <v>702</v>
      </c>
      <c r="B980">
        <v>22</v>
      </c>
      <c r="C980" t="s">
        <v>39</v>
      </c>
      <c r="D980">
        <v>29</v>
      </c>
      <c r="E980" t="s">
        <v>964</v>
      </c>
      <c r="F980" t="s">
        <v>5324</v>
      </c>
      <c r="G980" t="str">
        <f>B15_Assessment!A29</f>
        <v>222</v>
      </c>
      <c r="H980" t="str">
        <f>B15_Assessment!B29</f>
        <v>Existing/remain indoor AC unit</v>
      </c>
      <c r="I980" t="str">
        <f>B15_Assessment!C29</f>
        <v>Verify</v>
      </c>
      <c r="J980" t="str">
        <f>B15_Assessment!D29</f>
        <v>Verify</v>
      </c>
      <c r="K980" t="str">
        <f>B15_Assessment!E29</f>
        <v>Verify</v>
      </c>
      <c r="L980" t="str">
        <f>B15_Assessment!F29</f>
        <v>Verify</v>
      </c>
      <c r="M980" t="str">
        <f>B15_Assessment!G29</f>
        <v>Verify</v>
      </c>
      <c r="N980" t="str">
        <f>B15_Assessment!H29</f>
        <v>Verify</v>
      </c>
      <c r="O980" t="str">
        <f>B15_Assessment!I29</f>
        <v>Verify</v>
      </c>
      <c r="P980" t="str">
        <f>B15_Assessment!J29</f>
        <v>Existing Tel Room 222 is shown with existing/remain indoor AC unit; verify whether it remains active, is abandoned, or needs protection during cutover.</v>
      </c>
      <c r="Q980" t="str">
        <f t="shared" si="15"/>
        <v>15|22</v>
      </c>
    </row>
    <row r="981" spans="1:17" ht="6.45" customHeight="1">
      <c r="A981" t="s">
        <v>702</v>
      </c>
      <c r="B981">
        <v>23</v>
      </c>
      <c r="C981" t="s">
        <v>39</v>
      </c>
      <c r="D981">
        <v>30</v>
      </c>
      <c r="E981" t="s">
        <v>964</v>
      </c>
      <c r="F981" t="s">
        <v>5324</v>
      </c>
      <c r="G981" t="str">
        <f>B15_Assessment!A30</f>
        <v>B01</v>
      </c>
      <c r="H981" t="str">
        <f>B15_Assessment!B30</f>
        <v>Existing / Verify</v>
      </c>
      <c r="I981" t="str">
        <f>B15_Assessment!C30</f>
        <v>Verify</v>
      </c>
      <c r="J981" t="str">
        <f>B15_Assessment!D30</f>
        <v>Verify</v>
      </c>
      <c r="K981" t="str">
        <f>B15_Assessment!E30</f>
        <v>Verify</v>
      </c>
      <c r="L981" t="str">
        <f>B15_Assessment!F30</f>
        <v>Verify</v>
      </c>
      <c r="M981" t="str">
        <f>B15_Assessment!G30</f>
        <v>Verify</v>
      </c>
      <c r="N981" t="str">
        <f>B15_Assessment!H30</f>
        <v>Verify</v>
      </c>
      <c r="O981" t="str">
        <f>B15_Assessment!I30</f>
        <v>Verify</v>
      </c>
      <c r="P981" t="str">
        <f>B15_Assessment!J30</f>
        <v>Existing basement telecom/crossover space; verify environmental conditions and whether active equipment remains during cutover.</v>
      </c>
      <c r="Q981" t="str">
        <f t="shared" si="15"/>
        <v>15|23</v>
      </c>
    </row>
    <row r="982" spans="1:17" ht="6.45" customHeight="1">
      <c r="A982" t="s">
        <v>702</v>
      </c>
      <c r="B982">
        <v>24</v>
      </c>
      <c r="C982" t="s">
        <v>39</v>
      </c>
      <c r="D982">
        <v>31</v>
      </c>
      <c r="E982" t="s">
        <v>964</v>
      </c>
      <c r="F982" t="s">
        <v>5325</v>
      </c>
      <c r="G982">
        <f>B15_Assessment!A31</f>
        <v>0</v>
      </c>
      <c r="H982">
        <f>B15_Assessment!B31</f>
        <v>0</v>
      </c>
      <c r="I982">
        <f>B15_Assessment!C31</f>
        <v>0</v>
      </c>
      <c r="J982">
        <f>B15_Assessment!D31</f>
        <v>0</v>
      </c>
      <c r="K982">
        <f>B15_Assessment!E31</f>
        <v>0</v>
      </c>
      <c r="L982">
        <f>B15_Assessment!F31</f>
        <v>0</v>
      </c>
      <c r="M982">
        <f>B15_Assessment!G31</f>
        <v>0</v>
      </c>
      <c r="N982">
        <f>B15_Assessment!H31</f>
        <v>0</v>
      </c>
      <c r="O982">
        <f>B15_Assessment!I31</f>
        <v>0</v>
      </c>
      <c r="P982">
        <f>B15_Assessment!J31</f>
        <v>0</v>
      </c>
      <c r="Q982" t="str">
        <f t="shared" si="15"/>
        <v>15|24</v>
      </c>
    </row>
    <row r="983" spans="1:17" ht="6.45" customHeight="1">
      <c r="A983" t="s">
        <v>702</v>
      </c>
      <c r="B983">
        <v>25</v>
      </c>
      <c r="C983" t="s">
        <v>39</v>
      </c>
      <c r="D983">
        <v>32</v>
      </c>
      <c r="E983" t="s">
        <v>977</v>
      </c>
      <c r="F983" t="s">
        <v>5322</v>
      </c>
      <c r="G983" t="str">
        <f>B15_Assessment!A32</f>
        <v>5. ELECTRICAL / UPS</v>
      </c>
      <c r="H983">
        <f>B15_Assessment!B32</f>
        <v>0</v>
      </c>
      <c r="I983">
        <f>B15_Assessment!C32</f>
        <v>0</v>
      </c>
      <c r="J983">
        <f>B15_Assessment!D32</f>
        <v>0</v>
      </c>
      <c r="K983">
        <f>B15_Assessment!E32</f>
        <v>0</v>
      </c>
      <c r="L983">
        <f>B15_Assessment!F32</f>
        <v>0</v>
      </c>
      <c r="M983">
        <f>B15_Assessment!G32</f>
        <v>0</v>
      </c>
      <c r="N983">
        <f>B15_Assessment!H32</f>
        <v>0</v>
      </c>
      <c r="O983">
        <f>B15_Assessment!I32</f>
        <v>0</v>
      </c>
      <c r="P983">
        <f>B15_Assessment!J32</f>
        <v>0</v>
      </c>
      <c r="Q983" t="str">
        <f t="shared" si="15"/>
        <v>15|25</v>
      </c>
    </row>
    <row r="984" spans="1:17" ht="6.45" customHeight="1">
      <c r="A984" t="s">
        <v>702</v>
      </c>
      <c r="B984">
        <v>26</v>
      </c>
      <c r="C984" t="s">
        <v>39</v>
      </c>
      <c r="D984">
        <v>33</v>
      </c>
      <c r="E984" t="s">
        <v>977</v>
      </c>
      <c r="F984" t="s">
        <v>5323</v>
      </c>
      <c r="G984" t="str">
        <f>B15_Assessment!A33</f>
        <v>Room</v>
      </c>
      <c r="H984" t="str">
        <f>B15_Assessment!B33</f>
        <v>UPS Installed</v>
      </c>
      <c r="I984" t="str">
        <f>B15_Assessment!C33</f>
        <v>UPS Size</v>
      </c>
      <c r="J984" t="str">
        <f>B15_Assessment!D33</f>
        <v>PDU Installed</v>
      </c>
      <c r="K984" t="str">
        <f>B15_Assessment!E33</f>
        <v>Rack Receptacles</v>
      </c>
      <c r="L984" t="str">
        <f>B15_Assessment!F33</f>
        <v>Panel Assigned</v>
      </c>
      <c r="M984" t="str">
        <f>B15_Assessment!G33</f>
        <v>Emergency Source</v>
      </c>
      <c r="N984" t="str">
        <f>B15_Assessment!H33</f>
        <v>SPD / Labeling</v>
      </c>
      <c r="O984" t="str">
        <f>B15_Assessment!I33</f>
        <v>Overall</v>
      </c>
      <c r="P984" t="str">
        <f>B15_Assessment!J33</f>
        <v>Notes</v>
      </c>
      <c r="Q984" t="str">
        <f t="shared" si="15"/>
        <v>15|26</v>
      </c>
    </row>
    <row r="985" spans="1:17" ht="6.45" customHeight="1">
      <c r="A985" t="s">
        <v>702</v>
      </c>
      <c r="B985">
        <v>27</v>
      </c>
      <c r="C985" t="s">
        <v>39</v>
      </c>
      <c r="D985">
        <v>34</v>
      </c>
      <c r="E985" t="s">
        <v>977</v>
      </c>
      <c r="F985" t="s">
        <v>5324</v>
      </c>
      <c r="G985" t="str">
        <f>B15_Assessment!A34</f>
        <v>124A</v>
      </c>
      <c r="H985" t="str">
        <f>B15_Assessment!B34</f>
        <v>Verify</v>
      </c>
      <c r="I985" t="str">
        <f>B15_Assessment!C34</f>
        <v>5 kW / 240V rack UPS</v>
      </c>
      <c r="J985" t="str">
        <f>B15_Assessment!D34</f>
        <v>Verify</v>
      </c>
      <c r="K985" t="str">
        <f>B15_Assessment!E34</f>
        <v>Verify</v>
      </c>
      <c r="L985" t="str">
        <f>B15_Assessment!F34</f>
        <v>B15-TR124AA / B15-TR124AB</v>
      </c>
      <c r="M985" t="str">
        <f>B15_Assessment!G34</f>
        <v>Verify</v>
      </c>
      <c r="N985" t="str">
        <f>B15_Assessment!H34</f>
        <v>Verify</v>
      </c>
      <c r="O985" t="str">
        <f>B15_Assessment!I34</f>
        <v>Verify</v>
      </c>
      <c r="P985" t="str">
        <f>B15_Assessment!J34</f>
        <v>Electrical enlarged plans and schedules identify B15-TR124AA/AB, 240V rack UPS requirements, normal/emergency rack power, rack receptacles, TR receptacles, lighting, CU-1-01, SPD requirements, and 30-day load measurement requirements.</v>
      </c>
      <c r="Q985" t="str">
        <f t="shared" si="15"/>
        <v>15|27</v>
      </c>
    </row>
    <row r="986" spans="1:17" ht="6.45" customHeight="1">
      <c r="A986" t="s">
        <v>702</v>
      </c>
      <c r="B986">
        <v>28</v>
      </c>
      <c r="C986" t="s">
        <v>39</v>
      </c>
      <c r="D986">
        <v>35</v>
      </c>
      <c r="E986" t="s">
        <v>977</v>
      </c>
      <c r="F986" t="s">
        <v>5324</v>
      </c>
      <c r="G986" t="str">
        <f>B15_Assessment!A35</f>
        <v>222</v>
      </c>
      <c r="H986" t="str">
        <f>B15_Assessment!B35</f>
        <v>Existing</v>
      </c>
      <c r="I986" t="str">
        <f>B15_Assessment!C35</f>
        <v>Existing floor UPS</v>
      </c>
      <c r="J986" t="str">
        <f>B15_Assessment!D35</f>
        <v>Existing</v>
      </c>
      <c r="K986" t="str">
        <f>B15_Assessment!E35</f>
        <v>Verify</v>
      </c>
      <c r="L986" t="str">
        <f>B15_Assessment!F35</f>
        <v>Existing / Verify</v>
      </c>
      <c r="M986" t="str">
        <f>B15_Assessment!G35</f>
        <v>Verify</v>
      </c>
      <c r="N986" t="str">
        <f>B15_Assessment!H35</f>
        <v>Verify</v>
      </c>
      <c r="O986" t="str">
        <f>B15_Assessment!I35</f>
        <v>Verify</v>
      </c>
      <c r="P986" t="str">
        <f>B15_Assessment!J35</f>
        <v>Existing rack/equipment area; verify power source, active equipment, APC floor UPS status, and transition requirements before disconnect or removal.</v>
      </c>
      <c r="Q986" t="str">
        <f t="shared" si="15"/>
        <v>15|28</v>
      </c>
    </row>
    <row r="987" spans="1:17" ht="6.45" customHeight="1">
      <c r="A987" t="s">
        <v>702</v>
      </c>
      <c r="B987">
        <v>29</v>
      </c>
      <c r="C987" t="s">
        <v>39</v>
      </c>
      <c r="D987">
        <v>36</v>
      </c>
      <c r="E987" t="s">
        <v>977</v>
      </c>
      <c r="F987" t="s">
        <v>5324</v>
      </c>
      <c r="G987" t="str">
        <f>B15_Assessment!A36</f>
        <v>B01</v>
      </c>
      <c r="H987" t="str">
        <f>B15_Assessment!B36</f>
        <v>Existing / Verify</v>
      </c>
      <c r="I987" t="str">
        <f>B15_Assessment!C36</f>
        <v>Existing / Verify</v>
      </c>
      <c r="J987" t="str">
        <f>B15_Assessment!D36</f>
        <v>Existing / Verify</v>
      </c>
      <c r="K987" t="str">
        <f>B15_Assessment!E36</f>
        <v>Verify</v>
      </c>
      <c r="L987" t="str">
        <f>B15_Assessment!F36</f>
        <v>Existing / Verify</v>
      </c>
      <c r="M987" t="str">
        <f>B15_Assessment!G36</f>
        <v>Verify</v>
      </c>
      <c r="N987" t="str">
        <f>B15_Assessment!H36</f>
        <v>Verify</v>
      </c>
      <c r="O987" t="str">
        <f>B15_Assessment!I36</f>
        <v>Verify</v>
      </c>
      <c r="P987" t="str">
        <f>B15_Assessment!J36</f>
        <v>Existing B-01 crossover; verify power sources and cutover needs for legacy patch panel/crossover.</v>
      </c>
      <c r="Q987" t="str">
        <f t="shared" si="15"/>
        <v>15|29</v>
      </c>
    </row>
    <row r="988" spans="1:17" ht="6.45" customHeight="1">
      <c r="A988" t="s">
        <v>702</v>
      </c>
      <c r="B988">
        <v>30</v>
      </c>
      <c r="C988" t="s">
        <v>39</v>
      </c>
      <c r="D988">
        <v>37</v>
      </c>
      <c r="E988" t="s">
        <v>977</v>
      </c>
      <c r="F988" t="s">
        <v>5325</v>
      </c>
      <c r="G988">
        <f>B15_Assessment!A37</f>
        <v>0</v>
      </c>
      <c r="H988">
        <f>B15_Assessment!B37</f>
        <v>0</v>
      </c>
      <c r="I988">
        <f>B15_Assessment!C37</f>
        <v>0</v>
      </c>
      <c r="J988">
        <f>B15_Assessment!D37</f>
        <v>0</v>
      </c>
      <c r="K988">
        <f>B15_Assessment!E37</f>
        <v>0</v>
      </c>
      <c r="L988">
        <f>B15_Assessment!F37</f>
        <v>0</v>
      </c>
      <c r="M988">
        <f>B15_Assessment!G37</f>
        <v>0</v>
      </c>
      <c r="N988">
        <f>B15_Assessment!H37</f>
        <v>0</v>
      </c>
      <c r="O988">
        <f>B15_Assessment!I37</f>
        <v>0</v>
      </c>
      <c r="P988">
        <f>B15_Assessment!J37</f>
        <v>0</v>
      </c>
      <c r="Q988" t="str">
        <f t="shared" si="15"/>
        <v>15|30</v>
      </c>
    </row>
    <row r="989" spans="1:17" ht="6.45" customHeight="1">
      <c r="A989" t="s">
        <v>702</v>
      </c>
      <c r="B989">
        <v>31</v>
      </c>
      <c r="C989" t="s">
        <v>39</v>
      </c>
      <c r="D989">
        <v>38</v>
      </c>
      <c r="E989" t="s">
        <v>994</v>
      </c>
      <c r="F989" t="s">
        <v>5322</v>
      </c>
      <c r="G989" t="str">
        <f>B15_Assessment!A38</f>
        <v>6. TELECOMMUNICATIONS</v>
      </c>
      <c r="H989">
        <f>B15_Assessment!B38</f>
        <v>0</v>
      </c>
      <c r="I989">
        <f>B15_Assessment!C38</f>
        <v>0</v>
      </c>
      <c r="J989">
        <f>B15_Assessment!D38</f>
        <v>0</v>
      </c>
      <c r="K989">
        <f>B15_Assessment!E38</f>
        <v>0</v>
      </c>
      <c r="L989">
        <f>B15_Assessment!F38</f>
        <v>0</v>
      </c>
      <c r="M989">
        <f>B15_Assessment!G38</f>
        <v>0</v>
      </c>
      <c r="N989">
        <f>B15_Assessment!H38</f>
        <v>0</v>
      </c>
      <c r="O989">
        <f>B15_Assessment!I38</f>
        <v>0</v>
      </c>
      <c r="P989">
        <f>B15_Assessment!J38</f>
        <v>0</v>
      </c>
      <c r="Q989" t="str">
        <f t="shared" si="15"/>
        <v>15|31</v>
      </c>
    </row>
    <row r="990" spans="1:17" ht="6.45" customHeight="1">
      <c r="A990" t="s">
        <v>702</v>
      </c>
      <c r="B990">
        <v>32</v>
      </c>
      <c r="C990" t="s">
        <v>39</v>
      </c>
      <c r="D990">
        <v>39</v>
      </c>
      <c r="E990" t="s">
        <v>994</v>
      </c>
      <c r="F990" t="s">
        <v>5323</v>
      </c>
      <c r="G990" t="str">
        <f>B15_Assessment!A39</f>
        <v>Room</v>
      </c>
      <c r="H990" t="str">
        <f>B15_Assessment!B39</f>
        <v>Rack Installed</v>
      </c>
      <c r="I990" t="str">
        <f>B15_Assessment!C39</f>
        <v>Ladder Tray</v>
      </c>
      <c r="J990" t="str">
        <f>B15_Assessment!D39</f>
        <v>Fiber Installed</v>
      </c>
      <c r="K990" t="str">
        <f>B15_Assessment!E39</f>
        <v>Grounding</v>
      </c>
      <c r="L990" t="str">
        <f>B15_Assessment!F39</f>
        <v>Labeling</v>
      </c>
      <c r="M990" t="str">
        <f>B15_Assessment!G39</f>
        <v>Testing</v>
      </c>
      <c r="N990" t="str">
        <f>B15_Assessment!H39</f>
        <v>VA Acceptance</v>
      </c>
      <c r="O990" t="str">
        <f>B15_Assessment!I39</f>
        <v>Overall</v>
      </c>
      <c r="P990" t="str">
        <f>B15_Assessment!J39</f>
        <v>Notes</v>
      </c>
      <c r="Q990" t="str">
        <f t="shared" si="15"/>
        <v>15|32</v>
      </c>
    </row>
    <row r="991" spans="1:17" ht="6.45" customHeight="1">
      <c r="A991" t="s">
        <v>702</v>
      </c>
      <c r="B991">
        <v>33</v>
      </c>
      <c r="C991" t="s">
        <v>39</v>
      </c>
      <c r="D991">
        <v>40</v>
      </c>
      <c r="E991" t="s">
        <v>994</v>
      </c>
      <c r="F991" t="s">
        <v>5324</v>
      </c>
      <c r="G991" t="str">
        <f>B15_Assessment!A40</f>
        <v>124A</v>
      </c>
      <c r="H991" t="str">
        <f>B15_Assessment!B40</f>
        <v>Verify</v>
      </c>
      <c r="I991" t="str">
        <f>B15_Assessment!C40</f>
        <v>Verify</v>
      </c>
      <c r="J991" t="str">
        <f>B15_Assessment!D40</f>
        <v>Verify</v>
      </c>
      <c r="K991" t="str">
        <f>B15_Assessment!E40</f>
        <v>Verify</v>
      </c>
      <c r="L991" t="str">
        <f>B15_Assessment!F40</f>
        <v>Verify</v>
      </c>
      <c r="M991" t="str">
        <f>B15_Assessment!G40</f>
        <v>Verify</v>
      </c>
      <c r="N991" t="str">
        <f>B15_Assessment!H40</f>
        <v>Verify</v>
      </c>
      <c r="O991" t="str">
        <f>B15_Assessment!I40</f>
        <v>Verify</v>
      </c>
      <c r="P991" t="str">
        <f>B15_Assessment!J40</f>
        <v>15T-701 identifies Room 109A schedule but field plan/electrical room callouts identify Telecom Room 124A; schedule has 62 WAO total, 76 active ports per survey, 101 total ports per schedule, and 111 total ports with 10% allowance. New Rack ID TR15-109A-01 serves basement, first and second level outlets.</v>
      </c>
      <c r="Q991" t="str">
        <f t="shared" si="15"/>
        <v>15|33</v>
      </c>
    </row>
    <row r="992" spans="1:17" ht="6.45" customHeight="1">
      <c r="A992" t="s">
        <v>702</v>
      </c>
      <c r="B992">
        <v>34</v>
      </c>
      <c r="C992" t="s">
        <v>39</v>
      </c>
      <c r="D992">
        <v>41</v>
      </c>
      <c r="E992" t="s">
        <v>994</v>
      </c>
      <c r="F992" t="s">
        <v>5324</v>
      </c>
      <c r="G992" t="str">
        <f>B15_Assessment!A41</f>
        <v>222</v>
      </c>
      <c r="H992" t="str">
        <f>B15_Assessment!B41</f>
        <v>Existing</v>
      </c>
      <c r="I992" t="str">
        <f>B15_Assessment!C41</f>
        <v>Existing</v>
      </c>
      <c r="J992" t="str">
        <f>B15_Assessment!D41</f>
        <v>Existing</v>
      </c>
      <c r="K992" t="str">
        <f>B15_Assessment!E41</f>
        <v>Verify</v>
      </c>
      <c r="L992" t="str">
        <f>B15_Assessment!F41</f>
        <v>Verify</v>
      </c>
      <c r="M992" t="str">
        <f>B15_Assessment!G41</f>
        <v>Verify</v>
      </c>
      <c r="N992" t="str">
        <f>B15_Assessment!H41</f>
        <v>Verify</v>
      </c>
      <c r="O992" t="str">
        <f>B15_Assessment!I41</f>
        <v>Verify</v>
      </c>
      <c r="P992" t="str">
        <f>B15_Assessment!J41</f>
        <v>Existing Room 222 equipment includes wall/wall-mounted TE, Cisco switches, legacy 48-port patch panels, ground bar, plywood backboard, security cabinet, and floor UPS; verify active services and transfer plan to Room 124A.</v>
      </c>
      <c r="Q992" t="str">
        <f t="shared" si="15"/>
        <v>15|34</v>
      </c>
    </row>
    <row r="993" spans="1:17" ht="6.45" customHeight="1">
      <c r="A993" t="s">
        <v>702</v>
      </c>
      <c r="B993">
        <v>35</v>
      </c>
      <c r="C993" t="s">
        <v>39</v>
      </c>
      <c r="D993">
        <v>42</v>
      </c>
      <c r="E993" t="s">
        <v>994</v>
      </c>
      <c r="F993" t="s">
        <v>5324</v>
      </c>
      <c r="G993" t="str">
        <f>B15_Assessment!A42</f>
        <v>B01</v>
      </c>
      <c r="H993" t="str">
        <f>B15_Assessment!B42</f>
        <v>Existing</v>
      </c>
      <c r="I993" t="str">
        <f>B15_Assessment!C42</f>
        <v>Existing</v>
      </c>
      <c r="J993" t="str">
        <f>B15_Assessment!D42</f>
        <v>Existing</v>
      </c>
      <c r="K993" t="str">
        <f>B15_Assessment!E42</f>
        <v>Verify</v>
      </c>
      <c r="L993" t="str">
        <f>B15_Assessment!F42</f>
        <v>Verify</v>
      </c>
      <c r="M993" t="str">
        <f>B15_Assessment!G42</f>
        <v>Verify</v>
      </c>
      <c r="N993" t="str">
        <f>B15_Assessment!H42</f>
        <v>Verify</v>
      </c>
      <c r="O993" t="str">
        <f>B15_Assessment!I42</f>
        <v>Verify</v>
      </c>
      <c r="P993" t="str">
        <f>B15_Assessment!J42</f>
        <v>Existing B-01 crossover includes legacy 24-port patch panel; verify active devices, routing, and relation to Room 222 and Room 124A.</v>
      </c>
      <c r="Q993" t="str">
        <f t="shared" si="15"/>
        <v>15|35</v>
      </c>
    </row>
    <row r="994" spans="1:17" ht="6.45" customHeight="1">
      <c r="A994" t="s">
        <v>702</v>
      </c>
      <c r="B994">
        <v>36</v>
      </c>
      <c r="C994" t="s">
        <v>39</v>
      </c>
      <c r="D994">
        <v>43</v>
      </c>
      <c r="E994" t="s">
        <v>994</v>
      </c>
      <c r="F994" t="s">
        <v>5325</v>
      </c>
      <c r="G994">
        <f>B15_Assessment!A43</f>
        <v>0</v>
      </c>
      <c r="H994">
        <f>B15_Assessment!B43</f>
        <v>0</v>
      </c>
      <c r="I994">
        <f>B15_Assessment!C43</f>
        <v>0</v>
      </c>
      <c r="J994">
        <f>B15_Assessment!D43</f>
        <v>0</v>
      </c>
      <c r="K994">
        <f>B15_Assessment!E43</f>
        <v>0</v>
      </c>
      <c r="L994">
        <f>B15_Assessment!F43</f>
        <v>0</v>
      </c>
      <c r="M994">
        <f>B15_Assessment!G43</f>
        <v>0</v>
      </c>
      <c r="N994">
        <f>B15_Assessment!H43</f>
        <v>0</v>
      </c>
      <c r="O994">
        <f>B15_Assessment!I43</f>
        <v>0</v>
      </c>
      <c r="P994">
        <f>B15_Assessment!J43</f>
        <v>0</v>
      </c>
      <c r="Q994" t="str">
        <f t="shared" si="15"/>
        <v>15|36</v>
      </c>
    </row>
    <row r="995" spans="1:17" ht="6.45" customHeight="1">
      <c r="A995" t="s">
        <v>702</v>
      </c>
      <c r="B995">
        <v>37</v>
      </c>
      <c r="C995" t="s">
        <v>39</v>
      </c>
      <c r="D995">
        <v>44</v>
      </c>
      <c r="E995" t="s">
        <v>1007</v>
      </c>
      <c r="F995" t="s">
        <v>5322</v>
      </c>
      <c r="G995" t="str">
        <f>B15_Assessment!A44</f>
        <v>7. SECURITY / PACS / CCTV</v>
      </c>
      <c r="H995">
        <f>B15_Assessment!B44</f>
        <v>0</v>
      </c>
      <c r="I995">
        <f>B15_Assessment!C44</f>
        <v>0</v>
      </c>
      <c r="J995">
        <f>B15_Assessment!D44</f>
        <v>0</v>
      </c>
      <c r="K995">
        <f>B15_Assessment!E44</f>
        <v>0</v>
      </c>
      <c r="L995">
        <f>B15_Assessment!F44</f>
        <v>0</v>
      </c>
      <c r="M995">
        <f>B15_Assessment!G44</f>
        <v>0</v>
      </c>
      <c r="N995">
        <f>B15_Assessment!H44</f>
        <v>0</v>
      </c>
      <c r="O995">
        <f>B15_Assessment!I44</f>
        <v>0</v>
      </c>
      <c r="P995">
        <f>B15_Assessment!J44</f>
        <v>0</v>
      </c>
      <c r="Q995" t="str">
        <f t="shared" si="15"/>
        <v>15|37</v>
      </c>
    </row>
    <row r="996" spans="1:17" ht="6.45" customHeight="1">
      <c r="A996" t="s">
        <v>702</v>
      </c>
      <c r="B996">
        <v>38</v>
      </c>
      <c r="C996" t="s">
        <v>39</v>
      </c>
      <c r="D996">
        <v>45</v>
      </c>
      <c r="E996" t="s">
        <v>1007</v>
      </c>
      <c r="F996" t="s">
        <v>5323</v>
      </c>
      <c r="G996" t="str">
        <f>B15_Assessment!A45</f>
        <v>Room</v>
      </c>
      <c r="H996" t="str">
        <f>B15_Assessment!B45</f>
        <v>PACS</v>
      </c>
      <c r="I996" t="str">
        <f>B15_Assessment!C45</f>
        <v>Card Reader</v>
      </c>
      <c r="J996" t="str">
        <f>B15_Assessment!D45</f>
        <v>Door Position</v>
      </c>
      <c r="K996" t="str">
        <f>B15_Assessment!E45</f>
        <v>Electric Strike</v>
      </c>
      <c r="L996" t="str">
        <f>B15_Assessment!F45</f>
        <v>CCTV</v>
      </c>
      <c r="M996" t="str">
        <f>B15_Assessment!G45</f>
        <v>Motion Sensor</v>
      </c>
      <c r="N996" t="str">
        <f>B15_Assessment!H45</f>
        <v>Integration</v>
      </c>
      <c r="O996" t="str">
        <f>B15_Assessment!I45</f>
        <v>Overall</v>
      </c>
      <c r="P996" t="str">
        <f>B15_Assessment!J45</f>
        <v>Notes</v>
      </c>
      <c r="Q996" t="str">
        <f t="shared" si="15"/>
        <v>15|38</v>
      </c>
    </row>
    <row r="997" spans="1:17" ht="6.45" customHeight="1">
      <c r="A997" t="s">
        <v>702</v>
      </c>
      <c r="B997">
        <v>39</v>
      </c>
      <c r="C997" t="s">
        <v>39</v>
      </c>
      <c r="D997">
        <v>46</v>
      </c>
      <c r="E997" t="s">
        <v>1007</v>
      </c>
      <c r="F997" t="s">
        <v>5324</v>
      </c>
      <c r="G997" t="str">
        <f>B15_Assessment!A46</f>
        <v>124A</v>
      </c>
      <c r="H997" t="str">
        <f>B15_Assessment!B46</f>
        <v>Verify</v>
      </c>
      <c r="I997" t="str">
        <f>B15_Assessment!C46</f>
        <v>Verify</v>
      </c>
      <c r="J997" t="str">
        <f>B15_Assessment!D46</f>
        <v>Verify</v>
      </c>
      <c r="K997" t="str">
        <f>B15_Assessment!E46</f>
        <v>Verify</v>
      </c>
      <c r="L997" t="str">
        <f>B15_Assessment!F46</f>
        <v>Verify</v>
      </c>
      <c r="M997" t="str">
        <f>B15_Assessment!G46</f>
        <v>Verify</v>
      </c>
      <c r="N997" t="str">
        <f>B15_Assessment!H46</f>
        <v>Verify</v>
      </c>
      <c r="O997" t="str">
        <f>B15_Assessment!I46</f>
        <v>Verify</v>
      </c>
      <c r="P997" t="str">
        <f>B15_Assessment!J46</f>
        <v>Telecom/electrical plans show 124A-CAM-1 and security/access-control scope for Room 124A; verify CR/RX/DC/ES/MD devices, controller, camera/VMS integration, and door hardware coordination.</v>
      </c>
      <c r="Q997" t="str">
        <f t="shared" si="15"/>
        <v>15|39</v>
      </c>
    </row>
    <row r="998" spans="1:17" ht="6.45" customHeight="1">
      <c r="A998" t="s">
        <v>702</v>
      </c>
      <c r="B998">
        <v>40</v>
      </c>
      <c r="C998" t="s">
        <v>39</v>
      </c>
      <c r="D998">
        <v>47</v>
      </c>
      <c r="E998" t="s">
        <v>1007</v>
      </c>
      <c r="F998" t="s">
        <v>5324</v>
      </c>
      <c r="G998" t="str">
        <f>B15_Assessment!A47</f>
        <v>222</v>
      </c>
      <c r="H998" t="str">
        <f>B15_Assessment!B47</f>
        <v>Verify</v>
      </c>
      <c r="I998" t="str">
        <f>B15_Assessment!C47</f>
        <v>Verify</v>
      </c>
      <c r="J998" t="str">
        <f>B15_Assessment!D47</f>
        <v>Verify</v>
      </c>
      <c r="K998" t="str">
        <f>B15_Assessment!E47</f>
        <v>Verify</v>
      </c>
      <c r="L998" t="str">
        <f>B15_Assessment!F47</f>
        <v>Verify</v>
      </c>
      <c r="M998" t="str">
        <f>B15_Assessment!G47</f>
        <v>Verify</v>
      </c>
      <c r="N998" t="str">
        <f>B15_Assessment!H47</f>
        <v>Verify</v>
      </c>
      <c r="O998" t="str">
        <f>B15_Assessment!I47</f>
        <v>Verify</v>
      </c>
      <c r="P998" t="str">
        <f>B15_Assessment!J47</f>
        <v>Existing security cabinet shown in Tel Room 222; verify whether security equipment remains, is relocated, or requires temporary protection during cutover.</v>
      </c>
      <c r="Q998" t="str">
        <f t="shared" si="15"/>
        <v>15|40</v>
      </c>
    </row>
    <row r="999" spans="1:17" ht="6.45" customHeight="1">
      <c r="A999" t="s">
        <v>702</v>
      </c>
      <c r="B999">
        <v>41</v>
      </c>
      <c r="C999" t="s">
        <v>39</v>
      </c>
      <c r="D999">
        <v>48</v>
      </c>
      <c r="E999" t="s">
        <v>1007</v>
      </c>
      <c r="F999" t="s">
        <v>5324</v>
      </c>
      <c r="G999" t="str">
        <f>B15_Assessment!A48</f>
        <v>B01</v>
      </c>
      <c r="H999" t="str">
        <f>B15_Assessment!B48</f>
        <v>Verify</v>
      </c>
      <c r="I999" t="str">
        <f>B15_Assessment!C48</f>
        <v>Verify</v>
      </c>
      <c r="J999" t="str">
        <f>B15_Assessment!D48</f>
        <v>Verify</v>
      </c>
      <c r="K999" t="str">
        <f>B15_Assessment!E48</f>
        <v>Verify</v>
      </c>
      <c r="L999" t="str">
        <f>B15_Assessment!F48</f>
        <v>Verify</v>
      </c>
      <c r="M999" t="str">
        <f>B15_Assessment!G48</f>
        <v>Verify</v>
      </c>
      <c r="N999" t="str">
        <f>B15_Assessment!H48</f>
        <v>Verify</v>
      </c>
      <c r="O999" t="str">
        <f>B15_Assessment!I48</f>
        <v>Verify</v>
      </c>
      <c r="P999" t="str">
        <f>B15_Assessment!J48</f>
        <v>Verify security/access conditions and whether any legacy security equipment is present.</v>
      </c>
      <c r="Q999" t="str">
        <f t="shared" si="15"/>
        <v>15|41</v>
      </c>
    </row>
    <row r="1000" spans="1:17" ht="6.45" customHeight="1">
      <c r="A1000" t="s">
        <v>702</v>
      </c>
      <c r="B1000">
        <v>42</v>
      </c>
      <c r="C1000" t="s">
        <v>39</v>
      </c>
      <c r="D1000">
        <v>49</v>
      </c>
      <c r="E1000" t="s">
        <v>1007</v>
      </c>
      <c r="F1000" t="s">
        <v>5325</v>
      </c>
      <c r="G1000">
        <f>B15_Assessment!A49</f>
        <v>0</v>
      </c>
      <c r="H1000">
        <f>B15_Assessment!B49</f>
        <v>0</v>
      </c>
      <c r="I1000">
        <f>B15_Assessment!C49</f>
        <v>0</v>
      </c>
      <c r="J1000">
        <f>B15_Assessment!D49</f>
        <v>0</v>
      </c>
      <c r="K1000">
        <f>B15_Assessment!E49</f>
        <v>0</v>
      </c>
      <c r="L1000">
        <f>B15_Assessment!F49</f>
        <v>0</v>
      </c>
      <c r="M1000">
        <f>B15_Assessment!G49</f>
        <v>0</v>
      </c>
      <c r="N1000">
        <f>B15_Assessment!H49</f>
        <v>0</v>
      </c>
      <c r="O1000">
        <f>B15_Assessment!I49</f>
        <v>0</v>
      </c>
      <c r="P1000">
        <f>B15_Assessment!J49</f>
        <v>0</v>
      </c>
      <c r="Q1000" t="str">
        <f t="shared" si="15"/>
        <v>15|42</v>
      </c>
    </row>
    <row r="1001" spans="1:17" ht="6.45" customHeight="1">
      <c r="A1001" t="s">
        <v>702</v>
      </c>
      <c r="B1001">
        <v>43</v>
      </c>
      <c r="C1001" t="s">
        <v>39</v>
      </c>
      <c r="D1001">
        <v>50</v>
      </c>
      <c r="E1001" t="s">
        <v>1019</v>
      </c>
      <c r="F1001" t="s">
        <v>5322</v>
      </c>
      <c r="G1001" t="str">
        <f>B15_Assessment!A50</f>
        <v>8. OWNER RISKS</v>
      </c>
      <c r="H1001">
        <f>B15_Assessment!B50</f>
        <v>0</v>
      </c>
      <c r="I1001">
        <f>B15_Assessment!C50</f>
        <v>0</v>
      </c>
      <c r="J1001">
        <f>B15_Assessment!D50</f>
        <v>0</v>
      </c>
      <c r="K1001">
        <f>B15_Assessment!E50</f>
        <v>0</v>
      </c>
      <c r="L1001">
        <f>B15_Assessment!F50</f>
        <v>0</v>
      </c>
      <c r="M1001">
        <f>B15_Assessment!G50</f>
        <v>0</v>
      </c>
      <c r="N1001">
        <f>B15_Assessment!H50</f>
        <v>0</v>
      </c>
      <c r="O1001">
        <f>B15_Assessment!I50</f>
        <v>0</v>
      </c>
      <c r="P1001">
        <f>B15_Assessment!J50</f>
        <v>0</v>
      </c>
      <c r="Q1001" t="str">
        <f t="shared" si="15"/>
        <v>15|43</v>
      </c>
    </row>
    <row r="1002" spans="1:17" ht="6.45" customHeight="1">
      <c r="A1002" t="s">
        <v>702</v>
      </c>
      <c r="B1002">
        <v>44</v>
      </c>
      <c r="C1002" t="s">
        <v>39</v>
      </c>
      <c r="D1002">
        <v>51</v>
      </c>
      <c r="E1002" t="s">
        <v>1019</v>
      </c>
      <c r="F1002" t="s">
        <v>5323</v>
      </c>
      <c r="G1002" t="str">
        <f>B15_Assessment!A51</f>
        <v>Risk ID</v>
      </c>
      <c r="H1002" t="str">
        <f>B15_Assessment!B51</f>
        <v>Room</v>
      </c>
      <c r="I1002" t="str">
        <f>B15_Assessment!C51</f>
        <v>Risk</v>
      </c>
      <c r="J1002" t="str">
        <f>B15_Assessment!D51</f>
        <v>Impact</v>
      </c>
      <c r="K1002" t="str">
        <f>B15_Assessment!E51</f>
        <v>Probability</v>
      </c>
      <c r="L1002" t="str">
        <f>B15_Assessment!F51</f>
        <v>Score</v>
      </c>
      <c r="M1002" t="str">
        <f>B15_Assessment!G51</f>
        <v>Mitigation</v>
      </c>
      <c r="N1002" t="str">
        <f>B15_Assessment!H51</f>
        <v>Owner</v>
      </c>
      <c r="O1002" t="str">
        <f>B15_Assessment!I51</f>
        <v>Status</v>
      </c>
      <c r="P1002" t="str">
        <f>B15_Assessment!J51</f>
        <v>Notes</v>
      </c>
      <c r="Q1002" t="str">
        <f t="shared" si="15"/>
        <v>15|44</v>
      </c>
    </row>
    <row r="1003" spans="1:17" ht="6.45" customHeight="1">
      <c r="A1003" t="s">
        <v>702</v>
      </c>
      <c r="B1003">
        <v>45</v>
      </c>
      <c r="C1003" t="s">
        <v>39</v>
      </c>
      <c r="D1003">
        <v>52</v>
      </c>
      <c r="E1003" t="s">
        <v>1019</v>
      </c>
      <c r="F1003" t="s">
        <v>5324</v>
      </c>
      <c r="G1003" t="str">
        <f>B15_Assessment!A52</f>
        <v>B15-R1</v>
      </c>
      <c r="H1003" t="str">
        <f>B15_Assessment!B52</f>
        <v>All</v>
      </c>
      <c r="I1003" t="str">
        <f>B15_Assessment!C52</f>
        <v>Existing conditions for Room 124A and existing telecom rooms 222/B01 not field verified</v>
      </c>
      <c r="J1003" t="str">
        <f>B15_Assessment!D52</f>
        <v>High</v>
      </c>
      <c r="K1003" t="str">
        <f>B15_Assessment!E52</f>
        <v>Medium</v>
      </c>
      <c r="L1003">
        <f>B15_Assessment!F52</f>
        <v>6</v>
      </c>
      <c r="M1003" t="str">
        <f>B15_Assessment!G52</f>
        <v>Perform existing conditions survey with photos before mobilization</v>
      </c>
      <c r="N1003" t="str">
        <f>B15_Assessment!H52</f>
        <v>GCC / Contractor</v>
      </c>
      <c r="O1003" t="str">
        <f>B15_Assessment!I52</f>
        <v>Closed</v>
      </c>
      <c r="P1003" t="str">
        <f>B15_Assessment!J52</f>
        <v>B15 includes new TR plus existing second-level and basement telecom transition points.</v>
      </c>
      <c r="Q1003" t="str">
        <f t="shared" si="15"/>
        <v>15|45</v>
      </c>
    </row>
    <row r="1004" spans="1:17" ht="6.45" customHeight="1">
      <c r="A1004" t="s">
        <v>702</v>
      </c>
      <c r="B1004">
        <v>46</v>
      </c>
      <c r="C1004" t="s">
        <v>39</v>
      </c>
      <c r="D1004">
        <v>53</v>
      </c>
      <c r="E1004" t="s">
        <v>1019</v>
      </c>
      <c r="F1004" t="s">
        <v>5324</v>
      </c>
      <c r="G1004" t="str">
        <f>B15_Assessment!A53</f>
        <v>B15-R2</v>
      </c>
      <c r="H1004" t="str">
        <f>B15_Assessment!B53</f>
        <v>124A</v>
      </c>
      <c r="I1004" t="str">
        <f>B15_Assessment!C53</f>
        <v>First-level hazardous material abatement plan exists</v>
      </c>
      <c r="J1004" t="str">
        <f>B15_Assessment!D53</f>
        <v>High</v>
      </c>
      <c r="K1004" t="str">
        <f>B15_Assessment!E53</f>
        <v>Medium</v>
      </c>
      <c r="L1004">
        <f>B15_Assessment!F53</f>
        <v>6</v>
      </c>
      <c r="M1004" t="str">
        <f>B15_Assessment!G53</f>
        <v>Coordinate IH/abatement review before wall, floor, ceiling, conduit, or penetration work</v>
      </c>
      <c r="N1004" t="str">
        <f>B15_Assessment!H53</f>
        <v>GC / IH / COR</v>
      </c>
      <c r="O1004" t="str">
        <f>B15_Assessment!I53</f>
        <v>Closed</v>
      </c>
      <c r="P1004" t="str">
        <f>B15_Assessment!J53</f>
        <v>Drawing index includes 15H-101 hazardous material abatement plan - first level; page 6 notes lead-based paint abatement through entire room/door frames.</v>
      </c>
      <c r="Q1004" t="str">
        <f t="shared" si="15"/>
        <v>15|46</v>
      </c>
    </row>
    <row r="1005" spans="1:17" ht="6.45" customHeight="1">
      <c r="A1005" t="s">
        <v>702</v>
      </c>
      <c r="B1005">
        <v>47</v>
      </c>
      <c r="C1005" t="s">
        <v>39</v>
      </c>
      <c r="D1005">
        <v>54</v>
      </c>
      <c r="E1005" t="s">
        <v>1019</v>
      </c>
      <c r="F1005" t="s">
        <v>5324</v>
      </c>
      <c r="G1005" t="str">
        <f>B15_Assessment!A54</f>
        <v>B15-R3</v>
      </c>
      <c r="H1005" t="str">
        <f>B15_Assessment!B54</f>
        <v>222/B01</v>
      </c>
      <c r="I1005" t="str">
        <f>B15_Assessment!C54</f>
        <v>Existing telecom equipment may remain active during cutover</v>
      </c>
      <c r="J1005" t="str">
        <f>B15_Assessment!D54</f>
        <v>Critical</v>
      </c>
      <c r="K1005" t="str">
        <f>B15_Assessment!E54</f>
        <v>Medium</v>
      </c>
      <c r="L1005">
        <f>B15_Assessment!F54</f>
        <v>8</v>
      </c>
      <c r="M1005" t="str">
        <f>B15_Assessment!G54</f>
        <v>Document active services, protect in place, identify owner/OIT cutover windows, and preserve rollback path</v>
      </c>
      <c r="N1005" t="str">
        <f>B15_Assessment!H54</f>
        <v>Telecom / OIT</v>
      </c>
      <c r="O1005" t="str">
        <f>B15_Assessment!I54</f>
        <v>Closed</v>
      </c>
      <c r="P1005" t="str">
        <f>B15_Assessment!J54</f>
        <v>Existing wall-mounted rack, Cisco switches, patch panels, security cabinet, ground bar and UPS shown.</v>
      </c>
      <c r="Q1005" t="str">
        <f t="shared" si="15"/>
        <v>15|47</v>
      </c>
    </row>
    <row r="1006" spans="1:17" ht="6.45" customHeight="1">
      <c r="A1006" t="s">
        <v>702</v>
      </c>
      <c r="B1006">
        <v>48</v>
      </c>
      <c r="C1006" t="s">
        <v>39</v>
      </c>
      <c r="D1006">
        <v>55</v>
      </c>
      <c r="E1006" t="s">
        <v>1019</v>
      </c>
      <c r="F1006" t="s">
        <v>5324</v>
      </c>
      <c r="G1006" t="str">
        <f>B15_Assessment!A55</f>
        <v>B15-R4</v>
      </c>
      <c r="H1006" t="str">
        <f>B15_Assessment!B55</f>
        <v>124A</v>
      </c>
      <c r="I1006" t="str">
        <f>B15_Assessment!C55</f>
        <v>Dedicated cooling emergency power, condensate, BACnet and alarms not verified</v>
      </c>
      <c r="J1006" t="str">
        <f>B15_Assessment!D55</f>
        <v>Critical</v>
      </c>
      <c r="K1006" t="str">
        <f>B15_Assessment!E55</f>
        <v>Medium</v>
      </c>
      <c r="L1006">
        <f>B15_Assessment!F55</f>
        <v>8</v>
      </c>
      <c r="M1006" t="str">
        <f>B15_Assessment!G55</f>
        <v>Confirm IU-1-01/CU-1-01 power source, condensate route, controls, BACnet adapter, thermostat and high-temp alarm</v>
      </c>
      <c r="N1006" t="str">
        <f>B15_Assessment!H55</f>
        <v>Mechanical / Electrical</v>
      </c>
      <c r="O1006" t="str">
        <f>B15_Assessment!I55</f>
        <v>Closed</v>
      </c>
      <c r="P1006" t="str">
        <f>B15_Assessment!J55</f>
        <v>Cooling is central to TR readiness.</v>
      </c>
      <c r="Q1006" t="str">
        <f t="shared" si="15"/>
        <v>15|48</v>
      </c>
    </row>
    <row r="1007" spans="1:17" ht="6.45" customHeight="1">
      <c r="A1007" t="s">
        <v>702</v>
      </c>
      <c r="B1007">
        <v>49</v>
      </c>
      <c r="C1007" t="s">
        <v>39</v>
      </c>
      <c r="D1007">
        <v>56</v>
      </c>
      <c r="E1007" t="s">
        <v>1019</v>
      </c>
      <c r="F1007" t="s">
        <v>5324</v>
      </c>
      <c r="G1007" t="str">
        <f>B15_Assessment!A56</f>
        <v>B15-R5</v>
      </c>
      <c r="H1007" t="str">
        <f>B15_Assessment!B56</f>
        <v>124A</v>
      </c>
      <c r="I1007" t="str">
        <f>B15_Assessment!C56</f>
        <v>240V UPS/PDU and panel source coordination could delay energization</v>
      </c>
      <c r="J1007" t="str">
        <f>B15_Assessment!D56</f>
        <v>High</v>
      </c>
      <c r="K1007" t="str">
        <f>B15_Assessment!E56</f>
        <v>Medium</v>
      </c>
      <c r="L1007">
        <f>B15_Assessment!F56</f>
        <v>6</v>
      </c>
      <c r="M1007" t="str">
        <f>B15_Assessment!G56</f>
        <v>Verify B15-TR124AA/AB schedules, breakers, receptacles, SPD, labels, load measurement, normal/emergency source and LOTO needs</v>
      </c>
      <c r="N1007" t="str">
        <f>B15_Assessment!H56</f>
        <v>Electrical / GCC</v>
      </c>
      <c r="O1007" t="str">
        <f>B15_Assessment!I56</f>
        <v>Closed</v>
      </c>
      <c r="P1007" t="str">
        <f>B15_Assessment!J56</f>
        <v>Panel and circuit references are concentrated at Room 124A.</v>
      </c>
      <c r="Q1007" t="str">
        <f t="shared" si="15"/>
        <v>15|49</v>
      </c>
    </row>
    <row r="1008" spans="1:17" ht="6.45" customHeight="1">
      <c r="A1008" t="s">
        <v>702</v>
      </c>
      <c r="B1008">
        <v>50</v>
      </c>
      <c r="C1008" t="s">
        <v>39</v>
      </c>
      <c r="D1008">
        <v>57</v>
      </c>
      <c r="E1008" t="s">
        <v>1019</v>
      </c>
      <c r="F1008" t="s">
        <v>5324</v>
      </c>
      <c r="G1008" t="str">
        <f>B15_Assessment!A57</f>
        <v>B15-R6</v>
      </c>
      <c r="H1008" t="str">
        <f>B15_Assessment!B57</f>
        <v>124A</v>
      </c>
      <c r="I1008" t="str">
        <f>B15_Assessment!C57</f>
        <v>Rated wall/door/firestop scope may affect life-safety acceptance</v>
      </c>
      <c r="J1008" t="str">
        <f>B15_Assessment!D57</f>
        <v>High</v>
      </c>
      <c r="K1008" t="str">
        <f>B15_Assessment!E57</f>
        <v>Medium</v>
      </c>
      <c r="L1008">
        <f>B15_Assessment!F57</f>
        <v>6</v>
      </c>
      <c r="M1008" t="str">
        <f>B15_Assessment!G57</f>
        <v>Inspect 1-hour wall/smoke barrier conditions, rated door/frame, penetrations, FEC location, temporary firestopping and final UL systems</v>
      </c>
      <c r="N1008" t="str">
        <f>B15_Assessment!H57</f>
        <v>GC / FP / FA</v>
      </c>
      <c r="O1008" t="str">
        <f>B15_Assessment!I57</f>
        <v>Closed</v>
      </c>
      <c r="P1008" t="str">
        <f>B15_Assessment!J57</f>
        <v>New TRs must be 1-hour fire/smoke rated.</v>
      </c>
      <c r="Q1008" t="str">
        <f t="shared" si="15"/>
        <v>15|50</v>
      </c>
    </row>
    <row r="1009" spans="1:17" ht="6.45" customHeight="1">
      <c r="A1009" t="s">
        <v>702</v>
      </c>
      <c r="B1009">
        <v>51</v>
      </c>
      <c r="C1009" t="s">
        <v>39</v>
      </c>
      <c r="D1009">
        <v>58</v>
      </c>
      <c r="E1009" t="s">
        <v>1019</v>
      </c>
      <c r="F1009" t="s">
        <v>5324</v>
      </c>
      <c r="G1009" t="str">
        <f>B15_Assessment!A58</f>
        <v>B15-R7</v>
      </c>
      <c r="H1009" t="str">
        <f>B15_Assessment!B58</f>
        <v>All</v>
      </c>
      <c r="I1009" t="str">
        <f>B15_Assessment!C58</f>
        <v>Telecom/fiber cutover could affect active hospital communications across basement, first and second levels</v>
      </c>
      <c r="J1009" t="str">
        <f>B15_Assessment!D58</f>
        <v>Critical</v>
      </c>
      <c r="K1009" t="str">
        <f>B15_Assessment!E58</f>
        <v>Medium</v>
      </c>
      <c r="L1009">
        <f>B15_Assessment!F58</f>
        <v>8</v>
      </c>
      <c r="M1009" t="str">
        <f>B15_Assessment!G58</f>
        <v>Require cutover plan, test records, labels, as-builts, OIT coordination and VA acceptance before active connection</v>
      </c>
      <c r="N1009" t="str">
        <f>B15_Assessment!H58</f>
        <v>Telecom / OIT</v>
      </c>
      <c r="O1009" t="str">
        <f>B15_Assessment!I58</f>
        <v>Closed</v>
      </c>
      <c r="P1009" t="str">
        <f>B15_Assessment!J58</f>
        <v>15T-701 shows Room 124A/109A serving 111 total ports including allowance.</v>
      </c>
      <c r="Q1009" t="str">
        <f t="shared" si="15"/>
        <v>15|51</v>
      </c>
    </row>
    <row r="1010" spans="1:17" ht="6.45" customHeight="1">
      <c r="A1010" t="s">
        <v>702</v>
      </c>
      <c r="B1010">
        <v>52</v>
      </c>
      <c r="C1010" t="s">
        <v>39</v>
      </c>
      <c r="D1010">
        <v>59</v>
      </c>
      <c r="E1010" t="s">
        <v>1019</v>
      </c>
      <c r="F1010" t="s">
        <v>5324</v>
      </c>
      <c r="G1010" t="str">
        <f>B15_Assessment!A59</f>
        <v>B15-R8</v>
      </c>
      <c r="H1010" t="str">
        <f>B15_Assessment!B59</f>
        <v>All</v>
      </c>
      <c r="I1010" t="str">
        <f>B15_Assessment!C59</f>
        <v>Commissioning/third-party inspection reports may not be complete at turnover</v>
      </c>
      <c r="J1010" t="str">
        <f>B15_Assessment!D59</f>
        <v>High</v>
      </c>
      <c r="K1010" t="str">
        <f>B15_Assessment!E59</f>
        <v>Medium</v>
      </c>
      <c r="L1010">
        <f>B15_Assessment!F59</f>
        <v>6</v>
      </c>
      <c r="M1010" t="str">
        <f>B15_Assessment!G59</f>
        <v>Track commissioning, inspections, fire alarm/sprinkler acceptance, power verification, cabling test records, labels and as-builts</v>
      </c>
      <c r="N1010" t="str">
        <f>B15_Assessment!H59</f>
        <v>GC / Cx Manager</v>
      </c>
      <c r="O1010" t="str">
        <f>B15_Assessment!I59</f>
        <v>Closed</v>
      </c>
      <c r="P1010" t="str">
        <f>B15_Assessment!J59</f>
        <v>Required by cover/general notes.</v>
      </c>
      <c r="Q1010" t="str">
        <f t="shared" si="15"/>
        <v>15|52</v>
      </c>
    </row>
    <row r="1011" spans="1:17" ht="6.45" customHeight="1">
      <c r="A1011" t="s">
        <v>702</v>
      </c>
      <c r="B1011">
        <v>53</v>
      </c>
      <c r="C1011" t="s">
        <v>39</v>
      </c>
      <c r="D1011">
        <v>60</v>
      </c>
      <c r="E1011" t="s">
        <v>1019</v>
      </c>
      <c r="F1011" t="s">
        <v>5325</v>
      </c>
      <c r="G1011">
        <f>B15_Assessment!A60</f>
        <v>0</v>
      </c>
      <c r="H1011">
        <f>B15_Assessment!B60</f>
        <v>0</v>
      </c>
      <c r="I1011">
        <f>B15_Assessment!C60</f>
        <v>0</v>
      </c>
      <c r="J1011">
        <f>B15_Assessment!D60</f>
        <v>0</v>
      </c>
      <c r="K1011">
        <f>B15_Assessment!E60</f>
        <v>0</v>
      </c>
      <c r="L1011">
        <f>B15_Assessment!F60</f>
        <v>0</v>
      </c>
      <c r="M1011">
        <f>B15_Assessment!G60</f>
        <v>0</v>
      </c>
      <c r="N1011">
        <f>B15_Assessment!H60</f>
        <v>0</v>
      </c>
      <c r="O1011">
        <f>B15_Assessment!I60</f>
        <v>0</v>
      </c>
      <c r="P1011">
        <f>B15_Assessment!J60</f>
        <v>0</v>
      </c>
      <c r="Q1011" t="str">
        <f t="shared" si="15"/>
        <v>15|53</v>
      </c>
    </row>
    <row r="1012" spans="1:17" ht="6.45" customHeight="1">
      <c r="A1012" t="s">
        <v>702</v>
      </c>
      <c r="B1012">
        <v>54</v>
      </c>
      <c r="C1012" t="s">
        <v>39</v>
      </c>
      <c r="D1012">
        <v>61</v>
      </c>
      <c r="E1012" t="s">
        <v>1051</v>
      </c>
      <c r="F1012" t="s">
        <v>5322</v>
      </c>
      <c r="G1012" t="str">
        <f>B15_Assessment!A61</f>
        <v>9. OPEN QUESTIONS</v>
      </c>
      <c r="H1012">
        <f>B15_Assessment!B61</f>
        <v>0</v>
      </c>
      <c r="I1012">
        <f>B15_Assessment!C61</f>
        <v>0</v>
      </c>
      <c r="J1012">
        <f>B15_Assessment!D61</f>
        <v>0</v>
      </c>
      <c r="K1012">
        <f>B15_Assessment!E61</f>
        <v>0</v>
      </c>
      <c r="L1012">
        <f>B15_Assessment!F61</f>
        <v>0</v>
      </c>
      <c r="M1012">
        <f>B15_Assessment!G61</f>
        <v>0</v>
      </c>
      <c r="N1012">
        <f>B15_Assessment!H61</f>
        <v>0</v>
      </c>
      <c r="O1012">
        <f>B15_Assessment!I61</f>
        <v>0</v>
      </c>
      <c r="P1012">
        <f>B15_Assessment!J61</f>
        <v>0</v>
      </c>
      <c r="Q1012" t="str">
        <f t="shared" si="15"/>
        <v>15|54</v>
      </c>
    </row>
    <row r="1013" spans="1:17" ht="6.45" customHeight="1">
      <c r="A1013" t="s">
        <v>702</v>
      </c>
      <c r="B1013">
        <v>55</v>
      </c>
      <c r="C1013" t="s">
        <v>39</v>
      </c>
      <c r="D1013">
        <v>62</v>
      </c>
      <c r="E1013" t="s">
        <v>1051</v>
      </c>
      <c r="F1013" t="s">
        <v>5323</v>
      </c>
      <c r="G1013" t="str">
        <f>B15_Assessment!A62</f>
        <v>Question ID</v>
      </c>
      <c r="H1013" t="str">
        <f>B15_Assessment!B62</f>
        <v>Question</v>
      </c>
      <c r="I1013" t="str">
        <f>B15_Assessment!C62</f>
        <v>Assigned To</v>
      </c>
      <c r="J1013" t="str">
        <f>B15_Assessment!D62</f>
        <v>Status</v>
      </c>
      <c r="K1013" t="str">
        <f>B15_Assessment!E62</f>
        <v>Needed By</v>
      </c>
      <c r="L1013" t="str">
        <f>B15_Assessment!F62</f>
        <v>Answer / Resolution</v>
      </c>
      <c r="M1013" t="str">
        <f>B15_Assessment!G62</f>
        <v>Impact if Unanswered</v>
      </c>
      <c r="N1013" t="str">
        <f>B15_Assessment!H62</f>
        <v>Follow-up</v>
      </c>
      <c r="O1013" t="str">
        <f>B15_Assessment!I62</f>
        <v>Date Closed</v>
      </c>
      <c r="P1013" t="str">
        <f>B15_Assessment!J62</f>
        <v>Notes</v>
      </c>
      <c r="Q1013" t="str">
        <f t="shared" si="15"/>
        <v>15|55</v>
      </c>
    </row>
    <row r="1014" spans="1:17" ht="6.45" customHeight="1">
      <c r="A1014" t="s">
        <v>702</v>
      </c>
      <c r="B1014">
        <v>56</v>
      </c>
      <c r="C1014" t="s">
        <v>39</v>
      </c>
      <c r="D1014">
        <v>63</v>
      </c>
      <c r="E1014" t="s">
        <v>1051</v>
      </c>
      <c r="F1014" t="s">
        <v>5324</v>
      </c>
      <c r="G1014" t="str">
        <f>B15_Assessment!A63</f>
        <v>B15-Q1</v>
      </c>
      <c r="H1014" t="str">
        <f>B15_Assessment!B63</f>
        <v>Confirm final telecom scope: new Room 124A and existing Rooms 222/B01 transition only?</v>
      </c>
      <c r="I1014" t="str">
        <f>B15_Assessment!C63</f>
        <v>VA / OIT / Designer</v>
      </c>
      <c r="J1014" t="str">
        <f>B15_Assessment!D63</f>
        <v>Closed</v>
      </c>
      <c r="K1014">
        <f>B15_Assessment!E63</f>
        <v>0</v>
      </c>
      <c r="L1014">
        <f>B15_Assessment!F63</f>
        <v>0</v>
      </c>
      <c r="M1014" t="str">
        <f>B15_Assessment!G63</f>
        <v>Room inventory could miss scope</v>
      </c>
      <c r="N1014">
        <f>B15_Assessment!H63</f>
        <v>0</v>
      </c>
      <c r="O1014">
        <f>B15_Assessment!I63</f>
        <v>0</v>
      </c>
      <c r="P1014">
        <f>B15_Assessment!J63</f>
        <v>0</v>
      </c>
      <c r="Q1014" t="str">
        <f t="shared" si="15"/>
        <v>15|56</v>
      </c>
    </row>
    <row r="1015" spans="1:17" ht="6.45" customHeight="1">
      <c r="A1015" t="s">
        <v>702</v>
      </c>
      <c r="B1015">
        <v>57</v>
      </c>
      <c r="C1015" t="s">
        <v>39</v>
      </c>
      <c r="D1015">
        <v>64</v>
      </c>
      <c r="E1015" t="s">
        <v>1051</v>
      </c>
      <c r="F1015" t="s">
        <v>5324</v>
      </c>
      <c r="G1015" t="str">
        <f>B15_Assessment!A64</f>
        <v>B15-Q2</v>
      </c>
      <c r="H1015" t="str">
        <f>B15_Assessment!B64</f>
        <v>Why does 15T-701 reference RM 109A while plans and electrical schedules identify Telecom Room 124A?</v>
      </c>
      <c r="I1015" t="str">
        <f>B15_Assessment!C64</f>
        <v>VA / Designer / OIT</v>
      </c>
      <c r="J1015" t="str">
        <f>B15_Assessment!D64</f>
        <v>Closed</v>
      </c>
      <c r="K1015">
        <f>B15_Assessment!E64</f>
        <v>0</v>
      </c>
      <c r="L1015">
        <f>B15_Assessment!F64</f>
        <v>0</v>
      </c>
      <c r="M1015" t="str">
        <f>B15_Assessment!G64</f>
        <v>Room naming mismatch could affect PMIS tracking</v>
      </c>
      <c r="N1015">
        <f>B15_Assessment!H64</f>
        <v>0</v>
      </c>
      <c r="O1015">
        <f>B15_Assessment!I64</f>
        <v>0</v>
      </c>
      <c r="P1015">
        <f>B15_Assessment!J64</f>
        <v>0</v>
      </c>
      <c r="Q1015" t="str">
        <f t="shared" si="15"/>
        <v>15|57</v>
      </c>
    </row>
    <row r="1016" spans="1:17" ht="6.45" customHeight="1">
      <c r="A1016" t="s">
        <v>702</v>
      </c>
      <c r="B1016">
        <v>58</v>
      </c>
      <c r="C1016" t="s">
        <v>39</v>
      </c>
      <c r="D1016">
        <v>65</v>
      </c>
      <c r="E1016" t="s">
        <v>1051</v>
      </c>
      <c r="F1016" t="s">
        <v>5324</v>
      </c>
      <c r="G1016" t="str">
        <f>B15_Assessment!A65</f>
        <v>B15-Q3</v>
      </c>
      <c r="H1016" t="str">
        <f>B15_Assessment!B65</f>
        <v>What active services are currently fed from existing Room 222 and B01 equipment?</v>
      </c>
      <c r="I1016" t="str">
        <f>B15_Assessment!C65</f>
        <v>OIT / Contractor</v>
      </c>
      <c r="J1016" t="str">
        <f>B15_Assessment!D65</f>
        <v>Closed</v>
      </c>
      <c r="K1016">
        <f>B15_Assessment!E65</f>
        <v>0</v>
      </c>
      <c r="L1016">
        <f>B15_Assessment!F65</f>
        <v>0</v>
      </c>
      <c r="M1016" t="str">
        <f>B15_Assessment!G65</f>
        <v>Potential communications/security outage</v>
      </c>
      <c r="N1016">
        <f>B15_Assessment!H65</f>
        <v>0</v>
      </c>
      <c r="O1016">
        <f>B15_Assessment!I65</f>
        <v>0</v>
      </c>
      <c r="P1016">
        <f>B15_Assessment!J65</f>
        <v>0</v>
      </c>
      <c r="Q1016" t="str">
        <f t="shared" si="15"/>
        <v>15|58</v>
      </c>
    </row>
    <row r="1017" spans="1:17" ht="6.45" customHeight="1">
      <c r="A1017" t="s">
        <v>702</v>
      </c>
      <c r="B1017">
        <v>59</v>
      </c>
      <c r="C1017" t="s">
        <v>39</v>
      </c>
      <c r="D1017">
        <v>66</v>
      </c>
      <c r="E1017" t="s">
        <v>1051</v>
      </c>
      <c r="F1017" t="s">
        <v>5324</v>
      </c>
      <c r="G1017" t="str">
        <f>B15_Assessment!A66</f>
        <v>B15-Q4</v>
      </c>
      <c r="H1017" t="str">
        <f>B15_Assessment!B66</f>
        <v>What hazardous/abatement steps apply to first-level Room 124A work?</v>
      </c>
      <c r="I1017" t="str">
        <f>B15_Assessment!C66</f>
        <v>GC / IH / COR</v>
      </c>
      <c r="J1017" t="str">
        <f>B15_Assessment!D66</f>
        <v>Closed</v>
      </c>
      <c r="K1017">
        <f>B15_Assessment!E66</f>
        <v>0</v>
      </c>
      <c r="L1017">
        <f>B15_Assessment!F66</f>
        <v>0</v>
      </c>
      <c r="M1017" t="str">
        <f>B15_Assessment!G66</f>
        <v>Work delay or exposure risk</v>
      </c>
      <c r="N1017">
        <f>B15_Assessment!H66</f>
        <v>0</v>
      </c>
      <c r="O1017">
        <f>B15_Assessment!I66</f>
        <v>0</v>
      </c>
      <c r="P1017">
        <f>B15_Assessment!J66</f>
        <v>0</v>
      </c>
      <c r="Q1017" t="str">
        <f t="shared" si="15"/>
        <v>15|59</v>
      </c>
    </row>
    <row r="1018" spans="1:17" ht="6.45" customHeight="1">
      <c r="A1018" t="s">
        <v>702</v>
      </c>
      <c r="B1018">
        <v>60</v>
      </c>
      <c r="C1018" t="s">
        <v>39</v>
      </c>
      <c r="D1018">
        <v>67</v>
      </c>
      <c r="E1018" t="s">
        <v>1051</v>
      </c>
      <c r="F1018" t="s">
        <v>5324</v>
      </c>
      <c r="G1018" t="str">
        <f>B15_Assessment!A67</f>
        <v>B15-Q5</v>
      </c>
      <c r="H1018" t="str">
        <f>B15_Assessment!B67</f>
        <v>Is IU-1-01/CU-1-01 on emergency/backup power and dedicated to Room 124A?</v>
      </c>
      <c r="I1018" t="str">
        <f>B15_Assessment!C67</f>
        <v>Mechanical / Electrical / VA</v>
      </c>
      <c r="J1018" t="str">
        <f>B15_Assessment!D67</f>
        <v>Closed</v>
      </c>
      <c r="K1018">
        <f>B15_Assessment!E67</f>
        <v>0</v>
      </c>
      <c r="L1018">
        <f>B15_Assessment!F67</f>
        <v>0</v>
      </c>
      <c r="M1018" t="str">
        <f>B15_Assessment!G67</f>
        <v>Cooling continuity unclear</v>
      </c>
      <c r="N1018">
        <f>B15_Assessment!H67</f>
        <v>0</v>
      </c>
      <c r="O1018">
        <f>B15_Assessment!I67</f>
        <v>0</v>
      </c>
      <c r="P1018">
        <f>B15_Assessment!J67</f>
        <v>0</v>
      </c>
      <c r="Q1018" t="str">
        <f t="shared" si="15"/>
        <v>15|60</v>
      </c>
    </row>
    <row r="1019" spans="1:17" ht="6.45" customHeight="1">
      <c r="A1019" t="s">
        <v>702</v>
      </c>
      <c r="B1019">
        <v>61</v>
      </c>
      <c r="C1019" t="s">
        <v>39</v>
      </c>
      <c r="D1019">
        <v>68</v>
      </c>
      <c r="E1019" t="s">
        <v>1051</v>
      </c>
      <c r="F1019" t="s">
        <v>5324</v>
      </c>
      <c r="G1019" t="str">
        <f>B15_Assessment!A68</f>
        <v>B15-Q6</v>
      </c>
      <c r="H1019" t="str">
        <f>B15_Assessment!B68</f>
        <v>Where is the clean-agent/CO2 extinguisher cabinet located within 75 ft of Room 124A?</v>
      </c>
      <c r="I1019" t="str">
        <f>B15_Assessment!C68</f>
        <v>GC / COR</v>
      </c>
      <c r="J1019" t="str">
        <f>B15_Assessment!D68</f>
        <v>Closed</v>
      </c>
      <c r="K1019">
        <f>B15_Assessment!E68</f>
        <v>0</v>
      </c>
      <c r="L1019">
        <f>B15_Assessment!F68</f>
        <v>0</v>
      </c>
      <c r="M1019" t="str">
        <f>B15_Assessment!G68</f>
        <v>Life-safety acceptance risk</v>
      </c>
      <c r="N1019">
        <f>B15_Assessment!H68</f>
        <v>0</v>
      </c>
      <c r="O1019">
        <f>B15_Assessment!I68</f>
        <v>0</v>
      </c>
      <c r="P1019">
        <f>B15_Assessment!J68</f>
        <v>0</v>
      </c>
      <c r="Q1019" t="str">
        <f t="shared" si="15"/>
        <v>15|61</v>
      </c>
    </row>
    <row r="1020" spans="1:17" ht="6.45" customHeight="1">
      <c r="A1020" t="s">
        <v>702</v>
      </c>
      <c r="B1020">
        <v>62</v>
      </c>
      <c r="C1020" t="s">
        <v>39</v>
      </c>
      <c r="D1020">
        <v>69</v>
      </c>
      <c r="E1020" t="s">
        <v>1051</v>
      </c>
      <c r="F1020" t="s">
        <v>5324</v>
      </c>
      <c r="G1020" t="str">
        <f>B15_Assessment!A69</f>
        <v>B15-Q7</v>
      </c>
      <c r="H1020" t="str">
        <f>B15_Assessment!B69</f>
        <v>Are B15-TR124AA/AB sources, rack receptacles, SPDs, circuit labels and load measurements approved?</v>
      </c>
      <c r="I1020" t="str">
        <f>B15_Assessment!C69</f>
        <v>Electrical / Designer</v>
      </c>
      <c r="J1020" t="str">
        <f>B15_Assessment!D69</f>
        <v>Closed</v>
      </c>
      <c r="K1020">
        <f>B15_Assessment!E69</f>
        <v>0</v>
      </c>
      <c r="L1020">
        <f>B15_Assessment!F69</f>
        <v>0</v>
      </c>
      <c r="M1020" t="str">
        <f>B15_Assessment!G69</f>
        <v>Electrical readiness unknown</v>
      </c>
      <c r="N1020">
        <f>B15_Assessment!H69</f>
        <v>0</v>
      </c>
      <c r="O1020">
        <f>B15_Assessment!I69</f>
        <v>0</v>
      </c>
      <c r="P1020">
        <f>B15_Assessment!J69</f>
        <v>0</v>
      </c>
      <c r="Q1020" t="str">
        <f t="shared" si="15"/>
        <v>15|62</v>
      </c>
    </row>
    <row r="1021" spans="1:17" ht="6.45" customHeight="1">
      <c r="A1021" t="s">
        <v>702</v>
      </c>
      <c r="B1021">
        <v>63</v>
      </c>
      <c r="C1021" t="s">
        <v>39</v>
      </c>
      <c r="D1021">
        <v>70</v>
      </c>
      <c r="E1021" t="s">
        <v>1051</v>
      </c>
      <c r="F1021" t="s">
        <v>5324</v>
      </c>
      <c r="G1021" t="str">
        <f>B15_Assessment!A70</f>
        <v>B15-Q8</v>
      </c>
      <c r="H1021" t="str">
        <f>B15_Assessment!B70</f>
        <v>Are all rated wall/floor penetrations, sleeves, cable tray entries and firestopping details identified?</v>
      </c>
      <c r="I1021" t="str">
        <f>B15_Assessment!C70</f>
        <v>GC / Firestop</v>
      </c>
      <c r="J1021" t="str">
        <f>B15_Assessment!D70</f>
        <v>Closed</v>
      </c>
      <c r="K1021">
        <f>B15_Assessment!E70</f>
        <v>0</v>
      </c>
      <c r="L1021">
        <f>B15_Assessment!F70</f>
        <v>0</v>
      </c>
      <c r="M1021" t="str">
        <f>B15_Assessment!G70</f>
        <v>Fire/smoke spread risk</v>
      </c>
      <c r="N1021">
        <f>B15_Assessment!H70</f>
        <v>0</v>
      </c>
      <c r="O1021">
        <f>B15_Assessment!I70</f>
        <v>0</v>
      </c>
      <c r="P1021">
        <f>B15_Assessment!J70</f>
        <v>0</v>
      </c>
      <c r="Q1021" t="str">
        <f t="shared" si="15"/>
        <v>15|63</v>
      </c>
    </row>
    <row r="1022" spans="1:17" ht="6.45" customHeight="1">
      <c r="A1022" t="s">
        <v>702</v>
      </c>
      <c r="B1022">
        <v>64</v>
      </c>
      <c r="C1022" t="s">
        <v>39</v>
      </c>
      <c r="D1022">
        <v>71</v>
      </c>
      <c r="E1022" t="s">
        <v>1051</v>
      </c>
      <c r="F1022" t="s">
        <v>5325</v>
      </c>
      <c r="G1022">
        <f>B15_Assessment!A71</f>
        <v>0</v>
      </c>
      <c r="H1022">
        <f>B15_Assessment!B71</f>
        <v>0</v>
      </c>
      <c r="I1022">
        <f>B15_Assessment!C71</f>
        <v>0</v>
      </c>
      <c r="J1022">
        <f>B15_Assessment!D71</f>
        <v>0</v>
      </c>
      <c r="K1022">
        <f>B15_Assessment!E71</f>
        <v>0</v>
      </c>
      <c r="L1022">
        <f>B15_Assessment!F71</f>
        <v>0</v>
      </c>
      <c r="M1022">
        <f>B15_Assessment!G71</f>
        <v>0</v>
      </c>
      <c r="N1022">
        <f>B15_Assessment!H71</f>
        <v>0</v>
      </c>
      <c r="O1022">
        <f>B15_Assessment!I71</f>
        <v>0</v>
      </c>
      <c r="P1022">
        <f>B15_Assessment!J71</f>
        <v>0</v>
      </c>
      <c r="Q1022" t="str">
        <f t="shared" si="15"/>
        <v>15|64</v>
      </c>
    </row>
    <row r="1023" spans="1:17" ht="6.45" customHeight="1">
      <c r="A1023" t="s">
        <v>702</v>
      </c>
      <c r="B1023">
        <v>65</v>
      </c>
      <c r="C1023" t="s">
        <v>39</v>
      </c>
      <c r="D1023">
        <v>72</v>
      </c>
      <c r="E1023" t="s">
        <v>1052</v>
      </c>
      <c r="F1023" t="s">
        <v>5322</v>
      </c>
      <c r="G1023" t="str">
        <f>B15_Assessment!A72</f>
        <v>10. PHOTO LOG</v>
      </c>
      <c r="H1023">
        <f>B15_Assessment!B72</f>
        <v>0</v>
      </c>
      <c r="I1023">
        <f>B15_Assessment!C72</f>
        <v>0</v>
      </c>
      <c r="J1023">
        <f>B15_Assessment!D72</f>
        <v>0</v>
      </c>
      <c r="K1023">
        <f>B15_Assessment!E72</f>
        <v>0</v>
      </c>
      <c r="L1023">
        <f>B15_Assessment!F72</f>
        <v>0</v>
      </c>
      <c r="M1023">
        <f>B15_Assessment!G72</f>
        <v>0</v>
      </c>
      <c r="N1023">
        <f>B15_Assessment!H72</f>
        <v>0</v>
      </c>
      <c r="O1023">
        <f>B15_Assessment!I72</f>
        <v>0</v>
      </c>
      <c r="P1023">
        <f>B15_Assessment!J72</f>
        <v>0</v>
      </c>
      <c r="Q1023" t="str">
        <f t="shared" si="15"/>
        <v>15|65</v>
      </c>
    </row>
    <row r="1024" spans="1:17" ht="6.45" customHeight="1">
      <c r="A1024" t="s">
        <v>702</v>
      </c>
      <c r="B1024">
        <v>66</v>
      </c>
      <c r="C1024" t="s">
        <v>39</v>
      </c>
      <c r="D1024">
        <v>73</v>
      </c>
      <c r="E1024" t="s">
        <v>1052</v>
      </c>
      <c r="F1024" t="s">
        <v>5323</v>
      </c>
      <c r="G1024" t="str">
        <f>B15_Assessment!A73</f>
        <v>Photo ID</v>
      </c>
      <c r="H1024" t="str">
        <f>B15_Assessment!B73</f>
        <v>Room</v>
      </c>
      <c r="I1024" t="str">
        <f>B15_Assessment!C73</f>
        <v>Category</v>
      </c>
      <c r="J1024" t="str">
        <f>B15_Assessment!D73</f>
        <v>Description</v>
      </c>
      <c r="K1024" t="str">
        <f>B15_Assessment!E73</f>
        <v>Date</v>
      </c>
      <c r="L1024" t="str">
        <f>B15_Assessment!F73</f>
        <v>Taken By</v>
      </c>
      <c r="M1024" t="str">
        <f>B15_Assessment!G73</f>
        <v>File / Link</v>
      </c>
      <c r="N1024" t="str">
        <f>B15_Assessment!H73</f>
        <v>Related Risk</v>
      </c>
      <c r="O1024" t="str">
        <f>B15_Assessment!I73</f>
        <v>Status</v>
      </c>
      <c r="P1024" t="str">
        <f>B15_Assessment!J73</f>
        <v>Notes</v>
      </c>
      <c r="Q1024" t="str">
        <f t="shared" si="15"/>
        <v>15|66</v>
      </c>
    </row>
    <row r="1025" spans="1:17" ht="6.45" customHeight="1">
      <c r="A1025" t="s">
        <v>702</v>
      </c>
      <c r="B1025">
        <v>67</v>
      </c>
      <c r="C1025" t="s">
        <v>39</v>
      </c>
      <c r="D1025">
        <v>74</v>
      </c>
      <c r="E1025" t="s">
        <v>1052</v>
      </c>
      <c r="F1025" t="s">
        <v>5324</v>
      </c>
      <c r="G1025" t="str">
        <f>B15_Assessment!A74</f>
        <v>B15-P001</v>
      </c>
      <c r="H1025" t="str">
        <f>B15_Assessment!B74</f>
        <v>124A</v>
      </c>
      <c r="I1025" t="str">
        <f>B15_Assessment!C74</f>
        <v>Existing Condition</v>
      </c>
      <c r="J1025" t="str">
        <f>B15_Assessment!D74</f>
        <v>Room 124A walls, ceiling/deck, floor, door, adjacent Office 124/Office 109/HAC 123, rack location, pathways and penetrations</v>
      </c>
      <c r="K1025">
        <f>B15_Assessment!E74</f>
        <v>0</v>
      </c>
      <c r="L1025" t="str">
        <f>B15_Assessment!F74</f>
        <v>Paul</v>
      </c>
      <c r="M1025">
        <f>B15_Assessment!G74</f>
        <v>0</v>
      </c>
      <c r="N1025" t="str">
        <f>B15_Assessment!H74</f>
        <v>B15-R1/B15-R6</v>
      </c>
      <c r="O1025" t="str">
        <f>B15_Assessment!I74</f>
        <v>Closed</v>
      </c>
      <c r="P1025">
        <f>B15_Assessment!J74</f>
        <v>0</v>
      </c>
      <c r="Q1025" t="str">
        <f t="shared" si="15"/>
        <v>15|67</v>
      </c>
    </row>
    <row r="1026" spans="1:17" ht="6.45" customHeight="1">
      <c r="A1026" t="s">
        <v>702</v>
      </c>
      <c r="B1026">
        <v>68</v>
      </c>
      <c r="C1026" t="s">
        <v>39</v>
      </c>
      <c r="D1026">
        <v>75</v>
      </c>
      <c r="E1026" t="s">
        <v>1052</v>
      </c>
      <c r="F1026" t="s">
        <v>5324</v>
      </c>
      <c r="G1026" t="str">
        <f>B15_Assessment!A75</f>
        <v>B15-P002</v>
      </c>
      <c r="H1026" t="str">
        <f>B15_Assessment!B75</f>
        <v>222</v>
      </c>
      <c r="I1026" t="str">
        <f>B15_Assessment!C75</f>
        <v>Existing Condition</v>
      </c>
      <c r="J1026" t="str">
        <f>B15_Assessment!D75</f>
        <v>Existing Tel Room 222 wall rack, Cisco switches, legacy patch panels, indoor AC unit, security cabinet, ground bar, plywood backboard and floor UPS</v>
      </c>
      <c r="K1026">
        <f>B15_Assessment!E75</f>
        <v>0</v>
      </c>
      <c r="L1026" t="str">
        <f>B15_Assessment!F75</f>
        <v>Paul</v>
      </c>
      <c r="M1026">
        <f>B15_Assessment!G75</f>
        <v>0</v>
      </c>
      <c r="N1026" t="str">
        <f>B15_Assessment!H75</f>
        <v>B15-R1/B15-R3</v>
      </c>
      <c r="O1026" t="str">
        <f>B15_Assessment!I75</f>
        <v>Closed</v>
      </c>
      <c r="P1026">
        <f>B15_Assessment!J75</f>
        <v>0</v>
      </c>
      <c r="Q1026" t="str">
        <f t="shared" ref="Q1026:Q1089" si="16">A1026&amp;"|"&amp;B1026</f>
        <v>15|68</v>
      </c>
    </row>
    <row r="1027" spans="1:17" ht="6.45" customHeight="1">
      <c r="A1027" t="s">
        <v>702</v>
      </c>
      <c r="B1027">
        <v>69</v>
      </c>
      <c r="C1027" t="s">
        <v>39</v>
      </c>
      <c r="D1027">
        <v>76</v>
      </c>
      <c r="E1027" t="s">
        <v>1052</v>
      </c>
      <c r="F1027" t="s">
        <v>5324</v>
      </c>
      <c r="G1027" t="str">
        <f>B15_Assessment!A76</f>
        <v>B15-P003</v>
      </c>
      <c r="H1027" t="str">
        <f>B15_Assessment!B76</f>
        <v>B01</v>
      </c>
      <c r="I1027" t="str">
        <f>B15_Assessment!C76</f>
        <v>Existing Condition</v>
      </c>
      <c r="J1027" t="str">
        <f>B15_Assessment!D76</f>
        <v>Existing basement telecom/crossover B01, legacy 24-port patch panel, pathway, power and protection-in-place needs</v>
      </c>
      <c r="K1027">
        <f>B15_Assessment!E76</f>
        <v>0</v>
      </c>
      <c r="L1027" t="str">
        <f>B15_Assessment!F76</f>
        <v>Paul</v>
      </c>
      <c r="M1027">
        <f>B15_Assessment!G76</f>
        <v>0</v>
      </c>
      <c r="N1027" t="str">
        <f>B15_Assessment!H76</f>
        <v>B15-R1/B15-R3</v>
      </c>
      <c r="O1027" t="str">
        <f>B15_Assessment!I76</f>
        <v>Closed</v>
      </c>
      <c r="P1027">
        <f>B15_Assessment!J76</f>
        <v>0</v>
      </c>
      <c r="Q1027" t="str">
        <f t="shared" si="16"/>
        <v>15|69</v>
      </c>
    </row>
    <row r="1028" spans="1:17" ht="6.45" customHeight="1">
      <c r="A1028" t="s">
        <v>702</v>
      </c>
      <c r="B1028">
        <v>70</v>
      </c>
      <c r="C1028" t="s">
        <v>39</v>
      </c>
      <c r="D1028">
        <v>77</v>
      </c>
      <c r="E1028" t="s">
        <v>1052</v>
      </c>
      <c r="F1028" t="s">
        <v>5324</v>
      </c>
      <c r="G1028" t="str">
        <f>B15_Assessment!A77</f>
        <v>B15-P004</v>
      </c>
      <c r="H1028" t="str">
        <f>B15_Assessment!B77</f>
        <v>124A</v>
      </c>
      <c r="I1028" t="str">
        <f>B15_Assessment!C77</f>
        <v>Hazardous Materials</v>
      </c>
      <c r="J1028" t="str">
        <f>B15_Assessment!D77</f>
        <v>First-level abatement-related materials, lead-based paint/door frames, flooring, walls, ceiling/penetrations, and disturbance areas</v>
      </c>
      <c r="K1028">
        <f>B15_Assessment!E77</f>
        <v>0</v>
      </c>
      <c r="L1028" t="str">
        <f>B15_Assessment!F77</f>
        <v>Paul</v>
      </c>
      <c r="M1028">
        <f>B15_Assessment!G77</f>
        <v>0</v>
      </c>
      <c r="N1028" t="str">
        <f>B15_Assessment!H77</f>
        <v>B15-R2</v>
      </c>
      <c r="O1028" t="str">
        <f>B15_Assessment!I77</f>
        <v>Closed</v>
      </c>
      <c r="P1028">
        <f>B15_Assessment!J77</f>
        <v>0</v>
      </c>
      <c r="Q1028" t="str">
        <f t="shared" si="16"/>
        <v>15|70</v>
      </c>
    </row>
    <row r="1029" spans="1:17" ht="6.45" customHeight="1">
      <c r="A1029" t="s">
        <v>702</v>
      </c>
      <c r="B1029">
        <v>71</v>
      </c>
      <c r="C1029" t="s">
        <v>39</v>
      </c>
      <c r="D1029">
        <v>78</v>
      </c>
      <c r="E1029" t="s">
        <v>1052</v>
      </c>
      <c r="F1029" t="s">
        <v>5324</v>
      </c>
      <c r="G1029" t="str">
        <f>B15_Assessment!A78</f>
        <v>B15-P005</v>
      </c>
      <c r="H1029" t="str">
        <f>B15_Assessment!B78</f>
        <v>124A</v>
      </c>
      <c r="I1029" t="str">
        <f>B15_Assessment!C78</f>
        <v>Firestop</v>
      </c>
      <c r="J1029" t="str">
        <f>B15_Assessment!D78</f>
        <v>All wall/floor/sleeve/tray penetrations before and after firestop</v>
      </c>
      <c r="K1029">
        <f>B15_Assessment!E78</f>
        <v>0</v>
      </c>
      <c r="L1029" t="str">
        <f>B15_Assessment!F78</f>
        <v>Paul</v>
      </c>
      <c r="M1029">
        <f>B15_Assessment!G78</f>
        <v>0</v>
      </c>
      <c r="N1029" t="str">
        <f>B15_Assessment!H78</f>
        <v>B15-R6</v>
      </c>
      <c r="O1029" t="str">
        <f>B15_Assessment!I78</f>
        <v>Closed</v>
      </c>
      <c r="P1029">
        <f>B15_Assessment!J78</f>
        <v>0</v>
      </c>
      <c r="Q1029" t="str">
        <f t="shared" si="16"/>
        <v>15|71</v>
      </c>
    </row>
    <row r="1030" spans="1:17" ht="6.45" customHeight="1">
      <c r="A1030" t="s">
        <v>702</v>
      </c>
      <c r="B1030">
        <v>72</v>
      </c>
      <c r="C1030" t="s">
        <v>39</v>
      </c>
      <c r="D1030">
        <v>79</v>
      </c>
      <c r="E1030" t="s">
        <v>1052</v>
      </c>
      <c r="F1030" t="s">
        <v>5324</v>
      </c>
      <c r="G1030" t="str">
        <f>B15_Assessment!A79</f>
        <v>B15-P006</v>
      </c>
      <c r="H1030" t="str">
        <f>B15_Assessment!B79</f>
        <v>124A</v>
      </c>
      <c r="I1030" t="str">
        <f>B15_Assessment!C79</f>
        <v>HVAC</v>
      </c>
      <c r="J1030" t="str">
        <f>B15_Assessment!D79</f>
        <v>IU-1-01/CU-1-01, condensate, thermostat, BACnet adapter, disconnects, high-temp alarm and power source</v>
      </c>
      <c r="K1030">
        <f>B15_Assessment!E79</f>
        <v>0</v>
      </c>
      <c r="L1030" t="str">
        <f>B15_Assessment!F79</f>
        <v>Paul</v>
      </c>
      <c r="M1030">
        <f>B15_Assessment!G79</f>
        <v>0</v>
      </c>
      <c r="N1030" t="str">
        <f>B15_Assessment!H79</f>
        <v>B15-R4</v>
      </c>
      <c r="O1030" t="str">
        <f>B15_Assessment!I79</f>
        <v>Closed</v>
      </c>
      <c r="P1030">
        <f>B15_Assessment!J79</f>
        <v>0</v>
      </c>
      <c r="Q1030" t="str">
        <f t="shared" si="16"/>
        <v>15|72</v>
      </c>
    </row>
    <row r="1031" spans="1:17" ht="6.45" customHeight="1">
      <c r="A1031" t="s">
        <v>702</v>
      </c>
      <c r="B1031">
        <v>73</v>
      </c>
      <c r="C1031" t="s">
        <v>39</v>
      </c>
      <c r="D1031">
        <v>80</v>
      </c>
      <c r="E1031" t="s">
        <v>1052</v>
      </c>
      <c r="F1031" t="s">
        <v>5324</v>
      </c>
      <c r="G1031" t="str">
        <f>B15_Assessment!A80</f>
        <v>B15-P007</v>
      </c>
      <c r="H1031" t="str">
        <f>B15_Assessment!B80</f>
        <v>124A</v>
      </c>
      <c r="I1031" t="str">
        <f>B15_Assessment!C80</f>
        <v>Electrical</v>
      </c>
      <c r="J1031" t="str">
        <f>B15_Assessment!D80</f>
        <v>B15-TR124AA/AB panels, rack receptacles, breakers, SPD, access controller, lighting, CU-1-01 and labels</v>
      </c>
      <c r="K1031">
        <f>B15_Assessment!E80</f>
        <v>0</v>
      </c>
      <c r="L1031" t="str">
        <f>B15_Assessment!F80</f>
        <v>Paul</v>
      </c>
      <c r="M1031">
        <f>B15_Assessment!G80</f>
        <v>0</v>
      </c>
      <c r="N1031" t="str">
        <f>B15_Assessment!H80</f>
        <v>B15-R5</v>
      </c>
      <c r="O1031" t="str">
        <f>B15_Assessment!I80</f>
        <v>Closed</v>
      </c>
      <c r="P1031">
        <f>B15_Assessment!J80</f>
        <v>0</v>
      </c>
      <c r="Q1031" t="str">
        <f t="shared" si="16"/>
        <v>15|73</v>
      </c>
    </row>
    <row r="1032" spans="1:17" ht="6.45" customHeight="1">
      <c r="A1032" t="s">
        <v>702</v>
      </c>
      <c r="B1032">
        <v>74</v>
      </c>
      <c r="C1032" t="s">
        <v>39</v>
      </c>
      <c r="D1032">
        <v>81</v>
      </c>
      <c r="E1032" t="s">
        <v>1052</v>
      </c>
      <c r="F1032" t="s">
        <v>5324</v>
      </c>
      <c r="G1032" t="str">
        <f>B15_Assessment!A81</f>
        <v>B15-P008</v>
      </c>
      <c r="H1032" t="str">
        <f>B15_Assessment!B81</f>
        <v>124A/222/B01</v>
      </c>
      <c r="I1032" t="str">
        <f>B15_Assessment!C81</f>
        <v>Telecom/Security</v>
      </c>
      <c r="J1032" t="str">
        <f>B15_Assessment!D81</f>
        <v>New rack/future rack, fiber path A/B, Cat6A, patch panels, LIU, labels/test records, 124A-CAM-1 and existing 222/B01 transfer work</v>
      </c>
      <c r="K1032">
        <f>B15_Assessment!E81</f>
        <v>0</v>
      </c>
      <c r="L1032" t="str">
        <f>B15_Assessment!F81</f>
        <v>Paul</v>
      </c>
      <c r="M1032">
        <f>B15_Assessment!G81</f>
        <v>0</v>
      </c>
      <c r="N1032" t="str">
        <f>B15_Assessment!H81</f>
        <v>B15-R7/B15-R8</v>
      </c>
      <c r="O1032" t="str">
        <f>B15_Assessment!I81</f>
        <v>Closed</v>
      </c>
      <c r="P1032">
        <f>B15_Assessment!J81</f>
        <v>0</v>
      </c>
      <c r="Q1032" t="str">
        <f t="shared" si="16"/>
        <v>15|74</v>
      </c>
    </row>
    <row r="1033" spans="1:17" ht="6.45" customHeight="1">
      <c r="A1033" t="s">
        <v>702</v>
      </c>
      <c r="B1033">
        <v>75</v>
      </c>
      <c r="C1033" t="s">
        <v>39</v>
      </c>
      <c r="D1033">
        <v>82</v>
      </c>
      <c r="E1033" t="s">
        <v>1052</v>
      </c>
      <c r="F1033" t="s">
        <v>5325</v>
      </c>
      <c r="G1033">
        <f>B15_Assessment!A82</f>
        <v>0</v>
      </c>
      <c r="H1033">
        <f>B15_Assessment!B82</f>
        <v>0</v>
      </c>
      <c r="I1033">
        <f>B15_Assessment!C82</f>
        <v>0</v>
      </c>
      <c r="J1033">
        <f>B15_Assessment!D82</f>
        <v>0</v>
      </c>
      <c r="K1033">
        <f>B15_Assessment!E82</f>
        <v>0</v>
      </c>
      <c r="L1033">
        <f>B15_Assessment!F82</f>
        <v>0</v>
      </c>
      <c r="M1033">
        <f>B15_Assessment!G82</f>
        <v>0</v>
      </c>
      <c r="N1033">
        <f>B15_Assessment!H82</f>
        <v>0</v>
      </c>
      <c r="O1033">
        <f>B15_Assessment!I82</f>
        <v>0</v>
      </c>
      <c r="P1033">
        <f>B15_Assessment!J82</f>
        <v>0</v>
      </c>
      <c r="Q1033" t="str">
        <f t="shared" si="16"/>
        <v>15|75</v>
      </c>
    </row>
    <row r="1034" spans="1:17" ht="6.45" customHeight="1">
      <c r="A1034" t="s">
        <v>703</v>
      </c>
      <c r="B1034">
        <v>1</v>
      </c>
      <c r="C1034" t="s">
        <v>41</v>
      </c>
      <c r="D1034">
        <v>8</v>
      </c>
      <c r="E1034" t="s">
        <v>918</v>
      </c>
      <c r="F1034" t="s">
        <v>5322</v>
      </c>
      <c r="G1034" t="str">
        <f>B16_Assessment!A8</f>
        <v>1. ROOM INVENTORY</v>
      </c>
      <c r="H1034">
        <f>B16_Assessment!B8</f>
        <v>0</v>
      </c>
      <c r="I1034">
        <f>B16_Assessment!C8</f>
        <v>0</v>
      </c>
      <c r="J1034">
        <f>B16_Assessment!D8</f>
        <v>0</v>
      </c>
      <c r="K1034">
        <f>B16_Assessment!E8</f>
        <v>0</v>
      </c>
      <c r="L1034">
        <f>B16_Assessment!F8</f>
        <v>0</v>
      </c>
      <c r="M1034">
        <f>B16_Assessment!G8</f>
        <v>0</v>
      </c>
      <c r="N1034">
        <f>B16_Assessment!H8</f>
        <v>0</v>
      </c>
      <c r="O1034">
        <f>B16_Assessment!I8</f>
        <v>0</v>
      </c>
      <c r="P1034">
        <f>B16_Assessment!J8</f>
        <v>0</v>
      </c>
      <c r="Q1034" t="str">
        <f t="shared" si="16"/>
        <v>16|1</v>
      </c>
    </row>
    <row r="1035" spans="1:17" ht="6.45" customHeight="1">
      <c r="A1035" t="s">
        <v>703</v>
      </c>
      <c r="B1035">
        <v>2</v>
      </c>
      <c r="C1035" t="s">
        <v>41</v>
      </c>
      <c r="D1035">
        <v>9</v>
      </c>
      <c r="E1035" t="s">
        <v>918</v>
      </c>
      <c r="F1035" t="s">
        <v>5323</v>
      </c>
      <c r="G1035" t="str">
        <f>B16_Assessment!A9</f>
        <v>Building</v>
      </c>
      <c r="H1035" t="str">
        <f>B16_Assessment!B9</f>
        <v>Room</v>
      </c>
      <c r="I1035" t="str">
        <f>B16_Assessment!C9</f>
        <v>Floor</v>
      </c>
      <c r="J1035" t="str">
        <f>B16_Assessment!D9</f>
        <v>Existing Use</v>
      </c>
      <c r="K1035" t="str">
        <f>B16_Assessment!E9</f>
        <v>New Use</v>
      </c>
      <c r="L1035" t="str">
        <f>B16_Assessment!F9</f>
        <v>Rack Count</v>
      </c>
      <c r="M1035" t="str">
        <f>B16_Assessment!G9</f>
        <v>Future Rack</v>
      </c>
      <c r="N1035" t="str">
        <f>B16_Assessment!H9</f>
        <v>Status</v>
      </c>
      <c r="O1035" t="str">
        <f>B16_Assessment!I9</f>
        <v>Drawing Ref</v>
      </c>
      <c r="P1035" t="str">
        <f>B16_Assessment!J9</f>
        <v>Notes</v>
      </c>
      <c r="Q1035" t="str">
        <f t="shared" si="16"/>
        <v>16|2</v>
      </c>
    </row>
    <row r="1036" spans="1:17" ht="6.45" customHeight="1">
      <c r="A1036" t="s">
        <v>703</v>
      </c>
      <c r="B1036">
        <v>3</v>
      </c>
      <c r="C1036" t="s">
        <v>41</v>
      </c>
      <c r="D1036">
        <v>10</v>
      </c>
      <c r="E1036" t="s">
        <v>918</v>
      </c>
      <c r="F1036" t="s">
        <v>5324</v>
      </c>
      <c r="G1036" t="str">
        <f>B16_Assessment!A10</f>
        <v>16</v>
      </c>
      <c r="H1036" t="str">
        <f>B16_Assessment!B10</f>
        <v>015</v>
      </c>
      <c r="I1036" t="str">
        <f>B16_Assessment!C10</f>
        <v>Basement</v>
      </c>
      <c r="J1036" t="str">
        <f>B16_Assessment!D10</f>
        <v>Vacant / new telecom room build area</v>
      </c>
      <c r="K1036" t="str">
        <f>B16_Assessment!E10</f>
        <v>Telecom Room</v>
      </c>
      <c r="L1036">
        <f>B16_Assessment!F10</f>
        <v>1</v>
      </c>
      <c r="M1036">
        <f>B16_Assessment!G10</f>
        <v>1</v>
      </c>
      <c r="N1036" t="str">
        <f>B16_Assessment!H10</f>
        <v>Verify</v>
      </c>
      <c r="O1036" t="str">
        <f>B16_Assessment!I10</f>
        <v>16A-400 / 16E-100 / 16T-100 / 16T-604 / 16T-701</v>
      </c>
      <c r="P1036" t="str">
        <f>B16_Assessment!J10</f>
        <v>Primary Building 16 TR. Plans identify Telecom Room 015 at 79 SF, served by Rack ID TR01-015-A-1, panels B16-TR015A/B, 240V UPS/PDU rack power, IU-1-01/CU-1-01 cooling, 96 feet total cable tray, and future rack allowance.</v>
      </c>
      <c r="Q1036" t="str">
        <f t="shared" si="16"/>
        <v>16|3</v>
      </c>
    </row>
    <row r="1037" spans="1:17" ht="6.45" customHeight="1">
      <c r="A1037" t="s">
        <v>703</v>
      </c>
      <c r="B1037">
        <v>4</v>
      </c>
      <c r="C1037" t="s">
        <v>41</v>
      </c>
      <c r="D1037">
        <v>11</v>
      </c>
      <c r="E1037" t="s">
        <v>918</v>
      </c>
      <c r="F1037" t="s">
        <v>5324</v>
      </c>
      <c r="G1037" t="str">
        <f>B16_Assessment!A11</f>
        <v>16</v>
      </c>
      <c r="H1037" t="str">
        <f>B16_Assessment!B11</f>
        <v>014</v>
      </c>
      <c r="I1037" t="str">
        <f>B16_Assessment!C11</f>
        <v>Basement</v>
      </c>
      <c r="J1037" t="str">
        <f>B16_Assessment!D11</f>
        <v>Existing telecom room / stair-adjacent legacy equipment area</v>
      </c>
      <c r="K1037" t="str">
        <f>B16_Assessment!E11</f>
        <v>Existing telecom transition point</v>
      </c>
      <c r="L1037">
        <f>B16_Assessment!F11</f>
        <v>1</v>
      </c>
      <c r="M1037">
        <f>B16_Assessment!G11</f>
        <v>0</v>
      </c>
      <c r="N1037" t="str">
        <f>B16_Assessment!H11</f>
        <v>Verify</v>
      </c>
      <c r="O1037" t="str">
        <f>B16_Assessment!I11</f>
        <v>16T-100 / 16T-604 / 16R-900</v>
      </c>
      <c r="P1037" t="str">
        <f>B16_Assessment!J11</f>
        <v>Existing basement Telecom Room 014 shown with wall-mounted rack, plywood backboard, patch panel, security cabinet, telco patch, existing floor-mounted UPS, Cisco switch, legacy 12-port modular patch panel and Fiber LIU/wall; protect active services and verify transfer to Room 015.</v>
      </c>
      <c r="Q1037" t="str">
        <f t="shared" si="16"/>
        <v>16|4</v>
      </c>
    </row>
    <row r="1038" spans="1:17" ht="6.45" customHeight="1">
      <c r="A1038" t="s">
        <v>703</v>
      </c>
      <c r="B1038">
        <v>5</v>
      </c>
      <c r="C1038" t="s">
        <v>41</v>
      </c>
      <c r="D1038">
        <v>12</v>
      </c>
      <c r="E1038" t="s">
        <v>918</v>
      </c>
      <c r="F1038" t="s">
        <v>5325</v>
      </c>
      <c r="G1038">
        <f>B16_Assessment!A12</f>
        <v>0</v>
      </c>
      <c r="H1038">
        <f>B16_Assessment!B12</f>
        <v>0</v>
      </c>
      <c r="I1038">
        <f>B16_Assessment!C12</f>
        <v>0</v>
      </c>
      <c r="J1038">
        <f>B16_Assessment!D12</f>
        <v>0</v>
      </c>
      <c r="K1038">
        <f>B16_Assessment!E12</f>
        <v>0</v>
      </c>
      <c r="L1038">
        <f>B16_Assessment!F12</f>
        <v>0</v>
      </c>
      <c r="M1038">
        <f>B16_Assessment!G12</f>
        <v>0</v>
      </c>
      <c r="N1038">
        <f>B16_Assessment!H12</f>
        <v>0</v>
      </c>
      <c r="O1038">
        <f>B16_Assessment!I12</f>
        <v>0</v>
      </c>
      <c r="P1038">
        <f>B16_Assessment!J12</f>
        <v>0</v>
      </c>
      <c r="Q1038" t="str">
        <f t="shared" si="16"/>
        <v>16|5</v>
      </c>
    </row>
    <row r="1039" spans="1:17" ht="6.45" customHeight="1">
      <c r="A1039" t="s">
        <v>703</v>
      </c>
      <c r="B1039">
        <v>6</v>
      </c>
      <c r="C1039" t="s">
        <v>41</v>
      </c>
      <c r="D1039">
        <v>13</v>
      </c>
      <c r="E1039" t="s">
        <v>936</v>
      </c>
      <c r="F1039" t="s">
        <v>5322</v>
      </c>
      <c r="G1039" t="str">
        <f>B16_Assessment!A13</f>
        <v>2. ROOM READINESS</v>
      </c>
      <c r="H1039">
        <f>B16_Assessment!B13</f>
        <v>0</v>
      </c>
      <c r="I1039">
        <f>B16_Assessment!C13</f>
        <v>0</v>
      </c>
      <c r="J1039">
        <f>B16_Assessment!D13</f>
        <v>0</v>
      </c>
      <c r="K1039">
        <f>B16_Assessment!E13</f>
        <v>0</v>
      </c>
      <c r="L1039">
        <f>B16_Assessment!F13</f>
        <v>0</v>
      </c>
      <c r="M1039">
        <f>B16_Assessment!G13</f>
        <v>0</v>
      </c>
      <c r="N1039">
        <f>B16_Assessment!H13</f>
        <v>0</v>
      </c>
      <c r="O1039">
        <f>B16_Assessment!I13</f>
        <v>0</v>
      </c>
      <c r="P1039">
        <f>B16_Assessment!J13</f>
        <v>0</v>
      </c>
      <c r="Q1039" t="str">
        <f t="shared" si="16"/>
        <v>16|6</v>
      </c>
    </row>
    <row r="1040" spans="1:17" ht="6.45" customHeight="1">
      <c r="A1040" t="s">
        <v>703</v>
      </c>
      <c r="B1040">
        <v>7</v>
      </c>
      <c r="C1040" t="s">
        <v>41</v>
      </c>
      <c r="D1040">
        <v>14</v>
      </c>
      <c r="E1040" t="s">
        <v>936</v>
      </c>
      <c r="F1040" t="s">
        <v>5323</v>
      </c>
      <c r="G1040" t="str">
        <f>B16_Assessment!A14</f>
        <v>Room</v>
      </c>
      <c r="H1040" t="str">
        <f>B16_Assessment!B14</f>
        <v>Walls / 1-hr Rating</v>
      </c>
      <c r="I1040" t="str">
        <f>B16_Assessment!C14</f>
        <v>Ceiling</v>
      </c>
      <c r="J1040" t="str">
        <f>B16_Assessment!D14</f>
        <v>Floor / SDC</v>
      </c>
      <c r="K1040" t="str">
        <f>B16_Assessment!E14</f>
        <v>Penetrations</v>
      </c>
      <c r="L1040" t="str">
        <f>B16_Assessment!F14</f>
        <v>Access Control</v>
      </c>
      <c r="M1040" t="str">
        <f>B16_Assessment!G14</f>
        <v>Clearances</v>
      </c>
      <c r="N1040" t="str">
        <f>B16_Assessment!H14</f>
        <v>Housekeeping</v>
      </c>
      <c r="O1040" t="str">
        <f>B16_Assessment!I14</f>
        <v>Overall</v>
      </c>
      <c r="P1040" t="str">
        <f>B16_Assessment!J14</f>
        <v>Comments</v>
      </c>
      <c r="Q1040" t="str">
        <f t="shared" si="16"/>
        <v>16|7</v>
      </c>
    </row>
    <row r="1041" spans="1:17" ht="6.45" customHeight="1">
      <c r="A1041" t="s">
        <v>703</v>
      </c>
      <c r="B1041">
        <v>8</v>
      </c>
      <c r="C1041" t="s">
        <v>41</v>
      </c>
      <c r="D1041">
        <v>15</v>
      </c>
      <c r="E1041" t="s">
        <v>936</v>
      </c>
      <c r="F1041" t="s">
        <v>5324</v>
      </c>
      <c r="G1041" t="str">
        <f>B16_Assessment!A15</f>
        <v>015</v>
      </c>
      <c r="H1041" t="str">
        <f>B16_Assessment!B15</f>
        <v>Verify</v>
      </c>
      <c r="I1041" t="str">
        <f>B16_Assessment!C15</f>
        <v>Verify</v>
      </c>
      <c r="J1041" t="str">
        <f>B16_Assessment!D15</f>
        <v>Verify</v>
      </c>
      <c r="K1041" t="str">
        <f>B16_Assessment!E15</f>
        <v>Verify</v>
      </c>
      <c r="L1041" t="str">
        <f>B16_Assessment!F15</f>
        <v>Verify</v>
      </c>
      <c r="M1041" t="str">
        <f>B16_Assessment!G15</f>
        <v>Verify</v>
      </c>
      <c r="N1041" t="str">
        <f>B16_Assessment!H15</f>
        <v>Verify</v>
      </c>
      <c r="O1041" t="str">
        <f>B16_Assessment!I15</f>
        <v>Verify</v>
      </c>
      <c r="P1041" t="str">
        <f>B16_Assessment!J15</f>
        <v>Basement TR; verify 1-hour fire/smoke-rated enclosure, open-to-deck conditions, door hardware/access control, static-control floor sealer, rack/future rack clearances, wall backing, and pathway entry points.</v>
      </c>
      <c r="Q1041" t="str">
        <f t="shared" si="16"/>
        <v>16|8</v>
      </c>
    </row>
    <row r="1042" spans="1:17" ht="6.45" customHeight="1">
      <c r="A1042" t="s">
        <v>703</v>
      </c>
      <c r="B1042">
        <v>9</v>
      </c>
      <c r="C1042" t="s">
        <v>41</v>
      </c>
      <c r="D1042">
        <v>16</v>
      </c>
      <c r="E1042" t="s">
        <v>936</v>
      </c>
      <c r="F1042" t="s">
        <v>5324</v>
      </c>
      <c r="G1042" t="str">
        <f>B16_Assessment!A16</f>
        <v>014</v>
      </c>
      <c r="H1042" t="str">
        <f>B16_Assessment!B16</f>
        <v>Existing / Verify</v>
      </c>
      <c r="I1042" t="str">
        <f>B16_Assessment!C16</f>
        <v>Existing / Verify</v>
      </c>
      <c r="J1042" t="str">
        <f>B16_Assessment!D16</f>
        <v>Existing / Verify</v>
      </c>
      <c r="K1042" t="str">
        <f>B16_Assessment!E16</f>
        <v>Verify</v>
      </c>
      <c r="L1042" t="str">
        <f>B16_Assessment!F16</f>
        <v>Verify</v>
      </c>
      <c r="M1042" t="str">
        <f>B16_Assessment!G16</f>
        <v>Verify</v>
      </c>
      <c r="N1042" t="str">
        <f>B16_Assessment!H16</f>
        <v>Verify</v>
      </c>
      <c r="O1042" t="str">
        <f>B16_Assessment!I16</f>
        <v>Verify</v>
      </c>
      <c r="P1042" t="str">
        <f>B16_Assessment!J16</f>
        <v>Existing basement telecom room; verify active equipment status, pathway, rack/UPS/backboard, security cabinet, and transition/abandonment scope.</v>
      </c>
      <c r="Q1042" t="str">
        <f t="shared" si="16"/>
        <v>16|9</v>
      </c>
    </row>
    <row r="1043" spans="1:17" ht="6.45" customHeight="1">
      <c r="A1043" t="s">
        <v>703</v>
      </c>
      <c r="B1043">
        <v>10</v>
      </c>
      <c r="C1043" t="s">
        <v>41</v>
      </c>
      <c r="D1043">
        <v>17</v>
      </c>
      <c r="E1043" t="s">
        <v>936</v>
      </c>
      <c r="F1043" t="s">
        <v>5325</v>
      </c>
      <c r="G1043">
        <f>B16_Assessment!A17</f>
        <v>0</v>
      </c>
      <c r="H1043">
        <f>B16_Assessment!B17</f>
        <v>0</v>
      </c>
      <c r="I1043">
        <f>B16_Assessment!C17</f>
        <v>0</v>
      </c>
      <c r="J1043">
        <f>B16_Assessment!D17</f>
        <v>0</v>
      </c>
      <c r="K1043">
        <f>B16_Assessment!E17</f>
        <v>0</v>
      </c>
      <c r="L1043">
        <f>B16_Assessment!F17</f>
        <v>0</v>
      </c>
      <c r="M1043">
        <f>B16_Assessment!G17</f>
        <v>0</v>
      </c>
      <c r="N1043">
        <f>B16_Assessment!H17</f>
        <v>0</v>
      </c>
      <c r="O1043">
        <f>B16_Assessment!I17</f>
        <v>0</v>
      </c>
      <c r="P1043">
        <f>B16_Assessment!J17</f>
        <v>0</v>
      </c>
      <c r="Q1043" t="str">
        <f t="shared" si="16"/>
        <v>16|10</v>
      </c>
    </row>
    <row r="1044" spans="1:17" ht="6.45" customHeight="1">
      <c r="A1044" t="s">
        <v>703</v>
      </c>
      <c r="B1044">
        <v>11</v>
      </c>
      <c r="C1044" t="s">
        <v>41</v>
      </c>
      <c r="D1044">
        <v>18</v>
      </c>
      <c r="E1044" t="s">
        <v>951</v>
      </c>
      <c r="F1044" t="s">
        <v>5322</v>
      </c>
      <c r="G1044" t="str">
        <f>B16_Assessment!A18</f>
        <v>3. FIRE PROTECTION</v>
      </c>
      <c r="H1044">
        <f>B16_Assessment!B18</f>
        <v>0</v>
      </c>
      <c r="I1044">
        <f>B16_Assessment!C18</f>
        <v>0</v>
      </c>
      <c r="J1044">
        <f>B16_Assessment!D18</f>
        <v>0</v>
      </c>
      <c r="K1044">
        <f>B16_Assessment!E18</f>
        <v>0</v>
      </c>
      <c r="L1044">
        <f>B16_Assessment!F18</f>
        <v>0</v>
      </c>
      <c r="M1044">
        <f>B16_Assessment!G18</f>
        <v>0</v>
      </c>
      <c r="N1044">
        <f>B16_Assessment!H18</f>
        <v>0</v>
      </c>
      <c r="O1044">
        <f>B16_Assessment!I18</f>
        <v>0</v>
      </c>
      <c r="P1044">
        <f>B16_Assessment!J18</f>
        <v>0</v>
      </c>
      <c r="Q1044" t="str">
        <f t="shared" si="16"/>
        <v>16|11</v>
      </c>
    </row>
    <row r="1045" spans="1:17" ht="6.45" customHeight="1">
      <c r="A1045" t="s">
        <v>703</v>
      </c>
      <c r="B1045">
        <v>12</v>
      </c>
      <c r="C1045" t="s">
        <v>41</v>
      </c>
      <c r="D1045">
        <v>19</v>
      </c>
      <c r="E1045" t="s">
        <v>951</v>
      </c>
      <c r="F1045" t="s">
        <v>5323</v>
      </c>
      <c r="G1045" t="str">
        <f>B16_Assessment!A19</f>
        <v>Room</v>
      </c>
      <c r="H1045" t="str">
        <f>B16_Assessment!B19</f>
        <v>Sprinkler</v>
      </c>
      <c r="I1045" t="str">
        <f>B16_Assessment!C19</f>
        <v>Cage</v>
      </c>
      <c r="J1045" t="str">
        <f>B16_Assessment!D19</f>
        <v>Detector</v>
      </c>
      <c r="K1045" t="str">
        <f>B16_Assessment!E19</f>
        <v>Horn/Strobe</v>
      </c>
      <c r="L1045" t="str">
        <f>B16_Assessment!F19</f>
        <v>Extinguisher &lt;75 ft</v>
      </c>
      <c r="M1045" t="str">
        <f>B16_Assessment!G19</f>
        <v>Firestop</v>
      </c>
      <c r="N1045" t="str">
        <f>B16_Assessment!H19</f>
        <v>Temp Firestop</v>
      </c>
      <c r="O1045" t="str">
        <f>B16_Assessment!I19</f>
        <v>Overall</v>
      </c>
      <c r="P1045" t="str">
        <f>B16_Assessment!J19</f>
        <v>Risk / Notes</v>
      </c>
      <c r="Q1045" t="str">
        <f t="shared" si="16"/>
        <v>16|12</v>
      </c>
    </row>
    <row r="1046" spans="1:17" ht="6.45" customHeight="1">
      <c r="A1046" t="s">
        <v>703</v>
      </c>
      <c r="B1046">
        <v>13</v>
      </c>
      <c r="C1046" t="s">
        <v>41</v>
      </c>
      <c r="D1046">
        <v>20</v>
      </c>
      <c r="E1046" t="s">
        <v>951</v>
      </c>
      <c r="F1046" t="s">
        <v>5324</v>
      </c>
      <c r="G1046" t="str">
        <f>B16_Assessment!A20</f>
        <v>015</v>
      </c>
      <c r="H1046" t="str">
        <f>B16_Assessment!B20</f>
        <v>Verify</v>
      </c>
      <c r="I1046" t="str">
        <f>B16_Assessment!C20</f>
        <v>Verify</v>
      </c>
      <c r="J1046" t="str">
        <f>B16_Assessment!D20</f>
        <v>Verify</v>
      </c>
      <c r="K1046" t="str">
        <f>B16_Assessment!E20</f>
        <v>Verify</v>
      </c>
      <c r="L1046" t="str">
        <f>B16_Assessment!F20</f>
        <v>Verify</v>
      </c>
      <c r="M1046" t="str">
        <f>B16_Assessment!G20</f>
        <v>Verify</v>
      </c>
      <c r="N1046" t="str">
        <f>B16_Assessment!H20</f>
        <v>Verify</v>
      </c>
      <c r="O1046" t="str">
        <f>B16_Assessment!I20</f>
        <v>Verify</v>
      </c>
      <c r="P1046" t="str">
        <f>B16_Assessment!J20</f>
        <v>Fully sprinklered building; confirm sprinkler/fire alarm modifications, clean-agent 2A:10B:C extinguisher within 75 ft, rated wall/ceiling/floor penetrations, and temporary firestopping during cable pulls.</v>
      </c>
      <c r="Q1046" t="str">
        <f t="shared" si="16"/>
        <v>16|13</v>
      </c>
    </row>
    <row r="1047" spans="1:17" ht="6.45" customHeight="1">
      <c r="A1047" t="s">
        <v>703</v>
      </c>
      <c r="B1047">
        <v>14</v>
      </c>
      <c r="C1047" t="s">
        <v>41</v>
      </c>
      <c r="D1047">
        <v>21</v>
      </c>
      <c r="E1047" t="s">
        <v>951</v>
      </c>
      <c r="F1047" t="s">
        <v>5324</v>
      </c>
      <c r="G1047" t="str">
        <f>B16_Assessment!A21</f>
        <v>014</v>
      </c>
      <c r="H1047" t="str">
        <f>B16_Assessment!B21</f>
        <v>Verify</v>
      </c>
      <c r="I1047" t="str">
        <f>B16_Assessment!C21</f>
        <v>N/A</v>
      </c>
      <c r="J1047" t="str">
        <f>B16_Assessment!D21</f>
        <v>Verify</v>
      </c>
      <c r="K1047" t="str">
        <f>B16_Assessment!E21</f>
        <v>Verify</v>
      </c>
      <c r="L1047" t="str">
        <f>B16_Assessment!F21</f>
        <v>Verify</v>
      </c>
      <c r="M1047" t="str">
        <f>B16_Assessment!G21</f>
        <v>Verify</v>
      </c>
      <c r="N1047" t="str">
        <f>B16_Assessment!H21</f>
        <v>Verify</v>
      </c>
      <c r="O1047" t="str">
        <f>B16_Assessment!I21</f>
        <v>Verify</v>
      </c>
      <c r="P1047" t="str">
        <f>B16_Assessment!J21</f>
        <v>Existing telecom room; verify fire alarm/sprinkler protection-in-place and seal any removed/reused penetration after cutover.</v>
      </c>
      <c r="Q1047" t="str">
        <f t="shared" si="16"/>
        <v>16|14</v>
      </c>
    </row>
    <row r="1048" spans="1:17" ht="6.45" customHeight="1">
      <c r="A1048" t="s">
        <v>703</v>
      </c>
      <c r="B1048">
        <v>15</v>
      </c>
      <c r="C1048" t="s">
        <v>41</v>
      </c>
      <c r="D1048">
        <v>22</v>
      </c>
      <c r="E1048" t="s">
        <v>951</v>
      </c>
      <c r="F1048" t="s">
        <v>5325</v>
      </c>
      <c r="G1048">
        <f>B16_Assessment!A22</f>
        <v>0</v>
      </c>
      <c r="H1048">
        <f>B16_Assessment!B22</f>
        <v>0</v>
      </c>
      <c r="I1048">
        <f>B16_Assessment!C22</f>
        <v>0</v>
      </c>
      <c r="J1048">
        <f>B16_Assessment!D22</f>
        <v>0</v>
      </c>
      <c r="K1048">
        <f>B16_Assessment!E22</f>
        <v>0</v>
      </c>
      <c r="L1048">
        <f>B16_Assessment!F22</f>
        <v>0</v>
      </c>
      <c r="M1048">
        <f>B16_Assessment!G22</f>
        <v>0</v>
      </c>
      <c r="N1048">
        <f>B16_Assessment!H22</f>
        <v>0</v>
      </c>
      <c r="O1048">
        <f>B16_Assessment!I22</f>
        <v>0</v>
      </c>
      <c r="P1048">
        <f>B16_Assessment!J22</f>
        <v>0</v>
      </c>
      <c r="Q1048" t="str">
        <f t="shared" si="16"/>
        <v>16|15</v>
      </c>
    </row>
    <row r="1049" spans="1:17" ht="6.45" customHeight="1">
      <c r="A1049" t="s">
        <v>703</v>
      </c>
      <c r="B1049">
        <v>16</v>
      </c>
      <c r="C1049" t="s">
        <v>41</v>
      </c>
      <c r="D1049">
        <v>23</v>
      </c>
      <c r="E1049" t="s">
        <v>964</v>
      </c>
      <c r="F1049" t="s">
        <v>5322</v>
      </c>
      <c r="G1049" t="str">
        <f>B16_Assessment!A23</f>
        <v>4. HVAC / COOLING</v>
      </c>
      <c r="H1049">
        <f>B16_Assessment!B23</f>
        <v>0</v>
      </c>
      <c r="I1049">
        <f>B16_Assessment!C23</f>
        <v>0</v>
      </c>
      <c r="J1049">
        <f>B16_Assessment!D23</f>
        <v>0</v>
      </c>
      <c r="K1049">
        <f>B16_Assessment!E23</f>
        <v>0</v>
      </c>
      <c r="L1049">
        <f>B16_Assessment!F23</f>
        <v>0</v>
      </c>
      <c r="M1049">
        <f>B16_Assessment!G23</f>
        <v>0</v>
      </c>
      <c r="N1049">
        <f>B16_Assessment!H23</f>
        <v>0</v>
      </c>
      <c r="O1049">
        <f>B16_Assessment!I23</f>
        <v>0</v>
      </c>
      <c r="P1049">
        <f>B16_Assessment!J23</f>
        <v>0</v>
      </c>
      <c r="Q1049" t="str">
        <f t="shared" si="16"/>
        <v>16|16</v>
      </c>
    </row>
    <row r="1050" spans="1:17" ht="6.45" customHeight="1">
      <c r="A1050" t="s">
        <v>703</v>
      </c>
      <c r="B1050">
        <v>17</v>
      </c>
      <c r="C1050" t="s">
        <v>41</v>
      </c>
      <c r="D1050">
        <v>24</v>
      </c>
      <c r="E1050" t="s">
        <v>964</v>
      </c>
      <c r="F1050" t="s">
        <v>5323</v>
      </c>
      <c r="G1050" t="str">
        <f>B16_Assessment!A24</f>
        <v>Room</v>
      </c>
      <c r="H1050" t="str">
        <f>B16_Assessment!B24</f>
        <v>Dedicated Unit</v>
      </c>
      <c r="I1050" t="str">
        <f>B16_Assessment!C24</f>
        <v>Capacity Verified</v>
      </c>
      <c r="J1050" t="str">
        <f>B16_Assessment!D24</f>
        <v>Emergency Power</v>
      </c>
      <c r="K1050" t="str">
        <f>B16_Assessment!E24</f>
        <v>Controls / BACnet</v>
      </c>
      <c r="L1050" t="str">
        <f>B16_Assessment!F24</f>
        <v>Condensate Routed</v>
      </c>
      <c r="M1050" t="str">
        <f>B16_Assessment!G24</f>
        <v>High Temp Alarm</v>
      </c>
      <c r="N1050" t="str">
        <f>B16_Assessment!H24</f>
        <v>24/7 Operation</v>
      </c>
      <c r="O1050" t="str">
        <f>B16_Assessment!I24</f>
        <v>Overall</v>
      </c>
      <c r="P1050" t="str">
        <f>B16_Assessment!J24</f>
        <v>Risk / Notes</v>
      </c>
      <c r="Q1050" t="str">
        <f t="shared" si="16"/>
        <v>16|17</v>
      </c>
    </row>
    <row r="1051" spans="1:17" ht="6.45" customHeight="1">
      <c r="A1051" t="s">
        <v>703</v>
      </c>
      <c r="B1051">
        <v>18</v>
      </c>
      <c r="C1051" t="s">
        <v>41</v>
      </c>
      <c r="D1051">
        <v>25</v>
      </c>
      <c r="E1051" t="s">
        <v>964</v>
      </c>
      <c r="F1051" t="s">
        <v>5324</v>
      </c>
      <c r="G1051" t="str">
        <f>B16_Assessment!A25</f>
        <v>015</v>
      </c>
      <c r="H1051" t="str">
        <f>B16_Assessment!B25</f>
        <v>IU-1-01 / CU-1-01</v>
      </c>
      <c r="I1051" t="str">
        <f>B16_Assessment!C25</f>
        <v>Verify</v>
      </c>
      <c r="J1051" t="str">
        <f>B16_Assessment!D25</f>
        <v>Verify</v>
      </c>
      <c r="K1051" t="str">
        <f>B16_Assessment!E25</f>
        <v>Verify</v>
      </c>
      <c r="L1051" t="str">
        <f>B16_Assessment!F25</f>
        <v>Verify</v>
      </c>
      <c r="M1051" t="str">
        <f>B16_Assessment!G25</f>
        <v>Verify</v>
      </c>
      <c r="N1051" t="str">
        <f>B16_Assessment!H25</f>
        <v>Verify</v>
      </c>
      <c r="O1051" t="str">
        <f>B16_Assessment!I25</f>
        <v>Verify</v>
      </c>
      <c r="P1051" t="str">
        <f>B16_Assessment!J25</f>
        <v>Mechanical/electrical drawings show IU-1-01 in Telecom Room 015 and CU-1-01 outdoor unit. Confirm capacity, emergency/standby source, BACnet adapter, thermostat/control point, condensate path, disconnects, and high-temperature alarm.</v>
      </c>
      <c r="Q1051" t="str">
        <f t="shared" si="16"/>
        <v>16|18</v>
      </c>
    </row>
    <row r="1052" spans="1:17" ht="6.45" customHeight="1">
      <c r="A1052" t="s">
        <v>703</v>
      </c>
      <c r="B1052">
        <v>19</v>
      </c>
      <c r="C1052" t="s">
        <v>41</v>
      </c>
      <c r="D1052">
        <v>26</v>
      </c>
      <c r="E1052" t="s">
        <v>964</v>
      </c>
      <c r="F1052" t="s">
        <v>5324</v>
      </c>
      <c r="G1052" t="str">
        <f>B16_Assessment!A26</f>
        <v>014</v>
      </c>
      <c r="H1052" t="str">
        <f>B16_Assessment!B26</f>
        <v>Existing / Verify</v>
      </c>
      <c r="I1052" t="str">
        <f>B16_Assessment!C26</f>
        <v>Verify</v>
      </c>
      <c r="J1052" t="str">
        <f>B16_Assessment!D26</f>
        <v>Verify</v>
      </c>
      <c r="K1052" t="str">
        <f>B16_Assessment!E26</f>
        <v>Verify</v>
      </c>
      <c r="L1052" t="str">
        <f>B16_Assessment!F26</f>
        <v>Verify</v>
      </c>
      <c r="M1052" t="str">
        <f>B16_Assessment!G26</f>
        <v>Verify</v>
      </c>
      <c r="N1052" t="str">
        <f>B16_Assessment!H26</f>
        <v>Verify</v>
      </c>
      <c r="O1052" t="str">
        <f>B16_Assessment!I26</f>
        <v>Verify</v>
      </c>
      <c r="P1052" t="str">
        <f>B16_Assessment!J26</f>
        <v>Existing Telecom Room 014; verify existing environmental conditions during cutover and whether legacy equipment remains active.</v>
      </c>
      <c r="Q1052" t="str">
        <f t="shared" si="16"/>
        <v>16|19</v>
      </c>
    </row>
    <row r="1053" spans="1:17" ht="6.45" customHeight="1">
      <c r="A1053" t="s">
        <v>703</v>
      </c>
      <c r="B1053">
        <v>20</v>
      </c>
      <c r="C1053" t="s">
        <v>41</v>
      </c>
      <c r="D1053">
        <v>27</v>
      </c>
      <c r="E1053" t="s">
        <v>964</v>
      </c>
      <c r="F1053" t="s">
        <v>5325</v>
      </c>
      <c r="G1053">
        <f>B16_Assessment!A27</f>
        <v>0</v>
      </c>
      <c r="H1053">
        <f>B16_Assessment!B27</f>
        <v>0</v>
      </c>
      <c r="I1053">
        <f>B16_Assessment!C27</f>
        <v>0</v>
      </c>
      <c r="J1053">
        <f>B16_Assessment!D27</f>
        <v>0</v>
      </c>
      <c r="K1053">
        <f>B16_Assessment!E27</f>
        <v>0</v>
      </c>
      <c r="L1053">
        <f>B16_Assessment!F27</f>
        <v>0</v>
      </c>
      <c r="M1053">
        <f>B16_Assessment!G27</f>
        <v>0</v>
      </c>
      <c r="N1053">
        <f>B16_Assessment!H27</f>
        <v>0</v>
      </c>
      <c r="O1053">
        <f>B16_Assessment!I27</f>
        <v>0</v>
      </c>
      <c r="P1053">
        <f>B16_Assessment!J27</f>
        <v>0</v>
      </c>
      <c r="Q1053" t="str">
        <f t="shared" si="16"/>
        <v>16|20</v>
      </c>
    </row>
    <row r="1054" spans="1:17" ht="6.45" customHeight="1">
      <c r="A1054" t="s">
        <v>703</v>
      </c>
      <c r="B1054">
        <v>21</v>
      </c>
      <c r="C1054" t="s">
        <v>41</v>
      </c>
      <c r="D1054">
        <v>28</v>
      </c>
      <c r="E1054" t="s">
        <v>977</v>
      </c>
      <c r="F1054" t="s">
        <v>5322</v>
      </c>
      <c r="G1054" t="str">
        <f>B16_Assessment!A28</f>
        <v>5. ELECTRICAL / UPS</v>
      </c>
      <c r="H1054">
        <f>B16_Assessment!B28</f>
        <v>0</v>
      </c>
      <c r="I1054">
        <f>B16_Assessment!C28</f>
        <v>0</v>
      </c>
      <c r="J1054">
        <f>B16_Assessment!D28</f>
        <v>0</v>
      </c>
      <c r="K1054">
        <f>B16_Assessment!E28</f>
        <v>0</v>
      </c>
      <c r="L1054">
        <f>B16_Assessment!F28</f>
        <v>0</v>
      </c>
      <c r="M1054">
        <f>B16_Assessment!G28</f>
        <v>0</v>
      </c>
      <c r="N1054">
        <f>B16_Assessment!H28</f>
        <v>0</v>
      </c>
      <c r="O1054">
        <f>B16_Assessment!I28</f>
        <v>0</v>
      </c>
      <c r="P1054">
        <f>B16_Assessment!J28</f>
        <v>0</v>
      </c>
      <c r="Q1054" t="str">
        <f t="shared" si="16"/>
        <v>16|21</v>
      </c>
    </row>
    <row r="1055" spans="1:17" ht="6.45" customHeight="1">
      <c r="A1055" t="s">
        <v>703</v>
      </c>
      <c r="B1055">
        <v>22</v>
      </c>
      <c r="C1055" t="s">
        <v>41</v>
      </c>
      <c r="D1055">
        <v>29</v>
      </c>
      <c r="E1055" t="s">
        <v>977</v>
      </c>
      <c r="F1055" t="s">
        <v>5323</v>
      </c>
      <c r="G1055" t="str">
        <f>B16_Assessment!A29</f>
        <v>Room</v>
      </c>
      <c r="H1055" t="str">
        <f>B16_Assessment!B29</f>
        <v>UPS Installed</v>
      </c>
      <c r="I1055" t="str">
        <f>B16_Assessment!C29</f>
        <v>UPS Size</v>
      </c>
      <c r="J1055" t="str">
        <f>B16_Assessment!D29</f>
        <v>PDU Installed</v>
      </c>
      <c r="K1055" t="str">
        <f>B16_Assessment!E29</f>
        <v>Rack Receptacles</v>
      </c>
      <c r="L1055" t="str">
        <f>B16_Assessment!F29</f>
        <v>Panel Assigned</v>
      </c>
      <c r="M1055" t="str">
        <f>B16_Assessment!G29</f>
        <v>Emergency Source</v>
      </c>
      <c r="N1055" t="str">
        <f>B16_Assessment!H29</f>
        <v>SPD / Labeling</v>
      </c>
      <c r="O1055" t="str">
        <f>B16_Assessment!I29</f>
        <v>Overall</v>
      </c>
      <c r="P1055" t="str">
        <f>B16_Assessment!J29</f>
        <v>Notes</v>
      </c>
      <c r="Q1055" t="str">
        <f t="shared" si="16"/>
        <v>16|22</v>
      </c>
    </row>
    <row r="1056" spans="1:17" ht="6.45" customHeight="1">
      <c r="A1056" t="s">
        <v>703</v>
      </c>
      <c r="B1056">
        <v>23</v>
      </c>
      <c r="C1056" t="s">
        <v>41</v>
      </c>
      <c r="D1056">
        <v>30</v>
      </c>
      <c r="E1056" t="s">
        <v>977</v>
      </c>
      <c r="F1056" t="s">
        <v>5324</v>
      </c>
      <c r="G1056" t="str">
        <f>B16_Assessment!A30</f>
        <v>015</v>
      </c>
      <c r="H1056" t="str">
        <f>B16_Assessment!B30</f>
        <v>Verify</v>
      </c>
      <c r="I1056" t="str">
        <f>B16_Assessment!C30</f>
        <v>5 kW / 240V rack UPS</v>
      </c>
      <c r="J1056" t="str">
        <f>B16_Assessment!D30</f>
        <v>Verify</v>
      </c>
      <c r="K1056" t="str">
        <f>B16_Assessment!E30</f>
        <v>Verify</v>
      </c>
      <c r="L1056" t="str">
        <f>B16_Assessment!F30</f>
        <v>B16-TR015A / B16-TR015B</v>
      </c>
      <c r="M1056" t="str">
        <f>B16_Assessment!G30</f>
        <v>Verify</v>
      </c>
      <c r="N1056" t="str">
        <f>B16_Assessment!H30</f>
        <v>Verify</v>
      </c>
      <c r="O1056" t="str">
        <f>B16_Assessment!I30</f>
        <v>Verify</v>
      </c>
      <c r="P1056" t="str">
        <f>B16_Assessment!J30</f>
        <v>Electrical plans/schedules identify B16-TR015A/B, 240V rack UPS requirements, rack receptacles, TR receptacles, lighting, access controller, CU-1-01, SPD requirements, existing panel demolition/replacement, and 30-day load measurement requirements.</v>
      </c>
      <c r="Q1056" t="str">
        <f t="shared" si="16"/>
        <v>16|23</v>
      </c>
    </row>
    <row r="1057" spans="1:17" ht="6.45" customHeight="1">
      <c r="A1057" t="s">
        <v>703</v>
      </c>
      <c r="B1057">
        <v>24</v>
      </c>
      <c r="C1057" t="s">
        <v>41</v>
      </c>
      <c r="D1057">
        <v>31</v>
      </c>
      <c r="E1057" t="s">
        <v>977</v>
      </c>
      <c r="F1057" t="s">
        <v>5324</v>
      </c>
      <c r="G1057" t="str">
        <f>B16_Assessment!A31</f>
        <v>014</v>
      </c>
      <c r="H1057" t="str">
        <f>B16_Assessment!B31</f>
        <v>Existing</v>
      </c>
      <c r="I1057" t="str">
        <f>B16_Assessment!C31</f>
        <v>Existing floor UPS</v>
      </c>
      <c r="J1057" t="str">
        <f>B16_Assessment!D31</f>
        <v>Existing</v>
      </c>
      <c r="K1057" t="str">
        <f>B16_Assessment!E31</f>
        <v>Verify</v>
      </c>
      <c r="L1057" t="str">
        <f>B16_Assessment!F31</f>
        <v>Existing / Verify</v>
      </c>
      <c r="M1057" t="str">
        <f>B16_Assessment!G31</f>
        <v>Verify</v>
      </c>
      <c r="N1057" t="str">
        <f>B16_Assessment!H31</f>
        <v>Verify</v>
      </c>
      <c r="O1057" t="str">
        <f>B16_Assessment!I31</f>
        <v>Verify</v>
      </c>
      <c r="P1057" t="str">
        <f>B16_Assessment!J31</f>
        <v>Existing rack/equipment area; verify power source, active equipment, UPS status, and transition requirements before disconnect or removal.</v>
      </c>
      <c r="Q1057" t="str">
        <f t="shared" si="16"/>
        <v>16|24</v>
      </c>
    </row>
    <row r="1058" spans="1:17" ht="6.45" customHeight="1">
      <c r="A1058" t="s">
        <v>703</v>
      </c>
      <c r="B1058">
        <v>25</v>
      </c>
      <c r="C1058" t="s">
        <v>41</v>
      </c>
      <c r="D1058">
        <v>32</v>
      </c>
      <c r="E1058" t="s">
        <v>977</v>
      </c>
      <c r="F1058" t="s">
        <v>5325</v>
      </c>
      <c r="G1058">
        <f>B16_Assessment!A32</f>
        <v>0</v>
      </c>
      <c r="H1058">
        <f>B16_Assessment!B32</f>
        <v>0</v>
      </c>
      <c r="I1058">
        <f>B16_Assessment!C32</f>
        <v>0</v>
      </c>
      <c r="J1058">
        <f>B16_Assessment!D32</f>
        <v>0</v>
      </c>
      <c r="K1058">
        <f>B16_Assessment!E32</f>
        <v>0</v>
      </c>
      <c r="L1058">
        <f>B16_Assessment!F32</f>
        <v>0</v>
      </c>
      <c r="M1058">
        <f>B16_Assessment!G32</f>
        <v>0</v>
      </c>
      <c r="N1058">
        <f>B16_Assessment!H32</f>
        <v>0</v>
      </c>
      <c r="O1058">
        <f>B16_Assessment!I32</f>
        <v>0</v>
      </c>
      <c r="P1058">
        <f>B16_Assessment!J32</f>
        <v>0</v>
      </c>
      <c r="Q1058" t="str">
        <f t="shared" si="16"/>
        <v>16|25</v>
      </c>
    </row>
    <row r="1059" spans="1:17" ht="6.45" customHeight="1">
      <c r="A1059" t="s">
        <v>703</v>
      </c>
      <c r="B1059">
        <v>26</v>
      </c>
      <c r="C1059" t="s">
        <v>41</v>
      </c>
      <c r="D1059">
        <v>33</v>
      </c>
      <c r="E1059" t="s">
        <v>994</v>
      </c>
      <c r="F1059" t="s">
        <v>5322</v>
      </c>
      <c r="G1059" t="str">
        <f>B16_Assessment!A33</f>
        <v>6. TELECOMMUNICATIONS</v>
      </c>
      <c r="H1059">
        <f>B16_Assessment!B33</f>
        <v>0</v>
      </c>
      <c r="I1059">
        <f>B16_Assessment!C33</f>
        <v>0</v>
      </c>
      <c r="J1059">
        <f>B16_Assessment!D33</f>
        <v>0</v>
      </c>
      <c r="K1059">
        <f>B16_Assessment!E33</f>
        <v>0</v>
      </c>
      <c r="L1059">
        <f>B16_Assessment!F33</f>
        <v>0</v>
      </c>
      <c r="M1059">
        <f>B16_Assessment!G33</f>
        <v>0</v>
      </c>
      <c r="N1059">
        <f>B16_Assessment!H33</f>
        <v>0</v>
      </c>
      <c r="O1059">
        <f>B16_Assessment!I33</f>
        <v>0</v>
      </c>
      <c r="P1059">
        <f>B16_Assessment!J33</f>
        <v>0</v>
      </c>
      <c r="Q1059" t="str">
        <f t="shared" si="16"/>
        <v>16|26</v>
      </c>
    </row>
    <row r="1060" spans="1:17" ht="6.45" customHeight="1">
      <c r="A1060" t="s">
        <v>703</v>
      </c>
      <c r="B1060">
        <v>27</v>
      </c>
      <c r="C1060" t="s">
        <v>41</v>
      </c>
      <c r="D1060">
        <v>34</v>
      </c>
      <c r="E1060" t="s">
        <v>994</v>
      </c>
      <c r="F1060" t="s">
        <v>5323</v>
      </c>
      <c r="G1060" t="str">
        <f>B16_Assessment!A34</f>
        <v>Room</v>
      </c>
      <c r="H1060" t="str">
        <f>B16_Assessment!B34</f>
        <v>Rack Installed</v>
      </c>
      <c r="I1060" t="str">
        <f>B16_Assessment!C34</f>
        <v>Ladder Tray</v>
      </c>
      <c r="J1060" t="str">
        <f>B16_Assessment!D34</f>
        <v>Fiber Installed</v>
      </c>
      <c r="K1060" t="str">
        <f>B16_Assessment!E34</f>
        <v>Grounding</v>
      </c>
      <c r="L1060" t="str">
        <f>B16_Assessment!F34</f>
        <v>Labeling</v>
      </c>
      <c r="M1060" t="str">
        <f>B16_Assessment!G34</f>
        <v>Testing</v>
      </c>
      <c r="N1060" t="str">
        <f>B16_Assessment!H34</f>
        <v>VA Acceptance</v>
      </c>
      <c r="O1060" t="str">
        <f>B16_Assessment!I34</f>
        <v>Overall</v>
      </c>
      <c r="P1060" t="str">
        <f>B16_Assessment!J34</f>
        <v>Notes</v>
      </c>
      <c r="Q1060" t="str">
        <f t="shared" si="16"/>
        <v>16|27</v>
      </c>
    </row>
    <row r="1061" spans="1:17" ht="6.45" customHeight="1">
      <c r="A1061" t="s">
        <v>703</v>
      </c>
      <c r="B1061">
        <v>28</v>
      </c>
      <c r="C1061" t="s">
        <v>41</v>
      </c>
      <c r="D1061">
        <v>35</v>
      </c>
      <c r="E1061" t="s">
        <v>994</v>
      </c>
      <c r="F1061" t="s">
        <v>5324</v>
      </c>
      <c r="G1061" t="str">
        <f>B16_Assessment!A35</f>
        <v>015</v>
      </c>
      <c r="H1061" t="str">
        <f>B16_Assessment!B35</f>
        <v>Verify</v>
      </c>
      <c r="I1061" t="str">
        <f>B16_Assessment!C35</f>
        <v>Verify</v>
      </c>
      <c r="J1061" t="str">
        <f>B16_Assessment!D35</f>
        <v>Verify</v>
      </c>
      <c r="K1061" t="str">
        <f>B16_Assessment!E35</f>
        <v>Verify</v>
      </c>
      <c r="L1061" t="str">
        <f>B16_Assessment!F35</f>
        <v>Verify</v>
      </c>
      <c r="M1061" t="str">
        <f>B16_Assessment!G35</f>
        <v>Verify</v>
      </c>
      <c r="N1061" t="str">
        <f>B16_Assessment!H35</f>
        <v>Verify</v>
      </c>
      <c r="O1061" t="str">
        <f>B16_Assessment!I35</f>
        <v>Verify</v>
      </c>
      <c r="P1061" t="str">
        <f>B16_Assessment!J35</f>
        <v>16T-701 identifies Room 015-A schedule: 25 WAO total, 25 active ports per survey, 36 total ports per schedule, and 40 total ports with 10% allowance. New Rack ID TR01-015-A-1 serves basement, first, second and attic level outlets.</v>
      </c>
      <c r="Q1061" t="str">
        <f t="shared" si="16"/>
        <v>16|28</v>
      </c>
    </row>
    <row r="1062" spans="1:17" ht="6.45" customHeight="1">
      <c r="A1062" t="s">
        <v>703</v>
      </c>
      <c r="B1062">
        <v>29</v>
      </c>
      <c r="C1062" t="s">
        <v>41</v>
      </c>
      <c r="D1062">
        <v>36</v>
      </c>
      <c r="E1062" t="s">
        <v>994</v>
      </c>
      <c r="F1062" t="s">
        <v>5324</v>
      </c>
      <c r="G1062" t="str">
        <f>B16_Assessment!A36</f>
        <v>014</v>
      </c>
      <c r="H1062" t="str">
        <f>B16_Assessment!B36</f>
        <v>Existing</v>
      </c>
      <c r="I1062" t="str">
        <f>B16_Assessment!C36</f>
        <v>Existing</v>
      </c>
      <c r="J1062" t="str">
        <f>B16_Assessment!D36</f>
        <v>Existing</v>
      </c>
      <c r="K1062" t="str">
        <f>B16_Assessment!E36</f>
        <v>Verify</v>
      </c>
      <c r="L1062" t="str">
        <f>B16_Assessment!F36</f>
        <v>Verify</v>
      </c>
      <c r="M1062" t="str">
        <f>B16_Assessment!G36</f>
        <v>Verify</v>
      </c>
      <c r="N1062" t="str">
        <f>B16_Assessment!H36</f>
        <v>Verify</v>
      </c>
      <c r="O1062" t="str">
        <f>B16_Assessment!I36</f>
        <v>Verify</v>
      </c>
      <c r="P1062" t="str">
        <f>B16_Assessment!J36</f>
        <v>Existing Room 014 equipment includes wall/TE rack, floor-mounted UPS, Cisco switch, legacy 12-port modular patch panel and Fiber LIU; verify active services and transfer plan to Room 015.</v>
      </c>
      <c r="Q1062" t="str">
        <f t="shared" si="16"/>
        <v>16|29</v>
      </c>
    </row>
    <row r="1063" spans="1:17" ht="6.45" customHeight="1">
      <c r="A1063" t="s">
        <v>703</v>
      </c>
      <c r="B1063">
        <v>30</v>
      </c>
      <c r="C1063" t="s">
        <v>41</v>
      </c>
      <c r="D1063">
        <v>37</v>
      </c>
      <c r="E1063" t="s">
        <v>994</v>
      </c>
      <c r="F1063" t="s">
        <v>5325</v>
      </c>
      <c r="G1063">
        <f>B16_Assessment!A37</f>
        <v>0</v>
      </c>
      <c r="H1063">
        <f>B16_Assessment!B37</f>
        <v>0</v>
      </c>
      <c r="I1063">
        <f>B16_Assessment!C37</f>
        <v>0</v>
      </c>
      <c r="J1063">
        <f>B16_Assessment!D37</f>
        <v>0</v>
      </c>
      <c r="K1063">
        <f>B16_Assessment!E37</f>
        <v>0</v>
      </c>
      <c r="L1063">
        <f>B16_Assessment!F37</f>
        <v>0</v>
      </c>
      <c r="M1063">
        <f>B16_Assessment!G37</f>
        <v>0</v>
      </c>
      <c r="N1063">
        <f>B16_Assessment!H37</f>
        <v>0</v>
      </c>
      <c r="O1063">
        <f>B16_Assessment!I37</f>
        <v>0</v>
      </c>
      <c r="P1063">
        <f>B16_Assessment!J37</f>
        <v>0</v>
      </c>
      <c r="Q1063" t="str">
        <f t="shared" si="16"/>
        <v>16|30</v>
      </c>
    </row>
    <row r="1064" spans="1:17" ht="6.45" customHeight="1">
      <c r="A1064" t="s">
        <v>703</v>
      </c>
      <c r="B1064">
        <v>31</v>
      </c>
      <c r="C1064" t="s">
        <v>41</v>
      </c>
      <c r="D1064">
        <v>38</v>
      </c>
      <c r="E1064" t="s">
        <v>1007</v>
      </c>
      <c r="F1064" t="s">
        <v>5322</v>
      </c>
      <c r="G1064" t="str">
        <f>B16_Assessment!A38</f>
        <v>7. SECURITY / PACS / CCTV</v>
      </c>
      <c r="H1064">
        <f>B16_Assessment!B38</f>
        <v>0</v>
      </c>
      <c r="I1064">
        <f>B16_Assessment!C38</f>
        <v>0</v>
      </c>
      <c r="J1064">
        <f>B16_Assessment!D38</f>
        <v>0</v>
      </c>
      <c r="K1064">
        <f>B16_Assessment!E38</f>
        <v>0</v>
      </c>
      <c r="L1064">
        <f>B16_Assessment!F38</f>
        <v>0</v>
      </c>
      <c r="M1064">
        <f>B16_Assessment!G38</f>
        <v>0</v>
      </c>
      <c r="N1064">
        <f>B16_Assessment!H38</f>
        <v>0</v>
      </c>
      <c r="O1064">
        <f>B16_Assessment!I38</f>
        <v>0</v>
      </c>
      <c r="P1064">
        <f>B16_Assessment!J38</f>
        <v>0</v>
      </c>
      <c r="Q1064" t="str">
        <f t="shared" si="16"/>
        <v>16|31</v>
      </c>
    </row>
    <row r="1065" spans="1:17" ht="6.45" customHeight="1">
      <c r="A1065" t="s">
        <v>703</v>
      </c>
      <c r="B1065">
        <v>32</v>
      </c>
      <c r="C1065" t="s">
        <v>41</v>
      </c>
      <c r="D1065">
        <v>39</v>
      </c>
      <c r="E1065" t="s">
        <v>1007</v>
      </c>
      <c r="F1065" t="s">
        <v>5323</v>
      </c>
      <c r="G1065" t="str">
        <f>B16_Assessment!A39</f>
        <v>Room</v>
      </c>
      <c r="H1065" t="str">
        <f>B16_Assessment!B39</f>
        <v>PACS</v>
      </c>
      <c r="I1065" t="str">
        <f>B16_Assessment!C39</f>
        <v>Card Reader</v>
      </c>
      <c r="J1065" t="str">
        <f>B16_Assessment!D39</f>
        <v>Door Position</v>
      </c>
      <c r="K1065" t="str">
        <f>B16_Assessment!E39</f>
        <v>Electric Strike</v>
      </c>
      <c r="L1065" t="str">
        <f>B16_Assessment!F39</f>
        <v>CCTV</v>
      </c>
      <c r="M1065" t="str">
        <f>B16_Assessment!G39</f>
        <v>Motion Sensor</v>
      </c>
      <c r="N1065" t="str">
        <f>B16_Assessment!H39</f>
        <v>Integration</v>
      </c>
      <c r="O1065" t="str">
        <f>B16_Assessment!I39</f>
        <v>Overall</v>
      </c>
      <c r="P1065" t="str">
        <f>B16_Assessment!J39</f>
        <v>Notes</v>
      </c>
      <c r="Q1065" t="str">
        <f t="shared" si="16"/>
        <v>16|32</v>
      </c>
    </row>
    <row r="1066" spans="1:17" ht="6.45" customHeight="1">
      <c r="A1066" t="s">
        <v>703</v>
      </c>
      <c r="B1066">
        <v>33</v>
      </c>
      <c r="C1066" t="s">
        <v>41</v>
      </c>
      <c r="D1066">
        <v>40</v>
      </c>
      <c r="E1066" t="s">
        <v>1007</v>
      </c>
      <c r="F1066" t="s">
        <v>5324</v>
      </c>
      <c r="G1066" t="str">
        <f>B16_Assessment!A40</f>
        <v>015</v>
      </c>
      <c r="H1066" t="str">
        <f>B16_Assessment!B40</f>
        <v>Verify</v>
      </c>
      <c r="I1066" t="str">
        <f>B16_Assessment!C40</f>
        <v>Verify</v>
      </c>
      <c r="J1066" t="str">
        <f>B16_Assessment!D40</f>
        <v>Verify</v>
      </c>
      <c r="K1066" t="str">
        <f>B16_Assessment!E40</f>
        <v>Verify</v>
      </c>
      <c r="L1066" t="str">
        <f>B16_Assessment!F40</f>
        <v>Verify</v>
      </c>
      <c r="M1066" t="str">
        <f>B16_Assessment!G40</f>
        <v>Verify</v>
      </c>
      <c r="N1066" t="str">
        <f>B16_Assessment!H40</f>
        <v>Verify</v>
      </c>
      <c r="O1066" t="str">
        <f>B16_Assessment!I40</f>
        <v>Verify</v>
      </c>
      <c r="P1066" t="str">
        <f>B16_Assessment!J40</f>
        <v>Telecom/electrical plans show 015-CAM-1 and security/access-control scope for Room 015; verify CR/RX/DC/ES/MD devices, controller, camera/VMS integration, and door hardware coordination.</v>
      </c>
      <c r="Q1066" t="str">
        <f t="shared" si="16"/>
        <v>16|33</v>
      </c>
    </row>
    <row r="1067" spans="1:17" ht="6.45" customHeight="1">
      <c r="A1067" t="s">
        <v>703</v>
      </c>
      <c r="B1067">
        <v>34</v>
      </c>
      <c r="C1067" t="s">
        <v>41</v>
      </c>
      <c r="D1067">
        <v>41</v>
      </c>
      <c r="E1067" t="s">
        <v>1007</v>
      </c>
      <c r="F1067" t="s">
        <v>5324</v>
      </c>
      <c r="G1067" t="str">
        <f>B16_Assessment!A41</f>
        <v>014</v>
      </c>
      <c r="H1067" t="str">
        <f>B16_Assessment!B41</f>
        <v>Verify</v>
      </c>
      <c r="I1067" t="str">
        <f>B16_Assessment!C41</f>
        <v>Verify</v>
      </c>
      <c r="J1067" t="str">
        <f>B16_Assessment!D41</f>
        <v>Verify</v>
      </c>
      <c r="K1067" t="str">
        <f>B16_Assessment!E41</f>
        <v>Verify</v>
      </c>
      <c r="L1067" t="str">
        <f>B16_Assessment!F41</f>
        <v>Verify</v>
      </c>
      <c r="M1067" t="str">
        <f>B16_Assessment!G41</f>
        <v>Verify</v>
      </c>
      <c r="N1067" t="str">
        <f>B16_Assessment!H41</f>
        <v>Verify</v>
      </c>
      <c r="O1067" t="str">
        <f>B16_Assessment!I41</f>
        <v>Verify</v>
      </c>
      <c r="P1067" t="str">
        <f>B16_Assessment!J41</f>
        <v>Existing security cabinet shown in Room 014; verify whether security equipment remains, is relocated, or requires temporary protection during cutover.</v>
      </c>
      <c r="Q1067" t="str">
        <f t="shared" si="16"/>
        <v>16|34</v>
      </c>
    </row>
    <row r="1068" spans="1:17" ht="6.45" customHeight="1">
      <c r="A1068" t="s">
        <v>703</v>
      </c>
      <c r="B1068">
        <v>35</v>
      </c>
      <c r="C1068" t="s">
        <v>41</v>
      </c>
      <c r="D1068">
        <v>42</v>
      </c>
      <c r="E1068" t="s">
        <v>1007</v>
      </c>
      <c r="F1068" t="s">
        <v>5325</v>
      </c>
      <c r="G1068">
        <f>B16_Assessment!A42</f>
        <v>0</v>
      </c>
      <c r="H1068">
        <f>B16_Assessment!B42</f>
        <v>0</v>
      </c>
      <c r="I1068">
        <f>B16_Assessment!C42</f>
        <v>0</v>
      </c>
      <c r="J1068">
        <f>B16_Assessment!D42</f>
        <v>0</v>
      </c>
      <c r="K1068">
        <f>B16_Assessment!E42</f>
        <v>0</v>
      </c>
      <c r="L1068">
        <f>B16_Assessment!F42</f>
        <v>0</v>
      </c>
      <c r="M1068">
        <f>B16_Assessment!G42</f>
        <v>0</v>
      </c>
      <c r="N1068">
        <f>B16_Assessment!H42</f>
        <v>0</v>
      </c>
      <c r="O1068">
        <f>B16_Assessment!I42</f>
        <v>0</v>
      </c>
      <c r="P1068">
        <f>B16_Assessment!J42</f>
        <v>0</v>
      </c>
      <c r="Q1068" t="str">
        <f t="shared" si="16"/>
        <v>16|35</v>
      </c>
    </row>
    <row r="1069" spans="1:17" ht="6.45" customHeight="1">
      <c r="A1069" t="s">
        <v>703</v>
      </c>
      <c r="B1069">
        <v>36</v>
      </c>
      <c r="C1069" t="s">
        <v>41</v>
      </c>
      <c r="D1069">
        <v>43</v>
      </c>
      <c r="E1069" t="s">
        <v>1019</v>
      </c>
      <c r="F1069" t="s">
        <v>5322</v>
      </c>
      <c r="G1069" t="str">
        <f>B16_Assessment!A43</f>
        <v>8. OWNER RISKS</v>
      </c>
      <c r="H1069">
        <f>B16_Assessment!B43</f>
        <v>0</v>
      </c>
      <c r="I1069">
        <f>B16_Assessment!C43</f>
        <v>0</v>
      </c>
      <c r="J1069">
        <f>B16_Assessment!D43</f>
        <v>0</v>
      </c>
      <c r="K1069">
        <f>B16_Assessment!E43</f>
        <v>0</v>
      </c>
      <c r="L1069">
        <f>B16_Assessment!F43</f>
        <v>0</v>
      </c>
      <c r="M1069">
        <f>B16_Assessment!G43</f>
        <v>0</v>
      </c>
      <c r="N1069">
        <f>B16_Assessment!H43</f>
        <v>0</v>
      </c>
      <c r="O1069">
        <f>B16_Assessment!I43</f>
        <v>0</v>
      </c>
      <c r="P1069">
        <f>B16_Assessment!J43</f>
        <v>0</v>
      </c>
      <c r="Q1069" t="str">
        <f t="shared" si="16"/>
        <v>16|36</v>
      </c>
    </row>
    <row r="1070" spans="1:17" ht="6.45" customHeight="1">
      <c r="A1070" t="s">
        <v>703</v>
      </c>
      <c r="B1070">
        <v>37</v>
      </c>
      <c r="C1070" t="s">
        <v>41</v>
      </c>
      <c r="D1070">
        <v>44</v>
      </c>
      <c r="E1070" t="s">
        <v>1019</v>
      </c>
      <c r="F1070" t="s">
        <v>5323</v>
      </c>
      <c r="G1070" t="str">
        <f>B16_Assessment!A44</f>
        <v>Risk ID</v>
      </c>
      <c r="H1070" t="str">
        <f>B16_Assessment!B44</f>
        <v>Room</v>
      </c>
      <c r="I1070" t="str">
        <f>B16_Assessment!C44</f>
        <v>Risk</v>
      </c>
      <c r="J1070" t="str">
        <f>B16_Assessment!D44</f>
        <v>Impact</v>
      </c>
      <c r="K1070" t="str">
        <f>B16_Assessment!E44</f>
        <v>Probability</v>
      </c>
      <c r="L1070" t="str">
        <f>B16_Assessment!F44</f>
        <v>Score</v>
      </c>
      <c r="M1070" t="str">
        <f>B16_Assessment!G44</f>
        <v>Mitigation</v>
      </c>
      <c r="N1070" t="str">
        <f>B16_Assessment!H44</f>
        <v>Owner</v>
      </c>
      <c r="O1070" t="str">
        <f>B16_Assessment!I44</f>
        <v>Status</v>
      </c>
      <c r="P1070" t="str">
        <f>B16_Assessment!J44</f>
        <v>Notes</v>
      </c>
      <c r="Q1070" t="str">
        <f t="shared" si="16"/>
        <v>16|37</v>
      </c>
    </row>
    <row r="1071" spans="1:17" ht="6.45" customHeight="1">
      <c r="A1071" t="s">
        <v>703</v>
      </c>
      <c r="B1071">
        <v>38</v>
      </c>
      <c r="C1071" t="s">
        <v>41</v>
      </c>
      <c r="D1071">
        <v>45</v>
      </c>
      <c r="E1071" t="s">
        <v>1019</v>
      </c>
      <c r="F1071" t="s">
        <v>5324</v>
      </c>
      <c r="G1071" t="str">
        <f>B16_Assessment!A45</f>
        <v>B16-R1</v>
      </c>
      <c r="H1071" t="str">
        <f>B16_Assessment!B45</f>
        <v>All</v>
      </c>
      <c r="I1071" t="str">
        <f>B16_Assessment!C45</f>
        <v>Existing conditions for Room 015 and existing Telecom Room 014 not field verified</v>
      </c>
      <c r="J1071" t="str">
        <f>B16_Assessment!D45</f>
        <v>High</v>
      </c>
      <c r="K1071" t="str">
        <f>B16_Assessment!E45</f>
        <v>Medium</v>
      </c>
      <c r="L1071">
        <f>B16_Assessment!F45</f>
        <v>6</v>
      </c>
      <c r="M1071" t="str">
        <f>B16_Assessment!G45</f>
        <v>Perform existing conditions survey with photos before mobilization</v>
      </c>
      <c r="N1071" t="str">
        <f>B16_Assessment!H45</f>
        <v>GCC / Contractor</v>
      </c>
      <c r="O1071" t="str">
        <f>B16_Assessment!I45</f>
        <v>Closed</v>
      </c>
      <c r="P1071" t="str">
        <f>B16_Assessment!J45</f>
        <v>B16 includes new basement TR plus existing basement telecom transition point.</v>
      </c>
      <c r="Q1071" t="str">
        <f t="shared" si="16"/>
        <v>16|38</v>
      </c>
    </row>
    <row r="1072" spans="1:17" ht="6.45" customHeight="1">
      <c r="A1072" t="s">
        <v>703</v>
      </c>
      <c r="B1072">
        <v>39</v>
      </c>
      <c r="C1072" t="s">
        <v>41</v>
      </c>
      <c r="D1072">
        <v>46</v>
      </c>
      <c r="E1072" t="s">
        <v>1019</v>
      </c>
      <c r="F1072" t="s">
        <v>5324</v>
      </c>
      <c r="G1072" t="str">
        <f>B16_Assessment!A46</f>
        <v>B16-R2</v>
      </c>
      <c r="H1072" t="str">
        <f>B16_Assessment!B46</f>
        <v>014</v>
      </c>
      <c r="I1072" t="str">
        <f>B16_Assessment!C46</f>
        <v>Existing telecom equipment may remain active during cutover</v>
      </c>
      <c r="J1072" t="str">
        <f>B16_Assessment!D46</f>
        <v>Critical</v>
      </c>
      <c r="K1072" t="str">
        <f>B16_Assessment!E46</f>
        <v>Medium</v>
      </c>
      <c r="L1072">
        <f>B16_Assessment!F46</f>
        <v>8</v>
      </c>
      <c r="M1072" t="str">
        <f>B16_Assessment!G46</f>
        <v>Document active services, protect in place, identify owner/OIT cutover windows, and preserve rollback path</v>
      </c>
      <c r="N1072" t="str">
        <f>B16_Assessment!H46</f>
        <v>Telecom / OIT</v>
      </c>
      <c r="O1072" t="str">
        <f>B16_Assessment!I46</f>
        <v>Closed</v>
      </c>
      <c r="P1072" t="str">
        <f>B16_Assessment!J46</f>
        <v>Existing wall-mounted rack, Cisco switch, legacy patch panel, security cabinet and UPS shown.</v>
      </c>
      <c r="Q1072" t="str">
        <f t="shared" si="16"/>
        <v>16|39</v>
      </c>
    </row>
    <row r="1073" spans="1:17" ht="6.45" customHeight="1">
      <c r="A1073" t="s">
        <v>703</v>
      </c>
      <c r="B1073">
        <v>40</v>
      </c>
      <c r="C1073" t="s">
        <v>41</v>
      </c>
      <c r="D1073">
        <v>47</v>
      </c>
      <c r="E1073" t="s">
        <v>1019</v>
      </c>
      <c r="F1073" t="s">
        <v>5324</v>
      </c>
      <c r="G1073" t="str">
        <f>B16_Assessment!A47</f>
        <v>B16-R3</v>
      </c>
      <c r="H1073" t="str">
        <f>B16_Assessment!B47</f>
        <v>015</v>
      </c>
      <c r="I1073" t="str">
        <f>B16_Assessment!C47</f>
        <v>Basement TR buildout may conflict with existing utilities, water heater/stair/storage conditions and pathway routing</v>
      </c>
      <c r="J1073" t="str">
        <f>B16_Assessment!D47</f>
        <v>High</v>
      </c>
      <c r="K1073" t="str">
        <f>B16_Assessment!E47</f>
        <v>Medium</v>
      </c>
      <c r="L1073">
        <f>B16_Assessment!F47</f>
        <v>6</v>
      </c>
      <c r="M1073" t="str">
        <f>B16_Assessment!G47</f>
        <v>Survey adjacent Water Heater 010, Vacant 011/012/013, Stair 014, pathway/ductbank routing, and constructability constraints</v>
      </c>
      <c r="N1073" t="str">
        <f>B16_Assessment!H47</f>
        <v>GC / GCC</v>
      </c>
      <c r="O1073" t="str">
        <f>B16_Assessment!I47</f>
        <v>Closed</v>
      </c>
      <c r="P1073" t="str">
        <f>B16_Assessment!J47</f>
        <v>Room 015 is basement level and adjacent to existing utilities/rooms.</v>
      </c>
      <c r="Q1073" t="str">
        <f t="shared" si="16"/>
        <v>16|40</v>
      </c>
    </row>
    <row r="1074" spans="1:17" ht="6.45" customHeight="1">
      <c r="A1074" t="s">
        <v>703</v>
      </c>
      <c r="B1074">
        <v>41</v>
      </c>
      <c r="C1074" t="s">
        <v>41</v>
      </c>
      <c r="D1074">
        <v>48</v>
      </c>
      <c r="E1074" t="s">
        <v>1019</v>
      </c>
      <c r="F1074" t="s">
        <v>5324</v>
      </c>
      <c r="G1074" t="str">
        <f>B16_Assessment!A48</f>
        <v>B16-R4</v>
      </c>
      <c r="H1074" t="str">
        <f>B16_Assessment!B48</f>
        <v>015</v>
      </c>
      <c r="I1074" t="str">
        <f>B16_Assessment!C48</f>
        <v>Dedicated cooling emergency power, condensate, BACnet and alarms not verified</v>
      </c>
      <c r="J1074" t="str">
        <f>B16_Assessment!D48</f>
        <v>Critical</v>
      </c>
      <c r="K1074" t="str">
        <f>B16_Assessment!E48</f>
        <v>Medium</v>
      </c>
      <c r="L1074">
        <f>B16_Assessment!F48</f>
        <v>8</v>
      </c>
      <c r="M1074" t="str">
        <f>B16_Assessment!G48</f>
        <v>Confirm IU-1-01/CU-1-01 power source, condensate route, controls, BACnet adapter, thermostat and high-temp alarm</v>
      </c>
      <c r="N1074" t="str">
        <f>B16_Assessment!H48</f>
        <v>Mechanical / Electrical</v>
      </c>
      <c r="O1074" t="str">
        <f>B16_Assessment!I48</f>
        <v>Closed</v>
      </c>
      <c r="P1074" t="str">
        <f>B16_Assessment!J48</f>
        <v>Cooling is central to TR readiness.</v>
      </c>
      <c r="Q1074" t="str">
        <f t="shared" si="16"/>
        <v>16|41</v>
      </c>
    </row>
    <row r="1075" spans="1:17" ht="6.45" customHeight="1">
      <c r="A1075" t="s">
        <v>703</v>
      </c>
      <c r="B1075">
        <v>42</v>
      </c>
      <c r="C1075" t="s">
        <v>41</v>
      </c>
      <c r="D1075">
        <v>49</v>
      </c>
      <c r="E1075" t="s">
        <v>1019</v>
      </c>
      <c r="F1075" t="s">
        <v>5324</v>
      </c>
      <c r="G1075" t="str">
        <f>B16_Assessment!A49</f>
        <v>B16-R5</v>
      </c>
      <c r="H1075" t="str">
        <f>B16_Assessment!B49</f>
        <v>015</v>
      </c>
      <c r="I1075" t="str">
        <f>B16_Assessment!C49</f>
        <v>240V UPS/PDU and panel source coordination could delay energization</v>
      </c>
      <c r="J1075" t="str">
        <f>B16_Assessment!D49</f>
        <v>High</v>
      </c>
      <c r="K1075" t="str">
        <f>B16_Assessment!E49</f>
        <v>Medium</v>
      </c>
      <c r="L1075">
        <f>B16_Assessment!F49</f>
        <v>6</v>
      </c>
      <c r="M1075" t="str">
        <f>B16_Assessment!G49</f>
        <v>Verify B16-TR015A/B schedules, breakers, receptacles, SPD, labels, load measurement, normal/emergency source and LOTO needs</v>
      </c>
      <c r="N1075" t="str">
        <f>B16_Assessment!H49</f>
        <v>Electrical / GCC</v>
      </c>
      <c r="O1075" t="str">
        <f>B16_Assessment!I49</f>
        <v>Closed</v>
      </c>
      <c r="P1075" t="str">
        <f>B16_Assessment!J49</f>
        <v>Panel schedule includes existing panel replacement/demolition and 30-day load measurement requirements.</v>
      </c>
      <c r="Q1075" t="str">
        <f t="shared" si="16"/>
        <v>16|42</v>
      </c>
    </row>
    <row r="1076" spans="1:17" ht="6.45" customHeight="1">
      <c r="A1076" t="s">
        <v>703</v>
      </c>
      <c r="B1076">
        <v>43</v>
      </c>
      <c r="C1076" t="s">
        <v>41</v>
      </c>
      <c r="D1076">
        <v>50</v>
      </c>
      <c r="E1076" t="s">
        <v>1019</v>
      </c>
      <c r="F1076" t="s">
        <v>5324</v>
      </c>
      <c r="G1076" t="str">
        <f>B16_Assessment!A50</f>
        <v>B16-R6</v>
      </c>
      <c r="H1076" t="str">
        <f>B16_Assessment!B50</f>
        <v>015</v>
      </c>
      <c r="I1076" t="str">
        <f>B16_Assessment!C50</f>
        <v>Rated wall/door/firestop scope may affect life-safety acceptance</v>
      </c>
      <c r="J1076" t="str">
        <f>B16_Assessment!D50</f>
        <v>High</v>
      </c>
      <c r="K1076" t="str">
        <f>B16_Assessment!E50</f>
        <v>Medium</v>
      </c>
      <c r="L1076">
        <f>B16_Assessment!F50</f>
        <v>6</v>
      </c>
      <c r="M1076" t="str">
        <f>B16_Assessment!G50</f>
        <v>Inspect 1-hour wall/smoke barrier conditions, rated door/frame, penetrations, FEC location, temporary firestopping and final UL systems</v>
      </c>
      <c r="N1076" t="str">
        <f>B16_Assessment!H50</f>
        <v>GC / FP / FA</v>
      </c>
      <c r="O1076" t="str">
        <f>B16_Assessment!I50</f>
        <v>Closed</v>
      </c>
      <c r="P1076" t="str">
        <f>B16_Assessment!J50</f>
        <v>New TRs must be 1-hour fire/smoke rated.</v>
      </c>
      <c r="Q1076" t="str">
        <f t="shared" si="16"/>
        <v>16|43</v>
      </c>
    </row>
    <row r="1077" spans="1:17" ht="6.45" customHeight="1">
      <c r="A1077" t="s">
        <v>703</v>
      </c>
      <c r="B1077">
        <v>44</v>
      </c>
      <c r="C1077" t="s">
        <v>41</v>
      </c>
      <c r="D1077">
        <v>51</v>
      </c>
      <c r="E1077" t="s">
        <v>1019</v>
      </c>
      <c r="F1077" t="s">
        <v>5324</v>
      </c>
      <c r="G1077" t="str">
        <f>B16_Assessment!A51</f>
        <v>B16-R7</v>
      </c>
      <c r="H1077" t="str">
        <f>B16_Assessment!B51</f>
        <v>All</v>
      </c>
      <c r="I1077" t="str">
        <f>B16_Assessment!C51</f>
        <v>Telecom/fiber cutover could affect active hospital communications across basement, first, second and attic levels</v>
      </c>
      <c r="J1077" t="str">
        <f>B16_Assessment!D51</f>
        <v>Critical</v>
      </c>
      <c r="K1077" t="str">
        <f>B16_Assessment!E51</f>
        <v>Medium</v>
      </c>
      <c r="L1077">
        <f>B16_Assessment!F51</f>
        <v>8</v>
      </c>
      <c r="M1077" t="str">
        <f>B16_Assessment!G51</f>
        <v>Require cutover plan, test records, labels, as-builts, OIT coordination and VA acceptance before active connection</v>
      </c>
      <c r="N1077" t="str">
        <f>B16_Assessment!H51</f>
        <v>Telecom / OIT</v>
      </c>
      <c r="O1077" t="str">
        <f>B16_Assessment!I51</f>
        <v>Closed</v>
      </c>
      <c r="P1077" t="str">
        <f>B16_Assessment!J51</f>
        <v>16T-701 shows Room 015 serving 40 total ports including allowance.</v>
      </c>
      <c r="Q1077" t="str">
        <f t="shared" si="16"/>
        <v>16|44</v>
      </c>
    </row>
    <row r="1078" spans="1:17" ht="6.45" customHeight="1">
      <c r="A1078" t="s">
        <v>703</v>
      </c>
      <c r="B1078">
        <v>45</v>
      </c>
      <c r="C1078" t="s">
        <v>41</v>
      </c>
      <c r="D1078">
        <v>52</v>
      </c>
      <c r="E1078" t="s">
        <v>1019</v>
      </c>
      <c r="F1078" t="s">
        <v>5324</v>
      </c>
      <c r="G1078" t="str">
        <f>B16_Assessment!A52</f>
        <v>B16-R8</v>
      </c>
      <c r="H1078" t="str">
        <f>B16_Assessment!B52</f>
        <v>All</v>
      </c>
      <c r="I1078" t="str">
        <f>B16_Assessment!C52</f>
        <v>Commissioning/third-party inspection reports may not be complete at turnover</v>
      </c>
      <c r="J1078" t="str">
        <f>B16_Assessment!D52</f>
        <v>High</v>
      </c>
      <c r="K1078" t="str">
        <f>B16_Assessment!E52</f>
        <v>Medium</v>
      </c>
      <c r="L1078">
        <f>B16_Assessment!F52</f>
        <v>6</v>
      </c>
      <c r="M1078" t="str">
        <f>B16_Assessment!G52</f>
        <v>Track commissioning, inspections, fire alarm/sprinkler acceptance, power verification, cabling test records, labels and as-builts</v>
      </c>
      <c r="N1078" t="str">
        <f>B16_Assessment!H52</f>
        <v>GC / Cx Manager</v>
      </c>
      <c r="O1078" t="str">
        <f>B16_Assessment!I52</f>
        <v>Closed</v>
      </c>
      <c r="P1078" t="str">
        <f>B16_Assessment!J52</f>
        <v>Required by cover/general notes.</v>
      </c>
      <c r="Q1078" t="str">
        <f t="shared" si="16"/>
        <v>16|45</v>
      </c>
    </row>
    <row r="1079" spans="1:17" ht="6.45" customHeight="1">
      <c r="A1079" t="s">
        <v>703</v>
      </c>
      <c r="B1079">
        <v>46</v>
      </c>
      <c r="C1079" t="s">
        <v>41</v>
      </c>
      <c r="D1079">
        <v>53</v>
      </c>
      <c r="E1079" t="s">
        <v>1019</v>
      </c>
      <c r="F1079" t="s">
        <v>5325</v>
      </c>
      <c r="G1079">
        <f>B16_Assessment!A53</f>
        <v>0</v>
      </c>
      <c r="H1079">
        <f>B16_Assessment!B53</f>
        <v>0</v>
      </c>
      <c r="I1079">
        <f>B16_Assessment!C53</f>
        <v>0</v>
      </c>
      <c r="J1079">
        <f>B16_Assessment!D53</f>
        <v>0</v>
      </c>
      <c r="K1079">
        <f>B16_Assessment!E53</f>
        <v>0</v>
      </c>
      <c r="L1079">
        <f>B16_Assessment!F53</f>
        <v>0</v>
      </c>
      <c r="M1079">
        <f>B16_Assessment!G53</f>
        <v>0</v>
      </c>
      <c r="N1079">
        <f>B16_Assessment!H53</f>
        <v>0</v>
      </c>
      <c r="O1079">
        <f>B16_Assessment!I53</f>
        <v>0</v>
      </c>
      <c r="P1079">
        <f>B16_Assessment!J53</f>
        <v>0</v>
      </c>
      <c r="Q1079" t="str">
        <f t="shared" si="16"/>
        <v>16|46</v>
      </c>
    </row>
    <row r="1080" spans="1:17" ht="6.45" customHeight="1">
      <c r="A1080" t="s">
        <v>703</v>
      </c>
      <c r="B1080">
        <v>47</v>
      </c>
      <c r="C1080" t="s">
        <v>41</v>
      </c>
      <c r="D1080">
        <v>54</v>
      </c>
      <c r="E1080" t="s">
        <v>1051</v>
      </c>
      <c r="F1080" t="s">
        <v>5322</v>
      </c>
      <c r="G1080" t="str">
        <f>B16_Assessment!A54</f>
        <v>9. OPEN QUESTIONS</v>
      </c>
      <c r="H1080">
        <f>B16_Assessment!B54</f>
        <v>0</v>
      </c>
      <c r="I1080">
        <f>B16_Assessment!C54</f>
        <v>0</v>
      </c>
      <c r="J1080">
        <f>B16_Assessment!D54</f>
        <v>0</v>
      </c>
      <c r="K1080">
        <f>B16_Assessment!E54</f>
        <v>0</v>
      </c>
      <c r="L1080">
        <f>B16_Assessment!F54</f>
        <v>0</v>
      </c>
      <c r="M1080">
        <f>B16_Assessment!G54</f>
        <v>0</v>
      </c>
      <c r="N1080">
        <f>B16_Assessment!H54</f>
        <v>0</v>
      </c>
      <c r="O1080">
        <f>B16_Assessment!I54</f>
        <v>0</v>
      </c>
      <c r="P1080">
        <f>B16_Assessment!J54</f>
        <v>0</v>
      </c>
      <c r="Q1080" t="str">
        <f t="shared" si="16"/>
        <v>16|47</v>
      </c>
    </row>
    <row r="1081" spans="1:17" ht="6.45" customHeight="1">
      <c r="A1081" t="s">
        <v>703</v>
      </c>
      <c r="B1081">
        <v>48</v>
      </c>
      <c r="C1081" t="s">
        <v>41</v>
      </c>
      <c r="D1081">
        <v>55</v>
      </c>
      <c r="E1081" t="s">
        <v>1051</v>
      </c>
      <c r="F1081" t="s">
        <v>5323</v>
      </c>
      <c r="G1081" t="str">
        <f>B16_Assessment!A55</f>
        <v>Question ID</v>
      </c>
      <c r="H1081" t="str">
        <f>B16_Assessment!B55</f>
        <v>Question</v>
      </c>
      <c r="I1081" t="str">
        <f>B16_Assessment!C55</f>
        <v>Assigned To</v>
      </c>
      <c r="J1081" t="str">
        <f>B16_Assessment!D55</f>
        <v>Status</v>
      </c>
      <c r="K1081" t="str">
        <f>B16_Assessment!E55</f>
        <v>Needed By</v>
      </c>
      <c r="L1081" t="str">
        <f>B16_Assessment!F55</f>
        <v>Answer / Resolution</v>
      </c>
      <c r="M1081" t="str">
        <f>B16_Assessment!G55</f>
        <v>Impact if Unanswered</v>
      </c>
      <c r="N1081" t="str">
        <f>B16_Assessment!H55</f>
        <v>Follow-up</v>
      </c>
      <c r="O1081" t="str">
        <f>B16_Assessment!I55</f>
        <v>Date Closed</v>
      </c>
      <c r="P1081" t="str">
        <f>B16_Assessment!J55</f>
        <v>Notes</v>
      </c>
      <c r="Q1081" t="str">
        <f t="shared" si="16"/>
        <v>16|48</v>
      </c>
    </row>
    <row r="1082" spans="1:17" ht="6.45" customHeight="1">
      <c r="A1082" t="s">
        <v>703</v>
      </c>
      <c r="B1082">
        <v>49</v>
      </c>
      <c r="C1082" t="s">
        <v>41</v>
      </c>
      <c r="D1082">
        <v>56</v>
      </c>
      <c r="E1082" t="s">
        <v>1051</v>
      </c>
      <c r="F1082" t="s">
        <v>5324</v>
      </c>
      <c r="G1082" t="str">
        <f>B16_Assessment!A56</f>
        <v>B16-Q1</v>
      </c>
      <c r="H1082" t="str">
        <f>B16_Assessment!B56</f>
        <v>Confirm final telecom scope: new Room 015 and existing Room 014 transition only?</v>
      </c>
      <c r="I1082" t="str">
        <f>B16_Assessment!C56</f>
        <v>VA / OIT / Designer</v>
      </c>
      <c r="J1082" t="str">
        <f>B16_Assessment!D56</f>
        <v>Closed</v>
      </c>
      <c r="K1082">
        <f>B16_Assessment!E56</f>
        <v>0</v>
      </c>
      <c r="L1082">
        <f>B16_Assessment!F56</f>
        <v>0</v>
      </c>
      <c r="M1082" t="str">
        <f>B16_Assessment!G56</f>
        <v>Room inventory could miss scope</v>
      </c>
      <c r="N1082">
        <f>B16_Assessment!H56</f>
        <v>0</v>
      </c>
      <c r="O1082">
        <f>B16_Assessment!I56</f>
        <v>0</v>
      </c>
      <c r="P1082">
        <f>B16_Assessment!J56</f>
        <v>0</v>
      </c>
      <c r="Q1082" t="str">
        <f t="shared" si="16"/>
        <v>16|49</v>
      </c>
    </row>
    <row r="1083" spans="1:17" ht="6.45" customHeight="1">
      <c r="A1083" t="s">
        <v>703</v>
      </c>
      <c r="B1083">
        <v>50</v>
      </c>
      <c r="C1083" t="s">
        <v>41</v>
      </c>
      <c r="D1083">
        <v>57</v>
      </c>
      <c r="E1083" t="s">
        <v>1051</v>
      </c>
      <c r="F1083" t="s">
        <v>5324</v>
      </c>
      <c r="G1083" t="str">
        <f>B16_Assessment!A57</f>
        <v>B16-Q2</v>
      </c>
      <c r="H1083" t="str">
        <f>B16_Assessment!B57</f>
        <v>What active services are currently fed from existing Room 014 equipment?</v>
      </c>
      <c r="I1083" t="str">
        <f>B16_Assessment!C57</f>
        <v>OIT / Contractor</v>
      </c>
      <c r="J1083" t="str">
        <f>B16_Assessment!D57</f>
        <v>Closed</v>
      </c>
      <c r="K1083">
        <f>B16_Assessment!E57</f>
        <v>0</v>
      </c>
      <c r="L1083">
        <f>B16_Assessment!F57</f>
        <v>0</v>
      </c>
      <c r="M1083" t="str">
        <f>B16_Assessment!G57</f>
        <v>Potential communications/security outage</v>
      </c>
      <c r="N1083">
        <f>B16_Assessment!H57</f>
        <v>0</v>
      </c>
      <c r="O1083">
        <f>B16_Assessment!I57</f>
        <v>0</v>
      </c>
      <c r="P1083">
        <f>B16_Assessment!J57</f>
        <v>0</v>
      </c>
      <c r="Q1083" t="str">
        <f t="shared" si="16"/>
        <v>16|50</v>
      </c>
    </row>
    <row r="1084" spans="1:17" ht="6.45" customHeight="1">
      <c r="A1084" t="s">
        <v>703</v>
      </c>
      <c r="B1084">
        <v>51</v>
      </c>
      <c r="C1084" t="s">
        <v>41</v>
      </c>
      <c r="D1084">
        <v>58</v>
      </c>
      <c r="E1084" t="s">
        <v>1051</v>
      </c>
      <c r="F1084" t="s">
        <v>5324</v>
      </c>
      <c r="G1084" t="str">
        <f>B16_Assessment!A58</f>
        <v>B16-Q3</v>
      </c>
      <c r="H1084" t="str">
        <f>B16_Assessment!B58</f>
        <v>Is IU-1-01/CU-1-01 on emergency/backup power and dedicated to Room 015?</v>
      </c>
      <c r="I1084" t="str">
        <f>B16_Assessment!C58</f>
        <v>Mechanical / Electrical / VA</v>
      </c>
      <c r="J1084" t="str">
        <f>B16_Assessment!D58</f>
        <v>Closed</v>
      </c>
      <c r="K1084">
        <f>B16_Assessment!E58</f>
        <v>0</v>
      </c>
      <c r="L1084">
        <f>B16_Assessment!F58</f>
        <v>0</v>
      </c>
      <c r="M1084" t="str">
        <f>B16_Assessment!G58</f>
        <v>Cooling continuity unclear</v>
      </c>
      <c r="N1084">
        <f>B16_Assessment!H58</f>
        <v>0</v>
      </c>
      <c r="O1084">
        <f>B16_Assessment!I58</f>
        <v>0</v>
      </c>
      <c r="P1084">
        <f>B16_Assessment!J58</f>
        <v>0</v>
      </c>
      <c r="Q1084" t="str">
        <f t="shared" si="16"/>
        <v>16|51</v>
      </c>
    </row>
    <row r="1085" spans="1:17" ht="6.45" customHeight="1">
      <c r="A1085" t="s">
        <v>703</v>
      </c>
      <c r="B1085">
        <v>52</v>
      </c>
      <c r="C1085" t="s">
        <v>41</v>
      </c>
      <c r="D1085">
        <v>59</v>
      </c>
      <c r="E1085" t="s">
        <v>1051</v>
      </c>
      <c r="F1085" t="s">
        <v>5324</v>
      </c>
      <c r="G1085" t="str">
        <f>B16_Assessment!A59</f>
        <v>B16-Q4</v>
      </c>
      <c r="H1085" t="str">
        <f>B16_Assessment!B59</f>
        <v>Where is the clean-agent/CO2 extinguisher cabinet located within 75 ft of Room 015?</v>
      </c>
      <c r="I1085" t="str">
        <f>B16_Assessment!C59</f>
        <v>GC / COR</v>
      </c>
      <c r="J1085" t="str">
        <f>B16_Assessment!D59</f>
        <v>Closed</v>
      </c>
      <c r="K1085">
        <f>B16_Assessment!E59</f>
        <v>0</v>
      </c>
      <c r="L1085">
        <f>B16_Assessment!F59</f>
        <v>0</v>
      </c>
      <c r="M1085" t="str">
        <f>B16_Assessment!G59</f>
        <v>Life-safety acceptance risk</v>
      </c>
      <c r="N1085">
        <f>B16_Assessment!H59</f>
        <v>0</v>
      </c>
      <c r="O1085">
        <f>B16_Assessment!I59</f>
        <v>0</v>
      </c>
      <c r="P1085">
        <f>B16_Assessment!J59</f>
        <v>0</v>
      </c>
      <c r="Q1085" t="str">
        <f t="shared" si="16"/>
        <v>16|52</v>
      </c>
    </row>
    <row r="1086" spans="1:17" ht="6.45" customHeight="1">
      <c r="A1086" t="s">
        <v>703</v>
      </c>
      <c r="B1086">
        <v>53</v>
      </c>
      <c r="C1086" t="s">
        <v>41</v>
      </c>
      <c r="D1086">
        <v>60</v>
      </c>
      <c r="E1086" t="s">
        <v>1051</v>
      </c>
      <c r="F1086" t="s">
        <v>5324</v>
      </c>
      <c r="G1086" t="str">
        <f>B16_Assessment!A60</f>
        <v>B16-Q5</v>
      </c>
      <c r="H1086" t="str">
        <f>B16_Assessment!B60</f>
        <v>Are B16-TR015A/B sources, rack receptacles, SPDs, circuit labels and load measurements approved?</v>
      </c>
      <c r="I1086" t="str">
        <f>B16_Assessment!C60</f>
        <v>Electrical / Designer</v>
      </c>
      <c r="J1086" t="str">
        <f>B16_Assessment!D60</f>
        <v>Closed</v>
      </c>
      <c r="K1086">
        <f>B16_Assessment!E60</f>
        <v>0</v>
      </c>
      <c r="L1086">
        <f>B16_Assessment!F60</f>
        <v>0</v>
      </c>
      <c r="M1086" t="str">
        <f>B16_Assessment!G60</f>
        <v>Electrical readiness unknown</v>
      </c>
      <c r="N1086">
        <f>B16_Assessment!H60</f>
        <v>0</v>
      </c>
      <c r="O1086">
        <f>B16_Assessment!I60</f>
        <v>0</v>
      </c>
      <c r="P1086">
        <f>B16_Assessment!J60</f>
        <v>0</v>
      </c>
      <c r="Q1086" t="str">
        <f t="shared" si="16"/>
        <v>16|53</v>
      </c>
    </row>
    <row r="1087" spans="1:17" ht="6.45" customHeight="1">
      <c r="A1087" t="s">
        <v>703</v>
      </c>
      <c r="B1087">
        <v>54</v>
      </c>
      <c r="C1087" t="s">
        <v>41</v>
      </c>
      <c r="D1087">
        <v>61</v>
      </c>
      <c r="E1087" t="s">
        <v>1051</v>
      </c>
      <c r="F1087" t="s">
        <v>5324</v>
      </c>
      <c r="G1087" t="str">
        <f>B16_Assessment!A61</f>
        <v>B16-Q6</v>
      </c>
      <c r="H1087" t="str">
        <f>B16_Assessment!B61</f>
        <v>Which existing panel/circuit breaker/feeder demolition and replacement affects Room 015 telecom power?</v>
      </c>
      <c r="I1087" t="str">
        <f>B16_Assessment!C61</f>
        <v>Electrical / GCC</v>
      </c>
      <c r="J1087" t="str">
        <f>B16_Assessment!D61</f>
        <v>Closed</v>
      </c>
      <c r="K1087">
        <f>B16_Assessment!E61</f>
        <v>0</v>
      </c>
      <c r="L1087">
        <f>B16_Assessment!F61</f>
        <v>0</v>
      </c>
      <c r="M1087" t="str">
        <f>B16_Assessment!G61</f>
        <v>Panel outage/cutover risk</v>
      </c>
      <c r="N1087">
        <f>B16_Assessment!H61</f>
        <v>0</v>
      </c>
      <c r="O1087">
        <f>B16_Assessment!I61</f>
        <v>0</v>
      </c>
      <c r="P1087">
        <f>B16_Assessment!J61</f>
        <v>0</v>
      </c>
      <c r="Q1087" t="str">
        <f t="shared" si="16"/>
        <v>16|54</v>
      </c>
    </row>
    <row r="1088" spans="1:17" ht="6.45" customHeight="1">
      <c r="A1088" t="s">
        <v>703</v>
      </c>
      <c r="B1088">
        <v>55</v>
      </c>
      <c r="C1088" t="s">
        <v>41</v>
      </c>
      <c r="D1088">
        <v>62</v>
      </c>
      <c r="E1088" t="s">
        <v>1051</v>
      </c>
      <c r="F1088" t="s">
        <v>5324</v>
      </c>
      <c r="G1088" t="str">
        <f>B16_Assessment!A62</f>
        <v>B16-Q7</v>
      </c>
      <c r="H1088" t="str">
        <f>B16_Assessment!B62</f>
        <v>Are all rated wall/floor penetrations, sleeves, cable tray entries and firestopping details identified?</v>
      </c>
      <c r="I1088" t="str">
        <f>B16_Assessment!C62</f>
        <v>GC / Firestop</v>
      </c>
      <c r="J1088" t="str">
        <f>B16_Assessment!D62</f>
        <v>Closed</v>
      </c>
      <c r="K1088">
        <f>B16_Assessment!E62</f>
        <v>0</v>
      </c>
      <c r="L1088">
        <f>B16_Assessment!F62</f>
        <v>0</v>
      </c>
      <c r="M1088" t="str">
        <f>B16_Assessment!G62</f>
        <v>Fire/smoke spread risk</v>
      </c>
      <c r="N1088">
        <f>B16_Assessment!H62</f>
        <v>0</v>
      </c>
      <c r="O1088">
        <f>B16_Assessment!I62</f>
        <v>0</v>
      </c>
      <c r="P1088">
        <f>B16_Assessment!J62</f>
        <v>0</v>
      </c>
      <c r="Q1088" t="str">
        <f t="shared" si="16"/>
        <v>16|55</v>
      </c>
    </row>
    <row r="1089" spans="1:17" ht="6.45" customHeight="1">
      <c r="A1089" t="s">
        <v>703</v>
      </c>
      <c r="B1089">
        <v>56</v>
      </c>
      <c r="C1089" t="s">
        <v>41</v>
      </c>
      <c r="D1089">
        <v>63</v>
      </c>
      <c r="E1089" t="s">
        <v>1051</v>
      </c>
      <c r="F1089" t="s">
        <v>5324</v>
      </c>
      <c r="G1089" t="str">
        <f>B16_Assessment!A63</f>
        <v>B16-Q8</v>
      </c>
      <c r="H1089" t="str">
        <f>B16_Assessment!B63</f>
        <v>Which third-party inspections and commissioning forms are required before VA acceptance?</v>
      </c>
      <c r="I1089" t="str">
        <f>B16_Assessment!C63</f>
        <v>GC / Cx Manager</v>
      </c>
      <c r="J1089" t="str">
        <f>B16_Assessment!D63</f>
        <v>Closed</v>
      </c>
      <c r="K1089">
        <f>B16_Assessment!E63</f>
        <v>0</v>
      </c>
      <c r="L1089">
        <f>B16_Assessment!F63</f>
        <v>0</v>
      </c>
      <c r="M1089" t="str">
        <f>B16_Assessment!G63</f>
        <v>Turnover package gap</v>
      </c>
      <c r="N1089">
        <f>B16_Assessment!H63</f>
        <v>0</v>
      </c>
      <c r="O1089">
        <f>B16_Assessment!I63</f>
        <v>0</v>
      </c>
      <c r="P1089">
        <f>B16_Assessment!J63</f>
        <v>0</v>
      </c>
      <c r="Q1089" t="str">
        <f t="shared" si="16"/>
        <v>16|56</v>
      </c>
    </row>
    <row r="1090" spans="1:17" ht="6.45" customHeight="1">
      <c r="A1090" t="s">
        <v>703</v>
      </c>
      <c r="B1090">
        <v>57</v>
      </c>
      <c r="C1090" t="s">
        <v>41</v>
      </c>
      <c r="D1090">
        <v>64</v>
      </c>
      <c r="E1090" t="s">
        <v>1051</v>
      </c>
      <c r="F1090" t="s">
        <v>5325</v>
      </c>
      <c r="G1090">
        <f>B16_Assessment!A64</f>
        <v>0</v>
      </c>
      <c r="H1090">
        <f>B16_Assessment!B64</f>
        <v>0</v>
      </c>
      <c r="I1090">
        <f>B16_Assessment!C64</f>
        <v>0</v>
      </c>
      <c r="J1090">
        <f>B16_Assessment!D64</f>
        <v>0</v>
      </c>
      <c r="K1090">
        <f>B16_Assessment!E64</f>
        <v>0</v>
      </c>
      <c r="L1090">
        <f>B16_Assessment!F64</f>
        <v>0</v>
      </c>
      <c r="M1090">
        <f>B16_Assessment!G64</f>
        <v>0</v>
      </c>
      <c r="N1090">
        <f>B16_Assessment!H64</f>
        <v>0</v>
      </c>
      <c r="O1090">
        <f>B16_Assessment!I64</f>
        <v>0</v>
      </c>
      <c r="P1090">
        <f>B16_Assessment!J64</f>
        <v>0</v>
      </c>
      <c r="Q1090" t="str">
        <f t="shared" ref="Q1090:Q1153" si="17">A1090&amp;"|"&amp;B1090</f>
        <v>16|57</v>
      </c>
    </row>
    <row r="1091" spans="1:17" ht="6.45" customHeight="1">
      <c r="A1091" t="s">
        <v>703</v>
      </c>
      <c r="B1091">
        <v>58</v>
      </c>
      <c r="C1091" t="s">
        <v>41</v>
      </c>
      <c r="D1091">
        <v>65</v>
      </c>
      <c r="E1091" t="s">
        <v>1052</v>
      </c>
      <c r="F1091" t="s">
        <v>5322</v>
      </c>
      <c r="G1091" t="str">
        <f>B16_Assessment!A65</f>
        <v>10. PHOTO LOG</v>
      </c>
      <c r="H1091">
        <f>B16_Assessment!B65</f>
        <v>0</v>
      </c>
      <c r="I1091">
        <f>B16_Assessment!C65</f>
        <v>0</v>
      </c>
      <c r="J1091">
        <f>B16_Assessment!D65</f>
        <v>0</v>
      </c>
      <c r="K1091">
        <f>B16_Assessment!E65</f>
        <v>0</v>
      </c>
      <c r="L1091">
        <f>B16_Assessment!F65</f>
        <v>0</v>
      </c>
      <c r="M1091">
        <f>B16_Assessment!G65</f>
        <v>0</v>
      </c>
      <c r="N1091">
        <f>B16_Assessment!H65</f>
        <v>0</v>
      </c>
      <c r="O1091">
        <f>B16_Assessment!I65</f>
        <v>0</v>
      </c>
      <c r="P1091">
        <f>B16_Assessment!J65</f>
        <v>0</v>
      </c>
      <c r="Q1091" t="str">
        <f t="shared" si="17"/>
        <v>16|58</v>
      </c>
    </row>
    <row r="1092" spans="1:17" ht="6.45" customHeight="1">
      <c r="A1092" t="s">
        <v>703</v>
      </c>
      <c r="B1092">
        <v>59</v>
      </c>
      <c r="C1092" t="s">
        <v>41</v>
      </c>
      <c r="D1092">
        <v>66</v>
      </c>
      <c r="E1092" t="s">
        <v>1052</v>
      </c>
      <c r="F1092" t="s">
        <v>5323</v>
      </c>
      <c r="G1092" t="str">
        <f>B16_Assessment!A66</f>
        <v>Photo ID</v>
      </c>
      <c r="H1092" t="str">
        <f>B16_Assessment!B66</f>
        <v>Room</v>
      </c>
      <c r="I1092" t="str">
        <f>B16_Assessment!C66</f>
        <v>Category</v>
      </c>
      <c r="J1092" t="str">
        <f>B16_Assessment!D66</f>
        <v>Description</v>
      </c>
      <c r="K1092" t="str">
        <f>B16_Assessment!E66</f>
        <v>Date</v>
      </c>
      <c r="L1092" t="str">
        <f>B16_Assessment!F66</f>
        <v>Taken By</v>
      </c>
      <c r="M1092" t="str">
        <f>B16_Assessment!G66</f>
        <v>File / Link</v>
      </c>
      <c r="N1092" t="str">
        <f>B16_Assessment!H66</f>
        <v>Related Risk</v>
      </c>
      <c r="O1092" t="str">
        <f>B16_Assessment!I66</f>
        <v>Status</v>
      </c>
      <c r="P1092" t="str">
        <f>B16_Assessment!J66</f>
        <v>Notes</v>
      </c>
      <c r="Q1092" t="str">
        <f t="shared" si="17"/>
        <v>16|59</v>
      </c>
    </row>
    <row r="1093" spans="1:17" ht="6.45" customHeight="1">
      <c r="A1093" t="s">
        <v>703</v>
      </c>
      <c r="B1093">
        <v>60</v>
      </c>
      <c r="C1093" t="s">
        <v>41</v>
      </c>
      <c r="D1093">
        <v>67</v>
      </c>
      <c r="E1093" t="s">
        <v>1052</v>
      </c>
      <c r="F1093" t="s">
        <v>5324</v>
      </c>
      <c r="G1093" t="str">
        <f>B16_Assessment!A67</f>
        <v>B16-P001</v>
      </c>
      <c r="H1093" t="str">
        <f>B16_Assessment!B67</f>
        <v>015</v>
      </c>
      <c r="I1093" t="str">
        <f>B16_Assessment!C67</f>
        <v>Existing Condition</v>
      </c>
      <c r="J1093" t="str">
        <f>B16_Assessment!D67</f>
        <v>Room 015 walls, ceiling/deck, floor, door, adjacent Vacant 011/012/013, Stair 014, Water Heater 010, rack location, pathways and penetrations</v>
      </c>
      <c r="K1093">
        <f>B16_Assessment!E67</f>
        <v>0</v>
      </c>
      <c r="L1093" t="str">
        <f>B16_Assessment!F67</f>
        <v>Paul</v>
      </c>
      <c r="M1093">
        <f>B16_Assessment!G67</f>
        <v>0</v>
      </c>
      <c r="N1093" t="str">
        <f>B16_Assessment!H67</f>
        <v>B16-R1/B16-R3</v>
      </c>
      <c r="O1093" t="str">
        <f>B16_Assessment!I67</f>
        <v>Closed</v>
      </c>
      <c r="P1093">
        <f>B16_Assessment!J67</f>
        <v>0</v>
      </c>
      <c r="Q1093" t="str">
        <f t="shared" si="17"/>
        <v>16|60</v>
      </c>
    </row>
    <row r="1094" spans="1:17" ht="6.45" customHeight="1">
      <c r="A1094" t="s">
        <v>703</v>
      </c>
      <c r="B1094">
        <v>61</v>
      </c>
      <c r="C1094" t="s">
        <v>41</v>
      </c>
      <c r="D1094">
        <v>68</v>
      </c>
      <c r="E1094" t="s">
        <v>1052</v>
      </c>
      <c r="F1094" t="s">
        <v>5324</v>
      </c>
      <c r="G1094" t="str">
        <f>B16_Assessment!A68</f>
        <v>B16-P002</v>
      </c>
      <c r="H1094" t="str">
        <f>B16_Assessment!B68</f>
        <v>014</v>
      </c>
      <c r="I1094" t="str">
        <f>B16_Assessment!C68</f>
        <v>Existing Condition</v>
      </c>
      <c r="J1094" t="str">
        <f>B16_Assessment!D68</f>
        <v>Existing Telecom Room 014 wall rack/TE, Cisco switch, legacy 12-port patch panel, Fiber LIU, floor UPS, plywood backboard and security cabinet</v>
      </c>
      <c r="K1094">
        <f>B16_Assessment!E68</f>
        <v>0</v>
      </c>
      <c r="L1094" t="str">
        <f>B16_Assessment!F68</f>
        <v>Paul</v>
      </c>
      <c r="M1094">
        <f>B16_Assessment!G68</f>
        <v>0</v>
      </c>
      <c r="N1094" t="str">
        <f>B16_Assessment!H68</f>
        <v>B16-R1/B16-R2</v>
      </c>
      <c r="O1094" t="str">
        <f>B16_Assessment!I68</f>
        <v>Closed</v>
      </c>
      <c r="P1094">
        <f>B16_Assessment!J68</f>
        <v>0</v>
      </c>
      <c r="Q1094" t="str">
        <f t="shared" si="17"/>
        <v>16|61</v>
      </c>
    </row>
    <row r="1095" spans="1:17" ht="6.45" customHeight="1">
      <c r="A1095" t="s">
        <v>703</v>
      </c>
      <c r="B1095">
        <v>62</v>
      </c>
      <c r="C1095" t="s">
        <v>41</v>
      </c>
      <c r="D1095">
        <v>69</v>
      </c>
      <c r="E1095" t="s">
        <v>1052</v>
      </c>
      <c r="F1095" t="s">
        <v>5324</v>
      </c>
      <c r="G1095" t="str">
        <f>B16_Assessment!A69</f>
        <v>B16-P003</v>
      </c>
      <c r="H1095" t="str">
        <f>B16_Assessment!B69</f>
        <v>015</v>
      </c>
      <c r="I1095" t="str">
        <f>B16_Assessment!C69</f>
        <v>Firestop</v>
      </c>
      <c r="J1095" t="str">
        <f>B16_Assessment!D69</f>
        <v>All wall/floor/sleeve/tray penetrations before and after firestop</v>
      </c>
      <c r="K1095">
        <f>B16_Assessment!E69</f>
        <v>0</v>
      </c>
      <c r="L1095" t="str">
        <f>B16_Assessment!F69</f>
        <v>Paul</v>
      </c>
      <c r="M1095">
        <f>B16_Assessment!G69</f>
        <v>0</v>
      </c>
      <c r="N1095" t="str">
        <f>B16_Assessment!H69</f>
        <v>B16-R6</v>
      </c>
      <c r="O1095" t="str">
        <f>B16_Assessment!I69</f>
        <v>Closed</v>
      </c>
      <c r="P1095">
        <f>B16_Assessment!J69</f>
        <v>0</v>
      </c>
      <c r="Q1095" t="str">
        <f t="shared" si="17"/>
        <v>16|62</v>
      </c>
    </row>
    <row r="1096" spans="1:17" ht="6.45" customHeight="1">
      <c r="A1096" t="s">
        <v>703</v>
      </c>
      <c r="B1096">
        <v>63</v>
      </c>
      <c r="C1096" t="s">
        <v>41</v>
      </c>
      <c r="D1096">
        <v>70</v>
      </c>
      <c r="E1096" t="s">
        <v>1052</v>
      </c>
      <c r="F1096" t="s">
        <v>5324</v>
      </c>
      <c r="G1096" t="str">
        <f>B16_Assessment!A70</f>
        <v>B16-P004</v>
      </c>
      <c r="H1096" t="str">
        <f>B16_Assessment!B70</f>
        <v>015</v>
      </c>
      <c r="I1096" t="str">
        <f>B16_Assessment!C70</f>
        <v>HVAC</v>
      </c>
      <c r="J1096" t="str">
        <f>B16_Assessment!D70</f>
        <v>IU-1-01/CU-1-01, condensate, thermostat, BACnet adapter, disconnects, high-temp alarm and power source</v>
      </c>
      <c r="K1096">
        <f>B16_Assessment!E70</f>
        <v>0</v>
      </c>
      <c r="L1096" t="str">
        <f>B16_Assessment!F70</f>
        <v>Paul</v>
      </c>
      <c r="M1096">
        <f>B16_Assessment!G70</f>
        <v>0</v>
      </c>
      <c r="N1096" t="str">
        <f>B16_Assessment!H70</f>
        <v>B16-R4</v>
      </c>
      <c r="O1096" t="str">
        <f>B16_Assessment!I70</f>
        <v>Closed</v>
      </c>
      <c r="P1096">
        <f>B16_Assessment!J70</f>
        <v>0</v>
      </c>
      <c r="Q1096" t="str">
        <f t="shared" si="17"/>
        <v>16|63</v>
      </c>
    </row>
    <row r="1097" spans="1:17" ht="6.45" customHeight="1">
      <c r="A1097" t="s">
        <v>703</v>
      </c>
      <c r="B1097">
        <v>64</v>
      </c>
      <c r="C1097" t="s">
        <v>41</v>
      </c>
      <c r="D1097">
        <v>71</v>
      </c>
      <c r="E1097" t="s">
        <v>1052</v>
      </c>
      <c r="F1097" t="s">
        <v>5324</v>
      </c>
      <c r="G1097" t="str">
        <f>B16_Assessment!A71</f>
        <v>B16-P005</v>
      </c>
      <c r="H1097" t="str">
        <f>B16_Assessment!B71</f>
        <v>015</v>
      </c>
      <c r="I1097" t="str">
        <f>B16_Assessment!C71</f>
        <v>Electrical</v>
      </c>
      <c r="J1097" t="str">
        <f>B16_Assessment!D71</f>
        <v>B16-TR015A/B panels, rack receptacles, breakers, SPD, access controller, lighting, CU-1-01 and labels</v>
      </c>
      <c r="K1097">
        <f>B16_Assessment!E71</f>
        <v>0</v>
      </c>
      <c r="L1097" t="str">
        <f>B16_Assessment!F71</f>
        <v>Paul</v>
      </c>
      <c r="M1097">
        <f>B16_Assessment!G71</f>
        <v>0</v>
      </c>
      <c r="N1097" t="str">
        <f>B16_Assessment!H71</f>
        <v>B16-R5</v>
      </c>
      <c r="O1097" t="str">
        <f>B16_Assessment!I71</f>
        <v>Closed</v>
      </c>
      <c r="P1097">
        <f>B16_Assessment!J71</f>
        <v>0</v>
      </c>
      <c r="Q1097" t="str">
        <f t="shared" si="17"/>
        <v>16|64</v>
      </c>
    </row>
    <row r="1098" spans="1:17" ht="6.45" customHeight="1">
      <c r="A1098" t="s">
        <v>703</v>
      </c>
      <c r="B1098">
        <v>65</v>
      </c>
      <c r="C1098" t="s">
        <v>41</v>
      </c>
      <c r="D1098">
        <v>72</v>
      </c>
      <c r="E1098" t="s">
        <v>1052</v>
      </c>
      <c r="F1098" t="s">
        <v>5324</v>
      </c>
      <c r="G1098" t="str">
        <f>B16_Assessment!A72</f>
        <v>B16-P006</v>
      </c>
      <c r="H1098" t="str">
        <f>B16_Assessment!B72</f>
        <v>015/014</v>
      </c>
      <c r="I1098" t="str">
        <f>B16_Assessment!C72</f>
        <v>Telecom</v>
      </c>
      <c r="J1098" t="str">
        <f>B16_Assessment!D72</f>
        <v>New rack/future rack, fiber path A/B, Cat6A, patch panels, LIU, labels/test records and existing Room 014 transfer work</v>
      </c>
      <c r="K1098">
        <f>B16_Assessment!E72</f>
        <v>0</v>
      </c>
      <c r="L1098" t="str">
        <f>B16_Assessment!F72</f>
        <v>Paul</v>
      </c>
      <c r="M1098">
        <f>B16_Assessment!G72</f>
        <v>0</v>
      </c>
      <c r="N1098" t="str">
        <f>B16_Assessment!H72</f>
        <v>B16-R7</v>
      </c>
      <c r="O1098" t="str">
        <f>B16_Assessment!I72</f>
        <v>Closed</v>
      </c>
      <c r="P1098">
        <f>B16_Assessment!J72</f>
        <v>0</v>
      </c>
      <c r="Q1098" t="str">
        <f t="shared" si="17"/>
        <v>16|65</v>
      </c>
    </row>
    <row r="1099" spans="1:17" ht="6.45" customHeight="1">
      <c r="A1099" t="s">
        <v>703</v>
      </c>
      <c r="B1099">
        <v>66</v>
      </c>
      <c r="C1099" t="s">
        <v>41</v>
      </c>
      <c r="D1099">
        <v>73</v>
      </c>
      <c r="E1099" t="s">
        <v>1052</v>
      </c>
      <c r="F1099" t="s">
        <v>5324</v>
      </c>
      <c r="G1099" t="str">
        <f>B16_Assessment!A73</f>
        <v>B16-P007</v>
      </c>
      <c r="H1099" t="str">
        <f>B16_Assessment!B73</f>
        <v>015/014</v>
      </c>
      <c r="I1099" t="str">
        <f>B16_Assessment!C73</f>
        <v>Security</v>
      </c>
      <c r="J1099" t="str">
        <f>B16_Assessment!D73</f>
        <v>015-CAM-1, card reader, electric strike, door position, motion sensor, existing security cabinet and VMS/PACS integration</v>
      </c>
      <c r="K1099">
        <f>B16_Assessment!E73</f>
        <v>0</v>
      </c>
      <c r="L1099" t="str">
        <f>B16_Assessment!F73</f>
        <v>Paul</v>
      </c>
      <c r="M1099">
        <f>B16_Assessment!G73</f>
        <v>0</v>
      </c>
      <c r="N1099" t="str">
        <f>B16_Assessment!H73</f>
        <v>B16-R8</v>
      </c>
      <c r="O1099" t="str">
        <f>B16_Assessment!I73</f>
        <v>Closed</v>
      </c>
      <c r="P1099">
        <f>B16_Assessment!J73</f>
        <v>0</v>
      </c>
      <c r="Q1099" t="str">
        <f t="shared" si="17"/>
        <v>16|66</v>
      </c>
    </row>
    <row r="1100" spans="1:17" ht="6.45" customHeight="1">
      <c r="A1100" t="s">
        <v>703</v>
      </c>
      <c r="B1100">
        <v>67</v>
      </c>
      <c r="C1100" t="s">
        <v>41</v>
      </c>
      <c r="D1100">
        <v>74</v>
      </c>
      <c r="E1100" t="s">
        <v>1052</v>
      </c>
      <c r="F1100" t="s">
        <v>5324</v>
      </c>
      <c r="G1100" t="str">
        <f>B16_Assessment!A74</f>
        <v>B16-P008</v>
      </c>
      <c r="H1100" t="str">
        <f>B16_Assessment!B74</f>
        <v>All</v>
      </c>
      <c r="I1100" t="str">
        <f>B16_Assessment!C74</f>
        <v>Cable Tray / Pathway</v>
      </c>
      <c r="J1100" t="str">
        <f>B16_Assessment!D74</f>
        <v>Basement and first-level cable tray/pathway route, supports, fill, firestopping and seismic bracing</v>
      </c>
      <c r="K1100">
        <f>B16_Assessment!E74</f>
        <v>0</v>
      </c>
      <c r="L1100" t="str">
        <f>B16_Assessment!F74</f>
        <v>Paul</v>
      </c>
      <c r="M1100">
        <f>B16_Assessment!G74</f>
        <v>0</v>
      </c>
      <c r="N1100" t="str">
        <f>B16_Assessment!H74</f>
        <v>B16-R3/B16-R7</v>
      </c>
      <c r="O1100" t="str">
        <f>B16_Assessment!I74</f>
        <v>Closed</v>
      </c>
      <c r="P1100">
        <f>B16_Assessment!J74</f>
        <v>0</v>
      </c>
      <c r="Q1100" t="str">
        <f t="shared" si="17"/>
        <v>16|67</v>
      </c>
    </row>
    <row r="1101" spans="1:17" ht="6.45" customHeight="1">
      <c r="A1101" t="s">
        <v>703</v>
      </c>
      <c r="B1101">
        <v>68</v>
      </c>
      <c r="C1101" t="s">
        <v>41</v>
      </c>
      <c r="D1101">
        <v>75</v>
      </c>
      <c r="E1101" t="s">
        <v>1052</v>
      </c>
      <c r="F1101" t="s">
        <v>5325</v>
      </c>
      <c r="G1101">
        <f>B16_Assessment!A75</f>
        <v>0</v>
      </c>
      <c r="H1101">
        <f>B16_Assessment!B75</f>
        <v>0</v>
      </c>
      <c r="I1101">
        <f>B16_Assessment!C75</f>
        <v>0</v>
      </c>
      <c r="J1101">
        <f>B16_Assessment!D75</f>
        <v>0</v>
      </c>
      <c r="K1101">
        <f>B16_Assessment!E75</f>
        <v>0</v>
      </c>
      <c r="L1101">
        <f>B16_Assessment!F75</f>
        <v>0</v>
      </c>
      <c r="M1101">
        <f>B16_Assessment!G75</f>
        <v>0</v>
      </c>
      <c r="N1101">
        <f>B16_Assessment!H75</f>
        <v>0</v>
      </c>
      <c r="O1101">
        <f>B16_Assessment!I75</f>
        <v>0</v>
      </c>
      <c r="P1101">
        <f>B16_Assessment!J75</f>
        <v>0</v>
      </c>
      <c r="Q1101" t="str">
        <f t="shared" si="17"/>
        <v>16|68</v>
      </c>
    </row>
    <row r="1102" spans="1:17" ht="6.45" customHeight="1">
      <c r="A1102" t="s">
        <v>2557</v>
      </c>
      <c r="B1102">
        <v>1</v>
      </c>
      <c r="C1102" t="s">
        <v>43</v>
      </c>
      <c r="D1102">
        <v>8</v>
      </c>
      <c r="E1102" t="s">
        <v>918</v>
      </c>
      <c r="F1102" t="s">
        <v>5322</v>
      </c>
      <c r="G1102" t="str">
        <f>B17_Assessment!A8</f>
        <v>1. ROOM INVENTORY</v>
      </c>
      <c r="H1102">
        <f>B17_Assessment!B8</f>
        <v>0</v>
      </c>
      <c r="I1102">
        <f>B17_Assessment!C8</f>
        <v>0</v>
      </c>
      <c r="J1102">
        <f>B17_Assessment!D8</f>
        <v>0</v>
      </c>
      <c r="K1102">
        <f>B17_Assessment!E8</f>
        <v>0</v>
      </c>
      <c r="L1102">
        <f>B17_Assessment!F8</f>
        <v>0</v>
      </c>
      <c r="M1102">
        <f>B17_Assessment!G8</f>
        <v>0</v>
      </c>
      <c r="N1102">
        <f>B17_Assessment!H8</f>
        <v>0</v>
      </c>
      <c r="O1102">
        <f>B17_Assessment!I8</f>
        <v>0</v>
      </c>
      <c r="P1102">
        <f>B17_Assessment!J8</f>
        <v>0</v>
      </c>
      <c r="Q1102" t="str">
        <f t="shared" si="17"/>
        <v>17|1</v>
      </c>
    </row>
    <row r="1103" spans="1:17" ht="6.45" customHeight="1">
      <c r="A1103" t="s">
        <v>2557</v>
      </c>
      <c r="B1103">
        <v>2</v>
      </c>
      <c r="C1103" t="s">
        <v>43</v>
      </c>
      <c r="D1103">
        <v>9</v>
      </c>
      <c r="E1103" t="s">
        <v>918</v>
      </c>
      <c r="F1103" t="s">
        <v>5323</v>
      </c>
      <c r="G1103" t="str">
        <f>B17_Assessment!A9</f>
        <v>Building</v>
      </c>
      <c r="H1103" t="str">
        <f>B17_Assessment!B9</f>
        <v>Room</v>
      </c>
      <c r="I1103" t="str">
        <f>B17_Assessment!C9</f>
        <v>Floor</v>
      </c>
      <c r="J1103" t="str">
        <f>B17_Assessment!D9</f>
        <v>Existing Use</v>
      </c>
      <c r="K1103" t="str">
        <f>B17_Assessment!E9</f>
        <v>New Use</v>
      </c>
      <c r="L1103" t="str">
        <f>B17_Assessment!F9</f>
        <v>Rack Count</v>
      </c>
      <c r="M1103" t="str">
        <f>B17_Assessment!G9</f>
        <v>Future Rack</v>
      </c>
      <c r="N1103" t="str">
        <f>B17_Assessment!H9</f>
        <v>Status</v>
      </c>
      <c r="O1103" t="str">
        <f>B17_Assessment!I9</f>
        <v>Drawing Ref</v>
      </c>
      <c r="P1103" t="str">
        <f>B17_Assessment!J9</f>
        <v>Notes</v>
      </c>
      <c r="Q1103" t="str">
        <f t="shared" si="17"/>
        <v>17|2</v>
      </c>
    </row>
    <row r="1104" spans="1:17" ht="6.45" customHeight="1">
      <c r="A1104" t="s">
        <v>2557</v>
      </c>
      <c r="B1104">
        <v>3</v>
      </c>
      <c r="C1104" t="s">
        <v>43</v>
      </c>
      <c r="D1104">
        <v>10</v>
      </c>
      <c r="E1104" t="s">
        <v>918</v>
      </c>
      <c r="F1104" t="s">
        <v>5324</v>
      </c>
      <c r="G1104" t="str">
        <f>B17_Assessment!A10</f>
        <v>17</v>
      </c>
      <c r="H1104" t="str">
        <f>B17_Assessment!B10</f>
        <v>118</v>
      </c>
      <c r="I1104" t="str">
        <f>B17_Assessment!C10</f>
        <v>First</v>
      </c>
      <c r="J1104" t="str">
        <f>B17_Assessment!D10</f>
        <v>New telecom room build area</v>
      </c>
      <c r="K1104" t="str">
        <f>B17_Assessment!E10</f>
        <v>Telecom Room</v>
      </c>
      <c r="L1104">
        <f>B17_Assessment!F10</f>
        <v>1</v>
      </c>
      <c r="M1104">
        <f>B17_Assessment!G10</f>
        <v>1</v>
      </c>
      <c r="N1104" t="str">
        <f>B17_Assessment!H10</f>
        <v>Verify</v>
      </c>
      <c r="O1104" t="str">
        <f>B17_Assessment!I10</f>
        <v>17_29A-401 / 17_29E-401 / 17_29T-100 / 17_29T-604 / 17_29T-701</v>
      </c>
      <c r="P1104" t="str">
        <f>B17_Assessment!J10</f>
        <v>Primary Building 17 TR. Plans identify Telecom Room 118 at 157 SF, Rack ID TR17-118-1, panels B17-TR118A/B, 208V rack UPS/PDU equipment, IU-1-01/CU-1-01 cooling, 517 feet total cable tray, and future rack allowance. Rack elevation notes Room 118 serves Building 29.</v>
      </c>
      <c r="Q1104" t="str">
        <f t="shared" si="17"/>
        <v>17|3</v>
      </c>
    </row>
    <row r="1105" spans="1:17" ht="6.45" customHeight="1">
      <c r="A1105" t="s">
        <v>2557</v>
      </c>
      <c r="B1105">
        <v>4</v>
      </c>
      <c r="C1105" t="s">
        <v>43</v>
      </c>
      <c r="D1105">
        <v>11</v>
      </c>
      <c r="E1105" t="s">
        <v>918</v>
      </c>
      <c r="F1105" t="s">
        <v>5324</v>
      </c>
      <c r="G1105" t="str">
        <f>B17_Assessment!A11</f>
        <v>17</v>
      </c>
      <c r="H1105" t="str">
        <f>B17_Assessment!B11</f>
        <v>B35A</v>
      </c>
      <c r="I1105" t="str">
        <f>B17_Assessment!C11</f>
        <v>Basement</v>
      </c>
      <c r="J1105" t="str">
        <f>B17_Assessment!D11</f>
        <v>Existing telecom closet / legacy equipment area</v>
      </c>
      <c r="K1105" t="str">
        <f>B17_Assessment!E11</f>
        <v>Existing telecom transition point</v>
      </c>
      <c r="L1105">
        <f>B17_Assessment!F11</f>
        <v>1</v>
      </c>
      <c r="M1105">
        <f>B17_Assessment!G11</f>
        <v>0</v>
      </c>
      <c r="N1105" t="str">
        <f>B17_Assessment!H11</f>
        <v>Verify</v>
      </c>
      <c r="O1105" t="str">
        <f>B17_Assessment!I11</f>
        <v>17_29T-100 / 17_29T-604 / 17_29R-900</v>
      </c>
      <c r="P1105" t="str">
        <f>B17_Assessment!J11</f>
        <v>Existing basement Telecom Closet B35A shown at 12 SF with wall-mounted TE, patch panel, security cabinet, plywood backboard, indoor AC unit, floor UPS, Cisco switches, legacy Ortronics 24/48-port patch panels and SERTEX utility service ports. Protect active services and verify transfer to Room 118.</v>
      </c>
      <c r="Q1105" t="str">
        <f t="shared" si="17"/>
        <v>17|4</v>
      </c>
    </row>
    <row r="1106" spans="1:17" ht="6.45" customHeight="1">
      <c r="A1106" t="s">
        <v>2557</v>
      </c>
      <c r="B1106">
        <v>5</v>
      </c>
      <c r="C1106" t="s">
        <v>43</v>
      </c>
      <c r="D1106">
        <v>12</v>
      </c>
      <c r="E1106" t="s">
        <v>918</v>
      </c>
      <c r="F1106" t="s">
        <v>5324</v>
      </c>
      <c r="G1106" t="str">
        <f>B17_Assessment!A12</f>
        <v>29</v>
      </c>
      <c r="H1106" t="str">
        <f>B17_Assessment!B12</f>
        <v>Building 29 path</v>
      </c>
      <c r="I1106" t="str">
        <f>B17_Assessment!C12</f>
        <v>First / served from B17</v>
      </c>
      <c r="J1106" t="str">
        <f>B17_Assessment!D12</f>
        <v>Building 29 service extension</v>
      </c>
      <c r="K1106" t="str">
        <f>B17_Assessment!E12</f>
        <v>Served from B17 TR 118</v>
      </c>
      <c r="L1106">
        <f>B17_Assessment!F12</f>
        <v>0</v>
      </c>
      <c r="M1106">
        <f>B17_Assessment!G12</f>
        <v>0</v>
      </c>
      <c r="N1106" t="str">
        <f>B17_Assessment!H12</f>
        <v>Verify</v>
      </c>
      <c r="O1106" t="str">
        <f>B17_Assessment!I12</f>
        <v>17_29T-100 / 17_29T-604 / 17_29T-701</v>
      </c>
      <c r="P1106" t="str">
        <f>B17_Assessment!J12</f>
        <v>Building 29 is shown served from B17, with path to B29 via 4-inch PVC and fiber extending from Building 17 to Building 29. Field verify pathway, service boundary, and active outlets included in TR17-118-1 schedule.</v>
      </c>
      <c r="Q1106" t="str">
        <f t="shared" si="17"/>
        <v>17|5</v>
      </c>
    </row>
    <row r="1107" spans="1:17" ht="6.45" customHeight="1">
      <c r="A1107" t="s">
        <v>2557</v>
      </c>
      <c r="B1107">
        <v>6</v>
      </c>
      <c r="C1107" t="s">
        <v>43</v>
      </c>
      <c r="D1107">
        <v>13</v>
      </c>
      <c r="E1107" t="s">
        <v>918</v>
      </c>
      <c r="F1107" t="s">
        <v>5325</v>
      </c>
      <c r="G1107">
        <f>B17_Assessment!A13</f>
        <v>0</v>
      </c>
      <c r="H1107">
        <f>B17_Assessment!B13</f>
        <v>0</v>
      </c>
      <c r="I1107">
        <f>B17_Assessment!C13</f>
        <v>0</v>
      </c>
      <c r="J1107">
        <f>B17_Assessment!D13</f>
        <v>0</v>
      </c>
      <c r="K1107">
        <f>B17_Assessment!E13</f>
        <v>0</v>
      </c>
      <c r="L1107">
        <f>B17_Assessment!F13</f>
        <v>0</v>
      </c>
      <c r="M1107">
        <f>B17_Assessment!G13</f>
        <v>0</v>
      </c>
      <c r="N1107">
        <f>B17_Assessment!H13</f>
        <v>0</v>
      </c>
      <c r="O1107">
        <f>B17_Assessment!I13</f>
        <v>0</v>
      </c>
      <c r="P1107">
        <f>B17_Assessment!J13</f>
        <v>0</v>
      </c>
      <c r="Q1107" t="str">
        <f t="shared" si="17"/>
        <v>17|6</v>
      </c>
    </row>
    <row r="1108" spans="1:17" ht="6.45" customHeight="1">
      <c r="A1108" t="s">
        <v>2557</v>
      </c>
      <c r="B1108">
        <v>7</v>
      </c>
      <c r="C1108" t="s">
        <v>43</v>
      </c>
      <c r="D1108">
        <v>14</v>
      </c>
      <c r="E1108" t="s">
        <v>936</v>
      </c>
      <c r="F1108" t="s">
        <v>5322</v>
      </c>
      <c r="G1108" t="str">
        <f>B17_Assessment!A14</f>
        <v>2. ROOM READINESS</v>
      </c>
      <c r="H1108">
        <f>B17_Assessment!B14</f>
        <v>0</v>
      </c>
      <c r="I1108">
        <f>B17_Assessment!C14</f>
        <v>0</v>
      </c>
      <c r="J1108">
        <f>B17_Assessment!D14</f>
        <v>0</v>
      </c>
      <c r="K1108">
        <f>B17_Assessment!E14</f>
        <v>0</v>
      </c>
      <c r="L1108">
        <f>B17_Assessment!F14</f>
        <v>0</v>
      </c>
      <c r="M1108">
        <f>B17_Assessment!G14</f>
        <v>0</v>
      </c>
      <c r="N1108">
        <f>B17_Assessment!H14</f>
        <v>0</v>
      </c>
      <c r="O1108">
        <f>B17_Assessment!I14</f>
        <v>0</v>
      </c>
      <c r="P1108">
        <f>B17_Assessment!J14</f>
        <v>0</v>
      </c>
      <c r="Q1108" t="str">
        <f t="shared" si="17"/>
        <v>17|7</v>
      </c>
    </row>
    <row r="1109" spans="1:17" ht="6.45" customHeight="1">
      <c r="A1109" t="s">
        <v>2557</v>
      </c>
      <c r="B1109">
        <v>8</v>
      </c>
      <c r="C1109" t="s">
        <v>43</v>
      </c>
      <c r="D1109">
        <v>15</v>
      </c>
      <c r="E1109" t="s">
        <v>936</v>
      </c>
      <c r="F1109" t="s">
        <v>5323</v>
      </c>
      <c r="G1109" t="str">
        <f>B17_Assessment!A15</f>
        <v>Room</v>
      </c>
      <c r="H1109" t="str">
        <f>B17_Assessment!B15</f>
        <v>Walls / 1-hr Rating</v>
      </c>
      <c r="I1109" t="str">
        <f>B17_Assessment!C15</f>
        <v>Ceiling</v>
      </c>
      <c r="J1109" t="str">
        <f>B17_Assessment!D15</f>
        <v>Floor / SDC</v>
      </c>
      <c r="K1109" t="str">
        <f>B17_Assessment!E15</f>
        <v>Penetrations</v>
      </c>
      <c r="L1109" t="str">
        <f>B17_Assessment!F15</f>
        <v>Access Control</v>
      </c>
      <c r="M1109" t="str">
        <f>B17_Assessment!G15</f>
        <v>Clearances</v>
      </c>
      <c r="N1109" t="str">
        <f>B17_Assessment!H15</f>
        <v>Housekeeping</v>
      </c>
      <c r="O1109" t="str">
        <f>B17_Assessment!I15</f>
        <v>Overall</v>
      </c>
      <c r="P1109" t="str">
        <f>B17_Assessment!J15</f>
        <v>Comments</v>
      </c>
      <c r="Q1109" t="str">
        <f t="shared" si="17"/>
        <v>17|8</v>
      </c>
    </row>
    <row r="1110" spans="1:17" ht="6.45" customHeight="1">
      <c r="A1110" t="s">
        <v>2557</v>
      </c>
      <c r="B1110">
        <v>9</v>
      </c>
      <c r="C1110" t="s">
        <v>43</v>
      </c>
      <c r="D1110">
        <v>16</v>
      </c>
      <c r="E1110" t="s">
        <v>936</v>
      </c>
      <c r="F1110" t="s">
        <v>5324</v>
      </c>
      <c r="G1110" t="str">
        <f>B17_Assessment!A16</f>
        <v>118</v>
      </c>
      <c r="H1110" t="str">
        <f>B17_Assessment!B16</f>
        <v>Verify</v>
      </c>
      <c r="I1110" t="str">
        <f>B17_Assessment!C16</f>
        <v>Verify</v>
      </c>
      <c r="J1110" t="str">
        <f>B17_Assessment!D16</f>
        <v>Verify</v>
      </c>
      <c r="K1110" t="str">
        <f>B17_Assessment!E16</f>
        <v>Verify</v>
      </c>
      <c r="L1110" t="str">
        <f>B17_Assessment!F16</f>
        <v>Verify</v>
      </c>
      <c r="M1110" t="str">
        <f>B17_Assessment!G16</f>
        <v>Verify</v>
      </c>
      <c r="N1110" t="str">
        <f>B17_Assessment!H16</f>
        <v>Verify</v>
      </c>
      <c r="O1110" t="str">
        <f>B17_Assessment!I16</f>
        <v>Verify</v>
      </c>
      <c r="P1110" t="str">
        <f>B17_Assessment!J16</f>
        <v>First-level TR; verify 1-hour fire/smoke-rated enclosure, open-to-deck conditions, door hardware/access control, static-control floor sealer, rack/future rack clearances, wall backing, and cable tray/pathway entry points.</v>
      </c>
      <c r="Q1110" t="str">
        <f t="shared" si="17"/>
        <v>17|9</v>
      </c>
    </row>
    <row r="1111" spans="1:17" ht="6.45" customHeight="1">
      <c r="A1111" t="s">
        <v>2557</v>
      </c>
      <c r="B1111">
        <v>10</v>
      </c>
      <c r="C1111" t="s">
        <v>43</v>
      </c>
      <c r="D1111">
        <v>17</v>
      </c>
      <c r="E1111" t="s">
        <v>936</v>
      </c>
      <c r="F1111" t="s">
        <v>5324</v>
      </c>
      <c r="G1111" t="str">
        <f>B17_Assessment!A17</f>
        <v>B35A</v>
      </c>
      <c r="H1111" t="str">
        <f>B17_Assessment!B17</f>
        <v>Existing / Verify</v>
      </c>
      <c r="I1111" t="str">
        <f>B17_Assessment!C17</f>
        <v>Existing / Verify</v>
      </c>
      <c r="J1111" t="str">
        <f>B17_Assessment!D17</f>
        <v>Existing / Verify</v>
      </c>
      <c r="K1111" t="str">
        <f>B17_Assessment!E17</f>
        <v>Verify</v>
      </c>
      <c r="L1111" t="str">
        <f>B17_Assessment!F17</f>
        <v>Verify</v>
      </c>
      <c r="M1111" t="str">
        <f>B17_Assessment!G17</f>
        <v>Verify</v>
      </c>
      <c r="N1111" t="str">
        <f>B17_Assessment!H17</f>
        <v>Verify</v>
      </c>
      <c r="O1111" t="str">
        <f>B17_Assessment!I17</f>
        <v>Verify</v>
      </c>
      <c r="P1111" t="str">
        <f>B17_Assessment!J17</f>
        <v>Existing basement telecom closet; verify active equipment status, pathway, rack/UPS/backboard, indoor AC, security cabinet, and transition/abandonment scope.</v>
      </c>
      <c r="Q1111" t="str">
        <f t="shared" si="17"/>
        <v>17|10</v>
      </c>
    </row>
    <row r="1112" spans="1:17" ht="6.45" customHeight="1">
      <c r="A1112" t="s">
        <v>2557</v>
      </c>
      <c r="B1112">
        <v>11</v>
      </c>
      <c r="C1112" t="s">
        <v>43</v>
      </c>
      <c r="D1112">
        <v>18</v>
      </c>
      <c r="E1112" t="s">
        <v>936</v>
      </c>
      <c r="F1112" t="s">
        <v>5324</v>
      </c>
      <c r="G1112" t="str">
        <f>B17_Assessment!A18</f>
        <v>B29 Path</v>
      </c>
      <c r="H1112" t="str">
        <f>B17_Assessment!B18</f>
        <v>Verify</v>
      </c>
      <c r="I1112" t="str">
        <f>B17_Assessment!C18</f>
        <v>Verify</v>
      </c>
      <c r="J1112" t="str">
        <f>B17_Assessment!D18</f>
        <v>Verify</v>
      </c>
      <c r="K1112" t="str">
        <f>B17_Assessment!E18</f>
        <v>Verify</v>
      </c>
      <c r="L1112" t="str">
        <f>B17_Assessment!F18</f>
        <v>Verify</v>
      </c>
      <c r="M1112" t="str">
        <f>B17_Assessment!G18</f>
        <v>Verify</v>
      </c>
      <c r="N1112" t="str">
        <f>B17_Assessment!H18</f>
        <v>Verify</v>
      </c>
      <c r="O1112" t="str">
        <f>B17_Assessment!I18</f>
        <v>Verify</v>
      </c>
      <c r="P1112" t="str">
        <f>B17_Assessment!J18</f>
        <v>Verify route from Building 17 to Building 29, 4-inch PVC path, fiber handoff, ownership limits, labeling and final test documentation.</v>
      </c>
      <c r="Q1112" t="str">
        <f t="shared" si="17"/>
        <v>17|11</v>
      </c>
    </row>
    <row r="1113" spans="1:17" ht="6.45" customHeight="1">
      <c r="A1113" t="s">
        <v>2557</v>
      </c>
      <c r="B1113">
        <v>12</v>
      </c>
      <c r="C1113" t="s">
        <v>43</v>
      </c>
      <c r="D1113">
        <v>19</v>
      </c>
      <c r="E1113" t="s">
        <v>936</v>
      </c>
      <c r="F1113" t="s">
        <v>5325</v>
      </c>
      <c r="G1113">
        <f>B17_Assessment!A19</f>
        <v>0</v>
      </c>
      <c r="H1113">
        <f>B17_Assessment!B19</f>
        <v>0</v>
      </c>
      <c r="I1113">
        <f>B17_Assessment!C19</f>
        <v>0</v>
      </c>
      <c r="J1113">
        <f>B17_Assessment!D19</f>
        <v>0</v>
      </c>
      <c r="K1113">
        <f>B17_Assessment!E19</f>
        <v>0</v>
      </c>
      <c r="L1113">
        <f>B17_Assessment!F19</f>
        <v>0</v>
      </c>
      <c r="M1113">
        <f>B17_Assessment!G19</f>
        <v>0</v>
      </c>
      <c r="N1113">
        <f>B17_Assessment!H19</f>
        <v>0</v>
      </c>
      <c r="O1113">
        <f>B17_Assessment!I19</f>
        <v>0</v>
      </c>
      <c r="P1113">
        <f>B17_Assessment!J19</f>
        <v>0</v>
      </c>
      <c r="Q1113" t="str">
        <f t="shared" si="17"/>
        <v>17|12</v>
      </c>
    </row>
    <row r="1114" spans="1:17" ht="6.45" customHeight="1">
      <c r="A1114" t="s">
        <v>2557</v>
      </c>
      <c r="B1114">
        <v>13</v>
      </c>
      <c r="C1114" t="s">
        <v>43</v>
      </c>
      <c r="D1114">
        <v>20</v>
      </c>
      <c r="E1114" t="s">
        <v>951</v>
      </c>
      <c r="F1114" t="s">
        <v>5322</v>
      </c>
      <c r="G1114" t="str">
        <f>B17_Assessment!A20</f>
        <v>3. FIRE PROTECTION</v>
      </c>
      <c r="H1114">
        <f>B17_Assessment!B20</f>
        <v>0</v>
      </c>
      <c r="I1114">
        <f>B17_Assessment!C20</f>
        <v>0</v>
      </c>
      <c r="J1114">
        <f>B17_Assessment!D20</f>
        <v>0</v>
      </c>
      <c r="K1114">
        <f>B17_Assessment!E20</f>
        <v>0</v>
      </c>
      <c r="L1114">
        <f>B17_Assessment!F20</f>
        <v>0</v>
      </c>
      <c r="M1114">
        <f>B17_Assessment!G20</f>
        <v>0</v>
      </c>
      <c r="N1114">
        <f>B17_Assessment!H20</f>
        <v>0</v>
      </c>
      <c r="O1114">
        <f>B17_Assessment!I20</f>
        <v>0</v>
      </c>
      <c r="P1114">
        <f>B17_Assessment!J20</f>
        <v>0</v>
      </c>
      <c r="Q1114" t="str">
        <f t="shared" si="17"/>
        <v>17|13</v>
      </c>
    </row>
    <row r="1115" spans="1:17" ht="6.45" customHeight="1">
      <c r="A1115" t="s">
        <v>2557</v>
      </c>
      <c r="B1115">
        <v>14</v>
      </c>
      <c r="C1115" t="s">
        <v>43</v>
      </c>
      <c r="D1115">
        <v>21</v>
      </c>
      <c r="E1115" t="s">
        <v>951</v>
      </c>
      <c r="F1115" t="s">
        <v>5323</v>
      </c>
      <c r="G1115" t="str">
        <f>B17_Assessment!A21</f>
        <v>Room</v>
      </c>
      <c r="H1115" t="str">
        <f>B17_Assessment!B21</f>
        <v>Sprinkler</v>
      </c>
      <c r="I1115" t="str">
        <f>B17_Assessment!C21</f>
        <v>Cage</v>
      </c>
      <c r="J1115" t="str">
        <f>B17_Assessment!D21</f>
        <v>Detector</v>
      </c>
      <c r="K1115" t="str">
        <f>B17_Assessment!E21</f>
        <v>Horn/Strobe</v>
      </c>
      <c r="L1115" t="str">
        <f>B17_Assessment!F21</f>
        <v>Extinguisher &lt;75 ft</v>
      </c>
      <c r="M1115" t="str">
        <f>B17_Assessment!G21</f>
        <v>Firestop</v>
      </c>
      <c r="N1115" t="str">
        <f>B17_Assessment!H21</f>
        <v>Temp Firestop</v>
      </c>
      <c r="O1115" t="str">
        <f>B17_Assessment!I21</f>
        <v>Overall</v>
      </c>
      <c r="P1115" t="str">
        <f>B17_Assessment!J21</f>
        <v>Risk / Notes</v>
      </c>
      <c r="Q1115" t="str">
        <f t="shared" si="17"/>
        <v>17|14</v>
      </c>
    </row>
    <row r="1116" spans="1:17" ht="6.45" customHeight="1">
      <c r="A1116" t="s">
        <v>2557</v>
      </c>
      <c r="B1116">
        <v>15</v>
      </c>
      <c r="C1116" t="s">
        <v>43</v>
      </c>
      <c r="D1116">
        <v>22</v>
      </c>
      <c r="E1116" t="s">
        <v>951</v>
      </c>
      <c r="F1116" t="s">
        <v>5324</v>
      </c>
      <c r="G1116" t="str">
        <f>B17_Assessment!A22</f>
        <v>118</v>
      </c>
      <c r="H1116" t="str">
        <f>B17_Assessment!B22</f>
        <v>Verify</v>
      </c>
      <c r="I1116" t="str">
        <f>B17_Assessment!C22</f>
        <v>Verify</v>
      </c>
      <c r="J1116" t="str">
        <f>B17_Assessment!D22</f>
        <v>Verify</v>
      </c>
      <c r="K1116" t="str">
        <f>B17_Assessment!E22</f>
        <v>Verify</v>
      </c>
      <c r="L1116" t="str">
        <f>B17_Assessment!F22</f>
        <v>Verify</v>
      </c>
      <c r="M1116" t="str">
        <f>B17_Assessment!G22</f>
        <v>Verify</v>
      </c>
      <c r="N1116" t="str">
        <f>B17_Assessment!H22</f>
        <v>Verify</v>
      </c>
      <c r="O1116" t="str">
        <f>B17_Assessment!I22</f>
        <v>Verify</v>
      </c>
      <c r="P1116" t="str">
        <f>B17_Assessment!J22</f>
        <v>Fully sprinklered building; confirm sprinkler/fire alarm modifications, clean-agent 2A:10B:C extinguisher within 75 ft, rated wall/ceiling/floor penetrations, and temporary firestopping during cable pulls.</v>
      </c>
      <c r="Q1116" t="str">
        <f t="shared" si="17"/>
        <v>17|15</v>
      </c>
    </row>
    <row r="1117" spans="1:17" ht="6.45" customHeight="1">
      <c r="A1117" t="s">
        <v>2557</v>
      </c>
      <c r="B1117">
        <v>16</v>
      </c>
      <c r="C1117" t="s">
        <v>43</v>
      </c>
      <c r="D1117">
        <v>23</v>
      </c>
      <c r="E1117" t="s">
        <v>951</v>
      </c>
      <c r="F1117" t="s">
        <v>5324</v>
      </c>
      <c r="G1117" t="str">
        <f>B17_Assessment!A23</f>
        <v>B35A</v>
      </c>
      <c r="H1117" t="str">
        <f>B17_Assessment!B23</f>
        <v>Verify</v>
      </c>
      <c r="I1117" t="str">
        <f>B17_Assessment!C23</f>
        <v>N/A</v>
      </c>
      <c r="J1117" t="str">
        <f>B17_Assessment!D23</f>
        <v>Verify</v>
      </c>
      <c r="K1117" t="str">
        <f>B17_Assessment!E23</f>
        <v>Verify</v>
      </c>
      <c r="L1117" t="str">
        <f>B17_Assessment!F23</f>
        <v>Verify</v>
      </c>
      <c r="M1117" t="str">
        <f>B17_Assessment!G23</f>
        <v>Verify</v>
      </c>
      <c r="N1117" t="str">
        <f>B17_Assessment!H23</f>
        <v>Verify</v>
      </c>
      <c r="O1117" t="str">
        <f>B17_Assessment!I23</f>
        <v>Verify</v>
      </c>
      <c r="P1117" t="str">
        <f>B17_Assessment!J23</f>
        <v>Existing telecom closet; verify fire alarm/sprinkler protection-in-place and seal any removed/reused penetration after cutover.</v>
      </c>
      <c r="Q1117" t="str">
        <f t="shared" si="17"/>
        <v>17|16</v>
      </c>
    </row>
    <row r="1118" spans="1:17" ht="6.45" customHeight="1">
      <c r="A1118" t="s">
        <v>2557</v>
      </c>
      <c r="B1118">
        <v>17</v>
      </c>
      <c r="C1118" t="s">
        <v>43</v>
      </c>
      <c r="D1118">
        <v>24</v>
      </c>
      <c r="E1118" t="s">
        <v>951</v>
      </c>
      <c r="F1118" t="s">
        <v>5324</v>
      </c>
      <c r="G1118" t="str">
        <f>B17_Assessment!A24</f>
        <v>B29 Path</v>
      </c>
      <c r="H1118" t="str">
        <f>B17_Assessment!B24</f>
        <v>Verify</v>
      </c>
      <c r="I1118" t="str">
        <f>B17_Assessment!C24</f>
        <v>N/A</v>
      </c>
      <c r="J1118" t="str">
        <f>B17_Assessment!D24</f>
        <v>Verify</v>
      </c>
      <c r="K1118" t="str">
        <f>B17_Assessment!E24</f>
        <v>Verify</v>
      </c>
      <c r="L1118" t="str">
        <f>B17_Assessment!F24</f>
        <v>Verify</v>
      </c>
      <c r="M1118" t="str">
        <f>B17_Assessment!G24</f>
        <v>Verify</v>
      </c>
      <c r="N1118" t="str">
        <f>B17_Assessment!H24</f>
        <v>Verify</v>
      </c>
      <c r="O1118" t="str">
        <f>B17_Assessment!I24</f>
        <v>Verify</v>
      </c>
      <c r="P1118" t="str">
        <f>B17_Assessment!J24</f>
        <v>Verify firestopping at pathway penetrations between Building 17 and Building 29 and any rated floor/wall assemblies.</v>
      </c>
      <c r="Q1118" t="str">
        <f t="shared" si="17"/>
        <v>17|17</v>
      </c>
    </row>
    <row r="1119" spans="1:17" ht="6.45" customHeight="1">
      <c r="A1119" t="s">
        <v>2557</v>
      </c>
      <c r="B1119">
        <v>18</v>
      </c>
      <c r="C1119" t="s">
        <v>43</v>
      </c>
      <c r="D1119">
        <v>25</v>
      </c>
      <c r="E1119" t="s">
        <v>951</v>
      </c>
      <c r="F1119" t="s">
        <v>5325</v>
      </c>
      <c r="G1119">
        <f>B17_Assessment!A25</f>
        <v>0</v>
      </c>
      <c r="H1119">
        <f>B17_Assessment!B25</f>
        <v>0</v>
      </c>
      <c r="I1119">
        <f>B17_Assessment!C25</f>
        <v>0</v>
      </c>
      <c r="J1119">
        <f>B17_Assessment!D25</f>
        <v>0</v>
      </c>
      <c r="K1119">
        <f>B17_Assessment!E25</f>
        <v>0</v>
      </c>
      <c r="L1119">
        <f>B17_Assessment!F25</f>
        <v>0</v>
      </c>
      <c r="M1119">
        <f>B17_Assessment!G25</f>
        <v>0</v>
      </c>
      <c r="N1119">
        <f>B17_Assessment!H25</f>
        <v>0</v>
      </c>
      <c r="O1119">
        <f>B17_Assessment!I25</f>
        <v>0</v>
      </c>
      <c r="P1119">
        <f>B17_Assessment!J25</f>
        <v>0</v>
      </c>
      <c r="Q1119" t="str">
        <f t="shared" si="17"/>
        <v>17|18</v>
      </c>
    </row>
    <row r="1120" spans="1:17" ht="6.45" customHeight="1">
      <c r="A1120" t="s">
        <v>2557</v>
      </c>
      <c r="B1120">
        <v>19</v>
      </c>
      <c r="C1120" t="s">
        <v>43</v>
      </c>
      <c r="D1120">
        <v>26</v>
      </c>
      <c r="E1120" t="s">
        <v>964</v>
      </c>
      <c r="F1120" t="s">
        <v>5322</v>
      </c>
      <c r="G1120" t="str">
        <f>B17_Assessment!A26</f>
        <v>4. HVAC / COOLING</v>
      </c>
      <c r="H1120">
        <f>B17_Assessment!B26</f>
        <v>0</v>
      </c>
      <c r="I1120">
        <f>B17_Assessment!C26</f>
        <v>0</v>
      </c>
      <c r="J1120">
        <f>B17_Assessment!D26</f>
        <v>0</v>
      </c>
      <c r="K1120">
        <f>B17_Assessment!E26</f>
        <v>0</v>
      </c>
      <c r="L1120">
        <f>B17_Assessment!F26</f>
        <v>0</v>
      </c>
      <c r="M1120">
        <f>B17_Assessment!G26</f>
        <v>0</v>
      </c>
      <c r="N1120">
        <f>B17_Assessment!H26</f>
        <v>0</v>
      </c>
      <c r="O1120">
        <f>B17_Assessment!I26</f>
        <v>0</v>
      </c>
      <c r="P1120">
        <f>B17_Assessment!J26</f>
        <v>0</v>
      </c>
      <c r="Q1120" t="str">
        <f t="shared" si="17"/>
        <v>17|19</v>
      </c>
    </row>
    <row r="1121" spans="1:17" ht="6.45" customHeight="1">
      <c r="A1121" t="s">
        <v>2557</v>
      </c>
      <c r="B1121">
        <v>20</v>
      </c>
      <c r="C1121" t="s">
        <v>43</v>
      </c>
      <c r="D1121">
        <v>27</v>
      </c>
      <c r="E1121" t="s">
        <v>964</v>
      </c>
      <c r="F1121" t="s">
        <v>5323</v>
      </c>
      <c r="G1121" t="str">
        <f>B17_Assessment!A27</f>
        <v>Room</v>
      </c>
      <c r="H1121" t="str">
        <f>B17_Assessment!B27</f>
        <v>Dedicated Unit</v>
      </c>
      <c r="I1121" t="str">
        <f>B17_Assessment!C27</f>
        <v>Capacity Verified</v>
      </c>
      <c r="J1121" t="str">
        <f>B17_Assessment!D27</f>
        <v>Emergency Power</v>
      </c>
      <c r="K1121" t="str">
        <f>B17_Assessment!E27</f>
        <v>Controls / BACnet</v>
      </c>
      <c r="L1121" t="str">
        <f>B17_Assessment!F27</f>
        <v>Condensate Routed</v>
      </c>
      <c r="M1121" t="str">
        <f>B17_Assessment!G27</f>
        <v>High Temp Alarm</v>
      </c>
      <c r="N1121" t="str">
        <f>B17_Assessment!H27</f>
        <v>24/7 Operation</v>
      </c>
      <c r="O1121" t="str">
        <f>B17_Assessment!I27</f>
        <v>Overall</v>
      </c>
      <c r="P1121" t="str">
        <f>B17_Assessment!J27</f>
        <v>Risk / Notes</v>
      </c>
      <c r="Q1121" t="str">
        <f t="shared" si="17"/>
        <v>17|20</v>
      </c>
    </row>
    <row r="1122" spans="1:17" ht="6.45" customHeight="1">
      <c r="A1122" t="s">
        <v>2557</v>
      </c>
      <c r="B1122">
        <v>21</v>
      </c>
      <c r="C1122" t="s">
        <v>43</v>
      </c>
      <c r="D1122">
        <v>28</v>
      </c>
      <c r="E1122" t="s">
        <v>964</v>
      </c>
      <c r="F1122" t="s">
        <v>5324</v>
      </c>
      <c r="G1122" t="str">
        <f>B17_Assessment!A28</f>
        <v>118</v>
      </c>
      <c r="H1122" t="str">
        <f>B17_Assessment!B28</f>
        <v>IU-1-01 / CU-1-01</v>
      </c>
      <c r="I1122" t="str">
        <f>B17_Assessment!C28</f>
        <v>Verify</v>
      </c>
      <c r="J1122" t="str">
        <f>B17_Assessment!D28</f>
        <v>Verify</v>
      </c>
      <c r="K1122" t="str">
        <f>B17_Assessment!E28</f>
        <v>Verify</v>
      </c>
      <c r="L1122" t="str">
        <f>B17_Assessment!F28</f>
        <v>Verify</v>
      </c>
      <c r="M1122" t="str">
        <f>B17_Assessment!G28</f>
        <v>Verify</v>
      </c>
      <c r="N1122" t="str">
        <f>B17_Assessment!H28</f>
        <v>Verify</v>
      </c>
      <c r="O1122" t="str">
        <f>B17_Assessment!I28</f>
        <v>Verify</v>
      </c>
      <c r="P1122" t="str">
        <f>B17_Assessment!J28</f>
        <v>Mechanical/electrical drawings show IU-1-01 in Telecom Room 118 and CU-1-01 outdoor unit. Confirm capacity, emergency/standby source, BACnet adapter, thermostat/control point, condensate path, disconnects, and high-temperature alarm.</v>
      </c>
      <c r="Q1122" t="str">
        <f t="shared" si="17"/>
        <v>17|21</v>
      </c>
    </row>
    <row r="1123" spans="1:17" ht="6.45" customHeight="1">
      <c r="A1123" t="s">
        <v>2557</v>
      </c>
      <c r="B1123">
        <v>22</v>
      </c>
      <c r="C1123" t="s">
        <v>43</v>
      </c>
      <c r="D1123">
        <v>29</v>
      </c>
      <c r="E1123" t="s">
        <v>964</v>
      </c>
      <c r="F1123" t="s">
        <v>5324</v>
      </c>
      <c r="G1123" t="str">
        <f>B17_Assessment!A29</f>
        <v>B35A</v>
      </c>
      <c r="H1123" t="str">
        <f>B17_Assessment!B29</f>
        <v>Existing indoor AC unit</v>
      </c>
      <c r="I1123" t="str">
        <f>B17_Assessment!C29</f>
        <v>Verify</v>
      </c>
      <c r="J1123" t="str">
        <f>B17_Assessment!D29</f>
        <v>Verify</v>
      </c>
      <c r="K1123" t="str">
        <f>B17_Assessment!E29</f>
        <v>Verify</v>
      </c>
      <c r="L1123" t="str">
        <f>B17_Assessment!F29</f>
        <v>Verify</v>
      </c>
      <c r="M1123" t="str">
        <f>B17_Assessment!G29</f>
        <v>Verify</v>
      </c>
      <c r="N1123" t="str">
        <f>B17_Assessment!H29</f>
        <v>Verify</v>
      </c>
      <c r="O1123" t="str">
        <f>B17_Assessment!I29</f>
        <v>Verify</v>
      </c>
      <c r="P1123" t="str">
        <f>B17_Assessment!J29</f>
        <v>Existing B35A is shown with existing indoor AC unit; verify whether it remains active, is abandoned, or needs temporary protection during cutover.</v>
      </c>
      <c r="Q1123" t="str">
        <f t="shared" si="17"/>
        <v>17|22</v>
      </c>
    </row>
    <row r="1124" spans="1:17" ht="6.45" customHeight="1">
      <c r="A1124" t="s">
        <v>2557</v>
      </c>
      <c r="B1124">
        <v>23</v>
      </c>
      <c r="C1124" t="s">
        <v>43</v>
      </c>
      <c r="D1124">
        <v>30</v>
      </c>
      <c r="E1124" t="s">
        <v>964</v>
      </c>
      <c r="F1124" t="s">
        <v>5324</v>
      </c>
      <c r="G1124" t="str">
        <f>B17_Assessment!A30</f>
        <v>B29 Path</v>
      </c>
      <c r="H1124" t="str">
        <f>B17_Assessment!B30</f>
        <v>N/A</v>
      </c>
      <c r="I1124" t="str">
        <f>B17_Assessment!C30</f>
        <v>N/A</v>
      </c>
      <c r="J1124" t="str">
        <f>B17_Assessment!D30</f>
        <v>N/A</v>
      </c>
      <c r="K1124" t="str">
        <f>B17_Assessment!E30</f>
        <v>N/A</v>
      </c>
      <c r="L1124" t="str">
        <f>B17_Assessment!F30</f>
        <v>N/A</v>
      </c>
      <c r="M1124" t="str">
        <f>B17_Assessment!G30</f>
        <v>N/A</v>
      </c>
      <c r="N1124" t="str">
        <f>B17_Assessment!H30</f>
        <v>N/A</v>
      </c>
      <c r="O1124" t="str">
        <f>B17_Assessment!I30</f>
        <v>N/A</v>
      </c>
      <c r="P1124" t="str">
        <f>B17_Assessment!J30</f>
        <v>No dedicated cooling expected for pathway; verify any equipment cabinets or active service locations in Building 29 if applicable.</v>
      </c>
      <c r="Q1124" t="str">
        <f t="shared" si="17"/>
        <v>17|23</v>
      </c>
    </row>
    <row r="1125" spans="1:17" ht="6.45" customHeight="1">
      <c r="A1125" t="s">
        <v>2557</v>
      </c>
      <c r="B1125">
        <v>24</v>
      </c>
      <c r="C1125" t="s">
        <v>43</v>
      </c>
      <c r="D1125">
        <v>31</v>
      </c>
      <c r="E1125" t="s">
        <v>964</v>
      </c>
      <c r="F1125" t="s">
        <v>5325</v>
      </c>
      <c r="G1125">
        <f>B17_Assessment!A31</f>
        <v>0</v>
      </c>
      <c r="H1125">
        <f>B17_Assessment!B31</f>
        <v>0</v>
      </c>
      <c r="I1125">
        <f>B17_Assessment!C31</f>
        <v>0</v>
      </c>
      <c r="J1125">
        <f>B17_Assessment!D31</f>
        <v>0</v>
      </c>
      <c r="K1125">
        <f>B17_Assessment!E31</f>
        <v>0</v>
      </c>
      <c r="L1125">
        <f>B17_Assessment!F31</f>
        <v>0</v>
      </c>
      <c r="M1125">
        <f>B17_Assessment!G31</f>
        <v>0</v>
      </c>
      <c r="N1125">
        <f>B17_Assessment!H31</f>
        <v>0</v>
      </c>
      <c r="O1125">
        <f>B17_Assessment!I31</f>
        <v>0</v>
      </c>
      <c r="P1125">
        <f>B17_Assessment!J31</f>
        <v>0</v>
      </c>
      <c r="Q1125" t="str">
        <f t="shared" si="17"/>
        <v>17|24</v>
      </c>
    </row>
    <row r="1126" spans="1:17" ht="6.45" customHeight="1">
      <c r="A1126" t="s">
        <v>2557</v>
      </c>
      <c r="B1126">
        <v>25</v>
      </c>
      <c r="C1126" t="s">
        <v>43</v>
      </c>
      <c r="D1126">
        <v>32</v>
      </c>
      <c r="E1126" t="s">
        <v>977</v>
      </c>
      <c r="F1126" t="s">
        <v>5322</v>
      </c>
      <c r="G1126" t="str">
        <f>B17_Assessment!A32</f>
        <v>5. ELECTRICAL / UPS</v>
      </c>
      <c r="H1126">
        <f>B17_Assessment!B32</f>
        <v>0</v>
      </c>
      <c r="I1126">
        <f>B17_Assessment!C32</f>
        <v>0</v>
      </c>
      <c r="J1126">
        <f>B17_Assessment!D32</f>
        <v>0</v>
      </c>
      <c r="K1126">
        <f>B17_Assessment!E32</f>
        <v>0</v>
      </c>
      <c r="L1126">
        <f>B17_Assessment!F32</f>
        <v>0</v>
      </c>
      <c r="M1126">
        <f>B17_Assessment!G32</f>
        <v>0</v>
      </c>
      <c r="N1126">
        <f>B17_Assessment!H32</f>
        <v>0</v>
      </c>
      <c r="O1126">
        <f>B17_Assessment!I32</f>
        <v>0</v>
      </c>
      <c r="P1126">
        <f>B17_Assessment!J32</f>
        <v>0</v>
      </c>
      <c r="Q1126" t="str">
        <f t="shared" si="17"/>
        <v>17|25</v>
      </c>
    </row>
    <row r="1127" spans="1:17" ht="6.45" customHeight="1">
      <c r="A1127" t="s">
        <v>2557</v>
      </c>
      <c r="B1127">
        <v>26</v>
      </c>
      <c r="C1127" t="s">
        <v>43</v>
      </c>
      <c r="D1127">
        <v>33</v>
      </c>
      <c r="E1127" t="s">
        <v>977</v>
      </c>
      <c r="F1127" t="s">
        <v>5323</v>
      </c>
      <c r="G1127" t="str">
        <f>B17_Assessment!A33</f>
        <v>Room</v>
      </c>
      <c r="H1127" t="str">
        <f>B17_Assessment!B33</f>
        <v>UPS Installed</v>
      </c>
      <c r="I1127" t="str">
        <f>B17_Assessment!C33</f>
        <v>UPS Size</v>
      </c>
      <c r="J1127" t="str">
        <f>B17_Assessment!D33</f>
        <v>PDU Installed</v>
      </c>
      <c r="K1127" t="str">
        <f>B17_Assessment!E33</f>
        <v>Rack Receptacles</v>
      </c>
      <c r="L1127" t="str">
        <f>B17_Assessment!F33</f>
        <v>Panel Assigned</v>
      </c>
      <c r="M1127" t="str">
        <f>B17_Assessment!G33</f>
        <v>Emergency Source</v>
      </c>
      <c r="N1127" t="str">
        <f>B17_Assessment!H33</f>
        <v>SPD / Labeling</v>
      </c>
      <c r="O1127" t="str">
        <f>B17_Assessment!I33</f>
        <v>Overall</v>
      </c>
      <c r="P1127" t="str">
        <f>B17_Assessment!J33</f>
        <v>Notes</v>
      </c>
      <c r="Q1127" t="str">
        <f t="shared" si="17"/>
        <v>17|26</v>
      </c>
    </row>
    <row r="1128" spans="1:17" ht="6.45" customHeight="1">
      <c r="A1128" t="s">
        <v>2557</v>
      </c>
      <c r="B1128">
        <v>27</v>
      </c>
      <c r="C1128" t="s">
        <v>43</v>
      </c>
      <c r="D1128">
        <v>34</v>
      </c>
      <c r="E1128" t="s">
        <v>977</v>
      </c>
      <c r="F1128" t="s">
        <v>5324</v>
      </c>
      <c r="G1128" t="str">
        <f>B17_Assessment!A34</f>
        <v>118</v>
      </c>
      <c r="H1128" t="str">
        <f>B17_Assessment!B34</f>
        <v>Verify</v>
      </c>
      <c r="I1128" t="str">
        <f>B17_Assessment!C34</f>
        <v>5 kW / 208V rack UPS</v>
      </c>
      <c r="J1128" t="str">
        <f>B17_Assessment!D34</f>
        <v>Verify</v>
      </c>
      <c r="K1128" t="str">
        <f>B17_Assessment!E34</f>
        <v>Verify</v>
      </c>
      <c r="L1128" t="str">
        <f>B17_Assessment!F34</f>
        <v>B17-TR118A / B17-TR118B</v>
      </c>
      <c r="M1128" t="str">
        <f>B17_Assessment!G34</f>
        <v>Verify</v>
      </c>
      <c r="N1128" t="str">
        <f>B17_Assessment!H34</f>
        <v>Verify</v>
      </c>
      <c r="O1128" t="str">
        <f>B17_Assessment!I34</f>
        <v>Verify</v>
      </c>
      <c r="P1128" t="str">
        <f>B17_Assessment!J34</f>
        <v>Electrical plans/schedules identify B17-TR118A fed from BUS-B17-NPB1-R and B17-TR118B fed from BUS-B17-EQDP, with TR RM118 rack receptacles, 208V UPS/PDU equipment, CU-1-01, SPD requirements, and 30-day load measurement requirements.</v>
      </c>
      <c r="Q1128" t="str">
        <f t="shared" si="17"/>
        <v>17|27</v>
      </c>
    </row>
    <row r="1129" spans="1:17" ht="6.45" customHeight="1">
      <c r="A1129" t="s">
        <v>2557</v>
      </c>
      <c r="B1129">
        <v>28</v>
      </c>
      <c r="C1129" t="s">
        <v>43</v>
      </c>
      <c r="D1129">
        <v>35</v>
      </c>
      <c r="E1129" t="s">
        <v>977</v>
      </c>
      <c r="F1129" t="s">
        <v>5324</v>
      </c>
      <c r="G1129" t="str">
        <f>B17_Assessment!A35</f>
        <v>B35A</v>
      </c>
      <c r="H1129" t="str">
        <f>B17_Assessment!B35</f>
        <v>Existing</v>
      </c>
      <c r="I1129" t="str">
        <f>B17_Assessment!C35</f>
        <v>Existing floor UPS</v>
      </c>
      <c r="J1129" t="str">
        <f>B17_Assessment!D35</f>
        <v>Existing</v>
      </c>
      <c r="K1129" t="str">
        <f>B17_Assessment!E35</f>
        <v>Verify</v>
      </c>
      <c r="L1129" t="str">
        <f>B17_Assessment!F35</f>
        <v>Existing / Verify</v>
      </c>
      <c r="M1129" t="str">
        <f>B17_Assessment!G35</f>
        <v>Verify</v>
      </c>
      <c r="N1129" t="str">
        <f>B17_Assessment!H35</f>
        <v>Verify</v>
      </c>
      <c r="O1129" t="str">
        <f>B17_Assessment!I35</f>
        <v>Verify</v>
      </c>
      <c r="P1129" t="str">
        <f>B17_Assessment!J35</f>
        <v>Existing rack/equipment area; verify active equipment, floor UPS status, source circuits, and transfer requirements before disconnect/removal.</v>
      </c>
      <c r="Q1129" t="str">
        <f t="shared" si="17"/>
        <v>17|28</v>
      </c>
    </row>
    <row r="1130" spans="1:17" ht="6.45" customHeight="1">
      <c r="A1130" t="s">
        <v>2557</v>
      </c>
      <c r="B1130">
        <v>29</v>
      </c>
      <c r="C1130" t="s">
        <v>43</v>
      </c>
      <c r="D1130">
        <v>36</v>
      </c>
      <c r="E1130" t="s">
        <v>977</v>
      </c>
      <c r="F1130" t="s">
        <v>5324</v>
      </c>
      <c r="G1130" t="str">
        <f>B17_Assessment!A36</f>
        <v>B29 Path</v>
      </c>
      <c r="H1130" t="str">
        <f>B17_Assessment!B36</f>
        <v>N/A</v>
      </c>
      <c r="I1130" t="str">
        <f>B17_Assessment!C36</f>
        <v>N/A</v>
      </c>
      <c r="J1130" t="str">
        <f>B17_Assessment!D36</f>
        <v>N/A</v>
      </c>
      <c r="K1130" t="str">
        <f>B17_Assessment!E36</f>
        <v>N/A</v>
      </c>
      <c r="L1130" t="str">
        <f>B17_Assessment!F36</f>
        <v>B17 source / verify</v>
      </c>
      <c r="M1130" t="str">
        <f>B17_Assessment!G36</f>
        <v>Verify</v>
      </c>
      <c r="N1130" t="str">
        <f>B17_Assessment!H36</f>
        <v>Verify</v>
      </c>
      <c r="O1130" t="str">
        <f>B17_Assessment!I36</f>
        <v>Verify</v>
      </c>
      <c r="P1130" t="str">
        <f>B17_Assessment!J36</f>
        <v>Verify whether any Building 29 equipment or extension path requires power, grounding, bonding, or labeling tied back to B17 TR 118.</v>
      </c>
      <c r="Q1130" t="str">
        <f t="shared" si="17"/>
        <v>17|29</v>
      </c>
    </row>
    <row r="1131" spans="1:17" ht="6.45" customHeight="1">
      <c r="A1131" t="s">
        <v>2557</v>
      </c>
      <c r="B1131">
        <v>30</v>
      </c>
      <c r="C1131" t="s">
        <v>43</v>
      </c>
      <c r="D1131">
        <v>37</v>
      </c>
      <c r="E1131" t="s">
        <v>977</v>
      </c>
      <c r="F1131" t="s">
        <v>5325</v>
      </c>
      <c r="G1131">
        <f>B17_Assessment!A37</f>
        <v>0</v>
      </c>
      <c r="H1131">
        <f>B17_Assessment!B37</f>
        <v>0</v>
      </c>
      <c r="I1131">
        <f>B17_Assessment!C37</f>
        <v>0</v>
      </c>
      <c r="J1131">
        <f>B17_Assessment!D37</f>
        <v>0</v>
      </c>
      <c r="K1131">
        <f>B17_Assessment!E37</f>
        <v>0</v>
      </c>
      <c r="L1131">
        <f>B17_Assessment!F37</f>
        <v>0</v>
      </c>
      <c r="M1131">
        <f>B17_Assessment!G37</f>
        <v>0</v>
      </c>
      <c r="N1131">
        <f>B17_Assessment!H37</f>
        <v>0</v>
      </c>
      <c r="O1131">
        <f>B17_Assessment!I37</f>
        <v>0</v>
      </c>
      <c r="P1131">
        <f>B17_Assessment!J37</f>
        <v>0</v>
      </c>
      <c r="Q1131" t="str">
        <f t="shared" si="17"/>
        <v>17|30</v>
      </c>
    </row>
    <row r="1132" spans="1:17" ht="6.45" customHeight="1">
      <c r="A1132" t="s">
        <v>2557</v>
      </c>
      <c r="B1132">
        <v>31</v>
      </c>
      <c r="C1132" t="s">
        <v>43</v>
      </c>
      <c r="D1132">
        <v>38</v>
      </c>
      <c r="E1132" t="s">
        <v>994</v>
      </c>
      <c r="F1132" t="s">
        <v>5322</v>
      </c>
      <c r="G1132" t="str">
        <f>B17_Assessment!A38</f>
        <v>6. TELECOMMUNICATIONS</v>
      </c>
      <c r="H1132">
        <f>B17_Assessment!B38</f>
        <v>0</v>
      </c>
      <c r="I1132">
        <f>B17_Assessment!C38</f>
        <v>0</v>
      </c>
      <c r="J1132">
        <f>B17_Assessment!D38</f>
        <v>0</v>
      </c>
      <c r="K1132">
        <f>B17_Assessment!E38</f>
        <v>0</v>
      </c>
      <c r="L1132">
        <f>B17_Assessment!F38</f>
        <v>0</v>
      </c>
      <c r="M1132">
        <f>B17_Assessment!G38</f>
        <v>0</v>
      </c>
      <c r="N1132">
        <f>B17_Assessment!H38</f>
        <v>0</v>
      </c>
      <c r="O1132">
        <f>B17_Assessment!I38</f>
        <v>0</v>
      </c>
      <c r="P1132">
        <f>B17_Assessment!J38</f>
        <v>0</v>
      </c>
      <c r="Q1132" t="str">
        <f t="shared" si="17"/>
        <v>17|31</v>
      </c>
    </row>
    <row r="1133" spans="1:17" ht="6.45" customHeight="1">
      <c r="A1133" t="s">
        <v>2557</v>
      </c>
      <c r="B1133">
        <v>32</v>
      </c>
      <c r="C1133" t="s">
        <v>43</v>
      </c>
      <c r="D1133">
        <v>39</v>
      </c>
      <c r="E1133" t="s">
        <v>994</v>
      </c>
      <c r="F1133" t="s">
        <v>5323</v>
      </c>
      <c r="G1133" t="str">
        <f>B17_Assessment!A39</f>
        <v>Room</v>
      </c>
      <c r="H1133" t="str">
        <f>B17_Assessment!B39</f>
        <v>Rack Installed</v>
      </c>
      <c r="I1133" t="str">
        <f>B17_Assessment!C39</f>
        <v>Ladder Tray</v>
      </c>
      <c r="J1133" t="str">
        <f>B17_Assessment!D39</f>
        <v>Fiber Installed</v>
      </c>
      <c r="K1133" t="str">
        <f>B17_Assessment!E39</f>
        <v>Grounding</v>
      </c>
      <c r="L1133" t="str">
        <f>B17_Assessment!F39</f>
        <v>Labeling</v>
      </c>
      <c r="M1133" t="str">
        <f>B17_Assessment!G39</f>
        <v>Testing</v>
      </c>
      <c r="N1133" t="str">
        <f>B17_Assessment!H39</f>
        <v>VA Acceptance</v>
      </c>
      <c r="O1133" t="str">
        <f>B17_Assessment!I39</f>
        <v>Overall</v>
      </c>
      <c r="P1133" t="str">
        <f>B17_Assessment!J39</f>
        <v>Notes</v>
      </c>
      <c r="Q1133" t="str">
        <f t="shared" si="17"/>
        <v>17|32</v>
      </c>
    </row>
    <row r="1134" spans="1:17" ht="6.45" customHeight="1">
      <c r="A1134" t="s">
        <v>2557</v>
      </c>
      <c r="B1134">
        <v>33</v>
      </c>
      <c r="C1134" t="s">
        <v>43</v>
      </c>
      <c r="D1134">
        <v>40</v>
      </c>
      <c r="E1134" t="s">
        <v>994</v>
      </c>
      <c r="F1134" t="s">
        <v>5324</v>
      </c>
      <c r="G1134" t="str">
        <f>B17_Assessment!A40</f>
        <v>118</v>
      </c>
      <c r="H1134" t="str">
        <f>B17_Assessment!B40</f>
        <v>Verify</v>
      </c>
      <c r="I1134" t="str">
        <f>B17_Assessment!C40</f>
        <v>Verify</v>
      </c>
      <c r="J1134" t="str">
        <f>B17_Assessment!D40</f>
        <v>Verify</v>
      </c>
      <c r="K1134" t="str">
        <f>B17_Assessment!E40</f>
        <v>Verify</v>
      </c>
      <c r="L1134" t="str">
        <f>B17_Assessment!F40</f>
        <v>Verify</v>
      </c>
      <c r="M1134" t="str">
        <f>B17_Assessment!G40</f>
        <v>Verify</v>
      </c>
      <c r="N1134" t="str">
        <f>B17_Assessment!H40</f>
        <v>Verify</v>
      </c>
      <c r="O1134" t="str">
        <f>B17_Assessment!I40</f>
        <v>Verify</v>
      </c>
      <c r="P1134" t="str">
        <f>B17_Assessment!J40</f>
        <v>17_29T-701 identifies Room 118 schedule: 113 WAO total, 67 active ports per survey, 154 total ports per schedule, and 169 total ports with 10% allowance. Rack ID TR17-118-1 serves basement, first, second-level outlets and Building 29 path.</v>
      </c>
      <c r="Q1134" t="str">
        <f t="shared" si="17"/>
        <v>17|33</v>
      </c>
    </row>
    <row r="1135" spans="1:17" ht="6.45" customHeight="1">
      <c r="A1135" t="s">
        <v>2557</v>
      </c>
      <c r="B1135">
        <v>34</v>
      </c>
      <c r="C1135" t="s">
        <v>43</v>
      </c>
      <c r="D1135">
        <v>41</v>
      </c>
      <c r="E1135" t="s">
        <v>994</v>
      </c>
      <c r="F1135" t="s">
        <v>5324</v>
      </c>
      <c r="G1135" t="str">
        <f>B17_Assessment!A41</f>
        <v>B35A</v>
      </c>
      <c r="H1135" t="str">
        <f>B17_Assessment!B41</f>
        <v>Existing</v>
      </c>
      <c r="I1135" t="str">
        <f>B17_Assessment!C41</f>
        <v>Existing</v>
      </c>
      <c r="J1135" t="str">
        <f>B17_Assessment!D41</f>
        <v>Existing</v>
      </c>
      <c r="K1135" t="str">
        <f>B17_Assessment!E41</f>
        <v>Verify</v>
      </c>
      <c r="L1135" t="str">
        <f>B17_Assessment!F41</f>
        <v>Verify</v>
      </c>
      <c r="M1135" t="str">
        <f>B17_Assessment!G41</f>
        <v>Verify</v>
      </c>
      <c r="N1135" t="str">
        <f>B17_Assessment!H41</f>
        <v>Verify</v>
      </c>
      <c r="O1135" t="str">
        <f>B17_Assessment!I41</f>
        <v>Verify</v>
      </c>
      <c r="P1135" t="str">
        <f>B17_Assessment!J41</f>
        <v>Existing Room B35A equipment includes SERTEX utility service ports, legacy Ortronics patch panels, Cisco switches, wall-mounted TE, Fiber/legacy equipment, security cabinet, and floor UPS; verify active services and transfer plan to Room 118.</v>
      </c>
      <c r="Q1135" t="str">
        <f t="shared" si="17"/>
        <v>17|34</v>
      </c>
    </row>
    <row r="1136" spans="1:17" ht="6.45" customHeight="1">
      <c r="A1136" t="s">
        <v>2557</v>
      </c>
      <c r="B1136">
        <v>35</v>
      </c>
      <c r="C1136" t="s">
        <v>43</v>
      </c>
      <c r="D1136">
        <v>42</v>
      </c>
      <c r="E1136" t="s">
        <v>994</v>
      </c>
      <c r="F1136" t="s">
        <v>5324</v>
      </c>
      <c r="G1136" t="str">
        <f>B17_Assessment!A42</f>
        <v>B29 Path</v>
      </c>
      <c r="H1136" t="str">
        <f>B17_Assessment!B42</f>
        <v>Verify</v>
      </c>
      <c r="I1136" t="str">
        <f>B17_Assessment!C42</f>
        <v>Verify</v>
      </c>
      <c r="J1136" t="str">
        <f>B17_Assessment!D42</f>
        <v>Verify</v>
      </c>
      <c r="K1136" t="str">
        <f>B17_Assessment!E42</f>
        <v>Verify</v>
      </c>
      <c r="L1136" t="str">
        <f>B17_Assessment!F42</f>
        <v>Verify</v>
      </c>
      <c r="M1136" t="str">
        <f>B17_Assessment!G42</f>
        <v>Verify</v>
      </c>
      <c r="N1136" t="str">
        <f>B17_Assessment!H42</f>
        <v>Verify</v>
      </c>
      <c r="O1136" t="str">
        <f>B17_Assessment!I42</f>
        <v>Verify</v>
      </c>
      <c r="P1136" t="str">
        <f>B17_Assessment!J42</f>
        <v>Building 29 is shown served from B17; verify fiber from Building 17 to Building 29, path to B29 4-inch PVC, outlet labels, test records and as-builts.</v>
      </c>
      <c r="Q1136" t="str">
        <f t="shared" si="17"/>
        <v>17|35</v>
      </c>
    </row>
    <row r="1137" spans="1:17" ht="6.45" customHeight="1">
      <c r="A1137" t="s">
        <v>2557</v>
      </c>
      <c r="B1137">
        <v>36</v>
      </c>
      <c r="C1137" t="s">
        <v>43</v>
      </c>
      <c r="D1137">
        <v>43</v>
      </c>
      <c r="E1137" t="s">
        <v>994</v>
      </c>
      <c r="F1137" t="s">
        <v>5325</v>
      </c>
      <c r="G1137">
        <f>B17_Assessment!A43</f>
        <v>0</v>
      </c>
      <c r="H1137">
        <f>B17_Assessment!B43</f>
        <v>0</v>
      </c>
      <c r="I1137">
        <f>B17_Assessment!C43</f>
        <v>0</v>
      </c>
      <c r="J1137">
        <f>B17_Assessment!D43</f>
        <v>0</v>
      </c>
      <c r="K1137">
        <f>B17_Assessment!E43</f>
        <v>0</v>
      </c>
      <c r="L1137">
        <f>B17_Assessment!F43</f>
        <v>0</v>
      </c>
      <c r="M1137">
        <f>B17_Assessment!G43</f>
        <v>0</v>
      </c>
      <c r="N1137">
        <f>B17_Assessment!H43</f>
        <v>0</v>
      </c>
      <c r="O1137">
        <f>B17_Assessment!I43</f>
        <v>0</v>
      </c>
      <c r="P1137">
        <f>B17_Assessment!J43</f>
        <v>0</v>
      </c>
      <c r="Q1137" t="str">
        <f t="shared" si="17"/>
        <v>17|36</v>
      </c>
    </row>
    <row r="1138" spans="1:17" ht="6.45" customHeight="1">
      <c r="A1138" t="s">
        <v>2557</v>
      </c>
      <c r="B1138">
        <v>37</v>
      </c>
      <c r="C1138" t="s">
        <v>43</v>
      </c>
      <c r="D1138">
        <v>44</v>
      </c>
      <c r="E1138" t="s">
        <v>1007</v>
      </c>
      <c r="F1138" t="s">
        <v>5322</v>
      </c>
      <c r="G1138" t="str">
        <f>B17_Assessment!A44</f>
        <v>7. SECURITY / PACS / CCTV</v>
      </c>
      <c r="H1138">
        <f>B17_Assessment!B44</f>
        <v>0</v>
      </c>
      <c r="I1138">
        <f>B17_Assessment!C44</f>
        <v>0</v>
      </c>
      <c r="J1138">
        <f>B17_Assessment!D44</f>
        <v>0</v>
      </c>
      <c r="K1138">
        <f>B17_Assessment!E44</f>
        <v>0</v>
      </c>
      <c r="L1138">
        <f>B17_Assessment!F44</f>
        <v>0</v>
      </c>
      <c r="M1138">
        <f>B17_Assessment!G44</f>
        <v>0</v>
      </c>
      <c r="N1138">
        <f>B17_Assessment!H44</f>
        <v>0</v>
      </c>
      <c r="O1138">
        <f>B17_Assessment!I44</f>
        <v>0</v>
      </c>
      <c r="P1138">
        <f>B17_Assessment!J44</f>
        <v>0</v>
      </c>
      <c r="Q1138" t="str">
        <f t="shared" si="17"/>
        <v>17|37</v>
      </c>
    </row>
    <row r="1139" spans="1:17" ht="6.45" customHeight="1">
      <c r="A1139" t="s">
        <v>2557</v>
      </c>
      <c r="B1139">
        <v>38</v>
      </c>
      <c r="C1139" t="s">
        <v>43</v>
      </c>
      <c r="D1139">
        <v>45</v>
      </c>
      <c r="E1139" t="s">
        <v>1007</v>
      </c>
      <c r="F1139" t="s">
        <v>5323</v>
      </c>
      <c r="G1139" t="str">
        <f>B17_Assessment!A45</f>
        <v>Room</v>
      </c>
      <c r="H1139" t="str">
        <f>B17_Assessment!B45</f>
        <v>PACS</v>
      </c>
      <c r="I1139" t="str">
        <f>B17_Assessment!C45</f>
        <v>Card Reader</v>
      </c>
      <c r="J1139" t="str">
        <f>B17_Assessment!D45</f>
        <v>Door Position</v>
      </c>
      <c r="K1139" t="str">
        <f>B17_Assessment!E45</f>
        <v>Electric Strike</v>
      </c>
      <c r="L1139" t="str">
        <f>B17_Assessment!F45</f>
        <v>CCTV</v>
      </c>
      <c r="M1139" t="str">
        <f>B17_Assessment!G45</f>
        <v>Motion Sensor</v>
      </c>
      <c r="N1139" t="str">
        <f>B17_Assessment!H45</f>
        <v>Integration</v>
      </c>
      <c r="O1139" t="str">
        <f>B17_Assessment!I45</f>
        <v>Overall</v>
      </c>
      <c r="P1139" t="str">
        <f>B17_Assessment!J45</f>
        <v>Notes</v>
      </c>
      <c r="Q1139" t="str">
        <f t="shared" si="17"/>
        <v>17|38</v>
      </c>
    </row>
    <row r="1140" spans="1:17" ht="6.45" customHeight="1">
      <c r="A1140" t="s">
        <v>2557</v>
      </c>
      <c r="B1140">
        <v>39</v>
      </c>
      <c r="C1140" t="s">
        <v>43</v>
      </c>
      <c r="D1140">
        <v>46</v>
      </c>
      <c r="E1140" t="s">
        <v>1007</v>
      </c>
      <c r="F1140" t="s">
        <v>5324</v>
      </c>
      <c r="G1140" t="str">
        <f>B17_Assessment!A46</f>
        <v>118</v>
      </c>
      <c r="H1140" t="str">
        <f>B17_Assessment!B46</f>
        <v>Verify</v>
      </c>
      <c r="I1140" t="str">
        <f>B17_Assessment!C46</f>
        <v>Verify</v>
      </c>
      <c r="J1140" t="str">
        <f>B17_Assessment!D46</f>
        <v>Verify</v>
      </c>
      <c r="K1140" t="str">
        <f>B17_Assessment!E46</f>
        <v>Verify</v>
      </c>
      <c r="L1140" t="str">
        <f>B17_Assessment!F46</f>
        <v>Verify</v>
      </c>
      <c r="M1140" t="str">
        <f>B17_Assessment!G46</f>
        <v>Verify</v>
      </c>
      <c r="N1140" t="str">
        <f>B17_Assessment!H46</f>
        <v>Verify</v>
      </c>
      <c r="O1140" t="str">
        <f>B17_Assessment!I46</f>
        <v>Verify</v>
      </c>
      <c r="P1140" t="str">
        <f>B17_Assessment!J46</f>
        <v>Telecom/electrical plans show 118-CAM-01 and security/access-control scope for Room 118; verify CR/RX/DC/ES/MD devices, controller, camera/VMS integration, and door hardware coordination.</v>
      </c>
      <c r="Q1140" t="str">
        <f t="shared" si="17"/>
        <v>17|39</v>
      </c>
    </row>
    <row r="1141" spans="1:17" ht="6.45" customHeight="1">
      <c r="A1141" t="s">
        <v>2557</v>
      </c>
      <c r="B1141">
        <v>40</v>
      </c>
      <c r="C1141" t="s">
        <v>43</v>
      </c>
      <c r="D1141">
        <v>47</v>
      </c>
      <c r="E1141" t="s">
        <v>1007</v>
      </c>
      <c r="F1141" t="s">
        <v>5324</v>
      </c>
      <c r="G1141" t="str">
        <f>B17_Assessment!A47</f>
        <v>B35A</v>
      </c>
      <c r="H1141" t="str">
        <f>B17_Assessment!B47</f>
        <v>Verify</v>
      </c>
      <c r="I1141" t="str">
        <f>B17_Assessment!C47</f>
        <v>Verify</v>
      </c>
      <c r="J1141" t="str">
        <f>B17_Assessment!D47</f>
        <v>Verify</v>
      </c>
      <c r="K1141" t="str">
        <f>B17_Assessment!E47</f>
        <v>Verify</v>
      </c>
      <c r="L1141" t="str">
        <f>B17_Assessment!F47</f>
        <v>Verify</v>
      </c>
      <c r="M1141" t="str">
        <f>B17_Assessment!G47</f>
        <v>Verify</v>
      </c>
      <c r="N1141" t="str">
        <f>B17_Assessment!H47</f>
        <v>Verify</v>
      </c>
      <c r="O1141" t="str">
        <f>B17_Assessment!I47</f>
        <v>Verify</v>
      </c>
      <c r="P1141" t="str">
        <f>B17_Assessment!J47</f>
        <v>Existing security cabinet shown in B35A; verify whether security equipment remains, is relocated, or requires temporary protection during cutover.</v>
      </c>
      <c r="Q1141" t="str">
        <f t="shared" si="17"/>
        <v>17|40</v>
      </c>
    </row>
    <row r="1142" spans="1:17" ht="6.45" customHeight="1">
      <c r="A1142" t="s">
        <v>2557</v>
      </c>
      <c r="B1142">
        <v>41</v>
      </c>
      <c r="C1142" t="s">
        <v>43</v>
      </c>
      <c r="D1142">
        <v>48</v>
      </c>
      <c r="E1142" t="s">
        <v>1007</v>
      </c>
      <c r="F1142" t="s">
        <v>5324</v>
      </c>
      <c r="G1142" t="str">
        <f>B17_Assessment!A48</f>
        <v>B29 Path</v>
      </c>
      <c r="H1142" t="str">
        <f>B17_Assessment!B48</f>
        <v>Verify</v>
      </c>
      <c r="I1142" t="str">
        <f>B17_Assessment!C48</f>
        <v>Verify</v>
      </c>
      <c r="J1142" t="str">
        <f>B17_Assessment!D48</f>
        <v>Verify</v>
      </c>
      <c r="K1142" t="str">
        <f>B17_Assessment!E48</f>
        <v>Verify</v>
      </c>
      <c r="L1142" t="str">
        <f>B17_Assessment!F48</f>
        <v>Verify</v>
      </c>
      <c r="M1142" t="str">
        <f>B17_Assessment!G48</f>
        <v>Verify</v>
      </c>
      <c r="N1142" t="str">
        <f>B17_Assessment!H48</f>
        <v>Verify</v>
      </c>
      <c r="O1142" t="str">
        <f>B17_Assessment!I48</f>
        <v>Verify</v>
      </c>
      <c r="P1142" t="str">
        <f>B17_Assessment!J48</f>
        <v>Verify Building 29 pathway and any security scope tied into B17 TR 118/VMS/PACS.</v>
      </c>
      <c r="Q1142" t="str">
        <f t="shared" si="17"/>
        <v>17|41</v>
      </c>
    </row>
    <row r="1143" spans="1:17" ht="6.45" customHeight="1">
      <c r="A1143" t="s">
        <v>2557</v>
      </c>
      <c r="B1143">
        <v>42</v>
      </c>
      <c r="C1143" t="s">
        <v>43</v>
      </c>
      <c r="D1143">
        <v>49</v>
      </c>
      <c r="E1143" t="s">
        <v>1007</v>
      </c>
      <c r="F1143" t="s">
        <v>5325</v>
      </c>
      <c r="G1143">
        <f>B17_Assessment!A49</f>
        <v>0</v>
      </c>
      <c r="H1143">
        <f>B17_Assessment!B49</f>
        <v>0</v>
      </c>
      <c r="I1143">
        <f>B17_Assessment!C49</f>
        <v>0</v>
      </c>
      <c r="J1143">
        <f>B17_Assessment!D49</f>
        <v>0</v>
      </c>
      <c r="K1143">
        <f>B17_Assessment!E49</f>
        <v>0</v>
      </c>
      <c r="L1143">
        <f>B17_Assessment!F49</f>
        <v>0</v>
      </c>
      <c r="M1143">
        <f>B17_Assessment!G49</f>
        <v>0</v>
      </c>
      <c r="N1143">
        <f>B17_Assessment!H49</f>
        <v>0</v>
      </c>
      <c r="O1143">
        <f>B17_Assessment!I49</f>
        <v>0</v>
      </c>
      <c r="P1143">
        <f>B17_Assessment!J49</f>
        <v>0</v>
      </c>
      <c r="Q1143" t="str">
        <f t="shared" si="17"/>
        <v>17|42</v>
      </c>
    </row>
    <row r="1144" spans="1:17" ht="6.45" customHeight="1">
      <c r="A1144" t="s">
        <v>2557</v>
      </c>
      <c r="B1144">
        <v>43</v>
      </c>
      <c r="C1144" t="s">
        <v>43</v>
      </c>
      <c r="D1144">
        <v>50</v>
      </c>
      <c r="E1144" t="s">
        <v>1019</v>
      </c>
      <c r="F1144" t="s">
        <v>5322</v>
      </c>
      <c r="G1144" t="str">
        <f>B17_Assessment!A50</f>
        <v>8. OWNER RISKS</v>
      </c>
      <c r="H1144">
        <f>B17_Assessment!B50</f>
        <v>0</v>
      </c>
      <c r="I1144">
        <f>B17_Assessment!C50</f>
        <v>0</v>
      </c>
      <c r="J1144">
        <f>B17_Assessment!D50</f>
        <v>0</v>
      </c>
      <c r="K1144">
        <f>B17_Assessment!E50</f>
        <v>0</v>
      </c>
      <c r="L1144">
        <f>B17_Assessment!F50</f>
        <v>0</v>
      </c>
      <c r="M1144">
        <f>B17_Assessment!G50</f>
        <v>0</v>
      </c>
      <c r="N1144">
        <f>B17_Assessment!H50</f>
        <v>0</v>
      </c>
      <c r="O1144">
        <f>B17_Assessment!I50</f>
        <v>0</v>
      </c>
      <c r="P1144">
        <f>B17_Assessment!J50</f>
        <v>0</v>
      </c>
      <c r="Q1144" t="str">
        <f t="shared" si="17"/>
        <v>17|43</v>
      </c>
    </row>
    <row r="1145" spans="1:17" ht="6.45" customHeight="1">
      <c r="A1145" t="s">
        <v>2557</v>
      </c>
      <c r="B1145">
        <v>44</v>
      </c>
      <c r="C1145" t="s">
        <v>43</v>
      </c>
      <c r="D1145">
        <v>51</v>
      </c>
      <c r="E1145" t="s">
        <v>1019</v>
      </c>
      <c r="F1145" t="s">
        <v>5323</v>
      </c>
      <c r="G1145" t="str">
        <f>B17_Assessment!A51</f>
        <v>Risk ID</v>
      </c>
      <c r="H1145" t="str">
        <f>B17_Assessment!B51</f>
        <v>Room</v>
      </c>
      <c r="I1145" t="str">
        <f>B17_Assessment!C51</f>
        <v>Risk</v>
      </c>
      <c r="J1145" t="str">
        <f>B17_Assessment!D51</f>
        <v>Impact</v>
      </c>
      <c r="K1145" t="str">
        <f>B17_Assessment!E51</f>
        <v>Probability</v>
      </c>
      <c r="L1145" t="str">
        <f>B17_Assessment!F51</f>
        <v>Score</v>
      </c>
      <c r="M1145" t="str">
        <f>B17_Assessment!G51</f>
        <v>Mitigation</v>
      </c>
      <c r="N1145" t="str">
        <f>B17_Assessment!H51</f>
        <v>Owner</v>
      </c>
      <c r="O1145" t="str">
        <f>B17_Assessment!I51</f>
        <v>Status</v>
      </c>
      <c r="P1145" t="str">
        <f>B17_Assessment!J51</f>
        <v>Notes</v>
      </c>
      <c r="Q1145" t="str">
        <f t="shared" si="17"/>
        <v>17|44</v>
      </c>
    </row>
    <row r="1146" spans="1:17" ht="6.45" customHeight="1">
      <c r="A1146" t="s">
        <v>2557</v>
      </c>
      <c r="B1146">
        <v>45</v>
      </c>
      <c r="C1146" t="s">
        <v>43</v>
      </c>
      <c r="D1146">
        <v>52</v>
      </c>
      <c r="E1146" t="s">
        <v>1019</v>
      </c>
      <c r="F1146" t="s">
        <v>5324</v>
      </c>
      <c r="G1146" t="str">
        <f>B17_Assessment!A52</f>
        <v>B17-R1</v>
      </c>
      <c r="H1146" t="str">
        <f>B17_Assessment!B52</f>
        <v>All</v>
      </c>
      <c r="I1146" t="str">
        <f>B17_Assessment!C52</f>
        <v>Existing conditions for Room 118, B35A and Building 29 service path not field verified</v>
      </c>
      <c r="J1146" t="str">
        <f>B17_Assessment!D52</f>
        <v>High</v>
      </c>
      <c r="K1146" t="str">
        <f>B17_Assessment!E52</f>
        <v>Medium</v>
      </c>
      <c r="L1146">
        <f>B17_Assessment!F52</f>
        <v>6</v>
      </c>
      <c r="M1146" t="str">
        <f>B17_Assessment!G52</f>
        <v>Perform existing conditions survey with photos before mobilization</v>
      </c>
      <c r="N1146" t="str">
        <f>B17_Assessment!H52</f>
        <v>GCC / Contractor</v>
      </c>
      <c r="O1146" t="str">
        <f>B17_Assessment!I52</f>
        <v>Closed</v>
      </c>
      <c r="P1146" t="str">
        <f>B17_Assessment!J52</f>
        <v>B17_29 includes new TR plus existing basement telecom transition point and B29 service path.</v>
      </c>
      <c r="Q1146" t="str">
        <f t="shared" si="17"/>
        <v>17|45</v>
      </c>
    </row>
    <row r="1147" spans="1:17" ht="6.45" customHeight="1">
      <c r="A1147" t="s">
        <v>2557</v>
      </c>
      <c r="B1147">
        <v>46</v>
      </c>
      <c r="C1147" t="s">
        <v>43</v>
      </c>
      <c r="D1147">
        <v>53</v>
      </c>
      <c r="E1147" t="s">
        <v>1019</v>
      </c>
      <c r="F1147" t="s">
        <v>5324</v>
      </c>
      <c r="G1147" t="str">
        <f>B17_Assessment!A53</f>
        <v>B17-R2</v>
      </c>
      <c r="H1147" t="str">
        <f>B17_Assessment!B53</f>
        <v>118</v>
      </c>
      <c r="I1147" t="str">
        <f>B17_Assessment!C53</f>
        <v>First-level hazardous material abatement plan exists</v>
      </c>
      <c r="J1147" t="str">
        <f>B17_Assessment!D53</f>
        <v>High</v>
      </c>
      <c r="K1147" t="str">
        <f>B17_Assessment!E53</f>
        <v>Medium</v>
      </c>
      <c r="L1147">
        <f>B17_Assessment!F53</f>
        <v>6</v>
      </c>
      <c r="M1147" t="str">
        <f>B17_Assessment!G53</f>
        <v>Coordinate IH/abatement review before wall, floor, ceiling, conduit, or penetration work</v>
      </c>
      <c r="N1147" t="str">
        <f>B17_Assessment!H53</f>
        <v>GC / IH / COR</v>
      </c>
      <c r="O1147" t="str">
        <f>B17_Assessment!I53</f>
        <v>Closed</v>
      </c>
      <c r="P1147" t="str">
        <f>B17_Assessment!J53</f>
        <v>Drawing index includes 17_29H-101 hazardous material abatement plan - first level.</v>
      </c>
      <c r="Q1147" t="str">
        <f t="shared" si="17"/>
        <v>17|46</v>
      </c>
    </row>
    <row r="1148" spans="1:17" ht="6.45" customHeight="1">
      <c r="A1148" t="s">
        <v>2557</v>
      </c>
      <c r="B1148">
        <v>47</v>
      </c>
      <c r="C1148" t="s">
        <v>43</v>
      </c>
      <c r="D1148">
        <v>54</v>
      </c>
      <c r="E1148" t="s">
        <v>1019</v>
      </c>
      <c r="F1148" t="s">
        <v>5324</v>
      </c>
      <c r="G1148" t="str">
        <f>B17_Assessment!A54</f>
        <v>B17-R3</v>
      </c>
      <c r="H1148" t="str">
        <f>B17_Assessment!B54</f>
        <v>B35A</v>
      </c>
      <c r="I1148" t="str">
        <f>B17_Assessment!C54</f>
        <v>Existing telecom equipment may remain active during cutover</v>
      </c>
      <c r="J1148" t="str">
        <f>B17_Assessment!D54</f>
        <v>Critical</v>
      </c>
      <c r="K1148" t="str">
        <f>B17_Assessment!E54</f>
        <v>Medium</v>
      </c>
      <c r="L1148">
        <f>B17_Assessment!F54</f>
        <v>8</v>
      </c>
      <c r="M1148" t="str">
        <f>B17_Assessment!G54</f>
        <v>Document active services, protect in place, identify owner/OIT cutover windows, and preserve rollback path</v>
      </c>
      <c r="N1148" t="str">
        <f>B17_Assessment!H54</f>
        <v>Telecom / OIT</v>
      </c>
      <c r="O1148" t="str">
        <f>B17_Assessment!I54</f>
        <v>Closed</v>
      </c>
      <c r="P1148" t="str">
        <f>B17_Assessment!J54</f>
        <v>Existing SERTEX utility service, Cisco switches, legacy patch panels, security cabinet and UPS shown.</v>
      </c>
      <c r="Q1148" t="str">
        <f t="shared" si="17"/>
        <v>17|47</v>
      </c>
    </row>
    <row r="1149" spans="1:17" ht="6.45" customHeight="1">
      <c r="A1149" t="s">
        <v>2557</v>
      </c>
      <c r="B1149">
        <v>48</v>
      </c>
      <c r="C1149" t="s">
        <v>43</v>
      </c>
      <c r="D1149">
        <v>55</v>
      </c>
      <c r="E1149" t="s">
        <v>1019</v>
      </c>
      <c r="F1149" t="s">
        <v>5324</v>
      </c>
      <c r="G1149" t="str">
        <f>B17_Assessment!A55</f>
        <v>B17-R4</v>
      </c>
      <c r="H1149" t="str">
        <f>B17_Assessment!B55</f>
        <v>118</v>
      </c>
      <c r="I1149" t="str">
        <f>B17_Assessment!C55</f>
        <v>Dedicated cooling emergency power, condensate, BACnet and alarms not verified</v>
      </c>
      <c r="J1149" t="str">
        <f>B17_Assessment!D55</f>
        <v>Critical</v>
      </c>
      <c r="K1149" t="str">
        <f>B17_Assessment!E55</f>
        <v>Medium</v>
      </c>
      <c r="L1149">
        <f>B17_Assessment!F55</f>
        <v>8</v>
      </c>
      <c r="M1149" t="str">
        <f>B17_Assessment!G55</f>
        <v>Confirm IU-1-01/CU-1-01 power source, condensate route, controls, BACnet adapter, thermostat and high-temp alarm</v>
      </c>
      <c r="N1149" t="str">
        <f>B17_Assessment!H55</f>
        <v>Mechanical / Electrical</v>
      </c>
      <c r="O1149" t="str">
        <f>B17_Assessment!I55</f>
        <v>Closed</v>
      </c>
      <c r="P1149" t="str">
        <f>B17_Assessment!J55</f>
        <v>Cooling is central to TR readiness.</v>
      </c>
      <c r="Q1149" t="str">
        <f t="shared" si="17"/>
        <v>17|48</v>
      </c>
    </row>
    <row r="1150" spans="1:17" ht="6.45" customHeight="1">
      <c r="A1150" t="s">
        <v>2557</v>
      </c>
      <c r="B1150">
        <v>49</v>
      </c>
      <c r="C1150" t="s">
        <v>43</v>
      </c>
      <c r="D1150">
        <v>56</v>
      </c>
      <c r="E1150" t="s">
        <v>1019</v>
      </c>
      <c r="F1150" t="s">
        <v>5324</v>
      </c>
      <c r="G1150" t="str">
        <f>B17_Assessment!A56</f>
        <v>B17-R5</v>
      </c>
      <c r="H1150" t="str">
        <f>B17_Assessment!B56</f>
        <v>118</v>
      </c>
      <c r="I1150" t="str">
        <f>B17_Assessment!C56</f>
        <v>208V UPS/PDU and panel source coordination could delay energization</v>
      </c>
      <c r="J1150" t="str">
        <f>B17_Assessment!D56</f>
        <v>High</v>
      </c>
      <c r="K1150" t="str">
        <f>B17_Assessment!E56</f>
        <v>Medium</v>
      </c>
      <c r="L1150">
        <f>B17_Assessment!F56</f>
        <v>6</v>
      </c>
      <c r="M1150" t="str">
        <f>B17_Assessment!G56</f>
        <v>Verify B17-TR118A/B schedules, BUS-B17-EQDP, BUS-B17-NPB1-R, rack receptacles, SPD, labels, load measurement and LOTO needs</v>
      </c>
      <c r="N1150" t="str">
        <f>B17_Assessment!H56</f>
        <v>Electrical / GCC</v>
      </c>
      <c r="O1150" t="str">
        <f>B17_Assessment!I56</f>
        <v>Closed</v>
      </c>
      <c r="P1150" t="str">
        <f>B17_Assessment!J56</f>
        <v>Panel sources include normal and equipment/emergency-side distribution references.</v>
      </c>
      <c r="Q1150" t="str">
        <f t="shared" si="17"/>
        <v>17|49</v>
      </c>
    </row>
    <row r="1151" spans="1:17" ht="6.45" customHeight="1">
      <c r="A1151" t="s">
        <v>2557</v>
      </c>
      <c r="B1151">
        <v>50</v>
      </c>
      <c r="C1151" t="s">
        <v>43</v>
      </c>
      <c r="D1151">
        <v>57</v>
      </c>
      <c r="E1151" t="s">
        <v>1019</v>
      </c>
      <c r="F1151" t="s">
        <v>5324</v>
      </c>
      <c r="G1151" t="str">
        <f>B17_Assessment!A57</f>
        <v>B17-R6</v>
      </c>
      <c r="H1151" t="str">
        <f>B17_Assessment!B57</f>
        <v>118/B29 Path</v>
      </c>
      <c r="I1151" t="str">
        <f>B17_Assessment!C57</f>
        <v>Cable tray and pathway scope is large and crosses multiple levels/building service boundary</v>
      </c>
      <c r="J1151" t="str">
        <f>B17_Assessment!D57</f>
        <v>High</v>
      </c>
      <c r="K1151" t="str">
        <f>B17_Assessment!E57</f>
        <v>Medium</v>
      </c>
      <c r="L1151">
        <f>B17_Assessment!F57</f>
        <v>6</v>
      </c>
      <c r="M1151" t="str">
        <f>B17_Assessment!G57</f>
        <v>Verify 517 ft cable tray, supports, seismic bracing, 40% fill, path to B29 4-inch PVC, penetrations and labeling before install</v>
      </c>
      <c r="N1151" t="str">
        <f>B17_Assessment!H57</f>
        <v>Telecom / GC</v>
      </c>
      <c r="O1151" t="str">
        <f>B17_Assessment!I57</f>
        <v>Closed</v>
      </c>
      <c r="P1151" t="str">
        <f>B17_Assessment!J57</f>
        <v>Cable tray schedule: basement 200 ft, first level 202 ft, second level 115 ft.</v>
      </c>
      <c r="Q1151" t="str">
        <f t="shared" si="17"/>
        <v>17|50</v>
      </c>
    </row>
    <row r="1152" spans="1:17" ht="6.45" customHeight="1">
      <c r="A1152" t="s">
        <v>2557</v>
      </c>
      <c r="B1152">
        <v>51</v>
      </c>
      <c r="C1152" t="s">
        <v>43</v>
      </c>
      <c r="D1152">
        <v>58</v>
      </c>
      <c r="E1152" t="s">
        <v>1019</v>
      </c>
      <c r="F1152" t="s">
        <v>5324</v>
      </c>
      <c r="G1152" t="str">
        <f>B17_Assessment!A58</f>
        <v>B17-R7</v>
      </c>
      <c r="H1152" t="str">
        <f>B17_Assessment!B58</f>
        <v>All</v>
      </c>
      <c r="I1152" t="str">
        <f>B17_Assessment!C58</f>
        <v>Telecom/fiber cutover could affect active hospital communications across B17 and B29</v>
      </c>
      <c r="J1152" t="str">
        <f>B17_Assessment!D58</f>
        <v>Critical</v>
      </c>
      <c r="K1152" t="str">
        <f>B17_Assessment!E58</f>
        <v>Medium</v>
      </c>
      <c r="L1152">
        <f>B17_Assessment!F58</f>
        <v>8</v>
      </c>
      <c r="M1152" t="str">
        <f>B17_Assessment!G58</f>
        <v>Require cutover plan, test records, labels, as-builts, OIT coordination and VA acceptance before active connection</v>
      </c>
      <c r="N1152" t="str">
        <f>B17_Assessment!H58</f>
        <v>Telecom / OIT</v>
      </c>
      <c r="O1152" t="str">
        <f>B17_Assessment!I58</f>
        <v>Closed</v>
      </c>
      <c r="P1152" t="str">
        <f>B17_Assessment!J58</f>
        <v>Room 118 serves 169 total ports including allowance and B29 path.</v>
      </c>
      <c r="Q1152" t="str">
        <f t="shared" si="17"/>
        <v>17|51</v>
      </c>
    </row>
    <row r="1153" spans="1:17" ht="6.45" customHeight="1">
      <c r="A1153" t="s">
        <v>2557</v>
      </c>
      <c r="B1153">
        <v>52</v>
      </c>
      <c r="C1153" t="s">
        <v>43</v>
      </c>
      <c r="D1153">
        <v>59</v>
      </c>
      <c r="E1153" t="s">
        <v>1019</v>
      </c>
      <c r="F1153" t="s">
        <v>5324</v>
      </c>
      <c r="G1153" t="str">
        <f>B17_Assessment!A59</f>
        <v>B17-R8</v>
      </c>
      <c r="H1153" t="str">
        <f>B17_Assessment!B59</f>
        <v>All</v>
      </c>
      <c r="I1153" t="str">
        <f>B17_Assessment!C59</f>
        <v>Commissioning/third-party inspection reports may not be complete at turnover</v>
      </c>
      <c r="J1153" t="str">
        <f>B17_Assessment!D59</f>
        <v>High</v>
      </c>
      <c r="K1153" t="str">
        <f>B17_Assessment!E59</f>
        <v>Medium</v>
      </c>
      <c r="L1153">
        <f>B17_Assessment!F59</f>
        <v>6</v>
      </c>
      <c r="M1153" t="str">
        <f>B17_Assessment!G59</f>
        <v>Track commissioning, inspections, fire alarm/sprinkler acceptance, power verification, cabling test records, labels and as-builts</v>
      </c>
      <c r="N1153" t="str">
        <f>B17_Assessment!H59</f>
        <v>GC / Cx Manager</v>
      </c>
      <c r="O1153" t="str">
        <f>B17_Assessment!I59</f>
        <v>Closed</v>
      </c>
      <c r="P1153" t="str">
        <f>B17_Assessment!J59</f>
        <v>Required by cover/general notes.</v>
      </c>
      <c r="Q1153" t="str">
        <f t="shared" si="17"/>
        <v>17|52</v>
      </c>
    </row>
    <row r="1154" spans="1:17" ht="6.45" customHeight="1">
      <c r="A1154" t="s">
        <v>2557</v>
      </c>
      <c r="B1154">
        <v>53</v>
      </c>
      <c r="C1154" t="s">
        <v>43</v>
      </c>
      <c r="D1154">
        <v>60</v>
      </c>
      <c r="E1154" t="s">
        <v>1019</v>
      </c>
      <c r="F1154" t="s">
        <v>5325</v>
      </c>
      <c r="G1154">
        <f>B17_Assessment!A60</f>
        <v>0</v>
      </c>
      <c r="H1154">
        <f>B17_Assessment!B60</f>
        <v>0</v>
      </c>
      <c r="I1154">
        <f>B17_Assessment!C60</f>
        <v>0</v>
      </c>
      <c r="J1154">
        <f>B17_Assessment!D60</f>
        <v>0</v>
      </c>
      <c r="K1154">
        <f>B17_Assessment!E60</f>
        <v>0</v>
      </c>
      <c r="L1154">
        <f>B17_Assessment!F60</f>
        <v>0</v>
      </c>
      <c r="M1154">
        <f>B17_Assessment!G60</f>
        <v>0</v>
      </c>
      <c r="N1154">
        <f>B17_Assessment!H60</f>
        <v>0</v>
      </c>
      <c r="O1154">
        <f>B17_Assessment!I60</f>
        <v>0</v>
      </c>
      <c r="P1154">
        <f>B17_Assessment!J60</f>
        <v>0</v>
      </c>
      <c r="Q1154" t="str">
        <f t="shared" ref="Q1154:Q1217" si="18">A1154&amp;"|"&amp;B1154</f>
        <v>17|53</v>
      </c>
    </row>
    <row r="1155" spans="1:17" ht="6.45" customHeight="1">
      <c r="A1155" t="s">
        <v>2557</v>
      </c>
      <c r="B1155">
        <v>54</v>
      </c>
      <c r="C1155" t="s">
        <v>43</v>
      </c>
      <c r="D1155">
        <v>61</v>
      </c>
      <c r="E1155" t="s">
        <v>1051</v>
      </c>
      <c r="F1155" t="s">
        <v>5322</v>
      </c>
      <c r="G1155" t="str">
        <f>B17_Assessment!A61</f>
        <v>9. OPEN QUESTIONS</v>
      </c>
      <c r="H1155">
        <f>B17_Assessment!B61</f>
        <v>0</v>
      </c>
      <c r="I1155">
        <f>B17_Assessment!C61</f>
        <v>0</v>
      </c>
      <c r="J1155">
        <f>B17_Assessment!D61</f>
        <v>0</v>
      </c>
      <c r="K1155">
        <f>B17_Assessment!E61</f>
        <v>0</v>
      </c>
      <c r="L1155">
        <f>B17_Assessment!F61</f>
        <v>0</v>
      </c>
      <c r="M1155">
        <f>B17_Assessment!G61</f>
        <v>0</v>
      </c>
      <c r="N1155">
        <f>B17_Assessment!H61</f>
        <v>0</v>
      </c>
      <c r="O1155">
        <f>B17_Assessment!I61</f>
        <v>0</v>
      </c>
      <c r="P1155">
        <f>B17_Assessment!J61</f>
        <v>0</v>
      </c>
      <c r="Q1155" t="str">
        <f t="shared" si="18"/>
        <v>17|54</v>
      </c>
    </row>
    <row r="1156" spans="1:17" ht="6.45" customHeight="1">
      <c r="A1156" t="s">
        <v>2557</v>
      </c>
      <c r="B1156">
        <v>55</v>
      </c>
      <c r="C1156" t="s">
        <v>43</v>
      </c>
      <c r="D1156">
        <v>62</v>
      </c>
      <c r="E1156" t="s">
        <v>1051</v>
      </c>
      <c r="F1156" t="s">
        <v>5323</v>
      </c>
      <c r="G1156" t="str">
        <f>B17_Assessment!A62</f>
        <v>Question ID</v>
      </c>
      <c r="H1156" t="str">
        <f>B17_Assessment!B62</f>
        <v>Question</v>
      </c>
      <c r="I1156" t="str">
        <f>B17_Assessment!C62</f>
        <v>Assigned To</v>
      </c>
      <c r="J1156" t="str">
        <f>B17_Assessment!D62</f>
        <v>Status</v>
      </c>
      <c r="K1156" t="str">
        <f>B17_Assessment!E62</f>
        <v>Needed By</v>
      </c>
      <c r="L1156" t="str">
        <f>B17_Assessment!F62</f>
        <v>Answer / Resolution</v>
      </c>
      <c r="M1156" t="str">
        <f>B17_Assessment!G62</f>
        <v>Impact if Unanswered</v>
      </c>
      <c r="N1156" t="str">
        <f>B17_Assessment!H62</f>
        <v>Follow-up</v>
      </c>
      <c r="O1156" t="str">
        <f>B17_Assessment!I62</f>
        <v>Date Closed</v>
      </c>
      <c r="P1156" t="str">
        <f>B17_Assessment!J62</f>
        <v>Notes</v>
      </c>
      <c r="Q1156" t="str">
        <f t="shared" si="18"/>
        <v>17|55</v>
      </c>
    </row>
    <row r="1157" spans="1:17" ht="6.45" customHeight="1">
      <c r="A1157" t="s">
        <v>2557</v>
      </c>
      <c r="B1157">
        <v>56</v>
      </c>
      <c r="C1157" t="s">
        <v>43</v>
      </c>
      <c r="D1157">
        <v>63</v>
      </c>
      <c r="E1157" t="s">
        <v>1051</v>
      </c>
      <c r="F1157" t="s">
        <v>5324</v>
      </c>
      <c r="G1157" t="str">
        <f>B17_Assessment!A63</f>
        <v>B17-Q1</v>
      </c>
      <c r="H1157" t="str">
        <f>B17_Assessment!B63</f>
        <v>Confirm final telecom scope: new Room 118, existing B35A, and Building 29 served from B17?</v>
      </c>
      <c r="I1157" t="str">
        <f>B17_Assessment!C63</f>
        <v>VA / OIT / Designer</v>
      </c>
      <c r="J1157" t="str">
        <f>B17_Assessment!D63</f>
        <v>Closed</v>
      </c>
      <c r="K1157">
        <f>B17_Assessment!E63</f>
        <v>0</v>
      </c>
      <c r="L1157">
        <f>B17_Assessment!F63</f>
        <v>0</v>
      </c>
      <c r="M1157" t="str">
        <f>B17_Assessment!G63</f>
        <v>Room inventory or PMIS mapping could miss scope</v>
      </c>
      <c r="N1157">
        <f>B17_Assessment!H63</f>
        <v>0</v>
      </c>
      <c r="O1157">
        <f>B17_Assessment!I63</f>
        <v>0</v>
      </c>
      <c r="P1157">
        <f>B17_Assessment!J63</f>
        <v>0</v>
      </c>
      <c r="Q1157" t="str">
        <f t="shared" si="18"/>
        <v>17|56</v>
      </c>
    </row>
    <row r="1158" spans="1:17" ht="6.45" customHeight="1">
      <c r="A1158" t="s">
        <v>2557</v>
      </c>
      <c r="B1158">
        <v>57</v>
      </c>
      <c r="C1158" t="s">
        <v>43</v>
      </c>
      <c r="D1158">
        <v>64</v>
      </c>
      <c r="E1158" t="s">
        <v>1051</v>
      </c>
      <c r="F1158" t="s">
        <v>5324</v>
      </c>
      <c r="G1158" t="str">
        <f>B17_Assessment!A64</f>
        <v>B17-Q2</v>
      </c>
      <c r="H1158" t="str">
        <f>B17_Assessment!B64</f>
        <v>What active services are currently fed from existing B35A equipment?</v>
      </c>
      <c r="I1158" t="str">
        <f>B17_Assessment!C64</f>
        <v>OIT / Contractor</v>
      </c>
      <c r="J1158" t="str">
        <f>B17_Assessment!D64</f>
        <v>Closed</v>
      </c>
      <c r="K1158">
        <f>B17_Assessment!E64</f>
        <v>0</v>
      </c>
      <c r="L1158">
        <f>B17_Assessment!F64</f>
        <v>0</v>
      </c>
      <c r="M1158" t="str">
        <f>B17_Assessment!G64</f>
        <v>Potential communications/security outage</v>
      </c>
      <c r="N1158">
        <f>B17_Assessment!H64</f>
        <v>0</v>
      </c>
      <c r="O1158">
        <f>B17_Assessment!I64</f>
        <v>0</v>
      </c>
      <c r="P1158">
        <f>B17_Assessment!J64</f>
        <v>0</v>
      </c>
      <c r="Q1158" t="str">
        <f t="shared" si="18"/>
        <v>17|57</v>
      </c>
    </row>
    <row r="1159" spans="1:17" ht="6.45" customHeight="1">
      <c r="A1159" t="s">
        <v>2557</v>
      </c>
      <c r="B1159">
        <v>58</v>
      </c>
      <c r="C1159" t="s">
        <v>43</v>
      </c>
      <c r="D1159">
        <v>65</v>
      </c>
      <c r="E1159" t="s">
        <v>1051</v>
      </c>
      <c r="F1159" t="s">
        <v>5324</v>
      </c>
      <c r="G1159" t="str">
        <f>B17_Assessment!A65</f>
        <v>B17-Q3</v>
      </c>
      <c r="H1159" t="str">
        <f>B17_Assessment!B65</f>
        <v>What exact Building 29 outlets/devices are served through TR17-118-1?</v>
      </c>
      <c r="I1159" t="str">
        <f>B17_Assessment!C65</f>
        <v>VA / OIT / Designer</v>
      </c>
      <c r="J1159" t="str">
        <f>B17_Assessment!D65</f>
        <v>Closed</v>
      </c>
      <c r="K1159">
        <f>B17_Assessment!E65</f>
        <v>0</v>
      </c>
      <c r="L1159">
        <f>B17_Assessment!F65</f>
        <v>0</v>
      </c>
      <c r="M1159" t="str">
        <f>B17_Assessment!G65</f>
        <v>Building 29 scope boundary unclear</v>
      </c>
      <c r="N1159">
        <f>B17_Assessment!H65</f>
        <v>0</v>
      </c>
      <c r="O1159">
        <f>B17_Assessment!I65</f>
        <v>0</v>
      </c>
      <c r="P1159">
        <f>B17_Assessment!J65</f>
        <v>0</v>
      </c>
      <c r="Q1159" t="str">
        <f t="shared" si="18"/>
        <v>17|58</v>
      </c>
    </row>
    <row r="1160" spans="1:17" ht="6.45" customHeight="1">
      <c r="A1160" t="s">
        <v>2557</v>
      </c>
      <c r="B1160">
        <v>59</v>
      </c>
      <c r="C1160" t="s">
        <v>43</v>
      </c>
      <c r="D1160">
        <v>66</v>
      </c>
      <c r="E1160" t="s">
        <v>1051</v>
      </c>
      <c r="F1160" t="s">
        <v>5324</v>
      </c>
      <c r="G1160" t="str">
        <f>B17_Assessment!A66</f>
        <v>B17-Q4</v>
      </c>
      <c r="H1160" t="str">
        <f>B17_Assessment!B66</f>
        <v>Is IU-1-01/CU-1-01 on emergency/backup power and dedicated to Room 118?</v>
      </c>
      <c r="I1160" t="str">
        <f>B17_Assessment!C66</f>
        <v>Mechanical / Electrical / VA</v>
      </c>
      <c r="J1160" t="str">
        <f>B17_Assessment!D66</f>
        <v>Closed</v>
      </c>
      <c r="K1160">
        <f>B17_Assessment!E66</f>
        <v>0</v>
      </c>
      <c r="L1160">
        <f>B17_Assessment!F66</f>
        <v>0</v>
      </c>
      <c r="M1160" t="str">
        <f>B17_Assessment!G66</f>
        <v>Cooling continuity unclear</v>
      </c>
      <c r="N1160">
        <f>B17_Assessment!H66</f>
        <v>0</v>
      </c>
      <c r="O1160">
        <f>B17_Assessment!I66</f>
        <v>0</v>
      </c>
      <c r="P1160">
        <f>B17_Assessment!J66</f>
        <v>0</v>
      </c>
      <c r="Q1160" t="str">
        <f t="shared" si="18"/>
        <v>17|59</v>
      </c>
    </row>
    <row r="1161" spans="1:17" ht="6.45" customHeight="1">
      <c r="A1161" t="s">
        <v>2557</v>
      </c>
      <c r="B1161">
        <v>60</v>
      </c>
      <c r="C1161" t="s">
        <v>43</v>
      </c>
      <c r="D1161">
        <v>67</v>
      </c>
      <c r="E1161" t="s">
        <v>1051</v>
      </c>
      <c r="F1161" t="s">
        <v>5324</v>
      </c>
      <c r="G1161" t="str">
        <f>B17_Assessment!A67</f>
        <v>B17-Q5</v>
      </c>
      <c r="H1161" t="str">
        <f>B17_Assessment!B67</f>
        <v>Where is the clean-agent/CO2 extinguisher cabinet located within 75 ft of Room 118?</v>
      </c>
      <c r="I1161" t="str">
        <f>B17_Assessment!C67</f>
        <v>GC / COR</v>
      </c>
      <c r="J1161" t="str">
        <f>B17_Assessment!D67</f>
        <v>Closed</v>
      </c>
      <c r="K1161">
        <f>B17_Assessment!E67</f>
        <v>0</v>
      </c>
      <c r="L1161">
        <f>B17_Assessment!F67</f>
        <v>0</v>
      </c>
      <c r="M1161" t="str">
        <f>B17_Assessment!G67</f>
        <v>Life-safety acceptance risk</v>
      </c>
      <c r="N1161">
        <f>B17_Assessment!H67</f>
        <v>0</v>
      </c>
      <c r="O1161">
        <f>B17_Assessment!I67</f>
        <v>0</v>
      </c>
      <c r="P1161">
        <f>B17_Assessment!J67</f>
        <v>0</v>
      </c>
      <c r="Q1161" t="str">
        <f t="shared" si="18"/>
        <v>17|60</v>
      </c>
    </row>
    <row r="1162" spans="1:17" ht="6.45" customHeight="1">
      <c r="A1162" t="s">
        <v>2557</v>
      </c>
      <c r="B1162">
        <v>61</v>
      </c>
      <c r="C1162" t="s">
        <v>43</v>
      </c>
      <c r="D1162">
        <v>68</v>
      </c>
      <c r="E1162" t="s">
        <v>1051</v>
      </c>
      <c r="F1162" t="s">
        <v>5324</v>
      </c>
      <c r="G1162" t="str">
        <f>B17_Assessment!A68</f>
        <v>B17-Q6</v>
      </c>
      <c r="H1162" t="str">
        <f>B17_Assessment!B68</f>
        <v>Are B17-TR118A/B sources, rack receptacles, SPDs, circuit labels and load measurements approved?</v>
      </c>
      <c r="I1162" t="str">
        <f>B17_Assessment!C68</f>
        <v>Electrical / Designer</v>
      </c>
      <c r="J1162" t="str">
        <f>B17_Assessment!D68</f>
        <v>Closed</v>
      </c>
      <c r="K1162">
        <f>B17_Assessment!E68</f>
        <v>0</v>
      </c>
      <c r="L1162">
        <f>B17_Assessment!F68</f>
        <v>0</v>
      </c>
      <c r="M1162" t="str">
        <f>B17_Assessment!G68</f>
        <v>Electrical readiness unknown</v>
      </c>
      <c r="N1162">
        <f>B17_Assessment!H68</f>
        <v>0</v>
      </c>
      <c r="O1162">
        <f>B17_Assessment!I68</f>
        <v>0</v>
      </c>
      <c r="P1162">
        <f>B17_Assessment!J68</f>
        <v>0</v>
      </c>
      <c r="Q1162" t="str">
        <f t="shared" si="18"/>
        <v>17|61</v>
      </c>
    </row>
    <row r="1163" spans="1:17" ht="6.45" customHeight="1">
      <c r="A1163" t="s">
        <v>2557</v>
      </c>
      <c r="B1163">
        <v>62</v>
      </c>
      <c r="C1163" t="s">
        <v>43</v>
      </c>
      <c r="D1163">
        <v>69</v>
      </c>
      <c r="E1163" t="s">
        <v>1051</v>
      </c>
      <c r="F1163" t="s">
        <v>5324</v>
      </c>
      <c r="G1163" t="str">
        <f>B17_Assessment!A69</f>
        <v>B17-Q7</v>
      </c>
      <c r="H1163" t="str">
        <f>B17_Assessment!B69</f>
        <v>Are all rated wall/floor penetrations, sleeves, cable tray entries and firestopping details identified?</v>
      </c>
      <c r="I1163" t="str">
        <f>B17_Assessment!C69</f>
        <v>GC / Firestop</v>
      </c>
      <c r="J1163" t="str">
        <f>B17_Assessment!D69</f>
        <v>Closed</v>
      </c>
      <c r="K1163">
        <f>B17_Assessment!E69</f>
        <v>0</v>
      </c>
      <c r="L1163">
        <f>B17_Assessment!F69</f>
        <v>0</v>
      </c>
      <c r="M1163" t="str">
        <f>B17_Assessment!G69</f>
        <v>Fire/smoke spread risk</v>
      </c>
      <c r="N1163">
        <f>B17_Assessment!H69</f>
        <v>0</v>
      </c>
      <c r="O1163">
        <f>B17_Assessment!I69</f>
        <v>0</v>
      </c>
      <c r="P1163">
        <f>B17_Assessment!J69</f>
        <v>0</v>
      </c>
      <c r="Q1163" t="str">
        <f t="shared" si="18"/>
        <v>17|62</v>
      </c>
    </row>
    <row r="1164" spans="1:17" ht="6.45" customHeight="1">
      <c r="A1164" t="s">
        <v>2557</v>
      </c>
      <c r="B1164">
        <v>63</v>
      </c>
      <c r="C1164" t="s">
        <v>43</v>
      </c>
      <c r="D1164">
        <v>70</v>
      </c>
      <c r="E1164" t="s">
        <v>1051</v>
      </c>
      <c r="F1164" t="s">
        <v>5324</v>
      </c>
      <c r="G1164" t="str">
        <f>B17_Assessment!A70</f>
        <v>B17-Q8</v>
      </c>
      <c r="H1164" t="str">
        <f>B17_Assessment!B70</f>
        <v>Which third-party inspections and commissioning forms are required before VA acceptance?</v>
      </c>
      <c r="I1164" t="str">
        <f>B17_Assessment!C70</f>
        <v>GC / Cx Manager</v>
      </c>
      <c r="J1164" t="str">
        <f>B17_Assessment!D70</f>
        <v>Closed</v>
      </c>
      <c r="K1164">
        <f>B17_Assessment!E70</f>
        <v>0</v>
      </c>
      <c r="L1164">
        <f>B17_Assessment!F70</f>
        <v>0</v>
      </c>
      <c r="M1164" t="str">
        <f>B17_Assessment!G70</f>
        <v>Turnover package gap</v>
      </c>
      <c r="N1164">
        <f>B17_Assessment!H70</f>
        <v>0</v>
      </c>
      <c r="O1164">
        <f>B17_Assessment!I70</f>
        <v>0</v>
      </c>
      <c r="P1164">
        <f>B17_Assessment!J70</f>
        <v>0</v>
      </c>
      <c r="Q1164" t="str">
        <f t="shared" si="18"/>
        <v>17|63</v>
      </c>
    </row>
    <row r="1165" spans="1:17" ht="6.45" customHeight="1">
      <c r="A1165" t="s">
        <v>2557</v>
      </c>
      <c r="B1165">
        <v>64</v>
      </c>
      <c r="C1165" t="s">
        <v>43</v>
      </c>
      <c r="D1165">
        <v>71</v>
      </c>
      <c r="E1165" t="s">
        <v>1051</v>
      </c>
      <c r="F1165" t="s">
        <v>5325</v>
      </c>
      <c r="G1165">
        <f>B17_Assessment!A71</f>
        <v>0</v>
      </c>
      <c r="H1165">
        <f>B17_Assessment!B71</f>
        <v>0</v>
      </c>
      <c r="I1165">
        <f>B17_Assessment!C71</f>
        <v>0</v>
      </c>
      <c r="J1165">
        <f>B17_Assessment!D71</f>
        <v>0</v>
      </c>
      <c r="K1165">
        <f>B17_Assessment!E71</f>
        <v>0</v>
      </c>
      <c r="L1165">
        <f>B17_Assessment!F71</f>
        <v>0</v>
      </c>
      <c r="M1165">
        <f>B17_Assessment!G71</f>
        <v>0</v>
      </c>
      <c r="N1165">
        <f>B17_Assessment!H71</f>
        <v>0</v>
      </c>
      <c r="O1165">
        <f>B17_Assessment!I71</f>
        <v>0</v>
      </c>
      <c r="P1165">
        <f>B17_Assessment!J71</f>
        <v>0</v>
      </c>
      <c r="Q1165" t="str">
        <f t="shared" si="18"/>
        <v>17|64</v>
      </c>
    </row>
    <row r="1166" spans="1:17" ht="6.45" customHeight="1">
      <c r="A1166" t="s">
        <v>2557</v>
      </c>
      <c r="B1166">
        <v>65</v>
      </c>
      <c r="C1166" t="s">
        <v>43</v>
      </c>
      <c r="D1166">
        <v>72</v>
      </c>
      <c r="E1166" t="s">
        <v>1052</v>
      </c>
      <c r="F1166" t="s">
        <v>5322</v>
      </c>
      <c r="G1166" t="str">
        <f>B17_Assessment!A72</f>
        <v>10. PHOTO LOG</v>
      </c>
      <c r="H1166">
        <f>B17_Assessment!B72</f>
        <v>0</v>
      </c>
      <c r="I1166">
        <f>B17_Assessment!C72</f>
        <v>0</v>
      </c>
      <c r="J1166">
        <f>B17_Assessment!D72</f>
        <v>0</v>
      </c>
      <c r="K1166">
        <f>B17_Assessment!E72</f>
        <v>0</v>
      </c>
      <c r="L1166">
        <f>B17_Assessment!F72</f>
        <v>0</v>
      </c>
      <c r="M1166">
        <f>B17_Assessment!G72</f>
        <v>0</v>
      </c>
      <c r="N1166">
        <f>B17_Assessment!H72</f>
        <v>0</v>
      </c>
      <c r="O1166">
        <f>B17_Assessment!I72</f>
        <v>0</v>
      </c>
      <c r="P1166">
        <f>B17_Assessment!J72</f>
        <v>0</v>
      </c>
      <c r="Q1166" t="str">
        <f t="shared" si="18"/>
        <v>17|65</v>
      </c>
    </row>
    <row r="1167" spans="1:17" ht="6.45" customHeight="1">
      <c r="A1167" t="s">
        <v>2557</v>
      </c>
      <c r="B1167">
        <v>66</v>
      </c>
      <c r="C1167" t="s">
        <v>43</v>
      </c>
      <c r="D1167">
        <v>73</v>
      </c>
      <c r="E1167" t="s">
        <v>1052</v>
      </c>
      <c r="F1167" t="s">
        <v>5323</v>
      </c>
      <c r="G1167" t="str">
        <f>B17_Assessment!A73</f>
        <v>Photo ID</v>
      </c>
      <c r="H1167" t="str">
        <f>B17_Assessment!B73</f>
        <v>Room</v>
      </c>
      <c r="I1167" t="str">
        <f>B17_Assessment!C73</f>
        <v>Category</v>
      </c>
      <c r="J1167" t="str">
        <f>B17_Assessment!D73</f>
        <v>Description</v>
      </c>
      <c r="K1167" t="str">
        <f>B17_Assessment!E73</f>
        <v>Date</v>
      </c>
      <c r="L1167" t="str">
        <f>B17_Assessment!F73</f>
        <v>Taken By</v>
      </c>
      <c r="M1167" t="str">
        <f>B17_Assessment!G73</f>
        <v>File / Link</v>
      </c>
      <c r="N1167" t="str">
        <f>B17_Assessment!H73</f>
        <v>Related Risk</v>
      </c>
      <c r="O1167" t="str">
        <f>B17_Assessment!I73</f>
        <v>Status</v>
      </c>
      <c r="P1167" t="str">
        <f>B17_Assessment!J73</f>
        <v>Notes</v>
      </c>
      <c r="Q1167" t="str">
        <f t="shared" si="18"/>
        <v>17|66</v>
      </c>
    </row>
    <row r="1168" spans="1:17" ht="6.45" customHeight="1">
      <c r="A1168" t="s">
        <v>2557</v>
      </c>
      <c r="B1168">
        <v>67</v>
      </c>
      <c r="C1168" t="s">
        <v>43</v>
      </c>
      <c r="D1168">
        <v>74</v>
      </c>
      <c r="E1168" t="s">
        <v>1052</v>
      </c>
      <c r="F1168" t="s">
        <v>5324</v>
      </c>
      <c r="G1168" t="str">
        <f>B17_Assessment!A74</f>
        <v>B17-P001</v>
      </c>
      <c r="H1168" t="str">
        <f>B17_Assessment!B74</f>
        <v>118</v>
      </c>
      <c r="I1168" t="str">
        <f>B17_Assessment!C74</f>
        <v>Existing Condition</v>
      </c>
      <c r="J1168" t="str">
        <f>B17_Assessment!D74</f>
        <v>Room 118 walls, ceiling/deck, floor, door, adjacent Lab/Freezer/Research/Corridor areas, rack location, pathways and penetrations</v>
      </c>
      <c r="K1168">
        <f>B17_Assessment!E74</f>
        <v>0</v>
      </c>
      <c r="L1168" t="str">
        <f>B17_Assessment!F74</f>
        <v>Paul</v>
      </c>
      <c r="M1168">
        <f>B17_Assessment!G74</f>
        <v>0</v>
      </c>
      <c r="N1168" t="str">
        <f>B17_Assessment!H74</f>
        <v>B17-R1/B17-R2</v>
      </c>
      <c r="O1168" t="str">
        <f>B17_Assessment!I74</f>
        <v>Closed</v>
      </c>
      <c r="P1168">
        <f>B17_Assessment!J74</f>
        <v>0</v>
      </c>
      <c r="Q1168" t="str">
        <f t="shared" si="18"/>
        <v>17|67</v>
      </c>
    </row>
    <row r="1169" spans="1:17" ht="6.45" customHeight="1">
      <c r="A1169" t="s">
        <v>2557</v>
      </c>
      <c r="B1169">
        <v>68</v>
      </c>
      <c r="C1169" t="s">
        <v>43</v>
      </c>
      <c r="D1169">
        <v>75</v>
      </c>
      <c r="E1169" t="s">
        <v>1052</v>
      </c>
      <c r="F1169" t="s">
        <v>5324</v>
      </c>
      <c r="G1169" t="str">
        <f>B17_Assessment!A75</f>
        <v>B17-P002</v>
      </c>
      <c r="H1169" t="str">
        <f>B17_Assessment!B75</f>
        <v>B35A</v>
      </c>
      <c r="I1169" t="str">
        <f>B17_Assessment!C75</f>
        <v>Existing Condition</v>
      </c>
      <c r="J1169" t="str">
        <f>B17_Assessment!D75</f>
        <v>Existing Telecom Closet B35A wall TE, SERTEX service ports, legacy patch panels, Cisco switches, security cabinet, plywood backboard, indoor AC and floor UPS</v>
      </c>
      <c r="K1169">
        <f>B17_Assessment!E75</f>
        <v>0</v>
      </c>
      <c r="L1169" t="str">
        <f>B17_Assessment!F75</f>
        <v>Paul</v>
      </c>
      <c r="M1169">
        <f>B17_Assessment!G75</f>
        <v>0</v>
      </c>
      <c r="N1169" t="str">
        <f>B17_Assessment!H75</f>
        <v>B17-R1/B17-R3</v>
      </c>
      <c r="O1169" t="str">
        <f>B17_Assessment!I75</f>
        <v>Closed</v>
      </c>
      <c r="P1169">
        <f>B17_Assessment!J75</f>
        <v>0</v>
      </c>
      <c r="Q1169" t="str">
        <f t="shared" si="18"/>
        <v>17|68</v>
      </c>
    </row>
    <row r="1170" spans="1:17" ht="6.45" customHeight="1">
      <c r="A1170" t="s">
        <v>2557</v>
      </c>
      <c r="B1170">
        <v>69</v>
      </c>
      <c r="C1170" t="s">
        <v>43</v>
      </c>
      <c r="D1170">
        <v>76</v>
      </c>
      <c r="E1170" t="s">
        <v>1052</v>
      </c>
      <c r="F1170" t="s">
        <v>5324</v>
      </c>
      <c r="G1170" t="str">
        <f>B17_Assessment!A76</f>
        <v>B17-P003</v>
      </c>
      <c r="H1170" t="str">
        <f>B17_Assessment!B76</f>
        <v>B29 Path</v>
      </c>
      <c r="I1170" t="str">
        <f>B17_Assessment!C76</f>
        <v>Pathway</v>
      </c>
      <c r="J1170" t="str">
        <f>B17_Assessment!D76</f>
        <v>Path to B29 4-inch PVC, fiber route, penetrations, handoff points and labeling</v>
      </c>
      <c r="K1170">
        <f>B17_Assessment!E76</f>
        <v>0</v>
      </c>
      <c r="L1170" t="str">
        <f>B17_Assessment!F76</f>
        <v>Paul</v>
      </c>
      <c r="M1170">
        <f>B17_Assessment!G76</f>
        <v>0</v>
      </c>
      <c r="N1170" t="str">
        <f>B17_Assessment!H76</f>
        <v>B17-R6/B17-R7</v>
      </c>
      <c r="O1170" t="str">
        <f>B17_Assessment!I76</f>
        <v>Closed</v>
      </c>
      <c r="P1170">
        <f>B17_Assessment!J76</f>
        <v>0</v>
      </c>
      <c r="Q1170" t="str">
        <f t="shared" si="18"/>
        <v>17|69</v>
      </c>
    </row>
    <row r="1171" spans="1:17" ht="6.45" customHeight="1">
      <c r="A1171" t="s">
        <v>2557</v>
      </c>
      <c r="B1171">
        <v>70</v>
      </c>
      <c r="C1171" t="s">
        <v>43</v>
      </c>
      <c r="D1171">
        <v>77</v>
      </c>
      <c r="E1171" t="s">
        <v>1052</v>
      </c>
      <c r="F1171" t="s">
        <v>5324</v>
      </c>
      <c r="G1171" t="str">
        <f>B17_Assessment!A77</f>
        <v>B17-P004</v>
      </c>
      <c r="H1171" t="str">
        <f>B17_Assessment!B77</f>
        <v>118</v>
      </c>
      <c r="I1171" t="str">
        <f>B17_Assessment!C77</f>
        <v>Hazardous Materials</v>
      </c>
      <c r="J1171" t="str">
        <f>B17_Assessment!D77</f>
        <v>First-level abatement-related materials, flooring, walls, ceiling/penetrations, and disturbance areas</v>
      </c>
      <c r="K1171">
        <f>B17_Assessment!E77</f>
        <v>0</v>
      </c>
      <c r="L1171" t="str">
        <f>B17_Assessment!F77</f>
        <v>Paul</v>
      </c>
      <c r="M1171">
        <f>B17_Assessment!G77</f>
        <v>0</v>
      </c>
      <c r="N1171" t="str">
        <f>B17_Assessment!H77</f>
        <v>B17-R2</v>
      </c>
      <c r="O1171" t="str">
        <f>B17_Assessment!I77</f>
        <v>Closed</v>
      </c>
      <c r="P1171">
        <f>B17_Assessment!J77</f>
        <v>0</v>
      </c>
      <c r="Q1171" t="str">
        <f t="shared" si="18"/>
        <v>17|70</v>
      </c>
    </row>
    <row r="1172" spans="1:17" ht="6.45" customHeight="1">
      <c r="A1172" t="s">
        <v>2557</v>
      </c>
      <c r="B1172">
        <v>71</v>
      </c>
      <c r="C1172" t="s">
        <v>43</v>
      </c>
      <c r="D1172">
        <v>78</v>
      </c>
      <c r="E1172" t="s">
        <v>1052</v>
      </c>
      <c r="F1172" t="s">
        <v>5324</v>
      </c>
      <c r="G1172" t="str">
        <f>B17_Assessment!A78</f>
        <v>B17-P005</v>
      </c>
      <c r="H1172" t="str">
        <f>B17_Assessment!B78</f>
        <v>118/B29</v>
      </c>
      <c r="I1172" t="str">
        <f>B17_Assessment!C78</f>
        <v>Firestop</v>
      </c>
      <c r="J1172" t="str">
        <f>B17_Assessment!D78</f>
        <v>All wall/floor/sleeve/tray penetrations before and after firestop, including B29 pathway</v>
      </c>
      <c r="K1172">
        <f>B17_Assessment!E78</f>
        <v>0</v>
      </c>
      <c r="L1172" t="str">
        <f>B17_Assessment!F78</f>
        <v>Paul</v>
      </c>
      <c r="M1172">
        <f>B17_Assessment!G78</f>
        <v>0</v>
      </c>
      <c r="N1172" t="str">
        <f>B17_Assessment!H78</f>
        <v>B17-R6</v>
      </c>
      <c r="O1172" t="str">
        <f>B17_Assessment!I78</f>
        <v>Closed</v>
      </c>
      <c r="P1172">
        <f>B17_Assessment!J78</f>
        <v>0</v>
      </c>
      <c r="Q1172" t="str">
        <f t="shared" si="18"/>
        <v>17|71</v>
      </c>
    </row>
    <row r="1173" spans="1:17" ht="6.45" customHeight="1">
      <c r="A1173" t="s">
        <v>2557</v>
      </c>
      <c r="B1173">
        <v>72</v>
      </c>
      <c r="C1173" t="s">
        <v>43</v>
      </c>
      <c r="D1173">
        <v>79</v>
      </c>
      <c r="E1173" t="s">
        <v>1052</v>
      </c>
      <c r="F1173" t="s">
        <v>5324</v>
      </c>
      <c r="G1173" t="str">
        <f>B17_Assessment!A79</f>
        <v>B17-P006</v>
      </c>
      <c r="H1173" t="str">
        <f>B17_Assessment!B79</f>
        <v>118</v>
      </c>
      <c r="I1173" t="str">
        <f>B17_Assessment!C79</f>
        <v>HVAC</v>
      </c>
      <c r="J1173" t="str">
        <f>B17_Assessment!D79</f>
        <v>IU-1-01/CU-1-01, condensate, thermostat, BACnet adapter, disconnects, high-temp alarm and power source</v>
      </c>
      <c r="K1173">
        <f>B17_Assessment!E79</f>
        <v>0</v>
      </c>
      <c r="L1173" t="str">
        <f>B17_Assessment!F79</f>
        <v>Paul</v>
      </c>
      <c r="M1173">
        <f>B17_Assessment!G79</f>
        <v>0</v>
      </c>
      <c r="N1173" t="str">
        <f>B17_Assessment!H79</f>
        <v>B17-R4</v>
      </c>
      <c r="O1173" t="str">
        <f>B17_Assessment!I79</f>
        <v>Closed</v>
      </c>
      <c r="P1173">
        <f>B17_Assessment!J79</f>
        <v>0</v>
      </c>
      <c r="Q1173" t="str">
        <f t="shared" si="18"/>
        <v>17|72</v>
      </c>
    </row>
    <row r="1174" spans="1:17" ht="6.45" customHeight="1">
      <c r="A1174" t="s">
        <v>2557</v>
      </c>
      <c r="B1174">
        <v>73</v>
      </c>
      <c r="C1174" t="s">
        <v>43</v>
      </c>
      <c r="D1174">
        <v>80</v>
      </c>
      <c r="E1174" t="s">
        <v>1052</v>
      </c>
      <c r="F1174" t="s">
        <v>5324</v>
      </c>
      <c r="G1174" t="str">
        <f>B17_Assessment!A80</f>
        <v>B17-P007</v>
      </c>
      <c r="H1174" t="str">
        <f>B17_Assessment!B80</f>
        <v>118</v>
      </c>
      <c r="I1174" t="str">
        <f>B17_Assessment!C80</f>
        <v>Electrical</v>
      </c>
      <c r="J1174" t="str">
        <f>B17_Assessment!D80</f>
        <v>B17-TR118A/B panels, BUS-B17-EQDP, BUS-B17-NPB1-R, rack receptacles, breakers, SPD, access controller, lighting, CU-1-01 and labels</v>
      </c>
      <c r="K1174">
        <f>B17_Assessment!E80</f>
        <v>0</v>
      </c>
      <c r="L1174" t="str">
        <f>B17_Assessment!F80</f>
        <v>Paul</v>
      </c>
      <c r="M1174">
        <f>B17_Assessment!G80</f>
        <v>0</v>
      </c>
      <c r="N1174" t="str">
        <f>B17_Assessment!H80</f>
        <v>B17-R5</v>
      </c>
      <c r="O1174" t="str">
        <f>B17_Assessment!I80</f>
        <v>Closed</v>
      </c>
      <c r="P1174">
        <f>B17_Assessment!J80</f>
        <v>0</v>
      </c>
      <c r="Q1174" t="str">
        <f t="shared" si="18"/>
        <v>17|73</v>
      </c>
    </row>
    <row r="1175" spans="1:17" ht="6.45" customHeight="1">
      <c r="A1175" t="s">
        <v>2557</v>
      </c>
      <c r="B1175">
        <v>74</v>
      </c>
      <c r="C1175" t="s">
        <v>43</v>
      </c>
      <c r="D1175">
        <v>81</v>
      </c>
      <c r="E1175" t="s">
        <v>1052</v>
      </c>
      <c r="F1175" t="s">
        <v>5324</v>
      </c>
      <c r="G1175" t="str">
        <f>B17_Assessment!A81</f>
        <v>B17-P008</v>
      </c>
      <c r="H1175" t="str">
        <f>B17_Assessment!B81</f>
        <v>118/B35A/B29</v>
      </c>
      <c r="I1175" t="str">
        <f>B17_Assessment!C81</f>
        <v>Telecom/Security</v>
      </c>
      <c r="J1175" t="str">
        <f>B17_Assessment!D81</f>
        <v>New rack/future rack, fiber path A/B, Cat6A, patch panels, LIU, labels/test records, 118-CAM-01 and existing B35A transfer work</v>
      </c>
      <c r="K1175">
        <f>B17_Assessment!E81</f>
        <v>0</v>
      </c>
      <c r="L1175" t="str">
        <f>B17_Assessment!F81</f>
        <v>Paul</v>
      </c>
      <c r="M1175">
        <f>B17_Assessment!G81</f>
        <v>0</v>
      </c>
      <c r="N1175" t="str">
        <f>B17_Assessment!H81</f>
        <v>B17-R7/B17-R8</v>
      </c>
      <c r="O1175" t="str">
        <f>B17_Assessment!I81</f>
        <v>Closed</v>
      </c>
      <c r="P1175">
        <f>B17_Assessment!J81</f>
        <v>0</v>
      </c>
      <c r="Q1175" t="str">
        <f t="shared" si="18"/>
        <v>17|74</v>
      </c>
    </row>
    <row r="1176" spans="1:17" ht="6.45" customHeight="1">
      <c r="A1176" t="s">
        <v>2557</v>
      </c>
      <c r="B1176">
        <v>75</v>
      </c>
      <c r="C1176" t="s">
        <v>43</v>
      </c>
      <c r="D1176">
        <v>82</v>
      </c>
      <c r="E1176" t="s">
        <v>1052</v>
      </c>
      <c r="F1176" t="s">
        <v>5325</v>
      </c>
      <c r="G1176">
        <f>B17_Assessment!A82</f>
        <v>0</v>
      </c>
      <c r="H1176">
        <f>B17_Assessment!B82</f>
        <v>0</v>
      </c>
      <c r="I1176">
        <f>B17_Assessment!C82</f>
        <v>0</v>
      </c>
      <c r="J1176">
        <f>B17_Assessment!D82</f>
        <v>0</v>
      </c>
      <c r="K1176">
        <f>B17_Assessment!E82</f>
        <v>0</v>
      </c>
      <c r="L1176">
        <f>B17_Assessment!F82</f>
        <v>0</v>
      </c>
      <c r="M1176">
        <f>B17_Assessment!G82</f>
        <v>0</v>
      </c>
      <c r="N1176">
        <f>B17_Assessment!H82</f>
        <v>0</v>
      </c>
      <c r="O1176">
        <f>B17_Assessment!I82</f>
        <v>0</v>
      </c>
      <c r="P1176">
        <f>B17_Assessment!J82</f>
        <v>0</v>
      </c>
      <c r="Q1176" t="str">
        <f t="shared" si="18"/>
        <v>17|75</v>
      </c>
    </row>
    <row r="1177" spans="1:17" ht="6.45" customHeight="1">
      <c r="A1177" t="s">
        <v>705</v>
      </c>
      <c r="B1177">
        <v>1</v>
      </c>
      <c r="C1177" t="s">
        <v>45</v>
      </c>
      <c r="D1177">
        <v>8</v>
      </c>
      <c r="E1177" t="s">
        <v>918</v>
      </c>
      <c r="F1177" t="s">
        <v>5322</v>
      </c>
      <c r="G1177" t="str">
        <f>B18_Assessment!A8</f>
        <v>1. ROOM INVENTORY</v>
      </c>
      <c r="H1177">
        <f>B18_Assessment!B8</f>
        <v>0</v>
      </c>
      <c r="I1177">
        <f>B18_Assessment!C8</f>
        <v>0</v>
      </c>
      <c r="J1177">
        <f>B18_Assessment!D8</f>
        <v>0</v>
      </c>
      <c r="K1177">
        <f>B18_Assessment!E8</f>
        <v>0</v>
      </c>
      <c r="L1177">
        <f>B18_Assessment!F8</f>
        <v>0</v>
      </c>
      <c r="M1177">
        <f>B18_Assessment!G8</f>
        <v>0</v>
      </c>
      <c r="N1177">
        <f>B18_Assessment!H8</f>
        <v>0</v>
      </c>
      <c r="O1177">
        <f>B18_Assessment!I8</f>
        <v>0</v>
      </c>
      <c r="P1177">
        <f>B18_Assessment!J8</f>
        <v>0</v>
      </c>
      <c r="Q1177" t="str">
        <f t="shared" si="18"/>
        <v>18|1</v>
      </c>
    </row>
    <row r="1178" spans="1:17" ht="6.45" customHeight="1">
      <c r="A1178" t="s">
        <v>705</v>
      </c>
      <c r="B1178">
        <v>2</v>
      </c>
      <c r="C1178" t="s">
        <v>45</v>
      </c>
      <c r="D1178">
        <v>9</v>
      </c>
      <c r="E1178" t="s">
        <v>918</v>
      </c>
      <c r="F1178" t="s">
        <v>5323</v>
      </c>
      <c r="G1178" t="str">
        <f>B18_Assessment!A9</f>
        <v>Building</v>
      </c>
      <c r="H1178" t="str">
        <f>B18_Assessment!B9</f>
        <v>Room</v>
      </c>
      <c r="I1178" t="str">
        <f>B18_Assessment!C9</f>
        <v>Floor</v>
      </c>
      <c r="J1178" t="str">
        <f>B18_Assessment!D9</f>
        <v>Existing Use</v>
      </c>
      <c r="K1178" t="str">
        <f>B18_Assessment!E9</f>
        <v>New Use</v>
      </c>
      <c r="L1178" t="str">
        <f>B18_Assessment!F9</f>
        <v>Rack Count</v>
      </c>
      <c r="M1178" t="str">
        <f>B18_Assessment!G9</f>
        <v>Future Rack</v>
      </c>
      <c r="N1178" t="str">
        <f>B18_Assessment!H9</f>
        <v>Status</v>
      </c>
      <c r="O1178" t="str">
        <f>B18_Assessment!I9</f>
        <v>Drawing Ref</v>
      </c>
      <c r="P1178" t="str">
        <f>B18_Assessment!J9</f>
        <v>Notes</v>
      </c>
      <c r="Q1178" t="str">
        <f t="shared" si="18"/>
        <v>18|2</v>
      </c>
    </row>
    <row r="1179" spans="1:17" ht="6.45" customHeight="1">
      <c r="A1179" t="s">
        <v>705</v>
      </c>
      <c r="B1179">
        <v>3</v>
      </c>
      <c r="C1179" t="s">
        <v>45</v>
      </c>
      <c r="D1179">
        <v>10</v>
      </c>
      <c r="E1179" t="s">
        <v>918</v>
      </c>
      <c r="F1179" t="s">
        <v>5324</v>
      </c>
      <c r="G1179" t="str">
        <f>B18_Assessment!A10</f>
        <v>18</v>
      </c>
      <c r="H1179" t="str">
        <f>B18_Assessment!B10</f>
        <v>110</v>
      </c>
      <c r="I1179" t="str">
        <f>B18_Assessment!C10</f>
        <v>First</v>
      </c>
      <c r="J1179" t="str">
        <f>B18_Assessment!D10</f>
        <v>New telecom room build area</v>
      </c>
      <c r="K1179" t="str">
        <f>B18_Assessment!E10</f>
        <v>Telecom Room</v>
      </c>
      <c r="L1179">
        <f>B18_Assessment!F10</f>
        <v>1</v>
      </c>
      <c r="M1179">
        <f>B18_Assessment!G10</f>
        <v>1</v>
      </c>
      <c r="N1179" t="str">
        <f>B18_Assessment!H10</f>
        <v>Verify</v>
      </c>
      <c r="O1179" t="str">
        <f>B18_Assessment!I10</f>
        <v>18A-401 / 18E-101 / 18T-100 / 18T-401 / 18T-604 / 18T-701</v>
      </c>
      <c r="P1179" t="str">
        <f>B18_Assessment!J10</f>
        <v>Primary Building 18 TR. Plans identify Telecom Room 110 at 168 SF, Rack ID TR01-111A-1, panels B18-TR110A/B, 208V rack UPS/PDU equipment, IU-1-01/CU-1-01 cooling, 315 feet total cable tray, and future rack allowance. Room 110 is the new rack room even though the schedule labels RM 111A.</v>
      </c>
      <c r="Q1179" t="str">
        <f t="shared" si="18"/>
        <v>18|3</v>
      </c>
    </row>
    <row r="1180" spans="1:17" ht="6.45" customHeight="1">
      <c r="A1180" t="s">
        <v>705</v>
      </c>
      <c r="B1180">
        <v>4</v>
      </c>
      <c r="C1180" t="s">
        <v>45</v>
      </c>
      <c r="D1180">
        <v>11</v>
      </c>
      <c r="E1180" t="s">
        <v>918</v>
      </c>
      <c r="F1180" t="s">
        <v>5324</v>
      </c>
      <c r="G1180" t="str">
        <f>B18_Assessment!A11</f>
        <v>18</v>
      </c>
      <c r="H1180" t="str">
        <f>B18_Assessment!B11</f>
        <v>111B</v>
      </c>
      <c r="I1180" t="str">
        <f>B18_Assessment!C11</f>
        <v>First</v>
      </c>
      <c r="J1180" t="str">
        <f>B18_Assessment!D11</f>
        <v>Existing TE / stair-adjacent legacy equipment area</v>
      </c>
      <c r="K1180" t="str">
        <f>B18_Assessment!E11</f>
        <v>Existing telecom transition point</v>
      </c>
      <c r="L1180">
        <f>B18_Assessment!F11</f>
        <v>1</v>
      </c>
      <c r="M1180">
        <f>B18_Assessment!G11</f>
        <v>0</v>
      </c>
      <c r="N1180" t="str">
        <f>B18_Assessment!H11</f>
        <v>Verify</v>
      </c>
      <c r="O1180" t="str">
        <f>B18_Assessment!I11</f>
        <v>18T-401 / 18T-604 / 18R-900</v>
      </c>
      <c r="P1180" t="str">
        <f>B18_Assessment!J11</f>
        <v>Existing first-level TE 111B shown at 13 SF with wall-mounted rack, plywood backboard, patch panel, security cabinet, existing floor UPS, and 5RU fiber optic housing. Protect active services and verify transfer to Room 110.</v>
      </c>
      <c r="Q1180" t="str">
        <f t="shared" si="18"/>
        <v>18|4</v>
      </c>
    </row>
    <row r="1181" spans="1:17" ht="6.45" customHeight="1">
      <c r="A1181" t="s">
        <v>705</v>
      </c>
      <c r="B1181">
        <v>5</v>
      </c>
      <c r="C1181" t="s">
        <v>45</v>
      </c>
      <c r="D1181">
        <v>12</v>
      </c>
      <c r="E1181" t="s">
        <v>918</v>
      </c>
      <c r="F1181" t="s">
        <v>5324</v>
      </c>
      <c r="G1181" t="str">
        <f>B18_Assessment!A12</f>
        <v>18</v>
      </c>
      <c r="H1181" t="str">
        <f>B18_Assessment!B12</f>
        <v>213</v>
      </c>
      <c r="I1181" t="str">
        <f>B18_Assessment!C12</f>
        <v>Second</v>
      </c>
      <c r="J1181" t="str">
        <f>B18_Assessment!D12</f>
        <v>Existing telecom closet / legacy equipment area</v>
      </c>
      <c r="K1181" t="str">
        <f>B18_Assessment!E12</f>
        <v>Existing telecom transition point</v>
      </c>
      <c r="L1181">
        <f>B18_Assessment!F12</f>
        <v>1</v>
      </c>
      <c r="M1181">
        <f>B18_Assessment!G12</f>
        <v>0</v>
      </c>
      <c r="N1181" t="str">
        <f>B18_Assessment!H12</f>
        <v>Verify</v>
      </c>
      <c r="O1181" t="str">
        <f>B18_Assessment!I12</f>
        <v>18T-401 / 18T-604 / 18R-900</v>
      </c>
      <c r="P1181" t="str">
        <f>B18_Assessment!J12</f>
        <v>Existing second-level Closet 213 shown at 8 SF with wall-mounted rack, plywood backboard, patch panel, security cabinet, APC floor UPS, SERTEX utility service ports, Cisco switch and legacy Ortronics patch panels. Protect active services and verify transfer to Room 110.</v>
      </c>
      <c r="Q1181" t="str">
        <f t="shared" si="18"/>
        <v>18|5</v>
      </c>
    </row>
    <row r="1182" spans="1:17" ht="6.45" customHeight="1">
      <c r="A1182" t="s">
        <v>705</v>
      </c>
      <c r="B1182">
        <v>6</v>
      </c>
      <c r="C1182" t="s">
        <v>45</v>
      </c>
      <c r="D1182">
        <v>13</v>
      </c>
      <c r="E1182" t="s">
        <v>918</v>
      </c>
      <c r="F1182" t="s">
        <v>5325</v>
      </c>
      <c r="G1182">
        <f>B18_Assessment!A13</f>
        <v>0</v>
      </c>
      <c r="H1182">
        <f>B18_Assessment!B13</f>
        <v>0</v>
      </c>
      <c r="I1182">
        <f>B18_Assessment!C13</f>
        <v>0</v>
      </c>
      <c r="J1182">
        <f>B18_Assessment!D13</f>
        <v>0</v>
      </c>
      <c r="K1182">
        <f>B18_Assessment!E13</f>
        <v>0</v>
      </c>
      <c r="L1182">
        <f>B18_Assessment!F13</f>
        <v>0</v>
      </c>
      <c r="M1182">
        <f>B18_Assessment!G13</f>
        <v>0</v>
      </c>
      <c r="N1182">
        <f>B18_Assessment!H13</f>
        <v>0</v>
      </c>
      <c r="O1182">
        <f>B18_Assessment!I13</f>
        <v>0</v>
      </c>
      <c r="P1182">
        <f>B18_Assessment!J13</f>
        <v>0</v>
      </c>
      <c r="Q1182" t="str">
        <f t="shared" si="18"/>
        <v>18|6</v>
      </c>
    </row>
    <row r="1183" spans="1:17" ht="6.45" customHeight="1">
      <c r="A1183" t="s">
        <v>705</v>
      </c>
      <c r="B1183">
        <v>7</v>
      </c>
      <c r="C1183" t="s">
        <v>45</v>
      </c>
      <c r="D1183">
        <v>14</v>
      </c>
      <c r="E1183" t="s">
        <v>936</v>
      </c>
      <c r="F1183" t="s">
        <v>5322</v>
      </c>
      <c r="G1183" t="str">
        <f>B18_Assessment!A14</f>
        <v>2. ROOM READINESS</v>
      </c>
      <c r="H1183">
        <f>B18_Assessment!B14</f>
        <v>0</v>
      </c>
      <c r="I1183">
        <f>B18_Assessment!C14</f>
        <v>0</v>
      </c>
      <c r="J1183">
        <f>B18_Assessment!D14</f>
        <v>0</v>
      </c>
      <c r="K1183">
        <f>B18_Assessment!E14</f>
        <v>0</v>
      </c>
      <c r="L1183">
        <f>B18_Assessment!F14</f>
        <v>0</v>
      </c>
      <c r="M1183">
        <f>B18_Assessment!G14</f>
        <v>0</v>
      </c>
      <c r="N1183">
        <f>B18_Assessment!H14</f>
        <v>0</v>
      </c>
      <c r="O1183">
        <f>B18_Assessment!I14</f>
        <v>0</v>
      </c>
      <c r="P1183">
        <f>B18_Assessment!J14</f>
        <v>0</v>
      </c>
      <c r="Q1183" t="str">
        <f t="shared" si="18"/>
        <v>18|7</v>
      </c>
    </row>
    <row r="1184" spans="1:17" ht="6.45" customHeight="1">
      <c r="A1184" t="s">
        <v>705</v>
      </c>
      <c r="B1184">
        <v>8</v>
      </c>
      <c r="C1184" t="s">
        <v>45</v>
      </c>
      <c r="D1184">
        <v>15</v>
      </c>
      <c r="E1184" t="s">
        <v>936</v>
      </c>
      <c r="F1184" t="s">
        <v>5323</v>
      </c>
      <c r="G1184" t="str">
        <f>B18_Assessment!A15</f>
        <v>Room</v>
      </c>
      <c r="H1184" t="str">
        <f>B18_Assessment!B15</f>
        <v>Walls / 1-hr Rating</v>
      </c>
      <c r="I1184" t="str">
        <f>B18_Assessment!C15</f>
        <v>Ceiling</v>
      </c>
      <c r="J1184" t="str">
        <f>B18_Assessment!D15</f>
        <v>Floor / SDC</v>
      </c>
      <c r="K1184" t="str">
        <f>B18_Assessment!E15</f>
        <v>Penetrations</v>
      </c>
      <c r="L1184" t="str">
        <f>B18_Assessment!F15</f>
        <v>Access Control</v>
      </c>
      <c r="M1184" t="str">
        <f>B18_Assessment!G15</f>
        <v>Clearances</v>
      </c>
      <c r="N1184" t="str">
        <f>B18_Assessment!H15</f>
        <v>Housekeeping</v>
      </c>
      <c r="O1184" t="str">
        <f>B18_Assessment!I15</f>
        <v>Overall</v>
      </c>
      <c r="P1184" t="str">
        <f>B18_Assessment!J15</f>
        <v>Comments</v>
      </c>
      <c r="Q1184" t="str">
        <f t="shared" si="18"/>
        <v>18|8</v>
      </c>
    </row>
    <row r="1185" spans="1:17" ht="6.45" customHeight="1">
      <c r="A1185" t="s">
        <v>705</v>
      </c>
      <c r="B1185">
        <v>9</v>
      </c>
      <c r="C1185" t="s">
        <v>45</v>
      </c>
      <c r="D1185">
        <v>16</v>
      </c>
      <c r="E1185" t="s">
        <v>936</v>
      </c>
      <c r="F1185" t="s">
        <v>5324</v>
      </c>
      <c r="G1185" t="str">
        <f>B18_Assessment!A16</f>
        <v>110</v>
      </c>
      <c r="H1185" t="str">
        <f>B18_Assessment!B16</f>
        <v>Verify</v>
      </c>
      <c r="I1185" t="str">
        <f>B18_Assessment!C16</f>
        <v>Verify</v>
      </c>
      <c r="J1185" t="str">
        <f>B18_Assessment!D16</f>
        <v>Verify</v>
      </c>
      <c r="K1185" t="str">
        <f>B18_Assessment!E16</f>
        <v>Verify</v>
      </c>
      <c r="L1185" t="str">
        <f>B18_Assessment!F16</f>
        <v>Verify</v>
      </c>
      <c r="M1185" t="str">
        <f>B18_Assessment!G16</f>
        <v>Verify</v>
      </c>
      <c r="N1185" t="str">
        <f>B18_Assessment!H16</f>
        <v>Verify</v>
      </c>
      <c r="O1185" t="str">
        <f>B18_Assessment!I16</f>
        <v>Verify</v>
      </c>
      <c r="P1185" t="str">
        <f>B18_Assessment!J16</f>
        <v>First-level TR; verify 1-hour fire/smoke-rated enclosure, open-to-deck conditions, 45-minute door/frame, access control, static-control floor sealer, rack/future rack clearances, wall backing, and cable tray/pathway entry points.</v>
      </c>
      <c r="Q1185" t="str">
        <f t="shared" si="18"/>
        <v>18|9</v>
      </c>
    </row>
    <row r="1186" spans="1:17" ht="6.45" customHeight="1">
      <c r="A1186" t="s">
        <v>705</v>
      </c>
      <c r="B1186">
        <v>10</v>
      </c>
      <c r="C1186" t="s">
        <v>45</v>
      </c>
      <c r="D1186">
        <v>17</v>
      </c>
      <c r="E1186" t="s">
        <v>936</v>
      </c>
      <c r="F1186" t="s">
        <v>5324</v>
      </c>
      <c r="G1186" t="str">
        <f>B18_Assessment!A17</f>
        <v>111B</v>
      </c>
      <c r="H1186" t="str">
        <f>B18_Assessment!B17</f>
        <v>Existing / Verify</v>
      </c>
      <c r="I1186" t="str">
        <f>B18_Assessment!C17</f>
        <v>Existing / Verify</v>
      </c>
      <c r="J1186" t="str">
        <f>B18_Assessment!D17</f>
        <v>Existing / Verify</v>
      </c>
      <c r="K1186" t="str">
        <f>B18_Assessment!E17</f>
        <v>Verify</v>
      </c>
      <c r="L1186" t="str">
        <f>B18_Assessment!F17</f>
        <v>Verify</v>
      </c>
      <c r="M1186" t="str">
        <f>B18_Assessment!G17</f>
        <v>Verify</v>
      </c>
      <c r="N1186" t="str">
        <f>B18_Assessment!H17</f>
        <v>Verify</v>
      </c>
      <c r="O1186" t="str">
        <f>B18_Assessment!I17</f>
        <v>Verify</v>
      </c>
      <c r="P1186" t="str">
        <f>B18_Assessment!J17</f>
        <v>Existing first-level TE; verify active equipment status, pathway, rack/UPS/backboard, security cabinet, fiber housing and transition/abandonment scope.</v>
      </c>
      <c r="Q1186" t="str">
        <f t="shared" si="18"/>
        <v>18|10</v>
      </c>
    </row>
    <row r="1187" spans="1:17" ht="6.45" customHeight="1">
      <c r="A1187" t="s">
        <v>705</v>
      </c>
      <c r="B1187">
        <v>11</v>
      </c>
      <c r="C1187" t="s">
        <v>45</v>
      </c>
      <c r="D1187">
        <v>18</v>
      </c>
      <c r="E1187" t="s">
        <v>936</v>
      </c>
      <c r="F1187" t="s">
        <v>5324</v>
      </c>
      <c r="G1187" t="str">
        <f>B18_Assessment!A18</f>
        <v>213</v>
      </c>
      <c r="H1187" t="str">
        <f>B18_Assessment!B18</f>
        <v>Existing / Verify</v>
      </c>
      <c r="I1187" t="str">
        <f>B18_Assessment!C18</f>
        <v>Existing / Verify</v>
      </c>
      <c r="J1187" t="str">
        <f>B18_Assessment!D18</f>
        <v>Existing / Verify</v>
      </c>
      <c r="K1187" t="str">
        <f>B18_Assessment!E18</f>
        <v>Verify</v>
      </c>
      <c r="L1187" t="str">
        <f>B18_Assessment!F18</f>
        <v>Verify</v>
      </c>
      <c r="M1187" t="str">
        <f>B18_Assessment!G18</f>
        <v>Verify</v>
      </c>
      <c r="N1187" t="str">
        <f>B18_Assessment!H18</f>
        <v>Verify</v>
      </c>
      <c r="O1187" t="str">
        <f>B18_Assessment!I18</f>
        <v>Verify</v>
      </c>
      <c r="P1187" t="str">
        <f>B18_Assessment!J18</f>
        <v>Existing second-level closet; verify active equipment status, pathway, rack/UPS/backboard, security cabinet and transition/abandonment scope.</v>
      </c>
      <c r="Q1187" t="str">
        <f t="shared" si="18"/>
        <v>18|11</v>
      </c>
    </row>
    <row r="1188" spans="1:17" ht="6.45" customHeight="1">
      <c r="A1188" t="s">
        <v>705</v>
      </c>
      <c r="B1188">
        <v>12</v>
      </c>
      <c r="C1188" t="s">
        <v>45</v>
      </c>
      <c r="D1188">
        <v>19</v>
      </c>
      <c r="E1188" t="s">
        <v>936</v>
      </c>
      <c r="F1188" t="s">
        <v>5325</v>
      </c>
      <c r="G1188">
        <f>B18_Assessment!A19</f>
        <v>0</v>
      </c>
      <c r="H1188">
        <f>B18_Assessment!B19</f>
        <v>0</v>
      </c>
      <c r="I1188">
        <f>B18_Assessment!C19</f>
        <v>0</v>
      </c>
      <c r="J1188">
        <f>B18_Assessment!D19</f>
        <v>0</v>
      </c>
      <c r="K1188">
        <f>B18_Assessment!E19</f>
        <v>0</v>
      </c>
      <c r="L1188">
        <f>B18_Assessment!F19</f>
        <v>0</v>
      </c>
      <c r="M1188">
        <f>B18_Assessment!G19</f>
        <v>0</v>
      </c>
      <c r="N1188">
        <f>B18_Assessment!H19</f>
        <v>0</v>
      </c>
      <c r="O1188">
        <f>B18_Assessment!I19</f>
        <v>0</v>
      </c>
      <c r="P1188">
        <f>B18_Assessment!J19</f>
        <v>0</v>
      </c>
      <c r="Q1188" t="str">
        <f t="shared" si="18"/>
        <v>18|12</v>
      </c>
    </row>
    <row r="1189" spans="1:17" ht="6.45" customHeight="1">
      <c r="A1189" t="s">
        <v>705</v>
      </c>
      <c r="B1189">
        <v>13</v>
      </c>
      <c r="C1189" t="s">
        <v>45</v>
      </c>
      <c r="D1189">
        <v>20</v>
      </c>
      <c r="E1189" t="s">
        <v>951</v>
      </c>
      <c r="F1189" t="s">
        <v>5322</v>
      </c>
      <c r="G1189" t="str">
        <f>B18_Assessment!A20</f>
        <v>3. FIRE PROTECTION</v>
      </c>
      <c r="H1189">
        <f>B18_Assessment!B20</f>
        <v>0</v>
      </c>
      <c r="I1189">
        <f>B18_Assessment!C20</f>
        <v>0</v>
      </c>
      <c r="J1189">
        <f>B18_Assessment!D20</f>
        <v>0</v>
      </c>
      <c r="K1189">
        <f>B18_Assessment!E20</f>
        <v>0</v>
      </c>
      <c r="L1189">
        <f>B18_Assessment!F20</f>
        <v>0</v>
      </c>
      <c r="M1189">
        <f>B18_Assessment!G20</f>
        <v>0</v>
      </c>
      <c r="N1189">
        <f>B18_Assessment!H20</f>
        <v>0</v>
      </c>
      <c r="O1189">
        <f>B18_Assessment!I20</f>
        <v>0</v>
      </c>
      <c r="P1189">
        <f>B18_Assessment!J20</f>
        <v>0</v>
      </c>
      <c r="Q1189" t="str">
        <f t="shared" si="18"/>
        <v>18|13</v>
      </c>
    </row>
    <row r="1190" spans="1:17" ht="6.45" customHeight="1">
      <c r="A1190" t="s">
        <v>705</v>
      </c>
      <c r="B1190">
        <v>14</v>
      </c>
      <c r="C1190" t="s">
        <v>45</v>
      </c>
      <c r="D1190">
        <v>21</v>
      </c>
      <c r="E1190" t="s">
        <v>951</v>
      </c>
      <c r="F1190" t="s">
        <v>5323</v>
      </c>
      <c r="G1190" t="str">
        <f>B18_Assessment!A21</f>
        <v>Room</v>
      </c>
      <c r="H1190" t="str">
        <f>B18_Assessment!B21</f>
        <v>Sprinkler</v>
      </c>
      <c r="I1190" t="str">
        <f>B18_Assessment!C21</f>
        <v>Cage</v>
      </c>
      <c r="J1190" t="str">
        <f>B18_Assessment!D21</f>
        <v>Detector</v>
      </c>
      <c r="K1190" t="str">
        <f>B18_Assessment!E21</f>
        <v>Horn/Strobe</v>
      </c>
      <c r="L1190" t="str">
        <f>B18_Assessment!F21</f>
        <v>Extinguisher &lt;75 ft</v>
      </c>
      <c r="M1190" t="str">
        <f>B18_Assessment!G21</f>
        <v>Firestop</v>
      </c>
      <c r="N1190" t="str">
        <f>B18_Assessment!H21</f>
        <v>Temp Firestop</v>
      </c>
      <c r="O1190" t="str">
        <f>B18_Assessment!I21</f>
        <v>Overall</v>
      </c>
      <c r="P1190" t="str">
        <f>B18_Assessment!J21</f>
        <v>Risk / Notes</v>
      </c>
      <c r="Q1190" t="str">
        <f t="shared" si="18"/>
        <v>18|14</v>
      </c>
    </row>
    <row r="1191" spans="1:17" ht="6.45" customHeight="1">
      <c r="A1191" t="s">
        <v>705</v>
      </c>
      <c r="B1191">
        <v>15</v>
      </c>
      <c r="C1191" t="s">
        <v>45</v>
      </c>
      <c r="D1191">
        <v>22</v>
      </c>
      <c r="E1191" t="s">
        <v>951</v>
      </c>
      <c r="F1191" t="s">
        <v>5324</v>
      </c>
      <c r="G1191" t="str">
        <f>B18_Assessment!A22</f>
        <v>110</v>
      </c>
      <c r="H1191" t="str">
        <f>B18_Assessment!B22</f>
        <v>Verify</v>
      </c>
      <c r="I1191" t="str">
        <f>B18_Assessment!C22</f>
        <v>Verify</v>
      </c>
      <c r="J1191" t="str">
        <f>B18_Assessment!D22</f>
        <v>Verify</v>
      </c>
      <c r="K1191" t="str">
        <f>B18_Assessment!E22</f>
        <v>Verify</v>
      </c>
      <c r="L1191" t="str">
        <f>B18_Assessment!F22</f>
        <v>Verify</v>
      </c>
      <c r="M1191" t="str">
        <f>B18_Assessment!G22</f>
        <v>Verify</v>
      </c>
      <c r="N1191" t="str">
        <f>B18_Assessment!H22</f>
        <v>Verify</v>
      </c>
      <c r="O1191" t="str">
        <f>B18_Assessment!I22</f>
        <v>Verify</v>
      </c>
      <c r="P1191" t="str">
        <f>B18_Assessment!J22</f>
        <v>Fully sprinklered building; confirm sprinkler/fire alarm modifications, clean-agent 2A:10B:C extinguisher within 75 ft, rated wall/ceiling/floor penetrations, and temporary firestopping during cable pulls.</v>
      </c>
      <c r="Q1191" t="str">
        <f t="shared" si="18"/>
        <v>18|15</v>
      </c>
    </row>
    <row r="1192" spans="1:17" ht="6.45" customHeight="1">
      <c r="A1192" t="s">
        <v>705</v>
      </c>
      <c r="B1192">
        <v>16</v>
      </c>
      <c r="C1192" t="s">
        <v>45</v>
      </c>
      <c r="D1192">
        <v>23</v>
      </c>
      <c r="E1192" t="s">
        <v>951</v>
      </c>
      <c r="F1192" t="s">
        <v>5324</v>
      </c>
      <c r="G1192" t="str">
        <f>B18_Assessment!A23</f>
        <v>111B</v>
      </c>
      <c r="H1192" t="str">
        <f>B18_Assessment!B23</f>
        <v>Verify</v>
      </c>
      <c r="I1192" t="str">
        <f>B18_Assessment!C23</f>
        <v>N/A</v>
      </c>
      <c r="J1192" t="str">
        <f>B18_Assessment!D23</f>
        <v>Verify</v>
      </c>
      <c r="K1192" t="str">
        <f>B18_Assessment!E23</f>
        <v>Verify</v>
      </c>
      <c r="L1192" t="str">
        <f>B18_Assessment!F23</f>
        <v>Verify</v>
      </c>
      <c r="M1192" t="str">
        <f>B18_Assessment!G23</f>
        <v>Verify</v>
      </c>
      <c r="N1192" t="str">
        <f>B18_Assessment!H23</f>
        <v>Verify</v>
      </c>
      <c r="O1192" t="str">
        <f>B18_Assessment!I23</f>
        <v>Verify</v>
      </c>
      <c r="P1192" t="str">
        <f>B18_Assessment!J23</f>
        <v>Existing TE room; verify fire alarm/sprinkler protection-in-place and seal removed/reused penetrations after cutover.</v>
      </c>
      <c r="Q1192" t="str">
        <f t="shared" si="18"/>
        <v>18|16</v>
      </c>
    </row>
    <row r="1193" spans="1:17" ht="6.45" customHeight="1">
      <c r="A1193" t="s">
        <v>705</v>
      </c>
      <c r="B1193">
        <v>17</v>
      </c>
      <c r="C1193" t="s">
        <v>45</v>
      </c>
      <c r="D1193">
        <v>24</v>
      </c>
      <c r="E1193" t="s">
        <v>951</v>
      </c>
      <c r="F1193" t="s">
        <v>5324</v>
      </c>
      <c r="G1193" t="str">
        <f>B18_Assessment!A24</f>
        <v>213</v>
      </c>
      <c r="H1193" t="str">
        <f>B18_Assessment!B24</f>
        <v>Verify</v>
      </c>
      <c r="I1193" t="str">
        <f>B18_Assessment!C24</f>
        <v>N/A</v>
      </c>
      <c r="J1193" t="str">
        <f>B18_Assessment!D24</f>
        <v>Verify</v>
      </c>
      <c r="K1193" t="str">
        <f>B18_Assessment!E24</f>
        <v>Verify</v>
      </c>
      <c r="L1193" t="str">
        <f>B18_Assessment!F24</f>
        <v>Verify</v>
      </c>
      <c r="M1193" t="str">
        <f>B18_Assessment!G24</f>
        <v>Verify</v>
      </c>
      <c r="N1193" t="str">
        <f>B18_Assessment!H24</f>
        <v>Verify</v>
      </c>
      <c r="O1193" t="str">
        <f>B18_Assessment!I24</f>
        <v>Verify</v>
      </c>
      <c r="P1193" t="str">
        <f>B18_Assessment!J24</f>
        <v>Existing second-level closet; verify protection-in-place and firestopping after transfer or abandonment.</v>
      </c>
      <c r="Q1193" t="str">
        <f t="shared" si="18"/>
        <v>18|17</v>
      </c>
    </row>
    <row r="1194" spans="1:17" ht="6.45" customHeight="1">
      <c r="A1194" t="s">
        <v>705</v>
      </c>
      <c r="B1194">
        <v>18</v>
      </c>
      <c r="C1194" t="s">
        <v>45</v>
      </c>
      <c r="D1194">
        <v>25</v>
      </c>
      <c r="E1194" t="s">
        <v>951</v>
      </c>
      <c r="F1194" t="s">
        <v>5325</v>
      </c>
      <c r="G1194">
        <f>B18_Assessment!A25</f>
        <v>0</v>
      </c>
      <c r="H1194">
        <f>B18_Assessment!B25</f>
        <v>0</v>
      </c>
      <c r="I1194">
        <f>B18_Assessment!C25</f>
        <v>0</v>
      </c>
      <c r="J1194">
        <f>B18_Assessment!D25</f>
        <v>0</v>
      </c>
      <c r="K1194">
        <f>B18_Assessment!E25</f>
        <v>0</v>
      </c>
      <c r="L1194">
        <f>B18_Assessment!F25</f>
        <v>0</v>
      </c>
      <c r="M1194">
        <f>B18_Assessment!G25</f>
        <v>0</v>
      </c>
      <c r="N1194">
        <f>B18_Assessment!H25</f>
        <v>0</v>
      </c>
      <c r="O1194">
        <f>B18_Assessment!I25</f>
        <v>0</v>
      </c>
      <c r="P1194">
        <f>B18_Assessment!J25</f>
        <v>0</v>
      </c>
      <c r="Q1194" t="str">
        <f t="shared" si="18"/>
        <v>18|18</v>
      </c>
    </row>
    <row r="1195" spans="1:17" ht="6.45" customHeight="1">
      <c r="A1195" t="s">
        <v>705</v>
      </c>
      <c r="B1195">
        <v>19</v>
      </c>
      <c r="C1195" t="s">
        <v>45</v>
      </c>
      <c r="D1195">
        <v>26</v>
      </c>
      <c r="E1195" t="s">
        <v>964</v>
      </c>
      <c r="F1195" t="s">
        <v>5322</v>
      </c>
      <c r="G1195" t="str">
        <f>B18_Assessment!A26</f>
        <v>4. HVAC / COOLING</v>
      </c>
      <c r="H1195">
        <f>B18_Assessment!B26</f>
        <v>0</v>
      </c>
      <c r="I1195">
        <f>B18_Assessment!C26</f>
        <v>0</v>
      </c>
      <c r="J1195">
        <f>B18_Assessment!D26</f>
        <v>0</v>
      </c>
      <c r="K1195">
        <f>B18_Assessment!E26</f>
        <v>0</v>
      </c>
      <c r="L1195">
        <f>B18_Assessment!F26</f>
        <v>0</v>
      </c>
      <c r="M1195">
        <f>B18_Assessment!G26</f>
        <v>0</v>
      </c>
      <c r="N1195">
        <f>B18_Assessment!H26</f>
        <v>0</v>
      </c>
      <c r="O1195">
        <f>B18_Assessment!I26</f>
        <v>0</v>
      </c>
      <c r="P1195">
        <f>B18_Assessment!J26</f>
        <v>0</v>
      </c>
      <c r="Q1195" t="str">
        <f t="shared" si="18"/>
        <v>18|19</v>
      </c>
    </row>
    <row r="1196" spans="1:17" ht="6.45" customHeight="1">
      <c r="A1196" t="s">
        <v>705</v>
      </c>
      <c r="B1196">
        <v>20</v>
      </c>
      <c r="C1196" t="s">
        <v>45</v>
      </c>
      <c r="D1196">
        <v>27</v>
      </c>
      <c r="E1196" t="s">
        <v>964</v>
      </c>
      <c r="F1196" t="s">
        <v>5323</v>
      </c>
      <c r="G1196" t="str">
        <f>B18_Assessment!A27</f>
        <v>Room</v>
      </c>
      <c r="H1196" t="str">
        <f>B18_Assessment!B27</f>
        <v>Dedicated Unit</v>
      </c>
      <c r="I1196" t="str">
        <f>B18_Assessment!C27</f>
        <v>Capacity Verified</v>
      </c>
      <c r="J1196" t="str">
        <f>B18_Assessment!D27</f>
        <v>Emergency Power</v>
      </c>
      <c r="K1196" t="str">
        <f>B18_Assessment!E27</f>
        <v>Controls / BACnet</v>
      </c>
      <c r="L1196" t="str">
        <f>B18_Assessment!F27</f>
        <v>Condensate Routed</v>
      </c>
      <c r="M1196" t="str">
        <f>B18_Assessment!G27</f>
        <v>High Temp Alarm</v>
      </c>
      <c r="N1196" t="str">
        <f>B18_Assessment!H27</f>
        <v>24/7 Operation</v>
      </c>
      <c r="O1196" t="str">
        <f>B18_Assessment!I27</f>
        <v>Overall</v>
      </c>
      <c r="P1196" t="str">
        <f>B18_Assessment!J27</f>
        <v>Risk / Notes</v>
      </c>
      <c r="Q1196" t="str">
        <f t="shared" si="18"/>
        <v>18|20</v>
      </c>
    </row>
    <row r="1197" spans="1:17" ht="6.45" customHeight="1">
      <c r="A1197" t="s">
        <v>705</v>
      </c>
      <c r="B1197">
        <v>21</v>
      </c>
      <c r="C1197" t="s">
        <v>45</v>
      </c>
      <c r="D1197">
        <v>28</v>
      </c>
      <c r="E1197" t="s">
        <v>964</v>
      </c>
      <c r="F1197" t="s">
        <v>5324</v>
      </c>
      <c r="G1197" t="str">
        <f>B18_Assessment!A28</f>
        <v>110</v>
      </c>
      <c r="H1197" t="str">
        <f>B18_Assessment!B28</f>
        <v>IU-1-01 / CU-1-01</v>
      </c>
      <c r="I1197" t="str">
        <f>B18_Assessment!C28</f>
        <v>Verify</v>
      </c>
      <c r="J1197" t="str">
        <f>B18_Assessment!D28</f>
        <v>Verify</v>
      </c>
      <c r="K1197" t="str">
        <f>B18_Assessment!E28</f>
        <v>Verify</v>
      </c>
      <c r="L1197" t="str">
        <f>B18_Assessment!F28</f>
        <v>Verify</v>
      </c>
      <c r="M1197" t="str">
        <f>B18_Assessment!G28</f>
        <v>Verify</v>
      </c>
      <c r="N1197" t="str">
        <f>B18_Assessment!H28</f>
        <v>Verify</v>
      </c>
      <c r="O1197" t="str">
        <f>B18_Assessment!I28</f>
        <v>Verify</v>
      </c>
      <c r="P1197" t="str">
        <f>B18_Assessment!J28</f>
        <v>Mechanical/electrical drawings show IU-1-01 in Telecom Room 110 and CU-1-01 outdoor unit. Confirm capacity, emergency/standby source, BACnet adapter, thermostat/control point, condensate path, disconnects, and high-temperature alarm.</v>
      </c>
      <c r="Q1197" t="str">
        <f t="shared" si="18"/>
        <v>18|21</v>
      </c>
    </row>
    <row r="1198" spans="1:17" ht="6.45" customHeight="1">
      <c r="A1198" t="s">
        <v>705</v>
      </c>
      <c r="B1198">
        <v>22</v>
      </c>
      <c r="C1198" t="s">
        <v>45</v>
      </c>
      <c r="D1198">
        <v>29</v>
      </c>
      <c r="E1198" t="s">
        <v>964</v>
      </c>
      <c r="F1198" t="s">
        <v>5324</v>
      </c>
      <c r="G1198" t="str">
        <f>B18_Assessment!A29</f>
        <v>111B</v>
      </c>
      <c r="H1198" t="str">
        <f>B18_Assessment!B29</f>
        <v>Existing / Verify</v>
      </c>
      <c r="I1198" t="str">
        <f>B18_Assessment!C29</f>
        <v>Verify</v>
      </c>
      <c r="J1198" t="str">
        <f>B18_Assessment!D29</f>
        <v>Verify</v>
      </c>
      <c r="K1198" t="str">
        <f>B18_Assessment!E29</f>
        <v>Verify</v>
      </c>
      <c r="L1198" t="str">
        <f>B18_Assessment!F29</f>
        <v>Verify</v>
      </c>
      <c r="M1198" t="str">
        <f>B18_Assessment!G29</f>
        <v>Verify</v>
      </c>
      <c r="N1198" t="str">
        <f>B18_Assessment!H29</f>
        <v>Verify</v>
      </c>
      <c r="O1198" t="str">
        <f>B18_Assessment!I29</f>
        <v>Verify</v>
      </c>
      <c r="P1198" t="str">
        <f>B18_Assessment!J29</f>
        <v>Existing TE 111B; verify existing environmental conditions during cutover and whether legacy equipment remains active.</v>
      </c>
      <c r="Q1198" t="str">
        <f t="shared" si="18"/>
        <v>18|22</v>
      </c>
    </row>
    <row r="1199" spans="1:17" ht="6.45" customHeight="1">
      <c r="A1199" t="s">
        <v>705</v>
      </c>
      <c r="B1199">
        <v>23</v>
      </c>
      <c r="C1199" t="s">
        <v>45</v>
      </c>
      <c r="D1199">
        <v>30</v>
      </c>
      <c r="E1199" t="s">
        <v>964</v>
      </c>
      <c r="F1199" t="s">
        <v>5324</v>
      </c>
      <c r="G1199" t="str">
        <f>B18_Assessment!A30</f>
        <v>213</v>
      </c>
      <c r="H1199" t="str">
        <f>B18_Assessment!B30</f>
        <v>Existing / Verify</v>
      </c>
      <c r="I1199" t="str">
        <f>B18_Assessment!C30</f>
        <v>Verify</v>
      </c>
      <c r="J1199" t="str">
        <f>B18_Assessment!D30</f>
        <v>Verify</v>
      </c>
      <c r="K1199" t="str">
        <f>B18_Assessment!E30</f>
        <v>Verify</v>
      </c>
      <c r="L1199" t="str">
        <f>B18_Assessment!F30</f>
        <v>Verify</v>
      </c>
      <c r="M1199" t="str">
        <f>B18_Assessment!G30</f>
        <v>Verify</v>
      </c>
      <c r="N1199" t="str">
        <f>B18_Assessment!H30</f>
        <v>Verify</v>
      </c>
      <c r="O1199" t="str">
        <f>B18_Assessment!I30</f>
        <v>Verify</v>
      </c>
      <c r="P1199" t="str">
        <f>B18_Assessment!J30</f>
        <v>Existing Closet 213; verify existing environmental conditions during cutover and whether legacy equipment remains active.</v>
      </c>
      <c r="Q1199" t="str">
        <f t="shared" si="18"/>
        <v>18|23</v>
      </c>
    </row>
    <row r="1200" spans="1:17" ht="6.45" customHeight="1">
      <c r="A1200" t="s">
        <v>705</v>
      </c>
      <c r="B1200">
        <v>24</v>
      </c>
      <c r="C1200" t="s">
        <v>45</v>
      </c>
      <c r="D1200">
        <v>31</v>
      </c>
      <c r="E1200" t="s">
        <v>964</v>
      </c>
      <c r="F1200" t="s">
        <v>5325</v>
      </c>
      <c r="G1200">
        <f>B18_Assessment!A31</f>
        <v>0</v>
      </c>
      <c r="H1200">
        <f>B18_Assessment!B31</f>
        <v>0</v>
      </c>
      <c r="I1200">
        <f>B18_Assessment!C31</f>
        <v>0</v>
      </c>
      <c r="J1200">
        <f>B18_Assessment!D31</f>
        <v>0</v>
      </c>
      <c r="K1200">
        <f>B18_Assessment!E31</f>
        <v>0</v>
      </c>
      <c r="L1200">
        <f>B18_Assessment!F31</f>
        <v>0</v>
      </c>
      <c r="M1200">
        <f>B18_Assessment!G31</f>
        <v>0</v>
      </c>
      <c r="N1200">
        <f>B18_Assessment!H31</f>
        <v>0</v>
      </c>
      <c r="O1200">
        <f>B18_Assessment!I31</f>
        <v>0</v>
      </c>
      <c r="P1200">
        <f>B18_Assessment!J31</f>
        <v>0</v>
      </c>
      <c r="Q1200" t="str">
        <f t="shared" si="18"/>
        <v>18|24</v>
      </c>
    </row>
    <row r="1201" spans="1:17" ht="6.45" customHeight="1">
      <c r="A1201" t="s">
        <v>705</v>
      </c>
      <c r="B1201">
        <v>25</v>
      </c>
      <c r="C1201" t="s">
        <v>45</v>
      </c>
      <c r="D1201">
        <v>32</v>
      </c>
      <c r="E1201" t="s">
        <v>977</v>
      </c>
      <c r="F1201" t="s">
        <v>5322</v>
      </c>
      <c r="G1201" t="str">
        <f>B18_Assessment!A32</f>
        <v>5. ELECTRICAL / UPS</v>
      </c>
      <c r="H1201">
        <f>B18_Assessment!B32</f>
        <v>0</v>
      </c>
      <c r="I1201">
        <f>B18_Assessment!C32</f>
        <v>0</v>
      </c>
      <c r="J1201">
        <f>B18_Assessment!D32</f>
        <v>0</v>
      </c>
      <c r="K1201">
        <f>B18_Assessment!E32</f>
        <v>0</v>
      </c>
      <c r="L1201">
        <f>B18_Assessment!F32</f>
        <v>0</v>
      </c>
      <c r="M1201">
        <f>B18_Assessment!G32</f>
        <v>0</v>
      </c>
      <c r="N1201">
        <f>B18_Assessment!H32</f>
        <v>0</v>
      </c>
      <c r="O1201">
        <f>B18_Assessment!I32</f>
        <v>0</v>
      </c>
      <c r="P1201">
        <f>B18_Assessment!J32</f>
        <v>0</v>
      </c>
      <c r="Q1201" t="str">
        <f t="shared" si="18"/>
        <v>18|25</v>
      </c>
    </row>
    <row r="1202" spans="1:17" ht="6.45" customHeight="1">
      <c r="A1202" t="s">
        <v>705</v>
      </c>
      <c r="B1202">
        <v>26</v>
      </c>
      <c r="C1202" t="s">
        <v>45</v>
      </c>
      <c r="D1202">
        <v>33</v>
      </c>
      <c r="E1202" t="s">
        <v>977</v>
      </c>
      <c r="F1202" t="s">
        <v>5323</v>
      </c>
      <c r="G1202" t="str">
        <f>B18_Assessment!A33</f>
        <v>Room</v>
      </c>
      <c r="H1202" t="str">
        <f>B18_Assessment!B33</f>
        <v>UPS Installed</v>
      </c>
      <c r="I1202" t="str">
        <f>B18_Assessment!C33</f>
        <v>UPS Size</v>
      </c>
      <c r="J1202" t="str">
        <f>B18_Assessment!D33</f>
        <v>PDU Installed</v>
      </c>
      <c r="K1202" t="str">
        <f>B18_Assessment!E33</f>
        <v>Rack Receptacles</v>
      </c>
      <c r="L1202" t="str">
        <f>B18_Assessment!F33</f>
        <v>Panel Assigned</v>
      </c>
      <c r="M1202" t="str">
        <f>B18_Assessment!G33</f>
        <v>Emergency Source</v>
      </c>
      <c r="N1202" t="str">
        <f>B18_Assessment!H33</f>
        <v>SPD / Labeling</v>
      </c>
      <c r="O1202" t="str">
        <f>B18_Assessment!I33</f>
        <v>Overall</v>
      </c>
      <c r="P1202" t="str">
        <f>B18_Assessment!J33</f>
        <v>Notes</v>
      </c>
      <c r="Q1202" t="str">
        <f t="shared" si="18"/>
        <v>18|26</v>
      </c>
    </row>
    <row r="1203" spans="1:17" ht="6.45" customHeight="1">
      <c r="A1203" t="s">
        <v>705</v>
      </c>
      <c r="B1203">
        <v>27</v>
      </c>
      <c r="C1203" t="s">
        <v>45</v>
      </c>
      <c r="D1203">
        <v>34</v>
      </c>
      <c r="E1203" t="s">
        <v>977</v>
      </c>
      <c r="F1203" t="s">
        <v>5324</v>
      </c>
      <c r="G1203" t="str">
        <f>B18_Assessment!A34</f>
        <v>110</v>
      </c>
      <c r="H1203" t="str">
        <f>B18_Assessment!B34</f>
        <v>Verify</v>
      </c>
      <c r="I1203" t="str">
        <f>B18_Assessment!C34</f>
        <v>5 kW / 208V rack UPS</v>
      </c>
      <c r="J1203" t="str">
        <f>B18_Assessment!D34</f>
        <v>Verify</v>
      </c>
      <c r="K1203" t="str">
        <f>B18_Assessment!E34</f>
        <v>Verify</v>
      </c>
      <c r="L1203" t="str">
        <f>B18_Assessment!F34</f>
        <v>B18-TR110A / B18-TR110B</v>
      </c>
      <c r="M1203" t="str">
        <f>B18_Assessment!G34</f>
        <v>Verify</v>
      </c>
      <c r="N1203" t="str">
        <f>B18_Assessment!H34</f>
        <v>Verify</v>
      </c>
      <c r="O1203" t="str">
        <f>B18_Assessment!I34</f>
        <v>Verify</v>
      </c>
      <c r="P1203" t="str">
        <f>B18_Assessment!J34</f>
        <v>Electrical plans/schedules identify B18-TR110A/B, 208V rack UPS requirements, rack receptacles, TR receptacles, lighting, CU-1-01, SPD requirements, and telecom panelboard schedule requirements.</v>
      </c>
      <c r="Q1203" t="str">
        <f t="shared" si="18"/>
        <v>18|27</v>
      </c>
    </row>
    <row r="1204" spans="1:17" ht="6.45" customHeight="1">
      <c r="A1204" t="s">
        <v>705</v>
      </c>
      <c r="B1204">
        <v>28</v>
      </c>
      <c r="C1204" t="s">
        <v>45</v>
      </c>
      <c r="D1204">
        <v>35</v>
      </c>
      <c r="E1204" t="s">
        <v>977</v>
      </c>
      <c r="F1204" t="s">
        <v>5324</v>
      </c>
      <c r="G1204" t="str">
        <f>B18_Assessment!A35</f>
        <v>111B</v>
      </c>
      <c r="H1204" t="str">
        <f>B18_Assessment!B35</f>
        <v>Existing</v>
      </c>
      <c r="I1204" t="str">
        <f>B18_Assessment!C35</f>
        <v>Existing floor UPS</v>
      </c>
      <c r="J1204" t="str">
        <f>B18_Assessment!D35</f>
        <v>Existing</v>
      </c>
      <c r="K1204" t="str">
        <f>B18_Assessment!E35</f>
        <v>Verify</v>
      </c>
      <c r="L1204" t="str">
        <f>B18_Assessment!F35</f>
        <v>Existing / Verify</v>
      </c>
      <c r="M1204" t="str">
        <f>B18_Assessment!G35</f>
        <v>Verify</v>
      </c>
      <c r="N1204" t="str">
        <f>B18_Assessment!H35</f>
        <v>Verify</v>
      </c>
      <c r="O1204" t="str">
        <f>B18_Assessment!I35</f>
        <v>Verify</v>
      </c>
      <c r="P1204" t="str">
        <f>B18_Assessment!J35</f>
        <v>Existing rack/equipment area; verify active equipment, floor UPS status, source circuits, and transfer requirements before disconnect/removal.</v>
      </c>
      <c r="Q1204" t="str">
        <f t="shared" si="18"/>
        <v>18|28</v>
      </c>
    </row>
    <row r="1205" spans="1:17" ht="6.45" customHeight="1">
      <c r="A1205" t="s">
        <v>705</v>
      </c>
      <c r="B1205">
        <v>29</v>
      </c>
      <c r="C1205" t="s">
        <v>45</v>
      </c>
      <c r="D1205">
        <v>36</v>
      </c>
      <c r="E1205" t="s">
        <v>977</v>
      </c>
      <c r="F1205" t="s">
        <v>5324</v>
      </c>
      <c r="G1205" t="str">
        <f>B18_Assessment!A36</f>
        <v>213</v>
      </c>
      <c r="H1205" t="str">
        <f>B18_Assessment!B36</f>
        <v>Existing</v>
      </c>
      <c r="I1205" t="str">
        <f>B18_Assessment!C36</f>
        <v>Existing APC floor UPS</v>
      </c>
      <c r="J1205" t="str">
        <f>B18_Assessment!D36</f>
        <v>Existing</v>
      </c>
      <c r="K1205" t="str">
        <f>B18_Assessment!E36</f>
        <v>Verify</v>
      </c>
      <c r="L1205" t="str">
        <f>B18_Assessment!F36</f>
        <v>Existing / Verify</v>
      </c>
      <c r="M1205" t="str">
        <f>B18_Assessment!G36</f>
        <v>Verify</v>
      </c>
      <c r="N1205" t="str">
        <f>B18_Assessment!H36</f>
        <v>Verify</v>
      </c>
      <c r="O1205" t="str">
        <f>B18_Assessment!I36</f>
        <v>Verify</v>
      </c>
      <c r="P1205" t="str">
        <f>B18_Assessment!J36</f>
        <v>Existing rack/equipment area; verify active equipment, APC UPS status, source circuits, SERTEX utility service and transfer requirements before disconnect/removal.</v>
      </c>
      <c r="Q1205" t="str">
        <f t="shared" si="18"/>
        <v>18|29</v>
      </c>
    </row>
    <row r="1206" spans="1:17" ht="6.45" customHeight="1">
      <c r="A1206" t="s">
        <v>705</v>
      </c>
      <c r="B1206">
        <v>30</v>
      </c>
      <c r="C1206" t="s">
        <v>45</v>
      </c>
      <c r="D1206">
        <v>37</v>
      </c>
      <c r="E1206" t="s">
        <v>977</v>
      </c>
      <c r="F1206" t="s">
        <v>5325</v>
      </c>
      <c r="G1206">
        <f>B18_Assessment!A37</f>
        <v>0</v>
      </c>
      <c r="H1206">
        <f>B18_Assessment!B37</f>
        <v>0</v>
      </c>
      <c r="I1206">
        <f>B18_Assessment!C37</f>
        <v>0</v>
      </c>
      <c r="J1206">
        <f>B18_Assessment!D37</f>
        <v>0</v>
      </c>
      <c r="K1206">
        <f>B18_Assessment!E37</f>
        <v>0</v>
      </c>
      <c r="L1206">
        <f>B18_Assessment!F37</f>
        <v>0</v>
      </c>
      <c r="M1206">
        <f>B18_Assessment!G37</f>
        <v>0</v>
      </c>
      <c r="N1206">
        <f>B18_Assessment!H37</f>
        <v>0</v>
      </c>
      <c r="O1206">
        <f>B18_Assessment!I37</f>
        <v>0</v>
      </c>
      <c r="P1206">
        <f>B18_Assessment!J37</f>
        <v>0</v>
      </c>
      <c r="Q1206" t="str">
        <f t="shared" si="18"/>
        <v>18|30</v>
      </c>
    </row>
    <row r="1207" spans="1:17" ht="6.45" customHeight="1">
      <c r="A1207" t="s">
        <v>705</v>
      </c>
      <c r="B1207">
        <v>31</v>
      </c>
      <c r="C1207" t="s">
        <v>45</v>
      </c>
      <c r="D1207">
        <v>38</v>
      </c>
      <c r="E1207" t="s">
        <v>994</v>
      </c>
      <c r="F1207" t="s">
        <v>5322</v>
      </c>
      <c r="G1207" t="str">
        <f>B18_Assessment!A38</f>
        <v>6. TELECOMMUNICATIONS</v>
      </c>
      <c r="H1207">
        <f>B18_Assessment!B38</f>
        <v>0</v>
      </c>
      <c r="I1207">
        <f>B18_Assessment!C38</f>
        <v>0</v>
      </c>
      <c r="J1207">
        <f>B18_Assessment!D38</f>
        <v>0</v>
      </c>
      <c r="K1207">
        <f>B18_Assessment!E38</f>
        <v>0</v>
      </c>
      <c r="L1207">
        <f>B18_Assessment!F38</f>
        <v>0</v>
      </c>
      <c r="M1207">
        <f>B18_Assessment!G38</f>
        <v>0</v>
      </c>
      <c r="N1207">
        <f>B18_Assessment!H38</f>
        <v>0</v>
      </c>
      <c r="O1207">
        <f>B18_Assessment!I38</f>
        <v>0</v>
      </c>
      <c r="P1207">
        <f>B18_Assessment!J38</f>
        <v>0</v>
      </c>
      <c r="Q1207" t="str">
        <f t="shared" si="18"/>
        <v>18|31</v>
      </c>
    </row>
    <row r="1208" spans="1:17" ht="6.45" customHeight="1">
      <c r="A1208" t="s">
        <v>705</v>
      </c>
      <c r="B1208">
        <v>32</v>
      </c>
      <c r="C1208" t="s">
        <v>45</v>
      </c>
      <c r="D1208">
        <v>39</v>
      </c>
      <c r="E1208" t="s">
        <v>994</v>
      </c>
      <c r="F1208" t="s">
        <v>5323</v>
      </c>
      <c r="G1208" t="str">
        <f>B18_Assessment!A39</f>
        <v>Room</v>
      </c>
      <c r="H1208" t="str">
        <f>B18_Assessment!B39</f>
        <v>Rack Installed</v>
      </c>
      <c r="I1208" t="str">
        <f>B18_Assessment!C39</f>
        <v>Ladder Tray</v>
      </c>
      <c r="J1208" t="str">
        <f>B18_Assessment!D39</f>
        <v>Fiber Installed</v>
      </c>
      <c r="K1208" t="str">
        <f>B18_Assessment!E39</f>
        <v>Grounding</v>
      </c>
      <c r="L1208" t="str">
        <f>B18_Assessment!F39</f>
        <v>Labeling</v>
      </c>
      <c r="M1208" t="str">
        <f>B18_Assessment!G39</f>
        <v>Testing</v>
      </c>
      <c r="N1208" t="str">
        <f>B18_Assessment!H39</f>
        <v>VA Acceptance</v>
      </c>
      <c r="O1208" t="str">
        <f>B18_Assessment!I39</f>
        <v>Overall</v>
      </c>
      <c r="P1208" t="str">
        <f>B18_Assessment!J39</f>
        <v>Notes</v>
      </c>
      <c r="Q1208" t="str">
        <f t="shared" si="18"/>
        <v>18|32</v>
      </c>
    </row>
    <row r="1209" spans="1:17" ht="6.45" customHeight="1">
      <c r="A1209" t="s">
        <v>705</v>
      </c>
      <c r="B1209">
        <v>33</v>
      </c>
      <c r="C1209" t="s">
        <v>45</v>
      </c>
      <c r="D1209">
        <v>40</v>
      </c>
      <c r="E1209" t="s">
        <v>994</v>
      </c>
      <c r="F1209" t="s">
        <v>5324</v>
      </c>
      <c r="G1209" t="str">
        <f>B18_Assessment!A40</f>
        <v>110</v>
      </c>
      <c r="H1209" t="str">
        <f>B18_Assessment!B40</f>
        <v>Verify</v>
      </c>
      <c r="I1209" t="str">
        <f>B18_Assessment!C40</f>
        <v>Verify</v>
      </c>
      <c r="J1209" t="str">
        <f>B18_Assessment!D40</f>
        <v>Verify</v>
      </c>
      <c r="K1209" t="str">
        <f>B18_Assessment!E40</f>
        <v>Verify</v>
      </c>
      <c r="L1209" t="str">
        <f>B18_Assessment!F40</f>
        <v>Verify</v>
      </c>
      <c r="M1209" t="str">
        <f>B18_Assessment!G40</f>
        <v>Verify</v>
      </c>
      <c r="N1209" t="str">
        <f>B18_Assessment!H40</f>
        <v>Verify</v>
      </c>
      <c r="O1209" t="str">
        <f>B18_Assessment!I40</f>
        <v>Verify</v>
      </c>
      <c r="P1209" t="str">
        <f>B18_Assessment!J40</f>
        <v>18T-701 identifies RM 111A schedule: 86 WAO total, 61 active ports per survey, 122 ports per schedule, and 134 total ports with 10% allowance. New rack elevation is Room 110, 1 rack plus future, with UPS, Future Zone PDU, switches, Cat6A patch panels, Cat5E patch panel and Fiber LIU.</v>
      </c>
      <c r="Q1209" t="str">
        <f t="shared" si="18"/>
        <v>18|33</v>
      </c>
    </row>
    <row r="1210" spans="1:17" ht="6.45" customHeight="1">
      <c r="A1210" t="s">
        <v>705</v>
      </c>
      <c r="B1210">
        <v>34</v>
      </c>
      <c r="C1210" t="s">
        <v>45</v>
      </c>
      <c r="D1210">
        <v>41</v>
      </c>
      <c r="E1210" t="s">
        <v>994</v>
      </c>
      <c r="F1210" t="s">
        <v>5324</v>
      </c>
      <c r="G1210" t="str">
        <f>B18_Assessment!A41</f>
        <v>111B</v>
      </c>
      <c r="H1210" t="str">
        <f>B18_Assessment!B41</f>
        <v>Existing</v>
      </c>
      <c r="I1210" t="str">
        <f>B18_Assessment!C41</f>
        <v>Existing</v>
      </c>
      <c r="J1210" t="str">
        <f>B18_Assessment!D41</f>
        <v>Existing</v>
      </c>
      <c r="K1210" t="str">
        <f>B18_Assessment!E41</f>
        <v>Verify</v>
      </c>
      <c r="L1210" t="str">
        <f>B18_Assessment!F41</f>
        <v>Verify</v>
      </c>
      <c r="M1210" t="str">
        <f>B18_Assessment!G41</f>
        <v>Verify</v>
      </c>
      <c r="N1210" t="str">
        <f>B18_Assessment!H41</f>
        <v>Verify</v>
      </c>
      <c r="O1210" t="str">
        <f>B18_Assessment!I41</f>
        <v>Verify</v>
      </c>
      <c r="P1210" t="str">
        <f>B18_Assessment!J41</f>
        <v>Existing Room 111B equipment includes wall-mounted rack, plywood backboard, patch panel, security cabinet, floor UPS and 5RU fiber optic housing; verify active services and transfer plan to Room 110.</v>
      </c>
      <c r="Q1210" t="str">
        <f t="shared" si="18"/>
        <v>18|34</v>
      </c>
    </row>
    <row r="1211" spans="1:17" ht="6.45" customHeight="1">
      <c r="A1211" t="s">
        <v>705</v>
      </c>
      <c r="B1211">
        <v>35</v>
      </c>
      <c r="C1211" t="s">
        <v>45</v>
      </c>
      <c r="D1211">
        <v>42</v>
      </c>
      <c r="E1211" t="s">
        <v>994</v>
      </c>
      <c r="F1211" t="s">
        <v>5324</v>
      </c>
      <c r="G1211" t="str">
        <f>B18_Assessment!A42</f>
        <v>213</v>
      </c>
      <c r="H1211" t="str">
        <f>B18_Assessment!B42</f>
        <v>Existing</v>
      </c>
      <c r="I1211" t="str">
        <f>B18_Assessment!C42</f>
        <v>Existing</v>
      </c>
      <c r="J1211" t="str">
        <f>B18_Assessment!D42</f>
        <v>Existing</v>
      </c>
      <c r="K1211" t="str">
        <f>B18_Assessment!E42</f>
        <v>Verify</v>
      </c>
      <c r="L1211" t="str">
        <f>B18_Assessment!F42</f>
        <v>Verify</v>
      </c>
      <c r="M1211" t="str">
        <f>B18_Assessment!G42</f>
        <v>Verify</v>
      </c>
      <c r="N1211" t="str">
        <f>B18_Assessment!H42</f>
        <v>Verify</v>
      </c>
      <c r="O1211" t="str">
        <f>B18_Assessment!I42</f>
        <v>Verify</v>
      </c>
      <c r="P1211" t="str">
        <f>B18_Assessment!J42</f>
        <v>Existing Room 213 equipment includes SERTEX utility service ports, Cisco switch, multiple legacy Ortronics patch panels, wall/wall-mount TE and APC floor UPS; verify active services and transfer plan to Room 110.</v>
      </c>
      <c r="Q1211" t="str">
        <f t="shared" si="18"/>
        <v>18|35</v>
      </c>
    </row>
    <row r="1212" spans="1:17" ht="6.45" customHeight="1">
      <c r="A1212" t="s">
        <v>705</v>
      </c>
      <c r="B1212">
        <v>36</v>
      </c>
      <c r="C1212" t="s">
        <v>45</v>
      </c>
      <c r="D1212">
        <v>43</v>
      </c>
      <c r="E1212" t="s">
        <v>994</v>
      </c>
      <c r="F1212" t="s">
        <v>5325</v>
      </c>
      <c r="G1212">
        <f>B18_Assessment!A43</f>
        <v>0</v>
      </c>
      <c r="H1212">
        <f>B18_Assessment!B43</f>
        <v>0</v>
      </c>
      <c r="I1212">
        <f>B18_Assessment!C43</f>
        <v>0</v>
      </c>
      <c r="J1212">
        <f>B18_Assessment!D43</f>
        <v>0</v>
      </c>
      <c r="K1212">
        <f>B18_Assessment!E43</f>
        <v>0</v>
      </c>
      <c r="L1212">
        <f>B18_Assessment!F43</f>
        <v>0</v>
      </c>
      <c r="M1212">
        <f>B18_Assessment!G43</f>
        <v>0</v>
      </c>
      <c r="N1212">
        <f>B18_Assessment!H43</f>
        <v>0</v>
      </c>
      <c r="O1212">
        <f>B18_Assessment!I43</f>
        <v>0</v>
      </c>
      <c r="P1212">
        <f>B18_Assessment!J43</f>
        <v>0</v>
      </c>
      <c r="Q1212" t="str">
        <f t="shared" si="18"/>
        <v>18|36</v>
      </c>
    </row>
    <row r="1213" spans="1:17" ht="6.45" customHeight="1">
      <c r="A1213" t="s">
        <v>705</v>
      </c>
      <c r="B1213">
        <v>37</v>
      </c>
      <c r="C1213" t="s">
        <v>45</v>
      </c>
      <c r="D1213">
        <v>44</v>
      </c>
      <c r="E1213" t="s">
        <v>1007</v>
      </c>
      <c r="F1213" t="s">
        <v>5322</v>
      </c>
      <c r="G1213" t="str">
        <f>B18_Assessment!A44</f>
        <v>7. SECURITY / PACS / CCTV</v>
      </c>
      <c r="H1213">
        <f>B18_Assessment!B44</f>
        <v>0</v>
      </c>
      <c r="I1213">
        <f>B18_Assessment!C44</f>
        <v>0</v>
      </c>
      <c r="J1213">
        <f>B18_Assessment!D44</f>
        <v>0</v>
      </c>
      <c r="K1213">
        <f>B18_Assessment!E44</f>
        <v>0</v>
      </c>
      <c r="L1213">
        <f>B18_Assessment!F44</f>
        <v>0</v>
      </c>
      <c r="M1213">
        <f>B18_Assessment!G44</f>
        <v>0</v>
      </c>
      <c r="N1213">
        <f>B18_Assessment!H44</f>
        <v>0</v>
      </c>
      <c r="O1213">
        <f>B18_Assessment!I44</f>
        <v>0</v>
      </c>
      <c r="P1213">
        <f>B18_Assessment!J44</f>
        <v>0</v>
      </c>
      <c r="Q1213" t="str">
        <f t="shared" si="18"/>
        <v>18|37</v>
      </c>
    </row>
    <row r="1214" spans="1:17" ht="6.45" customHeight="1">
      <c r="A1214" t="s">
        <v>705</v>
      </c>
      <c r="B1214">
        <v>38</v>
      </c>
      <c r="C1214" t="s">
        <v>45</v>
      </c>
      <c r="D1214">
        <v>45</v>
      </c>
      <c r="E1214" t="s">
        <v>1007</v>
      </c>
      <c r="F1214" t="s">
        <v>5323</v>
      </c>
      <c r="G1214" t="str">
        <f>B18_Assessment!A45</f>
        <v>Room</v>
      </c>
      <c r="H1214" t="str">
        <f>B18_Assessment!B45</f>
        <v>PACS</v>
      </c>
      <c r="I1214" t="str">
        <f>B18_Assessment!C45</f>
        <v>Card Reader</v>
      </c>
      <c r="J1214" t="str">
        <f>B18_Assessment!D45</f>
        <v>Door Position</v>
      </c>
      <c r="K1214" t="str">
        <f>B18_Assessment!E45</f>
        <v>Electric Strike</v>
      </c>
      <c r="L1214" t="str">
        <f>B18_Assessment!F45</f>
        <v>CCTV</v>
      </c>
      <c r="M1214" t="str">
        <f>B18_Assessment!G45</f>
        <v>Motion Sensor</v>
      </c>
      <c r="N1214" t="str">
        <f>B18_Assessment!H45</f>
        <v>Integration</v>
      </c>
      <c r="O1214" t="str">
        <f>B18_Assessment!I45</f>
        <v>Overall</v>
      </c>
      <c r="P1214" t="str">
        <f>B18_Assessment!J45</f>
        <v>Notes</v>
      </c>
      <c r="Q1214" t="str">
        <f t="shared" si="18"/>
        <v>18|38</v>
      </c>
    </row>
    <row r="1215" spans="1:17" ht="6.45" customHeight="1">
      <c r="A1215" t="s">
        <v>705</v>
      </c>
      <c r="B1215">
        <v>39</v>
      </c>
      <c r="C1215" t="s">
        <v>45</v>
      </c>
      <c r="D1215">
        <v>46</v>
      </c>
      <c r="E1215" t="s">
        <v>1007</v>
      </c>
      <c r="F1215" t="s">
        <v>5324</v>
      </c>
      <c r="G1215" t="str">
        <f>B18_Assessment!A46</f>
        <v>110</v>
      </c>
      <c r="H1215" t="str">
        <f>B18_Assessment!B46</f>
        <v>Verify</v>
      </c>
      <c r="I1215" t="str">
        <f>B18_Assessment!C46</f>
        <v>Verify</v>
      </c>
      <c r="J1215" t="str">
        <f>B18_Assessment!D46</f>
        <v>Verify</v>
      </c>
      <c r="K1215" t="str">
        <f>B18_Assessment!E46</f>
        <v>Verify</v>
      </c>
      <c r="L1215" t="str">
        <f>B18_Assessment!F46</f>
        <v>Verify</v>
      </c>
      <c r="M1215" t="str">
        <f>B18_Assessment!G46</f>
        <v>Verify</v>
      </c>
      <c r="N1215" t="str">
        <f>B18_Assessment!H46</f>
        <v>Verify</v>
      </c>
      <c r="O1215" t="str">
        <f>B18_Assessment!I46</f>
        <v>Verify</v>
      </c>
      <c r="P1215" t="str">
        <f>B18_Assessment!J46</f>
        <v>Telecom/electrical plans show 111A-CAM-01 and security/access-control scope for the new TR area; verify room naming, CR/RX/DC/ES/MD devices, controller, camera/VMS integration, and door hardware coordination.</v>
      </c>
      <c r="Q1215" t="str">
        <f t="shared" si="18"/>
        <v>18|39</v>
      </c>
    </row>
    <row r="1216" spans="1:17" ht="6.45" customHeight="1">
      <c r="A1216" t="s">
        <v>705</v>
      </c>
      <c r="B1216">
        <v>40</v>
      </c>
      <c r="C1216" t="s">
        <v>45</v>
      </c>
      <c r="D1216">
        <v>47</v>
      </c>
      <c r="E1216" t="s">
        <v>1007</v>
      </c>
      <c r="F1216" t="s">
        <v>5324</v>
      </c>
      <c r="G1216" t="str">
        <f>B18_Assessment!A47</f>
        <v>111B</v>
      </c>
      <c r="H1216" t="str">
        <f>B18_Assessment!B47</f>
        <v>Verify</v>
      </c>
      <c r="I1216" t="str">
        <f>B18_Assessment!C47</f>
        <v>Verify</v>
      </c>
      <c r="J1216" t="str">
        <f>B18_Assessment!D47</f>
        <v>Verify</v>
      </c>
      <c r="K1216" t="str">
        <f>B18_Assessment!E47</f>
        <v>Verify</v>
      </c>
      <c r="L1216" t="str">
        <f>B18_Assessment!F47</f>
        <v>Verify</v>
      </c>
      <c r="M1216" t="str">
        <f>B18_Assessment!G47</f>
        <v>Verify</v>
      </c>
      <c r="N1216" t="str">
        <f>B18_Assessment!H47</f>
        <v>Verify</v>
      </c>
      <c r="O1216" t="str">
        <f>B18_Assessment!I47</f>
        <v>Verify</v>
      </c>
      <c r="P1216" t="str">
        <f>B18_Assessment!J47</f>
        <v>Existing security cabinet shown in 111B; verify whether security equipment remains, is relocated, or requires temporary protection during cutover.</v>
      </c>
      <c r="Q1216" t="str">
        <f t="shared" si="18"/>
        <v>18|40</v>
      </c>
    </row>
    <row r="1217" spans="1:17" ht="6.45" customHeight="1">
      <c r="A1217" t="s">
        <v>705</v>
      </c>
      <c r="B1217">
        <v>41</v>
      </c>
      <c r="C1217" t="s">
        <v>45</v>
      </c>
      <c r="D1217">
        <v>48</v>
      </c>
      <c r="E1217" t="s">
        <v>1007</v>
      </c>
      <c r="F1217" t="s">
        <v>5324</v>
      </c>
      <c r="G1217" t="str">
        <f>B18_Assessment!A48</f>
        <v>213</v>
      </c>
      <c r="H1217" t="str">
        <f>B18_Assessment!B48</f>
        <v>Verify</v>
      </c>
      <c r="I1217" t="str">
        <f>B18_Assessment!C48</f>
        <v>Verify</v>
      </c>
      <c r="J1217" t="str">
        <f>B18_Assessment!D48</f>
        <v>Verify</v>
      </c>
      <c r="K1217" t="str">
        <f>B18_Assessment!E48</f>
        <v>Verify</v>
      </c>
      <c r="L1217" t="str">
        <f>B18_Assessment!F48</f>
        <v>Verify</v>
      </c>
      <c r="M1217" t="str">
        <f>B18_Assessment!G48</f>
        <v>Verify</v>
      </c>
      <c r="N1217" t="str">
        <f>B18_Assessment!H48</f>
        <v>Verify</v>
      </c>
      <c r="O1217" t="str">
        <f>B18_Assessment!I48</f>
        <v>Verify</v>
      </c>
      <c r="P1217" t="str">
        <f>B18_Assessment!J48</f>
        <v>Existing security cabinet shown in 213; verify whether security equipment remains, is relocated, or requires temporary protection during cutover.</v>
      </c>
      <c r="Q1217" t="str">
        <f t="shared" si="18"/>
        <v>18|41</v>
      </c>
    </row>
    <row r="1218" spans="1:17" ht="6.45" customHeight="1">
      <c r="A1218" t="s">
        <v>705</v>
      </c>
      <c r="B1218">
        <v>42</v>
      </c>
      <c r="C1218" t="s">
        <v>45</v>
      </c>
      <c r="D1218">
        <v>49</v>
      </c>
      <c r="E1218" t="s">
        <v>1007</v>
      </c>
      <c r="F1218" t="s">
        <v>5325</v>
      </c>
      <c r="G1218">
        <f>B18_Assessment!A49</f>
        <v>0</v>
      </c>
      <c r="H1218">
        <f>B18_Assessment!B49</f>
        <v>0</v>
      </c>
      <c r="I1218">
        <f>B18_Assessment!C49</f>
        <v>0</v>
      </c>
      <c r="J1218">
        <f>B18_Assessment!D49</f>
        <v>0</v>
      </c>
      <c r="K1218">
        <f>B18_Assessment!E49</f>
        <v>0</v>
      </c>
      <c r="L1218">
        <f>B18_Assessment!F49</f>
        <v>0</v>
      </c>
      <c r="M1218">
        <f>B18_Assessment!G49</f>
        <v>0</v>
      </c>
      <c r="N1218">
        <f>B18_Assessment!H49</f>
        <v>0</v>
      </c>
      <c r="O1218">
        <f>B18_Assessment!I49</f>
        <v>0</v>
      </c>
      <c r="P1218">
        <f>B18_Assessment!J49</f>
        <v>0</v>
      </c>
      <c r="Q1218" t="str">
        <f t="shared" ref="Q1218:Q1281" si="19">A1218&amp;"|"&amp;B1218</f>
        <v>18|42</v>
      </c>
    </row>
    <row r="1219" spans="1:17" ht="6.45" customHeight="1">
      <c r="A1219" t="s">
        <v>705</v>
      </c>
      <c r="B1219">
        <v>43</v>
      </c>
      <c r="C1219" t="s">
        <v>45</v>
      </c>
      <c r="D1219">
        <v>50</v>
      </c>
      <c r="E1219" t="s">
        <v>1019</v>
      </c>
      <c r="F1219" t="s">
        <v>5322</v>
      </c>
      <c r="G1219" t="str">
        <f>B18_Assessment!A50</f>
        <v>8. OWNER RISKS</v>
      </c>
      <c r="H1219">
        <f>B18_Assessment!B50</f>
        <v>0</v>
      </c>
      <c r="I1219">
        <f>B18_Assessment!C50</f>
        <v>0</v>
      </c>
      <c r="J1219">
        <f>B18_Assessment!D50</f>
        <v>0</v>
      </c>
      <c r="K1219">
        <f>B18_Assessment!E50</f>
        <v>0</v>
      </c>
      <c r="L1219">
        <f>B18_Assessment!F50</f>
        <v>0</v>
      </c>
      <c r="M1219">
        <f>B18_Assessment!G50</f>
        <v>0</v>
      </c>
      <c r="N1219">
        <f>B18_Assessment!H50</f>
        <v>0</v>
      </c>
      <c r="O1219">
        <f>B18_Assessment!I50</f>
        <v>0</v>
      </c>
      <c r="P1219">
        <f>B18_Assessment!J50</f>
        <v>0</v>
      </c>
      <c r="Q1219" t="str">
        <f t="shared" si="19"/>
        <v>18|43</v>
      </c>
    </row>
    <row r="1220" spans="1:17" ht="6.45" customHeight="1">
      <c r="A1220" t="s">
        <v>705</v>
      </c>
      <c r="B1220">
        <v>44</v>
      </c>
      <c r="C1220" t="s">
        <v>45</v>
      </c>
      <c r="D1220">
        <v>51</v>
      </c>
      <c r="E1220" t="s">
        <v>1019</v>
      </c>
      <c r="F1220" t="s">
        <v>5323</v>
      </c>
      <c r="G1220" t="str">
        <f>B18_Assessment!A51</f>
        <v>Risk ID</v>
      </c>
      <c r="H1220" t="str">
        <f>B18_Assessment!B51</f>
        <v>Room</v>
      </c>
      <c r="I1220" t="str">
        <f>B18_Assessment!C51</f>
        <v>Risk</v>
      </c>
      <c r="J1220" t="str">
        <f>B18_Assessment!D51</f>
        <v>Impact</v>
      </c>
      <c r="K1220" t="str">
        <f>B18_Assessment!E51</f>
        <v>Probability</v>
      </c>
      <c r="L1220" t="str">
        <f>B18_Assessment!F51</f>
        <v>Score</v>
      </c>
      <c r="M1220" t="str">
        <f>B18_Assessment!G51</f>
        <v>Mitigation</v>
      </c>
      <c r="N1220" t="str">
        <f>B18_Assessment!H51</f>
        <v>Owner</v>
      </c>
      <c r="O1220" t="str">
        <f>B18_Assessment!I51</f>
        <v>Status</v>
      </c>
      <c r="P1220" t="str">
        <f>B18_Assessment!J51</f>
        <v>Notes</v>
      </c>
      <c r="Q1220" t="str">
        <f t="shared" si="19"/>
        <v>18|44</v>
      </c>
    </row>
    <row r="1221" spans="1:17" ht="6.45" customHeight="1">
      <c r="A1221" t="s">
        <v>705</v>
      </c>
      <c r="B1221">
        <v>45</v>
      </c>
      <c r="C1221" t="s">
        <v>45</v>
      </c>
      <c r="D1221">
        <v>52</v>
      </c>
      <c r="E1221" t="s">
        <v>1019</v>
      </c>
      <c r="F1221" t="s">
        <v>5324</v>
      </c>
      <c r="G1221" t="str">
        <f>B18_Assessment!A52</f>
        <v>B18-R1</v>
      </c>
      <c r="H1221" t="str">
        <f>B18_Assessment!B52</f>
        <v>All</v>
      </c>
      <c r="I1221" t="str">
        <f>B18_Assessment!C52</f>
        <v>Existing conditions for Room 110, Room 111B and Room 213 not field verified</v>
      </c>
      <c r="J1221" t="str">
        <f>B18_Assessment!D52</f>
        <v>High</v>
      </c>
      <c r="K1221" t="str">
        <f>B18_Assessment!E52</f>
        <v>Medium</v>
      </c>
      <c r="L1221">
        <f>B18_Assessment!F52</f>
        <v>6</v>
      </c>
      <c r="M1221" t="str">
        <f>B18_Assessment!G52</f>
        <v>Perform existing conditions survey with photos before mobilization</v>
      </c>
      <c r="N1221" t="str">
        <f>B18_Assessment!H52</f>
        <v>GCC / Contractor</v>
      </c>
      <c r="O1221" t="str">
        <f>B18_Assessment!I52</f>
        <v>Closed</v>
      </c>
      <c r="P1221" t="str">
        <f>B18_Assessment!J52</f>
        <v>B18 includes new first-level TR plus existing first and second-level telecom transition points.</v>
      </c>
      <c r="Q1221" t="str">
        <f t="shared" si="19"/>
        <v>18|45</v>
      </c>
    </row>
    <row r="1222" spans="1:17" ht="6.45" customHeight="1">
      <c r="A1222" t="s">
        <v>705</v>
      </c>
      <c r="B1222">
        <v>46</v>
      </c>
      <c r="C1222" t="s">
        <v>45</v>
      </c>
      <c r="D1222">
        <v>53</v>
      </c>
      <c r="E1222" t="s">
        <v>1019</v>
      </c>
      <c r="F1222" t="s">
        <v>5324</v>
      </c>
      <c r="G1222" t="str">
        <f>B18_Assessment!A53</f>
        <v>B18-R2</v>
      </c>
      <c r="H1222" t="str">
        <f>B18_Assessment!B53</f>
        <v>110</v>
      </c>
      <c r="I1222" t="str">
        <f>B18_Assessment!C53</f>
        <v>First-level hazardous material / lead-based paint abatement plan exists</v>
      </c>
      <c r="J1222" t="str">
        <f>B18_Assessment!D53</f>
        <v>High</v>
      </c>
      <c r="K1222" t="str">
        <f>B18_Assessment!E53</f>
        <v>Medium</v>
      </c>
      <c r="L1222">
        <f>B18_Assessment!F53</f>
        <v>6</v>
      </c>
      <c r="M1222" t="str">
        <f>B18_Assessment!G53</f>
        <v>Coordinate IH/abatement review before wall, floor, ceiling, conduit, or penetration work</v>
      </c>
      <c r="N1222" t="str">
        <f>B18_Assessment!H53</f>
        <v>GC / IH / COR</v>
      </c>
      <c r="O1222" t="str">
        <f>B18_Assessment!I53</f>
        <v>Closed</v>
      </c>
      <c r="P1222" t="str">
        <f>B18_Assessment!J53</f>
        <v>18H-101 notes lead-based paint abatement through entire telecom room/door frames.</v>
      </c>
      <c r="Q1222" t="str">
        <f t="shared" si="19"/>
        <v>18|46</v>
      </c>
    </row>
    <row r="1223" spans="1:17" ht="6.45" customHeight="1">
      <c r="A1223" t="s">
        <v>705</v>
      </c>
      <c r="B1223">
        <v>47</v>
      </c>
      <c r="C1223" t="s">
        <v>45</v>
      </c>
      <c r="D1223">
        <v>54</v>
      </c>
      <c r="E1223" t="s">
        <v>1019</v>
      </c>
      <c r="F1223" t="s">
        <v>5324</v>
      </c>
      <c r="G1223" t="str">
        <f>B18_Assessment!A54</f>
        <v>B18-R3</v>
      </c>
      <c r="H1223" t="str">
        <f>B18_Assessment!B54</f>
        <v>111B/213</v>
      </c>
      <c r="I1223" t="str">
        <f>B18_Assessment!C54</f>
        <v>Existing telecom equipment may remain active during cutover</v>
      </c>
      <c r="J1223" t="str">
        <f>B18_Assessment!D54</f>
        <v>Critical</v>
      </c>
      <c r="K1223" t="str">
        <f>B18_Assessment!E54</f>
        <v>Medium</v>
      </c>
      <c r="L1223">
        <f>B18_Assessment!F54</f>
        <v>8</v>
      </c>
      <c r="M1223" t="str">
        <f>B18_Assessment!G54</f>
        <v>Document active services, protect in place, identify owner/OIT cutover windows, and preserve rollback path</v>
      </c>
      <c r="N1223" t="str">
        <f>B18_Assessment!H54</f>
        <v>Telecom / OIT</v>
      </c>
      <c r="O1223" t="str">
        <f>B18_Assessment!I54</f>
        <v>Closed</v>
      </c>
      <c r="P1223" t="str">
        <f>B18_Assessment!J54</f>
        <v>Existing racks, SERTEX ports, Cisco switch, patch panels, security cabinets and UPS units shown.</v>
      </c>
      <c r="Q1223" t="str">
        <f t="shared" si="19"/>
        <v>18|47</v>
      </c>
    </row>
    <row r="1224" spans="1:17" ht="6.45" customHeight="1">
      <c r="A1224" t="s">
        <v>705</v>
      </c>
      <c r="B1224">
        <v>48</v>
      </c>
      <c r="C1224" t="s">
        <v>45</v>
      </c>
      <c r="D1224">
        <v>55</v>
      </c>
      <c r="E1224" t="s">
        <v>1019</v>
      </c>
      <c r="F1224" t="s">
        <v>5324</v>
      </c>
      <c r="G1224" t="str">
        <f>B18_Assessment!A55</f>
        <v>B18-R4</v>
      </c>
      <c r="H1224" t="str">
        <f>B18_Assessment!B55</f>
        <v>110</v>
      </c>
      <c r="I1224" t="str">
        <f>B18_Assessment!C55</f>
        <v>Dedicated cooling emergency power, condensate, BACnet and alarms not verified</v>
      </c>
      <c r="J1224" t="str">
        <f>B18_Assessment!D55</f>
        <v>Critical</v>
      </c>
      <c r="K1224" t="str">
        <f>B18_Assessment!E55</f>
        <v>Medium</v>
      </c>
      <c r="L1224">
        <f>B18_Assessment!F55</f>
        <v>8</v>
      </c>
      <c r="M1224" t="str">
        <f>B18_Assessment!G55</f>
        <v>Confirm IU-1-01/CU-1-01 power source, condensate route, controls, BACnet adapter, thermostat and high-temp alarm</v>
      </c>
      <c r="N1224" t="str">
        <f>B18_Assessment!H55</f>
        <v>Mechanical / Electrical</v>
      </c>
      <c r="O1224" t="str">
        <f>B18_Assessment!I55</f>
        <v>Closed</v>
      </c>
      <c r="P1224" t="str">
        <f>B18_Assessment!J55</f>
        <v>Cooling is central to TR readiness.</v>
      </c>
      <c r="Q1224" t="str">
        <f t="shared" si="19"/>
        <v>18|48</v>
      </c>
    </row>
    <row r="1225" spans="1:17" ht="6.45" customHeight="1">
      <c r="A1225" t="s">
        <v>705</v>
      </c>
      <c r="B1225">
        <v>49</v>
      </c>
      <c r="C1225" t="s">
        <v>45</v>
      </c>
      <c r="D1225">
        <v>56</v>
      </c>
      <c r="E1225" t="s">
        <v>1019</v>
      </c>
      <c r="F1225" t="s">
        <v>5324</v>
      </c>
      <c r="G1225" t="str">
        <f>B18_Assessment!A56</f>
        <v>B18-R5</v>
      </c>
      <c r="H1225" t="str">
        <f>B18_Assessment!B56</f>
        <v>110</v>
      </c>
      <c r="I1225" t="str">
        <f>B18_Assessment!C56</f>
        <v>208V UPS/PDU and panel source coordination could delay energization</v>
      </c>
      <c r="J1225" t="str">
        <f>B18_Assessment!D56</f>
        <v>High</v>
      </c>
      <c r="K1225" t="str">
        <f>B18_Assessment!E56</f>
        <v>Medium</v>
      </c>
      <c r="L1225">
        <f>B18_Assessment!F56</f>
        <v>6</v>
      </c>
      <c r="M1225" t="str">
        <f>B18_Assessment!G56</f>
        <v>Verify B18-TR110A/B schedules, rack receptacles, SPD, labels, source circuits and LOTO needs</v>
      </c>
      <c r="N1225" t="str">
        <f>B18_Assessment!H56</f>
        <v>Electrical / GCC</v>
      </c>
      <c r="O1225" t="str">
        <f>B18_Assessment!I56</f>
        <v>Closed</v>
      </c>
      <c r="P1225" t="str">
        <f>B18_Assessment!J56</f>
        <v>Panel references are concentrated at Room 110 with CU-1-01 and rack receptacles.</v>
      </c>
      <c r="Q1225" t="str">
        <f t="shared" si="19"/>
        <v>18|49</v>
      </c>
    </row>
    <row r="1226" spans="1:17" ht="6.45" customHeight="1">
      <c r="A1226" t="s">
        <v>705</v>
      </c>
      <c r="B1226">
        <v>50</v>
      </c>
      <c r="C1226" t="s">
        <v>45</v>
      </c>
      <c r="D1226">
        <v>57</v>
      </c>
      <c r="E1226" t="s">
        <v>1019</v>
      </c>
      <c r="F1226" t="s">
        <v>5324</v>
      </c>
      <c r="G1226" t="str">
        <f>B18_Assessment!A57</f>
        <v>B18-R6</v>
      </c>
      <c r="H1226" t="str">
        <f>B18_Assessment!B57</f>
        <v>110</v>
      </c>
      <c r="I1226" t="str">
        <f>B18_Assessment!C57</f>
        <v>Cable tray and pathway scope crosses first and second levels</v>
      </c>
      <c r="J1226" t="str">
        <f>B18_Assessment!D57</f>
        <v>High</v>
      </c>
      <c r="K1226" t="str">
        <f>B18_Assessment!E57</f>
        <v>Medium</v>
      </c>
      <c r="L1226">
        <f>B18_Assessment!F57</f>
        <v>6</v>
      </c>
      <c r="M1226" t="str">
        <f>B18_Assessment!G57</f>
        <v>Verify 315 ft cable tray, supports, seismic bracing, 40% fill, penetrations, coordination with lighting/HVAC and labeling before install</v>
      </c>
      <c r="N1226" t="str">
        <f>B18_Assessment!H57</f>
        <v>Telecom / GC</v>
      </c>
      <c r="O1226" t="str">
        <f>B18_Assessment!I57</f>
        <v>Closed</v>
      </c>
      <c r="P1226" t="str">
        <f>B18_Assessment!J57</f>
        <v>Cable tray schedule: first level 174 ft, second level 141 ft.</v>
      </c>
      <c r="Q1226" t="str">
        <f t="shared" si="19"/>
        <v>18|50</v>
      </c>
    </row>
    <row r="1227" spans="1:17" ht="6.45" customHeight="1">
      <c r="A1227" t="s">
        <v>705</v>
      </c>
      <c r="B1227">
        <v>51</v>
      </c>
      <c r="C1227" t="s">
        <v>45</v>
      </c>
      <c r="D1227">
        <v>58</v>
      </c>
      <c r="E1227" t="s">
        <v>1019</v>
      </c>
      <c r="F1227" t="s">
        <v>5324</v>
      </c>
      <c r="G1227" t="str">
        <f>B18_Assessment!A58</f>
        <v>B18-R7</v>
      </c>
      <c r="H1227" t="str">
        <f>B18_Assessment!B58</f>
        <v>All</v>
      </c>
      <c r="I1227" t="str">
        <f>B18_Assessment!C58</f>
        <v>Telecom/fiber cutover could affect active hospital communications and legacy cross-building service ports</v>
      </c>
      <c r="J1227" t="str">
        <f>B18_Assessment!D58</f>
        <v>Critical</v>
      </c>
      <c r="K1227" t="str">
        <f>B18_Assessment!E58</f>
        <v>Medium</v>
      </c>
      <c r="L1227">
        <f>B18_Assessment!F58</f>
        <v>8</v>
      </c>
      <c r="M1227" t="str">
        <f>B18_Assessment!G58</f>
        <v>Require cutover plan, test records, labels, as-builts, OIT coordination and VA acceptance before active connection</v>
      </c>
      <c r="N1227" t="str">
        <f>B18_Assessment!H58</f>
        <v>Telecom / OIT</v>
      </c>
      <c r="O1227" t="str">
        <f>B18_Assessment!I58</f>
        <v>Closed</v>
      </c>
      <c r="P1227" t="str">
        <f>B18_Assessment!J58</f>
        <v>Room 213 existing rack elevation references SERTEX utility service ports to B17, B19 and B3.</v>
      </c>
      <c r="Q1227" t="str">
        <f t="shared" si="19"/>
        <v>18|51</v>
      </c>
    </row>
    <row r="1228" spans="1:17" ht="6.45" customHeight="1">
      <c r="A1228" t="s">
        <v>705</v>
      </c>
      <c r="B1228">
        <v>52</v>
      </c>
      <c r="C1228" t="s">
        <v>45</v>
      </c>
      <c r="D1228">
        <v>59</v>
      </c>
      <c r="E1228" t="s">
        <v>1019</v>
      </c>
      <c r="F1228" t="s">
        <v>5324</v>
      </c>
      <c r="G1228" t="str">
        <f>B18_Assessment!A59</f>
        <v>B18-R8</v>
      </c>
      <c r="H1228" t="str">
        <f>B18_Assessment!B59</f>
        <v>All</v>
      </c>
      <c r="I1228" t="str">
        <f>B18_Assessment!C59</f>
        <v>Commissioning/third-party inspection reports may not be complete at turnover</v>
      </c>
      <c r="J1228" t="str">
        <f>B18_Assessment!D59</f>
        <v>High</v>
      </c>
      <c r="K1228" t="str">
        <f>B18_Assessment!E59</f>
        <v>Medium</v>
      </c>
      <c r="L1228">
        <f>B18_Assessment!F59</f>
        <v>6</v>
      </c>
      <c r="M1228" t="str">
        <f>B18_Assessment!G59</f>
        <v>Track commissioning, inspections, fire alarm/sprinkler acceptance, power verification, cabling test records, labels and as-builts</v>
      </c>
      <c r="N1228" t="str">
        <f>B18_Assessment!H59</f>
        <v>GC / Cx Manager</v>
      </c>
      <c r="O1228" t="str">
        <f>B18_Assessment!I59</f>
        <v>Closed</v>
      </c>
      <c r="P1228" t="str">
        <f>B18_Assessment!J59</f>
        <v>Required by cover/general notes.</v>
      </c>
      <c r="Q1228" t="str">
        <f t="shared" si="19"/>
        <v>18|52</v>
      </c>
    </row>
    <row r="1229" spans="1:17" ht="6.45" customHeight="1">
      <c r="A1229" t="s">
        <v>705</v>
      </c>
      <c r="B1229">
        <v>53</v>
      </c>
      <c r="C1229" t="s">
        <v>45</v>
      </c>
      <c r="D1229">
        <v>60</v>
      </c>
      <c r="E1229" t="s">
        <v>1019</v>
      </c>
      <c r="F1229" t="s">
        <v>5325</v>
      </c>
      <c r="G1229">
        <f>B18_Assessment!A60</f>
        <v>0</v>
      </c>
      <c r="H1229">
        <f>B18_Assessment!B60</f>
        <v>0</v>
      </c>
      <c r="I1229">
        <f>B18_Assessment!C60</f>
        <v>0</v>
      </c>
      <c r="J1229">
        <f>B18_Assessment!D60</f>
        <v>0</v>
      </c>
      <c r="K1229">
        <f>B18_Assessment!E60</f>
        <v>0</v>
      </c>
      <c r="L1229">
        <f>B18_Assessment!F60</f>
        <v>0</v>
      </c>
      <c r="M1229">
        <f>B18_Assessment!G60</f>
        <v>0</v>
      </c>
      <c r="N1229">
        <f>B18_Assessment!H60</f>
        <v>0</v>
      </c>
      <c r="O1229">
        <f>B18_Assessment!I60</f>
        <v>0</v>
      </c>
      <c r="P1229">
        <f>B18_Assessment!J60</f>
        <v>0</v>
      </c>
      <c r="Q1229" t="str">
        <f t="shared" si="19"/>
        <v>18|53</v>
      </c>
    </row>
    <row r="1230" spans="1:17" ht="6.45" customHeight="1">
      <c r="A1230" t="s">
        <v>705</v>
      </c>
      <c r="B1230">
        <v>54</v>
      </c>
      <c r="C1230" t="s">
        <v>45</v>
      </c>
      <c r="D1230">
        <v>61</v>
      </c>
      <c r="E1230" t="s">
        <v>1051</v>
      </c>
      <c r="F1230" t="s">
        <v>5322</v>
      </c>
      <c r="G1230" t="str">
        <f>B18_Assessment!A61</f>
        <v>9. OPEN QUESTIONS</v>
      </c>
      <c r="H1230">
        <f>B18_Assessment!B61</f>
        <v>0</v>
      </c>
      <c r="I1230">
        <f>B18_Assessment!C61</f>
        <v>0</v>
      </c>
      <c r="J1230">
        <f>B18_Assessment!D61</f>
        <v>0</v>
      </c>
      <c r="K1230">
        <f>B18_Assessment!E61</f>
        <v>0</v>
      </c>
      <c r="L1230">
        <f>B18_Assessment!F61</f>
        <v>0</v>
      </c>
      <c r="M1230">
        <f>B18_Assessment!G61</f>
        <v>0</v>
      </c>
      <c r="N1230">
        <f>B18_Assessment!H61</f>
        <v>0</v>
      </c>
      <c r="O1230">
        <f>B18_Assessment!I61</f>
        <v>0</v>
      </c>
      <c r="P1230">
        <f>B18_Assessment!J61</f>
        <v>0</v>
      </c>
      <c r="Q1230" t="str">
        <f t="shared" si="19"/>
        <v>18|54</v>
      </c>
    </row>
    <row r="1231" spans="1:17" ht="6.45" customHeight="1">
      <c r="A1231" t="s">
        <v>705</v>
      </c>
      <c r="B1231">
        <v>55</v>
      </c>
      <c r="C1231" t="s">
        <v>45</v>
      </c>
      <c r="D1231">
        <v>62</v>
      </c>
      <c r="E1231" t="s">
        <v>1051</v>
      </c>
      <c r="F1231" t="s">
        <v>5323</v>
      </c>
      <c r="G1231" t="str">
        <f>B18_Assessment!A62</f>
        <v>Question ID</v>
      </c>
      <c r="H1231" t="str">
        <f>B18_Assessment!B62</f>
        <v>Question</v>
      </c>
      <c r="I1231" t="str">
        <f>B18_Assessment!C62</f>
        <v>Assigned To</v>
      </c>
      <c r="J1231" t="str">
        <f>B18_Assessment!D62</f>
        <v>Status</v>
      </c>
      <c r="K1231" t="str">
        <f>B18_Assessment!E62</f>
        <v>Needed By</v>
      </c>
      <c r="L1231" t="str">
        <f>B18_Assessment!F62</f>
        <v>Answer / Resolution</v>
      </c>
      <c r="M1231" t="str">
        <f>B18_Assessment!G62</f>
        <v>Impact if Unanswered</v>
      </c>
      <c r="N1231" t="str">
        <f>B18_Assessment!H62</f>
        <v>Follow-up</v>
      </c>
      <c r="O1231" t="str">
        <f>B18_Assessment!I62</f>
        <v>Date Closed</v>
      </c>
      <c r="P1231" t="str">
        <f>B18_Assessment!J62</f>
        <v>Notes</v>
      </c>
      <c r="Q1231" t="str">
        <f t="shared" si="19"/>
        <v>18|55</v>
      </c>
    </row>
    <row r="1232" spans="1:17" ht="6.45" customHeight="1">
      <c r="A1232" t="s">
        <v>705</v>
      </c>
      <c r="B1232">
        <v>56</v>
      </c>
      <c r="C1232" t="s">
        <v>45</v>
      </c>
      <c r="D1232">
        <v>63</v>
      </c>
      <c r="E1232" t="s">
        <v>1051</v>
      </c>
      <c r="F1232" t="s">
        <v>5324</v>
      </c>
      <c r="G1232" t="str">
        <f>B18_Assessment!A63</f>
        <v>B18-Q1</v>
      </c>
      <c r="H1232" t="str">
        <f>B18_Assessment!B63</f>
        <v>Confirm final telecom scope: new Room 110 with existing 111B and 213 transition only?</v>
      </c>
      <c r="I1232" t="str">
        <f>B18_Assessment!C63</f>
        <v>VA / OIT / Designer</v>
      </c>
      <c r="J1232" t="str">
        <f>B18_Assessment!D63</f>
        <v>Closed</v>
      </c>
      <c r="K1232">
        <f>B18_Assessment!E63</f>
        <v>0</v>
      </c>
      <c r="L1232">
        <f>B18_Assessment!F63</f>
        <v>0</v>
      </c>
      <c r="M1232" t="str">
        <f>B18_Assessment!G63</f>
        <v>Room inventory or PMIS mapping could miss scope</v>
      </c>
      <c r="N1232">
        <f>B18_Assessment!H63</f>
        <v>0</v>
      </c>
      <c r="O1232">
        <f>B18_Assessment!I63</f>
        <v>0</v>
      </c>
      <c r="P1232">
        <f>B18_Assessment!J63</f>
        <v>0</v>
      </c>
      <c r="Q1232" t="str">
        <f t="shared" si="19"/>
        <v>18|56</v>
      </c>
    </row>
    <row r="1233" spans="1:17" ht="6.45" customHeight="1">
      <c r="A1233" t="s">
        <v>705</v>
      </c>
      <c r="B1233">
        <v>57</v>
      </c>
      <c r="C1233" t="s">
        <v>45</v>
      </c>
      <c r="D1233">
        <v>64</v>
      </c>
      <c r="E1233" t="s">
        <v>1051</v>
      </c>
      <c r="F1233" t="s">
        <v>5324</v>
      </c>
      <c r="G1233" t="str">
        <f>B18_Assessment!A64</f>
        <v>B18-Q2</v>
      </c>
      <c r="H1233" t="str">
        <f>B18_Assessment!B64</f>
        <v>Why does 18T-701 reference RM 111A while new rack/electrical plans identify Telecom Room 110?</v>
      </c>
      <c r="I1233" t="str">
        <f>B18_Assessment!C64</f>
        <v>VA / Designer / OIT</v>
      </c>
      <c r="J1233" t="str">
        <f>B18_Assessment!D64</f>
        <v>Closed</v>
      </c>
      <c r="K1233">
        <f>B18_Assessment!E64</f>
        <v>0</v>
      </c>
      <c r="L1233">
        <f>B18_Assessment!F64</f>
        <v>0</v>
      </c>
      <c r="M1233" t="str">
        <f>B18_Assessment!G64</f>
        <v>Room naming mismatch could affect PMIS tracking</v>
      </c>
      <c r="N1233">
        <f>B18_Assessment!H64</f>
        <v>0</v>
      </c>
      <c r="O1233">
        <f>B18_Assessment!I64</f>
        <v>0</v>
      </c>
      <c r="P1233">
        <f>B18_Assessment!J64</f>
        <v>0</v>
      </c>
      <c r="Q1233" t="str">
        <f t="shared" si="19"/>
        <v>18|57</v>
      </c>
    </row>
    <row r="1234" spans="1:17" ht="6.45" customHeight="1">
      <c r="A1234" t="s">
        <v>705</v>
      </c>
      <c r="B1234">
        <v>58</v>
      </c>
      <c r="C1234" t="s">
        <v>45</v>
      </c>
      <c r="D1234">
        <v>65</v>
      </c>
      <c r="E1234" t="s">
        <v>1051</v>
      </c>
      <c r="F1234" t="s">
        <v>5324</v>
      </c>
      <c r="G1234" t="str">
        <f>B18_Assessment!A65</f>
        <v>B18-Q3</v>
      </c>
      <c r="H1234" t="str">
        <f>B18_Assessment!B65</f>
        <v>What active services are currently fed from existing 111B and 213 equipment?</v>
      </c>
      <c r="I1234" t="str">
        <f>B18_Assessment!C65</f>
        <v>OIT / Contractor</v>
      </c>
      <c r="J1234" t="str">
        <f>B18_Assessment!D65</f>
        <v>Closed</v>
      </c>
      <c r="K1234">
        <f>B18_Assessment!E65</f>
        <v>0</v>
      </c>
      <c r="L1234">
        <f>B18_Assessment!F65</f>
        <v>0</v>
      </c>
      <c r="M1234" t="str">
        <f>B18_Assessment!G65</f>
        <v>Potential communications/security outage</v>
      </c>
      <c r="N1234">
        <f>B18_Assessment!H65</f>
        <v>0</v>
      </c>
      <c r="O1234">
        <f>B18_Assessment!I65</f>
        <v>0</v>
      </c>
      <c r="P1234">
        <f>B18_Assessment!J65</f>
        <v>0</v>
      </c>
      <c r="Q1234" t="str">
        <f t="shared" si="19"/>
        <v>18|58</v>
      </c>
    </row>
    <row r="1235" spans="1:17" ht="6.45" customHeight="1">
      <c r="A1235" t="s">
        <v>705</v>
      </c>
      <c r="B1235">
        <v>59</v>
      </c>
      <c r="C1235" t="s">
        <v>45</v>
      </c>
      <c r="D1235">
        <v>66</v>
      </c>
      <c r="E1235" t="s">
        <v>1051</v>
      </c>
      <c r="F1235" t="s">
        <v>5324</v>
      </c>
      <c r="G1235" t="str">
        <f>B18_Assessment!A66</f>
        <v>B18-Q4</v>
      </c>
      <c r="H1235" t="str">
        <f>B18_Assessment!B66</f>
        <v>Is IU-1-01/CU-1-01 on emergency/backup power and dedicated to Room 110?</v>
      </c>
      <c r="I1235" t="str">
        <f>B18_Assessment!C66</f>
        <v>Mechanical / Electrical / VA</v>
      </c>
      <c r="J1235" t="str">
        <f>B18_Assessment!D66</f>
        <v>Closed</v>
      </c>
      <c r="K1235">
        <f>B18_Assessment!E66</f>
        <v>0</v>
      </c>
      <c r="L1235">
        <f>B18_Assessment!F66</f>
        <v>0</v>
      </c>
      <c r="M1235" t="str">
        <f>B18_Assessment!G66</f>
        <v>Cooling continuity unclear</v>
      </c>
      <c r="N1235">
        <f>B18_Assessment!H66</f>
        <v>0</v>
      </c>
      <c r="O1235">
        <f>B18_Assessment!I66</f>
        <v>0</v>
      </c>
      <c r="P1235">
        <f>B18_Assessment!J66</f>
        <v>0</v>
      </c>
      <c r="Q1235" t="str">
        <f t="shared" si="19"/>
        <v>18|59</v>
      </c>
    </row>
    <row r="1236" spans="1:17" ht="6.45" customHeight="1">
      <c r="A1236" t="s">
        <v>705</v>
      </c>
      <c r="B1236">
        <v>60</v>
      </c>
      <c r="C1236" t="s">
        <v>45</v>
      </c>
      <c r="D1236">
        <v>67</v>
      </c>
      <c r="E1236" t="s">
        <v>1051</v>
      </c>
      <c r="F1236" t="s">
        <v>5324</v>
      </c>
      <c r="G1236" t="str">
        <f>B18_Assessment!A67</f>
        <v>B18-Q5</v>
      </c>
      <c r="H1236" t="str">
        <f>B18_Assessment!B67</f>
        <v>Where is the clean-agent/CO2 extinguisher cabinet located within 75 ft of Room 110?</v>
      </c>
      <c r="I1236" t="str">
        <f>B18_Assessment!C67</f>
        <v>GC / COR</v>
      </c>
      <c r="J1236" t="str">
        <f>B18_Assessment!D67</f>
        <v>Closed</v>
      </c>
      <c r="K1236">
        <f>B18_Assessment!E67</f>
        <v>0</v>
      </c>
      <c r="L1236">
        <f>B18_Assessment!F67</f>
        <v>0</v>
      </c>
      <c r="M1236" t="str">
        <f>B18_Assessment!G67</f>
        <v>Life-safety acceptance risk</v>
      </c>
      <c r="N1236">
        <f>B18_Assessment!H67</f>
        <v>0</v>
      </c>
      <c r="O1236">
        <f>B18_Assessment!I67</f>
        <v>0</v>
      </c>
      <c r="P1236">
        <f>B18_Assessment!J67</f>
        <v>0</v>
      </c>
      <c r="Q1236" t="str">
        <f t="shared" si="19"/>
        <v>18|60</v>
      </c>
    </row>
    <row r="1237" spans="1:17" ht="6.45" customHeight="1">
      <c r="A1237" t="s">
        <v>705</v>
      </c>
      <c r="B1237">
        <v>61</v>
      </c>
      <c r="C1237" t="s">
        <v>45</v>
      </c>
      <c r="D1237">
        <v>68</v>
      </c>
      <c r="E1237" t="s">
        <v>1051</v>
      </c>
      <c r="F1237" t="s">
        <v>5324</v>
      </c>
      <c r="G1237" t="str">
        <f>B18_Assessment!A68</f>
        <v>B18-Q6</v>
      </c>
      <c r="H1237" t="str">
        <f>B18_Assessment!B68</f>
        <v>Are B18-TR110A/B sources, rack receptacles, SPDs, circuit labels and load measurements approved?</v>
      </c>
      <c r="I1237" t="str">
        <f>B18_Assessment!C68</f>
        <v>Electrical / Designer</v>
      </c>
      <c r="J1237" t="str">
        <f>B18_Assessment!D68</f>
        <v>Closed</v>
      </c>
      <c r="K1237">
        <f>B18_Assessment!E68</f>
        <v>0</v>
      </c>
      <c r="L1237">
        <f>B18_Assessment!F68</f>
        <v>0</v>
      </c>
      <c r="M1237" t="str">
        <f>B18_Assessment!G68</f>
        <v>Electrical readiness unknown</v>
      </c>
      <c r="N1237">
        <f>B18_Assessment!H68</f>
        <v>0</v>
      </c>
      <c r="O1237">
        <f>B18_Assessment!I68</f>
        <v>0</v>
      </c>
      <c r="P1237">
        <f>B18_Assessment!J68</f>
        <v>0</v>
      </c>
      <c r="Q1237" t="str">
        <f t="shared" si="19"/>
        <v>18|61</v>
      </c>
    </row>
    <row r="1238" spans="1:17" ht="6.45" customHeight="1">
      <c r="A1238" t="s">
        <v>705</v>
      </c>
      <c r="B1238">
        <v>62</v>
      </c>
      <c r="C1238" t="s">
        <v>45</v>
      </c>
      <c r="D1238">
        <v>69</v>
      </c>
      <c r="E1238" t="s">
        <v>1051</v>
      </c>
      <c r="F1238" t="s">
        <v>5324</v>
      </c>
      <c r="G1238" t="str">
        <f>B18_Assessment!A69</f>
        <v>B18-Q7</v>
      </c>
      <c r="H1238" t="str">
        <f>B18_Assessment!B69</f>
        <v>Are all rated wall/floor penetrations, sleeves, cable tray entries and firestopping details identified?</v>
      </c>
      <c r="I1238" t="str">
        <f>B18_Assessment!C69</f>
        <v>GC / Firestop</v>
      </c>
      <c r="J1238" t="str">
        <f>B18_Assessment!D69</f>
        <v>Closed</v>
      </c>
      <c r="K1238">
        <f>B18_Assessment!E69</f>
        <v>0</v>
      </c>
      <c r="L1238">
        <f>B18_Assessment!F69</f>
        <v>0</v>
      </c>
      <c r="M1238" t="str">
        <f>B18_Assessment!G69</f>
        <v>Fire/smoke spread risk</v>
      </c>
      <c r="N1238">
        <f>B18_Assessment!H69</f>
        <v>0</v>
      </c>
      <c r="O1238">
        <f>B18_Assessment!I69</f>
        <v>0</v>
      </c>
      <c r="P1238">
        <f>B18_Assessment!J69</f>
        <v>0</v>
      </c>
      <c r="Q1238" t="str">
        <f t="shared" si="19"/>
        <v>18|62</v>
      </c>
    </row>
    <row r="1239" spans="1:17" ht="6.45" customHeight="1">
      <c r="A1239" t="s">
        <v>705</v>
      </c>
      <c r="B1239">
        <v>63</v>
      </c>
      <c r="C1239" t="s">
        <v>45</v>
      </c>
      <c r="D1239">
        <v>70</v>
      </c>
      <c r="E1239" t="s">
        <v>1051</v>
      </c>
      <c r="F1239" t="s">
        <v>5324</v>
      </c>
      <c r="G1239" t="str">
        <f>B18_Assessment!A70</f>
        <v>B18-Q8</v>
      </c>
      <c r="H1239" t="str">
        <f>B18_Assessment!B70</f>
        <v>Which third-party inspections and commissioning forms are required before VA acceptance?</v>
      </c>
      <c r="I1239" t="str">
        <f>B18_Assessment!C70</f>
        <v>GC / Cx Manager</v>
      </c>
      <c r="J1239" t="str">
        <f>B18_Assessment!D70</f>
        <v>Closed</v>
      </c>
      <c r="K1239">
        <f>B18_Assessment!E70</f>
        <v>0</v>
      </c>
      <c r="L1239">
        <f>B18_Assessment!F70</f>
        <v>0</v>
      </c>
      <c r="M1239" t="str">
        <f>B18_Assessment!G70</f>
        <v>Turnover package gap</v>
      </c>
      <c r="N1239">
        <f>B18_Assessment!H70</f>
        <v>0</v>
      </c>
      <c r="O1239">
        <f>B18_Assessment!I70</f>
        <v>0</v>
      </c>
      <c r="P1239">
        <f>B18_Assessment!J70</f>
        <v>0</v>
      </c>
      <c r="Q1239" t="str">
        <f t="shared" si="19"/>
        <v>18|63</v>
      </c>
    </row>
    <row r="1240" spans="1:17" ht="6.45" customHeight="1">
      <c r="A1240" t="s">
        <v>705</v>
      </c>
      <c r="B1240">
        <v>64</v>
      </c>
      <c r="C1240" t="s">
        <v>45</v>
      </c>
      <c r="D1240">
        <v>71</v>
      </c>
      <c r="E1240" t="s">
        <v>1051</v>
      </c>
      <c r="F1240" t="s">
        <v>5325</v>
      </c>
      <c r="G1240">
        <f>B18_Assessment!A71</f>
        <v>0</v>
      </c>
      <c r="H1240">
        <f>B18_Assessment!B71</f>
        <v>0</v>
      </c>
      <c r="I1240">
        <f>B18_Assessment!C71</f>
        <v>0</v>
      </c>
      <c r="J1240">
        <f>B18_Assessment!D71</f>
        <v>0</v>
      </c>
      <c r="K1240">
        <f>B18_Assessment!E71</f>
        <v>0</v>
      </c>
      <c r="L1240">
        <f>B18_Assessment!F71</f>
        <v>0</v>
      </c>
      <c r="M1240">
        <f>B18_Assessment!G71</f>
        <v>0</v>
      </c>
      <c r="N1240">
        <f>B18_Assessment!H71</f>
        <v>0</v>
      </c>
      <c r="O1240">
        <f>B18_Assessment!I71</f>
        <v>0</v>
      </c>
      <c r="P1240">
        <f>B18_Assessment!J71</f>
        <v>0</v>
      </c>
      <c r="Q1240" t="str">
        <f t="shared" si="19"/>
        <v>18|64</v>
      </c>
    </row>
    <row r="1241" spans="1:17" ht="6.45" customHeight="1">
      <c r="A1241" t="s">
        <v>705</v>
      </c>
      <c r="B1241">
        <v>65</v>
      </c>
      <c r="C1241" t="s">
        <v>45</v>
      </c>
      <c r="D1241">
        <v>72</v>
      </c>
      <c r="E1241" t="s">
        <v>1052</v>
      </c>
      <c r="F1241" t="s">
        <v>5322</v>
      </c>
      <c r="G1241" t="str">
        <f>B18_Assessment!A72</f>
        <v>10. PHOTO LOG</v>
      </c>
      <c r="H1241">
        <f>B18_Assessment!B72</f>
        <v>0</v>
      </c>
      <c r="I1241">
        <f>B18_Assessment!C72</f>
        <v>0</v>
      </c>
      <c r="J1241">
        <f>B18_Assessment!D72</f>
        <v>0</v>
      </c>
      <c r="K1241">
        <f>B18_Assessment!E72</f>
        <v>0</v>
      </c>
      <c r="L1241">
        <f>B18_Assessment!F72</f>
        <v>0</v>
      </c>
      <c r="M1241">
        <f>B18_Assessment!G72</f>
        <v>0</v>
      </c>
      <c r="N1241">
        <f>B18_Assessment!H72</f>
        <v>0</v>
      </c>
      <c r="O1241">
        <f>B18_Assessment!I72</f>
        <v>0</v>
      </c>
      <c r="P1241">
        <f>B18_Assessment!J72</f>
        <v>0</v>
      </c>
      <c r="Q1241" t="str">
        <f t="shared" si="19"/>
        <v>18|65</v>
      </c>
    </row>
    <row r="1242" spans="1:17" ht="6.45" customHeight="1">
      <c r="A1242" t="s">
        <v>705</v>
      </c>
      <c r="B1242">
        <v>66</v>
      </c>
      <c r="C1242" t="s">
        <v>45</v>
      </c>
      <c r="D1242">
        <v>73</v>
      </c>
      <c r="E1242" t="s">
        <v>1052</v>
      </c>
      <c r="F1242" t="s">
        <v>5323</v>
      </c>
      <c r="G1242" t="str">
        <f>B18_Assessment!A73</f>
        <v>Photo ID</v>
      </c>
      <c r="H1242" t="str">
        <f>B18_Assessment!B73</f>
        <v>Room</v>
      </c>
      <c r="I1242" t="str">
        <f>B18_Assessment!C73</f>
        <v>Category</v>
      </c>
      <c r="J1242" t="str">
        <f>B18_Assessment!D73</f>
        <v>Description</v>
      </c>
      <c r="K1242" t="str">
        <f>B18_Assessment!E73</f>
        <v>Date</v>
      </c>
      <c r="L1242" t="str">
        <f>B18_Assessment!F73</f>
        <v>Taken By</v>
      </c>
      <c r="M1242" t="str">
        <f>B18_Assessment!G73</f>
        <v>File / Link</v>
      </c>
      <c r="N1242" t="str">
        <f>B18_Assessment!H73</f>
        <v>Related Risk</v>
      </c>
      <c r="O1242" t="str">
        <f>B18_Assessment!I73</f>
        <v>Status</v>
      </c>
      <c r="P1242" t="str">
        <f>B18_Assessment!J73</f>
        <v>Notes</v>
      </c>
      <c r="Q1242" t="str">
        <f t="shared" si="19"/>
        <v>18|66</v>
      </c>
    </row>
    <row r="1243" spans="1:17" ht="6.45" customHeight="1">
      <c r="A1243" t="s">
        <v>705</v>
      </c>
      <c r="B1243">
        <v>67</v>
      </c>
      <c r="C1243" t="s">
        <v>45</v>
      </c>
      <c r="D1243">
        <v>74</v>
      </c>
      <c r="E1243" t="s">
        <v>1052</v>
      </c>
      <c r="F1243" t="s">
        <v>5324</v>
      </c>
      <c r="G1243" t="str">
        <f>B18_Assessment!A74</f>
        <v>B18-P001</v>
      </c>
      <c r="H1243" t="str">
        <f>B18_Assessment!B74</f>
        <v>110</v>
      </c>
      <c r="I1243" t="str">
        <f>B18_Assessment!C74</f>
        <v>Existing Condition</v>
      </c>
      <c r="J1243" t="str">
        <f>B18_Assessment!D74</f>
        <v>Room 110 walls, ceiling/deck, floor, door, adjacent Corridor 121/Stair 122/Office 112, rack location, pathways and penetrations</v>
      </c>
      <c r="K1243">
        <f>B18_Assessment!E74</f>
        <v>0</v>
      </c>
      <c r="L1243" t="str">
        <f>B18_Assessment!F74</f>
        <v>Paul</v>
      </c>
      <c r="M1243">
        <f>B18_Assessment!G74</f>
        <v>0</v>
      </c>
      <c r="N1243" t="str">
        <f>B18_Assessment!H74</f>
        <v>B18-R1/B18-R2</v>
      </c>
      <c r="O1243" t="str">
        <f>B18_Assessment!I74</f>
        <v>Closed</v>
      </c>
      <c r="P1243">
        <f>B18_Assessment!J74</f>
        <v>0</v>
      </c>
      <c r="Q1243" t="str">
        <f t="shared" si="19"/>
        <v>18|67</v>
      </c>
    </row>
    <row r="1244" spans="1:17" ht="6.45" customHeight="1">
      <c r="A1244" t="s">
        <v>705</v>
      </c>
      <c r="B1244">
        <v>68</v>
      </c>
      <c r="C1244" t="s">
        <v>45</v>
      </c>
      <c r="D1244">
        <v>75</v>
      </c>
      <c r="E1244" t="s">
        <v>1052</v>
      </c>
      <c r="F1244" t="s">
        <v>5324</v>
      </c>
      <c r="G1244" t="str">
        <f>B18_Assessment!A75</f>
        <v>B18-P002</v>
      </c>
      <c r="H1244" t="str">
        <f>B18_Assessment!B75</f>
        <v>111B</v>
      </c>
      <c r="I1244" t="str">
        <f>B18_Assessment!C75</f>
        <v>Existing Condition</v>
      </c>
      <c r="J1244" t="str">
        <f>B18_Assessment!D75</f>
        <v>Existing TE 111B wall rack, plywood backboard, patch panel, security cabinet, floor UPS and 5RU fiber housing</v>
      </c>
      <c r="K1244">
        <f>B18_Assessment!E75</f>
        <v>0</v>
      </c>
      <c r="L1244" t="str">
        <f>B18_Assessment!F75</f>
        <v>Paul</v>
      </c>
      <c r="M1244">
        <f>B18_Assessment!G75</f>
        <v>0</v>
      </c>
      <c r="N1244" t="str">
        <f>B18_Assessment!H75</f>
        <v>B18-R1/B18-R3</v>
      </c>
      <c r="O1244" t="str">
        <f>B18_Assessment!I75</f>
        <v>Closed</v>
      </c>
      <c r="P1244">
        <f>B18_Assessment!J75</f>
        <v>0</v>
      </c>
      <c r="Q1244" t="str">
        <f t="shared" si="19"/>
        <v>18|68</v>
      </c>
    </row>
    <row r="1245" spans="1:17" ht="6.45" customHeight="1">
      <c r="A1245" t="s">
        <v>705</v>
      </c>
      <c r="B1245">
        <v>69</v>
      </c>
      <c r="C1245" t="s">
        <v>45</v>
      </c>
      <c r="D1245">
        <v>76</v>
      </c>
      <c r="E1245" t="s">
        <v>1052</v>
      </c>
      <c r="F1245" t="s">
        <v>5324</v>
      </c>
      <c r="G1245" t="str">
        <f>B18_Assessment!A76</f>
        <v>B18-P003</v>
      </c>
      <c r="H1245" t="str">
        <f>B18_Assessment!B76</f>
        <v>213</v>
      </c>
      <c r="I1245" t="str">
        <f>B18_Assessment!C76</f>
        <v>Existing Condition</v>
      </c>
      <c r="J1245" t="str">
        <f>B18_Assessment!D76</f>
        <v>Existing Closet 213 wall rack/TE, SERTEX service ports, Cisco switch, legacy Ortronics patch panels, security cabinet, plywood backboard and APC floor UPS</v>
      </c>
      <c r="K1245">
        <f>B18_Assessment!E76</f>
        <v>0</v>
      </c>
      <c r="L1245" t="str">
        <f>B18_Assessment!F76</f>
        <v>Paul</v>
      </c>
      <c r="M1245">
        <f>B18_Assessment!G76</f>
        <v>0</v>
      </c>
      <c r="N1245" t="str">
        <f>B18_Assessment!H76</f>
        <v>B18-R1/B18-R3</v>
      </c>
      <c r="O1245" t="str">
        <f>B18_Assessment!I76</f>
        <v>Closed</v>
      </c>
      <c r="P1245">
        <f>B18_Assessment!J76</f>
        <v>0</v>
      </c>
      <c r="Q1245" t="str">
        <f t="shared" si="19"/>
        <v>18|69</v>
      </c>
    </row>
    <row r="1246" spans="1:17" ht="6.45" customHeight="1">
      <c r="A1246" t="s">
        <v>705</v>
      </c>
      <c r="B1246">
        <v>70</v>
      </c>
      <c r="C1246" t="s">
        <v>45</v>
      </c>
      <c r="D1246">
        <v>77</v>
      </c>
      <c r="E1246" t="s">
        <v>1052</v>
      </c>
      <c r="F1246" t="s">
        <v>5324</v>
      </c>
      <c r="G1246" t="str">
        <f>B18_Assessment!A77</f>
        <v>B18-P004</v>
      </c>
      <c r="H1246" t="str">
        <f>B18_Assessment!B77</f>
        <v>110</v>
      </c>
      <c r="I1246" t="str">
        <f>B18_Assessment!C77</f>
        <v>Hazardous Materials</v>
      </c>
      <c r="J1246" t="str">
        <f>B18_Assessment!D77</f>
        <v>First-level abatement/lead-paint areas, flooring, walls, ceiling/penetrations, and disturbance areas</v>
      </c>
      <c r="K1246">
        <f>B18_Assessment!E77</f>
        <v>0</v>
      </c>
      <c r="L1246" t="str">
        <f>B18_Assessment!F77</f>
        <v>Paul</v>
      </c>
      <c r="M1246">
        <f>B18_Assessment!G77</f>
        <v>0</v>
      </c>
      <c r="N1246" t="str">
        <f>B18_Assessment!H77</f>
        <v>B18-R2</v>
      </c>
      <c r="O1246" t="str">
        <f>B18_Assessment!I77</f>
        <v>Closed</v>
      </c>
      <c r="P1246">
        <f>B18_Assessment!J77</f>
        <v>0</v>
      </c>
      <c r="Q1246" t="str">
        <f t="shared" si="19"/>
        <v>18|70</v>
      </c>
    </row>
    <row r="1247" spans="1:17" ht="6.45" customHeight="1">
      <c r="A1247" t="s">
        <v>705</v>
      </c>
      <c r="B1247">
        <v>71</v>
      </c>
      <c r="C1247" t="s">
        <v>45</v>
      </c>
      <c r="D1247">
        <v>78</v>
      </c>
      <c r="E1247" t="s">
        <v>1052</v>
      </c>
      <c r="F1247" t="s">
        <v>5324</v>
      </c>
      <c r="G1247" t="str">
        <f>B18_Assessment!A78</f>
        <v>B18-P005</v>
      </c>
      <c r="H1247" t="str">
        <f>B18_Assessment!B78</f>
        <v>110</v>
      </c>
      <c r="I1247" t="str">
        <f>B18_Assessment!C78</f>
        <v>Firestop</v>
      </c>
      <c r="J1247" t="str">
        <f>B18_Assessment!D78</f>
        <v>All wall/floor/sleeve/tray penetrations before and after firestop</v>
      </c>
      <c r="K1247">
        <f>B18_Assessment!E78</f>
        <v>0</v>
      </c>
      <c r="L1247" t="str">
        <f>B18_Assessment!F78</f>
        <v>Paul</v>
      </c>
      <c r="M1247">
        <f>B18_Assessment!G78</f>
        <v>0</v>
      </c>
      <c r="N1247" t="str">
        <f>B18_Assessment!H78</f>
        <v>B18-R6</v>
      </c>
      <c r="O1247" t="str">
        <f>B18_Assessment!I78</f>
        <v>Closed</v>
      </c>
      <c r="P1247">
        <f>B18_Assessment!J78</f>
        <v>0</v>
      </c>
      <c r="Q1247" t="str">
        <f t="shared" si="19"/>
        <v>18|71</v>
      </c>
    </row>
    <row r="1248" spans="1:17" ht="6.45" customHeight="1">
      <c r="A1248" t="s">
        <v>705</v>
      </c>
      <c r="B1248">
        <v>72</v>
      </c>
      <c r="C1248" t="s">
        <v>45</v>
      </c>
      <c r="D1248">
        <v>79</v>
      </c>
      <c r="E1248" t="s">
        <v>1052</v>
      </c>
      <c r="F1248" t="s">
        <v>5324</v>
      </c>
      <c r="G1248" t="str">
        <f>B18_Assessment!A79</f>
        <v>B18-P006</v>
      </c>
      <c r="H1248" t="str">
        <f>B18_Assessment!B79</f>
        <v>110</v>
      </c>
      <c r="I1248" t="str">
        <f>B18_Assessment!C79</f>
        <v>HVAC</v>
      </c>
      <c r="J1248" t="str">
        <f>B18_Assessment!D79</f>
        <v>IU-1-01/CU-1-01, condensate, thermostat, BACnet adapter, disconnects, high-temp alarm and power source</v>
      </c>
      <c r="K1248">
        <f>B18_Assessment!E79</f>
        <v>0</v>
      </c>
      <c r="L1248" t="str">
        <f>B18_Assessment!F79</f>
        <v>Paul</v>
      </c>
      <c r="M1248">
        <f>B18_Assessment!G79</f>
        <v>0</v>
      </c>
      <c r="N1248" t="str">
        <f>B18_Assessment!H79</f>
        <v>B18-R4</v>
      </c>
      <c r="O1248" t="str">
        <f>B18_Assessment!I79</f>
        <v>Closed</v>
      </c>
      <c r="P1248">
        <f>B18_Assessment!J79</f>
        <v>0</v>
      </c>
      <c r="Q1248" t="str">
        <f t="shared" si="19"/>
        <v>18|72</v>
      </c>
    </row>
    <row r="1249" spans="1:17" ht="6.45" customHeight="1">
      <c r="A1249" t="s">
        <v>705</v>
      </c>
      <c r="B1249">
        <v>73</v>
      </c>
      <c r="C1249" t="s">
        <v>45</v>
      </c>
      <c r="D1249">
        <v>80</v>
      </c>
      <c r="E1249" t="s">
        <v>1052</v>
      </c>
      <c r="F1249" t="s">
        <v>5324</v>
      </c>
      <c r="G1249" t="str">
        <f>B18_Assessment!A80</f>
        <v>B18-P007</v>
      </c>
      <c r="H1249" t="str">
        <f>B18_Assessment!B80</f>
        <v>110</v>
      </c>
      <c r="I1249" t="str">
        <f>B18_Assessment!C80</f>
        <v>Electrical</v>
      </c>
      <c r="J1249" t="str">
        <f>B18_Assessment!D80</f>
        <v>B18-TR110A/B panels, rack receptacles, breakers, SPD, access controller, lighting, CU-1-01 and labels</v>
      </c>
      <c r="K1249">
        <f>B18_Assessment!E80</f>
        <v>0</v>
      </c>
      <c r="L1249" t="str">
        <f>B18_Assessment!F80</f>
        <v>Paul</v>
      </c>
      <c r="M1249">
        <f>B18_Assessment!G80</f>
        <v>0</v>
      </c>
      <c r="N1249" t="str">
        <f>B18_Assessment!H80</f>
        <v>B18-R5</v>
      </c>
      <c r="O1249" t="str">
        <f>B18_Assessment!I80</f>
        <v>Closed</v>
      </c>
      <c r="P1249">
        <f>B18_Assessment!J80</f>
        <v>0</v>
      </c>
      <c r="Q1249" t="str">
        <f t="shared" si="19"/>
        <v>18|73</v>
      </c>
    </row>
    <row r="1250" spans="1:17" ht="6.45" customHeight="1">
      <c r="A1250" t="s">
        <v>705</v>
      </c>
      <c r="B1250">
        <v>74</v>
      </c>
      <c r="C1250" t="s">
        <v>45</v>
      </c>
      <c r="D1250">
        <v>81</v>
      </c>
      <c r="E1250" t="s">
        <v>1052</v>
      </c>
      <c r="F1250" t="s">
        <v>5324</v>
      </c>
      <c r="G1250" t="str">
        <f>B18_Assessment!A81</f>
        <v>B18-P008</v>
      </c>
      <c r="H1250" t="str">
        <f>B18_Assessment!B81</f>
        <v>110/111B/213</v>
      </c>
      <c r="I1250" t="str">
        <f>B18_Assessment!C81</f>
        <v>Telecom/Security</v>
      </c>
      <c r="J1250" t="str">
        <f>B18_Assessment!D81</f>
        <v>New rack/future rack, fiber path A/B, Cat6A, patch panels, LIU, labels/test records, 111A-CAM-01 and existing 111B/213 transfer work</v>
      </c>
      <c r="K1250">
        <f>B18_Assessment!E81</f>
        <v>0</v>
      </c>
      <c r="L1250" t="str">
        <f>B18_Assessment!F81</f>
        <v>Paul</v>
      </c>
      <c r="M1250">
        <f>B18_Assessment!G81</f>
        <v>0</v>
      </c>
      <c r="N1250" t="str">
        <f>B18_Assessment!H81</f>
        <v>B18-R7/B18-R8</v>
      </c>
      <c r="O1250" t="str">
        <f>B18_Assessment!I81</f>
        <v>Closed</v>
      </c>
      <c r="P1250">
        <f>B18_Assessment!J81</f>
        <v>0</v>
      </c>
      <c r="Q1250" t="str">
        <f t="shared" si="19"/>
        <v>18|74</v>
      </c>
    </row>
    <row r="1251" spans="1:17" ht="6.45" customHeight="1">
      <c r="A1251" t="s">
        <v>705</v>
      </c>
      <c r="B1251">
        <v>75</v>
      </c>
      <c r="C1251" t="s">
        <v>45</v>
      </c>
      <c r="D1251">
        <v>82</v>
      </c>
      <c r="E1251" t="s">
        <v>1052</v>
      </c>
      <c r="F1251" t="s">
        <v>5325</v>
      </c>
      <c r="G1251">
        <f>B18_Assessment!A82</f>
        <v>0</v>
      </c>
      <c r="H1251">
        <f>B18_Assessment!B82</f>
        <v>0</v>
      </c>
      <c r="I1251">
        <f>B18_Assessment!C82</f>
        <v>0</v>
      </c>
      <c r="J1251">
        <f>B18_Assessment!D82</f>
        <v>0</v>
      </c>
      <c r="K1251">
        <f>B18_Assessment!E82</f>
        <v>0</v>
      </c>
      <c r="L1251">
        <f>B18_Assessment!F82</f>
        <v>0</v>
      </c>
      <c r="M1251">
        <f>B18_Assessment!G82</f>
        <v>0</v>
      </c>
      <c r="N1251">
        <f>B18_Assessment!H82</f>
        <v>0</v>
      </c>
      <c r="O1251">
        <f>B18_Assessment!I82</f>
        <v>0</v>
      </c>
      <c r="P1251">
        <f>B18_Assessment!J82</f>
        <v>0</v>
      </c>
      <c r="Q1251" t="str">
        <f t="shared" si="19"/>
        <v>18|75</v>
      </c>
    </row>
    <row r="1252" spans="1:17" ht="6.45" customHeight="1">
      <c r="A1252" t="s">
        <v>2756</v>
      </c>
      <c r="B1252">
        <v>1</v>
      </c>
      <c r="C1252" t="s">
        <v>47</v>
      </c>
      <c r="D1252">
        <v>8</v>
      </c>
      <c r="E1252" t="s">
        <v>918</v>
      </c>
      <c r="F1252" t="s">
        <v>5322</v>
      </c>
      <c r="G1252" t="str">
        <f>B20_Assessment!A8</f>
        <v>1. ROOM INVENTORY</v>
      </c>
      <c r="H1252">
        <f>B20_Assessment!B8</f>
        <v>0</v>
      </c>
      <c r="I1252">
        <f>B20_Assessment!C8</f>
        <v>0</v>
      </c>
      <c r="J1252">
        <f>B20_Assessment!D8</f>
        <v>0</v>
      </c>
      <c r="K1252">
        <f>B20_Assessment!E8</f>
        <v>0</v>
      </c>
      <c r="L1252">
        <f>B20_Assessment!F8</f>
        <v>0</v>
      </c>
      <c r="M1252">
        <f>B20_Assessment!G8</f>
        <v>0</v>
      </c>
      <c r="N1252">
        <f>B20_Assessment!H8</f>
        <v>0</v>
      </c>
      <c r="O1252">
        <f>B20_Assessment!I8</f>
        <v>0</v>
      </c>
      <c r="P1252">
        <f>B20_Assessment!J8</f>
        <v>0</v>
      </c>
      <c r="Q1252" t="str">
        <f t="shared" si="19"/>
        <v>20|1</v>
      </c>
    </row>
    <row r="1253" spans="1:17" ht="6.45" customHeight="1">
      <c r="A1253" t="s">
        <v>2756</v>
      </c>
      <c r="B1253">
        <v>2</v>
      </c>
      <c r="C1253" t="s">
        <v>47</v>
      </c>
      <c r="D1253">
        <v>9</v>
      </c>
      <c r="E1253" t="s">
        <v>918</v>
      </c>
      <c r="F1253" t="s">
        <v>5323</v>
      </c>
      <c r="G1253" t="str">
        <f>B20_Assessment!A9</f>
        <v>Building</v>
      </c>
      <c r="H1253" t="str">
        <f>B20_Assessment!B9</f>
        <v>Room</v>
      </c>
      <c r="I1253" t="str">
        <f>B20_Assessment!C9</f>
        <v>Floor</v>
      </c>
      <c r="J1253" t="str">
        <f>B20_Assessment!D9</f>
        <v>Existing Use</v>
      </c>
      <c r="K1253" t="str">
        <f>B20_Assessment!E9</f>
        <v>New Use</v>
      </c>
      <c r="L1253" t="str">
        <f>B20_Assessment!F9</f>
        <v>Rack Count</v>
      </c>
      <c r="M1253" t="str">
        <f>B20_Assessment!G9</f>
        <v>Future Rack</v>
      </c>
      <c r="N1253" t="str">
        <f>B20_Assessment!H9</f>
        <v>Status</v>
      </c>
      <c r="O1253" t="str">
        <f>B20_Assessment!I9</f>
        <v>Drawing Ref</v>
      </c>
      <c r="P1253" t="str">
        <f>B20_Assessment!J9</f>
        <v>Notes</v>
      </c>
      <c r="Q1253" t="str">
        <f t="shared" si="19"/>
        <v>20|2</v>
      </c>
    </row>
    <row r="1254" spans="1:17" ht="6.45" customHeight="1">
      <c r="A1254" t="s">
        <v>2756</v>
      </c>
      <c r="B1254">
        <v>3</v>
      </c>
      <c r="C1254" t="s">
        <v>47</v>
      </c>
      <c r="D1254">
        <v>10</v>
      </c>
      <c r="E1254" t="s">
        <v>918</v>
      </c>
      <c r="F1254" t="s">
        <v>5324</v>
      </c>
      <c r="G1254" t="str">
        <f>B20_Assessment!A10</f>
        <v>20</v>
      </c>
      <c r="H1254" t="str">
        <f>B20_Assessment!B10</f>
        <v>1B</v>
      </c>
      <c r="I1254" t="str">
        <f>B20_Assessment!C10</f>
        <v>First</v>
      </c>
      <c r="J1254" t="str">
        <f>B20_Assessment!D10</f>
        <v>Office / new TE location</v>
      </c>
      <c r="K1254" t="str">
        <f>B20_Assessment!E10</f>
        <v>Telecom Enclosure</v>
      </c>
      <c r="L1254">
        <f>B20_Assessment!F10</f>
        <v>1</v>
      </c>
      <c r="M1254">
        <f>B20_Assessment!G10</f>
        <v>0</v>
      </c>
      <c r="N1254" t="str">
        <f>B20_Assessment!H10</f>
        <v>Verify</v>
      </c>
      <c r="O1254" t="str">
        <f>B20_Assessment!I10</f>
        <v>20T-101 / 20T-701 / 20E-101 / 20E-601</v>
      </c>
      <c r="P1254" t="str">
        <f>B20_Assessment!J10</f>
        <v>Primary Building 20 TE. Plans identify Office 1B at 110 SF with new wall-mount telecom enclosure Rack ID TE01-1B-1, 12RU enclosure, APC UPS, two PDUs, network switch, 48-port Cat6A patch panel, Fiber LIU, and 33 total ports with 10% allowance.</v>
      </c>
      <c r="Q1254" t="str">
        <f t="shared" si="19"/>
        <v>20|3</v>
      </c>
    </row>
    <row r="1255" spans="1:17" ht="6.45" customHeight="1">
      <c r="A1255" t="s">
        <v>2756</v>
      </c>
      <c r="B1255">
        <v>4</v>
      </c>
      <c r="C1255" t="s">
        <v>47</v>
      </c>
      <c r="D1255">
        <v>11</v>
      </c>
      <c r="E1255" t="s">
        <v>918</v>
      </c>
      <c r="F1255" t="s">
        <v>5324</v>
      </c>
      <c r="G1255" t="str">
        <f>B20_Assessment!A11</f>
        <v>20</v>
      </c>
      <c r="H1255" t="str">
        <f>B20_Assessment!B11</f>
        <v>8A</v>
      </c>
      <c r="I1255" t="str">
        <f>B20_Assessment!C11</f>
        <v>First</v>
      </c>
      <c r="J1255" t="str">
        <f>B20_Assessment!D11</f>
        <v>Existing Tel/Data Closet / open TE cabinet</v>
      </c>
      <c r="K1255" t="str">
        <f>B20_Assessment!E11</f>
        <v>Existing telecom transition point</v>
      </c>
      <c r="L1255">
        <f>B20_Assessment!F11</f>
        <v>2</v>
      </c>
      <c r="M1255">
        <f>B20_Assessment!G11</f>
        <v>0</v>
      </c>
      <c r="N1255" t="str">
        <f>B20_Assessment!H11</f>
        <v>Verify</v>
      </c>
      <c r="O1255" t="str">
        <f>B20_Assessment!I11</f>
        <v>20T-101 / 20T-701 / 20R-900</v>
      </c>
      <c r="P1255" t="str">
        <f>B20_Assessment!J11</f>
        <v>Existing Tel/Data Closet 8A at 17 SF with existing open TE cabinet, ground bar, patch panel, equipment box, indoor AC unit, plywood backboard, BIX blocks, Cisco switch, legacy Ortronics 48-port patch panel, floor UPS and Fiber LIU. Protect active services and transfer to Office 1B TE.</v>
      </c>
      <c r="Q1255" t="str">
        <f t="shared" si="19"/>
        <v>20|4</v>
      </c>
    </row>
    <row r="1256" spans="1:17" ht="6.45" customHeight="1">
      <c r="A1256" t="s">
        <v>2756</v>
      </c>
      <c r="B1256">
        <v>5</v>
      </c>
      <c r="C1256" t="s">
        <v>47</v>
      </c>
      <c r="D1256">
        <v>12</v>
      </c>
      <c r="E1256" t="s">
        <v>918</v>
      </c>
      <c r="F1256" t="s">
        <v>5325</v>
      </c>
      <c r="G1256">
        <f>B20_Assessment!A12</f>
        <v>0</v>
      </c>
      <c r="H1256">
        <f>B20_Assessment!B12</f>
        <v>0</v>
      </c>
      <c r="I1256">
        <f>B20_Assessment!C12</f>
        <v>0</v>
      </c>
      <c r="J1256">
        <f>B20_Assessment!D12</f>
        <v>0</v>
      </c>
      <c r="K1256">
        <f>B20_Assessment!E12</f>
        <v>0</v>
      </c>
      <c r="L1256">
        <f>B20_Assessment!F12</f>
        <v>0</v>
      </c>
      <c r="M1256">
        <f>B20_Assessment!G12</f>
        <v>0</v>
      </c>
      <c r="N1256">
        <f>B20_Assessment!H12</f>
        <v>0</v>
      </c>
      <c r="O1256">
        <f>B20_Assessment!I12</f>
        <v>0</v>
      </c>
      <c r="P1256">
        <f>B20_Assessment!J12</f>
        <v>0</v>
      </c>
      <c r="Q1256" t="str">
        <f t="shared" si="19"/>
        <v>20|5</v>
      </c>
    </row>
    <row r="1257" spans="1:17" ht="6.45" customHeight="1">
      <c r="A1257" t="s">
        <v>2756</v>
      </c>
      <c r="B1257">
        <v>6</v>
      </c>
      <c r="C1257" t="s">
        <v>47</v>
      </c>
      <c r="D1257">
        <v>13</v>
      </c>
      <c r="E1257" t="s">
        <v>936</v>
      </c>
      <c r="F1257" t="s">
        <v>5322</v>
      </c>
      <c r="G1257" t="str">
        <f>B20_Assessment!A13</f>
        <v>2. ROOM READINESS</v>
      </c>
      <c r="H1257">
        <f>B20_Assessment!B13</f>
        <v>0</v>
      </c>
      <c r="I1257">
        <f>B20_Assessment!C13</f>
        <v>0</v>
      </c>
      <c r="J1257">
        <f>B20_Assessment!D13</f>
        <v>0</v>
      </c>
      <c r="K1257">
        <f>B20_Assessment!E13</f>
        <v>0</v>
      </c>
      <c r="L1257">
        <f>B20_Assessment!F13</f>
        <v>0</v>
      </c>
      <c r="M1257">
        <f>B20_Assessment!G13</f>
        <v>0</v>
      </c>
      <c r="N1257">
        <f>B20_Assessment!H13</f>
        <v>0</v>
      </c>
      <c r="O1257">
        <f>B20_Assessment!I13</f>
        <v>0</v>
      </c>
      <c r="P1257">
        <f>B20_Assessment!J13</f>
        <v>0</v>
      </c>
      <c r="Q1257" t="str">
        <f t="shared" si="19"/>
        <v>20|6</v>
      </c>
    </row>
    <row r="1258" spans="1:17" ht="6.45" customHeight="1">
      <c r="A1258" t="s">
        <v>2756</v>
      </c>
      <c r="B1258">
        <v>7</v>
      </c>
      <c r="C1258" t="s">
        <v>47</v>
      </c>
      <c r="D1258">
        <v>14</v>
      </c>
      <c r="E1258" t="s">
        <v>936</v>
      </c>
      <c r="F1258" t="s">
        <v>5323</v>
      </c>
      <c r="G1258" t="str">
        <f>B20_Assessment!A14</f>
        <v>Room</v>
      </c>
      <c r="H1258" t="str">
        <f>B20_Assessment!B14</f>
        <v>Walls / 1-hr Rating</v>
      </c>
      <c r="I1258" t="str">
        <f>B20_Assessment!C14</f>
        <v>Ceiling</v>
      </c>
      <c r="J1258" t="str">
        <f>B20_Assessment!D14</f>
        <v>Floor / SDC</v>
      </c>
      <c r="K1258" t="str">
        <f>B20_Assessment!E14</f>
        <v>Penetrations</v>
      </c>
      <c r="L1258" t="str">
        <f>B20_Assessment!F14</f>
        <v>Access Control</v>
      </c>
      <c r="M1258" t="str">
        <f>B20_Assessment!G14</f>
        <v>Clearances</v>
      </c>
      <c r="N1258" t="str">
        <f>B20_Assessment!H14</f>
        <v>Housekeeping</v>
      </c>
      <c r="O1258" t="str">
        <f>B20_Assessment!I14</f>
        <v>Overall</v>
      </c>
      <c r="P1258" t="str">
        <f>B20_Assessment!J14</f>
        <v>Comments</v>
      </c>
      <c r="Q1258" t="str">
        <f t="shared" si="19"/>
        <v>20|7</v>
      </c>
    </row>
    <row r="1259" spans="1:17" ht="6.45" customHeight="1">
      <c r="A1259" t="s">
        <v>2756</v>
      </c>
      <c r="B1259">
        <v>8</v>
      </c>
      <c r="C1259" t="s">
        <v>47</v>
      </c>
      <c r="D1259">
        <v>15</v>
      </c>
      <c r="E1259" t="s">
        <v>936</v>
      </c>
      <c r="F1259" t="s">
        <v>5324</v>
      </c>
      <c r="G1259" t="str">
        <f>B20_Assessment!A15</f>
        <v>1B</v>
      </c>
      <c r="H1259" t="str">
        <f>B20_Assessment!B15</f>
        <v>Verify</v>
      </c>
      <c r="I1259" t="str">
        <f>B20_Assessment!C15</f>
        <v>Verify</v>
      </c>
      <c r="J1259" t="str">
        <f>B20_Assessment!D15</f>
        <v>N/A / Office</v>
      </c>
      <c r="K1259" t="str">
        <f>B20_Assessment!E15</f>
        <v>Verify</v>
      </c>
      <c r="L1259" t="str">
        <f>B20_Assessment!F15</f>
        <v>Verify Existing</v>
      </c>
      <c r="M1259" t="str">
        <f>B20_Assessment!G15</f>
        <v>Verify</v>
      </c>
      <c r="N1259" t="str">
        <f>B20_Assessment!H15</f>
        <v>Verify</v>
      </c>
      <c r="O1259" t="str">
        <f>B20_Assessment!I15</f>
        <v>Verify</v>
      </c>
      <c r="P1259" t="str">
        <f>B20_Assessment!J15</f>
        <v>New TE enclosure location in Office 1B; verify wall backing, mounting height, access clearance, power, fiber/copper path, 4-inch speed sleeve, fire/smoke wall rating, and that office use can remain operational.</v>
      </c>
      <c r="Q1259" t="str">
        <f t="shared" si="19"/>
        <v>20|8</v>
      </c>
    </row>
    <row r="1260" spans="1:17" ht="6.45" customHeight="1">
      <c r="A1260" t="s">
        <v>2756</v>
      </c>
      <c r="B1260">
        <v>9</v>
      </c>
      <c r="C1260" t="s">
        <v>47</v>
      </c>
      <c r="D1260">
        <v>16</v>
      </c>
      <c r="E1260" t="s">
        <v>936</v>
      </c>
      <c r="F1260" t="s">
        <v>5324</v>
      </c>
      <c r="G1260" t="str">
        <f>B20_Assessment!A16</f>
        <v>8A</v>
      </c>
      <c r="H1260" t="str">
        <f>B20_Assessment!B16</f>
        <v>Existing / Verify</v>
      </c>
      <c r="I1260" t="str">
        <f>B20_Assessment!C16</f>
        <v>Existing / Verify</v>
      </c>
      <c r="J1260" t="str">
        <f>B20_Assessment!D16</f>
        <v>Existing / Verify</v>
      </c>
      <c r="K1260" t="str">
        <f>B20_Assessment!E16</f>
        <v>Verify</v>
      </c>
      <c r="L1260" t="str">
        <f>B20_Assessment!F16</f>
        <v>Verify Existing</v>
      </c>
      <c r="M1260" t="str">
        <f>B20_Assessment!G16</f>
        <v>Verify</v>
      </c>
      <c r="N1260" t="str">
        <f>B20_Assessment!H16</f>
        <v>Verify</v>
      </c>
      <c r="O1260" t="str">
        <f>B20_Assessment!I16</f>
        <v>Verify</v>
      </c>
      <c r="P1260" t="str">
        <f>B20_Assessment!J16</f>
        <v>Existing Tel/Data Closet; verify active equipment status, existing open cabinet, indoor AC, ground bar/backboard, floor UPS, pathway and transition/abandonment scope.</v>
      </c>
      <c r="Q1260" t="str">
        <f t="shared" si="19"/>
        <v>20|9</v>
      </c>
    </row>
    <row r="1261" spans="1:17" ht="6.45" customHeight="1">
      <c r="A1261" t="s">
        <v>2756</v>
      </c>
      <c r="B1261">
        <v>10</v>
      </c>
      <c r="C1261" t="s">
        <v>47</v>
      </c>
      <c r="D1261">
        <v>17</v>
      </c>
      <c r="E1261" t="s">
        <v>936</v>
      </c>
      <c r="F1261" t="s">
        <v>5325</v>
      </c>
      <c r="G1261">
        <f>B20_Assessment!A17</f>
        <v>0</v>
      </c>
      <c r="H1261">
        <f>B20_Assessment!B17</f>
        <v>0</v>
      </c>
      <c r="I1261">
        <f>B20_Assessment!C17</f>
        <v>0</v>
      </c>
      <c r="J1261">
        <f>B20_Assessment!D17</f>
        <v>0</v>
      </c>
      <c r="K1261">
        <f>B20_Assessment!E17</f>
        <v>0</v>
      </c>
      <c r="L1261">
        <f>B20_Assessment!F17</f>
        <v>0</v>
      </c>
      <c r="M1261">
        <f>B20_Assessment!G17</f>
        <v>0</v>
      </c>
      <c r="N1261">
        <f>B20_Assessment!H17</f>
        <v>0</v>
      </c>
      <c r="O1261">
        <f>B20_Assessment!I17</f>
        <v>0</v>
      </c>
      <c r="P1261">
        <f>B20_Assessment!J17</f>
        <v>0</v>
      </c>
      <c r="Q1261" t="str">
        <f t="shared" si="19"/>
        <v>20|10</v>
      </c>
    </row>
    <row r="1262" spans="1:17" ht="6.45" customHeight="1">
      <c r="A1262" t="s">
        <v>2756</v>
      </c>
      <c r="B1262">
        <v>11</v>
      </c>
      <c r="C1262" t="s">
        <v>47</v>
      </c>
      <c r="D1262">
        <v>18</v>
      </c>
      <c r="E1262" t="s">
        <v>951</v>
      </c>
      <c r="F1262" t="s">
        <v>5322</v>
      </c>
      <c r="G1262" t="str">
        <f>B20_Assessment!A18</f>
        <v>3. FIRE PROTECTION</v>
      </c>
      <c r="H1262">
        <f>B20_Assessment!B18</f>
        <v>0</v>
      </c>
      <c r="I1262">
        <f>B20_Assessment!C18</f>
        <v>0</v>
      </c>
      <c r="J1262">
        <f>B20_Assessment!D18</f>
        <v>0</v>
      </c>
      <c r="K1262">
        <f>B20_Assessment!E18</f>
        <v>0</v>
      </c>
      <c r="L1262">
        <f>B20_Assessment!F18</f>
        <v>0</v>
      </c>
      <c r="M1262">
        <f>B20_Assessment!G18</f>
        <v>0</v>
      </c>
      <c r="N1262">
        <f>B20_Assessment!H18</f>
        <v>0</v>
      </c>
      <c r="O1262">
        <f>B20_Assessment!I18</f>
        <v>0</v>
      </c>
      <c r="P1262">
        <f>B20_Assessment!J18</f>
        <v>0</v>
      </c>
      <c r="Q1262" t="str">
        <f t="shared" si="19"/>
        <v>20|11</v>
      </c>
    </row>
    <row r="1263" spans="1:17" ht="6.45" customHeight="1">
      <c r="A1263" t="s">
        <v>2756</v>
      </c>
      <c r="B1263">
        <v>12</v>
      </c>
      <c r="C1263" t="s">
        <v>47</v>
      </c>
      <c r="D1263">
        <v>19</v>
      </c>
      <c r="E1263" t="s">
        <v>951</v>
      </c>
      <c r="F1263" t="s">
        <v>5323</v>
      </c>
      <c r="G1263" t="str">
        <f>B20_Assessment!A19</f>
        <v>Room</v>
      </c>
      <c r="H1263" t="str">
        <f>B20_Assessment!B19</f>
        <v>Sprinkler</v>
      </c>
      <c r="I1263" t="str">
        <f>B20_Assessment!C19</f>
        <v>Cage</v>
      </c>
      <c r="J1263" t="str">
        <f>B20_Assessment!D19</f>
        <v>Detector</v>
      </c>
      <c r="K1263" t="str">
        <f>B20_Assessment!E19</f>
        <v>Horn/Strobe</v>
      </c>
      <c r="L1263" t="str">
        <f>B20_Assessment!F19</f>
        <v>Extinguisher &lt;75 ft</v>
      </c>
      <c r="M1263" t="str">
        <f>B20_Assessment!G19</f>
        <v>Firestop</v>
      </c>
      <c r="N1263" t="str">
        <f>B20_Assessment!H19</f>
        <v>Temp Firestop</v>
      </c>
      <c r="O1263" t="str">
        <f>B20_Assessment!I19</f>
        <v>Overall</v>
      </c>
      <c r="P1263" t="str">
        <f>B20_Assessment!J19</f>
        <v>Risk / Notes</v>
      </c>
      <c r="Q1263" t="str">
        <f t="shared" si="19"/>
        <v>20|12</v>
      </c>
    </row>
    <row r="1264" spans="1:17" ht="6.45" customHeight="1">
      <c r="A1264" t="s">
        <v>2756</v>
      </c>
      <c r="B1264">
        <v>13</v>
      </c>
      <c r="C1264" t="s">
        <v>47</v>
      </c>
      <c r="D1264">
        <v>20</v>
      </c>
      <c r="E1264" t="s">
        <v>951</v>
      </c>
      <c r="F1264" t="s">
        <v>5324</v>
      </c>
      <c r="G1264" t="str">
        <f>B20_Assessment!A20</f>
        <v>1B</v>
      </c>
      <c r="H1264" t="str">
        <f>B20_Assessment!B20</f>
        <v>Excluded / Verify</v>
      </c>
      <c r="I1264" t="str">
        <f>B20_Assessment!C20</f>
        <v>N/A</v>
      </c>
      <c r="J1264" t="str">
        <f>B20_Assessment!D20</f>
        <v>Verify Existing</v>
      </c>
      <c r="K1264" t="str">
        <f>B20_Assessment!E20</f>
        <v>Verify Existing</v>
      </c>
      <c r="L1264" t="str">
        <f>B20_Assessment!F20</f>
        <v>N/A / Verify</v>
      </c>
      <c r="M1264" t="str">
        <f>B20_Assessment!G20</f>
        <v>Verify</v>
      </c>
      <c r="N1264" t="str">
        <f>B20_Assessment!H20</f>
        <v>Verify</v>
      </c>
      <c r="O1264" t="str">
        <f>B20_Assessment!I20</f>
        <v>Verify</v>
      </c>
      <c r="P1264" t="str">
        <f>B20_Assessment!J20</f>
        <v>Cover sheet states Building 20 receives a Telecom Enclosure and mechanical/fire protection scope is excluded. Still verify firestopping of rated penetrations, 4-inch sleeve, wall/floor openings, and any life-safety device impacts.</v>
      </c>
      <c r="Q1264" t="str">
        <f t="shared" si="19"/>
        <v>20|13</v>
      </c>
    </row>
    <row r="1265" spans="1:17" ht="6.45" customHeight="1">
      <c r="A1265" t="s">
        <v>2756</v>
      </c>
      <c r="B1265">
        <v>14</v>
      </c>
      <c r="C1265" t="s">
        <v>47</v>
      </c>
      <c r="D1265">
        <v>21</v>
      </c>
      <c r="E1265" t="s">
        <v>951</v>
      </c>
      <c r="F1265" t="s">
        <v>5324</v>
      </c>
      <c r="G1265" t="str">
        <f>B20_Assessment!A21</f>
        <v>8A</v>
      </c>
      <c r="H1265" t="str">
        <f>B20_Assessment!B21</f>
        <v>Existing / Verify</v>
      </c>
      <c r="I1265" t="str">
        <f>B20_Assessment!C21</f>
        <v>N/A</v>
      </c>
      <c r="J1265" t="str">
        <f>B20_Assessment!D21</f>
        <v>Verify Existing</v>
      </c>
      <c r="K1265" t="str">
        <f>B20_Assessment!E21</f>
        <v>Verify Existing</v>
      </c>
      <c r="L1265" t="str">
        <f>B20_Assessment!F21</f>
        <v>N/A / Verify</v>
      </c>
      <c r="M1265" t="str">
        <f>B20_Assessment!G21</f>
        <v>Verify</v>
      </c>
      <c r="N1265" t="str">
        <f>B20_Assessment!H21</f>
        <v>Verify</v>
      </c>
      <c r="O1265" t="str">
        <f>B20_Assessment!I21</f>
        <v>Verify</v>
      </c>
      <c r="P1265" t="str">
        <f>B20_Assessment!J21</f>
        <v>Existing closet; verify protection-in-place and firestopping after cable transfer or reuse.</v>
      </c>
      <c r="Q1265" t="str">
        <f t="shared" si="19"/>
        <v>20|14</v>
      </c>
    </row>
    <row r="1266" spans="1:17" ht="6.45" customHeight="1">
      <c r="A1266" t="s">
        <v>2756</v>
      </c>
      <c r="B1266">
        <v>15</v>
      </c>
      <c r="C1266" t="s">
        <v>47</v>
      </c>
      <c r="D1266">
        <v>22</v>
      </c>
      <c r="E1266" t="s">
        <v>951</v>
      </c>
      <c r="F1266" t="s">
        <v>5325</v>
      </c>
      <c r="G1266">
        <f>B20_Assessment!A22</f>
        <v>0</v>
      </c>
      <c r="H1266">
        <f>B20_Assessment!B22</f>
        <v>0</v>
      </c>
      <c r="I1266">
        <f>B20_Assessment!C22</f>
        <v>0</v>
      </c>
      <c r="J1266">
        <f>B20_Assessment!D22</f>
        <v>0</v>
      </c>
      <c r="K1266">
        <f>B20_Assessment!E22</f>
        <v>0</v>
      </c>
      <c r="L1266">
        <f>B20_Assessment!F22</f>
        <v>0</v>
      </c>
      <c r="M1266">
        <f>B20_Assessment!G22</f>
        <v>0</v>
      </c>
      <c r="N1266">
        <f>B20_Assessment!H22</f>
        <v>0</v>
      </c>
      <c r="O1266">
        <f>B20_Assessment!I22</f>
        <v>0</v>
      </c>
      <c r="P1266">
        <f>B20_Assessment!J22</f>
        <v>0</v>
      </c>
      <c r="Q1266" t="str">
        <f t="shared" si="19"/>
        <v>20|15</v>
      </c>
    </row>
    <row r="1267" spans="1:17" ht="6.45" customHeight="1">
      <c r="A1267" t="s">
        <v>2756</v>
      </c>
      <c r="B1267">
        <v>16</v>
      </c>
      <c r="C1267" t="s">
        <v>47</v>
      </c>
      <c r="D1267">
        <v>23</v>
      </c>
      <c r="E1267" t="s">
        <v>964</v>
      </c>
      <c r="F1267" t="s">
        <v>5322</v>
      </c>
      <c r="G1267" t="str">
        <f>B20_Assessment!A23</f>
        <v>4. HVAC / COOLING</v>
      </c>
      <c r="H1267">
        <f>B20_Assessment!B23</f>
        <v>0</v>
      </c>
      <c r="I1267">
        <f>B20_Assessment!C23</f>
        <v>0</v>
      </c>
      <c r="J1267">
        <f>B20_Assessment!D23</f>
        <v>0</v>
      </c>
      <c r="K1267">
        <f>B20_Assessment!E23</f>
        <v>0</v>
      </c>
      <c r="L1267">
        <f>B20_Assessment!F23</f>
        <v>0</v>
      </c>
      <c r="M1267">
        <f>B20_Assessment!G23</f>
        <v>0</v>
      </c>
      <c r="N1267">
        <f>B20_Assessment!H23</f>
        <v>0</v>
      </c>
      <c r="O1267">
        <f>B20_Assessment!I23</f>
        <v>0</v>
      </c>
      <c r="P1267">
        <f>B20_Assessment!J23</f>
        <v>0</v>
      </c>
      <c r="Q1267" t="str">
        <f t="shared" si="19"/>
        <v>20|16</v>
      </c>
    </row>
    <row r="1268" spans="1:17" ht="6.45" customHeight="1">
      <c r="A1268" t="s">
        <v>2756</v>
      </c>
      <c r="B1268">
        <v>17</v>
      </c>
      <c r="C1268" t="s">
        <v>47</v>
      </c>
      <c r="D1268">
        <v>24</v>
      </c>
      <c r="E1268" t="s">
        <v>964</v>
      </c>
      <c r="F1268" t="s">
        <v>5323</v>
      </c>
      <c r="G1268" t="str">
        <f>B20_Assessment!A24</f>
        <v>Room</v>
      </c>
      <c r="H1268" t="str">
        <f>B20_Assessment!B24</f>
        <v>Dedicated Unit</v>
      </c>
      <c r="I1268" t="str">
        <f>B20_Assessment!C24</f>
        <v>Capacity Verified</v>
      </c>
      <c r="J1268" t="str">
        <f>B20_Assessment!D24</f>
        <v>Emergency Power</v>
      </c>
      <c r="K1268" t="str">
        <f>B20_Assessment!E24</f>
        <v>Controls / BACnet</v>
      </c>
      <c r="L1268" t="str">
        <f>B20_Assessment!F24</f>
        <v>Condensate Routed</v>
      </c>
      <c r="M1268" t="str">
        <f>B20_Assessment!G24</f>
        <v>High Temp Alarm</v>
      </c>
      <c r="N1268" t="str">
        <f>B20_Assessment!H24</f>
        <v>24/7 Operation</v>
      </c>
      <c r="O1268" t="str">
        <f>B20_Assessment!I24</f>
        <v>Overall</v>
      </c>
      <c r="P1268" t="str">
        <f>B20_Assessment!J24</f>
        <v>Risk / Notes</v>
      </c>
      <c r="Q1268" t="str">
        <f t="shared" si="19"/>
        <v>20|17</v>
      </c>
    </row>
    <row r="1269" spans="1:17" ht="6.45" customHeight="1">
      <c r="A1269" t="s">
        <v>2756</v>
      </c>
      <c r="B1269">
        <v>18</v>
      </c>
      <c r="C1269" t="s">
        <v>47</v>
      </c>
      <c r="D1269">
        <v>25</v>
      </c>
      <c r="E1269" t="s">
        <v>964</v>
      </c>
      <c r="F1269" t="s">
        <v>5324</v>
      </c>
      <c r="G1269" t="str">
        <f>B20_Assessment!A25</f>
        <v>1B</v>
      </c>
      <c r="H1269" t="str">
        <f>B20_Assessment!B25</f>
        <v>Excluded</v>
      </c>
      <c r="I1269" t="str">
        <f>B20_Assessment!C25</f>
        <v>N/A</v>
      </c>
      <c r="J1269" t="str">
        <f>B20_Assessment!D25</f>
        <v>N/A</v>
      </c>
      <c r="K1269" t="str">
        <f>B20_Assessment!E25</f>
        <v>N/A</v>
      </c>
      <c r="L1269" t="str">
        <f>B20_Assessment!F25</f>
        <v>N/A</v>
      </c>
      <c r="M1269" t="str">
        <f>B20_Assessment!G25</f>
        <v>N/A</v>
      </c>
      <c r="N1269" t="str">
        <f>B20_Assessment!H25</f>
        <v>N/A</v>
      </c>
      <c r="O1269" t="str">
        <f>B20_Assessment!I25</f>
        <v>N/A</v>
      </c>
      <c r="P1269" t="str">
        <f>B20_Assessment!J25</f>
        <v>Cover sheet states mechanical scope is excluded. Verify whether Office 1B ambient conditions are acceptable for wall-mount TE/UPS/PDU/network equipment.</v>
      </c>
      <c r="Q1269" t="str">
        <f t="shared" si="19"/>
        <v>20|18</v>
      </c>
    </row>
    <row r="1270" spans="1:17" ht="6.45" customHeight="1">
      <c r="A1270" t="s">
        <v>2756</v>
      </c>
      <c r="B1270">
        <v>19</v>
      </c>
      <c r="C1270" t="s">
        <v>47</v>
      </c>
      <c r="D1270">
        <v>26</v>
      </c>
      <c r="E1270" t="s">
        <v>964</v>
      </c>
      <c r="F1270" t="s">
        <v>5324</v>
      </c>
      <c r="G1270" t="str">
        <f>B20_Assessment!A26</f>
        <v>8A</v>
      </c>
      <c r="H1270" t="str">
        <f>B20_Assessment!B26</f>
        <v>Existing indoor AC unit</v>
      </c>
      <c r="I1270" t="str">
        <f>B20_Assessment!C26</f>
        <v>Verify</v>
      </c>
      <c r="J1270" t="str">
        <f>B20_Assessment!D26</f>
        <v>Verify</v>
      </c>
      <c r="K1270" t="str">
        <f>B20_Assessment!E26</f>
        <v>Verify</v>
      </c>
      <c r="L1270" t="str">
        <f>B20_Assessment!F26</f>
        <v>Verify</v>
      </c>
      <c r="M1270" t="str">
        <f>B20_Assessment!G26</f>
        <v>Verify</v>
      </c>
      <c r="N1270" t="str">
        <f>B20_Assessment!H26</f>
        <v>Verify</v>
      </c>
      <c r="O1270" t="str">
        <f>B20_Assessment!I26</f>
        <v>Verify</v>
      </c>
      <c r="P1270" t="str">
        <f>B20_Assessment!J26</f>
        <v>Existing Tel/Data Closet 8A includes indoor AC unit to remain/protect in place; verify operation during cutover and whether equipment remains after transition.</v>
      </c>
      <c r="Q1270" t="str">
        <f t="shared" si="19"/>
        <v>20|19</v>
      </c>
    </row>
    <row r="1271" spans="1:17" ht="6.45" customHeight="1">
      <c r="A1271" t="s">
        <v>2756</v>
      </c>
      <c r="B1271">
        <v>20</v>
      </c>
      <c r="C1271" t="s">
        <v>47</v>
      </c>
      <c r="D1271">
        <v>27</v>
      </c>
      <c r="E1271" t="s">
        <v>964</v>
      </c>
      <c r="F1271" t="s">
        <v>5325</v>
      </c>
      <c r="G1271">
        <f>B20_Assessment!A27</f>
        <v>0</v>
      </c>
      <c r="H1271">
        <f>B20_Assessment!B27</f>
        <v>0</v>
      </c>
      <c r="I1271">
        <f>B20_Assessment!C27</f>
        <v>0</v>
      </c>
      <c r="J1271">
        <f>B20_Assessment!D27</f>
        <v>0</v>
      </c>
      <c r="K1271">
        <f>B20_Assessment!E27</f>
        <v>0</v>
      </c>
      <c r="L1271">
        <f>B20_Assessment!F27</f>
        <v>0</v>
      </c>
      <c r="M1271">
        <f>B20_Assessment!G27</f>
        <v>0</v>
      </c>
      <c r="N1271">
        <f>B20_Assessment!H27</f>
        <v>0</v>
      </c>
      <c r="O1271">
        <f>B20_Assessment!I27</f>
        <v>0</v>
      </c>
      <c r="P1271">
        <f>B20_Assessment!J27</f>
        <v>0</v>
      </c>
      <c r="Q1271" t="str">
        <f t="shared" si="19"/>
        <v>20|20</v>
      </c>
    </row>
    <row r="1272" spans="1:17" ht="6.45" customHeight="1">
      <c r="A1272" t="s">
        <v>2756</v>
      </c>
      <c r="B1272">
        <v>21</v>
      </c>
      <c r="C1272" t="s">
        <v>47</v>
      </c>
      <c r="D1272">
        <v>28</v>
      </c>
      <c r="E1272" t="s">
        <v>977</v>
      </c>
      <c r="F1272" t="s">
        <v>5322</v>
      </c>
      <c r="G1272" t="str">
        <f>B20_Assessment!A28</f>
        <v>5. ELECTRICAL / UPS</v>
      </c>
      <c r="H1272">
        <f>B20_Assessment!B28</f>
        <v>0</v>
      </c>
      <c r="I1272">
        <f>B20_Assessment!C28</f>
        <v>0</v>
      </c>
      <c r="J1272">
        <f>B20_Assessment!D28</f>
        <v>0</v>
      </c>
      <c r="K1272">
        <f>B20_Assessment!E28</f>
        <v>0</v>
      </c>
      <c r="L1272">
        <f>B20_Assessment!F28</f>
        <v>0</v>
      </c>
      <c r="M1272">
        <f>B20_Assessment!G28</f>
        <v>0</v>
      </c>
      <c r="N1272">
        <f>B20_Assessment!H28</f>
        <v>0</v>
      </c>
      <c r="O1272">
        <f>B20_Assessment!I28</f>
        <v>0</v>
      </c>
      <c r="P1272">
        <f>B20_Assessment!J28</f>
        <v>0</v>
      </c>
      <c r="Q1272" t="str">
        <f t="shared" si="19"/>
        <v>20|21</v>
      </c>
    </row>
    <row r="1273" spans="1:17" ht="6.45" customHeight="1">
      <c r="A1273" t="s">
        <v>2756</v>
      </c>
      <c r="B1273">
        <v>22</v>
      </c>
      <c r="C1273" t="s">
        <v>47</v>
      </c>
      <c r="D1273">
        <v>29</v>
      </c>
      <c r="E1273" t="s">
        <v>977</v>
      </c>
      <c r="F1273" t="s">
        <v>5323</v>
      </c>
      <c r="G1273" t="str">
        <f>B20_Assessment!A29</f>
        <v>Room</v>
      </c>
      <c r="H1273" t="str">
        <f>B20_Assessment!B29</f>
        <v>UPS Installed</v>
      </c>
      <c r="I1273" t="str">
        <f>B20_Assessment!C29</f>
        <v>UPS Size</v>
      </c>
      <c r="J1273" t="str">
        <f>B20_Assessment!D29</f>
        <v>PDU Installed</v>
      </c>
      <c r="K1273" t="str">
        <f>B20_Assessment!E29</f>
        <v>Rack Receptacles</v>
      </c>
      <c r="L1273" t="str">
        <f>B20_Assessment!F29</f>
        <v>Panel Assigned</v>
      </c>
      <c r="M1273" t="str">
        <f>B20_Assessment!G29</f>
        <v>Emergency Source</v>
      </c>
      <c r="N1273" t="str">
        <f>B20_Assessment!H29</f>
        <v>SPD / Labeling</v>
      </c>
      <c r="O1273" t="str">
        <f>B20_Assessment!I29</f>
        <v>Overall</v>
      </c>
      <c r="P1273" t="str">
        <f>B20_Assessment!J29</f>
        <v>Notes</v>
      </c>
      <c r="Q1273" t="str">
        <f t="shared" si="19"/>
        <v>20|22</v>
      </c>
    </row>
    <row r="1274" spans="1:17" ht="6.45" customHeight="1">
      <c r="A1274" t="s">
        <v>2756</v>
      </c>
      <c r="B1274">
        <v>23</v>
      </c>
      <c r="C1274" t="s">
        <v>47</v>
      </c>
      <c r="D1274">
        <v>30</v>
      </c>
      <c r="E1274" t="s">
        <v>977</v>
      </c>
      <c r="F1274" t="s">
        <v>5324</v>
      </c>
      <c r="G1274" t="str">
        <f>B20_Assessment!A30</f>
        <v>1B</v>
      </c>
      <c r="H1274" t="str">
        <f>B20_Assessment!B30</f>
        <v>Verify</v>
      </c>
      <c r="I1274" t="str">
        <f>B20_Assessment!C30</f>
        <v>APC UPS / TE enclosure</v>
      </c>
      <c r="J1274" t="str">
        <f>B20_Assessment!D30</f>
        <v>Verify</v>
      </c>
      <c r="K1274" t="str">
        <f>B20_Assessment!E30</f>
        <v>Verify</v>
      </c>
      <c r="L1274" t="str">
        <f>B20_Assessment!F30</f>
        <v>20E-101 / 20E-601 source to verify</v>
      </c>
      <c r="M1274" t="str">
        <f>B20_Assessment!G30</f>
        <v>Verify</v>
      </c>
      <c r="N1274" t="str">
        <f>B20_Assessment!H30</f>
        <v>Verify</v>
      </c>
      <c r="O1274" t="str">
        <f>B20_Assessment!I30</f>
        <v>Verify</v>
      </c>
      <c r="P1274" t="str">
        <f>B20_Assessment!J30</f>
        <v>20T-701 new enclosure elevation shows APC UPS, two PDU L5-30 input / NEMA 5-20 output units, 120V outlet UPS, 120V outlet PDU, network switch, 48-port Cat6A patch panel and Fiber LIU. Verify circuit source, receptacle type, grounding/bonding and labels.</v>
      </c>
      <c r="Q1274" t="str">
        <f t="shared" si="19"/>
        <v>20|23</v>
      </c>
    </row>
    <row r="1275" spans="1:17" ht="6.45" customHeight="1">
      <c r="A1275" t="s">
        <v>2756</v>
      </c>
      <c r="B1275">
        <v>24</v>
      </c>
      <c r="C1275" t="s">
        <v>47</v>
      </c>
      <c r="D1275">
        <v>31</v>
      </c>
      <c r="E1275" t="s">
        <v>977</v>
      </c>
      <c r="F1275" t="s">
        <v>5324</v>
      </c>
      <c r="G1275" t="str">
        <f>B20_Assessment!A31</f>
        <v>8A</v>
      </c>
      <c r="H1275" t="str">
        <f>B20_Assessment!B31</f>
        <v>Existing</v>
      </c>
      <c r="I1275" t="str">
        <f>B20_Assessment!C31</f>
        <v>Existing floor UPS</v>
      </c>
      <c r="J1275" t="str">
        <f>B20_Assessment!D31</f>
        <v>Existing</v>
      </c>
      <c r="K1275" t="str">
        <f>B20_Assessment!E31</f>
        <v>Verify</v>
      </c>
      <c r="L1275" t="str">
        <f>B20_Assessment!F31</f>
        <v>Existing / Verify</v>
      </c>
      <c r="M1275" t="str">
        <f>B20_Assessment!G31</f>
        <v>Verify</v>
      </c>
      <c r="N1275" t="str">
        <f>B20_Assessment!H31</f>
        <v>Verify</v>
      </c>
      <c r="O1275" t="str">
        <f>B20_Assessment!I31</f>
        <v>Verify</v>
      </c>
      <c r="P1275" t="str">
        <f>B20_Assessment!J31</f>
        <v>Existing 8A elevation shows UPS on ground, legacy patch equipment and Fiber LIU on wall; verify source circuits, UPS status, and transition requirements before disconnect/removal.</v>
      </c>
      <c r="Q1275" t="str">
        <f t="shared" si="19"/>
        <v>20|24</v>
      </c>
    </row>
    <row r="1276" spans="1:17" ht="6.45" customHeight="1">
      <c r="A1276" t="s">
        <v>2756</v>
      </c>
      <c r="B1276">
        <v>25</v>
      </c>
      <c r="C1276" t="s">
        <v>47</v>
      </c>
      <c r="D1276">
        <v>32</v>
      </c>
      <c r="E1276" t="s">
        <v>977</v>
      </c>
      <c r="F1276" t="s">
        <v>5325</v>
      </c>
      <c r="G1276">
        <f>B20_Assessment!A32</f>
        <v>0</v>
      </c>
      <c r="H1276">
        <f>B20_Assessment!B32</f>
        <v>0</v>
      </c>
      <c r="I1276">
        <f>B20_Assessment!C32</f>
        <v>0</v>
      </c>
      <c r="J1276">
        <f>B20_Assessment!D32</f>
        <v>0</v>
      </c>
      <c r="K1276">
        <f>B20_Assessment!E32</f>
        <v>0</v>
      </c>
      <c r="L1276">
        <f>B20_Assessment!F32</f>
        <v>0</v>
      </c>
      <c r="M1276">
        <f>B20_Assessment!G32</f>
        <v>0</v>
      </c>
      <c r="N1276">
        <f>B20_Assessment!H32</f>
        <v>0</v>
      </c>
      <c r="O1276">
        <f>B20_Assessment!I32</f>
        <v>0</v>
      </c>
      <c r="P1276">
        <f>B20_Assessment!J32</f>
        <v>0</v>
      </c>
      <c r="Q1276" t="str">
        <f t="shared" si="19"/>
        <v>20|25</v>
      </c>
    </row>
    <row r="1277" spans="1:17" ht="6.45" customHeight="1">
      <c r="A1277" t="s">
        <v>2756</v>
      </c>
      <c r="B1277">
        <v>26</v>
      </c>
      <c r="C1277" t="s">
        <v>47</v>
      </c>
      <c r="D1277">
        <v>33</v>
      </c>
      <c r="E1277" t="s">
        <v>994</v>
      </c>
      <c r="F1277" t="s">
        <v>5322</v>
      </c>
      <c r="G1277" t="str">
        <f>B20_Assessment!A33</f>
        <v>6. TELECOMMUNICATIONS</v>
      </c>
      <c r="H1277">
        <f>B20_Assessment!B33</f>
        <v>0</v>
      </c>
      <c r="I1277">
        <f>B20_Assessment!C33</f>
        <v>0</v>
      </c>
      <c r="J1277">
        <f>B20_Assessment!D33</f>
        <v>0</v>
      </c>
      <c r="K1277">
        <f>B20_Assessment!E33</f>
        <v>0</v>
      </c>
      <c r="L1277">
        <f>B20_Assessment!F33</f>
        <v>0</v>
      </c>
      <c r="M1277">
        <f>B20_Assessment!G33</f>
        <v>0</v>
      </c>
      <c r="N1277">
        <f>B20_Assessment!H33</f>
        <v>0</v>
      </c>
      <c r="O1277">
        <f>B20_Assessment!I33</f>
        <v>0</v>
      </c>
      <c r="P1277">
        <f>B20_Assessment!J33</f>
        <v>0</v>
      </c>
      <c r="Q1277" t="str">
        <f t="shared" si="19"/>
        <v>20|26</v>
      </c>
    </row>
    <row r="1278" spans="1:17" ht="6.45" customHeight="1">
      <c r="A1278" t="s">
        <v>2756</v>
      </c>
      <c r="B1278">
        <v>27</v>
      </c>
      <c r="C1278" t="s">
        <v>47</v>
      </c>
      <c r="D1278">
        <v>34</v>
      </c>
      <c r="E1278" t="s">
        <v>994</v>
      </c>
      <c r="F1278" t="s">
        <v>5323</v>
      </c>
      <c r="G1278" t="str">
        <f>B20_Assessment!A34</f>
        <v>Room</v>
      </c>
      <c r="H1278" t="str">
        <f>B20_Assessment!B34</f>
        <v>Rack Installed</v>
      </c>
      <c r="I1278" t="str">
        <f>B20_Assessment!C34</f>
        <v>Ladder Tray</v>
      </c>
      <c r="J1278" t="str">
        <f>B20_Assessment!D34</f>
        <v>Fiber Installed</v>
      </c>
      <c r="K1278" t="str">
        <f>B20_Assessment!E34</f>
        <v>Grounding</v>
      </c>
      <c r="L1278" t="str">
        <f>B20_Assessment!F34</f>
        <v>Labeling</v>
      </c>
      <c r="M1278" t="str">
        <f>B20_Assessment!G34</f>
        <v>Testing</v>
      </c>
      <c r="N1278" t="str">
        <f>B20_Assessment!H34</f>
        <v>VA Acceptance</v>
      </c>
      <c r="O1278" t="str">
        <f>B20_Assessment!I34</f>
        <v>Overall</v>
      </c>
      <c r="P1278" t="str">
        <f>B20_Assessment!J34</f>
        <v>Notes</v>
      </c>
      <c r="Q1278" t="str">
        <f t="shared" si="19"/>
        <v>20|27</v>
      </c>
    </row>
    <row r="1279" spans="1:17" ht="6.45" customHeight="1">
      <c r="A1279" t="s">
        <v>2756</v>
      </c>
      <c r="B1279">
        <v>28</v>
      </c>
      <c r="C1279" t="s">
        <v>47</v>
      </c>
      <c r="D1279">
        <v>35</v>
      </c>
      <c r="E1279" t="s">
        <v>994</v>
      </c>
      <c r="F1279" t="s">
        <v>5324</v>
      </c>
      <c r="G1279" t="str">
        <f>B20_Assessment!A35</f>
        <v>1B</v>
      </c>
      <c r="H1279" t="str">
        <f>B20_Assessment!B35</f>
        <v>Verify</v>
      </c>
      <c r="I1279" t="str">
        <f>B20_Assessment!C35</f>
        <v>Verify</v>
      </c>
      <c r="J1279" t="str">
        <f>B20_Assessment!D35</f>
        <v>Verify</v>
      </c>
      <c r="K1279" t="str">
        <f>B20_Assessment!E35</f>
        <v>Verify</v>
      </c>
      <c r="L1279" t="str">
        <f>B20_Assessment!F35</f>
        <v>Verify</v>
      </c>
      <c r="M1279" t="str">
        <f>B20_Assessment!G35</f>
        <v>Verify</v>
      </c>
      <c r="N1279" t="str">
        <f>B20_Assessment!H35</f>
        <v>Verify</v>
      </c>
      <c r="O1279" t="str">
        <f>B20_Assessment!I35</f>
        <v>Verify</v>
      </c>
      <c r="P1279" t="str">
        <f>B20_Assessment!J35</f>
        <v>20T-701 identifies TE01-1B-1: 21 WAO total, 24 active ports per survey, 30 ports per schedule, 33 total ports with 10% allowance. Provide new wall-mount TE cabinet and 10 new Cat6A cross-connect cables from existing TE to new TE location.</v>
      </c>
      <c r="Q1279" t="str">
        <f t="shared" si="19"/>
        <v>20|28</v>
      </c>
    </row>
    <row r="1280" spans="1:17" ht="6.45" customHeight="1">
      <c r="A1280" t="s">
        <v>2756</v>
      </c>
      <c r="B1280">
        <v>29</v>
      </c>
      <c r="C1280" t="s">
        <v>47</v>
      </c>
      <c r="D1280">
        <v>36</v>
      </c>
      <c r="E1280" t="s">
        <v>994</v>
      </c>
      <c r="F1280" t="s">
        <v>5324</v>
      </c>
      <c r="G1280" t="str">
        <f>B20_Assessment!A36</f>
        <v>8A</v>
      </c>
      <c r="H1280" t="str">
        <f>B20_Assessment!B36</f>
        <v>Existing</v>
      </c>
      <c r="I1280" t="str">
        <f>B20_Assessment!C36</f>
        <v>Existing</v>
      </c>
      <c r="J1280" t="str">
        <f>B20_Assessment!D36</f>
        <v>Existing</v>
      </c>
      <c r="K1280" t="str">
        <f>B20_Assessment!E36</f>
        <v>Verify</v>
      </c>
      <c r="L1280" t="str">
        <f>B20_Assessment!F36</f>
        <v>Verify</v>
      </c>
      <c r="M1280" t="str">
        <f>B20_Assessment!G36</f>
        <v>Verify</v>
      </c>
      <c r="N1280" t="str">
        <f>B20_Assessment!H36</f>
        <v>Verify</v>
      </c>
      <c r="O1280" t="str">
        <f>B20_Assessment!I36</f>
        <v>Verify</v>
      </c>
      <c r="P1280" t="str">
        <f>B20_Assessment!J36</f>
        <v>Existing Tel/Data Closet 8A contains open TE cabinet, ground bar, patch panel, equipment box, indoor AC unit, plywood backboard, BIX blocks, Cisco switch, legacy 48-port patch panel and Fiber LIU. Field verify all active services.</v>
      </c>
      <c r="Q1280" t="str">
        <f t="shared" si="19"/>
        <v>20|29</v>
      </c>
    </row>
    <row r="1281" spans="1:17" ht="6.45" customHeight="1">
      <c r="A1281" t="s">
        <v>2756</v>
      </c>
      <c r="B1281">
        <v>30</v>
      </c>
      <c r="C1281" t="s">
        <v>47</v>
      </c>
      <c r="D1281">
        <v>37</v>
      </c>
      <c r="E1281" t="s">
        <v>994</v>
      </c>
      <c r="F1281" t="s">
        <v>5325</v>
      </c>
      <c r="G1281">
        <f>B20_Assessment!A37</f>
        <v>0</v>
      </c>
      <c r="H1281">
        <f>B20_Assessment!B37</f>
        <v>0</v>
      </c>
      <c r="I1281">
        <f>B20_Assessment!C37</f>
        <v>0</v>
      </c>
      <c r="J1281">
        <f>B20_Assessment!D37</f>
        <v>0</v>
      </c>
      <c r="K1281">
        <f>B20_Assessment!E37</f>
        <v>0</v>
      </c>
      <c r="L1281">
        <f>B20_Assessment!F37</f>
        <v>0</v>
      </c>
      <c r="M1281">
        <f>B20_Assessment!G37</f>
        <v>0</v>
      </c>
      <c r="N1281">
        <f>B20_Assessment!H37</f>
        <v>0</v>
      </c>
      <c r="O1281">
        <f>B20_Assessment!I37</f>
        <v>0</v>
      </c>
      <c r="P1281">
        <f>B20_Assessment!J37</f>
        <v>0</v>
      </c>
      <c r="Q1281" t="str">
        <f t="shared" si="19"/>
        <v>20|30</v>
      </c>
    </row>
    <row r="1282" spans="1:17" ht="6.45" customHeight="1">
      <c r="A1282" t="s">
        <v>2756</v>
      </c>
      <c r="B1282">
        <v>31</v>
      </c>
      <c r="C1282" t="s">
        <v>47</v>
      </c>
      <c r="D1282">
        <v>38</v>
      </c>
      <c r="E1282" t="s">
        <v>1007</v>
      </c>
      <c r="F1282" t="s">
        <v>5322</v>
      </c>
      <c r="G1282" t="str">
        <f>B20_Assessment!A38</f>
        <v>7. SECURITY / PACS / CCTV</v>
      </c>
      <c r="H1282">
        <f>B20_Assessment!B38</f>
        <v>0</v>
      </c>
      <c r="I1282">
        <f>B20_Assessment!C38</f>
        <v>0</v>
      </c>
      <c r="J1282">
        <f>B20_Assessment!D38</f>
        <v>0</v>
      </c>
      <c r="K1282">
        <f>B20_Assessment!E38</f>
        <v>0</v>
      </c>
      <c r="L1282">
        <f>B20_Assessment!F38</f>
        <v>0</v>
      </c>
      <c r="M1282">
        <f>B20_Assessment!G38</f>
        <v>0</v>
      </c>
      <c r="N1282">
        <f>B20_Assessment!H38</f>
        <v>0</v>
      </c>
      <c r="O1282">
        <f>B20_Assessment!I38</f>
        <v>0</v>
      </c>
      <c r="P1282">
        <f>B20_Assessment!J38</f>
        <v>0</v>
      </c>
      <c r="Q1282" t="str">
        <f t="shared" ref="Q1282:Q1345" si="20">A1282&amp;"|"&amp;B1282</f>
        <v>20|31</v>
      </c>
    </row>
    <row r="1283" spans="1:17" ht="6.45" customHeight="1">
      <c r="A1283" t="s">
        <v>2756</v>
      </c>
      <c r="B1283">
        <v>32</v>
      </c>
      <c r="C1283" t="s">
        <v>47</v>
      </c>
      <c r="D1283">
        <v>39</v>
      </c>
      <c r="E1283" t="s">
        <v>1007</v>
      </c>
      <c r="F1283" t="s">
        <v>5323</v>
      </c>
      <c r="G1283" t="str">
        <f>B20_Assessment!A39</f>
        <v>Room</v>
      </c>
      <c r="H1283" t="str">
        <f>B20_Assessment!B39</f>
        <v>PACS</v>
      </c>
      <c r="I1283" t="str">
        <f>B20_Assessment!C39</f>
        <v>Card Reader</v>
      </c>
      <c r="J1283" t="str">
        <f>B20_Assessment!D39</f>
        <v>Door Position</v>
      </c>
      <c r="K1283" t="str">
        <f>B20_Assessment!E39</f>
        <v>Electric Strike</v>
      </c>
      <c r="L1283" t="str">
        <f>B20_Assessment!F39</f>
        <v>CCTV</v>
      </c>
      <c r="M1283" t="str">
        <f>B20_Assessment!G39</f>
        <v>Motion Sensor</v>
      </c>
      <c r="N1283" t="str">
        <f>B20_Assessment!H39</f>
        <v>Integration</v>
      </c>
      <c r="O1283" t="str">
        <f>B20_Assessment!I39</f>
        <v>Overall</v>
      </c>
      <c r="P1283" t="str">
        <f>B20_Assessment!J39</f>
        <v>Notes</v>
      </c>
      <c r="Q1283" t="str">
        <f t="shared" si="20"/>
        <v>20|32</v>
      </c>
    </row>
    <row r="1284" spans="1:17" ht="6.45" customHeight="1">
      <c r="A1284" t="s">
        <v>2756</v>
      </c>
      <c r="B1284">
        <v>33</v>
      </c>
      <c r="C1284" t="s">
        <v>47</v>
      </c>
      <c r="D1284">
        <v>40</v>
      </c>
      <c r="E1284" t="s">
        <v>1007</v>
      </c>
      <c r="F1284" t="s">
        <v>5324</v>
      </c>
      <c r="G1284" t="str">
        <f>B20_Assessment!A40</f>
        <v>1B</v>
      </c>
      <c r="H1284" t="str">
        <f>B20_Assessment!B40</f>
        <v>N/A / Verify</v>
      </c>
      <c r="I1284" t="str">
        <f>B20_Assessment!C40</f>
        <v>N/A / Verify</v>
      </c>
      <c r="J1284" t="str">
        <f>B20_Assessment!D40</f>
        <v>N/A / Verify</v>
      </c>
      <c r="K1284" t="str">
        <f>B20_Assessment!E40</f>
        <v>N/A / Verify</v>
      </c>
      <c r="L1284" t="str">
        <f>B20_Assessment!F40</f>
        <v>Verify Existing</v>
      </c>
      <c r="M1284" t="str">
        <f>B20_Assessment!G40</f>
        <v>Verify Existing</v>
      </c>
      <c r="N1284" t="str">
        <f>B20_Assessment!H40</f>
        <v>Verify</v>
      </c>
      <c r="O1284" t="str">
        <f>B20_Assessment!I40</f>
        <v>Verify</v>
      </c>
      <c r="P1284" t="str">
        <f>B20_Assessment!J40</f>
        <v>Building 20 does not appear to create a new TR door/PACS package. Verify any existing cameras/security devices in Office 1B and ensure no camera angle or VMS integration is disrupted.</v>
      </c>
      <c r="Q1284" t="str">
        <f t="shared" si="20"/>
        <v>20|33</v>
      </c>
    </row>
    <row r="1285" spans="1:17" ht="6.45" customHeight="1">
      <c r="A1285" t="s">
        <v>2756</v>
      </c>
      <c r="B1285">
        <v>34</v>
      </c>
      <c r="C1285" t="s">
        <v>47</v>
      </c>
      <c r="D1285">
        <v>41</v>
      </c>
      <c r="E1285" t="s">
        <v>1007</v>
      </c>
      <c r="F1285" t="s">
        <v>5324</v>
      </c>
      <c r="G1285" t="str">
        <f>B20_Assessment!A41</f>
        <v>8A</v>
      </c>
      <c r="H1285" t="str">
        <f>B20_Assessment!B41</f>
        <v>N/A / Verify</v>
      </c>
      <c r="I1285" t="str">
        <f>B20_Assessment!C41</f>
        <v>N/A / Verify</v>
      </c>
      <c r="J1285" t="str">
        <f>B20_Assessment!D41</f>
        <v>N/A / Verify</v>
      </c>
      <c r="K1285" t="str">
        <f>B20_Assessment!E41</f>
        <v>N/A / Verify</v>
      </c>
      <c r="L1285" t="str">
        <f>B20_Assessment!F41</f>
        <v>Verify Existing</v>
      </c>
      <c r="M1285" t="str">
        <f>B20_Assessment!G41</f>
        <v>Verify Existing</v>
      </c>
      <c r="N1285" t="str">
        <f>B20_Assessment!H41</f>
        <v>Verify</v>
      </c>
      <c r="O1285" t="str">
        <f>B20_Assessment!I41</f>
        <v>Verify</v>
      </c>
      <c r="P1285" t="str">
        <f>B20_Assessment!J41</f>
        <v>Keynotes indicate existing cameras are to be retained and re-used/protected in place; verify existing security equipment and cabinet impacts during cutover.</v>
      </c>
      <c r="Q1285" t="str">
        <f t="shared" si="20"/>
        <v>20|34</v>
      </c>
    </row>
    <row r="1286" spans="1:17" ht="6.45" customHeight="1">
      <c r="A1286" t="s">
        <v>2756</v>
      </c>
      <c r="B1286">
        <v>35</v>
      </c>
      <c r="C1286" t="s">
        <v>47</v>
      </c>
      <c r="D1286">
        <v>42</v>
      </c>
      <c r="E1286" t="s">
        <v>1007</v>
      </c>
      <c r="F1286" t="s">
        <v>5325</v>
      </c>
      <c r="G1286">
        <f>B20_Assessment!A42</f>
        <v>0</v>
      </c>
      <c r="H1286">
        <f>B20_Assessment!B42</f>
        <v>0</v>
      </c>
      <c r="I1286">
        <f>B20_Assessment!C42</f>
        <v>0</v>
      </c>
      <c r="J1286">
        <f>B20_Assessment!D42</f>
        <v>0</v>
      </c>
      <c r="K1286">
        <f>B20_Assessment!E42</f>
        <v>0</v>
      </c>
      <c r="L1286">
        <f>B20_Assessment!F42</f>
        <v>0</v>
      </c>
      <c r="M1286">
        <f>B20_Assessment!G42</f>
        <v>0</v>
      </c>
      <c r="N1286">
        <f>B20_Assessment!H42</f>
        <v>0</v>
      </c>
      <c r="O1286">
        <f>B20_Assessment!I42</f>
        <v>0</v>
      </c>
      <c r="P1286">
        <f>B20_Assessment!J42</f>
        <v>0</v>
      </c>
      <c r="Q1286" t="str">
        <f t="shared" si="20"/>
        <v>20|35</v>
      </c>
    </row>
    <row r="1287" spans="1:17" ht="6.45" customHeight="1">
      <c r="A1287" t="s">
        <v>2756</v>
      </c>
      <c r="B1287">
        <v>36</v>
      </c>
      <c r="C1287" t="s">
        <v>47</v>
      </c>
      <c r="D1287">
        <v>43</v>
      </c>
      <c r="E1287" t="s">
        <v>1019</v>
      </c>
      <c r="F1287" t="s">
        <v>5322</v>
      </c>
      <c r="G1287" t="str">
        <f>B20_Assessment!A43</f>
        <v>8. OWNER RISKS</v>
      </c>
      <c r="H1287">
        <f>B20_Assessment!B43</f>
        <v>0</v>
      </c>
      <c r="I1287">
        <f>B20_Assessment!C43</f>
        <v>0</v>
      </c>
      <c r="J1287">
        <f>B20_Assessment!D43</f>
        <v>0</v>
      </c>
      <c r="K1287">
        <f>B20_Assessment!E43</f>
        <v>0</v>
      </c>
      <c r="L1287">
        <f>B20_Assessment!F43</f>
        <v>0</v>
      </c>
      <c r="M1287">
        <f>B20_Assessment!G43</f>
        <v>0</v>
      </c>
      <c r="N1287">
        <f>B20_Assessment!H43</f>
        <v>0</v>
      </c>
      <c r="O1287">
        <f>B20_Assessment!I43</f>
        <v>0</v>
      </c>
      <c r="P1287">
        <f>B20_Assessment!J43</f>
        <v>0</v>
      </c>
      <c r="Q1287" t="str">
        <f t="shared" si="20"/>
        <v>20|36</v>
      </c>
    </row>
    <row r="1288" spans="1:17" ht="6.45" customHeight="1">
      <c r="A1288" t="s">
        <v>2756</v>
      </c>
      <c r="B1288">
        <v>37</v>
      </c>
      <c r="C1288" t="s">
        <v>47</v>
      </c>
      <c r="D1288">
        <v>44</v>
      </c>
      <c r="E1288" t="s">
        <v>1019</v>
      </c>
      <c r="F1288" t="s">
        <v>5323</v>
      </c>
      <c r="G1288" t="str">
        <f>B20_Assessment!A44</f>
        <v>Risk ID</v>
      </c>
      <c r="H1288" t="str">
        <f>B20_Assessment!B44</f>
        <v>Room</v>
      </c>
      <c r="I1288" t="str">
        <f>B20_Assessment!C44</f>
        <v>Risk</v>
      </c>
      <c r="J1288" t="str">
        <f>B20_Assessment!D44</f>
        <v>Impact</v>
      </c>
      <c r="K1288" t="str">
        <f>B20_Assessment!E44</f>
        <v>Probability</v>
      </c>
      <c r="L1288" t="str">
        <f>B20_Assessment!F44</f>
        <v>Score</v>
      </c>
      <c r="M1288" t="str">
        <f>B20_Assessment!G44</f>
        <v>Mitigation</v>
      </c>
      <c r="N1288" t="str">
        <f>B20_Assessment!H44</f>
        <v>Owner</v>
      </c>
      <c r="O1288" t="str">
        <f>B20_Assessment!I44</f>
        <v>Status</v>
      </c>
      <c r="P1288" t="str">
        <f>B20_Assessment!J44</f>
        <v>Notes</v>
      </c>
      <c r="Q1288" t="str">
        <f t="shared" si="20"/>
        <v>20|37</v>
      </c>
    </row>
    <row r="1289" spans="1:17" ht="6.45" customHeight="1">
      <c r="A1289" t="s">
        <v>2756</v>
      </c>
      <c r="B1289">
        <v>38</v>
      </c>
      <c r="C1289" t="s">
        <v>47</v>
      </c>
      <c r="D1289">
        <v>45</v>
      </c>
      <c r="E1289" t="s">
        <v>1019</v>
      </c>
      <c r="F1289" t="s">
        <v>5324</v>
      </c>
      <c r="G1289" t="str">
        <f>B20_Assessment!A45</f>
        <v>B20-R1</v>
      </c>
      <c r="H1289" t="str">
        <f>B20_Assessment!B45</f>
        <v>All</v>
      </c>
      <c r="I1289" t="str">
        <f>B20_Assessment!C45</f>
        <v>Existing conditions for new Office 1B TE and existing Tel/Data Closet 8A not field verified</v>
      </c>
      <c r="J1289" t="str">
        <f>B20_Assessment!D45</f>
        <v>High</v>
      </c>
      <c r="K1289" t="str">
        <f>B20_Assessment!E45</f>
        <v>Medium</v>
      </c>
      <c r="L1289">
        <f>B20_Assessment!F45</f>
        <v>6</v>
      </c>
      <c r="M1289" t="str">
        <f>B20_Assessment!G45</f>
        <v>Perform existing conditions survey with photos before mobilization</v>
      </c>
      <c r="N1289" t="str">
        <f>B20_Assessment!H45</f>
        <v>GCC / Contractor</v>
      </c>
      <c r="O1289" t="str">
        <f>B20_Assessment!I45</f>
        <v>Closed</v>
      </c>
      <c r="P1289" t="str">
        <f>B20_Assessment!J45</f>
        <v>B20 has a compact TE scope but still depends on field conditions and existing equipment transfer.</v>
      </c>
      <c r="Q1289" t="str">
        <f t="shared" si="20"/>
        <v>20|38</v>
      </c>
    </row>
    <row r="1290" spans="1:17" ht="6.45" customHeight="1">
      <c r="A1290" t="s">
        <v>2756</v>
      </c>
      <c r="B1290">
        <v>39</v>
      </c>
      <c r="C1290" t="s">
        <v>47</v>
      </c>
      <c r="D1290">
        <v>46</v>
      </c>
      <c r="E1290" t="s">
        <v>1019</v>
      </c>
      <c r="F1290" t="s">
        <v>5324</v>
      </c>
      <c r="G1290" t="str">
        <f>B20_Assessment!A46</f>
        <v>B20-R2</v>
      </c>
      <c r="H1290" t="str">
        <f>B20_Assessment!B46</f>
        <v>1B/8A</v>
      </c>
      <c r="I1290" t="str">
        <f>B20_Assessment!C46</f>
        <v>Existing equipment in 8A may remain active during transfer to new TE in 1B</v>
      </c>
      <c r="J1290" t="str">
        <f>B20_Assessment!D46</f>
        <v>Critical</v>
      </c>
      <c r="K1290" t="str">
        <f>B20_Assessment!E46</f>
        <v>Medium</v>
      </c>
      <c r="L1290">
        <f>B20_Assessment!F46</f>
        <v>8</v>
      </c>
      <c r="M1290" t="str">
        <f>B20_Assessment!G46</f>
        <v>Document active services, protect in place, identify OIT cutover windows, phasing, rollback path and temporary utilities</v>
      </c>
      <c r="N1290" t="str">
        <f>B20_Assessment!H46</f>
        <v>Telecom / OIT</v>
      </c>
      <c r="O1290" t="str">
        <f>B20_Assessment!I46</f>
        <v>Closed</v>
      </c>
      <c r="P1290" t="str">
        <f>B20_Assessment!J46</f>
        <v>20T-101 keynotes require transfer of existing devices and phasing plan.</v>
      </c>
      <c r="Q1290" t="str">
        <f t="shared" si="20"/>
        <v>20|39</v>
      </c>
    </row>
    <row r="1291" spans="1:17" ht="6.45" customHeight="1">
      <c r="A1291" t="s">
        <v>2756</v>
      </c>
      <c r="B1291">
        <v>40</v>
      </c>
      <c r="C1291" t="s">
        <v>47</v>
      </c>
      <c r="D1291">
        <v>47</v>
      </c>
      <c r="E1291" t="s">
        <v>1019</v>
      </c>
      <c r="F1291" t="s">
        <v>5324</v>
      </c>
      <c r="G1291" t="str">
        <f>B20_Assessment!A47</f>
        <v>B20-R3</v>
      </c>
      <c r="H1291" t="str">
        <f>B20_Assessment!B47</f>
        <v>1B</v>
      </c>
      <c r="I1291" t="str">
        <f>B20_Assessment!C47</f>
        <v>Room naming and TE designation could cause PMIS mapping confusion</v>
      </c>
      <c r="J1291" t="str">
        <f>B20_Assessment!D47</f>
        <v>Medium</v>
      </c>
      <c r="K1291" t="str">
        <f>B20_Assessment!E47</f>
        <v>Medium</v>
      </c>
      <c r="L1291">
        <f>B20_Assessment!F47</f>
        <v>4</v>
      </c>
      <c r="M1291" t="str">
        <f>B20_Assessment!G47</f>
        <v>Track as Building 20 / Office 1B / TE01-1B-1 and link existing Room 8A as transition point</v>
      </c>
      <c r="N1291" t="str">
        <f>B20_Assessment!H47</f>
        <v>GCC / VA</v>
      </c>
      <c r="O1291" t="str">
        <f>B20_Assessment!I47</f>
        <v>Closed</v>
      </c>
      <c r="P1291" t="str">
        <f>B20_Assessment!J47</f>
        <v>Schedule is Office 1B and rack ID TE01-1B-1; existing telecom room is 8A.</v>
      </c>
      <c r="Q1291" t="str">
        <f t="shared" si="20"/>
        <v>20|40</v>
      </c>
    </row>
    <row r="1292" spans="1:17" ht="6.45" customHeight="1">
      <c r="A1292" t="s">
        <v>2756</v>
      </c>
      <c r="B1292">
        <v>41</v>
      </c>
      <c r="C1292" t="s">
        <v>47</v>
      </c>
      <c r="D1292">
        <v>48</v>
      </c>
      <c r="E1292" t="s">
        <v>1019</v>
      </c>
      <c r="F1292" t="s">
        <v>5324</v>
      </c>
      <c r="G1292" t="str">
        <f>B20_Assessment!A48</f>
        <v>B20-R4</v>
      </c>
      <c r="H1292" t="str">
        <f>B20_Assessment!B48</f>
        <v>1B</v>
      </c>
      <c r="I1292" t="str">
        <f>B20_Assessment!C48</f>
        <v>No mechanical scope, but TE/UPS/network equipment may add heat load to Office 1B</v>
      </c>
      <c r="J1292" t="str">
        <f>B20_Assessment!D48</f>
        <v>High</v>
      </c>
      <c r="K1292" t="str">
        <f>B20_Assessment!E48</f>
        <v>Medium</v>
      </c>
      <c r="L1292">
        <f>B20_Assessment!F48</f>
        <v>6</v>
      </c>
      <c r="M1292" t="str">
        <f>B20_Assessment!G48</f>
        <v>Verify heat load, office ventilation, equipment clearances and owner acceptance before energizing enclosure</v>
      </c>
      <c r="N1292" t="str">
        <f>B20_Assessment!H48</f>
        <v>VA / Electrical / Telecom</v>
      </c>
      <c r="O1292" t="str">
        <f>B20_Assessment!I48</f>
        <v>Closed</v>
      </c>
      <c r="P1292" t="str">
        <f>B20_Assessment!J48</f>
        <v>Cover excludes mechanical/fire protection; existing HVAC may be relied on.</v>
      </c>
      <c r="Q1292" t="str">
        <f t="shared" si="20"/>
        <v>20|41</v>
      </c>
    </row>
    <row r="1293" spans="1:17" ht="6.45" customHeight="1">
      <c r="A1293" t="s">
        <v>2756</v>
      </c>
      <c r="B1293">
        <v>42</v>
      </c>
      <c r="C1293" t="s">
        <v>47</v>
      </c>
      <c r="D1293">
        <v>49</v>
      </c>
      <c r="E1293" t="s">
        <v>1019</v>
      </c>
      <c r="F1293" t="s">
        <v>5324</v>
      </c>
      <c r="G1293" t="str">
        <f>B20_Assessment!A49</f>
        <v>B20-R5</v>
      </c>
      <c r="H1293" t="str">
        <f>B20_Assessment!B49</f>
        <v>1B</v>
      </c>
      <c r="I1293" t="str">
        <f>B20_Assessment!C49</f>
        <v>UPS/PDU/receptacle source and grounding/bonding not verified</v>
      </c>
      <c r="J1293" t="str">
        <f>B20_Assessment!D49</f>
        <v>High</v>
      </c>
      <c r="K1293" t="str">
        <f>B20_Assessment!E49</f>
        <v>Medium</v>
      </c>
      <c r="L1293">
        <f>B20_Assessment!F49</f>
        <v>6</v>
      </c>
      <c r="M1293" t="str">
        <f>B20_Assessment!G49</f>
        <v>Verify circuit source, receptacle type, UPS/PDU load, grounding bar, bonding and labels</v>
      </c>
      <c r="N1293" t="str">
        <f>B20_Assessment!H49</f>
        <v>Electrical / Telecom</v>
      </c>
      <c r="O1293" t="str">
        <f>B20_Assessment!I49</f>
        <v>Closed</v>
      </c>
      <c r="P1293" t="str">
        <f>B20_Assessment!J49</f>
        <v>New TE enclosure includes APC UPS and two PDUs.</v>
      </c>
      <c r="Q1293" t="str">
        <f t="shared" si="20"/>
        <v>20|42</v>
      </c>
    </row>
    <row r="1294" spans="1:17" ht="6.45" customHeight="1">
      <c r="A1294" t="s">
        <v>2756</v>
      </c>
      <c r="B1294">
        <v>43</v>
      </c>
      <c r="C1294" t="s">
        <v>47</v>
      </c>
      <c r="D1294">
        <v>50</v>
      </c>
      <c r="E1294" t="s">
        <v>1019</v>
      </c>
      <c r="F1294" t="s">
        <v>5324</v>
      </c>
      <c r="G1294" t="str">
        <f>B20_Assessment!A50</f>
        <v>B20-R6</v>
      </c>
      <c r="H1294" t="str">
        <f>B20_Assessment!B50</f>
        <v>All</v>
      </c>
      <c r="I1294" t="str">
        <f>B20_Assessment!C50</f>
        <v>459 feet of cable tray/pathway requires coordination despite small port count</v>
      </c>
      <c r="J1294" t="str">
        <f>B20_Assessment!D50</f>
        <v>High</v>
      </c>
      <c r="K1294" t="str">
        <f>B20_Assessment!E50</f>
        <v>Medium</v>
      </c>
      <c r="L1294">
        <f>B20_Assessment!F50</f>
        <v>6</v>
      </c>
      <c r="M1294" t="str">
        <f>B20_Assessment!G50</f>
        <v>Verify route, supports, seismic bracing, 40% fill, penetrations, light fixtures and coordination drawings before install</v>
      </c>
      <c r="N1294" t="str">
        <f>B20_Assessment!H50</f>
        <v>Telecom / GC</v>
      </c>
      <c r="O1294" t="str">
        <f>B20_Assessment!I50</f>
        <v>Closed</v>
      </c>
      <c r="P1294" t="str">
        <f>B20_Assessment!J50</f>
        <v>20T-701 cable tray schedule lists Level 1 estimated length of 459 ft.</v>
      </c>
      <c r="Q1294" t="str">
        <f t="shared" si="20"/>
        <v>20|43</v>
      </c>
    </row>
    <row r="1295" spans="1:17" ht="6.45" customHeight="1">
      <c r="A1295" t="s">
        <v>2756</v>
      </c>
      <c r="B1295">
        <v>44</v>
      </c>
      <c r="C1295" t="s">
        <v>47</v>
      </c>
      <c r="D1295">
        <v>51</v>
      </c>
      <c r="E1295" t="s">
        <v>1019</v>
      </c>
      <c r="F1295" t="s">
        <v>5324</v>
      </c>
      <c r="G1295" t="str">
        <f>B20_Assessment!A51</f>
        <v>B20-R7</v>
      </c>
      <c r="H1295" t="str">
        <f>B20_Assessment!B51</f>
        <v>All</v>
      </c>
      <c r="I1295" t="str">
        <f>B20_Assessment!C51</f>
        <v>Firestopping/rated sleeve work could be missed because FP scope is excluded</v>
      </c>
      <c r="J1295" t="str">
        <f>B20_Assessment!D51</f>
        <v>High</v>
      </c>
      <c r="K1295" t="str">
        <f>B20_Assessment!E51</f>
        <v>Medium</v>
      </c>
      <c r="L1295">
        <f>B20_Assessment!F51</f>
        <v>6</v>
      </c>
      <c r="M1295" t="str">
        <f>B20_Assessment!G51</f>
        <v>Track 4-inch speed sleeve, rated penetrations, fire caulk, temporary firestopping and patching even without FP sheet scope</v>
      </c>
      <c r="N1295" t="str">
        <f>B20_Assessment!H51</f>
        <v>GC / Firestop</v>
      </c>
      <c r="O1295" t="str">
        <f>B20_Assessment!I51</f>
        <v>Closed</v>
      </c>
      <c r="P1295" t="str">
        <f>B20_Assessment!J51</f>
        <v>20T-101 requires fire caulk at sleeves and rated penetration protection.</v>
      </c>
      <c r="Q1295" t="str">
        <f t="shared" si="20"/>
        <v>20|44</v>
      </c>
    </row>
    <row r="1296" spans="1:17" ht="6.45" customHeight="1">
      <c r="A1296" t="s">
        <v>2756</v>
      </c>
      <c r="B1296">
        <v>45</v>
      </c>
      <c r="C1296" t="s">
        <v>47</v>
      </c>
      <c r="D1296">
        <v>52</v>
      </c>
      <c r="E1296" t="s">
        <v>1019</v>
      </c>
      <c r="F1296" t="s">
        <v>5324</v>
      </c>
      <c r="G1296" t="str">
        <f>B20_Assessment!A52</f>
        <v>B20-R8</v>
      </c>
      <c r="H1296" t="str">
        <f>B20_Assessment!B52</f>
        <v>All</v>
      </c>
      <c r="I1296" t="str">
        <f>B20_Assessment!C52</f>
        <v>Commissioning/test documentation may be overlooked due to TE-only scope</v>
      </c>
      <c r="J1296" t="str">
        <f>B20_Assessment!D52</f>
        <v>High</v>
      </c>
      <c r="K1296" t="str">
        <f>B20_Assessment!E52</f>
        <v>Medium</v>
      </c>
      <c r="L1296">
        <f>B20_Assessment!F52</f>
        <v>6</v>
      </c>
      <c r="M1296" t="str">
        <f>B20_Assessment!G52</f>
        <v>Track cable test records, labels, as-builts, laminated schedules, OIT acceptance, UPS/PDU verification and owner signoff</v>
      </c>
      <c r="N1296" t="str">
        <f>B20_Assessment!H52</f>
        <v>GC / Cx Manager</v>
      </c>
      <c r="O1296" t="str">
        <f>B20_Assessment!I52</f>
        <v>Closed</v>
      </c>
      <c r="P1296" t="str">
        <f>B20_Assessment!J52</f>
        <v>Cover/general notes still require testing, acceptance and documentation.</v>
      </c>
      <c r="Q1296" t="str">
        <f t="shared" si="20"/>
        <v>20|45</v>
      </c>
    </row>
    <row r="1297" spans="1:17" ht="6.45" customHeight="1">
      <c r="A1297" t="s">
        <v>2756</v>
      </c>
      <c r="B1297">
        <v>46</v>
      </c>
      <c r="C1297" t="s">
        <v>47</v>
      </c>
      <c r="D1297">
        <v>53</v>
      </c>
      <c r="E1297" t="s">
        <v>1019</v>
      </c>
      <c r="F1297" t="s">
        <v>5325</v>
      </c>
      <c r="G1297">
        <f>B20_Assessment!A53</f>
        <v>0</v>
      </c>
      <c r="H1297">
        <f>B20_Assessment!B53</f>
        <v>0</v>
      </c>
      <c r="I1297">
        <f>B20_Assessment!C53</f>
        <v>0</v>
      </c>
      <c r="J1297">
        <f>B20_Assessment!D53</f>
        <v>0</v>
      </c>
      <c r="K1297">
        <f>B20_Assessment!E53</f>
        <v>0</v>
      </c>
      <c r="L1297">
        <f>B20_Assessment!F53</f>
        <v>0</v>
      </c>
      <c r="M1297">
        <f>B20_Assessment!G53</f>
        <v>0</v>
      </c>
      <c r="N1297">
        <f>B20_Assessment!H53</f>
        <v>0</v>
      </c>
      <c r="O1297">
        <f>B20_Assessment!I53</f>
        <v>0</v>
      </c>
      <c r="P1297">
        <f>B20_Assessment!J53</f>
        <v>0</v>
      </c>
      <c r="Q1297" t="str">
        <f t="shared" si="20"/>
        <v>20|46</v>
      </c>
    </row>
    <row r="1298" spans="1:17" ht="6.45" customHeight="1">
      <c r="A1298" t="s">
        <v>2756</v>
      </c>
      <c r="B1298">
        <v>47</v>
      </c>
      <c r="C1298" t="s">
        <v>47</v>
      </c>
      <c r="D1298">
        <v>54</v>
      </c>
      <c r="E1298" t="s">
        <v>1051</v>
      </c>
      <c r="F1298" t="s">
        <v>5322</v>
      </c>
      <c r="G1298" t="str">
        <f>B20_Assessment!A54</f>
        <v>9. OPEN QUESTIONS</v>
      </c>
      <c r="H1298">
        <f>B20_Assessment!B54</f>
        <v>0</v>
      </c>
      <c r="I1298">
        <f>B20_Assessment!C54</f>
        <v>0</v>
      </c>
      <c r="J1298">
        <f>B20_Assessment!D54</f>
        <v>0</v>
      </c>
      <c r="K1298">
        <f>B20_Assessment!E54</f>
        <v>0</v>
      </c>
      <c r="L1298">
        <f>B20_Assessment!F54</f>
        <v>0</v>
      </c>
      <c r="M1298">
        <f>B20_Assessment!G54</f>
        <v>0</v>
      </c>
      <c r="N1298">
        <f>B20_Assessment!H54</f>
        <v>0</v>
      </c>
      <c r="O1298">
        <f>B20_Assessment!I54</f>
        <v>0</v>
      </c>
      <c r="P1298">
        <f>B20_Assessment!J54</f>
        <v>0</v>
      </c>
      <c r="Q1298" t="str">
        <f t="shared" si="20"/>
        <v>20|47</v>
      </c>
    </row>
    <row r="1299" spans="1:17" ht="6.45" customHeight="1">
      <c r="A1299" t="s">
        <v>2756</v>
      </c>
      <c r="B1299">
        <v>48</v>
      </c>
      <c r="C1299" t="s">
        <v>47</v>
      </c>
      <c r="D1299">
        <v>55</v>
      </c>
      <c r="E1299" t="s">
        <v>1051</v>
      </c>
      <c r="F1299" t="s">
        <v>5323</v>
      </c>
      <c r="G1299" t="str">
        <f>B20_Assessment!A55</f>
        <v>Question ID</v>
      </c>
      <c r="H1299" t="str">
        <f>B20_Assessment!B55</f>
        <v>Question</v>
      </c>
      <c r="I1299" t="str">
        <f>B20_Assessment!C55</f>
        <v>Assigned To</v>
      </c>
      <c r="J1299" t="str">
        <f>B20_Assessment!D55</f>
        <v>Status</v>
      </c>
      <c r="K1299" t="str">
        <f>B20_Assessment!E55</f>
        <v>Needed By</v>
      </c>
      <c r="L1299" t="str">
        <f>B20_Assessment!F55</f>
        <v>Answer / Resolution</v>
      </c>
      <c r="M1299" t="str">
        <f>B20_Assessment!G55</f>
        <v>Impact if Unanswered</v>
      </c>
      <c r="N1299" t="str">
        <f>B20_Assessment!H55</f>
        <v>Follow-up</v>
      </c>
      <c r="O1299" t="str">
        <f>B20_Assessment!I55</f>
        <v>Date Closed</v>
      </c>
      <c r="P1299" t="str">
        <f>B20_Assessment!J55</f>
        <v>Notes</v>
      </c>
      <c r="Q1299" t="str">
        <f t="shared" si="20"/>
        <v>20|48</v>
      </c>
    </row>
    <row r="1300" spans="1:17" ht="6.45" customHeight="1">
      <c r="A1300" t="s">
        <v>2756</v>
      </c>
      <c r="B1300">
        <v>49</v>
      </c>
      <c r="C1300" t="s">
        <v>47</v>
      </c>
      <c r="D1300">
        <v>56</v>
      </c>
      <c r="E1300" t="s">
        <v>1051</v>
      </c>
      <c r="F1300" t="s">
        <v>5324</v>
      </c>
      <c r="G1300" t="str">
        <f>B20_Assessment!A56</f>
        <v>B20-Q1</v>
      </c>
      <c r="H1300" t="str">
        <f>B20_Assessment!B56</f>
        <v>Confirm final scope: new wall-mount TE enclosure in Office 1B and existing Tel/Data Closet 8A transition only?</v>
      </c>
      <c r="I1300" t="str">
        <f>B20_Assessment!C56</f>
        <v>VA / OIT / Designer</v>
      </c>
      <c r="J1300" t="str">
        <f>B20_Assessment!D56</f>
        <v>Closed</v>
      </c>
      <c r="K1300">
        <f>B20_Assessment!E56</f>
        <v>0</v>
      </c>
      <c r="L1300">
        <f>B20_Assessment!F56</f>
        <v>0</v>
      </c>
      <c r="M1300" t="str">
        <f>B20_Assessment!G56</f>
        <v>Room inventory or PMIS mapping could miss scope</v>
      </c>
      <c r="N1300">
        <f>B20_Assessment!H56</f>
        <v>0</v>
      </c>
      <c r="O1300">
        <f>B20_Assessment!I56</f>
        <v>0</v>
      </c>
      <c r="P1300">
        <f>B20_Assessment!J56</f>
        <v>0</v>
      </c>
      <c r="Q1300" t="str">
        <f t="shared" si="20"/>
        <v>20|49</v>
      </c>
    </row>
    <row r="1301" spans="1:17" ht="6.45" customHeight="1">
      <c r="A1301" t="s">
        <v>2756</v>
      </c>
      <c r="B1301">
        <v>50</v>
      </c>
      <c r="C1301" t="s">
        <v>47</v>
      </c>
      <c r="D1301">
        <v>57</v>
      </c>
      <c r="E1301" t="s">
        <v>1051</v>
      </c>
      <c r="F1301" t="s">
        <v>5324</v>
      </c>
      <c r="G1301" t="str">
        <f>B20_Assessment!A57</f>
        <v>B20-Q2</v>
      </c>
      <c r="H1301" t="str">
        <f>B20_Assessment!B57</f>
        <v>What active services are currently fed from existing 8A open TE cabinet and related equipment?</v>
      </c>
      <c r="I1301" t="str">
        <f>B20_Assessment!C57</f>
        <v>OIT / Contractor</v>
      </c>
      <c r="J1301" t="str">
        <f>B20_Assessment!D57</f>
        <v>Closed</v>
      </c>
      <c r="K1301">
        <f>B20_Assessment!E57</f>
        <v>0</v>
      </c>
      <c r="L1301">
        <f>B20_Assessment!F57</f>
        <v>0</v>
      </c>
      <c r="M1301" t="str">
        <f>B20_Assessment!G57</f>
        <v>Potential communications/security outage</v>
      </c>
      <c r="N1301">
        <f>B20_Assessment!H57</f>
        <v>0</v>
      </c>
      <c r="O1301">
        <f>B20_Assessment!I57</f>
        <v>0</v>
      </c>
      <c r="P1301">
        <f>B20_Assessment!J57</f>
        <v>0</v>
      </c>
      <c r="Q1301" t="str">
        <f t="shared" si="20"/>
        <v>20|50</v>
      </c>
    </row>
    <row r="1302" spans="1:17" ht="6.45" customHeight="1">
      <c r="A1302" t="s">
        <v>2756</v>
      </c>
      <c r="B1302">
        <v>51</v>
      </c>
      <c r="C1302" t="s">
        <v>47</v>
      </c>
      <c r="D1302">
        <v>58</v>
      </c>
      <c r="E1302" t="s">
        <v>1051</v>
      </c>
      <c r="F1302" t="s">
        <v>5324</v>
      </c>
      <c r="G1302" t="str">
        <f>B20_Assessment!A58</f>
        <v>B20-Q3</v>
      </c>
      <c r="H1302" t="str">
        <f>B20_Assessment!B58</f>
        <v>What is the approved power source, receptacle type and circuit capacity for the new APC UPS/PDU in Office 1B?</v>
      </c>
      <c r="I1302" t="str">
        <f>B20_Assessment!C58</f>
        <v>Electrical / Designer</v>
      </c>
      <c r="J1302" t="str">
        <f>B20_Assessment!D58</f>
        <v>Closed</v>
      </c>
      <c r="K1302">
        <f>B20_Assessment!E58</f>
        <v>0</v>
      </c>
      <c r="L1302">
        <f>B20_Assessment!F58</f>
        <v>0</v>
      </c>
      <c r="M1302" t="str">
        <f>B20_Assessment!G58</f>
        <v>Electrical readiness unknown</v>
      </c>
      <c r="N1302">
        <f>B20_Assessment!H58</f>
        <v>0</v>
      </c>
      <c r="O1302">
        <f>B20_Assessment!I58</f>
        <v>0</v>
      </c>
      <c r="P1302">
        <f>B20_Assessment!J58</f>
        <v>0</v>
      </c>
      <c r="Q1302" t="str">
        <f t="shared" si="20"/>
        <v>20|51</v>
      </c>
    </row>
    <row r="1303" spans="1:17" ht="6.45" customHeight="1">
      <c r="A1303" t="s">
        <v>2756</v>
      </c>
      <c r="B1303">
        <v>52</v>
      </c>
      <c r="C1303" t="s">
        <v>47</v>
      </c>
      <c r="D1303">
        <v>59</v>
      </c>
      <c r="E1303" t="s">
        <v>1051</v>
      </c>
      <c r="F1303" t="s">
        <v>5324</v>
      </c>
      <c r="G1303" t="str">
        <f>B20_Assessment!A59</f>
        <v>B20-Q4</v>
      </c>
      <c r="H1303" t="str">
        <f>B20_Assessment!B59</f>
        <v>Is Office 1B HVAC/ambient condition acceptable for a wall-mount TE with UPS/PDU/network switch?</v>
      </c>
      <c r="I1303" t="str">
        <f>B20_Assessment!C59</f>
        <v>VA / OIT / Facilities</v>
      </c>
      <c r="J1303" t="str">
        <f>B20_Assessment!D59</f>
        <v>Closed</v>
      </c>
      <c r="K1303">
        <f>B20_Assessment!E59</f>
        <v>0</v>
      </c>
      <c r="L1303">
        <f>B20_Assessment!F59</f>
        <v>0</v>
      </c>
      <c r="M1303" t="str">
        <f>B20_Assessment!G59</f>
        <v>Heat/load risk after mechanical scope excluded</v>
      </c>
      <c r="N1303">
        <f>B20_Assessment!H59</f>
        <v>0</v>
      </c>
      <c r="O1303">
        <f>B20_Assessment!I59</f>
        <v>0</v>
      </c>
      <c r="P1303">
        <f>B20_Assessment!J59</f>
        <v>0</v>
      </c>
      <c r="Q1303" t="str">
        <f t="shared" si="20"/>
        <v>20|52</v>
      </c>
    </row>
    <row r="1304" spans="1:17" ht="6.45" customHeight="1">
      <c r="A1304" t="s">
        <v>2756</v>
      </c>
      <c r="B1304">
        <v>53</v>
      </c>
      <c r="C1304" t="s">
        <v>47</v>
      </c>
      <c r="D1304">
        <v>60</v>
      </c>
      <c r="E1304" t="s">
        <v>1051</v>
      </c>
      <c r="F1304" t="s">
        <v>5324</v>
      </c>
      <c r="G1304" t="str">
        <f>B20_Assessment!A60</f>
        <v>B20-Q5</v>
      </c>
      <c r="H1304" t="str">
        <f>B20_Assessment!B60</f>
        <v>Are existing cameras/security devices in Building 20 protected and retained with no VMS/PACS changes?</v>
      </c>
      <c r="I1304" t="str">
        <f>B20_Assessment!C60</f>
        <v>Security / OIT</v>
      </c>
      <c r="J1304" t="str">
        <f>B20_Assessment!D60</f>
        <v>Closed</v>
      </c>
      <c r="K1304">
        <f>B20_Assessment!E60</f>
        <v>0</v>
      </c>
      <c r="L1304">
        <f>B20_Assessment!F60</f>
        <v>0</v>
      </c>
      <c r="M1304" t="str">
        <f>B20_Assessment!G60</f>
        <v>Security continuity unclear</v>
      </c>
      <c r="N1304">
        <f>B20_Assessment!H60</f>
        <v>0</v>
      </c>
      <c r="O1304">
        <f>B20_Assessment!I60</f>
        <v>0</v>
      </c>
      <c r="P1304">
        <f>B20_Assessment!J60</f>
        <v>0</v>
      </c>
      <c r="Q1304" t="str">
        <f t="shared" si="20"/>
        <v>20|53</v>
      </c>
    </row>
    <row r="1305" spans="1:17" ht="6.45" customHeight="1">
      <c r="A1305" t="s">
        <v>2756</v>
      </c>
      <c r="B1305">
        <v>54</v>
      </c>
      <c r="C1305" t="s">
        <v>47</v>
      </c>
      <c r="D1305">
        <v>61</v>
      </c>
      <c r="E1305" t="s">
        <v>1051</v>
      </c>
      <c r="F1305" t="s">
        <v>5324</v>
      </c>
      <c r="G1305" t="str">
        <f>B20_Assessment!A61</f>
        <v>B20-Q6</v>
      </c>
      <c r="H1305" t="str">
        <f>B20_Assessment!B61</f>
        <v>Are all 459 feet of cable tray route, sleeves, supports and firestopping details field verified?</v>
      </c>
      <c r="I1305" t="str">
        <f>B20_Assessment!C61</f>
        <v>Telecom / GC / Firestop</v>
      </c>
      <c r="J1305" t="str">
        <f>B20_Assessment!D61</f>
        <v>Closed</v>
      </c>
      <c r="K1305">
        <f>B20_Assessment!E61</f>
        <v>0</v>
      </c>
      <c r="L1305">
        <f>B20_Assessment!F61</f>
        <v>0</v>
      </c>
      <c r="M1305" t="str">
        <f>B20_Assessment!G61</f>
        <v>Install delay or firestop gap</v>
      </c>
      <c r="N1305">
        <f>B20_Assessment!H61</f>
        <v>0</v>
      </c>
      <c r="O1305">
        <f>B20_Assessment!I61</f>
        <v>0</v>
      </c>
      <c r="P1305">
        <f>B20_Assessment!J61</f>
        <v>0</v>
      </c>
      <c r="Q1305" t="str">
        <f t="shared" si="20"/>
        <v>20|54</v>
      </c>
    </row>
    <row r="1306" spans="1:17" ht="6.45" customHeight="1">
      <c r="A1306" t="s">
        <v>2756</v>
      </c>
      <c r="B1306">
        <v>55</v>
      </c>
      <c r="C1306" t="s">
        <v>47</v>
      </c>
      <c r="D1306">
        <v>62</v>
      </c>
      <c r="E1306" t="s">
        <v>1051</v>
      </c>
      <c r="F1306" t="s">
        <v>5324</v>
      </c>
      <c r="G1306" t="str">
        <f>B20_Assessment!A62</f>
        <v>B20-Q7</v>
      </c>
      <c r="H1306" t="str">
        <f>B20_Assessment!B62</f>
        <v>Are the 10 new Cat6A cross-connect cables from existing TE to new TE location coordinated and labeled?</v>
      </c>
      <c r="I1306" t="str">
        <f>B20_Assessment!C62</f>
        <v>Telecom / OIT</v>
      </c>
      <c r="J1306" t="str">
        <f>B20_Assessment!D62</f>
        <v>Closed</v>
      </c>
      <c r="K1306">
        <f>B20_Assessment!E62</f>
        <v>0</v>
      </c>
      <c r="L1306">
        <f>B20_Assessment!F62</f>
        <v>0</v>
      </c>
      <c r="M1306" t="str">
        <f>B20_Assessment!G62</f>
        <v>Cutover and labeling risk</v>
      </c>
      <c r="N1306">
        <f>B20_Assessment!H62</f>
        <v>0</v>
      </c>
      <c r="O1306">
        <f>B20_Assessment!I62</f>
        <v>0</v>
      </c>
      <c r="P1306">
        <f>B20_Assessment!J62</f>
        <v>0</v>
      </c>
      <c r="Q1306" t="str">
        <f t="shared" si="20"/>
        <v>20|55</v>
      </c>
    </row>
    <row r="1307" spans="1:17" ht="6.45" customHeight="1">
      <c r="A1307" t="s">
        <v>2756</v>
      </c>
      <c r="B1307">
        <v>56</v>
      </c>
      <c r="C1307" t="s">
        <v>47</v>
      </c>
      <c r="D1307">
        <v>63</v>
      </c>
      <c r="E1307" t="s">
        <v>1051</v>
      </c>
      <c r="F1307" t="s">
        <v>5324</v>
      </c>
      <c r="G1307" t="str">
        <f>B20_Assessment!A63</f>
        <v>B20-Q8</v>
      </c>
      <c r="H1307" t="str">
        <f>B20_Assessment!B63</f>
        <v>Which test records and turnover documents are required for TE-only acceptance?</v>
      </c>
      <c r="I1307" t="str">
        <f>B20_Assessment!C63</f>
        <v>GC / Cx Manager / OIT</v>
      </c>
      <c r="J1307" t="str">
        <f>B20_Assessment!D63</f>
        <v>Closed</v>
      </c>
      <c r="K1307">
        <f>B20_Assessment!E63</f>
        <v>0</v>
      </c>
      <c r="L1307">
        <f>B20_Assessment!F63</f>
        <v>0</v>
      </c>
      <c r="M1307" t="str">
        <f>B20_Assessment!G63</f>
        <v>Turnover package gap</v>
      </c>
      <c r="N1307">
        <f>B20_Assessment!H63</f>
        <v>0</v>
      </c>
      <c r="O1307">
        <f>B20_Assessment!I63</f>
        <v>0</v>
      </c>
      <c r="P1307">
        <f>B20_Assessment!J63</f>
        <v>0</v>
      </c>
      <c r="Q1307" t="str">
        <f t="shared" si="20"/>
        <v>20|56</v>
      </c>
    </row>
    <row r="1308" spans="1:17" ht="6.45" customHeight="1">
      <c r="A1308" t="s">
        <v>2756</v>
      </c>
      <c r="B1308">
        <v>57</v>
      </c>
      <c r="C1308" t="s">
        <v>47</v>
      </c>
      <c r="D1308">
        <v>64</v>
      </c>
      <c r="E1308" t="s">
        <v>1051</v>
      </c>
      <c r="F1308" t="s">
        <v>5325</v>
      </c>
      <c r="G1308">
        <f>B20_Assessment!A64</f>
        <v>0</v>
      </c>
      <c r="H1308">
        <f>B20_Assessment!B64</f>
        <v>0</v>
      </c>
      <c r="I1308">
        <f>B20_Assessment!C64</f>
        <v>0</v>
      </c>
      <c r="J1308">
        <f>B20_Assessment!D64</f>
        <v>0</v>
      </c>
      <c r="K1308">
        <f>B20_Assessment!E64</f>
        <v>0</v>
      </c>
      <c r="L1308">
        <f>B20_Assessment!F64</f>
        <v>0</v>
      </c>
      <c r="M1308">
        <f>B20_Assessment!G64</f>
        <v>0</v>
      </c>
      <c r="N1308">
        <f>B20_Assessment!H64</f>
        <v>0</v>
      </c>
      <c r="O1308">
        <f>B20_Assessment!I64</f>
        <v>0</v>
      </c>
      <c r="P1308">
        <f>B20_Assessment!J64</f>
        <v>0</v>
      </c>
      <c r="Q1308" t="str">
        <f t="shared" si="20"/>
        <v>20|57</v>
      </c>
    </row>
    <row r="1309" spans="1:17" ht="6.45" customHeight="1">
      <c r="A1309" t="s">
        <v>2756</v>
      </c>
      <c r="B1309">
        <v>58</v>
      </c>
      <c r="C1309" t="s">
        <v>47</v>
      </c>
      <c r="D1309">
        <v>65</v>
      </c>
      <c r="E1309" t="s">
        <v>1052</v>
      </c>
      <c r="F1309" t="s">
        <v>5322</v>
      </c>
      <c r="G1309" t="str">
        <f>B20_Assessment!A65</f>
        <v>10. PHOTO LOG</v>
      </c>
      <c r="H1309">
        <f>B20_Assessment!B65</f>
        <v>0</v>
      </c>
      <c r="I1309">
        <f>B20_Assessment!C65</f>
        <v>0</v>
      </c>
      <c r="J1309">
        <f>B20_Assessment!D65</f>
        <v>0</v>
      </c>
      <c r="K1309">
        <f>B20_Assessment!E65</f>
        <v>0</v>
      </c>
      <c r="L1309">
        <f>B20_Assessment!F65</f>
        <v>0</v>
      </c>
      <c r="M1309">
        <f>B20_Assessment!G65</f>
        <v>0</v>
      </c>
      <c r="N1309">
        <f>B20_Assessment!H65</f>
        <v>0</v>
      </c>
      <c r="O1309">
        <f>B20_Assessment!I65</f>
        <v>0</v>
      </c>
      <c r="P1309">
        <f>B20_Assessment!J65</f>
        <v>0</v>
      </c>
      <c r="Q1309" t="str">
        <f t="shared" si="20"/>
        <v>20|58</v>
      </c>
    </row>
    <row r="1310" spans="1:17" ht="6.45" customHeight="1">
      <c r="A1310" t="s">
        <v>2756</v>
      </c>
      <c r="B1310">
        <v>59</v>
      </c>
      <c r="C1310" t="s">
        <v>47</v>
      </c>
      <c r="D1310">
        <v>66</v>
      </c>
      <c r="E1310" t="s">
        <v>1052</v>
      </c>
      <c r="F1310" t="s">
        <v>5323</v>
      </c>
      <c r="G1310" t="str">
        <f>B20_Assessment!A66</f>
        <v>Photo ID</v>
      </c>
      <c r="H1310" t="str">
        <f>B20_Assessment!B66</f>
        <v>Room</v>
      </c>
      <c r="I1310" t="str">
        <f>B20_Assessment!C66</f>
        <v>Category</v>
      </c>
      <c r="J1310" t="str">
        <f>B20_Assessment!D66</f>
        <v>Description</v>
      </c>
      <c r="K1310" t="str">
        <f>B20_Assessment!E66</f>
        <v>Date</v>
      </c>
      <c r="L1310" t="str">
        <f>B20_Assessment!F66</f>
        <v>Taken By</v>
      </c>
      <c r="M1310" t="str">
        <f>B20_Assessment!G66</f>
        <v>File / Link</v>
      </c>
      <c r="N1310" t="str">
        <f>B20_Assessment!H66</f>
        <v>Related Risk</v>
      </c>
      <c r="O1310" t="str">
        <f>B20_Assessment!I66</f>
        <v>Status</v>
      </c>
      <c r="P1310" t="str">
        <f>B20_Assessment!J66</f>
        <v>Notes</v>
      </c>
      <c r="Q1310" t="str">
        <f t="shared" si="20"/>
        <v>20|59</v>
      </c>
    </row>
    <row r="1311" spans="1:17" ht="6.45" customHeight="1">
      <c r="A1311" t="s">
        <v>2756</v>
      </c>
      <c r="B1311">
        <v>60</v>
      </c>
      <c r="C1311" t="s">
        <v>47</v>
      </c>
      <c r="D1311">
        <v>67</v>
      </c>
      <c r="E1311" t="s">
        <v>1052</v>
      </c>
      <c r="F1311" t="s">
        <v>5324</v>
      </c>
      <c r="G1311" t="str">
        <f>B20_Assessment!A67</f>
        <v>B20-P001</v>
      </c>
      <c r="H1311" t="str">
        <f>B20_Assessment!B67</f>
        <v>1B</v>
      </c>
      <c r="I1311" t="str">
        <f>B20_Assessment!C67</f>
        <v>Existing Condition</v>
      </c>
      <c r="J1311" t="str">
        <f>B20_Assessment!D67</f>
        <v>Office 1B wall location, wall backing, clearances, ceiling, power source, cable path, fiber path A/B and new TE enclosure location</v>
      </c>
      <c r="K1311">
        <f>B20_Assessment!E67</f>
        <v>0</v>
      </c>
      <c r="L1311" t="str">
        <f>B20_Assessment!F67</f>
        <v>Paul</v>
      </c>
      <c r="M1311">
        <f>B20_Assessment!G67</f>
        <v>0</v>
      </c>
      <c r="N1311" t="str">
        <f>B20_Assessment!H67</f>
        <v>B20-R1/B20-R3</v>
      </c>
      <c r="O1311" t="str">
        <f>B20_Assessment!I67</f>
        <v>Closed</v>
      </c>
      <c r="P1311">
        <f>B20_Assessment!J67</f>
        <v>0</v>
      </c>
      <c r="Q1311" t="str">
        <f t="shared" si="20"/>
        <v>20|60</v>
      </c>
    </row>
    <row r="1312" spans="1:17" ht="6.45" customHeight="1">
      <c r="A1312" t="s">
        <v>2756</v>
      </c>
      <c r="B1312">
        <v>61</v>
      </c>
      <c r="C1312" t="s">
        <v>47</v>
      </c>
      <c r="D1312">
        <v>68</v>
      </c>
      <c r="E1312" t="s">
        <v>1052</v>
      </c>
      <c r="F1312" t="s">
        <v>5324</v>
      </c>
      <c r="G1312" t="str">
        <f>B20_Assessment!A68</f>
        <v>B20-P002</v>
      </c>
      <c r="H1312" t="str">
        <f>B20_Assessment!B68</f>
        <v>8A</v>
      </c>
      <c r="I1312" t="str">
        <f>B20_Assessment!C68</f>
        <v>Existing Condition</v>
      </c>
      <c r="J1312" t="str">
        <f>B20_Assessment!D68</f>
        <v>Existing Tel/Data Closet 8A open TE cabinet, ground bar, patch panel, equipment box, indoor AC unit, plywood backboard and cable entries</v>
      </c>
      <c r="K1312">
        <f>B20_Assessment!E68</f>
        <v>0</v>
      </c>
      <c r="L1312" t="str">
        <f>B20_Assessment!F68</f>
        <v>Paul</v>
      </c>
      <c r="M1312">
        <f>B20_Assessment!G68</f>
        <v>0</v>
      </c>
      <c r="N1312" t="str">
        <f>B20_Assessment!H68</f>
        <v>B20-R1/B20-R2</v>
      </c>
      <c r="O1312" t="str">
        <f>B20_Assessment!I68</f>
        <v>Closed</v>
      </c>
      <c r="P1312">
        <f>B20_Assessment!J68</f>
        <v>0</v>
      </c>
      <c r="Q1312" t="str">
        <f t="shared" si="20"/>
        <v>20|61</v>
      </c>
    </row>
    <row r="1313" spans="1:17" ht="6.45" customHeight="1">
      <c r="A1313" t="s">
        <v>2756</v>
      </c>
      <c r="B1313">
        <v>62</v>
      </c>
      <c r="C1313" t="s">
        <v>47</v>
      </c>
      <c r="D1313">
        <v>69</v>
      </c>
      <c r="E1313" t="s">
        <v>1052</v>
      </c>
      <c r="F1313" t="s">
        <v>5324</v>
      </c>
      <c r="G1313" t="str">
        <f>B20_Assessment!A69</f>
        <v>B20-P003</v>
      </c>
      <c r="H1313" t="str">
        <f>B20_Assessment!B69</f>
        <v>8A</v>
      </c>
      <c r="I1313" t="str">
        <f>B20_Assessment!C69</f>
        <v>Existing Equipment</v>
      </c>
      <c r="J1313" t="str">
        <f>B20_Assessment!D69</f>
        <v>BIX blocks, Cisco switch, legacy Ortronics 48-port patch panel, UPS on ground and Fiber LIU on wall</v>
      </c>
      <c r="K1313">
        <f>B20_Assessment!E69</f>
        <v>0</v>
      </c>
      <c r="L1313" t="str">
        <f>B20_Assessment!F69</f>
        <v>Paul</v>
      </c>
      <c r="M1313">
        <f>B20_Assessment!G69</f>
        <v>0</v>
      </c>
      <c r="N1313" t="str">
        <f>B20_Assessment!H69</f>
        <v>B20-R2/B20-R5</v>
      </c>
      <c r="O1313" t="str">
        <f>B20_Assessment!I69</f>
        <v>Closed</v>
      </c>
      <c r="P1313">
        <f>B20_Assessment!J69</f>
        <v>0</v>
      </c>
      <c r="Q1313" t="str">
        <f t="shared" si="20"/>
        <v>20|62</v>
      </c>
    </row>
    <row r="1314" spans="1:17" ht="6.45" customHeight="1">
      <c r="A1314" t="s">
        <v>2756</v>
      </c>
      <c r="B1314">
        <v>63</v>
      </c>
      <c r="C1314" t="s">
        <v>47</v>
      </c>
      <c r="D1314">
        <v>70</v>
      </c>
      <c r="E1314" t="s">
        <v>1052</v>
      </c>
      <c r="F1314" t="s">
        <v>5324</v>
      </c>
      <c r="G1314" t="str">
        <f>B20_Assessment!A70</f>
        <v>B20-P004</v>
      </c>
      <c r="H1314" t="str">
        <f>B20_Assessment!B70</f>
        <v>1B/8A</v>
      </c>
      <c r="I1314" t="str">
        <f>B20_Assessment!C70</f>
        <v>Pathway</v>
      </c>
      <c r="J1314" t="str">
        <f>B20_Assessment!D70</f>
        <v>459 ft Level 1 cable tray route, sleeves, wall penetrations, support points, light/HVAC conflicts and 40% fill concerns</v>
      </c>
      <c r="K1314">
        <f>B20_Assessment!E70</f>
        <v>0</v>
      </c>
      <c r="L1314" t="str">
        <f>B20_Assessment!F70</f>
        <v>Paul</v>
      </c>
      <c r="M1314">
        <f>B20_Assessment!G70</f>
        <v>0</v>
      </c>
      <c r="N1314" t="str">
        <f>B20_Assessment!H70</f>
        <v>B20-R6/B20-R7</v>
      </c>
      <c r="O1314" t="str">
        <f>B20_Assessment!I70</f>
        <v>Closed</v>
      </c>
      <c r="P1314">
        <f>B20_Assessment!J70</f>
        <v>0</v>
      </c>
      <c r="Q1314" t="str">
        <f t="shared" si="20"/>
        <v>20|63</v>
      </c>
    </row>
    <row r="1315" spans="1:17" ht="6.45" customHeight="1">
      <c r="A1315" t="s">
        <v>2756</v>
      </c>
      <c r="B1315">
        <v>64</v>
      </c>
      <c r="C1315" t="s">
        <v>47</v>
      </c>
      <c r="D1315">
        <v>71</v>
      </c>
      <c r="E1315" t="s">
        <v>1052</v>
      </c>
      <c r="F1315" t="s">
        <v>5324</v>
      </c>
      <c r="G1315" t="str">
        <f>B20_Assessment!A71</f>
        <v>B20-P005</v>
      </c>
      <c r="H1315" t="str">
        <f>B20_Assessment!B71</f>
        <v>1B</v>
      </c>
      <c r="I1315" t="str">
        <f>B20_Assessment!C71</f>
        <v>Electrical</v>
      </c>
      <c r="J1315" t="str">
        <f>B20_Assessment!D71</f>
        <v>New TE enclosure UPS/PDU receptacles, circuit source, grounding/bonding, labels and disconnect/access</v>
      </c>
      <c r="K1315">
        <f>B20_Assessment!E71</f>
        <v>0</v>
      </c>
      <c r="L1315" t="str">
        <f>B20_Assessment!F71</f>
        <v>Paul</v>
      </c>
      <c r="M1315">
        <f>B20_Assessment!G71</f>
        <v>0</v>
      </c>
      <c r="N1315" t="str">
        <f>B20_Assessment!H71</f>
        <v>B20-R5</v>
      </c>
      <c r="O1315" t="str">
        <f>B20_Assessment!I71</f>
        <v>Closed</v>
      </c>
      <c r="P1315">
        <f>B20_Assessment!J71</f>
        <v>0</v>
      </c>
      <c r="Q1315" t="str">
        <f t="shared" si="20"/>
        <v>20|64</v>
      </c>
    </row>
    <row r="1316" spans="1:17" ht="6.45" customHeight="1">
      <c r="A1316" t="s">
        <v>2756</v>
      </c>
      <c r="B1316">
        <v>65</v>
      </c>
      <c r="C1316" t="s">
        <v>47</v>
      </c>
      <c r="D1316">
        <v>72</v>
      </c>
      <c r="E1316" t="s">
        <v>1052</v>
      </c>
      <c r="F1316" t="s">
        <v>5324</v>
      </c>
      <c r="G1316" t="str">
        <f>B20_Assessment!A72</f>
        <v>B20-P006</v>
      </c>
      <c r="H1316" t="str">
        <f>B20_Assessment!B72</f>
        <v>1B/8A</v>
      </c>
      <c r="I1316" t="str">
        <f>B20_Assessment!C72</f>
        <v>Telecom</v>
      </c>
      <c r="J1316" t="str">
        <f>B20_Assessment!D72</f>
        <v>TE01-1B-1 enclosure, cross-connect cables, Fiber LIU, patch panels, labels, test results and existing equipment transfer</v>
      </c>
      <c r="K1316">
        <f>B20_Assessment!E72</f>
        <v>0</v>
      </c>
      <c r="L1316" t="str">
        <f>B20_Assessment!F72</f>
        <v>Paul</v>
      </c>
      <c r="M1316">
        <f>B20_Assessment!G72</f>
        <v>0</v>
      </c>
      <c r="N1316" t="str">
        <f>B20_Assessment!H72</f>
        <v>B20-R2/B20-R8</v>
      </c>
      <c r="O1316" t="str">
        <f>B20_Assessment!I72</f>
        <v>Closed</v>
      </c>
      <c r="P1316">
        <f>B20_Assessment!J72</f>
        <v>0</v>
      </c>
      <c r="Q1316" t="str">
        <f t="shared" si="20"/>
        <v>20|65</v>
      </c>
    </row>
    <row r="1317" spans="1:17" ht="6.45" customHeight="1">
      <c r="A1317" t="s">
        <v>2756</v>
      </c>
      <c r="B1317">
        <v>66</v>
      </c>
      <c r="C1317" t="s">
        <v>47</v>
      </c>
      <c r="D1317">
        <v>73</v>
      </c>
      <c r="E1317" t="s">
        <v>1052</v>
      </c>
      <c r="F1317" t="s">
        <v>5324</v>
      </c>
      <c r="G1317" t="str">
        <f>B20_Assessment!A73</f>
        <v>B20-P007</v>
      </c>
      <c r="H1317" t="str">
        <f>B20_Assessment!B73</f>
        <v>All</v>
      </c>
      <c r="I1317" t="str">
        <f>B20_Assessment!C73</f>
        <v>Firestop</v>
      </c>
      <c r="J1317" t="str">
        <f>B20_Assessment!D73</f>
        <v>4-inch speed sleeve, wall penetrations and fire caulk before/after photos</v>
      </c>
      <c r="K1317">
        <f>B20_Assessment!E73</f>
        <v>0</v>
      </c>
      <c r="L1317" t="str">
        <f>B20_Assessment!F73</f>
        <v>Paul</v>
      </c>
      <c r="M1317">
        <f>B20_Assessment!G73</f>
        <v>0</v>
      </c>
      <c r="N1317" t="str">
        <f>B20_Assessment!H73</f>
        <v>B20-R7</v>
      </c>
      <c r="O1317" t="str">
        <f>B20_Assessment!I73</f>
        <v>Closed</v>
      </c>
      <c r="P1317">
        <f>B20_Assessment!J73</f>
        <v>0</v>
      </c>
      <c r="Q1317" t="str">
        <f t="shared" si="20"/>
        <v>20|66</v>
      </c>
    </row>
    <row r="1318" spans="1:17" ht="6.45" customHeight="1">
      <c r="A1318" t="s">
        <v>2756</v>
      </c>
      <c r="B1318">
        <v>67</v>
      </c>
      <c r="C1318" t="s">
        <v>47</v>
      </c>
      <c r="D1318">
        <v>74</v>
      </c>
      <c r="E1318" t="s">
        <v>1052</v>
      </c>
      <c r="F1318" t="s">
        <v>5324</v>
      </c>
      <c r="G1318" t="str">
        <f>B20_Assessment!A74</f>
        <v>B20-P008</v>
      </c>
      <c r="H1318" t="str">
        <f>B20_Assessment!B74</f>
        <v>All</v>
      </c>
      <c r="I1318" t="str">
        <f>B20_Assessment!C74</f>
        <v>Security / Existing Devices</v>
      </c>
      <c r="J1318" t="str">
        <f>B20_Assessment!D74</f>
        <v>Existing cameras/security devices to remain, protection-in-place and final operating condition</v>
      </c>
      <c r="K1318">
        <f>B20_Assessment!E74</f>
        <v>0</v>
      </c>
      <c r="L1318" t="str">
        <f>B20_Assessment!F74</f>
        <v>Paul</v>
      </c>
      <c r="M1318">
        <f>B20_Assessment!G74</f>
        <v>0</v>
      </c>
      <c r="N1318" t="str">
        <f>B20_Assessment!H74</f>
        <v>B20-R8</v>
      </c>
      <c r="O1318" t="str">
        <f>B20_Assessment!I74</f>
        <v>Closed</v>
      </c>
      <c r="P1318">
        <f>B20_Assessment!J74</f>
        <v>0</v>
      </c>
      <c r="Q1318" t="str">
        <f t="shared" si="20"/>
        <v>20|67</v>
      </c>
    </row>
    <row r="1319" spans="1:17" ht="6.45" customHeight="1">
      <c r="A1319" t="s">
        <v>2756</v>
      </c>
      <c r="B1319">
        <v>68</v>
      </c>
      <c r="C1319" t="s">
        <v>47</v>
      </c>
      <c r="D1319">
        <v>75</v>
      </c>
      <c r="E1319" t="s">
        <v>1052</v>
      </c>
      <c r="F1319" t="s">
        <v>5325</v>
      </c>
      <c r="G1319">
        <f>B20_Assessment!A75</f>
        <v>0</v>
      </c>
      <c r="H1319">
        <f>B20_Assessment!B75</f>
        <v>0</v>
      </c>
      <c r="I1319">
        <f>B20_Assessment!C75</f>
        <v>0</v>
      </c>
      <c r="J1319">
        <f>B20_Assessment!D75</f>
        <v>0</v>
      </c>
      <c r="K1319">
        <f>B20_Assessment!E75</f>
        <v>0</v>
      </c>
      <c r="L1319">
        <f>B20_Assessment!F75</f>
        <v>0</v>
      </c>
      <c r="M1319">
        <f>B20_Assessment!G75</f>
        <v>0</v>
      </c>
      <c r="N1319">
        <f>B20_Assessment!H75</f>
        <v>0</v>
      </c>
      <c r="O1319">
        <f>B20_Assessment!I75</f>
        <v>0</v>
      </c>
      <c r="P1319">
        <f>B20_Assessment!J75</f>
        <v>0</v>
      </c>
      <c r="Q1319" t="str">
        <f t="shared" si="20"/>
        <v>20|68</v>
      </c>
    </row>
    <row r="1320" spans="1:17" ht="6.45" customHeight="1">
      <c r="A1320" t="s">
        <v>2877</v>
      </c>
      <c r="B1320">
        <v>1</v>
      </c>
      <c r="C1320" t="s">
        <v>49</v>
      </c>
      <c r="D1320">
        <v>8</v>
      </c>
      <c r="E1320" t="s">
        <v>918</v>
      </c>
      <c r="F1320" t="s">
        <v>5322</v>
      </c>
      <c r="G1320" t="str">
        <f>B21_Assessment!A8</f>
        <v>1. ROOM INVENTORY</v>
      </c>
      <c r="H1320">
        <f>B21_Assessment!B8</f>
        <v>0</v>
      </c>
      <c r="I1320">
        <f>B21_Assessment!C8</f>
        <v>0</v>
      </c>
      <c r="J1320">
        <f>B21_Assessment!D8</f>
        <v>0</v>
      </c>
      <c r="K1320">
        <f>B21_Assessment!E8</f>
        <v>0</v>
      </c>
      <c r="L1320">
        <f>B21_Assessment!F8</f>
        <v>0</v>
      </c>
      <c r="M1320">
        <f>B21_Assessment!G8</f>
        <v>0</v>
      </c>
      <c r="N1320">
        <f>B21_Assessment!H8</f>
        <v>0</v>
      </c>
      <c r="O1320">
        <f>B21_Assessment!I8</f>
        <v>0</v>
      </c>
      <c r="P1320">
        <f>B21_Assessment!J8</f>
        <v>0</v>
      </c>
      <c r="Q1320" t="str">
        <f t="shared" si="20"/>
        <v>21|1</v>
      </c>
    </row>
    <row r="1321" spans="1:17" ht="6.45" customHeight="1">
      <c r="A1321" t="s">
        <v>2877</v>
      </c>
      <c r="B1321">
        <v>2</v>
      </c>
      <c r="C1321" t="s">
        <v>49</v>
      </c>
      <c r="D1321">
        <v>9</v>
      </c>
      <c r="E1321" t="s">
        <v>918</v>
      </c>
      <c r="F1321" t="s">
        <v>5323</v>
      </c>
      <c r="G1321" t="str">
        <f>B21_Assessment!A9</f>
        <v>Building</v>
      </c>
      <c r="H1321" t="str">
        <f>B21_Assessment!B9</f>
        <v>Room</v>
      </c>
      <c r="I1321" t="str">
        <f>B21_Assessment!C9</f>
        <v>Floor</v>
      </c>
      <c r="J1321" t="str">
        <f>B21_Assessment!D9</f>
        <v>Existing Use</v>
      </c>
      <c r="K1321" t="str">
        <f>B21_Assessment!E9</f>
        <v>New Use</v>
      </c>
      <c r="L1321" t="str">
        <f>B21_Assessment!F9</f>
        <v>Rack Count</v>
      </c>
      <c r="M1321" t="str">
        <f>B21_Assessment!G9</f>
        <v>Future Rack</v>
      </c>
      <c r="N1321" t="str">
        <f>B21_Assessment!H9</f>
        <v>Status</v>
      </c>
      <c r="O1321" t="str">
        <f>B21_Assessment!I9</f>
        <v>Drawing Ref</v>
      </c>
      <c r="P1321" t="str">
        <f>B21_Assessment!J9</f>
        <v>Notes</v>
      </c>
      <c r="Q1321" t="str">
        <f t="shared" si="20"/>
        <v>21|2</v>
      </c>
    </row>
    <row r="1322" spans="1:17" ht="6.45" customHeight="1">
      <c r="A1322" t="s">
        <v>2877</v>
      </c>
      <c r="B1322">
        <v>3</v>
      </c>
      <c r="C1322" t="s">
        <v>49</v>
      </c>
      <c r="D1322">
        <v>10</v>
      </c>
      <c r="E1322" t="s">
        <v>918</v>
      </c>
      <c r="F1322" t="s">
        <v>5324</v>
      </c>
      <c r="G1322" t="str">
        <f>B21_Assessment!A10</f>
        <v>21</v>
      </c>
      <c r="H1322" t="str">
        <f>B21_Assessment!B10</f>
        <v>100A</v>
      </c>
      <c r="I1322" t="str">
        <f>B21_Assessment!C10</f>
        <v>First</v>
      </c>
      <c r="J1322" t="str">
        <f>B21_Assessment!D10</f>
        <v>M&amp;O Foreman Office / new TE location</v>
      </c>
      <c r="K1322" t="str">
        <f>B21_Assessment!E10</f>
        <v>Telecom Enclosure</v>
      </c>
      <c r="L1322">
        <f>B21_Assessment!F10</f>
        <v>1</v>
      </c>
      <c r="M1322">
        <f>B21_Assessment!G10</f>
        <v>0</v>
      </c>
      <c r="N1322" t="str">
        <f>B21_Assessment!H10</f>
        <v>Verify</v>
      </c>
      <c r="O1322" t="str">
        <f>B21_Assessment!I10</f>
        <v>21_19T-101 / 21_19T-604 / 21_19T-701 / 21_19E-101</v>
      </c>
      <c r="P1322" t="str">
        <f>B21_Assessment!J10</f>
        <v>Primary Building 21/B19 TE. Plans identify M&amp;O Foreman Office 100A at 202 SF with new 12RU telecom enclosure, shown as 19 serving 21, Room 100-A, and schedule Rack ID TR01-104-1 / RM 104. Includes APC UPS, two PDUs, network switches B20 and B19, 48-port Cat6A patch panel, Fiber LIU, and 131 total ports with 10% allowance.</v>
      </c>
      <c r="Q1322" t="str">
        <f t="shared" si="20"/>
        <v>21|3</v>
      </c>
    </row>
    <row r="1323" spans="1:17" ht="6.45" customHeight="1">
      <c r="A1323" t="s">
        <v>2877</v>
      </c>
      <c r="B1323">
        <v>4</v>
      </c>
      <c r="C1323" t="s">
        <v>49</v>
      </c>
      <c r="D1323">
        <v>11</v>
      </c>
      <c r="E1323" t="s">
        <v>918</v>
      </c>
      <c r="F1323" t="s">
        <v>5324</v>
      </c>
      <c r="G1323" t="str">
        <f>B21_Assessment!A11</f>
        <v>21</v>
      </c>
      <c r="H1323" t="str">
        <f>B21_Assessment!B11</f>
        <v>B1.TR</v>
      </c>
      <c r="I1323" t="str">
        <f>B21_Assessment!C11</f>
        <v>Basement</v>
      </c>
      <c r="J1323" t="str">
        <f>B21_Assessment!D11</f>
        <v>Existing telecom room / wall-mount TE</v>
      </c>
      <c r="K1323" t="str">
        <f>B21_Assessment!E11</f>
        <v>Existing telecom transition point</v>
      </c>
      <c r="L1323">
        <f>B21_Assessment!F11</f>
        <v>1</v>
      </c>
      <c r="M1323">
        <f>B21_Assessment!G11</f>
        <v>0</v>
      </c>
      <c r="N1323" t="str">
        <f>B21_Assessment!H11</f>
        <v>Verify</v>
      </c>
      <c r="O1323" t="str">
        <f>B21_Assessment!I11</f>
        <v>21_19T-100 / 21_19T-604</v>
      </c>
      <c r="P1323" t="str">
        <f>B21_Assessment!J11</f>
        <v>Existing Building 21 basement B1.TR shown with legacy Ortronics 24/48-port patch panels, UPS on ground, Cisco switch, multiple legacy 24-port patch panels, Fiber LIU, and APC floor UPS. Protect active services and verify transfer/cutover to new TE.</v>
      </c>
      <c r="Q1323" t="str">
        <f t="shared" si="20"/>
        <v>21|4</v>
      </c>
    </row>
    <row r="1324" spans="1:17" ht="6.45" customHeight="1">
      <c r="A1324" t="s">
        <v>2877</v>
      </c>
      <c r="B1324">
        <v>5</v>
      </c>
      <c r="C1324" t="s">
        <v>49</v>
      </c>
      <c r="D1324">
        <v>12</v>
      </c>
      <c r="E1324" t="s">
        <v>918</v>
      </c>
      <c r="F1324" t="s">
        <v>5324</v>
      </c>
      <c r="G1324" t="str">
        <f>B21_Assessment!A12</f>
        <v>19</v>
      </c>
      <c r="H1324" t="str">
        <f>B21_Assessment!B12</f>
        <v>B05TR</v>
      </c>
      <c r="I1324" t="str">
        <f>B21_Assessment!C12</f>
        <v>Basement / First</v>
      </c>
      <c r="J1324" t="str">
        <f>B21_Assessment!D12</f>
        <v>Existing telecom room / wall-mount TE</v>
      </c>
      <c r="K1324" t="str">
        <f>B21_Assessment!E12</f>
        <v>Existing telecom transition point serving B19/B21</v>
      </c>
      <c r="L1324">
        <f>B21_Assessment!F12</f>
        <v>2</v>
      </c>
      <c r="M1324">
        <f>B21_Assessment!G12</f>
        <v>0</v>
      </c>
      <c r="N1324" t="str">
        <f>B21_Assessment!H12</f>
        <v>Verify</v>
      </c>
      <c r="O1324" t="str">
        <f>B21_Assessment!I12</f>
        <v>21_19T-100 / 21_19T-604 / 21_19R-900</v>
      </c>
      <c r="P1324" t="str">
        <f>B21_Assessment!J12</f>
        <v>Existing Building 19 B05TR shown with basement and first-level existing elevations, legacy Ortronics patch panels, Cisco switch, Fiber LIU, APC floor UPS, and photo reference for basement B05. New enclosure is marked '19 serving 21'.</v>
      </c>
      <c r="Q1324" t="str">
        <f t="shared" si="20"/>
        <v>21|5</v>
      </c>
    </row>
    <row r="1325" spans="1:17" ht="6.45" customHeight="1">
      <c r="A1325" t="s">
        <v>2877</v>
      </c>
      <c r="B1325">
        <v>6</v>
      </c>
      <c r="C1325" t="s">
        <v>49</v>
      </c>
      <c r="D1325">
        <v>13</v>
      </c>
      <c r="E1325" t="s">
        <v>918</v>
      </c>
      <c r="F1325" t="s">
        <v>5325</v>
      </c>
      <c r="G1325">
        <f>B21_Assessment!A13</f>
        <v>0</v>
      </c>
      <c r="H1325">
        <f>B21_Assessment!B13</f>
        <v>0</v>
      </c>
      <c r="I1325">
        <f>B21_Assessment!C13</f>
        <v>0</v>
      </c>
      <c r="J1325">
        <f>B21_Assessment!D13</f>
        <v>0</v>
      </c>
      <c r="K1325">
        <f>B21_Assessment!E13</f>
        <v>0</v>
      </c>
      <c r="L1325">
        <f>B21_Assessment!F13</f>
        <v>0</v>
      </c>
      <c r="M1325">
        <f>B21_Assessment!G13</f>
        <v>0</v>
      </c>
      <c r="N1325">
        <f>B21_Assessment!H13</f>
        <v>0</v>
      </c>
      <c r="O1325">
        <f>B21_Assessment!I13</f>
        <v>0</v>
      </c>
      <c r="P1325">
        <f>B21_Assessment!J13</f>
        <v>0</v>
      </c>
      <c r="Q1325" t="str">
        <f t="shared" si="20"/>
        <v>21|6</v>
      </c>
    </row>
    <row r="1326" spans="1:17" ht="6.45" customHeight="1">
      <c r="A1326" t="s">
        <v>2877</v>
      </c>
      <c r="B1326">
        <v>7</v>
      </c>
      <c r="C1326" t="s">
        <v>49</v>
      </c>
      <c r="D1326">
        <v>14</v>
      </c>
      <c r="E1326" t="s">
        <v>936</v>
      </c>
      <c r="F1326" t="s">
        <v>5322</v>
      </c>
      <c r="G1326" t="str">
        <f>B21_Assessment!A14</f>
        <v>2. ROOM READINESS</v>
      </c>
      <c r="H1326">
        <f>B21_Assessment!B14</f>
        <v>0</v>
      </c>
      <c r="I1326">
        <f>B21_Assessment!C14</f>
        <v>0</v>
      </c>
      <c r="J1326">
        <f>B21_Assessment!D14</f>
        <v>0</v>
      </c>
      <c r="K1326">
        <f>B21_Assessment!E14</f>
        <v>0</v>
      </c>
      <c r="L1326">
        <f>B21_Assessment!F14</f>
        <v>0</v>
      </c>
      <c r="M1326">
        <f>B21_Assessment!G14</f>
        <v>0</v>
      </c>
      <c r="N1326">
        <f>B21_Assessment!H14</f>
        <v>0</v>
      </c>
      <c r="O1326">
        <f>B21_Assessment!I14</f>
        <v>0</v>
      </c>
      <c r="P1326">
        <f>B21_Assessment!J14</f>
        <v>0</v>
      </c>
      <c r="Q1326" t="str">
        <f t="shared" si="20"/>
        <v>21|7</v>
      </c>
    </row>
    <row r="1327" spans="1:17" ht="6.45" customHeight="1">
      <c r="A1327" t="s">
        <v>2877</v>
      </c>
      <c r="B1327">
        <v>8</v>
      </c>
      <c r="C1327" t="s">
        <v>49</v>
      </c>
      <c r="D1327">
        <v>15</v>
      </c>
      <c r="E1327" t="s">
        <v>936</v>
      </c>
      <c r="F1327" t="s">
        <v>5323</v>
      </c>
      <c r="G1327" t="str">
        <f>B21_Assessment!A15</f>
        <v>Room</v>
      </c>
      <c r="H1327" t="str">
        <f>B21_Assessment!B15</f>
        <v>Walls / 1-hr Rating</v>
      </c>
      <c r="I1327" t="str">
        <f>B21_Assessment!C15</f>
        <v>Ceiling</v>
      </c>
      <c r="J1327" t="str">
        <f>B21_Assessment!D15</f>
        <v>Floor / SDC</v>
      </c>
      <c r="K1327" t="str">
        <f>B21_Assessment!E15</f>
        <v>Penetrations</v>
      </c>
      <c r="L1327" t="str">
        <f>B21_Assessment!F15</f>
        <v>Access Control</v>
      </c>
      <c r="M1327" t="str">
        <f>B21_Assessment!G15</f>
        <v>Clearances</v>
      </c>
      <c r="N1327" t="str">
        <f>B21_Assessment!H15</f>
        <v>Housekeeping</v>
      </c>
      <c r="O1327" t="str">
        <f>B21_Assessment!I15</f>
        <v>Overall</v>
      </c>
      <c r="P1327" t="str">
        <f>B21_Assessment!J15</f>
        <v>Comments</v>
      </c>
      <c r="Q1327" t="str">
        <f t="shared" si="20"/>
        <v>21|8</v>
      </c>
    </row>
    <row r="1328" spans="1:17" ht="6.45" customHeight="1">
      <c r="A1328" t="s">
        <v>2877</v>
      </c>
      <c r="B1328">
        <v>9</v>
      </c>
      <c r="C1328" t="s">
        <v>49</v>
      </c>
      <c r="D1328">
        <v>16</v>
      </c>
      <c r="E1328" t="s">
        <v>936</v>
      </c>
      <c r="F1328" t="s">
        <v>5324</v>
      </c>
      <c r="G1328" t="str">
        <f>B21_Assessment!A16</f>
        <v>100A</v>
      </c>
      <c r="H1328" t="str">
        <f>B21_Assessment!B16</f>
        <v>Verify</v>
      </c>
      <c r="I1328" t="str">
        <f>B21_Assessment!C16</f>
        <v>Verify</v>
      </c>
      <c r="J1328" t="str">
        <f>B21_Assessment!D16</f>
        <v>N/A / Office</v>
      </c>
      <c r="K1328" t="str">
        <f>B21_Assessment!E16</f>
        <v>Verify</v>
      </c>
      <c r="L1328" t="str">
        <f>B21_Assessment!F16</f>
        <v>Verify Existing</v>
      </c>
      <c r="M1328" t="str">
        <f>B21_Assessment!G16</f>
        <v>Verify</v>
      </c>
      <c r="N1328" t="str">
        <f>B21_Assessment!H16</f>
        <v>Verify</v>
      </c>
      <c r="O1328" t="str">
        <f>B21_Assessment!I16</f>
        <v>Verify</v>
      </c>
      <c r="P1328" t="str">
        <f>B21_Assessment!J16</f>
        <v>New TE enclosure location in M&amp;O Foreman Office 100A; verify wall backing, mounting height, access clearance, power, fiber/copper path, 4-inch speed sleeve, fire/smoke wall rating, and that office use can remain operational.</v>
      </c>
      <c r="Q1328" t="str">
        <f t="shared" si="20"/>
        <v>21|9</v>
      </c>
    </row>
    <row r="1329" spans="1:17" ht="6.45" customHeight="1">
      <c r="A1329" t="s">
        <v>2877</v>
      </c>
      <c r="B1329">
        <v>10</v>
      </c>
      <c r="C1329" t="s">
        <v>49</v>
      </c>
      <c r="D1329">
        <v>17</v>
      </c>
      <c r="E1329" t="s">
        <v>936</v>
      </c>
      <c r="F1329" t="s">
        <v>5324</v>
      </c>
      <c r="G1329" t="str">
        <f>B21_Assessment!A17</f>
        <v>B1.TR</v>
      </c>
      <c r="H1329" t="str">
        <f>B21_Assessment!B17</f>
        <v>Existing / Verify</v>
      </c>
      <c r="I1329" t="str">
        <f>B21_Assessment!C17</f>
        <v>Existing / Verify</v>
      </c>
      <c r="J1329" t="str">
        <f>B21_Assessment!D17</f>
        <v>Existing / Verify</v>
      </c>
      <c r="K1329" t="str">
        <f>B21_Assessment!E17</f>
        <v>Verify</v>
      </c>
      <c r="L1329" t="str">
        <f>B21_Assessment!F17</f>
        <v>Verify Existing</v>
      </c>
      <c r="M1329" t="str">
        <f>B21_Assessment!G17</f>
        <v>Verify</v>
      </c>
      <c r="N1329" t="str">
        <f>B21_Assessment!H17</f>
        <v>Verify</v>
      </c>
      <c r="O1329" t="str">
        <f>B21_Assessment!I17</f>
        <v>Verify</v>
      </c>
      <c r="P1329" t="str">
        <f>B21_Assessment!J17</f>
        <v>Existing B21 basement telecom room; verify active equipment status, pathway, UPS/backboard, Fiber LIU, and transition/abandonment scope.</v>
      </c>
      <c r="Q1329" t="str">
        <f t="shared" si="20"/>
        <v>21|10</v>
      </c>
    </row>
    <row r="1330" spans="1:17" ht="6.45" customHeight="1">
      <c r="A1330" t="s">
        <v>2877</v>
      </c>
      <c r="B1330">
        <v>11</v>
      </c>
      <c r="C1330" t="s">
        <v>49</v>
      </c>
      <c r="D1330">
        <v>18</v>
      </c>
      <c r="E1330" t="s">
        <v>936</v>
      </c>
      <c r="F1330" t="s">
        <v>5324</v>
      </c>
      <c r="G1330" t="str">
        <f>B21_Assessment!A18</f>
        <v>B05TR</v>
      </c>
      <c r="H1330" t="str">
        <f>B21_Assessment!B18</f>
        <v>Existing / Verify</v>
      </c>
      <c r="I1330" t="str">
        <f>B21_Assessment!C18</f>
        <v>Existing / Verify</v>
      </c>
      <c r="J1330" t="str">
        <f>B21_Assessment!D18</f>
        <v>Existing / Verify</v>
      </c>
      <c r="K1330" t="str">
        <f>B21_Assessment!E18</f>
        <v>Verify</v>
      </c>
      <c r="L1330" t="str">
        <f>B21_Assessment!F18</f>
        <v>Verify Existing</v>
      </c>
      <c r="M1330" t="str">
        <f>B21_Assessment!G18</f>
        <v>Verify</v>
      </c>
      <c r="N1330" t="str">
        <f>B21_Assessment!H18</f>
        <v>Verify</v>
      </c>
      <c r="O1330" t="str">
        <f>B21_Assessment!I18</f>
        <v>Verify</v>
      </c>
      <c r="P1330" t="str">
        <f>B21_Assessment!J18</f>
        <v>Existing B19 telecom room/equipment; verify active services, B19/B21 service boundary, path to new TE, and transition scope.</v>
      </c>
      <c r="Q1330" t="str">
        <f t="shared" si="20"/>
        <v>21|11</v>
      </c>
    </row>
    <row r="1331" spans="1:17" ht="6.45" customHeight="1">
      <c r="A1331" t="s">
        <v>2877</v>
      </c>
      <c r="B1331">
        <v>12</v>
      </c>
      <c r="C1331" t="s">
        <v>49</v>
      </c>
      <c r="D1331">
        <v>19</v>
      </c>
      <c r="E1331" t="s">
        <v>936</v>
      </c>
      <c r="F1331" t="s">
        <v>5325</v>
      </c>
      <c r="G1331">
        <f>B21_Assessment!A19</f>
        <v>0</v>
      </c>
      <c r="H1331">
        <f>B21_Assessment!B19</f>
        <v>0</v>
      </c>
      <c r="I1331">
        <f>B21_Assessment!C19</f>
        <v>0</v>
      </c>
      <c r="J1331">
        <f>B21_Assessment!D19</f>
        <v>0</v>
      </c>
      <c r="K1331">
        <f>B21_Assessment!E19</f>
        <v>0</v>
      </c>
      <c r="L1331">
        <f>B21_Assessment!F19</f>
        <v>0</v>
      </c>
      <c r="M1331">
        <f>B21_Assessment!G19</f>
        <v>0</v>
      </c>
      <c r="N1331">
        <f>B21_Assessment!H19</f>
        <v>0</v>
      </c>
      <c r="O1331">
        <f>B21_Assessment!I19</f>
        <v>0</v>
      </c>
      <c r="P1331">
        <f>B21_Assessment!J19</f>
        <v>0</v>
      </c>
      <c r="Q1331" t="str">
        <f t="shared" si="20"/>
        <v>21|12</v>
      </c>
    </row>
    <row r="1332" spans="1:17" ht="6.45" customHeight="1">
      <c r="A1332" t="s">
        <v>2877</v>
      </c>
      <c r="B1332">
        <v>13</v>
      </c>
      <c r="C1332" t="s">
        <v>49</v>
      </c>
      <c r="D1332">
        <v>20</v>
      </c>
      <c r="E1332" t="s">
        <v>951</v>
      </c>
      <c r="F1332" t="s">
        <v>5322</v>
      </c>
      <c r="G1332" t="str">
        <f>B21_Assessment!A20</f>
        <v>3. FIRE PROTECTION</v>
      </c>
      <c r="H1332">
        <f>B21_Assessment!B20</f>
        <v>0</v>
      </c>
      <c r="I1332">
        <f>B21_Assessment!C20</f>
        <v>0</v>
      </c>
      <c r="J1332">
        <f>B21_Assessment!D20</f>
        <v>0</v>
      </c>
      <c r="K1332">
        <f>B21_Assessment!E20</f>
        <v>0</v>
      </c>
      <c r="L1332">
        <f>B21_Assessment!F20</f>
        <v>0</v>
      </c>
      <c r="M1332">
        <f>B21_Assessment!G20</f>
        <v>0</v>
      </c>
      <c r="N1332">
        <f>B21_Assessment!H20</f>
        <v>0</v>
      </c>
      <c r="O1332">
        <f>B21_Assessment!I20</f>
        <v>0</v>
      </c>
      <c r="P1332">
        <f>B21_Assessment!J20</f>
        <v>0</v>
      </c>
      <c r="Q1332" t="str">
        <f t="shared" si="20"/>
        <v>21|13</v>
      </c>
    </row>
    <row r="1333" spans="1:17" ht="6.45" customHeight="1">
      <c r="A1333" t="s">
        <v>2877</v>
      </c>
      <c r="B1333">
        <v>14</v>
      </c>
      <c r="C1333" t="s">
        <v>49</v>
      </c>
      <c r="D1333">
        <v>21</v>
      </c>
      <c r="E1333" t="s">
        <v>951</v>
      </c>
      <c r="F1333" t="s">
        <v>5323</v>
      </c>
      <c r="G1333" t="str">
        <f>B21_Assessment!A21</f>
        <v>Room</v>
      </c>
      <c r="H1333" t="str">
        <f>B21_Assessment!B21</f>
        <v>Sprinkler</v>
      </c>
      <c r="I1333" t="str">
        <f>B21_Assessment!C21</f>
        <v>Cage</v>
      </c>
      <c r="J1333" t="str">
        <f>B21_Assessment!D21</f>
        <v>Detector</v>
      </c>
      <c r="K1333" t="str">
        <f>B21_Assessment!E21</f>
        <v>Horn/Strobe</v>
      </c>
      <c r="L1333" t="str">
        <f>B21_Assessment!F21</f>
        <v>Extinguisher &lt;75 ft</v>
      </c>
      <c r="M1333" t="str">
        <f>B21_Assessment!G21</f>
        <v>Firestop</v>
      </c>
      <c r="N1333" t="str">
        <f>B21_Assessment!H21</f>
        <v>Temp Firestop</v>
      </c>
      <c r="O1333" t="str">
        <f>B21_Assessment!I21</f>
        <v>Overall</v>
      </c>
      <c r="P1333" t="str">
        <f>B21_Assessment!J21</f>
        <v>Risk / Notes</v>
      </c>
      <c r="Q1333" t="str">
        <f t="shared" si="20"/>
        <v>21|14</v>
      </c>
    </row>
    <row r="1334" spans="1:17" ht="6.45" customHeight="1">
      <c r="A1334" t="s">
        <v>2877</v>
      </c>
      <c r="B1334">
        <v>15</v>
      </c>
      <c r="C1334" t="s">
        <v>49</v>
      </c>
      <c r="D1334">
        <v>22</v>
      </c>
      <c r="E1334" t="s">
        <v>951</v>
      </c>
      <c r="F1334" t="s">
        <v>5324</v>
      </c>
      <c r="G1334" t="str">
        <f>B21_Assessment!A22</f>
        <v>100A</v>
      </c>
      <c r="H1334" t="str">
        <f>B21_Assessment!B22</f>
        <v>Excluded / Verify</v>
      </c>
      <c r="I1334" t="str">
        <f>B21_Assessment!C22</f>
        <v>N/A</v>
      </c>
      <c r="J1334" t="str">
        <f>B21_Assessment!D22</f>
        <v>Verify Existing</v>
      </c>
      <c r="K1334" t="str">
        <f>B21_Assessment!E22</f>
        <v>Verify Existing</v>
      </c>
      <c r="L1334" t="str">
        <f>B21_Assessment!F22</f>
        <v>N/A / Verify</v>
      </c>
      <c r="M1334" t="str">
        <f>B21_Assessment!G22</f>
        <v>Verify</v>
      </c>
      <c r="N1334" t="str">
        <f>B21_Assessment!H22</f>
        <v>Verify</v>
      </c>
      <c r="O1334" t="str">
        <f>B21_Assessment!I22</f>
        <v>Verify</v>
      </c>
      <c r="P1334" t="str">
        <f>B21_Assessment!J22</f>
        <v>Cover sheet states Building 21_19 receives a Telecom Enclosure and fire protection scope is excluded. Still verify firestopping of rated penetrations, 4-inch sleeve, wall/floor openings, and any life-safety device impacts.</v>
      </c>
      <c r="Q1334" t="str">
        <f t="shared" si="20"/>
        <v>21|15</v>
      </c>
    </row>
    <row r="1335" spans="1:17" ht="6.45" customHeight="1">
      <c r="A1335" t="s">
        <v>2877</v>
      </c>
      <c r="B1335">
        <v>16</v>
      </c>
      <c r="C1335" t="s">
        <v>49</v>
      </c>
      <c r="D1335">
        <v>23</v>
      </c>
      <c r="E1335" t="s">
        <v>951</v>
      </c>
      <c r="F1335" t="s">
        <v>5324</v>
      </c>
      <c r="G1335" t="str">
        <f>B21_Assessment!A23</f>
        <v>B1.TR</v>
      </c>
      <c r="H1335" t="str">
        <f>B21_Assessment!B23</f>
        <v>Existing / Verify</v>
      </c>
      <c r="I1335" t="str">
        <f>B21_Assessment!C23</f>
        <v>N/A</v>
      </c>
      <c r="J1335" t="str">
        <f>B21_Assessment!D23</f>
        <v>Verify Existing</v>
      </c>
      <c r="K1335" t="str">
        <f>B21_Assessment!E23</f>
        <v>Verify Existing</v>
      </c>
      <c r="L1335" t="str">
        <f>B21_Assessment!F23</f>
        <v>N/A / Verify</v>
      </c>
      <c r="M1335" t="str">
        <f>B21_Assessment!G23</f>
        <v>Verify</v>
      </c>
      <c r="N1335" t="str">
        <f>B21_Assessment!H23</f>
        <v>Verify</v>
      </c>
      <c r="O1335" t="str">
        <f>B21_Assessment!I23</f>
        <v>Verify</v>
      </c>
      <c r="P1335" t="str">
        <f>B21_Assessment!J23</f>
        <v>Existing B21 basement TR; verify protection-in-place and firestopping after cable transfer or reuse.</v>
      </c>
      <c r="Q1335" t="str">
        <f t="shared" si="20"/>
        <v>21|16</v>
      </c>
    </row>
    <row r="1336" spans="1:17" ht="6.45" customHeight="1">
      <c r="A1336" t="s">
        <v>2877</v>
      </c>
      <c r="B1336">
        <v>17</v>
      </c>
      <c r="C1336" t="s">
        <v>49</v>
      </c>
      <c r="D1336">
        <v>24</v>
      </c>
      <c r="E1336" t="s">
        <v>951</v>
      </c>
      <c r="F1336" t="s">
        <v>5324</v>
      </c>
      <c r="G1336" t="str">
        <f>B21_Assessment!A24</f>
        <v>B05TR</v>
      </c>
      <c r="H1336" t="str">
        <f>B21_Assessment!B24</f>
        <v>Existing / Verify</v>
      </c>
      <c r="I1336" t="str">
        <f>B21_Assessment!C24</f>
        <v>N/A</v>
      </c>
      <c r="J1336" t="str">
        <f>B21_Assessment!D24</f>
        <v>Verify Existing</v>
      </c>
      <c r="K1336" t="str">
        <f>B21_Assessment!E24</f>
        <v>Verify Existing</v>
      </c>
      <c r="L1336" t="str">
        <f>B21_Assessment!F24</f>
        <v>N/A / Verify</v>
      </c>
      <c r="M1336" t="str">
        <f>B21_Assessment!G24</f>
        <v>Verify</v>
      </c>
      <c r="N1336" t="str">
        <f>B21_Assessment!H24</f>
        <v>Verify</v>
      </c>
      <c r="O1336" t="str">
        <f>B21_Assessment!I24</f>
        <v>Verify</v>
      </c>
      <c r="P1336" t="str">
        <f>B21_Assessment!J24</f>
        <v>Existing B19 B05TR; verify protection-in-place and firestopping after cable transfer or reuse.</v>
      </c>
      <c r="Q1336" t="str">
        <f t="shared" si="20"/>
        <v>21|17</v>
      </c>
    </row>
    <row r="1337" spans="1:17" ht="6.45" customHeight="1">
      <c r="A1337" t="s">
        <v>2877</v>
      </c>
      <c r="B1337">
        <v>18</v>
      </c>
      <c r="C1337" t="s">
        <v>49</v>
      </c>
      <c r="D1337">
        <v>25</v>
      </c>
      <c r="E1337" t="s">
        <v>951</v>
      </c>
      <c r="F1337" t="s">
        <v>5325</v>
      </c>
      <c r="G1337">
        <f>B21_Assessment!A25</f>
        <v>0</v>
      </c>
      <c r="H1337">
        <f>B21_Assessment!B25</f>
        <v>0</v>
      </c>
      <c r="I1337">
        <f>B21_Assessment!C25</f>
        <v>0</v>
      </c>
      <c r="J1337">
        <f>B21_Assessment!D25</f>
        <v>0</v>
      </c>
      <c r="K1337">
        <f>B21_Assessment!E25</f>
        <v>0</v>
      </c>
      <c r="L1337">
        <f>B21_Assessment!F25</f>
        <v>0</v>
      </c>
      <c r="M1337">
        <f>B21_Assessment!G25</f>
        <v>0</v>
      </c>
      <c r="N1337">
        <f>B21_Assessment!H25</f>
        <v>0</v>
      </c>
      <c r="O1337">
        <f>B21_Assessment!I25</f>
        <v>0</v>
      </c>
      <c r="P1337">
        <f>B21_Assessment!J25</f>
        <v>0</v>
      </c>
      <c r="Q1337" t="str">
        <f t="shared" si="20"/>
        <v>21|18</v>
      </c>
    </row>
    <row r="1338" spans="1:17" ht="6.45" customHeight="1">
      <c r="A1338" t="s">
        <v>2877</v>
      </c>
      <c r="B1338">
        <v>19</v>
      </c>
      <c r="C1338" t="s">
        <v>49</v>
      </c>
      <c r="D1338">
        <v>26</v>
      </c>
      <c r="E1338" t="s">
        <v>964</v>
      </c>
      <c r="F1338" t="s">
        <v>5322</v>
      </c>
      <c r="G1338" t="str">
        <f>B21_Assessment!A26</f>
        <v>4. HVAC / COOLING</v>
      </c>
      <c r="H1338">
        <f>B21_Assessment!B26</f>
        <v>0</v>
      </c>
      <c r="I1338">
        <f>B21_Assessment!C26</f>
        <v>0</v>
      </c>
      <c r="J1338">
        <f>B21_Assessment!D26</f>
        <v>0</v>
      </c>
      <c r="K1338">
        <f>B21_Assessment!E26</f>
        <v>0</v>
      </c>
      <c r="L1338">
        <f>B21_Assessment!F26</f>
        <v>0</v>
      </c>
      <c r="M1338">
        <f>B21_Assessment!G26</f>
        <v>0</v>
      </c>
      <c r="N1338">
        <f>B21_Assessment!H26</f>
        <v>0</v>
      </c>
      <c r="O1338">
        <f>B21_Assessment!I26</f>
        <v>0</v>
      </c>
      <c r="P1338">
        <f>B21_Assessment!J26</f>
        <v>0</v>
      </c>
      <c r="Q1338" t="str">
        <f t="shared" si="20"/>
        <v>21|19</v>
      </c>
    </row>
    <row r="1339" spans="1:17" ht="6.45" customHeight="1">
      <c r="A1339" t="s">
        <v>2877</v>
      </c>
      <c r="B1339">
        <v>20</v>
      </c>
      <c r="C1339" t="s">
        <v>49</v>
      </c>
      <c r="D1339">
        <v>27</v>
      </c>
      <c r="E1339" t="s">
        <v>964</v>
      </c>
      <c r="F1339" t="s">
        <v>5323</v>
      </c>
      <c r="G1339" t="str">
        <f>B21_Assessment!A27</f>
        <v>Room</v>
      </c>
      <c r="H1339" t="str">
        <f>B21_Assessment!B27</f>
        <v>Dedicated Unit</v>
      </c>
      <c r="I1339" t="str">
        <f>B21_Assessment!C27</f>
        <v>Capacity Verified</v>
      </c>
      <c r="J1339" t="str">
        <f>B21_Assessment!D27</f>
        <v>Emergency Power</v>
      </c>
      <c r="K1339" t="str">
        <f>B21_Assessment!E27</f>
        <v>Controls / BACnet</v>
      </c>
      <c r="L1339" t="str">
        <f>B21_Assessment!F27</f>
        <v>Condensate Routed</v>
      </c>
      <c r="M1339" t="str">
        <f>B21_Assessment!G27</f>
        <v>High Temp Alarm</v>
      </c>
      <c r="N1339" t="str">
        <f>B21_Assessment!H27</f>
        <v>24/7 Operation</v>
      </c>
      <c r="O1339" t="str">
        <f>B21_Assessment!I27</f>
        <v>Overall</v>
      </c>
      <c r="P1339" t="str">
        <f>B21_Assessment!J27</f>
        <v>Risk / Notes</v>
      </c>
      <c r="Q1339" t="str">
        <f t="shared" si="20"/>
        <v>21|20</v>
      </c>
    </row>
    <row r="1340" spans="1:17" ht="6.45" customHeight="1">
      <c r="A1340" t="s">
        <v>2877</v>
      </c>
      <c r="B1340">
        <v>21</v>
      </c>
      <c r="C1340" t="s">
        <v>49</v>
      </c>
      <c r="D1340">
        <v>28</v>
      </c>
      <c r="E1340" t="s">
        <v>964</v>
      </c>
      <c r="F1340" t="s">
        <v>5324</v>
      </c>
      <c r="G1340" t="str">
        <f>B21_Assessment!A28</f>
        <v>100A</v>
      </c>
      <c r="H1340" t="str">
        <f>B21_Assessment!B28</f>
        <v>Verify / Existing HVAC</v>
      </c>
      <c r="I1340" t="str">
        <f>B21_Assessment!C28</f>
        <v>Verify</v>
      </c>
      <c r="J1340" t="str">
        <f>B21_Assessment!D28</f>
        <v>Verify</v>
      </c>
      <c r="K1340" t="str">
        <f>B21_Assessment!E28</f>
        <v>Verify</v>
      </c>
      <c r="L1340" t="str">
        <f>B21_Assessment!F28</f>
        <v>Verify</v>
      </c>
      <c r="M1340" t="str">
        <f>B21_Assessment!G28</f>
        <v>Verify</v>
      </c>
      <c r="N1340" t="str">
        <f>B21_Assessment!H28</f>
        <v>Verify</v>
      </c>
      <c r="O1340" t="str">
        <f>B21_Assessment!I28</f>
        <v>Verify</v>
      </c>
      <c r="P1340" t="str">
        <f>B21_Assessment!J28</f>
        <v>Mechanical sheets exist in index. Verify whether new TE heat load in Office 100A is supported by existing/new HVAC and whether any mechanical scope applies despite TE designation.</v>
      </c>
      <c r="Q1340" t="str">
        <f t="shared" si="20"/>
        <v>21|21</v>
      </c>
    </row>
    <row r="1341" spans="1:17" ht="6.45" customHeight="1">
      <c r="A1341" t="s">
        <v>2877</v>
      </c>
      <c r="B1341">
        <v>22</v>
      </c>
      <c r="C1341" t="s">
        <v>49</v>
      </c>
      <c r="D1341">
        <v>29</v>
      </c>
      <c r="E1341" t="s">
        <v>964</v>
      </c>
      <c r="F1341" t="s">
        <v>5324</v>
      </c>
      <c r="G1341" t="str">
        <f>B21_Assessment!A29</f>
        <v>B1.TR</v>
      </c>
      <c r="H1341" t="str">
        <f>B21_Assessment!B29</f>
        <v>Existing / Verify</v>
      </c>
      <c r="I1341" t="str">
        <f>B21_Assessment!C29</f>
        <v>Verify</v>
      </c>
      <c r="J1341" t="str">
        <f>B21_Assessment!D29</f>
        <v>Verify</v>
      </c>
      <c r="K1341" t="str">
        <f>B21_Assessment!E29</f>
        <v>Verify</v>
      </c>
      <c r="L1341" t="str">
        <f>B21_Assessment!F29</f>
        <v>Verify</v>
      </c>
      <c r="M1341" t="str">
        <f>B21_Assessment!G29</f>
        <v>Verify</v>
      </c>
      <c r="N1341" t="str">
        <f>B21_Assessment!H29</f>
        <v>Verify</v>
      </c>
      <c r="O1341" t="str">
        <f>B21_Assessment!I29</f>
        <v>Verify</v>
      </c>
      <c r="P1341" t="str">
        <f>B21_Assessment!J29</f>
        <v>Existing B21 B1.TR; verify environmental conditions during cutover and whether legacy equipment remains active.</v>
      </c>
      <c r="Q1341" t="str">
        <f t="shared" si="20"/>
        <v>21|22</v>
      </c>
    </row>
    <row r="1342" spans="1:17" ht="6.45" customHeight="1">
      <c r="A1342" t="s">
        <v>2877</v>
      </c>
      <c r="B1342">
        <v>23</v>
      </c>
      <c r="C1342" t="s">
        <v>49</v>
      </c>
      <c r="D1342">
        <v>30</v>
      </c>
      <c r="E1342" t="s">
        <v>964</v>
      </c>
      <c r="F1342" t="s">
        <v>5324</v>
      </c>
      <c r="G1342" t="str">
        <f>B21_Assessment!A30</f>
        <v>B05TR</v>
      </c>
      <c r="H1342" t="str">
        <f>B21_Assessment!B30</f>
        <v>Existing / Verify</v>
      </c>
      <c r="I1342" t="str">
        <f>B21_Assessment!C30</f>
        <v>Verify</v>
      </c>
      <c r="J1342" t="str">
        <f>B21_Assessment!D30</f>
        <v>Verify</v>
      </c>
      <c r="K1342" t="str">
        <f>B21_Assessment!E30</f>
        <v>Verify</v>
      </c>
      <c r="L1342" t="str">
        <f>B21_Assessment!F30</f>
        <v>Verify</v>
      </c>
      <c r="M1342" t="str">
        <f>B21_Assessment!G30</f>
        <v>Verify</v>
      </c>
      <c r="N1342" t="str">
        <f>B21_Assessment!H30</f>
        <v>Verify</v>
      </c>
      <c r="O1342" t="str">
        <f>B21_Assessment!I30</f>
        <v>Verify</v>
      </c>
      <c r="P1342" t="str">
        <f>B21_Assessment!J30</f>
        <v>Existing B19 B05TR; verify environmental conditions and whether equipment remains active during/after Building 21 transfer.</v>
      </c>
      <c r="Q1342" t="str">
        <f t="shared" si="20"/>
        <v>21|23</v>
      </c>
    </row>
    <row r="1343" spans="1:17" ht="6.45" customHeight="1">
      <c r="A1343" t="s">
        <v>2877</v>
      </c>
      <c r="B1343">
        <v>24</v>
      </c>
      <c r="C1343" t="s">
        <v>49</v>
      </c>
      <c r="D1343">
        <v>31</v>
      </c>
      <c r="E1343" t="s">
        <v>964</v>
      </c>
      <c r="F1343" t="s">
        <v>5325</v>
      </c>
      <c r="G1343">
        <f>B21_Assessment!A31</f>
        <v>0</v>
      </c>
      <c r="H1343">
        <f>B21_Assessment!B31</f>
        <v>0</v>
      </c>
      <c r="I1343">
        <f>B21_Assessment!C31</f>
        <v>0</v>
      </c>
      <c r="J1343">
        <f>B21_Assessment!D31</f>
        <v>0</v>
      </c>
      <c r="K1343">
        <f>B21_Assessment!E31</f>
        <v>0</v>
      </c>
      <c r="L1343">
        <f>B21_Assessment!F31</f>
        <v>0</v>
      </c>
      <c r="M1343">
        <f>B21_Assessment!G31</f>
        <v>0</v>
      </c>
      <c r="N1343">
        <f>B21_Assessment!H31</f>
        <v>0</v>
      </c>
      <c r="O1343">
        <f>B21_Assessment!I31</f>
        <v>0</v>
      </c>
      <c r="P1343">
        <f>B21_Assessment!J31</f>
        <v>0</v>
      </c>
      <c r="Q1343" t="str">
        <f t="shared" si="20"/>
        <v>21|24</v>
      </c>
    </row>
    <row r="1344" spans="1:17" ht="6.45" customHeight="1">
      <c r="A1344" t="s">
        <v>2877</v>
      </c>
      <c r="B1344">
        <v>25</v>
      </c>
      <c r="C1344" t="s">
        <v>49</v>
      </c>
      <c r="D1344">
        <v>32</v>
      </c>
      <c r="E1344" t="s">
        <v>977</v>
      </c>
      <c r="F1344" t="s">
        <v>5322</v>
      </c>
      <c r="G1344" t="str">
        <f>B21_Assessment!A32</f>
        <v>5. ELECTRICAL / UPS</v>
      </c>
      <c r="H1344">
        <f>B21_Assessment!B32</f>
        <v>0</v>
      </c>
      <c r="I1344">
        <f>B21_Assessment!C32</f>
        <v>0</v>
      </c>
      <c r="J1344">
        <f>B21_Assessment!D32</f>
        <v>0</v>
      </c>
      <c r="K1344">
        <f>B21_Assessment!E32</f>
        <v>0</v>
      </c>
      <c r="L1344">
        <f>B21_Assessment!F32</f>
        <v>0</v>
      </c>
      <c r="M1344">
        <f>B21_Assessment!G32</f>
        <v>0</v>
      </c>
      <c r="N1344">
        <f>B21_Assessment!H32</f>
        <v>0</v>
      </c>
      <c r="O1344">
        <f>B21_Assessment!I32</f>
        <v>0</v>
      </c>
      <c r="P1344">
        <f>B21_Assessment!J32</f>
        <v>0</v>
      </c>
      <c r="Q1344" t="str">
        <f t="shared" si="20"/>
        <v>21|25</v>
      </c>
    </row>
    <row r="1345" spans="1:17" ht="6.45" customHeight="1">
      <c r="A1345" t="s">
        <v>2877</v>
      </c>
      <c r="B1345">
        <v>26</v>
      </c>
      <c r="C1345" t="s">
        <v>49</v>
      </c>
      <c r="D1345">
        <v>33</v>
      </c>
      <c r="E1345" t="s">
        <v>977</v>
      </c>
      <c r="F1345" t="s">
        <v>5323</v>
      </c>
      <c r="G1345" t="str">
        <f>B21_Assessment!A33</f>
        <v>Room</v>
      </c>
      <c r="H1345" t="str">
        <f>B21_Assessment!B33</f>
        <v>UPS Installed</v>
      </c>
      <c r="I1345" t="str">
        <f>B21_Assessment!C33</f>
        <v>UPS Size</v>
      </c>
      <c r="J1345" t="str">
        <f>B21_Assessment!D33</f>
        <v>PDU Installed</v>
      </c>
      <c r="K1345" t="str">
        <f>B21_Assessment!E33</f>
        <v>Rack Receptacles</v>
      </c>
      <c r="L1345" t="str">
        <f>B21_Assessment!F33</f>
        <v>Panel Assigned</v>
      </c>
      <c r="M1345" t="str">
        <f>B21_Assessment!G33</f>
        <v>Emergency Source</v>
      </c>
      <c r="N1345" t="str">
        <f>B21_Assessment!H33</f>
        <v>SPD / Labeling</v>
      </c>
      <c r="O1345" t="str">
        <f>B21_Assessment!I33</f>
        <v>Overall</v>
      </c>
      <c r="P1345" t="str">
        <f>B21_Assessment!J33</f>
        <v>Notes</v>
      </c>
      <c r="Q1345" t="str">
        <f t="shared" si="20"/>
        <v>21|26</v>
      </c>
    </row>
    <row r="1346" spans="1:17" ht="6.45" customHeight="1">
      <c r="A1346" t="s">
        <v>2877</v>
      </c>
      <c r="B1346">
        <v>27</v>
      </c>
      <c r="C1346" t="s">
        <v>49</v>
      </c>
      <c r="D1346">
        <v>34</v>
      </c>
      <c r="E1346" t="s">
        <v>977</v>
      </c>
      <c r="F1346" t="s">
        <v>5324</v>
      </c>
      <c r="G1346" t="str">
        <f>B21_Assessment!A34</f>
        <v>100A</v>
      </c>
      <c r="H1346" t="str">
        <f>B21_Assessment!B34</f>
        <v>Verify</v>
      </c>
      <c r="I1346" t="str">
        <f>B21_Assessment!C34</f>
        <v>APC UPS / TE enclosure</v>
      </c>
      <c r="J1346" t="str">
        <f>B21_Assessment!D34</f>
        <v>Verify</v>
      </c>
      <c r="K1346" t="str">
        <f>B21_Assessment!E34</f>
        <v>Verify</v>
      </c>
      <c r="L1346" t="str">
        <f>B21_Assessment!F34</f>
        <v>21_19E-101 / 21_19E-701 source to verify</v>
      </c>
      <c r="M1346" t="str">
        <f>B21_Assessment!G34</f>
        <v>Verify</v>
      </c>
      <c r="N1346" t="str">
        <f>B21_Assessment!H34</f>
        <v>Verify</v>
      </c>
      <c r="O1346" t="str">
        <f>B21_Assessment!I34</f>
        <v>Verify</v>
      </c>
      <c r="P1346" t="str">
        <f>B21_Assessment!J34</f>
        <v>21_19T-604 new enclosure elevation shows APC UPS, two PDU L5-30 input / NEMA 5-20 output units, 120V outlet UPS, 120V outlet PDU, network switches, 48-port Cat6A patch panel and Fiber LIU. Verify circuit source, receptacle type, grounding/bonding and labels.</v>
      </c>
      <c r="Q1346" t="str">
        <f t="shared" ref="Q1346:Q1409" si="21">A1346&amp;"|"&amp;B1346</f>
        <v>21|27</v>
      </c>
    </row>
    <row r="1347" spans="1:17" ht="6.45" customHeight="1">
      <c r="A1347" t="s">
        <v>2877</v>
      </c>
      <c r="B1347">
        <v>28</v>
      </c>
      <c r="C1347" t="s">
        <v>49</v>
      </c>
      <c r="D1347">
        <v>35</v>
      </c>
      <c r="E1347" t="s">
        <v>977</v>
      </c>
      <c r="F1347" t="s">
        <v>5324</v>
      </c>
      <c r="G1347" t="str">
        <f>B21_Assessment!A35</f>
        <v>B1.TR</v>
      </c>
      <c r="H1347" t="str">
        <f>B21_Assessment!B35</f>
        <v>Existing</v>
      </c>
      <c r="I1347" t="str">
        <f>B21_Assessment!C35</f>
        <v>Existing APC floor UPS</v>
      </c>
      <c r="J1347" t="str">
        <f>B21_Assessment!D35</f>
        <v>Existing</v>
      </c>
      <c r="K1347" t="str">
        <f>B21_Assessment!E35</f>
        <v>Verify</v>
      </c>
      <c r="L1347" t="str">
        <f>B21_Assessment!F35</f>
        <v>Existing / Verify</v>
      </c>
      <c r="M1347" t="str">
        <f>B21_Assessment!G35</f>
        <v>Verify</v>
      </c>
      <c r="N1347" t="str">
        <f>B21_Assessment!H35</f>
        <v>Verify</v>
      </c>
      <c r="O1347" t="str">
        <f>B21_Assessment!I35</f>
        <v>Verify</v>
      </c>
      <c r="P1347" t="str">
        <f>B21_Assessment!J35</f>
        <v>Existing B21 B1.TR elevation shows UPS on ground, Cisco switch, legacy patch panels and Fiber LIU; verify source circuits, UPS status, and transition requirements.</v>
      </c>
      <c r="Q1347" t="str">
        <f t="shared" si="21"/>
        <v>21|28</v>
      </c>
    </row>
    <row r="1348" spans="1:17" ht="6.45" customHeight="1">
      <c r="A1348" t="s">
        <v>2877</v>
      </c>
      <c r="B1348">
        <v>29</v>
      </c>
      <c r="C1348" t="s">
        <v>49</v>
      </c>
      <c r="D1348">
        <v>36</v>
      </c>
      <c r="E1348" t="s">
        <v>977</v>
      </c>
      <c r="F1348" t="s">
        <v>5324</v>
      </c>
      <c r="G1348" t="str">
        <f>B21_Assessment!A36</f>
        <v>B05TR</v>
      </c>
      <c r="H1348" t="str">
        <f>B21_Assessment!B36</f>
        <v>Existing</v>
      </c>
      <c r="I1348" t="str">
        <f>B21_Assessment!C36</f>
        <v>Existing APC floor UPS</v>
      </c>
      <c r="J1348" t="str">
        <f>B21_Assessment!D36</f>
        <v>Existing</v>
      </c>
      <c r="K1348" t="str">
        <f>B21_Assessment!E36</f>
        <v>Verify</v>
      </c>
      <c r="L1348" t="str">
        <f>B21_Assessment!F36</f>
        <v>Existing / Verify</v>
      </c>
      <c r="M1348" t="str">
        <f>B21_Assessment!G36</f>
        <v>Verify</v>
      </c>
      <c r="N1348" t="str">
        <f>B21_Assessment!H36</f>
        <v>Verify</v>
      </c>
      <c r="O1348" t="str">
        <f>B21_Assessment!I36</f>
        <v>Verify</v>
      </c>
      <c r="P1348" t="str">
        <f>B21_Assessment!J36</f>
        <v>Existing B19 B05TR elevations show APC floor UPS, legacy patch panels, Cisco switch and Fiber LIU; verify power source, active equipment and transfer/retention requirements.</v>
      </c>
      <c r="Q1348" t="str">
        <f t="shared" si="21"/>
        <v>21|29</v>
      </c>
    </row>
    <row r="1349" spans="1:17" ht="6.45" customHeight="1">
      <c r="A1349" t="s">
        <v>2877</v>
      </c>
      <c r="B1349">
        <v>30</v>
      </c>
      <c r="C1349" t="s">
        <v>49</v>
      </c>
      <c r="D1349">
        <v>37</v>
      </c>
      <c r="E1349" t="s">
        <v>977</v>
      </c>
      <c r="F1349" t="s">
        <v>5325</v>
      </c>
      <c r="G1349">
        <f>B21_Assessment!A37</f>
        <v>0</v>
      </c>
      <c r="H1349">
        <f>B21_Assessment!B37</f>
        <v>0</v>
      </c>
      <c r="I1349">
        <f>B21_Assessment!C37</f>
        <v>0</v>
      </c>
      <c r="J1349">
        <f>B21_Assessment!D37</f>
        <v>0</v>
      </c>
      <c r="K1349">
        <f>B21_Assessment!E37</f>
        <v>0</v>
      </c>
      <c r="L1349">
        <f>B21_Assessment!F37</f>
        <v>0</v>
      </c>
      <c r="M1349">
        <f>B21_Assessment!G37</f>
        <v>0</v>
      </c>
      <c r="N1349">
        <f>B21_Assessment!H37</f>
        <v>0</v>
      </c>
      <c r="O1349">
        <f>B21_Assessment!I37</f>
        <v>0</v>
      </c>
      <c r="P1349">
        <f>B21_Assessment!J37</f>
        <v>0</v>
      </c>
      <c r="Q1349" t="str">
        <f t="shared" si="21"/>
        <v>21|30</v>
      </c>
    </row>
    <row r="1350" spans="1:17" ht="6.45" customHeight="1">
      <c r="A1350" t="s">
        <v>2877</v>
      </c>
      <c r="B1350">
        <v>31</v>
      </c>
      <c r="C1350" t="s">
        <v>49</v>
      </c>
      <c r="D1350">
        <v>38</v>
      </c>
      <c r="E1350" t="s">
        <v>994</v>
      </c>
      <c r="F1350" t="s">
        <v>5322</v>
      </c>
      <c r="G1350" t="str">
        <f>B21_Assessment!A38</f>
        <v>6. TELECOMMUNICATIONS</v>
      </c>
      <c r="H1350">
        <f>B21_Assessment!B38</f>
        <v>0</v>
      </c>
      <c r="I1350">
        <f>B21_Assessment!C38</f>
        <v>0</v>
      </c>
      <c r="J1350">
        <f>B21_Assessment!D38</f>
        <v>0</v>
      </c>
      <c r="K1350">
        <f>B21_Assessment!E38</f>
        <v>0</v>
      </c>
      <c r="L1350">
        <f>B21_Assessment!F38</f>
        <v>0</v>
      </c>
      <c r="M1350">
        <f>B21_Assessment!G38</f>
        <v>0</v>
      </c>
      <c r="N1350">
        <f>B21_Assessment!H38</f>
        <v>0</v>
      </c>
      <c r="O1350">
        <f>B21_Assessment!I38</f>
        <v>0</v>
      </c>
      <c r="P1350">
        <f>B21_Assessment!J38</f>
        <v>0</v>
      </c>
      <c r="Q1350" t="str">
        <f t="shared" si="21"/>
        <v>21|31</v>
      </c>
    </row>
    <row r="1351" spans="1:17" ht="6.45" customHeight="1">
      <c r="A1351" t="s">
        <v>2877</v>
      </c>
      <c r="B1351">
        <v>32</v>
      </c>
      <c r="C1351" t="s">
        <v>49</v>
      </c>
      <c r="D1351">
        <v>39</v>
      </c>
      <c r="E1351" t="s">
        <v>994</v>
      </c>
      <c r="F1351" t="s">
        <v>5323</v>
      </c>
      <c r="G1351" t="str">
        <f>B21_Assessment!A39</f>
        <v>Room</v>
      </c>
      <c r="H1351" t="str">
        <f>B21_Assessment!B39</f>
        <v>Rack Installed</v>
      </c>
      <c r="I1351" t="str">
        <f>B21_Assessment!C39</f>
        <v>Ladder Tray</v>
      </c>
      <c r="J1351" t="str">
        <f>B21_Assessment!D39</f>
        <v>Fiber Installed</v>
      </c>
      <c r="K1351" t="str">
        <f>B21_Assessment!E39</f>
        <v>Grounding</v>
      </c>
      <c r="L1351" t="str">
        <f>B21_Assessment!F39</f>
        <v>Labeling</v>
      </c>
      <c r="M1351" t="str">
        <f>B21_Assessment!G39</f>
        <v>Testing</v>
      </c>
      <c r="N1351" t="str">
        <f>B21_Assessment!H39</f>
        <v>VA Acceptance</v>
      </c>
      <c r="O1351" t="str">
        <f>B21_Assessment!I39</f>
        <v>Overall</v>
      </c>
      <c r="P1351" t="str">
        <f>B21_Assessment!J39</f>
        <v>Notes</v>
      </c>
      <c r="Q1351" t="str">
        <f t="shared" si="21"/>
        <v>21|32</v>
      </c>
    </row>
    <row r="1352" spans="1:17" ht="6.45" customHeight="1">
      <c r="A1352" t="s">
        <v>2877</v>
      </c>
      <c r="B1352">
        <v>33</v>
      </c>
      <c r="C1352" t="s">
        <v>49</v>
      </c>
      <c r="D1352">
        <v>40</v>
      </c>
      <c r="E1352" t="s">
        <v>994</v>
      </c>
      <c r="F1352" t="s">
        <v>5324</v>
      </c>
      <c r="G1352" t="str">
        <f>B21_Assessment!A40</f>
        <v>100A</v>
      </c>
      <c r="H1352" t="str">
        <f>B21_Assessment!B40</f>
        <v>Verify</v>
      </c>
      <c r="I1352" t="str">
        <f>B21_Assessment!C40</f>
        <v>Verify</v>
      </c>
      <c r="J1352" t="str">
        <f>B21_Assessment!D40</f>
        <v>Verify</v>
      </c>
      <c r="K1352" t="str">
        <f>B21_Assessment!E40</f>
        <v>Verify</v>
      </c>
      <c r="L1352" t="str">
        <f>B21_Assessment!F40</f>
        <v>Verify</v>
      </c>
      <c r="M1352" t="str">
        <f>B21_Assessment!G40</f>
        <v>Verify</v>
      </c>
      <c r="N1352" t="str">
        <f>B21_Assessment!H40</f>
        <v>Verify</v>
      </c>
      <c r="O1352" t="str">
        <f>B21_Assessment!I40</f>
        <v>Verify</v>
      </c>
      <c r="P1352" t="str">
        <f>B21_Assessment!J40</f>
        <v>21_19T-701 identifies RM 104 schedule: 90 WAO total, 67 active ports per survey, 119 ports per schedule, and 131 total ports with 10% allowance. 659 ft cable tray total: 63 ft basement and 596 ft first level.</v>
      </c>
      <c r="Q1352" t="str">
        <f t="shared" si="21"/>
        <v>21|33</v>
      </c>
    </row>
    <row r="1353" spans="1:17" ht="6.45" customHeight="1">
      <c r="A1353" t="s">
        <v>2877</v>
      </c>
      <c r="B1353">
        <v>34</v>
      </c>
      <c r="C1353" t="s">
        <v>49</v>
      </c>
      <c r="D1353">
        <v>41</v>
      </c>
      <c r="E1353" t="s">
        <v>994</v>
      </c>
      <c r="F1353" t="s">
        <v>5324</v>
      </c>
      <c r="G1353" t="str">
        <f>B21_Assessment!A41</f>
        <v>B1.TR</v>
      </c>
      <c r="H1353" t="str">
        <f>B21_Assessment!B41</f>
        <v>Existing</v>
      </c>
      <c r="I1353" t="str">
        <f>B21_Assessment!C41</f>
        <v>Existing</v>
      </c>
      <c r="J1353" t="str">
        <f>B21_Assessment!D41</f>
        <v>Existing</v>
      </c>
      <c r="K1353" t="str">
        <f>B21_Assessment!E41</f>
        <v>Verify</v>
      </c>
      <c r="L1353" t="str">
        <f>B21_Assessment!F41</f>
        <v>Verify</v>
      </c>
      <c r="M1353" t="str">
        <f>B21_Assessment!G41</f>
        <v>Verify</v>
      </c>
      <c r="N1353" t="str">
        <f>B21_Assessment!H41</f>
        <v>Verify</v>
      </c>
      <c r="O1353" t="str">
        <f>B21_Assessment!I41</f>
        <v>Verify</v>
      </c>
      <c r="P1353" t="str">
        <f>B21_Assessment!J41</f>
        <v>Existing B21 B1.TR equipment includes multiple legacy patch panels, Cisco switch, UPS on ground, Fiber LIU and APC floor UPS; verify active services and transfer plan to new TE.</v>
      </c>
      <c r="Q1353" t="str">
        <f t="shared" si="21"/>
        <v>21|34</v>
      </c>
    </row>
    <row r="1354" spans="1:17" ht="6.45" customHeight="1">
      <c r="A1354" t="s">
        <v>2877</v>
      </c>
      <c r="B1354">
        <v>35</v>
      </c>
      <c r="C1354" t="s">
        <v>49</v>
      </c>
      <c r="D1354">
        <v>42</v>
      </c>
      <c r="E1354" t="s">
        <v>994</v>
      </c>
      <c r="F1354" t="s">
        <v>5324</v>
      </c>
      <c r="G1354" t="str">
        <f>B21_Assessment!A42</f>
        <v>B05TR</v>
      </c>
      <c r="H1354" t="str">
        <f>B21_Assessment!B42</f>
        <v>Existing</v>
      </c>
      <c r="I1354" t="str">
        <f>B21_Assessment!C42</f>
        <v>Existing</v>
      </c>
      <c r="J1354" t="str">
        <f>B21_Assessment!D42</f>
        <v>Existing</v>
      </c>
      <c r="K1354" t="str">
        <f>B21_Assessment!E42</f>
        <v>Verify</v>
      </c>
      <c r="L1354" t="str">
        <f>B21_Assessment!F42</f>
        <v>Verify</v>
      </c>
      <c r="M1354" t="str">
        <f>B21_Assessment!G42</f>
        <v>Verify</v>
      </c>
      <c r="N1354" t="str">
        <f>B21_Assessment!H42</f>
        <v>Verify</v>
      </c>
      <c r="O1354" t="str">
        <f>B21_Assessment!I42</f>
        <v>Verify</v>
      </c>
      <c r="P1354" t="str">
        <f>B21_Assessment!J42</f>
        <v>Existing B19 B05TR equipment includes legacy Ortronics patch panels, Cisco switch, Fiber LIU and APC floor UPS; verify active services and whether B19/B21 devices are served from new enclosure.</v>
      </c>
      <c r="Q1354" t="str">
        <f t="shared" si="21"/>
        <v>21|35</v>
      </c>
    </row>
    <row r="1355" spans="1:17" ht="6.45" customHeight="1">
      <c r="A1355" t="s">
        <v>2877</v>
      </c>
      <c r="B1355">
        <v>36</v>
      </c>
      <c r="C1355" t="s">
        <v>49</v>
      </c>
      <c r="D1355">
        <v>43</v>
      </c>
      <c r="E1355" t="s">
        <v>994</v>
      </c>
      <c r="F1355" t="s">
        <v>5325</v>
      </c>
      <c r="G1355">
        <f>B21_Assessment!A43</f>
        <v>0</v>
      </c>
      <c r="H1355">
        <f>B21_Assessment!B43</f>
        <v>0</v>
      </c>
      <c r="I1355">
        <f>B21_Assessment!C43</f>
        <v>0</v>
      </c>
      <c r="J1355">
        <f>B21_Assessment!D43</f>
        <v>0</v>
      </c>
      <c r="K1355">
        <f>B21_Assessment!E43</f>
        <v>0</v>
      </c>
      <c r="L1355">
        <f>B21_Assessment!F43</f>
        <v>0</v>
      </c>
      <c r="M1355">
        <f>B21_Assessment!G43</f>
        <v>0</v>
      </c>
      <c r="N1355">
        <f>B21_Assessment!H43</f>
        <v>0</v>
      </c>
      <c r="O1355">
        <f>B21_Assessment!I43</f>
        <v>0</v>
      </c>
      <c r="P1355">
        <f>B21_Assessment!J43</f>
        <v>0</v>
      </c>
      <c r="Q1355" t="str">
        <f t="shared" si="21"/>
        <v>21|36</v>
      </c>
    </row>
    <row r="1356" spans="1:17" ht="6.45" customHeight="1">
      <c r="A1356" t="s">
        <v>2877</v>
      </c>
      <c r="B1356">
        <v>37</v>
      </c>
      <c r="C1356" t="s">
        <v>49</v>
      </c>
      <c r="D1356">
        <v>44</v>
      </c>
      <c r="E1356" t="s">
        <v>1007</v>
      </c>
      <c r="F1356" t="s">
        <v>5322</v>
      </c>
      <c r="G1356" t="str">
        <f>B21_Assessment!A44</f>
        <v>7. SECURITY / PACS / CCTV</v>
      </c>
      <c r="H1356">
        <f>B21_Assessment!B44</f>
        <v>0</v>
      </c>
      <c r="I1356">
        <f>B21_Assessment!C44</f>
        <v>0</v>
      </c>
      <c r="J1356">
        <f>B21_Assessment!D44</f>
        <v>0</v>
      </c>
      <c r="K1356">
        <f>B21_Assessment!E44</f>
        <v>0</v>
      </c>
      <c r="L1356">
        <f>B21_Assessment!F44</f>
        <v>0</v>
      </c>
      <c r="M1356">
        <f>B21_Assessment!G44</f>
        <v>0</v>
      </c>
      <c r="N1356">
        <f>B21_Assessment!H44</f>
        <v>0</v>
      </c>
      <c r="O1356">
        <f>B21_Assessment!I44</f>
        <v>0</v>
      </c>
      <c r="P1356">
        <f>B21_Assessment!J44</f>
        <v>0</v>
      </c>
      <c r="Q1356" t="str">
        <f t="shared" si="21"/>
        <v>21|37</v>
      </c>
    </row>
    <row r="1357" spans="1:17" ht="6.45" customHeight="1">
      <c r="A1357" t="s">
        <v>2877</v>
      </c>
      <c r="B1357">
        <v>38</v>
      </c>
      <c r="C1357" t="s">
        <v>49</v>
      </c>
      <c r="D1357">
        <v>45</v>
      </c>
      <c r="E1357" t="s">
        <v>1007</v>
      </c>
      <c r="F1357" t="s">
        <v>5323</v>
      </c>
      <c r="G1357" t="str">
        <f>B21_Assessment!A45</f>
        <v>Room</v>
      </c>
      <c r="H1357" t="str">
        <f>B21_Assessment!B45</f>
        <v>PACS</v>
      </c>
      <c r="I1357" t="str">
        <f>B21_Assessment!C45</f>
        <v>Card Reader</v>
      </c>
      <c r="J1357" t="str">
        <f>B21_Assessment!D45</f>
        <v>Door Position</v>
      </c>
      <c r="K1357" t="str">
        <f>B21_Assessment!E45</f>
        <v>Electric Strike</v>
      </c>
      <c r="L1357" t="str">
        <f>B21_Assessment!F45</f>
        <v>CCTV</v>
      </c>
      <c r="M1357" t="str">
        <f>B21_Assessment!G45</f>
        <v>Motion Sensor</v>
      </c>
      <c r="N1357" t="str">
        <f>B21_Assessment!H45</f>
        <v>Integration</v>
      </c>
      <c r="O1357" t="str">
        <f>B21_Assessment!I45</f>
        <v>Overall</v>
      </c>
      <c r="P1357" t="str">
        <f>B21_Assessment!J45</f>
        <v>Notes</v>
      </c>
      <c r="Q1357" t="str">
        <f t="shared" si="21"/>
        <v>21|38</v>
      </c>
    </row>
    <row r="1358" spans="1:17" ht="6.45" customHeight="1">
      <c r="A1358" t="s">
        <v>2877</v>
      </c>
      <c r="B1358">
        <v>39</v>
      </c>
      <c r="C1358" t="s">
        <v>49</v>
      </c>
      <c r="D1358">
        <v>46</v>
      </c>
      <c r="E1358" t="s">
        <v>1007</v>
      </c>
      <c r="F1358" t="s">
        <v>5324</v>
      </c>
      <c r="G1358" t="str">
        <f>B21_Assessment!A46</f>
        <v>100A</v>
      </c>
      <c r="H1358" t="str">
        <f>B21_Assessment!B46</f>
        <v>N/A / Verify</v>
      </c>
      <c r="I1358" t="str">
        <f>B21_Assessment!C46</f>
        <v>N/A / Verify</v>
      </c>
      <c r="J1358" t="str">
        <f>B21_Assessment!D46</f>
        <v>N/A / Verify</v>
      </c>
      <c r="K1358" t="str">
        <f>B21_Assessment!E46</f>
        <v>N/A / Verify</v>
      </c>
      <c r="L1358" t="str">
        <f>B21_Assessment!F46</f>
        <v>Verify Existing</v>
      </c>
      <c r="M1358" t="str">
        <f>B21_Assessment!G46</f>
        <v>Verify Existing</v>
      </c>
      <c r="N1358" t="str">
        <f>B21_Assessment!H46</f>
        <v>Verify</v>
      </c>
      <c r="O1358" t="str">
        <f>B21_Assessment!I46</f>
        <v>Verify</v>
      </c>
      <c r="P1358" t="str">
        <f>B21_Assessment!J46</f>
        <v>Building 21_19 appears to create a TE enclosure rather than a full TR door/PACS package. Verify any existing cameras/security devices in Room 100A and ensure no camera angle or VMS integration is disrupted.</v>
      </c>
      <c r="Q1358" t="str">
        <f t="shared" si="21"/>
        <v>21|39</v>
      </c>
    </row>
    <row r="1359" spans="1:17" ht="6.45" customHeight="1">
      <c r="A1359" t="s">
        <v>2877</v>
      </c>
      <c r="B1359">
        <v>40</v>
      </c>
      <c r="C1359" t="s">
        <v>49</v>
      </c>
      <c r="D1359">
        <v>47</v>
      </c>
      <c r="E1359" t="s">
        <v>1007</v>
      </c>
      <c r="F1359" t="s">
        <v>5324</v>
      </c>
      <c r="G1359" t="str">
        <f>B21_Assessment!A47</f>
        <v>B1.TR</v>
      </c>
      <c r="H1359" t="str">
        <f>B21_Assessment!B47</f>
        <v>N/A / Verify</v>
      </c>
      <c r="I1359" t="str">
        <f>B21_Assessment!C47</f>
        <v>N/A / Verify</v>
      </c>
      <c r="J1359" t="str">
        <f>B21_Assessment!D47</f>
        <v>N/A / Verify</v>
      </c>
      <c r="K1359" t="str">
        <f>B21_Assessment!E47</f>
        <v>N/A / Verify</v>
      </c>
      <c r="L1359" t="str">
        <f>B21_Assessment!F47</f>
        <v>Verify Existing</v>
      </c>
      <c r="M1359" t="str">
        <f>B21_Assessment!G47</f>
        <v>Verify Existing</v>
      </c>
      <c r="N1359" t="str">
        <f>B21_Assessment!H47</f>
        <v>Verify</v>
      </c>
      <c r="O1359" t="str">
        <f>B21_Assessment!I47</f>
        <v>Verify</v>
      </c>
      <c r="P1359" t="str">
        <f>B21_Assessment!J47</f>
        <v>Verify any existing security device/cabinet impacts during cutover.</v>
      </c>
      <c r="Q1359" t="str">
        <f t="shared" si="21"/>
        <v>21|40</v>
      </c>
    </row>
    <row r="1360" spans="1:17" ht="6.45" customHeight="1">
      <c r="A1360" t="s">
        <v>2877</v>
      </c>
      <c r="B1360">
        <v>41</v>
      </c>
      <c r="C1360" t="s">
        <v>49</v>
      </c>
      <c r="D1360">
        <v>48</v>
      </c>
      <c r="E1360" t="s">
        <v>1007</v>
      </c>
      <c r="F1360" t="s">
        <v>5324</v>
      </c>
      <c r="G1360" t="str">
        <f>B21_Assessment!A48</f>
        <v>B05TR</v>
      </c>
      <c r="H1360" t="str">
        <f>B21_Assessment!B48</f>
        <v>N/A / Verify</v>
      </c>
      <c r="I1360" t="str">
        <f>B21_Assessment!C48</f>
        <v>N/A / Verify</v>
      </c>
      <c r="J1360" t="str">
        <f>B21_Assessment!D48</f>
        <v>N/A / Verify</v>
      </c>
      <c r="K1360" t="str">
        <f>B21_Assessment!E48</f>
        <v>N/A / Verify</v>
      </c>
      <c r="L1360" t="str">
        <f>B21_Assessment!F48</f>
        <v>Verify Existing</v>
      </c>
      <c r="M1360" t="str">
        <f>B21_Assessment!G48</f>
        <v>Verify Existing</v>
      </c>
      <c r="N1360" t="str">
        <f>B21_Assessment!H48</f>
        <v>Verify</v>
      </c>
      <c r="O1360" t="str">
        <f>B21_Assessment!I48</f>
        <v>Verify</v>
      </c>
      <c r="P1360" t="str">
        <f>B21_Assessment!J48</f>
        <v>Verify existing security/camera protection-in-place and any impact from B19/B21 shared telecom equipment.</v>
      </c>
      <c r="Q1360" t="str">
        <f t="shared" si="21"/>
        <v>21|41</v>
      </c>
    </row>
    <row r="1361" spans="1:17" ht="6.45" customHeight="1">
      <c r="A1361" t="s">
        <v>2877</v>
      </c>
      <c r="B1361">
        <v>42</v>
      </c>
      <c r="C1361" t="s">
        <v>49</v>
      </c>
      <c r="D1361">
        <v>49</v>
      </c>
      <c r="E1361" t="s">
        <v>1007</v>
      </c>
      <c r="F1361" t="s">
        <v>5325</v>
      </c>
      <c r="G1361">
        <f>B21_Assessment!A49</f>
        <v>0</v>
      </c>
      <c r="H1361">
        <f>B21_Assessment!B49</f>
        <v>0</v>
      </c>
      <c r="I1361">
        <f>B21_Assessment!C49</f>
        <v>0</v>
      </c>
      <c r="J1361">
        <f>B21_Assessment!D49</f>
        <v>0</v>
      </c>
      <c r="K1361">
        <f>B21_Assessment!E49</f>
        <v>0</v>
      </c>
      <c r="L1361">
        <f>B21_Assessment!F49</f>
        <v>0</v>
      </c>
      <c r="M1361">
        <f>B21_Assessment!G49</f>
        <v>0</v>
      </c>
      <c r="N1361">
        <f>B21_Assessment!H49</f>
        <v>0</v>
      </c>
      <c r="O1361">
        <f>B21_Assessment!I49</f>
        <v>0</v>
      </c>
      <c r="P1361">
        <f>B21_Assessment!J49</f>
        <v>0</v>
      </c>
      <c r="Q1361" t="str">
        <f t="shared" si="21"/>
        <v>21|42</v>
      </c>
    </row>
    <row r="1362" spans="1:17" ht="6.45" customHeight="1">
      <c r="A1362" t="s">
        <v>2877</v>
      </c>
      <c r="B1362">
        <v>43</v>
      </c>
      <c r="C1362" t="s">
        <v>49</v>
      </c>
      <c r="D1362">
        <v>50</v>
      </c>
      <c r="E1362" t="s">
        <v>1019</v>
      </c>
      <c r="F1362" t="s">
        <v>5322</v>
      </c>
      <c r="G1362" t="str">
        <f>B21_Assessment!A50</f>
        <v>8. OWNER RISKS</v>
      </c>
      <c r="H1362">
        <f>B21_Assessment!B50</f>
        <v>0</v>
      </c>
      <c r="I1362">
        <f>B21_Assessment!C50</f>
        <v>0</v>
      </c>
      <c r="J1362">
        <f>B21_Assessment!D50</f>
        <v>0</v>
      </c>
      <c r="K1362">
        <f>B21_Assessment!E50</f>
        <v>0</v>
      </c>
      <c r="L1362">
        <f>B21_Assessment!F50</f>
        <v>0</v>
      </c>
      <c r="M1362">
        <f>B21_Assessment!G50</f>
        <v>0</v>
      </c>
      <c r="N1362">
        <f>B21_Assessment!H50</f>
        <v>0</v>
      </c>
      <c r="O1362">
        <f>B21_Assessment!I50</f>
        <v>0</v>
      </c>
      <c r="P1362">
        <f>B21_Assessment!J50</f>
        <v>0</v>
      </c>
      <c r="Q1362" t="str">
        <f t="shared" si="21"/>
        <v>21|43</v>
      </c>
    </row>
    <row r="1363" spans="1:17" ht="6.45" customHeight="1">
      <c r="A1363" t="s">
        <v>2877</v>
      </c>
      <c r="B1363">
        <v>44</v>
      </c>
      <c r="C1363" t="s">
        <v>49</v>
      </c>
      <c r="D1363">
        <v>51</v>
      </c>
      <c r="E1363" t="s">
        <v>1019</v>
      </c>
      <c r="F1363" t="s">
        <v>5323</v>
      </c>
      <c r="G1363" t="str">
        <f>B21_Assessment!A51</f>
        <v>Risk ID</v>
      </c>
      <c r="H1363" t="str">
        <f>B21_Assessment!B51</f>
        <v>Room</v>
      </c>
      <c r="I1363" t="str">
        <f>B21_Assessment!C51</f>
        <v>Risk</v>
      </c>
      <c r="J1363" t="str">
        <f>B21_Assessment!D51</f>
        <v>Impact</v>
      </c>
      <c r="K1363" t="str">
        <f>B21_Assessment!E51</f>
        <v>Probability</v>
      </c>
      <c r="L1363" t="str">
        <f>B21_Assessment!F51</f>
        <v>Score</v>
      </c>
      <c r="M1363" t="str">
        <f>B21_Assessment!G51</f>
        <v>Mitigation</v>
      </c>
      <c r="N1363" t="str">
        <f>B21_Assessment!H51</f>
        <v>Owner</v>
      </c>
      <c r="O1363" t="str">
        <f>B21_Assessment!I51</f>
        <v>Status</v>
      </c>
      <c r="P1363" t="str">
        <f>B21_Assessment!J51</f>
        <v>Notes</v>
      </c>
      <c r="Q1363" t="str">
        <f t="shared" si="21"/>
        <v>21|44</v>
      </c>
    </row>
    <row r="1364" spans="1:17" ht="6.45" customHeight="1">
      <c r="A1364" t="s">
        <v>2877</v>
      </c>
      <c r="B1364">
        <v>45</v>
      </c>
      <c r="C1364" t="s">
        <v>49</v>
      </c>
      <c r="D1364">
        <v>52</v>
      </c>
      <c r="E1364" t="s">
        <v>1019</v>
      </c>
      <c r="F1364" t="s">
        <v>5324</v>
      </c>
      <c r="G1364" t="str">
        <f>B21_Assessment!A52</f>
        <v>B21-R1</v>
      </c>
      <c r="H1364" t="str">
        <f>B21_Assessment!B52</f>
        <v>All</v>
      </c>
      <c r="I1364" t="str">
        <f>B21_Assessment!C52</f>
        <v>Existing conditions for new 100A TE, B21 B1.TR and B19 B05TR not field verified</v>
      </c>
      <c r="J1364" t="str">
        <f>B21_Assessment!D52</f>
        <v>High</v>
      </c>
      <c r="K1364" t="str">
        <f>B21_Assessment!E52</f>
        <v>Medium</v>
      </c>
      <c r="L1364">
        <f>B21_Assessment!F52</f>
        <v>6</v>
      </c>
      <c r="M1364" t="str">
        <f>B21_Assessment!G52</f>
        <v>Perform existing conditions survey with photos before mobilization</v>
      </c>
      <c r="N1364" t="str">
        <f>B21_Assessment!H52</f>
        <v>GCC / Contractor</v>
      </c>
      <c r="O1364" t="str">
        <f>B21_Assessment!I52</f>
        <v>Closed</v>
      </c>
      <c r="P1364" t="str">
        <f>B21_Assessment!J52</f>
        <v>B21 is combined with B19 and has multiple transition points.</v>
      </c>
      <c r="Q1364" t="str">
        <f t="shared" si="21"/>
        <v>21|45</v>
      </c>
    </row>
    <row r="1365" spans="1:17" ht="6.45" customHeight="1">
      <c r="A1365" t="s">
        <v>2877</v>
      </c>
      <c r="B1365">
        <v>46</v>
      </c>
      <c r="C1365" t="s">
        <v>49</v>
      </c>
      <c r="D1365">
        <v>53</v>
      </c>
      <c r="E1365" t="s">
        <v>1019</v>
      </c>
      <c r="F1365" t="s">
        <v>5324</v>
      </c>
      <c r="G1365" t="str">
        <f>B21_Assessment!A53</f>
        <v>B21-R2</v>
      </c>
      <c r="H1365" t="str">
        <f>B21_Assessment!B53</f>
        <v>100A/B1.TR/B05TR</v>
      </c>
      <c r="I1365" t="str">
        <f>B21_Assessment!C53</f>
        <v>Existing equipment may remain active during transfer to new TE enclosure</v>
      </c>
      <c r="J1365" t="str">
        <f>B21_Assessment!D53</f>
        <v>Critical</v>
      </c>
      <c r="K1365" t="str">
        <f>B21_Assessment!E53</f>
        <v>Medium</v>
      </c>
      <c r="L1365">
        <f>B21_Assessment!F53</f>
        <v>8</v>
      </c>
      <c r="M1365" t="str">
        <f>B21_Assessment!G53</f>
        <v>Document active services, protect in place, identify OIT cutover windows, phasing, rollback path and temporary utilities</v>
      </c>
      <c r="N1365" t="str">
        <f>B21_Assessment!H53</f>
        <v>Telecom / OIT</v>
      </c>
      <c r="O1365" t="str">
        <f>B21_Assessment!I53</f>
        <v>Closed</v>
      </c>
      <c r="P1365" t="str">
        <f>B21_Assessment!J53</f>
        <v>Rack elevations show existing B21 and B19 equipment and new 19-serving-21 enclosure.</v>
      </c>
      <c r="Q1365" t="str">
        <f t="shared" si="21"/>
        <v>21|46</v>
      </c>
    </row>
    <row r="1366" spans="1:17" ht="6.45" customHeight="1">
      <c r="A1366" t="s">
        <v>2877</v>
      </c>
      <c r="B1366">
        <v>47</v>
      </c>
      <c r="C1366" t="s">
        <v>49</v>
      </c>
      <c r="D1366">
        <v>54</v>
      </c>
      <c r="E1366" t="s">
        <v>1019</v>
      </c>
      <c r="F1366" t="s">
        <v>5324</v>
      </c>
      <c r="G1366" t="str">
        <f>B21_Assessment!A54</f>
        <v>B21-R3</v>
      </c>
      <c r="H1366" t="str">
        <f>B21_Assessment!B54</f>
        <v>100A</v>
      </c>
      <c r="I1366" t="str">
        <f>B21_Assessment!C54</f>
        <v>Room naming mismatch: schedule says RM 104 / TR01-104-1 while plan/enlarged view identifies Room 100A</v>
      </c>
      <c r="J1366" t="str">
        <f>B21_Assessment!D54</f>
        <v>High</v>
      </c>
      <c r="K1366" t="str">
        <f>B21_Assessment!E54</f>
        <v>Medium</v>
      </c>
      <c r="L1366">
        <f>B21_Assessment!F54</f>
        <v>6</v>
      </c>
      <c r="M1366" t="str">
        <f>B21_Assessment!G54</f>
        <v>Track PMIS as Building 21 / Room 100A / Schedule RM 104 / Rack ID TR01-104-1 and confirm with designer</v>
      </c>
      <c r="N1366" t="str">
        <f>B21_Assessment!H54</f>
        <v>GCC / VA / Designer</v>
      </c>
      <c r="O1366" t="str">
        <f>B21_Assessment!I54</f>
        <v>Closed</v>
      </c>
      <c r="P1366" t="str">
        <f>B21_Assessment!J54</f>
        <v>Important for PMIS mapping and field punch list.</v>
      </c>
      <c r="Q1366" t="str">
        <f t="shared" si="21"/>
        <v>21|47</v>
      </c>
    </row>
    <row r="1367" spans="1:17" ht="6.45" customHeight="1">
      <c r="A1367" t="s">
        <v>2877</v>
      </c>
      <c r="B1367">
        <v>48</v>
      </c>
      <c r="C1367" t="s">
        <v>49</v>
      </c>
      <c r="D1367">
        <v>55</v>
      </c>
      <c r="E1367" t="s">
        <v>1019</v>
      </c>
      <c r="F1367" t="s">
        <v>5324</v>
      </c>
      <c r="G1367" t="str">
        <f>B21_Assessment!A55</f>
        <v>B21-R4</v>
      </c>
      <c r="H1367" t="str">
        <f>B21_Assessment!B55</f>
        <v>All</v>
      </c>
      <c r="I1367" t="str">
        <f>B21_Assessment!C55</f>
        <v>B19/B21 combined package may blur scope boundary and ownership of ports</v>
      </c>
      <c r="J1367" t="str">
        <f>B21_Assessment!D55</f>
        <v>High</v>
      </c>
      <c r="K1367" t="str">
        <f>B21_Assessment!E55</f>
        <v>Medium</v>
      </c>
      <c r="L1367">
        <f>B21_Assessment!F55</f>
        <v>6</v>
      </c>
      <c r="M1367" t="str">
        <f>B21_Assessment!G55</f>
        <v>Separate Building 21 work, Building 19 transition work, and shared service/cross-connect items in PMIS notes</v>
      </c>
      <c r="N1367" t="str">
        <f>B21_Assessment!H55</f>
        <v>GCC / OIT</v>
      </c>
      <c r="O1367" t="str">
        <f>B21_Assessment!I55</f>
        <v>Closed</v>
      </c>
      <c r="P1367" t="str">
        <f>B21_Assessment!J55</f>
        <v>Sheet package is 21_19 and new enclosure is labeled 19 serving 21.</v>
      </c>
      <c r="Q1367" t="str">
        <f t="shared" si="21"/>
        <v>21|48</v>
      </c>
    </row>
    <row r="1368" spans="1:17" ht="6.45" customHeight="1">
      <c r="A1368" t="s">
        <v>2877</v>
      </c>
      <c r="B1368">
        <v>49</v>
      </c>
      <c r="C1368" t="s">
        <v>49</v>
      </c>
      <c r="D1368">
        <v>56</v>
      </c>
      <c r="E1368" t="s">
        <v>1019</v>
      </c>
      <c r="F1368" t="s">
        <v>5324</v>
      </c>
      <c r="G1368" t="str">
        <f>B21_Assessment!A56</f>
        <v>B21-R5</v>
      </c>
      <c r="H1368" t="str">
        <f>B21_Assessment!B56</f>
        <v>100A</v>
      </c>
      <c r="I1368" t="str">
        <f>B21_Assessment!C56</f>
        <v>UPS/PDU/receptacle source and grounding/bonding not verified</v>
      </c>
      <c r="J1368" t="str">
        <f>B21_Assessment!D56</f>
        <v>High</v>
      </c>
      <c r="K1368" t="str">
        <f>B21_Assessment!E56</f>
        <v>Medium</v>
      </c>
      <c r="L1368">
        <f>B21_Assessment!F56</f>
        <v>6</v>
      </c>
      <c r="M1368" t="str">
        <f>B21_Assessment!G56</f>
        <v>Verify circuit source, receptacle type, UPS/PDU load, grounding bar, bonding and labels</v>
      </c>
      <c r="N1368" t="str">
        <f>B21_Assessment!H56</f>
        <v>Electrical / Telecom</v>
      </c>
      <c r="O1368" t="str">
        <f>B21_Assessment!I56</f>
        <v>Closed</v>
      </c>
      <c r="P1368" t="str">
        <f>B21_Assessment!J56</f>
        <v>New TE enclosure includes APC UPS and PDUs.</v>
      </c>
      <c r="Q1368" t="str">
        <f t="shared" si="21"/>
        <v>21|49</v>
      </c>
    </row>
    <row r="1369" spans="1:17" ht="6.45" customHeight="1">
      <c r="A1369" t="s">
        <v>2877</v>
      </c>
      <c r="B1369">
        <v>50</v>
      </c>
      <c r="C1369" t="s">
        <v>49</v>
      </c>
      <c r="D1369">
        <v>57</v>
      </c>
      <c r="E1369" t="s">
        <v>1019</v>
      </c>
      <c r="F1369" t="s">
        <v>5324</v>
      </c>
      <c r="G1369" t="str">
        <f>B21_Assessment!A57</f>
        <v>B21-R6</v>
      </c>
      <c r="H1369" t="str">
        <f>B21_Assessment!B57</f>
        <v>All</v>
      </c>
      <c r="I1369" t="str">
        <f>B21_Assessment!C57</f>
        <v>659 feet of cable tray/pathway requires coordination and firestop tracking</v>
      </c>
      <c r="J1369" t="str">
        <f>B21_Assessment!D57</f>
        <v>High</v>
      </c>
      <c r="K1369" t="str">
        <f>B21_Assessment!E57</f>
        <v>Medium</v>
      </c>
      <c r="L1369">
        <f>B21_Assessment!F57</f>
        <v>6</v>
      </c>
      <c r="M1369" t="str">
        <f>B21_Assessment!G57</f>
        <v>Verify route, supports, seismic bracing, 40% fill, penetrations, light fixtures and coordination drawings before install</v>
      </c>
      <c r="N1369" t="str">
        <f>B21_Assessment!H57</f>
        <v>Telecom / GC</v>
      </c>
      <c r="O1369" t="str">
        <f>B21_Assessment!I57</f>
        <v>Closed</v>
      </c>
      <c r="P1369" t="str">
        <f>B21_Assessment!J57</f>
        <v>21_19T-701 cable tray schedule lists 63 ft basement and 596 ft first level.</v>
      </c>
      <c r="Q1369" t="str">
        <f t="shared" si="21"/>
        <v>21|50</v>
      </c>
    </row>
    <row r="1370" spans="1:17" ht="6.45" customHeight="1">
      <c r="A1370" t="s">
        <v>2877</v>
      </c>
      <c r="B1370">
        <v>51</v>
      </c>
      <c r="C1370" t="s">
        <v>49</v>
      </c>
      <c r="D1370">
        <v>58</v>
      </c>
      <c r="E1370" t="s">
        <v>1019</v>
      </c>
      <c r="F1370" t="s">
        <v>5324</v>
      </c>
      <c r="G1370" t="str">
        <f>B21_Assessment!A58</f>
        <v>B21-R7</v>
      </c>
      <c r="H1370" t="str">
        <f>B21_Assessment!B58</f>
        <v>All</v>
      </c>
      <c r="I1370" t="str">
        <f>B21_Assessment!C58</f>
        <v>Fire protection scope excluded, but rated penetrations and temporary firestopping still apply</v>
      </c>
      <c r="J1370" t="str">
        <f>B21_Assessment!D58</f>
        <v>High</v>
      </c>
      <c r="K1370" t="str">
        <f>B21_Assessment!E58</f>
        <v>Medium</v>
      </c>
      <c r="L1370">
        <f>B21_Assessment!F58</f>
        <v>6</v>
      </c>
      <c r="M1370" t="str">
        <f>B21_Assessment!G58</f>
        <v>Track 4-inch sleeves, rated penetrations, fire caulk, temporary firestopping and patching even without FP scope</v>
      </c>
      <c r="N1370" t="str">
        <f>B21_Assessment!H58</f>
        <v>GC / Firestop</v>
      </c>
      <c r="O1370" t="str">
        <f>B21_Assessment!I58</f>
        <v>Closed</v>
      </c>
      <c r="P1370" t="str">
        <f>B21_Assessment!J58</f>
        <v>Cover excludes fire protection; telecom notes require fire caulk and rated penetrations.</v>
      </c>
      <c r="Q1370" t="str">
        <f t="shared" si="21"/>
        <v>21|51</v>
      </c>
    </row>
    <row r="1371" spans="1:17" ht="6.45" customHeight="1">
      <c r="A1371" t="s">
        <v>2877</v>
      </c>
      <c r="B1371">
        <v>52</v>
      </c>
      <c r="C1371" t="s">
        <v>49</v>
      </c>
      <c r="D1371">
        <v>59</v>
      </c>
      <c r="E1371" t="s">
        <v>1019</v>
      </c>
      <c r="F1371" t="s">
        <v>5324</v>
      </c>
      <c r="G1371" t="str">
        <f>B21_Assessment!A59</f>
        <v>B21-R8</v>
      </c>
      <c r="H1371" t="str">
        <f>B21_Assessment!B59</f>
        <v>All</v>
      </c>
      <c r="I1371" t="str">
        <f>B21_Assessment!C59</f>
        <v>Commissioning/test documentation may be overlooked due to TE-only scope</v>
      </c>
      <c r="J1371" t="str">
        <f>B21_Assessment!D59</f>
        <v>High</v>
      </c>
      <c r="K1371" t="str">
        <f>B21_Assessment!E59</f>
        <v>Medium</v>
      </c>
      <c r="L1371">
        <f>B21_Assessment!F59</f>
        <v>6</v>
      </c>
      <c r="M1371" t="str">
        <f>B21_Assessment!G59</f>
        <v>Track cable test records, labels, as-builts, laminated schedules, OIT acceptance, UPS/PDU verification and owner signoff</v>
      </c>
      <c r="N1371" t="str">
        <f>B21_Assessment!H59</f>
        <v>GC / Cx Manager</v>
      </c>
      <c r="O1371" t="str">
        <f>B21_Assessment!I59</f>
        <v>Closed</v>
      </c>
      <c r="P1371" t="str">
        <f>B21_Assessment!J59</f>
        <v>General notes still require testing, acceptance and documentation.</v>
      </c>
      <c r="Q1371" t="str">
        <f t="shared" si="21"/>
        <v>21|52</v>
      </c>
    </row>
    <row r="1372" spans="1:17" ht="6.45" customHeight="1">
      <c r="A1372" t="s">
        <v>2877</v>
      </c>
      <c r="B1372">
        <v>53</v>
      </c>
      <c r="C1372" t="s">
        <v>49</v>
      </c>
      <c r="D1372">
        <v>60</v>
      </c>
      <c r="E1372" t="s">
        <v>1019</v>
      </c>
      <c r="F1372" t="s">
        <v>5325</v>
      </c>
      <c r="G1372">
        <f>B21_Assessment!A60</f>
        <v>0</v>
      </c>
      <c r="H1372">
        <f>B21_Assessment!B60</f>
        <v>0</v>
      </c>
      <c r="I1372">
        <f>B21_Assessment!C60</f>
        <v>0</v>
      </c>
      <c r="J1372">
        <f>B21_Assessment!D60</f>
        <v>0</v>
      </c>
      <c r="K1372">
        <f>B21_Assessment!E60</f>
        <v>0</v>
      </c>
      <c r="L1372">
        <f>B21_Assessment!F60</f>
        <v>0</v>
      </c>
      <c r="M1372">
        <f>B21_Assessment!G60</f>
        <v>0</v>
      </c>
      <c r="N1372">
        <f>B21_Assessment!H60</f>
        <v>0</v>
      </c>
      <c r="O1372">
        <f>B21_Assessment!I60</f>
        <v>0</v>
      </c>
      <c r="P1372">
        <f>B21_Assessment!J60</f>
        <v>0</v>
      </c>
      <c r="Q1372" t="str">
        <f t="shared" si="21"/>
        <v>21|53</v>
      </c>
    </row>
    <row r="1373" spans="1:17" ht="6.45" customHeight="1">
      <c r="A1373" t="s">
        <v>2877</v>
      </c>
      <c r="B1373">
        <v>54</v>
      </c>
      <c r="C1373" t="s">
        <v>49</v>
      </c>
      <c r="D1373">
        <v>61</v>
      </c>
      <c r="E1373" t="s">
        <v>1051</v>
      </c>
      <c r="F1373" t="s">
        <v>5322</v>
      </c>
      <c r="G1373" t="str">
        <f>B21_Assessment!A61</f>
        <v>9. OPEN QUESTIONS</v>
      </c>
      <c r="H1373">
        <f>B21_Assessment!B61</f>
        <v>0</v>
      </c>
      <c r="I1373">
        <f>B21_Assessment!C61</f>
        <v>0</v>
      </c>
      <c r="J1373">
        <f>B21_Assessment!D61</f>
        <v>0</v>
      </c>
      <c r="K1373">
        <f>B21_Assessment!E61</f>
        <v>0</v>
      </c>
      <c r="L1373">
        <f>B21_Assessment!F61</f>
        <v>0</v>
      </c>
      <c r="M1373">
        <f>B21_Assessment!G61</f>
        <v>0</v>
      </c>
      <c r="N1373">
        <f>B21_Assessment!H61</f>
        <v>0</v>
      </c>
      <c r="O1373">
        <f>B21_Assessment!I61</f>
        <v>0</v>
      </c>
      <c r="P1373">
        <f>B21_Assessment!J61</f>
        <v>0</v>
      </c>
      <c r="Q1373" t="str">
        <f t="shared" si="21"/>
        <v>21|54</v>
      </c>
    </row>
    <row r="1374" spans="1:17" ht="6.45" customHeight="1">
      <c r="A1374" t="s">
        <v>2877</v>
      </c>
      <c r="B1374">
        <v>55</v>
      </c>
      <c r="C1374" t="s">
        <v>49</v>
      </c>
      <c r="D1374">
        <v>62</v>
      </c>
      <c r="E1374" t="s">
        <v>1051</v>
      </c>
      <c r="F1374" t="s">
        <v>5323</v>
      </c>
      <c r="G1374" t="str">
        <f>B21_Assessment!A62</f>
        <v>Question ID</v>
      </c>
      <c r="H1374" t="str">
        <f>B21_Assessment!B62</f>
        <v>Question</v>
      </c>
      <c r="I1374" t="str">
        <f>B21_Assessment!C62</f>
        <v>Assigned To</v>
      </c>
      <c r="J1374" t="str">
        <f>B21_Assessment!D62</f>
        <v>Status</v>
      </c>
      <c r="K1374" t="str">
        <f>B21_Assessment!E62</f>
        <v>Needed By</v>
      </c>
      <c r="L1374" t="str">
        <f>B21_Assessment!F62</f>
        <v>Answer / Resolution</v>
      </c>
      <c r="M1374" t="str">
        <f>B21_Assessment!G62</f>
        <v>Impact if Unanswered</v>
      </c>
      <c r="N1374" t="str">
        <f>B21_Assessment!H62</f>
        <v>Follow-up</v>
      </c>
      <c r="O1374" t="str">
        <f>B21_Assessment!I62</f>
        <v>Date Closed</v>
      </c>
      <c r="P1374" t="str">
        <f>B21_Assessment!J62</f>
        <v>Notes</v>
      </c>
      <c r="Q1374" t="str">
        <f t="shared" si="21"/>
        <v>21|55</v>
      </c>
    </row>
    <row r="1375" spans="1:17" ht="6.45" customHeight="1">
      <c r="A1375" t="s">
        <v>2877</v>
      </c>
      <c r="B1375">
        <v>56</v>
      </c>
      <c r="C1375" t="s">
        <v>49</v>
      </c>
      <c r="D1375">
        <v>63</v>
      </c>
      <c r="E1375" t="s">
        <v>1051</v>
      </c>
      <c r="F1375" t="s">
        <v>5324</v>
      </c>
      <c r="G1375" t="str">
        <f>B21_Assessment!A63</f>
        <v>B21-Q1</v>
      </c>
      <c r="H1375" t="str">
        <f>B21_Assessment!B63</f>
        <v>Confirm final scope: new TE enclosure at Room 100A/RM 104 and existing B21 B1.TR plus B19 B05TR transition?</v>
      </c>
      <c r="I1375" t="str">
        <f>B21_Assessment!C63</f>
        <v>VA / OIT / Designer</v>
      </c>
      <c r="J1375" t="str">
        <f>B21_Assessment!D63</f>
        <v>Closed</v>
      </c>
      <c r="K1375">
        <f>B21_Assessment!E63</f>
        <v>0</v>
      </c>
      <c r="L1375">
        <f>B21_Assessment!F63</f>
        <v>0</v>
      </c>
      <c r="M1375" t="str">
        <f>B21_Assessment!G63</f>
        <v>Room inventory or PMIS mapping could miss scope</v>
      </c>
      <c r="N1375">
        <f>B21_Assessment!H63</f>
        <v>0</v>
      </c>
      <c r="O1375">
        <f>B21_Assessment!I63</f>
        <v>0</v>
      </c>
      <c r="P1375">
        <f>B21_Assessment!J63</f>
        <v>0</v>
      </c>
      <c r="Q1375" t="str">
        <f t="shared" si="21"/>
        <v>21|56</v>
      </c>
    </row>
    <row r="1376" spans="1:17" ht="6.45" customHeight="1">
      <c r="A1376" t="s">
        <v>2877</v>
      </c>
      <c r="B1376">
        <v>57</v>
      </c>
      <c r="C1376" t="s">
        <v>49</v>
      </c>
      <c r="D1376">
        <v>64</v>
      </c>
      <c r="E1376" t="s">
        <v>1051</v>
      </c>
      <c r="F1376" t="s">
        <v>5324</v>
      </c>
      <c r="G1376" t="str">
        <f>B21_Assessment!A64</f>
        <v>B21-Q2</v>
      </c>
      <c r="H1376" t="str">
        <f>B21_Assessment!B64</f>
        <v>Why does 21_19T-701 list RM 104 / TR01-104-1 while enlarged plan identifies Room 100A?</v>
      </c>
      <c r="I1376" t="str">
        <f>B21_Assessment!C64</f>
        <v>VA / Designer / OIT</v>
      </c>
      <c r="J1376" t="str">
        <f>B21_Assessment!D64</f>
        <v>Closed</v>
      </c>
      <c r="K1376">
        <f>B21_Assessment!E64</f>
        <v>0</v>
      </c>
      <c r="L1376">
        <f>B21_Assessment!F64</f>
        <v>0</v>
      </c>
      <c r="M1376" t="str">
        <f>B21_Assessment!G64</f>
        <v>Room naming mismatch could affect PMIS tracking</v>
      </c>
      <c r="N1376">
        <f>B21_Assessment!H64</f>
        <v>0</v>
      </c>
      <c r="O1376">
        <f>B21_Assessment!I64</f>
        <v>0</v>
      </c>
      <c r="P1376">
        <f>B21_Assessment!J64</f>
        <v>0</v>
      </c>
      <c r="Q1376" t="str">
        <f t="shared" si="21"/>
        <v>21|57</v>
      </c>
    </row>
    <row r="1377" spans="1:17" ht="6.45" customHeight="1">
      <c r="A1377" t="s">
        <v>2877</v>
      </c>
      <c r="B1377">
        <v>58</v>
      </c>
      <c r="C1377" t="s">
        <v>49</v>
      </c>
      <c r="D1377">
        <v>65</v>
      </c>
      <c r="E1377" t="s">
        <v>1051</v>
      </c>
      <c r="F1377" t="s">
        <v>5324</v>
      </c>
      <c r="G1377" t="str">
        <f>B21_Assessment!A65</f>
        <v>B21-Q3</v>
      </c>
      <c r="H1377" t="str">
        <f>B21_Assessment!B65</f>
        <v>What active services are currently fed from existing B21 B1.TR and B19 B05TR equipment?</v>
      </c>
      <c r="I1377" t="str">
        <f>B21_Assessment!C65</f>
        <v>OIT / Contractor</v>
      </c>
      <c r="J1377" t="str">
        <f>B21_Assessment!D65</f>
        <v>Closed</v>
      </c>
      <c r="K1377">
        <f>B21_Assessment!E65</f>
        <v>0</v>
      </c>
      <c r="L1377">
        <f>B21_Assessment!F65</f>
        <v>0</v>
      </c>
      <c r="M1377" t="str">
        <f>B21_Assessment!G65</f>
        <v>Potential communications/security outage</v>
      </c>
      <c r="N1377">
        <f>B21_Assessment!H65</f>
        <v>0</v>
      </c>
      <c r="O1377">
        <f>B21_Assessment!I65</f>
        <v>0</v>
      </c>
      <c r="P1377">
        <f>B21_Assessment!J65</f>
        <v>0</v>
      </c>
      <c r="Q1377" t="str">
        <f t="shared" si="21"/>
        <v>21|58</v>
      </c>
    </row>
    <row r="1378" spans="1:17" ht="6.45" customHeight="1">
      <c r="A1378" t="s">
        <v>2877</v>
      </c>
      <c r="B1378">
        <v>59</v>
      </c>
      <c r="C1378" t="s">
        <v>49</v>
      </c>
      <c r="D1378">
        <v>66</v>
      </c>
      <c r="E1378" t="s">
        <v>1051</v>
      </c>
      <c r="F1378" t="s">
        <v>5324</v>
      </c>
      <c r="G1378" t="str">
        <f>B21_Assessment!A66</f>
        <v>B21-Q4</v>
      </c>
      <c r="H1378" t="str">
        <f>B21_Assessment!B66</f>
        <v>What exactly is meant by '19 serving 21' on the new TE enclosure elevation?</v>
      </c>
      <c r="I1378" t="str">
        <f>B21_Assessment!C66</f>
        <v>VA / OIT / Designer</v>
      </c>
      <c r="J1378" t="str">
        <f>B21_Assessment!D66</f>
        <v>Closed</v>
      </c>
      <c r="K1378">
        <f>B21_Assessment!E66</f>
        <v>0</v>
      </c>
      <c r="L1378">
        <f>B21_Assessment!F66</f>
        <v>0</v>
      </c>
      <c r="M1378" t="str">
        <f>B21_Assessment!G66</f>
        <v>Building 19/21 boundary unclear</v>
      </c>
      <c r="N1378">
        <f>B21_Assessment!H66</f>
        <v>0</v>
      </c>
      <c r="O1378">
        <f>B21_Assessment!I66</f>
        <v>0</v>
      </c>
      <c r="P1378">
        <f>B21_Assessment!J66</f>
        <v>0</v>
      </c>
      <c r="Q1378" t="str">
        <f t="shared" si="21"/>
        <v>21|59</v>
      </c>
    </row>
    <row r="1379" spans="1:17" ht="6.45" customHeight="1">
      <c r="A1379" t="s">
        <v>2877</v>
      </c>
      <c r="B1379">
        <v>60</v>
      </c>
      <c r="C1379" t="s">
        <v>49</v>
      </c>
      <c r="D1379">
        <v>67</v>
      </c>
      <c r="E1379" t="s">
        <v>1051</v>
      </c>
      <c r="F1379" t="s">
        <v>5324</v>
      </c>
      <c r="G1379" t="str">
        <f>B21_Assessment!A67</f>
        <v>B21-Q5</v>
      </c>
      <c r="H1379" t="str">
        <f>B21_Assessment!B67</f>
        <v>What is the approved power source, receptacle type and circuit capacity for the new APC UPS/PDU in 100A?</v>
      </c>
      <c r="I1379" t="str">
        <f>B21_Assessment!C67</f>
        <v>Electrical / Designer</v>
      </c>
      <c r="J1379" t="str">
        <f>B21_Assessment!D67</f>
        <v>Closed</v>
      </c>
      <c r="K1379">
        <f>B21_Assessment!E67</f>
        <v>0</v>
      </c>
      <c r="L1379">
        <f>B21_Assessment!F67</f>
        <v>0</v>
      </c>
      <c r="M1379" t="str">
        <f>B21_Assessment!G67</f>
        <v>Electrical readiness unknown</v>
      </c>
      <c r="N1379">
        <f>B21_Assessment!H67</f>
        <v>0</v>
      </c>
      <c r="O1379">
        <f>B21_Assessment!I67</f>
        <v>0</v>
      </c>
      <c r="P1379">
        <f>B21_Assessment!J67</f>
        <v>0</v>
      </c>
      <c r="Q1379" t="str">
        <f t="shared" si="21"/>
        <v>21|60</v>
      </c>
    </row>
    <row r="1380" spans="1:17" ht="6.45" customHeight="1">
      <c r="A1380" t="s">
        <v>2877</v>
      </c>
      <c r="B1380">
        <v>61</v>
      </c>
      <c r="C1380" t="s">
        <v>49</v>
      </c>
      <c r="D1380">
        <v>68</v>
      </c>
      <c r="E1380" t="s">
        <v>1051</v>
      </c>
      <c r="F1380" t="s">
        <v>5324</v>
      </c>
      <c r="G1380" t="str">
        <f>B21_Assessment!A68</f>
        <v>B21-Q6</v>
      </c>
      <c r="H1380" t="str">
        <f>B21_Assessment!B68</f>
        <v>Are all 659 ft of cable tray route, sleeves, supports and firestopping details field verified?</v>
      </c>
      <c r="I1380" t="str">
        <f>B21_Assessment!C68</f>
        <v>Telecom / GC / Firestop</v>
      </c>
      <c r="J1380" t="str">
        <f>B21_Assessment!D68</f>
        <v>Closed</v>
      </c>
      <c r="K1380">
        <f>B21_Assessment!E68</f>
        <v>0</v>
      </c>
      <c r="L1380">
        <f>B21_Assessment!F68</f>
        <v>0</v>
      </c>
      <c r="M1380" t="str">
        <f>B21_Assessment!G68</f>
        <v>Install delay or firestop gap</v>
      </c>
      <c r="N1380">
        <f>B21_Assessment!H68</f>
        <v>0</v>
      </c>
      <c r="O1380">
        <f>B21_Assessment!I68</f>
        <v>0</v>
      </c>
      <c r="P1380">
        <f>B21_Assessment!J68</f>
        <v>0</v>
      </c>
      <c r="Q1380" t="str">
        <f t="shared" si="21"/>
        <v>21|61</v>
      </c>
    </row>
    <row r="1381" spans="1:17" ht="6.45" customHeight="1">
      <c r="A1381" t="s">
        <v>2877</v>
      </c>
      <c r="B1381">
        <v>62</v>
      </c>
      <c r="C1381" t="s">
        <v>49</v>
      </c>
      <c r="D1381">
        <v>69</v>
      </c>
      <c r="E1381" t="s">
        <v>1051</v>
      </c>
      <c r="F1381" t="s">
        <v>5324</v>
      </c>
      <c r="G1381" t="str">
        <f>B21_Assessment!A69</f>
        <v>B21-Q7</v>
      </c>
      <c r="H1381" t="str">
        <f>B21_Assessment!B69</f>
        <v>Are the 10 new Cat6A cross-connect cables from existing TE to new TE location coordinated and labeled?</v>
      </c>
      <c r="I1381" t="str">
        <f>B21_Assessment!C69</f>
        <v>Telecom / OIT</v>
      </c>
      <c r="J1381" t="str">
        <f>B21_Assessment!D69</f>
        <v>Closed</v>
      </c>
      <c r="K1381">
        <f>B21_Assessment!E69</f>
        <v>0</v>
      </c>
      <c r="L1381">
        <f>B21_Assessment!F69</f>
        <v>0</v>
      </c>
      <c r="M1381" t="str">
        <f>B21_Assessment!G69</f>
        <v>Cutover and labeling risk</v>
      </c>
      <c r="N1381">
        <f>B21_Assessment!H69</f>
        <v>0</v>
      </c>
      <c r="O1381">
        <f>B21_Assessment!I69</f>
        <v>0</v>
      </c>
      <c r="P1381">
        <f>B21_Assessment!J69</f>
        <v>0</v>
      </c>
      <c r="Q1381" t="str">
        <f t="shared" si="21"/>
        <v>21|62</v>
      </c>
    </row>
    <row r="1382" spans="1:17" ht="6.45" customHeight="1">
      <c r="A1382" t="s">
        <v>2877</v>
      </c>
      <c r="B1382">
        <v>63</v>
      </c>
      <c r="C1382" t="s">
        <v>49</v>
      </c>
      <c r="D1382">
        <v>70</v>
      </c>
      <c r="E1382" t="s">
        <v>1051</v>
      </c>
      <c r="F1382" t="s">
        <v>5324</v>
      </c>
      <c r="G1382" t="str">
        <f>B21_Assessment!A70</f>
        <v>B21-Q8</v>
      </c>
      <c r="H1382" t="str">
        <f>B21_Assessment!B70</f>
        <v>Which test records and turnover documents are required for TE-only acceptance?</v>
      </c>
      <c r="I1382" t="str">
        <f>B21_Assessment!C70</f>
        <v>GC / Cx Manager / OIT</v>
      </c>
      <c r="J1382" t="str">
        <f>B21_Assessment!D70</f>
        <v>Closed</v>
      </c>
      <c r="K1382">
        <f>B21_Assessment!E70</f>
        <v>0</v>
      </c>
      <c r="L1382">
        <f>B21_Assessment!F70</f>
        <v>0</v>
      </c>
      <c r="M1382" t="str">
        <f>B21_Assessment!G70</f>
        <v>Turnover package gap</v>
      </c>
      <c r="N1382">
        <f>B21_Assessment!H70</f>
        <v>0</v>
      </c>
      <c r="O1382">
        <f>B21_Assessment!I70</f>
        <v>0</v>
      </c>
      <c r="P1382">
        <f>B21_Assessment!J70</f>
        <v>0</v>
      </c>
      <c r="Q1382" t="str">
        <f t="shared" si="21"/>
        <v>21|63</v>
      </c>
    </row>
    <row r="1383" spans="1:17" ht="6.45" customHeight="1">
      <c r="A1383" t="s">
        <v>2877</v>
      </c>
      <c r="B1383">
        <v>64</v>
      </c>
      <c r="C1383" t="s">
        <v>49</v>
      </c>
      <c r="D1383">
        <v>71</v>
      </c>
      <c r="E1383" t="s">
        <v>1051</v>
      </c>
      <c r="F1383" t="s">
        <v>5325</v>
      </c>
      <c r="G1383">
        <f>B21_Assessment!A71</f>
        <v>0</v>
      </c>
      <c r="H1383">
        <f>B21_Assessment!B71</f>
        <v>0</v>
      </c>
      <c r="I1383">
        <f>B21_Assessment!C71</f>
        <v>0</v>
      </c>
      <c r="J1383">
        <f>B21_Assessment!D71</f>
        <v>0</v>
      </c>
      <c r="K1383">
        <f>B21_Assessment!E71</f>
        <v>0</v>
      </c>
      <c r="L1383">
        <f>B21_Assessment!F71</f>
        <v>0</v>
      </c>
      <c r="M1383">
        <f>B21_Assessment!G71</f>
        <v>0</v>
      </c>
      <c r="N1383">
        <f>B21_Assessment!H71</f>
        <v>0</v>
      </c>
      <c r="O1383">
        <f>B21_Assessment!I71</f>
        <v>0</v>
      </c>
      <c r="P1383">
        <f>B21_Assessment!J71</f>
        <v>0</v>
      </c>
      <c r="Q1383" t="str">
        <f t="shared" si="21"/>
        <v>21|64</v>
      </c>
    </row>
    <row r="1384" spans="1:17" ht="6.45" customHeight="1">
      <c r="A1384" t="s">
        <v>2877</v>
      </c>
      <c r="B1384">
        <v>65</v>
      </c>
      <c r="C1384" t="s">
        <v>49</v>
      </c>
      <c r="D1384">
        <v>72</v>
      </c>
      <c r="E1384" t="s">
        <v>1052</v>
      </c>
      <c r="F1384" t="s">
        <v>5322</v>
      </c>
      <c r="G1384" t="str">
        <f>B21_Assessment!A72</f>
        <v>10. PHOTO LOG</v>
      </c>
      <c r="H1384">
        <f>B21_Assessment!B72</f>
        <v>0</v>
      </c>
      <c r="I1384">
        <f>B21_Assessment!C72</f>
        <v>0</v>
      </c>
      <c r="J1384">
        <f>B21_Assessment!D72</f>
        <v>0</v>
      </c>
      <c r="K1384">
        <f>B21_Assessment!E72</f>
        <v>0</v>
      </c>
      <c r="L1384">
        <f>B21_Assessment!F72</f>
        <v>0</v>
      </c>
      <c r="M1384">
        <f>B21_Assessment!G72</f>
        <v>0</v>
      </c>
      <c r="N1384">
        <f>B21_Assessment!H72</f>
        <v>0</v>
      </c>
      <c r="O1384">
        <f>B21_Assessment!I72</f>
        <v>0</v>
      </c>
      <c r="P1384">
        <f>B21_Assessment!J72</f>
        <v>0</v>
      </c>
      <c r="Q1384" t="str">
        <f t="shared" si="21"/>
        <v>21|65</v>
      </c>
    </row>
    <row r="1385" spans="1:17" ht="6.45" customHeight="1">
      <c r="A1385" t="s">
        <v>2877</v>
      </c>
      <c r="B1385">
        <v>66</v>
      </c>
      <c r="C1385" t="s">
        <v>49</v>
      </c>
      <c r="D1385">
        <v>73</v>
      </c>
      <c r="E1385" t="s">
        <v>1052</v>
      </c>
      <c r="F1385" t="s">
        <v>5323</v>
      </c>
      <c r="G1385" t="str">
        <f>B21_Assessment!A73</f>
        <v>Photo ID</v>
      </c>
      <c r="H1385" t="str">
        <f>B21_Assessment!B73</f>
        <v>Room</v>
      </c>
      <c r="I1385" t="str">
        <f>B21_Assessment!C73</f>
        <v>Category</v>
      </c>
      <c r="J1385" t="str">
        <f>B21_Assessment!D73</f>
        <v>Description</v>
      </c>
      <c r="K1385" t="str">
        <f>B21_Assessment!E73</f>
        <v>Date</v>
      </c>
      <c r="L1385" t="str">
        <f>B21_Assessment!F73</f>
        <v>Taken By</v>
      </c>
      <c r="M1385" t="str">
        <f>B21_Assessment!G73</f>
        <v>File / Link</v>
      </c>
      <c r="N1385" t="str">
        <f>B21_Assessment!H73</f>
        <v>Related Risk</v>
      </c>
      <c r="O1385" t="str">
        <f>B21_Assessment!I73</f>
        <v>Status</v>
      </c>
      <c r="P1385" t="str">
        <f>B21_Assessment!J73</f>
        <v>Notes</v>
      </c>
      <c r="Q1385" t="str">
        <f t="shared" si="21"/>
        <v>21|66</v>
      </c>
    </row>
    <row r="1386" spans="1:17" ht="6.45" customHeight="1">
      <c r="A1386" t="s">
        <v>2877</v>
      </c>
      <c r="B1386">
        <v>67</v>
      </c>
      <c r="C1386" t="s">
        <v>49</v>
      </c>
      <c r="D1386">
        <v>74</v>
      </c>
      <c r="E1386" t="s">
        <v>1052</v>
      </c>
      <c r="F1386" t="s">
        <v>5324</v>
      </c>
      <c r="G1386" t="str">
        <f>B21_Assessment!A74</f>
        <v>B21-P001</v>
      </c>
      <c r="H1386" t="str">
        <f>B21_Assessment!B74</f>
        <v>100A</v>
      </c>
      <c r="I1386" t="str">
        <f>B21_Assessment!C74</f>
        <v>Existing Condition</v>
      </c>
      <c r="J1386" t="str">
        <f>B21_Assessment!D74</f>
        <v>M&amp;O Foreman Office 100A wall location, wall backing, clearances, ceiling, power source, cable path, fiber path A/B and new TE enclosure location</v>
      </c>
      <c r="K1386">
        <f>B21_Assessment!E74</f>
        <v>0</v>
      </c>
      <c r="L1386" t="str">
        <f>B21_Assessment!F74</f>
        <v>Paul</v>
      </c>
      <c r="M1386">
        <f>B21_Assessment!G74</f>
        <v>0</v>
      </c>
      <c r="N1386" t="str">
        <f>B21_Assessment!H74</f>
        <v>B21-R1/B21-R3</v>
      </c>
      <c r="O1386" t="str">
        <f>B21_Assessment!I74</f>
        <v>Closed</v>
      </c>
      <c r="P1386">
        <f>B21_Assessment!J74</f>
        <v>0</v>
      </c>
      <c r="Q1386" t="str">
        <f t="shared" si="21"/>
        <v>21|67</v>
      </c>
    </row>
    <row r="1387" spans="1:17" ht="6.45" customHeight="1">
      <c r="A1387" t="s">
        <v>2877</v>
      </c>
      <c r="B1387">
        <v>68</v>
      </c>
      <c r="C1387" t="s">
        <v>49</v>
      </c>
      <c r="D1387">
        <v>75</v>
      </c>
      <c r="E1387" t="s">
        <v>1052</v>
      </c>
      <c r="F1387" t="s">
        <v>5324</v>
      </c>
      <c r="G1387" t="str">
        <f>B21_Assessment!A75</f>
        <v>B21-P002</v>
      </c>
      <c r="H1387" t="str">
        <f>B21_Assessment!B75</f>
        <v>B1.TR</v>
      </c>
      <c r="I1387" t="str">
        <f>B21_Assessment!C75</f>
        <v>Existing Condition</v>
      </c>
      <c r="J1387" t="str">
        <f>B21_Assessment!D75</f>
        <v>Existing B21 basement B1.TR wall TE, legacy patch panels, Cisco switch, Fiber LIU, UPS on ground and cable entries</v>
      </c>
      <c r="K1387">
        <f>B21_Assessment!E75</f>
        <v>0</v>
      </c>
      <c r="L1387" t="str">
        <f>B21_Assessment!F75</f>
        <v>Paul</v>
      </c>
      <c r="M1387">
        <f>B21_Assessment!G75</f>
        <v>0</v>
      </c>
      <c r="N1387" t="str">
        <f>B21_Assessment!H75</f>
        <v>B21-R1/B21-R2</v>
      </c>
      <c r="O1387" t="str">
        <f>B21_Assessment!I75</f>
        <v>Closed</v>
      </c>
      <c r="P1387">
        <f>B21_Assessment!J75</f>
        <v>0</v>
      </c>
      <c r="Q1387" t="str">
        <f t="shared" si="21"/>
        <v>21|68</v>
      </c>
    </row>
    <row r="1388" spans="1:17" ht="6.45" customHeight="1">
      <c r="A1388" t="s">
        <v>2877</v>
      </c>
      <c r="B1388">
        <v>69</v>
      </c>
      <c r="C1388" t="s">
        <v>49</v>
      </c>
      <c r="D1388">
        <v>76</v>
      </c>
      <c r="E1388" t="s">
        <v>1052</v>
      </c>
      <c r="F1388" t="s">
        <v>5324</v>
      </c>
      <c r="G1388" t="str">
        <f>B21_Assessment!A76</f>
        <v>B21-P003</v>
      </c>
      <c r="H1388" t="str">
        <f>B21_Assessment!B76</f>
        <v>B05TR</v>
      </c>
      <c r="I1388" t="str">
        <f>B21_Assessment!C76</f>
        <v>Existing Condition</v>
      </c>
      <c r="J1388" t="str">
        <f>B21_Assessment!D76</f>
        <v>Existing B19 B05TR basement and first-level TE/equipment, APC floor UPS, Cisco switch, patch panels, Fiber LIU and pathways</v>
      </c>
      <c r="K1388">
        <f>B21_Assessment!E76</f>
        <v>0</v>
      </c>
      <c r="L1388" t="str">
        <f>B21_Assessment!F76</f>
        <v>Paul</v>
      </c>
      <c r="M1388">
        <f>B21_Assessment!G76</f>
        <v>0</v>
      </c>
      <c r="N1388" t="str">
        <f>B21_Assessment!H76</f>
        <v>B21-R1/B21-R4</v>
      </c>
      <c r="O1388" t="str">
        <f>B21_Assessment!I76</f>
        <v>Closed</v>
      </c>
      <c r="P1388">
        <f>B21_Assessment!J76</f>
        <v>0</v>
      </c>
      <c r="Q1388" t="str">
        <f t="shared" si="21"/>
        <v>21|69</v>
      </c>
    </row>
    <row r="1389" spans="1:17" ht="6.45" customHeight="1">
      <c r="A1389" t="s">
        <v>2877</v>
      </c>
      <c r="B1389">
        <v>70</v>
      </c>
      <c r="C1389" t="s">
        <v>49</v>
      </c>
      <c r="D1389">
        <v>77</v>
      </c>
      <c r="E1389" t="s">
        <v>1052</v>
      </c>
      <c r="F1389" t="s">
        <v>5324</v>
      </c>
      <c r="G1389" t="str">
        <f>B21_Assessment!A77</f>
        <v>B21-P004</v>
      </c>
      <c r="H1389" t="str">
        <f>B21_Assessment!B77</f>
        <v>100A/B05TR/B1.TR</v>
      </c>
      <c r="I1389" t="str">
        <f>B21_Assessment!C77</f>
        <v>Pathway</v>
      </c>
      <c r="J1389" t="str">
        <f>B21_Assessment!D77</f>
        <v>659 ft cable tray route, sleeves, wall/floor penetrations, support points, light/HVAC conflicts and 40% fill concerns</v>
      </c>
      <c r="K1389">
        <f>B21_Assessment!E77</f>
        <v>0</v>
      </c>
      <c r="L1389" t="str">
        <f>B21_Assessment!F77</f>
        <v>Paul</v>
      </c>
      <c r="M1389">
        <f>B21_Assessment!G77</f>
        <v>0</v>
      </c>
      <c r="N1389" t="str">
        <f>B21_Assessment!H77</f>
        <v>B21-R6/B21-R7</v>
      </c>
      <c r="O1389" t="str">
        <f>B21_Assessment!I77</f>
        <v>Closed</v>
      </c>
      <c r="P1389">
        <f>B21_Assessment!J77</f>
        <v>0</v>
      </c>
      <c r="Q1389" t="str">
        <f t="shared" si="21"/>
        <v>21|70</v>
      </c>
    </row>
    <row r="1390" spans="1:17" ht="6.45" customHeight="1">
      <c r="A1390" t="s">
        <v>2877</v>
      </c>
      <c r="B1390">
        <v>71</v>
      </c>
      <c r="C1390" t="s">
        <v>49</v>
      </c>
      <c r="D1390">
        <v>78</v>
      </c>
      <c r="E1390" t="s">
        <v>1052</v>
      </c>
      <c r="F1390" t="s">
        <v>5324</v>
      </c>
      <c r="G1390" t="str">
        <f>B21_Assessment!A78</f>
        <v>B21-P005</v>
      </c>
      <c r="H1390" t="str">
        <f>B21_Assessment!B78</f>
        <v>100A</v>
      </c>
      <c r="I1390" t="str">
        <f>B21_Assessment!C78</f>
        <v>Electrical</v>
      </c>
      <c r="J1390" t="str">
        <f>B21_Assessment!D78</f>
        <v>New TE enclosure UPS/PDU receptacles, circuit source, grounding/bonding, labels and access</v>
      </c>
      <c r="K1390">
        <f>B21_Assessment!E78</f>
        <v>0</v>
      </c>
      <c r="L1390" t="str">
        <f>B21_Assessment!F78</f>
        <v>Paul</v>
      </c>
      <c r="M1390">
        <f>B21_Assessment!G78</f>
        <v>0</v>
      </c>
      <c r="N1390" t="str">
        <f>B21_Assessment!H78</f>
        <v>B21-R5</v>
      </c>
      <c r="O1390" t="str">
        <f>B21_Assessment!I78</f>
        <v>Closed</v>
      </c>
      <c r="P1390">
        <f>B21_Assessment!J78</f>
        <v>0</v>
      </c>
      <c r="Q1390" t="str">
        <f t="shared" si="21"/>
        <v>21|71</v>
      </c>
    </row>
    <row r="1391" spans="1:17" ht="6.45" customHeight="1">
      <c r="A1391" t="s">
        <v>2877</v>
      </c>
      <c r="B1391">
        <v>72</v>
      </c>
      <c r="C1391" t="s">
        <v>49</v>
      </c>
      <c r="D1391">
        <v>79</v>
      </c>
      <c r="E1391" t="s">
        <v>1052</v>
      </c>
      <c r="F1391" t="s">
        <v>5324</v>
      </c>
      <c r="G1391" t="str">
        <f>B21_Assessment!A79</f>
        <v>B21-P006</v>
      </c>
      <c r="H1391" t="str">
        <f>B21_Assessment!B79</f>
        <v>100A/B1.TR/B05TR</v>
      </c>
      <c r="I1391" t="str">
        <f>B21_Assessment!C79</f>
        <v>Telecom</v>
      </c>
      <c r="J1391" t="str">
        <f>B21_Assessment!D79</f>
        <v>TR01-104-1 enclosure, cross-connect cables, Fiber LIU, patch panels, labels, test results and existing equipment transfer</v>
      </c>
      <c r="K1391">
        <f>B21_Assessment!E79</f>
        <v>0</v>
      </c>
      <c r="L1391" t="str">
        <f>B21_Assessment!F79</f>
        <v>Paul</v>
      </c>
      <c r="M1391">
        <f>B21_Assessment!G79</f>
        <v>0</v>
      </c>
      <c r="N1391" t="str">
        <f>B21_Assessment!H79</f>
        <v>B21-R2/B21-R8</v>
      </c>
      <c r="O1391" t="str">
        <f>B21_Assessment!I79</f>
        <v>Closed</v>
      </c>
      <c r="P1391">
        <f>B21_Assessment!J79</f>
        <v>0</v>
      </c>
      <c r="Q1391" t="str">
        <f t="shared" si="21"/>
        <v>21|72</v>
      </c>
    </row>
    <row r="1392" spans="1:17" ht="6.45" customHeight="1">
      <c r="A1392" t="s">
        <v>2877</v>
      </c>
      <c r="B1392">
        <v>73</v>
      </c>
      <c r="C1392" t="s">
        <v>49</v>
      </c>
      <c r="D1392">
        <v>80</v>
      </c>
      <c r="E1392" t="s">
        <v>1052</v>
      </c>
      <c r="F1392" t="s">
        <v>5324</v>
      </c>
      <c r="G1392" t="str">
        <f>B21_Assessment!A80</f>
        <v>B21-P007</v>
      </c>
      <c r="H1392" t="str">
        <f>B21_Assessment!B80</f>
        <v>All</v>
      </c>
      <c r="I1392" t="str">
        <f>B21_Assessment!C80</f>
        <v>Firestop</v>
      </c>
      <c r="J1392" t="str">
        <f>B21_Assessment!D80</f>
        <v>4-inch speed sleeve, wall/floor penetrations and fire caulk before/after photos</v>
      </c>
      <c r="K1392">
        <f>B21_Assessment!E80</f>
        <v>0</v>
      </c>
      <c r="L1392" t="str">
        <f>B21_Assessment!F80</f>
        <v>Paul</v>
      </c>
      <c r="M1392">
        <f>B21_Assessment!G80</f>
        <v>0</v>
      </c>
      <c r="N1392" t="str">
        <f>B21_Assessment!H80</f>
        <v>B21-R7</v>
      </c>
      <c r="O1392" t="str">
        <f>B21_Assessment!I80</f>
        <v>Closed</v>
      </c>
      <c r="P1392">
        <f>B21_Assessment!J80</f>
        <v>0</v>
      </c>
      <c r="Q1392" t="str">
        <f t="shared" si="21"/>
        <v>21|73</v>
      </c>
    </row>
    <row r="1393" spans="1:17" ht="6.45" customHeight="1">
      <c r="A1393" t="s">
        <v>2877</v>
      </c>
      <c r="B1393">
        <v>74</v>
      </c>
      <c r="C1393" t="s">
        <v>49</v>
      </c>
      <c r="D1393">
        <v>81</v>
      </c>
      <c r="E1393" t="s">
        <v>1052</v>
      </c>
      <c r="F1393" t="s">
        <v>5324</v>
      </c>
      <c r="G1393" t="str">
        <f>B21_Assessment!A81</f>
        <v>B21-P008</v>
      </c>
      <c r="H1393" t="str">
        <f>B21_Assessment!B81</f>
        <v>All</v>
      </c>
      <c r="I1393" t="str">
        <f>B21_Assessment!C81</f>
        <v>Security / Existing Devices</v>
      </c>
      <c r="J1393" t="str">
        <f>B21_Assessment!D81</f>
        <v>Existing cameras/security devices to remain, protection-in-place and final operating condition</v>
      </c>
      <c r="K1393">
        <f>B21_Assessment!E81</f>
        <v>0</v>
      </c>
      <c r="L1393" t="str">
        <f>B21_Assessment!F81</f>
        <v>Paul</v>
      </c>
      <c r="M1393">
        <f>B21_Assessment!G81</f>
        <v>0</v>
      </c>
      <c r="N1393" t="str">
        <f>B21_Assessment!H81</f>
        <v>B21-R8</v>
      </c>
      <c r="O1393" t="str">
        <f>B21_Assessment!I81</f>
        <v>Closed</v>
      </c>
      <c r="P1393">
        <f>B21_Assessment!J81</f>
        <v>0</v>
      </c>
      <c r="Q1393" t="str">
        <f t="shared" si="21"/>
        <v>21|74</v>
      </c>
    </row>
    <row r="1394" spans="1:17" ht="6.45" customHeight="1">
      <c r="A1394" t="s">
        <v>2877</v>
      </c>
      <c r="B1394">
        <v>75</v>
      </c>
      <c r="C1394" t="s">
        <v>49</v>
      </c>
      <c r="D1394">
        <v>82</v>
      </c>
      <c r="E1394" t="s">
        <v>1052</v>
      </c>
      <c r="F1394" t="s">
        <v>5325</v>
      </c>
      <c r="G1394">
        <f>B21_Assessment!A82</f>
        <v>0</v>
      </c>
      <c r="H1394">
        <f>B21_Assessment!B82</f>
        <v>0</v>
      </c>
      <c r="I1394">
        <f>B21_Assessment!C82</f>
        <v>0</v>
      </c>
      <c r="J1394">
        <f>B21_Assessment!D82</f>
        <v>0</v>
      </c>
      <c r="K1394">
        <f>B21_Assessment!E82</f>
        <v>0</v>
      </c>
      <c r="L1394">
        <f>B21_Assessment!F82</f>
        <v>0</v>
      </c>
      <c r="M1394">
        <f>B21_Assessment!G82</f>
        <v>0</v>
      </c>
      <c r="N1394">
        <f>B21_Assessment!H82</f>
        <v>0</v>
      </c>
      <c r="O1394">
        <f>B21_Assessment!I82</f>
        <v>0</v>
      </c>
      <c r="P1394">
        <f>B21_Assessment!J82</f>
        <v>0</v>
      </c>
      <c r="Q1394" t="str">
        <f t="shared" si="21"/>
        <v>21|75</v>
      </c>
    </row>
    <row r="1395" spans="1:17" ht="6.45" customHeight="1">
      <c r="A1395" t="s">
        <v>707</v>
      </c>
      <c r="B1395">
        <v>1</v>
      </c>
      <c r="C1395" t="s">
        <v>51</v>
      </c>
      <c r="D1395">
        <v>8</v>
      </c>
      <c r="E1395" t="s">
        <v>918</v>
      </c>
      <c r="F1395" t="s">
        <v>5322</v>
      </c>
      <c r="G1395" t="str">
        <f>B22_Assessment!A8</f>
        <v>1. ROOM INVENTORY</v>
      </c>
      <c r="H1395">
        <f>B22_Assessment!B8</f>
        <v>0</v>
      </c>
      <c r="I1395">
        <f>B22_Assessment!C8</f>
        <v>0</v>
      </c>
      <c r="J1395">
        <f>B22_Assessment!D8</f>
        <v>0</v>
      </c>
      <c r="K1395">
        <f>B22_Assessment!E8</f>
        <v>0</v>
      </c>
      <c r="L1395">
        <f>B22_Assessment!F8</f>
        <v>0</v>
      </c>
      <c r="M1395">
        <f>B22_Assessment!G8</f>
        <v>0</v>
      </c>
      <c r="N1395">
        <f>B22_Assessment!H8</f>
        <v>0</v>
      </c>
      <c r="O1395">
        <f>B22_Assessment!I8</f>
        <v>0</v>
      </c>
      <c r="P1395">
        <f>B22_Assessment!J8</f>
        <v>0</v>
      </c>
      <c r="Q1395" t="str">
        <f t="shared" si="21"/>
        <v>22|1</v>
      </c>
    </row>
    <row r="1396" spans="1:17" ht="6.45" customHeight="1">
      <c r="A1396" t="s">
        <v>707</v>
      </c>
      <c r="B1396">
        <v>2</v>
      </c>
      <c r="C1396" t="s">
        <v>51</v>
      </c>
      <c r="D1396">
        <v>9</v>
      </c>
      <c r="E1396" t="s">
        <v>918</v>
      </c>
      <c r="F1396" t="s">
        <v>5323</v>
      </c>
      <c r="G1396" t="str">
        <f>B22_Assessment!A9</f>
        <v>Building</v>
      </c>
      <c r="H1396" t="str">
        <f>B22_Assessment!B9</f>
        <v>Room</v>
      </c>
      <c r="I1396" t="str">
        <f>B22_Assessment!C9</f>
        <v>Floor</v>
      </c>
      <c r="J1396" t="str">
        <f>B22_Assessment!D9</f>
        <v>Existing Use</v>
      </c>
      <c r="K1396" t="str">
        <f>B22_Assessment!E9</f>
        <v>New Use</v>
      </c>
      <c r="L1396" t="str">
        <f>B22_Assessment!F9</f>
        <v>Rack Count</v>
      </c>
      <c r="M1396" t="str">
        <f>B22_Assessment!G9</f>
        <v>Future Rack</v>
      </c>
      <c r="N1396" t="str">
        <f>B22_Assessment!H9</f>
        <v>Status</v>
      </c>
      <c r="O1396" t="str">
        <f>B22_Assessment!I9</f>
        <v>Drawing Ref</v>
      </c>
      <c r="P1396" t="str">
        <f>B22_Assessment!J9</f>
        <v>Notes</v>
      </c>
      <c r="Q1396" t="str">
        <f t="shared" si="21"/>
        <v>22|2</v>
      </c>
    </row>
    <row r="1397" spans="1:17" ht="6.45" customHeight="1">
      <c r="A1397" t="s">
        <v>707</v>
      </c>
      <c r="B1397">
        <v>3</v>
      </c>
      <c r="C1397" t="s">
        <v>51</v>
      </c>
      <c r="D1397">
        <v>10</v>
      </c>
      <c r="E1397" t="s">
        <v>918</v>
      </c>
      <c r="F1397" t="s">
        <v>5324</v>
      </c>
      <c r="G1397" t="str">
        <f>B22_Assessment!A10</f>
        <v>22</v>
      </c>
      <c r="H1397" t="str">
        <f>B22_Assessment!B10</f>
        <v>102</v>
      </c>
      <c r="I1397" t="str">
        <f>B22_Assessment!C10</f>
        <v>First</v>
      </c>
      <c r="J1397" t="str">
        <f>B22_Assessment!D10</f>
        <v>Break Room / new TE location</v>
      </c>
      <c r="K1397" t="str">
        <f>B22_Assessment!E10</f>
        <v>Telecom Enclosure</v>
      </c>
      <c r="L1397">
        <f>B22_Assessment!F10</f>
        <v>1</v>
      </c>
      <c r="M1397">
        <f>B22_Assessment!G10</f>
        <v>0</v>
      </c>
      <c r="N1397" t="str">
        <f>B22_Assessment!H10</f>
        <v>Verify</v>
      </c>
      <c r="O1397" t="str">
        <f>B22_Assessment!I10</f>
        <v>22T-101 / 22T-701 / 22E-101 / 22E-701</v>
      </c>
      <c r="P1397" t="str">
        <f>B22_Assessment!J10</f>
        <v>Primary Building 22 TE. Plans identify Break Room 102 at 358 SF with new 12RU telecom enclosure Rack ID TR01-102-1, APC UPS, two PDUs, network switch, 48-port Cat6A patch panel, Fiber LIU, and 8 total ports with 10% allowance.</v>
      </c>
      <c r="Q1397" t="str">
        <f t="shared" si="21"/>
        <v>22|3</v>
      </c>
    </row>
    <row r="1398" spans="1:17" ht="6.45" customHeight="1">
      <c r="A1398" t="s">
        <v>707</v>
      </c>
      <c r="B1398">
        <v>4</v>
      </c>
      <c r="C1398" t="s">
        <v>51</v>
      </c>
      <c r="D1398">
        <v>11</v>
      </c>
      <c r="E1398" t="s">
        <v>918</v>
      </c>
      <c r="F1398" t="s">
        <v>5324</v>
      </c>
      <c r="G1398" t="str">
        <f>B22_Assessment!A11</f>
        <v>22</v>
      </c>
      <c r="H1398" t="str">
        <f>B22_Assessment!B11</f>
        <v>103</v>
      </c>
      <c r="I1398" t="str">
        <f>B22_Assessment!C11</f>
        <v>First</v>
      </c>
      <c r="J1398" t="str">
        <f>B22_Assessment!D11</f>
        <v>Existing wall/wall-mount TE / legacy equipment area</v>
      </c>
      <c r="K1398" t="str">
        <f>B22_Assessment!E11</f>
        <v>Existing telecom transition point</v>
      </c>
      <c r="L1398">
        <f>B22_Assessment!F11</f>
        <v>1</v>
      </c>
      <c r="M1398">
        <f>B22_Assessment!G11</f>
        <v>0</v>
      </c>
      <c r="N1398" t="str">
        <f>B22_Assessment!H11</f>
        <v>Verify</v>
      </c>
      <c r="O1398" t="str">
        <f>B22_Assessment!I11</f>
        <v>22T-101 / 22T-701 / 22R-900</v>
      </c>
      <c r="P1398" t="str">
        <f>B22_Assessment!J11</f>
        <v>Existing Room 103 first-level wall/wall-mount TE shown with APC UPS, Cisco switch, SERTEX utility service, legacy Ortronics 24-port patch panel, Fiber LIU on wall, and ports 1-24 to Building 19 ports 73-96. Protect active services and transfer to Room 102 TE.</v>
      </c>
      <c r="Q1398" t="str">
        <f t="shared" si="21"/>
        <v>22|4</v>
      </c>
    </row>
    <row r="1399" spans="1:17" ht="6.45" customHeight="1">
      <c r="A1399" t="s">
        <v>707</v>
      </c>
      <c r="B1399">
        <v>5</v>
      </c>
      <c r="C1399" t="s">
        <v>51</v>
      </c>
      <c r="D1399">
        <v>12</v>
      </c>
      <c r="E1399" t="s">
        <v>918</v>
      </c>
      <c r="F1399" t="s">
        <v>5325</v>
      </c>
      <c r="G1399">
        <f>B22_Assessment!A12</f>
        <v>0</v>
      </c>
      <c r="H1399">
        <f>B22_Assessment!B12</f>
        <v>0</v>
      </c>
      <c r="I1399">
        <f>B22_Assessment!C12</f>
        <v>0</v>
      </c>
      <c r="J1399">
        <f>B22_Assessment!D12</f>
        <v>0</v>
      </c>
      <c r="K1399">
        <f>B22_Assessment!E12</f>
        <v>0</v>
      </c>
      <c r="L1399">
        <f>B22_Assessment!F12</f>
        <v>0</v>
      </c>
      <c r="M1399">
        <f>B22_Assessment!G12</f>
        <v>0</v>
      </c>
      <c r="N1399">
        <f>B22_Assessment!H12</f>
        <v>0</v>
      </c>
      <c r="O1399">
        <f>B22_Assessment!I12</f>
        <v>0</v>
      </c>
      <c r="P1399">
        <f>B22_Assessment!J12</f>
        <v>0</v>
      </c>
      <c r="Q1399" t="str">
        <f t="shared" si="21"/>
        <v>22|5</v>
      </c>
    </row>
    <row r="1400" spans="1:17" ht="6.45" customHeight="1">
      <c r="A1400" t="s">
        <v>707</v>
      </c>
      <c r="B1400">
        <v>6</v>
      </c>
      <c r="C1400" t="s">
        <v>51</v>
      </c>
      <c r="D1400">
        <v>13</v>
      </c>
      <c r="E1400" t="s">
        <v>936</v>
      </c>
      <c r="F1400" t="s">
        <v>5322</v>
      </c>
      <c r="G1400" t="str">
        <f>B22_Assessment!A13</f>
        <v>2. ROOM READINESS</v>
      </c>
      <c r="H1400">
        <f>B22_Assessment!B13</f>
        <v>0</v>
      </c>
      <c r="I1400">
        <f>B22_Assessment!C13</f>
        <v>0</v>
      </c>
      <c r="J1400">
        <f>B22_Assessment!D13</f>
        <v>0</v>
      </c>
      <c r="K1400">
        <f>B22_Assessment!E13</f>
        <v>0</v>
      </c>
      <c r="L1400">
        <f>B22_Assessment!F13</f>
        <v>0</v>
      </c>
      <c r="M1400">
        <f>B22_Assessment!G13</f>
        <v>0</v>
      </c>
      <c r="N1400">
        <f>B22_Assessment!H13</f>
        <v>0</v>
      </c>
      <c r="O1400">
        <f>B22_Assessment!I13</f>
        <v>0</v>
      </c>
      <c r="P1400">
        <f>B22_Assessment!J13</f>
        <v>0</v>
      </c>
      <c r="Q1400" t="str">
        <f t="shared" si="21"/>
        <v>22|6</v>
      </c>
    </row>
    <row r="1401" spans="1:17" ht="6.45" customHeight="1">
      <c r="A1401" t="s">
        <v>707</v>
      </c>
      <c r="B1401">
        <v>7</v>
      </c>
      <c r="C1401" t="s">
        <v>51</v>
      </c>
      <c r="D1401">
        <v>14</v>
      </c>
      <c r="E1401" t="s">
        <v>936</v>
      </c>
      <c r="F1401" t="s">
        <v>5323</v>
      </c>
      <c r="G1401" t="str">
        <f>B22_Assessment!A14</f>
        <v>Room</v>
      </c>
      <c r="H1401" t="str">
        <f>B22_Assessment!B14</f>
        <v>Walls / 1-hr Rating</v>
      </c>
      <c r="I1401" t="str">
        <f>B22_Assessment!C14</f>
        <v>Ceiling</v>
      </c>
      <c r="J1401" t="str">
        <f>B22_Assessment!D14</f>
        <v>Floor / SDC</v>
      </c>
      <c r="K1401" t="str">
        <f>B22_Assessment!E14</f>
        <v>Penetrations</v>
      </c>
      <c r="L1401" t="str">
        <f>B22_Assessment!F14</f>
        <v>Access Control</v>
      </c>
      <c r="M1401" t="str">
        <f>B22_Assessment!G14</f>
        <v>Clearances</v>
      </c>
      <c r="N1401" t="str">
        <f>B22_Assessment!H14</f>
        <v>Housekeeping</v>
      </c>
      <c r="O1401" t="str">
        <f>B22_Assessment!I14</f>
        <v>Overall</v>
      </c>
      <c r="P1401" t="str">
        <f>B22_Assessment!J14</f>
        <v>Comments</v>
      </c>
      <c r="Q1401" t="str">
        <f t="shared" si="21"/>
        <v>22|7</v>
      </c>
    </row>
    <row r="1402" spans="1:17" ht="6.45" customHeight="1">
      <c r="A1402" t="s">
        <v>707</v>
      </c>
      <c r="B1402">
        <v>8</v>
      </c>
      <c r="C1402" t="s">
        <v>51</v>
      </c>
      <c r="D1402">
        <v>15</v>
      </c>
      <c r="E1402" t="s">
        <v>936</v>
      </c>
      <c r="F1402" t="s">
        <v>5324</v>
      </c>
      <c r="G1402" t="str">
        <f>B22_Assessment!A15</f>
        <v>102</v>
      </c>
      <c r="H1402" t="str">
        <f>B22_Assessment!B15</f>
        <v>Verify</v>
      </c>
      <c r="I1402" t="str">
        <f>B22_Assessment!C15</f>
        <v>Verify</v>
      </c>
      <c r="J1402" t="str">
        <f>B22_Assessment!D15</f>
        <v>N/A / Break Room</v>
      </c>
      <c r="K1402" t="str">
        <f>B22_Assessment!E15</f>
        <v>Verify</v>
      </c>
      <c r="L1402" t="str">
        <f>B22_Assessment!F15</f>
        <v>Verify Existing</v>
      </c>
      <c r="M1402" t="str">
        <f>B22_Assessment!G15</f>
        <v>Verify</v>
      </c>
      <c r="N1402" t="str">
        <f>B22_Assessment!H15</f>
        <v>Verify</v>
      </c>
      <c r="O1402" t="str">
        <f>B22_Assessment!I15</f>
        <v>Verify</v>
      </c>
      <c r="P1402" t="str">
        <f>B22_Assessment!J15</f>
        <v>New TE enclosure location in Break Room 102; verify wall backing, mounting height, access clearance, power, fiber/copper path, 4-inch speed sleeve, fire/smoke wall rating, and that break-room use can remain operational.</v>
      </c>
      <c r="Q1402" t="str">
        <f t="shared" si="21"/>
        <v>22|8</v>
      </c>
    </row>
    <row r="1403" spans="1:17" ht="6.45" customHeight="1">
      <c r="A1403" t="s">
        <v>707</v>
      </c>
      <c r="B1403">
        <v>9</v>
      </c>
      <c r="C1403" t="s">
        <v>51</v>
      </c>
      <c r="D1403">
        <v>16</v>
      </c>
      <c r="E1403" t="s">
        <v>936</v>
      </c>
      <c r="F1403" t="s">
        <v>5324</v>
      </c>
      <c r="G1403" t="str">
        <f>B22_Assessment!A16</f>
        <v>103</v>
      </c>
      <c r="H1403" t="str">
        <f>B22_Assessment!B16</f>
        <v>Existing / Verify</v>
      </c>
      <c r="I1403" t="str">
        <f>B22_Assessment!C16</f>
        <v>Existing / Verify</v>
      </c>
      <c r="J1403" t="str">
        <f>B22_Assessment!D16</f>
        <v>Existing / Verify</v>
      </c>
      <c r="K1403" t="str">
        <f>B22_Assessment!E16</f>
        <v>Verify</v>
      </c>
      <c r="L1403" t="str">
        <f>B22_Assessment!F16</f>
        <v>Verify Existing</v>
      </c>
      <c r="M1403" t="str">
        <f>B22_Assessment!G16</f>
        <v>Verify</v>
      </c>
      <c r="N1403" t="str">
        <f>B22_Assessment!H16</f>
        <v>Verify</v>
      </c>
      <c r="O1403" t="str">
        <f>B22_Assessment!I16</f>
        <v>Verify</v>
      </c>
      <c r="P1403" t="str">
        <f>B22_Assessment!J16</f>
        <v>Existing first-level wall/wall-mount TE; verify active equipment status, UPS, Cisco switch, SERTEX utility service, Fiber LIU, pathway, and transition/abandonment scope.</v>
      </c>
      <c r="Q1403" t="str">
        <f t="shared" si="21"/>
        <v>22|9</v>
      </c>
    </row>
    <row r="1404" spans="1:17" ht="6.45" customHeight="1">
      <c r="A1404" t="s">
        <v>707</v>
      </c>
      <c r="B1404">
        <v>10</v>
      </c>
      <c r="C1404" t="s">
        <v>51</v>
      </c>
      <c r="D1404">
        <v>17</v>
      </c>
      <c r="E1404" t="s">
        <v>936</v>
      </c>
      <c r="F1404" t="s">
        <v>5325</v>
      </c>
      <c r="G1404">
        <f>B22_Assessment!A17</f>
        <v>0</v>
      </c>
      <c r="H1404">
        <f>B22_Assessment!B17</f>
        <v>0</v>
      </c>
      <c r="I1404">
        <f>B22_Assessment!C17</f>
        <v>0</v>
      </c>
      <c r="J1404">
        <f>B22_Assessment!D17</f>
        <v>0</v>
      </c>
      <c r="K1404">
        <f>B22_Assessment!E17</f>
        <v>0</v>
      </c>
      <c r="L1404">
        <f>B22_Assessment!F17</f>
        <v>0</v>
      </c>
      <c r="M1404">
        <f>B22_Assessment!G17</f>
        <v>0</v>
      </c>
      <c r="N1404">
        <f>B22_Assessment!H17</f>
        <v>0</v>
      </c>
      <c r="O1404">
        <f>B22_Assessment!I17</f>
        <v>0</v>
      </c>
      <c r="P1404">
        <f>B22_Assessment!J17</f>
        <v>0</v>
      </c>
      <c r="Q1404" t="str">
        <f t="shared" si="21"/>
        <v>22|10</v>
      </c>
    </row>
    <row r="1405" spans="1:17" ht="6.45" customHeight="1">
      <c r="A1405" t="s">
        <v>707</v>
      </c>
      <c r="B1405">
        <v>11</v>
      </c>
      <c r="C1405" t="s">
        <v>51</v>
      </c>
      <c r="D1405">
        <v>18</v>
      </c>
      <c r="E1405" t="s">
        <v>951</v>
      </c>
      <c r="F1405" t="s">
        <v>5322</v>
      </c>
      <c r="G1405" t="str">
        <f>B22_Assessment!A18</f>
        <v>3. FIRE PROTECTION</v>
      </c>
      <c r="H1405">
        <f>B22_Assessment!B18</f>
        <v>0</v>
      </c>
      <c r="I1405">
        <f>B22_Assessment!C18</f>
        <v>0</v>
      </c>
      <c r="J1405">
        <f>B22_Assessment!D18</f>
        <v>0</v>
      </c>
      <c r="K1405">
        <f>B22_Assessment!E18</f>
        <v>0</v>
      </c>
      <c r="L1405">
        <f>B22_Assessment!F18</f>
        <v>0</v>
      </c>
      <c r="M1405">
        <f>B22_Assessment!G18</f>
        <v>0</v>
      </c>
      <c r="N1405">
        <f>B22_Assessment!H18</f>
        <v>0</v>
      </c>
      <c r="O1405">
        <f>B22_Assessment!I18</f>
        <v>0</v>
      </c>
      <c r="P1405">
        <f>B22_Assessment!J18</f>
        <v>0</v>
      </c>
      <c r="Q1405" t="str">
        <f t="shared" si="21"/>
        <v>22|11</v>
      </c>
    </row>
    <row r="1406" spans="1:17" ht="6.45" customHeight="1">
      <c r="A1406" t="s">
        <v>707</v>
      </c>
      <c r="B1406">
        <v>12</v>
      </c>
      <c r="C1406" t="s">
        <v>51</v>
      </c>
      <c r="D1406">
        <v>19</v>
      </c>
      <c r="E1406" t="s">
        <v>951</v>
      </c>
      <c r="F1406" t="s">
        <v>5323</v>
      </c>
      <c r="G1406" t="str">
        <f>B22_Assessment!A19</f>
        <v>Room</v>
      </c>
      <c r="H1406" t="str">
        <f>B22_Assessment!B19</f>
        <v>Sprinkler</v>
      </c>
      <c r="I1406" t="str">
        <f>B22_Assessment!C19</f>
        <v>Cage</v>
      </c>
      <c r="J1406" t="str">
        <f>B22_Assessment!D19</f>
        <v>Detector</v>
      </c>
      <c r="K1406" t="str">
        <f>B22_Assessment!E19</f>
        <v>Horn/Strobe</v>
      </c>
      <c r="L1406" t="str">
        <f>B22_Assessment!F19</f>
        <v>Extinguisher &lt;75 ft</v>
      </c>
      <c r="M1406" t="str">
        <f>B22_Assessment!G19</f>
        <v>Firestop</v>
      </c>
      <c r="N1406" t="str">
        <f>B22_Assessment!H19</f>
        <v>Temp Firestop</v>
      </c>
      <c r="O1406" t="str">
        <f>B22_Assessment!I19</f>
        <v>Overall</v>
      </c>
      <c r="P1406" t="str">
        <f>B22_Assessment!J19</f>
        <v>Risk / Notes</v>
      </c>
      <c r="Q1406" t="str">
        <f t="shared" si="21"/>
        <v>22|12</v>
      </c>
    </row>
    <row r="1407" spans="1:17" ht="6.45" customHeight="1">
      <c r="A1407" t="s">
        <v>707</v>
      </c>
      <c r="B1407">
        <v>13</v>
      </c>
      <c r="C1407" t="s">
        <v>51</v>
      </c>
      <c r="D1407">
        <v>20</v>
      </c>
      <c r="E1407" t="s">
        <v>951</v>
      </c>
      <c r="F1407" t="s">
        <v>5324</v>
      </c>
      <c r="G1407" t="str">
        <f>B22_Assessment!A20</f>
        <v>102</v>
      </c>
      <c r="H1407" t="str">
        <f>B22_Assessment!B20</f>
        <v>Excluded / Verify</v>
      </c>
      <c r="I1407" t="str">
        <f>B22_Assessment!C20</f>
        <v>N/A</v>
      </c>
      <c r="J1407" t="str">
        <f>B22_Assessment!D20</f>
        <v>Verify Existing</v>
      </c>
      <c r="K1407" t="str">
        <f>B22_Assessment!E20</f>
        <v>Verify Existing</v>
      </c>
      <c r="L1407" t="str">
        <f>B22_Assessment!F20</f>
        <v>N/A / Verify</v>
      </c>
      <c r="M1407" t="str">
        <f>B22_Assessment!G20</f>
        <v>Verify</v>
      </c>
      <c r="N1407" t="str">
        <f>B22_Assessment!H20</f>
        <v>Verify</v>
      </c>
      <c r="O1407" t="str">
        <f>B22_Assessment!I20</f>
        <v>Verify</v>
      </c>
      <c r="P1407" t="str">
        <f>B22_Assessment!J20</f>
        <v>Cover sheet states Building 22 receives a Telecom Enclosure and mechanical/fire protection scope is excluded. Still verify firestopping of rated penetrations, 4-inch sleeve, wall/floor openings, and life-safety device impacts.</v>
      </c>
      <c r="Q1407" t="str">
        <f t="shared" si="21"/>
        <v>22|13</v>
      </c>
    </row>
    <row r="1408" spans="1:17" ht="6.45" customHeight="1">
      <c r="A1408" t="s">
        <v>707</v>
      </c>
      <c r="B1408">
        <v>14</v>
      </c>
      <c r="C1408" t="s">
        <v>51</v>
      </c>
      <c r="D1408">
        <v>21</v>
      </c>
      <c r="E1408" t="s">
        <v>951</v>
      </c>
      <c r="F1408" t="s">
        <v>5324</v>
      </c>
      <c r="G1408" t="str">
        <f>B22_Assessment!A21</f>
        <v>103</v>
      </c>
      <c r="H1408" t="str">
        <f>B22_Assessment!B21</f>
        <v>Existing / Verify</v>
      </c>
      <c r="I1408" t="str">
        <f>B22_Assessment!C21</f>
        <v>N/A</v>
      </c>
      <c r="J1408" t="str">
        <f>B22_Assessment!D21</f>
        <v>Verify Existing</v>
      </c>
      <c r="K1408" t="str">
        <f>B22_Assessment!E21</f>
        <v>Verify Existing</v>
      </c>
      <c r="L1408" t="str">
        <f>B22_Assessment!F21</f>
        <v>N/A / Verify</v>
      </c>
      <c r="M1408" t="str">
        <f>B22_Assessment!G21</f>
        <v>Verify</v>
      </c>
      <c r="N1408" t="str">
        <f>B22_Assessment!H21</f>
        <v>Verify</v>
      </c>
      <c r="O1408" t="str">
        <f>B22_Assessment!I21</f>
        <v>Verify</v>
      </c>
      <c r="P1408" t="str">
        <f>B22_Assessment!J21</f>
        <v>Existing TE room; verify protection-in-place and firestopping after cable transfer or reuse.</v>
      </c>
      <c r="Q1408" t="str">
        <f t="shared" si="21"/>
        <v>22|14</v>
      </c>
    </row>
    <row r="1409" spans="1:17" ht="6.45" customHeight="1">
      <c r="A1409" t="s">
        <v>707</v>
      </c>
      <c r="B1409">
        <v>15</v>
      </c>
      <c r="C1409" t="s">
        <v>51</v>
      </c>
      <c r="D1409">
        <v>22</v>
      </c>
      <c r="E1409" t="s">
        <v>951</v>
      </c>
      <c r="F1409" t="s">
        <v>5325</v>
      </c>
      <c r="G1409">
        <f>B22_Assessment!A22</f>
        <v>0</v>
      </c>
      <c r="H1409">
        <f>B22_Assessment!B22</f>
        <v>0</v>
      </c>
      <c r="I1409">
        <f>B22_Assessment!C22</f>
        <v>0</v>
      </c>
      <c r="J1409">
        <f>B22_Assessment!D22</f>
        <v>0</v>
      </c>
      <c r="K1409">
        <f>B22_Assessment!E22</f>
        <v>0</v>
      </c>
      <c r="L1409">
        <f>B22_Assessment!F22</f>
        <v>0</v>
      </c>
      <c r="M1409">
        <f>B22_Assessment!G22</f>
        <v>0</v>
      </c>
      <c r="N1409">
        <f>B22_Assessment!H22</f>
        <v>0</v>
      </c>
      <c r="O1409">
        <f>B22_Assessment!I22</f>
        <v>0</v>
      </c>
      <c r="P1409">
        <f>B22_Assessment!J22</f>
        <v>0</v>
      </c>
      <c r="Q1409" t="str">
        <f t="shared" si="21"/>
        <v>22|15</v>
      </c>
    </row>
    <row r="1410" spans="1:17" ht="6.45" customHeight="1">
      <c r="A1410" t="s">
        <v>707</v>
      </c>
      <c r="B1410">
        <v>16</v>
      </c>
      <c r="C1410" t="s">
        <v>51</v>
      </c>
      <c r="D1410">
        <v>23</v>
      </c>
      <c r="E1410" t="s">
        <v>964</v>
      </c>
      <c r="F1410" t="s">
        <v>5322</v>
      </c>
      <c r="G1410" t="str">
        <f>B22_Assessment!A23</f>
        <v>4. HVAC / COOLING</v>
      </c>
      <c r="H1410">
        <f>B22_Assessment!B23</f>
        <v>0</v>
      </c>
      <c r="I1410">
        <f>B22_Assessment!C23</f>
        <v>0</v>
      </c>
      <c r="J1410">
        <f>B22_Assessment!D23</f>
        <v>0</v>
      </c>
      <c r="K1410">
        <f>B22_Assessment!E23</f>
        <v>0</v>
      </c>
      <c r="L1410">
        <f>B22_Assessment!F23</f>
        <v>0</v>
      </c>
      <c r="M1410">
        <f>B22_Assessment!G23</f>
        <v>0</v>
      </c>
      <c r="N1410">
        <f>B22_Assessment!H23</f>
        <v>0</v>
      </c>
      <c r="O1410">
        <f>B22_Assessment!I23</f>
        <v>0</v>
      </c>
      <c r="P1410">
        <f>B22_Assessment!J23</f>
        <v>0</v>
      </c>
      <c r="Q1410" t="str">
        <f t="shared" ref="Q1410:Q1473" si="22">A1410&amp;"|"&amp;B1410</f>
        <v>22|16</v>
      </c>
    </row>
    <row r="1411" spans="1:17" ht="6.45" customHeight="1">
      <c r="A1411" t="s">
        <v>707</v>
      </c>
      <c r="B1411">
        <v>17</v>
      </c>
      <c r="C1411" t="s">
        <v>51</v>
      </c>
      <c r="D1411">
        <v>24</v>
      </c>
      <c r="E1411" t="s">
        <v>964</v>
      </c>
      <c r="F1411" t="s">
        <v>5323</v>
      </c>
      <c r="G1411" t="str">
        <f>B22_Assessment!A24</f>
        <v>Room</v>
      </c>
      <c r="H1411" t="str">
        <f>B22_Assessment!B24</f>
        <v>Dedicated Unit</v>
      </c>
      <c r="I1411" t="str">
        <f>B22_Assessment!C24</f>
        <v>Capacity Verified</v>
      </c>
      <c r="J1411" t="str">
        <f>B22_Assessment!D24</f>
        <v>Emergency Power</v>
      </c>
      <c r="K1411" t="str">
        <f>B22_Assessment!E24</f>
        <v>Controls / BACnet</v>
      </c>
      <c r="L1411" t="str">
        <f>B22_Assessment!F24</f>
        <v>Condensate Routed</v>
      </c>
      <c r="M1411" t="str">
        <f>B22_Assessment!G24</f>
        <v>High Temp Alarm</v>
      </c>
      <c r="N1411" t="str">
        <f>B22_Assessment!H24</f>
        <v>24/7 Operation</v>
      </c>
      <c r="O1411" t="str">
        <f>B22_Assessment!I24</f>
        <v>Overall</v>
      </c>
      <c r="P1411" t="str">
        <f>B22_Assessment!J24</f>
        <v>Risk / Notes</v>
      </c>
      <c r="Q1411" t="str">
        <f t="shared" si="22"/>
        <v>22|17</v>
      </c>
    </row>
    <row r="1412" spans="1:17" ht="6.45" customHeight="1">
      <c r="A1412" t="s">
        <v>707</v>
      </c>
      <c r="B1412">
        <v>18</v>
      </c>
      <c r="C1412" t="s">
        <v>51</v>
      </c>
      <c r="D1412">
        <v>25</v>
      </c>
      <c r="E1412" t="s">
        <v>964</v>
      </c>
      <c r="F1412" t="s">
        <v>5324</v>
      </c>
      <c r="G1412" t="str">
        <f>B22_Assessment!A25</f>
        <v>102</v>
      </c>
      <c r="H1412" t="str">
        <f>B22_Assessment!B25</f>
        <v>Excluded</v>
      </c>
      <c r="I1412" t="str">
        <f>B22_Assessment!C25</f>
        <v>N/A</v>
      </c>
      <c r="J1412" t="str">
        <f>B22_Assessment!D25</f>
        <v>N/A</v>
      </c>
      <c r="K1412" t="str">
        <f>B22_Assessment!E25</f>
        <v>N/A</v>
      </c>
      <c r="L1412" t="str">
        <f>B22_Assessment!F25</f>
        <v>N/A</v>
      </c>
      <c r="M1412" t="str">
        <f>B22_Assessment!G25</f>
        <v>N/A</v>
      </c>
      <c r="N1412" t="str">
        <f>B22_Assessment!H25</f>
        <v>N/A</v>
      </c>
      <c r="O1412" t="str">
        <f>B22_Assessment!I25</f>
        <v>N/A</v>
      </c>
      <c r="P1412" t="str">
        <f>B22_Assessment!J25</f>
        <v>Cover sheet states mechanical scope is excluded. Verify whether Break Room 102 ambient conditions are acceptable for wall-mount TE/UPS/PDU/network equipment.</v>
      </c>
      <c r="Q1412" t="str">
        <f t="shared" si="22"/>
        <v>22|18</v>
      </c>
    </row>
    <row r="1413" spans="1:17" ht="6.45" customHeight="1">
      <c r="A1413" t="s">
        <v>707</v>
      </c>
      <c r="B1413">
        <v>19</v>
      </c>
      <c r="C1413" t="s">
        <v>51</v>
      </c>
      <c r="D1413">
        <v>26</v>
      </c>
      <c r="E1413" t="s">
        <v>964</v>
      </c>
      <c r="F1413" t="s">
        <v>5324</v>
      </c>
      <c r="G1413" t="str">
        <f>B22_Assessment!A26</f>
        <v>103</v>
      </c>
      <c r="H1413" t="str">
        <f>B22_Assessment!B26</f>
        <v>Existing / Verify</v>
      </c>
      <c r="I1413" t="str">
        <f>B22_Assessment!C26</f>
        <v>Verify</v>
      </c>
      <c r="J1413" t="str">
        <f>B22_Assessment!D26</f>
        <v>Verify</v>
      </c>
      <c r="K1413" t="str">
        <f>B22_Assessment!E26</f>
        <v>Verify</v>
      </c>
      <c r="L1413" t="str">
        <f>B22_Assessment!F26</f>
        <v>Verify</v>
      </c>
      <c r="M1413" t="str">
        <f>B22_Assessment!G26</f>
        <v>Verify</v>
      </c>
      <c r="N1413" t="str">
        <f>B22_Assessment!H26</f>
        <v>Verify</v>
      </c>
      <c r="O1413" t="str">
        <f>B22_Assessment!I26</f>
        <v>Verify</v>
      </c>
      <c r="P1413" t="str">
        <f>B22_Assessment!J26</f>
        <v>Existing Room 103 equipment area; verify existing environmental conditions during cutover and whether legacy equipment remains active.</v>
      </c>
      <c r="Q1413" t="str">
        <f t="shared" si="22"/>
        <v>22|19</v>
      </c>
    </row>
    <row r="1414" spans="1:17" ht="6.45" customHeight="1">
      <c r="A1414" t="s">
        <v>707</v>
      </c>
      <c r="B1414">
        <v>20</v>
      </c>
      <c r="C1414" t="s">
        <v>51</v>
      </c>
      <c r="D1414">
        <v>27</v>
      </c>
      <c r="E1414" t="s">
        <v>964</v>
      </c>
      <c r="F1414" t="s">
        <v>5325</v>
      </c>
      <c r="G1414">
        <f>B22_Assessment!A27</f>
        <v>0</v>
      </c>
      <c r="H1414">
        <f>B22_Assessment!B27</f>
        <v>0</v>
      </c>
      <c r="I1414">
        <f>B22_Assessment!C27</f>
        <v>0</v>
      </c>
      <c r="J1414">
        <f>B22_Assessment!D27</f>
        <v>0</v>
      </c>
      <c r="K1414">
        <f>B22_Assessment!E27</f>
        <v>0</v>
      </c>
      <c r="L1414">
        <f>B22_Assessment!F27</f>
        <v>0</v>
      </c>
      <c r="M1414">
        <f>B22_Assessment!G27</f>
        <v>0</v>
      </c>
      <c r="N1414">
        <f>B22_Assessment!H27</f>
        <v>0</v>
      </c>
      <c r="O1414">
        <f>B22_Assessment!I27</f>
        <v>0</v>
      </c>
      <c r="P1414">
        <f>B22_Assessment!J27</f>
        <v>0</v>
      </c>
      <c r="Q1414" t="str">
        <f t="shared" si="22"/>
        <v>22|20</v>
      </c>
    </row>
    <row r="1415" spans="1:17" ht="6.45" customHeight="1">
      <c r="A1415" t="s">
        <v>707</v>
      </c>
      <c r="B1415">
        <v>21</v>
      </c>
      <c r="C1415" t="s">
        <v>51</v>
      </c>
      <c r="D1415">
        <v>28</v>
      </c>
      <c r="E1415" t="s">
        <v>977</v>
      </c>
      <c r="F1415" t="s">
        <v>5322</v>
      </c>
      <c r="G1415" t="str">
        <f>B22_Assessment!A28</f>
        <v>5. ELECTRICAL / UPS</v>
      </c>
      <c r="H1415">
        <f>B22_Assessment!B28</f>
        <v>0</v>
      </c>
      <c r="I1415">
        <f>B22_Assessment!C28</f>
        <v>0</v>
      </c>
      <c r="J1415">
        <f>B22_Assessment!D28</f>
        <v>0</v>
      </c>
      <c r="K1415">
        <f>B22_Assessment!E28</f>
        <v>0</v>
      </c>
      <c r="L1415">
        <f>B22_Assessment!F28</f>
        <v>0</v>
      </c>
      <c r="M1415">
        <f>B22_Assessment!G28</f>
        <v>0</v>
      </c>
      <c r="N1415">
        <f>B22_Assessment!H28</f>
        <v>0</v>
      </c>
      <c r="O1415">
        <f>B22_Assessment!I28</f>
        <v>0</v>
      </c>
      <c r="P1415">
        <f>B22_Assessment!J28</f>
        <v>0</v>
      </c>
      <c r="Q1415" t="str">
        <f t="shared" si="22"/>
        <v>22|21</v>
      </c>
    </row>
    <row r="1416" spans="1:17" ht="6.45" customHeight="1">
      <c r="A1416" t="s">
        <v>707</v>
      </c>
      <c r="B1416">
        <v>22</v>
      </c>
      <c r="C1416" t="s">
        <v>51</v>
      </c>
      <c r="D1416">
        <v>29</v>
      </c>
      <c r="E1416" t="s">
        <v>977</v>
      </c>
      <c r="F1416" t="s">
        <v>5323</v>
      </c>
      <c r="G1416" t="str">
        <f>B22_Assessment!A29</f>
        <v>Room</v>
      </c>
      <c r="H1416" t="str">
        <f>B22_Assessment!B29</f>
        <v>UPS Installed</v>
      </c>
      <c r="I1416" t="str">
        <f>B22_Assessment!C29</f>
        <v>UPS Size</v>
      </c>
      <c r="J1416" t="str">
        <f>B22_Assessment!D29</f>
        <v>PDU Installed</v>
      </c>
      <c r="K1416" t="str">
        <f>B22_Assessment!E29</f>
        <v>Rack Receptacles</v>
      </c>
      <c r="L1416" t="str">
        <f>B22_Assessment!F29</f>
        <v>Panel Assigned</v>
      </c>
      <c r="M1416" t="str">
        <f>B22_Assessment!G29</f>
        <v>Emergency Source</v>
      </c>
      <c r="N1416" t="str">
        <f>B22_Assessment!H29</f>
        <v>SPD / Labeling</v>
      </c>
      <c r="O1416" t="str">
        <f>B22_Assessment!I29</f>
        <v>Overall</v>
      </c>
      <c r="P1416" t="str">
        <f>B22_Assessment!J29</f>
        <v>Notes</v>
      </c>
      <c r="Q1416" t="str">
        <f t="shared" si="22"/>
        <v>22|22</v>
      </c>
    </row>
    <row r="1417" spans="1:17" ht="6.45" customHeight="1">
      <c r="A1417" t="s">
        <v>707</v>
      </c>
      <c r="B1417">
        <v>23</v>
      </c>
      <c r="C1417" t="s">
        <v>51</v>
      </c>
      <c r="D1417">
        <v>30</v>
      </c>
      <c r="E1417" t="s">
        <v>977</v>
      </c>
      <c r="F1417" t="s">
        <v>5324</v>
      </c>
      <c r="G1417" t="str">
        <f>B22_Assessment!A30</f>
        <v>102</v>
      </c>
      <c r="H1417" t="str">
        <f>B22_Assessment!B30</f>
        <v>Verify</v>
      </c>
      <c r="I1417" t="str">
        <f>B22_Assessment!C30</f>
        <v>APC UPS / TE enclosure</v>
      </c>
      <c r="J1417" t="str">
        <f>B22_Assessment!D30</f>
        <v>Verify</v>
      </c>
      <c r="K1417" t="str">
        <f>B22_Assessment!E30</f>
        <v>Verify</v>
      </c>
      <c r="L1417" t="str">
        <f>B22_Assessment!F30</f>
        <v>22E-101 / 22E-701 source to verify</v>
      </c>
      <c r="M1417" t="str">
        <f>B22_Assessment!G30</f>
        <v>Verify</v>
      </c>
      <c r="N1417" t="str">
        <f>B22_Assessment!H30</f>
        <v>Verify</v>
      </c>
      <c r="O1417" t="str">
        <f>B22_Assessment!I30</f>
        <v>Verify</v>
      </c>
      <c r="P1417" t="str">
        <f>B22_Assessment!J30</f>
        <v>22T-701 new enclosure elevation shows APC UPS, two PDU L5-30 input / NEMA 5-20 output units, 120V outlet UPS, 120V outlet PDU, network switch, 48-port Cat6A patch panel and Fiber LIU. Verify circuit source, receptacle type, grounding/bonding and labels.</v>
      </c>
      <c r="Q1417" t="str">
        <f t="shared" si="22"/>
        <v>22|23</v>
      </c>
    </row>
    <row r="1418" spans="1:17" ht="6.45" customHeight="1">
      <c r="A1418" t="s">
        <v>707</v>
      </c>
      <c r="B1418">
        <v>24</v>
      </c>
      <c r="C1418" t="s">
        <v>51</v>
      </c>
      <c r="D1418">
        <v>31</v>
      </c>
      <c r="E1418" t="s">
        <v>977</v>
      </c>
      <c r="F1418" t="s">
        <v>5324</v>
      </c>
      <c r="G1418" t="str">
        <f>B22_Assessment!A31</f>
        <v>103</v>
      </c>
      <c r="H1418" t="str">
        <f>B22_Assessment!B31</f>
        <v>Existing</v>
      </c>
      <c r="I1418" t="str">
        <f>B22_Assessment!C31</f>
        <v>Existing APC UPS</v>
      </c>
      <c r="J1418" t="str">
        <f>B22_Assessment!D31</f>
        <v>Existing</v>
      </c>
      <c r="K1418" t="str">
        <f>B22_Assessment!E31</f>
        <v>Verify</v>
      </c>
      <c r="L1418" t="str">
        <f>B22_Assessment!F31</f>
        <v>Existing / Verify</v>
      </c>
      <c r="M1418" t="str">
        <f>B22_Assessment!G31</f>
        <v>Verify</v>
      </c>
      <c r="N1418" t="str">
        <f>B22_Assessment!H31</f>
        <v>Verify</v>
      </c>
      <c r="O1418" t="str">
        <f>B22_Assessment!I31</f>
        <v>Verify</v>
      </c>
      <c r="P1418" t="str">
        <f>B22_Assessment!J31</f>
        <v>Existing 103 elevation shows APC UPS, Cisco switch, SERTEX utility service, legacy patch equipment and Fiber LIU on wall; verify source circuits, UPS status, and transition requirements before disconnect/removal.</v>
      </c>
      <c r="Q1418" t="str">
        <f t="shared" si="22"/>
        <v>22|24</v>
      </c>
    </row>
    <row r="1419" spans="1:17" ht="6.45" customHeight="1">
      <c r="A1419" t="s">
        <v>707</v>
      </c>
      <c r="B1419">
        <v>25</v>
      </c>
      <c r="C1419" t="s">
        <v>51</v>
      </c>
      <c r="D1419">
        <v>32</v>
      </c>
      <c r="E1419" t="s">
        <v>977</v>
      </c>
      <c r="F1419" t="s">
        <v>5325</v>
      </c>
      <c r="G1419">
        <f>B22_Assessment!A32</f>
        <v>0</v>
      </c>
      <c r="H1419">
        <f>B22_Assessment!B32</f>
        <v>0</v>
      </c>
      <c r="I1419">
        <f>B22_Assessment!C32</f>
        <v>0</v>
      </c>
      <c r="J1419">
        <f>B22_Assessment!D32</f>
        <v>0</v>
      </c>
      <c r="K1419">
        <f>B22_Assessment!E32</f>
        <v>0</v>
      </c>
      <c r="L1419">
        <f>B22_Assessment!F32</f>
        <v>0</v>
      </c>
      <c r="M1419">
        <f>B22_Assessment!G32</f>
        <v>0</v>
      </c>
      <c r="N1419">
        <f>B22_Assessment!H32</f>
        <v>0</v>
      </c>
      <c r="O1419">
        <f>B22_Assessment!I32</f>
        <v>0</v>
      </c>
      <c r="P1419">
        <f>B22_Assessment!J32</f>
        <v>0</v>
      </c>
      <c r="Q1419" t="str">
        <f t="shared" si="22"/>
        <v>22|25</v>
      </c>
    </row>
    <row r="1420" spans="1:17" ht="6.45" customHeight="1">
      <c r="A1420" t="s">
        <v>707</v>
      </c>
      <c r="B1420">
        <v>26</v>
      </c>
      <c r="C1420" t="s">
        <v>51</v>
      </c>
      <c r="D1420">
        <v>33</v>
      </c>
      <c r="E1420" t="s">
        <v>994</v>
      </c>
      <c r="F1420" t="s">
        <v>5322</v>
      </c>
      <c r="G1420" t="str">
        <f>B22_Assessment!A33</f>
        <v>6. TELECOMMUNICATIONS</v>
      </c>
      <c r="H1420">
        <f>B22_Assessment!B33</f>
        <v>0</v>
      </c>
      <c r="I1420">
        <f>B22_Assessment!C33</f>
        <v>0</v>
      </c>
      <c r="J1420">
        <f>B22_Assessment!D33</f>
        <v>0</v>
      </c>
      <c r="K1420">
        <f>B22_Assessment!E33</f>
        <v>0</v>
      </c>
      <c r="L1420">
        <f>B22_Assessment!F33</f>
        <v>0</v>
      </c>
      <c r="M1420">
        <f>B22_Assessment!G33</f>
        <v>0</v>
      </c>
      <c r="N1420">
        <f>B22_Assessment!H33</f>
        <v>0</v>
      </c>
      <c r="O1420">
        <f>B22_Assessment!I33</f>
        <v>0</v>
      </c>
      <c r="P1420">
        <f>B22_Assessment!J33</f>
        <v>0</v>
      </c>
      <c r="Q1420" t="str">
        <f t="shared" si="22"/>
        <v>22|26</v>
      </c>
    </row>
    <row r="1421" spans="1:17" ht="6.45" customHeight="1">
      <c r="A1421" t="s">
        <v>707</v>
      </c>
      <c r="B1421">
        <v>27</v>
      </c>
      <c r="C1421" t="s">
        <v>51</v>
      </c>
      <c r="D1421">
        <v>34</v>
      </c>
      <c r="E1421" t="s">
        <v>994</v>
      </c>
      <c r="F1421" t="s">
        <v>5323</v>
      </c>
      <c r="G1421" t="str">
        <f>B22_Assessment!A34</f>
        <v>Room</v>
      </c>
      <c r="H1421" t="str">
        <f>B22_Assessment!B34</f>
        <v>Rack Installed</v>
      </c>
      <c r="I1421" t="str">
        <f>B22_Assessment!C34</f>
        <v>Ladder Tray</v>
      </c>
      <c r="J1421" t="str">
        <f>B22_Assessment!D34</f>
        <v>Fiber Installed</v>
      </c>
      <c r="K1421" t="str">
        <f>B22_Assessment!E34</f>
        <v>Grounding</v>
      </c>
      <c r="L1421" t="str">
        <f>B22_Assessment!F34</f>
        <v>Labeling</v>
      </c>
      <c r="M1421" t="str">
        <f>B22_Assessment!G34</f>
        <v>Testing</v>
      </c>
      <c r="N1421" t="str">
        <f>B22_Assessment!H34</f>
        <v>VA Acceptance</v>
      </c>
      <c r="O1421" t="str">
        <f>B22_Assessment!I34</f>
        <v>Overall</v>
      </c>
      <c r="P1421" t="str">
        <f>B22_Assessment!J34</f>
        <v>Notes</v>
      </c>
      <c r="Q1421" t="str">
        <f t="shared" si="22"/>
        <v>22|27</v>
      </c>
    </row>
    <row r="1422" spans="1:17" ht="6.45" customHeight="1">
      <c r="A1422" t="s">
        <v>707</v>
      </c>
      <c r="B1422">
        <v>28</v>
      </c>
      <c r="C1422" t="s">
        <v>51</v>
      </c>
      <c r="D1422">
        <v>35</v>
      </c>
      <c r="E1422" t="s">
        <v>994</v>
      </c>
      <c r="F1422" t="s">
        <v>5324</v>
      </c>
      <c r="G1422" t="str">
        <f>B22_Assessment!A35</f>
        <v>102</v>
      </c>
      <c r="H1422" t="str">
        <f>B22_Assessment!B35</f>
        <v>Verify</v>
      </c>
      <c r="I1422" t="str">
        <f>B22_Assessment!C35</f>
        <v>Verify</v>
      </c>
      <c r="J1422" t="str">
        <f>B22_Assessment!D35</f>
        <v>Verify</v>
      </c>
      <c r="K1422" t="str">
        <f>B22_Assessment!E35</f>
        <v>Verify</v>
      </c>
      <c r="L1422" t="str">
        <f>B22_Assessment!F35</f>
        <v>Verify</v>
      </c>
      <c r="M1422" t="str">
        <f>B22_Assessment!G35</f>
        <v>Verify</v>
      </c>
      <c r="N1422" t="str">
        <f>B22_Assessment!H35</f>
        <v>Verify</v>
      </c>
      <c r="O1422" t="str">
        <f>B22_Assessment!I35</f>
        <v>Verify</v>
      </c>
      <c r="P1422" t="str">
        <f>B22_Assessment!J35</f>
        <v>22T-701 identifies TR01-102-1: 6 WAO total, 96 WAO available, 93% expansion capacity, 7 total port quantities, and 8 total ports with 10% allowance. Provide new wall-mount 12RU TE cabinet and 10 new Cat6A cross-connect cables from existing TE to new TE location.</v>
      </c>
      <c r="Q1422" t="str">
        <f t="shared" si="22"/>
        <v>22|28</v>
      </c>
    </row>
    <row r="1423" spans="1:17" ht="6.45" customHeight="1">
      <c r="A1423" t="s">
        <v>707</v>
      </c>
      <c r="B1423">
        <v>29</v>
      </c>
      <c r="C1423" t="s">
        <v>51</v>
      </c>
      <c r="D1423">
        <v>36</v>
      </c>
      <c r="E1423" t="s">
        <v>994</v>
      </c>
      <c r="F1423" t="s">
        <v>5324</v>
      </c>
      <c r="G1423" t="str">
        <f>B22_Assessment!A36</f>
        <v>103</v>
      </c>
      <c r="H1423" t="str">
        <f>B22_Assessment!B36</f>
        <v>Existing</v>
      </c>
      <c r="I1423" t="str">
        <f>B22_Assessment!C36</f>
        <v>Existing</v>
      </c>
      <c r="J1423" t="str">
        <f>B22_Assessment!D36</f>
        <v>Existing</v>
      </c>
      <c r="K1423" t="str">
        <f>B22_Assessment!E36</f>
        <v>Verify</v>
      </c>
      <c r="L1423" t="str">
        <f>B22_Assessment!F36</f>
        <v>Verify</v>
      </c>
      <c r="M1423" t="str">
        <f>B22_Assessment!G36</f>
        <v>Verify</v>
      </c>
      <c r="N1423" t="str">
        <f>B22_Assessment!H36</f>
        <v>Verify</v>
      </c>
      <c r="O1423" t="str">
        <f>B22_Assessment!I36</f>
        <v>Verify</v>
      </c>
      <c r="P1423" t="str">
        <f>B22_Assessment!J36</f>
        <v>Existing Room 103 contains APC UPS, Cisco switch, SERTEX utility service, legacy Ortronics 24-port patch panel, Fiber LIU on wall and ports 1-24 to Bldg 19 ports 73-96. Field verify all active services and B19 handoff.</v>
      </c>
      <c r="Q1423" t="str">
        <f t="shared" si="22"/>
        <v>22|29</v>
      </c>
    </row>
    <row r="1424" spans="1:17" ht="6.45" customHeight="1">
      <c r="A1424" t="s">
        <v>707</v>
      </c>
      <c r="B1424">
        <v>30</v>
      </c>
      <c r="C1424" t="s">
        <v>51</v>
      </c>
      <c r="D1424">
        <v>37</v>
      </c>
      <c r="E1424" t="s">
        <v>994</v>
      </c>
      <c r="F1424" t="s">
        <v>5325</v>
      </c>
      <c r="G1424">
        <f>B22_Assessment!A37</f>
        <v>0</v>
      </c>
      <c r="H1424">
        <f>B22_Assessment!B37</f>
        <v>0</v>
      </c>
      <c r="I1424">
        <f>B22_Assessment!C37</f>
        <v>0</v>
      </c>
      <c r="J1424">
        <f>B22_Assessment!D37</f>
        <v>0</v>
      </c>
      <c r="K1424">
        <f>B22_Assessment!E37</f>
        <v>0</v>
      </c>
      <c r="L1424">
        <f>B22_Assessment!F37</f>
        <v>0</v>
      </c>
      <c r="M1424">
        <f>B22_Assessment!G37</f>
        <v>0</v>
      </c>
      <c r="N1424">
        <f>B22_Assessment!H37</f>
        <v>0</v>
      </c>
      <c r="O1424">
        <f>B22_Assessment!I37</f>
        <v>0</v>
      </c>
      <c r="P1424">
        <f>B22_Assessment!J37</f>
        <v>0</v>
      </c>
      <c r="Q1424" t="str">
        <f t="shared" si="22"/>
        <v>22|30</v>
      </c>
    </row>
    <row r="1425" spans="1:17" ht="6.45" customHeight="1">
      <c r="A1425" t="s">
        <v>707</v>
      </c>
      <c r="B1425">
        <v>31</v>
      </c>
      <c r="C1425" t="s">
        <v>51</v>
      </c>
      <c r="D1425">
        <v>38</v>
      </c>
      <c r="E1425" t="s">
        <v>1007</v>
      </c>
      <c r="F1425" t="s">
        <v>5322</v>
      </c>
      <c r="G1425" t="str">
        <f>B22_Assessment!A38</f>
        <v>7. SECURITY / PACS / CCTV</v>
      </c>
      <c r="H1425">
        <f>B22_Assessment!B38</f>
        <v>0</v>
      </c>
      <c r="I1425">
        <f>B22_Assessment!C38</f>
        <v>0</v>
      </c>
      <c r="J1425">
        <f>B22_Assessment!D38</f>
        <v>0</v>
      </c>
      <c r="K1425">
        <f>B22_Assessment!E38</f>
        <v>0</v>
      </c>
      <c r="L1425">
        <f>B22_Assessment!F38</f>
        <v>0</v>
      </c>
      <c r="M1425">
        <f>B22_Assessment!G38</f>
        <v>0</v>
      </c>
      <c r="N1425">
        <f>B22_Assessment!H38</f>
        <v>0</v>
      </c>
      <c r="O1425">
        <f>B22_Assessment!I38</f>
        <v>0</v>
      </c>
      <c r="P1425">
        <f>B22_Assessment!J38</f>
        <v>0</v>
      </c>
      <c r="Q1425" t="str">
        <f t="shared" si="22"/>
        <v>22|31</v>
      </c>
    </row>
    <row r="1426" spans="1:17" ht="6.45" customHeight="1">
      <c r="A1426" t="s">
        <v>707</v>
      </c>
      <c r="B1426">
        <v>32</v>
      </c>
      <c r="C1426" t="s">
        <v>51</v>
      </c>
      <c r="D1426">
        <v>39</v>
      </c>
      <c r="E1426" t="s">
        <v>1007</v>
      </c>
      <c r="F1426" t="s">
        <v>5323</v>
      </c>
      <c r="G1426" t="str">
        <f>B22_Assessment!A39</f>
        <v>Room</v>
      </c>
      <c r="H1426" t="str">
        <f>B22_Assessment!B39</f>
        <v>PACS</v>
      </c>
      <c r="I1426" t="str">
        <f>B22_Assessment!C39</f>
        <v>Card Reader</v>
      </c>
      <c r="J1426" t="str">
        <f>B22_Assessment!D39</f>
        <v>Door Position</v>
      </c>
      <c r="K1426" t="str">
        <f>B22_Assessment!E39</f>
        <v>Electric Strike</v>
      </c>
      <c r="L1426" t="str">
        <f>B22_Assessment!F39</f>
        <v>CCTV</v>
      </c>
      <c r="M1426" t="str">
        <f>B22_Assessment!G39</f>
        <v>Motion Sensor</v>
      </c>
      <c r="N1426" t="str">
        <f>B22_Assessment!H39</f>
        <v>Integration</v>
      </c>
      <c r="O1426" t="str">
        <f>B22_Assessment!I39</f>
        <v>Overall</v>
      </c>
      <c r="P1426" t="str">
        <f>B22_Assessment!J39</f>
        <v>Notes</v>
      </c>
      <c r="Q1426" t="str">
        <f t="shared" si="22"/>
        <v>22|32</v>
      </c>
    </row>
    <row r="1427" spans="1:17" ht="6.45" customHeight="1">
      <c r="A1427" t="s">
        <v>707</v>
      </c>
      <c r="B1427">
        <v>33</v>
      </c>
      <c r="C1427" t="s">
        <v>51</v>
      </c>
      <c r="D1427">
        <v>40</v>
      </c>
      <c r="E1427" t="s">
        <v>1007</v>
      </c>
      <c r="F1427" t="s">
        <v>5324</v>
      </c>
      <c r="G1427" t="str">
        <f>B22_Assessment!A40</f>
        <v>102</v>
      </c>
      <c r="H1427" t="str">
        <f>B22_Assessment!B40</f>
        <v>N/A / Verify</v>
      </c>
      <c r="I1427" t="str">
        <f>B22_Assessment!C40</f>
        <v>N/A / Verify</v>
      </c>
      <c r="J1427" t="str">
        <f>B22_Assessment!D40</f>
        <v>N/A / Verify</v>
      </c>
      <c r="K1427" t="str">
        <f>B22_Assessment!E40</f>
        <v>N/A / Verify</v>
      </c>
      <c r="L1427" t="str">
        <f>B22_Assessment!F40</f>
        <v>Verify Existing</v>
      </c>
      <c r="M1427" t="str">
        <f>B22_Assessment!G40</f>
        <v>Verify Existing</v>
      </c>
      <c r="N1427" t="str">
        <f>B22_Assessment!H40</f>
        <v>Verify</v>
      </c>
      <c r="O1427" t="str">
        <f>B22_Assessment!I40</f>
        <v>Verify</v>
      </c>
      <c r="P1427" t="str">
        <f>B22_Assessment!J40</f>
        <v>Building 22 does not appear to create a new full TR door/PACS package. Verify any existing cameras/security devices in Break Room 102 and ensure no camera angle or VMS integration is disrupted.</v>
      </c>
      <c r="Q1427" t="str">
        <f t="shared" si="22"/>
        <v>22|33</v>
      </c>
    </row>
    <row r="1428" spans="1:17" ht="6.45" customHeight="1">
      <c r="A1428" t="s">
        <v>707</v>
      </c>
      <c r="B1428">
        <v>34</v>
      </c>
      <c r="C1428" t="s">
        <v>51</v>
      </c>
      <c r="D1428">
        <v>41</v>
      </c>
      <c r="E1428" t="s">
        <v>1007</v>
      </c>
      <c r="F1428" t="s">
        <v>5324</v>
      </c>
      <c r="G1428" t="str">
        <f>B22_Assessment!A41</f>
        <v>103</v>
      </c>
      <c r="H1428" t="str">
        <f>B22_Assessment!B41</f>
        <v>N/A / Verify</v>
      </c>
      <c r="I1428" t="str">
        <f>B22_Assessment!C41</f>
        <v>N/A / Verify</v>
      </c>
      <c r="J1428" t="str">
        <f>B22_Assessment!D41</f>
        <v>N/A / Verify</v>
      </c>
      <c r="K1428" t="str">
        <f>B22_Assessment!E41</f>
        <v>N/A / Verify</v>
      </c>
      <c r="L1428" t="str">
        <f>B22_Assessment!F41</f>
        <v>Verify Existing</v>
      </c>
      <c r="M1428" t="str">
        <f>B22_Assessment!G41</f>
        <v>Verify Existing</v>
      </c>
      <c r="N1428" t="str">
        <f>B22_Assessment!H41</f>
        <v>Verify</v>
      </c>
      <c r="O1428" t="str">
        <f>B22_Assessment!I41</f>
        <v>Verify</v>
      </c>
      <c r="P1428" t="str">
        <f>B22_Assessment!J41</f>
        <v>Verify security/access conditions and whether any legacy security equipment is present at existing TE location.</v>
      </c>
      <c r="Q1428" t="str">
        <f t="shared" si="22"/>
        <v>22|34</v>
      </c>
    </row>
    <row r="1429" spans="1:17" ht="6.45" customHeight="1">
      <c r="A1429" t="s">
        <v>707</v>
      </c>
      <c r="B1429">
        <v>35</v>
      </c>
      <c r="C1429" t="s">
        <v>51</v>
      </c>
      <c r="D1429">
        <v>42</v>
      </c>
      <c r="E1429" t="s">
        <v>1007</v>
      </c>
      <c r="F1429" t="s">
        <v>5325</v>
      </c>
      <c r="G1429">
        <f>B22_Assessment!A42</f>
        <v>0</v>
      </c>
      <c r="H1429">
        <f>B22_Assessment!B42</f>
        <v>0</v>
      </c>
      <c r="I1429">
        <f>B22_Assessment!C42</f>
        <v>0</v>
      </c>
      <c r="J1429">
        <f>B22_Assessment!D42</f>
        <v>0</v>
      </c>
      <c r="K1429">
        <f>B22_Assessment!E42</f>
        <v>0</v>
      </c>
      <c r="L1429">
        <f>B22_Assessment!F42</f>
        <v>0</v>
      </c>
      <c r="M1429">
        <f>B22_Assessment!G42</f>
        <v>0</v>
      </c>
      <c r="N1429">
        <f>B22_Assessment!H42</f>
        <v>0</v>
      </c>
      <c r="O1429">
        <f>B22_Assessment!I42</f>
        <v>0</v>
      </c>
      <c r="P1429">
        <f>B22_Assessment!J42</f>
        <v>0</v>
      </c>
      <c r="Q1429" t="str">
        <f t="shared" si="22"/>
        <v>22|35</v>
      </c>
    </row>
    <row r="1430" spans="1:17" ht="6.45" customHeight="1">
      <c r="A1430" t="s">
        <v>707</v>
      </c>
      <c r="B1430">
        <v>36</v>
      </c>
      <c r="C1430" t="s">
        <v>51</v>
      </c>
      <c r="D1430">
        <v>43</v>
      </c>
      <c r="E1430" t="s">
        <v>1019</v>
      </c>
      <c r="F1430" t="s">
        <v>5322</v>
      </c>
      <c r="G1430" t="str">
        <f>B22_Assessment!A43</f>
        <v>8. OWNER RISKS</v>
      </c>
      <c r="H1430">
        <f>B22_Assessment!B43</f>
        <v>0</v>
      </c>
      <c r="I1430">
        <f>B22_Assessment!C43</f>
        <v>0</v>
      </c>
      <c r="J1430">
        <f>B22_Assessment!D43</f>
        <v>0</v>
      </c>
      <c r="K1430">
        <f>B22_Assessment!E43</f>
        <v>0</v>
      </c>
      <c r="L1430">
        <f>B22_Assessment!F43</f>
        <v>0</v>
      </c>
      <c r="M1430">
        <f>B22_Assessment!G43</f>
        <v>0</v>
      </c>
      <c r="N1430">
        <f>B22_Assessment!H43</f>
        <v>0</v>
      </c>
      <c r="O1430">
        <f>B22_Assessment!I43</f>
        <v>0</v>
      </c>
      <c r="P1430">
        <f>B22_Assessment!J43</f>
        <v>0</v>
      </c>
      <c r="Q1430" t="str">
        <f t="shared" si="22"/>
        <v>22|36</v>
      </c>
    </row>
    <row r="1431" spans="1:17" ht="6.45" customHeight="1">
      <c r="A1431" t="s">
        <v>707</v>
      </c>
      <c r="B1431">
        <v>37</v>
      </c>
      <c r="C1431" t="s">
        <v>51</v>
      </c>
      <c r="D1431">
        <v>44</v>
      </c>
      <c r="E1431" t="s">
        <v>1019</v>
      </c>
      <c r="F1431" t="s">
        <v>5323</v>
      </c>
      <c r="G1431" t="str">
        <f>B22_Assessment!A44</f>
        <v>Risk ID</v>
      </c>
      <c r="H1431" t="str">
        <f>B22_Assessment!B44</f>
        <v>Room</v>
      </c>
      <c r="I1431" t="str">
        <f>B22_Assessment!C44</f>
        <v>Risk</v>
      </c>
      <c r="J1431" t="str">
        <f>B22_Assessment!D44</f>
        <v>Impact</v>
      </c>
      <c r="K1431" t="str">
        <f>B22_Assessment!E44</f>
        <v>Probability</v>
      </c>
      <c r="L1431" t="str">
        <f>B22_Assessment!F44</f>
        <v>Score</v>
      </c>
      <c r="M1431" t="str">
        <f>B22_Assessment!G44</f>
        <v>Mitigation</v>
      </c>
      <c r="N1431" t="str">
        <f>B22_Assessment!H44</f>
        <v>Owner</v>
      </c>
      <c r="O1431" t="str">
        <f>B22_Assessment!I44</f>
        <v>Status</v>
      </c>
      <c r="P1431" t="str">
        <f>B22_Assessment!J44</f>
        <v>Notes</v>
      </c>
      <c r="Q1431" t="str">
        <f t="shared" si="22"/>
        <v>22|37</v>
      </c>
    </row>
    <row r="1432" spans="1:17" ht="6.45" customHeight="1">
      <c r="A1432" t="s">
        <v>707</v>
      </c>
      <c r="B1432">
        <v>38</v>
      </c>
      <c r="C1432" t="s">
        <v>51</v>
      </c>
      <c r="D1432">
        <v>45</v>
      </c>
      <c r="E1432" t="s">
        <v>1019</v>
      </c>
      <c r="F1432" t="s">
        <v>5324</v>
      </c>
      <c r="G1432" t="str">
        <f>B22_Assessment!A45</f>
        <v>B22-R1</v>
      </c>
      <c r="H1432" t="str">
        <f>B22_Assessment!B45</f>
        <v>All</v>
      </c>
      <c r="I1432" t="str">
        <f>B22_Assessment!C45</f>
        <v>Existing conditions for new Break Room 102 TE and existing Room 103 TE not field verified</v>
      </c>
      <c r="J1432" t="str">
        <f>B22_Assessment!D45</f>
        <v>High</v>
      </c>
      <c r="K1432" t="str">
        <f>B22_Assessment!E45</f>
        <v>Medium</v>
      </c>
      <c r="L1432">
        <f>B22_Assessment!F45</f>
        <v>6</v>
      </c>
      <c r="M1432" t="str">
        <f>B22_Assessment!G45</f>
        <v>Perform existing conditions survey with photos before mobilization</v>
      </c>
      <c r="N1432" t="str">
        <f>B22_Assessment!H45</f>
        <v>GCC / Contractor</v>
      </c>
      <c r="O1432" t="str">
        <f>B22_Assessment!I45</f>
        <v>Closed</v>
      </c>
      <c r="P1432" t="str">
        <f>B22_Assessment!J45</f>
        <v>B22 has a compact TE scope but still depends on field conditions and existing equipment transfer.</v>
      </c>
      <c r="Q1432" t="str">
        <f t="shared" si="22"/>
        <v>22|38</v>
      </c>
    </row>
    <row r="1433" spans="1:17" ht="6.45" customHeight="1">
      <c r="A1433" t="s">
        <v>707</v>
      </c>
      <c r="B1433">
        <v>39</v>
      </c>
      <c r="C1433" t="s">
        <v>51</v>
      </c>
      <c r="D1433">
        <v>46</v>
      </c>
      <c r="E1433" t="s">
        <v>1019</v>
      </c>
      <c r="F1433" t="s">
        <v>5324</v>
      </c>
      <c r="G1433" t="str">
        <f>B22_Assessment!A46</f>
        <v>B22-R2</v>
      </c>
      <c r="H1433" t="str">
        <f>B22_Assessment!B46</f>
        <v>102/103</v>
      </c>
      <c r="I1433" t="str">
        <f>B22_Assessment!C46</f>
        <v>Existing equipment in 103 may remain active during transfer to new TE in 102</v>
      </c>
      <c r="J1433" t="str">
        <f>B22_Assessment!D46</f>
        <v>Critical</v>
      </c>
      <c r="K1433" t="str">
        <f>B22_Assessment!E46</f>
        <v>Medium</v>
      </c>
      <c r="L1433">
        <f>B22_Assessment!F46</f>
        <v>8</v>
      </c>
      <c r="M1433" t="str">
        <f>B22_Assessment!G46</f>
        <v>Document active services, protect in place, identify OIT cutover windows, phasing, rollback path and temporary utilities</v>
      </c>
      <c r="N1433" t="str">
        <f>B22_Assessment!H46</f>
        <v>Telecom / OIT</v>
      </c>
      <c r="O1433" t="str">
        <f>B22_Assessment!I46</f>
        <v>Closed</v>
      </c>
      <c r="P1433" t="str">
        <f>B22_Assessment!J46</f>
        <v>22T-101 keynotes require transfer of existing devices and phasing plan.</v>
      </c>
      <c r="Q1433" t="str">
        <f t="shared" si="22"/>
        <v>22|39</v>
      </c>
    </row>
    <row r="1434" spans="1:17" ht="6.45" customHeight="1">
      <c r="A1434" t="s">
        <v>707</v>
      </c>
      <c r="B1434">
        <v>40</v>
      </c>
      <c r="C1434" t="s">
        <v>51</v>
      </c>
      <c r="D1434">
        <v>47</v>
      </c>
      <c r="E1434" t="s">
        <v>1019</v>
      </c>
      <c r="F1434" t="s">
        <v>5324</v>
      </c>
      <c r="G1434" t="str">
        <f>B22_Assessment!A47</f>
        <v>B22-R3</v>
      </c>
      <c r="H1434" t="str">
        <f>B22_Assessment!B47</f>
        <v>102</v>
      </c>
      <c r="I1434" t="str">
        <f>B22_Assessment!C47</f>
        <v>Break Room 102 use may conflict with wall-mount TE access and clearances</v>
      </c>
      <c r="J1434" t="str">
        <f>B22_Assessment!D47</f>
        <v>Medium</v>
      </c>
      <c r="K1434" t="str">
        <f>B22_Assessment!E47</f>
        <v>Medium</v>
      </c>
      <c r="L1434">
        <f>B22_Assessment!F47</f>
        <v>4</v>
      </c>
      <c r="M1434" t="str">
        <f>B22_Assessment!G47</f>
        <v>Verify wall backing, enclosure clearances, working space, furniture/occupant impacts and owner acceptance</v>
      </c>
      <c r="N1434" t="str">
        <f>B22_Assessment!H47</f>
        <v>GCC / VA</v>
      </c>
      <c r="O1434" t="str">
        <f>B22_Assessment!I47</f>
        <v>Closed</v>
      </c>
      <c r="P1434" t="str">
        <f>B22_Assessment!J47</f>
        <v>New TE is in Break Room 102 rather than a dedicated TR.</v>
      </c>
      <c r="Q1434" t="str">
        <f t="shared" si="22"/>
        <v>22|40</v>
      </c>
    </row>
    <row r="1435" spans="1:17" ht="6.45" customHeight="1">
      <c r="A1435" t="s">
        <v>707</v>
      </c>
      <c r="B1435">
        <v>41</v>
      </c>
      <c r="C1435" t="s">
        <v>51</v>
      </c>
      <c r="D1435">
        <v>48</v>
      </c>
      <c r="E1435" t="s">
        <v>1019</v>
      </c>
      <c r="F1435" t="s">
        <v>5324</v>
      </c>
      <c r="G1435" t="str">
        <f>B22_Assessment!A48</f>
        <v>B22-R4</v>
      </c>
      <c r="H1435" t="str">
        <f>B22_Assessment!B48</f>
        <v>102</v>
      </c>
      <c r="I1435" t="str">
        <f>B22_Assessment!C48</f>
        <v>No mechanical scope, but TE/UPS/network equipment may add heat load to Break Room 102</v>
      </c>
      <c r="J1435" t="str">
        <f>B22_Assessment!D48</f>
        <v>High</v>
      </c>
      <c r="K1435" t="str">
        <f>B22_Assessment!E48</f>
        <v>Medium</v>
      </c>
      <c r="L1435">
        <f>B22_Assessment!F48</f>
        <v>6</v>
      </c>
      <c r="M1435" t="str">
        <f>B22_Assessment!G48</f>
        <v>Verify heat load, room ventilation, equipment clearances and owner acceptance before energizing enclosure</v>
      </c>
      <c r="N1435" t="str">
        <f>B22_Assessment!H48</f>
        <v>VA / Electrical / Telecom</v>
      </c>
      <c r="O1435" t="str">
        <f>B22_Assessment!I48</f>
        <v>Closed</v>
      </c>
      <c r="P1435" t="str">
        <f>B22_Assessment!J48</f>
        <v>Cover excludes mechanical/fire protection; existing HVAC may be relied on.</v>
      </c>
      <c r="Q1435" t="str">
        <f t="shared" si="22"/>
        <v>22|41</v>
      </c>
    </row>
    <row r="1436" spans="1:17" ht="6.45" customHeight="1">
      <c r="A1436" t="s">
        <v>707</v>
      </c>
      <c r="B1436">
        <v>42</v>
      </c>
      <c r="C1436" t="s">
        <v>51</v>
      </c>
      <c r="D1436">
        <v>49</v>
      </c>
      <c r="E1436" t="s">
        <v>1019</v>
      </c>
      <c r="F1436" t="s">
        <v>5324</v>
      </c>
      <c r="G1436" t="str">
        <f>B22_Assessment!A49</f>
        <v>B22-R5</v>
      </c>
      <c r="H1436" t="str">
        <f>B22_Assessment!B49</f>
        <v>102</v>
      </c>
      <c r="I1436" t="str">
        <f>B22_Assessment!C49</f>
        <v>UPS/PDU/receptacle source and grounding/bonding not verified</v>
      </c>
      <c r="J1436" t="str">
        <f>B22_Assessment!D49</f>
        <v>High</v>
      </c>
      <c r="K1436" t="str">
        <f>B22_Assessment!E49</f>
        <v>Medium</v>
      </c>
      <c r="L1436">
        <f>B22_Assessment!F49</f>
        <v>6</v>
      </c>
      <c r="M1436" t="str">
        <f>B22_Assessment!G49</f>
        <v>Verify circuit source, receptacle type, UPS/PDU load, grounding bar, bonding and labels</v>
      </c>
      <c r="N1436" t="str">
        <f>B22_Assessment!H49</f>
        <v>Electrical / Telecom</v>
      </c>
      <c r="O1436" t="str">
        <f>B22_Assessment!I49</f>
        <v>Closed</v>
      </c>
      <c r="P1436" t="str">
        <f>B22_Assessment!J49</f>
        <v>New TE enclosure includes APC UPS and two PDUs.</v>
      </c>
      <c r="Q1436" t="str">
        <f t="shared" si="22"/>
        <v>22|42</v>
      </c>
    </row>
    <row r="1437" spans="1:17" ht="6.45" customHeight="1">
      <c r="A1437" t="s">
        <v>707</v>
      </c>
      <c r="B1437">
        <v>43</v>
      </c>
      <c r="C1437" t="s">
        <v>51</v>
      </c>
      <c r="D1437">
        <v>50</v>
      </c>
      <c r="E1437" t="s">
        <v>1019</v>
      </c>
      <c r="F1437" t="s">
        <v>5324</v>
      </c>
      <c r="G1437" t="str">
        <f>B22_Assessment!A50</f>
        <v>B22-R6</v>
      </c>
      <c r="H1437" t="str">
        <f>B22_Assessment!B50</f>
        <v>All</v>
      </c>
      <c r="I1437" t="str">
        <f>B22_Assessment!C50</f>
        <v>139 feet of cable tray/pathway requires coordination despite small port count</v>
      </c>
      <c r="J1437" t="str">
        <f>B22_Assessment!D50</f>
        <v>High</v>
      </c>
      <c r="K1437" t="str">
        <f>B22_Assessment!E50</f>
        <v>Medium</v>
      </c>
      <c r="L1437">
        <f>B22_Assessment!F50</f>
        <v>6</v>
      </c>
      <c r="M1437" t="str">
        <f>B22_Assessment!G50</f>
        <v>Verify route, supports, seismic bracing, 40% fill, penetrations, light fixtures and coordination drawings before install</v>
      </c>
      <c r="N1437" t="str">
        <f>B22_Assessment!H50</f>
        <v>Telecom / GC</v>
      </c>
      <c r="O1437" t="str">
        <f>B22_Assessment!I50</f>
        <v>Closed</v>
      </c>
      <c r="P1437" t="str">
        <f>B22_Assessment!J50</f>
        <v>22T-701 cable tray schedule lists first floor estimated length of 139 ft.</v>
      </c>
      <c r="Q1437" t="str">
        <f t="shared" si="22"/>
        <v>22|43</v>
      </c>
    </row>
    <row r="1438" spans="1:17" ht="6.45" customHeight="1">
      <c r="A1438" t="s">
        <v>707</v>
      </c>
      <c r="B1438">
        <v>44</v>
      </c>
      <c r="C1438" t="s">
        <v>51</v>
      </c>
      <c r="D1438">
        <v>51</v>
      </c>
      <c r="E1438" t="s">
        <v>1019</v>
      </c>
      <c r="F1438" t="s">
        <v>5324</v>
      </c>
      <c r="G1438" t="str">
        <f>B22_Assessment!A51</f>
        <v>B22-R7</v>
      </c>
      <c r="H1438" t="str">
        <f>B22_Assessment!B51</f>
        <v>All</v>
      </c>
      <c r="I1438" t="str">
        <f>B22_Assessment!C51</f>
        <v>Firestopping/rated sleeve work could be missed because FP scope is excluded</v>
      </c>
      <c r="J1438" t="str">
        <f>B22_Assessment!D51</f>
        <v>High</v>
      </c>
      <c r="K1438" t="str">
        <f>B22_Assessment!E51</f>
        <v>Medium</v>
      </c>
      <c r="L1438">
        <f>B22_Assessment!F51</f>
        <v>6</v>
      </c>
      <c r="M1438" t="str">
        <f>B22_Assessment!G51</f>
        <v>Track 4-inch speed sleeve, rated penetrations, fire caulk, temporary firestopping and patching even without FP sheet scope</v>
      </c>
      <c r="N1438" t="str">
        <f>B22_Assessment!H51</f>
        <v>GC / Firestop</v>
      </c>
      <c r="O1438" t="str">
        <f>B22_Assessment!I51</f>
        <v>Closed</v>
      </c>
      <c r="P1438" t="str">
        <f>B22_Assessment!J51</f>
        <v>22T-101 requires fire caulk at sleeves and rated penetration protection.</v>
      </c>
      <c r="Q1438" t="str">
        <f t="shared" si="22"/>
        <v>22|44</v>
      </c>
    </row>
    <row r="1439" spans="1:17" ht="6.45" customHeight="1">
      <c r="A1439" t="s">
        <v>707</v>
      </c>
      <c r="B1439">
        <v>45</v>
      </c>
      <c r="C1439" t="s">
        <v>51</v>
      </c>
      <c r="D1439">
        <v>52</v>
      </c>
      <c r="E1439" t="s">
        <v>1019</v>
      </c>
      <c r="F1439" t="s">
        <v>5324</v>
      </c>
      <c r="G1439" t="str">
        <f>B22_Assessment!A52</f>
        <v>B22-R8</v>
      </c>
      <c r="H1439" t="str">
        <f>B22_Assessment!B52</f>
        <v>103 / B19</v>
      </c>
      <c r="I1439" t="str">
        <f>B22_Assessment!C52</f>
        <v>Existing SERTEX utility service and B19 port relationship may create cutover dependency</v>
      </c>
      <c r="J1439" t="str">
        <f>B22_Assessment!D52</f>
        <v>High</v>
      </c>
      <c r="K1439" t="str">
        <f>B22_Assessment!E52</f>
        <v>Medium</v>
      </c>
      <c r="L1439">
        <f>B22_Assessment!F52</f>
        <v>6</v>
      </c>
      <c r="M1439" t="str">
        <f>B22_Assessment!G52</f>
        <v>Verify ports 1-24 to Bldg 19 ports 73-96, service provider dependency, labels, test records and OIT approval</v>
      </c>
      <c r="N1439" t="str">
        <f>B22_Assessment!H52</f>
        <v>Telecom / OIT</v>
      </c>
      <c r="O1439" t="str">
        <f>B22_Assessment!I52</f>
        <v>Closed</v>
      </c>
      <c r="P1439" t="str">
        <f>B22_Assessment!J52</f>
        <v>Existing Room 103 elevation identifies ports to Building 19.</v>
      </c>
      <c r="Q1439" t="str">
        <f t="shared" si="22"/>
        <v>22|45</v>
      </c>
    </row>
    <row r="1440" spans="1:17" ht="6.45" customHeight="1">
      <c r="A1440" t="s">
        <v>707</v>
      </c>
      <c r="B1440">
        <v>46</v>
      </c>
      <c r="C1440" t="s">
        <v>51</v>
      </c>
      <c r="D1440">
        <v>53</v>
      </c>
      <c r="E1440" t="s">
        <v>1019</v>
      </c>
      <c r="F1440" t="s">
        <v>5325</v>
      </c>
      <c r="G1440">
        <f>B22_Assessment!A53</f>
        <v>0</v>
      </c>
      <c r="H1440">
        <f>B22_Assessment!B53</f>
        <v>0</v>
      </c>
      <c r="I1440">
        <f>B22_Assessment!C53</f>
        <v>0</v>
      </c>
      <c r="J1440">
        <f>B22_Assessment!D53</f>
        <v>0</v>
      </c>
      <c r="K1440">
        <f>B22_Assessment!E53</f>
        <v>0</v>
      </c>
      <c r="L1440">
        <f>B22_Assessment!F53</f>
        <v>0</v>
      </c>
      <c r="M1440">
        <f>B22_Assessment!G53</f>
        <v>0</v>
      </c>
      <c r="N1440">
        <f>B22_Assessment!H53</f>
        <v>0</v>
      </c>
      <c r="O1440">
        <f>B22_Assessment!I53</f>
        <v>0</v>
      </c>
      <c r="P1440">
        <f>B22_Assessment!J53</f>
        <v>0</v>
      </c>
      <c r="Q1440" t="str">
        <f t="shared" si="22"/>
        <v>22|46</v>
      </c>
    </row>
    <row r="1441" spans="1:17" ht="6.45" customHeight="1">
      <c r="A1441" t="s">
        <v>707</v>
      </c>
      <c r="B1441">
        <v>47</v>
      </c>
      <c r="C1441" t="s">
        <v>51</v>
      </c>
      <c r="D1441">
        <v>54</v>
      </c>
      <c r="E1441" t="s">
        <v>1051</v>
      </c>
      <c r="F1441" t="s">
        <v>5322</v>
      </c>
      <c r="G1441" t="str">
        <f>B22_Assessment!A54</f>
        <v>9. OPEN QUESTIONS</v>
      </c>
      <c r="H1441">
        <f>B22_Assessment!B54</f>
        <v>0</v>
      </c>
      <c r="I1441">
        <f>B22_Assessment!C54</f>
        <v>0</v>
      </c>
      <c r="J1441">
        <f>B22_Assessment!D54</f>
        <v>0</v>
      </c>
      <c r="K1441">
        <f>B22_Assessment!E54</f>
        <v>0</v>
      </c>
      <c r="L1441">
        <f>B22_Assessment!F54</f>
        <v>0</v>
      </c>
      <c r="M1441">
        <f>B22_Assessment!G54</f>
        <v>0</v>
      </c>
      <c r="N1441">
        <f>B22_Assessment!H54</f>
        <v>0</v>
      </c>
      <c r="O1441">
        <f>B22_Assessment!I54</f>
        <v>0</v>
      </c>
      <c r="P1441">
        <f>B22_Assessment!J54</f>
        <v>0</v>
      </c>
      <c r="Q1441" t="str">
        <f t="shared" si="22"/>
        <v>22|47</v>
      </c>
    </row>
    <row r="1442" spans="1:17" ht="6.45" customHeight="1">
      <c r="A1442" t="s">
        <v>707</v>
      </c>
      <c r="B1442">
        <v>48</v>
      </c>
      <c r="C1442" t="s">
        <v>51</v>
      </c>
      <c r="D1442">
        <v>55</v>
      </c>
      <c r="E1442" t="s">
        <v>1051</v>
      </c>
      <c r="F1442" t="s">
        <v>5323</v>
      </c>
      <c r="G1442" t="str">
        <f>B22_Assessment!A55</f>
        <v>Question ID</v>
      </c>
      <c r="H1442" t="str">
        <f>B22_Assessment!B55</f>
        <v>Question</v>
      </c>
      <c r="I1442" t="str">
        <f>B22_Assessment!C55</f>
        <v>Assigned To</v>
      </c>
      <c r="J1442" t="str">
        <f>B22_Assessment!D55</f>
        <v>Status</v>
      </c>
      <c r="K1442" t="str">
        <f>B22_Assessment!E55</f>
        <v>Needed By</v>
      </c>
      <c r="L1442" t="str">
        <f>B22_Assessment!F55</f>
        <v>Answer / Resolution</v>
      </c>
      <c r="M1442" t="str">
        <f>B22_Assessment!G55</f>
        <v>Impact if Unanswered</v>
      </c>
      <c r="N1442" t="str">
        <f>B22_Assessment!H55</f>
        <v>Follow-up</v>
      </c>
      <c r="O1442" t="str">
        <f>B22_Assessment!I55</f>
        <v>Date Closed</v>
      </c>
      <c r="P1442" t="str">
        <f>B22_Assessment!J55</f>
        <v>Notes</v>
      </c>
      <c r="Q1442" t="str">
        <f t="shared" si="22"/>
        <v>22|48</v>
      </c>
    </row>
    <row r="1443" spans="1:17" ht="6.45" customHeight="1">
      <c r="A1443" t="s">
        <v>707</v>
      </c>
      <c r="B1443">
        <v>49</v>
      </c>
      <c r="C1443" t="s">
        <v>51</v>
      </c>
      <c r="D1443">
        <v>56</v>
      </c>
      <c r="E1443" t="s">
        <v>1051</v>
      </c>
      <c r="F1443" t="s">
        <v>5324</v>
      </c>
      <c r="G1443" t="str">
        <f>B22_Assessment!A56</f>
        <v>B22-Q1</v>
      </c>
      <c r="H1443" t="str">
        <f>B22_Assessment!B56</f>
        <v>Confirm final scope: new wall-mount TE enclosure in Break Room 102 and existing Room 103 transition only?</v>
      </c>
      <c r="I1443" t="str">
        <f>B22_Assessment!C56</f>
        <v>VA / OIT / Designer</v>
      </c>
      <c r="J1443" t="str">
        <f>B22_Assessment!D56</f>
        <v>Closed</v>
      </c>
      <c r="K1443">
        <f>B22_Assessment!E56</f>
        <v>0</v>
      </c>
      <c r="L1443">
        <f>B22_Assessment!F56</f>
        <v>0</v>
      </c>
      <c r="M1443" t="str">
        <f>B22_Assessment!G56</f>
        <v>Room inventory or PMIS mapping could miss scope</v>
      </c>
      <c r="N1443">
        <f>B22_Assessment!H56</f>
        <v>0</v>
      </c>
      <c r="O1443">
        <f>B22_Assessment!I56</f>
        <v>0</v>
      </c>
      <c r="P1443">
        <f>B22_Assessment!J56</f>
        <v>0</v>
      </c>
      <c r="Q1443" t="str">
        <f t="shared" si="22"/>
        <v>22|49</v>
      </c>
    </row>
    <row r="1444" spans="1:17" ht="6.45" customHeight="1">
      <c r="A1444" t="s">
        <v>707</v>
      </c>
      <c r="B1444">
        <v>50</v>
      </c>
      <c r="C1444" t="s">
        <v>51</v>
      </c>
      <c r="D1444">
        <v>57</v>
      </c>
      <c r="E1444" t="s">
        <v>1051</v>
      </c>
      <c r="F1444" t="s">
        <v>5324</v>
      </c>
      <c r="G1444" t="str">
        <f>B22_Assessment!A57</f>
        <v>B22-Q2</v>
      </c>
      <c r="H1444" t="str">
        <f>B22_Assessment!B57</f>
        <v>What active services are currently fed from existing Room 103 equipment?</v>
      </c>
      <c r="I1444" t="str">
        <f>B22_Assessment!C57</f>
        <v>OIT / Contractor</v>
      </c>
      <c r="J1444" t="str">
        <f>B22_Assessment!D57</f>
        <v>Closed</v>
      </c>
      <c r="K1444">
        <f>B22_Assessment!E57</f>
        <v>0</v>
      </c>
      <c r="L1444">
        <f>B22_Assessment!F57</f>
        <v>0</v>
      </c>
      <c r="M1444" t="str">
        <f>B22_Assessment!G57</f>
        <v>Potential communications/security outage</v>
      </c>
      <c r="N1444">
        <f>B22_Assessment!H57</f>
        <v>0</v>
      </c>
      <c r="O1444">
        <f>B22_Assessment!I57</f>
        <v>0</v>
      </c>
      <c r="P1444">
        <f>B22_Assessment!J57</f>
        <v>0</v>
      </c>
      <c r="Q1444" t="str">
        <f t="shared" si="22"/>
        <v>22|50</v>
      </c>
    </row>
    <row r="1445" spans="1:17" ht="6.45" customHeight="1">
      <c r="A1445" t="s">
        <v>707</v>
      </c>
      <c r="B1445">
        <v>51</v>
      </c>
      <c r="C1445" t="s">
        <v>51</v>
      </c>
      <c r="D1445">
        <v>58</v>
      </c>
      <c r="E1445" t="s">
        <v>1051</v>
      </c>
      <c r="F1445" t="s">
        <v>5324</v>
      </c>
      <c r="G1445" t="str">
        <f>B22_Assessment!A58</f>
        <v>B22-Q3</v>
      </c>
      <c r="H1445" t="str">
        <f>B22_Assessment!B58</f>
        <v>What is the approved power source, receptacle type and circuit capacity for the new APC UPS/PDU in Room 102?</v>
      </c>
      <c r="I1445" t="str">
        <f>B22_Assessment!C58</f>
        <v>Electrical / Designer</v>
      </c>
      <c r="J1445" t="str">
        <f>B22_Assessment!D58</f>
        <v>Closed</v>
      </c>
      <c r="K1445">
        <f>B22_Assessment!E58</f>
        <v>0</v>
      </c>
      <c r="L1445">
        <f>B22_Assessment!F58</f>
        <v>0</v>
      </c>
      <c r="M1445" t="str">
        <f>B22_Assessment!G58</f>
        <v>Electrical readiness unknown</v>
      </c>
      <c r="N1445">
        <f>B22_Assessment!H58</f>
        <v>0</v>
      </c>
      <c r="O1445">
        <f>B22_Assessment!I58</f>
        <v>0</v>
      </c>
      <c r="P1445">
        <f>B22_Assessment!J58</f>
        <v>0</v>
      </c>
      <c r="Q1445" t="str">
        <f t="shared" si="22"/>
        <v>22|51</v>
      </c>
    </row>
    <row r="1446" spans="1:17" ht="6.45" customHeight="1">
      <c r="A1446" t="s">
        <v>707</v>
      </c>
      <c r="B1446">
        <v>52</v>
      </c>
      <c r="C1446" t="s">
        <v>51</v>
      </c>
      <c r="D1446">
        <v>59</v>
      </c>
      <c r="E1446" t="s">
        <v>1051</v>
      </c>
      <c r="F1446" t="s">
        <v>5324</v>
      </c>
      <c r="G1446" t="str">
        <f>B22_Assessment!A59</f>
        <v>B22-Q4</v>
      </c>
      <c r="H1446" t="str">
        <f>B22_Assessment!B59</f>
        <v>Is Break Room 102 HVAC/ambient condition acceptable for a wall-mount TE with UPS/PDU/network switch?</v>
      </c>
      <c r="I1446" t="str">
        <f>B22_Assessment!C59</f>
        <v>VA / OIT / Facilities</v>
      </c>
      <c r="J1446" t="str">
        <f>B22_Assessment!D59</f>
        <v>Closed</v>
      </c>
      <c r="K1446">
        <f>B22_Assessment!E59</f>
        <v>0</v>
      </c>
      <c r="L1446">
        <f>B22_Assessment!F59</f>
        <v>0</v>
      </c>
      <c r="M1446" t="str">
        <f>B22_Assessment!G59</f>
        <v>Heat/load risk after mechanical scope excluded</v>
      </c>
      <c r="N1446">
        <f>B22_Assessment!H59</f>
        <v>0</v>
      </c>
      <c r="O1446">
        <f>B22_Assessment!I59</f>
        <v>0</v>
      </c>
      <c r="P1446">
        <f>B22_Assessment!J59</f>
        <v>0</v>
      </c>
      <c r="Q1446" t="str">
        <f t="shared" si="22"/>
        <v>22|52</v>
      </c>
    </row>
    <row r="1447" spans="1:17" ht="6.45" customHeight="1">
      <c r="A1447" t="s">
        <v>707</v>
      </c>
      <c r="B1447">
        <v>53</v>
      </c>
      <c r="C1447" t="s">
        <v>51</v>
      </c>
      <c r="D1447">
        <v>60</v>
      </c>
      <c r="E1447" t="s">
        <v>1051</v>
      </c>
      <c r="F1447" t="s">
        <v>5324</v>
      </c>
      <c r="G1447" t="str">
        <f>B22_Assessment!A60</f>
        <v>B22-Q5</v>
      </c>
      <c r="H1447" t="str">
        <f>B22_Assessment!B60</f>
        <v>Are existing cameras/security devices in Building 22 protected and retained with no VMS/PACS changes?</v>
      </c>
      <c r="I1447" t="str">
        <f>B22_Assessment!C60</f>
        <v>Security / OIT</v>
      </c>
      <c r="J1447" t="str">
        <f>B22_Assessment!D60</f>
        <v>Closed</v>
      </c>
      <c r="K1447">
        <f>B22_Assessment!E60</f>
        <v>0</v>
      </c>
      <c r="L1447">
        <f>B22_Assessment!F60</f>
        <v>0</v>
      </c>
      <c r="M1447" t="str">
        <f>B22_Assessment!G60</f>
        <v>Security continuity unclear</v>
      </c>
      <c r="N1447">
        <f>B22_Assessment!H60</f>
        <v>0</v>
      </c>
      <c r="O1447">
        <f>B22_Assessment!I60</f>
        <v>0</v>
      </c>
      <c r="P1447">
        <f>B22_Assessment!J60</f>
        <v>0</v>
      </c>
      <c r="Q1447" t="str">
        <f t="shared" si="22"/>
        <v>22|53</v>
      </c>
    </row>
    <row r="1448" spans="1:17" ht="6.45" customHeight="1">
      <c r="A1448" t="s">
        <v>707</v>
      </c>
      <c r="B1448">
        <v>54</v>
      </c>
      <c r="C1448" t="s">
        <v>51</v>
      </c>
      <c r="D1448">
        <v>61</v>
      </c>
      <c r="E1448" t="s">
        <v>1051</v>
      </c>
      <c r="F1448" t="s">
        <v>5324</v>
      </c>
      <c r="G1448" t="str">
        <f>B22_Assessment!A61</f>
        <v>B22-Q6</v>
      </c>
      <c r="H1448" t="str">
        <f>B22_Assessment!B61</f>
        <v>Are all 139 feet of cable tray route, sleeves, supports and firestopping details field verified?</v>
      </c>
      <c r="I1448" t="str">
        <f>B22_Assessment!C61</f>
        <v>Telecom / GC / Firestop</v>
      </c>
      <c r="J1448" t="str">
        <f>B22_Assessment!D61</f>
        <v>Closed</v>
      </c>
      <c r="K1448">
        <f>B22_Assessment!E61</f>
        <v>0</v>
      </c>
      <c r="L1448">
        <f>B22_Assessment!F61</f>
        <v>0</v>
      </c>
      <c r="M1448" t="str">
        <f>B22_Assessment!G61</f>
        <v>Install delay or firestop gap</v>
      </c>
      <c r="N1448">
        <f>B22_Assessment!H61</f>
        <v>0</v>
      </c>
      <c r="O1448">
        <f>B22_Assessment!I61</f>
        <v>0</v>
      </c>
      <c r="P1448">
        <f>B22_Assessment!J61</f>
        <v>0</v>
      </c>
      <c r="Q1448" t="str">
        <f t="shared" si="22"/>
        <v>22|54</v>
      </c>
    </row>
    <row r="1449" spans="1:17" ht="6.45" customHeight="1">
      <c r="A1449" t="s">
        <v>707</v>
      </c>
      <c r="B1449">
        <v>55</v>
      </c>
      <c r="C1449" t="s">
        <v>51</v>
      </c>
      <c r="D1449">
        <v>62</v>
      </c>
      <c r="E1449" t="s">
        <v>1051</v>
      </c>
      <c r="F1449" t="s">
        <v>5324</v>
      </c>
      <c r="G1449" t="str">
        <f>B22_Assessment!A62</f>
        <v>B22-Q7</v>
      </c>
      <c r="H1449" t="str">
        <f>B22_Assessment!B62</f>
        <v>Are the 10 new Cat6A cross-connect cables from existing TE to new TE location coordinated and labeled?</v>
      </c>
      <c r="I1449" t="str">
        <f>B22_Assessment!C62</f>
        <v>Telecom / OIT</v>
      </c>
      <c r="J1449" t="str">
        <f>B22_Assessment!D62</f>
        <v>Closed</v>
      </c>
      <c r="K1449">
        <f>B22_Assessment!E62</f>
        <v>0</v>
      </c>
      <c r="L1449">
        <f>B22_Assessment!F62</f>
        <v>0</v>
      </c>
      <c r="M1449" t="str">
        <f>B22_Assessment!G62</f>
        <v>Cutover and labeling risk</v>
      </c>
      <c r="N1449">
        <f>B22_Assessment!H62</f>
        <v>0</v>
      </c>
      <c r="O1449">
        <f>B22_Assessment!I62</f>
        <v>0</v>
      </c>
      <c r="P1449">
        <f>B22_Assessment!J62</f>
        <v>0</v>
      </c>
      <c r="Q1449" t="str">
        <f t="shared" si="22"/>
        <v>22|55</v>
      </c>
    </row>
    <row r="1450" spans="1:17" ht="6.45" customHeight="1">
      <c r="A1450" t="s">
        <v>707</v>
      </c>
      <c r="B1450">
        <v>56</v>
      </c>
      <c r="C1450" t="s">
        <v>51</v>
      </c>
      <c r="D1450">
        <v>63</v>
      </c>
      <c r="E1450" t="s">
        <v>1051</v>
      </c>
      <c r="F1450" t="s">
        <v>5324</v>
      </c>
      <c r="G1450" t="str">
        <f>B22_Assessment!A63</f>
        <v>B22-Q8</v>
      </c>
      <c r="H1450" t="str">
        <f>B22_Assessment!B63</f>
        <v>What is the operational impact of Room 103 ports 1-24 to Building 19 ports 73-96?</v>
      </c>
      <c r="I1450" t="str">
        <f>B22_Assessment!C63</f>
        <v>VA / OIT / Designer</v>
      </c>
      <c r="J1450" t="str">
        <f>B22_Assessment!D63</f>
        <v>Closed</v>
      </c>
      <c r="K1450">
        <f>B22_Assessment!E63</f>
        <v>0</v>
      </c>
      <c r="L1450">
        <f>B22_Assessment!F63</f>
        <v>0</v>
      </c>
      <c r="M1450" t="str">
        <f>B22_Assessment!G63</f>
        <v>B19 dependency/cutover risk</v>
      </c>
      <c r="N1450">
        <f>B22_Assessment!H63</f>
        <v>0</v>
      </c>
      <c r="O1450">
        <f>B22_Assessment!I63</f>
        <v>0</v>
      </c>
      <c r="P1450">
        <f>B22_Assessment!J63</f>
        <v>0</v>
      </c>
      <c r="Q1450" t="str">
        <f t="shared" si="22"/>
        <v>22|56</v>
      </c>
    </row>
    <row r="1451" spans="1:17" ht="6.45" customHeight="1">
      <c r="A1451" t="s">
        <v>707</v>
      </c>
      <c r="B1451">
        <v>57</v>
      </c>
      <c r="C1451" t="s">
        <v>51</v>
      </c>
      <c r="D1451">
        <v>64</v>
      </c>
      <c r="E1451" t="s">
        <v>1051</v>
      </c>
      <c r="F1451" t="s">
        <v>5325</v>
      </c>
      <c r="G1451">
        <f>B22_Assessment!A64</f>
        <v>0</v>
      </c>
      <c r="H1451">
        <f>B22_Assessment!B64</f>
        <v>0</v>
      </c>
      <c r="I1451">
        <f>B22_Assessment!C64</f>
        <v>0</v>
      </c>
      <c r="J1451">
        <f>B22_Assessment!D64</f>
        <v>0</v>
      </c>
      <c r="K1451">
        <f>B22_Assessment!E64</f>
        <v>0</v>
      </c>
      <c r="L1451">
        <f>B22_Assessment!F64</f>
        <v>0</v>
      </c>
      <c r="M1451">
        <f>B22_Assessment!G64</f>
        <v>0</v>
      </c>
      <c r="N1451">
        <f>B22_Assessment!H64</f>
        <v>0</v>
      </c>
      <c r="O1451">
        <f>B22_Assessment!I64</f>
        <v>0</v>
      </c>
      <c r="P1451">
        <f>B22_Assessment!J64</f>
        <v>0</v>
      </c>
      <c r="Q1451" t="str">
        <f t="shared" si="22"/>
        <v>22|57</v>
      </c>
    </row>
    <row r="1452" spans="1:17" ht="6.45" customHeight="1">
      <c r="A1452" t="s">
        <v>707</v>
      </c>
      <c r="B1452">
        <v>58</v>
      </c>
      <c r="C1452" t="s">
        <v>51</v>
      </c>
      <c r="D1452">
        <v>65</v>
      </c>
      <c r="E1452" t="s">
        <v>1052</v>
      </c>
      <c r="F1452" t="s">
        <v>5322</v>
      </c>
      <c r="G1452" t="str">
        <f>B22_Assessment!A65</f>
        <v>10. PHOTO LOG</v>
      </c>
      <c r="H1452">
        <f>B22_Assessment!B65</f>
        <v>0</v>
      </c>
      <c r="I1452">
        <f>B22_Assessment!C65</f>
        <v>0</v>
      </c>
      <c r="J1452">
        <f>B22_Assessment!D65</f>
        <v>0</v>
      </c>
      <c r="K1452">
        <f>B22_Assessment!E65</f>
        <v>0</v>
      </c>
      <c r="L1452">
        <f>B22_Assessment!F65</f>
        <v>0</v>
      </c>
      <c r="M1452">
        <f>B22_Assessment!G65</f>
        <v>0</v>
      </c>
      <c r="N1452">
        <f>B22_Assessment!H65</f>
        <v>0</v>
      </c>
      <c r="O1452">
        <f>B22_Assessment!I65</f>
        <v>0</v>
      </c>
      <c r="P1452">
        <f>B22_Assessment!J65</f>
        <v>0</v>
      </c>
      <c r="Q1452" t="str">
        <f t="shared" si="22"/>
        <v>22|58</v>
      </c>
    </row>
    <row r="1453" spans="1:17" ht="6.45" customHeight="1">
      <c r="A1453" t="s">
        <v>707</v>
      </c>
      <c r="B1453">
        <v>59</v>
      </c>
      <c r="C1453" t="s">
        <v>51</v>
      </c>
      <c r="D1453">
        <v>66</v>
      </c>
      <c r="E1453" t="s">
        <v>1052</v>
      </c>
      <c r="F1453" t="s">
        <v>5323</v>
      </c>
      <c r="G1453" t="str">
        <f>B22_Assessment!A66</f>
        <v>Photo ID</v>
      </c>
      <c r="H1453" t="str">
        <f>B22_Assessment!B66</f>
        <v>Room</v>
      </c>
      <c r="I1453" t="str">
        <f>B22_Assessment!C66</f>
        <v>Category</v>
      </c>
      <c r="J1453" t="str">
        <f>B22_Assessment!D66</f>
        <v>Description</v>
      </c>
      <c r="K1453" t="str">
        <f>B22_Assessment!E66</f>
        <v>Date</v>
      </c>
      <c r="L1453" t="str">
        <f>B22_Assessment!F66</f>
        <v>Taken By</v>
      </c>
      <c r="M1453" t="str">
        <f>B22_Assessment!G66</f>
        <v>File / Link</v>
      </c>
      <c r="N1453" t="str">
        <f>B22_Assessment!H66</f>
        <v>Related Risk</v>
      </c>
      <c r="O1453" t="str">
        <f>B22_Assessment!I66</f>
        <v>Status</v>
      </c>
      <c r="P1453" t="str">
        <f>B22_Assessment!J66</f>
        <v>Notes</v>
      </c>
      <c r="Q1453" t="str">
        <f t="shared" si="22"/>
        <v>22|59</v>
      </c>
    </row>
    <row r="1454" spans="1:17" ht="6.45" customHeight="1">
      <c r="A1454" t="s">
        <v>707</v>
      </c>
      <c r="B1454">
        <v>60</v>
      </c>
      <c r="C1454" t="s">
        <v>51</v>
      </c>
      <c r="D1454">
        <v>67</v>
      </c>
      <c r="E1454" t="s">
        <v>1052</v>
      </c>
      <c r="F1454" t="s">
        <v>5324</v>
      </c>
      <c r="G1454" t="str">
        <f>B22_Assessment!A67</f>
        <v>B22-P001</v>
      </c>
      <c r="H1454" t="str">
        <f>B22_Assessment!B67</f>
        <v>102</v>
      </c>
      <c r="I1454" t="str">
        <f>B22_Assessment!C67</f>
        <v>Existing Condition</v>
      </c>
      <c r="J1454" t="str">
        <f>B22_Assessment!D67</f>
        <v>Break Room 102 wall location, wall backing, clearances, ceiling, power source, cable path, fiber path A/B and new TE enclosure location</v>
      </c>
      <c r="K1454">
        <f>B22_Assessment!E67</f>
        <v>0</v>
      </c>
      <c r="L1454" t="str">
        <f>B22_Assessment!F67</f>
        <v>Paul</v>
      </c>
      <c r="M1454">
        <f>B22_Assessment!G67</f>
        <v>0</v>
      </c>
      <c r="N1454" t="str">
        <f>B22_Assessment!H67</f>
        <v>B22-R1/B22-R3</v>
      </c>
      <c r="O1454" t="str">
        <f>B22_Assessment!I67</f>
        <v>Closed</v>
      </c>
      <c r="P1454">
        <f>B22_Assessment!J67</f>
        <v>0</v>
      </c>
      <c r="Q1454" t="str">
        <f t="shared" si="22"/>
        <v>22|60</v>
      </c>
    </row>
    <row r="1455" spans="1:17" ht="6.45" customHeight="1">
      <c r="A1455" t="s">
        <v>707</v>
      </c>
      <c r="B1455">
        <v>61</v>
      </c>
      <c r="C1455" t="s">
        <v>51</v>
      </c>
      <c r="D1455">
        <v>68</v>
      </c>
      <c r="E1455" t="s">
        <v>1052</v>
      </c>
      <c r="F1455" t="s">
        <v>5324</v>
      </c>
      <c r="G1455" t="str">
        <f>B22_Assessment!A68</f>
        <v>B22-P002</v>
      </c>
      <c r="H1455" t="str">
        <f>B22_Assessment!B68</f>
        <v>103</v>
      </c>
      <c r="I1455" t="str">
        <f>B22_Assessment!C68</f>
        <v>Existing Condition</v>
      </c>
      <c r="J1455" t="str">
        <f>B22_Assessment!D68</f>
        <v>Existing Room 103 wall/wall-mount TE, APC UPS, Cisco switch, SERTEX utility service, legacy patch panel, Fiber LIU and cable entries</v>
      </c>
      <c r="K1455">
        <f>B22_Assessment!E68</f>
        <v>0</v>
      </c>
      <c r="L1455" t="str">
        <f>B22_Assessment!F68</f>
        <v>Paul</v>
      </c>
      <c r="M1455">
        <f>B22_Assessment!G68</f>
        <v>0</v>
      </c>
      <c r="N1455" t="str">
        <f>B22_Assessment!H68</f>
        <v>B22-R1/B22-R2</v>
      </c>
      <c r="O1455" t="str">
        <f>B22_Assessment!I68</f>
        <v>Closed</v>
      </c>
      <c r="P1455">
        <f>B22_Assessment!J68</f>
        <v>0</v>
      </c>
      <c r="Q1455" t="str">
        <f t="shared" si="22"/>
        <v>22|61</v>
      </c>
    </row>
    <row r="1456" spans="1:17" ht="6.45" customHeight="1">
      <c r="A1456" t="s">
        <v>707</v>
      </c>
      <c r="B1456">
        <v>62</v>
      </c>
      <c r="C1456" t="s">
        <v>51</v>
      </c>
      <c r="D1456">
        <v>69</v>
      </c>
      <c r="E1456" t="s">
        <v>1052</v>
      </c>
      <c r="F1456" t="s">
        <v>5324</v>
      </c>
      <c r="G1456" t="str">
        <f>B22_Assessment!A69</f>
        <v>B22-P003</v>
      </c>
      <c r="H1456" t="str">
        <f>B22_Assessment!B69</f>
        <v>103 / B19</v>
      </c>
      <c r="I1456" t="str">
        <f>B22_Assessment!C69</f>
        <v>Existing Equipment</v>
      </c>
      <c r="J1456" t="str">
        <f>B22_Assessment!D69</f>
        <v>Ports 1-24 to Building 19 ports 73-96, active service labeling, utility service and handoff condition</v>
      </c>
      <c r="K1456">
        <f>B22_Assessment!E69</f>
        <v>0</v>
      </c>
      <c r="L1456" t="str">
        <f>B22_Assessment!F69</f>
        <v>Paul</v>
      </c>
      <c r="M1456">
        <f>B22_Assessment!G69</f>
        <v>0</v>
      </c>
      <c r="N1456" t="str">
        <f>B22_Assessment!H69</f>
        <v>B22-R8</v>
      </c>
      <c r="O1456" t="str">
        <f>B22_Assessment!I69</f>
        <v>Closed</v>
      </c>
      <c r="P1456">
        <f>B22_Assessment!J69</f>
        <v>0</v>
      </c>
      <c r="Q1456" t="str">
        <f t="shared" si="22"/>
        <v>22|62</v>
      </c>
    </row>
    <row r="1457" spans="1:17" ht="6.45" customHeight="1">
      <c r="A1457" t="s">
        <v>707</v>
      </c>
      <c r="B1457">
        <v>63</v>
      </c>
      <c r="C1457" t="s">
        <v>51</v>
      </c>
      <c r="D1457">
        <v>70</v>
      </c>
      <c r="E1457" t="s">
        <v>1052</v>
      </c>
      <c r="F1457" t="s">
        <v>5324</v>
      </c>
      <c r="G1457" t="str">
        <f>B22_Assessment!A70</f>
        <v>B22-P004</v>
      </c>
      <c r="H1457" t="str">
        <f>B22_Assessment!B70</f>
        <v>102/103</v>
      </c>
      <c r="I1457" t="str">
        <f>B22_Assessment!C70</f>
        <v>Pathway</v>
      </c>
      <c r="J1457" t="str">
        <f>B22_Assessment!D70</f>
        <v>139 ft first-floor cable tray route, sleeves, wall penetrations, support points, light/HVAC conflicts and 40% fill concerns</v>
      </c>
      <c r="K1457">
        <f>B22_Assessment!E70</f>
        <v>0</v>
      </c>
      <c r="L1457" t="str">
        <f>B22_Assessment!F70</f>
        <v>Paul</v>
      </c>
      <c r="M1457">
        <f>B22_Assessment!G70</f>
        <v>0</v>
      </c>
      <c r="N1457" t="str">
        <f>B22_Assessment!H70</f>
        <v>B22-R6/B22-R7</v>
      </c>
      <c r="O1457" t="str">
        <f>B22_Assessment!I70</f>
        <v>Closed</v>
      </c>
      <c r="P1457">
        <f>B22_Assessment!J70</f>
        <v>0</v>
      </c>
      <c r="Q1457" t="str">
        <f t="shared" si="22"/>
        <v>22|63</v>
      </c>
    </row>
    <row r="1458" spans="1:17" ht="6.45" customHeight="1">
      <c r="A1458" t="s">
        <v>707</v>
      </c>
      <c r="B1458">
        <v>64</v>
      </c>
      <c r="C1458" t="s">
        <v>51</v>
      </c>
      <c r="D1458">
        <v>71</v>
      </c>
      <c r="E1458" t="s">
        <v>1052</v>
      </c>
      <c r="F1458" t="s">
        <v>5324</v>
      </c>
      <c r="G1458" t="str">
        <f>B22_Assessment!A71</f>
        <v>B22-P005</v>
      </c>
      <c r="H1458" t="str">
        <f>B22_Assessment!B71</f>
        <v>102</v>
      </c>
      <c r="I1458" t="str">
        <f>B22_Assessment!C71</f>
        <v>Electrical</v>
      </c>
      <c r="J1458" t="str">
        <f>B22_Assessment!D71</f>
        <v>New TE enclosure UPS/PDU receptacles, circuit source, grounding/bonding, labels and access</v>
      </c>
      <c r="K1458">
        <f>B22_Assessment!E71</f>
        <v>0</v>
      </c>
      <c r="L1458" t="str">
        <f>B22_Assessment!F71</f>
        <v>Paul</v>
      </c>
      <c r="M1458">
        <f>B22_Assessment!G71</f>
        <v>0</v>
      </c>
      <c r="N1458" t="str">
        <f>B22_Assessment!H71</f>
        <v>B22-R5</v>
      </c>
      <c r="O1458" t="str">
        <f>B22_Assessment!I71</f>
        <v>Closed</v>
      </c>
      <c r="P1458">
        <f>B22_Assessment!J71</f>
        <v>0</v>
      </c>
      <c r="Q1458" t="str">
        <f t="shared" si="22"/>
        <v>22|64</v>
      </c>
    </row>
    <row r="1459" spans="1:17" ht="6.45" customHeight="1">
      <c r="A1459" t="s">
        <v>707</v>
      </c>
      <c r="B1459">
        <v>65</v>
      </c>
      <c r="C1459" t="s">
        <v>51</v>
      </c>
      <c r="D1459">
        <v>72</v>
      </c>
      <c r="E1459" t="s">
        <v>1052</v>
      </c>
      <c r="F1459" t="s">
        <v>5324</v>
      </c>
      <c r="G1459" t="str">
        <f>B22_Assessment!A72</f>
        <v>B22-P006</v>
      </c>
      <c r="H1459" t="str">
        <f>B22_Assessment!B72</f>
        <v>102/103</v>
      </c>
      <c r="I1459" t="str">
        <f>B22_Assessment!C72</f>
        <v>Telecom</v>
      </c>
      <c r="J1459" t="str">
        <f>B22_Assessment!D72</f>
        <v>TR01-102-1 enclosure, cross-connect cables, Fiber LIU, patch panels, labels, test results and existing equipment transfer</v>
      </c>
      <c r="K1459">
        <f>B22_Assessment!E72</f>
        <v>0</v>
      </c>
      <c r="L1459" t="str">
        <f>B22_Assessment!F72</f>
        <v>Paul</v>
      </c>
      <c r="M1459">
        <f>B22_Assessment!G72</f>
        <v>0</v>
      </c>
      <c r="N1459" t="str">
        <f>B22_Assessment!H72</f>
        <v>B22-R2/B22-R8</v>
      </c>
      <c r="O1459" t="str">
        <f>B22_Assessment!I72</f>
        <v>Closed</v>
      </c>
      <c r="P1459">
        <f>B22_Assessment!J72</f>
        <v>0</v>
      </c>
      <c r="Q1459" t="str">
        <f t="shared" si="22"/>
        <v>22|65</v>
      </c>
    </row>
    <row r="1460" spans="1:17" ht="6.45" customHeight="1">
      <c r="A1460" t="s">
        <v>707</v>
      </c>
      <c r="B1460">
        <v>66</v>
      </c>
      <c r="C1460" t="s">
        <v>51</v>
      </c>
      <c r="D1460">
        <v>73</v>
      </c>
      <c r="E1460" t="s">
        <v>1052</v>
      </c>
      <c r="F1460" t="s">
        <v>5324</v>
      </c>
      <c r="G1460" t="str">
        <f>B22_Assessment!A73</f>
        <v>B22-P007</v>
      </c>
      <c r="H1460" t="str">
        <f>B22_Assessment!B73</f>
        <v>All</v>
      </c>
      <c r="I1460" t="str">
        <f>B22_Assessment!C73</f>
        <v>Firestop</v>
      </c>
      <c r="J1460" t="str">
        <f>B22_Assessment!D73</f>
        <v>4-inch speed sleeve, wall/floor penetrations and fire caulk before/after photos</v>
      </c>
      <c r="K1460">
        <f>B22_Assessment!E73</f>
        <v>0</v>
      </c>
      <c r="L1460" t="str">
        <f>B22_Assessment!F73</f>
        <v>Paul</v>
      </c>
      <c r="M1460">
        <f>B22_Assessment!G73</f>
        <v>0</v>
      </c>
      <c r="N1460" t="str">
        <f>B22_Assessment!H73</f>
        <v>B22-R7</v>
      </c>
      <c r="O1460" t="str">
        <f>B22_Assessment!I73</f>
        <v>Closed</v>
      </c>
      <c r="P1460">
        <f>B22_Assessment!J73</f>
        <v>0</v>
      </c>
      <c r="Q1460" t="str">
        <f t="shared" si="22"/>
        <v>22|66</v>
      </c>
    </row>
    <row r="1461" spans="1:17" ht="6.45" customHeight="1">
      <c r="A1461" t="s">
        <v>707</v>
      </c>
      <c r="B1461">
        <v>67</v>
      </c>
      <c r="C1461" t="s">
        <v>51</v>
      </c>
      <c r="D1461">
        <v>74</v>
      </c>
      <c r="E1461" t="s">
        <v>1052</v>
      </c>
      <c r="F1461" t="s">
        <v>5324</v>
      </c>
      <c r="G1461" t="str">
        <f>B22_Assessment!A74</f>
        <v>B22-P008</v>
      </c>
      <c r="H1461" t="str">
        <f>B22_Assessment!B74</f>
        <v>All</v>
      </c>
      <c r="I1461" t="str">
        <f>B22_Assessment!C74</f>
        <v>Security / Existing Devices</v>
      </c>
      <c r="J1461" t="str">
        <f>B22_Assessment!D74</f>
        <v>Existing cameras/security devices to remain, protection-in-place and final operating condition</v>
      </c>
      <c r="K1461">
        <f>B22_Assessment!E74</f>
        <v>0</v>
      </c>
      <c r="L1461" t="str">
        <f>B22_Assessment!F74</f>
        <v>Paul</v>
      </c>
      <c r="M1461">
        <f>B22_Assessment!G74</f>
        <v>0</v>
      </c>
      <c r="N1461" t="str">
        <f>B22_Assessment!H74</f>
        <v>B22-R8</v>
      </c>
      <c r="O1461" t="str">
        <f>B22_Assessment!I74</f>
        <v>Closed</v>
      </c>
      <c r="P1461">
        <f>B22_Assessment!J74</f>
        <v>0</v>
      </c>
      <c r="Q1461" t="str">
        <f t="shared" si="22"/>
        <v>22|67</v>
      </c>
    </row>
    <row r="1462" spans="1:17" ht="6.45" customHeight="1">
      <c r="A1462" t="s">
        <v>707</v>
      </c>
      <c r="B1462">
        <v>68</v>
      </c>
      <c r="C1462" t="s">
        <v>51</v>
      </c>
      <c r="D1462">
        <v>75</v>
      </c>
      <c r="E1462" t="s">
        <v>1052</v>
      </c>
      <c r="F1462" t="s">
        <v>5325</v>
      </c>
      <c r="G1462">
        <f>B22_Assessment!A75</f>
        <v>0</v>
      </c>
      <c r="H1462">
        <f>B22_Assessment!B75</f>
        <v>0</v>
      </c>
      <c r="I1462">
        <f>B22_Assessment!C75</f>
        <v>0</v>
      </c>
      <c r="J1462">
        <f>B22_Assessment!D75</f>
        <v>0</v>
      </c>
      <c r="K1462">
        <f>B22_Assessment!E75</f>
        <v>0</v>
      </c>
      <c r="L1462">
        <f>B22_Assessment!F75</f>
        <v>0</v>
      </c>
      <c r="M1462">
        <f>B22_Assessment!G75</f>
        <v>0</v>
      </c>
      <c r="N1462">
        <f>B22_Assessment!H75</f>
        <v>0</v>
      </c>
      <c r="O1462">
        <f>B22_Assessment!I75</f>
        <v>0</v>
      </c>
      <c r="P1462">
        <f>B22_Assessment!J75</f>
        <v>0</v>
      </c>
      <c r="Q1462" t="str">
        <f t="shared" si="22"/>
        <v>22|68</v>
      </c>
    </row>
    <row r="1463" spans="1:17" ht="6.45" customHeight="1">
      <c r="A1463" t="s">
        <v>372</v>
      </c>
      <c r="B1463">
        <v>1</v>
      </c>
      <c r="C1463" t="s">
        <v>53</v>
      </c>
      <c r="D1463">
        <v>8</v>
      </c>
      <c r="E1463" t="s">
        <v>918</v>
      </c>
      <c r="F1463" t="s">
        <v>5322</v>
      </c>
      <c r="G1463" t="str">
        <f>B33_Assessment!A8</f>
        <v>1. ROOM INVENTORY</v>
      </c>
      <c r="H1463">
        <f>B33_Assessment!B8</f>
        <v>0</v>
      </c>
      <c r="I1463">
        <f>B33_Assessment!C8</f>
        <v>0</v>
      </c>
      <c r="J1463">
        <f>B33_Assessment!D8</f>
        <v>0</v>
      </c>
      <c r="K1463">
        <f>B33_Assessment!E8</f>
        <v>0</v>
      </c>
      <c r="L1463">
        <f>B33_Assessment!F8</f>
        <v>0</v>
      </c>
      <c r="M1463">
        <f>B33_Assessment!G8</f>
        <v>0</v>
      </c>
      <c r="N1463">
        <f>B33_Assessment!H8</f>
        <v>0</v>
      </c>
      <c r="O1463">
        <f>B33_Assessment!I8</f>
        <v>0</v>
      </c>
      <c r="P1463">
        <f>B33_Assessment!J8</f>
        <v>0</v>
      </c>
      <c r="Q1463" t="str">
        <f t="shared" si="22"/>
        <v>33|1</v>
      </c>
    </row>
    <row r="1464" spans="1:17" ht="6.45" customHeight="1">
      <c r="A1464" t="s">
        <v>372</v>
      </c>
      <c r="B1464">
        <v>2</v>
      </c>
      <c r="C1464" t="s">
        <v>53</v>
      </c>
      <c r="D1464">
        <v>9</v>
      </c>
      <c r="E1464" t="s">
        <v>918</v>
      </c>
      <c r="F1464" t="s">
        <v>5323</v>
      </c>
      <c r="G1464" t="str">
        <f>B33_Assessment!A9</f>
        <v>Building</v>
      </c>
      <c r="H1464" t="str">
        <f>B33_Assessment!B9</f>
        <v>Room</v>
      </c>
      <c r="I1464" t="str">
        <f>B33_Assessment!C9</f>
        <v>Floor</v>
      </c>
      <c r="J1464" t="str">
        <f>B33_Assessment!D9</f>
        <v>Existing Use</v>
      </c>
      <c r="K1464" t="str">
        <f>B33_Assessment!E9</f>
        <v>New Use</v>
      </c>
      <c r="L1464" t="str">
        <f>B33_Assessment!F9</f>
        <v>Rack Count</v>
      </c>
      <c r="M1464" t="str">
        <f>B33_Assessment!G9</f>
        <v>Future Rack</v>
      </c>
      <c r="N1464" t="str">
        <f>B33_Assessment!H9</f>
        <v>Status</v>
      </c>
      <c r="O1464" t="str">
        <f>B33_Assessment!I9</f>
        <v>Drawing Ref</v>
      </c>
      <c r="P1464" t="str">
        <f>B33_Assessment!J9</f>
        <v>Notes</v>
      </c>
      <c r="Q1464" t="str">
        <f t="shared" si="22"/>
        <v>33|2</v>
      </c>
    </row>
    <row r="1465" spans="1:17" ht="6.45" customHeight="1">
      <c r="A1465" t="s">
        <v>372</v>
      </c>
      <c r="B1465">
        <v>3</v>
      </c>
      <c r="C1465" t="s">
        <v>53</v>
      </c>
      <c r="D1465">
        <v>10</v>
      </c>
      <c r="E1465" t="s">
        <v>918</v>
      </c>
      <c r="F1465" t="s">
        <v>5324</v>
      </c>
      <c r="G1465" t="str">
        <f>B33_Assessment!A10</f>
        <v>33</v>
      </c>
      <c r="H1465" t="str">
        <f>B33_Assessment!B10</f>
        <v>B23</v>
      </c>
      <c r="I1465" t="str">
        <f>B33_Assessment!C10</f>
        <v>Basement</v>
      </c>
      <c r="J1465" t="str">
        <f>B33_Assessment!D10</f>
        <v>EEO Manager Office / new TE location</v>
      </c>
      <c r="K1465" t="str">
        <f>B33_Assessment!E10</f>
        <v>Telecom Enclosure</v>
      </c>
      <c r="L1465">
        <f>B33_Assessment!F10</f>
        <v>1</v>
      </c>
      <c r="M1465">
        <f>B33_Assessment!G10</f>
        <v>0</v>
      </c>
      <c r="N1465" t="str">
        <f>B33_Assessment!H10</f>
        <v>Verify</v>
      </c>
      <c r="O1465" t="str">
        <f>B33_Assessment!I10</f>
        <v>33T-100 / 33T-604 / 33T-701 / 33E-100 / 33E-701</v>
      </c>
      <c r="P1465" t="str">
        <f>B33_Assessment!J10</f>
        <v>Primary Building 33 TE. Plans identify EEO Manager Office B23 at 175 SF with new 12RU telecom enclosure Rack ID TE01-B23-1, APC UPS, two PDUs, network switch, 48-port Cat6A patch panel, Fiber LIU, 55 WAO total, and 97 total ports with 10% allowance.</v>
      </c>
      <c r="Q1465" t="str">
        <f t="shared" si="22"/>
        <v>33|3</v>
      </c>
    </row>
    <row r="1466" spans="1:17" ht="6.45" customHeight="1">
      <c r="A1466" t="s">
        <v>372</v>
      </c>
      <c r="B1466">
        <v>4</v>
      </c>
      <c r="C1466" t="s">
        <v>53</v>
      </c>
      <c r="D1466">
        <v>11</v>
      </c>
      <c r="E1466" t="s">
        <v>918</v>
      </c>
      <c r="F1466" t="s">
        <v>5324</v>
      </c>
      <c r="G1466" t="str">
        <f>B33_Assessment!A11</f>
        <v>33</v>
      </c>
      <c r="H1466" t="str">
        <f>B33_Assessment!B11</f>
        <v>B17</v>
      </c>
      <c r="I1466" t="str">
        <f>B33_Assessment!C11</f>
        <v>Basement / First photo reference</v>
      </c>
      <c r="J1466" t="str">
        <f>B33_Assessment!D11</f>
        <v>Existing Tel Closet / open TE cabinet and legacy equipment</v>
      </c>
      <c r="K1466" t="str">
        <f>B33_Assessment!E11</f>
        <v>Existing telecom transition point</v>
      </c>
      <c r="L1466">
        <f>B33_Assessment!F11</f>
        <v>2</v>
      </c>
      <c r="M1466">
        <f>B33_Assessment!G11</f>
        <v>0</v>
      </c>
      <c r="N1466" t="str">
        <f>B33_Assessment!H11</f>
        <v>Verify</v>
      </c>
      <c r="O1466" t="str">
        <f>B33_Assessment!I11</f>
        <v>33T-100 / 33T-604 / 33R-900</v>
      </c>
      <c r="P1466" t="str">
        <f>B33_Assessment!J11</f>
        <v>Existing Tel Closet B17 shown at 13 SF with existing open TE cabinet, network door controller, indoor AC unit, plywood backboard, keypad, patch panel, ground bar, equipment box, Cisco switches, legacy patch panels, Fiber LIU, SERTEX utility service, and UPS on floor. Protect active services and verify transfer to Room B23 TE.</v>
      </c>
      <c r="Q1466" t="str">
        <f t="shared" si="22"/>
        <v>33|4</v>
      </c>
    </row>
    <row r="1467" spans="1:17" ht="6.45" customHeight="1">
      <c r="A1467" t="s">
        <v>372</v>
      </c>
      <c r="B1467">
        <v>5</v>
      </c>
      <c r="C1467" t="s">
        <v>53</v>
      </c>
      <c r="D1467">
        <v>12</v>
      </c>
      <c r="E1467" t="s">
        <v>918</v>
      </c>
      <c r="F1467" t="s">
        <v>5325</v>
      </c>
      <c r="G1467">
        <f>B33_Assessment!A12</f>
        <v>0</v>
      </c>
      <c r="H1467">
        <f>B33_Assessment!B12</f>
        <v>0</v>
      </c>
      <c r="I1467">
        <f>B33_Assessment!C12</f>
        <v>0</v>
      </c>
      <c r="J1467">
        <f>B33_Assessment!D12</f>
        <v>0</v>
      </c>
      <c r="K1467">
        <f>B33_Assessment!E12</f>
        <v>0</v>
      </c>
      <c r="L1467">
        <f>B33_Assessment!F12</f>
        <v>0</v>
      </c>
      <c r="M1467">
        <f>B33_Assessment!G12</f>
        <v>0</v>
      </c>
      <c r="N1467">
        <f>B33_Assessment!H12</f>
        <v>0</v>
      </c>
      <c r="O1467">
        <f>B33_Assessment!I12</f>
        <v>0</v>
      </c>
      <c r="P1467">
        <f>B33_Assessment!J12</f>
        <v>0</v>
      </c>
      <c r="Q1467" t="str">
        <f t="shared" si="22"/>
        <v>33|5</v>
      </c>
    </row>
    <row r="1468" spans="1:17" ht="6.45" customHeight="1">
      <c r="A1468" t="s">
        <v>372</v>
      </c>
      <c r="B1468">
        <v>6</v>
      </c>
      <c r="C1468" t="s">
        <v>53</v>
      </c>
      <c r="D1468">
        <v>13</v>
      </c>
      <c r="E1468" t="s">
        <v>936</v>
      </c>
      <c r="F1468" t="s">
        <v>5322</v>
      </c>
      <c r="G1468" t="str">
        <f>B33_Assessment!A13</f>
        <v>2. ROOM READINESS</v>
      </c>
      <c r="H1468">
        <f>B33_Assessment!B13</f>
        <v>0</v>
      </c>
      <c r="I1468">
        <f>B33_Assessment!C13</f>
        <v>0</v>
      </c>
      <c r="J1468">
        <f>B33_Assessment!D13</f>
        <v>0</v>
      </c>
      <c r="K1468">
        <f>B33_Assessment!E13</f>
        <v>0</v>
      </c>
      <c r="L1468">
        <f>B33_Assessment!F13</f>
        <v>0</v>
      </c>
      <c r="M1468">
        <f>B33_Assessment!G13</f>
        <v>0</v>
      </c>
      <c r="N1468">
        <f>B33_Assessment!H13</f>
        <v>0</v>
      </c>
      <c r="O1468">
        <f>B33_Assessment!I13</f>
        <v>0</v>
      </c>
      <c r="P1468">
        <f>B33_Assessment!J13</f>
        <v>0</v>
      </c>
      <c r="Q1468" t="str">
        <f t="shared" si="22"/>
        <v>33|6</v>
      </c>
    </row>
    <row r="1469" spans="1:17" ht="6.45" customHeight="1">
      <c r="A1469" t="s">
        <v>372</v>
      </c>
      <c r="B1469">
        <v>7</v>
      </c>
      <c r="C1469" t="s">
        <v>53</v>
      </c>
      <c r="D1469">
        <v>14</v>
      </c>
      <c r="E1469" t="s">
        <v>936</v>
      </c>
      <c r="F1469" t="s">
        <v>5323</v>
      </c>
      <c r="G1469" t="str">
        <f>B33_Assessment!A14</f>
        <v>Room</v>
      </c>
      <c r="H1469" t="str">
        <f>B33_Assessment!B14</f>
        <v>Walls / 1-hr Rating</v>
      </c>
      <c r="I1469" t="str">
        <f>B33_Assessment!C14</f>
        <v>Ceiling</v>
      </c>
      <c r="J1469" t="str">
        <f>B33_Assessment!D14</f>
        <v>Floor / SDC</v>
      </c>
      <c r="K1469" t="str">
        <f>B33_Assessment!E14</f>
        <v>Penetrations</v>
      </c>
      <c r="L1469" t="str">
        <f>B33_Assessment!F14</f>
        <v>Access Control</v>
      </c>
      <c r="M1469" t="str">
        <f>B33_Assessment!G14</f>
        <v>Clearances</v>
      </c>
      <c r="N1469" t="str">
        <f>B33_Assessment!H14</f>
        <v>Housekeeping</v>
      </c>
      <c r="O1469" t="str">
        <f>B33_Assessment!I14</f>
        <v>Overall</v>
      </c>
      <c r="P1469" t="str">
        <f>B33_Assessment!J14</f>
        <v>Comments</v>
      </c>
      <c r="Q1469" t="str">
        <f t="shared" si="22"/>
        <v>33|7</v>
      </c>
    </row>
    <row r="1470" spans="1:17" ht="6.45" customHeight="1">
      <c r="A1470" t="s">
        <v>372</v>
      </c>
      <c r="B1470">
        <v>8</v>
      </c>
      <c r="C1470" t="s">
        <v>53</v>
      </c>
      <c r="D1470">
        <v>15</v>
      </c>
      <c r="E1470" t="s">
        <v>936</v>
      </c>
      <c r="F1470" t="s">
        <v>5324</v>
      </c>
      <c r="G1470" t="str">
        <f>B33_Assessment!A15</f>
        <v>B23</v>
      </c>
      <c r="H1470" t="str">
        <f>B33_Assessment!B15</f>
        <v>Verify</v>
      </c>
      <c r="I1470" t="str">
        <f>B33_Assessment!C15</f>
        <v>Verify</v>
      </c>
      <c r="J1470" t="str">
        <f>B33_Assessment!D15</f>
        <v>N/A / Office</v>
      </c>
      <c r="K1470" t="str">
        <f>B33_Assessment!E15</f>
        <v>Verify</v>
      </c>
      <c r="L1470" t="str">
        <f>B33_Assessment!F15</f>
        <v>Verify Existing</v>
      </c>
      <c r="M1470" t="str">
        <f>B33_Assessment!G15</f>
        <v>Verify</v>
      </c>
      <c r="N1470" t="str">
        <f>B33_Assessment!H15</f>
        <v>Verify</v>
      </c>
      <c r="O1470" t="str">
        <f>B33_Assessment!I15</f>
        <v>Verify</v>
      </c>
      <c r="P1470" t="str">
        <f>B33_Assessment!J15</f>
        <v>New TE enclosure location in EEO Manager Office B23; verify wall backing, mounting height, access clearance, power, fiber/copper path, 4-inch speed sleeve, fire/smoke wall rating, and office-use impacts.</v>
      </c>
      <c r="Q1470" t="str">
        <f t="shared" si="22"/>
        <v>33|8</v>
      </c>
    </row>
    <row r="1471" spans="1:17" ht="6.45" customHeight="1">
      <c r="A1471" t="s">
        <v>372</v>
      </c>
      <c r="B1471">
        <v>9</v>
      </c>
      <c r="C1471" t="s">
        <v>53</v>
      </c>
      <c r="D1471">
        <v>16</v>
      </c>
      <c r="E1471" t="s">
        <v>936</v>
      </c>
      <c r="F1471" t="s">
        <v>5324</v>
      </c>
      <c r="G1471" t="str">
        <f>B33_Assessment!A16</f>
        <v>B17</v>
      </c>
      <c r="H1471" t="str">
        <f>B33_Assessment!B16</f>
        <v>Existing / Verify</v>
      </c>
      <c r="I1471" t="str">
        <f>B33_Assessment!C16</f>
        <v>Existing / Verify</v>
      </c>
      <c r="J1471" t="str">
        <f>B33_Assessment!D16</f>
        <v>Existing / Verify</v>
      </c>
      <c r="K1471" t="str">
        <f>B33_Assessment!E16</f>
        <v>Verify</v>
      </c>
      <c r="L1471" t="str">
        <f>B33_Assessment!F16</f>
        <v>Verify Existing</v>
      </c>
      <c r="M1471" t="str">
        <f>B33_Assessment!G16</f>
        <v>Verify</v>
      </c>
      <c r="N1471" t="str">
        <f>B33_Assessment!H16</f>
        <v>Verify</v>
      </c>
      <c r="O1471" t="str">
        <f>B33_Assessment!I16</f>
        <v>Verify</v>
      </c>
      <c r="P1471" t="str">
        <f>B33_Assessment!J16</f>
        <v>Existing Tel Closet; verify active equipment status, open TE cabinet, indoor AC, network door controller, keypad/security devices, UPS, backboard, Fiber LIU, and transition/abandonment scope.</v>
      </c>
      <c r="Q1471" t="str">
        <f t="shared" si="22"/>
        <v>33|9</v>
      </c>
    </row>
    <row r="1472" spans="1:17" ht="6.45" customHeight="1">
      <c r="A1472" t="s">
        <v>372</v>
      </c>
      <c r="B1472">
        <v>10</v>
      </c>
      <c r="C1472" t="s">
        <v>53</v>
      </c>
      <c r="D1472">
        <v>17</v>
      </c>
      <c r="E1472" t="s">
        <v>936</v>
      </c>
      <c r="F1472" t="s">
        <v>5325</v>
      </c>
      <c r="G1472">
        <f>B33_Assessment!A17</f>
        <v>0</v>
      </c>
      <c r="H1472">
        <f>B33_Assessment!B17</f>
        <v>0</v>
      </c>
      <c r="I1472">
        <f>B33_Assessment!C17</f>
        <v>0</v>
      </c>
      <c r="J1472">
        <f>B33_Assessment!D17</f>
        <v>0</v>
      </c>
      <c r="K1472">
        <f>B33_Assessment!E17</f>
        <v>0</v>
      </c>
      <c r="L1472">
        <f>B33_Assessment!F17</f>
        <v>0</v>
      </c>
      <c r="M1472">
        <f>B33_Assessment!G17</f>
        <v>0</v>
      </c>
      <c r="N1472">
        <f>B33_Assessment!H17</f>
        <v>0</v>
      </c>
      <c r="O1472">
        <f>B33_Assessment!I17</f>
        <v>0</v>
      </c>
      <c r="P1472">
        <f>B33_Assessment!J17</f>
        <v>0</v>
      </c>
      <c r="Q1472" t="str">
        <f t="shared" si="22"/>
        <v>33|10</v>
      </c>
    </row>
    <row r="1473" spans="1:17" ht="6.45" customHeight="1">
      <c r="A1473" t="s">
        <v>372</v>
      </c>
      <c r="B1473">
        <v>11</v>
      </c>
      <c r="C1473" t="s">
        <v>53</v>
      </c>
      <c r="D1473">
        <v>18</v>
      </c>
      <c r="E1473" t="s">
        <v>951</v>
      </c>
      <c r="F1473" t="s">
        <v>5322</v>
      </c>
      <c r="G1473" t="str">
        <f>B33_Assessment!A18</f>
        <v>3. FIRE PROTECTION</v>
      </c>
      <c r="H1473">
        <f>B33_Assessment!B18</f>
        <v>0</v>
      </c>
      <c r="I1473">
        <f>B33_Assessment!C18</f>
        <v>0</v>
      </c>
      <c r="J1473">
        <f>B33_Assessment!D18</f>
        <v>0</v>
      </c>
      <c r="K1473">
        <f>B33_Assessment!E18</f>
        <v>0</v>
      </c>
      <c r="L1473">
        <f>B33_Assessment!F18</f>
        <v>0</v>
      </c>
      <c r="M1473">
        <f>B33_Assessment!G18</f>
        <v>0</v>
      </c>
      <c r="N1473">
        <f>B33_Assessment!H18</f>
        <v>0</v>
      </c>
      <c r="O1473">
        <f>B33_Assessment!I18</f>
        <v>0</v>
      </c>
      <c r="P1473">
        <f>B33_Assessment!J18</f>
        <v>0</v>
      </c>
      <c r="Q1473" t="str">
        <f t="shared" si="22"/>
        <v>33|11</v>
      </c>
    </row>
    <row r="1474" spans="1:17" ht="6.45" customHeight="1">
      <c r="A1474" t="s">
        <v>372</v>
      </c>
      <c r="B1474">
        <v>12</v>
      </c>
      <c r="C1474" t="s">
        <v>53</v>
      </c>
      <c r="D1474">
        <v>19</v>
      </c>
      <c r="E1474" t="s">
        <v>951</v>
      </c>
      <c r="F1474" t="s">
        <v>5323</v>
      </c>
      <c r="G1474" t="str">
        <f>B33_Assessment!A19</f>
        <v>Room</v>
      </c>
      <c r="H1474" t="str">
        <f>B33_Assessment!B19</f>
        <v>Sprinkler</v>
      </c>
      <c r="I1474" t="str">
        <f>B33_Assessment!C19</f>
        <v>Cage</v>
      </c>
      <c r="J1474" t="str">
        <f>B33_Assessment!D19</f>
        <v>Detector</v>
      </c>
      <c r="K1474" t="str">
        <f>B33_Assessment!E19</f>
        <v>Horn/Strobe</v>
      </c>
      <c r="L1474" t="str">
        <f>B33_Assessment!F19</f>
        <v>Extinguisher &lt;75 ft</v>
      </c>
      <c r="M1474" t="str">
        <f>B33_Assessment!G19</f>
        <v>Firestop</v>
      </c>
      <c r="N1474" t="str">
        <f>B33_Assessment!H19</f>
        <v>Temp Firestop</v>
      </c>
      <c r="O1474" t="str">
        <f>B33_Assessment!I19</f>
        <v>Overall</v>
      </c>
      <c r="P1474" t="str">
        <f>B33_Assessment!J19</f>
        <v>Risk / Notes</v>
      </c>
      <c r="Q1474" t="str">
        <f t="shared" ref="Q1474:Q1537" si="23">A1474&amp;"|"&amp;B1474</f>
        <v>33|12</v>
      </c>
    </row>
    <row r="1475" spans="1:17" ht="6.45" customHeight="1">
      <c r="A1475" t="s">
        <v>372</v>
      </c>
      <c r="B1475">
        <v>13</v>
      </c>
      <c r="C1475" t="s">
        <v>53</v>
      </c>
      <c r="D1475">
        <v>20</v>
      </c>
      <c r="E1475" t="s">
        <v>951</v>
      </c>
      <c r="F1475" t="s">
        <v>5324</v>
      </c>
      <c r="G1475" t="str">
        <f>B33_Assessment!A20</f>
        <v>B23</v>
      </c>
      <c r="H1475" t="str">
        <f>B33_Assessment!B20</f>
        <v>Excluded / Verify</v>
      </c>
      <c r="I1475" t="str">
        <f>B33_Assessment!C20</f>
        <v>N/A</v>
      </c>
      <c r="J1475" t="str">
        <f>B33_Assessment!D20</f>
        <v>Verify Existing</v>
      </c>
      <c r="K1475" t="str">
        <f>B33_Assessment!E20</f>
        <v>Verify Existing</v>
      </c>
      <c r="L1475" t="str">
        <f>B33_Assessment!F20</f>
        <v>N/A / Verify</v>
      </c>
      <c r="M1475" t="str">
        <f>B33_Assessment!G20</f>
        <v>Verify</v>
      </c>
      <c r="N1475" t="str">
        <f>B33_Assessment!H20</f>
        <v>Verify</v>
      </c>
      <c r="O1475" t="str">
        <f>B33_Assessment!I20</f>
        <v>Verify</v>
      </c>
      <c r="P1475" t="str">
        <f>B33_Assessment!J20</f>
        <v>Cover sheet states Building 33 receives a Telecom Enclosure and mechanical/fire protection scope is excluded. Still verify firestopping of rated penetrations, 4-inch sleeve, wall/floor openings, and life-safety device impacts.</v>
      </c>
      <c r="Q1475" t="str">
        <f t="shared" si="23"/>
        <v>33|13</v>
      </c>
    </row>
    <row r="1476" spans="1:17" ht="6.45" customHeight="1">
      <c r="A1476" t="s">
        <v>372</v>
      </c>
      <c r="B1476">
        <v>14</v>
      </c>
      <c r="C1476" t="s">
        <v>53</v>
      </c>
      <c r="D1476">
        <v>21</v>
      </c>
      <c r="E1476" t="s">
        <v>951</v>
      </c>
      <c r="F1476" t="s">
        <v>5324</v>
      </c>
      <c r="G1476" t="str">
        <f>B33_Assessment!A21</f>
        <v>B17</v>
      </c>
      <c r="H1476" t="str">
        <f>B33_Assessment!B21</f>
        <v>Existing / Verify</v>
      </c>
      <c r="I1476" t="str">
        <f>B33_Assessment!C21</f>
        <v>N/A</v>
      </c>
      <c r="J1476" t="str">
        <f>B33_Assessment!D21</f>
        <v>Verify Existing</v>
      </c>
      <c r="K1476" t="str">
        <f>B33_Assessment!E21</f>
        <v>Verify Existing</v>
      </c>
      <c r="L1476" t="str">
        <f>B33_Assessment!F21</f>
        <v>N/A / Verify</v>
      </c>
      <c r="M1476" t="str">
        <f>B33_Assessment!G21</f>
        <v>Verify</v>
      </c>
      <c r="N1476" t="str">
        <f>B33_Assessment!H21</f>
        <v>Verify</v>
      </c>
      <c r="O1476" t="str">
        <f>B33_Assessment!I21</f>
        <v>Verify</v>
      </c>
      <c r="P1476" t="str">
        <f>B33_Assessment!J21</f>
        <v>Existing Tel Closet; verify protection-in-place and firestopping after cable transfer or reuse.</v>
      </c>
      <c r="Q1476" t="str">
        <f t="shared" si="23"/>
        <v>33|14</v>
      </c>
    </row>
    <row r="1477" spans="1:17" ht="6.45" customHeight="1">
      <c r="A1477" t="s">
        <v>372</v>
      </c>
      <c r="B1477">
        <v>15</v>
      </c>
      <c r="C1477" t="s">
        <v>53</v>
      </c>
      <c r="D1477">
        <v>22</v>
      </c>
      <c r="E1477" t="s">
        <v>951</v>
      </c>
      <c r="F1477" t="s">
        <v>5325</v>
      </c>
      <c r="G1477">
        <f>B33_Assessment!A22</f>
        <v>0</v>
      </c>
      <c r="H1477">
        <f>B33_Assessment!B22</f>
        <v>0</v>
      </c>
      <c r="I1477">
        <f>B33_Assessment!C22</f>
        <v>0</v>
      </c>
      <c r="J1477">
        <f>B33_Assessment!D22</f>
        <v>0</v>
      </c>
      <c r="K1477">
        <f>B33_Assessment!E22</f>
        <v>0</v>
      </c>
      <c r="L1477">
        <f>B33_Assessment!F22</f>
        <v>0</v>
      </c>
      <c r="M1477">
        <f>B33_Assessment!G22</f>
        <v>0</v>
      </c>
      <c r="N1477">
        <f>B33_Assessment!H22</f>
        <v>0</v>
      </c>
      <c r="O1477">
        <f>B33_Assessment!I22</f>
        <v>0</v>
      </c>
      <c r="P1477">
        <f>B33_Assessment!J22</f>
        <v>0</v>
      </c>
      <c r="Q1477" t="str">
        <f t="shared" si="23"/>
        <v>33|15</v>
      </c>
    </row>
    <row r="1478" spans="1:17" ht="6.45" customHeight="1">
      <c r="A1478" t="s">
        <v>372</v>
      </c>
      <c r="B1478">
        <v>16</v>
      </c>
      <c r="C1478" t="s">
        <v>53</v>
      </c>
      <c r="D1478">
        <v>23</v>
      </c>
      <c r="E1478" t="s">
        <v>964</v>
      </c>
      <c r="F1478" t="s">
        <v>5322</v>
      </c>
      <c r="G1478" t="str">
        <f>B33_Assessment!A23</f>
        <v>4. HVAC / COOLING</v>
      </c>
      <c r="H1478">
        <f>B33_Assessment!B23</f>
        <v>0</v>
      </c>
      <c r="I1478">
        <f>B33_Assessment!C23</f>
        <v>0</v>
      </c>
      <c r="J1478">
        <f>B33_Assessment!D23</f>
        <v>0</v>
      </c>
      <c r="K1478">
        <f>B33_Assessment!E23</f>
        <v>0</v>
      </c>
      <c r="L1478">
        <f>B33_Assessment!F23</f>
        <v>0</v>
      </c>
      <c r="M1478">
        <f>B33_Assessment!G23</f>
        <v>0</v>
      </c>
      <c r="N1478">
        <f>B33_Assessment!H23</f>
        <v>0</v>
      </c>
      <c r="O1478">
        <f>B33_Assessment!I23</f>
        <v>0</v>
      </c>
      <c r="P1478">
        <f>B33_Assessment!J23</f>
        <v>0</v>
      </c>
      <c r="Q1478" t="str">
        <f t="shared" si="23"/>
        <v>33|16</v>
      </c>
    </row>
    <row r="1479" spans="1:17" ht="6.45" customHeight="1">
      <c r="A1479" t="s">
        <v>372</v>
      </c>
      <c r="B1479">
        <v>17</v>
      </c>
      <c r="C1479" t="s">
        <v>53</v>
      </c>
      <c r="D1479">
        <v>24</v>
      </c>
      <c r="E1479" t="s">
        <v>964</v>
      </c>
      <c r="F1479" t="s">
        <v>5323</v>
      </c>
      <c r="G1479" t="str">
        <f>B33_Assessment!A24</f>
        <v>Room</v>
      </c>
      <c r="H1479" t="str">
        <f>B33_Assessment!B24</f>
        <v>Dedicated Unit</v>
      </c>
      <c r="I1479" t="str">
        <f>B33_Assessment!C24</f>
        <v>Capacity Verified</v>
      </c>
      <c r="J1479" t="str">
        <f>B33_Assessment!D24</f>
        <v>Emergency Power</v>
      </c>
      <c r="K1479" t="str">
        <f>B33_Assessment!E24</f>
        <v>Controls / BACnet</v>
      </c>
      <c r="L1479" t="str">
        <f>B33_Assessment!F24</f>
        <v>Condensate Routed</v>
      </c>
      <c r="M1479" t="str">
        <f>B33_Assessment!G24</f>
        <v>High Temp Alarm</v>
      </c>
      <c r="N1479" t="str">
        <f>B33_Assessment!H24</f>
        <v>24/7 Operation</v>
      </c>
      <c r="O1479" t="str">
        <f>B33_Assessment!I24</f>
        <v>Overall</v>
      </c>
      <c r="P1479" t="str">
        <f>B33_Assessment!J24</f>
        <v>Risk / Notes</v>
      </c>
      <c r="Q1479" t="str">
        <f t="shared" si="23"/>
        <v>33|17</v>
      </c>
    </row>
    <row r="1480" spans="1:17" ht="6.45" customHeight="1">
      <c r="A1480" t="s">
        <v>372</v>
      </c>
      <c r="B1480">
        <v>18</v>
      </c>
      <c r="C1480" t="s">
        <v>53</v>
      </c>
      <c r="D1480">
        <v>25</v>
      </c>
      <c r="E1480" t="s">
        <v>964</v>
      </c>
      <c r="F1480" t="s">
        <v>5324</v>
      </c>
      <c r="G1480" t="str">
        <f>B33_Assessment!A25</f>
        <v>B23</v>
      </c>
      <c r="H1480" t="str">
        <f>B33_Assessment!B25</f>
        <v>Excluded</v>
      </c>
      <c r="I1480" t="str">
        <f>B33_Assessment!C25</f>
        <v>N/A</v>
      </c>
      <c r="J1480" t="str">
        <f>B33_Assessment!D25</f>
        <v>N/A</v>
      </c>
      <c r="K1480" t="str">
        <f>B33_Assessment!E25</f>
        <v>N/A</v>
      </c>
      <c r="L1480" t="str">
        <f>B33_Assessment!F25</f>
        <v>N/A</v>
      </c>
      <c r="M1480" t="str">
        <f>B33_Assessment!G25</f>
        <v>N/A</v>
      </c>
      <c r="N1480" t="str">
        <f>B33_Assessment!H25</f>
        <v>N/A</v>
      </c>
      <c r="O1480" t="str">
        <f>B33_Assessment!I25</f>
        <v>N/A</v>
      </c>
      <c r="P1480" t="str">
        <f>B33_Assessment!J25</f>
        <v>Cover sheet states mechanical scope is excluded. Verify whether Office B23 ambient conditions are acceptable for wall-mount TE/UPS/PDU/network equipment.</v>
      </c>
      <c r="Q1480" t="str">
        <f t="shared" si="23"/>
        <v>33|18</v>
      </c>
    </row>
    <row r="1481" spans="1:17" ht="6.45" customHeight="1">
      <c r="A1481" t="s">
        <v>372</v>
      </c>
      <c r="B1481">
        <v>19</v>
      </c>
      <c r="C1481" t="s">
        <v>53</v>
      </c>
      <c r="D1481">
        <v>26</v>
      </c>
      <c r="E1481" t="s">
        <v>964</v>
      </c>
      <c r="F1481" t="s">
        <v>5324</v>
      </c>
      <c r="G1481" t="str">
        <f>B33_Assessment!A26</f>
        <v>B17</v>
      </c>
      <c r="H1481" t="str">
        <f>B33_Assessment!B26</f>
        <v>Existing indoor AC unit</v>
      </c>
      <c r="I1481" t="str">
        <f>B33_Assessment!C26</f>
        <v>Verify</v>
      </c>
      <c r="J1481" t="str">
        <f>B33_Assessment!D26</f>
        <v>Verify</v>
      </c>
      <c r="K1481" t="str">
        <f>B33_Assessment!E26</f>
        <v>Verify</v>
      </c>
      <c r="L1481" t="str">
        <f>B33_Assessment!F26</f>
        <v>Verify</v>
      </c>
      <c r="M1481" t="str">
        <f>B33_Assessment!G26</f>
        <v>Verify</v>
      </c>
      <c r="N1481" t="str">
        <f>B33_Assessment!H26</f>
        <v>Verify</v>
      </c>
      <c r="O1481" t="str">
        <f>B33_Assessment!I26</f>
        <v>Verify</v>
      </c>
      <c r="P1481" t="str">
        <f>B33_Assessment!J26</f>
        <v>Existing B17 enlarged plan identifies an existing indoor AC unit. Verify operation during cutover and determine whether active legacy equipment remains after transfer to B23.</v>
      </c>
      <c r="Q1481" t="str">
        <f t="shared" si="23"/>
        <v>33|19</v>
      </c>
    </row>
    <row r="1482" spans="1:17" ht="6.45" customHeight="1">
      <c r="A1482" t="s">
        <v>372</v>
      </c>
      <c r="B1482">
        <v>20</v>
      </c>
      <c r="C1482" t="s">
        <v>53</v>
      </c>
      <c r="D1482">
        <v>27</v>
      </c>
      <c r="E1482" t="s">
        <v>964</v>
      </c>
      <c r="F1482" t="s">
        <v>5325</v>
      </c>
      <c r="G1482">
        <f>B33_Assessment!A27</f>
        <v>0</v>
      </c>
      <c r="H1482">
        <f>B33_Assessment!B27</f>
        <v>0</v>
      </c>
      <c r="I1482">
        <f>B33_Assessment!C27</f>
        <v>0</v>
      </c>
      <c r="J1482">
        <f>B33_Assessment!D27</f>
        <v>0</v>
      </c>
      <c r="K1482">
        <f>B33_Assessment!E27</f>
        <v>0</v>
      </c>
      <c r="L1482">
        <f>B33_Assessment!F27</f>
        <v>0</v>
      </c>
      <c r="M1482">
        <f>B33_Assessment!G27</f>
        <v>0</v>
      </c>
      <c r="N1482">
        <f>B33_Assessment!H27</f>
        <v>0</v>
      </c>
      <c r="O1482">
        <f>B33_Assessment!I27</f>
        <v>0</v>
      </c>
      <c r="P1482">
        <f>B33_Assessment!J27</f>
        <v>0</v>
      </c>
      <c r="Q1482" t="str">
        <f t="shared" si="23"/>
        <v>33|20</v>
      </c>
    </row>
    <row r="1483" spans="1:17" ht="6.45" customHeight="1">
      <c r="A1483" t="s">
        <v>372</v>
      </c>
      <c r="B1483">
        <v>21</v>
      </c>
      <c r="C1483" t="s">
        <v>53</v>
      </c>
      <c r="D1483">
        <v>28</v>
      </c>
      <c r="E1483" t="s">
        <v>977</v>
      </c>
      <c r="F1483" t="s">
        <v>5322</v>
      </c>
      <c r="G1483" t="str">
        <f>B33_Assessment!A28</f>
        <v>5. ELECTRICAL / UPS</v>
      </c>
      <c r="H1483">
        <f>B33_Assessment!B28</f>
        <v>0</v>
      </c>
      <c r="I1483">
        <f>B33_Assessment!C28</f>
        <v>0</v>
      </c>
      <c r="J1483">
        <f>B33_Assessment!D28</f>
        <v>0</v>
      </c>
      <c r="K1483">
        <f>B33_Assessment!E28</f>
        <v>0</v>
      </c>
      <c r="L1483">
        <f>B33_Assessment!F28</f>
        <v>0</v>
      </c>
      <c r="M1483">
        <f>B33_Assessment!G28</f>
        <v>0</v>
      </c>
      <c r="N1483">
        <f>B33_Assessment!H28</f>
        <v>0</v>
      </c>
      <c r="O1483">
        <f>B33_Assessment!I28</f>
        <v>0</v>
      </c>
      <c r="P1483">
        <f>B33_Assessment!J28</f>
        <v>0</v>
      </c>
      <c r="Q1483" t="str">
        <f t="shared" si="23"/>
        <v>33|21</v>
      </c>
    </row>
    <row r="1484" spans="1:17" ht="6.45" customHeight="1">
      <c r="A1484" t="s">
        <v>372</v>
      </c>
      <c r="B1484">
        <v>22</v>
      </c>
      <c r="C1484" t="s">
        <v>53</v>
      </c>
      <c r="D1484">
        <v>29</v>
      </c>
      <c r="E1484" t="s">
        <v>977</v>
      </c>
      <c r="F1484" t="s">
        <v>5323</v>
      </c>
      <c r="G1484" t="str">
        <f>B33_Assessment!A29</f>
        <v>Room</v>
      </c>
      <c r="H1484" t="str">
        <f>B33_Assessment!B29</f>
        <v>UPS Installed</v>
      </c>
      <c r="I1484" t="str">
        <f>B33_Assessment!C29</f>
        <v>UPS Size</v>
      </c>
      <c r="J1484" t="str">
        <f>B33_Assessment!D29</f>
        <v>PDU Installed</v>
      </c>
      <c r="K1484" t="str">
        <f>B33_Assessment!E29</f>
        <v>Rack Receptacles</v>
      </c>
      <c r="L1484" t="str">
        <f>B33_Assessment!F29</f>
        <v>Panel Assigned</v>
      </c>
      <c r="M1484" t="str">
        <f>B33_Assessment!G29</f>
        <v>Emergency Source</v>
      </c>
      <c r="N1484" t="str">
        <f>B33_Assessment!H29</f>
        <v>SPD / Labeling</v>
      </c>
      <c r="O1484" t="str">
        <f>B33_Assessment!I29</f>
        <v>Overall</v>
      </c>
      <c r="P1484" t="str">
        <f>B33_Assessment!J29</f>
        <v>Notes</v>
      </c>
      <c r="Q1484" t="str">
        <f t="shared" si="23"/>
        <v>33|22</v>
      </c>
    </row>
    <row r="1485" spans="1:17" ht="6.45" customHeight="1">
      <c r="A1485" t="s">
        <v>372</v>
      </c>
      <c r="B1485">
        <v>23</v>
      </c>
      <c r="C1485" t="s">
        <v>53</v>
      </c>
      <c r="D1485">
        <v>30</v>
      </c>
      <c r="E1485" t="s">
        <v>977</v>
      </c>
      <c r="F1485" t="s">
        <v>5324</v>
      </c>
      <c r="G1485" t="str">
        <f>B33_Assessment!A30</f>
        <v>B23</v>
      </c>
      <c r="H1485" t="str">
        <f>B33_Assessment!B30</f>
        <v>Verify</v>
      </c>
      <c r="I1485" t="str">
        <f>B33_Assessment!C30</f>
        <v>APC UPS / TE enclosure</v>
      </c>
      <c r="J1485" t="str">
        <f>B33_Assessment!D30</f>
        <v>Verify</v>
      </c>
      <c r="K1485" t="str">
        <f>B33_Assessment!E30</f>
        <v>Verify</v>
      </c>
      <c r="L1485" t="str">
        <f>B33_Assessment!F30</f>
        <v>33E-100 / 33E-701 source to verify</v>
      </c>
      <c r="M1485" t="str">
        <f>B33_Assessment!G30</f>
        <v>Verify</v>
      </c>
      <c r="N1485" t="str">
        <f>B33_Assessment!H30</f>
        <v>Verify</v>
      </c>
      <c r="O1485" t="str">
        <f>B33_Assessment!I30</f>
        <v>Verify</v>
      </c>
      <c r="P1485" t="str">
        <f>B33_Assessment!J30</f>
        <v>33T-604 new enclosure elevation shows APC UPS, two PDU L5-30 input / NEMA 5-20 output units, 120V outlet UPS, 120V outlet PDU, network switch, 48-port Cat6A patch panel and Fiber LIU. Verify circuit source, receptacle type, grounding/bonding and labels.</v>
      </c>
      <c r="Q1485" t="str">
        <f t="shared" si="23"/>
        <v>33|23</v>
      </c>
    </row>
    <row r="1486" spans="1:17" ht="6.45" customHeight="1">
      <c r="A1486" t="s">
        <v>372</v>
      </c>
      <c r="B1486">
        <v>24</v>
      </c>
      <c r="C1486" t="s">
        <v>53</v>
      </c>
      <c r="D1486">
        <v>31</v>
      </c>
      <c r="E1486" t="s">
        <v>977</v>
      </c>
      <c r="F1486" t="s">
        <v>5324</v>
      </c>
      <c r="G1486" t="str">
        <f>B33_Assessment!A31</f>
        <v>B17</v>
      </c>
      <c r="H1486" t="str">
        <f>B33_Assessment!B31</f>
        <v>Existing</v>
      </c>
      <c r="I1486" t="str">
        <f>B33_Assessment!C31</f>
        <v>Existing UPS on floor</v>
      </c>
      <c r="J1486" t="str">
        <f>B33_Assessment!D31</f>
        <v>Existing</v>
      </c>
      <c r="K1486" t="str">
        <f>B33_Assessment!E31</f>
        <v>Verify</v>
      </c>
      <c r="L1486" t="str">
        <f>B33_Assessment!F31</f>
        <v>Existing / Verify</v>
      </c>
      <c r="M1486" t="str">
        <f>B33_Assessment!G31</f>
        <v>Verify</v>
      </c>
      <c r="N1486" t="str">
        <f>B33_Assessment!H31</f>
        <v>Verify</v>
      </c>
      <c r="O1486" t="str">
        <f>B33_Assessment!I31</f>
        <v>Verify</v>
      </c>
      <c r="P1486" t="str">
        <f>B33_Assessment!J31</f>
        <v>Existing B17 elevations show UPS on floor, Cisco switches, SERTEX utility service, legacy patch panels and Fiber LIU; verify source circuits, UPS status, and transition requirements before disconnect/removal.</v>
      </c>
      <c r="Q1486" t="str">
        <f t="shared" si="23"/>
        <v>33|24</v>
      </c>
    </row>
    <row r="1487" spans="1:17" ht="6.45" customHeight="1">
      <c r="A1487" t="s">
        <v>372</v>
      </c>
      <c r="B1487">
        <v>25</v>
      </c>
      <c r="C1487" t="s">
        <v>53</v>
      </c>
      <c r="D1487">
        <v>32</v>
      </c>
      <c r="E1487" t="s">
        <v>977</v>
      </c>
      <c r="F1487" t="s">
        <v>5325</v>
      </c>
      <c r="G1487">
        <f>B33_Assessment!A32</f>
        <v>0</v>
      </c>
      <c r="H1487">
        <f>B33_Assessment!B32</f>
        <v>0</v>
      </c>
      <c r="I1487">
        <f>B33_Assessment!C32</f>
        <v>0</v>
      </c>
      <c r="J1487">
        <f>B33_Assessment!D32</f>
        <v>0</v>
      </c>
      <c r="K1487">
        <f>B33_Assessment!E32</f>
        <v>0</v>
      </c>
      <c r="L1487">
        <f>B33_Assessment!F32</f>
        <v>0</v>
      </c>
      <c r="M1487">
        <f>B33_Assessment!G32</f>
        <v>0</v>
      </c>
      <c r="N1487">
        <f>B33_Assessment!H32</f>
        <v>0</v>
      </c>
      <c r="O1487">
        <f>B33_Assessment!I32</f>
        <v>0</v>
      </c>
      <c r="P1487">
        <f>B33_Assessment!J32</f>
        <v>0</v>
      </c>
      <c r="Q1487" t="str">
        <f t="shared" si="23"/>
        <v>33|25</v>
      </c>
    </row>
    <row r="1488" spans="1:17" ht="6.45" customHeight="1">
      <c r="A1488" t="s">
        <v>372</v>
      </c>
      <c r="B1488">
        <v>26</v>
      </c>
      <c r="C1488" t="s">
        <v>53</v>
      </c>
      <c r="D1488">
        <v>33</v>
      </c>
      <c r="E1488" t="s">
        <v>994</v>
      </c>
      <c r="F1488" t="s">
        <v>5322</v>
      </c>
      <c r="G1488" t="str">
        <f>B33_Assessment!A33</f>
        <v>6. TELECOMMUNICATIONS</v>
      </c>
      <c r="H1488">
        <f>B33_Assessment!B33</f>
        <v>0</v>
      </c>
      <c r="I1488">
        <f>B33_Assessment!C33</f>
        <v>0</v>
      </c>
      <c r="J1488">
        <f>B33_Assessment!D33</f>
        <v>0</v>
      </c>
      <c r="K1488">
        <f>B33_Assessment!E33</f>
        <v>0</v>
      </c>
      <c r="L1488">
        <f>B33_Assessment!F33</f>
        <v>0</v>
      </c>
      <c r="M1488">
        <f>B33_Assessment!G33</f>
        <v>0</v>
      </c>
      <c r="N1488">
        <f>B33_Assessment!H33</f>
        <v>0</v>
      </c>
      <c r="O1488">
        <f>B33_Assessment!I33</f>
        <v>0</v>
      </c>
      <c r="P1488">
        <f>B33_Assessment!J33</f>
        <v>0</v>
      </c>
      <c r="Q1488" t="str">
        <f t="shared" si="23"/>
        <v>33|26</v>
      </c>
    </row>
    <row r="1489" spans="1:17" ht="6.45" customHeight="1">
      <c r="A1489" t="s">
        <v>372</v>
      </c>
      <c r="B1489">
        <v>27</v>
      </c>
      <c r="C1489" t="s">
        <v>53</v>
      </c>
      <c r="D1489">
        <v>34</v>
      </c>
      <c r="E1489" t="s">
        <v>994</v>
      </c>
      <c r="F1489" t="s">
        <v>5323</v>
      </c>
      <c r="G1489" t="str">
        <f>B33_Assessment!A34</f>
        <v>Room</v>
      </c>
      <c r="H1489" t="str">
        <f>B33_Assessment!B34</f>
        <v>Rack Installed</v>
      </c>
      <c r="I1489" t="str">
        <f>B33_Assessment!C34</f>
        <v>Ladder Tray</v>
      </c>
      <c r="J1489" t="str">
        <f>B33_Assessment!D34</f>
        <v>Fiber Installed</v>
      </c>
      <c r="K1489" t="str">
        <f>B33_Assessment!E34</f>
        <v>Grounding</v>
      </c>
      <c r="L1489" t="str">
        <f>B33_Assessment!F34</f>
        <v>Labeling</v>
      </c>
      <c r="M1489" t="str">
        <f>B33_Assessment!G34</f>
        <v>Testing</v>
      </c>
      <c r="N1489" t="str">
        <f>B33_Assessment!H34</f>
        <v>VA Acceptance</v>
      </c>
      <c r="O1489" t="str">
        <f>B33_Assessment!I34</f>
        <v>Overall</v>
      </c>
      <c r="P1489" t="str">
        <f>B33_Assessment!J34</f>
        <v>Notes</v>
      </c>
      <c r="Q1489" t="str">
        <f t="shared" si="23"/>
        <v>33|27</v>
      </c>
    </row>
    <row r="1490" spans="1:17" ht="6.45" customHeight="1">
      <c r="A1490" t="s">
        <v>372</v>
      </c>
      <c r="B1490">
        <v>28</v>
      </c>
      <c r="C1490" t="s">
        <v>53</v>
      </c>
      <c r="D1490">
        <v>35</v>
      </c>
      <c r="E1490" t="s">
        <v>994</v>
      </c>
      <c r="F1490" t="s">
        <v>5324</v>
      </c>
      <c r="G1490" t="str">
        <f>B33_Assessment!A35</f>
        <v>B23</v>
      </c>
      <c r="H1490" t="str">
        <f>B33_Assessment!B35</f>
        <v>Verify</v>
      </c>
      <c r="I1490" t="str">
        <f>B33_Assessment!C35</f>
        <v>Verify</v>
      </c>
      <c r="J1490" t="str">
        <f>B33_Assessment!D35</f>
        <v>Verify</v>
      </c>
      <c r="K1490" t="str">
        <f>B33_Assessment!E35</f>
        <v>Verify</v>
      </c>
      <c r="L1490" t="str">
        <f>B33_Assessment!F35</f>
        <v>Verify</v>
      </c>
      <c r="M1490" t="str">
        <f>B33_Assessment!G35</f>
        <v>Verify</v>
      </c>
      <c r="N1490" t="str">
        <f>B33_Assessment!H35</f>
        <v>Verify</v>
      </c>
      <c r="O1490" t="str">
        <f>B33_Assessment!I35</f>
        <v>Verify</v>
      </c>
      <c r="P1490" t="str">
        <f>B33_Assessment!J35</f>
        <v>33T-701 identifies TE01-B23-1: 55 WAO total, 34 active ports per survey, 88 total ports per schedule, and 97 total ports with 10% allowance. Basement cable tray schedule totals 102 ft. Provide 10 new Cat6A cross-connect cables from existing TE to new TE location.</v>
      </c>
      <c r="Q1490" t="str">
        <f t="shared" si="23"/>
        <v>33|28</v>
      </c>
    </row>
    <row r="1491" spans="1:17" ht="6.45" customHeight="1">
      <c r="A1491" t="s">
        <v>372</v>
      </c>
      <c r="B1491">
        <v>29</v>
      </c>
      <c r="C1491" t="s">
        <v>53</v>
      </c>
      <c r="D1491">
        <v>36</v>
      </c>
      <c r="E1491" t="s">
        <v>994</v>
      </c>
      <c r="F1491" t="s">
        <v>5324</v>
      </c>
      <c r="G1491" t="str">
        <f>B33_Assessment!A36</f>
        <v>B17</v>
      </c>
      <c r="H1491" t="str">
        <f>B33_Assessment!B36</f>
        <v>Existing</v>
      </c>
      <c r="I1491" t="str">
        <f>B33_Assessment!C36</f>
        <v>Existing</v>
      </c>
      <c r="J1491" t="str">
        <f>B33_Assessment!D36</f>
        <v>Existing</v>
      </c>
      <c r="K1491" t="str">
        <f>B33_Assessment!E36</f>
        <v>Verify</v>
      </c>
      <c r="L1491" t="str">
        <f>B33_Assessment!F36</f>
        <v>Verify</v>
      </c>
      <c r="M1491" t="str">
        <f>B33_Assessment!G36</f>
        <v>Verify</v>
      </c>
      <c r="N1491" t="str">
        <f>B33_Assessment!H36</f>
        <v>Verify</v>
      </c>
      <c r="O1491" t="str">
        <f>B33_Assessment!I36</f>
        <v>Verify</v>
      </c>
      <c r="P1491" t="str">
        <f>B33_Assessment!J36</f>
        <v>Existing B17 rack elevations include Cisco switches, legacy 24/48-port patch panels, SERTEX utility service, legacy Fiber LIU, passive Fiber LIU/wall mount, UPS on floor and cross-building port references to Bldgs 3, 80 and 82.</v>
      </c>
      <c r="Q1491" t="str">
        <f t="shared" si="23"/>
        <v>33|29</v>
      </c>
    </row>
    <row r="1492" spans="1:17" ht="6.45" customHeight="1">
      <c r="A1492" t="s">
        <v>372</v>
      </c>
      <c r="B1492">
        <v>30</v>
      </c>
      <c r="C1492" t="s">
        <v>53</v>
      </c>
      <c r="D1492">
        <v>37</v>
      </c>
      <c r="E1492" t="s">
        <v>994</v>
      </c>
      <c r="F1492" t="s">
        <v>5325</v>
      </c>
      <c r="G1492">
        <f>B33_Assessment!A37</f>
        <v>0</v>
      </c>
      <c r="H1492">
        <f>B33_Assessment!B37</f>
        <v>0</v>
      </c>
      <c r="I1492">
        <f>B33_Assessment!C37</f>
        <v>0</v>
      </c>
      <c r="J1492">
        <f>B33_Assessment!D37</f>
        <v>0</v>
      </c>
      <c r="K1492">
        <f>B33_Assessment!E37</f>
        <v>0</v>
      </c>
      <c r="L1492">
        <f>B33_Assessment!F37</f>
        <v>0</v>
      </c>
      <c r="M1492">
        <f>B33_Assessment!G37</f>
        <v>0</v>
      </c>
      <c r="N1492">
        <f>B33_Assessment!H37</f>
        <v>0</v>
      </c>
      <c r="O1492">
        <f>B33_Assessment!I37</f>
        <v>0</v>
      </c>
      <c r="P1492">
        <f>B33_Assessment!J37</f>
        <v>0</v>
      </c>
      <c r="Q1492" t="str">
        <f t="shared" si="23"/>
        <v>33|30</v>
      </c>
    </row>
    <row r="1493" spans="1:17" ht="6.45" customHeight="1">
      <c r="A1493" t="s">
        <v>372</v>
      </c>
      <c r="B1493">
        <v>31</v>
      </c>
      <c r="C1493" t="s">
        <v>53</v>
      </c>
      <c r="D1493">
        <v>38</v>
      </c>
      <c r="E1493" t="s">
        <v>1007</v>
      </c>
      <c r="F1493" t="s">
        <v>5322</v>
      </c>
      <c r="G1493" t="str">
        <f>B33_Assessment!A38</f>
        <v>7. SECURITY / PACS / CCTV</v>
      </c>
      <c r="H1493">
        <f>B33_Assessment!B38</f>
        <v>0</v>
      </c>
      <c r="I1493">
        <f>B33_Assessment!C38</f>
        <v>0</v>
      </c>
      <c r="J1493">
        <f>B33_Assessment!D38</f>
        <v>0</v>
      </c>
      <c r="K1493">
        <f>B33_Assessment!E38</f>
        <v>0</v>
      </c>
      <c r="L1493">
        <f>B33_Assessment!F38</f>
        <v>0</v>
      </c>
      <c r="M1493">
        <f>B33_Assessment!G38</f>
        <v>0</v>
      </c>
      <c r="N1493">
        <f>B33_Assessment!H38</f>
        <v>0</v>
      </c>
      <c r="O1493">
        <f>B33_Assessment!I38</f>
        <v>0</v>
      </c>
      <c r="P1493">
        <f>B33_Assessment!J38</f>
        <v>0</v>
      </c>
      <c r="Q1493" t="str">
        <f t="shared" si="23"/>
        <v>33|31</v>
      </c>
    </row>
    <row r="1494" spans="1:17" ht="6.45" customHeight="1">
      <c r="A1494" t="s">
        <v>372</v>
      </c>
      <c r="B1494">
        <v>32</v>
      </c>
      <c r="C1494" t="s">
        <v>53</v>
      </c>
      <c r="D1494">
        <v>39</v>
      </c>
      <c r="E1494" t="s">
        <v>1007</v>
      </c>
      <c r="F1494" t="s">
        <v>5323</v>
      </c>
      <c r="G1494" t="str">
        <f>B33_Assessment!A39</f>
        <v>Room</v>
      </c>
      <c r="H1494" t="str">
        <f>B33_Assessment!B39</f>
        <v>PACS</v>
      </c>
      <c r="I1494" t="str">
        <f>B33_Assessment!C39</f>
        <v>Card Reader</v>
      </c>
      <c r="J1494" t="str">
        <f>B33_Assessment!D39</f>
        <v>Door Position</v>
      </c>
      <c r="K1494" t="str">
        <f>B33_Assessment!E39</f>
        <v>Electric Strike</v>
      </c>
      <c r="L1494" t="str">
        <f>B33_Assessment!F39</f>
        <v>CCTV</v>
      </c>
      <c r="M1494" t="str">
        <f>B33_Assessment!G39</f>
        <v>Motion Sensor</v>
      </c>
      <c r="N1494" t="str">
        <f>B33_Assessment!H39</f>
        <v>Integration</v>
      </c>
      <c r="O1494" t="str">
        <f>B33_Assessment!I39</f>
        <v>Overall</v>
      </c>
      <c r="P1494" t="str">
        <f>B33_Assessment!J39</f>
        <v>Notes</v>
      </c>
      <c r="Q1494" t="str">
        <f t="shared" si="23"/>
        <v>33|32</v>
      </c>
    </row>
    <row r="1495" spans="1:17" ht="6.45" customHeight="1">
      <c r="A1495" t="s">
        <v>372</v>
      </c>
      <c r="B1495">
        <v>33</v>
      </c>
      <c r="C1495" t="s">
        <v>53</v>
      </c>
      <c r="D1495">
        <v>40</v>
      </c>
      <c r="E1495" t="s">
        <v>1007</v>
      </c>
      <c r="F1495" t="s">
        <v>5324</v>
      </c>
      <c r="G1495" t="str">
        <f>B33_Assessment!A40</f>
        <v>B23</v>
      </c>
      <c r="H1495" t="str">
        <f>B33_Assessment!B40</f>
        <v>N/A / Verify</v>
      </c>
      <c r="I1495" t="str">
        <f>B33_Assessment!C40</f>
        <v>N/A / Verify</v>
      </c>
      <c r="J1495" t="str">
        <f>B33_Assessment!D40</f>
        <v>N/A / Verify</v>
      </c>
      <c r="K1495" t="str">
        <f>B33_Assessment!E40</f>
        <v>N/A / Verify</v>
      </c>
      <c r="L1495" t="str">
        <f>B33_Assessment!F40</f>
        <v>Verify Existing</v>
      </c>
      <c r="M1495" t="str">
        <f>B33_Assessment!G40</f>
        <v>Verify Existing</v>
      </c>
      <c r="N1495" t="str">
        <f>B33_Assessment!H40</f>
        <v>Verify</v>
      </c>
      <c r="O1495" t="str">
        <f>B33_Assessment!I40</f>
        <v>Verify</v>
      </c>
      <c r="P1495" t="str">
        <f>B33_Assessment!J40</f>
        <v>Building 33 does not appear to create a new full TR door/PACS package. Verify existing cameras/security devices in B23 and ensure no camera angle or VMS integration is disrupted.</v>
      </c>
      <c r="Q1495" t="str">
        <f t="shared" si="23"/>
        <v>33|33</v>
      </c>
    </row>
    <row r="1496" spans="1:17" ht="6.45" customHeight="1">
      <c r="A1496" t="s">
        <v>372</v>
      </c>
      <c r="B1496">
        <v>34</v>
      </c>
      <c r="C1496" t="s">
        <v>53</v>
      </c>
      <c r="D1496">
        <v>41</v>
      </c>
      <c r="E1496" t="s">
        <v>1007</v>
      </c>
      <c r="F1496" t="s">
        <v>5324</v>
      </c>
      <c r="G1496" t="str">
        <f>B33_Assessment!A41</f>
        <v>B17</v>
      </c>
      <c r="H1496" t="str">
        <f>B33_Assessment!B41</f>
        <v>Verify Existing</v>
      </c>
      <c r="I1496" t="str">
        <f>B33_Assessment!C41</f>
        <v>Verify Existing</v>
      </c>
      <c r="J1496" t="str">
        <f>B33_Assessment!D41</f>
        <v>Verify Existing</v>
      </c>
      <c r="K1496" t="str">
        <f>B33_Assessment!E41</f>
        <v>Verify Existing</v>
      </c>
      <c r="L1496" t="str">
        <f>B33_Assessment!F41</f>
        <v>Verify Existing</v>
      </c>
      <c r="M1496" t="str">
        <f>B33_Assessment!G41</f>
        <v>Verify Existing</v>
      </c>
      <c r="N1496" t="str">
        <f>B33_Assessment!H41</f>
        <v>Verify</v>
      </c>
      <c r="O1496" t="str">
        <f>B33_Assessment!I41</f>
        <v>Verify</v>
      </c>
      <c r="P1496" t="str">
        <f>B33_Assessment!J41</f>
        <v>Existing B17 enlarged plan identifies network door controller, keypad and equipment box; verify protection-in-place and whether any security equipment is relocated or recabled.</v>
      </c>
      <c r="Q1496" t="str">
        <f t="shared" si="23"/>
        <v>33|34</v>
      </c>
    </row>
    <row r="1497" spans="1:17" ht="6.45" customHeight="1">
      <c r="A1497" t="s">
        <v>372</v>
      </c>
      <c r="B1497">
        <v>35</v>
      </c>
      <c r="C1497" t="s">
        <v>53</v>
      </c>
      <c r="D1497">
        <v>42</v>
      </c>
      <c r="E1497" t="s">
        <v>1007</v>
      </c>
      <c r="F1497" t="s">
        <v>5325</v>
      </c>
      <c r="G1497">
        <f>B33_Assessment!A42</f>
        <v>0</v>
      </c>
      <c r="H1497">
        <f>B33_Assessment!B42</f>
        <v>0</v>
      </c>
      <c r="I1497">
        <f>B33_Assessment!C42</f>
        <v>0</v>
      </c>
      <c r="J1497">
        <f>B33_Assessment!D42</f>
        <v>0</v>
      </c>
      <c r="K1497">
        <f>B33_Assessment!E42</f>
        <v>0</v>
      </c>
      <c r="L1497">
        <f>B33_Assessment!F42</f>
        <v>0</v>
      </c>
      <c r="M1497">
        <f>B33_Assessment!G42</f>
        <v>0</v>
      </c>
      <c r="N1497">
        <f>B33_Assessment!H42</f>
        <v>0</v>
      </c>
      <c r="O1497">
        <f>B33_Assessment!I42</f>
        <v>0</v>
      </c>
      <c r="P1497">
        <f>B33_Assessment!J42</f>
        <v>0</v>
      </c>
      <c r="Q1497" t="str">
        <f t="shared" si="23"/>
        <v>33|35</v>
      </c>
    </row>
    <row r="1498" spans="1:17" ht="6.45" customHeight="1">
      <c r="A1498" t="s">
        <v>372</v>
      </c>
      <c r="B1498">
        <v>36</v>
      </c>
      <c r="C1498" t="s">
        <v>53</v>
      </c>
      <c r="D1498">
        <v>43</v>
      </c>
      <c r="E1498" t="s">
        <v>1019</v>
      </c>
      <c r="F1498" t="s">
        <v>5322</v>
      </c>
      <c r="G1498" t="str">
        <f>B33_Assessment!A43</f>
        <v>8. OWNER RISKS</v>
      </c>
      <c r="H1498">
        <f>B33_Assessment!B43</f>
        <v>0</v>
      </c>
      <c r="I1498">
        <f>B33_Assessment!C43</f>
        <v>0</v>
      </c>
      <c r="J1498">
        <f>B33_Assessment!D43</f>
        <v>0</v>
      </c>
      <c r="K1498">
        <f>B33_Assessment!E43</f>
        <v>0</v>
      </c>
      <c r="L1498">
        <f>B33_Assessment!F43</f>
        <v>0</v>
      </c>
      <c r="M1498">
        <f>B33_Assessment!G43</f>
        <v>0</v>
      </c>
      <c r="N1498">
        <f>B33_Assessment!H43</f>
        <v>0</v>
      </c>
      <c r="O1498">
        <f>B33_Assessment!I43</f>
        <v>0</v>
      </c>
      <c r="P1498">
        <f>B33_Assessment!J43</f>
        <v>0</v>
      </c>
      <c r="Q1498" t="str">
        <f t="shared" si="23"/>
        <v>33|36</v>
      </c>
    </row>
    <row r="1499" spans="1:17" ht="6.45" customHeight="1">
      <c r="A1499" t="s">
        <v>372</v>
      </c>
      <c r="B1499">
        <v>37</v>
      </c>
      <c r="C1499" t="s">
        <v>53</v>
      </c>
      <c r="D1499">
        <v>44</v>
      </c>
      <c r="E1499" t="s">
        <v>1019</v>
      </c>
      <c r="F1499" t="s">
        <v>5323</v>
      </c>
      <c r="G1499" t="str">
        <f>B33_Assessment!A44</f>
        <v>Risk ID</v>
      </c>
      <c r="H1499" t="str">
        <f>B33_Assessment!B44</f>
        <v>Room</v>
      </c>
      <c r="I1499" t="str">
        <f>B33_Assessment!C44</f>
        <v>Risk</v>
      </c>
      <c r="J1499" t="str">
        <f>B33_Assessment!D44</f>
        <v>Impact</v>
      </c>
      <c r="K1499" t="str">
        <f>B33_Assessment!E44</f>
        <v>Probability</v>
      </c>
      <c r="L1499" t="str">
        <f>B33_Assessment!F44</f>
        <v>Score</v>
      </c>
      <c r="M1499" t="str">
        <f>B33_Assessment!G44</f>
        <v>Mitigation</v>
      </c>
      <c r="N1499" t="str">
        <f>B33_Assessment!H44</f>
        <v>Owner</v>
      </c>
      <c r="O1499" t="str">
        <f>B33_Assessment!I44</f>
        <v>Status</v>
      </c>
      <c r="P1499" t="str">
        <f>B33_Assessment!J44</f>
        <v>Notes</v>
      </c>
      <c r="Q1499" t="str">
        <f t="shared" si="23"/>
        <v>33|37</v>
      </c>
    </row>
    <row r="1500" spans="1:17" ht="6.45" customHeight="1">
      <c r="A1500" t="s">
        <v>372</v>
      </c>
      <c r="B1500">
        <v>38</v>
      </c>
      <c r="C1500" t="s">
        <v>53</v>
      </c>
      <c r="D1500">
        <v>45</v>
      </c>
      <c r="E1500" t="s">
        <v>1019</v>
      </c>
      <c r="F1500" t="s">
        <v>5324</v>
      </c>
      <c r="G1500" t="str">
        <f>B33_Assessment!A45</f>
        <v>B33-R1</v>
      </c>
      <c r="H1500" t="str">
        <f>B33_Assessment!B45</f>
        <v>All</v>
      </c>
      <c r="I1500" t="str">
        <f>B33_Assessment!C45</f>
        <v>Existing conditions for new B23 TE and existing B17 Tel Closet not field verified</v>
      </c>
      <c r="J1500" t="str">
        <f>B33_Assessment!D45</f>
        <v>High</v>
      </c>
      <c r="K1500" t="str">
        <f>B33_Assessment!E45</f>
        <v>Medium</v>
      </c>
      <c r="L1500">
        <f>B33_Assessment!F45</f>
        <v>6</v>
      </c>
      <c r="M1500" t="str">
        <f>B33_Assessment!G45</f>
        <v>Perform existing conditions survey with photos before mobilization</v>
      </c>
      <c r="N1500" t="str">
        <f>B33_Assessment!H45</f>
        <v>GCC / Contractor</v>
      </c>
      <c r="O1500" t="str">
        <f>B33_Assessment!I45</f>
        <v>Closed</v>
      </c>
      <c r="P1500" t="str">
        <f>B33_Assessment!J45</f>
        <v>B33 has a compact TE scope but depends on existing equipment transfer and field conditions.</v>
      </c>
      <c r="Q1500" t="str">
        <f t="shared" si="23"/>
        <v>33|38</v>
      </c>
    </row>
    <row r="1501" spans="1:17" ht="6.45" customHeight="1">
      <c r="A1501" t="s">
        <v>372</v>
      </c>
      <c r="B1501">
        <v>39</v>
      </c>
      <c r="C1501" t="s">
        <v>53</v>
      </c>
      <c r="D1501">
        <v>46</v>
      </c>
      <c r="E1501" t="s">
        <v>1019</v>
      </c>
      <c r="F1501" t="s">
        <v>5324</v>
      </c>
      <c r="G1501" t="str">
        <f>B33_Assessment!A46</f>
        <v>B33-R2</v>
      </c>
      <c r="H1501" t="str">
        <f>B33_Assessment!B46</f>
        <v>B23/B17</v>
      </c>
      <c r="I1501" t="str">
        <f>B33_Assessment!C46</f>
        <v>Existing equipment in B17 may remain active during transfer to new TE in B23</v>
      </c>
      <c r="J1501" t="str">
        <f>B33_Assessment!D46</f>
        <v>Critical</v>
      </c>
      <c r="K1501" t="str">
        <f>B33_Assessment!E46</f>
        <v>Medium</v>
      </c>
      <c r="L1501">
        <f>B33_Assessment!F46</f>
        <v>8</v>
      </c>
      <c r="M1501" t="str">
        <f>B33_Assessment!G46</f>
        <v>Document active services, protect in place, identify OIT cutover windows, phasing, rollback path and temporary utilities</v>
      </c>
      <c r="N1501" t="str">
        <f>B33_Assessment!H46</f>
        <v>Telecom / OIT</v>
      </c>
      <c r="O1501" t="str">
        <f>B33_Assessment!I46</f>
        <v>Closed</v>
      </c>
      <c r="P1501" t="str">
        <f>B33_Assessment!J46</f>
        <v>33T-100 keynotes require transfer of existing devices and phasing plan.</v>
      </c>
      <c r="Q1501" t="str">
        <f t="shared" si="23"/>
        <v>33|39</v>
      </c>
    </row>
    <row r="1502" spans="1:17" ht="6.45" customHeight="1">
      <c r="A1502" t="s">
        <v>372</v>
      </c>
      <c r="B1502">
        <v>40</v>
      </c>
      <c r="C1502" t="s">
        <v>53</v>
      </c>
      <c r="D1502">
        <v>47</v>
      </c>
      <c r="E1502" t="s">
        <v>1019</v>
      </c>
      <c r="F1502" t="s">
        <v>5324</v>
      </c>
      <c r="G1502" t="str">
        <f>B33_Assessment!A47</f>
        <v>B33-R3</v>
      </c>
      <c r="H1502" t="str">
        <f>B33_Assessment!B47</f>
        <v>B23</v>
      </c>
      <c r="I1502" t="str">
        <f>B33_Assessment!C47</f>
        <v>Office B23 use may conflict with wall-mount TE access and clearances</v>
      </c>
      <c r="J1502" t="str">
        <f>B33_Assessment!D47</f>
        <v>Medium</v>
      </c>
      <c r="K1502" t="str">
        <f>B33_Assessment!E47</f>
        <v>Medium</v>
      </c>
      <c r="L1502">
        <f>B33_Assessment!F47</f>
        <v>4</v>
      </c>
      <c r="M1502" t="str">
        <f>B33_Assessment!G47</f>
        <v>Verify wall backing, enclosure clearances, working space, furniture/occupant impacts and owner acceptance</v>
      </c>
      <c r="N1502" t="str">
        <f>B33_Assessment!H47</f>
        <v>GCC / VA</v>
      </c>
      <c r="O1502" t="str">
        <f>B33_Assessment!I47</f>
        <v>Closed</v>
      </c>
      <c r="P1502" t="str">
        <f>B33_Assessment!J47</f>
        <v>New TE is in EEO Manager Office B23 rather than a dedicated TR.</v>
      </c>
      <c r="Q1502" t="str">
        <f t="shared" si="23"/>
        <v>33|40</v>
      </c>
    </row>
    <row r="1503" spans="1:17" ht="6.45" customHeight="1">
      <c r="A1503" t="s">
        <v>372</v>
      </c>
      <c r="B1503">
        <v>41</v>
      </c>
      <c r="C1503" t="s">
        <v>53</v>
      </c>
      <c r="D1503">
        <v>48</v>
      </c>
      <c r="E1503" t="s">
        <v>1019</v>
      </c>
      <c r="F1503" t="s">
        <v>5324</v>
      </c>
      <c r="G1503" t="str">
        <f>B33_Assessment!A48</f>
        <v>B33-R4</v>
      </c>
      <c r="H1503" t="str">
        <f>B33_Assessment!B48</f>
        <v>B23</v>
      </c>
      <c r="I1503" t="str">
        <f>B33_Assessment!C48</f>
        <v>No mechanical scope, but TE/UPS/network equipment may add heat load to Office B23</v>
      </c>
      <c r="J1503" t="str">
        <f>B33_Assessment!D48</f>
        <v>High</v>
      </c>
      <c r="K1503" t="str">
        <f>B33_Assessment!E48</f>
        <v>Medium</v>
      </c>
      <c r="L1503">
        <f>B33_Assessment!F48</f>
        <v>6</v>
      </c>
      <c r="M1503" t="str">
        <f>B33_Assessment!G48</f>
        <v>Verify heat load, room ventilation, equipment clearances and owner acceptance before energizing enclosure</v>
      </c>
      <c r="N1503" t="str">
        <f>B33_Assessment!H48</f>
        <v>VA / Electrical / Telecom</v>
      </c>
      <c r="O1503" t="str">
        <f>B33_Assessment!I48</f>
        <v>Closed</v>
      </c>
      <c r="P1503" t="str">
        <f>B33_Assessment!J48</f>
        <v>Cover excludes mechanical/fire protection; existing HVAC may be relied on.</v>
      </c>
      <c r="Q1503" t="str">
        <f t="shared" si="23"/>
        <v>33|41</v>
      </c>
    </row>
    <row r="1504" spans="1:17" ht="6.45" customHeight="1">
      <c r="A1504" t="s">
        <v>372</v>
      </c>
      <c r="B1504">
        <v>42</v>
      </c>
      <c r="C1504" t="s">
        <v>53</v>
      </c>
      <c r="D1504">
        <v>49</v>
      </c>
      <c r="E1504" t="s">
        <v>1019</v>
      </c>
      <c r="F1504" t="s">
        <v>5324</v>
      </c>
      <c r="G1504" t="str">
        <f>B33_Assessment!A49</f>
        <v>B33-R5</v>
      </c>
      <c r="H1504" t="str">
        <f>B33_Assessment!B49</f>
        <v>B23</v>
      </c>
      <c r="I1504" t="str">
        <f>B33_Assessment!C49</f>
        <v>UPS/PDU/receptacle source and grounding/bonding not verified</v>
      </c>
      <c r="J1504" t="str">
        <f>B33_Assessment!D49</f>
        <v>High</v>
      </c>
      <c r="K1504" t="str">
        <f>B33_Assessment!E49</f>
        <v>Medium</v>
      </c>
      <c r="L1504">
        <f>B33_Assessment!F49</f>
        <v>6</v>
      </c>
      <c r="M1504" t="str">
        <f>B33_Assessment!G49</f>
        <v>Verify circuit source, receptacle type, UPS/PDU load, grounding bar, bonding and labels</v>
      </c>
      <c r="N1504" t="str">
        <f>B33_Assessment!H49</f>
        <v>Electrical / Telecom</v>
      </c>
      <c r="O1504" t="str">
        <f>B33_Assessment!I49</f>
        <v>Closed</v>
      </c>
      <c r="P1504" t="str">
        <f>B33_Assessment!J49</f>
        <v>New TE enclosure includes APC UPS and two PDUs.</v>
      </c>
      <c r="Q1504" t="str">
        <f t="shared" si="23"/>
        <v>33|42</v>
      </c>
    </row>
    <row r="1505" spans="1:17" ht="6.45" customHeight="1">
      <c r="A1505" t="s">
        <v>372</v>
      </c>
      <c r="B1505">
        <v>43</v>
      </c>
      <c r="C1505" t="s">
        <v>53</v>
      </c>
      <c r="D1505">
        <v>50</v>
      </c>
      <c r="E1505" t="s">
        <v>1019</v>
      </c>
      <c r="F1505" t="s">
        <v>5324</v>
      </c>
      <c r="G1505" t="str">
        <f>B33_Assessment!A50</f>
        <v>B33-R6</v>
      </c>
      <c r="H1505" t="str">
        <f>B33_Assessment!B50</f>
        <v>All</v>
      </c>
      <c r="I1505" t="str">
        <f>B33_Assessment!C50</f>
        <v>102 feet of basement cable tray/pathway requires coordination and firestop tracking</v>
      </c>
      <c r="J1505" t="str">
        <f>B33_Assessment!D50</f>
        <v>High</v>
      </c>
      <c r="K1505" t="str">
        <f>B33_Assessment!E50</f>
        <v>Medium</v>
      </c>
      <c r="L1505">
        <f>B33_Assessment!F50</f>
        <v>6</v>
      </c>
      <c r="M1505" t="str">
        <f>B33_Assessment!G50</f>
        <v>Verify route, supports, seismic bracing, 40% fill, penetrations, light fixtures and coordination drawings before install</v>
      </c>
      <c r="N1505" t="str">
        <f>B33_Assessment!H50</f>
        <v>Telecom / GC</v>
      </c>
      <c r="O1505" t="str">
        <f>B33_Assessment!I50</f>
        <v>Closed</v>
      </c>
      <c r="P1505" t="str">
        <f>B33_Assessment!J50</f>
        <v>33T-701 cable tray schedule lists basement level estimated length of 102 ft.</v>
      </c>
      <c r="Q1505" t="str">
        <f t="shared" si="23"/>
        <v>33|43</v>
      </c>
    </row>
    <row r="1506" spans="1:17" ht="6.45" customHeight="1">
      <c r="A1506" t="s">
        <v>372</v>
      </c>
      <c r="B1506">
        <v>44</v>
      </c>
      <c r="C1506" t="s">
        <v>53</v>
      </c>
      <c r="D1506">
        <v>51</v>
      </c>
      <c r="E1506" t="s">
        <v>1019</v>
      </c>
      <c r="F1506" t="s">
        <v>5324</v>
      </c>
      <c r="G1506" t="str">
        <f>B33_Assessment!A51</f>
        <v>B33-R7</v>
      </c>
      <c r="H1506" t="str">
        <f>B33_Assessment!B51</f>
        <v>All</v>
      </c>
      <c r="I1506" t="str">
        <f>B33_Assessment!C51</f>
        <v>Firestopping/rated sleeve work could be missed because FP scope is excluded</v>
      </c>
      <c r="J1506" t="str">
        <f>B33_Assessment!D51</f>
        <v>High</v>
      </c>
      <c r="K1506" t="str">
        <f>B33_Assessment!E51</f>
        <v>Medium</v>
      </c>
      <c r="L1506">
        <f>B33_Assessment!F51</f>
        <v>6</v>
      </c>
      <c r="M1506" t="str">
        <f>B33_Assessment!G51</f>
        <v>Track 4-inch speed sleeve, rated penetrations, fire caulk, temporary firestopping and patching even without FP sheet scope</v>
      </c>
      <c r="N1506" t="str">
        <f>B33_Assessment!H51</f>
        <v>GC / Firestop</v>
      </c>
      <c r="O1506" t="str">
        <f>B33_Assessment!I51</f>
        <v>Closed</v>
      </c>
      <c r="P1506" t="str">
        <f>B33_Assessment!J51</f>
        <v>33T-100 requires fire caulk at sleeves and rated penetration protection.</v>
      </c>
      <c r="Q1506" t="str">
        <f t="shared" si="23"/>
        <v>33|44</v>
      </c>
    </row>
    <row r="1507" spans="1:17" ht="6.45" customHeight="1">
      <c r="A1507" t="s">
        <v>372</v>
      </c>
      <c r="B1507">
        <v>45</v>
      </c>
      <c r="C1507" t="s">
        <v>53</v>
      </c>
      <c r="D1507">
        <v>52</v>
      </c>
      <c r="E1507" t="s">
        <v>1019</v>
      </c>
      <c r="F1507" t="s">
        <v>5324</v>
      </c>
      <c r="G1507" t="str">
        <f>B33_Assessment!A52</f>
        <v>B33-R8</v>
      </c>
      <c r="H1507" t="str">
        <f>B33_Assessment!B52</f>
        <v>B17 / Other Bldgs</v>
      </c>
      <c r="I1507" t="str">
        <f>B33_Assessment!C52</f>
        <v>Existing B17 cross-building service relationships may create cutover dependency</v>
      </c>
      <c r="J1507" t="str">
        <f>B33_Assessment!D52</f>
        <v>High</v>
      </c>
      <c r="K1507" t="str">
        <f>B33_Assessment!E52</f>
        <v>Medium</v>
      </c>
      <c r="L1507">
        <f>B33_Assessment!F52</f>
        <v>6</v>
      </c>
      <c r="M1507" t="str">
        <f>B33_Assessment!G52</f>
        <v>Verify ports to Bldgs 3, 80 and 82, SERTEX utility service, labels, test records, service provider dependency and OIT approval</v>
      </c>
      <c r="N1507" t="str">
        <f>B33_Assessment!H52</f>
        <v>Telecom / OIT</v>
      </c>
      <c r="O1507" t="str">
        <f>B33_Assessment!I52</f>
        <v>Closed</v>
      </c>
      <c r="P1507" t="str">
        <f>B33_Assessment!J52</f>
        <v>Existing B17 elevation identifies ports 1-72 to Bldg 3, 73-96 to Bldg 80, 97-120 to Bldg 82, and 121-144 to Bldg 3.</v>
      </c>
      <c r="Q1507" t="str">
        <f t="shared" si="23"/>
        <v>33|45</v>
      </c>
    </row>
    <row r="1508" spans="1:17" ht="6.45" customHeight="1">
      <c r="A1508" t="s">
        <v>372</v>
      </c>
      <c r="B1508">
        <v>46</v>
      </c>
      <c r="C1508" t="s">
        <v>53</v>
      </c>
      <c r="D1508">
        <v>53</v>
      </c>
      <c r="E1508" t="s">
        <v>1019</v>
      </c>
      <c r="F1508" t="s">
        <v>5325</v>
      </c>
      <c r="G1508">
        <f>B33_Assessment!A53</f>
        <v>0</v>
      </c>
      <c r="H1508">
        <f>B33_Assessment!B53</f>
        <v>0</v>
      </c>
      <c r="I1508">
        <f>B33_Assessment!C53</f>
        <v>0</v>
      </c>
      <c r="J1508">
        <f>B33_Assessment!D53</f>
        <v>0</v>
      </c>
      <c r="K1508">
        <f>B33_Assessment!E53</f>
        <v>0</v>
      </c>
      <c r="L1508">
        <f>B33_Assessment!F53</f>
        <v>0</v>
      </c>
      <c r="M1508">
        <f>B33_Assessment!G53</f>
        <v>0</v>
      </c>
      <c r="N1508">
        <f>B33_Assessment!H53</f>
        <v>0</v>
      </c>
      <c r="O1508">
        <f>B33_Assessment!I53</f>
        <v>0</v>
      </c>
      <c r="P1508">
        <f>B33_Assessment!J53</f>
        <v>0</v>
      </c>
      <c r="Q1508" t="str">
        <f t="shared" si="23"/>
        <v>33|46</v>
      </c>
    </row>
    <row r="1509" spans="1:17" ht="6.45" customHeight="1">
      <c r="A1509" t="s">
        <v>372</v>
      </c>
      <c r="B1509">
        <v>47</v>
      </c>
      <c r="C1509" t="s">
        <v>53</v>
      </c>
      <c r="D1509">
        <v>54</v>
      </c>
      <c r="E1509" t="s">
        <v>1051</v>
      </c>
      <c r="F1509" t="s">
        <v>5322</v>
      </c>
      <c r="G1509" t="str">
        <f>B33_Assessment!A54</f>
        <v>9. OPEN QUESTIONS</v>
      </c>
      <c r="H1509">
        <f>B33_Assessment!B54</f>
        <v>0</v>
      </c>
      <c r="I1509">
        <f>B33_Assessment!C54</f>
        <v>0</v>
      </c>
      <c r="J1509">
        <f>B33_Assessment!D54</f>
        <v>0</v>
      </c>
      <c r="K1509">
        <f>B33_Assessment!E54</f>
        <v>0</v>
      </c>
      <c r="L1509">
        <f>B33_Assessment!F54</f>
        <v>0</v>
      </c>
      <c r="M1509">
        <f>B33_Assessment!G54</f>
        <v>0</v>
      </c>
      <c r="N1509">
        <f>B33_Assessment!H54</f>
        <v>0</v>
      </c>
      <c r="O1509">
        <f>B33_Assessment!I54</f>
        <v>0</v>
      </c>
      <c r="P1509">
        <f>B33_Assessment!J54</f>
        <v>0</v>
      </c>
      <c r="Q1509" t="str">
        <f t="shared" si="23"/>
        <v>33|47</v>
      </c>
    </row>
    <row r="1510" spans="1:17" ht="6.45" customHeight="1">
      <c r="A1510" t="s">
        <v>372</v>
      </c>
      <c r="B1510">
        <v>48</v>
      </c>
      <c r="C1510" t="s">
        <v>53</v>
      </c>
      <c r="D1510">
        <v>55</v>
      </c>
      <c r="E1510" t="s">
        <v>1051</v>
      </c>
      <c r="F1510" t="s">
        <v>5323</v>
      </c>
      <c r="G1510" t="str">
        <f>B33_Assessment!A55</f>
        <v>Question ID</v>
      </c>
      <c r="H1510" t="str">
        <f>B33_Assessment!B55</f>
        <v>Question</v>
      </c>
      <c r="I1510" t="str">
        <f>B33_Assessment!C55</f>
        <v>Assigned To</v>
      </c>
      <c r="J1510" t="str">
        <f>B33_Assessment!D55</f>
        <v>Status</v>
      </c>
      <c r="K1510" t="str">
        <f>B33_Assessment!E55</f>
        <v>Needed By</v>
      </c>
      <c r="L1510" t="str">
        <f>B33_Assessment!F55</f>
        <v>Answer / Resolution</v>
      </c>
      <c r="M1510" t="str">
        <f>B33_Assessment!G55</f>
        <v>Impact if Unanswered</v>
      </c>
      <c r="N1510" t="str">
        <f>B33_Assessment!H55</f>
        <v>Follow-up</v>
      </c>
      <c r="O1510" t="str">
        <f>B33_Assessment!I55</f>
        <v>Date Closed</v>
      </c>
      <c r="P1510" t="str">
        <f>B33_Assessment!J55</f>
        <v>Notes</v>
      </c>
      <c r="Q1510" t="str">
        <f t="shared" si="23"/>
        <v>33|48</v>
      </c>
    </row>
    <row r="1511" spans="1:17" ht="6.45" customHeight="1">
      <c r="A1511" t="s">
        <v>372</v>
      </c>
      <c r="B1511">
        <v>49</v>
      </c>
      <c r="C1511" t="s">
        <v>53</v>
      </c>
      <c r="D1511">
        <v>56</v>
      </c>
      <c r="E1511" t="s">
        <v>1051</v>
      </c>
      <c r="F1511" t="s">
        <v>5324</v>
      </c>
      <c r="G1511" t="str">
        <f>B33_Assessment!A56</f>
        <v>B33-Q1</v>
      </c>
      <c r="H1511" t="str">
        <f>B33_Assessment!B56</f>
        <v>Confirm final scope: new wall-mount TE enclosure in B23 and existing B17 transition only?</v>
      </c>
      <c r="I1511" t="str">
        <f>B33_Assessment!C56</f>
        <v>VA / OIT / Designer</v>
      </c>
      <c r="J1511" t="str">
        <f>B33_Assessment!D56</f>
        <v>Closed</v>
      </c>
      <c r="K1511">
        <f>B33_Assessment!E56</f>
        <v>0</v>
      </c>
      <c r="L1511">
        <f>B33_Assessment!F56</f>
        <v>0</v>
      </c>
      <c r="M1511" t="str">
        <f>B33_Assessment!G56</f>
        <v>Room inventory or PMIS mapping could miss scope</v>
      </c>
      <c r="N1511">
        <f>B33_Assessment!H56</f>
        <v>0</v>
      </c>
      <c r="O1511">
        <f>B33_Assessment!I56</f>
        <v>0</v>
      </c>
      <c r="P1511">
        <f>B33_Assessment!J56</f>
        <v>0</v>
      </c>
      <c r="Q1511" t="str">
        <f t="shared" si="23"/>
        <v>33|49</v>
      </c>
    </row>
    <row r="1512" spans="1:17" ht="6.45" customHeight="1">
      <c r="A1512" t="s">
        <v>372</v>
      </c>
      <c r="B1512">
        <v>50</v>
      </c>
      <c r="C1512" t="s">
        <v>53</v>
      </c>
      <c r="D1512">
        <v>57</v>
      </c>
      <c r="E1512" t="s">
        <v>1051</v>
      </c>
      <c r="F1512" t="s">
        <v>5324</v>
      </c>
      <c r="G1512" t="str">
        <f>B33_Assessment!A57</f>
        <v>B33-Q2</v>
      </c>
      <c r="H1512" t="str">
        <f>B33_Assessment!B57</f>
        <v>What active services are currently fed from existing B17 equipment?</v>
      </c>
      <c r="I1512" t="str">
        <f>B33_Assessment!C57</f>
        <v>OIT / Contractor</v>
      </c>
      <c r="J1512" t="str">
        <f>B33_Assessment!D57</f>
        <v>Closed</v>
      </c>
      <c r="K1512">
        <f>B33_Assessment!E57</f>
        <v>0</v>
      </c>
      <c r="L1512">
        <f>B33_Assessment!F57</f>
        <v>0</v>
      </c>
      <c r="M1512" t="str">
        <f>B33_Assessment!G57</f>
        <v>Potential communications/security outage</v>
      </c>
      <c r="N1512">
        <f>B33_Assessment!H57</f>
        <v>0</v>
      </c>
      <c r="O1512">
        <f>B33_Assessment!I57</f>
        <v>0</v>
      </c>
      <c r="P1512">
        <f>B33_Assessment!J57</f>
        <v>0</v>
      </c>
      <c r="Q1512" t="str">
        <f t="shared" si="23"/>
        <v>33|50</v>
      </c>
    </row>
    <row r="1513" spans="1:17" ht="6.45" customHeight="1">
      <c r="A1513" t="s">
        <v>372</v>
      </c>
      <c r="B1513">
        <v>51</v>
      </c>
      <c r="C1513" t="s">
        <v>53</v>
      </c>
      <c r="D1513">
        <v>58</v>
      </c>
      <c r="E1513" t="s">
        <v>1051</v>
      </c>
      <c r="F1513" t="s">
        <v>5324</v>
      </c>
      <c r="G1513" t="str">
        <f>B33_Assessment!A58</f>
        <v>B33-Q3</v>
      </c>
      <c r="H1513" t="str">
        <f>B33_Assessment!B58</f>
        <v>What is the approved power source, receptacle type and circuit capacity for the new APC UPS/PDU in B23?</v>
      </c>
      <c r="I1513" t="str">
        <f>B33_Assessment!C58</f>
        <v>Electrical / Designer</v>
      </c>
      <c r="J1513" t="str">
        <f>B33_Assessment!D58</f>
        <v>Closed</v>
      </c>
      <c r="K1513">
        <f>B33_Assessment!E58</f>
        <v>0</v>
      </c>
      <c r="L1513">
        <f>B33_Assessment!F58</f>
        <v>0</v>
      </c>
      <c r="M1513" t="str">
        <f>B33_Assessment!G58</f>
        <v>Electrical readiness unknown</v>
      </c>
      <c r="N1513">
        <f>B33_Assessment!H58</f>
        <v>0</v>
      </c>
      <c r="O1513">
        <f>B33_Assessment!I58</f>
        <v>0</v>
      </c>
      <c r="P1513">
        <f>B33_Assessment!J58</f>
        <v>0</v>
      </c>
      <c r="Q1513" t="str">
        <f t="shared" si="23"/>
        <v>33|51</v>
      </c>
    </row>
    <row r="1514" spans="1:17" ht="6.45" customHeight="1">
      <c r="A1514" t="s">
        <v>372</v>
      </c>
      <c r="B1514">
        <v>52</v>
      </c>
      <c r="C1514" t="s">
        <v>53</v>
      </c>
      <c r="D1514">
        <v>59</v>
      </c>
      <c r="E1514" t="s">
        <v>1051</v>
      </c>
      <c r="F1514" t="s">
        <v>5324</v>
      </c>
      <c r="G1514" t="str">
        <f>B33_Assessment!A59</f>
        <v>B33-Q4</v>
      </c>
      <c r="H1514" t="str">
        <f>B33_Assessment!B59</f>
        <v>Is Office B23 HVAC/ambient condition acceptable for a wall-mount TE with UPS/PDU/network switch?</v>
      </c>
      <c r="I1514" t="str">
        <f>B33_Assessment!C59</f>
        <v>VA / OIT / Facilities</v>
      </c>
      <c r="J1514" t="str">
        <f>B33_Assessment!D59</f>
        <v>Closed</v>
      </c>
      <c r="K1514">
        <f>B33_Assessment!E59</f>
        <v>0</v>
      </c>
      <c r="L1514">
        <f>B33_Assessment!F59</f>
        <v>0</v>
      </c>
      <c r="M1514" t="str">
        <f>B33_Assessment!G59</f>
        <v>Heat/load risk after mechanical scope excluded</v>
      </c>
      <c r="N1514">
        <f>B33_Assessment!H59</f>
        <v>0</v>
      </c>
      <c r="O1514">
        <f>B33_Assessment!I59</f>
        <v>0</v>
      </c>
      <c r="P1514">
        <f>B33_Assessment!J59</f>
        <v>0</v>
      </c>
      <c r="Q1514" t="str">
        <f t="shared" si="23"/>
        <v>33|52</v>
      </c>
    </row>
    <row r="1515" spans="1:17" ht="6.45" customHeight="1">
      <c r="A1515" t="s">
        <v>372</v>
      </c>
      <c r="B1515">
        <v>53</v>
      </c>
      <c r="C1515" t="s">
        <v>53</v>
      </c>
      <c r="D1515">
        <v>60</v>
      </c>
      <c r="E1515" t="s">
        <v>1051</v>
      </c>
      <c r="F1515" t="s">
        <v>5324</v>
      </c>
      <c r="G1515" t="str">
        <f>B33_Assessment!A60</f>
        <v>B33-Q5</v>
      </c>
      <c r="H1515" t="str">
        <f>B33_Assessment!B60</f>
        <v>Are existing cameras/security devices in Building 33 protected and retained with no VMS/PACS disruption?</v>
      </c>
      <c r="I1515" t="str">
        <f>B33_Assessment!C60</f>
        <v>Security / OIT</v>
      </c>
      <c r="J1515" t="str">
        <f>B33_Assessment!D60</f>
        <v>Closed</v>
      </c>
      <c r="K1515">
        <f>B33_Assessment!E60</f>
        <v>0</v>
      </c>
      <c r="L1515">
        <f>B33_Assessment!F60</f>
        <v>0</v>
      </c>
      <c r="M1515" t="str">
        <f>B33_Assessment!G60</f>
        <v>Security continuity unclear</v>
      </c>
      <c r="N1515">
        <f>B33_Assessment!H60</f>
        <v>0</v>
      </c>
      <c r="O1515">
        <f>B33_Assessment!I60</f>
        <v>0</v>
      </c>
      <c r="P1515">
        <f>B33_Assessment!J60</f>
        <v>0</v>
      </c>
      <c r="Q1515" t="str">
        <f t="shared" si="23"/>
        <v>33|53</v>
      </c>
    </row>
    <row r="1516" spans="1:17" ht="6.45" customHeight="1">
      <c r="A1516" t="s">
        <v>372</v>
      </c>
      <c r="B1516">
        <v>54</v>
      </c>
      <c r="C1516" t="s">
        <v>53</v>
      </c>
      <c r="D1516">
        <v>61</v>
      </c>
      <c r="E1516" t="s">
        <v>1051</v>
      </c>
      <c r="F1516" t="s">
        <v>5324</v>
      </c>
      <c r="G1516" t="str">
        <f>B33_Assessment!A61</f>
        <v>B33-Q6</v>
      </c>
      <c r="H1516" t="str">
        <f>B33_Assessment!B61</f>
        <v>Are all 102 feet of cable tray route, sleeves, supports and firestopping details field verified?</v>
      </c>
      <c r="I1516" t="str">
        <f>B33_Assessment!C61</f>
        <v>Telecom / GC / Firestop</v>
      </c>
      <c r="J1516" t="str">
        <f>B33_Assessment!D61</f>
        <v>Closed</v>
      </c>
      <c r="K1516">
        <f>B33_Assessment!E61</f>
        <v>0</v>
      </c>
      <c r="L1516">
        <f>B33_Assessment!F61</f>
        <v>0</v>
      </c>
      <c r="M1516" t="str">
        <f>B33_Assessment!G61</f>
        <v>Install delay or firestop gap</v>
      </c>
      <c r="N1516">
        <f>B33_Assessment!H61</f>
        <v>0</v>
      </c>
      <c r="O1516">
        <f>B33_Assessment!I61</f>
        <v>0</v>
      </c>
      <c r="P1516">
        <f>B33_Assessment!J61</f>
        <v>0</v>
      </c>
      <c r="Q1516" t="str">
        <f t="shared" si="23"/>
        <v>33|54</v>
      </c>
    </row>
    <row r="1517" spans="1:17" ht="6.45" customHeight="1">
      <c r="A1517" t="s">
        <v>372</v>
      </c>
      <c r="B1517">
        <v>55</v>
      </c>
      <c r="C1517" t="s">
        <v>53</v>
      </c>
      <c r="D1517">
        <v>62</v>
      </c>
      <c r="E1517" t="s">
        <v>1051</v>
      </c>
      <c r="F1517" t="s">
        <v>5324</v>
      </c>
      <c r="G1517" t="str">
        <f>B33_Assessment!A62</f>
        <v>B33-Q7</v>
      </c>
      <c r="H1517" t="str">
        <f>B33_Assessment!B62</f>
        <v>Are the 10 new Cat6A cross-connect cables from existing TE to new TE location coordinated and labeled?</v>
      </c>
      <c r="I1517" t="str">
        <f>B33_Assessment!C62</f>
        <v>Telecom / OIT</v>
      </c>
      <c r="J1517" t="str">
        <f>B33_Assessment!D62</f>
        <v>Closed</v>
      </c>
      <c r="K1517">
        <f>B33_Assessment!E62</f>
        <v>0</v>
      </c>
      <c r="L1517">
        <f>B33_Assessment!F62</f>
        <v>0</v>
      </c>
      <c r="M1517" t="str">
        <f>B33_Assessment!G62</f>
        <v>Cutover and labeling risk</v>
      </c>
      <c r="N1517">
        <f>B33_Assessment!H62</f>
        <v>0</v>
      </c>
      <c r="O1517">
        <f>B33_Assessment!I62</f>
        <v>0</v>
      </c>
      <c r="P1517">
        <f>B33_Assessment!J62</f>
        <v>0</v>
      </c>
      <c r="Q1517" t="str">
        <f t="shared" si="23"/>
        <v>33|55</v>
      </c>
    </row>
    <row r="1518" spans="1:17" ht="6.45" customHeight="1">
      <c r="A1518" t="s">
        <v>372</v>
      </c>
      <c r="B1518">
        <v>56</v>
      </c>
      <c r="C1518" t="s">
        <v>53</v>
      </c>
      <c r="D1518">
        <v>63</v>
      </c>
      <c r="E1518" t="s">
        <v>1051</v>
      </c>
      <c r="F1518" t="s">
        <v>5324</v>
      </c>
      <c r="G1518" t="str">
        <f>B33_Assessment!A63</f>
        <v>B33-Q8</v>
      </c>
      <c r="H1518" t="str">
        <f>B33_Assessment!B63</f>
        <v>What is the operational impact of B17 ports serving Buildings 3, 80 and 82?</v>
      </c>
      <c r="I1518" t="str">
        <f>B33_Assessment!C63</f>
        <v>VA / OIT / Designer</v>
      </c>
      <c r="J1518" t="str">
        <f>B33_Assessment!D63</f>
        <v>Closed</v>
      </c>
      <c r="K1518">
        <f>B33_Assessment!E63</f>
        <v>0</v>
      </c>
      <c r="L1518">
        <f>B33_Assessment!F63</f>
        <v>0</v>
      </c>
      <c r="M1518" t="str">
        <f>B33_Assessment!G63</f>
        <v>Cross-building dependency/cutover risk</v>
      </c>
      <c r="N1518">
        <f>B33_Assessment!H63</f>
        <v>0</v>
      </c>
      <c r="O1518">
        <f>B33_Assessment!I63</f>
        <v>0</v>
      </c>
      <c r="P1518">
        <f>B33_Assessment!J63</f>
        <v>0</v>
      </c>
      <c r="Q1518" t="str">
        <f t="shared" si="23"/>
        <v>33|56</v>
      </c>
    </row>
    <row r="1519" spans="1:17" ht="6.45" customHeight="1">
      <c r="A1519" t="s">
        <v>372</v>
      </c>
      <c r="B1519">
        <v>57</v>
      </c>
      <c r="C1519" t="s">
        <v>53</v>
      </c>
      <c r="D1519">
        <v>64</v>
      </c>
      <c r="E1519" t="s">
        <v>1051</v>
      </c>
      <c r="F1519" t="s">
        <v>5325</v>
      </c>
      <c r="G1519">
        <f>B33_Assessment!A64</f>
        <v>0</v>
      </c>
      <c r="H1519">
        <f>B33_Assessment!B64</f>
        <v>0</v>
      </c>
      <c r="I1519">
        <f>B33_Assessment!C64</f>
        <v>0</v>
      </c>
      <c r="J1519">
        <f>B33_Assessment!D64</f>
        <v>0</v>
      </c>
      <c r="K1519">
        <f>B33_Assessment!E64</f>
        <v>0</v>
      </c>
      <c r="L1519">
        <f>B33_Assessment!F64</f>
        <v>0</v>
      </c>
      <c r="M1519">
        <f>B33_Assessment!G64</f>
        <v>0</v>
      </c>
      <c r="N1519">
        <f>B33_Assessment!H64</f>
        <v>0</v>
      </c>
      <c r="O1519">
        <f>B33_Assessment!I64</f>
        <v>0</v>
      </c>
      <c r="P1519">
        <f>B33_Assessment!J64</f>
        <v>0</v>
      </c>
      <c r="Q1519" t="str">
        <f t="shared" si="23"/>
        <v>33|57</v>
      </c>
    </row>
    <row r="1520" spans="1:17" ht="6.45" customHeight="1">
      <c r="A1520" t="s">
        <v>372</v>
      </c>
      <c r="B1520">
        <v>58</v>
      </c>
      <c r="C1520" t="s">
        <v>53</v>
      </c>
      <c r="D1520">
        <v>65</v>
      </c>
      <c r="E1520" t="s">
        <v>1052</v>
      </c>
      <c r="F1520" t="s">
        <v>5322</v>
      </c>
      <c r="G1520" t="str">
        <f>B33_Assessment!A65</f>
        <v>10. PHOTO LOG</v>
      </c>
      <c r="H1520">
        <f>B33_Assessment!B65</f>
        <v>0</v>
      </c>
      <c r="I1520">
        <f>B33_Assessment!C65</f>
        <v>0</v>
      </c>
      <c r="J1520">
        <f>B33_Assessment!D65</f>
        <v>0</v>
      </c>
      <c r="K1520">
        <f>B33_Assessment!E65</f>
        <v>0</v>
      </c>
      <c r="L1520">
        <f>B33_Assessment!F65</f>
        <v>0</v>
      </c>
      <c r="M1520">
        <f>B33_Assessment!G65</f>
        <v>0</v>
      </c>
      <c r="N1520">
        <f>B33_Assessment!H65</f>
        <v>0</v>
      </c>
      <c r="O1520">
        <f>B33_Assessment!I65</f>
        <v>0</v>
      </c>
      <c r="P1520">
        <f>B33_Assessment!J65</f>
        <v>0</v>
      </c>
      <c r="Q1520" t="str">
        <f t="shared" si="23"/>
        <v>33|58</v>
      </c>
    </row>
    <row r="1521" spans="1:17" ht="6.45" customHeight="1">
      <c r="A1521" t="s">
        <v>372</v>
      </c>
      <c r="B1521">
        <v>59</v>
      </c>
      <c r="C1521" t="s">
        <v>53</v>
      </c>
      <c r="D1521">
        <v>66</v>
      </c>
      <c r="E1521" t="s">
        <v>1052</v>
      </c>
      <c r="F1521" t="s">
        <v>5323</v>
      </c>
      <c r="G1521" t="str">
        <f>B33_Assessment!A66</f>
        <v>Photo ID</v>
      </c>
      <c r="H1521" t="str">
        <f>B33_Assessment!B66</f>
        <v>Room</v>
      </c>
      <c r="I1521" t="str">
        <f>B33_Assessment!C66</f>
        <v>Category</v>
      </c>
      <c r="J1521" t="str">
        <f>B33_Assessment!D66</f>
        <v>Description</v>
      </c>
      <c r="K1521" t="str">
        <f>B33_Assessment!E66</f>
        <v>Date</v>
      </c>
      <c r="L1521" t="str">
        <f>B33_Assessment!F66</f>
        <v>Taken By</v>
      </c>
      <c r="M1521" t="str">
        <f>B33_Assessment!G66</f>
        <v>File / Link</v>
      </c>
      <c r="N1521" t="str">
        <f>B33_Assessment!H66</f>
        <v>Related Risk</v>
      </c>
      <c r="O1521" t="str">
        <f>B33_Assessment!I66</f>
        <v>Status</v>
      </c>
      <c r="P1521" t="str">
        <f>B33_Assessment!J66</f>
        <v>Notes</v>
      </c>
      <c r="Q1521" t="str">
        <f t="shared" si="23"/>
        <v>33|59</v>
      </c>
    </row>
    <row r="1522" spans="1:17" ht="6.45" customHeight="1">
      <c r="A1522" t="s">
        <v>372</v>
      </c>
      <c r="B1522">
        <v>60</v>
      </c>
      <c r="C1522" t="s">
        <v>53</v>
      </c>
      <c r="D1522">
        <v>67</v>
      </c>
      <c r="E1522" t="s">
        <v>1052</v>
      </c>
      <c r="F1522" t="s">
        <v>5324</v>
      </c>
      <c r="G1522" t="str">
        <f>B33_Assessment!A67</f>
        <v>B33-P001</v>
      </c>
      <c r="H1522" t="str">
        <f>B33_Assessment!B67</f>
        <v>B23</v>
      </c>
      <c r="I1522" t="str">
        <f>B33_Assessment!C67</f>
        <v>Existing Condition</v>
      </c>
      <c r="J1522" t="str">
        <f>B33_Assessment!D67</f>
        <v>EEO Manager Office B23 wall location, wall backing, clearances, ceiling, power source, cable path, fiber path A/B and new TE enclosure location</v>
      </c>
      <c r="K1522">
        <f>B33_Assessment!E67</f>
        <v>0</v>
      </c>
      <c r="L1522" t="str">
        <f>B33_Assessment!F67</f>
        <v>Paul</v>
      </c>
      <c r="M1522">
        <f>B33_Assessment!G67</f>
        <v>0</v>
      </c>
      <c r="N1522" t="str">
        <f>B33_Assessment!H67</f>
        <v>B33-R1/B33-R3</v>
      </c>
      <c r="O1522" t="str">
        <f>B33_Assessment!I67</f>
        <v>Closed</v>
      </c>
      <c r="P1522">
        <f>B33_Assessment!J67</f>
        <v>0</v>
      </c>
      <c r="Q1522" t="str">
        <f t="shared" si="23"/>
        <v>33|60</v>
      </c>
    </row>
    <row r="1523" spans="1:17" ht="6.45" customHeight="1">
      <c r="A1523" t="s">
        <v>372</v>
      </c>
      <c r="B1523">
        <v>61</v>
      </c>
      <c r="C1523" t="s">
        <v>53</v>
      </c>
      <c r="D1523">
        <v>68</v>
      </c>
      <c r="E1523" t="s">
        <v>1052</v>
      </c>
      <c r="F1523" t="s">
        <v>5324</v>
      </c>
      <c r="G1523" t="str">
        <f>B33_Assessment!A68</f>
        <v>B33-P002</v>
      </c>
      <c r="H1523" t="str">
        <f>B33_Assessment!B68</f>
        <v>B17</v>
      </c>
      <c r="I1523" t="str">
        <f>B33_Assessment!C68</f>
        <v>Existing Condition</v>
      </c>
      <c r="J1523" t="str">
        <f>B33_Assessment!D68</f>
        <v>Existing Tel Closet B17 open TE cabinet, network door controller, indoor AC unit, plywood backboard, keypad, patch panel, ground bar and equipment box</v>
      </c>
      <c r="K1523">
        <f>B33_Assessment!E68</f>
        <v>0</v>
      </c>
      <c r="L1523" t="str">
        <f>B33_Assessment!F68</f>
        <v>Paul</v>
      </c>
      <c r="M1523">
        <f>B33_Assessment!G68</f>
        <v>0</v>
      </c>
      <c r="N1523" t="str">
        <f>B33_Assessment!H68</f>
        <v>B33-R1/B33-R2</v>
      </c>
      <c r="O1523" t="str">
        <f>B33_Assessment!I68</f>
        <v>Closed</v>
      </c>
      <c r="P1523">
        <f>B33_Assessment!J68</f>
        <v>0</v>
      </c>
      <c r="Q1523" t="str">
        <f t="shared" si="23"/>
        <v>33|61</v>
      </c>
    </row>
    <row r="1524" spans="1:17" ht="6.45" customHeight="1">
      <c r="A1524" t="s">
        <v>372</v>
      </c>
      <c r="B1524">
        <v>62</v>
      </c>
      <c r="C1524" t="s">
        <v>53</v>
      </c>
      <c r="D1524">
        <v>69</v>
      </c>
      <c r="E1524" t="s">
        <v>1052</v>
      </c>
      <c r="F1524" t="s">
        <v>5324</v>
      </c>
      <c r="G1524" t="str">
        <f>B33_Assessment!A69</f>
        <v>B33-P003</v>
      </c>
      <c r="H1524" t="str">
        <f>B33_Assessment!B69</f>
        <v>B17</v>
      </c>
      <c r="I1524" t="str">
        <f>B33_Assessment!C69</f>
        <v>Existing Equipment</v>
      </c>
      <c r="J1524" t="str">
        <f>B33_Assessment!D69</f>
        <v>Cisco switches, legacy 24/48-port patch panels, SERTEX utility service, Fiber LIU, UPS on floor and cross-building port labels</v>
      </c>
      <c r="K1524">
        <f>B33_Assessment!E69</f>
        <v>0</v>
      </c>
      <c r="L1524" t="str">
        <f>B33_Assessment!F69</f>
        <v>Paul</v>
      </c>
      <c r="M1524">
        <f>B33_Assessment!G69</f>
        <v>0</v>
      </c>
      <c r="N1524" t="str">
        <f>B33_Assessment!H69</f>
        <v>B33-R2/B33-R8</v>
      </c>
      <c r="O1524" t="str">
        <f>B33_Assessment!I69</f>
        <v>Closed</v>
      </c>
      <c r="P1524">
        <f>B33_Assessment!J69</f>
        <v>0</v>
      </c>
      <c r="Q1524" t="str">
        <f t="shared" si="23"/>
        <v>33|62</v>
      </c>
    </row>
    <row r="1525" spans="1:17" ht="6.45" customHeight="1">
      <c r="A1525" t="s">
        <v>372</v>
      </c>
      <c r="B1525">
        <v>63</v>
      </c>
      <c r="C1525" t="s">
        <v>53</v>
      </c>
      <c r="D1525">
        <v>70</v>
      </c>
      <c r="E1525" t="s">
        <v>1052</v>
      </c>
      <c r="F1525" t="s">
        <v>5324</v>
      </c>
      <c r="G1525" t="str">
        <f>B33_Assessment!A70</f>
        <v>B33-P004</v>
      </c>
      <c r="H1525" t="str">
        <f>B33_Assessment!B70</f>
        <v>B23/B17</v>
      </c>
      <c r="I1525" t="str">
        <f>B33_Assessment!C70</f>
        <v>Pathway</v>
      </c>
      <c r="J1525" t="str">
        <f>B33_Assessment!D70</f>
        <v>102 ft basement cable tray route, 4-inch sleeve, wall/floor penetrations, support points, light/HVAC conflicts and 40% fill concerns</v>
      </c>
      <c r="K1525">
        <f>B33_Assessment!E70</f>
        <v>0</v>
      </c>
      <c r="L1525" t="str">
        <f>B33_Assessment!F70</f>
        <v>Paul</v>
      </c>
      <c r="M1525">
        <f>B33_Assessment!G70</f>
        <v>0</v>
      </c>
      <c r="N1525" t="str">
        <f>B33_Assessment!H70</f>
        <v>B33-R6/B33-R7</v>
      </c>
      <c r="O1525" t="str">
        <f>B33_Assessment!I70</f>
        <v>Closed</v>
      </c>
      <c r="P1525">
        <f>B33_Assessment!J70</f>
        <v>0</v>
      </c>
      <c r="Q1525" t="str">
        <f t="shared" si="23"/>
        <v>33|63</v>
      </c>
    </row>
    <row r="1526" spans="1:17" ht="6.45" customHeight="1">
      <c r="A1526" t="s">
        <v>372</v>
      </c>
      <c r="B1526">
        <v>64</v>
      </c>
      <c r="C1526" t="s">
        <v>53</v>
      </c>
      <c r="D1526">
        <v>71</v>
      </c>
      <c r="E1526" t="s">
        <v>1052</v>
      </c>
      <c r="F1526" t="s">
        <v>5324</v>
      </c>
      <c r="G1526" t="str">
        <f>B33_Assessment!A71</f>
        <v>B33-P005</v>
      </c>
      <c r="H1526" t="str">
        <f>B33_Assessment!B71</f>
        <v>B23</v>
      </c>
      <c r="I1526" t="str">
        <f>B33_Assessment!C71</f>
        <v>Electrical</v>
      </c>
      <c r="J1526" t="str">
        <f>B33_Assessment!D71</f>
        <v>New TE enclosure UPS/PDU receptacles, circuit source, grounding/bonding, labels and access</v>
      </c>
      <c r="K1526">
        <f>B33_Assessment!E71</f>
        <v>0</v>
      </c>
      <c r="L1526" t="str">
        <f>B33_Assessment!F71</f>
        <v>Paul</v>
      </c>
      <c r="M1526">
        <f>B33_Assessment!G71</f>
        <v>0</v>
      </c>
      <c r="N1526" t="str">
        <f>B33_Assessment!H71</f>
        <v>B33-R5</v>
      </c>
      <c r="O1526" t="str">
        <f>B33_Assessment!I71</f>
        <v>Closed</v>
      </c>
      <c r="P1526">
        <f>B33_Assessment!J71</f>
        <v>0</v>
      </c>
      <c r="Q1526" t="str">
        <f t="shared" si="23"/>
        <v>33|64</v>
      </c>
    </row>
    <row r="1527" spans="1:17" ht="6.45" customHeight="1">
      <c r="A1527" t="s">
        <v>372</v>
      </c>
      <c r="B1527">
        <v>65</v>
      </c>
      <c r="C1527" t="s">
        <v>53</v>
      </c>
      <c r="D1527">
        <v>72</v>
      </c>
      <c r="E1527" t="s">
        <v>1052</v>
      </c>
      <c r="F1527" t="s">
        <v>5324</v>
      </c>
      <c r="G1527" t="str">
        <f>B33_Assessment!A72</f>
        <v>B33-P006</v>
      </c>
      <c r="H1527" t="str">
        <f>B33_Assessment!B72</f>
        <v>B23/B17</v>
      </c>
      <c r="I1527" t="str">
        <f>B33_Assessment!C72</f>
        <v>Telecom</v>
      </c>
      <c r="J1527" t="str">
        <f>B33_Assessment!D72</f>
        <v>TE01-B23-1 enclosure, cross-connect cables, Fiber LIU, patch panels, labels, test results and existing B17 equipment transfer</v>
      </c>
      <c r="K1527">
        <f>B33_Assessment!E72</f>
        <v>0</v>
      </c>
      <c r="L1527" t="str">
        <f>B33_Assessment!F72</f>
        <v>Paul</v>
      </c>
      <c r="M1527">
        <f>B33_Assessment!G72</f>
        <v>0</v>
      </c>
      <c r="N1527" t="str">
        <f>B33_Assessment!H72</f>
        <v>B33-R2/B33-R8</v>
      </c>
      <c r="O1527" t="str">
        <f>B33_Assessment!I72</f>
        <v>Closed</v>
      </c>
      <c r="P1527">
        <f>B33_Assessment!J72</f>
        <v>0</v>
      </c>
      <c r="Q1527" t="str">
        <f t="shared" si="23"/>
        <v>33|65</v>
      </c>
    </row>
    <row r="1528" spans="1:17" ht="6.45" customHeight="1">
      <c r="A1528" t="s">
        <v>372</v>
      </c>
      <c r="B1528">
        <v>66</v>
      </c>
      <c r="C1528" t="s">
        <v>53</v>
      </c>
      <c r="D1528">
        <v>73</v>
      </c>
      <c r="E1528" t="s">
        <v>1052</v>
      </c>
      <c r="F1528" t="s">
        <v>5324</v>
      </c>
      <c r="G1528" t="str">
        <f>B33_Assessment!A73</f>
        <v>B33-P007</v>
      </c>
      <c r="H1528" t="str">
        <f>B33_Assessment!B73</f>
        <v>All</v>
      </c>
      <c r="I1528" t="str">
        <f>B33_Assessment!C73</f>
        <v>Firestop</v>
      </c>
      <c r="J1528" t="str">
        <f>B33_Assessment!D73</f>
        <v>4-inch speed sleeve, wall/floor penetrations and fire caulk before/after photos</v>
      </c>
      <c r="K1528">
        <f>B33_Assessment!E73</f>
        <v>0</v>
      </c>
      <c r="L1528" t="str">
        <f>B33_Assessment!F73</f>
        <v>Paul</v>
      </c>
      <c r="M1528">
        <f>B33_Assessment!G73</f>
        <v>0</v>
      </c>
      <c r="N1528" t="str">
        <f>B33_Assessment!H73</f>
        <v>B33-R7</v>
      </c>
      <c r="O1528" t="str">
        <f>B33_Assessment!I73</f>
        <v>Closed</v>
      </c>
      <c r="P1528">
        <f>B33_Assessment!J73</f>
        <v>0</v>
      </c>
      <c r="Q1528" t="str">
        <f t="shared" si="23"/>
        <v>33|66</v>
      </c>
    </row>
    <row r="1529" spans="1:17" ht="6.45" customHeight="1">
      <c r="A1529" t="s">
        <v>372</v>
      </c>
      <c r="B1529">
        <v>67</v>
      </c>
      <c r="C1529" t="s">
        <v>53</v>
      </c>
      <c r="D1529">
        <v>74</v>
      </c>
      <c r="E1529" t="s">
        <v>1052</v>
      </c>
      <c r="F1529" t="s">
        <v>5324</v>
      </c>
      <c r="G1529" t="str">
        <f>B33_Assessment!A74</f>
        <v>B33-P008</v>
      </c>
      <c r="H1529" t="str">
        <f>B33_Assessment!B74</f>
        <v>B17/B23</v>
      </c>
      <c r="I1529" t="str">
        <f>B33_Assessment!C74</f>
        <v>Security / Existing Devices</v>
      </c>
      <c r="J1529" t="str">
        <f>B33_Assessment!D74</f>
        <v>Existing cameras, network door controller, keypad and equipment box to remain/protect or be recabled</v>
      </c>
      <c r="K1529">
        <f>B33_Assessment!E74</f>
        <v>0</v>
      </c>
      <c r="L1529" t="str">
        <f>B33_Assessment!F74</f>
        <v>Paul</v>
      </c>
      <c r="M1529">
        <f>B33_Assessment!G74</f>
        <v>0</v>
      </c>
      <c r="N1529" t="str">
        <f>B33_Assessment!H74</f>
        <v>B33-R8</v>
      </c>
      <c r="O1529" t="str">
        <f>B33_Assessment!I74</f>
        <v>Closed</v>
      </c>
      <c r="P1529">
        <f>B33_Assessment!J74</f>
        <v>0</v>
      </c>
      <c r="Q1529" t="str">
        <f t="shared" si="23"/>
        <v>33|67</v>
      </c>
    </row>
    <row r="1530" spans="1:17" ht="6.45" customHeight="1">
      <c r="A1530" t="s">
        <v>372</v>
      </c>
      <c r="B1530">
        <v>68</v>
      </c>
      <c r="C1530" t="s">
        <v>53</v>
      </c>
      <c r="D1530">
        <v>75</v>
      </c>
      <c r="E1530" t="s">
        <v>1052</v>
      </c>
      <c r="F1530" t="s">
        <v>5325</v>
      </c>
      <c r="G1530">
        <f>B33_Assessment!A75</f>
        <v>0</v>
      </c>
      <c r="H1530">
        <f>B33_Assessment!B75</f>
        <v>0</v>
      </c>
      <c r="I1530">
        <f>B33_Assessment!C75</f>
        <v>0</v>
      </c>
      <c r="J1530">
        <f>B33_Assessment!D75</f>
        <v>0</v>
      </c>
      <c r="K1530">
        <f>B33_Assessment!E75</f>
        <v>0</v>
      </c>
      <c r="L1530">
        <f>B33_Assessment!F75</f>
        <v>0</v>
      </c>
      <c r="M1530">
        <f>B33_Assessment!G75</f>
        <v>0</v>
      </c>
      <c r="N1530">
        <f>B33_Assessment!H75</f>
        <v>0</v>
      </c>
      <c r="O1530">
        <f>B33_Assessment!I75</f>
        <v>0</v>
      </c>
      <c r="P1530">
        <f>B33_Assessment!J75</f>
        <v>0</v>
      </c>
      <c r="Q1530" t="str">
        <f t="shared" si="23"/>
        <v>33|68</v>
      </c>
    </row>
    <row r="1531" spans="1:17" ht="6.45" customHeight="1">
      <c r="A1531" t="s">
        <v>374</v>
      </c>
      <c r="B1531">
        <v>1</v>
      </c>
      <c r="C1531" t="s">
        <v>55</v>
      </c>
      <c r="D1531">
        <v>8</v>
      </c>
      <c r="E1531" t="s">
        <v>918</v>
      </c>
      <c r="F1531" t="s">
        <v>5322</v>
      </c>
      <c r="G1531" t="str">
        <f>B61_Assessment!A8</f>
        <v>1. ROOM INVENTORY</v>
      </c>
      <c r="H1531">
        <f>B61_Assessment!B8</f>
        <v>0</v>
      </c>
      <c r="I1531">
        <f>B61_Assessment!C8</f>
        <v>0</v>
      </c>
      <c r="J1531">
        <f>B61_Assessment!D8</f>
        <v>0</v>
      </c>
      <c r="K1531">
        <f>B61_Assessment!E8</f>
        <v>0</v>
      </c>
      <c r="L1531">
        <f>B61_Assessment!F8</f>
        <v>0</v>
      </c>
      <c r="M1531">
        <f>B61_Assessment!G8</f>
        <v>0</v>
      </c>
      <c r="N1531">
        <f>B61_Assessment!H8</f>
        <v>0</v>
      </c>
      <c r="O1531">
        <f>B61_Assessment!I8</f>
        <v>0</v>
      </c>
      <c r="P1531">
        <f>B61_Assessment!J8</f>
        <v>0</v>
      </c>
      <c r="Q1531" t="str">
        <f t="shared" si="23"/>
        <v>61|1</v>
      </c>
    </row>
    <row r="1532" spans="1:17" ht="6.45" customHeight="1">
      <c r="A1532" t="s">
        <v>374</v>
      </c>
      <c r="B1532">
        <v>2</v>
      </c>
      <c r="C1532" t="s">
        <v>55</v>
      </c>
      <c r="D1532">
        <v>9</v>
      </c>
      <c r="E1532" t="s">
        <v>918</v>
      </c>
      <c r="F1532" t="s">
        <v>5323</v>
      </c>
      <c r="G1532" t="str">
        <f>B61_Assessment!A9</f>
        <v>Building</v>
      </c>
      <c r="H1532" t="str">
        <f>B61_Assessment!B9</f>
        <v>Room</v>
      </c>
      <c r="I1532" t="str">
        <f>B61_Assessment!C9</f>
        <v>Floor</v>
      </c>
      <c r="J1532" t="str">
        <f>B61_Assessment!D9</f>
        <v>Existing Use</v>
      </c>
      <c r="K1532" t="str">
        <f>B61_Assessment!E9</f>
        <v>New Use</v>
      </c>
      <c r="L1532" t="str">
        <f>B61_Assessment!F9</f>
        <v>Rack Count</v>
      </c>
      <c r="M1532" t="str">
        <f>B61_Assessment!G9</f>
        <v>Future Rack</v>
      </c>
      <c r="N1532" t="str">
        <f>B61_Assessment!H9</f>
        <v>Status</v>
      </c>
      <c r="O1532" t="str">
        <f>B61_Assessment!I9</f>
        <v>Drawing Ref</v>
      </c>
      <c r="P1532" t="str">
        <f>B61_Assessment!J9</f>
        <v>Notes</v>
      </c>
      <c r="Q1532" t="str">
        <f t="shared" si="23"/>
        <v>61|2</v>
      </c>
    </row>
    <row r="1533" spans="1:17" ht="6.45" customHeight="1">
      <c r="A1533" t="s">
        <v>374</v>
      </c>
      <c r="B1533">
        <v>3</v>
      </c>
      <c r="C1533" t="s">
        <v>55</v>
      </c>
      <c r="D1533">
        <v>10</v>
      </c>
      <c r="E1533" t="s">
        <v>918</v>
      </c>
      <c r="F1533" t="s">
        <v>5324</v>
      </c>
      <c r="G1533" t="str">
        <f>B61_Assessment!A10</f>
        <v>61</v>
      </c>
      <c r="H1533" t="str">
        <f>B61_Assessment!B10</f>
        <v>B13H-A</v>
      </c>
      <c r="I1533" t="str">
        <f>B61_Assessment!C10</f>
        <v>Basement</v>
      </c>
      <c r="J1533" t="str">
        <f>B61_Assessment!D10</f>
        <v>Basement telecom / support area</v>
      </c>
      <c r="K1533" t="str">
        <f>B61_Assessment!E10</f>
        <v>Telecom Room</v>
      </c>
      <c r="L1533">
        <f>B61_Assessment!F10</f>
        <v>1</v>
      </c>
      <c r="M1533">
        <f>B61_Assessment!G10</f>
        <v>1</v>
      </c>
      <c r="N1533" t="str">
        <f>B61_Assessment!H10</f>
        <v>Pass</v>
      </c>
      <c r="O1533" t="str">
        <f>B61_Assessment!I10</f>
        <v>61A-400 / 61E-401 / 61T-100 / 61T-401 / 61T-604 / 61T-701</v>
      </c>
      <c r="P1533" t="str">
        <f>B61_Assessment!J10</f>
        <v>Basement TR identified as RM B13H-A with Rack ID TR01-B13H-A-1. Schedules identify 88 WAO total, 74 active ports, 129 scheduled ports, 142 ports with 10% allowance. Electrical panels include B61-TRB13A/B. Mechanical cooling includes IU-0-01/CU-0-01.</v>
      </c>
      <c r="Q1533" t="str">
        <f t="shared" si="23"/>
        <v>61|3</v>
      </c>
    </row>
    <row r="1534" spans="1:17" ht="6.45" customHeight="1">
      <c r="A1534" t="s">
        <v>374</v>
      </c>
      <c r="B1534">
        <v>4</v>
      </c>
      <c r="C1534" t="s">
        <v>55</v>
      </c>
      <c r="D1534">
        <v>11</v>
      </c>
      <c r="E1534" t="s">
        <v>918</v>
      </c>
      <c r="F1534" t="s">
        <v>5324</v>
      </c>
      <c r="G1534" t="str">
        <f>B61_Assessment!A11</f>
        <v>61</v>
      </c>
      <c r="H1534" t="str">
        <f>B61_Assessment!B11</f>
        <v>124</v>
      </c>
      <c r="I1534" t="str">
        <f>B61_Assessment!C11</f>
        <v>First</v>
      </c>
      <c r="J1534" t="str">
        <f>B61_Assessment!D11</f>
        <v>First-level telecom area</v>
      </c>
      <c r="K1534" t="str">
        <f>B61_Assessment!E11</f>
        <v>Telecom Room</v>
      </c>
      <c r="L1534">
        <f>B61_Assessment!F11</f>
        <v>1</v>
      </c>
      <c r="M1534">
        <f>B61_Assessment!G11</f>
        <v>1</v>
      </c>
      <c r="N1534" t="str">
        <f>B61_Assessment!H11</f>
        <v>Pass</v>
      </c>
      <c r="O1534" t="str">
        <f>B61_Assessment!I11</f>
        <v>61A-400 / 61E-402 / 61T-101 / 61T-401 / 61T-604 / 61T-701</v>
      </c>
      <c r="P1534" t="str">
        <f>B61_Assessment!J11</f>
        <v>First-level TR identified as Room 124 / Rack ID TR01-124-1. Electrical panels include B61-TR124A/B. Mechanical cooling includes IU-1-01/CU-1-01. Verify room naming against electrical schedule references that also call out RM137B rack receptacles.</v>
      </c>
      <c r="Q1534" t="str">
        <f t="shared" si="23"/>
        <v>61|4</v>
      </c>
    </row>
    <row r="1535" spans="1:17" ht="6.45" customHeight="1">
      <c r="A1535" t="s">
        <v>374</v>
      </c>
      <c r="B1535">
        <v>5</v>
      </c>
      <c r="C1535" t="s">
        <v>55</v>
      </c>
      <c r="D1535">
        <v>12</v>
      </c>
      <c r="E1535" t="s">
        <v>918</v>
      </c>
      <c r="F1535" t="s">
        <v>5324</v>
      </c>
      <c r="G1535" t="str">
        <f>B61_Assessment!A12</f>
        <v>61</v>
      </c>
      <c r="H1535" t="str">
        <f>B61_Assessment!B12</f>
        <v>226</v>
      </c>
      <c r="I1535" t="str">
        <f>B61_Assessment!C12</f>
        <v>Second</v>
      </c>
      <c r="J1535" t="str">
        <f>B61_Assessment!D12</f>
        <v>Second-level telecom area</v>
      </c>
      <c r="K1535" t="str">
        <f>B61_Assessment!E12</f>
        <v>Telecom Room</v>
      </c>
      <c r="L1535">
        <f>B61_Assessment!F12</f>
        <v>1</v>
      </c>
      <c r="M1535">
        <f>B61_Assessment!G12</f>
        <v>1</v>
      </c>
      <c r="N1535" t="str">
        <f>B61_Assessment!H12</f>
        <v>Pass</v>
      </c>
      <c r="O1535" t="str">
        <f>B61_Assessment!I12</f>
        <v>61A-401 / 61E-402 / 61T-102 / 61T-401 / 61T-605 / 61T-702</v>
      </c>
      <c r="P1535" t="str">
        <f>B61_Assessment!J12</f>
        <v>Second-level TR identified as Room 226 / Rack ID TR01-226-1. Schedules identify 109 WAO total, 126 active ports, 156 scheduled ports, 172 ports with 10% allowance. Electrical panels include B61-TR226A/B. Mechanical cooling includes IU-2-01/CU-2-01.</v>
      </c>
      <c r="Q1535" t="str">
        <f t="shared" si="23"/>
        <v>61|5</v>
      </c>
    </row>
    <row r="1536" spans="1:17" ht="6.45" customHeight="1">
      <c r="A1536" t="s">
        <v>374</v>
      </c>
      <c r="B1536">
        <v>6</v>
      </c>
      <c r="C1536" t="s">
        <v>55</v>
      </c>
      <c r="D1536">
        <v>13</v>
      </c>
      <c r="E1536" t="s">
        <v>918</v>
      </c>
      <c r="F1536" t="s">
        <v>5324</v>
      </c>
      <c r="G1536" t="str">
        <f>B61_Assessment!A13</f>
        <v>61</v>
      </c>
      <c r="H1536" t="str">
        <f>B61_Assessment!B13</f>
        <v>137 / 137A</v>
      </c>
      <c r="I1536" t="str">
        <f>B61_Assessment!C13</f>
        <v>First</v>
      </c>
      <c r="J1536" t="str">
        <f>B61_Assessment!D13</f>
        <v>Existing server/demarc/telecom equipment rooms</v>
      </c>
      <c r="K1536" t="str">
        <f>B61_Assessment!E13</f>
        <v>Existing demarc / server transition point</v>
      </c>
      <c r="L1536">
        <f>B61_Assessment!F13</f>
        <v>11</v>
      </c>
      <c r="M1536">
        <f>B61_Assessment!G13</f>
        <v>0</v>
      </c>
      <c r="N1536" t="str">
        <f>B61_Assessment!H13</f>
        <v>Pass</v>
      </c>
      <c r="O1536" t="str">
        <f>B61_Assessment!I13</f>
        <v>61T-402 / 61T-606 / 61T-607 / 61R-900</v>
      </c>
      <c r="P1536" t="str">
        <f>B61_Assessment!J13</f>
        <v>Existing Room 137/137A rack inventory and demarc/server equipment include existing 4-post racks, PACS/equipment racks, APC UPS/PDU equipment, Fujitsu FLM equipment, wall-mounted patch panels, and local elevations. Protect active services and verify what remains, transfers, or is modified.</v>
      </c>
      <c r="Q1536" t="str">
        <f t="shared" si="23"/>
        <v>61|6</v>
      </c>
    </row>
    <row r="1537" spans="1:17" ht="6.45" customHeight="1">
      <c r="A1537" t="s">
        <v>374</v>
      </c>
      <c r="B1537">
        <v>7</v>
      </c>
      <c r="C1537" t="s">
        <v>55</v>
      </c>
      <c r="D1537">
        <v>14</v>
      </c>
      <c r="E1537" t="s">
        <v>918</v>
      </c>
      <c r="F1537" t="s">
        <v>5325</v>
      </c>
      <c r="G1537">
        <f>B61_Assessment!A14</f>
        <v>0</v>
      </c>
      <c r="H1537">
        <f>B61_Assessment!B14</f>
        <v>0</v>
      </c>
      <c r="I1537">
        <f>B61_Assessment!C14</f>
        <v>0</v>
      </c>
      <c r="J1537">
        <f>B61_Assessment!D14</f>
        <v>0</v>
      </c>
      <c r="K1537">
        <f>B61_Assessment!E14</f>
        <v>0</v>
      </c>
      <c r="L1537">
        <f>B61_Assessment!F14</f>
        <v>0</v>
      </c>
      <c r="M1537">
        <f>B61_Assessment!G14</f>
        <v>0</v>
      </c>
      <c r="N1537">
        <f>B61_Assessment!H14</f>
        <v>0</v>
      </c>
      <c r="O1537">
        <f>B61_Assessment!I14</f>
        <v>0</v>
      </c>
      <c r="P1537">
        <f>B61_Assessment!J14</f>
        <v>0</v>
      </c>
      <c r="Q1537" t="str">
        <f t="shared" si="23"/>
        <v>61|7</v>
      </c>
    </row>
    <row r="1538" spans="1:17" ht="6.45" customHeight="1">
      <c r="A1538" t="s">
        <v>374</v>
      </c>
      <c r="B1538">
        <v>8</v>
      </c>
      <c r="C1538" t="s">
        <v>55</v>
      </c>
      <c r="D1538">
        <v>15</v>
      </c>
      <c r="E1538" t="s">
        <v>936</v>
      </c>
      <c r="F1538" t="s">
        <v>5322</v>
      </c>
      <c r="G1538" t="str">
        <f>B61_Assessment!A15</f>
        <v>2. ROOM READINESS</v>
      </c>
      <c r="H1538">
        <f>B61_Assessment!B15</f>
        <v>0</v>
      </c>
      <c r="I1538">
        <f>B61_Assessment!C15</f>
        <v>0</v>
      </c>
      <c r="J1538">
        <f>B61_Assessment!D15</f>
        <v>0</v>
      </c>
      <c r="K1538">
        <f>B61_Assessment!E15</f>
        <v>0</v>
      </c>
      <c r="L1538">
        <f>B61_Assessment!F15</f>
        <v>0</v>
      </c>
      <c r="M1538">
        <f>B61_Assessment!G15</f>
        <v>0</v>
      </c>
      <c r="N1538">
        <f>B61_Assessment!H15</f>
        <v>0</v>
      </c>
      <c r="O1538">
        <f>B61_Assessment!I15</f>
        <v>0</v>
      </c>
      <c r="P1538">
        <f>B61_Assessment!J15</f>
        <v>0</v>
      </c>
      <c r="Q1538" t="str">
        <f t="shared" ref="Q1538:Q1601" si="24">A1538&amp;"|"&amp;B1538</f>
        <v>61|8</v>
      </c>
    </row>
    <row r="1539" spans="1:17" ht="6.45" customHeight="1">
      <c r="A1539" t="s">
        <v>374</v>
      </c>
      <c r="B1539">
        <v>9</v>
      </c>
      <c r="C1539" t="s">
        <v>55</v>
      </c>
      <c r="D1539">
        <v>16</v>
      </c>
      <c r="E1539" t="s">
        <v>936</v>
      </c>
      <c r="F1539" t="s">
        <v>5323</v>
      </c>
      <c r="G1539" t="str">
        <f>B61_Assessment!A16</f>
        <v>Room</v>
      </c>
      <c r="H1539" t="str">
        <f>B61_Assessment!B16</f>
        <v>Walls / 1-hr Rating</v>
      </c>
      <c r="I1539" t="str">
        <f>B61_Assessment!C16</f>
        <v>Ceiling</v>
      </c>
      <c r="J1539" t="str">
        <f>B61_Assessment!D16</f>
        <v>Floor / SDC</v>
      </c>
      <c r="K1539" t="str">
        <f>B61_Assessment!E16</f>
        <v>Penetrations</v>
      </c>
      <c r="L1539" t="str">
        <f>B61_Assessment!F16</f>
        <v>Access Control</v>
      </c>
      <c r="M1539" t="str">
        <f>B61_Assessment!G16</f>
        <v>Clearances</v>
      </c>
      <c r="N1539" t="str">
        <f>B61_Assessment!H16</f>
        <v>Housekeeping</v>
      </c>
      <c r="O1539" t="str">
        <f>B61_Assessment!I16</f>
        <v>Overall</v>
      </c>
      <c r="P1539" t="str">
        <f>B61_Assessment!J16</f>
        <v>Comments</v>
      </c>
      <c r="Q1539" t="str">
        <f t="shared" si="24"/>
        <v>61|9</v>
      </c>
    </row>
    <row r="1540" spans="1:17" ht="6.45" customHeight="1">
      <c r="A1540" t="s">
        <v>374</v>
      </c>
      <c r="B1540">
        <v>10</v>
      </c>
      <c r="C1540" t="s">
        <v>55</v>
      </c>
      <c r="D1540">
        <v>17</v>
      </c>
      <c r="E1540" t="s">
        <v>936</v>
      </c>
      <c r="F1540" t="s">
        <v>5324</v>
      </c>
      <c r="G1540" t="str">
        <f>B61_Assessment!A17</f>
        <v>B13H-A</v>
      </c>
      <c r="H1540" t="str">
        <f>B61_Assessment!B17</f>
        <v>Verify</v>
      </c>
      <c r="I1540" t="str">
        <f>B61_Assessment!C17</f>
        <v>Verify</v>
      </c>
      <c r="J1540" t="str">
        <f>B61_Assessment!D17</f>
        <v>Verify</v>
      </c>
      <c r="K1540" t="str">
        <f>B61_Assessment!E17</f>
        <v>Verify</v>
      </c>
      <c r="L1540" t="str">
        <f>B61_Assessment!F17</f>
        <v>Verify</v>
      </c>
      <c r="M1540" t="str">
        <f>B61_Assessment!G17</f>
        <v>Verify</v>
      </c>
      <c r="N1540" t="str">
        <f>B61_Assessment!H17</f>
        <v>Verify</v>
      </c>
      <c r="O1540" t="str">
        <f>B61_Assessment!I17</f>
        <v>Verify</v>
      </c>
      <c r="P1540" t="str">
        <f>B61_Assessment!J17</f>
        <v>Basement TR; verify rated walls/open-to-deck conditions, door/security, floor finish, ladder rack/cable tray, future rack clearance, wall backing, and pathway entries.</v>
      </c>
      <c r="Q1540" t="str">
        <f t="shared" si="24"/>
        <v>61|10</v>
      </c>
    </row>
    <row r="1541" spans="1:17" ht="6.45" customHeight="1">
      <c r="A1541" t="s">
        <v>374</v>
      </c>
      <c r="B1541">
        <v>11</v>
      </c>
      <c r="C1541" t="s">
        <v>55</v>
      </c>
      <c r="D1541">
        <v>18</v>
      </c>
      <c r="E1541" t="s">
        <v>936</v>
      </c>
      <c r="F1541" t="s">
        <v>5324</v>
      </c>
      <c r="G1541" t="str">
        <f>B61_Assessment!A18</f>
        <v>124</v>
      </c>
      <c r="H1541" t="str">
        <f>B61_Assessment!B18</f>
        <v>Verify</v>
      </c>
      <c r="I1541" t="str">
        <f>B61_Assessment!C18</f>
        <v>Verify</v>
      </c>
      <c r="J1541" t="str">
        <f>B61_Assessment!D18</f>
        <v>Verify</v>
      </c>
      <c r="K1541" t="str">
        <f>B61_Assessment!E18</f>
        <v>Verify</v>
      </c>
      <c r="L1541" t="str">
        <f>B61_Assessment!F18</f>
        <v>Verify</v>
      </c>
      <c r="M1541" t="str">
        <f>B61_Assessment!G18</f>
        <v>Verify</v>
      </c>
      <c r="N1541" t="str">
        <f>B61_Assessment!H18</f>
        <v>Verify</v>
      </c>
      <c r="O1541" t="str">
        <f>B61_Assessment!I18</f>
        <v>Verify</v>
      </c>
      <c r="P1541" t="str">
        <f>B61_Assessment!J18</f>
        <v>First-level TR; verify rated construction, door hardware, ceiling/deck, rack/future rack clearances, wall backing, and riser/pathway entries.</v>
      </c>
      <c r="Q1541" t="str">
        <f t="shared" si="24"/>
        <v>61|11</v>
      </c>
    </row>
    <row r="1542" spans="1:17" ht="6.45" customHeight="1">
      <c r="A1542" t="s">
        <v>374</v>
      </c>
      <c r="B1542">
        <v>12</v>
      </c>
      <c r="C1542" t="s">
        <v>55</v>
      </c>
      <c r="D1542">
        <v>19</v>
      </c>
      <c r="E1542" t="s">
        <v>936</v>
      </c>
      <c r="F1542" t="s">
        <v>5324</v>
      </c>
      <c r="G1542" t="str">
        <f>B61_Assessment!A19</f>
        <v>226</v>
      </c>
      <c r="H1542" t="str">
        <f>B61_Assessment!B19</f>
        <v>Verify</v>
      </c>
      <c r="I1542" t="str">
        <f>B61_Assessment!C19</f>
        <v>Verify</v>
      </c>
      <c r="J1542" t="str">
        <f>B61_Assessment!D19</f>
        <v>Verify</v>
      </c>
      <c r="K1542" t="str">
        <f>B61_Assessment!E19</f>
        <v>Verify</v>
      </c>
      <c r="L1542" t="str">
        <f>B61_Assessment!F19</f>
        <v>Verify</v>
      </c>
      <c r="M1542" t="str">
        <f>B61_Assessment!G19</f>
        <v>Verify</v>
      </c>
      <c r="N1542" t="str">
        <f>B61_Assessment!H19</f>
        <v>Verify</v>
      </c>
      <c r="O1542" t="str">
        <f>B61_Assessment!I19</f>
        <v>Verify</v>
      </c>
      <c r="P1542" t="str">
        <f>B61_Assessment!J19</f>
        <v>Second-level TR; verify rated construction, door hardware, ceiling/deck, rack/future rack clearances, wall backing, and riser/pathway entries.</v>
      </c>
      <c r="Q1542" t="str">
        <f t="shared" si="24"/>
        <v>61|12</v>
      </c>
    </row>
    <row r="1543" spans="1:17" ht="6.45" customHeight="1">
      <c r="A1543" t="s">
        <v>374</v>
      </c>
      <c r="B1543">
        <v>13</v>
      </c>
      <c r="C1543" t="s">
        <v>55</v>
      </c>
      <c r="D1543">
        <v>20</v>
      </c>
      <c r="E1543" t="s">
        <v>936</v>
      </c>
      <c r="F1543" t="s">
        <v>5324</v>
      </c>
      <c r="G1543" t="str">
        <f>B61_Assessment!A20</f>
        <v>137 / 137A</v>
      </c>
      <c r="H1543" t="str">
        <f>B61_Assessment!B20</f>
        <v>Existing / Verify</v>
      </c>
      <c r="I1543" t="str">
        <f>B61_Assessment!C20</f>
        <v>Existing / Verify</v>
      </c>
      <c r="J1543" t="str">
        <f>B61_Assessment!D20</f>
        <v>Existing / Verify</v>
      </c>
      <c r="K1543" t="str">
        <f>B61_Assessment!E20</f>
        <v>Verify</v>
      </c>
      <c r="L1543" t="str">
        <f>B61_Assessment!F20</f>
        <v>Verify</v>
      </c>
      <c r="M1543" t="str">
        <f>B61_Assessment!G20</f>
        <v>Verify</v>
      </c>
      <c r="N1543" t="str">
        <f>B61_Assessment!H20</f>
        <v>Verify</v>
      </c>
      <c r="O1543" t="str">
        <f>B61_Assessment!I20</f>
        <v>Verify</v>
      </c>
      <c r="P1543" t="str">
        <f>B61_Assessment!J20</f>
        <v>Existing demarc/server rooms; verify existing rack inventory, operational continuity, active circuits, access control, airflow and protection-in-place.</v>
      </c>
      <c r="Q1543" t="str">
        <f t="shared" si="24"/>
        <v>61|13</v>
      </c>
    </row>
    <row r="1544" spans="1:17" ht="6.45" customHeight="1">
      <c r="A1544" t="s">
        <v>374</v>
      </c>
      <c r="B1544">
        <v>14</v>
      </c>
      <c r="C1544" t="s">
        <v>55</v>
      </c>
      <c r="D1544">
        <v>21</v>
      </c>
      <c r="E1544" t="s">
        <v>936</v>
      </c>
      <c r="F1544" t="s">
        <v>5325</v>
      </c>
      <c r="G1544">
        <f>B61_Assessment!A21</f>
        <v>0</v>
      </c>
      <c r="H1544">
        <f>B61_Assessment!B21</f>
        <v>0</v>
      </c>
      <c r="I1544">
        <f>B61_Assessment!C21</f>
        <v>0</v>
      </c>
      <c r="J1544">
        <f>B61_Assessment!D21</f>
        <v>0</v>
      </c>
      <c r="K1544">
        <f>B61_Assessment!E21</f>
        <v>0</v>
      </c>
      <c r="L1544">
        <f>B61_Assessment!F21</f>
        <v>0</v>
      </c>
      <c r="M1544">
        <f>B61_Assessment!G21</f>
        <v>0</v>
      </c>
      <c r="N1544">
        <f>B61_Assessment!H21</f>
        <v>0</v>
      </c>
      <c r="O1544">
        <f>B61_Assessment!I21</f>
        <v>0</v>
      </c>
      <c r="P1544">
        <f>B61_Assessment!J21</f>
        <v>0</v>
      </c>
      <c r="Q1544" t="str">
        <f t="shared" si="24"/>
        <v>61|14</v>
      </c>
    </row>
    <row r="1545" spans="1:17" ht="6.45" customHeight="1">
      <c r="A1545" t="s">
        <v>374</v>
      </c>
      <c r="B1545">
        <v>15</v>
      </c>
      <c r="C1545" t="s">
        <v>55</v>
      </c>
      <c r="D1545">
        <v>22</v>
      </c>
      <c r="E1545" t="s">
        <v>951</v>
      </c>
      <c r="F1545" t="s">
        <v>5322</v>
      </c>
      <c r="G1545" t="str">
        <f>B61_Assessment!A22</f>
        <v>3. FIRE PROTECTION</v>
      </c>
      <c r="H1545">
        <f>B61_Assessment!B22</f>
        <v>0</v>
      </c>
      <c r="I1545">
        <f>B61_Assessment!C22</f>
        <v>0</v>
      </c>
      <c r="J1545">
        <f>B61_Assessment!D22</f>
        <v>0</v>
      </c>
      <c r="K1545">
        <f>B61_Assessment!E22</f>
        <v>0</v>
      </c>
      <c r="L1545">
        <f>B61_Assessment!F22</f>
        <v>0</v>
      </c>
      <c r="M1545">
        <f>B61_Assessment!G22</f>
        <v>0</v>
      </c>
      <c r="N1545">
        <f>B61_Assessment!H22</f>
        <v>0</v>
      </c>
      <c r="O1545">
        <f>B61_Assessment!I22</f>
        <v>0</v>
      </c>
      <c r="P1545">
        <f>B61_Assessment!J22</f>
        <v>0</v>
      </c>
      <c r="Q1545" t="str">
        <f t="shared" si="24"/>
        <v>61|15</v>
      </c>
    </row>
    <row r="1546" spans="1:17" ht="6.45" customHeight="1">
      <c r="A1546" t="s">
        <v>374</v>
      </c>
      <c r="B1546">
        <v>16</v>
      </c>
      <c r="C1546" t="s">
        <v>55</v>
      </c>
      <c r="D1546">
        <v>23</v>
      </c>
      <c r="E1546" t="s">
        <v>951</v>
      </c>
      <c r="F1546" t="s">
        <v>5323</v>
      </c>
      <c r="G1546" t="str">
        <f>B61_Assessment!A23</f>
        <v>Room</v>
      </c>
      <c r="H1546" t="str">
        <f>B61_Assessment!B23</f>
        <v>Sprinkler</v>
      </c>
      <c r="I1546" t="str">
        <f>B61_Assessment!C23</f>
        <v>Cage</v>
      </c>
      <c r="J1546" t="str">
        <f>B61_Assessment!D23</f>
        <v>Detector</v>
      </c>
      <c r="K1546" t="str">
        <f>B61_Assessment!E23</f>
        <v>Horn/Strobe</v>
      </c>
      <c r="L1546" t="str">
        <f>B61_Assessment!F23</f>
        <v>Extinguisher &lt;75 ft</v>
      </c>
      <c r="M1546" t="str">
        <f>B61_Assessment!G23</f>
        <v>Firestop</v>
      </c>
      <c r="N1546" t="str">
        <f>B61_Assessment!H23</f>
        <v>Temp Firestop</v>
      </c>
      <c r="O1546" t="str">
        <f>B61_Assessment!I23</f>
        <v>Overall</v>
      </c>
      <c r="P1546" t="str">
        <f>B61_Assessment!J23</f>
        <v>Risk / Notes</v>
      </c>
      <c r="Q1546" t="str">
        <f t="shared" si="24"/>
        <v>61|16</v>
      </c>
    </row>
    <row r="1547" spans="1:17" ht="6.45" customHeight="1">
      <c r="A1547" t="s">
        <v>374</v>
      </c>
      <c r="B1547">
        <v>17</v>
      </c>
      <c r="C1547" t="s">
        <v>55</v>
      </c>
      <c r="D1547">
        <v>24</v>
      </c>
      <c r="E1547" t="s">
        <v>951</v>
      </c>
      <c r="F1547" t="s">
        <v>5324</v>
      </c>
      <c r="G1547" t="str">
        <f>B61_Assessment!A24</f>
        <v>B13H-A</v>
      </c>
      <c r="H1547" t="str">
        <f>B61_Assessment!B24</f>
        <v>Verify</v>
      </c>
      <c r="I1547" t="str">
        <f>B61_Assessment!C24</f>
        <v>Verify</v>
      </c>
      <c r="J1547" t="str">
        <f>B61_Assessment!D24</f>
        <v>Verify</v>
      </c>
      <c r="K1547" t="str">
        <f>B61_Assessment!E24</f>
        <v>Verify</v>
      </c>
      <c r="L1547" t="str">
        <f>B61_Assessment!F24</f>
        <v>Verify</v>
      </c>
      <c r="M1547" t="str">
        <f>B61_Assessment!G24</f>
        <v>Verify</v>
      </c>
      <c r="N1547" t="str">
        <f>B61_Assessment!H24</f>
        <v>Verify</v>
      </c>
      <c r="O1547" t="str">
        <f>B61_Assessment!I24</f>
        <v>Verify</v>
      </c>
      <c r="P1547" t="str">
        <f>B61_Assessment!J24</f>
        <v>Dedicated TR scope includes fire protection drawings. Verify sprinkler modifications, fire alarm devices, clean-agent 2A:10B:C FEC within 75 ft, rated penetrations, and temporary firestopping.</v>
      </c>
      <c r="Q1547" t="str">
        <f t="shared" si="24"/>
        <v>61|17</v>
      </c>
    </row>
    <row r="1548" spans="1:17" ht="6.45" customHeight="1">
      <c r="A1548" t="s">
        <v>374</v>
      </c>
      <c r="B1548">
        <v>18</v>
      </c>
      <c r="C1548" t="s">
        <v>55</v>
      </c>
      <c r="D1548">
        <v>25</v>
      </c>
      <c r="E1548" t="s">
        <v>951</v>
      </c>
      <c r="F1548" t="s">
        <v>5324</v>
      </c>
      <c r="G1548" t="str">
        <f>B61_Assessment!A25</f>
        <v>124</v>
      </c>
      <c r="H1548" t="str">
        <f>B61_Assessment!B25</f>
        <v>Verify</v>
      </c>
      <c r="I1548" t="str">
        <f>B61_Assessment!C25</f>
        <v>Verify</v>
      </c>
      <c r="J1548" t="str">
        <f>B61_Assessment!D25</f>
        <v>Verify</v>
      </c>
      <c r="K1548" t="str">
        <f>B61_Assessment!E25</f>
        <v>Verify</v>
      </c>
      <c r="L1548" t="str">
        <f>B61_Assessment!F25</f>
        <v>Verify</v>
      </c>
      <c r="M1548" t="str">
        <f>B61_Assessment!G25</f>
        <v>Verify</v>
      </c>
      <c r="N1548" t="str">
        <f>B61_Assessment!H25</f>
        <v>Verify</v>
      </c>
      <c r="O1548" t="str">
        <f>B61_Assessment!I25</f>
        <v>Verify</v>
      </c>
      <c r="P1548" t="str">
        <f>B61_Assessment!J25</f>
        <v>Verify sprinkler/fire alarm modifications, clean-agent FEC location, penetrations, cable tray/riser openings, and final UL firestop systems.</v>
      </c>
      <c r="Q1548" t="str">
        <f t="shared" si="24"/>
        <v>61|18</v>
      </c>
    </row>
    <row r="1549" spans="1:17" ht="6.45" customHeight="1">
      <c r="A1549" t="s">
        <v>374</v>
      </c>
      <c r="B1549">
        <v>19</v>
      </c>
      <c r="C1549" t="s">
        <v>55</v>
      </c>
      <c r="D1549">
        <v>26</v>
      </c>
      <c r="E1549" t="s">
        <v>951</v>
      </c>
      <c r="F1549" t="s">
        <v>5324</v>
      </c>
      <c r="G1549" t="str">
        <f>B61_Assessment!A26</f>
        <v>226</v>
      </c>
      <c r="H1549" t="str">
        <f>B61_Assessment!B26</f>
        <v>Verify</v>
      </c>
      <c r="I1549" t="str">
        <f>B61_Assessment!C26</f>
        <v>Verify</v>
      </c>
      <c r="J1549" t="str">
        <f>B61_Assessment!D26</f>
        <v>Verify</v>
      </c>
      <c r="K1549" t="str">
        <f>B61_Assessment!E26</f>
        <v>Verify</v>
      </c>
      <c r="L1549" t="str">
        <f>B61_Assessment!F26</f>
        <v>Verify</v>
      </c>
      <c r="M1549" t="str">
        <f>B61_Assessment!G26</f>
        <v>Verify</v>
      </c>
      <c r="N1549" t="str">
        <f>B61_Assessment!H26</f>
        <v>Verify</v>
      </c>
      <c r="O1549" t="str">
        <f>B61_Assessment!I26</f>
        <v>Verify</v>
      </c>
      <c r="P1549" t="str">
        <f>B61_Assessment!J26</f>
        <v>Verify second-level TR sprinkler/fire alarm modifications, clean-agent FEC location, vertical riser penetrations, and firestopping.</v>
      </c>
      <c r="Q1549" t="str">
        <f t="shared" si="24"/>
        <v>61|19</v>
      </c>
    </row>
    <row r="1550" spans="1:17" ht="6.45" customHeight="1">
      <c r="A1550" t="s">
        <v>374</v>
      </c>
      <c r="B1550">
        <v>20</v>
      </c>
      <c r="C1550" t="s">
        <v>55</v>
      </c>
      <c r="D1550">
        <v>27</v>
      </c>
      <c r="E1550" t="s">
        <v>951</v>
      </c>
      <c r="F1550" t="s">
        <v>5324</v>
      </c>
      <c r="G1550" t="str">
        <f>B61_Assessment!A27</f>
        <v>137 / 137A</v>
      </c>
      <c r="H1550" t="str">
        <f>B61_Assessment!B27</f>
        <v>Verify</v>
      </c>
      <c r="I1550" t="str">
        <f>B61_Assessment!C27</f>
        <v>N/A</v>
      </c>
      <c r="J1550" t="str">
        <f>B61_Assessment!D27</f>
        <v>Verify</v>
      </c>
      <c r="K1550" t="str">
        <f>B61_Assessment!E27</f>
        <v>Verify</v>
      </c>
      <c r="L1550" t="str">
        <f>B61_Assessment!F27</f>
        <v>Verify</v>
      </c>
      <c r="M1550" t="str">
        <f>B61_Assessment!G27</f>
        <v>Verify</v>
      </c>
      <c r="N1550" t="str">
        <f>B61_Assessment!H27</f>
        <v>Verify</v>
      </c>
      <c r="O1550" t="str">
        <f>B61_Assessment!I27</f>
        <v>Verify</v>
      </c>
      <c r="P1550" t="str">
        <f>B61_Assessment!J27</f>
        <v>Existing demarc/server rooms may remain active; verify protection-in-place, FA/FP continuity, and no unsealed penetrations after cabling work.</v>
      </c>
      <c r="Q1550" t="str">
        <f t="shared" si="24"/>
        <v>61|20</v>
      </c>
    </row>
    <row r="1551" spans="1:17" ht="6.45" customHeight="1">
      <c r="A1551" t="s">
        <v>374</v>
      </c>
      <c r="B1551">
        <v>21</v>
      </c>
      <c r="C1551" t="s">
        <v>55</v>
      </c>
      <c r="D1551">
        <v>28</v>
      </c>
      <c r="E1551" t="s">
        <v>951</v>
      </c>
      <c r="F1551" t="s">
        <v>5325</v>
      </c>
      <c r="G1551">
        <f>B61_Assessment!A28</f>
        <v>0</v>
      </c>
      <c r="H1551">
        <f>B61_Assessment!B28</f>
        <v>0</v>
      </c>
      <c r="I1551">
        <f>B61_Assessment!C28</f>
        <v>0</v>
      </c>
      <c r="J1551">
        <f>B61_Assessment!D28</f>
        <v>0</v>
      </c>
      <c r="K1551">
        <f>B61_Assessment!E28</f>
        <v>0</v>
      </c>
      <c r="L1551">
        <f>B61_Assessment!F28</f>
        <v>0</v>
      </c>
      <c r="M1551">
        <f>B61_Assessment!G28</f>
        <v>0</v>
      </c>
      <c r="N1551">
        <f>B61_Assessment!H28</f>
        <v>0</v>
      </c>
      <c r="O1551">
        <f>B61_Assessment!I28</f>
        <v>0</v>
      </c>
      <c r="P1551">
        <f>B61_Assessment!J28</f>
        <v>0</v>
      </c>
      <c r="Q1551" t="str">
        <f t="shared" si="24"/>
        <v>61|21</v>
      </c>
    </row>
    <row r="1552" spans="1:17" ht="6.45" customHeight="1">
      <c r="A1552" t="s">
        <v>374</v>
      </c>
      <c r="B1552">
        <v>22</v>
      </c>
      <c r="C1552" t="s">
        <v>55</v>
      </c>
      <c r="D1552">
        <v>29</v>
      </c>
      <c r="E1552" t="s">
        <v>964</v>
      </c>
      <c r="F1552" t="s">
        <v>5322</v>
      </c>
      <c r="G1552" t="str">
        <f>B61_Assessment!A29</f>
        <v>4. HVAC / COOLING</v>
      </c>
      <c r="H1552">
        <f>B61_Assessment!B29</f>
        <v>0</v>
      </c>
      <c r="I1552">
        <f>B61_Assessment!C29</f>
        <v>0</v>
      </c>
      <c r="J1552">
        <f>B61_Assessment!D29</f>
        <v>0</v>
      </c>
      <c r="K1552">
        <f>B61_Assessment!E29</f>
        <v>0</v>
      </c>
      <c r="L1552">
        <f>B61_Assessment!F29</f>
        <v>0</v>
      </c>
      <c r="M1552">
        <f>B61_Assessment!G29</f>
        <v>0</v>
      </c>
      <c r="N1552">
        <f>B61_Assessment!H29</f>
        <v>0</v>
      </c>
      <c r="O1552">
        <f>B61_Assessment!I29</f>
        <v>0</v>
      </c>
      <c r="P1552">
        <f>B61_Assessment!J29</f>
        <v>0</v>
      </c>
      <c r="Q1552" t="str">
        <f t="shared" si="24"/>
        <v>61|22</v>
      </c>
    </row>
    <row r="1553" spans="1:17" ht="6.45" customHeight="1">
      <c r="A1553" t="s">
        <v>374</v>
      </c>
      <c r="B1553">
        <v>23</v>
      </c>
      <c r="C1553" t="s">
        <v>55</v>
      </c>
      <c r="D1553">
        <v>30</v>
      </c>
      <c r="E1553" t="s">
        <v>964</v>
      </c>
      <c r="F1553" t="s">
        <v>5323</v>
      </c>
      <c r="G1553" t="str">
        <f>B61_Assessment!A30</f>
        <v>Room</v>
      </c>
      <c r="H1553" t="str">
        <f>B61_Assessment!B30</f>
        <v>Dedicated Unit</v>
      </c>
      <c r="I1553" t="str">
        <f>B61_Assessment!C30</f>
        <v>Capacity Verified</v>
      </c>
      <c r="J1553" t="str">
        <f>B61_Assessment!D30</f>
        <v>Emergency Power</v>
      </c>
      <c r="K1553" t="str">
        <f>B61_Assessment!E30</f>
        <v>Controls / BACnet</v>
      </c>
      <c r="L1553" t="str">
        <f>B61_Assessment!F30</f>
        <v>Condensate Routed</v>
      </c>
      <c r="M1553" t="str">
        <f>B61_Assessment!G30</f>
        <v>High Temp Alarm</v>
      </c>
      <c r="N1553" t="str">
        <f>B61_Assessment!H30</f>
        <v>24/7 Operation</v>
      </c>
      <c r="O1553" t="str">
        <f>B61_Assessment!I30</f>
        <v>Overall</v>
      </c>
      <c r="P1553" t="str">
        <f>B61_Assessment!J30</f>
        <v>Risk / Notes</v>
      </c>
      <c r="Q1553" t="str">
        <f t="shared" si="24"/>
        <v>61|23</v>
      </c>
    </row>
    <row r="1554" spans="1:17" ht="6.45" customHeight="1">
      <c r="A1554" t="s">
        <v>374</v>
      </c>
      <c r="B1554">
        <v>24</v>
      </c>
      <c r="C1554" t="s">
        <v>55</v>
      </c>
      <c r="D1554">
        <v>31</v>
      </c>
      <c r="E1554" t="s">
        <v>964</v>
      </c>
      <c r="F1554" t="s">
        <v>5324</v>
      </c>
      <c r="G1554" t="str">
        <f>B61_Assessment!A31</f>
        <v>B13H-A</v>
      </c>
      <c r="H1554" t="str">
        <f>B61_Assessment!B31</f>
        <v>IU-0-01 / CU-0-01</v>
      </c>
      <c r="I1554" t="str">
        <f>B61_Assessment!C31</f>
        <v>Verify</v>
      </c>
      <c r="J1554" t="str">
        <f>B61_Assessment!D31</f>
        <v>Verify</v>
      </c>
      <c r="K1554" t="str">
        <f>B61_Assessment!E31</f>
        <v>Verify</v>
      </c>
      <c r="L1554" t="str">
        <f>B61_Assessment!F31</f>
        <v>Verify</v>
      </c>
      <c r="M1554" t="str">
        <f>B61_Assessment!G31</f>
        <v>Verify</v>
      </c>
      <c r="N1554" t="str">
        <f>B61_Assessment!H31</f>
        <v>Verify</v>
      </c>
      <c r="O1554" t="str">
        <f>B61_Assessment!I31</f>
        <v>Verify</v>
      </c>
      <c r="P1554" t="str">
        <f>B61_Assessment!J31</f>
        <v>Mechanical sheets identify dedicated split-system cooling with BACnet adapter mounted adjacent to unit in telecom room. Confirm capacity, emergency source, condensate, disconnect, controls, and alarms.</v>
      </c>
      <c r="Q1554" t="str">
        <f t="shared" si="24"/>
        <v>61|24</v>
      </c>
    </row>
    <row r="1555" spans="1:17" ht="6.45" customHeight="1">
      <c r="A1555" t="s">
        <v>374</v>
      </c>
      <c r="B1555">
        <v>25</v>
      </c>
      <c r="C1555" t="s">
        <v>55</v>
      </c>
      <c r="D1555">
        <v>32</v>
      </c>
      <c r="E1555" t="s">
        <v>964</v>
      </c>
      <c r="F1555" t="s">
        <v>5324</v>
      </c>
      <c r="G1555" t="str">
        <f>B61_Assessment!A32</f>
        <v>124</v>
      </c>
      <c r="H1555" t="str">
        <f>B61_Assessment!B32</f>
        <v>IU-1-01 / CU-1-01</v>
      </c>
      <c r="I1555" t="str">
        <f>B61_Assessment!C32</f>
        <v>Verify</v>
      </c>
      <c r="J1555" t="str">
        <f>B61_Assessment!D32</f>
        <v>Verify</v>
      </c>
      <c r="K1555" t="str">
        <f>B61_Assessment!E32</f>
        <v>Verify</v>
      </c>
      <c r="L1555" t="str">
        <f>B61_Assessment!F32</f>
        <v>Verify</v>
      </c>
      <c r="M1555" t="str">
        <f>B61_Assessment!G32</f>
        <v>Verify</v>
      </c>
      <c r="N1555" t="str">
        <f>B61_Assessment!H32</f>
        <v>Verify</v>
      </c>
      <c r="O1555" t="str">
        <f>B61_Assessment!I32</f>
        <v>Verify</v>
      </c>
      <c r="P1555" t="str">
        <f>B61_Assessment!J32</f>
        <v>Mechanical/electrical plans identify IU-1-01/CU-1-01 for first-level TR. Confirm 24/7 operation, emergency/standby source and high-temp alarm.</v>
      </c>
      <c r="Q1555" t="str">
        <f t="shared" si="24"/>
        <v>61|25</v>
      </c>
    </row>
    <row r="1556" spans="1:17" ht="6.45" customHeight="1">
      <c r="A1556" t="s">
        <v>374</v>
      </c>
      <c r="B1556">
        <v>26</v>
      </c>
      <c r="C1556" t="s">
        <v>55</v>
      </c>
      <c r="D1556">
        <v>33</v>
      </c>
      <c r="E1556" t="s">
        <v>964</v>
      </c>
      <c r="F1556" t="s">
        <v>5324</v>
      </c>
      <c r="G1556" t="str">
        <f>B61_Assessment!A33</f>
        <v>226</v>
      </c>
      <c r="H1556" t="str">
        <f>B61_Assessment!B33</f>
        <v>IU-2-01 / CU-2-01</v>
      </c>
      <c r="I1556" t="str">
        <f>B61_Assessment!C33</f>
        <v>Verify</v>
      </c>
      <c r="J1556" t="str">
        <f>B61_Assessment!D33</f>
        <v>Verify</v>
      </c>
      <c r="K1556" t="str">
        <f>B61_Assessment!E33</f>
        <v>Verify</v>
      </c>
      <c r="L1556" t="str">
        <f>B61_Assessment!F33</f>
        <v>Verify</v>
      </c>
      <c r="M1556" t="str">
        <f>B61_Assessment!G33</f>
        <v>Verify</v>
      </c>
      <c r="N1556" t="str">
        <f>B61_Assessment!H33</f>
        <v>Verify</v>
      </c>
      <c r="O1556" t="str">
        <f>B61_Assessment!I33</f>
        <v>Verify</v>
      </c>
      <c r="P1556" t="str">
        <f>B61_Assessment!J33</f>
        <v>Mechanical/electrical plans identify IU-2-01/CU-2-01 for second-level TR. Confirm refrigerant route, condensate route, controls and alarm tie-in.</v>
      </c>
      <c r="Q1556" t="str">
        <f t="shared" si="24"/>
        <v>61|26</v>
      </c>
    </row>
    <row r="1557" spans="1:17" ht="6.45" customHeight="1">
      <c r="A1557" t="s">
        <v>374</v>
      </c>
      <c r="B1557">
        <v>27</v>
      </c>
      <c r="C1557" t="s">
        <v>55</v>
      </c>
      <c r="D1557">
        <v>34</v>
      </c>
      <c r="E1557" t="s">
        <v>964</v>
      </c>
      <c r="F1557" t="s">
        <v>5324</v>
      </c>
      <c r="G1557" t="str">
        <f>B61_Assessment!A34</f>
        <v>137 / 137A</v>
      </c>
      <c r="H1557" t="str">
        <f>B61_Assessment!B34</f>
        <v>Existing / Verify</v>
      </c>
      <c r="I1557" t="str">
        <f>B61_Assessment!C34</f>
        <v>Verify</v>
      </c>
      <c r="J1557" t="str">
        <f>B61_Assessment!D34</f>
        <v>Verify</v>
      </c>
      <c r="K1557" t="str">
        <f>B61_Assessment!E34</f>
        <v>Verify</v>
      </c>
      <c r="L1557" t="str">
        <f>B61_Assessment!F34</f>
        <v>Verify</v>
      </c>
      <c r="M1557" t="str">
        <f>B61_Assessment!G34</f>
        <v>Verify</v>
      </c>
      <c r="N1557" t="str">
        <f>B61_Assessment!H34</f>
        <v>Verify</v>
      </c>
      <c r="O1557" t="str">
        <f>B61_Assessment!I34</f>
        <v>Verify</v>
      </c>
      <c r="P1557" t="str">
        <f>B61_Assessment!J34</f>
        <v>Existing demarc/server equipment likely has existing cooling dependencies. Verify active equipment heat load, airflow, operational temperatures and whether any existing cooling is modified or protected.</v>
      </c>
      <c r="Q1557" t="str">
        <f t="shared" si="24"/>
        <v>61|27</v>
      </c>
    </row>
    <row r="1558" spans="1:17" ht="6.45" customHeight="1">
      <c r="A1558" t="s">
        <v>374</v>
      </c>
      <c r="B1558">
        <v>28</v>
      </c>
      <c r="C1558" t="s">
        <v>55</v>
      </c>
      <c r="D1558">
        <v>35</v>
      </c>
      <c r="E1558" t="s">
        <v>964</v>
      </c>
      <c r="F1558" t="s">
        <v>5325</v>
      </c>
      <c r="G1558">
        <f>B61_Assessment!A35</f>
        <v>0</v>
      </c>
      <c r="H1558">
        <f>B61_Assessment!B35</f>
        <v>0</v>
      </c>
      <c r="I1558">
        <f>B61_Assessment!C35</f>
        <v>0</v>
      </c>
      <c r="J1558">
        <f>B61_Assessment!D35</f>
        <v>0</v>
      </c>
      <c r="K1558">
        <f>B61_Assessment!E35</f>
        <v>0</v>
      </c>
      <c r="L1558">
        <f>B61_Assessment!F35</f>
        <v>0</v>
      </c>
      <c r="M1558">
        <f>B61_Assessment!G35</f>
        <v>0</v>
      </c>
      <c r="N1558">
        <f>B61_Assessment!H35</f>
        <v>0</v>
      </c>
      <c r="O1558">
        <f>B61_Assessment!I35</f>
        <v>0</v>
      </c>
      <c r="P1558">
        <f>B61_Assessment!J35</f>
        <v>0</v>
      </c>
      <c r="Q1558" t="str">
        <f t="shared" si="24"/>
        <v>61|28</v>
      </c>
    </row>
    <row r="1559" spans="1:17" ht="6.45" customHeight="1">
      <c r="A1559" t="s">
        <v>374</v>
      </c>
      <c r="B1559">
        <v>29</v>
      </c>
      <c r="C1559" t="s">
        <v>55</v>
      </c>
      <c r="D1559">
        <v>36</v>
      </c>
      <c r="E1559" t="s">
        <v>977</v>
      </c>
      <c r="F1559" t="s">
        <v>5322</v>
      </c>
      <c r="G1559" t="str">
        <f>B61_Assessment!A36</f>
        <v>5. ELECTRICAL / UPS</v>
      </c>
      <c r="H1559">
        <f>B61_Assessment!B36</f>
        <v>0</v>
      </c>
      <c r="I1559">
        <f>B61_Assessment!C36</f>
        <v>0</v>
      </c>
      <c r="J1559">
        <f>B61_Assessment!D36</f>
        <v>0</v>
      </c>
      <c r="K1559">
        <f>B61_Assessment!E36</f>
        <v>0</v>
      </c>
      <c r="L1559">
        <f>B61_Assessment!F36</f>
        <v>0</v>
      </c>
      <c r="M1559">
        <f>B61_Assessment!G36</f>
        <v>0</v>
      </c>
      <c r="N1559">
        <f>B61_Assessment!H36</f>
        <v>0</v>
      </c>
      <c r="O1559">
        <f>B61_Assessment!I36</f>
        <v>0</v>
      </c>
      <c r="P1559">
        <f>B61_Assessment!J36</f>
        <v>0</v>
      </c>
      <c r="Q1559" t="str">
        <f t="shared" si="24"/>
        <v>61|29</v>
      </c>
    </row>
    <row r="1560" spans="1:17" ht="6.45" customHeight="1">
      <c r="A1560" t="s">
        <v>374</v>
      </c>
      <c r="B1560">
        <v>30</v>
      </c>
      <c r="C1560" t="s">
        <v>55</v>
      </c>
      <c r="D1560">
        <v>37</v>
      </c>
      <c r="E1560" t="s">
        <v>977</v>
      </c>
      <c r="F1560" t="s">
        <v>5323</v>
      </c>
      <c r="G1560" t="str">
        <f>B61_Assessment!A37</f>
        <v>Room</v>
      </c>
      <c r="H1560" t="str">
        <f>B61_Assessment!B37</f>
        <v>UPS Installed</v>
      </c>
      <c r="I1560" t="str">
        <f>B61_Assessment!C37</f>
        <v>UPS Size</v>
      </c>
      <c r="J1560" t="str">
        <f>B61_Assessment!D37</f>
        <v>PDU Installed</v>
      </c>
      <c r="K1560" t="str">
        <f>B61_Assessment!E37</f>
        <v>Rack Receptacles</v>
      </c>
      <c r="L1560" t="str">
        <f>B61_Assessment!F37</f>
        <v>Panel Assigned</v>
      </c>
      <c r="M1560" t="str">
        <f>B61_Assessment!G37</f>
        <v>Emergency Source</v>
      </c>
      <c r="N1560" t="str">
        <f>B61_Assessment!H37</f>
        <v>SPD / Labeling</v>
      </c>
      <c r="O1560" t="str">
        <f>B61_Assessment!I37</f>
        <v>Overall</v>
      </c>
      <c r="P1560" t="str">
        <f>B61_Assessment!J37</f>
        <v>Notes</v>
      </c>
      <c r="Q1560" t="str">
        <f t="shared" si="24"/>
        <v>61|30</v>
      </c>
    </row>
    <row r="1561" spans="1:17" ht="6.45" customHeight="1">
      <c r="A1561" t="s">
        <v>374</v>
      </c>
      <c r="B1561">
        <v>31</v>
      </c>
      <c r="C1561" t="s">
        <v>55</v>
      </c>
      <c r="D1561">
        <v>38</v>
      </c>
      <c r="E1561" t="s">
        <v>977</v>
      </c>
      <c r="F1561" t="s">
        <v>5324</v>
      </c>
      <c r="G1561" t="str">
        <f>B61_Assessment!A38</f>
        <v>B13H-A</v>
      </c>
      <c r="H1561" t="str">
        <f>B61_Assessment!B38</f>
        <v>Verify</v>
      </c>
      <c r="I1561" t="str">
        <f>B61_Assessment!C38</f>
        <v>5 kW / 208V rack UPS</v>
      </c>
      <c r="J1561" t="str">
        <f>B61_Assessment!D38</f>
        <v>Verify</v>
      </c>
      <c r="K1561" t="str">
        <f>B61_Assessment!E38</f>
        <v>Verify</v>
      </c>
      <c r="L1561" t="str">
        <f>B61_Assessment!F38</f>
        <v>B61-TRB13A / B61-TRB13B</v>
      </c>
      <c r="M1561" t="str">
        <f>B61_Assessment!G38</f>
        <v>Verify</v>
      </c>
      <c r="N1561" t="str">
        <f>B61_Assessment!H38</f>
        <v>Verify</v>
      </c>
      <c r="O1561" t="str">
        <f>B61_Assessment!I38</f>
        <v>Verify</v>
      </c>
      <c r="P1561" t="str">
        <f>B61_Assessment!J38</f>
        <v>Electrical enlarged plans and schedules identify rack receptacles, UPS circuits, PDUs, panelboards, SPD devices and dedicated cooling power for B13H-A. Verify B61-TRB13A/B source, LOTO and labels.</v>
      </c>
      <c r="Q1561" t="str">
        <f t="shared" si="24"/>
        <v>61|31</v>
      </c>
    </row>
    <row r="1562" spans="1:17" ht="6.45" customHeight="1">
      <c r="A1562" t="s">
        <v>374</v>
      </c>
      <c r="B1562">
        <v>32</v>
      </c>
      <c r="C1562" t="s">
        <v>55</v>
      </c>
      <c r="D1562">
        <v>39</v>
      </c>
      <c r="E1562" t="s">
        <v>977</v>
      </c>
      <c r="F1562" t="s">
        <v>5324</v>
      </c>
      <c r="G1562" t="str">
        <f>B61_Assessment!A39</f>
        <v>124</v>
      </c>
      <c r="H1562" t="str">
        <f>B61_Assessment!B39</f>
        <v>Verify</v>
      </c>
      <c r="I1562" t="str">
        <f>B61_Assessment!C39</f>
        <v>5 kW / 208V rack UPS</v>
      </c>
      <c r="J1562" t="str">
        <f>B61_Assessment!D39</f>
        <v>Verify</v>
      </c>
      <c r="K1562" t="str">
        <f>B61_Assessment!E39</f>
        <v>Verify</v>
      </c>
      <c r="L1562" t="str">
        <f>B61_Assessment!F39</f>
        <v>B61-TR124A / B61-TR124B</v>
      </c>
      <c r="M1562" t="str">
        <f>B61_Assessment!G39</f>
        <v>Verify</v>
      </c>
      <c r="N1562" t="str">
        <f>B61_Assessment!H39</f>
        <v>Verify</v>
      </c>
      <c r="O1562" t="str">
        <f>B61_Assessment!I39</f>
        <v>Verify</v>
      </c>
      <c r="P1562" t="str">
        <f>B61_Assessment!J39</f>
        <v>Electrical schedules identify B61-TR124A/B and rack receptacles. Verify apparent room-name mismatch with RM137B rack receptacles in schedules.</v>
      </c>
      <c r="Q1562" t="str">
        <f t="shared" si="24"/>
        <v>61|32</v>
      </c>
    </row>
    <row r="1563" spans="1:17" ht="6.45" customHeight="1">
      <c r="A1563" t="s">
        <v>374</v>
      </c>
      <c r="B1563">
        <v>33</v>
      </c>
      <c r="C1563" t="s">
        <v>55</v>
      </c>
      <c r="D1563">
        <v>40</v>
      </c>
      <c r="E1563" t="s">
        <v>977</v>
      </c>
      <c r="F1563" t="s">
        <v>5324</v>
      </c>
      <c r="G1563" t="str">
        <f>B61_Assessment!A40</f>
        <v>226</v>
      </c>
      <c r="H1563" t="str">
        <f>B61_Assessment!B40</f>
        <v>Verify</v>
      </c>
      <c r="I1563" t="str">
        <f>B61_Assessment!C40</f>
        <v>5 kW / 208V rack UPS</v>
      </c>
      <c r="J1563" t="str">
        <f>B61_Assessment!D40</f>
        <v>Verify</v>
      </c>
      <c r="K1563" t="str">
        <f>B61_Assessment!E40</f>
        <v>Verify</v>
      </c>
      <c r="L1563" t="str">
        <f>B61_Assessment!F40</f>
        <v>B61-TR226A / B61-TR226B</v>
      </c>
      <c r="M1563" t="str">
        <f>B61_Assessment!G40</f>
        <v>Verify</v>
      </c>
      <c r="N1563" t="str">
        <f>B61_Assessment!H40</f>
        <v>Verify</v>
      </c>
      <c r="O1563" t="str">
        <f>B61_Assessment!I40</f>
        <v>Verify</v>
      </c>
      <c r="P1563" t="str">
        <f>B61_Assessment!J40</f>
        <v>Electrical schedules identify B61-TR226A/B, rack receptacles, CU-2-01 and SPD requirements. Verify source circuits and labels.</v>
      </c>
      <c r="Q1563" t="str">
        <f t="shared" si="24"/>
        <v>61|33</v>
      </c>
    </row>
    <row r="1564" spans="1:17" ht="6.45" customHeight="1">
      <c r="A1564" t="s">
        <v>374</v>
      </c>
      <c r="B1564">
        <v>34</v>
      </c>
      <c r="C1564" t="s">
        <v>55</v>
      </c>
      <c r="D1564">
        <v>41</v>
      </c>
      <c r="E1564" t="s">
        <v>977</v>
      </c>
      <c r="F1564" t="s">
        <v>5324</v>
      </c>
      <c r="G1564" t="str">
        <f>B61_Assessment!A41</f>
        <v>137 / 137A</v>
      </c>
      <c r="H1564" t="str">
        <f>B61_Assessment!B41</f>
        <v>Existing / Verify</v>
      </c>
      <c r="I1564" t="str">
        <f>B61_Assessment!C41</f>
        <v>Existing APC UPS/PDU</v>
      </c>
      <c r="J1564" t="str">
        <f>B61_Assessment!D41</f>
        <v>Existing / Verify</v>
      </c>
      <c r="K1564" t="str">
        <f>B61_Assessment!E41</f>
        <v>Verify</v>
      </c>
      <c r="L1564" t="str">
        <f>B61_Assessment!F41</f>
        <v>B61-TR137AA / B61-TR137AB / existing</v>
      </c>
      <c r="M1564" t="str">
        <f>B61_Assessment!G41</f>
        <v>Verify</v>
      </c>
      <c r="N1564" t="str">
        <f>B61_Assessment!H41</f>
        <v>Verify</v>
      </c>
      <c r="O1564" t="str">
        <f>B61_Assessment!I41</f>
        <v>Verify</v>
      </c>
      <c r="P1564" t="str">
        <f>B61_Assessment!J41</f>
        <v>Existing rack inventory includes APC UPS/PDU and server/demarc equipment. Electrical one-line/schedules list B61-TR137AA/AB and PD-B61-TR137 panels; verify active sources and transition impact.</v>
      </c>
      <c r="Q1564" t="str">
        <f t="shared" si="24"/>
        <v>61|34</v>
      </c>
    </row>
    <row r="1565" spans="1:17" ht="6.45" customHeight="1">
      <c r="A1565" t="s">
        <v>374</v>
      </c>
      <c r="B1565">
        <v>35</v>
      </c>
      <c r="C1565" t="s">
        <v>55</v>
      </c>
      <c r="D1565">
        <v>42</v>
      </c>
      <c r="E1565" t="s">
        <v>977</v>
      </c>
      <c r="F1565" t="s">
        <v>5325</v>
      </c>
      <c r="G1565">
        <f>B61_Assessment!A42</f>
        <v>0</v>
      </c>
      <c r="H1565">
        <f>B61_Assessment!B42</f>
        <v>0</v>
      </c>
      <c r="I1565">
        <f>B61_Assessment!C42</f>
        <v>0</v>
      </c>
      <c r="J1565">
        <f>B61_Assessment!D42</f>
        <v>0</v>
      </c>
      <c r="K1565">
        <f>B61_Assessment!E42</f>
        <v>0</v>
      </c>
      <c r="L1565">
        <f>B61_Assessment!F42</f>
        <v>0</v>
      </c>
      <c r="M1565">
        <f>B61_Assessment!G42</f>
        <v>0</v>
      </c>
      <c r="N1565">
        <f>B61_Assessment!H42</f>
        <v>0</v>
      </c>
      <c r="O1565">
        <f>B61_Assessment!I42</f>
        <v>0</v>
      </c>
      <c r="P1565">
        <f>B61_Assessment!J42</f>
        <v>0</v>
      </c>
      <c r="Q1565" t="str">
        <f t="shared" si="24"/>
        <v>61|35</v>
      </c>
    </row>
    <row r="1566" spans="1:17" ht="6.45" customHeight="1">
      <c r="A1566" t="s">
        <v>374</v>
      </c>
      <c r="B1566">
        <v>36</v>
      </c>
      <c r="C1566" t="s">
        <v>55</v>
      </c>
      <c r="D1566">
        <v>43</v>
      </c>
      <c r="E1566" t="s">
        <v>994</v>
      </c>
      <c r="F1566" t="s">
        <v>5322</v>
      </c>
      <c r="G1566" t="str">
        <f>B61_Assessment!A43</f>
        <v>6. TELECOMMUNICATIONS</v>
      </c>
      <c r="H1566">
        <f>B61_Assessment!B43</f>
        <v>0</v>
      </c>
      <c r="I1566">
        <f>B61_Assessment!C43</f>
        <v>0</v>
      </c>
      <c r="J1566">
        <f>B61_Assessment!D43</f>
        <v>0</v>
      </c>
      <c r="K1566">
        <f>B61_Assessment!E43</f>
        <v>0</v>
      </c>
      <c r="L1566">
        <f>B61_Assessment!F43</f>
        <v>0</v>
      </c>
      <c r="M1566">
        <f>B61_Assessment!G43</f>
        <v>0</v>
      </c>
      <c r="N1566">
        <f>B61_Assessment!H43</f>
        <v>0</v>
      </c>
      <c r="O1566">
        <f>B61_Assessment!I43</f>
        <v>0</v>
      </c>
      <c r="P1566">
        <f>B61_Assessment!J43</f>
        <v>0</v>
      </c>
      <c r="Q1566" t="str">
        <f t="shared" si="24"/>
        <v>61|36</v>
      </c>
    </row>
    <row r="1567" spans="1:17" ht="6.45" customHeight="1">
      <c r="A1567" t="s">
        <v>374</v>
      </c>
      <c r="B1567">
        <v>37</v>
      </c>
      <c r="C1567" t="s">
        <v>55</v>
      </c>
      <c r="D1567">
        <v>44</v>
      </c>
      <c r="E1567" t="s">
        <v>994</v>
      </c>
      <c r="F1567" t="s">
        <v>5323</v>
      </c>
      <c r="G1567" t="str">
        <f>B61_Assessment!A44</f>
        <v>Room</v>
      </c>
      <c r="H1567" t="str">
        <f>B61_Assessment!B44</f>
        <v>Rack Installed</v>
      </c>
      <c r="I1567" t="str">
        <f>B61_Assessment!C44</f>
        <v>Ladder Tray</v>
      </c>
      <c r="J1567" t="str">
        <f>B61_Assessment!D44</f>
        <v>Fiber Installed</v>
      </c>
      <c r="K1567" t="str">
        <f>B61_Assessment!E44</f>
        <v>Grounding</v>
      </c>
      <c r="L1567" t="str">
        <f>B61_Assessment!F44</f>
        <v>Labeling</v>
      </c>
      <c r="M1567" t="str">
        <f>B61_Assessment!G44</f>
        <v>Testing</v>
      </c>
      <c r="N1567" t="str">
        <f>B61_Assessment!H44</f>
        <v>VA Acceptance</v>
      </c>
      <c r="O1567" t="str">
        <f>B61_Assessment!I44</f>
        <v>Overall</v>
      </c>
      <c r="P1567" t="str">
        <f>B61_Assessment!J44</f>
        <v>Notes</v>
      </c>
      <c r="Q1567" t="str">
        <f t="shared" si="24"/>
        <v>61|37</v>
      </c>
    </row>
    <row r="1568" spans="1:17" ht="6.45" customHeight="1">
      <c r="A1568" t="s">
        <v>374</v>
      </c>
      <c r="B1568">
        <v>38</v>
      </c>
      <c r="C1568" t="s">
        <v>55</v>
      </c>
      <c r="D1568">
        <v>45</v>
      </c>
      <c r="E1568" t="s">
        <v>994</v>
      </c>
      <c r="F1568" t="s">
        <v>5324</v>
      </c>
      <c r="G1568" t="str">
        <f>B61_Assessment!A45</f>
        <v>B13H-A</v>
      </c>
      <c r="H1568" t="str">
        <f>B61_Assessment!B45</f>
        <v>Verify</v>
      </c>
      <c r="I1568" t="str">
        <f>B61_Assessment!C45</f>
        <v>Verify</v>
      </c>
      <c r="J1568" t="str">
        <f>B61_Assessment!D45</f>
        <v>Verify</v>
      </c>
      <c r="K1568" t="str">
        <f>B61_Assessment!E45</f>
        <v>Verify</v>
      </c>
      <c r="L1568" t="str">
        <f>B61_Assessment!F45</f>
        <v>Verify</v>
      </c>
      <c r="M1568" t="str">
        <f>B61_Assessment!G45</f>
        <v>Verify</v>
      </c>
      <c r="N1568" t="str">
        <f>B61_Assessment!H45</f>
        <v>Verify</v>
      </c>
      <c r="O1568" t="str">
        <f>B61_Assessment!I45</f>
        <v>Verify</v>
      </c>
      <c r="P1568" t="str">
        <f>B61_Assessment!J45</f>
        <v>61T-701: 88 WAO total, 74 active ports, 129 scheduled ports, 142 with 10% allowance. Rack ID TR01-B13H-A-1. Basement cable tray included in 890 ft basement total.</v>
      </c>
      <c r="Q1568" t="str">
        <f t="shared" si="24"/>
        <v>61|38</v>
      </c>
    </row>
    <row r="1569" spans="1:17" ht="6.45" customHeight="1">
      <c r="A1569" t="s">
        <v>374</v>
      </c>
      <c r="B1569">
        <v>39</v>
      </c>
      <c r="C1569" t="s">
        <v>55</v>
      </c>
      <c r="D1569">
        <v>46</v>
      </c>
      <c r="E1569" t="s">
        <v>994</v>
      </c>
      <c r="F1569" t="s">
        <v>5324</v>
      </c>
      <c r="G1569" t="str">
        <f>B61_Assessment!A46</f>
        <v>124</v>
      </c>
      <c r="H1569" t="str">
        <f>B61_Assessment!B46</f>
        <v>Verify</v>
      </c>
      <c r="I1569" t="str">
        <f>B61_Assessment!C46</f>
        <v>Verify</v>
      </c>
      <c r="J1569" t="str">
        <f>B61_Assessment!D46</f>
        <v>Verify</v>
      </c>
      <c r="K1569" t="str">
        <f>B61_Assessment!E46</f>
        <v>Verify</v>
      </c>
      <c r="L1569" t="str">
        <f>B61_Assessment!F46</f>
        <v>Verify</v>
      </c>
      <c r="M1569" t="str">
        <f>B61_Assessment!G46</f>
        <v>Verify</v>
      </c>
      <c r="N1569" t="str">
        <f>B61_Assessment!H46</f>
        <v>Verify</v>
      </c>
      <c r="O1569" t="str">
        <f>B61_Assessment!I46</f>
        <v>Verify</v>
      </c>
      <c r="P1569" t="str">
        <f>B61_Assessment!J46</f>
        <v>61T-701: first-level Room 124 / Rack ID TR01-124-1. Schedule data runs across first-level outlets. Include labels, Fiber LIU, Cat6A patch panels, UPS/PDU and VA/OIT acceptance.</v>
      </c>
      <c r="Q1569" t="str">
        <f t="shared" si="24"/>
        <v>61|39</v>
      </c>
    </row>
    <row r="1570" spans="1:17" ht="6.45" customHeight="1">
      <c r="A1570" t="s">
        <v>374</v>
      </c>
      <c r="B1570">
        <v>40</v>
      </c>
      <c r="C1570" t="s">
        <v>55</v>
      </c>
      <c r="D1570">
        <v>47</v>
      </c>
      <c r="E1570" t="s">
        <v>994</v>
      </c>
      <c r="F1570" t="s">
        <v>5324</v>
      </c>
      <c r="G1570" t="str">
        <f>B61_Assessment!A47</f>
        <v>226</v>
      </c>
      <c r="H1570" t="str">
        <f>B61_Assessment!B47</f>
        <v>Verify</v>
      </c>
      <c r="I1570" t="str">
        <f>B61_Assessment!C47</f>
        <v>Verify</v>
      </c>
      <c r="J1570" t="str">
        <f>B61_Assessment!D47</f>
        <v>Verify</v>
      </c>
      <c r="K1570" t="str">
        <f>B61_Assessment!E47</f>
        <v>Verify</v>
      </c>
      <c r="L1570" t="str">
        <f>B61_Assessment!F47</f>
        <v>Verify</v>
      </c>
      <c r="M1570" t="str">
        <f>B61_Assessment!G47</f>
        <v>Verify</v>
      </c>
      <c r="N1570" t="str">
        <f>B61_Assessment!H47</f>
        <v>Verify</v>
      </c>
      <c r="O1570" t="str">
        <f>B61_Assessment!I47</f>
        <v>Verify</v>
      </c>
      <c r="P1570" t="str">
        <f>B61_Assessment!J47</f>
        <v>61T-702: 109 WAO total, 126 active ports, 156 scheduled ports, 172 with 10% allowance. Rack ID TR01-226-1. Verify second-level cable tray and riser penetrations.</v>
      </c>
      <c r="Q1570" t="str">
        <f t="shared" si="24"/>
        <v>61|40</v>
      </c>
    </row>
    <row r="1571" spans="1:17" ht="6.45" customHeight="1">
      <c r="A1571" t="s">
        <v>374</v>
      </c>
      <c r="B1571">
        <v>41</v>
      </c>
      <c r="C1571" t="s">
        <v>55</v>
      </c>
      <c r="D1571">
        <v>48</v>
      </c>
      <c r="E1571" t="s">
        <v>994</v>
      </c>
      <c r="F1571" t="s">
        <v>5324</v>
      </c>
      <c r="G1571" t="str">
        <f>B61_Assessment!A48</f>
        <v>137 / 137A</v>
      </c>
      <c r="H1571" t="str">
        <f>B61_Assessment!B48</f>
        <v>Existing / Verify</v>
      </c>
      <c r="I1571" t="str">
        <f>B61_Assessment!C48</f>
        <v>Existing / Verify</v>
      </c>
      <c r="J1571" t="str">
        <f>B61_Assessment!D48</f>
        <v>Existing / Verify</v>
      </c>
      <c r="K1571" t="str">
        <f>B61_Assessment!E48</f>
        <v>Verify</v>
      </c>
      <c r="L1571" t="str">
        <f>B61_Assessment!F48</f>
        <v>Verify</v>
      </c>
      <c r="M1571" t="str">
        <f>B61_Assessment!G48</f>
        <v>Verify</v>
      </c>
      <c r="N1571" t="str">
        <f>B61_Assessment!H48</f>
        <v>Verify</v>
      </c>
      <c r="O1571" t="str">
        <f>B61_Assessment!I48</f>
        <v>Verify</v>
      </c>
      <c r="P1571" t="str">
        <f>B61_Assessment!J48</f>
        <v>61T-402/606/607 inventory existing demarc/server racks and equipment. Protect active systems, coordinate cutover, preserve labels, document equipment remaining in service.</v>
      </c>
      <c r="Q1571" t="str">
        <f t="shared" si="24"/>
        <v>61|41</v>
      </c>
    </row>
    <row r="1572" spans="1:17" ht="6.45" customHeight="1">
      <c r="A1572" t="s">
        <v>374</v>
      </c>
      <c r="B1572">
        <v>42</v>
      </c>
      <c r="C1572" t="s">
        <v>55</v>
      </c>
      <c r="D1572">
        <v>49</v>
      </c>
      <c r="E1572" t="s">
        <v>994</v>
      </c>
      <c r="F1572" t="s">
        <v>5325</v>
      </c>
      <c r="G1572">
        <f>B61_Assessment!A49</f>
        <v>0</v>
      </c>
      <c r="H1572">
        <f>B61_Assessment!B49</f>
        <v>0</v>
      </c>
      <c r="I1572">
        <f>B61_Assessment!C49</f>
        <v>0</v>
      </c>
      <c r="J1572">
        <f>B61_Assessment!D49</f>
        <v>0</v>
      </c>
      <c r="K1572">
        <f>B61_Assessment!E49</f>
        <v>0</v>
      </c>
      <c r="L1572">
        <f>B61_Assessment!F49</f>
        <v>0</v>
      </c>
      <c r="M1572">
        <f>B61_Assessment!G49</f>
        <v>0</v>
      </c>
      <c r="N1572">
        <f>B61_Assessment!H49</f>
        <v>0</v>
      </c>
      <c r="O1572">
        <f>B61_Assessment!I49</f>
        <v>0</v>
      </c>
      <c r="P1572">
        <f>B61_Assessment!J49</f>
        <v>0</v>
      </c>
      <c r="Q1572" t="str">
        <f t="shared" si="24"/>
        <v>61|42</v>
      </c>
    </row>
    <row r="1573" spans="1:17" ht="6.45" customHeight="1">
      <c r="A1573" t="s">
        <v>374</v>
      </c>
      <c r="B1573">
        <v>43</v>
      </c>
      <c r="C1573" t="s">
        <v>55</v>
      </c>
      <c r="D1573">
        <v>50</v>
      </c>
      <c r="E1573" t="s">
        <v>1007</v>
      </c>
      <c r="F1573" t="s">
        <v>5322</v>
      </c>
      <c r="G1573" t="str">
        <f>B61_Assessment!A50</f>
        <v>7. SECURITY / PACS / CCTV</v>
      </c>
      <c r="H1573">
        <f>B61_Assessment!B50</f>
        <v>0</v>
      </c>
      <c r="I1573">
        <f>B61_Assessment!C50</f>
        <v>0</v>
      </c>
      <c r="J1573">
        <f>B61_Assessment!D50</f>
        <v>0</v>
      </c>
      <c r="K1573">
        <f>B61_Assessment!E50</f>
        <v>0</v>
      </c>
      <c r="L1573">
        <f>B61_Assessment!F50</f>
        <v>0</v>
      </c>
      <c r="M1573">
        <f>B61_Assessment!G50</f>
        <v>0</v>
      </c>
      <c r="N1573">
        <f>B61_Assessment!H50</f>
        <v>0</v>
      </c>
      <c r="O1573">
        <f>B61_Assessment!I50</f>
        <v>0</v>
      </c>
      <c r="P1573">
        <f>B61_Assessment!J50</f>
        <v>0</v>
      </c>
      <c r="Q1573" t="str">
        <f t="shared" si="24"/>
        <v>61|43</v>
      </c>
    </row>
    <row r="1574" spans="1:17" ht="6.45" customHeight="1">
      <c r="A1574" t="s">
        <v>374</v>
      </c>
      <c r="B1574">
        <v>44</v>
      </c>
      <c r="C1574" t="s">
        <v>55</v>
      </c>
      <c r="D1574">
        <v>51</v>
      </c>
      <c r="E1574" t="s">
        <v>1007</v>
      </c>
      <c r="F1574" t="s">
        <v>5323</v>
      </c>
      <c r="G1574" t="str">
        <f>B61_Assessment!A51</f>
        <v>Room</v>
      </c>
      <c r="H1574" t="str">
        <f>B61_Assessment!B51</f>
        <v>PACS</v>
      </c>
      <c r="I1574" t="str">
        <f>B61_Assessment!C51</f>
        <v>Card Reader</v>
      </c>
      <c r="J1574" t="str">
        <f>B61_Assessment!D51</f>
        <v>Door Position</v>
      </c>
      <c r="K1574" t="str">
        <f>B61_Assessment!E51</f>
        <v>Electric Strike</v>
      </c>
      <c r="L1574" t="str">
        <f>B61_Assessment!F51</f>
        <v>CCTV</v>
      </c>
      <c r="M1574" t="str">
        <f>B61_Assessment!G51</f>
        <v>Motion Sensor</v>
      </c>
      <c r="N1574" t="str">
        <f>B61_Assessment!H51</f>
        <v>Integration</v>
      </c>
      <c r="O1574" t="str">
        <f>B61_Assessment!I51</f>
        <v>Overall</v>
      </c>
      <c r="P1574" t="str">
        <f>B61_Assessment!J51</f>
        <v>Notes</v>
      </c>
      <c r="Q1574" t="str">
        <f t="shared" si="24"/>
        <v>61|44</v>
      </c>
    </row>
    <row r="1575" spans="1:17" ht="6.45" customHeight="1">
      <c r="A1575" t="s">
        <v>374</v>
      </c>
      <c r="B1575">
        <v>45</v>
      </c>
      <c r="C1575" t="s">
        <v>55</v>
      </c>
      <c r="D1575">
        <v>52</v>
      </c>
      <c r="E1575" t="s">
        <v>1007</v>
      </c>
      <c r="F1575" t="s">
        <v>5324</v>
      </c>
      <c r="G1575" t="str">
        <f>B61_Assessment!A52</f>
        <v>B13H-A</v>
      </c>
      <c r="H1575" t="str">
        <f>B61_Assessment!B52</f>
        <v>Verify</v>
      </c>
      <c r="I1575" t="str">
        <f>B61_Assessment!C52</f>
        <v>Verify</v>
      </c>
      <c r="J1575" t="str">
        <f>B61_Assessment!D52</f>
        <v>Verify</v>
      </c>
      <c r="K1575" t="str">
        <f>B61_Assessment!E52</f>
        <v>Verify</v>
      </c>
      <c r="L1575" t="str">
        <f>B61_Assessment!F52</f>
        <v>Verify</v>
      </c>
      <c r="M1575" t="str">
        <f>B61_Assessment!G52</f>
        <v>Verify</v>
      </c>
      <c r="N1575" t="str">
        <f>B61_Assessment!H52</f>
        <v>Verify</v>
      </c>
      <c r="O1575" t="str">
        <f>B61_Assessment!I52</f>
        <v>Verify</v>
      </c>
      <c r="P1575" t="str">
        <f>B61_Assessment!J52</f>
        <v>Telecom plans call for wall-mounted CCTV at TRs and PACS for TR doors. Verify camera, controller, CR/RX/DC/ES/MD, and VMS/PACS integration.</v>
      </c>
      <c r="Q1575" t="str">
        <f t="shared" si="24"/>
        <v>61|45</v>
      </c>
    </row>
    <row r="1576" spans="1:17" ht="6.45" customHeight="1">
      <c r="A1576" t="s">
        <v>374</v>
      </c>
      <c r="B1576">
        <v>46</v>
      </c>
      <c r="C1576" t="s">
        <v>55</v>
      </c>
      <c r="D1576">
        <v>53</v>
      </c>
      <c r="E1576" t="s">
        <v>1007</v>
      </c>
      <c r="F1576" t="s">
        <v>5324</v>
      </c>
      <c r="G1576" t="str">
        <f>B61_Assessment!A53</f>
        <v>124</v>
      </c>
      <c r="H1576" t="str">
        <f>B61_Assessment!B53</f>
        <v>Verify</v>
      </c>
      <c r="I1576" t="str">
        <f>B61_Assessment!C53</f>
        <v>Verify</v>
      </c>
      <c r="J1576" t="str">
        <f>B61_Assessment!D53</f>
        <v>Verify</v>
      </c>
      <c r="K1576" t="str">
        <f>B61_Assessment!E53</f>
        <v>Verify</v>
      </c>
      <c r="L1576" t="str">
        <f>B61_Assessment!F53</f>
        <v>Verify</v>
      </c>
      <c r="M1576" t="str">
        <f>B61_Assessment!G53</f>
        <v>Verify</v>
      </c>
      <c r="N1576" t="str">
        <f>B61_Assessment!H53</f>
        <v>Verify</v>
      </c>
      <c r="O1576" t="str">
        <f>B61_Assessment!I53</f>
        <v>Verify</v>
      </c>
      <c r="P1576" t="str">
        <f>B61_Assessment!J53</f>
        <v>Verify TR door hardware and access control, CCTV camera, network door controller and integration.</v>
      </c>
      <c r="Q1576" t="str">
        <f t="shared" si="24"/>
        <v>61|46</v>
      </c>
    </row>
    <row r="1577" spans="1:17" ht="6.45" customHeight="1">
      <c r="A1577" t="s">
        <v>374</v>
      </c>
      <c r="B1577">
        <v>47</v>
      </c>
      <c r="C1577" t="s">
        <v>55</v>
      </c>
      <c r="D1577">
        <v>54</v>
      </c>
      <c r="E1577" t="s">
        <v>1007</v>
      </c>
      <c r="F1577" t="s">
        <v>5324</v>
      </c>
      <c r="G1577" t="str">
        <f>B61_Assessment!A54</f>
        <v>226</v>
      </c>
      <c r="H1577" t="str">
        <f>B61_Assessment!B54</f>
        <v>Verify</v>
      </c>
      <c r="I1577" t="str">
        <f>B61_Assessment!C54</f>
        <v>Verify</v>
      </c>
      <c r="J1577" t="str">
        <f>B61_Assessment!D54</f>
        <v>Verify</v>
      </c>
      <c r="K1577" t="str">
        <f>B61_Assessment!E54</f>
        <v>Verify</v>
      </c>
      <c r="L1577" t="str">
        <f>B61_Assessment!F54</f>
        <v>Verify</v>
      </c>
      <c r="M1577" t="str">
        <f>B61_Assessment!G54</f>
        <v>Verify</v>
      </c>
      <c r="N1577" t="str">
        <f>B61_Assessment!H54</f>
        <v>Verify</v>
      </c>
      <c r="O1577" t="str">
        <f>B61_Assessment!I54</f>
        <v>Verify</v>
      </c>
      <c r="P1577" t="str">
        <f>B61_Assessment!J54</f>
        <v>Verify second-level TR access control, CCTV camera, door hardware, and VMS/PACS integration.</v>
      </c>
      <c r="Q1577" t="str">
        <f t="shared" si="24"/>
        <v>61|47</v>
      </c>
    </row>
    <row r="1578" spans="1:17" ht="6.45" customHeight="1">
      <c r="A1578" t="s">
        <v>374</v>
      </c>
      <c r="B1578">
        <v>48</v>
      </c>
      <c r="C1578" t="s">
        <v>55</v>
      </c>
      <c r="D1578">
        <v>55</v>
      </c>
      <c r="E1578" t="s">
        <v>1007</v>
      </c>
      <c r="F1578" t="s">
        <v>5324</v>
      </c>
      <c r="G1578" t="str">
        <f>B61_Assessment!A55</f>
        <v>137 / 137A</v>
      </c>
      <c r="H1578" t="str">
        <f>B61_Assessment!B55</f>
        <v>Existing / Verify</v>
      </c>
      <c r="I1578" t="str">
        <f>B61_Assessment!C55</f>
        <v>Existing / Verify</v>
      </c>
      <c r="J1578" t="str">
        <f>B61_Assessment!D55</f>
        <v>Existing / Verify</v>
      </c>
      <c r="K1578" t="str">
        <f>B61_Assessment!E55</f>
        <v>Existing / Verify</v>
      </c>
      <c r="L1578" t="str">
        <f>B61_Assessment!F55</f>
        <v>Verify</v>
      </c>
      <c r="M1578" t="str">
        <f>B61_Assessment!G55</f>
        <v>Verify</v>
      </c>
      <c r="N1578" t="str">
        <f>B61_Assessment!H55</f>
        <v>Verify</v>
      </c>
      <c r="O1578" t="str">
        <f>B61_Assessment!I55</f>
        <v>Verify</v>
      </c>
      <c r="P1578" t="str">
        <f>B61_Assessment!J55</f>
        <v>Existing PACS/equipment racks are referenced. Verify existing security devices protected-in-place and any new recabling or integration scope.</v>
      </c>
      <c r="Q1578" t="str">
        <f t="shared" si="24"/>
        <v>61|48</v>
      </c>
    </row>
    <row r="1579" spans="1:17" ht="6.45" customHeight="1">
      <c r="A1579" t="s">
        <v>374</v>
      </c>
      <c r="B1579">
        <v>49</v>
      </c>
      <c r="C1579" t="s">
        <v>55</v>
      </c>
      <c r="D1579">
        <v>56</v>
      </c>
      <c r="E1579" t="s">
        <v>1007</v>
      </c>
      <c r="F1579" t="s">
        <v>5325</v>
      </c>
      <c r="G1579">
        <f>B61_Assessment!A56</f>
        <v>0</v>
      </c>
      <c r="H1579">
        <f>B61_Assessment!B56</f>
        <v>0</v>
      </c>
      <c r="I1579">
        <f>B61_Assessment!C56</f>
        <v>0</v>
      </c>
      <c r="J1579">
        <f>B61_Assessment!D56</f>
        <v>0</v>
      </c>
      <c r="K1579">
        <f>B61_Assessment!E56</f>
        <v>0</v>
      </c>
      <c r="L1579">
        <f>B61_Assessment!F56</f>
        <v>0</v>
      </c>
      <c r="M1579">
        <f>B61_Assessment!G56</f>
        <v>0</v>
      </c>
      <c r="N1579">
        <f>B61_Assessment!H56</f>
        <v>0</v>
      </c>
      <c r="O1579">
        <f>B61_Assessment!I56</f>
        <v>0</v>
      </c>
      <c r="P1579">
        <f>B61_Assessment!J56</f>
        <v>0</v>
      </c>
      <c r="Q1579" t="str">
        <f t="shared" si="24"/>
        <v>61|49</v>
      </c>
    </row>
    <row r="1580" spans="1:17" ht="6.45" customHeight="1">
      <c r="A1580" t="s">
        <v>374</v>
      </c>
      <c r="B1580">
        <v>50</v>
      </c>
      <c r="C1580" t="s">
        <v>55</v>
      </c>
      <c r="D1580">
        <v>57</v>
      </c>
      <c r="E1580" t="s">
        <v>1019</v>
      </c>
      <c r="F1580" t="s">
        <v>5322</v>
      </c>
      <c r="G1580" t="str">
        <f>B61_Assessment!A57</f>
        <v>8. OWNER RISKS</v>
      </c>
      <c r="H1580">
        <f>B61_Assessment!B57</f>
        <v>0</v>
      </c>
      <c r="I1580">
        <f>B61_Assessment!C57</f>
        <v>0</v>
      </c>
      <c r="J1580">
        <f>B61_Assessment!D57</f>
        <v>0</v>
      </c>
      <c r="K1580">
        <f>B61_Assessment!E57</f>
        <v>0</v>
      </c>
      <c r="L1580">
        <f>B61_Assessment!F57</f>
        <v>0</v>
      </c>
      <c r="M1580">
        <f>B61_Assessment!G57</f>
        <v>0</v>
      </c>
      <c r="N1580">
        <f>B61_Assessment!H57</f>
        <v>0</v>
      </c>
      <c r="O1580">
        <f>B61_Assessment!I57</f>
        <v>0</v>
      </c>
      <c r="P1580">
        <f>B61_Assessment!J57</f>
        <v>0</v>
      </c>
      <c r="Q1580" t="str">
        <f t="shared" si="24"/>
        <v>61|50</v>
      </c>
    </row>
    <row r="1581" spans="1:17" ht="6.45" customHeight="1">
      <c r="A1581" t="s">
        <v>374</v>
      </c>
      <c r="B1581">
        <v>51</v>
      </c>
      <c r="C1581" t="s">
        <v>55</v>
      </c>
      <c r="D1581">
        <v>58</v>
      </c>
      <c r="E1581" t="s">
        <v>1019</v>
      </c>
      <c r="F1581" t="s">
        <v>5323</v>
      </c>
      <c r="G1581" t="str">
        <f>B61_Assessment!A58</f>
        <v>Risk ID</v>
      </c>
      <c r="H1581" t="str">
        <f>B61_Assessment!B58</f>
        <v>Room</v>
      </c>
      <c r="I1581" t="str">
        <f>B61_Assessment!C58</f>
        <v>Risk</v>
      </c>
      <c r="J1581" t="str">
        <f>B61_Assessment!D58</f>
        <v>Impact</v>
      </c>
      <c r="K1581" t="str">
        <f>B61_Assessment!E58</f>
        <v>Probability</v>
      </c>
      <c r="L1581" t="str">
        <f>B61_Assessment!F58</f>
        <v>Score</v>
      </c>
      <c r="M1581" t="str">
        <f>B61_Assessment!G58</f>
        <v>Mitigation</v>
      </c>
      <c r="N1581" t="str">
        <f>B61_Assessment!H58</f>
        <v>Owner</v>
      </c>
      <c r="O1581" t="str">
        <f>B61_Assessment!I58</f>
        <v>Status</v>
      </c>
      <c r="P1581" t="str">
        <f>B61_Assessment!J58</f>
        <v>Notes</v>
      </c>
      <c r="Q1581" t="str">
        <f t="shared" si="24"/>
        <v>61|51</v>
      </c>
    </row>
    <row r="1582" spans="1:17" ht="6.45" customHeight="1">
      <c r="A1582" t="s">
        <v>374</v>
      </c>
      <c r="B1582">
        <v>52</v>
      </c>
      <c r="C1582" t="s">
        <v>55</v>
      </c>
      <c r="D1582">
        <v>59</v>
      </c>
      <c r="E1582" t="s">
        <v>1019</v>
      </c>
      <c r="F1582" t="s">
        <v>5324</v>
      </c>
      <c r="G1582" t="str">
        <f>B61_Assessment!A59</f>
        <v>B61-R1</v>
      </c>
      <c r="H1582" t="str">
        <f>B61_Assessment!B59</f>
        <v>All</v>
      </c>
      <c r="I1582" t="str">
        <f>B61_Assessment!C59</f>
        <v>Existing conditions and active equipment across B13H-A, 124, 226 and 137/137A not field verified</v>
      </c>
      <c r="J1582" t="str">
        <f>B61_Assessment!D59</f>
        <v>High</v>
      </c>
      <c r="K1582" t="str">
        <f>B61_Assessment!E59</f>
        <v>Medium</v>
      </c>
      <c r="L1582">
        <f>B61_Assessment!F59</f>
        <v>6</v>
      </c>
      <c r="M1582" t="str">
        <f>B61_Assessment!G59</f>
        <v>Perform existing conditions survey with photos and active-service inventory before mobilization</v>
      </c>
      <c r="N1582" t="str">
        <f>B61_Assessment!H59</f>
        <v>GCC / Contractor</v>
      </c>
      <c r="O1582" t="str">
        <f>B61_Assessment!I59</f>
        <v>Closed</v>
      </c>
      <c r="P1582" t="str">
        <f>B61_Assessment!J59</f>
        <v>Large multi-room scope with active demarc/server equipment.</v>
      </c>
      <c r="Q1582" t="str">
        <f t="shared" si="24"/>
        <v>61|52</v>
      </c>
    </row>
    <row r="1583" spans="1:17" ht="6.45" customHeight="1">
      <c r="A1583" t="s">
        <v>374</v>
      </c>
      <c r="B1583">
        <v>53</v>
      </c>
      <c r="C1583" t="s">
        <v>55</v>
      </c>
      <c r="D1583">
        <v>60</v>
      </c>
      <c r="E1583" t="s">
        <v>1019</v>
      </c>
      <c r="F1583" t="s">
        <v>5324</v>
      </c>
      <c r="G1583" t="str">
        <f>B61_Assessment!A60</f>
        <v>B61-R2</v>
      </c>
      <c r="H1583" t="str">
        <f>B61_Assessment!B60</f>
        <v>B13H-A / 124 / 226</v>
      </c>
      <c r="I1583" t="str">
        <f>B61_Assessment!C60</f>
        <v>Hazardous material abatement plans exist for first and second levels</v>
      </c>
      <c r="J1583" t="str">
        <f>B61_Assessment!D60</f>
        <v>High</v>
      </c>
      <c r="K1583" t="str">
        <f>B61_Assessment!E60</f>
        <v>Medium</v>
      </c>
      <c r="L1583">
        <f>B61_Assessment!F60</f>
        <v>6</v>
      </c>
      <c r="M1583" t="str">
        <f>B61_Assessment!G60</f>
        <v>Coordinate IH/abatement review before penetrations, wall/ceiling work, cabling or mechanical/electrical installation</v>
      </c>
      <c r="N1583" t="str">
        <f>B61_Assessment!H60</f>
        <v>GC / IH / COR</v>
      </c>
      <c r="O1583" t="str">
        <f>B61_Assessment!I60</f>
        <v>Closed</v>
      </c>
      <c r="P1583" t="str">
        <f>B61_Assessment!J60</f>
        <v>Drawing index includes 61H-101 and 61H-102 hazardous material abatement plans.</v>
      </c>
      <c r="Q1583" t="str">
        <f t="shared" si="24"/>
        <v>61|53</v>
      </c>
    </row>
    <row r="1584" spans="1:17" ht="6.45" customHeight="1">
      <c r="A1584" t="s">
        <v>374</v>
      </c>
      <c r="B1584">
        <v>54</v>
      </c>
      <c r="C1584" t="s">
        <v>55</v>
      </c>
      <c r="D1584">
        <v>61</v>
      </c>
      <c r="E1584" t="s">
        <v>1019</v>
      </c>
      <c r="F1584" t="s">
        <v>5324</v>
      </c>
      <c r="G1584" t="str">
        <f>B61_Assessment!A61</f>
        <v>B61-R3</v>
      </c>
      <c r="H1584" t="str">
        <f>B61_Assessment!B61</f>
        <v>137 / 137A</v>
      </c>
      <c r="I1584" t="str">
        <f>B61_Assessment!C61</f>
        <v>Existing server/demarc equipment may remain active during cutover</v>
      </c>
      <c r="J1584" t="str">
        <f>B61_Assessment!D61</f>
        <v>Critical</v>
      </c>
      <c r="K1584" t="str">
        <f>B61_Assessment!E61</f>
        <v>Medium</v>
      </c>
      <c r="L1584">
        <f>B61_Assessment!F61</f>
        <v>8</v>
      </c>
      <c r="M1584" t="str">
        <f>B61_Assessment!G61</f>
        <v>Document active services, service provider circuits, rack inventory, OIT windows, temporary utilities and rollback path</v>
      </c>
      <c r="N1584" t="str">
        <f>B61_Assessment!H61</f>
        <v>OIT / Telecom</v>
      </c>
      <c r="O1584" t="str">
        <f>B61_Assessment!I61</f>
        <v>Closed</v>
      </c>
      <c r="P1584" t="str">
        <f>B61_Assessment!J61</f>
        <v>Existing APC/Fujitsu/rack/patch equipment shown in Room 137 inventory/rack elevations.</v>
      </c>
      <c r="Q1584" t="str">
        <f t="shared" si="24"/>
        <v>61|54</v>
      </c>
    </row>
    <row r="1585" spans="1:17" ht="6.45" customHeight="1">
      <c r="A1585" t="s">
        <v>374</v>
      </c>
      <c r="B1585">
        <v>55</v>
      </c>
      <c r="C1585" t="s">
        <v>55</v>
      </c>
      <c r="D1585">
        <v>62</v>
      </c>
      <c r="E1585" t="s">
        <v>1019</v>
      </c>
      <c r="F1585" t="s">
        <v>5324</v>
      </c>
      <c r="G1585" t="str">
        <f>B61_Assessment!A62</f>
        <v>B61-R4</v>
      </c>
      <c r="H1585" t="str">
        <f>B61_Assessment!B62</f>
        <v>All TRs</v>
      </c>
      <c r="I1585" t="str">
        <f>B61_Assessment!C62</f>
        <v>Dedicated cooling sequence, emergency power, condensate, BACnet and alarms not verified</v>
      </c>
      <c r="J1585" t="str">
        <f>B61_Assessment!D62</f>
        <v>Critical</v>
      </c>
      <c r="K1585" t="str">
        <f>B61_Assessment!E62</f>
        <v>Medium</v>
      </c>
      <c r="L1585">
        <f>B61_Assessment!F62</f>
        <v>8</v>
      </c>
      <c r="M1585" t="str">
        <f>B61_Assessment!G62</f>
        <v>Confirm IU/CU-0/1/2 power source, condensate, controls, BACnet adapter, thermostat and high-temp alarm</v>
      </c>
      <c r="N1585" t="str">
        <f>B61_Assessment!H62</f>
        <v>Mechanical / Electrical</v>
      </c>
      <c r="O1585" t="str">
        <f>B61_Assessment!I62</f>
        <v>Closed</v>
      </c>
      <c r="P1585" t="str">
        <f>B61_Assessment!J62</f>
        <v>Cooling is central to TR/server readiness.</v>
      </c>
      <c r="Q1585" t="str">
        <f t="shared" si="24"/>
        <v>61|55</v>
      </c>
    </row>
    <row r="1586" spans="1:17" ht="6.45" customHeight="1">
      <c r="A1586" t="s">
        <v>374</v>
      </c>
      <c r="B1586">
        <v>56</v>
      </c>
      <c r="C1586" t="s">
        <v>55</v>
      </c>
      <c r="D1586">
        <v>63</v>
      </c>
      <c r="E1586" t="s">
        <v>1019</v>
      </c>
      <c r="F1586" t="s">
        <v>5324</v>
      </c>
      <c r="G1586" t="str">
        <f>B61_Assessment!A63</f>
        <v>B61-R5</v>
      </c>
      <c r="H1586" t="str">
        <f>B61_Assessment!B63</f>
        <v>All TRs</v>
      </c>
      <c r="I1586" t="str">
        <f>B61_Assessment!C63</f>
        <v>Panel source, UPS/PDU and rack receptacle coordination could delay energization</v>
      </c>
      <c r="J1586" t="str">
        <f>B61_Assessment!D63</f>
        <v>Critical</v>
      </c>
      <c r="K1586" t="str">
        <f>B61_Assessment!E63</f>
        <v>Medium</v>
      </c>
      <c r="L1586">
        <f>B61_Assessment!F63</f>
        <v>8</v>
      </c>
      <c r="M1586" t="str">
        <f>B61_Assessment!G63</f>
        <v>Verify B61-TRB13A/B, B61-TR124A/B, B61-TR226A/B, B61-TR137AA/AB, PD panels, SPDs and load measurements</v>
      </c>
      <c r="N1586" t="str">
        <f>B61_Assessment!H63</f>
        <v>Electrical / GCC</v>
      </c>
      <c r="O1586" t="str">
        <f>B61_Assessment!I63</f>
        <v>Closed</v>
      </c>
      <c r="P1586" t="str">
        <f>B61_Assessment!J63</f>
        <v>Multiple telecom panelboards and PD panels shown.</v>
      </c>
      <c r="Q1586" t="str">
        <f t="shared" si="24"/>
        <v>61|56</v>
      </c>
    </row>
    <row r="1587" spans="1:17" ht="6.45" customHeight="1">
      <c r="A1587" t="s">
        <v>374</v>
      </c>
      <c r="B1587">
        <v>57</v>
      </c>
      <c r="C1587" t="s">
        <v>55</v>
      </c>
      <c r="D1587">
        <v>64</v>
      </c>
      <c r="E1587" t="s">
        <v>1019</v>
      </c>
      <c r="F1587" t="s">
        <v>5324</v>
      </c>
      <c r="G1587" t="str">
        <f>B61_Assessment!A64</f>
        <v>B61-R6</v>
      </c>
      <c r="H1587" t="str">
        <f>B61_Assessment!B64</f>
        <v>All</v>
      </c>
      <c r="I1587" t="str">
        <f>B61_Assessment!C64</f>
        <v>Large cable tray scope creates coordination and firestop risk</v>
      </c>
      <c r="J1587" t="str">
        <f>B61_Assessment!D64</f>
        <v>High</v>
      </c>
      <c r="K1587" t="str">
        <f>B61_Assessment!E64</f>
        <v>Medium</v>
      </c>
      <c r="L1587">
        <f>B61_Assessment!F64</f>
        <v>6</v>
      </c>
      <c r="M1587" t="str">
        <f>B61_Assessment!G64</f>
        <v>Verify 1,966 ft cable tray route, supports, seismic bracing, 40% fill, MEP conflicts, sleeves and final firestop assemblies</v>
      </c>
      <c r="N1587" t="str">
        <f>B61_Assessment!H64</f>
        <v>Telecom / GC</v>
      </c>
      <c r="O1587" t="str">
        <f>B61_Assessment!I64</f>
        <v>Closed</v>
      </c>
      <c r="P1587" t="str">
        <f>B61_Assessment!J64</f>
        <v>Cable tray schedule: basement 890 ft, first 499 ft, second 578 ft.</v>
      </c>
      <c r="Q1587" t="str">
        <f t="shared" si="24"/>
        <v>61|57</v>
      </c>
    </row>
    <row r="1588" spans="1:17" ht="6.45" customHeight="1">
      <c r="A1588" t="s">
        <v>374</v>
      </c>
      <c r="B1588">
        <v>58</v>
      </c>
      <c r="C1588" t="s">
        <v>55</v>
      </c>
      <c r="D1588">
        <v>65</v>
      </c>
      <c r="E1588" t="s">
        <v>1019</v>
      </c>
      <c r="F1588" t="s">
        <v>5324</v>
      </c>
      <c r="G1588" t="str">
        <f>B61_Assessment!A65</f>
        <v>B61-R7</v>
      </c>
      <c r="H1588" t="str">
        <f>B61_Assessment!B65</f>
        <v>All</v>
      </c>
      <c r="I1588" t="str">
        <f>B61_Assessment!C65</f>
        <v>Telecom/fiber cutover could affect active hospital communications and server/demarc services</v>
      </c>
      <c r="J1588" t="str">
        <f>B61_Assessment!D65</f>
        <v>Critical</v>
      </c>
      <c r="K1588" t="str">
        <f>B61_Assessment!E65</f>
        <v>Medium</v>
      </c>
      <c r="L1588">
        <f>B61_Assessment!F65</f>
        <v>8</v>
      </c>
      <c r="M1588" t="str">
        <f>B61_Assessment!G65</f>
        <v>Require cutover plan, test records, labels, as-builts, OIT coordination and VA acceptance before active connection</v>
      </c>
      <c r="N1588" t="str">
        <f>B61_Assessment!H65</f>
        <v>Telecom / OIT</v>
      </c>
      <c r="O1588" t="str">
        <f>B61_Assessment!I65</f>
        <v>Closed</v>
      </c>
      <c r="P1588" t="str">
        <f>B61_Assessment!J65</f>
        <v>WAO counts and active ports are substantial across B13H-A, 124 and 226.</v>
      </c>
      <c r="Q1588" t="str">
        <f t="shared" si="24"/>
        <v>61|58</v>
      </c>
    </row>
    <row r="1589" spans="1:17" ht="6.45" customHeight="1">
      <c r="A1589" t="s">
        <v>374</v>
      </c>
      <c r="B1589">
        <v>59</v>
      </c>
      <c r="C1589" t="s">
        <v>55</v>
      </c>
      <c r="D1589">
        <v>66</v>
      </c>
      <c r="E1589" t="s">
        <v>1019</v>
      </c>
      <c r="F1589" t="s">
        <v>5324</v>
      </c>
      <c r="G1589" t="str">
        <f>B61_Assessment!A66</f>
        <v>B61-R8</v>
      </c>
      <c r="H1589" t="str">
        <f>B61_Assessment!B66</f>
        <v>All</v>
      </c>
      <c r="I1589" t="str">
        <f>B61_Assessment!C66</f>
        <v>Commissioning/third-party inspection reports may not be complete at turnover</v>
      </c>
      <c r="J1589" t="str">
        <f>B61_Assessment!D66</f>
        <v>High</v>
      </c>
      <c r="K1589" t="str">
        <f>B61_Assessment!E66</f>
        <v>Medium</v>
      </c>
      <c r="L1589">
        <f>B61_Assessment!F66</f>
        <v>6</v>
      </c>
      <c r="M1589" t="str">
        <f>B61_Assessment!G66</f>
        <v>Track commissioning, inspections, FA/FP acceptance, power verification, cabling tests, labels and as-builts</v>
      </c>
      <c r="N1589" t="str">
        <f>B61_Assessment!H66</f>
        <v>GC / Cx Manager</v>
      </c>
      <c r="O1589" t="str">
        <f>B61_Assessment!I66</f>
        <v>Closed</v>
      </c>
      <c r="P1589" t="str">
        <f>B61_Assessment!J66</f>
        <v>Full-scope building with multiple divisions.</v>
      </c>
      <c r="Q1589" t="str">
        <f t="shared" si="24"/>
        <v>61|59</v>
      </c>
    </row>
    <row r="1590" spans="1:17" ht="6.45" customHeight="1">
      <c r="A1590" t="s">
        <v>374</v>
      </c>
      <c r="B1590">
        <v>60</v>
      </c>
      <c r="C1590" t="s">
        <v>55</v>
      </c>
      <c r="D1590">
        <v>67</v>
      </c>
      <c r="E1590" t="s">
        <v>1019</v>
      </c>
      <c r="F1590" t="s">
        <v>5325</v>
      </c>
      <c r="G1590">
        <f>B61_Assessment!A67</f>
        <v>0</v>
      </c>
      <c r="H1590">
        <f>B61_Assessment!B67</f>
        <v>0</v>
      </c>
      <c r="I1590">
        <f>B61_Assessment!C67</f>
        <v>0</v>
      </c>
      <c r="J1590">
        <f>B61_Assessment!D67</f>
        <v>0</v>
      </c>
      <c r="K1590">
        <f>B61_Assessment!E67</f>
        <v>0</v>
      </c>
      <c r="L1590">
        <f>B61_Assessment!F67</f>
        <v>0</v>
      </c>
      <c r="M1590">
        <f>B61_Assessment!G67</f>
        <v>0</v>
      </c>
      <c r="N1590">
        <f>B61_Assessment!H67</f>
        <v>0</v>
      </c>
      <c r="O1590">
        <f>B61_Assessment!I67</f>
        <v>0</v>
      </c>
      <c r="P1590">
        <f>B61_Assessment!J67</f>
        <v>0</v>
      </c>
      <c r="Q1590" t="str">
        <f t="shared" si="24"/>
        <v>61|60</v>
      </c>
    </row>
    <row r="1591" spans="1:17" ht="6.45" customHeight="1">
      <c r="A1591" t="s">
        <v>374</v>
      </c>
      <c r="B1591">
        <v>61</v>
      </c>
      <c r="C1591" t="s">
        <v>55</v>
      </c>
      <c r="D1591">
        <v>68</v>
      </c>
      <c r="E1591" t="s">
        <v>1051</v>
      </c>
      <c r="F1591" t="s">
        <v>5322</v>
      </c>
      <c r="G1591" t="str">
        <f>B61_Assessment!A68</f>
        <v>9. OPEN QUESTIONS</v>
      </c>
      <c r="H1591">
        <f>B61_Assessment!B68</f>
        <v>0</v>
      </c>
      <c r="I1591">
        <f>B61_Assessment!C68</f>
        <v>0</v>
      </c>
      <c r="J1591">
        <f>B61_Assessment!D68</f>
        <v>0</v>
      </c>
      <c r="K1591">
        <f>B61_Assessment!E68</f>
        <v>0</v>
      </c>
      <c r="L1591">
        <f>B61_Assessment!F68</f>
        <v>0</v>
      </c>
      <c r="M1591">
        <f>B61_Assessment!G68</f>
        <v>0</v>
      </c>
      <c r="N1591">
        <f>B61_Assessment!H68</f>
        <v>0</v>
      </c>
      <c r="O1591">
        <f>B61_Assessment!I68</f>
        <v>0</v>
      </c>
      <c r="P1591">
        <f>B61_Assessment!J68</f>
        <v>0</v>
      </c>
      <c r="Q1591" t="str">
        <f t="shared" si="24"/>
        <v>61|61</v>
      </c>
    </row>
    <row r="1592" spans="1:17" ht="6.45" customHeight="1">
      <c r="A1592" t="s">
        <v>374</v>
      </c>
      <c r="B1592">
        <v>62</v>
      </c>
      <c r="C1592" t="s">
        <v>55</v>
      </c>
      <c r="D1592">
        <v>69</v>
      </c>
      <c r="E1592" t="s">
        <v>1051</v>
      </c>
      <c r="F1592" t="s">
        <v>5323</v>
      </c>
      <c r="G1592" t="str">
        <f>B61_Assessment!A69</f>
        <v>Question ID</v>
      </c>
      <c r="H1592" t="str">
        <f>B61_Assessment!B69</f>
        <v>Question</v>
      </c>
      <c r="I1592" t="str">
        <f>B61_Assessment!C69</f>
        <v>Assigned To</v>
      </c>
      <c r="J1592" t="str">
        <f>B61_Assessment!D69</f>
        <v>Status</v>
      </c>
      <c r="K1592" t="str">
        <f>B61_Assessment!E69</f>
        <v>Needed By</v>
      </c>
      <c r="L1592" t="str">
        <f>B61_Assessment!F69</f>
        <v>Answer / Resolution</v>
      </c>
      <c r="M1592" t="str">
        <f>B61_Assessment!G69</f>
        <v>Impact if Unanswered</v>
      </c>
      <c r="N1592" t="str">
        <f>B61_Assessment!H69</f>
        <v>Follow-up</v>
      </c>
      <c r="O1592" t="str">
        <f>B61_Assessment!I69</f>
        <v>Date Closed</v>
      </c>
      <c r="P1592" t="str">
        <f>B61_Assessment!J69</f>
        <v>Notes</v>
      </c>
      <c r="Q1592" t="str">
        <f t="shared" si="24"/>
        <v>61|62</v>
      </c>
    </row>
    <row r="1593" spans="1:17" ht="6.45" customHeight="1">
      <c r="A1593" t="s">
        <v>374</v>
      </c>
      <c r="B1593">
        <v>63</v>
      </c>
      <c r="C1593" t="s">
        <v>55</v>
      </c>
      <c r="D1593">
        <v>70</v>
      </c>
      <c r="E1593" t="s">
        <v>1051</v>
      </c>
      <c r="F1593" t="s">
        <v>5324</v>
      </c>
      <c r="G1593" t="str">
        <f>B61_Assessment!A70</f>
        <v>B61-Q1</v>
      </c>
      <c r="H1593" t="str">
        <f>B61_Assessment!B70</f>
        <v>Confirm final telecom room list and PMIS mapping: B13H-A, 124, 226 and existing 137/137A demarc/server rooms?</v>
      </c>
      <c r="I1593" t="str">
        <f>B61_Assessment!C70</f>
        <v>VA / OIT / Designer</v>
      </c>
      <c r="J1593" t="str">
        <f>B61_Assessment!D70</f>
        <v>Closed</v>
      </c>
      <c r="K1593">
        <f>B61_Assessment!E70</f>
        <v>0</v>
      </c>
      <c r="L1593">
        <f>B61_Assessment!F70</f>
        <v>0</v>
      </c>
      <c r="M1593" t="str">
        <f>B61_Assessment!G70</f>
        <v>Room inventory could miss scope</v>
      </c>
      <c r="N1593">
        <f>B61_Assessment!H70</f>
        <v>0</v>
      </c>
      <c r="O1593">
        <f>B61_Assessment!I70</f>
        <v>0</v>
      </c>
      <c r="P1593">
        <f>B61_Assessment!J70</f>
        <v>0</v>
      </c>
      <c r="Q1593" t="str">
        <f t="shared" si="24"/>
        <v>61|63</v>
      </c>
    </row>
    <row r="1594" spans="1:17" ht="6.45" customHeight="1">
      <c r="A1594" t="s">
        <v>374</v>
      </c>
      <c r="B1594">
        <v>64</v>
      </c>
      <c r="C1594" t="s">
        <v>55</v>
      </c>
      <c r="D1594">
        <v>71</v>
      </c>
      <c r="E1594" t="s">
        <v>1051</v>
      </c>
      <c r="F1594" t="s">
        <v>5324</v>
      </c>
      <c r="G1594" t="str">
        <f>B61_Assessment!A71</f>
        <v>B61-Q2</v>
      </c>
      <c r="H1594" t="str">
        <f>B61_Assessment!B71</f>
        <v>What active services and circuits are currently housed in Room 137/137A?</v>
      </c>
      <c r="I1594" t="str">
        <f>B61_Assessment!C71</f>
        <v>OIT / Contractor</v>
      </c>
      <c r="J1594" t="str">
        <f>B61_Assessment!D71</f>
        <v>Closed</v>
      </c>
      <c r="K1594">
        <f>B61_Assessment!E71</f>
        <v>0</v>
      </c>
      <c r="L1594">
        <f>B61_Assessment!F71</f>
        <v>0</v>
      </c>
      <c r="M1594" t="str">
        <f>B61_Assessment!G71</f>
        <v>Potential outage/cutover risk</v>
      </c>
      <c r="N1594">
        <f>B61_Assessment!H71</f>
        <v>0</v>
      </c>
      <c r="O1594">
        <f>B61_Assessment!I71</f>
        <v>0</v>
      </c>
      <c r="P1594">
        <f>B61_Assessment!J71</f>
        <v>0</v>
      </c>
      <c r="Q1594" t="str">
        <f t="shared" si="24"/>
        <v>61|64</v>
      </c>
    </row>
    <row r="1595" spans="1:17" ht="6.45" customHeight="1">
      <c r="A1595" t="s">
        <v>374</v>
      </c>
      <c r="B1595">
        <v>65</v>
      </c>
      <c r="C1595" t="s">
        <v>55</v>
      </c>
      <c r="D1595">
        <v>72</v>
      </c>
      <c r="E1595" t="s">
        <v>1051</v>
      </c>
      <c r="F1595" t="s">
        <v>5324</v>
      </c>
      <c r="G1595" t="str">
        <f>B61_Assessment!A72</f>
        <v>B61-Q3</v>
      </c>
      <c r="H1595" t="str">
        <f>B61_Assessment!B72</f>
        <v>Are B61-TR137AA/AB panel references tied to Room 137 or a schedule naming mismatch for Room 124?</v>
      </c>
      <c r="I1595" t="str">
        <f>B61_Assessment!C72</f>
        <v>Electrical / Designer</v>
      </c>
      <c r="J1595" t="str">
        <f>B61_Assessment!D72</f>
        <v>Closed</v>
      </c>
      <c r="K1595">
        <f>B61_Assessment!E72</f>
        <v>0</v>
      </c>
      <c r="L1595">
        <f>B61_Assessment!F72</f>
        <v>0</v>
      </c>
      <c r="M1595" t="str">
        <f>B61_Assessment!G72</f>
        <v>Electrical PMIS mapping risk</v>
      </c>
      <c r="N1595">
        <f>B61_Assessment!H72</f>
        <v>0</v>
      </c>
      <c r="O1595">
        <f>B61_Assessment!I72</f>
        <v>0</v>
      </c>
      <c r="P1595">
        <f>B61_Assessment!J72</f>
        <v>0</v>
      </c>
      <c r="Q1595" t="str">
        <f t="shared" si="24"/>
        <v>61|65</v>
      </c>
    </row>
    <row r="1596" spans="1:17" ht="6.45" customHeight="1">
      <c r="A1596" t="s">
        <v>374</v>
      </c>
      <c r="B1596">
        <v>66</v>
      </c>
      <c r="C1596" t="s">
        <v>55</v>
      </c>
      <c r="D1596">
        <v>73</v>
      </c>
      <c r="E1596" t="s">
        <v>1051</v>
      </c>
      <c r="F1596" t="s">
        <v>5324</v>
      </c>
      <c r="G1596" t="str">
        <f>B61_Assessment!A73</f>
        <v>B61-Q4</v>
      </c>
      <c r="H1596" t="str">
        <f>B61_Assessment!B73</f>
        <v>Are IU/CU-0-01, 1-01 and 2-01 on emergency/backup power and dedicated to the TRs they serve?</v>
      </c>
      <c r="I1596" t="str">
        <f>B61_Assessment!C73</f>
        <v>Mechanical / Electrical / VA</v>
      </c>
      <c r="J1596" t="str">
        <f>B61_Assessment!D73</f>
        <v>Closed</v>
      </c>
      <c r="K1596">
        <f>B61_Assessment!E73</f>
        <v>0</v>
      </c>
      <c r="L1596">
        <f>B61_Assessment!F73</f>
        <v>0</v>
      </c>
      <c r="M1596" t="str">
        <f>B61_Assessment!G73</f>
        <v>Cooling continuity unclear</v>
      </c>
      <c r="N1596">
        <f>B61_Assessment!H73</f>
        <v>0</v>
      </c>
      <c r="O1596">
        <f>B61_Assessment!I73</f>
        <v>0</v>
      </c>
      <c r="P1596">
        <f>B61_Assessment!J73</f>
        <v>0</v>
      </c>
      <c r="Q1596" t="str">
        <f t="shared" si="24"/>
        <v>61|66</v>
      </c>
    </row>
    <row r="1597" spans="1:17" ht="6.45" customHeight="1">
      <c r="A1597" t="s">
        <v>374</v>
      </c>
      <c r="B1597">
        <v>67</v>
      </c>
      <c r="C1597" t="s">
        <v>55</v>
      </c>
      <c r="D1597">
        <v>74</v>
      </c>
      <c r="E1597" t="s">
        <v>1051</v>
      </c>
      <c r="F1597" t="s">
        <v>5324</v>
      </c>
      <c r="G1597" t="str">
        <f>B61_Assessment!A74</f>
        <v>B61-Q5</v>
      </c>
      <c r="H1597" t="str">
        <f>B61_Assessment!B74</f>
        <v>Where are clean-agent/CO2 FEC cabinets located within 75 ft of each new TR?</v>
      </c>
      <c r="I1597" t="str">
        <f>B61_Assessment!C74</f>
        <v>GC / COR</v>
      </c>
      <c r="J1597" t="str">
        <f>B61_Assessment!D74</f>
        <v>Closed</v>
      </c>
      <c r="K1597">
        <f>B61_Assessment!E74</f>
        <v>0</v>
      </c>
      <c r="L1597">
        <f>B61_Assessment!F74</f>
        <v>0</v>
      </c>
      <c r="M1597" t="str">
        <f>B61_Assessment!G74</f>
        <v>Life-safety acceptance risk</v>
      </c>
      <c r="N1597">
        <f>B61_Assessment!H74</f>
        <v>0</v>
      </c>
      <c r="O1597">
        <f>B61_Assessment!I74</f>
        <v>0</v>
      </c>
      <c r="P1597">
        <f>B61_Assessment!J74</f>
        <v>0</v>
      </c>
      <c r="Q1597" t="str">
        <f t="shared" si="24"/>
        <v>61|67</v>
      </c>
    </row>
    <row r="1598" spans="1:17" ht="6.45" customHeight="1">
      <c r="A1598" t="s">
        <v>374</v>
      </c>
      <c r="B1598">
        <v>68</v>
      </c>
      <c r="C1598" t="s">
        <v>55</v>
      </c>
      <c r="D1598">
        <v>75</v>
      </c>
      <c r="E1598" t="s">
        <v>1051</v>
      </c>
      <c r="F1598" t="s">
        <v>5324</v>
      </c>
      <c r="G1598" t="str">
        <f>B61_Assessment!A75</f>
        <v>B61-Q6</v>
      </c>
      <c r="H1598" t="str">
        <f>B61_Assessment!B75</f>
        <v>Are rack UPS/PDU circuits, SPDs, labels, load measurements and LOTO requirements approved for all TR panelboards?</v>
      </c>
      <c r="I1598" t="str">
        <f>B61_Assessment!C75</f>
        <v>Electrical / Designer</v>
      </c>
      <c r="J1598" t="str">
        <f>B61_Assessment!D75</f>
        <v>Closed</v>
      </c>
      <c r="K1598">
        <f>B61_Assessment!E75</f>
        <v>0</v>
      </c>
      <c r="L1598">
        <f>B61_Assessment!F75</f>
        <v>0</v>
      </c>
      <c r="M1598" t="str">
        <f>B61_Assessment!G75</f>
        <v>Electrical readiness unknown</v>
      </c>
      <c r="N1598">
        <f>B61_Assessment!H75</f>
        <v>0</v>
      </c>
      <c r="O1598">
        <f>B61_Assessment!I75</f>
        <v>0</v>
      </c>
      <c r="P1598">
        <f>B61_Assessment!J75</f>
        <v>0</v>
      </c>
      <c r="Q1598" t="str">
        <f t="shared" si="24"/>
        <v>61|68</v>
      </c>
    </row>
    <row r="1599" spans="1:17" ht="6.45" customHeight="1">
      <c r="A1599" t="s">
        <v>374</v>
      </c>
      <c r="B1599">
        <v>69</v>
      </c>
      <c r="C1599" t="s">
        <v>55</v>
      </c>
      <c r="D1599">
        <v>76</v>
      </c>
      <c r="E1599" t="s">
        <v>1051</v>
      </c>
      <c r="F1599" t="s">
        <v>5324</v>
      </c>
      <c r="G1599" t="str">
        <f>B61_Assessment!A76</f>
        <v>B61-Q7</v>
      </c>
      <c r="H1599" t="str">
        <f>B61_Assessment!B76</f>
        <v>Are all rated wall/floor penetrations, sleeves, cable tray entries and temporary firestopping details identified?</v>
      </c>
      <c r="I1599" t="str">
        <f>B61_Assessment!C76</f>
        <v>GC / Firestop</v>
      </c>
      <c r="J1599" t="str">
        <f>B61_Assessment!D76</f>
        <v>Closed</v>
      </c>
      <c r="K1599">
        <f>B61_Assessment!E76</f>
        <v>0</v>
      </c>
      <c r="L1599">
        <f>B61_Assessment!F76</f>
        <v>0</v>
      </c>
      <c r="M1599" t="str">
        <f>B61_Assessment!G76</f>
        <v>Fire/smoke spread risk</v>
      </c>
      <c r="N1599">
        <f>B61_Assessment!H76</f>
        <v>0</v>
      </c>
      <c r="O1599">
        <f>B61_Assessment!I76</f>
        <v>0</v>
      </c>
      <c r="P1599">
        <f>B61_Assessment!J76</f>
        <v>0</v>
      </c>
      <c r="Q1599" t="str">
        <f t="shared" si="24"/>
        <v>61|69</v>
      </c>
    </row>
    <row r="1600" spans="1:17" ht="6.45" customHeight="1">
      <c r="A1600" t="s">
        <v>374</v>
      </c>
      <c r="B1600">
        <v>70</v>
      </c>
      <c r="C1600" t="s">
        <v>55</v>
      </c>
      <c r="D1600">
        <v>77</v>
      </c>
      <c r="E1600" t="s">
        <v>1051</v>
      </c>
      <c r="F1600" t="s">
        <v>5324</v>
      </c>
      <c r="G1600" t="str">
        <f>B61_Assessment!A77</f>
        <v>B61-Q8</v>
      </c>
      <c r="H1600" t="str">
        <f>B61_Assessment!B77</f>
        <v>Which third-party inspections, commissioning forms and OIT acceptance records are required before turnover?</v>
      </c>
      <c r="I1600" t="str">
        <f>B61_Assessment!C77</f>
        <v>GC / Cx Manager / OIT</v>
      </c>
      <c r="J1600" t="str">
        <f>B61_Assessment!D77</f>
        <v>Closed</v>
      </c>
      <c r="K1600">
        <f>B61_Assessment!E77</f>
        <v>0</v>
      </c>
      <c r="L1600">
        <f>B61_Assessment!F77</f>
        <v>0</v>
      </c>
      <c r="M1600" t="str">
        <f>B61_Assessment!G77</f>
        <v>Turnover package gap</v>
      </c>
      <c r="N1600">
        <f>B61_Assessment!H77</f>
        <v>0</v>
      </c>
      <c r="O1600">
        <f>B61_Assessment!I77</f>
        <v>0</v>
      </c>
      <c r="P1600">
        <f>B61_Assessment!J77</f>
        <v>0</v>
      </c>
      <c r="Q1600" t="str">
        <f t="shared" si="24"/>
        <v>61|70</v>
      </c>
    </row>
    <row r="1601" spans="1:17" ht="6.45" customHeight="1">
      <c r="A1601" t="s">
        <v>374</v>
      </c>
      <c r="B1601">
        <v>71</v>
      </c>
      <c r="C1601" t="s">
        <v>55</v>
      </c>
      <c r="D1601">
        <v>78</v>
      </c>
      <c r="E1601" t="s">
        <v>1051</v>
      </c>
      <c r="F1601" t="s">
        <v>5325</v>
      </c>
      <c r="G1601" t="str">
        <f>B61_Assessment!A78</f>
        <v>B61-Q9</v>
      </c>
      <c r="H1601" t="str">
        <f>B61_Assessment!B78</f>
        <v xml:space="preserve">How did this sheetget made? </v>
      </c>
      <c r="I1601" t="str">
        <f>B61_Assessment!C78</f>
        <v>GC / Cx Manager / OIT</v>
      </c>
      <c r="J1601" t="str">
        <f>B61_Assessment!D78</f>
        <v>Closed</v>
      </c>
      <c r="K1601">
        <f>B61_Assessment!E78</f>
        <v>0</v>
      </c>
      <c r="L1601">
        <f>B61_Assessment!F78</f>
        <v>0</v>
      </c>
      <c r="M1601" t="str">
        <f>B61_Assessment!G78</f>
        <v>Turnover package gap</v>
      </c>
      <c r="N1601">
        <f>B61_Assessment!H78</f>
        <v>0</v>
      </c>
      <c r="O1601">
        <f>B61_Assessment!I78</f>
        <v>0</v>
      </c>
      <c r="P1601">
        <f>B61_Assessment!J78</f>
        <v>0</v>
      </c>
      <c r="Q1601" t="str">
        <f t="shared" si="24"/>
        <v>61|71</v>
      </c>
    </row>
    <row r="1602" spans="1:17" ht="6.45" customHeight="1">
      <c r="A1602" t="s">
        <v>374</v>
      </c>
      <c r="B1602">
        <v>72</v>
      </c>
      <c r="C1602" t="s">
        <v>55</v>
      </c>
      <c r="D1602">
        <v>79</v>
      </c>
      <c r="E1602" t="s">
        <v>1052</v>
      </c>
      <c r="F1602" t="s">
        <v>5322</v>
      </c>
      <c r="G1602" t="str">
        <f>B61_Assessment!A79</f>
        <v>10. PHOTO LOG</v>
      </c>
      <c r="H1602">
        <f>B61_Assessment!B79</f>
        <v>0</v>
      </c>
      <c r="I1602">
        <f>B61_Assessment!C79</f>
        <v>0</v>
      </c>
      <c r="J1602">
        <f>B61_Assessment!D79</f>
        <v>0</v>
      </c>
      <c r="K1602">
        <f>B61_Assessment!E79</f>
        <v>0</v>
      </c>
      <c r="L1602">
        <f>B61_Assessment!F79</f>
        <v>0</v>
      </c>
      <c r="M1602">
        <f>B61_Assessment!G79</f>
        <v>0</v>
      </c>
      <c r="N1602">
        <f>B61_Assessment!H79</f>
        <v>0</v>
      </c>
      <c r="O1602">
        <f>B61_Assessment!I79</f>
        <v>0</v>
      </c>
      <c r="P1602">
        <f>B61_Assessment!J79</f>
        <v>0</v>
      </c>
      <c r="Q1602" t="str">
        <f t="shared" ref="Q1602:Q1665" si="25">A1602&amp;"|"&amp;B1602</f>
        <v>61|72</v>
      </c>
    </row>
    <row r="1603" spans="1:17" ht="6.45" customHeight="1">
      <c r="A1603" t="s">
        <v>374</v>
      </c>
      <c r="B1603">
        <v>73</v>
      </c>
      <c r="C1603" t="s">
        <v>55</v>
      </c>
      <c r="D1603">
        <v>80</v>
      </c>
      <c r="E1603" t="s">
        <v>1052</v>
      </c>
      <c r="F1603" t="s">
        <v>5323</v>
      </c>
      <c r="G1603" t="str">
        <f>B61_Assessment!A80</f>
        <v>Photo ID</v>
      </c>
      <c r="H1603" t="str">
        <f>B61_Assessment!B80</f>
        <v>Room</v>
      </c>
      <c r="I1603" t="str">
        <f>B61_Assessment!C80</f>
        <v>Category</v>
      </c>
      <c r="J1603" t="str">
        <f>B61_Assessment!D80</f>
        <v>Description</v>
      </c>
      <c r="K1603" t="str">
        <f>B61_Assessment!E80</f>
        <v>Date</v>
      </c>
      <c r="L1603" t="str">
        <f>B61_Assessment!F80</f>
        <v>Taken By</v>
      </c>
      <c r="M1603" t="str">
        <f>B61_Assessment!G80</f>
        <v>File / Link</v>
      </c>
      <c r="N1603" t="str">
        <f>B61_Assessment!H80</f>
        <v>Related Risk</v>
      </c>
      <c r="O1603" t="str">
        <f>B61_Assessment!I80</f>
        <v>Status</v>
      </c>
      <c r="P1603" t="str">
        <f>B61_Assessment!J80</f>
        <v>Notes</v>
      </c>
      <c r="Q1603" t="str">
        <f t="shared" si="25"/>
        <v>61|73</v>
      </c>
    </row>
    <row r="1604" spans="1:17" ht="6.45" customHeight="1">
      <c r="A1604" t="s">
        <v>374</v>
      </c>
      <c r="B1604">
        <v>74</v>
      </c>
      <c r="C1604" t="s">
        <v>55</v>
      </c>
      <c r="D1604">
        <v>81</v>
      </c>
      <c r="E1604" t="s">
        <v>1052</v>
      </c>
      <c r="F1604" t="s">
        <v>5324</v>
      </c>
      <c r="G1604" t="str">
        <f>B61_Assessment!A81</f>
        <v>B61-P001</v>
      </c>
      <c r="H1604" t="str">
        <f>B61_Assessment!B81</f>
        <v>B13H-A</v>
      </c>
      <c r="I1604" t="str">
        <f>B61_Assessment!C81</f>
        <v>Existing Condition</v>
      </c>
      <c r="J1604" t="str">
        <f>B61_Assessment!D81</f>
        <v>Basement TR B13H-A walls, ceiling/deck, floor, door, rack/future rack, power, HVAC, cable tray and penetrations</v>
      </c>
      <c r="K1604">
        <f>B61_Assessment!E81</f>
        <v>0</v>
      </c>
      <c r="L1604" t="str">
        <f>B61_Assessment!F81</f>
        <v>Paul</v>
      </c>
      <c r="M1604">
        <f>B61_Assessment!G81</f>
        <v>0</v>
      </c>
      <c r="N1604" t="str">
        <f>B61_Assessment!H81</f>
        <v>B61-R1/B61-R2</v>
      </c>
      <c r="O1604" t="str">
        <f>B61_Assessment!I81</f>
        <v>Closed</v>
      </c>
      <c r="P1604">
        <f>B61_Assessment!J81</f>
        <v>0</v>
      </c>
      <c r="Q1604" t="str">
        <f t="shared" si="25"/>
        <v>61|74</v>
      </c>
    </row>
    <row r="1605" spans="1:17" ht="6.45" customHeight="1">
      <c r="A1605" t="s">
        <v>374</v>
      </c>
      <c r="B1605">
        <v>75</v>
      </c>
      <c r="C1605" t="s">
        <v>55</v>
      </c>
      <c r="D1605">
        <v>82</v>
      </c>
      <c r="E1605" t="s">
        <v>1052</v>
      </c>
      <c r="F1605" t="s">
        <v>5324</v>
      </c>
      <c r="G1605" t="str">
        <f>B61_Assessment!A82</f>
        <v>B61-P002</v>
      </c>
      <c r="H1605" t="str">
        <f>B61_Assessment!B82</f>
        <v>124</v>
      </c>
      <c r="I1605" t="str">
        <f>B61_Assessment!C82</f>
        <v>Existing Condition</v>
      </c>
      <c r="J1605" t="str">
        <f>B61_Assessment!D82</f>
        <v>First-level TR 124 walls, ceiling/deck, floor, door, rack/future rack, power, HVAC, cable tray and penetrations</v>
      </c>
      <c r="K1605">
        <f>B61_Assessment!E82</f>
        <v>0</v>
      </c>
      <c r="L1605" t="str">
        <f>B61_Assessment!F82</f>
        <v>Paul</v>
      </c>
      <c r="M1605">
        <f>B61_Assessment!G82</f>
        <v>0</v>
      </c>
      <c r="N1605" t="str">
        <f>B61_Assessment!H82</f>
        <v>B61-R1/B61-R4</v>
      </c>
      <c r="O1605" t="str">
        <f>B61_Assessment!I82</f>
        <v>Closed</v>
      </c>
      <c r="P1605">
        <f>B61_Assessment!J82</f>
        <v>0</v>
      </c>
      <c r="Q1605" t="str">
        <f t="shared" si="25"/>
        <v>61|75</v>
      </c>
    </row>
    <row r="1606" spans="1:17" ht="6.45" customHeight="1">
      <c r="A1606" t="s">
        <v>374</v>
      </c>
      <c r="B1606">
        <v>76</v>
      </c>
      <c r="C1606" t="s">
        <v>55</v>
      </c>
      <c r="D1606">
        <v>83</v>
      </c>
      <c r="E1606" t="s">
        <v>1052</v>
      </c>
      <c r="F1606" t="s">
        <v>5324</v>
      </c>
      <c r="G1606" t="str">
        <f>B61_Assessment!A83</f>
        <v>B61-P003</v>
      </c>
      <c r="H1606" t="str">
        <f>B61_Assessment!B83</f>
        <v>226</v>
      </c>
      <c r="I1606" t="str">
        <f>B61_Assessment!C83</f>
        <v>Existing Condition</v>
      </c>
      <c r="J1606" t="str">
        <f>B61_Assessment!D83</f>
        <v>Second-level TR 226 walls, ceiling/deck, floor, door, rack/future rack, power, HVAC, cable tray and riser penetrations</v>
      </c>
      <c r="K1606">
        <f>B61_Assessment!E83</f>
        <v>0</v>
      </c>
      <c r="L1606" t="str">
        <f>B61_Assessment!F83</f>
        <v>Paul</v>
      </c>
      <c r="M1606">
        <f>B61_Assessment!G83</f>
        <v>0</v>
      </c>
      <c r="N1606" t="str">
        <f>B61_Assessment!H83</f>
        <v>B61-R1/B61-R4</v>
      </c>
      <c r="O1606" t="str">
        <f>B61_Assessment!I83</f>
        <v>Closed</v>
      </c>
      <c r="P1606">
        <f>B61_Assessment!J83</f>
        <v>0</v>
      </c>
      <c r="Q1606" t="str">
        <f t="shared" si="25"/>
        <v>61|76</v>
      </c>
    </row>
    <row r="1607" spans="1:17" ht="6.45" customHeight="1">
      <c r="A1607" t="s">
        <v>374</v>
      </c>
      <c r="B1607">
        <v>77</v>
      </c>
      <c r="C1607" t="s">
        <v>55</v>
      </c>
      <c r="D1607">
        <v>84</v>
      </c>
      <c r="E1607" t="s">
        <v>1052</v>
      </c>
      <c r="F1607" t="s">
        <v>5324</v>
      </c>
      <c r="G1607" t="str">
        <f>B61_Assessment!A84</f>
        <v>B61-P004</v>
      </c>
      <c r="H1607" t="str">
        <f>B61_Assessment!B84</f>
        <v>137 / 137A</v>
      </c>
      <c r="I1607" t="str">
        <f>B61_Assessment!C84</f>
        <v>Existing Equipment</v>
      </c>
      <c r="J1607" t="str">
        <f>B61_Assessment!D84</f>
        <v>Existing server/demarc racks, APC UPS/PDU, Fujitsu equipment, patch panels, PACS/equipment racks and cable entries</v>
      </c>
      <c r="K1607">
        <f>B61_Assessment!E84</f>
        <v>0</v>
      </c>
      <c r="L1607" t="str">
        <f>B61_Assessment!F84</f>
        <v>Paul</v>
      </c>
      <c r="M1607">
        <f>B61_Assessment!G84</f>
        <v>0</v>
      </c>
      <c r="N1607" t="str">
        <f>B61_Assessment!H84</f>
        <v>B61-R3/B61-R7</v>
      </c>
      <c r="O1607" t="str">
        <f>B61_Assessment!I84</f>
        <v>Closed</v>
      </c>
      <c r="P1607">
        <f>B61_Assessment!J84</f>
        <v>0</v>
      </c>
      <c r="Q1607" t="str">
        <f t="shared" si="25"/>
        <v>61|77</v>
      </c>
    </row>
    <row r="1608" spans="1:17" ht="6.45" customHeight="1">
      <c r="A1608" t="s">
        <v>374</v>
      </c>
      <c r="B1608">
        <v>78</v>
      </c>
      <c r="C1608" t="s">
        <v>55</v>
      </c>
      <c r="D1608">
        <v>85</v>
      </c>
      <c r="E1608" t="s">
        <v>1052</v>
      </c>
      <c r="F1608" t="s">
        <v>5324</v>
      </c>
      <c r="G1608" t="str">
        <f>B61_Assessment!A85</f>
        <v>B61-P005</v>
      </c>
      <c r="H1608" t="str">
        <f>B61_Assessment!B85</f>
        <v>All TRs</v>
      </c>
      <c r="I1608" t="str">
        <f>B61_Assessment!C85</f>
        <v>HVAC</v>
      </c>
      <c r="J1608" t="str">
        <f>B61_Assessment!D85</f>
        <v>IU/CU-0-01, IU/CU-1-01, IU/CU-2-01, condensate, thermostat, BACnet adapter, disconnects, high-temp alarm and power source</v>
      </c>
      <c r="K1608">
        <f>B61_Assessment!E85</f>
        <v>0</v>
      </c>
      <c r="L1608" t="str">
        <f>B61_Assessment!F85</f>
        <v>Paul</v>
      </c>
      <c r="M1608">
        <f>B61_Assessment!G85</f>
        <v>0</v>
      </c>
      <c r="N1608" t="str">
        <f>B61_Assessment!H85</f>
        <v>B61-R4</v>
      </c>
      <c r="O1608" t="str">
        <f>B61_Assessment!I85</f>
        <v>Closed</v>
      </c>
      <c r="P1608">
        <f>B61_Assessment!J85</f>
        <v>0</v>
      </c>
      <c r="Q1608" t="str">
        <f t="shared" si="25"/>
        <v>61|78</v>
      </c>
    </row>
    <row r="1609" spans="1:17" ht="6.45" customHeight="1">
      <c r="A1609" t="s">
        <v>374</v>
      </c>
      <c r="B1609">
        <v>79</v>
      </c>
      <c r="C1609" t="s">
        <v>55</v>
      </c>
      <c r="D1609">
        <v>86</v>
      </c>
      <c r="E1609" t="s">
        <v>1052</v>
      </c>
      <c r="F1609" t="s">
        <v>5324</v>
      </c>
      <c r="G1609" t="str">
        <f>B61_Assessment!A86</f>
        <v>B61-P006</v>
      </c>
      <c r="H1609" t="str">
        <f>B61_Assessment!B86</f>
        <v>All TRs</v>
      </c>
      <c r="I1609" t="str">
        <f>B61_Assessment!C86</f>
        <v>Electrical</v>
      </c>
      <c r="J1609" t="str">
        <f>B61_Assessment!D86</f>
        <v>B61 telecom panels, PD panels, rack receptacles, UPS/PDU, breakers, SPDs, labels and grounding/bonding</v>
      </c>
      <c r="K1609">
        <f>B61_Assessment!E86</f>
        <v>0</v>
      </c>
      <c r="L1609" t="str">
        <f>B61_Assessment!F86</f>
        <v>Paul</v>
      </c>
      <c r="M1609">
        <f>B61_Assessment!G86</f>
        <v>0</v>
      </c>
      <c r="N1609" t="str">
        <f>B61_Assessment!H86</f>
        <v>B61-R5</v>
      </c>
      <c r="O1609" t="str">
        <f>B61_Assessment!I86</f>
        <v>Closed</v>
      </c>
      <c r="P1609">
        <f>B61_Assessment!J86</f>
        <v>0</v>
      </c>
      <c r="Q1609" t="str">
        <f t="shared" si="25"/>
        <v>61|79</v>
      </c>
    </row>
    <row r="1610" spans="1:17" ht="6.45" customHeight="1">
      <c r="A1610" t="s">
        <v>374</v>
      </c>
      <c r="B1610">
        <v>80</v>
      </c>
      <c r="C1610" t="s">
        <v>55</v>
      </c>
      <c r="D1610">
        <v>87</v>
      </c>
      <c r="E1610" t="s">
        <v>1052</v>
      </c>
      <c r="F1610" t="s">
        <v>5324</v>
      </c>
      <c r="G1610" t="str">
        <f>B61_Assessment!A87</f>
        <v>B61-P007</v>
      </c>
      <c r="H1610" t="str">
        <f>B61_Assessment!B87</f>
        <v>All</v>
      </c>
      <c r="I1610" t="str">
        <f>B61_Assessment!C87</f>
        <v>Cable Tray / Firestop</v>
      </c>
      <c r="J1610" t="str">
        <f>B61_Assessment!D87</f>
        <v>Basement/first/second cable tray route, supports, seismic bracing, penetrations and before/after firestopping</v>
      </c>
      <c r="K1610">
        <f>B61_Assessment!E87</f>
        <v>0</v>
      </c>
      <c r="L1610" t="str">
        <f>B61_Assessment!F87</f>
        <v>Paul</v>
      </c>
      <c r="M1610">
        <f>B61_Assessment!G87</f>
        <v>0</v>
      </c>
      <c r="N1610" t="str">
        <f>B61_Assessment!H87</f>
        <v>B61-R6</v>
      </c>
      <c r="O1610" t="str">
        <f>B61_Assessment!I87</f>
        <v>Closed</v>
      </c>
      <c r="P1610">
        <f>B61_Assessment!J87</f>
        <v>0</v>
      </c>
      <c r="Q1610" t="str">
        <f t="shared" si="25"/>
        <v>61|80</v>
      </c>
    </row>
    <row r="1611" spans="1:17" ht="6.45" customHeight="1">
      <c r="A1611" t="s">
        <v>374</v>
      </c>
      <c r="B1611">
        <v>81</v>
      </c>
      <c r="C1611" t="s">
        <v>55</v>
      </c>
      <c r="D1611">
        <v>88</v>
      </c>
      <c r="E1611" t="s">
        <v>1052</v>
      </c>
      <c r="F1611" t="s">
        <v>5324</v>
      </c>
      <c r="G1611" t="str">
        <f>B61_Assessment!A88</f>
        <v>B61-P008</v>
      </c>
      <c r="H1611" t="str">
        <f>B61_Assessment!B88</f>
        <v>All</v>
      </c>
      <c r="I1611" t="str">
        <f>B61_Assessment!C88</f>
        <v>Telecom / Security</v>
      </c>
      <c r="J1611" t="str">
        <f>B61_Assessment!D88</f>
        <v>Racks, Fiber LIU, Cat6A, patch panels, labels/test records, CCTV, PACS and existing equipment transfer work</v>
      </c>
      <c r="K1611">
        <f>B61_Assessment!E88</f>
        <v>0</v>
      </c>
      <c r="L1611" t="str">
        <f>B61_Assessment!F88</f>
        <v>Paul</v>
      </c>
      <c r="M1611">
        <f>B61_Assessment!G88</f>
        <v>0</v>
      </c>
      <c r="N1611" t="str">
        <f>B61_Assessment!H88</f>
        <v>B61-R7/B61-R8</v>
      </c>
      <c r="O1611" t="str">
        <f>B61_Assessment!I88</f>
        <v>Closed</v>
      </c>
      <c r="P1611">
        <f>B61_Assessment!J88</f>
        <v>0</v>
      </c>
      <c r="Q1611" t="str">
        <f t="shared" si="25"/>
        <v>61|81</v>
      </c>
    </row>
    <row r="1612" spans="1:17" ht="6.45" customHeight="1">
      <c r="A1612" t="s">
        <v>374</v>
      </c>
      <c r="B1612">
        <v>82</v>
      </c>
      <c r="C1612" t="s">
        <v>55</v>
      </c>
      <c r="D1612">
        <v>89</v>
      </c>
      <c r="E1612" t="s">
        <v>1052</v>
      </c>
      <c r="F1612" t="s">
        <v>5325</v>
      </c>
      <c r="G1612">
        <f>B61_Assessment!A89</f>
        <v>0</v>
      </c>
      <c r="H1612">
        <f>B61_Assessment!B89</f>
        <v>0</v>
      </c>
      <c r="I1612">
        <f>B61_Assessment!C89</f>
        <v>0</v>
      </c>
      <c r="J1612">
        <f>B61_Assessment!D89</f>
        <v>0</v>
      </c>
      <c r="K1612">
        <f>B61_Assessment!E89</f>
        <v>0</v>
      </c>
      <c r="L1612">
        <f>B61_Assessment!F89</f>
        <v>0</v>
      </c>
      <c r="M1612">
        <f>B61_Assessment!G89</f>
        <v>0</v>
      </c>
      <c r="N1612">
        <f>B61_Assessment!H89</f>
        <v>0</v>
      </c>
      <c r="O1612">
        <f>B61_Assessment!I89</f>
        <v>0</v>
      </c>
      <c r="P1612">
        <f>B61_Assessment!J89</f>
        <v>0</v>
      </c>
      <c r="Q1612" t="str">
        <f t="shared" si="25"/>
        <v>61|82</v>
      </c>
    </row>
    <row r="1613" spans="1:17" ht="6.45" customHeight="1">
      <c r="A1613" t="s">
        <v>376</v>
      </c>
      <c r="B1613">
        <v>1</v>
      </c>
      <c r="C1613" t="s">
        <v>57</v>
      </c>
      <c r="D1613">
        <v>8</v>
      </c>
      <c r="E1613" t="s">
        <v>918</v>
      </c>
      <c r="F1613" t="s">
        <v>5322</v>
      </c>
      <c r="G1613" t="str">
        <f>B62_TR_Assessment!A8</f>
        <v>1. ROOM INVENTORY</v>
      </c>
      <c r="H1613">
        <f>B62_TR_Assessment!B8</f>
        <v>0</v>
      </c>
      <c r="I1613">
        <f>B62_TR_Assessment!C8</f>
        <v>0</v>
      </c>
      <c r="J1613">
        <f>B62_TR_Assessment!D8</f>
        <v>0</v>
      </c>
      <c r="K1613">
        <f>B62_TR_Assessment!E8</f>
        <v>0</v>
      </c>
      <c r="L1613">
        <f>B62_TR_Assessment!F8</f>
        <v>0</v>
      </c>
      <c r="M1613">
        <f>B62_TR_Assessment!G8</f>
        <v>0</v>
      </c>
      <c r="N1613">
        <f>B62_TR_Assessment!H8</f>
        <v>0</v>
      </c>
      <c r="O1613">
        <f>B62_TR_Assessment!I8</f>
        <v>0</v>
      </c>
      <c r="P1613">
        <f>B62_TR_Assessment!J8</f>
        <v>0</v>
      </c>
      <c r="Q1613" t="str">
        <f t="shared" si="25"/>
        <v>62|1</v>
      </c>
    </row>
    <row r="1614" spans="1:17" ht="6.45" customHeight="1">
      <c r="A1614" t="s">
        <v>376</v>
      </c>
      <c r="B1614">
        <v>2</v>
      </c>
      <c r="C1614" t="s">
        <v>57</v>
      </c>
      <c r="D1614">
        <v>9</v>
      </c>
      <c r="E1614" t="s">
        <v>918</v>
      </c>
      <c r="F1614" t="s">
        <v>5323</v>
      </c>
      <c r="G1614" t="str">
        <f>B62_TR_Assessment!A9</f>
        <v>Building</v>
      </c>
      <c r="H1614" t="str">
        <f>B62_TR_Assessment!B9</f>
        <v>Room</v>
      </c>
      <c r="I1614" t="str">
        <f>B62_TR_Assessment!C9</f>
        <v>Floor</v>
      </c>
      <c r="J1614" t="str">
        <f>B62_TR_Assessment!D9</f>
        <v>Existing Use</v>
      </c>
      <c r="K1614" t="str">
        <f>B62_TR_Assessment!E9</f>
        <v>New Use</v>
      </c>
      <c r="L1614" t="str">
        <f>B62_TR_Assessment!F9</f>
        <v>Rack Count</v>
      </c>
      <c r="M1614" t="str">
        <f>B62_TR_Assessment!G9</f>
        <v>Future Rack</v>
      </c>
      <c r="N1614" t="str">
        <f>B62_TR_Assessment!H9</f>
        <v>Status</v>
      </c>
      <c r="O1614" t="str">
        <f>B62_TR_Assessment!I9</f>
        <v>Drawing Ref</v>
      </c>
      <c r="P1614" t="str">
        <f>B62_TR_Assessment!J9</f>
        <v>Notes</v>
      </c>
      <c r="Q1614" t="str">
        <f t="shared" si="25"/>
        <v>62|2</v>
      </c>
    </row>
    <row r="1615" spans="1:17" ht="6.45" customHeight="1">
      <c r="A1615" t="s">
        <v>376</v>
      </c>
      <c r="B1615">
        <v>3</v>
      </c>
      <c r="C1615" t="s">
        <v>57</v>
      </c>
      <c r="D1615">
        <v>10</v>
      </c>
      <c r="E1615" t="s">
        <v>918</v>
      </c>
      <c r="F1615" t="s">
        <v>5324</v>
      </c>
      <c r="G1615" t="str">
        <f>B62_TR_Assessment!A10</f>
        <v>62</v>
      </c>
      <c r="H1615" t="str">
        <f>B62_TR_Assessment!B10</f>
        <v>B24A</v>
      </c>
      <c r="I1615" t="str">
        <f>B62_TR_Assessment!C10</f>
        <v>Basement</v>
      </c>
      <c r="J1615" t="str">
        <f>B62_TR_Assessment!D10</f>
        <v>Restroom / Storage</v>
      </c>
      <c r="K1615" t="str">
        <f>B62_TR_Assessment!E10</f>
        <v>TR</v>
      </c>
      <c r="L1615">
        <f>B62_TR_Assessment!F10</f>
        <v>1</v>
      </c>
      <c r="M1615">
        <f>B62_TR_Assessment!G10</f>
        <v>1</v>
      </c>
      <c r="N1615" t="str">
        <f>B62_TR_Assessment!H10</f>
        <v>Verify</v>
      </c>
      <c r="O1615" t="str">
        <f>B62_TR_Assessment!I10</f>
        <v>B62 IFC</v>
      </c>
      <c r="P1615">
        <f>B62_TR_Assessment!J10</f>
        <v>0</v>
      </c>
      <c r="Q1615" t="str">
        <f t="shared" si="25"/>
        <v>62|3</v>
      </c>
    </row>
    <row r="1616" spans="1:17" ht="6.45" customHeight="1">
      <c r="A1616" t="s">
        <v>376</v>
      </c>
      <c r="B1616">
        <v>4</v>
      </c>
      <c r="C1616" t="s">
        <v>57</v>
      </c>
      <c r="D1616">
        <v>11</v>
      </c>
      <c r="E1616" t="s">
        <v>918</v>
      </c>
      <c r="F1616" t="s">
        <v>5324</v>
      </c>
      <c r="G1616" t="str">
        <f>B62_TR_Assessment!A11</f>
        <v>62</v>
      </c>
      <c r="H1616" t="str">
        <f>B62_TR_Assessment!B11</f>
        <v>125</v>
      </c>
      <c r="I1616" t="str">
        <f>B62_TR_Assessment!C11</f>
        <v>First</v>
      </c>
      <c r="J1616" t="str">
        <f>B62_TR_Assessment!D11</f>
        <v>Medication Room</v>
      </c>
      <c r="K1616" t="str">
        <f>B62_TR_Assessment!E11</f>
        <v>TR</v>
      </c>
      <c r="L1616">
        <f>B62_TR_Assessment!F11</f>
        <v>1</v>
      </c>
      <c r="M1616">
        <f>B62_TR_Assessment!G11</f>
        <v>1</v>
      </c>
      <c r="N1616" t="str">
        <f>B62_TR_Assessment!H11</f>
        <v>Verify</v>
      </c>
      <c r="O1616" t="str">
        <f>B62_TR_Assessment!I11</f>
        <v>B62 IFC</v>
      </c>
      <c r="P1616">
        <f>B62_TR_Assessment!J11</f>
        <v>0</v>
      </c>
      <c r="Q1616" t="str">
        <f t="shared" si="25"/>
        <v>62|4</v>
      </c>
    </row>
    <row r="1617" spans="1:17" ht="6.45" customHeight="1">
      <c r="A1617" t="s">
        <v>376</v>
      </c>
      <c r="B1617">
        <v>5</v>
      </c>
      <c r="C1617" t="s">
        <v>57</v>
      </c>
      <c r="D1617">
        <v>12</v>
      </c>
      <c r="E1617" t="s">
        <v>918</v>
      </c>
      <c r="F1617" t="s">
        <v>5324</v>
      </c>
      <c r="G1617" t="str">
        <f>B62_TR_Assessment!A12</f>
        <v>62</v>
      </c>
      <c r="H1617" t="str">
        <f>B62_TR_Assessment!B12</f>
        <v>225</v>
      </c>
      <c r="I1617" t="str">
        <f>B62_TR_Assessment!C12</f>
        <v>Second</v>
      </c>
      <c r="J1617" t="str">
        <f>B62_TR_Assessment!D12</f>
        <v>Office</v>
      </c>
      <c r="K1617" t="str">
        <f>B62_TR_Assessment!E12</f>
        <v>TR</v>
      </c>
      <c r="L1617">
        <f>B62_TR_Assessment!F12</f>
        <v>1</v>
      </c>
      <c r="M1617">
        <f>B62_TR_Assessment!G12</f>
        <v>1</v>
      </c>
      <c r="N1617" t="str">
        <f>B62_TR_Assessment!H12</f>
        <v>Verify</v>
      </c>
      <c r="O1617" t="str">
        <f>B62_TR_Assessment!I12</f>
        <v>B62 IFC</v>
      </c>
      <c r="P1617">
        <f>B62_TR_Assessment!J12</f>
        <v>0</v>
      </c>
      <c r="Q1617" t="str">
        <f t="shared" si="25"/>
        <v>62|5</v>
      </c>
    </row>
    <row r="1618" spans="1:17" ht="6.45" customHeight="1">
      <c r="A1618" t="s">
        <v>376</v>
      </c>
      <c r="B1618">
        <v>6</v>
      </c>
      <c r="C1618" t="s">
        <v>57</v>
      </c>
      <c r="D1618">
        <v>13</v>
      </c>
      <c r="E1618" t="s">
        <v>918</v>
      </c>
      <c r="F1618" t="s">
        <v>5325</v>
      </c>
      <c r="G1618">
        <f>B62_TR_Assessment!A13</f>
        <v>0</v>
      </c>
      <c r="H1618">
        <f>B62_TR_Assessment!B13</f>
        <v>0</v>
      </c>
      <c r="I1618">
        <f>B62_TR_Assessment!C13</f>
        <v>0</v>
      </c>
      <c r="J1618">
        <f>B62_TR_Assessment!D13</f>
        <v>0</v>
      </c>
      <c r="K1618">
        <f>B62_TR_Assessment!E13</f>
        <v>0</v>
      </c>
      <c r="L1618">
        <f>B62_TR_Assessment!F13</f>
        <v>0</v>
      </c>
      <c r="M1618">
        <f>B62_TR_Assessment!G13</f>
        <v>0</v>
      </c>
      <c r="N1618">
        <f>B62_TR_Assessment!H13</f>
        <v>0</v>
      </c>
      <c r="O1618">
        <f>B62_TR_Assessment!I13</f>
        <v>0</v>
      </c>
      <c r="P1618">
        <f>B62_TR_Assessment!J13</f>
        <v>0</v>
      </c>
      <c r="Q1618" t="str">
        <f t="shared" si="25"/>
        <v>62|6</v>
      </c>
    </row>
    <row r="1619" spans="1:17" ht="6.45" customHeight="1">
      <c r="A1619" t="s">
        <v>376</v>
      </c>
      <c r="B1619">
        <v>7</v>
      </c>
      <c r="C1619" t="s">
        <v>57</v>
      </c>
      <c r="D1619">
        <v>14</v>
      </c>
      <c r="E1619" t="s">
        <v>918</v>
      </c>
      <c r="F1619" t="s">
        <v>5325</v>
      </c>
      <c r="G1619">
        <f>B62_TR_Assessment!A14</f>
        <v>0</v>
      </c>
      <c r="H1619">
        <f>B62_TR_Assessment!B14</f>
        <v>0</v>
      </c>
      <c r="I1619">
        <f>B62_TR_Assessment!C14</f>
        <v>0</v>
      </c>
      <c r="J1619">
        <f>B62_TR_Assessment!D14</f>
        <v>0</v>
      </c>
      <c r="K1619">
        <f>B62_TR_Assessment!E14</f>
        <v>0</v>
      </c>
      <c r="L1619">
        <f>B62_TR_Assessment!F14</f>
        <v>0</v>
      </c>
      <c r="M1619">
        <f>B62_TR_Assessment!G14</f>
        <v>0</v>
      </c>
      <c r="N1619">
        <f>B62_TR_Assessment!H14</f>
        <v>0</v>
      </c>
      <c r="O1619">
        <f>B62_TR_Assessment!I14</f>
        <v>0</v>
      </c>
      <c r="P1619">
        <f>B62_TR_Assessment!J14</f>
        <v>0</v>
      </c>
      <c r="Q1619" t="str">
        <f t="shared" si="25"/>
        <v>62|7</v>
      </c>
    </row>
    <row r="1620" spans="1:17" ht="6.45" customHeight="1">
      <c r="A1620" t="s">
        <v>376</v>
      </c>
      <c r="B1620">
        <v>8</v>
      </c>
      <c r="C1620" t="s">
        <v>57</v>
      </c>
      <c r="D1620">
        <v>15</v>
      </c>
      <c r="E1620" t="s">
        <v>936</v>
      </c>
      <c r="F1620" t="s">
        <v>5322</v>
      </c>
      <c r="G1620" t="str">
        <f>B62_TR_Assessment!A15</f>
        <v>2. ROOM READINESS</v>
      </c>
      <c r="H1620">
        <f>B62_TR_Assessment!B15</f>
        <v>0</v>
      </c>
      <c r="I1620">
        <f>B62_TR_Assessment!C15</f>
        <v>0</v>
      </c>
      <c r="J1620">
        <f>B62_TR_Assessment!D15</f>
        <v>0</v>
      </c>
      <c r="K1620">
        <f>B62_TR_Assessment!E15</f>
        <v>0</v>
      </c>
      <c r="L1620">
        <f>B62_TR_Assessment!F15</f>
        <v>0</v>
      </c>
      <c r="M1620">
        <f>B62_TR_Assessment!G15</f>
        <v>0</v>
      </c>
      <c r="N1620">
        <f>B62_TR_Assessment!H15</f>
        <v>0</v>
      </c>
      <c r="O1620">
        <f>B62_TR_Assessment!I15</f>
        <v>0</v>
      </c>
      <c r="P1620">
        <f>B62_TR_Assessment!J15</f>
        <v>0</v>
      </c>
      <c r="Q1620" t="str">
        <f t="shared" si="25"/>
        <v>62|8</v>
      </c>
    </row>
    <row r="1621" spans="1:17" ht="6.45" customHeight="1">
      <c r="A1621" t="s">
        <v>376</v>
      </c>
      <c r="B1621">
        <v>9</v>
      </c>
      <c r="C1621" t="s">
        <v>57</v>
      </c>
      <c r="D1621">
        <v>16</v>
      </c>
      <c r="E1621" t="s">
        <v>936</v>
      </c>
      <c r="F1621" t="s">
        <v>5323</v>
      </c>
      <c r="G1621" t="str">
        <f>B62_TR_Assessment!A16</f>
        <v>Room</v>
      </c>
      <c r="H1621" t="str">
        <f>B62_TR_Assessment!B16</f>
        <v>Walls</v>
      </c>
      <c r="I1621" t="str">
        <f>B62_TR_Assessment!C16</f>
        <v>Ceiling</v>
      </c>
      <c r="J1621" t="str">
        <f>B62_TR_Assessment!D16</f>
        <v>Floor</v>
      </c>
      <c r="K1621" t="str">
        <f>B62_TR_Assessment!E16</f>
        <v>Penetrations</v>
      </c>
      <c r="L1621" t="str">
        <f>B62_TR_Assessment!F16</f>
        <v>Access Control</v>
      </c>
      <c r="M1621" t="str">
        <f>B62_TR_Assessment!G16</f>
        <v>Clearances</v>
      </c>
      <c r="N1621" t="str">
        <f>B62_TR_Assessment!H16</f>
        <v>Housekeeping</v>
      </c>
      <c r="O1621" t="str">
        <f>B62_TR_Assessment!I16</f>
        <v>Overall</v>
      </c>
      <c r="P1621" t="str">
        <f>B62_TR_Assessment!J16</f>
        <v>Comments</v>
      </c>
      <c r="Q1621" t="str">
        <f t="shared" si="25"/>
        <v>62|9</v>
      </c>
    </row>
    <row r="1622" spans="1:17" ht="6.45" customHeight="1">
      <c r="A1622" t="s">
        <v>376</v>
      </c>
      <c r="B1622">
        <v>10</v>
      </c>
      <c r="C1622" t="s">
        <v>57</v>
      </c>
      <c r="D1622">
        <v>17</v>
      </c>
      <c r="E1622" t="s">
        <v>936</v>
      </c>
      <c r="F1622" t="s">
        <v>5324</v>
      </c>
      <c r="G1622" t="str">
        <f>B62_TR_Assessment!A17</f>
        <v>B24A</v>
      </c>
      <c r="H1622" t="str">
        <f>B62_TR_Assessment!B17</f>
        <v>Verify</v>
      </c>
      <c r="I1622" t="str">
        <f>B62_TR_Assessment!C17</f>
        <v>Verify</v>
      </c>
      <c r="J1622" t="str">
        <f>B62_TR_Assessment!D17</f>
        <v>Verify</v>
      </c>
      <c r="K1622" t="str">
        <f>B62_TR_Assessment!E17</f>
        <v>Verify</v>
      </c>
      <c r="L1622" t="str">
        <f>B62_TR_Assessment!F17</f>
        <v>Verify</v>
      </c>
      <c r="M1622" t="str">
        <f>B62_TR_Assessment!G17</f>
        <v>Verify</v>
      </c>
      <c r="N1622" t="str">
        <f>B62_TR_Assessment!H17</f>
        <v>Pass</v>
      </c>
      <c r="O1622" t="str">
        <f>B62_TR_Assessment!I17</f>
        <v>Verify</v>
      </c>
      <c r="P1622">
        <f>B62_TR_Assessment!J17</f>
        <v>0</v>
      </c>
      <c r="Q1622" t="str">
        <f t="shared" si="25"/>
        <v>62|10</v>
      </c>
    </row>
    <row r="1623" spans="1:17" ht="6.45" customHeight="1">
      <c r="A1623" t="s">
        <v>376</v>
      </c>
      <c r="B1623">
        <v>11</v>
      </c>
      <c r="C1623" t="s">
        <v>57</v>
      </c>
      <c r="D1623">
        <v>18</v>
      </c>
      <c r="E1623" t="s">
        <v>936</v>
      </c>
      <c r="F1623" t="s">
        <v>5324</v>
      </c>
      <c r="G1623" t="str">
        <f>B62_TR_Assessment!A18</f>
        <v>125</v>
      </c>
      <c r="H1623" t="str">
        <f>B62_TR_Assessment!B18</f>
        <v>Verify</v>
      </c>
      <c r="I1623" t="str">
        <f>B62_TR_Assessment!C18</f>
        <v>Verify</v>
      </c>
      <c r="J1623" t="str">
        <f>B62_TR_Assessment!D18</f>
        <v>Verify</v>
      </c>
      <c r="K1623" t="str">
        <f>B62_TR_Assessment!E18</f>
        <v>Verify</v>
      </c>
      <c r="L1623" t="str">
        <f>B62_TR_Assessment!F18</f>
        <v>Verify</v>
      </c>
      <c r="M1623" t="str">
        <f>B62_TR_Assessment!G18</f>
        <v>Verify</v>
      </c>
      <c r="N1623" t="str">
        <f>B62_TR_Assessment!H18</f>
        <v>Verify</v>
      </c>
      <c r="O1623" t="str">
        <f>B62_TR_Assessment!I18</f>
        <v>Verify</v>
      </c>
      <c r="P1623">
        <f>B62_TR_Assessment!J18</f>
        <v>0</v>
      </c>
      <c r="Q1623" t="str">
        <f t="shared" si="25"/>
        <v>62|11</v>
      </c>
    </row>
    <row r="1624" spans="1:17" ht="6.45" customHeight="1">
      <c r="A1624" t="s">
        <v>376</v>
      </c>
      <c r="B1624">
        <v>12</v>
      </c>
      <c r="C1624" t="s">
        <v>57</v>
      </c>
      <c r="D1624">
        <v>19</v>
      </c>
      <c r="E1624" t="s">
        <v>936</v>
      </c>
      <c r="F1624" t="s">
        <v>5324</v>
      </c>
      <c r="G1624" t="str">
        <f>B62_TR_Assessment!A19</f>
        <v>225</v>
      </c>
      <c r="H1624" t="str">
        <f>B62_TR_Assessment!B19</f>
        <v>Verify</v>
      </c>
      <c r="I1624" t="str">
        <f>B62_TR_Assessment!C19</f>
        <v>Verify</v>
      </c>
      <c r="J1624" t="str">
        <f>B62_TR_Assessment!D19</f>
        <v>Verify</v>
      </c>
      <c r="K1624" t="str">
        <f>B62_TR_Assessment!E19</f>
        <v>Verify</v>
      </c>
      <c r="L1624" t="str">
        <f>B62_TR_Assessment!F19</f>
        <v>Verify</v>
      </c>
      <c r="M1624" t="str">
        <f>B62_TR_Assessment!G19</f>
        <v>Verify</v>
      </c>
      <c r="N1624" t="str">
        <f>B62_TR_Assessment!H19</f>
        <v>Verify</v>
      </c>
      <c r="O1624" t="str">
        <f>B62_TR_Assessment!I19</f>
        <v>Verify</v>
      </c>
      <c r="P1624">
        <f>B62_TR_Assessment!J19</f>
        <v>0</v>
      </c>
      <c r="Q1624" t="str">
        <f t="shared" si="25"/>
        <v>62|12</v>
      </c>
    </row>
    <row r="1625" spans="1:17" ht="6.45" customHeight="1">
      <c r="A1625" t="s">
        <v>376</v>
      </c>
      <c r="B1625">
        <v>13</v>
      </c>
      <c r="C1625" t="s">
        <v>57</v>
      </c>
      <c r="D1625">
        <v>20</v>
      </c>
      <c r="E1625" t="s">
        <v>936</v>
      </c>
      <c r="F1625" t="s">
        <v>5325</v>
      </c>
      <c r="G1625">
        <f>B62_TR_Assessment!A20</f>
        <v>0</v>
      </c>
      <c r="H1625">
        <f>B62_TR_Assessment!B20</f>
        <v>0</v>
      </c>
      <c r="I1625">
        <f>B62_TR_Assessment!C20</f>
        <v>0</v>
      </c>
      <c r="J1625">
        <f>B62_TR_Assessment!D20</f>
        <v>0</v>
      </c>
      <c r="K1625">
        <f>B62_TR_Assessment!E20</f>
        <v>0</v>
      </c>
      <c r="L1625">
        <f>B62_TR_Assessment!F20</f>
        <v>0</v>
      </c>
      <c r="M1625">
        <f>B62_TR_Assessment!G20</f>
        <v>0</v>
      </c>
      <c r="N1625">
        <f>B62_TR_Assessment!H20</f>
        <v>0</v>
      </c>
      <c r="O1625">
        <f>B62_TR_Assessment!I20</f>
        <v>0</v>
      </c>
      <c r="P1625">
        <f>B62_TR_Assessment!J20</f>
        <v>0</v>
      </c>
      <c r="Q1625" t="str">
        <f t="shared" si="25"/>
        <v>62|13</v>
      </c>
    </row>
    <row r="1626" spans="1:17" ht="6.45" customHeight="1">
      <c r="A1626" t="s">
        <v>376</v>
      </c>
      <c r="B1626">
        <v>14</v>
      </c>
      <c r="C1626" t="s">
        <v>57</v>
      </c>
      <c r="D1626">
        <v>21</v>
      </c>
      <c r="E1626" t="s">
        <v>936</v>
      </c>
      <c r="F1626" t="s">
        <v>5325</v>
      </c>
      <c r="G1626">
        <f>B62_TR_Assessment!A21</f>
        <v>0</v>
      </c>
      <c r="H1626">
        <f>B62_TR_Assessment!B21</f>
        <v>0</v>
      </c>
      <c r="I1626">
        <f>B62_TR_Assessment!C21</f>
        <v>0</v>
      </c>
      <c r="J1626">
        <f>B62_TR_Assessment!D21</f>
        <v>0</v>
      </c>
      <c r="K1626">
        <f>B62_TR_Assessment!E21</f>
        <v>0</v>
      </c>
      <c r="L1626">
        <f>B62_TR_Assessment!F21</f>
        <v>0</v>
      </c>
      <c r="M1626">
        <f>B62_TR_Assessment!G21</f>
        <v>0</v>
      </c>
      <c r="N1626">
        <f>B62_TR_Assessment!H21</f>
        <v>0</v>
      </c>
      <c r="O1626">
        <f>B62_TR_Assessment!I21</f>
        <v>0</v>
      </c>
      <c r="P1626">
        <f>B62_TR_Assessment!J21</f>
        <v>0</v>
      </c>
      <c r="Q1626" t="str">
        <f t="shared" si="25"/>
        <v>62|14</v>
      </c>
    </row>
    <row r="1627" spans="1:17" ht="6.45" customHeight="1">
      <c r="A1627" t="s">
        <v>376</v>
      </c>
      <c r="B1627">
        <v>15</v>
      </c>
      <c r="C1627" t="s">
        <v>57</v>
      </c>
      <c r="D1627">
        <v>22</v>
      </c>
      <c r="E1627" t="s">
        <v>951</v>
      </c>
      <c r="F1627" t="s">
        <v>5322</v>
      </c>
      <c r="G1627" t="str">
        <f>B62_TR_Assessment!A22</f>
        <v>3. FIRE PROTECTION</v>
      </c>
      <c r="H1627">
        <f>B62_TR_Assessment!B22</f>
        <v>0</v>
      </c>
      <c r="I1627">
        <f>B62_TR_Assessment!C22</f>
        <v>0</v>
      </c>
      <c r="J1627">
        <f>B62_TR_Assessment!D22</f>
        <v>0</v>
      </c>
      <c r="K1627">
        <f>B62_TR_Assessment!E22</f>
        <v>0</v>
      </c>
      <c r="L1627">
        <f>B62_TR_Assessment!F22</f>
        <v>0</v>
      </c>
      <c r="M1627">
        <f>B62_TR_Assessment!G22</f>
        <v>0</v>
      </c>
      <c r="N1627">
        <f>B62_TR_Assessment!H22</f>
        <v>0</v>
      </c>
      <c r="O1627">
        <f>B62_TR_Assessment!I22</f>
        <v>0</v>
      </c>
      <c r="P1627">
        <f>B62_TR_Assessment!J22</f>
        <v>0</v>
      </c>
      <c r="Q1627" t="str">
        <f t="shared" si="25"/>
        <v>62|15</v>
      </c>
    </row>
    <row r="1628" spans="1:17" ht="6.45" customHeight="1">
      <c r="A1628" t="s">
        <v>376</v>
      </c>
      <c r="B1628">
        <v>16</v>
      </c>
      <c r="C1628" t="s">
        <v>57</v>
      </c>
      <c r="D1628">
        <v>23</v>
      </c>
      <c r="E1628" t="s">
        <v>951</v>
      </c>
      <c r="F1628" t="s">
        <v>5323</v>
      </c>
      <c r="G1628" t="str">
        <f>B62_TR_Assessment!A23</f>
        <v>Room</v>
      </c>
      <c r="H1628" t="str">
        <f>B62_TR_Assessment!B23</f>
        <v>Sprinkler</v>
      </c>
      <c r="I1628" t="str">
        <f>B62_TR_Assessment!C23</f>
        <v>Cage</v>
      </c>
      <c r="J1628" t="str">
        <f>B62_TR_Assessment!D23</f>
        <v>Detector</v>
      </c>
      <c r="K1628" t="str">
        <f>B62_TR_Assessment!E23</f>
        <v>Horn/Strobe</v>
      </c>
      <c r="L1628" t="str">
        <f>B62_TR_Assessment!F23</f>
        <v>Extinguisher &lt;75 ft</v>
      </c>
      <c r="M1628" t="str">
        <f>B62_TR_Assessment!G23</f>
        <v>Firestop</v>
      </c>
      <c r="N1628" t="str">
        <f>B62_TR_Assessment!H23</f>
        <v>Temp Firestop</v>
      </c>
      <c r="O1628" t="str">
        <f>B62_TR_Assessment!I23</f>
        <v>Overall</v>
      </c>
      <c r="P1628" t="str">
        <f>B62_TR_Assessment!J23</f>
        <v>Risk / Notes</v>
      </c>
      <c r="Q1628" t="str">
        <f t="shared" si="25"/>
        <v>62|16</v>
      </c>
    </row>
    <row r="1629" spans="1:17" ht="6.45" customHeight="1">
      <c r="A1629" t="s">
        <v>376</v>
      </c>
      <c r="B1629">
        <v>17</v>
      </c>
      <c r="C1629" t="s">
        <v>57</v>
      </c>
      <c r="D1629">
        <v>24</v>
      </c>
      <c r="E1629" t="s">
        <v>951</v>
      </c>
      <c r="F1629" t="s">
        <v>5324</v>
      </c>
      <c r="G1629" t="str">
        <f>B62_TR_Assessment!A24</f>
        <v>B24A</v>
      </c>
      <c r="H1629" t="str">
        <f>B62_TR_Assessment!B24</f>
        <v>Verify</v>
      </c>
      <c r="I1629" t="str">
        <f>B62_TR_Assessment!C24</f>
        <v>Verify</v>
      </c>
      <c r="J1629" t="str">
        <f>B62_TR_Assessment!D24</f>
        <v>Verify</v>
      </c>
      <c r="K1629" t="str">
        <f>B62_TR_Assessment!E24</f>
        <v>Verify</v>
      </c>
      <c r="L1629" t="str">
        <f>B62_TR_Assessment!F24</f>
        <v>Verify</v>
      </c>
      <c r="M1629" t="str">
        <f>B62_TR_Assessment!G24</f>
        <v>Verify</v>
      </c>
      <c r="N1629" t="str">
        <f>B62_TR_Assessment!H24</f>
        <v>Verify</v>
      </c>
      <c r="O1629" t="str">
        <f>B62_TR_Assessment!I24</f>
        <v>Verify</v>
      </c>
      <c r="P1629">
        <f>B62_TR_Assessment!J24</f>
        <v>0</v>
      </c>
      <c r="Q1629" t="str">
        <f t="shared" si="25"/>
        <v>62|17</v>
      </c>
    </row>
    <row r="1630" spans="1:17" ht="6.45" customHeight="1">
      <c r="A1630" t="s">
        <v>376</v>
      </c>
      <c r="B1630">
        <v>18</v>
      </c>
      <c r="C1630" t="s">
        <v>57</v>
      </c>
      <c r="D1630">
        <v>25</v>
      </c>
      <c r="E1630" t="s">
        <v>951</v>
      </c>
      <c r="F1630" t="s">
        <v>5324</v>
      </c>
      <c r="G1630" t="str">
        <f>B62_TR_Assessment!A25</f>
        <v>125</v>
      </c>
      <c r="H1630" t="str">
        <f>B62_TR_Assessment!B25</f>
        <v>Verify</v>
      </c>
      <c r="I1630" t="str">
        <f>B62_TR_Assessment!C25</f>
        <v>Verify</v>
      </c>
      <c r="J1630" t="str">
        <f>B62_TR_Assessment!D25</f>
        <v>Verify</v>
      </c>
      <c r="K1630" t="str">
        <f>B62_TR_Assessment!E25</f>
        <v>Verify</v>
      </c>
      <c r="L1630" t="str">
        <f>B62_TR_Assessment!F25</f>
        <v>Verify</v>
      </c>
      <c r="M1630" t="str">
        <f>B62_TR_Assessment!G25</f>
        <v>Verify</v>
      </c>
      <c r="N1630" t="str">
        <f>B62_TR_Assessment!H25</f>
        <v>Verify</v>
      </c>
      <c r="O1630" t="str">
        <f>B62_TR_Assessment!I25</f>
        <v>Verify</v>
      </c>
      <c r="P1630">
        <f>B62_TR_Assessment!J25</f>
        <v>0</v>
      </c>
      <c r="Q1630" t="str">
        <f t="shared" si="25"/>
        <v>62|18</v>
      </c>
    </row>
    <row r="1631" spans="1:17" ht="6.45" customHeight="1">
      <c r="A1631" t="s">
        <v>376</v>
      </c>
      <c r="B1631">
        <v>19</v>
      </c>
      <c r="C1631" t="s">
        <v>57</v>
      </c>
      <c r="D1631">
        <v>26</v>
      </c>
      <c r="E1631" t="s">
        <v>951</v>
      </c>
      <c r="F1631" t="s">
        <v>5324</v>
      </c>
      <c r="G1631" t="str">
        <f>B62_TR_Assessment!A26</f>
        <v>225</v>
      </c>
      <c r="H1631" t="str">
        <f>B62_TR_Assessment!B26</f>
        <v>Verify</v>
      </c>
      <c r="I1631" t="str">
        <f>B62_TR_Assessment!C26</f>
        <v>Verify</v>
      </c>
      <c r="J1631" t="str">
        <f>B62_TR_Assessment!D26</f>
        <v>Verify</v>
      </c>
      <c r="K1631" t="str">
        <f>B62_TR_Assessment!E26</f>
        <v>Verify</v>
      </c>
      <c r="L1631" t="str">
        <f>B62_TR_Assessment!F26</f>
        <v>Verify</v>
      </c>
      <c r="M1631" t="str">
        <f>B62_TR_Assessment!G26</f>
        <v>Verify</v>
      </c>
      <c r="N1631" t="str">
        <f>B62_TR_Assessment!H26</f>
        <v>Verify</v>
      </c>
      <c r="O1631" t="str">
        <f>B62_TR_Assessment!I26</f>
        <v>Verify</v>
      </c>
      <c r="P1631">
        <f>B62_TR_Assessment!J26</f>
        <v>0</v>
      </c>
      <c r="Q1631" t="str">
        <f t="shared" si="25"/>
        <v>62|19</v>
      </c>
    </row>
    <row r="1632" spans="1:17" ht="6.45" customHeight="1">
      <c r="A1632" t="s">
        <v>376</v>
      </c>
      <c r="B1632">
        <v>20</v>
      </c>
      <c r="C1632" t="s">
        <v>57</v>
      </c>
      <c r="D1632">
        <v>27</v>
      </c>
      <c r="E1632" t="s">
        <v>951</v>
      </c>
      <c r="F1632" t="s">
        <v>5325</v>
      </c>
      <c r="G1632">
        <f>B62_TR_Assessment!A27</f>
        <v>0</v>
      </c>
      <c r="H1632">
        <f>B62_TR_Assessment!B27</f>
        <v>0</v>
      </c>
      <c r="I1632">
        <f>B62_TR_Assessment!C27</f>
        <v>0</v>
      </c>
      <c r="J1632">
        <f>B62_TR_Assessment!D27</f>
        <v>0</v>
      </c>
      <c r="K1632">
        <f>B62_TR_Assessment!E27</f>
        <v>0</v>
      </c>
      <c r="L1632">
        <f>B62_TR_Assessment!F27</f>
        <v>0</v>
      </c>
      <c r="M1632">
        <f>B62_TR_Assessment!G27</f>
        <v>0</v>
      </c>
      <c r="N1632">
        <f>B62_TR_Assessment!H27</f>
        <v>0</v>
      </c>
      <c r="O1632">
        <f>B62_TR_Assessment!I27</f>
        <v>0</v>
      </c>
      <c r="P1632">
        <f>B62_TR_Assessment!J27</f>
        <v>0</v>
      </c>
      <c r="Q1632" t="str">
        <f t="shared" si="25"/>
        <v>62|20</v>
      </c>
    </row>
    <row r="1633" spans="1:17" ht="6.45" customHeight="1">
      <c r="A1633" t="s">
        <v>376</v>
      </c>
      <c r="B1633">
        <v>21</v>
      </c>
      <c r="C1633" t="s">
        <v>57</v>
      </c>
      <c r="D1633">
        <v>28</v>
      </c>
      <c r="E1633" t="s">
        <v>951</v>
      </c>
      <c r="F1633" t="s">
        <v>5325</v>
      </c>
      <c r="G1633">
        <f>B62_TR_Assessment!A28</f>
        <v>0</v>
      </c>
      <c r="H1633">
        <f>B62_TR_Assessment!B28</f>
        <v>0</v>
      </c>
      <c r="I1633">
        <f>B62_TR_Assessment!C28</f>
        <v>0</v>
      </c>
      <c r="J1633">
        <f>B62_TR_Assessment!D28</f>
        <v>0</v>
      </c>
      <c r="K1633">
        <f>B62_TR_Assessment!E28</f>
        <v>0</v>
      </c>
      <c r="L1633">
        <f>B62_TR_Assessment!F28</f>
        <v>0</v>
      </c>
      <c r="M1633">
        <f>B62_TR_Assessment!G28</f>
        <v>0</v>
      </c>
      <c r="N1633">
        <f>B62_TR_Assessment!H28</f>
        <v>0</v>
      </c>
      <c r="O1633">
        <f>B62_TR_Assessment!I28</f>
        <v>0</v>
      </c>
      <c r="P1633">
        <f>B62_TR_Assessment!J28</f>
        <v>0</v>
      </c>
      <c r="Q1633" t="str">
        <f t="shared" si="25"/>
        <v>62|21</v>
      </c>
    </row>
    <row r="1634" spans="1:17" ht="6.45" customHeight="1">
      <c r="A1634" t="s">
        <v>376</v>
      </c>
      <c r="B1634">
        <v>22</v>
      </c>
      <c r="C1634" t="s">
        <v>57</v>
      </c>
      <c r="D1634">
        <v>29</v>
      </c>
      <c r="E1634" t="s">
        <v>964</v>
      </c>
      <c r="F1634" t="s">
        <v>5322</v>
      </c>
      <c r="G1634" t="str">
        <f>B62_TR_Assessment!A29</f>
        <v>4. HVAC / COOLING</v>
      </c>
      <c r="H1634">
        <f>B62_TR_Assessment!B29</f>
        <v>0</v>
      </c>
      <c r="I1634">
        <f>B62_TR_Assessment!C29</f>
        <v>0</v>
      </c>
      <c r="J1634">
        <f>B62_TR_Assessment!D29</f>
        <v>0</v>
      </c>
      <c r="K1634">
        <f>B62_TR_Assessment!E29</f>
        <v>0</v>
      </c>
      <c r="L1634">
        <f>B62_TR_Assessment!F29</f>
        <v>0</v>
      </c>
      <c r="M1634">
        <f>B62_TR_Assessment!G29</f>
        <v>0</v>
      </c>
      <c r="N1634">
        <f>B62_TR_Assessment!H29</f>
        <v>0</v>
      </c>
      <c r="O1634">
        <f>B62_TR_Assessment!I29</f>
        <v>0</v>
      </c>
      <c r="P1634">
        <f>B62_TR_Assessment!J29</f>
        <v>0</v>
      </c>
      <c r="Q1634" t="str">
        <f t="shared" si="25"/>
        <v>62|22</v>
      </c>
    </row>
    <row r="1635" spans="1:17" ht="6.45" customHeight="1">
      <c r="A1635" t="s">
        <v>376</v>
      </c>
      <c r="B1635">
        <v>23</v>
      </c>
      <c r="C1635" t="s">
        <v>57</v>
      </c>
      <c r="D1635">
        <v>30</v>
      </c>
      <c r="E1635" t="s">
        <v>964</v>
      </c>
      <c r="F1635" t="s">
        <v>5323</v>
      </c>
      <c r="G1635" t="str">
        <f>B62_TR_Assessment!A30</f>
        <v>Room</v>
      </c>
      <c r="H1635" t="str">
        <f>B62_TR_Assessment!B30</f>
        <v>Dedicated Unit</v>
      </c>
      <c r="I1635" t="str">
        <f>B62_TR_Assessment!C30</f>
        <v>Capacity Verified</v>
      </c>
      <c r="J1635" t="str">
        <f>B62_TR_Assessment!D30</f>
        <v>Emergency Power</v>
      </c>
      <c r="K1635" t="str">
        <f>B62_TR_Assessment!E30</f>
        <v>Controls Tested</v>
      </c>
      <c r="L1635" t="str">
        <f>B62_TR_Assessment!F30</f>
        <v>Condensate Routed</v>
      </c>
      <c r="M1635" t="str">
        <f>B62_TR_Assessment!G30</f>
        <v>High Temp Alarm</v>
      </c>
      <c r="N1635" t="str">
        <f>B62_TR_Assessment!H30</f>
        <v>24/7 Operation</v>
      </c>
      <c r="O1635" t="str">
        <f>B62_TR_Assessment!I30</f>
        <v>Overall</v>
      </c>
      <c r="P1635" t="str">
        <f>B62_TR_Assessment!J30</f>
        <v>Risk / Notes</v>
      </c>
      <c r="Q1635" t="str">
        <f t="shared" si="25"/>
        <v>62|23</v>
      </c>
    </row>
    <row r="1636" spans="1:17" ht="6.45" customHeight="1">
      <c r="A1636" t="s">
        <v>376</v>
      </c>
      <c r="B1636">
        <v>24</v>
      </c>
      <c r="C1636" t="s">
        <v>57</v>
      </c>
      <c r="D1636">
        <v>31</v>
      </c>
      <c r="E1636" t="s">
        <v>964</v>
      </c>
      <c r="F1636" t="s">
        <v>5324</v>
      </c>
      <c r="G1636" t="str">
        <f>B62_TR_Assessment!A31</f>
        <v>B24A</v>
      </c>
      <c r="H1636" t="str">
        <f>B62_TR_Assessment!B31</f>
        <v>Verify</v>
      </c>
      <c r="I1636" t="str">
        <f>B62_TR_Assessment!C31</f>
        <v>Verify</v>
      </c>
      <c r="J1636" t="str">
        <f>B62_TR_Assessment!D31</f>
        <v>Verify</v>
      </c>
      <c r="K1636" t="str">
        <f>B62_TR_Assessment!E31</f>
        <v>Verify</v>
      </c>
      <c r="L1636" t="str">
        <f>B62_TR_Assessment!F31</f>
        <v>Verify</v>
      </c>
      <c r="M1636" t="str">
        <f>B62_TR_Assessment!G31</f>
        <v>Verify</v>
      </c>
      <c r="N1636" t="str">
        <f>B62_TR_Assessment!H31</f>
        <v>Verify</v>
      </c>
      <c r="O1636" t="str">
        <f>B62_TR_Assessment!I31</f>
        <v>Verify</v>
      </c>
      <c r="P1636">
        <f>B62_TR_Assessment!J31</f>
        <v>0</v>
      </c>
      <c r="Q1636" t="str">
        <f t="shared" si="25"/>
        <v>62|24</v>
      </c>
    </row>
    <row r="1637" spans="1:17" ht="6.45" customHeight="1">
      <c r="A1637" t="s">
        <v>376</v>
      </c>
      <c r="B1637">
        <v>25</v>
      </c>
      <c r="C1637" t="s">
        <v>57</v>
      </c>
      <c r="D1637">
        <v>32</v>
      </c>
      <c r="E1637" t="s">
        <v>964</v>
      </c>
      <c r="F1637" t="s">
        <v>5324</v>
      </c>
      <c r="G1637" t="str">
        <f>B62_TR_Assessment!A32</f>
        <v>125</v>
      </c>
      <c r="H1637" t="str">
        <f>B62_TR_Assessment!B32</f>
        <v>Verify</v>
      </c>
      <c r="I1637" t="str">
        <f>B62_TR_Assessment!C32</f>
        <v>Verify</v>
      </c>
      <c r="J1637" t="str">
        <f>B62_TR_Assessment!D32</f>
        <v>Verify</v>
      </c>
      <c r="K1637" t="str">
        <f>B62_TR_Assessment!E32</f>
        <v>Verify</v>
      </c>
      <c r="L1637" t="str">
        <f>B62_TR_Assessment!F32</f>
        <v>Verify</v>
      </c>
      <c r="M1637" t="str">
        <f>B62_TR_Assessment!G32</f>
        <v>Verify</v>
      </c>
      <c r="N1637" t="str">
        <f>B62_TR_Assessment!H32</f>
        <v>Verify</v>
      </c>
      <c r="O1637" t="str">
        <f>B62_TR_Assessment!I32</f>
        <v>Verify</v>
      </c>
      <c r="P1637">
        <f>B62_TR_Assessment!J32</f>
        <v>0</v>
      </c>
      <c r="Q1637" t="str">
        <f t="shared" si="25"/>
        <v>62|25</v>
      </c>
    </row>
    <row r="1638" spans="1:17" ht="6.45" customHeight="1">
      <c r="A1638" t="s">
        <v>376</v>
      </c>
      <c r="B1638">
        <v>26</v>
      </c>
      <c r="C1638" t="s">
        <v>57</v>
      </c>
      <c r="D1638">
        <v>33</v>
      </c>
      <c r="E1638" t="s">
        <v>964</v>
      </c>
      <c r="F1638" t="s">
        <v>5324</v>
      </c>
      <c r="G1638" t="str">
        <f>B62_TR_Assessment!A33</f>
        <v>225</v>
      </c>
      <c r="H1638" t="str">
        <f>B62_TR_Assessment!B33</f>
        <v>Verify</v>
      </c>
      <c r="I1638" t="str">
        <f>B62_TR_Assessment!C33</f>
        <v>Verify</v>
      </c>
      <c r="J1638" t="str">
        <f>B62_TR_Assessment!D33</f>
        <v>Verify</v>
      </c>
      <c r="K1638" t="str">
        <f>B62_TR_Assessment!E33</f>
        <v>Verify</v>
      </c>
      <c r="L1638" t="str">
        <f>B62_TR_Assessment!F33</f>
        <v>Verify</v>
      </c>
      <c r="M1638" t="str">
        <f>B62_TR_Assessment!G33</f>
        <v>Verify</v>
      </c>
      <c r="N1638" t="str">
        <f>B62_TR_Assessment!H33</f>
        <v>Verify</v>
      </c>
      <c r="O1638" t="str">
        <f>B62_TR_Assessment!I33</f>
        <v>Verify</v>
      </c>
      <c r="P1638">
        <f>B62_TR_Assessment!J33</f>
        <v>0</v>
      </c>
      <c r="Q1638" t="str">
        <f t="shared" si="25"/>
        <v>62|26</v>
      </c>
    </row>
    <row r="1639" spans="1:17" ht="6.45" customHeight="1">
      <c r="A1639" t="s">
        <v>376</v>
      </c>
      <c r="B1639">
        <v>27</v>
      </c>
      <c r="C1639" t="s">
        <v>57</v>
      </c>
      <c r="D1639">
        <v>34</v>
      </c>
      <c r="E1639" t="s">
        <v>964</v>
      </c>
      <c r="F1639" t="s">
        <v>5325</v>
      </c>
      <c r="G1639">
        <f>B62_TR_Assessment!A34</f>
        <v>0</v>
      </c>
      <c r="H1639">
        <f>B62_TR_Assessment!B34</f>
        <v>0</v>
      </c>
      <c r="I1639">
        <f>B62_TR_Assessment!C34</f>
        <v>0</v>
      </c>
      <c r="J1639">
        <f>B62_TR_Assessment!D34</f>
        <v>0</v>
      </c>
      <c r="K1639">
        <f>B62_TR_Assessment!E34</f>
        <v>0</v>
      </c>
      <c r="L1639">
        <f>B62_TR_Assessment!F34</f>
        <v>0</v>
      </c>
      <c r="M1639">
        <f>B62_TR_Assessment!G34</f>
        <v>0</v>
      </c>
      <c r="N1639">
        <f>B62_TR_Assessment!H34</f>
        <v>0</v>
      </c>
      <c r="O1639">
        <f>B62_TR_Assessment!I34</f>
        <v>0</v>
      </c>
      <c r="P1639">
        <f>B62_TR_Assessment!J34</f>
        <v>0</v>
      </c>
      <c r="Q1639" t="str">
        <f t="shared" si="25"/>
        <v>62|27</v>
      </c>
    </row>
    <row r="1640" spans="1:17" ht="6.45" customHeight="1">
      <c r="A1640" t="s">
        <v>376</v>
      </c>
      <c r="B1640">
        <v>28</v>
      </c>
      <c r="C1640" t="s">
        <v>57</v>
      </c>
      <c r="D1640">
        <v>35</v>
      </c>
      <c r="E1640" t="s">
        <v>964</v>
      </c>
      <c r="F1640" t="s">
        <v>5325</v>
      </c>
      <c r="G1640">
        <f>B62_TR_Assessment!A35</f>
        <v>0</v>
      </c>
      <c r="H1640">
        <f>B62_TR_Assessment!B35</f>
        <v>0</v>
      </c>
      <c r="I1640">
        <f>B62_TR_Assessment!C35</f>
        <v>0</v>
      </c>
      <c r="J1640">
        <f>B62_TR_Assessment!D35</f>
        <v>0</v>
      </c>
      <c r="K1640">
        <f>B62_TR_Assessment!E35</f>
        <v>0</v>
      </c>
      <c r="L1640">
        <f>B62_TR_Assessment!F35</f>
        <v>0</v>
      </c>
      <c r="M1640">
        <f>B62_TR_Assessment!G35</f>
        <v>0</v>
      </c>
      <c r="N1640">
        <f>B62_TR_Assessment!H35</f>
        <v>0</v>
      </c>
      <c r="O1640">
        <f>B62_TR_Assessment!I35</f>
        <v>0</v>
      </c>
      <c r="P1640">
        <f>B62_TR_Assessment!J35</f>
        <v>0</v>
      </c>
      <c r="Q1640" t="str">
        <f t="shared" si="25"/>
        <v>62|28</v>
      </c>
    </row>
    <row r="1641" spans="1:17" ht="6.45" customHeight="1">
      <c r="A1641" t="s">
        <v>376</v>
      </c>
      <c r="B1641">
        <v>29</v>
      </c>
      <c r="C1641" t="s">
        <v>57</v>
      </c>
      <c r="D1641">
        <v>36</v>
      </c>
      <c r="E1641" t="s">
        <v>977</v>
      </c>
      <c r="F1641" t="s">
        <v>5322</v>
      </c>
      <c r="G1641" t="str">
        <f>B62_TR_Assessment!A36</f>
        <v>5. ELECTRICAL / UPS</v>
      </c>
      <c r="H1641">
        <f>B62_TR_Assessment!B36</f>
        <v>0</v>
      </c>
      <c r="I1641">
        <f>B62_TR_Assessment!C36</f>
        <v>0</v>
      </c>
      <c r="J1641">
        <f>B62_TR_Assessment!D36</f>
        <v>0</v>
      </c>
      <c r="K1641">
        <f>B62_TR_Assessment!E36</f>
        <v>0</v>
      </c>
      <c r="L1641">
        <f>B62_TR_Assessment!F36</f>
        <v>0</v>
      </c>
      <c r="M1641">
        <f>B62_TR_Assessment!G36</f>
        <v>0</v>
      </c>
      <c r="N1641">
        <f>B62_TR_Assessment!H36</f>
        <v>0</v>
      </c>
      <c r="O1641">
        <f>B62_TR_Assessment!I36</f>
        <v>0</v>
      </c>
      <c r="P1641">
        <f>B62_TR_Assessment!J36</f>
        <v>0</v>
      </c>
      <c r="Q1641" t="str">
        <f t="shared" si="25"/>
        <v>62|29</v>
      </c>
    </row>
    <row r="1642" spans="1:17" ht="6.45" customHeight="1">
      <c r="A1642" t="s">
        <v>376</v>
      </c>
      <c r="B1642">
        <v>30</v>
      </c>
      <c r="C1642" t="s">
        <v>57</v>
      </c>
      <c r="D1642">
        <v>37</v>
      </c>
      <c r="E1642" t="s">
        <v>977</v>
      </c>
      <c r="F1642" t="s">
        <v>5323</v>
      </c>
      <c r="G1642" t="str">
        <f>B62_TR_Assessment!A37</f>
        <v>Room</v>
      </c>
      <c r="H1642" t="str">
        <f>B62_TR_Assessment!B37</f>
        <v>UPS Installed</v>
      </c>
      <c r="I1642" t="str">
        <f>B62_TR_Assessment!C37</f>
        <v>UPS Size</v>
      </c>
      <c r="J1642" t="str">
        <f>B62_TR_Assessment!D37</f>
        <v>PDU Installed</v>
      </c>
      <c r="K1642" t="str">
        <f>B62_TR_Assessment!E37</f>
        <v>Rack Receptacles</v>
      </c>
      <c r="L1642" t="str">
        <f>B62_TR_Assessment!F37</f>
        <v>Panel Assigned</v>
      </c>
      <c r="M1642" t="str">
        <f>B62_TR_Assessment!G37</f>
        <v>Emergency Source</v>
      </c>
      <c r="N1642" t="str">
        <f>B62_TR_Assessment!H37</f>
        <v>SPD / Labeling</v>
      </c>
      <c r="O1642" t="str">
        <f>B62_TR_Assessment!I37</f>
        <v>Overall</v>
      </c>
      <c r="P1642" t="str">
        <f>B62_TR_Assessment!J37</f>
        <v>Notes</v>
      </c>
      <c r="Q1642" t="str">
        <f t="shared" si="25"/>
        <v>62|30</v>
      </c>
    </row>
    <row r="1643" spans="1:17" ht="6.45" customHeight="1">
      <c r="A1643" t="s">
        <v>376</v>
      </c>
      <c r="B1643">
        <v>31</v>
      </c>
      <c r="C1643" t="s">
        <v>57</v>
      </c>
      <c r="D1643">
        <v>38</v>
      </c>
      <c r="E1643" t="s">
        <v>977</v>
      </c>
      <c r="F1643" t="s">
        <v>5324</v>
      </c>
      <c r="G1643" t="str">
        <f>B62_TR_Assessment!A38</f>
        <v>B24A</v>
      </c>
      <c r="H1643" t="str">
        <f>B62_TR_Assessment!B38</f>
        <v>Verify</v>
      </c>
      <c r="I1643" t="str">
        <f>B62_TR_Assessment!C38</f>
        <v>5 kW</v>
      </c>
      <c r="J1643" t="str">
        <f>B62_TR_Assessment!D38</f>
        <v>Verify</v>
      </c>
      <c r="K1643" t="str">
        <f>B62_TR_Assessment!E38</f>
        <v>Verify</v>
      </c>
      <c r="L1643" t="str">
        <f>B62_TR_Assessment!F38</f>
        <v>Verify</v>
      </c>
      <c r="M1643" t="str">
        <f>B62_TR_Assessment!G38</f>
        <v>Verify</v>
      </c>
      <c r="N1643" t="str">
        <f>B62_TR_Assessment!H38</f>
        <v>Verify</v>
      </c>
      <c r="O1643" t="str">
        <f>B62_TR_Assessment!I38</f>
        <v>Verify</v>
      </c>
      <c r="P1643">
        <f>B62_TR_Assessment!J38</f>
        <v>0</v>
      </c>
      <c r="Q1643" t="str">
        <f t="shared" si="25"/>
        <v>62|31</v>
      </c>
    </row>
    <row r="1644" spans="1:17" ht="6.45" customHeight="1">
      <c r="A1644" t="s">
        <v>376</v>
      </c>
      <c r="B1644">
        <v>32</v>
      </c>
      <c r="C1644" t="s">
        <v>57</v>
      </c>
      <c r="D1644">
        <v>39</v>
      </c>
      <c r="E1644" t="s">
        <v>977</v>
      </c>
      <c r="F1644" t="s">
        <v>5324</v>
      </c>
      <c r="G1644" t="str">
        <f>B62_TR_Assessment!A39</f>
        <v>125</v>
      </c>
      <c r="H1644" t="str">
        <f>B62_TR_Assessment!B39</f>
        <v>Verify</v>
      </c>
      <c r="I1644" t="str">
        <f>B62_TR_Assessment!C39</f>
        <v>5 kW</v>
      </c>
      <c r="J1644" t="str">
        <f>B62_TR_Assessment!D39</f>
        <v>Verify</v>
      </c>
      <c r="K1644" t="str">
        <f>B62_TR_Assessment!E39</f>
        <v>Verify</v>
      </c>
      <c r="L1644" t="str">
        <f>B62_TR_Assessment!F39</f>
        <v>Verify</v>
      </c>
      <c r="M1644" t="str">
        <f>B62_TR_Assessment!G39</f>
        <v>Verify</v>
      </c>
      <c r="N1644" t="str">
        <f>B62_TR_Assessment!H39</f>
        <v>Verify</v>
      </c>
      <c r="O1644" t="str">
        <f>B62_TR_Assessment!I39</f>
        <v>Verify</v>
      </c>
      <c r="P1644">
        <f>B62_TR_Assessment!J39</f>
        <v>0</v>
      </c>
      <c r="Q1644" t="str">
        <f t="shared" si="25"/>
        <v>62|32</v>
      </c>
    </row>
    <row r="1645" spans="1:17" ht="6.45" customHeight="1">
      <c r="A1645" t="s">
        <v>376</v>
      </c>
      <c r="B1645">
        <v>33</v>
      </c>
      <c r="C1645" t="s">
        <v>57</v>
      </c>
      <c r="D1645">
        <v>40</v>
      </c>
      <c r="E1645" t="s">
        <v>977</v>
      </c>
      <c r="F1645" t="s">
        <v>5324</v>
      </c>
      <c r="G1645" t="str">
        <f>B62_TR_Assessment!A40</f>
        <v>225</v>
      </c>
      <c r="H1645" t="str">
        <f>B62_TR_Assessment!B40</f>
        <v>Verify</v>
      </c>
      <c r="I1645" t="str">
        <f>B62_TR_Assessment!C40</f>
        <v>5 kW</v>
      </c>
      <c r="J1645" t="str">
        <f>B62_TR_Assessment!D40</f>
        <v>Verify</v>
      </c>
      <c r="K1645" t="str">
        <f>B62_TR_Assessment!E40</f>
        <v>Verify</v>
      </c>
      <c r="L1645" t="str">
        <f>B62_TR_Assessment!F40</f>
        <v>Verify</v>
      </c>
      <c r="M1645" t="str">
        <f>B62_TR_Assessment!G40</f>
        <v>Verify</v>
      </c>
      <c r="N1645" t="str">
        <f>B62_TR_Assessment!H40</f>
        <v>Verify</v>
      </c>
      <c r="O1645" t="str">
        <f>B62_TR_Assessment!I40</f>
        <v>Verify</v>
      </c>
      <c r="P1645">
        <f>B62_TR_Assessment!J40</f>
        <v>0</v>
      </c>
      <c r="Q1645" t="str">
        <f t="shared" si="25"/>
        <v>62|33</v>
      </c>
    </row>
    <row r="1646" spans="1:17" ht="6.45" customHeight="1">
      <c r="A1646" t="s">
        <v>376</v>
      </c>
      <c r="B1646">
        <v>34</v>
      </c>
      <c r="C1646" t="s">
        <v>57</v>
      </c>
      <c r="D1646">
        <v>41</v>
      </c>
      <c r="E1646" t="s">
        <v>977</v>
      </c>
      <c r="F1646" t="s">
        <v>5325</v>
      </c>
      <c r="G1646">
        <f>B62_TR_Assessment!A41</f>
        <v>0</v>
      </c>
      <c r="H1646">
        <f>B62_TR_Assessment!B41</f>
        <v>0</v>
      </c>
      <c r="I1646">
        <f>B62_TR_Assessment!C41</f>
        <v>0</v>
      </c>
      <c r="J1646">
        <f>B62_TR_Assessment!D41</f>
        <v>0</v>
      </c>
      <c r="K1646">
        <f>B62_TR_Assessment!E41</f>
        <v>0</v>
      </c>
      <c r="L1646">
        <f>B62_TR_Assessment!F41</f>
        <v>0</v>
      </c>
      <c r="M1646">
        <f>B62_TR_Assessment!G41</f>
        <v>0</v>
      </c>
      <c r="N1646">
        <f>B62_TR_Assessment!H41</f>
        <v>0</v>
      </c>
      <c r="O1646">
        <f>B62_TR_Assessment!I41</f>
        <v>0</v>
      </c>
      <c r="P1646">
        <f>B62_TR_Assessment!J41</f>
        <v>0</v>
      </c>
      <c r="Q1646" t="str">
        <f t="shared" si="25"/>
        <v>62|34</v>
      </c>
    </row>
    <row r="1647" spans="1:17" ht="6.45" customHeight="1">
      <c r="A1647" t="s">
        <v>376</v>
      </c>
      <c r="B1647">
        <v>35</v>
      </c>
      <c r="C1647" t="s">
        <v>57</v>
      </c>
      <c r="D1647">
        <v>42</v>
      </c>
      <c r="E1647" t="s">
        <v>977</v>
      </c>
      <c r="F1647" t="s">
        <v>5325</v>
      </c>
      <c r="G1647">
        <f>B62_TR_Assessment!A42</f>
        <v>0</v>
      </c>
      <c r="H1647">
        <f>B62_TR_Assessment!B42</f>
        <v>0</v>
      </c>
      <c r="I1647">
        <f>B62_TR_Assessment!C42</f>
        <v>0</v>
      </c>
      <c r="J1647">
        <f>B62_TR_Assessment!D42</f>
        <v>0</v>
      </c>
      <c r="K1647">
        <f>B62_TR_Assessment!E42</f>
        <v>0</v>
      </c>
      <c r="L1647">
        <f>B62_TR_Assessment!F42</f>
        <v>0</v>
      </c>
      <c r="M1647">
        <f>B62_TR_Assessment!G42</f>
        <v>0</v>
      </c>
      <c r="N1647">
        <f>B62_TR_Assessment!H42</f>
        <v>0</v>
      </c>
      <c r="O1647">
        <f>B62_TR_Assessment!I42</f>
        <v>0</v>
      </c>
      <c r="P1647">
        <f>B62_TR_Assessment!J42</f>
        <v>0</v>
      </c>
      <c r="Q1647" t="str">
        <f t="shared" si="25"/>
        <v>62|35</v>
      </c>
    </row>
    <row r="1648" spans="1:17" ht="6.45" customHeight="1">
      <c r="A1648" t="s">
        <v>376</v>
      </c>
      <c r="B1648">
        <v>36</v>
      </c>
      <c r="C1648" t="s">
        <v>57</v>
      </c>
      <c r="D1648">
        <v>43</v>
      </c>
      <c r="E1648" t="s">
        <v>3310</v>
      </c>
      <c r="F1648" t="s">
        <v>5322</v>
      </c>
      <c r="G1648" t="str">
        <f>B62_TR_Assessment!A43</f>
        <v>6. TELECOM</v>
      </c>
      <c r="H1648">
        <f>B62_TR_Assessment!B43</f>
        <v>0</v>
      </c>
      <c r="I1648">
        <f>B62_TR_Assessment!C43</f>
        <v>0</v>
      </c>
      <c r="J1648">
        <f>B62_TR_Assessment!D43</f>
        <v>0</v>
      </c>
      <c r="K1648">
        <f>B62_TR_Assessment!E43</f>
        <v>0</v>
      </c>
      <c r="L1648">
        <f>B62_TR_Assessment!F43</f>
        <v>0</v>
      </c>
      <c r="M1648">
        <f>B62_TR_Assessment!G43</f>
        <v>0</v>
      </c>
      <c r="N1648">
        <f>B62_TR_Assessment!H43</f>
        <v>0</v>
      </c>
      <c r="O1648">
        <f>B62_TR_Assessment!I43</f>
        <v>0</v>
      </c>
      <c r="P1648">
        <f>B62_TR_Assessment!J43</f>
        <v>0</v>
      </c>
      <c r="Q1648" t="str">
        <f t="shared" si="25"/>
        <v>62|36</v>
      </c>
    </row>
    <row r="1649" spans="1:17" ht="6.45" customHeight="1">
      <c r="A1649" t="s">
        <v>376</v>
      </c>
      <c r="B1649">
        <v>37</v>
      </c>
      <c r="C1649" t="s">
        <v>57</v>
      </c>
      <c r="D1649">
        <v>44</v>
      </c>
      <c r="E1649" t="s">
        <v>3310</v>
      </c>
      <c r="F1649" t="s">
        <v>5323</v>
      </c>
      <c r="G1649" t="str">
        <f>B62_TR_Assessment!A44</f>
        <v>Room</v>
      </c>
      <c r="H1649" t="str">
        <f>B62_TR_Assessment!B44</f>
        <v>Rack Installed</v>
      </c>
      <c r="I1649" t="str">
        <f>B62_TR_Assessment!C44</f>
        <v>Ladder Tray</v>
      </c>
      <c r="J1649" t="str">
        <f>B62_TR_Assessment!D44</f>
        <v>Fiber Installed</v>
      </c>
      <c r="K1649" t="str">
        <f>B62_TR_Assessment!E44</f>
        <v>Grounding</v>
      </c>
      <c r="L1649" t="str">
        <f>B62_TR_Assessment!F44</f>
        <v>Labeling</v>
      </c>
      <c r="M1649" t="str">
        <f>B62_TR_Assessment!G44</f>
        <v>Testing</v>
      </c>
      <c r="N1649" t="str">
        <f>B62_TR_Assessment!H44</f>
        <v>VA Acceptance</v>
      </c>
      <c r="O1649" t="str">
        <f>B62_TR_Assessment!I44</f>
        <v>Overall</v>
      </c>
      <c r="P1649" t="str">
        <f>B62_TR_Assessment!J44</f>
        <v>Notes</v>
      </c>
      <c r="Q1649" t="str">
        <f t="shared" si="25"/>
        <v>62|37</v>
      </c>
    </row>
    <row r="1650" spans="1:17" ht="6.45" customHeight="1">
      <c r="A1650" t="s">
        <v>376</v>
      </c>
      <c r="B1650">
        <v>38</v>
      </c>
      <c r="C1650" t="s">
        <v>57</v>
      </c>
      <c r="D1650">
        <v>45</v>
      </c>
      <c r="E1650" t="s">
        <v>3310</v>
      </c>
      <c r="F1650" t="s">
        <v>5324</v>
      </c>
      <c r="G1650" t="str">
        <f>B62_TR_Assessment!A45</f>
        <v>B24A</v>
      </c>
      <c r="H1650" t="str">
        <f>B62_TR_Assessment!B45</f>
        <v>Verify</v>
      </c>
      <c r="I1650" t="str">
        <f>B62_TR_Assessment!C45</f>
        <v>Verify</v>
      </c>
      <c r="J1650" t="str">
        <f>B62_TR_Assessment!D45</f>
        <v>Verify</v>
      </c>
      <c r="K1650" t="str">
        <f>B62_TR_Assessment!E45</f>
        <v>Verify</v>
      </c>
      <c r="L1650" t="str">
        <f>B62_TR_Assessment!F45</f>
        <v>Verify</v>
      </c>
      <c r="M1650" t="str">
        <f>B62_TR_Assessment!G45</f>
        <v>Verify</v>
      </c>
      <c r="N1650" t="str">
        <f>B62_TR_Assessment!H45</f>
        <v>Verify</v>
      </c>
      <c r="O1650" t="str">
        <f>B62_TR_Assessment!I45</f>
        <v>Verify</v>
      </c>
      <c r="P1650">
        <f>B62_TR_Assessment!J45</f>
        <v>0</v>
      </c>
      <c r="Q1650" t="str">
        <f t="shared" si="25"/>
        <v>62|38</v>
      </c>
    </row>
    <row r="1651" spans="1:17" ht="6.45" customHeight="1">
      <c r="A1651" t="s">
        <v>376</v>
      </c>
      <c r="B1651">
        <v>39</v>
      </c>
      <c r="C1651" t="s">
        <v>57</v>
      </c>
      <c r="D1651">
        <v>46</v>
      </c>
      <c r="E1651" t="s">
        <v>3310</v>
      </c>
      <c r="F1651" t="s">
        <v>5324</v>
      </c>
      <c r="G1651" t="str">
        <f>B62_TR_Assessment!A46</f>
        <v>125</v>
      </c>
      <c r="H1651" t="str">
        <f>B62_TR_Assessment!B46</f>
        <v>Verify</v>
      </c>
      <c r="I1651" t="str">
        <f>B62_TR_Assessment!C46</f>
        <v>Verify</v>
      </c>
      <c r="J1651" t="str">
        <f>B62_TR_Assessment!D46</f>
        <v>Verify</v>
      </c>
      <c r="K1651" t="str">
        <f>B62_TR_Assessment!E46</f>
        <v>Verify</v>
      </c>
      <c r="L1651" t="str">
        <f>B62_TR_Assessment!F46</f>
        <v>Verify</v>
      </c>
      <c r="M1651" t="str">
        <f>B62_TR_Assessment!G46</f>
        <v>Verify</v>
      </c>
      <c r="N1651" t="str">
        <f>B62_TR_Assessment!H46</f>
        <v>Verify</v>
      </c>
      <c r="O1651" t="str">
        <f>B62_TR_Assessment!I46</f>
        <v>Verify</v>
      </c>
      <c r="P1651">
        <f>B62_TR_Assessment!J46</f>
        <v>0</v>
      </c>
      <c r="Q1651" t="str">
        <f t="shared" si="25"/>
        <v>62|39</v>
      </c>
    </row>
    <row r="1652" spans="1:17" ht="6.45" customHeight="1">
      <c r="A1652" t="s">
        <v>376</v>
      </c>
      <c r="B1652">
        <v>40</v>
      </c>
      <c r="C1652" t="s">
        <v>57</v>
      </c>
      <c r="D1652">
        <v>47</v>
      </c>
      <c r="E1652" t="s">
        <v>3310</v>
      </c>
      <c r="F1652" t="s">
        <v>5324</v>
      </c>
      <c r="G1652" t="str">
        <f>B62_TR_Assessment!A47</f>
        <v>225</v>
      </c>
      <c r="H1652" t="str">
        <f>B62_TR_Assessment!B47</f>
        <v>Verify</v>
      </c>
      <c r="I1652" t="str">
        <f>B62_TR_Assessment!C47</f>
        <v>Verify</v>
      </c>
      <c r="J1652" t="str">
        <f>B62_TR_Assessment!D47</f>
        <v>Verify</v>
      </c>
      <c r="K1652" t="str">
        <f>B62_TR_Assessment!E47</f>
        <v>Verify</v>
      </c>
      <c r="L1652" t="str">
        <f>B62_TR_Assessment!F47</f>
        <v>Verify</v>
      </c>
      <c r="M1652" t="str">
        <f>B62_TR_Assessment!G47</f>
        <v>Verify</v>
      </c>
      <c r="N1652" t="str">
        <f>B62_TR_Assessment!H47</f>
        <v>Verify</v>
      </c>
      <c r="O1652" t="str">
        <f>B62_TR_Assessment!I47</f>
        <v>Verify</v>
      </c>
      <c r="P1652">
        <f>B62_TR_Assessment!J47</f>
        <v>0</v>
      </c>
      <c r="Q1652" t="str">
        <f t="shared" si="25"/>
        <v>62|40</v>
      </c>
    </row>
    <row r="1653" spans="1:17" ht="6.45" customHeight="1">
      <c r="A1653" t="s">
        <v>376</v>
      </c>
      <c r="B1653">
        <v>41</v>
      </c>
      <c r="C1653" t="s">
        <v>57</v>
      </c>
      <c r="D1653">
        <v>48</v>
      </c>
      <c r="E1653" t="s">
        <v>3310</v>
      </c>
      <c r="F1653" t="s">
        <v>5325</v>
      </c>
      <c r="G1653">
        <f>B62_TR_Assessment!A48</f>
        <v>0</v>
      </c>
      <c r="H1653">
        <f>B62_TR_Assessment!B48</f>
        <v>0</v>
      </c>
      <c r="I1653">
        <f>B62_TR_Assessment!C48</f>
        <v>0</v>
      </c>
      <c r="J1653">
        <f>B62_TR_Assessment!D48</f>
        <v>0</v>
      </c>
      <c r="K1653">
        <f>B62_TR_Assessment!E48</f>
        <v>0</v>
      </c>
      <c r="L1653">
        <f>B62_TR_Assessment!F48</f>
        <v>0</v>
      </c>
      <c r="M1653">
        <f>B62_TR_Assessment!G48</f>
        <v>0</v>
      </c>
      <c r="N1653">
        <f>B62_TR_Assessment!H48</f>
        <v>0</v>
      </c>
      <c r="O1653">
        <f>B62_TR_Assessment!I48</f>
        <v>0</v>
      </c>
      <c r="P1653">
        <f>B62_TR_Assessment!J48</f>
        <v>0</v>
      </c>
      <c r="Q1653" t="str">
        <f t="shared" si="25"/>
        <v>62|41</v>
      </c>
    </row>
    <row r="1654" spans="1:17" ht="6.45" customHeight="1">
      <c r="A1654" t="s">
        <v>376</v>
      </c>
      <c r="B1654">
        <v>42</v>
      </c>
      <c r="C1654" t="s">
        <v>57</v>
      </c>
      <c r="D1654">
        <v>49</v>
      </c>
      <c r="E1654" t="s">
        <v>3310</v>
      </c>
      <c r="F1654" t="s">
        <v>5325</v>
      </c>
      <c r="G1654">
        <f>B62_TR_Assessment!A49</f>
        <v>0</v>
      </c>
      <c r="H1654">
        <f>B62_TR_Assessment!B49</f>
        <v>0</v>
      </c>
      <c r="I1654">
        <f>B62_TR_Assessment!C49</f>
        <v>0</v>
      </c>
      <c r="J1654">
        <f>B62_TR_Assessment!D49</f>
        <v>0</v>
      </c>
      <c r="K1654">
        <f>B62_TR_Assessment!E49</f>
        <v>0</v>
      </c>
      <c r="L1654">
        <f>B62_TR_Assessment!F49</f>
        <v>0</v>
      </c>
      <c r="M1654">
        <f>B62_TR_Assessment!G49</f>
        <v>0</v>
      </c>
      <c r="N1654">
        <f>B62_TR_Assessment!H49</f>
        <v>0</v>
      </c>
      <c r="O1654">
        <f>B62_TR_Assessment!I49</f>
        <v>0</v>
      </c>
      <c r="P1654">
        <f>B62_TR_Assessment!J49</f>
        <v>0</v>
      </c>
      <c r="Q1654" t="str">
        <f t="shared" si="25"/>
        <v>62|42</v>
      </c>
    </row>
    <row r="1655" spans="1:17" ht="6.45" customHeight="1">
      <c r="A1655" t="s">
        <v>376</v>
      </c>
      <c r="B1655">
        <v>43</v>
      </c>
      <c r="C1655" t="s">
        <v>57</v>
      </c>
      <c r="D1655">
        <v>50</v>
      </c>
      <c r="E1655" t="s">
        <v>3311</v>
      </c>
      <c r="F1655" t="s">
        <v>5322</v>
      </c>
      <c r="G1655" t="str">
        <f>B62_TR_Assessment!A50</f>
        <v>7. OWNER RISKS</v>
      </c>
      <c r="H1655">
        <f>B62_TR_Assessment!B50</f>
        <v>0</v>
      </c>
      <c r="I1655">
        <f>B62_TR_Assessment!C50</f>
        <v>0</v>
      </c>
      <c r="J1655">
        <f>B62_TR_Assessment!D50</f>
        <v>0</v>
      </c>
      <c r="K1655">
        <f>B62_TR_Assessment!E50</f>
        <v>0</v>
      </c>
      <c r="L1655">
        <f>B62_TR_Assessment!F50</f>
        <v>0</v>
      </c>
      <c r="M1655">
        <f>B62_TR_Assessment!G50</f>
        <v>0</v>
      </c>
      <c r="N1655">
        <f>B62_TR_Assessment!H50</f>
        <v>0</v>
      </c>
      <c r="O1655">
        <f>B62_TR_Assessment!I50</f>
        <v>0</v>
      </c>
      <c r="P1655">
        <f>B62_TR_Assessment!J50</f>
        <v>0</v>
      </c>
      <c r="Q1655" t="str">
        <f t="shared" si="25"/>
        <v>62|43</v>
      </c>
    </row>
    <row r="1656" spans="1:17" ht="6.45" customHeight="1">
      <c r="A1656" t="s">
        <v>376</v>
      </c>
      <c r="B1656">
        <v>44</v>
      </c>
      <c r="C1656" t="s">
        <v>57</v>
      </c>
      <c r="D1656">
        <v>51</v>
      </c>
      <c r="E1656" t="s">
        <v>3311</v>
      </c>
      <c r="F1656" t="s">
        <v>5323</v>
      </c>
      <c r="G1656" t="str">
        <f>B62_TR_Assessment!A51</f>
        <v>Risk ID</v>
      </c>
      <c r="H1656" t="str">
        <f>B62_TR_Assessment!B51</f>
        <v>Room</v>
      </c>
      <c r="I1656" t="str">
        <f>B62_TR_Assessment!C51</f>
        <v>Risk</v>
      </c>
      <c r="J1656" t="str">
        <f>B62_TR_Assessment!D51</f>
        <v>Impact</v>
      </c>
      <c r="K1656" t="str">
        <f>B62_TR_Assessment!E51</f>
        <v>Probability</v>
      </c>
      <c r="L1656" t="str">
        <f>B62_TR_Assessment!F51</f>
        <v>Score</v>
      </c>
      <c r="M1656" t="str">
        <f>B62_TR_Assessment!G51</f>
        <v>Mitigation</v>
      </c>
      <c r="N1656" t="str">
        <f>B62_TR_Assessment!H51</f>
        <v>Owner</v>
      </c>
      <c r="O1656" t="str">
        <f>B62_TR_Assessment!I51</f>
        <v>Status</v>
      </c>
      <c r="P1656" t="str">
        <f>B62_TR_Assessment!J51</f>
        <v>Notes</v>
      </c>
      <c r="Q1656" t="str">
        <f t="shared" si="25"/>
        <v>62|44</v>
      </c>
    </row>
    <row r="1657" spans="1:17" ht="6.45" customHeight="1">
      <c r="A1657" t="s">
        <v>376</v>
      </c>
      <c r="B1657">
        <v>45</v>
      </c>
      <c r="C1657" t="s">
        <v>57</v>
      </c>
      <c r="D1657">
        <v>52</v>
      </c>
      <c r="E1657" t="s">
        <v>3311</v>
      </c>
      <c r="F1657" t="s">
        <v>5324</v>
      </c>
      <c r="G1657" t="str">
        <f>B62_TR_Assessment!A52</f>
        <v>B62-R1</v>
      </c>
      <c r="H1657" t="str">
        <f>B62_TR_Assessment!B52</f>
        <v>All</v>
      </c>
      <c r="I1657" t="str">
        <f>B62_TR_Assessment!C52</f>
        <v>Cooling redundancy / emergency power not verified</v>
      </c>
      <c r="J1657" t="str">
        <f>B62_TR_Assessment!D52</f>
        <v>High</v>
      </c>
      <c r="K1657" t="str">
        <f>B62_TR_Assessment!E52</f>
        <v>Medium</v>
      </c>
      <c r="L1657">
        <f>B62_TR_Assessment!F52</f>
        <v>6</v>
      </c>
      <c r="M1657" t="str">
        <f>B62_TR_Assessment!G52</f>
        <v>Confirm power path for cooling, controls, condensate pump</v>
      </c>
      <c r="N1657" t="str">
        <f>B62_TR_Assessment!H52</f>
        <v>GCC / VA</v>
      </c>
      <c r="O1657" t="str">
        <f>B62_TR_Assessment!I52</f>
        <v>Closed</v>
      </c>
      <c r="P1657">
        <f>B62_TR_Assessment!J52</f>
        <v>0</v>
      </c>
      <c r="Q1657" t="str">
        <f t="shared" si="25"/>
        <v>62|45</v>
      </c>
    </row>
    <row r="1658" spans="1:17" ht="6.45" customHeight="1">
      <c r="A1658" t="s">
        <v>376</v>
      </c>
      <c r="B1658">
        <v>46</v>
      </c>
      <c r="C1658" t="s">
        <v>57</v>
      </c>
      <c r="D1658">
        <v>53</v>
      </c>
      <c r="E1658" t="s">
        <v>3311</v>
      </c>
      <c r="F1658" t="s">
        <v>5324</v>
      </c>
      <c r="G1658" t="str">
        <f>B62_TR_Assessment!A53</f>
        <v>B62-R2</v>
      </c>
      <c r="H1658" t="str">
        <f>B62_TR_Assessment!B53</f>
        <v>All</v>
      </c>
      <c r="I1658" t="str">
        <f>B62_TR_Assessment!C53</f>
        <v>Firestopping condition unknown</v>
      </c>
      <c r="J1658" t="str">
        <f>B62_TR_Assessment!D53</f>
        <v>High</v>
      </c>
      <c r="K1658" t="str">
        <f>B62_TR_Assessment!E53</f>
        <v>Medium</v>
      </c>
      <c r="L1658">
        <f>B62_TR_Assessment!F53</f>
        <v>6</v>
      </c>
      <c r="M1658" t="str">
        <f>B62_TR_Assessment!G53</f>
        <v>Survey penetrations and temporary/permanent firestop plan</v>
      </c>
      <c r="N1658" t="str">
        <f>B62_TR_Assessment!H53</f>
        <v>GCC</v>
      </c>
      <c r="O1658" t="str">
        <f>B62_TR_Assessment!I53</f>
        <v>Closed</v>
      </c>
      <c r="P1658">
        <f>B62_TR_Assessment!J53</f>
        <v>0</v>
      </c>
      <c r="Q1658" t="str">
        <f t="shared" si="25"/>
        <v>62|46</v>
      </c>
    </row>
    <row r="1659" spans="1:17" ht="6.45" customHeight="1">
      <c r="A1659" t="s">
        <v>376</v>
      </c>
      <c r="B1659">
        <v>47</v>
      </c>
      <c r="C1659" t="s">
        <v>57</v>
      </c>
      <c r="D1659">
        <v>54</v>
      </c>
      <c r="E1659" t="s">
        <v>3311</v>
      </c>
      <c r="F1659" t="s">
        <v>5324</v>
      </c>
      <c r="G1659" t="str">
        <f>B62_TR_Assessment!A54</f>
        <v>B62-R3</v>
      </c>
      <c r="H1659" t="str">
        <f>B62_TR_Assessment!B54</f>
        <v>All</v>
      </c>
      <c r="I1659" t="str">
        <f>B62_TR_Assessment!C54</f>
        <v>Existing room conditions undocumented</v>
      </c>
      <c r="J1659" t="str">
        <f>B62_TR_Assessment!D54</f>
        <v>Medium</v>
      </c>
      <c r="K1659" t="str">
        <f>B62_TR_Assessment!E54</f>
        <v>High</v>
      </c>
      <c r="L1659">
        <f>B62_TR_Assessment!F54</f>
        <v>6</v>
      </c>
      <c r="M1659" t="str">
        <f>B62_TR_Assessment!G54</f>
        <v>Create photo record before construction begins</v>
      </c>
      <c r="N1659" t="str">
        <f>B62_TR_Assessment!H54</f>
        <v>GCC</v>
      </c>
      <c r="O1659" t="str">
        <f>B62_TR_Assessment!I54</f>
        <v>Closed</v>
      </c>
      <c r="P1659">
        <f>B62_TR_Assessment!J54</f>
        <v>0</v>
      </c>
      <c r="Q1659" t="str">
        <f t="shared" si="25"/>
        <v>62|47</v>
      </c>
    </row>
    <row r="1660" spans="1:17" ht="6.45" customHeight="1">
      <c r="A1660" t="s">
        <v>376</v>
      </c>
      <c r="B1660">
        <v>48</v>
      </c>
      <c r="C1660" t="s">
        <v>57</v>
      </c>
      <c r="D1660">
        <v>55</v>
      </c>
      <c r="E1660" t="s">
        <v>3311</v>
      </c>
      <c r="F1660" t="s">
        <v>5324</v>
      </c>
      <c r="G1660" t="str">
        <f>B62_TR_Assessment!A55</f>
        <v>B62-R4</v>
      </c>
      <c r="H1660" t="str">
        <f>B62_TR_Assessment!B55</f>
        <v>All</v>
      </c>
      <c r="I1660" t="str">
        <f>B62_TR_Assessment!C55</f>
        <v>Condensate leak risk near IT equipment</v>
      </c>
      <c r="J1660" t="str">
        <f>B62_TR_Assessment!D55</f>
        <v>High</v>
      </c>
      <c r="K1660" t="str">
        <f>B62_TR_Assessment!E55</f>
        <v>Medium</v>
      </c>
      <c r="L1660">
        <f>B62_TR_Assessment!F55</f>
        <v>6</v>
      </c>
      <c r="M1660" t="str">
        <f>B62_TR_Assessment!G55</f>
        <v>Verify condensate routing and alarms</v>
      </c>
      <c r="N1660" t="str">
        <f>B62_TR_Assessment!H55</f>
        <v>GCC / Contractor</v>
      </c>
      <c r="O1660" t="str">
        <f>B62_TR_Assessment!I55</f>
        <v>Closed</v>
      </c>
      <c r="P1660">
        <f>B62_TR_Assessment!J55</f>
        <v>0</v>
      </c>
      <c r="Q1660" t="str">
        <f t="shared" si="25"/>
        <v>62|48</v>
      </c>
    </row>
    <row r="1661" spans="1:17" ht="6.45" customHeight="1">
      <c r="A1661" t="s">
        <v>376</v>
      </c>
      <c r="B1661">
        <v>49</v>
      </c>
      <c r="C1661" t="s">
        <v>57</v>
      </c>
      <c r="D1661">
        <v>56</v>
      </c>
      <c r="E1661" t="s">
        <v>3311</v>
      </c>
      <c r="F1661" t="s">
        <v>5325</v>
      </c>
      <c r="G1661">
        <f>B62_TR_Assessment!A56</f>
        <v>0</v>
      </c>
      <c r="H1661">
        <f>B62_TR_Assessment!B56</f>
        <v>0</v>
      </c>
      <c r="I1661">
        <f>B62_TR_Assessment!C56</f>
        <v>0</v>
      </c>
      <c r="J1661">
        <f>B62_TR_Assessment!D56</f>
        <v>0</v>
      </c>
      <c r="K1661">
        <f>B62_TR_Assessment!E56</f>
        <v>0</v>
      </c>
      <c r="L1661">
        <f>B62_TR_Assessment!F56</f>
        <v>0</v>
      </c>
      <c r="M1661">
        <f>B62_TR_Assessment!G56</f>
        <v>0</v>
      </c>
      <c r="N1661">
        <f>B62_TR_Assessment!H56</f>
        <v>0</v>
      </c>
      <c r="O1661">
        <f>B62_TR_Assessment!I56</f>
        <v>0</v>
      </c>
      <c r="P1661">
        <f>B62_TR_Assessment!J56</f>
        <v>0</v>
      </c>
      <c r="Q1661" t="str">
        <f t="shared" si="25"/>
        <v>62|49</v>
      </c>
    </row>
    <row r="1662" spans="1:17" ht="6.45" customHeight="1">
      <c r="A1662" t="s">
        <v>376</v>
      </c>
      <c r="B1662">
        <v>50</v>
      </c>
      <c r="C1662" t="s">
        <v>57</v>
      </c>
      <c r="D1662">
        <v>57</v>
      </c>
      <c r="E1662" t="s">
        <v>3311</v>
      </c>
      <c r="F1662" t="s">
        <v>5325</v>
      </c>
      <c r="G1662">
        <f>B62_TR_Assessment!A57</f>
        <v>0</v>
      </c>
      <c r="H1662">
        <f>B62_TR_Assessment!B57</f>
        <v>0</v>
      </c>
      <c r="I1662">
        <f>B62_TR_Assessment!C57</f>
        <v>0</v>
      </c>
      <c r="J1662">
        <f>B62_TR_Assessment!D57</f>
        <v>0</v>
      </c>
      <c r="K1662">
        <f>B62_TR_Assessment!E57</f>
        <v>0</v>
      </c>
      <c r="L1662">
        <f>B62_TR_Assessment!F57</f>
        <v>0</v>
      </c>
      <c r="M1662">
        <f>B62_TR_Assessment!G57</f>
        <v>0</v>
      </c>
      <c r="N1662">
        <f>B62_TR_Assessment!H57</f>
        <v>0</v>
      </c>
      <c r="O1662">
        <f>B62_TR_Assessment!I57</f>
        <v>0</v>
      </c>
      <c r="P1662">
        <f>B62_TR_Assessment!J57</f>
        <v>0</v>
      </c>
      <c r="Q1662" t="str">
        <f t="shared" si="25"/>
        <v>62|50</v>
      </c>
    </row>
    <row r="1663" spans="1:17" ht="6.45" customHeight="1">
      <c r="A1663" t="s">
        <v>376</v>
      </c>
      <c r="B1663">
        <v>51</v>
      </c>
      <c r="C1663" t="s">
        <v>57</v>
      </c>
      <c r="D1663">
        <v>58</v>
      </c>
      <c r="E1663" t="s">
        <v>3324</v>
      </c>
      <c r="F1663" t="s">
        <v>5322</v>
      </c>
      <c r="G1663" t="str">
        <f>B62_TR_Assessment!A58</f>
        <v>8. OPEN QUESTIONS</v>
      </c>
      <c r="H1663">
        <f>B62_TR_Assessment!B58</f>
        <v>0</v>
      </c>
      <c r="I1663">
        <f>B62_TR_Assessment!C58</f>
        <v>0</v>
      </c>
      <c r="J1663">
        <f>B62_TR_Assessment!D58</f>
        <v>0</v>
      </c>
      <c r="K1663">
        <f>B62_TR_Assessment!E58</f>
        <v>0</v>
      </c>
      <c r="L1663">
        <f>B62_TR_Assessment!F58</f>
        <v>0</v>
      </c>
      <c r="M1663">
        <f>B62_TR_Assessment!G58</f>
        <v>0</v>
      </c>
      <c r="N1663">
        <f>B62_TR_Assessment!H58</f>
        <v>0</v>
      </c>
      <c r="O1663">
        <f>B62_TR_Assessment!I58</f>
        <v>0</v>
      </c>
      <c r="P1663">
        <f>B62_TR_Assessment!J58</f>
        <v>0</v>
      </c>
      <c r="Q1663" t="str">
        <f t="shared" si="25"/>
        <v>62|51</v>
      </c>
    </row>
    <row r="1664" spans="1:17" ht="6.45" customHeight="1">
      <c r="A1664" t="s">
        <v>376</v>
      </c>
      <c r="B1664">
        <v>52</v>
      </c>
      <c r="C1664" t="s">
        <v>57</v>
      </c>
      <c r="D1664">
        <v>59</v>
      </c>
      <c r="E1664" t="s">
        <v>3324</v>
      </c>
      <c r="F1664" t="s">
        <v>5323</v>
      </c>
      <c r="G1664" t="str">
        <f>B62_TR_Assessment!A59</f>
        <v>Question ID</v>
      </c>
      <c r="H1664" t="str">
        <f>B62_TR_Assessment!B59</f>
        <v>Question</v>
      </c>
      <c r="I1664" t="str">
        <f>B62_TR_Assessment!C59</f>
        <v>Assigned To</v>
      </c>
      <c r="J1664" t="str">
        <f>B62_TR_Assessment!D59</f>
        <v>Status</v>
      </c>
      <c r="K1664" t="str">
        <f>B62_TR_Assessment!E59</f>
        <v>Needed By</v>
      </c>
      <c r="L1664" t="str">
        <f>B62_TR_Assessment!F59</f>
        <v>Answer / Resolution</v>
      </c>
      <c r="M1664" t="str">
        <f>B62_TR_Assessment!G59</f>
        <v>Impact if Unanswered</v>
      </c>
      <c r="N1664" t="str">
        <f>B62_TR_Assessment!H59</f>
        <v>Follow-up</v>
      </c>
      <c r="O1664" t="str">
        <f>B62_TR_Assessment!I59</f>
        <v>Date Closed</v>
      </c>
      <c r="P1664" t="str">
        <f>B62_TR_Assessment!J59</f>
        <v>Notes</v>
      </c>
      <c r="Q1664" t="str">
        <f t="shared" si="25"/>
        <v>62|52</v>
      </c>
    </row>
    <row r="1665" spans="1:17" ht="6.45" customHeight="1">
      <c r="A1665" t="s">
        <v>376</v>
      </c>
      <c r="B1665">
        <v>53</v>
      </c>
      <c r="C1665" t="s">
        <v>57</v>
      </c>
      <c r="D1665">
        <v>60</v>
      </c>
      <c r="E1665" t="s">
        <v>3324</v>
      </c>
      <c r="F1665" t="s">
        <v>5324</v>
      </c>
      <c r="G1665" t="str">
        <f>B62_TR_Assessment!A60</f>
        <v>B62-Q1</v>
      </c>
      <c r="H1665" t="str">
        <f>B62_TR_Assessment!B60</f>
        <v>Are cooling units emergency powered?</v>
      </c>
      <c r="I1665" t="str">
        <f>B62_TR_Assessment!C60</f>
        <v>VA / Designer</v>
      </c>
      <c r="J1665" t="str">
        <f>B62_TR_Assessment!D60</f>
        <v>Closed</v>
      </c>
      <c r="K1665">
        <f>B62_TR_Assessment!E60</f>
        <v>0</v>
      </c>
      <c r="L1665">
        <f>B62_TR_Assessment!F60</f>
        <v>0</v>
      </c>
      <c r="M1665" t="str">
        <f>B62_TR_Assessment!G60</f>
        <v>Cannot confirm continuity of operations</v>
      </c>
      <c r="N1665">
        <f>B62_TR_Assessment!H60</f>
        <v>0</v>
      </c>
      <c r="O1665">
        <f>B62_TR_Assessment!I60</f>
        <v>0</v>
      </c>
      <c r="P1665">
        <f>B62_TR_Assessment!J60</f>
        <v>0</v>
      </c>
      <c r="Q1665" t="str">
        <f t="shared" si="25"/>
        <v>62|53</v>
      </c>
    </row>
    <row r="1666" spans="1:17" ht="6.45" customHeight="1">
      <c r="A1666" t="s">
        <v>376</v>
      </c>
      <c r="B1666">
        <v>54</v>
      </c>
      <c r="C1666" t="s">
        <v>57</v>
      </c>
      <c r="D1666">
        <v>61</v>
      </c>
      <c r="E1666" t="s">
        <v>3324</v>
      </c>
      <c r="F1666" t="s">
        <v>5324</v>
      </c>
      <c r="G1666" t="str">
        <f>B62_TR_Assessment!A61</f>
        <v>B62-Q2</v>
      </c>
      <c r="H1666" t="str">
        <f>B62_TR_Assessment!B61</f>
        <v>Are future rack loads included in HVAC sizing?</v>
      </c>
      <c r="I1666" t="str">
        <f>B62_TR_Assessment!C61</f>
        <v>Designer</v>
      </c>
      <c r="J1666" t="str">
        <f>B62_TR_Assessment!D61</f>
        <v>Closed</v>
      </c>
      <c r="K1666">
        <f>B62_TR_Assessment!E61</f>
        <v>0</v>
      </c>
      <c r="L1666">
        <f>B62_TR_Assessment!F61</f>
        <v>0</v>
      </c>
      <c r="M1666" t="str">
        <f>B62_TR_Assessment!G61</f>
        <v>Cooling may be undersized after expansion</v>
      </c>
      <c r="N1666">
        <f>B62_TR_Assessment!H61</f>
        <v>0</v>
      </c>
      <c r="O1666">
        <f>B62_TR_Assessment!I61</f>
        <v>0</v>
      </c>
      <c r="P1666">
        <f>B62_TR_Assessment!J61</f>
        <v>0</v>
      </c>
      <c r="Q1666" t="str">
        <f t="shared" ref="Q1666:Q1729" si="26">A1666&amp;"|"&amp;B1666</f>
        <v>62|54</v>
      </c>
    </row>
    <row r="1667" spans="1:17" ht="6.45" customHeight="1">
      <c r="A1667" t="s">
        <v>376</v>
      </c>
      <c r="B1667">
        <v>55</v>
      </c>
      <c r="C1667" t="s">
        <v>57</v>
      </c>
      <c r="D1667">
        <v>62</v>
      </c>
      <c r="E1667" t="s">
        <v>3324</v>
      </c>
      <c r="F1667" t="s">
        <v>5324</v>
      </c>
      <c r="G1667" t="str">
        <f>B62_TR_Assessment!A62</f>
        <v>B62-Q3</v>
      </c>
      <c r="H1667" t="str">
        <f>B62_TR_Assessment!B62</f>
        <v>Is extinguisher location identified within 75 feet?</v>
      </c>
      <c r="I1667" t="str">
        <f>B62_TR_Assessment!C62</f>
        <v>Contractor / COR</v>
      </c>
      <c r="J1667" t="str">
        <f>B62_TR_Assessment!D62</f>
        <v>Closed</v>
      </c>
      <c r="K1667">
        <f>B62_TR_Assessment!E62</f>
        <v>0</v>
      </c>
      <c r="L1667">
        <f>B62_TR_Assessment!F62</f>
        <v>0</v>
      </c>
      <c r="M1667" t="str">
        <f>B62_TR_Assessment!G62</f>
        <v>Life safety / acceptance risk</v>
      </c>
      <c r="N1667">
        <f>B62_TR_Assessment!H62</f>
        <v>0</v>
      </c>
      <c r="O1667">
        <f>B62_TR_Assessment!I62</f>
        <v>0</v>
      </c>
      <c r="P1667">
        <f>B62_TR_Assessment!J62</f>
        <v>0</v>
      </c>
      <c r="Q1667" t="str">
        <f t="shared" si="26"/>
        <v>62|55</v>
      </c>
    </row>
    <row r="1668" spans="1:17" ht="6.45" customHeight="1">
      <c r="A1668" t="s">
        <v>376</v>
      </c>
      <c r="B1668">
        <v>56</v>
      </c>
      <c r="C1668" t="s">
        <v>57</v>
      </c>
      <c r="D1668">
        <v>63</v>
      </c>
      <c r="E1668" t="s">
        <v>3324</v>
      </c>
      <c r="F1668" t="s">
        <v>5324</v>
      </c>
      <c r="G1668" t="str">
        <f>B62_TR_Assessment!A63</f>
        <v>B62-Q4</v>
      </c>
      <c r="H1668" t="str">
        <f>B62_TR_Assessment!B63</f>
        <v>Are all penetrations fully documented and firestopped?</v>
      </c>
      <c r="I1668" t="str">
        <f>B62_TR_Assessment!C63</f>
        <v>Contractor / Designer</v>
      </c>
      <c r="J1668" t="str">
        <f>B62_TR_Assessment!D63</f>
        <v>Closed</v>
      </c>
      <c r="K1668">
        <f>B62_TR_Assessment!E63</f>
        <v>0</v>
      </c>
      <c r="L1668">
        <f>B62_TR_Assessment!F63</f>
        <v>0</v>
      </c>
      <c r="M1668" t="str">
        <f>B62_TR_Assessment!G63</f>
        <v>Fire/smoke spread risk</v>
      </c>
      <c r="N1668">
        <f>B62_TR_Assessment!H63</f>
        <v>0</v>
      </c>
      <c r="O1668">
        <f>B62_TR_Assessment!I63</f>
        <v>0</v>
      </c>
      <c r="P1668">
        <f>B62_TR_Assessment!J63</f>
        <v>0</v>
      </c>
      <c r="Q1668" t="str">
        <f t="shared" si="26"/>
        <v>62|56</v>
      </c>
    </row>
    <row r="1669" spans="1:17" ht="6.45" customHeight="1">
      <c r="A1669" t="s">
        <v>376</v>
      </c>
      <c r="B1669">
        <v>57</v>
      </c>
      <c r="C1669" t="s">
        <v>57</v>
      </c>
      <c r="D1669">
        <v>64</v>
      </c>
      <c r="E1669" t="s">
        <v>3324</v>
      </c>
      <c r="F1669" t="s">
        <v>5325</v>
      </c>
      <c r="G1669">
        <f>B62_TR_Assessment!A64</f>
        <v>0</v>
      </c>
      <c r="H1669">
        <f>B62_TR_Assessment!B64</f>
        <v>0</v>
      </c>
      <c r="I1669">
        <f>B62_TR_Assessment!C64</f>
        <v>0</v>
      </c>
      <c r="J1669">
        <f>B62_TR_Assessment!D64</f>
        <v>0</v>
      </c>
      <c r="K1669">
        <f>B62_TR_Assessment!E64</f>
        <v>0</v>
      </c>
      <c r="L1669">
        <f>B62_TR_Assessment!F64</f>
        <v>0</v>
      </c>
      <c r="M1669">
        <f>B62_TR_Assessment!G64</f>
        <v>0</v>
      </c>
      <c r="N1669">
        <f>B62_TR_Assessment!H64</f>
        <v>0</v>
      </c>
      <c r="O1669">
        <f>B62_TR_Assessment!I64</f>
        <v>0</v>
      </c>
      <c r="P1669">
        <f>B62_TR_Assessment!J64</f>
        <v>0</v>
      </c>
      <c r="Q1669" t="str">
        <f t="shared" si="26"/>
        <v>62|57</v>
      </c>
    </row>
    <row r="1670" spans="1:17" ht="6.45" customHeight="1">
      <c r="A1670" t="s">
        <v>376</v>
      </c>
      <c r="B1670">
        <v>58</v>
      </c>
      <c r="C1670" t="s">
        <v>57</v>
      </c>
      <c r="D1670">
        <v>65</v>
      </c>
      <c r="E1670" t="s">
        <v>3324</v>
      </c>
      <c r="F1670" t="s">
        <v>5325</v>
      </c>
      <c r="G1670">
        <f>B62_TR_Assessment!A65</f>
        <v>0</v>
      </c>
      <c r="H1670">
        <f>B62_TR_Assessment!B65</f>
        <v>0</v>
      </c>
      <c r="I1670">
        <f>B62_TR_Assessment!C65</f>
        <v>0</v>
      </c>
      <c r="J1670">
        <f>B62_TR_Assessment!D65</f>
        <v>0</v>
      </c>
      <c r="K1670">
        <f>B62_TR_Assessment!E65</f>
        <v>0</v>
      </c>
      <c r="L1670">
        <f>B62_TR_Assessment!F65</f>
        <v>0</v>
      </c>
      <c r="M1670">
        <f>B62_TR_Assessment!G65</f>
        <v>0</v>
      </c>
      <c r="N1670">
        <f>B62_TR_Assessment!H65</f>
        <v>0</v>
      </c>
      <c r="O1670">
        <f>B62_TR_Assessment!I65</f>
        <v>0</v>
      </c>
      <c r="P1670">
        <f>B62_TR_Assessment!J65</f>
        <v>0</v>
      </c>
      <c r="Q1670" t="str">
        <f t="shared" si="26"/>
        <v>62|58</v>
      </c>
    </row>
    <row r="1671" spans="1:17" ht="6.45" customHeight="1">
      <c r="A1671" t="s">
        <v>376</v>
      </c>
      <c r="B1671">
        <v>59</v>
      </c>
      <c r="C1671" t="s">
        <v>57</v>
      </c>
      <c r="D1671">
        <v>66</v>
      </c>
      <c r="E1671" t="s">
        <v>3340</v>
      </c>
      <c r="F1671" t="s">
        <v>5322</v>
      </c>
      <c r="G1671" t="str">
        <f>B62_TR_Assessment!A66</f>
        <v>9. PHOTO LOG</v>
      </c>
      <c r="H1671">
        <f>B62_TR_Assessment!B66</f>
        <v>0</v>
      </c>
      <c r="I1671">
        <f>B62_TR_Assessment!C66</f>
        <v>0</v>
      </c>
      <c r="J1671">
        <f>B62_TR_Assessment!D66</f>
        <v>0</v>
      </c>
      <c r="K1671">
        <f>B62_TR_Assessment!E66</f>
        <v>0</v>
      </c>
      <c r="L1671">
        <f>B62_TR_Assessment!F66</f>
        <v>0</v>
      </c>
      <c r="M1671">
        <f>B62_TR_Assessment!G66</f>
        <v>0</v>
      </c>
      <c r="N1671">
        <f>B62_TR_Assessment!H66</f>
        <v>0</v>
      </c>
      <c r="O1671">
        <f>B62_TR_Assessment!I66</f>
        <v>0</v>
      </c>
      <c r="P1671">
        <f>B62_TR_Assessment!J66</f>
        <v>0</v>
      </c>
      <c r="Q1671" t="str">
        <f t="shared" si="26"/>
        <v>62|59</v>
      </c>
    </row>
    <row r="1672" spans="1:17" ht="6.45" customHeight="1">
      <c r="A1672" t="s">
        <v>376</v>
      </c>
      <c r="B1672">
        <v>60</v>
      </c>
      <c r="C1672" t="s">
        <v>57</v>
      </c>
      <c r="D1672">
        <v>67</v>
      </c>
      <c r="E1672" t="s">
        <v>3340</v>
      </c>
      <c r="F1672" t="s">
        <v>5323</v>
      </c>
      <c r="G1672" t="str">
        <f>B62_TR_Assessment!A67</f>
        <v>Photo ID</v>
      </c>
      <c r="H1672" t="str">
        <f>B62_TR_Assessment!B67</f>
        <v>Room</v>
      </c>
      <c r="I1672" t="str">
        <f>B62_TR_Assessment!C67</f>
        <v>Category</v>
      </c>
      <c r="J1672" t="str">
        <f>B62_TR_Assessment!D67</f>
        <v>Description</v>
      </c>
      <c r="K1672" t="str">
        <f>B62_TR_Assessment!E67</f>
        <v>Date</v>
      </c>
      <c r="L1672" t="str">
        <f>B62_TR_Assessment!F67</f>
        <v>Taken By</v>
      </c>
      <c r="M1672" t="str">
        <f>B62_TR_Assessment!G67</f>
        <v>File / Link</v>
      </c>
      <c r="N1672" t="str">
        <f>B62_TR_Assessment!H67</f>
        <v>Related Risk</v>
      </c>
      <c r="O1672" t="str">
        <f>B62_TR_Assessment!I67</f>
        <v>Status</v>
      </c>
      <c r="P1672" t="str">
        <f>B62_TR_Assessment!J67</f>
        <v>Notes</v>
      </c>
      <c r="Q1672" t="str">
        <f t="shared" si="26"/>
        <v>62|60</v>
      </c>
    </row>
    <row r="1673" spans="1:17" ht="6.45" customHeight="1">
      <c r="A1673" t="s">
        <v>376</v>
      </c>
      <c r="B1673">
        <v>61</v>
      </c>
      <c r="C1673" t="s">
        <v>57</v>
      </c>
      <c r="D1673">
        <v>68</v>
      </c>
      <c r="E1673" t="s">
        <v>3340</v>
      </c>
      <c r="F1673" t="s">
        <v>5324</v>
      </c>
      <c r="G1673" t="str">
        <f>B62_TR_Assessment!A68</f>
        <v>B62-P001</v>
      </c>
      <c r="H1673" t="str">
        <f>B62_TR_Assessment!B68</f>
        <v>B24A</v>
      </c>
      <c r="I1673" t="str">
        <f>B62_TR_Assessment!C68</f>
        <v>Existing Condition</v>
      </c>
      <c r="J1673" t="str">
        <f>B62_TR_Assessment!D68</f>
        <v>Existing room condition</v>
      </c>
      <c r="K1673" s="152">
        <f>B62_TR_Assessment!E68</f>
        <v>0</v>
      </c>
      <c r="L1673" t="str">
        <f>B62_TR_Assessment!F68</f>
        <v>Paul</v>
      </c>
      <c r="M1673">
        <f>B62_TR_Assessment!G68</f>
        <v>0</v>
      </c>
      <c r="N1673">
        <f>B62_TR_Assessment!H68</f>
        <v>0</v>
      </c>
      <c r="O1673" t="str">
        <f>B62_TR_Assessment!I68</f>
        <v>Closed</v>
      </c>
      <c r="P1673">
        <f>B62_TR_Assessment!J68</f>
        <v>0</v>
      </c>
      <c r="Q1673" t="str">
        <f t="shared" si="26"/>
        <v>62|61</v>
      </c>
    </row>
    <row r="1674" spans="1:17" ht="6.45" customHeight="1">
      <c r="A1674" t="s">
        <v>376</v>
      </c>
      <c r="B1674">
        <v>62</v>
      </c>
      <c r="C1674" t="s">
        <v>57</v>
      </c>
      <c r="D1674">
        <v>69</v>
      </c>
      <c r="E1674" t="s">
        <v>3340</v>
      </c>
      <c r="F1674" t="s">
        <v>5324</v>
      </c>
      <c r="G1674" t="str">
        <f>B62_TR_Assessment!A69</f>
        <v>B62-P002</v>
      </c>
      <c r="H1674" t="str">
        <f>B62_TR_Assessment!B69</f>
        <v>125</v>
      </c>
      <c r="I1674" t="str">
        <f>B62_TR_Assessment!C69</f>
        <v>Existing Condition</v>
      </c>
      <c r="J1674" t="str">
        <f>B62_TR_Assessment!D69</f>
        <v>Existing room condition</v>
      </c>
      <c r="K1674" s="152">
        <f>B62_TR_Assessment!E69</f>
        <v>0</v>
      </c>
      <c r="L1674" t="str">
        <f>B62_TR_Assessment!F69</f>
        <v>Paul</v>
      </c>
      <c r="M1674">
        <f>B62_TR_Assessment!G69</f>
        <v>0</v>
      </c>
      <c r="N1674">
        <f>B62_TR_Assessment!H69</f>
        <v>0</v>
      </c>
      <c r="O1674" t="str">
        <f>B62_TR_Assessment!I69</f>
        <v>Closed</v>
      </c>
      <c r="P1674">
        <f>B62_TR_Assessment!J69</f>
        <v>0</v>
      </c>
      <c r="Q1674" t="str">
        <f t="shared" si="26"/>
        <v>62|62</v>
      </c>
    </row>
    <row r="1675" spans="1:17" ht="6.45" customHeight="1">
      <c r="A1675" t="s">
        <v>376</v>
      </c>
      <c r="B1675">
        <v>63</v>
      </c>
      <c r="C1675" t="s">
        <v>57</v>
      </c>
      <c r="D1675">
        <v>70</v>
      </c>
      <c r="E1675" t="s">
        <v>3340</v>
      </c>
      <c r="F1675" t="s">
        <v>5324</v>
      </c>
      <c r="G1675" t="str">
        <f>B62_TR_Assessment!A70</f>
        <v>B62-P003</v>
      </c>
      <c r="H1675" t="str">
        <f>B62_TR_Assessment!B70</f>
        <v>225</v>
      </c>
      <c r="I1675" t="str">
        <f>B62_TR_Assessment!C70</f>
        <v>Existing Condition</v>
      </c>
      <c r="J1675" t="str">
        <f>B62_TR_Assessment!D70</f>
        <v>Existing room condition</v>
      </c>
      <c r="K1675" s="152">
        <f>B62_TR_Assessment!E70</f>
        <v>0</v>
      </c>
      <c r="L1675" t="str">
        <f>B62_TR_Assessment!F70</f>
        <v>Paul</v>
      </c>
      <c r="M1675">
        <f>B62_TR_Assessment!G70</f>
        <v>0</v>
      </c>
      <c r="N1675">
        <f>B62_TR_Assessment!H70</f>
        <v>0</v>
      </c>
      <c r="O1675" t="str">
        <f>B62_TR_Assessment!I70</f>
        <v>Closed</v>
      </c>
      <c r="P1675">
        <f>B62_TR_Assessment!J70</f>
        <v>0</v>
      </c>
      <c r="Q1675" t="str">
        <f t="shared" si="26"/>
        <v>62|63</v>
      </c>
    </row>
    <row r="1676" spans="1:17" ht="6.45" customHeight="1">
      <c r="A1676" t="s">
        <v>376</v>
      </c>
      <c r="B1676">
        <v>64</v>
      </c>
      <c r="C1676" t="s">
        <v>57</v>
      </c>
      <c r="D1676">
        <v>71</v>
      </c>
      <c r="E1676" t="s">
        <v>3340</v>
      </c>
      <c r="F1676" t="s">
        <v>5324</v>
      </c>
      <c r="G1676" t="str">
        <f>B62_TR_Assessment!A71</f>
        <v>B62-P004</v>
      </c>
      <c r="H1676" t="str">
        <f>B62_TR_Assessment!B71</f>
        <v>All</v>
      </c>
      <c r="I1676" t="str">
        <f>B62_TR_Assessment!C71</f>
        <v>Firestop</v>
      </c>
      <c r="J1676" t="str">
        <f>B62_TR_Assessment!D71</f>
        <v>Penetration/firestopping photo</v>
      </c>
      <c r="K1676" s="152">
        <f>B62_TR_Assessment!E71</f>
        <v>0</v>
      </c>
      <c r="L1676" t="str">
        <f>B62_TR_Assessment!F71</f>
        <v>Paul</v>
      </c>
      <c r="M1676">
        <f>B62_TR_Assessment!G71</f>
        <v>0</v>
      </c>
      <c r="N1676" t="str">
        <f>B62_TR_Assessment!H71</f>
        <v>B62-R2</v>
      </c>
      <c r="O1676" t="str">
        <f>B62_TR_Assessment!I71</f>
        <v>Closed</v>
      </c>
      <c r="P1676">
        <f>B62_TR_Assessment!J71</f>
        <v>0</v>
      </c>
      <c r="Q1676" t="str">
        <f t="shared" si="26"/>
        <v>62|64</v>
      </c>
    </row>
    <row r="1677" spans="1:17" ht="6.45" customHeight="1">
      <c r="A1677" t="s">
        <v>376</v>
      </c>
      <c r="B1677">
        <v>65</v>
      </c>
      <c r="C1677" t="s">
        <v>57</v>
      </c>
      <c r="D1677">
        <v>72</v>
      </c>
      <c r="E1677" t="s">
        <v>3340</v>
      </c>
      <c r="F1677" t="s">
        <v>5325</v>
      </c>
      <c r="G1677">
        <f>B62_TR_Assessment!A72</f>
        <v>0</v>
      </c>
      <c r="H1677">
        <f>B62_TR_Assessment!B72</f>
        <v>0</v>
      </c>
      <c r="I1677">
        <f>B62_TR_Assessment!C72</f>
        <v>0</v>
      </c>
      <c r="J1677">
        <f>B62_TR_Assessment!D72</f>
        <v>0</v>
      </c>
      <c r="K1677">
        <f>B62_TR_Assessment!E72</f>
        <v>0</v>
      </c>
      <c r="L1677">
        <f>B62_TR_Assessment!F72</f>
        <v>0</v>
      </c>
      <c r="M1677">
        <f>B62_TR_Assessment!G72</f>
        <v>0</v>
      </c>
      <c r="N1677">
        <f>B62_TR_Assessment!H72</f>
        <v>0</v>
      </c>
      <c r="O1677">
        <f>B62_TR_Assessment!I72</f>
        <v>0</v>
      </c>
      <c r="P1677">
        <f>B62_TR_Assessment!J72</f>
        <v>0</v>
      </c>
      <c r="Q1677" t="str">
        <f t="shared" si="26"/>
        <v>62|65</v>
      </c>
    </row>
    <row r="1678" spans="1:17" ht="6.45" customHeight="1">
      <c r="A1678" t="s">
        <v>376</v>
      </c>
      <c r="B1678">
        <v>66</v>
      </c>
      <c r="C1678" t="s">
        <v>57</v>
      </c>
      <c r="D1678">
        <v>73</v>
      </c>
      <c r="E1678" t="s">
        <v>3340</v>
      </c>
      <c r="F1678" t="s">
        <v>5325</v>
      </c>
      <c r="G1678">
        <f>B62_TR_Assessment!A73</f>
        <v>0</v>
      </c>
      <c r="H1678">
        <f>B62_TR_Assessment!B73</f>
        <v>0</v>
      </c>
      <c r="I1678">
        <f>B62_TR_Assessment!C73</f>
        <v>0</v>
      </c>
      <c r="J1678">
        <f>B62_TR_Assessment!D73</f>
        <v>0</v>
      </c>
      <c r="K1678">
        <f>B62_TR_Assessment!E73</f>
        <v>0</v>
      </c>
      <c r="L1678">
        <f>B62_TR_Assessment!F73</f>
        <v>0</v>
      </c>
      <c r="M1678">
        <f>B62_TR_Assessment!G73</f>
        <v>0</v>
      </c>
      <c r="N1678">
        <f>B62_TR_Assessment!H73</f>
        <v>0</v>
      </c>
      <c r="O1678">
        <f>B62_TR_Assessment!I73</f>
        <v>0</v>
      </c>
      <c r="P1678">
        <f>B62_TR_Assessment!J73</f>
        <v>0</v>
      </c>
      <c r="Q1678" t="str">
        <f t="shared" si="26"/>
        <v>62|66</v>
      </c>
    </row>
    <row r="1679" spans="1:17" ht="6.45" customHeight="1">
      <c r="A1679" t="s">
        <v>376</v>
      </c>
      <c r="B1679">
        <v>67</v>
      </c>
      <c r="C1679" t="s">
        <v>57</v>
      </c>
      <c r="D1679">
        <v>74</v>
      </c>
      <c r="E1679" t="s">
        <v>3347</v>
      </c>
      <c r="F1679" t="s">
        <v>5322</v>
      </c>
      <c r="G1679" t="str">
        <f>B62_TR_Assessment!A74</f>
        <v>10. OWNER READINESS SCORE</v>
      </c>
      <c r="H1679">
        <f>B62_TR_Assessment!B74</f>
        <v>0</v>
      </c>
      <c r="I1679">
        <f>B62_TR_Assessment!C74</f>
        <v>0</v>
      </c>
      <c r="J1679">
        <f>B62_TR_Assessment!D74</f>
        <v>0</v>
      </c>
      <c r="K1679">
        <f>B62_TR_Assessment!E74</f>
        <v>0</v>
      </c>
      <c r="L1679">
        <f>B62_TR_Assessment!F74</f>
        <v>0</v>
      </c>
      <c r="M1679">
        <f>B62_TR_Assessment!G74</f>
        <v>0</v>
      </c>
      <c r="N1679">
        <f>B62_TR_Assessment!H74</f>
        <v>0</v>
      </c>
      <c r="O1679">
        <f>B62_TR_Assessment!I74</f>
        <v>0</v>
      </c>
      <c r="P1679">
        <f>B62_TR_Assessment!J74</f>
        <v>0</v>
      </c>
      <c r="Q1679" t="str">
        <f t="shared" si="26"/>
        <v>62|67</v>
      </c>
    </row>
    <row r="1680" spans="1:17" ht="6.45" customHeight="1">
      <c r="A1680" t="s">
        <v>376</v>
      </c>
      <c r="B1680">
        <v>68</v>
      </c>
      <c r="C1680" t="s">
        <v>57</v>
      </c>
      <c r="D1680">
        <v>75</v>
      </c>
      <c r="E1680" t="s">
        <v>3347</v>
      </c>
      <c r="F1680" t="s">
        <v>5323</v>
      </c>
      <c r="G1680" t="str">
        <f>B62_TR_Assessment!A75</f>
        <v>Room</v>
      </c>
      <c r="H1680" t="str">
        <f>B62_TR_Assessment!B75</f>
        <v>Room Readiness</v>
      </c>
      <c r="I1680" t="str">
        <f>B62_TR_Assessment!C75</f>
        <v>Fire</v>
      </c>
      <c r="J1680" t="str">
        <f>B62_TR_Assessment!D75</f>
        <v>HVAC</v>
      </c>
      <c r="K1680" t="str">
        <f>B62_TR_Assessment!E75</f>
        <v>Electrical</v>
      </c>
      <c r="L1680" t="str">
        <f>B62_TR_Assessment!F75</f>
        <v>Telecom</v>
      </c>
      <c r="M1680" t="str">
        <f>B62_TR_Assessment!G75</f>
        <v>Documentation</v>
      </c>
      <c r="N1680" t="str">
        <f>B62_TR_Assessment!H75</f>
        <v>Total Score</v>
      </c>
      <c r="O1680" t="str">
        <f>B62_TR_Assessment!I75</f>
        <v>Readiness</v>
      </c>
      <c r="P1680" t="str">
        <f>B62_TR_Assessment!J75</f>
        <v>Notes</v>
      </c>
      <c r="Q1680" t="str">
        <f t="shared" si="26"/>
        <v>62|68</v>
      </c>
    </row>
    <row r="1681" spans="1:17" ht="6.45" customHeight="1">
      <c r="A1681" t="s">
        <v>376</v>
      </c>
      <c r="B1681">
        <v>69</v>
      </c>
      <c r="C1681" t="s">
        <v>57</v>
      </c>
      <c r="D1681">
        <v>76</v>
      </c>
      <c r="E1681" t="s">
        <v>3347</v>
      </c>
      <c r="F1681" t="s">
        <v>5324</v>
      </c>
      <c r="G1681" t="str">
        <f>B62_TR_Assessment!A76</f>
        <v>B24A</v>
      </c>
      <c r="H1681" s="153">
        <f>B62_TR_Assessment!B76</f>
        <v>0.5</v>
      </c>
      <c r="I1681" s="153">
        <f>B62_TR_Assessment!C76</f>
        <v>0.5</v>
      </c>
      <c r="J1681" s="153">
        <f>B62_TR_Assessment!D76</f>
        <v>0.5</v>
      </c>
      <c r="K1681" s="153">
        <f>B62_TR_Assessment!E76</f>
        <v>0.5</v>
      </c>
      <c r="L1681" s="153">
        <f>B62_TR_Assessment!F76</f>
        <v>0.5</v>
      </c>
      <c r="M1681" t="str">
        <f>B62_TR_Assessment!G76</f>
        <v>Verify</v>
      </c>
      <c r="N1681" s="153">
        <f>B62_TR_Assessment!H76</f>
        <v>0.5</v>
      </c>
      <c r="O1681" t="str">
        <f>B62_TR_Assessment!I76</f>
        <v>Partial / Yellow</v>
      </c>
      <c r="P1681">
        <f>B62_TR_Assessment!J76</f>
        <v>0</v>
      </c>
      <c r="Q1681" t="str">
        <f t="shared" si="26"/>
        <v>62|69</v>
      </c>
    </row>
    <row r="1682" spans="1:17" ht="6.45" customHeight="1">
      <c r="A1682" t="s">
        <v>376</v>
      </c>
      <c r="B1682">
        <v>70</v>
      </c>
      <c r="C1682" t="s">
        <v>57</v>
      </c>
      <c r="D1682">
        <v>77</v>
      </c>
      <c r="E1682" t="s">
        <v>3347</v>
      </c>
      <c r="F1682" t="s">
        <v>5324</v>
      </c>
      <c r="G1682" t="str">
        <f>B62_TR_Assessment!A77</f>
        <v>125</v>
      </c>
      <c r="H1682" s="153">
        <f>B62_TR_Assessment!B77</f>
        <v>0.5</v>
      </c>
      <c r="I1682" s="153">
        <f>B62_TR_Assessment!C77</f>
        <v>0.5</v>
      </c>
      <c r="J1682" s="153">
        <f>B62_TR_Assessment!D77</f>
        <v>0.5</v>
      </c>
      <c r="K1682" s="153">
        <f>B62_TR_Assessment!E77</f>
        <v>0.5</v>
      </c>
      <c r="L1682" s="153">
        <f>B62_TR_Assessment!F77</f>
        <v>0.5</v>
      </c>
      <c r="M1682" t="str">
        <f>B62_TR_Assessment!G77</f>
        <v>Verify</v>
      </c>
      <c r="N1682" s="153">
        <f>B62_TR_Assessment!H77</f>
        <v>0.5</v>
      </c>
      <c r="O1682" t="str">
        <f>B62_TR_Assessment!I77</f>
        <v>Partial / Yellow</v>
      </c>
      <c r="P1682">
        <f>B62_TR_Assessment!J77</f>
        <v>0</v>
      </c>
      <c r="Q1682" t="str">
        <f t="shared" si="26"/>
        <v>62|70</v>
      </c>
    </row>
    <row r="1683" spans="1:17" ht="6.45" customHeight="1">
      <c r="A1683" t="s">
        <v>376</v>
      </c>
      <c r="B1683">
        <v>71</v>
      </c>
      <c r="C1683" t="s">
        <v>57</v>
      </c>
      <c r="D1683">
        <v>78</v>
      </c>
      <c r="E1683" t="s">
        <v>3347</v>
      </c>
      <c r="F1683" t="s">
        <v>5324</v>
      </c>
      <c r="G1683" t="str">
        <f>B62_TR_Assessment!A78</f>
        <v>225</v>
      </c>
      <c r="H1683" s="153">
        <f>B62_TR_Assessment!B78</f>
        <v>0.5</v>
      </c>
      <c r="I1683" s="153">
        <f>B62_TR_Assessment!C78</f>
        <v>0.5</v>
      </c>
      <c r="J1683" s="153">
        <f>B62_TR_Assessment!D78</f>
        <v>0.5</v>
      </c>
      <c r="K1683" s="153">
        <f>B62_TR_Assessment!E78</f>
        <v>0.5</v>
      </c>
      <c r="L1683" s="153">
        <f>B62_TR_Assessment!F78</f>
        <v>0.5</v>
      </c>
      <c r="M1683" t="str">
        <f>B62_TR_Assessment!G78</f>
        <v>Verify</v>
      </c>
      <c r="N1683" s="153">
        <f>B62_TR_Assessment!H78</f>
        <v>0.5</v>
      </c>
      <c r="O1683" t="str">
        <f>B62_TR_Assessment!I78</f>
        <v>Partial / Yellow</v>
      </c>
      <c r="P1683">
        <f>B62_TR_Assessment!J78</f>
        <v>0</v>
      </c>
      <c r="Q1683" t="str">
        <f t="shared" si="26"/>
        <v>62|71</v>
      </c>
    </row>
    <row r="1684" spans="1:17" ht="6.45" customHeight="1">
      <c r="A1684" t="s">
        <v>376</v>
      </c>
      <c r="B1684">
        <v>72</v>
      </c>
      <c r="C1684" t="s">
        <v>57</v>
      </c>
      <c r="D1684">
        <v>79</v>
      </c>
      <c r="E1684" t="s">
        <v>3347</v>
      </c>
      <c r="F1684" t="s">
        <v>5325</v>
      </c>
      <c r="G1684">
        <f>B62_TR_Assessment!A79</f>
        <v>0</v>
      </c>
      <c r="H1684">
        <f>B62_TR_Assessment!B79</f>
        <v>0</v>
      </c>
      <c r="I1684">
        <f>B62_TR_Assessment!C79</f>
        <v>0</v>
      </c>
      <c r="J1684">
        <f>B62_TR_Assessment!D79</f>
        <v>0</v>
      </c>
      <c r="K1684">
        <f>B62_TR_Assessment!E79</f>
        <v>0</v>
      </c>
      <c r="L1684">
        <f>B62_TR_Assessment!F79</f>
        <v>0</v>
      </c>
      <c r="M1684">
        <f>B62_TR_Assessment!G79</f>
        <v>0</v>
      </c>
      <c r="N1684">
        <f>B62_TR_Assessment!H79</f>
        <v>0</v>
      </c>
      <c r="O1684">
        <f>B62_TR_Assessment!I79</f>
        <v>0</v>
      </c>
      <c r="P1684">
        <f>B62_TR_Assessment!J79</f>
        <v>0</v>
      </c>
      <c r="Q1684" t="str">
        <f t="shared" si="26"/>
        <v>62|72</v>
      </c>
    </row>
    <row r="1685" spans="1:17" ht="6.45" customHeight="1">
      <c r="A1685" t="s">
        <v>376</v>
      </c>
      <c r="B1685">
        <v>73</v>
      </c>
      <c r="C1685" t="s">
        <v>57</v>
      </c>
      <c r="D1685">
        <v>80</v>
      </c>
      <c r="E1685" t="s">
        <v>3347</v>
      </c>
      <c r="F1685" t="s">
        <v>5325</v>
      </c>
      <c r="G1685" t="str">
        <f>B62_TR_Assessment!A80</f>
        <v>12. PAYMENT VERIFICATION</v>
      </c>
      <c r="H1685">
        <f>B62_TR_Assessment!B80</f>
        <v>0</v>
      </c>
      <c r="I1685">
        <f>B62_TR_Assessment!C80</f>
        <v>0</v>
      </c>
      <c r="J1685">
        <f>B62_TR_Assessment!D80</f>
        <v>0</v>
      </c>
      <c r="K1685">
        <f>B62_TR_Assessment!E80</f>
        <v>0</v>
      </c>
      <c r="L1685">
        <f>B62_TR_Assessment!F80</f>
        <v>0</v>
      </c>
      <c r="M1685">
        <f>B62_TR_Assessment!G80</f>
        <v>0</v>
      </c>
      <c r="N1685">
        <f>B62_TR_Assessment!H80</f>
        <v>0</v>
      </c>
      <c r="O1685">
        <f>B62_TR_Assessment!I80</f>
        <v>0</v>
      </c>
      <c r="P1685">
        <f>B62_TR_Assessment!J80</f>
        <v>0</v>
      </c>
      <c r="Q1685" t="str">
        <f t="shared" si="26"/>
        <v>62|73</v>
      </c>
    </row>
    <row r="1686" spans="1:17" ht="6.45" customHeight="1">
      <c r="A1686" t="s">
        <v>379</v>
      </c>
      <c r="B1686">
        <v>1</v>
      </c>
      <c r="C1686" t="s">
        <v>59</v>
      </c>
      <c r="D1686">
        <v>8</v>
      </c>
      <c r="E1686" t="s">
        <v>918</v>
      </c>
      <c r="F1686" t="s">
        <v>5322</v>
      </c>
      <c r="G1686" t="str">
        <f>B70_TR_Assessment!A8</f>
        <v>1. ROOM INVENTORY</v>
      </c>
      <c r="H1686">
        <f>B70_TR_Assessment!B8</f>
        <v>0</v>
      </c>
      <c r="I1686">
        <f>B70_TR_Assessment!C8</f>
        <v>0</v>
      </c>
      <c r="J1686">
        <f>B70_TR_Assessment!D8</f>
        <v>0</v>
      </c>
      <c r="K1686">
        <f>B70_TR_Assessment!E8</f>
        <v>0</v>
      </c>
      <c r="L1686">
        <f>B70_TR_Assessment!F8</f>
        <v>0</v>
      </c>
      <c r="M1686">
        <f>B70_TR_Assessment!G8</f>
        <v>0</v>
      </c>
      <c r="N1686">
        <f>B70_TR_Assessment!H8</f>
        <v>0</v>
      </c>
      <c r="O1686">
        <f>B70_TR_Assessment!I8</f>
        <v>0</v>
      </c>
      <c r="P1686">
        <f>B70_TR_Assessment!J8</f>
        <v>0</v>
      </c>
      <c r="Q1686" t="str">
        <f t="shared" si="26"/>
        <v>70|1</v>
      </c>
    </row>
    <row r="1687" spans="1:17" ht="6.45" customHeight="1">
      <c r="A1687" t="s">
        <v>379</v>
      </c>
      <c r="B1687">
        <v>2</v>
      </c>
      <c r="C1687" t="s">
        <v>59</v>
      </c>
      <c r="D1687">
        <v>9</v>
      </c>
      <c r="E1687" t="s">
        <v>918</v>
      </c>
      <c r="F1687" t="s">
        <v>5323</v>
      </c>
      <c r="G1687" t="str">
        <f>B70_TR_Assessment!A9</f>
        <v>Building</v>
      </c>
      <c r="H1687" t="str">
        <f>B70_TR_Assessment!B9</f>
        <v>Room</v>
      </c>
      <c r="I1687" t="str">
        <f>B70_TR_Assessment!C9</f>
        <v>Floor</v>
      </c>
      <c r="J1687" t="str">
        <f>B70_TR_Assessment!D9</f>
        <v>Existing Use</v>
      </c>
      <c r="K1687" t="str">
        <f>B70_TR_Assessment!E9</f>
        <v>New Use</v>
      </c>
      <c r="L1687" t="str">
        <f>B70_TR_Assessment!F9</f>
        <v>Rack Count</v>
      </c>
      <c r="M1687" t="str">
        <f>B70_TR_Assessment!G9</f>
        <v>Future Rack</v>
      </c>
      <c r="N1687" t="str">
        <f>B70_TR_Assessment!H9</f>
        <v>Status</v>
      </c>
      <c r="O1687" t="str">
        <f>B70_TR_Assessment!I9</f>
        <v>Drawing Ref</v>
      </c>
      <c r="P1687" t="str">
        <f>B70_TR_Assessment!J9</f>
        <v>Notes</v>
      </c>
      <c r="Q1687" t="str">
        <f t="shared" si="26"/>
        <v>70|2</v>
      </c>
    </row>
    <row r="1688" spans="1:17" ht="6.45" customHeight="1">
      <c r="A1688" t="s">
        <v>379</v>
      </c>
      <c r="B1688">
        <v>3</v>
      </c>
      <c r="C1688" t="s">
        <v>59</v>
      </c>
      <c r="D1688">
        <v>10</v>
      </c>
      <c r="E1688" t="s">
        <v>918</v>
      </c>
      <c r="F1688" t="s">
        <v>5324</v>
      </c>
      <c r="G1688" t="str">
        <f>B70_TR_Assessment!A10</f>
        <v>70</v>
      </c>
      <c r="H1688" t="str">
        <f>B70_TR_Assessment!B10</f>
        <v>B27</v>
      </c>
      <c r="I1688" t="str">
        <f>B70_TR_Assessment!C10</f>
        <v>Basement</v>
      </c>
      <c r="J1688" t="str">
        <f>B70_TR_Assessment!D10</f>
        <v>Telecom Room / existing service area</v>
      </c>
      <c r="K1688" t="str">
        <f>B70_TR_Assessment!E10</f>
        <v>TR</v>
      </c>
      <c r="L1688">
        <f>B70_TR_Assessment!F10</f>
        <v>1</v>
      </c>
      <c r="M1688">
        <f>B70_TR_Assessment!G10</f>
        <v>1</v>
      </c>
      <c r="N1688" t="str">
        <f>B70_TR_Assessment!H10</f>
        <v>Verify</v>
      </c>
      <c r="O1688" t="str">
        <f>B70_TR_Assessment!I10</f>
        <v>70A/70T/70M/70FX</v>
      </c>
      <c r="P1688" t="str">
        <f>B70_TR_Assessment!J10</f>
        <v>Shown as Telecom Room B27; rack elevation references B-27 with 1 rack + future.</v>
      </c>
      <c r="Q1688" t="str">
        <f t="shared" si="26"/>
        <v>70|3</v>
      </c>
    </row>
    <row r="1689" spans="1:17" ht="6.45" customHeight="1">
      <c r="A1689" t="s">
        <v>379</v>
      </c>
      <c r="B1689">
        <v>4</v>
      </c>
      <c r="C1689" t="s">
        <v>59</v>
      </c>
      <c r="D1689">
        <v>11</v>
      </c>
      <c r="E1689" t="s">
        <v>918</v>
      </c>
      <c r="F1689" t="s">
        <v>5324</v>
      </c>
      <c r="G1689" t="str">
        <f>B70_TR_Assessment!A11</f>
        <v>70</v>
      </c>
      <c r="H1689" t="str">
        <f>B70_TR_Assessment!B11</f>
        <v>125A</v>
      </c>
      <c r="I1689" t="str">
        <f>B70_TR_Assessment!C11</f>
        <v>First</v>
      </c>
      <c r="J1689" t="str">
        <f>B70_TR_Assessment!D11</f>
        <v>Telecom Room / existing or renovated space</v>
      </c>
      <c r="K1689" t="str">
        <f>B70_TR_Assessment!E11</f>
        <v>TR</v>
      </c>
      <c r="L1689">
        <f>B70_TR_Assessment!F11</f>
        <v>1</v>
      </c>
      <c r="M1689">
        <f>B70_TR_Assessment!G11</f>
        <v>1</v>
      </c>
      <c r="N1689" t="str">
        <f>B70_TR_Assessment!H11</f>
        <v>Verify</v>
      </c>
      <c r="O1689" t="str">
        <f>B70_TR_Assessment!I11</f>
        <v>70A/70T/70M/70FX</v>
      </c>
      <c r="P1689" t="str">
        <f>B70_TR_Assessment!J11</f>
        <v>Shown as Telecom Room 125A; rack elevation references 125-A with 1 rack + future.</v>
      </c>
      <c r="Q1689" t="str">
        <f t="shared" si="26"/>
        <v>70|4</v>
      </c>
    </row>
    <row r="1690" spans="1:17" ht="6.45" customHeight="1">
      <c r="A1690" t="s">
        <v>379</v>
      </c>
      <c r="B1690">
        <v>5</v>
      </c>
      <c r="C1690" t="s">
        <v>59</v>
      </c>
      <c r="D1690">
        <v>12</v>
      </c>
      <c r="E1690" t="s">
        <v>918</v>
      </c>
      <c r="F1690" t="s">
        <v>5324</v>
      </c>
      <c r="G1690" t="str">
        <f>B70_TR_Assessment!A12</f>
        <v>70</v>
      </c>
      <c r="H1690" t="str">
        <f>B70_TR_Assessment!B12</f>
        <v>262A</v>
      </c>
      <c r="I1690" t="str">
        <f>B70_TR_Assessment!C12</f>
        <v>Second</v>
      </c>
      <c r="J1690" t="str">
        <f>B70_TR_Assessment!D12</f>
        <v>Telecom Room / existing or renovated space</v>
      </c>
      <c r="K1690" t="str">
        <f>B70_TR_Assessment!E12</f>
        <v>TR</v>
      </c>
      <c r="L1690">
        <f>B70_TR_Assessment!F12</f>
        <v>1</v>
      </c>
      <c r="M1690">
        <f>B70_TR_Assessment!G12</f>
        <v>1</v>
      </c>
      <c r="N1690" t="str">
        <f>B70_TR_Assessment!H12</f>
        <v>Verify</v>
      </c>
      <c r="O1690" t="str">
        <f>B70_TR_Assessment!I12</f>
        <v>70A/70T/70M/70FX</v>
      </c>
      <c r="P1690" t="str">
        <f>B70_TR_Assessment!J12</f>
        <v>Shown as Telecom Room 262A; rack elevation references 262-A with 1 rack + future.</v>
      </c>
      <c r="Q1690" t="str">
        <f t="shared" si="26"/>
        <v>70|5</v>
      </c>
    </row>
    <row r="1691" spans="1:17" ht="6.45" customHeight="1">
      <c r="A1691" t="s">
        <v>379</v>
      </c>
      <c r="B1691">
        <v>6</v>
      </c>
      <c r="C1691" t="s">
        <v>59</v>
      </c>
      <c r="D1691">
        <v>13</v>
      </c>
      <c r="E1691" t="s">
        <v>918</v>
      </c>
      <c r="F1691" t="s">
        <v>5325</v>
      </c>
      <c r="G1691">
        <f>B70_TR_Assessment!A13</f>
        <v>0</v>
      </c>
      <c r="H1691">
        <f>B70_TR_Assessment!B13</f>
        <v>0</v>
      </c>
      <c r="I1691">
        <f>B70_TR_Assessment!C13</f>
        <v>0</v>
      </c>
      <c r="J1691">
        <f>B70_TR_Assessment!D13</f>
        <v>0</v>
      </c>
      <c r="K1691">
        <f>B70_TR_Assessment!E13</f>
        <v>0</v>
      </c>
      <c r="L1691">
        <f>B70_TR_Assessment!F13</f>
        <v>0</v>
      </c>
      <c r="M1691">
        <f>B70_TR_Assessment!G13</f>
        <v>0</v>
      </c>
      <c r="N1691">
        <f>B70_TR_Assessment!H13</f>
        <v>0</v>
      </c>
      <c r="O1691">
        <f>B70_TR_Assessment!I13</f>
        <v>0</v>
      </c>
      <c r="P1691">
        <f>B70_TR_Assessment!J13</f>
        <v>0</v>
      </c>
      <c r="Q1691" t="str">
        <f t="shared" si="26"/>
        <v>70|6</v>
      </c>
    </row>
    <row r="1692" spans="1:17" ht="6.45" customHeight="1">
      <c r="A1692" t="s">
        <v>379</v>
      </c>
      <c r="B1692">
        <v>7</v>
      </c>
      <c r="C1692" t="s">
        <v>59</v>
      </c>
      <c r="D1692">
        <v>14</v>
      </c>
      <c r="E1692" t="s">
        <v>918</v>
      </c>
      <c r="F1692" t="s">
        <v>5325</v>
      </c>
      <c r="G1692">
        <f>B70_TR_Assessment!A14</f>
        <v>0</v>
      </c>
      <c r="H1692">
        <f>B70_TR_Assessment!B14</f>
        <v>0</v>
      </c>
      <c r="I1692">
        <f>B70_TR_Assessment!C14</f>
        <v>0</v>
      </c>
      <c r="J1692">
        <f>B70_TR_Assessment!D14</f>
        <v>0</v>
      </c>
      <c r="K1692">
        <f>B70_TR_Assessment!E14</f>
        <v>0</v>
      </c>
      <c r="L1692">
        <f>B70_TR_Assessment!F14</f>
        <v>0</v>
      </c>
      <c r="M1692">
        <f>B70_TR_Assessment!G14</f>
        <v>0</v>
      </c>
      <c r="N1692">
        <f>B70_TR_Assessment!H14</f>
        <v>0</v>
      </c>
      <c r="O1692">
        <f>B70_TR_Assessment!I14</f>
        <v>0</v>
      </c>
      <c r="P1692">
        <f>B70_TR_Assessment!J14</f>
        <v>0</v>
      </c>
      <c r="Q1692" t="str">
        <f t="shared" si="26"/>
        <v>70|7</v>
      </c>
    </row>
    <row r="1693" spans="1:17" ht="6.45" customHeight="1">
      <c r="A1693" t="s">
        <v>379</v>
      </c>
      <c r="B1693">
        <v>8</v>
      </c>
      <c r="C1693" t="s">
        <v>59</v>
      </c>
      <c r="D1693">
        <v>15</v>
      </c>
      <c r="E1693" t="s">
        <v>936</v>
      </c>
      <c r="F1693" t="s">
        <v>5322</v>
      </c>
      <c r="G1693" t="str">
        <f>B70_TR_Assessment!A15</f>
        <v>2. ROOM READINESS</v>
      </c>
      <c r="H1693">
        <f>B70_TR_Assessment!B15</f>
        <v>0</v>
      </c>
      <c r="I1693">
        <f>B70_TR_Assessment!C15</f>
        <v>0</v>
      </c>
      <c r="J1693">
        <f>B70_TR_Assessment!D15</f>
        <v>0</v>
      </c>
      <c r="K1693">
        <f>B70_TR_Assessment!E15</f>
        <v>0</v>
      </c>
      <c r="L1693">
        <f>B70_TR_Assessment!F15</f>
        <v>0</v>
      </c>
      <c r="M1693">
        <f>B70_TR_Assessment!G15</f>
        <v>0</v>
      </c>
      <c r="N1693">
        <f>B70_TR_Assessment!H15</f>
        <v>0</v>
      </c>
      <c r="O1693">
        <f>B70_TR_Assessment!I15</f>
        <v>0</v>
      </c>
      <c r="P1693">
        <f>B70_TR_Assessment!J15</f>
        <v>0</v>
      </c>
      <c r="Q1693" t="str">
        <f t="shared" si="26"/>
        <v>70|8</v>
      </c>
    </row>
    <row r="1694" spans="1:17" ht="6.45" customHeight="1">
      <c r="A1694" t="s">
        <v>379</v>
      </c>
      <c r="B1694">
        <v>9</v>
      </c>
      <c r="C1694" t="s">
        <v>59</v>
      </c>
      <c r="D1694">
        <v>16</v>
      </c>
      <c r="E1694" t="s">
        <v>936</v>
      </c>
      <c r="F1694" t="s">
        <v>5323</v>
      </c>
      <c r="G1694" t="str">
        <f>B70_TR_Assessment!A16</f>
        <v>Room</v>
      </c>
      <c r="H1694" t="str">
        <f>B70_TR_Assessment!B16</f>
        <v>Walls / 1-hr Rating</v>
      </c>
      <c r="I1694" t="str">
        <f>B70_TR_Assessment!C16</f>
        <v>Ceiling</v>
      </c>
      <c r="J1694" t="str">
        <f>B70_TR_Assessment!D16</f>
        <v>Floor / SDC</v>
      </c>
      <c r="K1694" t="str">
        <f>B70_TR_Assessment!E16</f>
        <v>Penetrations</v>
      </c>
      <c r="L1694" t="str">
        <f>B70_TR_Assessment!F16</f>
        <v>Access Control</v>
      </c>
      <c r="M1694" t="str">
        <f>B70_TR_Assessment!G16</f>
        <v>Clearances</v>
      </c>
      <c r="N1694" t="str">
        <f>B70_TR_Assessment!H16</f>
        <v>Housekeeping</v>
      </c>
      <c r="O1694" t="str">
        <f>B70_TR_Assessment!I16</f>
        <v>Overall</v>
      </c>
      <c r="P1694" t="str">
        <f>B70_TR_Assessment!J16</f>
        <v>Comments</v>
      </c>
      <c r="Q1694" t="str">
        <f t="shared" si="26"/>
        <v>70|9</v>
      </c>
    </row>
    <row r="1695" spans="1:17" ht="6.45" customHeight="1">
      <c r="A1695" t="s">
        <v>379</v>
      </c>
      <c r="B1695">
        <v>10</v>
      </c>
      <c r="C1695" t="s">
        <v>59</v>
      </c>
      <c r="D1695">
        <v>17</v>
      </c>
      <c r="E1695" t="s">
        <v>936</v>
      </c>
      <c r="F1695" t="s">
        <v>5324</v>
      </c>
      <c r="G1695" t="str">
        <f>B70_TR_Assessment!A17</f>
        <v>B27</v>
      </c>
      <c r="H1695" t="str">
        <f>B70_TR_Assessment!B17</f>
        <v>Verify</v>
      </c>
      <c r="I1695" t="str">
        <f>B70_TR_Assessment!C17</f>
        <v>Verify</v>
      </c>
      <c r="J1695" t="str">
        <f>B70_TR_Assessment!D17</f>
        <v>Verify</v>
      </c>
      <c r="K1695" t="str">
        <f>B70_TR_Assessment!E17</f>
        <v>Verify</v>
      </c>
      <c r="L1695" t="str">
        <f>B70_TR_Assessment!F17</f>
        <v>Verify</v>
      </c>
      <c r="M1695" t="str">
        <f>B70_TR_Assessment!G17</f>
        <v>Verify</v>
      </c>
      <c r="N1695" t="str">
        <f>B70_TR_Assessment!H17</f>
        <v>Verify</v>
      </c>
      <c r="O1695" t="str">
        <f>B70_TR_Assessment!I17</f>
        <v>Verify</v>
      </c>
      <c r="P1695">
        <f>B70_TR_Assessment!J17</f>
        <v>0</v>
      </c>
      <c r="Q1695" t="str">
        <f t="shared" si="26"/>
        <v>70|10</v>
      </c>
    </row>
    <row r="1696" spans="1:17" ht="6.45" customHeight="1">
      <c r="A1696" t="s">
        <v>379</v>
      </c>
      <c r="B1696">
        <v>11</v>
      </c>
      <c r="C1696" t="s">
        <v>59</v>
      </c>
      <c r="D1696">
        <v>18</v>
      </c>
      <c r="E1696" t="s">
        <v>936</v>
      </c>
      <c r="F1696" t="s">
        <v>5324</v>
      </c>
      <c r="G1696" t="str">
        <f>B70_TR_Assessment!A18</f>
        <v>125A</v>
      </c>
      <c r="H1696" t="str">
        <f>B70_TR_Assessment!B18</f>
        <v>Verify</v>
      </c>
      <c r="I1696" t="str">
        <f>B70_TR_Assessment!C18</f>
        <v>Verify</v>
      </c>
      <c r="J1696" t="str">
        <f>B70_TR_Assessment!D18</f>
        <v>Verify</v>
      </c>
      <c r="K1696" t="str">
        <f>B70_TR_Assessment!E18</f>
        <v>Verify</v>
      </c>
      <c r="L1696" t="str">
        <f>B70_TR_Assessment!F18</f>
        <v>Verify</v>
      </c>
      <c r="M1696" t="str">
        <f>B70_TR_Assessment!G18</f>
        <v>Verify</v>
      </c>
      <c r="N1696" t="str">
        <f>B70_TR_Assessment!H18</f>
        <v>Verify</v>
      </c>
      <c r="O1696" t="str">
        <f>B70_TR_Assessment!I18</f>
        <v>Verify</v>
      </c>
      <c r="P1696">
        <f>B70_TR_Assessment!J18</f>
        <v>0</v>
      </c>
      <c r="Q1696" t="str">
        <f t="shared" si="26"/>
        <v>70|11</v>
      </c>
    </row>
    <row r="1697" spans="1:17" ht="6.45" customHeight="1">
      <c r="A1697" t="s">
        <v>379</v>
      </c>
      <c r="B1697">
        <v>12</v>
      </c>
      <c r="C1697" t="s">
        <v>59</v>
      </c>
      <c r="D1697">
        <v>19</v>
      </c>
      <c r="E1697" t="s">
        <v>936</v>
      </c>
      <c r="F1697" t="s">
        <v>5324</v>
      </c>
      <c r="G1697" t="str">
        <f>B70_TR_Assessment!A19</f>
        <v>262A</v>
      </c>
      <c r="H1697" t="str">
        <f>B70_TR_Assessment!B19</f>
        <v>Verify</v>
      </c>
      <c r="I1697" t="str">
        <f>B70_TR_Assessment!C19</f>
        <v>Verify</v>
      </c>
      <c r="J1697" t="str">
        <f>B70_TR_Assessment!D19</f>
        <v>Verify</v>
      </c>
      <c r="K1697" t="str">
        <f>B70_TR_Assessment!E19</f>
        <v>Verify</v>
      </c>
      <c r="L1697" t="str">
        <f>B70_TR_Assessment!F19</f>
        <v>Verify</v>
      </c>
      <c r="M1697" t="str">
        <f>B70_TR_Assessment!G19</f>
        <v>Verify</v>
      </c>
      <c r="N1697" t="str">
        <f>B70_TR_Assessment!H19</f>
        <v>Verify</v>
      </c>
      <c r="O1697" t="str">
        <f>B70_TR_Assessment!I19</f>
        <v>Verify</v>
      </c>
      <c r="P1697">
        <f>B70_TR_Assessment!J19</f>
        <v>0</v>
      </c>
      <c r="Q1697" t="str">
        <f t="shared" si="26"/>
        <v>70|12</v>
      </c>
    </row>
    <row r="1698" spans="1:17" ht="6.45" customHeight="1">
      <c r="A1698" t="s">
        <v>379</v>
      </c>
      <c r="B1698">
        <v>13</v>
      </c>
      <c r="C1698" t="s">
        <v>59</v>
      </c>
      <c r="D1698">
        <v>20</v>
      </c>
      <c r="E1698" t="s">
        <v>936</v>
      </c>
      <c r="F1698" t="s">
        <v>5325</v>
      </c>
      <c r="G1698">
        <f>B70_TR_Assessment!A20</f>
        <v>0</v>
      </c>
      <c r="H1698">
        <f>B70_TR_Assessment!B20</f>
        <v>0</v>
      </c>
      <c r="I1698">
        <f>B70_TR_Assessment!C20</f>
        <v>0</v>
      </c>
      <c r="J1698">
        <f>B70_TR_Assessment!D20</f>
        <v>0</v>
      </c>
      <c r="K1698">
        <f>B70_TR_Assessment!E20</f>
        <v>0</v>
      </c>
      <c r="L1698">
        <f>B70_TR_Assessment!F20</f>
        <v>0</v>
      </c>
      <c r="M1698">
        <f>B70_TR_Assessment!G20</f>
        <v>0</v>
      </c>
      <c r="N1698">
        <f>B70_TR_Assessment!H20</f>
        <v>0</v>
      </c>
      <c r="O1698">
        <f>B70_TR_Assessment!I20</f>
        <v>0</v>
      </c>
      <c r="P1698">
        <f>B70_TR_Assessment!J20</f>
        <v>0</v>
      </c>
      <c r="Q1698" t="str">
        <f t="shared" si="26"/>
        <v>70|13</v>
      </c>
    </row>
    <row r="1699" spans="1:17" ht="6.45" customHeight="1">
      <c r="A1699" t="s">
        <v>379</v>
      </c>
      <c r="B1699">
        <v>14</v>
      </c>
      <c r="C1699" t="s">
        <v>59</v>
      </c>
      <c r="D1699">
        <v>21</v>
      </c>
      <c r="E1699" t="s">
        <v>936</v>
      </c>
      <c r="F1699" t="s">
        <v>5325</v>
      </c>
      <c r="G1699">
        <f>B70_TR_Assessment!A21</f>
        <v>0</v>
      </c>
      <c r="H1699">
        <f>B70_TR_Assessment!B21</f>
        <v>0</v>
      </c>
      <c r="I1699">
        <f>B70_TR_Assessment!C21</f>
        <v>0</v>
      </c>
      <c r="J1699">
        <f>B70_TR_Assessment!D21</f>
        <v>0</v>
      </c>
      <c r="K1699">
        <f>B70_TR_Assessment!E21</f>
        <v>0</v>
      </c>
      <c r="L1699">
        <f>B70_TR_Assessment!F21</f>
        <v>0</v>
      </c>
      <c r="M1699">
        <f>B70_TR_Assessment!G21</f>
        <v>0</v>
      </c>
      <c r="N1699">
        <f>B70_TR_Assessment!H21</f>
        <v>0</v>
      </c>
      <c r="O1699">
        <f>B70_TR_Assessment!I21</f>
        <v>0</v>
      </c>
      <c r="P1699">
        <f>B70_TR_Assessment!J21</f>
        <v>0</v>
      </c>
      <c r="Q1699" t="str">
        <f t="shared" si="26"/>
        <v>70|14</v>
      </c>
    </row>
    <row r="1700" spans="1:17" ht="6.45" customHeight="1">
      <c r="A1700" t="s">
        <v>379</v>
      </c>
      <c r="B1700">
        <v>15</v>
      </c>
      <c r="C1700" t="s">
        <v>59</v>
      </c>
      <c r="D1700">
        <v>22</v>
      </c>
      <c r="E1700" t="s">
        <v>951</v>
      </c>
      <c r="F1700" t="s">
        <v>5322</v>
      </c>
      <c r="G1700" t="str">
        <f>B70_TR_Assessment!A22</f>
        <v>3. FIRE PROTECTION</v>
      </c>
      <c r="H1700">
        <f>B70_TR_Assessment!B22</f>
        <v>0</v>
      </c>
      <c r="I1700">
        <f>B70_TR_Assessment!C22</f>
        <v>0</v>
      </c>
      <c r="J1700">
        <f>B70_TR_Assessment!D22</f>
        <v>0</v>
      </c>
      <c r="K1700">
        <f>B70_TR_Assessment!E22</f>
        <v>0</v>
      </c>
      <c r="L1700">
        <f>B70_TR_Assessment!F22</f>
        <v>0</v>
      </c>
      <c r="M1700">
        <f>B70_TR_Assessment!G22</f>
        <v>0</v>
      </c>
      <c r="N1700">
        <f>B70_TR_Assessment!H22</f>
        <v>0</v>
      </c>
      <c r="O1700">
        <f>B70_TR_Assessment!I22</f>
        <v>0</v>
      </c>
      <c r="P1700">
        <f>B70_TR_Assessment!J22</f>
        <v>0</v>
      </c>
      <c r="Q1700" t="str">
        <f t="shared" si="26"/>
        <v>70|15</v>
      </c>
    </row>
    <row r="1701" spans="1:17" ht="6.45" customHeight="1">
      <c r="A1701" t="s">
        <v>379</v>
      </c>
      <c r="B1701">
        <v>16</v>
      </c>
      <c r="C1701" t="s">
        <v>59</v>
      </c>
      <c r="D1701">
        <v>23</v>
      </c>
      <c r="E1701" t="s">
        <v>951</v>
      </c>
      <c r="F1701" t="s">
        <v>5323</v>
      </c>
      <c r="G1701" t="str">
        <f>B70_TR_Assessment!A23</f>
        <v>Room</v>
      </c>
      <c r="H1701" t="str">
        <f>B70_TR_Assessment!B23</f>
        <v>Sprinkler</v>
      </c>
      <c r="I1701" t="str">
        <f>B70_TR_Assessment!C23</f>
        <v>Cage</v>
      </c>
      <c r="J1701" t="str">
        <f>B70_TR_Assessment!D23</f>
        <v>Detector</v>
      </c>
      <c r="K1701" t="str">
        <f>B70_TR_Assessment!E23</f>
        <v>Horn/Strobe</v>
      </c>
      <c r="L1701" t="str">
        <f>B70_TR_Assessment!F23</f>
        <v>Extinguisher &lt;75 ft</v>
      </c>
      <c r="M1701" t="str">
        <f>B70_TR_Assessment!G23</f>
        <v>Firestop</v>
      </c>
      <c r="N1701" t="str">
        <f>B70_TR_Assessment!H23</f>
        <v>Temp Firestop</v>
      </c>
      <c r="O1701" t="str">
        <f>B70_TR_Assessment!I23</f>
        <v>Overall</v>
      </c>
      <c r="P1701" t="str">
        <f>B70_TR_Assessment!J23</f>
        <v>Risk / Notes</v>
      </c>
      <c r="Q1701" t="str">
        <f t="shared" si="26"/>
        <v>70|16</v>
      </c>
    </row>
    <row r="1702" spans="1:17" ht="6.45" customHeight="1">
      <c r="A1702" t="s">
        <v>379</v>
      </c>
      <c r="B1702">
        <v>17</v>
      </c>
      <c r="C1702" t="s">
        <v>59</v>
      </c>
      <c r="D1702">
        <v>24</v>
      </c>
      <c r="E1702" t="s">
        <v>951</v>
      </c>
      <c r="F1702" t="s">
        <v>5324</v>
      </c>
      <c r="G1702" t="str">
        <f>B70_TR_Assessment!A24</f>
        <v>B27</v>
      </c>
      <c r="H1702" t="str">
        <f>B70_TR_Assessment!B24</f>
        <v>Verify</v>
      </c>
      <c r="I1702" t="str">
        <f>B70_TR_Assessment!C24</f>
        <v>Verify</v>
      </c>
      <c r="J1702" t="str">
        <f>B70_TR_Assessment!D24</f>
        <v>Verify</v>
      </c>
      <c r="K1702" t="str">
        <f>B70_TR_Assessment!E24</f>
        <v>Verify</v>
      </c>
      <c r="L1702" t="str">
        <f>B70_TR_Assessment!F24</f>
        <v>Verify</v>
      </c>
      <c r="M1702" t="str">
        <f>B70_TR_Assessment!G24</f>
        <v>Verify</v>
      </c>
      <c r="N1702" t="str">
        <f>B70_TR_Assessment!H24</f>
        <v>Verify</v>
      </c>
      <c r="O1702" t="str">
        <f>B70_TR_Assessment!I24</f>
        <v>Verify</v>
      </c>
      <c r="P1702">
        <f>B70_TR_Assessment!J24</f>
        <v>0</v>
      </c>
      <c r="Q1702" t="str">
        <f t="shared" si="26"/>
        <v>70|17</v>
      </c>
    </row>
    <row r="1703" spans="1:17" ht="6.45" customHeight="1">
      <c r="A1703" t="s">
        <v>379</v>
      </c>
      <c r="B1703">
        <v>18</v>
      </c>
      <c r="C1703" t="s">
        <v>59</v>
      </c>
      <c r="D1703">
        <v>25</v>
      </c>
      <c r="E1703" t="s">
        <v>951</v>
      </c>
      <c r="F1703" t="s">
        <v>5324</v>
      </c>
      <c r="G1703" t="str">
        <f>B70_TR_Assessment!A25</f>
        <v>125A</v>
      </c>
      <c r="H1703" t="str">
        <f>B70_TR_Assessment!B25</f>
        <v>Verify</v>
      </c>
      <c r="I1703" t="str">
        <f>B70_TR_Assessment!C25</f>
        <v>Verify</v>
      </c>
      <c r="J1703" t="str">
        <f>B70_TR_Assessment!D25</f>
        <v>Verify</v>
      </c>
      <c r="K1703" t="str">
        <f>B70_TR_Assessment!E25</f>
        <v>Verify</v>
      </c>
      <c r="L1703" t="str">
        <f>B70_TR_Assessment!F25</f>
        <v>Verify</v>
      </c>
      <c r="M1703" t="str">
        <f>B70_TR_Assessment!G25</f>
        <v>Verify</v>
      </c>
      <c r="N1703" t="str">
        <f>B70_TR_Assessment!H25</f>
        <v>Verify</v>
      </c>
      <c r="O1703" t="str">
        <f>B70_TR_Assessment!I25</f>
        <v>Verify</v>
      </c>
      <c r="P1703">
        <f>B70_TR_Assessment!J25</f>
        <v>0</v>
      </c>
      <c r="Q1703" t="str">
        <f t="shared" si="26"/>
        <v>70|18</v>
      </c>
    </row>
    <row r="1704" spans="1:17" ht="6.45" customHeight="1">
      <c r="A1704" t="s">
        <v>379</v>
      </c>
      <c r="B1704">
        <v>19</v>
      </c>
      <c r="C1704" t="s">
        <v>59</v>
      </c>
      <c r="D1704">
        <v>26</v>
      </c>
      <c r="E1704" t="s">
        <v>951</v>
      </c>
      <c r="F1704" t="s">
        <v>5324</v>
      </c>
      <c r="G1704" t="str">
        <f>B70_TR_Assessment!A26</f>
        <v>262A</v>
      </c>
      <c r="H1704" t="str">
        <f>B70_TR_Assessment!B26</f>
        <v>Verify</v>
      </c>
      <c r="I1704" t="str">
        <f>B70_TR_Assessment!C26</f>
        <v>Verify</v>
      </c>
      <c r="J1704" t="str">
        <f>B70_TR_Assessment!D26</f>
        <v>Verify</v>
      </c>
      <c r="K1704" t="str">
        <f>B70_TR_Assessment!E26</f>
        <v>Verify</v>
      </c>
      <c r="L1704" t="str">
        <f>B70_TR_Assessment!F26</f>
        <v>Verify</v>
      </c>
      <c r="M1704" t="str">
        <f>B70_TR_Assessment!G26</f>
        <v>Verify</v>
      </c>
      <c r="N1704" t="str">
        <f>B70_TR_Assessment!H26</f>
        <v>Verify</v>
      </c>
      <c r="O1704" t="str">
        <f>B70_TR_Assessment!I26</f>
        <v>Verify</v>
      </c>
      <c r="P1704">
        <f>B70_TR_Assessment!J26</f>
        <v>0</v>
      </c>
      <c r="Q1704" t="str">
        <f t="shared" si="26"/>
        <v>70|19</v>
      </c>
    </row>
    <row r="1705" spans="1:17" ht="6.45" customHeight="1">
      <c r="A1705" t="s">
        <v>379</v>
      </c>
      <c r="B1705">
        <v>20</v>
      </c>
      <c r="C1705" t="s">
        <v>59</v>
      </c>
      <c r="D1705">
        <v>27</v>
      </c>
      <c r="E1705" t="s">
        <v>951</v>
      </c>
      <c r="F1705" t="s">
        <v>5325</v>
      </c>
      <c r="G1705">
        <f>B70_TR_Assessment!A27</f>
        <v>0</v>
      </c>
      <c r="H1705">
        <f>B70_TR_Assessment!B27</f>
        <v>0</v>
      </c>
      <c r="I1705">
        <f>B70_TR_Assessment!C27</f>
        <v>0</v>
      </c>
      <c r="J1705">
        <f>B70_TR_Assessment!D27</f>
        <v>0</v>
      </c>
      <c r="K1705">
        <f>B70_TR_Assessment!E27</f>
        <v>0</v>
      </c>
      <c r="L1705">
        <f>B70_TR_Assessment!F27</f>
        <v>0</v>
      </c>
      <c r="M1705">
        <f>B70_TR_Assessment!G27</f>
        <v>0</v>
      </c>
      <c r="N1705">
        <f>B70_TR_Assessment!H27</f>
        <v>0</v>
      </c>
      <c r="O1705">
        <f>B70_TR_Assessment!I27</f>
        <v>0</v>
      </c>
      <c r="P1705">
        <f>B70_TR_Assessment!J27</f>
        <v>0</v>
      </c>
      <c r="Q1705" t="str">
        <f t="shared" si="26"/>
        <v>70|20</v>
      </c>
    </row>
    <row r="1706" spans="1:17" ht="6.45" customHeight="1">
      <c r="A1706" t="s">
        <v>379</v>
      </c>
      <c r="B1706">
        <v>21</v>
      </c>
      <c r="C1706" t="s">
        <v>59</v>
      </c>
      <c r="D1706">
        <v>28</v>
      </c>
      <c r="E1706" t="s">
        <v>951</v>
      </c>
      <c r="F1706" t="s">
        <v>5325</v>
      </c>
      <c r="G1706">
        <f>B70_TR_Assessment!A28</f>
        <v>0</v>
      </c>
      <c r="H1706">
        <f>B70_TR_Assessment!B28</f>
        <v>0</v>
      </c>
      <c r="I1706">
        <f>B70_TR_Assessment!C28</f>
        <v>0</v>
      </c>
      <c r="J1706">
        <f>B70_TR_Assessment!D28</f>
        <v>0</v>
      </c>
      <c r="K1706">
        <f>B70_TR_Assessment!E28</f>
        <v>0</v>
      </c>
      <c r="L1706">
        <f>B70_TR_Assessment!F28</f>
        <v>0</v>
      </c>
      <c r="M1706">
        <f>B70_TR_Assessment!G28</f>
        <v>0</v>
      </c>
      <c r="N1706">
        <f>B70_TR_Assessment!H28</f>
        <v>0</v>
      </c>
      <c r="O1706">
        <f>B70_TR_Assessment!I28</f>
        <v>0</v>
      </c>
      <c r="P1706">
        <f>B70_TR_Assessment!J28</f>
        <v>0</v>
      </c>
      <c r="Q1706" t="str">
        <f t="shared" si="26"/>
        <v>70|21</v>
      </c>
    </row>
    <row r="1707" spans="1:17" ht="6.45" customHeight="1">
      <c r="A1707" t="s">
        <v>379</v>
      </c>
      <c r="B1707">
        <v>22</v>
      </c>
      <c r="C1707" t="s">
        <v>59</v>
      </c>
      <c r="D1707">
        <v>29</v>
      </c>
      <c r="E1707" t="s">
        <v>964</v>
      </c>
      <c r="F1707" t="s">
        <v>5322</v>
      </c>
      <c r="G1707" t="str">
        <f>B70_TR_Assessment!A29</f>
        <v>4. HVAC / COOLING</v>
      </c>
      <c r="H1707">
        <f>B70_TR_Assessment!B29</f>
        <v>0</v>
      </c>
      <c r="I1707">
        <f>B70_TR_Assessment!C29</f>
        <v>0</v>
      </c>
      <c r="J1707">
        <f>B70_TR_Assessment!D29</f>
        <v>0</v>
      </c>
      <c r="K1707">
        <f>B70_TR_Assessment!E29</f>
        <v>0</v>
      </c>
      <c r="L1707">
        <f>B70_TR_Assessment!F29</f>
        <v>0</v>
      </c>
      <c r="M1707">
        <f>B70_TR_Assessment!G29</f>
        <v>0</v>
      </c>
      <c r="N1707">
        <f>B70_TR_Assessment!H29</f>
        <v>0</v>
      </c>
      <c r="O1707">
        <f>B70_TR_Assessment!I29</f>
        <v>0</v>
      </c>
      <c r="P1707">
        <f>B70_TR_Assessment!J29</f>
        <v>0</v>
      </c>
      <c r="Q1707" t="str">
        <f t="shared" si="26"/>
        <v>70|22</v>
      </c>
    </row>
    <row r="1708" spans="1:17" ht="6.45" customHeight="1">
      <c r="A1708" t="s">
        <v>379</v>
      </c>
      <c r="B1708">
        <v>23</v>
      </c>
      <c r="C1708" t="s">
        <v>59</v>
      </c>
      <c r="D1708">
        <v>30</v>
      </c>
      <c r="E1708" t="s">
        <v>964</v>
      </c>
      <c r="F1708" t="s">
        <v>5323</v>
      </c>
      <c r="G1708" t="str">
        <f>B70_TR_Assessment!A30</f>
        <v>Room</v>
      </c>
      <c r="H1708" t="str">
        <f>B70_TR_Assessment!B30</f>
        <v>Dedicated Unit</v>
      </c>
      <c r="I1708" t="str">
        <f>B70_TR_Assessment!C30</f>
        <v>Capacity Verified</v>
      </c>
      <c r="J1708" t="str">
        <f>B70_TR_Assessment!D30</f>
        <v>Emergency Power</v>
      </c>
      <c r="K1708" t="str">
        <f>B70_TR_Assessment!E30</f>
        <v>Controls / BACnet</v>
      </c>
      <c r="L1708" t="str">
        <f>B70_TR_Assessment!F30</f>
        <v>Condensate Routed</v>
      </c>
      <c r="M1708" t="str">
        <f>B70_TR_Assessment!G30</f>
        <v>High Temp Alarm</v>
      </c>
      <c r="N1708" t="str">
        <f>B70_TR_Assessment!H30</f>
        <v>24/7 Operation</v>
      </c>
      <c r="O1708" t="str">
        <f>B70_TR_Assessment!I30</f>
        <v>Overall</v>
      </c>
      <c r="P1708" t="str">
        <f>B70_TR_Assessment!J30</f>
        <v>Risk / Notes</v>
      </c>
      <c r="Q1708" t="str">
        <f t="shared" si="26"/>
        <v>70|23</v>
      </c>
    </row>
    <row r="1709" spans="1:17" ht="6.45" customHeight="1">
      <c r="A1709" t="s">
        <v>379</v>
      </c>
      <c r="B1709">
        <v>24</v>
      </c>
      <c r="C1709" t="s">
        <v>59</v>
      </c>
      <c r="D1709">
        <v>31</v>
      </c>
      <c r="E1709" t="s">
        <v>964</v>
      </c>
      <c r="F1709" t="s">
        <v>5324</v>
      </c>
      <c r="G1709" t="str">
        <f>B70_TR_Assessment!A31</f>
        <v>B27</v>
      </c>
      <c r="H1709" t="str">
        <f>B70_TR_Assessment!B31</f>
        <v>Verify</v>
      </c>
      <c r="I1709" t="str">
        <f>B70_TR_Assessment!C31</f>
        <v>Verify</v>
      </c>
      <c r="J1709" t="str">
        <f>B70_TR_Assessment!D31</f>
        <v>Verify</v>
      </c>
      <c r="K1709" t="str">
        <f>B70_TR_Assessment!E31</f>
        <v>Verify</v>
      </c>
      <c r="L1709" t="str">
        <f>B70_TR_Assessment!F31</f>
        <v>Verify</v>
      </c>
      <c r="M1709" t="str">
        <f>B70_TR_Assessment!G31</f>
        <v>Verify</v>
      </c>
      <c r="N1709" t="str">
        <f>B70_TR_Assessment!H31</f>
        <v>Verify</v>
      </c>
      <c r="O1709" t="str">
        <f>B70_TR_Assessment!I31</f>
        <v>Verify</v>
      </c>
      <c r="P1709">
        <f>B70_TR_Assessment!J31</f>
        <v>0</v>
      </c>
      <c r="Q1709" t="str">
        <f t="shared" si="26"/>
        <v>70|24</v>
      </c>
    </row>
    <row r="1710" spans="1:17" ht="6.45" customHeight="1">
      <c r="A1710" t="s">
        <v>379</v>
      </c>
      <c r="B1710">
        <v>25</v>
      </c>
      <c r="C1710" t="s">
        <v>59</v>
      </c>
      <c r="D1710">
        <v>32</v>
      </c>
      <c r="E1710" t="s">
        <v>964</v>
      </c>
      <c r="F1710" t="s">
        <v>5324</v>
      </c>
      <c r="G1710" t="str">
        <f>B70_TR_Assessment!A32</f>
        <v>125A</v>
      </c>
      <c r="H1710" t="str">
        <f>B70_TR_Assessment!B32</f>
        <v>Verify</v>
      </c>
      <c r="I1710" t="str">
        <f>B70_TR_Assessment!C32</f>
        <v>Verify</v>
      </c>
      <c r="J1710" t="str">
        <f>B70_TR_Assessment!D32</f>
        <v>Verify</v>
      </c>
      <c r="K1710" t="str">
        <f>B70_TR_Assessment!E32</f>
        <v>Verify</v>
      </c>
      <c r="L1710" t="str">
        <f>B70_TR_Assessment!F32</f>
        <v>Verify</v>
      </c>
      <c r="M1710" t="str">
        <f>B70_TR_Assessment!G32</f>
        <v>Verify</v>
      </c>
      <c r="N1710" t="str">
        <f>B70_TR_Assessment!H32</f>
        <v>Verify</v>
      </c>
      <c r="O1710" t="str">
        <f>B70_TR_Assessment!I32</f>
        <v>Verify</v>
      </c>
      <c r="P1710">
        <f>B70_TR_Assessment!J32</f>
        <v>0</v>
      </c>
      <c r="Q1710" t="str">
        <f t="shared" si="26"/>
        <v>70|25</v>
      </c>
    </row>
    <row r="1711" spans="1:17" ht="6.45" customHeight="1">
      <c r="A1711" t="s">
        <v>379</v>
      </c>
      <c r="B1711">
        <v>26</v>
      </c>
      <c r="C1711" t="s">
        <v>59</v>
      </c>
      <c r="D1711">
        <v>33</v>
      </c>
      <c r="E1711" t="s">
        <v>964</v>
      </c>
      <c r="F1711" t="s">
        <v>5324</v>
      </c>
      <c r="G1711" t="str">
        <f>B70_TR_Assessment!A33</f>
        <v>262A</v>
      </c>
      <c r="H1711" t="str">
        <f>B70_TR_Assessment!B33</f>
        <v>Verify</v>
      </c>
      <c r="I1711" t="str">
        <f>B70_TR_Assessment!C33</f>
        <v>Verify</v>
      </c>
      <c r="J1711" t="str">
        <f>B70_TR_Assessment!D33</f>
        <v>Verify</v>
      </c>
      <c r="K1711" t="str">
        <f>B70_TR_Assessment!E33</f>
        <v>Verify</v>
      </c>
      <c r="L1711" t="str">
        <f>B70_TR_Assessment!F33</f>
        <v>Verify</v>
      </c>
      <c r="M1711" t="str">
        <f>B70_TR_Assessment!G33</f>
        <v>Verify</v>
      </c>
      <c r="N1711" t="str">
        <f>B70_TR_Assessment!H33</f>
        <v>Verify</v>
      </c>
      <c r="O1711" t="str">
        <f>B70_TR_Assessment!I33</f>
        <v>Verify</v>
      </c>
      <c r="P1711">
        <f>B70_TR_Assessment!J33</f>
        <v>0</v>
      </c>
      <c r="Q1711" t="str">
        <f t="shared" si="26"/>
        <v>70|26</v>
      </c>
    </row>
    <row r="1712" spans="1:17" ht="6.45" customHeight="1">
      <c r="A1712" t="s">
        <v>379</v>
      </c>
      <c r="B1712">
        <v>27</v>
      </c>
      <c r="C1712" t="s">
        <v>59</v>
      </c>
      <c r="D1712">
        <v>34</v>
      </c>
      <c r="E1712" t="s">
        <v>964</v>
      </c>
      <c r="F1712" t="s">
        <v>5325</v>
      </c>
      <c r="G1712">
        <f>B70_TR_Assessment!A34</f>
        <v>0</v>
      </c>
      <c r="H1712">
        <f>B70_TR_Assessment!B34</f>
        <v>0</v>
      </c>
      <c r="I1712">
        <f>B70_TR_Assessment!C34</f>
        <v>0</v>
      </c>
      <c r="J1712">
        <f>B70_TR_Assessment!D34</f>
        <v>0</v>
      </c>
      <c r="K1712">
        <f>B70_TR_Assessment!E34</f>
        <v>0</v>
      </c>
      <c r="L1712">
        <f>B70_TR_Assessment!F34</f>
        <v>0</v>
      </c>
      <c r="M1712">
        <f>B70_TR_Assessment!G34</f>
        <v>0</v>
      </c>
      <c r="N1712">
        <f>B70_TR_Assessment!H34</f>
        <v>0</v>
      </c>
      <c r="O1712">
        <f>B70_TR_Assessment!I34</f>
        <v>0</v>
      </c>
      <c r="P1712">
        <f>B70_TR_Assessment!J34</f>
        <v>0</v>
      </c>
      <c r="Q1712" t="str">
        <f t="shared" si="26"/>
        <v>70|27</v>
      </c>
    </row>
    <row r="1713" spans="1:17" ht="6.45" customHeight="1">
      <c r="A1713" t="s">
        <v>379</v>
      </c>
      <c r="B1713">
        <v>28</v>
      </c>
      <c r="C1713" t="s">
        <v>59</v>
      </c>
      <c r="D1713">
        <v>35</v>
      </c>
      <c r="E1713" t="s">
        <v>964</v>
      </c>
      <c r="F1713" t="s">
        <v>5325</v>
      </c>
      <c r="G1713">
        <f>B70_TR_Assessment!A35</f>
        <v>0</v>
      </c>
      <c r="H1713">
        <f>B70_TR_Assessment!B35</f>
        <v>0</v>
      </c>
      <c r="I1713">
        <f>B70_TR_Assessment!C35</f>
        <v>0</v>
      </c>
      <c r="J1713">
        <f>B70_TR_Assessment!D35</f>
        <v>0</v>
      </c>
      <c r="K1713">
        <f>B70_TR_Assessment!E35</f>
        <v>0</v>
      </c>
      <c r="L1713">
        <f>B70_TR_Assessment!F35</f>
        <v>0</v>
      </c>
      <c r="M1713">
        <f>B70_TR_Assessment!G35</f>
        <v>0</v>
      </c>
      <c r="N1713">
        <f>B70_TR_Assessment!H35</f>
        <v>0</v>
      </c>
      <c r="O1713">
        <f>B70_TR_Assessment!I35</f>
        <v>0</v>
      </c>
      <c r="P1713">
        <f>B70_TR_Assessment!J35</f>
        <v>0</v>
      </c>
      <c r="Q1713" t="str">
        <f t="shared" si="26"/>
        <v>70|28</v>
      </c>
    </row>
    <row r="1714" spans="1:17" ht="6.45" customHeight="1">
      <c r="A1714" t="s">
        <v>379</v>
      </c>
      <c r="B1714">
        <v>29</v>
      </c>
      <c r="C1714" t="s">
        <v>59</v>
      </c>
      <c r="D1714">
        <v>36</v>
      </c>
      <c r="E1714" t="s">
        <v>977</v>
      </c>
      <c r="F1714" t="s">
        <v>5322</v>
      </c>
      <c r="G1714" t="str">
        <f>B70_TR_Assessment!A36</f>
        <v>5. ELECTRICAL / UPS</v>
      </c>
      <c r="H1714">
        <f>B70_TR_Assessment!B36</f>
        <v>0</v>
      </c>
      <c r="I1714">
        <f>B70_TR_Assessment!C36</f>
        <v>0</v>
      </c>
      <c r="J1714">
        <f>B70_TR_Assessment!D36</f>
        <v>0</v>
      </c>
      <c r="K1714">
        <f>B70_TR_Assessment!E36</f>
        <v>0</v>
      </c>
      <c r="L1714">
        <f>B70_TR_Assessment!F36</f>
        <v>0</v>
      </c>
      <c r="M1714">
        <f>B70_TR_Assessment!G36</f>
        <v>0</v>
      </c>
      <c r="N1714">
        <f>B70_TR_Assessment!H36</f>
        <v>0</v>
      </c>
      <c r="O1714">
        <f>B70_TR_Assessment!I36</f>
        <v>0</v>
      </c>
      <c r="P1714">
        <f>B70_TR_Assessment!J36</f>
        <v>0</v>
      </c>
      <c r="Q1714" t="str">
        <f t="shared" si="26"/>
        <v>70|29</v>
      </c>
    </row>
    <row r="1715" spans="1:17" ht="6.45" customHeight="1">
      <c r="A1715" t="s">
        <v>379</v>
      </c>
      <c r="B1715">
        <v>30</v>
      </c>
      <c r="C1715" t="s">
        <v>59</v>
      </c>
      <c r="D1715">
        <v>37</v>
      </c>
      <c r="E1715" t="s">
        <v>977</v>
      </c>
      <c r="F1715" t="s">
        <v>5323</v>
      </c>
      <c r="G1715" t="str">
        <f>B70_TR_Assessment!A37</f>
        <v>Room</v>
      </c>
      <c r="H1715" t="str">
        <f>B70_TR_Assessment!B37</f>
        <v>UPS Installed</v>
      </c>
      <c r="I1715" t="str">
        <f>B70_TR_Assessment!C37</f>
        <v>UPS Size</v>
      </c>
      <c r="J1715" t="str">
        <f>B70_TR_Assessment!D37</f>
        <v>PDU Installed</v>
      </c>
      <c r="K1715" t="str">
        <f>B70_TR_Assessment!E37</f>
        <v>Rack Receptacles</v>
      </c>
      <c r="L1715" t="str">
        <f>B70_TR_Assessment!F37</f>
        <v>Panel Assigned</v>
      </c>
      <c r="M1715" t="str">
        <f>B70_TR_Assessment!G37</f>
        <v>Emergency Source</v>
      </c>
      <c r="N1715" t="str">
        <f>B70_TR_Assessment!H37</f>
        <v>SPD / Labeling</v>
      </c>
      <c r="O1715" t="str">
        <f>B70_TR_Assessment!I37</f>
        <v>Overall</v>
      </c>
      <c r="P1715" t="str">
        <f>B70_TR_Assessment!J37</f>
        <v>Notes</v>
      </c>
      <c r="Q1715" t="str">
        <f t="shared" si="26"/>
        <v>70|30</v>
      </c>
    </row>
    <row r="1716" spans="1:17" ht="6.45" customHeight="1">
      <c r="A1716" t="s">
        <v>379</v>
      </c>
      <c r="B1716">
        <v>31</v>
      </c>
      <c r="C1716" t="s">
        <v>59</v>
      </c>
      <c r="D1716">
        <v>38</v>
      </c>
      <c r="E1716" t="s">
        <v>977</v>
      </c>
      <c r="F1716" t="s">
        <v>5324</v>
      </c>
      <c r="G1716" t="str">
        <f>B70_TR_Assessment!A38</f>
        <v>B27</v>
      </c>
      <c r="H1716" t="str">
        <f>B70_TR_Assessment!B38</f>
        <v>Verify</v>
      </c>
      <c r="I1716" t="str">
        <f>B70_TR_Assessment!C38</f>
        <v>5 kW</v>
      </c>
      <c r="J1716" t="str">
        <f>B70_TR_Assessment!D38</f>
        <v>Verify</v>
      </c>
      <c r="K1716" t="str">
        <f>B70_TR_Assessment!E38</f>
        <v>Verify</v>
      </c>
      <c r="L1716" t="str">
        <f>B70_TR_Assessment!F38</f>
        <v>Verify</v>
      </c>
      <c r="M1716" t="str">
        <f>B70_TR_Assessment!G38</f>
        <v>Verify</v>
      </c>
      <c r="N1716" t="str">
        <f>B70_TR_Assessment!H38</f>
        <v>Verify</v>
      </c>
      <c r="O1716" t="str">
        <f>B70_TR_Assessment!I38</f>
        <v>Verify</v>
      </c>
      <c r="P1716">
        <f>B70_TR_Assessment!J38</f>
        <v>0</v>
      </c>
      <c r="Q1716" t="str">
        <f t="shared" si="26"/>
        <v>70|31</v>
      </c>
    </row>
    <row r="1717" spans="1:17" ht="6.45" customHeight="1">
      <c r="A1717" t="s">
        <v>379</v>
      </c>
      <c r="B1717">
        <v>32</v>
      </c>
      <c r="C1717" t="s">
        <v>59</v>
      </c>
      <c r="D1717">
        <v>39</v>
      </c>
      <c r="E1717" t="s">
        <v>977</v>
      </c>
      <c r="F1717" t="s">
        <v>5324</v>
      </c>
      <c r="G1717" t="str">
        <f>B70_TR_Assessment!A39</f>
        <v>125A</v>
      </c>
      <c r="H1717" t="str">
        <f>B70_TR_Assessment!B39</f>
        <v>Verify</v>
      </c>
      <c r="I1717" t="str">
        <f>B70_TR_Assessment!C39</f>
        <v>5 kW</v>
      </c>
      <c r="J1717" t="str">
        <f>B70_TR_Assessment!D39</f>
        <v>Verify</v>
      </c>
      <c r="K1717" t="str">
        <f>B70_TR_Assessment!E39</f>
        <v>Verify</v>
      </c>
      <c r="L1717" t="str">
        <f>B70_TR_Assessment!F39</f>
        <v>Verify</v>
      </c>
      <c r="M1717" t="str">
        <f>B70_TR_Assessment!G39</f>
        <v>Verify</v>
      </c>
      <c r="N1717" t="str">
        <f>B70_TR_Assessment!H39</f>
        <v>Verify</v>
      </c>
      <c r="O1717" t="str">
        <f>B70_TR_Assessment!I39</f>
        <v>Verify</v>
      </c>
      <c r="P1717">
        <f>B70_TR_Assessment!J39</f>
        <v>0</v>
      </c>
      <c r="Q1717" t="str">
        <f t="shared" si="26"/>
        <v>70|32</v>
      </c>
    </row>
    <row r="1718" spans="1:17" ht="6.45" customHeight="1">
      <c r="A1718" t="s">
        <v>379</v>
      </c>
      <c r="B1718">
        <v>33</v>
      </c>
      <c r="C1718" t="s">
        <v>59</v>
      </c>
      <c r="D1718">
        <v>40</v>
      </c>
      <c r="E1718" t="s">
        <v>977</v>
      </c>
      <c r="F1718" t="s">
        <v>5324</v>
      </c>
      <c r="G1718" t="str">
        <f>B70_TR_Assessment!A40</f>
        <v>262A</v>
      </c>
      <c r="H1718" t="str">
        <f>B70_TR_Assessment!B40</f>
        <v>Verify</v>
      </c>
      <c r="I1718" t="str">
        <f>B70_TR_Assessment!C40</f>
        <v>5 kW</v>
      </c>
      <c r="J1718" t="str">
        <f>B70_TR_Assessment!D40</f>
        <v>Verify</v>
      </c>
      <c r="K1718" t="str">
        <f>B70_TR_Assessment!E40</f>
        <v>Verify</v>
      </c>
      <c r="L1718" t="str">
        <f>B70_TR_Assessment!F40</f>
        <v>Verify</v>
      </c>
      <c r="M1718" t="str">
        <f>B70_TR_Assessment!G40</f>
        <v>Verify</v>
      </c>
      <c r="N1718" t="str">
        <f>B70_TR_Assessment!H40</f>
        <v>Verify</v>
      </c>
      <c r="O1718" t="str">
        <f>B70_TR_Assessment!I40</f>
        <v>Verify</v>
      </c>
      <c r="P1718">
        <f>B70_TR_Assessment!J40</f>
        <v>0</v>
      </c>
      <c r="Q1718" t="str">
        <f t="shared" si="26"/>
        <v>70|33</v>
      </c>
    </row>
    <row r="1719" spans="1:17" ht="6.45" customHeight="1">
      <c r="A1719" t="s">
        <v>379</v>
      </c>
      <c r="B1719">
        <v>34</v>
      </c>
      <c r="C1719" t="s">
        <v>59</v>
      </c>
      <c r="D1719">
        <v>41</v>
      </c>
      <c r="E1719" t="s">
        <v>977</v>
      </c>
      <c r="F1719" t="s">
        <v>5325</v>
      </c>
      <c r="G1719">
        <f>B70_TR_Assessment!A41</f>
        <v>0</v>
      </c>
      <c r="H1719">
        <f>B70_TR_Assessment!B41</f>
        <v>0</v>
      </c>
      <c r="I1719">
        <f>B70_TR_Assessment!C41</f>
        <v>0</v>
      </c>
      <c r="J1719">
        <f>B70_TR_Assessment!D41</f>
        <v>0</v>
      </c>
      <c r="K1719">
        <f>B70_TR_Assessment!E41</f>
        <v>0</v>
      </c>
      <c r="L1719">
        <f>B70_TR_Assessment!F41</f>
        <v>0</v>
      </c>
      <c r="M1719">
        <f>B70_TR_Assessment!G41</f>
        <v>0</v>
      </c>
      <c r="N1719">
        <f>B70_TR_Assessment!H41</f>
        <v>0</v>
      </c>
      <c r="O1719">
        <f>B70_TR_Assessment!I41</f>
        <v>0</v>
      </c>
      <c r="P1719">
        <f>B70_TR_Assessment!J41</f>
        <v>0</v>
      </c>
      <c r="Q1719" t="str">
        <f t="shared" si="26"/>
        <v>70|34</v>
      </c>
    </row>
    <row r="1720" spans="1:17" ht="6.45" customHeight="1">
      <c r="A1720" t="s">
        <v>379</v>
      </c>
      <c r="B1720">
        <v>35</v>
      </c>
      <c r="C1720" t="s">
        <v>59</v>
      </c>
      <c r="D1720">
        <v>42</v>
      </c>
      <c r="E1720" t="s">
        <v>977</v>
      </c>
      <c r="F1720" t="s">
        <v>5325</v>
      </c>
      <c r="G1720">
        <f>B70_TR_Assessment!A42</f>
        <v>0</v>
      </c>
      <c r="H1720">
        <f>B70_TR_Assessment!B42</f>
        <v>0</v>
      </c>
      <c r="I1720">
        <f>B70_TR_Assessment!C42</f>
        <v>0</v>
      </c>
      <c r="J1720">
        <f>B70_TR_Assessment!D42</f>
        <v>0</v>
      </c>
      <c r="K1720">
        <f>B70_TR_Assessment!E42</f>
        <v>0</v>
      </c>
      <c r="L1720">
        <f>B70_TR_Assessment!F42</f>
        <v>0</v>
      </c>
      <c r="M1720">
        <f>B70_TR_Assessment!G42</f>
        <v>0</v>
      </c>
      <c r="N1720">
        <f>B70_TR_Assessment!H42</f>
        <v>0</v>
      </c>
      <c r="O1720">
        <f>B70_TR_Assessment!I42</f>
        <v>0</v>
      </c>
      <c r="P1720">
        <f>B70_TR_Assessment!J42</f>
        <v>0</v>
      </c>
      <c r="Q1720" t="str">
        <f t="shared" si="26"/>
        <v>70|35</v>
      </c>
    </row>
    <row r="1721" spans="1:17" ht="6.45" customHeight="1">
      <c r="A1721" t="s">
        <v>379</v>
      </c>
      <c r="B1721">
        <v>36</v>
      </c>
      <c r="C1721" t="s">
        <v>59</v>
      </c>
      <c r="D1721">
        <v>43</v>
      </c>
      <c r="E1721" t="s">
        <v>3310</v>
      </c>
      <c r="F1721" t="s">
        <v>5322</v>
      </c>
      <c r="G1721" t="str">
        <f>B70_TR_Assessment!A43</f>
        <v>6. TELECOM</v>
      </c>
      <c r="H1721">
        <f>B70_TR_Assessment!B43</f>
        <v>0</v>
      </c>
      <c r="I1721">
        <f>B70_TR_Assessment!C43</f>
        <v>0</v>
      </c>
      <c r="J1721">
        <f>B70_TR_Assessment!D43</f>
        <v>0</v>
      </c>
      <c r="K1721">
        <f>B70_TR_Assessment!E43</f>
        <v>0</v>
      </c>
      <c r="L1721">
        <f>B70_TR_Assessment!F43</f>
        <v>0</v>
      </c>
      <c r="M1721">
        <f>B70_TR_Assessment!G43</f>
        <v>0</v>
      </c>
      <c r="N1721">
        <f>B70_TR_Assessment!H43</f>
        <v>0</v>
      </c>
      <c r="O1721">
        <f>B70_TR_Assessment!I43</f>
        <v>0</v>
      </c>
      <c r="P1721">
        <f>B70_TR_Assessment!J43</f>
        <v>0</v>
      </c>
      <c r="Q1721" t="str">
        <f t="shared" si="26"/>
        <v>70|36</v>
      </c>
    </row>
    <row r="1722" spans="1:17" ht="6.45" customHeight="1">
      <c r="A1722" t="s">
        <v>379</v>
      </c>
      <c r="B1722">
        <v>37</v>
      </c>
      <c r="C1722" t="s">
        <v>59</v>
      </c>
      <c r="D1722">
        <v>44</v>
      </c>
      <c r="E1722" t="s">
        <v>3310</v>
      </c>
      <c r="F1722" t="s">
        <v>5323</v>
      </c>
      <c r="G1722" t="str">
        <f>B70_TR_Assessment!A44</f>
        <v>Room</v>
      </c>
      <c r="H1722" t="str">
        <f>B70_TR_Assessment!B44</f>
        <v>Rack Installed</v>
      </c>
      <c r="I1722" t="str">
        <f>B70_TR_Assessment!C44</f>
        <v>Ladder Tray</v>
      </c>
      <c r="J1722" t="str">
        <f>B70_TR_Assessment!D44</f>
        <v>Fiber Installed</v>
      </c>
      <c r="K1722" t="str">
        <f>B70_TR_Assessment!E44</f>
        <v>Grounding</v>
      </c>
      <c r="L1722" t="str">
        <f>B70_TR_Assessment!F44</f>
        <v>Labeling</v>
      </c>
      <c r="M1722" t="str">
        <f>B70_TR_Assessment!G44</f>
        <v>Testing</v>
      </c>
      <c r="N1722" t="str">
        <f>B70_TR_Assessment!H44</f>
        <v>VA Acceptance</v>
      </c>
      <c r="O1722" t="str">
        <f>B70_TR_Assessment!I44</f>
        <v>Overall</v>
      </c>
      <c r="P1722" t="str">
        <f>B70_TR_Assessment!J44</f>
        <v>Notes</v>
      </c>
      <c r="Q1722" t="str">
        <f t="shared" si="26"/>
        <v>70|37</v>
      </c>
    </row>
    <row r="1723" spans="1:17" ht="6.45" customHeight="1">
      <c r="A1723" t="s">
        <v>379</v>
      </c>
      <c r="B1723">
        <v>38</v>
      </c>
      <c r="C1723" t="s">
        <v>59</v>
      </c>
      <c r="D1723">
        <v>45</v>
      </c>
      <c r="E1723" t="s">
        <v>3310</v>
      </c>
      <c r="F1723" t="s">
        <v>5324</v>
      </c>
      <c r="G1723" t="str">
        <f>B70_TR_Assessment!A45</f>
        <v>B27</v>
      </c>
      <c r="H1723" t="str">
        <f>B70_TR_Assessment!B45</f>
        <v>Verify</v>
      </c>
      <c r="I1723" t="str">
        <f>B70_TR_Assessment!C45</f>
        <v>Verify</v>
      </c>
      <c r="J1723" t="str">
        <f>B70_TR_Assessment!D45</f>
        <v>Verify</v>
      </c>
      <c r="K1723" t="str">
        <f>B70_TR_Assessment!E45</f>
        <v>Verify</v>
      </c>
      <c r="L1723" t="str">
        <f>B70_TR_Assessment!F45</f>
        <v>Verify</v>
      </c>
      <c r="M1723" t="str">
        <f>B70_TR_Assessment!G45</f>
        <v>Verify</v>
      </c>
      <c r="N1723" t="str">
        <f>B70_TR_Assessment!H45</f>
        <v>Verify</v>
      </c>
      <c r="O1723" t="str">
        <f>B70_TR_Assessment!I45</f>
        <v>Verify</v>
      </c>
      <c r="P1723">
        <f>B70_TR_Assessment!J45</f>
        <v>0</v>
      </c>
      <c r="Q1723" t="str">
        <f t="shared" si="26"/>
        <v>70|38</v>
      </c>
    </row>
    <row r="1724" spans="1:17" ht="6.45" customHeight="1">
      <c r="A1724" t="s">
        <v>379</v>
      </c>
      <c r="B1724">
        <v>39</v>
      </c>
      <c r="C1724" t="s">
        <v>59</v>
      </c>
      <c r="D1724">
        <v>46</v>
      </c>
      <c r="E1724" t="s">
        <v>3310</v>
      </c>
      <c r="F1724" t="s">
        <v>5324</v>
      </c>
      <c r="G1724" t="str">
        <f>B70_TR_Assessment!A46</f>
        <v>125A</v>
      </c>
      <c r="H1724" t="str">
        <f>B70_TR_Assessment!B46</f>
        <v>Verify</v>
      </c>
      <c r="I1724" t="str">
        <f>B70_TR_Assessment!C46</f>
        <v>Verify</v>
      </c>
      <c r="J1724" t="str">
        <f>B70_TR_Assessment!D46</f>
        <v>Verify</v>
      </c>
      <c r="K1724" t="str">
        <f>B70_TR_Assessment!E46</f>
        <v>Verify</v>
      </c>
      <c r="L1724" t="str">
        <f>B70_TR_Assessment!F46</f>
        <v>Verify</v>
      </c>
      <c r="M1724" t="str">
        <f>B70_TR_Assessment!G46</f>
        <v>Verify</v>
      </c>
      <c r="N1724" t="str">
        <f>B70_TR_Assessment!H46</f>
        <v>Verify</v>
      </c>
      <c r="O1724" t="str">
        <f>B70_TR_Assessment!I46</f>
        <v>Verify</v>
      </c>
      <c r="P1724">
        <f>B70_TR_Assessment!J46</f>
        <v>0</v>
      </c>
      <c r="Q1724" t="str">
        <f t="shared" si="26"/>
        <v>70|39</v>
      </c>
    </row>
    <row r="1725" spans="1:17" ht="6.45" customHeight="1">
      <c r="A1725" t="s">
        <v>379</v>
      </c>
      <c r="B1725">
        <v>40</v>
      </c>
      <c r="C1725" t="s">
        <v>59</v>
      </c>
      <c r="D1725">
        <v>47</v>
      </c>
      <c r="E1725" t="s">
        <v>3310</v>
      </c>
      <c r="F1725" t="s">
        <v>5324</v>
      </c>
      <c r="G1725" t="str">
        <f>B70_TR_Assessment!A47</f>
        <v>262A</v>
      </c>
      <c r="H1725" t="str">
        <f>B70_TR_Assessment!B47</f>
        <v>Verify</v>
      </c>
      <c r="I1725" t="str">
        <f>B70_TR_Assessment!C47</f>
        <v>Verify</v>
      </c>
      <c r="J1725" t="str">
        <f>B70_TR_Assessment!D47</f>
        <v>Verify</v>
      </c>
      <c r="K1725" t="str">
        <f>B70_TR_Assessment!E47</f>
        <v>Verify</v>
      </c>
      <c r="L1725" t="str">
        <f>B70_TR_Assessment!F47</f>
        <v>Verify</v>
      </c>
      <c r="M1725" t="str">
        <f>B70_TR_Assessment!G47</f>
        <v>Verify</v>
      </c>
      <c r="N1725" t="str">
        <f>B70_TR_Assessment!H47</f>
        <v>Verify</v>
      </c>
      <c r="O1725" t="str">
        <f>B70_TR_Assessment!I47</f>
        <v>Verify</v>
      </c>
      <c r="P1725">
        <f>B70_TR_Assessment!J47</f>
        <v>0</v>
      </c>
      <c r="Q1725" t="str">
        <f t="shared" si="26"/>
        <v>70|40</v>
      </c>
    </row>
    <row r="1726" spans="1:17" ht="6.45" customHeight="1">
      <c r="A1726" t="s">
        <v>379</v>
      </c>
      <c r="B1726">
        <v>41</v>
      </c>
      <c r="C1726" t="s">
        <v>59</v>
      </c>
      <c r="D1726">
        <v>48</v>
      </c>
      <c r="E1726" t="s">
        <v>3310</v>
      </c>
      <c r="F1726" t="s">
        <v>5325</v>
      </c>
      <c r="G1726">
        <f>B70_TR_Assessment!A48</f>
        <v>0</v>
      </c>
      <c r="H1726">
        <f>B70_TR_Assessment!B48</f>
        <v>0</v>
      </c>
      <c r="I1726">
        <f>B70_TR_Assessment!C48</f>
        <v>0</v>
      </c>
      <c r="J1726">
        <f>B70_TR_Assessment!D48</f>
        <v>0</v>
      </c>
      <c r="K1726">
        <f>B70_TR_Assessment!E48</f>
        <v>0</v>
      </c>
      <c r="L1726">
        <f>B70_TR_Assessment!F48</f>
        <v>0</v>
      </c>
      <c r="M1726">
        <f>B70_TR_Assessment!G48</f>
        <v>0</v>
      </c>
      <c r="N1726">
        <f>B70_TR_Assessment!H48</f>
        <v>0</v>
      </c>
      <c r="O1726">
        <f>B70_TR_Assessment!I48</f>
        <v>0</v>
      </c>
      <c r="P1726">
        <f>B70_TR_Assessment!J48</f>
        <v>0</v>
      </c>
      <c r="Q1726" t="str">
        <f t="shared" si="26"/>
        <v>70|41</v>
      </c>
    </row>
    <row r="1727" spans="1:17" ht="6.45" customHeight="1">
      <c r="A1727" t="s">
        <v>379</v>
      </c>
      <c r="B1727">
        <v>42</v>
      </c>
      <c r="C1727" t="s">
        <v>59</v>
      </c>
      <c r="D1727">
        <v>49</v>
      </c>
      <c r="E1727" t="s">
        <v>3310</v>
      </c>
      <c r="F1727" t="s">
        <v>5325</v>
      </c>
      <c r="G1727">
        <f>B70_TR_Assessment!A49</f>
        <v>0</v>
      </c>
      <c r="H1727">
        <f>B70_TR_Assessment!B49</f>
        <v>0</v>
      </c>
      <c r="I1727">
        <f>B70_TR_Assessment!C49</f>
        <v>0</v>
      </c>
      <c r="J1727">
        <f>B70_TR_Assessment!D49</f>
        <v>0</v>
      </c>
      <c r="K1727">
        <f>B70_TR_Assessment!E49</f>
        <v>0</v>
      </c>
      <c r="L1727">
        <f>B70_TR_Assessment!F49</f>
        <v>0</v>
      </c>
      <c r="M1727">
        <f>B70_TR_Assessment!G49</f>
        <v>0</v>
      </c>
      <c r="N1727">
        <f>B70_TR_Assessment!H49</f>
        <v>0</v>
      </c>
      <c r="O1727">
        <f>B70_TR_Assessment!I49</f>
        <v>0</v>
      </c>
      <c r="P1727">
        <f>B70_TR_Assessment!J49</f>
        <v>0</v>
      </c>
      <c r="Q1727" t="str">
        <f t="shared" si="26"/>
        <v>70|42</v>
      </c>
    </row>
    <row r="1728" spans="1:17" ht="6.45" customHeight="1">
      <c r="A1728" t="s">
        <v>379</v>
      </c>
      <c r="B1728">
        <v>43</v>
      </c>
      <c r="C1728" t="s">
        <v>59</v>
      </c>
      <c r="D1728">
        <v>50</v>
      </c>
      <c r="E1728" t="s">
        <v>3311</v>
      </c>
      <c r="F1728" t="s">
        <v>5322</v>
      </c>
      <c r="G1728" t="str">
        <f>B70_TR_Assessment!A50</f>
        <v>7. OWNER RISKS</v>
      </c>
      <c r="H1728">
        <f>B70_TR_Assessment!B50</f>
        <v>0</v>
      </c>
      <c r="I1728">
        <f>B70_TR_Assessment!C50</f>
        <v>0</v>
      </c>
      <c r="J1728">
        <f>B70_TR_Assessment!D50</f>
        <v>0</v>
      </c>
      <c r="K1728">
        <f>B70_TR_Assessment!E50</f>
        <v>0</v>
      </c>
      <c r="L1728">
        <f>B70_TR_Assessment!F50</f>
        <v>0</v>
      </c>
      <c r="M1728">
        <f>B70_TR_Assessment!G50</f>
        <v>0</v>
      </c>
      <c r="N1728">
        <f>B70_TR_Assessment!H50</f>
        <v>0</v>
      </c>
      <c r="O1728">
        <f>B70_TR_Assessment!I50</f>
        <v>0</v>
      </c>
      <c r="P1728">
        <f>B70_TR_Assessment!J50</f>
        <v>0</v>
      </c>
      <c r="Q1728" t="str">
        <f t="shared" si="26"/>
        <v>70|43</v>
      </c>
    </row>
    <row r="1729" spans="1:17" ht="6.45" customHeight="1">
      <c r="A1729" t="s">
        <v>379</v>
      </c>
      <c r="B1729">
        <v>44</v>
      </c>
      <c r="C1729" t="s">
        <v>59</v>
      </c>
      <c r="D1729">
        <v>51</v>
      </c>
      <c r="E1729" t="s">
        <v>3311</v>
      </c>
      <c r="F1729" t="s">
        <v>5323</v>
      </c>
      <c r="G1729" t="str">
        <f>B70_TR_Assessment!A51</f>
        <v>Risk ID</v>
      </c>
      <c r="H1729" t="str">
        <f>B70_TR_Assessment!B51</f>
        <v>Room</v>
      </c>
      <c r="I1729" t="str">
        <f>B70_TR_Assessment!C51</f>
        <v>Risk</v>
      </c>
      <c r="J1729" t="str">
        <f>B70_TR_Assessment!D51</f>
        <v>Impact</v>
      </c>
      <c r="K1729" t="str">
        <f>B70_TR_Assessment!E51</f>
        <v>Probability</v>
      </c>
      <c r="L1729" t="str">
        <f>B70_TR_Assessment!F51</f>
        <v>Score</v>
      </c>
      <c r="M1729" t="str">
        <f>B70_TR_Assessment!G51</f>
        <v>Mitigation</v>
      </c>
      <c r="N1729" t="str">
        <f>B70_TR_Assessment!H51</f>
        <v>Owner</v>
      </c>
      <c r="O1729" t="str">
        <f>B70_TR_Assessment!I51</f>
        <v>Status</v>
      </c>
      <c r="P1729" t="str">
        <f>B70_TR_Assessment!J51</f>
        <v>Notes</v>
      </c>
      <c r="Q1729" t="str">
        <f t="shared" si="26"/>
        <v>70|44</v>
      </c>
    </row>
    <row r="1730" spans="1:17" ht="6.45" customHeight="1">
      <c r="A1730" t="s">
        <v>379</v>
      </c>
      <c r="B1730">
        <v>45</v>
      </c>
      <c r="C1730" t="s">
        <v>59</v>
      </c>
      <c r="D1730">
        <v>52</v>
      </c>
      <c r="E1730" t="s">
        <v>3311</v>
      </c>
      <c r="F1730" t="s">
        <v>5324</v>
      </c>
      <c r="G1730" t="str">
        <f>B70_TR_Assessment!A52</f>
        <v>B70-R1</v>
      </c>
      <c r="H1730" t="str">
        <f>B70_TR_Assessment!B52</f>
        <v>All</v>
      </c>
      <c r="I1730" t="str">
        <f>B70_TR_Assessment!C52</f>
        <v>Cooling emergency power / continuity not verified</v>
      </c>
      <c r="J1730" t="str">
        <f>B70_TR_Assessment!D52</f>
        <v>High</v>
      </c>
      <c r="K1730" t="str">
        <f>B70_TR_Assessment!E52</f>
        <v>Medium</v>
      </c>
      <c r="L1730">
        <f>B70_TR_Assessment!F52</f>
        <v>6</v>
      </c>
      <c r="M1730" t="str">
        <f>B70_TR_Assessment!G52</f>
        <v>Confirm power path for cooling, controls, BACnet adapter, and condensate pump</v>
      </c>
      <c r="N1730" t="str">
        <f>B70_TR_Assessment!H52</f>
        <v>GCC / VA</v>
      </c>
      <c r="O1730" t="str">
        <f>B70_TR_Assessment!I52</f>
        <v>Closed</v>
      </c>
      <c r="P1730">
        <f>B70_TR_Assessment!J52</f>
        <v>0</v>
      </c>
      <c r="Q1730" t="str">
        <f t="shared" ref="Q1730:Q1793" si="27">A1730&amp;"|"&amp;B1730</f>
        <v>70|45</v>
      </c>
    </row>
    <row r="1731" spans="1:17" ht="6.45" customHeight="1">
      <c r="A1731" t="s">
        <v>379</v>
      </c>
      <c r="B1731">
        <v>46</v>
      </c>
      <c r="C1731" t="s">
        <v>59</v>
      </c>
      <c r="D1731">
        <v>53</v>
      </c>
      <c r="E1731" t="s">
        <v>3311</v>
      </c>
      <c r="F1731" t="s">
        <v>5324</v>
      </c>
      <c r="G1731" t="str">
        <f>B70_TR_Assessment!A53</f>
        <v>B70-R2</v>
      </c>
      <c r="H1731" t="str">
        <f>B70_TR_Assessment!B53</f>
        <v>All</v>
      </c>
      <c r="I1731" t="str">
        <f>B70_TR_Assessment!C53</f>
        <v>1-hour rated/smoke-rated TR envelope and penetrations not field verified</v>
      </c>
      <c r="J1731" t="str">
        <f>B70_TR_Assessment!D53</f>
        <v>High</v>
      </c>
      <c r="K1731" t="str">
        <f>B70_TR_Assessment!E53</f>
        <v>Medium</v>
      </c>
      <c r="L1731">
        <f>B70_TR_Assessment!F53</f>
        <v>6</v>
      </c>
      <c r="M1731" t="str">
        <f>B70_TR_Assessment!G53</f>
        <v>Survey walls, doors, sleeves, trays, firestop, and head-of-wall conditions</v>
      </c>
      <c r="N1731" t="str">
        <f>B70_TR_Assessment!H53</f>
        <v>GCC</v>
      </c>
      <c r="O1731" t="str">
        <f>B70_TR_Assessment!I53</f>
        <v>Closed</v>
      </c>
      <c r="P1731">
        <f>B70_TR_Assessment!J53</f>
        <v>0</v>
      </c>
      <c r="Q1731" t="str">
        <f t="shared" si="27"/>
        <v>70|46</v>
      </c>
    </row>
    <row r="1732" spans="1:17" ht="6.45" customHeight="1">
      <c r="A1732" t="s">
        <v>379</v>
      </c>
      <c r="B1732">
        <v>47</v>
      </c>
      <c r="C1732" t="s">
        <v>59</v>
      </c>
      <c r="D1732">
        <v>54</v>
      </c>
      <c r="E1732" t="s">
        <v>3311</v>
      </c>
      <c r="F1732" t="s">
        <v>5324</v>
      </c>
      <c r="G1732" t="str">
        <f>B70_TR_Assessment!A54</f>
        <v>B70-R3</v>
      </c>
      <c r="H1732" t="str">
        <f>B70_TR_Assessment!B54</f>
        <v>B27</v>
      </c>
      <c r="I1732" t="str">
        <f>B70_TR_Assessment!C54</f>
        <v>Existing basement service conditions may constrain routing and access</v>
      </c>
      <c r="J1732" t="str">
        <f>B70_TR_Assessment!D54</f>
        <v>Medium</v>
      </c>
      <c r="K1732" t="str">
        <f>B70_TR_Assessment!E54</f>
        <v>High</v>
      </c>
      <c r="L1732">
        <f>B70_TR_Assessment!F54</f>
        <v>6</v>
      </c>
      <c r="M1732" t="str">
        <f>B70_TR_Assessment!G54</f>
        <v>Document existing utilities, clearances, and phasing around active systems</v>
      </c>
      <c r="N1732" t="str">
        <f>B70_TR_Assessment!H54</f>
        <v>GCC</v>
      </c>
      <c r="O1732" t="str">
        <f>B70_TR_Assessment!I54</f>
        <v>Closed</v>
      </c>
      <c r="P1732">
        <f>B70_TR_Assessment!J54</f>
        <v>0</v>
      </c>
      <c r="Q1732" t="str">
        <f t="shared" si="27"/>
        <v>70|47</v>
      </c>
    </row>
    <row r="1733" spans="1:17" ht="6.45" customHeight="1">
      <c r="A1733" t="s">
        <v>379</v>
      </c>
      <c r="B1733">
        <v>48</v>
      </c>
      <c r="C1733" t="s">
        <v>59</v>
      </c>
      <c r="D1733">
        <v>55</v>
      </c>
      <c r="E1733" t="s">
        <v>3311</v>
      </c>
      <c r="F1733" t="s">
        <v>5324</v>
      </c>
      <c r="G1733" t="str">
        <f>B70_TR_Assessment!A55</f>
        <v>B70-R4</v>
      </c>
      <c r="H1733" t="str">
        <f>B70_TR_Assessment!B55</f>
        <v>All</v>
      </c>
      <c r="I1733" t="str">
        <f>B70_TR_Assessment!C55</f>
        <v>Existing TR/service equipment transfer could affect active operations</v>
      </c>
      <c r="J1733" t="str">
        <f>B70_TR_Assessment!D55</f>
        <v>High</v>
      </c>
      <c r="K1733" t="str">
        <f>B70_TR_Assessment!E55</f>
        <v>Medium</v>
      </c>
      <c r="L1733">
        <f>B70_TR_Assessment!F55</f>
        <v>6</v>
      </c>
      <c r="M1733" t="str">
        <f>B70_TR_Assessment!G55</f>
        <v>Require phasing plan and maintain analog/low-voltage systems operational</v>
      </c>
      <c r="N1733" t="str">
        <f>B70_TR_Assessment!H55</f>
        <v>GCC / Contractor</v>
      </c>
      <c r="O1733" t="str">
        <f>B70_TR_Assessment!I55</f>
        <v>Closed</v>
      </c>
      <c r="P1733">
        <f>B70_TR_Assessment!J55</f>
        <v>0</v>
      </c>
      <c r="Q1733" t="str">
        <f t="shared" si="27"/>
        <v>70|48</v>
      </c>
    </row>
    <row r="1734" spans="1:17" ht="6.45" customHeight="1">
      <c r="A1734" t="s">
        <v>379</v>
      </c>
      <c r="B1734">
        <v>49</v>
      </c>
      <c r="C1734" t="s">
        <v>59</v>
      </c>
      <c r="D1734">
        <v>56</v>
      </c>
      <c r="E1734" t="s">
        <v>3311</v>
      </c>
      <c r="F1734" t="s">
        <v>5324</v>
      </c>
      <c r="G1734" t="str">
        <f>B70_TR_Assessment!A56</f>
        <v>B70-R5</v>
      </c>
      <c r="H1734" t="str">
        <f>B70_TR_Assessment!B56</f>
        <v>All</v>
      </c>
      <c r="I1734" t="str">
        <f>B70_TR_Assessment!C56</f>
        <v>Condensate leak risk near IT equipment</v>
      </c>
      <c r="J1734" t="str">
        <f>B70_TR_Assessment!D56</f>
        <v>High</v>
      </c>
      <c r="K1734" t="str">
        <f>B70_TR_Assessment!E56</f>
        <v>Medium</v>
      </c>
      <c r="L1734">
        <f>B70_TR_Assessment!F56</f>
        <v>6</v>
      </c>
      <c r="M1734" t="str">
        <f>B70_TR_Assessment!G56</f>
        <v>Verify condensate routing, insulation, pump power, and alarms</v>
      </c>
      <c r="N1734" t="str">
        <f>B70_TR_Assessment!H56</f>
        <v>GCC / Contractor</v>
      </c>
      <c r="O1734" t="str">
        <f>B70_TR_Assessment!I56</f>
        <v>Closed</v>
      </c>
      <c r="P1734">
        <f>B70_TR_Assessment!J56</f>
        <v>0</v>
      </c>
      <c r="Q1734" t="str">
        <f t="shared" si="27"/>
        <v>70|49</v>
      </c>
    </row>
    <row r="1735" spans="1:17" ht="6.45" customHeight="1">
      <c r="A1735" t="s">
        <v>379</v>
      </c>
      <c r="B1735">
        <v>50</v>
      </c>
      <c r="C1735" t="s">
        <v>59</v>
      </c>
      <c r="D1735">
        <v>57</v>
      </c>
      <c r="E1735" t="s">
        <v>3311</v>
      </c>
      <c r="F1735" t="s">
        <v>5325</v>
      </c>
      <c r="G1735">
        <f>B70_TR_Assessment!A57</f>
        <v>0</v>
      </c>
      <c r="H1735">
        <f>B70_TR_Assessment!B57</f>
        <v>0</v>
      </c>
      <c r="I1735">
        <f>B70_TR_Assessment!C57</f>
        <v>0</v>
      </c>
      <c r="J1735">
        <f>B70_TR_Assessment!D57</f>
        <v>0</v>
      </c>
      <c r="K1735">
        <f>B70_TR_Assessment!E57</f>
        <v>0</v>
      </c>
      <c r="L1735">
        <f>B70_TR_Assessment!F57</f>
        <v>0</v>
      </c>
      <c r="M1735">
        <f>B70_TR_Assessment!G57</f>
        <v>0</v>
      </c>
      <c r="N1735">
        <f>B70_TR_Assessment!H57</f>
        <v>0</v>
      </c>
      <c r="O1735">
        <f>B70_TR_Assessment!I57</f>
        <v>0</v>
      </c>
      <c r="P1735">
        <f>B70_TR_Assessment!J57</f>
        <v>0</v>
      </c>
      <c r="Q1735" t="str">
        <f t="shared" si="27"/>
        <v>70|50</v>
      </c>
    </row>
    <row r="1736" spans="1:17" ht="6.45" customHeight="1">
      <c r="A1736" t="s">
        <v>379</v>
      </c>
      <c r="B1736">
        <v>51</v>
      </c>
      <c r="C1736" t="s">
        <v>59</v>
      </c>
      <c r="D1736">
        <v>58</v>
      </c>
      <c r="E1736" t="s">
        <v>3311</v>
      </c>
      <c r="F1736" t="s">
        <v>5325</v>
      </c>
      <c r="G1736">
        <f>B70_TR_Assessment!A58</f>
        <v>0</v>
      </c>
      <c r="H1736">
        <f>B70_TR_Assessment!B58</f>
        <v>0</v>
      </c>
      <c r="I1736">
        <f>B70_TR_Assessment!C58</f>
        <v>0</v>
      </c>
      <c r="J1736">
        <f>B70_TR_Assessment!D58</f>
        <v>0</v>
      </c>
      <c r="K1736">
        <f>B70_TR_Assessment!E58</f>
        <v>0</v>
      </c>
      <c r="L1736">
        <f>B70_TR_Assessment!F58</f>
        <v>0</v>
      </c>
      <c r="M1736">
        <f>B70_TR_Assessment!G58</f>
        <v>0</v>
      </c>
      <c r="N1736">
        <f>B70_TR_Assessment!H58</f>
        <v>0</v>
      </c>
      <c r="O1736">
        <f>B70_TR_Assessment!I58</f>
        <v>0</v>
      </c>
      <c r="P1736">
        <f>B70_TR_Assessment!J58</f>
        <v>0</v>
      </c>
      <c r="Q1736" t="str">
        <f t="shared" si="27"/>
        <v>70|51</v>
      </c>
    </row>
    <row r="1737" spans="1:17" ht="6.45" customHeight="1">
      <c r="A1737" t="s">
        <v>379</v>
      </c>
      <c r="B1737">
        <v>52</v>
      </c>
      <c r="C1737" t="s">
        <v>59</v>
      </c>
      <c r="D1737">
        <v>59</v>
      </c>
      <c r="E1737" t="s">
        <v>3324</v>
      </c>
      <c r="F1737" t="s">
        <v>5322</v>
      </c>
      <c r="G1737" t="str">
        <f>B70_TR_Assessment!A59</f>
        <v>8. OPEN QUESTIONS</v>
      </c>
      <c r="H1737">
        <f>B70_TR_Assessment!B59</f>
        <v>0</v>
      </c>
      <c r="I1737">
        <f>B70_TR_Assessment!C59</f>
        <v>0</v>
      </c>
      <c r="J1737">
        <f>B70_TR_Assessment!D59</f>
        <v>0</v>
      </c>
      <c r="K1737">
        <f>B70_TR_Assessment!E59</f>
        <v>0</v>
      </c>
      <c r="L1737">
        <f>B70_TR_Assessment!F59</f>
        <v>0</v>
      </c>
      <c r="M1737">
        <f>B70_TR_Assessment!G59</f>
        <v>0</v>
      </c>
      <c r="N1737">
        <f>B70_TR_Assessment!H59</f>
        <v>0</v>
      </c>
      <c r="O1737">
        <f>B70_TR_Assessment!I59</f>
        <v>0</v>
      </c>
      <c r="P1737">
        <f>B70_TR_Assessment!J59</f>
        <v>0</v>
      </c>
      <c r="Q1737" t="str">
        <f t="shared" si="27"/>
        <v>70|52</v>
      </c>
    </row>
    <row r="1738" spans="1:17" ht="6.45" customHeight="1">
      <c r="A1738" t="s">
        <v>379</v>
      </c>
      <c r="B1738">
        <v>53</v>
      </c>
      <c r="C1738" t="s">
        <v>59</v>
      </c>
      <c r="D1738">
        <v>60</v>
      </c>
      <c r="E1738" t="s">
        <v>3324</v>
      </c>
      <c r="F1738" t="s">
        <v>5323</v>
      </c>
      <c r="G1738" t="str">
        <f>B70_TR_Assessment!A60</f>
        <v>Question ID</v>
      </c>
      <c r="H1738" t="str">
        <f>B70_TR_Assessment!B60</f>
        <v>Question</v>
      </c>
      <c r="I1738" t="str">
        <f>B70_TR_Assessment!C60</f>
        <v>Assigned To</v>
      </c>
      <c r="J1738" t="str">
        <f>B70_TR_Assessment!D60</f>
        <v>Status</v>
      </c>
      <c r="K1738" t="str">
        <f>B70_TR_Assessment!E60</f>
        <v>Needed By</v>
      </c>
      <c r="L1738" t="str">
        <f>B70_TR_Assessment!F60</f>
        <v>Answer / Resolution</v>
      </c>
      <c r="M1738" t="str">
        <f>B70_TR_Assessment!G60</f>
        <v>Impact if Unanswered</v>
      </c>
      <c r="N1738" t="str">
        <f>B70_TR_Assessment!H60</f>
        <v>Follow-up</v>
      </c>
      <c r="O1738" t="str">
        <f>B70_TR_Assessment!I60</f>
        <v>Date Closed</v>
      </c>
      <c r="P1738" t="str">
        <f>B70_TR_Assessment!J60</f>
        <v>Notes</v>
      </c>
      <c r="Q1738" t="str">
        <f t="shared" si="27"/>
        <v>70|53</v>
      </c>
    </row>
    <row r="1739" spans="1:17" ht="6.45" customHeight="1">
      <c r="A1739" t="s">
        <v>379</v>
      </c>
      <c r="B1739">
        <v>54</v>
      </c>
      <c r="C1739" t="s">
        <v>59</v>
      </c>
      <c r="D1739">
        <v>61</v>
      </c>
      <c r="E1739" t="s">
        <v>3324</v>
      </c>
      <c r="F1739" t="s">
        <v>5324</v>
      </c>
      <c r="G1739" t="str">
        <f>B70_TR_Assessment!A61</f>
        <v>B70-Q1</v>
      </c>
      <c r="H1739" t="str">
        <f>B70_TR_Assessment!B61</f>
        <v>Are cooling units and controls on emergency/backup power?</v>
      </c>
      <c r="I1739" t="str">
        <f>B70_TR_Assessment!C61</f>
        <v>VA / Designer</v>
      </c>
      <c r="J1739" t="str">
        <f>B70_TR_Assessment!D61</f>
        <v>Closed</v>
      </c>
      <c r="K1739">
        <f>B70_TR_Assessment!E61</f>
        <v>0</v>
      </c>
      <c r="L1739">
        <f>B70_TR_Assessment!F61</f>
        <v>0</v>
      </c>
      <c r="M1739" t="str">
        <f>B70_TR_Assessment!G61</f>
        <v>Cannot confirm continuity of operations</v>
      </c>
      <c r="N1739">
        <f>B70_TR_Assessment!H61</f>
        <v>0</v>
      </c>
      <c r="O1739">
        <f>B70_TR_Assessment!I61</f>
        <v>0</v>
      </c>
      <c r="P1739">
        <f>B70_TR_Assessment!J61</f>
        <v>0</v>
      </c>
      <c r="Q1739" t="str">
        <f t="shared" si="27"/>
        <v>70|54</v>
      </c>
    </row>
    <row r="1740" spans="1:17" ht="6.45" customHeight="1">
      <c r="A1740" t="s">
        <v>379</v>
      </c>
      <c r="B1740">
        <v>55</v>
      </c>
      <c r="C1740" t="s">
        <v>59</v>
      </c>
      <c r="D1740">
        <v>62</v>
      </c>
      <c r="E1740" t="s">
        <v>3324</v>
      </c>
      <c r="F1740" t="s">
        <v>5324</v>
      </c>
      <c r="G1740" t="str">
        <f>B70_TR_Assessment!A62</f>
        <v>B70-Q2</v>
      </c>
      <c r="H1740" t="str">
        <f>B70_TR_Assessment!B62</f>
        <v>Are future rack loads included in HVAC sizing for B27, 125A, and 262A?</v>
      </c>
      <c r="I1740" t="str">
        <f>B70_TR_Assessment!C62</f>
        <v>Designer</v>
      </c>
      <c r="J1740" t="str">
        <f>B70_TR_Assessment!D62</f>
        <v>Closed</v>
      </c>
      <c r="K1740">
        <f>B70_TR_Assessment!E62</f>
        <v>0</v>
      </c>
      <c r="L1740">
        <f>B70_TR_Assessment!F62</f>
        <v>0</v>
      </c>
      <c r="M1740" t="str">
        <f>B70_TR_Assessment!G62</f>
        <v>Cooling may be undersized after expansion</v>
      </c>
      <c r="N1740">
        <f>B70_TR_Assessment!H62</f>
        <v>0</v>
      </c>
      <c r="O1740">
        <f>B70_TR_Assessment!I62</f>
        <v>0</v>
      </c>
      <c r="P1740">
        <f>B70_TR_Assessment!J62</f>
        <v>0</v>
      </c>
      <c r="Q1740" t="str">
        <f t="shared" si="27"/>
        <v>70|55</v>
      </c>
    </row>
    <row r="1741" spans="1:17" ht="6.45" customHeight="1">
      <c r="A1741" t="s">
        <v>379</v>
      </c>
      <c r="B1741">
        <v>56</v>
      </c>
      <c r="C1741" t="s">
        <v>59</v>
      </c>
      <c r="D1741">
        <v>63</v>
      </c>
      <c r="E1741" t="s">
        <v>3324</v>
      </c>
      <c r="F1741" t="s">
        <v>5324</v>
      </c>
      <c r="G1741" t="str">
        <f>B70_TR_Assessment!A63</f>
        <v>B70-Q3</v>
      </c>
      <c r="H1741" t="str">
        <f>B70_TR_Assessment!B63</f>
        <v>Are extinguisher cabinet locations identified within 75 feet of each TR?</v>
      </c>
      <c r="I1741" t="str">
        <f>B70_TR_Assessment!C63</f>
        <v>Contractor / COR</v>
      </c>
      <c r="J1741" t="str">
        <f>B70_TR_Assessment!D63</f>
        <v>Closed</v>
      </c>
      <c r="K1741">
        <f>B70_TR_Assessment!E63</f>
        <v>0</v>
      </c>
      <c r="L1741">
        <f>B70_TR_Assessment!F63</f>
        <v>0</v>
      </c>
      <c r="M1741" t="str">
        <f>B70_TR_Assessment!G63</f>
        <v>Acceptance / life safety risk</v>
      </c>
      <c r="N1741">
        <f>B70_TR_Assessment!H63</f>
        <v>0</v>
      </c>
      <c r="O1741">
        <f>B70_TR_Assessment!I63</f>
        <v>0</v>
      </c>
      <c r="P1741">
        <f>B70_TR_Assessment!J63</f>
        <v>0</v>
      </c>
      <c r="Q1741" t="str">
        <f t="shared" si="27"/>
        <v>70|56</v>
      </c>
    </row>
    <row r="1742" spans="1:17" ht="6.45" customHeight="1">
      <c r="A1742" t="s">
        <v>379</v>
      </c>
      <c r="B1742">
        <v>57</v>
      </c>
      <c r="C1742" t="s">
        <v>59</v>
      </c>
      <c r="D1742">
        <v>64</v>
      </c>
      <c r="E1742" t="s">
        <v>3324</v>
      </c>
      <c r="F1742" t="s">
        <v>5324</v>
      </c>
      <c r="G1742" t="str">
        <f>B70_TR_Assessment!A64</f>
        <v>B70-Q4</v>
      </c>
      <c r="H1742" t="str">
        <f>B70_TR_Assessment!B64</f>
        <v>Are all wall/floor penetrations and speed sleeves shown and firestopped?</v>
      </c>
      <c r="I1742" t="str">
        <f>B70_TR_Assessment!C64</f>
        <v>Contractor / Designer</v>
      </c>
      <c r="J1742" t="str">
        <f>B70_TR_Assessment!D64</f>
        <v>Closed</v>
      </c>
      <c r="K1742">
        <f>B70_TR_Assessment!E64</f>
        <v>0</v>
      </c>
      <c r="L1742">
        <f>B70_TR_Assessment!F64</f>
        <v>0</v>
      </c>
      <c r="M1742" t="str">
        <f>B70_TR_Assessment!G64</f>
        <v>Fire/smoke spread risk</v>
      </c>
      <c r="N1742">
        <f>B70_TR_Assessment!H64</f>
        <v>0</v>
      </c>
      <c r="O1742">
        <f>B70_TR_Assessment!I64</f>
        <v>0</v>
      </c>
      <c r="P1742">
        <f>B70_TR_Assessment!J64</f>
        <v>0</v>
      </c>
      <c r="Q1742" t="str">
        <f t="shared" si="27"/>
        <v>70|57</v>
      </c>
    </row>
    <row r="1743" spans="1:17" ht="6.45" customHeight="1">
      <c r="A1743" t="s">
        <v>379</v>
      </c>
      <c r="B1743">
        <v>58</v>
      </c>
      <c r="C1743" t="s">
        <v>59</v>
      </c>
      <c r="D1743">
        <v>65</v>
      </c>
      <c r="E1743" t="s">
        <v>3324</v>
      </c>
      <c r="F1743" t="s">
        <v>5324</v>
      </c>
      <c r="G1743" t="str">
        <f>B70_TR_Assessment!A65</f>
        <v>B70-Q5</v>
      </c>
      <c r="H1743" t="str">
        <f>B70_TR_Assessment!B65</f>
        <v>What phasing is required to keep existing low-voltage/analog systems operational?</v>
      </c>
      <c r="I1743" t="str">
        <f>B70_TR_Assessment!C65</f>
        <v>Contractor / OIT</v>
      </c>
      <c r="J1743" t="str">
        <f>B70_TR_Assessment!D65</f>
        <v>Closed</v>
      </c>
      <c r="K1743">
        <f>B70_TR_Assessment!E65</f>
        <v>0</v>
      </c>
      <c r="L1743">
        <f>B70_TR_Assessment!F65</f>
        <v>0</v>
      </c>
      <c r="M1743" t="str">
        <f>B70_TR_Assessment!G65</f>
        <v>Potential communications interruption</v>
      </c>
      <c r="N1743">
        <f>B70_TR_Assessment!H65</f>
        <v>0</v>
      </c>
      <c r="O1743">
        <f>B70_TR_Assessment!I65</f>
        <v>0</v>
      </c>
      <c r="P1743">
        <f>B70_TR_Assessment!J65</f>
        <v>0</v>
      </c>
      <c r="Q1743" t="str">
        <f t="shared" si="27"/>
        <v>70|58</v>
      </c>
    </row>
    <row r="1744" spans="1:17" ht="6.45" customHeight="1">
      <c r="A1744" t="s">
        <v>379</v>
      </c>
      <c r="B1744">
        <v>59</v>
      </c>
      <c r="C1744" t="s">
        <v>59</v>
      </c>
      <c r="D1744">
        <v>66</v>
      </c>
      <c r="E1744" t="s">
        <v>3324</v>
      </c>
      <c r="F1744" t="s">
        <v>5325</v>
      </c>
      <c r="G1744">
        <f>B70_TR_Assessment!A66</f>
        <v>0</v>
      </c>
      <c r="H1744">
        <f>B70_TR_Assessment!B66</f>
        <v>0</v>
      </c>
      <c r="I1744">
        <f>B70_TR_Assessment!C66</f>
        <v>0</v>
      </c>
      <c r="J1744">
        <f>B70_TR_Assessment!D66</f>
        <v>0</v>
      </c>
      <c r="K1744">
        <f>B70_TR_Assessment!E66</f>
        <v>0</v>
      </c>
      <c r="L1744">
        <f>B70_TR_Assessment!F66</f>
        <v>0</v>
      </c>
      <c r="M1744">
        <f>B70_TR_Assessment!G66</f>
        <v>0</v>
      </c>
      <c r="N1744">
        <f>B70_TR_Assessment!H66</f>
        <v>0</v>
      </c>
      <c r="O1744">
        <f>B70_TR_Assessment!I66</f>
        <v>0</v>
      </c>
      <c r="P1744">
        <f>B70_TR_Assessment!J66</f>
        <v>0</v>
      </c>
      <c r="Q1744" t="str">
        <f t="shared" si="27"/>
        <v>70|59</v>
      </c>
    </row>
    <row r="1745" spans="1:17" ht="6.45" customHeight="1">
      <c r="A1745" t="s">
        <v>379</v>
      </c>
      <c r="B1745">
        <v>60</v>
      </c>
      <c r="C1745" t="s">
        <v>59</v>
      </c>
      <c r="D1745">
        <v>67</v>
      </c>
      <c r="E1745" t="s">
        <v>3324</v>
      </c>
      <c r="F1745" t="s">
        <v>5325</v>
      </c>
      <c r="G1745">
        <f>B70_TR_Assessment!A67</f>
        <v>0</v>
      </c>
      <c r="H1745">
        <f>B70_TR_Assessment!B67</f>
        <v>0</v>
      </c>
      <c r="I1745">
        <f>B70_TR_Assessment!C67</f>
        <v>0</v>
      </c>
      <c r="J1745">
        <f>B70_TR_Assessment!D67</f>
        <v>0</v>
      </c>
      <c r="K1745">
        <f>B70_TR_Assessment!E67</f>
        <v>0</v>
      </c>
      <c r="L1745">
        <f>B70_TR_Assessment!F67</f>
        <v>0</v>
      </c>
      <c r="M1745">
        <f>B70_TR_Assessment!G67</f>
        <v>0</v>
      </c>
      <c r="N1745">
        <f>B70_TR_Assessment!H67</f>
        <v>0</v>
      </c>
      <c r="O1745">
        <f>B70_TR_Assessment!I67</f>
        <v>0</v>
      </c>
      <c r="P1745">
        <f>B70_TR_Assessment!J67</f>
        <v>0</v>
      </c>
      <c r="Q1745" t="str">
        <f t="shared" si="27"/>
        <v>70|60</v>
      </c>
    </row>
    <row r="1746" spans="1:17" ht="6.45" customHeight="1">
      <c r="A1746" t="s">
        <v>379</v>
      </c>
      <c r="B1746">
        <v>61</v>
      </c>
      <c r="C1746" t="s">
        <v>59</v>
      </c>
      <c r="D1746">
        <v>68</v>
      </c>
      <c r="E1746" t="s">
        <v>3340</v>
      </c>
      <c r="F1746" t="s">
        <v>5322</v>
      </c>
      <c r="G1746" t="str">
        <f>B70_TR_Assessment!A68</f>
        <v>9. PHOTO LOG</v>
      </c>
      <c r="H1746">
        <f>B70_TR_Assessment!B68</f>
        <v>0</v>
      </c>
      <c r="I1746">
        <f>B70_TR_Assessment!C68</f>
        <v>0</v>
      </c>
      <c r="J1746">
        <f>B70_TR_Assessment!D68</f>
        <v>0</v>
      </c>
      <c r="K1746">
        <f>B70_TR_Assessment!E68</f>
        <v>0</v>
      </c>
      <c r="L1746">
        <f>B70_TR_Assessment!F68</f>
        <v>0</v>
      </c>
      <c r="M1746">
        <f>B70_TR_Assessment!G68</f>
        <v>0</v>
      </c>
      <c r="N1746">
        <f>B70_TR_Assessment!H68</f>
        <v>0</v>
      </c>
      <c r="O1746">
        <f>B70_TR_Assessment!I68</f>
        <v>0</v>
      </c>
      <c r="P1746">
        <f>B70_TR_Assessment!J68</f>
        <v>0</v>
      </c>
      <c r="Q1746" t="str">
        <f t="shared" si="27"/>
        <v>70|61</v>
      </c>
    </row>
    <row r="1747" spans="1:17" ht="6.45" customHeight="1">
      <c r="A1747" t="s">
        <v>379</v>
      </c>
      <c r="B1747">
        <v>62</v>
      </c>
      <c r="C1747" t="s">
        <v>59</v>
      </c>
      <c r="D1747">
        <v>69</v>
      </c>
      <c r="E1747" t="s">
        <v>3340</v>
      </c>
      <c r="F1747" t="s">
        <v>5323</v>
      </c>
      <c r="G1747" t="str">
        <f>B70_TR_Assessment!A69</f>
        <v>Photo ID</v>
      </c>
      <c r="H1747" t="str">
        <f>B70_TR_Assessment!B69</f>
        <v>Room</v>
      </c>
      <c r="I1747" t="str">
        <f>B70_TR_Assessment!C69</f>
        <v>Category</v>
      </c>
      <c r="J1747" t="str">
        <f>B70_TR_Assessment!D69</f>
        <v>Description</v>
      </c>
      <c r="K1747" t="str">
        <f>B70_TR_Assessment!E69</f>
        <v>Date</v>
      </c>
      <c r="L1747" t="str">
        <f>B70_TR_Assessment!F69</f>
        <v>Taken By</v>
      </c>
      <c r="M1747" t="str">
        <f>B70_TR_Assessment!G69</f>
        <v>File / Link</v>
      </c>
      <c r="N1747" t="str">
        <f>B70_TR_Assessment!H69</f>
        <v>Related Risk</v>
      </c>
      <c r="O1747" t="str">
        <f>B70_TR_Assessment!I69</f>
        <v>Status</v>
      </c>
      <c r="P1747" t="str">
        <f>B70_TR_Assessment!J69</f>
        <v>Notes</v>
      </c>
      <c r="Q1747" t="str">
        <f t="shared" si="27"/>
        <v>70|62</v>
      </c>
    </row>
    <row r="1748" spans="1:17" ht="6.45" customHeight="1">
      <c r="A1748" t="s">
        <v>379</v>
      </c>
      <c r="B1748">
        <v>63</v>
      </c>
      <c r="C1748" t="s">
        <v>59</v>
      </c>
      <c r="D1748">
        <v>70</v>
      </c>
      <c r="E1748" t="s">
        <v>3340</v>
      </c>
      <c r="F1748" t="s">
        <v>5324</v>
      </c>
      <c r="G1748" t="str">
        <f>B70_TR_Assessment!A70</f>
        <v>B70-P001</v>
      </c>
      <c r="H1748" t="str">
        <f>B70_TR_Assessment!B70</f>
        <v>B27</v>
      </c>
      <c r="I1748" t="str">
        <f>B70_TR_Assessment!C70</f>
        <v>Existing Condition</v>
      </c>
      <c r="J1748" t="str">
        <f>B70_TR_Assessment!D70</f>
        <v>Existing basement TR / utility condition</v>
      </c>
      <c r="K1748" s="152">
        <f>B70_TR_Assessment!E70</f>
        <v>0</v>
      </c>
      <c r="L1748" t="str">
        <f>B70_TR_Assessment!F70</f>
        <v>Paul</v>
      </c>
      <c r="M1748">
        <f>B70_TR_Assessment!G70</f>
        <v>0</v>
      </c>
      <c r="N1748" t="str">
        <f>B70_TR_Assessment!H70</f>
        <v>B70-R3</v>
      </c>
      <c r="O1748" t="str">
        <f>B70_TR_Assessment!I70</f>
        <v>Closed</v>
      </c>
      <c r="P1748">
        <f>B70_TR_Assessment!J70</f>
        <v>0</v>
      </c>
      <c r="Q1748" t="str">
        <f t="shared" si="27"/>
        <v>70|63</v>
      </c>
    </row>
    <row r="1749" spans="1:17" ht="6.45" customHeight="1">
      <c r="A1749" t="s">
        <v>379</v>
      </c>
      <c r="B1749">
        <v>64</v>
      </c>
      <c r="C1749" t="s">
        <v>59</v>
      </c>
      <c r="D1749">
        <v>71</v>
      </c>
      <c r="E1749" t="s">
        <v>3340</v>
      </c>
      <c r="F1749" t="s">
        <v>5324</v>
      </c>
      <c r="G1749" t="str">
        <f>B70_TR_Assessment!A71</f>
        <v>B70-P002</v>
      </c>
      <c r="H1749" t="str">
        <f>B70_TR_Assessment!B71</f>
        <v>125A</v>
      </c>
      <c r="I1749" t="str">
        <f>B70_TR_Assessment!C71</f>
        <v>Existing Condition</v>
      </c>
      <c r="J1749" t="str">
        <f>B70_TR_Assessment!D71</f>
        <v>Existing first-floor TR condition</v>
      </c>
      <c r="K1749" s="152">
        <f>B70_TR_Assessment!E71</f>
        <v>0</v>
      </c>
      <c r="L1749" t="str">
        <f>B70_TR_Assessment!F71</f>
        <v>Paul</v>
      </c>
      <c r="M1749">
        <f>B70_TR_Assessment!G71</f>
        <v>0</v>
      </c>
      <c r="N1749">
        <f>B70_TR_Assessment!H71</f>
        <v>0</v>
      </c>
      <c r="O1749" t="str">
        <f>B70_TR_Assessment!I71</f>
        <v>Closed</v>
      </c>
      <c r="P1749">
        <f>B70_TR_Assessment!J71</f>
        <v>0</v>
      </c>
      <c r="Q1749" t="str">
        <f t="shared" si="27"/>
        <v>70|64</v>
      </c>
    </row>
    <row r="1750" spans="1:17" ht="6.45" customHeight="1">
      <c r="A1750" t="s">
        <v>379</v>
      </c>
      <c r="B1750">
        <v>65</v>
      </c>
      <c r="C1750" t="s">
        <v>59</v>
      </c>
      <c r="D1750">
        <v>72</v>
      </c>
      <c r="E1750" t="s">
        <v>3340</v>
      </c>
      <c r="F1750" t="s">
        <v>5324</v>
      </c>
      <c r="G1750" t="str">
        <f>B70_TR_Assessment!A72</f>
        <v>B70-P003</v>
      </c>
      <c r="H1750" t="str">
        <f>B70_TR_Assessment!B72</f>
        <v>262A</v>
      </c>
      <c r="I1750" t="str">
        <f>B70_TR_Assessment!C72</f>
        <v>Existing Condition</v>
      </c>
      <c r="J1750" t="str">
        <f>B70_TR_Assessment!D72</f>
        <v>Existing second-floor TR condition</v>
      </c>
      <c r="K1750" s="152">
        <f>B70_TR_Assessment!E72</f>
        <v>0</v>
      </c>
      <c r="L1750" t="str">
        <f>B70_TR_Assessment!F72</f>
        <v>Paul</v>
      </c>
      <c r="M1750">
        <f>B70_TR_Assessment!G72</f>
        <v>0</v>
      </c>
      <c r="N1750">
        <f>B70_TR_Assessment!H72</f>
        <v>0</v>
      </c>
      <c r="O1750" t="str">
        <f>B70_TR_Assessment!I72</f>
        <v>Closed</v>
      </c>
      <c r="P1750">
        <f>B70_TR_Assessment!J72</f>
        <v>0</v>
      </c>
      <c r="Q1750" t="str">
        <f t="shared" si="27"/>
        <v>70|65</v>
      </c>
    </row>
    <row r="1751" spans="1:17" ht="6.45" customHeight="1">
      <c r="A1751" t="s">
        <v>379</v>
      </c>
      <c r="B1751">
        <v>66</v>
      </c>
      <c r="C1751" t="s">
        <v>59</v>
      </c>
      <c r="D1751">
        <v>73</v>
      </c>
      <c r="E1751" t="s">
        <v>3340</v>
      </c>
      <c r="F1751" t="s">
        <v>5324</v>
      </c>
      <c r="G1751" t="str">
        <f>B70_TR_Assessment!A73</f>
        <v>B70-P004</v>
      </c>
      <c r="H1751" t="str">
        <f>B70_TR_Assessment!B73</f>
        <v>All</v>
      </c>
      <c r="I1751" t="str">
        <f>B70_TR_Assessment!C73</f>
        <v>Firestop</v>
      </c>
      <c r="J1751" t="str">
        <f>B70_TR_Assessment!D73</f>
        <v>Penetration/firestopping photo</v>
      </c>
      <c r="K1751" s="152">
        <f>B70_TR_Assessment!E73</f>
        <v>0</v>
      </c>
      <c r="L1751" t="str">
        <f>B70_TR_Assessment!F73</f>
        <v>Paul</v>
      </c>
      <c r="M1751">
        <f>B70_TR_Assessment!G73</f>
        <v>0</v>
      </c>
      <c r="N1751" t="str">
        <f>B70_TR_Assessment!H73</f>
        <v>B70-R2</v>
      </c>
      <c r="O1751" t="str">
        <f>B70_TR_Assessment!I73</f>
        <v>Closed</v>
      </c>
      <c r="P1751">
        <f>B70_TR_Assessment!J73</f>
        <v>0</v>
      </c>
      <c r="Q1751" t="str">
        <f t="shared" si="27"/>
        <v>70|66</v>
      </c>
    </row>
    <row r="1752" spans="1:17" ht="6.45" customHeight="1">
      <c r="A1752" t="s">
        <v>379</v>
      </c>
      <c r="B1752">
        <v>67</v>
      </c>
      <c r="C1752" t="s">
        <v>59</v>
      </c>
      <c r="D1752">
        <v>74</v>
      </c>
      <c r="E1752" t="s">
        <v>3340</v>
      </c>
      <c r="F1752" t="s">
        <v>5324</v>
      </c>
      <c r="G1752" t="str">
        <f>B70_TR_Assessment!A74</f>
        <v>B70-P005</v>
      </c>
      <c r="H1752" t="str">
        <f>B70_TR_Assessment!B74</f>
        <v>All</v>
      </c>
      <c r="I1752" t="str">
        <f>B70_TR_Assessment!C74</f>
        <v>HVAC</v>
      </c>
      <c r="J1752" t="str">
        <f>B70_TR_Assessment!D74</f>
        <v>Cooling unit/condensate photo</v>
      </c>
      <c r="K1752" s="152">
        <f>B70_TR_Assessment!E74</f>
        <v>0</v>
      </c>
      <c r="L1752" t="str">
        <f>B70_TR_Assessment!F74</f>
        <v>Paul</v>
      </c>
      <c r="M1752">
        <f>B70_TR_Assessment!G74</f>
        <v>0</v>
      </c>
      <c r="N1752" t="str">
        <f>B70_TR_Assessment!H74</f>
        <v>B70-R1/B70-R5</v>
      </c>
      <c r="O1752" t="str">
        <f>B70_TR_Assessment!I74</f>
        <v>Closed</v>
      </c>
      <c r="P1752">
        <f>B70_TR_Assessment!J74</f>
        <v>0</v>
      </c>
      <c r="Q1752" t="str">
        <f t="shared" si="27"/>
        <v>70|67</v>
      </c>
    </row>
    <row r="1753" spans="1:17" ht="6.45" customHeight="1">
      <c r="A1753" t="s">
        <v>379</v>
      </c>
      <c r="B1753">
        <v>68</v>
      </c>
      <c r="C1753" t="s">
        <v>59</v>
      </c>
      <c r="D1753">
        <v>75</v>
      </c>
      <c r="E1753" t="s">
        <v>3340</v>
      </c>
      <c r="F1753" t="s">
        <v>5325</v>
      </c>
      <c r="G1753">
        <f>B70_TR_Assessment!A75</f>
        <v>0</v>
      </c>
      <c r="H1753">
        <f>B70_TR_Assessment!B75</f>
        <v>0</v>
      </c>
      <c r="I1753">
        <f>B70_TR_Assessment!C75</f>
        <v>0</v>
      </c>
      <c r="J1753">
        <f>B70_TR_Assessment!D75</f>
        <v>0</v>
      </c>
      <c r="K1753">
        <f>B70_TR_Assessment!E75</f>
        <v>0</v>
      </c>
      <c r="L1753">
        <f>B70_TR_Assessment!F75</f>
        <v>0</v>
      </c>
      <c r="M1753">
        <f>B70_TR_Assessment!G75</f>
        <v>0</v>
      </c>
      <c r="N1753">
        <f>B70_TR_Assessment!H75</f>
        <v>0</v>
      </c>
      <c r="O1753">
        <f>B70_TR_Assessment!I75</f>
        <v>0</v>
      </c>
      <c r="P1753">
        <f>B70_TR_Assessment!J75</f>
        <v>0</v>
      </c>
      <c r="Q1753" t="str">
        <f t="shared" si="27"/>
        <v>70|68</v>
      </c>
    </row>
    <row r="1754" spans="1:17" ht="6.45" customHeight="1">
      <c r="A1754" t="s">
        <v>379</v>
      </c>
      <c r="B1754">
        <v>69</v>
      </c>
      <c r="C1754" t="s">
        <v>59</v>
      </c>
      <c r="D1754">
        <v>76</v>
      </c>
      <c r="E1754" t="s">
        <v>3340</v>
      </c>
      <c r="F1754" t="s">
        <v>5325</v>
      </c>
      <c r="G1754">
        <f>B70_TR_Assessment!A76</f>
        <v>0</v>
      </c>
      <c r="H1754">
        <f>B70_TR_Assessment!B76</f>
        <v>0</v>
      </c>
      <c r="I1754">
        <f>B70_TR_Assessment!C76</f>
        <v>0</v>
      </c>
      <c r="J1754">
        <f>B70_TR_Assessment!D76</f>
        <v>0</v>
      </c>
      <c r="K1754">
        <f>B70_TR_Assessment!E76</f>
        <v>0</v>
      </c>
      <c r="L1754">
        <f>B70_TR_Assessment!F76</f>
        <v>0</v>
      </c>
      <c r="M1754">
        <f>B70_TR_Assessment!G76</f>
        <v>0</v>
      </c>
      <c r="N1754">
        <f>B70_TR_Assessment!H76</f>
        <v>0</v>
      </c>
      <c r="O1754">
        <f>B70_TR_Assessment!I76</f>
        <v>0</v>
      </c>
      <c r="P1754">
        <f>B70_TR_Assessment!J76</f>
        <v>0</v>
      </c>
      <c r="Q1754" t="str">
        <f t="shared" si="27"/>
        <v>70|69</v>
      </c>
    </row>
    <row r="1755" spans="1:17" ht="6.45" customHeight="1">
      <c r="A1755" t="s">
        <v>379</v>
      </c>
      <c r="B1755">
        <v>70</v>
      </c>
      <c r="C1755" t="s">
        <v>59</v>
      </c>
      <c r="D1755">
        <v>77</v>
      </c>
      <c r="E1755" t="s">
        <v>3347</v>
      </c>
      <c r="F1755" t="s">
        <v>5322</v>
      </c>
      <c r="G1755" t="str">
        <f>B70_TR_Assessment!A77</f>
        <v>10. OWNER READINESS SCORE</v>
      </c>
      <c r="H1755">
        <f>B70_TR_Assessment!B77</f>
        <v>0</v>
      </c>
      <c r="I1755">
        <f>B70_TR_Assessment!C77</f>
        <v>0</v>
      </c>
      <c r="J1755">
        <f>B70_TR_Assessment!D77</f>
        <v>0</v>
      </c>
      <c r="K1755">
        <f>B70_TR_Assessment!E77</f>
        <v>0</v>
      </c>
      <c r="L1755">
        <f>B70_TR_Assessment!F77</f>
        <v>0</v>
      </c>
      <c r="M1755">
        <f>B70_TR_Assessment!G77</f>
        <v>0</v>
      </c>
      <c r="N1755">
        <f>B70_TR_Assessment!H77</f>
        <v>0</v>
      </c>
      <c r="O1755">
        <f>B70_TR_Assessment!I77</f>
        <v>0</v>
      </c>
      <c r="P1755">
        <f>B70_TR_Assessment!J77</f>
        <v>0</v>
      </c>
      <c r="Q1755" t="str">
        <f t="shared" si="27"/>
        <v>70|70</v>
      </c>
    </row>
    <row r="1756" spans="1:17" ht="6.45" customHeight="1">
      <c r="A1756" t="s">
        <v>379</v>
      </c>
      <c r="B1756">
        <v>71</v>
      </c>
      <c r="C1756" t="s">
        <v>59</v>
      </c>
      <c r="D1756">
        <v>78</v>
      </c>
      <c r="E1756" t="s">
        <v>3347</v>
      </c>
      <c r="F1756" t="s">
        <v>5323</v>
      </c>
      <c r="G1756" t="str">
        <f>B70_TR_Assessment!A78</f>
        <v>Room</v>
      </c>
      <c r="H1756" t="str">
        <f>B70_TR_Assessment!B78</f>
        <v>Room Readiness</v>
      </c>
      <c r="I1756" t="str">
        <f>B70_TR_Assessment!C78</f>
        <v>Fire</v>
      </c>
      <c r="J1756" t="str">
        <f>B70_TR_Assessment!D78</f>
        <v>HVAC</v>
      </c>
      <c r="K1756" t="str">
        <f>B70_TR_Assessment!E78</f>
        <v>Electrical</v>
      </c>
      <c r="L1756" t="str">
        <f>B70_TR_Assessment!F78</f>
        <v>Telecom</v>
      </c>
      <c r="M1756" t="str">
        <f>B70_TR_Assessment!G78</f>
        <v>Documentation</v>
      </c>
      <c r="N1756" t="str">
        <f>B70_TR_Assessment!H78</f>
        <v>Total Score</v>
      </c>
      <c r="O1756" t="str">
        <f>B70_TR_Assessment!I78</f>
        <v>Readiness</v>
      </c>
      <c r="P1756" t="str">
        <f>B70_TR_Assessment!J78</f>
        <v>Notes</v>
      </c>
      <c r="Q1756" t="str">
        <f t="shared" si="27"/>
        <v>70|71</v>
      </c>
    </row>
    <row r="1757" spans="1:17" ht="6.45" customHeight="1">
      <c r="A1757" t="s">
        <v>379</v>
      </c>
      <c r="B1757">
        <v>72</v>
      </c>
      <c r="C1757" t="s">
        <v>59</v>
      </c>
      <c r="D1757">
        <v>79</v>
      </c>
      <c r="E1757" t="s">
        <v>3347</v>
      </c>
      <c r="F1757" t="s">
        <v>5324</v>
      </c>
      <c r="G1757" t="str">
        <f>B70_TR_Assessment!A79</f>
        <v>B27</v>
      </c>
      <c r="H1757" s="153">
        <f>B70_TR_Assessment!B79</f>
        <v>0.5</v>
      </c>
      <c r="I1757" s="153">
        <f>B70_TR_Assessment!C79</f>
        <v>0.5</v>
      </c>
      <c r="J1757" s="153">
        <f>B70_TR_Assessment!D79</f>
        <v>0.5</v>
      </c>
      <c r="K1757" s="153">
        <f>B70_TR_Assessment!E79</f>
        <v>0.5</v>
      </c>
      <c r="L1757" s="153">
        <f>B70_TR_Assessment!F79</f>
        <v>0.5</v>
      </c>
      <c r="M1757" t="str">
        <f>B70_TR_Assessment!G79</f>
        <v>Verify</v>
      </c>
      <c r="N1757" s="153">
        <f>B70_TR_Assessment!H79</f>
        <v>0.5</v>
      </c>
      <c r="O1757" t="str">
        <f>B70_TR_Assessment!I79</f>
        <v>Partial / Yellow</v>
      </c>
      <c r="P1757">
        <f>B70_TR_Assessment!J79</f>
        <v>0</v>
      </c>
      <c r="Q1757" t="str">
        <f t="shared" si="27"/>
        <v>70|72</v>
      </c>
    </row>
    <row r="1758" spans="1:17" ht="6.45" customHeight="1">
      <c r="A1758" t="s">
        <v>379</v>
      </c>
      <c r="B1758">
        <v>73</v>
      </c>
      <c r="C1758" t="s">
        <v>59</v>
      </c>
      <c r="D1758">
        <v>80</v>
      </c>
      <c r="E1758" t="s">
        <v>3347</v>
      </c>
      <c r="F1758" t="s">
        <v>5324</v>
      </c>
      <c r="G1758" t="str">
        <f>B70_TR_Assessment!A80</f>
        <v>125A</v>
      </c>
      <c r="H1758" s="153">
        <f>B70_TR_Assessment!B80</f>
        <v>0.5</v>
      </c>
      <c r="I1758" s="153">
        <f>B70_TR_Assessment!C80</f>
        <v>0.5</v>
      </c>
      <c r="J1758" s="153">
        <f>B70_TR_Assessment!D80</f>
        <v>0.5</v>
      </c>
      <c r="K1758" s="153">
        <f>B70_TR_Assessment!E80</f>
        <v>0.5</v>
      </c>
      <c r="L1758" s="153">
        <f>B70_TR_Assessment!F80</f>
        <v>0.5</v>
      </c>
      <c r="M1758" t="str">
        <f>B70_TR_Assessment!G80</f>
        <v>Verify</v>
      </c>
      <c r="N1758" s="153">
        <f>B70_TR_Assessment!H80</f>
        <v>0.5</v>
      </c>
      <c r="O1758" t="str">
        <f>B70_TR_Assessment!I80</f>
        <v>Partial / Yellow</v>
      </c>
      <c r="P1758">
        <f>B70_TR_Assessment!J80</f>
        <v>0</v>
      </c>
      <c r="Q1758" t="str">
        <f t="shared" si="27"/>
        <v>70|73</v>
      </c>
    </row>
    <row r="1759" spans="1:17" ht="6.45" customHeight="1">
      <c r="A1759" t="s">
        <v>379</v>
      </c>
      <c r="B1759">
        <v>74</v>
      </c>
      <c r="C1759" t="s">
        <v>59</v>
      </c>
      <c r="D1759">
        <v>81</v>
      </c>
      <c r="E1759" t="s">
        <v>3347</v>
      </c>
      <c r="F1759" t="s">
        <v>5324</v>
      </c>
      <c r="G1759" t="str">
        <f>B70_TR_Assessment!A81</f>
        <v>262A</v>
      </c>
      <c r="H1759" s="153">
        <f>B70_TR_Assessment!B81</f>
        <v>0.5</v>
      </c>
      <c r="I1759" s="153">
        <f>B70_TR_Assessment!C81</f>
        <v>0.5</v>
      </c>
      <c r="J1759" s="153">
        <f>B70_TR_Assessment!D81</f>
        <v>0.5</v>
      </c>
      <c r="K1759" s="153">
        <f>B70_TR_Assessment!E81</f>
        <v>0.5</v>
      </c>
      <c r="L1759" s="153">
        <f>B70_TR_Assessment!F81</f>
        <v>0.5</v>
      </c>
      <c r="M1759" t="str">
        <f>B70_TR_Assessment!G81</f>
        <v>Verify</v>
      </c>
      <c r="N1759" s="153">
        <f>B70_TR_Assessment!H81</f>
        <v>0.5</v>
      </c>
      <c r="O1759" t="str">
        <f>B70_TR_Assessment!I81</f>
        <v>Partial / Yellow</v>
      </c>
      <c r="P1759">
        <f>B70_TR_Assessment!J81</f>
        <v>0</v>
      </c>
      <c r="Q1759" t="str">
        <f t="shared" si="27"/>
        <v>70|74</v>
      </c>
    </row>
    <row r="1760" spans="1:17" ht="6.45" customHeight="1">
      <c r="A1760" t="s">
        <v>379</v>
      </c>
      <c r="B1760">
        <v>75</v>
      </c>
      <c r="C1760" t="s">
        <v>59</v>
      </c>
      <c r="D1760">
        <v>82</v>
      </c>
      <c r="E1760" t="s">
        <v>3347</v>
      </c>
      <c r="F1760" t="s">
        <v>5325</v>
      </c>
      <c r="G1760">
        <f>B70_TR_Assessment!A82</f>
        <v>0</v>
      </c>
      <c r="H1760">
        <f>B70_TR_Assessment!B82</f>
        <v>0</v>
      </c>
      <c r="I1760">
        <f>B70_TR_Assessment!C82</f>
        <v>0</v>
      </c>
      <c r="J1760">
        <f>B70_TR_Assessment!D82</f>
        <v>0</v>
      </c>
      <c r="K1760">
        <f>B70_TR_Assessment!E82</f>
        <v>0</v>
      </c>
      <c r="L1760">
        <f>B70_TR_Assessment!F82</f>
        <v>0</v>
      </c>
      <c r="M1760">
        <f>B70_TR_Assessment!G82</f>
        <v>0</v>
      </c>
      <c r="N1760">
        <f>B70_TR_Assessment!H82</f>
        <v>0</v>
      </c>
      <c r="O1760">
        <f>B70_TR_Assessment!I82</f>
        <v>0</v>
      </c>
      <c r="P1760">
        <f>B70_TR_Assessment!J82</f>
        <v>0</v>
      </c>
      <c r="Q1760" t="str">
        <f t="shared" si="27"/>
        <v>70|75</v>
      </c>
    </row>
    <row r="1761" spans="1:17" ht="6.45" customHeight="1">
      <c r="A1761" t="s">
        <v>379</v>
      </c>
      <c r="B1761">
        <v>76</v>
      </c>
      <c r="C1761" t="s">
        <v>59</v>
      </c>
      <c r="D1761">
        <v>83</v>
      </c>
      <c r="E1761" t="s">
        <v>3347</v>
      </c>
      <c r="F1761" t="s">
        <v>5325</v>
      </c>
      <c r="G1761">
        <f>B70_TR_Assessment!A83</f>
        <v>0</v>
      </c>
      <c r="H1761">
        <f>B70_TR_Assessment!B83</f>
        <v>0</v>
      </c>
      <c r="I1761">
        <f>B70_TR_Assessment!C83</f>
        <v>0</v>
      </c>
      <c r="J1761">
        <f>B70_TR_Assessment!D83</f>
        <v>0</v>
      </c>
      <c r="K1761">
        <f>B70_TR_Assessment!E83</f>
        <v>0</v>
      </c>
      <c r="L1761">
        <f>B70_TR_Assessment!F83</f>
        <v>0</v>
      </c>
      <c r="M1761">
        <f>B70_TR_Assessment!G83</f>
        <v>0</v>
      </c>
      <c r="N1761">
        <f>B70_TR_Assessment!H83</f>
        <v>0</v>
      </c>
      <c r="O1761">
        <f>B70_TR_Assessment!I83</f>
        <v>0</v>
      </c>
      <c r="P1761">
        <f>B70_TR_Assessment!J83</f>
        <v>0</v>
      </c>
      <c r="Q1761" t="str">
        <f t="shared" si="27"/>
        <v>70|76</v>
      </c>
    </row>
    <row r="1762" spans="1:17" ht="6.45" customHeight="1">
      <c r="A1762" t="s">
        <v>379</v>
      </c>
      <c r="B1762">
        <v>77</v>
      </c>
      <c r="C1762" t="s">
        <v>59</v>
      </c>
      <c r="D1762">
        <v>84</v>
      </c>
      <c r="E1762" t="s">
        <v>3347</v>
      </c>
      <c r="F1762" t="s">
        <v>5324</v>
      </c>
      <c r="G1762" t="str">
        <f>B70_TR_Assessment!A226</f>
        <v>SOURCE / DRAWING REVIEW NOTES</v>
      </c>
      <c r="H1762">
        <f>B70_TR_Assessment!B226</f>
        <v>0</v>
      </c>
      <c r="I1762">
        <f>B70_TR_Assessment!C226</f>
        <v>0</v>
      </c>
      <c r="J1762">
        <f>B70_TR_Assessment!D226</f>
        <v>0</v>
      </c>
      <c r="K1762">
        <f>B70_TR_Assessment!E226</f>
        <v>0</v>
      </c>
      <c r="L1762">
        <f>B70_TR_Assessment!F226</f>
        <v>0</v>
      </c>
      <c r="M1762">
        <f>B70_TR_Assessment!G226</f>
        <v>0</v>
      </c>
      <c r="N1762">
        <f>B70_TR_Assessment!H226</f>
        <v>0</v>
      </c>
      <c r="O1762">
        <f>B70_TR_Assessment!I226</f>
        <v>0</v>
      </c>
      <c r="P1762">
        <f>B70_TR_Assessment!J226</f>
        <v>0</v>
      </c>
      <c r="Q1762" t="str">
        <f t="shared" si="27"/>
        <v>70|77</v>
      </c>
    </row>
    <row r="1763" spans="1:17" ht="6.45" customHeight="1">
      <c r="A1763" t="s">
        <v>379</v>
      </c>
      <c r="B1763">
        <v>78</v>
      </c>
      <c r="C1763" t="s">
        <v>59</v>
      </c>
      <c r="D1763">
        <v>85</v>
      </c>
      <c r="E1763" t="s">
        <v>3347</v>
      </c>
      <c r="F1763" t="s">
        <v>5324</v>
      </c>
      <c r="G1763" t="str">
        <f>B70_TR_Assessment!A227</f>
        <v>Source package</v>
      </c>
      <c r="H1763" t="str">
        <f>B70_TR_Assessment!B227</f>
        <v>518-22-700.Bedford.EHRM.IFC.B70.20260316.pdf</v>
      </c>
      <c r="I1763">
        <f>B70_TR_Assessment!C227</f>
        <v>0</v>
      </c>
      <c r="J1763">
        <f>B70_TR_Assessment!D227</f>
        <v>0</v>
      </c>
      <c r="K1763">
        <f>B70_TR_Assessment!E227</f>
        <v>0</v>
      </c>
      <c r="L1763">
        <f>B70_TR_Assessment!F227</f>
        <v>0</v>
      </c>
      <c r="M1763">
        <f>B70_TR_Assessment!G227</f>
        <v>0</v>
      </c>
      <c r="N1763">
        <f>B70_TR_Assessment!H227</f>
        <v>0</v>
      </c>
      <c r="O1763">
        <f>B70_TR_Assessment!I227</f>
        <v>0</v>
      </c>
      <c r="P1763">
        <f>B70_TR_Assessment!J227</f>
        <v>0</v>
      </c>
      <c r="Q1763" t="str">
        <f t="shared" si="27"/>
        <v>70|78</v>
      </c>
    </row>
    <row r="1764" spans="1:17" ht="6.45" customHeight="1">
      <c r="A1764" t="s">
        <v>379</v>
      </c>
      <c r="B1764">
        <v>79</v>
      </c>
      <c r="C1764" t="s">
        <v>59</v>
      </c>
      <c r="D1764">
        <v>86</v>
      </c>
      <c r="E1764" t="s">
        <v>3347</v>
      </c>
      <c r="F1764" t="s">
        <v>5324</v>
      </c>
      <c r="G1764" t="str">
        <f>B70_TR_Assessment!A228</f>
        <v>TR locations identified</v>
      </c>
      <c r="H1764" t="str">
        <f>B70_TR_Assessment!B228</f>
        <v>B27 basement, 125A first floor, 262A second floor based on architectural, fire protection, mechanical, and telecom drawing references.</v>
      </c>
      <c r="I1764">
        <f>B70_TR_Assessment!C228</f>
        <v>0</v>
      </c>
      <c r="J1764">
        <f>B70_TR_Assessment!D228</f>
        <v>0</v>
      </c>
      <c r="K1764">
        <f>B70_TR_Assessment!E228</f>
        <v>0</v>
      </c>
      <c r="L1764">
        <f>B70_TR_Assessment!F228</f>
        <v>0</v>
      </c>
      <c r="M1764">
        <f>B70_TR_Assessment!G228</f>
        <v>0</v>
      </c>
      <c r="N1764">
        <f>B70_TR_Assessment!H228</f>
        <v>0</v>
      </c>
      <c r="O1764">
        <f>B70_TR_Assessment!I228</f>
        <v>0</v>
      </c>
      <c r="P1764">
        <f>B70_TR_Assessment!J228</f>
        <v>0</v>
      </c>
      <c r="Q1764" t="str">
        <f t="shared" si="27"/>
        <v>70|79</v>
      </c>
    </row>
    <row r="1765" spans="1:17" ht="6.45" customHeight="1">
      <c r="A1765" t="s">
        <v>379</v>
      </c>
      <c r="B1765">
        <v>80</v>
      </c>
      <c r="C1765" t="s">
        <v>59</v>
      </c>
      <c r="D1765">
        <v>87</v>
      </c>
      <c r="E1765" t="s">
        <v>3347</v>
      </c>
      <c r="F1765" t="s">
        <v>5324</v>
      </c>
      <c r="G1765" t="str">
        <f>B70_TR_Assessment!A229</f>
        <v>Fire protection basis</v>
      </c>
      <c r="H1765" t="str">
        <f>B70_TR_Assessment!B229</f>
        <v>Building 70 is fully sprinklered. TRs require sprinkler modifications, fire alarm devices, extinguisher coverage within 75 feet, and firestopping at penetrations.</v>
      </c>
      <c r="I1765">
        <f>B70_TR_Assessment!C229</f>
        <v>0</v>
      </c>
      <c r="J1765">
        <f>B70_TR_Assessment!D229</f>
        <v>0</v>
      </c>
      <c r="K1765">
        <f>B70_TR_Assessment!E229</f>
        <v>0</v>
      </c>
      <c r="L1765">
        <f>B70_TR_Assessment!F229</f>
        <v>0</v>
      </c>
      <c r="M1765">
        <f>B70_TR_Assessment!G229</f>
        <v>0</v>
      </c>
      <c r="N1765">
        <f>B70_TR_Assessment!H229</f>
        <v>0</v>
      </c>
      <c r="O1765">
        <f>B70_TR_Assessment!I229</f>
        <v>0</v>
      </c>
      <c r="P1765">
        <f>B70_TR_Assessment!J229</f>
        <v>0</v>
      </c>
      <c r="Q1765" t="str">
        <f t="shared" si="27"/>
        <v>70|80</v>
      </c>
    </row>
    <row r="1766" spans="1:17" ht="6.45" customHeight="1">
      <c r="A1766" t="s">
        <v>379</v>
      </c>
      <c r="B1766">
        <v>81</v>
      </c>
      <c r="C1766" t="s">
        <v>59</v>
      </c>
      <c r="D1766">
        <v>88</v>
      </c>
      <c r="E1766" t="s">
        <v>3347</v>
      </c>
      <c r="F1766" t="s">
        <v>5324</v>
      </c>
      <c r="G1766" t="str">
        <f>B70_TR_Assessment!A230</f>
        <v>HVAC basis</v>
      </c>
      <c r="H1766" t="str">
        <f>B70_TR_Assessment!B230</f>
        <v>New indoor units, condensate routing, thermostat, and BACnet adapter are noted for TR spaces; emergency power and operational continuity should be field verified.</v>
      </c>
      <c r="I1766">
        <f>B70_TR_Assessment!C230</f>
        <v>0</v>
      </c>
      <c r="J1766">
        <f>B70_TR_Assessment!D230</f>
        <v>0</v>
      </c>
      <c r="K1766">
        <f>B70_TR_Assessment!E230</f>
        <v>0</v>
      </c>
      <c r="L1766">
        <f>B70_TR_Assessment!F230</f>
        <v>0</v>
      </c>
      <c r="M1766">
        <f>B70_TR_Assessment!G230</f>
        <v>0</v>
      </c>
      <c r="N1766">
        <f>B70_TR_Assessment!H230</f>
        <v>0</v>
      </c>
      <c r="O1766">
        <f>B70_TR_Assessment!I230</f>
        <v>0</v>
      </c>
      <c r="P1766">
        <f>B70_TR_Assessment!J230</f>
        <v>0</v>
      </c>
      <c r="Q1766" t="str">
        <f t="shared" si="27"/>
        <v>70|81</v>
      </c>
    </row>
    <row r="1767" spans="1:17" ht="6.45" customHeight="1">
      <c r="A1767" t="s">
        <v>379</v>
      </c>
      <c r="B1767">
        <v>82</v>
      </c>
      <c r="C1767" t="s">
        <v>59</v>
      </c>
      <c r="D1767">
        <v>89</v>
      </c>
      <c r="E1767" t="s">
        <v>3347</v>
      </c>
      <c r="F1767" t="s">
        <v>5324</v>
      </c>
      <c r="G1767" t="str">
        <f>B70_TR_Assessment!A231</f>
        <v>Telecom basis</v>
      </c>
      <c r="H1767" t="str">
        <f>B70_TR_Assessment!B231</f>
        <v>TR rack elevations show 1 rack plus future rack at B-27, 125-A, and 262-A with UPS/PDU/cable management/grounding requirements.</v>
      </c>
      <c r="I1767">
        <f>B70_TR_Assessment!C231</f>
        <v>0</v>
      </c>
      <c r="J1767">
        <f>B70_TR_Assessment!D231</f>
        <v>0</v>
      </c>
      <c r="K1767">
        <f>B70_TR_Assessment!E231</f>
        <v>0</v>
      </c>
      <c r="L1767">
        <f>B70_TR_Assessment!F231</f>
        <v>0</v>
      </c>
      <c r="M1767">
        <f>B70_TR_Assessment!G231</f>
        <v>0</v>
      </c>
      <c r="N1767">
        <f>B70_TR_Assessment!H231</f>
        <v>0</v>
      </c>
      <c r="O1767">
        <f>B70_TR_Assessment!I231</f>
        <v>0</v>
      </c>
      <c r="P1767">
        <f>B70_TR_Assessment!J231</f>
        <v>0</v>
      </c>
      <c r="Q1767" t="str">
        <f t="shared" si="27"/>
        <v>70|82</v>
      </c>
    </row>
    <row r="1768" spans="1:17" ht="6.45" customHeight="1">
      <c r="A1768" t="s">
        <v>379</v>
      </c>
      <c r="B1768">
        <v>83</v>
      </c>
      <c r="C1768" t="s">
        <v>59</v>
      </c>
      <c r="D1768">
        <v>90</v>
      </c>
      <c r="E1768" t="s">
        <v>3347</v>
      </c>
      <c r="F1768" t="s">
        <v>5325</v>
      </c>
      <c r="G1768">
        <f>B70_TR_Assessment!A233</f>
        <v>0</v>
      </c>
      <c r="H1768" t="str">
        <f>B70_TR_Assessment!A84</f>
        <v>12. PAYMENT VERIFICATION</v>
      </c>
      <c r="I1768">
        <f>B70_TR_Assessment!B84</f>
        <v>0</v>
      </c>
      <c r="J1768">
        <f>B70_TR_Assessment!C84</f>
        <v>0</v>
      </c>
      <c r="K1768">
        <f>B70_TR_Assessment!D84</f>
        <v>0</v>
      </c>
      <c r="L1768">
        <f>B70_TR_Assessment!E84</f>
        <v>0</v>
      </c>
      <c r="M1768">
        <f>B70_TR_Assessment!F84</f>
        <v>0</v>
      </c>
      <c r="N1768">
        <f>B70_TR_Assessment!G84</f>
        <v>0</v>
      </c>
      <c r="O1768">
        <f>B70_TR_Assessment!H84</f>
        <v>0</v>
      </c>
      <c r="P1768">
        <f>B70_TR_Assessment!I84</f>
        <v>0</v>
      </c>
      <c r="Q1768" t="str">
        <f t="shared" si="27"/>
        <v>70|83</v>
      </c>
    </row>
    <row r="1769" spans="1:17" ht="6.45" customHeight="1">
      <c r="A1769" t="s">
        <v>379</v>
      </c>
      <c r="B1769">
        <v>84</v>
      </c>
      <c r="C1769" t="s">
        <v>59</v>
      </c>
      <c r="D1769">
        <v>91</v>
      </c>
      <c r="E1769" t="s">
        <v>3347</v>
      </c>
      <c r="F1769" t="s">
        <v>5324</v>
      </c>
      <c r="G1769" t="str">
        <f>B70_TR_Assessment!A235</f>
        <v xml:space="preserve">Based on the Building 70 IFC review, the telecom scope is very similar to Building 62, but Building 70 appears to have three TRs (B27, 125A, and 262A) instead of a single room. The project introduces new racks, UPS equipment, dedicated cooling, fire alarm modifications, sprinkler modifications, grounding, cable management, and access control while maintaining hospital operations. </v>
      </c>
      <c r="H1769" t="str">
        <f>B70_TR_Assessment!A86</f>
        <v>Telecom Room Build</v>
      </c>
      <c r="I1769" t="str">
        <f>B70_TR_Assessment!B86</f>
        <v>Not Started</v>
      </c>
      <c r="J1769">
        <f>B70_TR_Assessment!C86</f>
        <v>0</v>
      </c>
      <c r="K1769">
        <f>B70_TR_Assessment!D86</f>
        <v>0</v>
      </c>
      <c r="L1769" t="str">
        <f>B70_TR_Assessment!E86</f>
        <v>🟡</v>
      </c>
      <c r="M1769">
        <f>B70_TR_Assessment!F86</f>
        <v>0</v>
      </c>
      <c r="N1769">
        <f>B70_TR_Assessment!G86</f>
        <v>0</v>
      </c>
      <c r="O1769">
        <f>B70_TR_Assessment!H86</f>
        <v>0</v>
      </c>
      <c r="P1769">
        <f>B70_TR_Assessment!I86</f>
        <v>0</v>
      </c>
      <c r="Q1769" t="str">
        <f t="shared" si="27"/>
        <v>70|84</v>
      </c>
    </row>
    <row r="1770" spans="1:17" ht="6.45" customHeight="1">
      <c r="A1770" t="s">
        <v>379</v>
      </c>
      <c r="B1770">
        <v>85</v>
      </c>
      <c r="C1770" t="s">
        <v>59</v>
      </c>
      <c r="D1770">
        <v>92</v>
      </c>
      <c r="E1770" t="s">
        <v>3347</v>
      </c>
      <c r="F1770" t="s">
        <v>5325</v>
      </c>
      <c r="G1770">
        <f>B70_TR_Assessment!A236</f>
        <v>0</v>
      </c>
      <c r="H1770" t="str">
        <f>B70_TR_Assessment!A87</f>
        <v>Cooling Installation</v>
      </c>
      <c r="I1770" t="str">
        <f>B70_TR_Assessment!B87</f>
        <v>Not Started</v>
      </c>
      <c r="J1770">
        <f>B70_TR_Assessment!C87</f>
        <v>1</v>
      </c>
      <c r="K1770">
        <f>B70_TR_Assessment!D87</f>
        <v>0</v>
      </c>
      <c r="L1770" t="str">
        <f>B70_TR_Assessment!E87</f>
        <v>🟢</v>
      </c>
      <c r="M1770">
        <f>B70_TR_Assessment!F87</f>
        <v>-1</v>
      </c>
      <c r="N1770">
        <f>B70_TR_Assessment!G87</f>
        <v>0</v>
      </c>
      <c r="O1770">
        <f>B70_TR_Assessment!H87</f>
        <v>0</v>
      </c>
      <c r="P1770">
        <f>B70_TR_Assessment!I87</f>
        <v>0</v>
      </c>
      <c r="Q1770" t="str">
        <f t="shared" si="27"/>
        <v>70|85</v>
      </c>
    </row>
    <row r="1771" spans="1:17" ht="6.45" customHeight="1">
      <c r="A1771" t="s">
        <v>379</v>
      </c>
      <c r="B1771">
        <v>86</v>
      </c>
      <c r="C1771" t="s">
        <v>59</v>
      </c>
      <c r="D1771">
        <v>93</v>
      </c>
      <c r="E1771" t="s">
        <v>3347</v>
      </c>
      <c r="F1771" t="s">
        <v>5324</v>
      </c>
      <c r="G1771" t="str">
        <f>B70_TR_Assessment!A237</f>
        <v>Building 70 – Telecom Room Infrastructure Scope</v>
      </c>
      <c r="H1771" t="str">
        <f>B70_TR_Assessment!A88</f>
        <v>UPS Installation</v>
      </c>
      <c r="I1771" t="str">
        <f>B70_TR_Assessment!B88</f>
        <v>Not Started</v>
      </c>
      <c r="J1771">
        <f>B70_TR_Assessment!C88</f>
        <v>1</v>
      </c>
      <c r="K1771">
        <f>B70_TR_Assessment!D88</f>
        <v>0</v>
      </c>
      <c r="L1771" t="str">
        <f>B70_TR_Assessment!E88</f>
        <v>🟢</v>
      </c>
      <c r="M1771">
        <f>B70_TR_Assessment!F88</f>
        <v>-1</v>
      </c>
      <c r="N1771">
        <f>B70_TR_Assessment!G88</f>
        <v>0</v>
      </c>
      <c r="O1771">
        <f>B70_TR_Assessment!H88</f>
        <v>0</v>
      </c>
      <c r="P1771">
        <f>B70_TR_Assessment!I88</f>
        <v>0</v>
      </c>
      <c r="Q1771" t="str">
        <f t="shared" si="27"/>
        <v>70|86</v>
      </c>
    </row>
    <row r="1772" spans="1:17" ht="6.45" customHeight="1">
      <c r="A1772" t="s">
        <v>379</v>
      </c>
      <c r="B1772">
        <v>87</v>
      </c>
      <c r="C1772" t="s">
        <v>59</v>
      </c>
      <c r="D1772">
        <v>94</v>
      </c>
      <c r="E1772" t="s">
        <v>3347</v>
      </c>
      <c r="F1772" t="s">
        <v>5325</v>
      </c>
      <c r="G1772">
        <f>B70_TR_Assessment!A238</f>
        <v>0</v>
      </c>
      <c r="H1772" t="str">
        <f>B70_TR_Assessment!A89</f>
        <v>Fiber Installation</v>
      </c>
      <c r="I1772" t="str">
        <f>B70_TR_Assessment!B89</f>
        <v>Not Started</v>
      </c>
      <c r="J1772">
        <f>B70_TR_Assessment!C89</f>
        <v>1</v>
      </c>
      <c r="K1772">
        <f>B70_TR_Assessment!D89</f>
        <v>0</v>
      </c>
      <c r="L1772" t="str">
        <f>B70_TR_Assessment!E89</f>
        <v>🟢</v>
      </c>
      <c r="M1772">
        <f>B70_TR_Assessment!F89</f>
        <v>-1</v>
      </c>
      <c r="N1772">
        <f>B70_TR_Assessment!G89</f>
        <v>0</v>
      </c>
      <c r="O1772">
        <f>B70_TR_Assessment!H89</f>
        <v>0</v>
      </c>
      <c r="P1772">
        <f>B70_TR_Assessment!I89</f>
        <v>0</v>
      </c>
      <c r="Q1772" t="str">
        <f t="shared" si="27"/>
        <v>70|87</v>
      </c>
    </row>
    <row r="1773" spans="1:17" ht="6.45" customHeight="1">
      <c r="A1773" t="s">
        <v>379</v>
      </c>
      <c r="B1773">
        <v>88</v>
      </c>
      <c r="C1773" t="s">
        <v>59</v>
      </c>
      <c r="D1773">
        <v>95</v>
      </c>
      <c r="E1773" t="s">
        <v>3347</v>
      </c>
      <c r="F1773" t="s">
        <v>5324</v>
      </c>
      <c r="G1773" t="str">
        <f>B70_TR_Assessment!A239</f>
        <v>Existing Conditions Survey</v>
      </c>
      <c r="H1773" t="str">
        <f>B70_TR_Assessment!A90</f>
        <v>Firestopping</v>
      </c>
      <c r="I1773" t="str">
        <f>B70_TR_Assessment!B90</f>
        <v>Not Started</v>
      </c>
      <c r="J1773">
        <f>B70_TR_Assessment!C90</f>
        <v>1</v>
      </c>
      <c r="K1773">
        <f>B70_TR_Assessment!D90</f>
        <v>0</v>
      </c>
      <c r="L1773" t="str">
        <f>B70_TR_Assessment!E90</f>
        <v>🟢</v>
      </c>
      <c r="M1773">
        <f>B70_TR_Assessment!F90</f>
        <v>-1</v>
      </c>
      <c r="N1773">
        <f>B70_TR_Assessment!G90</f>
        <v>0</v>
      </c>
      <c r="O1773">
        <f>B70_TR_Assessment!H90</f>
        <v>0</v>
      </c>
      <c r="P1773">
        <f>B70_TR_Assessment!I90</f>
        <v>0</v>
      </c>
      <c r="Q1773" t="str">
        <f t="shared" si="27"/>
        <v>70|88</v>
      </c>
    </row>
    <row r="1774" spans="1:17" ht="6.45" customHeight="1">
      <c r="A1774" t="s">
        <v>379</v>
      </c>
      <c r="B1774">
        <v>89</v>
      </c>
      <c r="C1774" t="s">
        <v>59</v>
      </c>
      <c r="D1774">
        <v>96</v>
      </c>
      <c r="E1774" t="s">
        <v>3347</v>
      </c>
      <c r="F1774" t="s">
        <v>5325</v>
      </c>
      <c r="G1774">
        <f>B70_TR_Assessment!A240</f>
        <v>0</v>
      </c>
      <c r="H1774" t="str">
        <f>B70_TR_Assessment!A91</f>
        <v>Payment Confidence</v>
      </c>
      <c r="I1774">
        <f>B70_TR_Assessment!B91</f>
        <v>0</v>
      </c>
      <c r="J1774">
        <f>B70_TR_Assessment!C91</f>
        <v>0.8</v>
      </c>
      <c r="K1774">
        <f>B70_TR_Assessment!D91</f>
        <v>0</v>
      </c>
      <c r="L1774" t="str">
        <f>B70_TR_Assessment!E91</f>
        <v>Success: Recommended payment aligns with observed progress and evidence is documented.</v>
      </c>
      <c r="M1774">
        <f>B70_TR_Assessment!F91</f>
        <v>0</v>
      </c>
      <c r="N1774">
        <f>B70_TR_Assessment!G91</f>
        <v>0</v>
      </c>
      <c r="O1774">
        <f>B70_TR_Assessment!H91</f>
        <v>0</v>
      </c>
      <c r="P1774">
        <f>B70_TR_Assessment!I91</f>
        <v>0</v>
      </c>
      <c r="Q1774" t="str">
        <f t="shared" si="27"/>
        <v>70|89</v>
      </c>
    </row>
    <row r="1775" spans="1:17" ht="6.45" customHeight="1">
      <c r="A1775" t="s">
        <v>379</v>
      </c>
      <c r="B1775">
        <v>90</v>
      </c>
      <c r="C1775" t="s">
        <v>59</v>
      </c>
      <c r="D1775">
        <v>97</v>
      </c>
      <c r="E1775" t="s">
        <v>3347</v>
      </c>
      <c r="F1775" t="s">
        <v>5324</v>
      </c>
      <c r="G1775" t="str">
        <f>B70_TR_Assessment!A241</f>
        <v>Verify existing conditions of TR-B27, TR-125A, and TR-262A.</v>
      </c>
      <c r="H1775">
        <f>B70_TR_Assessment!A92</f>
        <v>0</v>
      </c>
      <c r="I1775">
        <f>B70_TR_Assessment!B92</f>
        <v>0</v>
      </c>
      <c r="J1775">
        <f>B70_TR_Assessment!C92</f>
        <v>0</v>
      </c>
      <c r="K1775">
        <f>B70_TR_Assessment!D92</f>
        <v>0</v>
      </c>
      <c r="L1775">
        <f>B70_TR_Assessment!E92</f>
        <v>0</v>
      </c>
      <c r="M1775">
        <f>B70_TR_Assessment!F92</f>
        <v>0</v>
      </c>
      <c r="N1775">
        <f>B70_TR_Assessment!G92</f>
        <v>0</v>
      </c>
      <c r="O1775">
        <f>B70_TR_Assessment!H92</f>
        <v>0</v>
      </c>
      <c r="P1775">
        <f>B70_TR_Assessment!I92</f>
        <v>0</v>
      </c>
      <c r="Q1775" t="str">
        <f t="shared" si="27"/>
        <v>70|90</v>
      </c>
    </row>
    <row r="1776" spans="1:17" ht="6.45" customHeight="1">
      <c r="A1776" t="s">
        <v>379</v>
      </c>
      <c r="B1776">
        <v>91</v>
      </c>
      <c r="C1776" t="s">
        <v>59</v>
      </c>
      <c r="D1776">
        <v>98</v>
      </c>
      <c r="E1776" t="s">
        <v>3347</v>
      </c>
      <c r="F1776" t="s">
        <v>5324</v>
      </c>
      <c r="G1776" t="str">
        <f>B70_TR_Assessment!A242</f>
        <v>Document existing racks, power, HVAC, fire protection, grounding, and pathway systems.</v>
      </c>
      <c r="H1776" t="str">
        <f>B70_TR_Assessment!A93</f>
        <v>13. OIT ACTIVATION READINESS</v>
      </c>
      <c r="I1776">
        <f>B70_TR_Assessment!B93</f>
        <v>0</v>
      </c>
      <c r="J1776">
        <f>B70_TR_Assessment!C93</f>
        <v>0</v>
      </c>
      <c r="K1776">
        <f>B70_TR_Assessment!D93</f>
        <v>0</v>
      </c>
      <c r="L1776">
        <f>B70_TR_Assessment!E93</f>
        <v>0</v>
      </c>
      <c r="M1776">
        <f>B70_TR_Assessment!F93</f>
        <v>0</v>
      </c>
      <c r="N1776">
        <f>B70_TR_Assessment!G93</f>
        <v>0</v>
      </c>
      <c r="O1776">
        <f>B70_TR_Assessment!H93</f>
        <v>0</v>
      </c>
      <c r="P1776">
        <f>B70_TR_Assessment!I93</f>
        <v>0</v>
      </c>
      <c r="Q1776" t="str">
        <f t="shared" si="27"/>
        <v>70|91</v>
      </c>
    </row>
    <row r="1777" spans="1:17" ht="6.45" customHeight="1">
      <c r="A1777" t="s">
        <v>379</v>
      </c>
      <c r="B1777">
        <v>92</v>
      </c>
      <c r="C1777" t="s">
        <v>59</v>
      </c>
      <c r="D1777">
        <v>99</v>
      </c>
      <c r="E1777" t="s">
        <v>3347</v>
      </c>
      <c r="F1777" t="s">
        <v>5324</v>
      </c>
      <c r="G1777" t="str">
        <f>B70_TR_Assessment!A243</f>
        <v>Photograph all existing conditions.</v>
      </c>
      <c r="H1777" t="str">
        <f>B70_TR_Assessment!A94</f>
        <v>Requirement</v>
      </c>
      <c r="I1777" t="str">
        <f>B70_TR_Assessment!B94</f>
        <v>Status</v>
      </c>
      <c r="J1777" t="str">
        <f>B70_TR_Assessment!C94</f>
        <v>Verified</v>
      </c>
      <c r="K1777" t="str">
        <f>B70_TR_Assessment!D94</f>
        <v>Complete</v>
      </c>
      <c r="L1777" t="str">
        <f>B70_TR_Assessment!E94</f>
        <v>Score</v>
      </c>
      <c r="M1777" t="str">
        <f>B70_TR_Assessment!F94</f>
        <v>Risk / Comments</v>
      </c>
      <c r="N1777" t="str">
        <f>B70_TR_Assessment!G94</f>
        <v>Evidence Ref.</v>
      </c>
      <c r="O1777">
        <f>B70_TR_Assessment!H94</f>
        <v>0</v>
      </c>
      <c r="P1777">
        <f>B70_TR_Assessment!I94</f>
        <v>0</v>
      </c>
      <c r="Q1777" t="str">
        <f t="shared" si="27"/>
        <v>70|92</v>
      </c>
    </row>
    <row r="1778" spans="1:17" ht="6.45" customHeight="1">
      <c r="A1778" t="s">
        <v>379</v>
      </c>
      <c r="B1778">
        <v>93</v>
      </c>
      <c r="C1778" t="s">
        <v>59</v>
      </c>
      <c r="D1778">
        <v>100</v>
      </c>
      <c r="E1778" t="s">
        <v>3347</v>
      </c>
      <c r="F1778" t="s">
        <v>5324</v>
      </c>
      <c r="G1778" t="str">
        <f>B70_TR_Assessment!A244</f>
        <v>Verify existing active services and identify systems requiring uninterrupted operation.</v>
      </c>
      <c r="H1778" t="str">
        <f>B70_TR_Assessment!A95</f>
        <v>Telecom Room Complete</v>
      </c>
      <c r="I1778" t="str">
        <f>B70_TR_Assessment!B95</f>
        <v>Not Started</v>
      </c>
      <c r="J1778" t="str">
        <f>B70_TR_Assessment!C95</f>
        <v>N/A</v>
      </c>
      <c r="K1778" t="str">
        <f>B70_TR_Assessment!D95</f>
        <v>N/A</v>
      </c>
      <c r="L1778">
        <f>B70_TR_Assessment!E95</f>
        <v>0</v>
      </c>
      <c r="M1778">
        <f>B70_TR_Assessment!F95</f>
        <v>0</v>
      </c>
      <c r="N1778">
        <f>B70_TR_Assessment!G95</f>
        <v>0</v>
      </c>
      <c r="O1778">
        <f>B70_TR_Assessment!H95</f>
        <v>0</v>
      </c>
      <c r="P1778">
        <f>B70_TR_Assessment!I95</f>
        <v>0</v>
      </c>
      <c r="Q1778" t="str">
        <f t="shared" si="27"/>
        <v>70|93</v>
      </c>
    </row>
    <row r="1779" spans="1:17" ht="6.45" customHeight="1">
      <c r="A1779" t="s">
        <v>379</v>
      </c>
      <c r="B1779">
        <v>94</v>
      </c>
      <c r="C1779" t="s">
        <v>59</v>
      </c>
      <c r="D1779">
        <v>101</v>
      </c>
      <c r="E1779" t="s">
        <v>3347</v>
      </c>
      <c r="F1779" t="s">
        <v>5324</v>
      </c>
      <c r="G1779" t="str">
        <f>B70_TR_Assessment!A245</f>
        <v>Verify room dimensions and equipment clearances.</v>
      </c>
      <c r="H1779" t="str">
        <f>B70_TR_Assessment!A96</f>
        <v>Rack Installed</v>
      </c>
      <c r="I1779" t="str">
        <f>B70_TR_Assessment!B96</f>
        <v>Not Started</v>
      </c>
      <c r="J1779" t="str">
        <f>B70_TR_Assessment!C96</f>
        <v>N/A</v>
      </c>
      <c r="K1779" t="str">
        <f>B70_TR_Assessment!D96</f>
        <v>N/A</v>
      </c>
      <c r="L1779">
        <f>B70_TR_Assessment!E96</f>
        <v>0</v>
      </c>
      <c r="M1779">
        <f>B70_TR_Assessment!F96</f>
        <v>0</v>
      </c>
      <c r="N1779">
        <f>B70_TR_Assessment!G96</f>
        <v>0</v>
      </c>
      <c r="O1779">
        <f>B70_TR_Assessment!H96</f>
        <v>0</v>
      </c>
      <c r="P1779">
        <f>B70_TR_Assessment!I96</f>
        <v>0</v>
      </c>
      <c r="Q1779" t="str">
        <f t="shared" si="27"/>
        <v>70|94</v>
      </c>
    </row>
    <row r="1780" spans="1:17" ht="6.45" customHeight="1">
      <c r="A1780" t="s">
        <v>379</v>
      </c>
      <c r="B1780">
        <v>95</v>
      </c>
      <c r="C1780" t="s">
        <v>59</v>
      </c>
      <c r="D1780">
        <v>102</v>
      </c>
      <c r="E1780" t="s">
        <v>3347</v>
      </c>
      <c r="F1780" t="s">
        <v>5325</v>
      </c>
      <c r="G1780">
        <f>B70_TR_Assessment!A246</f>
        <v>0</v>
      </c>
      <c r="H1780" t="str">
        <f>B70_TR_Assessment!A97</f>
        <v>Fiber Tested</v>
      </c>
      <c r="I1780" t="str">
        <f>B70_TR_Assessment!B97</f>
        <v>Not Started</v>
      </c>
      <c r="J1780" t="str">
        <f>B70_TR_Assessment!C97</f>
        <v>N/A</v>
      </c>
      <c r="K1780" t="str">
        <f>B70_TR_Assessment!D97</f>
        <v>N/A</v>
      </c>
      <c r="L1780">
        <f>B70_TR_Assessment!E97</f>
        <v>0</v>
      </c>
      <c r="M1780">
        <f>B70_TR_Assessment!F97</f>
        <v>0</v>
      </c>
      <c r="N1780">
        <f>B70_TR_Assessment!G97</f>
        <v>0</v>
      </c>
      <c r="O1780">
        <f>B70_TR_Assessment!H97</f>
        <v>0</v>
      </c>
      <c r="P1780">
        <f>B70_TR_Assessment!I97</f>
        <v>0</v>
      </c>
      <c r="Q1780" t="str">
        <f t="shared" si="27"/>
        <v>70|95</v>
      </c>
    </row>
    <row r="1781" spans="1:17" ht="6.45" customHeight="1">
      <c r="A1781" t="s">
        <v>379</v>
      </c>
      <c r="B1781">
        <v>96</v>
      </c>
      <c r="C1781" t="s">
        <v>59</v>
      </c>
      <c r="D1781">
        <v>103</v>
      </c>
      <c r="E1781" t="s">
        <v>3347</v>
      </c>
      <c r="F1781" t="s">
        <v>5324</v>
      </c>
      <c r="G1781" t="str">
        <f>B70_TR_Assessment!A247</f>
        <v>Architectural</v>
      </c>
      <c r="H1781" t="str">
        <f>B70_TR_Assessment!A98</f>
        <v>UPS Operational</v>
      </c>
      <c r="I1781" t="str">
        <f>B70_TR_Assessment!B98</f>
        <v>Not Started</v>
      </c>
      <c r="J1781" t="str">
        <f>B70_TR_Assessment!C98</f>
        <v>N/A</v>
      </c>
      <c r="K1781" t="str">
        <f>B70_TR_Assessment!D98</f>
        <v>N/A</v>
      </c>
      <c r="L1781">
        <f>B70_TR_Assessment!E98</f>
        <v>0</v>
      </c>
      <c r="M1781">
        <f>B70_TR_Assessment!F98</f>
        <v>0</v>
      </c>
      <c r="N1781">
        <f>B70_TR_Assessment!G98</f>
        <v>0</v>
      </c>
      <c r="O1781">
        <f>B70_TR_Assessment!H98</f>
        <v>0</v>
      </c>
      <c r="P1781">
        <f>B70_TR_Assessment!I98</f>
        <v>0</v>
      </c>
      <c r="Q1781" t="str">
        <f t="shared" si="27"/>
        <v>70|96</v>
      </c>
    </row>
    <row r="1782" spans="1:17" ht="6.45" customHeight="1">
      <c r="A1782" t="s">
        <v>379</v>
      </c>
      <c r="B1782">
        <v>97</v>
      </c>
      <c r="C1782" t="s">
        <v>59</v>
      </c>
      <c r="D1782">
        <v>104</v>
      </c>
      <c r="E1782" t="s">
        <v>3347</v>
      </c>
      <c r="F1782" t="s">
        <v>5325</v>
      </c>
      <c r="G1782">
        <f>B70_TR_Assessment!A248</f>
        <v>0</v>
      </c>
      <c r="H1782" t="str">
        <f>B70_TR_Assessment!A99</f>
        <v>Network Equipment Received</v>
      </c>
      <c r="I1782" t="str">
        <f>B70_TR_Assessment!B99</f>
        <v>Not Started</v>
      </c>
      <c r="J1782" t="str">
        <f>B70_TR_Assessment!C99</f>
        <v>N/A</v>
      </c>
      <c r="K1782" t="str">
        <f>B70_TR_Assessment!D99</f>
        <v>N/A</v>
      </c>
      <c r="L1782">
        <f>B70_TR_Assessment!E99</f>
        <v>0</v>
      </c>
      <c r="M1782">
        <f>B70_TR_Assessment!F99</f>
        <v>0</v>
      </c>
      <c r="N1782">
        <f>B70_TR_Assessment!G99</f>
        <v>0</v>
      </c>
      <c r="O1782">
        <f>B70_TR_Assessment!H99</f>
        <v>0</v>
      </c>
      <c r="P1782">
        <f>B70_TR_Assessment!I99</f>
        <v>0</v>
      </c>
      <c r="Q1782" t="str">
        <f t="shared" si="27"/>
        <v>70|97</v>
      </c>
    </row>
    <row r="1783" spans="1:17" ht="6.45" customHeight="1">
      <c r="A1783" t="s">
        <v>379</v>
      </c>
      <c r="B1783">
        <v>98</v>
      </c>
      <c r="C1783" t="s">
        <v>59</v>
      </c>
      <c r="D1783">
        <v>105</v>
      </c>
      <c r="E1783" t="s">
        <v>3347</v>
      </c>
      <c r="F1783" t="s">
        <v>5324</v>
      </c>
      <c r="G1783" t="str">
        <f>B70_TR_Assessment!A249</f>
        <v>Prepare rooms for new telecom infrastructure.</v>
      </c>
      <c r="H1783" t="str">
        <f>B70_TR_Assessment!A100</f>
        <v>National OIT Approval</v>
      </c>
      <c r="I1783" t="str">
        <f>B70_TR_Assessment!B100</f>
        <v>Not Started</v>
      </c>
      <c r="J1783" t="str">
        <f>B70_TR_Assessment!C100</f>
        <v>N/A</v>
      </c>
      <c r="K1783" t="str">
        <f>B70_TR_Assessment!D100</f>
        <v>N/A</v>
      </c>
      <c r="L1783">
        <f>B70_TR_Assessment!E100</f>
        <v>0</v>
      </c>
      <c r="M1783">
        <f>B70_TR_Assessment!F100</f>
        <v>0</v>
      </c>
      <c r="N1783">
        <f>B70_TR_Assessment!G100</f>
        <v>0</v>
      </c>
      <c r="O1783">
        <f>B70_TR_Assessment!H100</f>
        <v>0</v>
      </c>
      <c r="P1783">
        <f>B70_TR_Assessment!I100</f>
        <v>0</v>
      </c>
      <c r="Q1783" t="str">
        <f t="shared" si="27"/>
        <v>70|98</v>
      </c>
    </row>
    <row r="1784" spans="1:17" ht="6.45" customHeight="1">
      <c r="A1784" t="s">
        <v>379</v>
      </c>
      <c r="B1784">
        <v>99</v>
      </c>
      <c r="C1784" t="s">
        <v>59</v>
      </c>
      <c r="D1784">
        <v>106</v>
      </c>
      <c r="E1784" t="s">
        <v>3347</v>
      </c>
      <c r="F1784" t="s">
        <v>5324</v>
      </c>
      <c r="G1784" t="str">
        <f>B70_TR_Assessment!A250</f>
        <v>Patch and repair walls, ceilings, and penetrations as required.</v>
      </c>
      <c r="H1784" t="str">
        <f>B70_TR_Assessment!A101</f>
        <v>Local OIT Ready</v>
      </c>
      <c r="I1784" t="str">
        <f>B70_TR_Assessment!B101</f>
        <v>Not Started</v>
      </c>
      <c r="J1784" t="str">
        <f>B70_TR_Assessment!C101</f>
        <v>N/A</v>
      </c>
      <c r="K1784" t="str">
        <f>B70_TR_Assessment!D101</f>
        <v>N/A</v>
      </c>
      <c r="L1784">
        <f>B70_TR_Assessment!E101</f>
        <v>0</v>
      </c>
      <c r="M1784">
        <f>B70_TR_Assessment!F101</f>
        <v>0</v>
      </c>
      <c r="N1784">
        <f>B70_TR_Assessment!G101</f>
        <v>0</v>
      </c>
      <c r="O1784">
        <f>B70_TR_Assessment!H101</f>
        <v>0</v>
      </c>
      <c r="P1784">
        <f>B70_TR_Assessment!I101</f>
        <v>0</v>
      </c>
      <c r="Q1784" t="str">
        <f t="shared" si="27"/>
        <v>70|99</v>
      </c>
    </row>
    <row r="1785" spans="1:17" ht="6.45" customHeight="1">
      <c r="A1785" t="s">
        <v>379</v>
      </c>
      <c r="B1785">
        <v>100</v>
      </c>
      <c r="C1785" t="s">
        <v>59</v>
      </c>
      <c r="D1785">
        <v>107</v>
      </c>
      <c r="E1785" t="s">
        <v>3347</v>
      </c>
      <c r="F1785" t="s">
        <v>5324</v>
      </c>
      <c r="G1785" t="str">
        <f>B70_TR_Assessment!A251</f>
        <v>Maintain or restore all fire-rated assemblies.</v>
      </c>
      <c r="H1785" t="str">
        <f>B70_TR_Assessment!A102</f>
        <v>Activation Scheduled</v>
      </c>
      <c r="I1785" t="str">
        <f>B70_TR_Assessment!B102</f>
        <v>Not Started</v>
      </c>
      <c r="J1785" t="str">
        <f>B70_TR_Assessment!C102</f>
        <v>N/A</v>
      </c>
      <c r="K1785" t="str">
        <f>B70_TR_Assessment!D102</f>
        <v>N/A</v>
      </c>
      <c r="L1785">
        <f>B70_TR_Assessment!E102</f>
        <v>0</v>
      </c>
      <c r="M1785">
        <f>B70_TR_Assessment!F102</f>
        <v>0</v>
      </c>
      <c r="N1785">
        <f>B70_TR_Assessment!G102</f>
        <v>0</v>
      </c>
      <c r="O1785">
        <f>B70_TR_Assessment!H102</f>
        <v>0</v>
      </c>
      <c r="P1785">
        <f>B70_TR_Assessment!I102</f>
        <v>0</v>
      </c>
      <c r="Q1785" t="str">
        <f t="shared" si="27"/>
        <v>70|100</v>
      </c>
    </row>
    <row r="1786" spans="1:17" ht="6.45" customHeight="1">
      <c r="A1786" t="s">
        <v>379</v>
      </c>
      <c r="B1786">
        <v>101</v>
      </c>
      <c r="C1786" t="s">
        <v>59</v>
      </c>
      <c r="D1786">
        <v>108</v>
      </c>
      <c r="E1786" t="s">
        <v>3347</v>
      </c>
      <c r="F1786" t="s">
        <v>5324</v>
      </c>
      <c r="G1786" t="str">
        <f>B70_TR_Assessment!A252</f>
        <v>Verify door hardware, access control, and room security.</v>
      </c>
      <c r="H1786" t="str">
        <f>B70_TR_Assessment!A103</f>
        <v>OIT Readiness</v>
      </c>
      <c r="I1786">
        <f>B70_TR_Assessment!B103</f>
        <v>0</v>
      </c>
      <c r="J1786" t="str">
        <f>B70_TR_Assessment!C103</f>
        <v/>
      </c>
      <c r="K1786">
        <f>B70_TR_Assessment!D103</f>
        <v>0</v>
      </c>
      <c r="L1786" t="str">
        <f>B70_TR_Assessment!E103</f>
        <v>Success: Required OIT activation prerequisites are complete or formally coordinated.</v>
      </c>
      <c r="M1786">
        <f>B70_TR_Assessment!F103</f>
        <v>0</v>
      </c>
      <c r="N1786">
        <f>B70_TR_Assessment!G103</f>
        <v>0</v>
      </c>
      <c r="O1786">
        <f>B70_TR_Assessment!H103</f>
        <v>0</v>
      </c>
      <c r="P1786">
        <f>B70_TR_Assessment!I103</f>
        <v>0</v>
      </c>
      <c r="Q1786" t="str">
        <f t="shared" si="27"/>
        <v>70|101</v>
      </c>
    </row>
    <row r="1787" spans="1:17" ht="6.45" customHeight="1">
      <c r="A1787" t="s">
        <v>379</v>
      </c>
      <c r="B1787">
        <v>102</v>
      </c>
      <c r="C1787" t="s">
        <v>59</v>
      </c>
      <c r="D1787">
        <v>109</v>
      </c>
      <c r="E1787" t="s">
        <v>3347</v>
      </c>
      <c r="F1787" t="s">
        <v>5324</v>
      </c>
      <c r="G1787" t="str">
        <f>B70_TR_Assessment!A253</f>
        <v>Label rooms and equipment per VA standards.</v>
      </c>
      <c r="H1787">
        <f>B70_TR_Assessment!A104</f>
        <v>0</v>
      </c>
      <c r="I1787">
        <f>B70_TR_Assessment!B104</f>
        <v>0</v>
      </c>
      <c r="J1787">
        <f>B70_TR_Assessment!C104</f>
        <v>0</v>
      </c>
      <c r="K1787">
        <f>B70_TR_Assessment!D104</f>
        <v>0</v>
      </c>
      <c r="L1787">
        <f>B70_TR_Assessment!E104</f>
        <v>0</v>
      </c>
      <c r="M1787">
        <f>B70_TR_Assessment!F104</f>
        <v>0</v>
      </c>
      <c r="N1787">
        <f>B70_TR_Assessment!G104</f>
        <v>0</v>
      </c>
      <c r="O1787">
        <f>B70_TR_Assessment!H104</f>
        <v>0</v>
      </c>
      <c r="P1787">
        <f>B70_TR_Assessment!I104</f>
        <v>0</v>
      </c>
      <c r="Q1787" t="str">
        <f t="shared" si="27"/>
        <v>70|102</v>
      </c>
    </row>
    <row r="1788" spans="1:17" ht="6.45" customHeight="1">
      <c r="A1788" t="s">
        <v>379</v>
      </c>
      <c r="B1788">
        <v>103</v>
      </c>
      <c r="C1788" t="s">
        <v>59</v>
      </c>
      <c r="D1788">
        <v>110</v>
      </c>
      <c r="E1788" t="s">
        <v>3347</v>
      </c>
      <c r="F1788" t="s">
        <v>5325</v>
      </c>
      <c r="G1788">
        <f>B70_TR_Assessment!A254</f>
        <v>0</v>
      </c>
      <c r="H1788" t="str">
        <f>B70_TR_Assessment!A105</f>
        <v>14. SUBMITTAL / MATERIAL VERIFICATION</v>
      </c>
      <c r="I1788">
        <f>B70_TR_Assessment!B105</f>
        <v>0</v>
      </c>
      <c r="J1788">
        <f>B70_TR_Assessment!C105</f>
        <v>0</v>
      </c>
      <c r="K1788">
        <f>B70_TR_Assessment!D105</f>
        <v>0</v>
      </c>
      <c r="L1788">
        <f>B70_TR_Assessment!E105</f>
        <v>0</v>
      </c>
      <c r="M1788">
        <f>B70_TR_Assessment!F105</f>
        <v>0</v>
      </c>
      <c r="N1788">
        <f>B70_TR_Assessment!G105</f>
        <v>0</v>
      </c>
      <c r="O1788">
        <f>B70_TR_Assessment!H105</f>
        <v>0</v>
      </c>
      <c r="P1788">
        <f>B70_TR_Assessment!I105</f>
        <v>0</v>
      </c>
      <c r="Q1788" t="str">
        <f t="shared" si="27"/>
        <v>70|103</v>
      </c>
    </row>
    <row r="1789" spans="1:17" ht="6.45" customHeight="1">
      <c r="A1789" t="s">
        <v>379</v>
      </c>
      <c r="B1789">
        <v>104</v>
      </c>
      <c r="C1789" t="s">
        <v>59</v>
      </c>
      <c r="D1789">
        <v>111</v>
      </c>
      <c r="E1789" t="s">
        <v>3347</v>
      </c>
      <c r="F1789" t="s">
        <v>5324</v>
      </c>
      <c r="G1789" t="str">
        <f>B70_TR_Assessment!A255</f>
        <v>Fire Protection</v>
      </c>
      <c r="H1789" t="str">
        <f>B70_TR_Assessment!A106</f>
        <v>Spec / Item</v>
      </c>
      <c r="I1789" t="str">
        <f>B70_TR_Assessment!B106</f>
        <v>Status</v>
      </c>
      <c r="J1789" t="str">
        <f>B70_TR_Assessment!C106</f>
        <v>Approved</v>
      </c>
      <c r="K1789" t="str">
        <f>B70_TR_Assessment!D106</f>
        <v>Installed</v>
      </c>
      <c r="L1789" t="str">
        <f>B70_TR_Assessment!E106</f>
        <v>Match</v>
      </c>
      <c r="M1789" t="str">
        <f>B70_TR_Assessment!F106</f>
        <v>QA Result</v>
      </c>
      <c r="N1789" t="str">
        <f>B70_TR_Assessment!G106</f>
        <v>Comments / Evidence</v>
      </c>
      <c r="O1789">
        <f>B70_TR_Assessment!H106</f>
        <v>0</v>
      </c>
      <c r="P1789">
        <f>B70_TR_Assessment!I106</f>
        <v>0</v>
      </c>
      <c r="Q1789" t="str">
        <f t="shared" si="27"/>
        <v>70|104</v>
      </c>
    </row>
    <row r="1790" spans="1:17" ht="6.45" customHeight="1">
      <c r="A1790" t="s">
        <v>379</v>
      </c>
      <c r="B1790">
        <v>105</v>
      </c>
      <c r="C1790" t="s">
        <v>59</v>
      </c>
      <c r="D1790">
        <v>112</v>
      </c>
      <c r="E1790" t="s">
        <v>3347</v>
      </c>
      <c r="F1790" t="s">
        <v>5325</v>
      </c>
      <c r="G1790">
        <f>B70_TR_Assessment!A256</f>
        <v>0</v>
      </c>
      <c r="H1790" t="str">
        <f>B70_TR_Assessment!A107</f>
        <v>Telecom Equipment</v>
      </c>
      <c r="I1790" t="str">
        <f>B70_TR_Assessment!B107</f>
        <v>Not Started</v>
      </c>
      <c r="J1790" t="str">
        <f>B70_TR_Assessment!C107</f>
        <v>No</v>
      </c>
      <c r="K1790" t="str">
        <f>B70_TR_Assessment!D107</f>
        <v>No</v>
      </c>
      <c r="L1790" t="str">
        <f>B70_TR_Assessment!E107</f>
        <v>No</v>
      </c>
      <c r="M1790" t="str">
        <f>B70_TR_Assessment!F107</f>
        <v>Pending</v>
      </c>
      <c r="N1790">
        <f>B70_TR_Assessment!G107</f>
        <v>0</v>
      </c>
      <c r="O1790">
        <f>B70_TR_Assessment!H107</f>
        <v>0</v>
      </c>
      <c r="P1790">
        <f>B70_TR_Assessment!I107</f>
        <v>0</v>
      </c>
      <c r="Q1790" t="str">
        <f t="shared" si="27"/>
        <v>70|105</v>
      </c>
    </row>
    <row r="1791" spans="1:17" ht="6.45" customHeight="1">
      <c r="A1791" t="s">
        <v>379</v>
      </c>
      <c r="B1791">
        <v>106</v>
      </c>
      <c r="C1791" t="s">
        <v>59</v>
      </c>
      <c r="D1791">
        <v>113</v>
      </c>
      <c r="E1791" t="s">
        <v>3347</v>
      </c>
      <c r="F1791" t="s">
        <v>5324</v>
      </c>
      <c r="G1791" t="str">
        <f>B70_TR_Assessment!A257</f>
        <v>Verify sprinkler coverage within each TR.</v>
      </c>
      <c r="H1791" t="str">
        <f>B70_TR_Assessment!A108</f>
        <v>Cable Tray</v>
      </c>
      <c r="I1791" t="str">
        <f>B70_TR_Assessment!B108</f>
        <v>Not Started</v>
      </c>
      <c r="J1791" t="str">
        <f>B70_TR_Assessment!C108</f>
        <v>No</v>
      </c>
      <c r="K1791" t="str">
        <f>B70_TR_Assessment!D108</f>
        <v>No</v>
      </c>
      <c r="L1791" t="str">
        <f>B70_TR_Assessment!E108</f>
        <v>No</v>
      </c>
      <c r="M1791" t="str">
        <f>B70_TR_Assessment!F108</f>
        <v>Pending</v>
      </c>
      <c r="N1791">
        <f>B70_TR_Assessment!G108</f>
        <v>0</v>
      </c>
      <c r="O1791">
        <f>B70_TR_Assessment!H108</f>
        <v>0</v>
      </c>
      <c r="P1791">
        <f>B70_TR_Assessment!I108</f>
        <v>0</v>
      </c>
      <c r="Q1791" t="str">
        <f t="shared" si="27"/>
        <v>70|106</v>
      </c>
    </row>
    <row r="1792" spans="1:17" ht="6.45" customHeight="1">
      <c r="A1792" t="s">
        <v>379</v>
      </c>
      <c r="B1792">
        <v>107</v>
      </c>
      <c r="C1792" t="s">
        <v>59</v>
      </c>
      <c r="D1792">
        <v>114</v>
      </c>
      <c r="E1792" t="s">
        <v>3347</v>
      </c>
      <c r="F1792" t="s">
        <v>5324</v>
      </c>
      <c r="G1792" t="str">
        <f>B70_TR_Assessment!A258</f>
        <v>Reconfigure sprinkler piping and heads where required.</v>
      </c>
      <c r="H1792" t="str">
        <f>B70_TR_Assessment!A109</f>
        <v>Firestop System</v>
      </c>
      <c r="I1792" t="str">
        <f>B70_TR_Assessment!B109</f>
        <v>Not Started</v>
      </c>
      <c r="J1792" t="str">
        <f>B70_TR_Assessment!C109</f>
        <v>No</v>
      </c>
      <c r="K1792" t="str">
        <f>B70_TR_Assessment!D109</f>
        <v>No</v>
      </c>
      <c r="L1792" t="str">
        <f>B70_TR_Assessment!E109</f>
        <v>No</v>
      </c>
      <c r="M1792" t="str">
        <f>B70_TR_Assessment!F109</f>
        <v>Pending</v>
      </c>
      <c r="N1792">
        <f>B70_TR_Assessment!G109</f>
        <v>0</v>
      </c>
      <c r="O1792">
        <f>B70_TR_Assessment!H109</f>
        <v>0</v>
      </c>
      <c r="P1792">
        <f>B70_TR_Assessment!I109</f>
        <v>0</v>
      </c>
      <c r="Q1792" t="str">
        <f t="shared" si="27"/>
        <v>70|107</v>
      </c>
    </row>
    <row r="1793" spans="1:17" ht="6.45" customHeight="1">
      <c r="A1793" t="s">
        <v>379</v>
      </c>
      <c r="B1793">
        <v>108</v>
      </c>
      <c r="C1793" t="s">
        <v>59</v>
      </c>
      <c r="D1793">
        <v>115</v>
      </c>
      <c r="E1793" t="s">
        <v>3347</v>
      </c>
      <c r="F1793" t="s">
        <v>5324</v>
      </c>
      <c r="G1793" t="str">
        <f>B70_TR_Assessment!A259</f>
        <v>Verify no obstructions to sprinkler discharge.</v>
      </c>
      <c r="H1793" t="str">
        <f>B70_TR_Assessment!A110</f>
        <v>HVAC Equipment</v>
      </c>
      <c r="I1793" t="str">
        <f>B70_TR_Assessment!B110</f>
        <v>Not Started</v>
      </c>
      <c r="J1793" t="str">
        <f>B70_TR_Assessment!C110</f>
        <v>No</v>
      </c>
      <c r="K1793" t="str">
        <f>B70_TR_Assessment!D110</f>
        <v>No</v>
      </c>
      <c r="L1793" t="str">
        <f>B70_TR_Assessment!E110</f>
        <v>No</v>
      </c>
      <c r="M1793" t="str">
        <f>B70_TR_Assessment!F110</f>
        <v>Pending</v>
      </c>
      <c r="N1793">
        <f>B70_TR_Assessment!G110</f>
        <v>0</v>
      </c>
      <c r="O1793">
        <f>B70_TR_Assessment!H110</f>
        <v>0</v>
      </c>
      <c r="P1793">
        <f>B70_TR_Assessment!I110</f>
        <v>0</v>
      </c>
      <c r="Q1793" t="str">
        <f t="shared" si="27"/>
        <v>70|108</v>
      </c>
    </row>
    <row r="1794" spans="1:17" ht="6.45" customHeight="1">
      <c r="A1794" t="s">
        <v>379</v>
      </c>
      <c r="B1794">
        <v>109</v>
      </c>
      <c r="C1794" t="s">
        <v>59</v>
      </c>
      <c r="D1794">
        <v>116</v>
      </c>
      <c r="E1794" t="s">
        <v>3347</v>
      </c>
      <c r="F1794" t="s">
        <v>5324</v>
      </c>
      <c r="G1794" t="str">
        <f>B70_TR_Assessment!A260</f>
        <v>Provide fire extinguisher cabinet and clean-agent or CO₂ extinguisher within 75 feet of each TR.</v>
      </c>
      <c r="H1794" t="str">
        <f>B70_TR_Assessment!A111</f>
        <v>Electrical Equipment</v>
      </c>
      <c r="I1794" t="str">
        <f>B70_TR_Assessment!B111</f>
        <v>Not Started</v>
      </c>
      <c r="J1794" t="str">
        <f>B70_TR_Assessment!C111</f>
        <v>No</v>
      </c>
      <c r="K1794" t="str">
        <f>B70_TR_Assessment!D111</f>
        <v>No</v>
      </c>
      <c r="L1794" t="str">
        <f>B70_TR_Assessment!E111</f>
        <v>No</v>
      </c>
      <c r="M1794" t="str">
        <f>B70_TR_Assessment!F111</f>
        <v>Pending</v>
      </c>
      <c r="N1794">
        <f>B70_TR_Assessment!G111</f>
        <v>0</v>
      </c>
      <c r="O1794">
        <f>B70_TR_Assessment!H111</f>
        <v>0</v>
      </c>
      <c r="P1794">
        <f>B70_TR_Assessment!I111</f>
        <v>0</v>
      </c>
      <c r="Q1794" t="str">
        <f t="shared" ref="Q1794:Q1857" si="28">A1794&amp;"|"&amp;B1794</f>
        <v>70|109</v>
      </c>
    </row>
    <row r="1795" spans="1:17" ht="6.45" customHeight="1">
      <c r="A1795" t="s">
        <v>379</v>
      </c>
      <c r="B1795">
        <v>110</v>
      </c>
      <c r="C1795" t="s">
        <v>59</v>
      </c>
      <c r="D1795">
        <v>117</v>
      </c>
      <c r="E1795" t="s">
        <v>3347</v>
      </c>
      <c r="F1795" t="s">
        <v>5324</v>
      </c>
      <c r="G1795" t="str">
        <f>B70_TR_Assessment!A261</f>
        <v>Firestop all penetrations through rated assemblies.</v>
      </c>
      <c r="H1795" t="str">
        <f>B70_TR_Assessment!A112</f>
        <v>Inspection Compliance</v>
      </c>
      <c r="I1795">
        <f>B70_TR_Assessment!B112</f>
        <v>0</v>
      </c>
      <c r="J1795">
        <f>B70_TR_Assessment!C112</f>
        <v>0</v>
      </c>
      <c r="K1795">
        <f>B70_TR_Assessment!D112</f>
        <v>0</v>
      </c>
      <c r="L1795" t="str">
        <f>B70_TR_Assessment!E112</f>
        <v>Success: Installed materials match approved submittals and deficiencies are documented.</v>
      </c>
      <c r="M1795">
        <f>B70_TR_Assessment!F112</f>
        <v>0</v>
      </c>
      <c r="N1795">
        <f>B70_TR_Assessment!G112</f>
        <v>0</v>
      </c>
      <c r="O1795">
        <f>B70_TR_Assessment!H112</f>
        <v>0</v>
      </c>
      <c r="P1795">
        <f>B70_TR_Assessment!I112</f>
        <v>0</v>
      </c>
      <c r="Q1795" t="str">
        <f t="shared" si="28"/>
        <v>70|110</v>
      </c>
    </row>
    <row r="1796" spans="1:17" ht="6.45" customHeight="1">
      <c r="A1796" t="s">
        <v>379</v>
      </c>
      <c r="B1796">
        <v>111</v>
      </c>
      <c r="C1796" t="s">
        <v>59</v>
      </c>
      <c r="D1796">
        <v>118</v>
      </c>
      <c r="E1796" t="s">
        <v>3347</v>
      </c>
      <c r="F1796" t="s">
        <v>5324</v>
      </c>
      <c r="G1796" t="str">
        <f>B70_TR_Assessment!A262</f>
        <v>Verify compliance with NFPA 13 and VA Fire Protection Design Manual requirements.</v>
      </c>
      <c r="H1796">
        <f>B70_TR_Assessment!A113</f>
        <v>0</v>
      </c>
      <c r="I1796">
        <f>B70_TR_Assessment!B113</f>
        <v>0</v>
      </c>
      <c r="J1796">
        <f>B70_TR_Assessment!C113</f>
        <v>0</v>
      </c>
      <c r="K1796">
        <f>B70_TR_Assessment!D113</f>
        <v>0</v>
      </c>
      <c r="L1796">
        <f>B70_TR_Assessment!E113</f>
        <v>0</v>
      </c>
      <c r="M1796">
        <f>B70_TR_Assessment!F113</f>
        <v>0</v>
      </c>
      <c r="N1796">
        <f>B70_TR_Assessment!G113</f>
        <v>0</v>
      </c>
      <c r="O1796">
        <f>B70_TR_Assessment!H113</f>
        <v>0</v>
      </c>
      <c r="P1796">
        <f>B70_TR_Assessment!I113</f>
        <v>0</v>
      </c>
      <c r="Q1796" t="str">
        <f t="shared" si="28"/>
        <v>70|111</v>
      </c>
    </row>
    <row r="1797" spans="1:17" ht="6.45" customHeight="1">
      <c r="A1797" t="s">
        <v>379</v>
      </c>
      <c r="B1797">
        <v>112</v>
      </c>
      <c r="C1797" t="s">
        <v>59</v>
      </c>
      <c r="D1797">
        <v>119</v>
      </c>
      <c r="E1797" t="s">
        <v>3347</v>
      </c>
      <c r="F1797" t="s">
        <v>5325</v>
      </c>
      <c r="G1797">
        <f>B70_TR_Assessment!A263</f>
        <v>0</v>
      </c>
      <c r="H1797" t="str">
        <f>B70_TR_Assessment!A114</f>
        <v>15. PRODUCTIVITY OBSERVATIONS</v>
      </c>
      <c r="I1797">
        <f>B70_TR_Assessment!B114</f>
        <v>0</v>
      </c>
      <c r="J1797">
        <f>B70_TR_Assessment!C114</f>
        <v>0</v>
      </c>
      <c r="K1797">
        <f>B70_TR_Assessment!D114</f>
        <v>0</v>
      </c>
      <c r="L1797">
        <f>B70_TR_Assessment!E114</f>
        <v>0</v>
      </c>
      <c r="M1797">
        <f>B70_TR_Assessment!F114</f>
        <v>0</v>
      </c>
      <c r="N1797">
        <f>B70_TR_Assessment!G114</f>
        <v>0</v>
      </c>
      <c r="O1797">
        <f>B70_TR_Assessment!H114</f>
        <v>0</v>
      </c>
      <c r="P1797">
        <f>B70_TR_Assessment!I114</f>
        <v>0</v>
      </c>
      <c r="Q1797" t="str">
        <f t="shared" si="28"/>
        <v>70|112</v>
      </c>
    </row>
    <row r="1798" spans="1:17" ht="6.45" customHeight="1">
      <c r="A1798" t="s">
        <v>379</v>
      </c>
      <c r="B1798">
        <v>113</v>
      </c>
      <c r="C1798" t="s">
        <v>59</v>
      </c>
      <c r="D1798">
        <v>120</v>
      </c>
      <c r="E1798" t="s">
        <v>3347</v>
      </c>
      <c r="F1798" t="s">
        <v>5324</v>
      </c>
      <c r="G1798" t="str">
        <f>B70_TR_Assessment!A264</f>
        <v>Fire Alarm</v>
      </c>
      <c r="H1798" t="str">
        <f>B70_TR_Assessment!A115</f>
        <v>Trade</v>
      </c>
      <c r="I1798" t="str">
        <f>B70_TR_Assessment!B115</f>
        <v>Status</v>
      </c>
      <c r="J1798" t="str">
        <f>B70_TR_Assessment!C115</f>
        <v>Planned</v>
      </c>
      <c r="K1798" t="str">
        <f>B70_TR_Assessment!D115</f>
        <v>Actual</v>
      </c>
      <c r="L1798" t="str">
        <f>B70_TR_Assessment!E115</f>
        <v>Crew</v>
      </c>
      <c r="M1798" t="str">
        <f>B70_TR_Assessment!F115</f>
        <v>Productivity</v>
      </c>
      <c r="N1798" t="str">
        <f>B70_TR_Assessment!G115</f>
        <v>Work Observed / Delay Cause</v>
      </c>
      <c r="O1798">
        <f>B70_TR_Assessment!H115</f>
        <v>0</v>
      </c>
      <c r="P1798">
        <f>B70_TR_Assessment!I115</f>
        <v>0</v>
      </c>
      <c r="Q1798" t="str">
        <f t="shared" si="28"/>
        <v>70|113</v>
      </c>
    </row>
    <row r="1799" spans="1:17" ht="6.45" customHeight="1">
      <c r="A1799" t="s">
        <v>379</v>
      </c>
      <c r="B1799">
        <v>114</v>
      </c>
      <c r="C1799" t="s">
        <v>59</v>
      </c>
      <c r="D1799">
        <v>121</v>
      </c>
      <c r="E1799" t="s">
        <v>3347</v>
      </c>
      <c r="F1799" t="s">
        <v>5325</v>
      </c>
      <c r="G1799">
        <f>B70_TR_Assessment!A265</f>
        <v>0</v>
      </c>
      <c r="H1799" t="str">
        <f>B70_TR_Assessment!A116</f>
        <v>Electrical</v>
      </c>
      <c r="I1799" t="str">
        <f>B70_TR_Assessment!B116</f>
        <v>Not Started</v>
      </c>
      <c r="J1799">
        <f>B70_TR_Assessment!C116</f>
        <v>0</v>
      </c>
      <c r="K1799">
        <f>B70_TR_Assessment!D116</f>
        <v>0</v>
      </c>
      <c r="L1799">
        <f>B70_TR_Assessment!E116</f>
        <v>0</v>
      </c>
      <c r="M1799" t="str">
        <f>B70_TR_Assessment!F116</f>
        <v/>
      </c>
      <c r="N1799">
        <f>B70_TR_Assessment!G116</f>
        <v>0</v>
      </c>
      <c r="O1799">
        <f>B70_TR_Assessment!H116</f>
        <v>0</v>
      </c>
      <c r="P1799">
        <f>B70_TR_Assessment!I116</f>
        <v>0</v>
      </c>
      <c r="Q1799" t="str">
        <f t="shared" si="28"/>
        <v>70|114</v>
      </c>
    </row>
    <row r="1800" spans="1:17" ht="6.45" customHeight="1">
      <c r="A1800" t="s">
        <v>379</v>
      </c>
      <c r="B1800">
        <v>115</v>
      </c>
      <c r="C1800" t="s">
        <v>59</v>
      </c>
      <c r="D1800">
        <v>122</v>
      </c>
      <c r="E1800" t="s">
        <v>3347</v>
      </c>
      <c r="F1800" t="s">
        <v>5324</v>
      </c>
      <c r="G1800" t="str">
        <f>B70_TR_Assessment!A266</f>
        <v>Verify smoke detection coverage.</v>
      </c>
      <c r="H1800" t="str">
        <f>B70_TR_Assessment!A117</f>
        <v>Telecom</v>
      </c>
      <c r="I1800" t="str">
        <f>B70_TR_Assessment!B117</f>
        <v>Not Started</v>
      </c>
      <c r="J1800">
        <f>B70_TR_Assessment!C117</f>
        <v>0</v>
      </c>
      <c r="K1800">
        <f>B70_TR_Assessment!D117</f>
        <v>0</v>
      </c>
      <c r="L1800">
        <f>B70_TR_Assessment!E117</f>
        <v>0</v>
      </c>
      <c r="M1800" t="str">
        <f>B70_TR_Assessment!F117</f>
        <v/>
      </c>
      <c r="N1800">
        <f>B70_TR_Assessment!G117</f>
        <v>0</v>
      </c>
      <c r="O1800">
        <f>B70_TR_Assessment!H117</f>
        <v>0</v>
      </c>
      <c r="P1800">
        <f>B70_TR_Assessment!I117</f>
        <v>0</v>
      </c>
      <c r="Q1800" t="str">
        <f t="shared" si="28"/>
        <v>70|115</v>
      </c>
    </row>
    <row r="1801" spans="1:17" ht="6.45" customHeight="1">
      <c r="A1801" t="s">
        <v>379</v>
      </c>
      <c r="B1801">
        <v>116</v>
      </c>
      <c r="C1801" t="s">
        <v>59</v>
      </c>
      <c r="D1801">
        <v>123</v>
      </c>
      <c r="E1801" t="s">
        <v>3347</v>
      </c>
      <c r="F1801" t="s">
        <v>5324</v>
      </c>
      <c r="G1801" t="str">
        <f>B70_TR_Assessment!A267</f>
        <v>Verify horn/strobe coverage.</v>
      </c>
      <c r="H1801" t="str">
        <f>B70_TR_Assessment!A118</f>
        <v>Mechanical</v>
      </c>
      <c r="I1801" t="str">
        <f>B70_TR_Assessment!B118</f>
        <v>Not Started</v>
      </c>
      <c r="J1801">
        <f>B70_TR_Assessment!C118</f>
        <v>0</v>
      </c>
      <c r="K1801">
        <f>B70_TR_Assessment!D118</f>
        <v>0</v>
      </c>
      <c r="L1801">
        <f>B70_TR_Assessment!E118</f>
        <v>0</v>
      </c>
      <c r="M1801" t="str">
        <f>B70_TR_Assessment!F118</f>
        <v/>
      </c>
      <c r="N1801">
        <f>B70_TR_Assessment!G118</f>
        <v>0</v>
      </c>
      <c r="O1801">
        <f>B70_TR_Assessment!H118</f>
        <v>0</v>
      </c>
      <c r="P1801">
        <f>B70_TR_Assessment!I118</f>
        <v>0</v>
      </c>
      <c r="Q1801" t="str">
        <f t="shared" si="28"/>
        <v>70|116</v>
      </c>
    </row>
    <row r="1802" spans="1:17" ht="6.45" customHeight="1">
      <c r="A1802" t="s">
        <v>379</v>
      </c>
      <c r="B1802">
        <v>117</v>
      </c>
      <c r="C1802" t="s">
        <v>59</v>
      </c>
      <c r="D1802">
        <v>124</v>
      </c>
      <c r="E1802" t="s">
        <v>3347</v>
      </c>
      <c r="F1802" t="s">
        <v>5324</v>
      </c>
      <c r="G1802" t="str">
        <f>B70_TR_Assessment!A268</f>
        <v>Coordinate relocation or addition of devices as required.</v>
      </c>
      <c r="H1802" t="str">
        <f>B70_TR_Assessment!A119</f>
        <v>Firestop</v>
      </c>
      <c r="I1802" t="str">
        <f>B70_TR_Assessment!B119</f>
        <v>Not Started</v>
      </c>
      <c r="J1802">
        <f>B70_TR_Assessment!C119</f>
        <v>0</v>
      </c>
      <c r="K1802">
        <f>B70_TR_Assessment!D119</f>
        <v>0</v>
      </c>
      <c r="L1802">
        <f>B70_TR_Assessment!E119</f>
        <v>0</v>
      </c>
      <c r="M1802" t="str">
        <f>B70_TR_Assessment!F119</f>
        <v/>
      </c>
      <c r="N1802">
        <f>B70_TR_Assessment!G119</f>
        <v>0</v>
      </c>
      <c r="O1802">
        <f>B70_TR_Assessment!H119</f>
        <v>0</v>
      </c>
      <c r="P1802">
        <f>B70_TR_Assessment!I119</f>
        <v>0</v>
      </c>
      <c r="Q1802" t="str">
        <f t="shared" si="28"/>
        <v>70|117</v>
      </c>
    </row>
    <row r="1803" spans="1:17" ht="6.45" customHeight="1">
      <c r="A1803" t="s">
        <v>379</v>
      </c>
      <c r="B1803">
        <v>118</v>
      </c>
      <c r="C1803" t="s">
        <v>59</v>
      </c>
      <c r="D1803">
        <v>125</v>
      </c>
      <c r="E1803" t="s">
        <v>3347</v>
      </c>
      <c r="F1803" t="s">
        <v>5324</v>
      </c>
      <c r="G1803" t="str">
        <f>B70_TR_Assessment!A269</f>
        <v>Verify monitoring and reporting through existing fire alarm systems.</v>
      </c>
      <c r="H1803" t="str">
        <f>B70_TR_Assessment!A120</f>
        <v>Contractor Performance</v>
      </c>
      <c r="I1803">
        <f>B70_TR_Assessment!B120</f>
        <v>0</v>
      </c>
      <c r="J1803">
        <f>B70_TR_Assessment!C120</f>
        <v>0</v>
      </c>
      <c r="K1803">
        <f>B70_TR_Assessment!D120</f>
        <v>0</v>
      </c>
      <c r="L1803" t="str">
        <f>B70_TR_Assessment!E120</f>
        <v>Success: Actual production is on or above baseline, or delay cause is documented.</v>
      </c>
      <c r="M1803">
        <f>B70_TR_Assessment!F120</f>
        <v>0</v>
      </c>
      <c r="N1803">
        <f>B70_TR_Assessment!G120</f>
        <v>0</v>
      </c>
      <c r="O1803">
        <f>B70_TR_Assessment!H120</f>
        <v>0</v>
      </c>
      <c r="P1803">
        <f>B70_TR_Assessment!I120</f>
        <v>0</v>
      </c>
      <c r="Q1803" t="str">
        <f t="shared" si="28"/>
        <v>70|118</v>
      </c>
    </row>
    <row r="1804" spans="1:17" ht="6.45" customHeight="1">
      <c r="A1804" t="s">
        <v>379</v>
      </c>
      <c r="B1804">
        <v>119</v>
      </c>
      <c r="C1804" t="s">
        <v>59</v>
      </c>
      <c r="D1804">
        <v>126</v>
      </c>
      <c r="E1804" t="s">
        <v>3347</v>
      </c>
      <c r="F1804" t="s">
        <v>5324</v>
      </c>
      <c r="G1804" t="str">
        <f>B70_TR_Assessment!A270</f>
        <v>Test and document final operation.</v>
      </c>
      <c r="H1804">
        <f>B70_TR_Assessment!A121</f>
        <v>0</v>
      </c>
      <c r="I1804">
        <f>B70_TR_Assessment!B121</f>
        <v>0</v>
      </c>
      <c r="J1804">
        <f>B70_TR_Assessment!C121</f>
        <v>0</v>
      </c>
      <c r="K1804">
        <f>B70_TR_Assessment!D121</f>
        <v>0</v>
      </c>
      <c r="L1804">
        <f>B70_TR_Assessment!E121</f>
        <v>0</v>
      </c>
      <c r="M1804">
        <f>B70_TR_Assessment!F121</f>
        <v>0</v>
      </c>
      <c r="N1804">
        <f>B70_TR_Assessment!G121</f>
        <v>0</v>
      </c>
      <c r="O1804">
        <f>B70_TR_Assessment!H121</f>
        <v>0</v>
      </c>
      <c r="P1804">
        <f>B70_TR_Assessment!I121</f>
        <v>0</v>
      </c>
      <c r="Q1804" t="str">
        <f t="shared" si="28"/>
        <v>70|119</v>
      </c>
    </row>
    <row r="1805" spans="1:17" ht="6.45" customHeight="1">
      <c r="A1805" t="s">
        <v>379</v>
      </c>
      <c r="B1805">
        <v>120</v>
      </c>
      <c r="C1805" t="s">
        <v>59</v>
      </c>
      <c r="D1805">
        <v>127</v>
      </c>
      <c r="E1805" t="s">
        <v>3347</v>
      </c>
      <c r="F1805" t="s">
        <v>5325</v>
      </c>
      <c r="G1805">
        <f>B70_TR_Assessment!A271</f>
        <v>0</v>
      </c>
      <c r="H1805" t="str">
        <f>B70_TR_Assessment!A122</f>
        <v>16. OWNER ACCEPTANCE READINESS</v>
      </c>
      <c r="I1805">
        <f>B70_TR_Assessment!B122</f>
        <v>0</v>
      </c>
      <c r="J1805">
        <f>B70_TR_Assessment!C122</f>
        <v>0</v>
      </c>
      <c r="K1805">
        <f>B70_TR_Assessment!D122</f>
        <v>0</v>
      </c>
      <c r="L1805">
        <f>B70_TR_Assessment!E122</f>
        <v>0</v>
      </c>
      <c r="M1805">
        <f>B70_TR_Assessment!F122</f>
        <v>0</v>
      </c>
      <c r="N1805">
        <f>B70_TR_Assessment!G122</f>
        <v>0</v>
      </c>
      <c r="O1805">
        <f>B70_TR_Assessment!H122</f>
        <v>0</v>
      </c>
      <c r="P1805">
        <f>B70_TR_Assessment!I122</f>
        <v>0</v>
      </c>
      <c r="Q1805" t="str">
        <f t="shared" si="28"/>
        <v>70|120</v>
      </c>
    </row>
    <row r="1806" spans="1:17" ht="6.45" customHeight="1">
      <c r="A1806" t="s">
        <v>379</v>
      </c>
      <c r="B1806">
        <v>121</v>
      </c>
      <c r="C1806" t="s">
        <v>59</v>
      </c>
      <c r="D1806">
        <v>128</v>
      </c>
      <c r="E1806" t="s">
        <v>3347</v>
      </c>
      <c r="F1806" t="s">
        <v>5324</v>
      </c>
      <c r="G1806" t="str">
        <f>B70_TR_Assessment!A272</f>
        <v>Mechanical / HVAC</v>
      </c>
      <c r="H1806" t="str">
        <f>B70_TR_Assessment!A123</f>
        <v>Requirement</v>
      </c>
      <c r="I1806" t="str">
        <f>B70_TR_Assessment!B123</f>
        <v>Status</v>
      </c>
      <c r="J1806" t="str">
        <f>B70_TR_Assessment!C123</f>
        <v>Required</v>
      </c>
      <c r="K1806" t="str">
        <f>B70_TR_Assessment!D123</f>
        <v>Complete</v>
      </c>
      <c r="L1806" t="str">
        <f>B70_TR_Assessment!E123</f>
        <v>Score</v>
      </c>
      <c r="M1806" t="str">
        <f>B70_TR_Assessment!F123</f>
        <v>Comments</v>
      </c>
      <c r="N1806" t="str">
        <f>B70_TR_Assessment!G123</f>
        <v>Evidence Ref.</v>
      </c>
      <c r="O1806">
        <f>B70_TR_Assessment!H123</f>
        <v>0</v>
      </c>
      <c r="P1806">
        <f>B70_TR_Assessment!I123</f>
        <v>0</v>
      </c>
      <c r="Q1806" t="str">
        <f t="shared" si="28"/>
        <v>70|121</v>
      </c>
    </row>
    <row r="1807" spans="1:17" ht="6.45" customHeight="1">
      <c r="A1807" t="s">
        <v>379</v>
      </c>
      <c r="B1807">
        <v>122</v>
      </c>
      <c r="C1807" t="s">
        <v>59</v>
      </c>
      <c r="D1807">
        <v>129</v>
      </c>
      <c r="E1807" t="s">
        <v>3347</v>
      </c>
      <c r="F1807" t="s">
        <v>5325</v>
      </c>
      <c r="G1807">
        <f>B70_TR_Assessment!A273</f>
        <v>0</v>
      </c>
      <c r="H1807" t="str">
        <f>B70_TR_Assessment!A124</f>
        <v>Construction Complete</v>
      </c>
      <c r="I1807" t="str">
        <f>B70_TR_Assessment!B124</f>
        <v>Not Started</v>
      </c>
      <c r="J1807" t="str">
        <f>B70_TR_Assessment!C124</f>
        <v>Yes</v>
      </c>
      <c r="K1807" t="str">
        <f>B70_TR_Assessment!D124</f>
        <v>No</v>
      </c>
      <c r="L1807">
        <f>B70_TR_Assessment!E124</f>
        <v>0</v>
      </c>
      <c r="M1807">
        <f>B70_TR_Assessment!F124</f>
        <v>0</v>
      </c>
      <c r="N1807">
        <f>B70_TR_Assessment!G124</f>
        <v>0</v>
      </c>
      <c r="O1807">
        <f>B70_TR_Assessment!H124</f>
        <v>0</v>
      </c>
      <c r="P1807">
        <f>B70_TR_Assessment!I124</f>
        <v>0</v>
      </c>
      <c r="Q1807" t="str">
        <f t="shared" si="28"/>
        <v>70|122</v>
      </c>
    </row>
    <row r="1808" spans="1:17" ht="6.45" customHeight="1">
      <c r="A1808" t="s">
        <v>379</v>
      </c>
      <c r="B1808">
        <v>123</v>
      </c>
      <c r="C1808" t="s">
        <v>59</v>
      </c>
      <c r="D1808">
        <v>130</v>
      </c>
      <c r="E1808" t="s">
        <v>3347</v>
      </c>
      <c r="F1808" t="s">
        <v>5324</v>
      </c>
      <c r="G1808" t="str">
        <f>B70_TR_Assessment!A274</f>
        <v>Verify dedicated cooling units serving each telecom room.</v>
      </c>
      <c r="H1808" t="str">
        <f>B70_TR_Assessment!A125</f>
        <v>QA/QC Complete</v>
      </c>
      <c r="I1808" t="str">
        <f>B70_TR_Assessment!B125</f>
        <v>Not Started</v>
      </c>
      <c r="J1808" t="str">
        <f>B70_TR_Assessment!C125</f>
        <v>Yes</v>
      </c>
      <c r="K1808" t="str">
        <f>B70_TR_Assessment!D125</f>
        <v>No</v>
      </c>
      <c r="L1808">
        <f>B70_TR_Assessment!E125</f>
        <v>0</v>
      </c>
      <c r="M1808">
        <f>B70_TR_Assessment!F125</f>
        <v>0</v>
      </c>
      <c r="N1808">
        <f>B70_TR_Assessment!G125</f>
        <v>0</v>
      </c>
      <c r="O1808">
        <f>B70_TR_Assessment!H125</f>
        <v>0</v>
      </c>
      <c r="P1808">
        <f>B70_TR_Assessment!I125</f>
        <v>0</v>
      </c>
      <c r="Q1808" t="str">
        <f t="shared" si="28"/>
        <v>70|123</v>
      </c>
    </row>
    <row r="1809" spans="1:17" ht="6.45" customHeight="1">
      <c r="A1809" t="s">
        <v>379</v>
      </c>
      <c r="B1809">
        <v>124</v>
      </c>
      <c r="C1809" t="s">
        <v>59</v>
      </c>
      <c r="D1809">
        <v>131</v>
      </c>
      <c r="E1809" t="s">
        <v>3347</v>
      </c>
      <c r="F1809" t="s">
        <v>5324</v>
      </c>
      <c r="G1809" t="str">
        <f>B70_TR_Assessment!A275</f>
        <v>Verify thermostat installation.</v>
      </c>
      <c r="H1809" t="str">
        <f>B70_TR_Assessment!A126</f>
        <v>Deficiencies Closed</v>
      </c>
      <c r="I1809" t="str">
        <f>B70_TR_Assessment!B126</f>
        <v>Not Started</v>
      </c>
      <c r="J1809" t="str">
        <f>B70_TR_Assessment!C126</f>
        <v>Yes</v>
      </c>
      <c r="K1809" t="str">
        <f>B70_TR_Assessment!D126</f>
        <v>No</v>
      </c>
      <c r="L1809">
        <f>B70_TR_Assessment!E126</f>
        <v>0</v>
      </c>
      <c r="M1809">
        <f>B70_TR_Assessment!F126</f>
        <v>0</v>
      </c>
      <c r="N1809">
        <f>B70_TR_Assessment!G126</f>
        <v>0</v>
      </c>
      <c r="O1809">
        <f>B70_TR_Assessment!H126</f>
        <v>0</v>
      </c>
      <c r="P1809">
        <f>B70_TR_Assessment!I126</f>
        <v>0</v>
      </c>
      <c r="Q1809" t="str">
        <f t="shared" si="28"/>
        <v>70|124</v>
      </c>
    </row>
    <row r="1810" spans="1:17" ht="6.45" customHeight="1">
      <c r="A1810" t="s">
        <v>379</v>
      </c>
      <c r="B1810">
        <v>125</v>
      </c>
      <c r="C1810" t="s">
        <v>59</v>
      </c>
      <c r="D1810">
        <v>132</v>
      </c>
      <c r="E1810" t="s">
        <v>3347</v>
      </c>
      <c r="F1810" t="s">
        <v>5324</v>
      </c>
      <c r="G1810" t="str">
        <f>B70_TR_Assessment!A276</f>
        <v>Verify BACnet integration and controls.</v>
      </c>
      <c r="H1810" t="str">
        <f>B70_TR_Assessment!A127</f>
        <v>OIT Ready</v>
      </c>
      <c r="I1810" t="str">
        <f>B70_TR_Assessment!B127</f>
        <v>Not Started</v>
      </c>
      <c r="J1810" t="str">
        <f>B70_TR_Assessment!C127</f>
        <v>Yes</v>
      </c>
      <c r="K1810" t="str">
        <f>B70_TR_Assessment!D127</f>
        <v>No</v>
      </c>
      <c r="L1810">
        <f>B70_TR_Assessment!E127</f>
        <v>0</v>
      </c>
      <c r="M1810">
        <f>B70_TR_Assessment!F127</f>
        <v>0</v>
      </c>
      <c r="N1810">
        <f>B70_TR_Assessment!G127</f>
        <v>0</v>
      </c>
      <c r="O1810">
        <f>B70_TR_Assessment!H127</f>
        <v>0</v>
      </c>
      <c r="P1810">
        <f>B70_TR_Assessment!I127</f>
        <v>0</v>
      </c>
      <c r="Q1810" t="str">
        <f t="shared" si="28"/>
        <v>70|125</v>
      </c>
    </row>
    <row r="1811" spans="1:17" ht="6.45" customHeight="1">
      <c r="A1811" t="s">
        <v>379</v>
      </c>
      <c r="B1811">
        <v>126</v>
      </c>
      <c r="C1811" t="s">
        <v>59</v>
      </c>
      <c r="D1811">
        <v>133</v>
      </c>
      <c r="E1811" t="s">
        <v>3347</v>
      </c>
      <c r="F1811" t="s">
        <v>5324</v>
      </c>
      <c r="G1811" t="str">
        <f>B70_TR_Assessment!A277</f>
        <v>Verify condensate routing and drainage.</v>
      </c>
      <c r="H1811" t="str">
        <f>B70_TR_Assessment!A128</f>
        <v>Documentation Complete</v>
      </c>
      <c r="I1811" t="str">
        <f>B70_TR_Assessment!B128</f>
        <v>Not Started</v>
      </c>
      <c r="J1811" t="str">
        <f>B70_TR_Assessment!C128</f>
        <v>Yes</v>
      </c>
      <c r="K1811" t="str">
        <f>B70_TR_Assessment!D128</f>
        <v>No</v>
      </c>
      <c r="L1811">
        <f>B70_TR_Assessment!E128</f>
        <v>0</v>
      </c>
      <c r="M1811">
        <f>B70_TR_Assessment!F128</f>
        <v>0</v>
      </c>
      <c r="N1811">
        <f>B70_TR_Assessment!G128</f>
        <v>0</v>
      </c>
      <c r="O1811">
        <f>B70_TR_Assessment!H128</f>
        <v>0</v>
      </c>
      <c r="P1811">
        <f>B70_TR_Assessment!I128</f>
        <v>0</v>
      </c>
      <c r="Q1811" t="str">
        <f t="shared" si="28"/>
        <v>70|126</v>
      </c>
    </row>
    <row r="1812" spans="1:17" ht="6.45" customHeight="1">
      <c r="A1812" t="s">
        <v>379</v>
      </c>
      <c r="B1812">
        <v>127</v>
      </c>
      <c r="C1812" t="s">
        <v>59</v>
      </c>
      <c r="D1812">
        <v>134</v>
      </c>
      <c r="E1812" t="s">
        <v>3347</v>
      </c>
      <c r="F1812" t="s">
        <v>5324</v>
      </c>
      <c r="G1812" t="str">
        <f>B70_TR_Assessment!A278</f>
        <v>Verify emergency power requirements for cooling equipment.</v>
      </c>
      <c r="H1812" t="str">
        <f>B70_TR_Assessment!A129</f>
        <v>Recommended for Acceptance</v>
      </c>
      <c r="I1812" t="str">
        <f>B70_TR_Assessment!B129</f>
        <v>Not Started</v>
      </c>
      <c r="J1812" t="str">
        <f>B70_TR_Assessment!C129</f>
        <v>Yes</v>
      </c>
      <c r="K1812" t="str">
        <f>B70_TR_Assessment!D129</f>
        <v>No</v>
      </c>
      <c r="L1812">
        <f>B70_TR_Assessment!E129</f>
        <v>0</v>
      </c>
      <c r="M1812">
        <f>B70_TR_Assessment!F129</f>
        <v>0</v>
      </c>
      <c r="N1812">
        <f>B70_TR_Assessment!G129</f>
        <v>0</v>
      </c>
      <c r="O1812">
        <f>B70_TR_Assessment!H129</f>
        <v>0</v>
      </c>
      <c r="P1812">
        <f>B70_TR_Assessment!I129</f>
        <v>0</v>
      </c>
      <c r="Q1812" t="str">
        <f t="shared" si="28"/>
        <v>70|127</v>
      </c>
    </row>
    <row r="1813" spans="1:17" ht="6.45" customHeight="1">
      <c r="A1813" t="s">
        <v>379</v>
      </c>
      <c r="B1813">
        <v>128</v>
      </c>
      <c r="C1813" t="s">
        <v>59</v>
      </c>
      <c r="D1813">
        <v>135</v>
      </c>
      <c r="E1813" t="s">
        <v>3347</v>
      </c>
      <c r="F1813" t="s">
        <v>5324</v>
      </c>
      <c r="G1813" t="str">
        <f>B70_TR_Assessment!A279</f>
        <v>Verify continuous cooling capability during hospital operations.</v>
      </c>
      <c r="H1813" t="str">
        <f>B70_TR_Assessment!A130</f>
        <v>Acceptance Readiness</v>
      </c>
      <c r="I1813">
        <f>B70_TR_Assessment!B130</f>
        <v>0</v>
      </c>
      <c r="J1813">
        <f>B70_TR_Assessment!C130</f>
        <v>0</v>
      </c>
      <c r="K1813">
        <f>B70_TR_Assessment!D130</f>
        <v>0</v>
      </c>
      <c r="L1813" t="str">
        <f>B70_TR_Assessment!E130</f>
        <v>Success: Building is ready for turnover when all required gates are complete.</v>
      </c>
      <c r="M1813">
        <f>B70_TR_Assessment!F130</f>
        <v>0</v>
      </c>
      <c r="N1813">
        <f>B70_TR_Assessment!G130</f>
        <v>0</v>
      </c>
      <c r="O1813">
        <f>B70_TR_Assessment!H130</f>
        <v>0</v>
      </c>
      <c r="P1813">
        <f>B70_TR_Assessment!I130</f>
        <v>0</v>
      </c>
      <c r="Q1813" t="str">
        <f t="shared" si="28"/>
        <v>70|128</v>
      </c>
    </row>
    <row r="1814" spans="1:17" ht="6.45" customHeight="1">
      <c r="A1814" t="s">
        <v>379</v>
      </c>
      <c r="B1814">
        <v>129</v>
      </c>
      <c r="C1814" t="s">
        <v>59</v>
      </c>
      <c r="D1814">
        <v>136</v>
      </c>
      <c r="E1814" t="s">
        <v>3347</v>
      </c>
      <c r="F1814" t="s">
        <v>5324</v>
      </c>
      <c r="G1814" t="str">
        <f>B70_TR_Assessment!A280</f>
        <v>Perform startup and commissioning.</v>
      </c>
      <c r="H1814">
        <f>B70_TR_Assessment!A131</f>
        <v>0</v>
      </c>
      <c r="I1814">
        <f>B70_TR_Assessment!B131</f>
        <v>0</v>
      </c>
      <c r="J1814">
        <f>B70_TR_Assessment!C131</f>
        <v>0</v>
      </c>
      <c r="K1814">
        <f>B70_TR_Assessment!D131</f>
        <v>0</v>
      </c>
      <c r="L1814">
        <f>B70_TR_Assessment!E131</f>
        <v>0</v>
      </c>
      <c r="M1814">
        <f>B70_TR_Assessment!F131</f>
        <v>0</v>
      </c>
      <c r="N1814">
        <f>B70_TR_Assessment!G131</f>
        <v>0</v>
      </c>
      <c r="O1814">
        <f>B70_TR_Assessment!H131</f>
        <v>0</v>
      </c>
      <c r="P1814">
        <f>B70_TR_Assessment!I131</f>
        <v>0</v>
      </c>
      <c r="Q1814" t="str">
        <f t="shared" si="28"/>
        <v>70|129</v>
      </c>
    </row>
    <row r="1815" spans="1:17" ht="6.45" customHeight="1">
      <c r="A1815" t="s">
        <v>379</v>
      </c>
      <c r="B1815">
        <v>130</v>
      </c>
      <c r="C1815" t="s">
        <v>59</v>
      </c>
      <c r="D1815">
        <v>137</v>
      </c>
      <c r="E1815" t="s">
        <v>3347</v>
      </c>
      <c r="F1815" t="s">
        <v>5325</v>
      </c>
      <c r="G1815">
        <f>B70_TR_Assessment!A281</f>
        <v>0</v>
      </c>
      <c r="H1815" t="str">
        <f>B70_TR_Assessment!A132</f>
        <v>16. SOURCE / DRAWING REVIEW NOTES</v>
      </c>
      <c r="I1815">
        <f>B70_TR_Assessment!B132</f>
        <v>0</v>
      </c>
      <c r="J1815">
        <f>B70_TR_Assessment!C132</f>
        <v>0</v>
      </c>
      <c r="K1815">
        <f>B70_TR_Assessment!D132</f>
        <v>0</v>
      </c>
      <c r="L1815">
        <f>B70_TR_Assessment!E132</f>
        <v>0</v>
      </c>
      <c r="M1815">
        <f>B70_TR_Assessment!F132</f>
        <v>0</v>
      </c>
      <c r="N1815">
        <f>B70_TR_Assessment!G132</f>
        <v>0</v>
      </c>
      <c r="O1815">
        <f>B70_TR_Assessment!H132</f>
        <v>0</v>
      </c>
      <c r="P1815">
        <f>B70_TR_Assessment!I132</f>
        <v>0</v>
      </c>
      <c r="Q1815" t="str">
        <f t="shared" si="28"/>
        <v>70|130</v>
      </c>
    </row>
    <row r="1816" spans="1:17" ht="6.45" customHeight="1">
      <c r="A1816" t="s">
        <v>379</v>
      </c>
      <c r="B1816">
        <v>131</v>
      </c>
      <c r="C1816" t="s">
        <v>59</v>
      </c>
      <c r="D1816">
        <v>138</v>
      </c>
      <c r="E1816" t="s">
        <v>3347</v>
      </c>
      <c r="F1816" t="s">
        <v>5324</v>
      </c>
      <c r="G1816" t="str">
        <f>B70_TR_Assessment!A282</f>
        <v>Electrical</v>
      </c>
      <c r="H1816" t="str">
        <f>B70_TR_Assessment!A133</f>
        <v>Source Package</v>
      </c>
      <c r="I1816" t="str">
        <f>B70_TR_Assessment!B133</f>
        <v>518-22-700.Bedford.EHRM.IFC.B61.20260316.pdf</v>
      </c>
      <c r="J1816">
        <f>B70_TR_Assessment!C133</f>
        <v>0</v>
      </c>
      <c r="K1816">
        <f>B70_TR_Assessment!D133</f>
        <v>0</v>
      </c>
      <c r="L1816">
        <f>B70_TR_Assessment!E133</f>
        <v>0</v>
      </c>
      <c r="M1816">
        <f>B70_TR_Assessment!F133</f>
        <v>0</v>
      </c>
      <c r="N1816">
        <f>B70_TR_Assessment!G133</f>
        <v>0</v>
      </c>
      <c r="O1816">
        <f>B70_TR_Assessment!H133</f>
        <v>0</v>
      </c>
      <c r="P1816">
        <f>B70_TR_Assessment!I133</f>
        <v>0</v>
      </c>
      <c r="Q1816" t="str">
        <f t="shared" si="28"/>
        <v>70|131</v>
      </c>
    </row>
    <row r="1817" spans="1:17" ht="6.45" customHeight="1">
      <c r="A1817" t="s">
        <v>379</v>
      </c>
      <c r="B1817">
        <v>132</v>
      </c>
      <c r="C1817" t="s">
        <v>59</v>
      </c>
      <c r="D1817">
        <v>139</v>
      </c>
      <c r="E1817" t="s">
        <v>3347</v>
      </c>
      <c r="F1817" t="s">
        <v>5325</v>
      </c>
      <c r="G1817">
        <f>B70_TR_Assessment!A283</f>
        <v>0</v>
      </c>
      <c r="H1817" t="str">
        <f>B70_TR_Assessment!A134</f>
        <v>Drawing Index</v>
      </c>
      <c r="I1817" t="str">
        <f>B70_TR_Assessment!B134</f>
        <v>70-sheet Building 61 IFC package includes general, hazardous abatement, architectural, interiors, fire protection, plumbing, mechanical, electrical, telecommunications, schedules/rack elevations, server/demarc rack elevations and photo references.</v>
      </c>
      <c r="J1817">
        <f>B70_TR_Assessment!C134</f>
        <v>0</v>
      </c>
      <c r="K1817">
        <f>B70_TR_Assessment!D134</f>
        <v>0</v>
      </c>
      <c r="L1817">
        <f>B70_TR_Assessment!E134</f>
        <v>0</v>
      </c>
      <c r="M1817">
        <f>B70_TR_Assessment!F134</f>
        <v>0</v>
      </c>
      <c r="N1817">
        <f>B70_TR_Assessment!G134</f>
        <v>0</v>
      </c>
      <c r="O1817">
        <f>B70_TR_Assessment!H134</f>
        <v>0</v>
      </c>
      <c r="P1817">
        <f>B70_TR_Assessment!I134</f>
        <v>0</v>
      </c>
      <c r="Q1817" t="str">
        <f t="shared" si="28"/>
        <v>70|132</v>
      </c>
    </row>
    <row r="1818" spans="1:17" ht="6.45" customHeight="1">
      <c r="A1818" t="s">
        <v>379</v>
      </c>
      <c r="B1818">
        <v>133</v>
      </c>
      <c r="C1818" t="s">
        <v>59</v>
      </c>
      <c r="D1818">
        <v>140</v>
      </c>
      <c r="E1818" t="s">
        <v>3347</v>
      </c>
      <c r="F1818" t="s">
        <v>5324</v>
      </c>
      <c r="G1818" t="str">
        <f>B70_TR_Assessment!A284</f>
        <v>Verify new electrical distribution serving telecom equipment.</v>
      </c>
      <c r="H1818" t="str">
        <f>B70_TR_Assessment!A135</f>
        <v>Architectural / Hazardous Basis</v>
      </c>
      <c r="I1818" t="str">
        <f>B70_TR_Assessment!B135</f>
        <v>Drawing index includes 61H-101 first-level and 61H-102 second-level hazardous material abatement plans plus architectural enlarged views 61A-400/401 for basement, first and second levels.</v>
      </c>
      <c r="J1818">
        <f>B70_TR_Assessment!C135</f>
        <v>0</v>
      </c>
      <c r="K1818">
        <f>B70_TR_Assessment!D135</f>
        <v>0</v>
      </c>
      <c r="L1818">
        <f>B70_TR_Assessment!E135</f>
        <v>0</v>
      </c>
      <c r="M1818">
        <f>B70_TR_Assessment!F135</f>
        <v>0</v>
      </c>
      <c r="N1818">
        <f>B70_TR_Assessment!G135</f>
        <v>0</v>
      </c>
      <c r="O1818">
        <f>B70_TR_Assessment!H135</f>
        <v>0</v>
      </c>
      <c r="P1818">
        <f>B70_TR_Assessment!I135</f>
        <v>0</v>
      </c>
      <c r="Q1818" t="str">
        <f t="shared" si="28"/>
        <v>70|133</v>
      </c>
    </row>
    <row r="1819" spans="1:17" ht="6.45" customHeight="1">
      <c r="A1819" t="s">
        <v>379</v>
      </c>
      <c r="B1819">
        <v>134</v>
      </c>
      <c r="C1819" t="s">
        <v>59</v>
      </c>
      <c r="D1819">
        <v>141</v>
      </c>
      <c r="E1819" t="s">
        <v>3347</v>
      </c>
      <c r="F1819" t="s">
        <v>5324</v>
      </c>
      <c r="G1819" t="str">
        <f>B70_TR_Assessment!A285</f>
        <v>Verify dedicated panel assignments.</v>
      </c>
      <c r="H1819" t="str">
        <f>B70_TR_Assessment!A136</f>
        <v>Mechanical Basis</v>
      </c>
      <c r="I1819" t="str">
        <f>B70_TR_Assessment!B136</f>
        <v>61M sheets identify dedicated split-system cooling for telecom rooms using IU-0-01/IU-1-01/IU-2-01 and CU-0-01/CU-1-01/CU-2-01, with BACnet adapter mounted adjacent to unit in telecom room; verify emergency power, condensate and alarms.</v>
      </c>
      <c r="J1819">
        <f>B70_TR_Assessment!C136</f>
        <v>0</v>
      </c>
      <c r="K1819">
        <f>B70_TR_Assessment!D136</f>
        <v>0</v>
      </c>
      <c r="L1819">
        <f>B70_TR_Assessment!E136</f>
        <v>0</v>
      </c>
      <c r="M1819">
        <f>B70_TR_Assessment!F136</f>
        <v>0</v>
      </c>
      <c r="N1819">
        <f>B70_TR_Assessment!G136</f>
        <v>0</v>
      </c>
      <c r="O1819">
        <f>B70_TR_Assessment!H136</f>
        <v>0</v>
      </c>
      <c r="P1819">
        <f>B70_TR_Assessment!I136</f>
        <v>0</v>
      </c>
      <c r="Q1819" t="str">
        <f t="shared" si="28"/>
        <v>70|134</v>
      </c>
    </row>
    <row r="1820" spans="1:17" ht="6.45" customHeight="1">
      <c r="A1820" t="s">
        <v>379</v>
      </c>
      <c r="B1820">
        <v>135</v>
      </c>
      <c r="C1820" t="s">
        <v>59</v>
      </c>
      <c r="D1820">
        <v>142</v>
      </c>
      <c r="E1820" t="s">
        <v>3347</v>
      </c>
      <c r="F1820" t="s">
        <v>5324</v>
      </c>
      <c r="G1820" t="str">
        <f>B70_TR_Assessment!A286</f>
        <v>Verify UPS installation and ratings.</v>
      </c>
      <c r="H1820" t="str">
        <f>B70_TR_Assessment!A137</f>
        <v>Electrical Basis</v>
      </c>
      <c r="I1820" t="str">
        <f>B70_TR_Assessment!B137</f>
        <v>61E-401/402/601/701/702/703 identify B61 telecom panelboards and PD panels including B61-TRB13A/B, B61-TR124A/B, B61-TR226A/B, B61-TR137AA/AB, rack receptacles, SPDs, UPS/PDU and cooling equipment circuits.</v>
      </c>
      <c r="J1820">
        <f>B70_TR_Assessment!C137</f>
        <v>0</v>
      </c>
      <c r="K1820">
        <f>B70_TR_Assessment!D137</f>
        <v>0</v>
      </c>
      <c r="L1820">
        <f>B70_TR_Assessment!E137</f>
        <v>0</v>
      </c>
      <c r="M1820">
        <f>B70_TR_Assessment!F137</f>
        <v>0</v>
      </c>
      <c r="N1820">
        <f>B70_TR_Assessment!G137</f>
        <v>0</v>
      </c>
      <c r="O1820">
        <f>B70_TR_Assessment!H137</f>
        <v>0</v>
      </c>
      <c r="P1820">
        <f>B70_TR_Assessment!I137</f>
        <v>0</v>
      </c>
      <c r="Q1820" t="str">
        <f t="shared" si="28"/>
        <v>70|135</v>
      </c>
    </row>
    <row r="1821" spans="1:17" ht="6.45" customHeight="1">
      <c r="A1821" t="s">
        <v>379</v>
      </c>
      <c r="B1821">
        <v>136</v>
      </c>
      <c r="C1821" t="s">
        <v>59</v>
      </c>
      <c r="D1821">
        <v>143</v>
      </c>
      <c r="E1821" t="s">
        <v>3347</v>
      </c>
      <c r="F1821" t="s">
        <v>5324</v>
      </c>
      <c r="G1821" t="str">
        <f>B70_TR_Assessment!A287</f>
        <v>Verify rack power distribution units.</v>
      </c>
      <c r="H1821" t="str">
        <f>B70_TR_Assessment!A138</f>
        <v>Telecom Basis</v>
      </c>
      <c r="I1821" t="str">
        <f>B70_TR_Assessment!B138</f>
        <v>61T-701/702 identify B13H-A: 88 WAO, 74 active, 129 scheduled, 142 with allowance; 226: 109 WAO, 126 active, 156 scheduled, 172 with allowance. Cable tray schedule totals 1,966 ft: basement 890 ft, first 499 ft, second 578 ft.</v>
      </c>
      <c r="J1821">
        <f>B70_TR_Assessment!C138</f>
        <v>0</v>
      </c>
      <c r="K1821">
        <f>B70_TR_Assessment!D138</f>
        <v>0</v>
      </c>
      <c r="L1821">
        <f>B70_TR_Assessment!E138</f>
        <v>0</v>
      </c>
      <c r="M1821">
        <f>B70_TR_Assessment!F138</f>
        <v>0</v>
      </c>
      <c r="N1821">
        <f>B70_TR_Assessment!G138</f>
        <v>0</v>
      </c>
      <c r="O1821">
        <f>B70_TR_Assessment!H138</f>
        <v>0</v>
      </c>
      <c r="P1821">
        <f>B70_TR_Assessment!I138</f>
        <v>0</v>
      </c>
      <c r="Q1821" t="str">
        <f t="shared" si="28"/>
        <v>70|136</v>
      </c>
    </row>
    <row r="1822" spans="1:17" ht="6.45" customHeight="1">
      <c r="A1822" t="s">
        <v>379</v>
      </c>
      <c r="B1822">
        <v>137</v>
      </c>
      <c r="C1822" t="s">
        <v>59</v>
      </c>
      <c r="D1822">
        <v>144</v>
      </c>
      <c r="E1822" t="s">
        <v>3347</v>
      </c>
      <c r="F1822" t="s">
        <v>5324</v>
      </c>
      <c r="G1822" t="str">
        <f>B70_TR_Assessment!A288</f>
        <v>Verify emergency power source.</v>
      </c>
      <c r="H1822" t="str">
        <f>B70_TR_Assessment!A139</f>
        <v>Server / Demarc Basis</v>
      </c>
      <c r="I1822" t="str">
        <f>B70_TR_Assessment!B139</f>
        <v>61T-402/606/607 and 61R-900 reference Room 137/137A existing telecom/server/demarc racks, APC UPS/PDU, Fujitsu equipment, wall-mounted patch panels and active systems requiring protection-in-place and cutover coordination.</v>
      </c>
      <c r="J1822">
        <f>B70_TR_Assessment!C139</f>
        <v>0</v>
      </c>
      <c r="K1822">
        <f>B70_TR_Assessment!D139</f>
        <v>0</v>
      </c>
      <c r="L1822">
        <f>B70_TR_Assessment!E139</f>
        <v>0</v>
      </c>
      <c r="M1822">
        <f>B70_TR_Assessment!F139</f>
        <v>0</v>
      </c>
      <c r="N1822">
        <f>B70_TR_Assessment!G139</f>
        <v>0</v>
      </c>
      <c r="O1822">
        <f>B70_TR_Assessment!H139</f>
        <v>0</v>
      </c>
      <c r="P1822">
        <f>B70_TR_Assessment!I139</f>
        <v>0</v>
      </c>
      <c r="Q1822" t="str">
        <f t="shared" si="28"/>
        <v>70|137</v>
      </c>
    </row>
    <row r="1823" spans="1:17" ht="6.45" customHeight="1">
      <c r="A1823" t="s">
        <v>379</v>
      </c>
      <c r="B1823">
        <v>138</v>
      </c>
      <c r="C1823" t="s">
        <v>59</v>
      </c>
      <c r="D1823">
        <v>145</v>
      </c>
      <c r="E1823" t="s">
        <v>3347</v>
      </c>
      <c r="F1823" t="s">
        <v>5324</v>
      </c>
      <c r="G1823" t="str">
        <f>B70_TR_Assessment!A289</f>
        <v>Verify grounding and bonding requirements.</v>
      </c>
      <c r="H1823" t="str">
        <f>B70_TR_Assessment!A140</f>
        <v>Operational Basis</v>
      </c>
      <c r="I1823" t="str">
        <f>B70_TR_Assessment!B140</f>
        <v>Cover/general notes require existing ports replaced, conduit reuse where possible, 10% data-port allowance, coordination drawings, third-party inspections, commissioning/recommissioning, VA acceptance before active connections, and shutdowns limited one at a time.</v>
      </c>
      <c r="J1823">
        <f>B70_TR_Assessment!C140</f>
        <v>0</v>
      </c>
      <c r="K1823">
        <f>B70_TR_Assessment!D140</f>
        <v>0</v>
      </c>
      <c r="L1823">
        <f>B70_TR_Assessment!E140</f>
        <v>0</v>
      </c>
      <c r="M1823">
        <f>B70_TR_Assessment!F140</f>
        <v>0</v>
      </c>
      <c r="N1823">
        <f>B70_TR_Assessment!G140</f>
        <v>0</v>
      </c>
      <c r="O1823">
        <f>B70_TR_Assessment!H140</f>
        <v>0</v>
      </c>
      <c r="P1823">
        <f>B70_TR_Assessment!I140</f>
        <v>0</v>
      </c>
      <c r="Q1823" t="str">
        <f t="shared" si="28"/>
        <v>70|138</v>
      </c>
    </row>
    <row r="1824" spans="1:17" ht="6.45" customHeight="1">
      <c r="A1824" t="s">
        <v>379</v>
      </c>
      <c r="B1824">
        <v>139</v>
      </c>
      <c r="C1824" t="s">
        <v>59</v>
      </c>
      <c r="D1824">
        <v>146</v>
      </c>
      <c r="E1824" t="s">
        <v>3347</v>
      </c>
      <c r="F1824" t="s">
        <v>5324</v>
      </c>
      <c r="G1824" t="str">
        <f>B70_TR_Assessment!A290</f>
        <v>Verify circuit identification and labeling.</v>
      </c>
      <c r="H1824">
        <f>B70_TR_Assessment!A141</f>
        <v>0</v>
      </c>
      <c r="I1824">
        <f>B70_TR_Assessment!B141</f>
        <v>0</v>
      </c>
      <c r="J1824">
        <f>B70_TR_Assessment!C141</f>
        <v>0</v>
      </c>
      <c r="K1824">
        <f>B70_TR_Assessment!D141</f>
        <v>0</v>
      </c>
      <c r="L1824">
        <f>B70_TR_Assessment!E141</f>
        <v>0</v>
      </c>
      <c r="M1824">
        <f>B70_TR_Assessment!F141</f>
        <v>0</v>
      </c>
      <c r="N1824">
        <f>B70_TR_Assessment!G141</f>
        <v>0</v>
      </c>
      <c r="O1824">
        <f>B70_TR_Assessment!H141</f>
        <v>0</v>
      </c>
      <c r="P1824">
        <f>B70_TR_Assessment!I141</f>
        <v>0</v>
      </c>
      <c r="Q1824" t="str">
        <f t="shared" si="28"/>
        <v>70|139</v>
      </c>
    </row>
    <row r="1825" spans="1:17" ht="6.45" customHeight="1">
      <c r="A1825" t="s">
        <v>379</v>
      </c>
      <c r="B1825">
        <v>140</v>
      </c>
      <c r="C1825" t="s">
        <v>59</v>
      </c>
      <c r="D1825">
        <v>147</v>
      </c>
      <c r="E1825" t="s">
        <v>3347</v>
      </c>
      <c r="F1825" t="s">
        <v>5325</v>
      </c>
      <c r="G1825">
        <f>B70_TR_Assessment!A291</f>
        <v>0</v>
      </c>
      <c r="H1825" t="str">
        <f>B70_TR_Assessment!A142</f>
        <v>PILOT ACCEPTANCE GATE — COPY / PASTE BLOCK</v>
      </c>
      <c r="I1825">
        <f>B70_TR_Assessment!B142</f>
        <v>0</v>
      </c>
      <c r="J1825">
        <f>B70_TR_Assessment!C142</f>
        <v>0</v>
      </c>
      <c r="K1825">
        <f>B70_TR_Assessment!D142</f>
        <v>0</v>
      </c>
      <c r="L1825">
        <f>B70_TR_Assessment!E142</f>
        <v>0</v>
      </c>
      <c r="M1825">
        <f>B70_TR_Assessment!F142</f>
        <v>0</v>
      </c>
      <c r="N1825">
        <f>B70_TR_Assessment!G142</f>
        <v>0</v>
      </c>
      <c r="O1825">
        <f>B70_TR_Assessment!H142</f>
        <v>0</v>
      </c>
      <c r="P1825">
        <f>B70_TR_Assessment!I142</f>
        <v>0</v>
      </c>
      <c r="Q1825" t="str">
        <f t="shared" si="28"/>
        <v>70|140</v>
      </c>
    </row>
    <row r="1826" spans="1:17" ht="6.45" customHeight="1">
      <c r="A1826" t="s">
        <v>379</v>
      </c>
      <c r="B1826">
        <v>141</v>
      </c>
      <c r="C1826" t="s">
        <v>59</v>
      </c>
      <c r="D1826">
        <v>148</v>
      </c>
      <c r="E1826" t="s">
        <v>3347</v>
      </c>
      <c r="F1826" t="s">
        <v>5324</v>
      </c>
      <c r="G1826" t="str">
        <f>B70_TR_Assessment!A292</f>
        <v>Telecommunications</v>
      </c>
      <c r="H1826" t="str">
        <f>B70_TR_Assessment!A143</f>
        <v>Purpose</v>
      </c>
      <c r="I1826" t="str">
        <f>B70_TR_Assessment!B143</f>
        <v>Use this as the objective completion gate for pilot turnover. A building/pilot stays YELLOW until all eight gates are complete.</v>
      </c>
      <c r="J1826">
        <f>B70_TR_Assessment!C143</f>
        <v>0</v>
      </c>
      <c r="K1826">
        <f>B70_TR_Assessment!D143</f>
        <v>0</v>
      </c>
      <c r="L1826">
        <f>B70_TR_Assessment!E143</f>
        <v>0</v>
      </c>
      <c r="M1826">
        <f>B70_TR_Assessment!F143</f>
        <v>0</v>
      </c>
      <c r="N1826">
        <f>B70_TR_Assessment!G143</f>
        <v>0</v>
      </c>
      <c r="O1826">
        <f>B70_TR_Assessment!H143</f>
        <v>0</v>
      </c>
      <c r="P1826">
        <f>B70_TR_Assessment!I143</f>
        <v>0</v>
      </c>
      <c r="Q1826" t="str">
        <f t="shared" si="28"/>
        <v>70|141</v>
      </c>
    </row>
    <row r="1827" spans="1:17" ht="6.45" customHeight="1">
      <c r="A1827" t="s">
        <v>379</v>
      </c>
      <c r="B1827">
        <v>142</v>
      </c>
      <c r="C1827" t="s">
        <v>59</v>
      </c>
      <c r="D1827">
        <v>149</v>
      </c>
      <c r="E1827" t="s">
        <v>3347</v>
      </c>
      <c r="F1827" t="s">
        <v>5325</v>
      </c>
      <c r="G1827">
        <f>B70_TR_Assessment!A293</f>
        <v>0</v>
      </c>
      <c r="H1827" t="str">
        <f>B70_TR_Assessment!A144</f>
        <v>How to use</v>
      </c>
      <c r="I1827" t="str">
        <f>B70_TR_Assessment!B144</f>
        <v>Copy A5:H18 into the applicable Building Assessment sheet. Status cells are intended to be Yes / No / N/A, with evidence links in the Evidence column.</v>
      </c>
      <c r="J1827">
        <f>B70_TR_Assessment!C144</f>
        <v>0</v>
      </c>
      <c r="K1827">
        <f>B70_TR_Assessment!D144</f>
        <v>0</v>
      </c>
      <c r="L1827">
        <f>B70_TR_Assessment!E144</f>
        <v>0</v>
      </c>
      <c r="M1827">
        <f>B70_TR_Assessment!F144</f>
        <v>0</v>
      </c>
      <c r="N1827">
        <f>B70_TR_Assessment!G144</f>
        <v>0</v>
      </c>
      <c r="O1827">
        <f>B70_TR_Assessment!H144</f>
        <v>0</v>
      </c>
      <c r="P1827">
        <f>B70_TR_Assessment!I144</f>
        <v>0</v>
      </c>
      <c r="Q1827" t="str">
        <f t="shared" si="28"/>
        <v>70|142</v>
      </c>
    </row>
    <row r="1828" spans="1:17" ht="6.45" customHeight="1">
      <c r="A1828" t="s">
        <v>379</v>
      </c>
      <c r="B1828">
        <v>143</v>
      </c>
      <c r="C1828" t="s">
        <v>59</v>
      </c>
      <c r="D1828">
        <v>150</v>
      </c>
      <c r="E1828" t="s">
        <v>3347</v>
      </c>
      <c r="F1828" t="s">
        <v>5324</v>
      </c>
      <c r="G1828" t="str">
        <f>B70_TR_Assessment!A294</f>
        <v>Install and/or verify new equipment racks.</v>
      </c>
      <c r="H1828">
        <f>B70_TR_Assessment!A145</f>
        <v>0</v>
      </c>
      <c r="I1828">
        <f>B70_TR_Assessment!B145</f>
        <v>0</v>
      </c>
      <c r="J1828">
        <f>B70_TR_Assessment!C145</f>
        <v>0</v>
      </c>
      <c r="K1828">
        <f>B70_TR_Assessment!D145</f>
        <v>0</v>
      </c>
      <c r="L1828">
        <f>B70_TR_Assessment!E145</f>
        <v>0</v>
      </c>
      <c r="M1828">
        <f>B70_TR_Assessment!F145</f>
        <v>0</v>
      </c>
      <c r="N1828">
        <f>B70_TR_Assessment!G145</f>
        <v>0</v>
      </c>
      <c r="O1828">
        <f>B70_TR_Assessment!H145</f>
        <v>0</v>
      </c>
      <c r="P1828">
        <f>B70_TR_Assessment!I145</f>
        <v>0</v>
      </c>
      <c r="Q1828" t="str">
        <f t="shared" si="28"/>
        <v>70|143</v>
      </c>
    </row>
    <row r="1829" spans="1:17" ht="6.45" customHeight="1">
      <c r="A1829" t="s">
        <v>379</v>
      </c>
      <c r="B1829">
        <v>144</v>
      </c>
      <c r="C1829" t="s">
        <v>59</v>
      </c>
      <c r="D1829">
        <v>151</v>
      </c>
      <c r="E1829" t="s">
        <v>3347</v>
      </c>
      <c r="F1829" t="s">
        <v>5324</v>
      </c>
      <c r="G1829" t="str">
        <f>B70_TR_Assessment!A295</f>
        <v>Install vertical and horizontal cable management.</v>
      </c>
      <c r="H1829" t="str">
        <f>B70_TR_Assessment!A146</f>
        <v>Requirement</v>
      </c>
      <c r="I1829" t="str">
        <f>B70_TR_Assessment!B146</f>
        <v>Status</v>
      </c>
      <c r="J1829" t="str">
        <f>B70_TR_Assessment!C146</f>
        <v>Evidence / Link</v>
      </c>
      <c r="K1829" t="str">
        <f>B70_TR_Assessment!D146</f>
        <v>Date</v>
      </c>
      <c r="L1829" t="str">
        <f>B70_TR_Assessment!E146</f>
        <v>Owner</v>
      </c>
      <c r="M1829" t="str">
        <f>B70_TR_Assessment!F146</f>
        <v>QC Notes</v>
      </c>
      <c r="N1829" t="str">
        <f>B70_TR_Assessment!G146</f>
        <v>Gate Met?</v>
      </c>
      <c r="O1829" t="str">
        <f>B70_TR_Assessment!H146</f>
        <v>Dashboard Signal</v>
      </c>
      <c r="P1829">
        <f>B70_TR_Assessment!I146</f>
        <v>0</v>
      </c>
      <c r="Q1829" t="str">
        <f t="shared" si="28"/>
        <v>70|144</v>
      </c>
    </row>
    <row r="1830" spans="1:17" ht="6.45" customHeight="1">
      <c r="A1830" t="s">
        <v>379</v>
      </c>
      <c r="B1830">
        <v>145</v>
      </c>
      <c r="C1830" t="s">
        <v>59</v>
      </c>
      <c r="D1830">
        <v>152</v>
      </c>
      <c r="E1830" t="s">
        <v>3347</v>
      </c>
      <c r="F1830" t="s">
        <v>5324</v>
      </c>
      <c r="G1830" t="str">
        <f>B70_TR_Assessment!A296</f>
        <v>Install grounding busbars.</v>
      </c>
      <c r="H1830" t="str">
        <f>B70_TR_Assessment!A147</f>
        <v>Approved Submittals</v>
      </c>
      <c r="I1830" t="str">
        <f>B70_TR_Assessment!B147</f>
        <v>No</v>
      </c>
      <c r="J1830">
        <f>B70_TR_Assessment!C147</f>
        <v>0</v>
      </c>
      <c r="K1830">
        <f>B70_TR_Assessment!D147</f>
        <v>0</v>
      </c>
      <c r="L1830">
        <f>B70_TR_Assessment!E147</f>
        <v>0</v>
      </c>
      <c r="M1830">
        <f>B70_TR_Assessment!F147</f>
        <v>0</v>
      </c>
      <c r="N1830" t="str">
        <f>B70_TR_Assessment!G147</f>
        <v>🟡</v>
      </c>
      <c r="O1830">
        <f>B70_TR_Assessment!H147</f>
        <v>0</v>
      </c>
      <c r="P1830">
        <f>B70_TR_Assessment!I147</f>
        <v>0</v>
      </c>
      <c r="Q1830" t="str">
        <f t="shared" si="28"/>
        <v>70|145</v>
      </c>
    </row>
    <row r="1831" spans="1:17" ht="6.45" customHeight="1">
      <c r="A1831" t="s">
        <v>379</v>
      </c>
      <c r="B1831">
        <v>146</v>
      </c>
      <c r="C1831" t="s">
        <v>59</v>
      </c>
      <c r="D1831">
        <v>153</v>
      </c>
      <c r="E1831" t="s">
        <v>3347</v>
      </c>
      <c r="F1831" t="s">
        <v>5324</v>
      </c>
      <c r="G1831" t="str">
        <f>B70_TR_Assessment!A297</f>
        <v>Install fiber termination shelves.</v>
      </c>
      <c r="H1831" t="str">
        <f>B70_TR_Assessment!A148</f>
        <v>ICRA / PCRA</v>
      </c>
      <c r="I1831" t="str">
        <f>B70_TR_Assessment!B148</f>
        <v>No</v>
      </c>
      <c r="J1831">
        <f>B70_TR_Assessment!C148</f>
        <v>0</v>
      </c>
      <c r="K1831">
        <f>B70_TR_Assessment!D148</f>
        <v>0</v>
      </c>
      <c r="L1831">
        <f>B70_TR_Assessment!E148</f>
        <v>0</v>
      </c>
      <c r="M1831">
        <f>B70_TR_Assessment!F148</f>
        <v>0</v>
      </c>
      <c r="N1831" t="str">
        <f>B70_TR_Assessment!G148</f>
        <v>🟡</v>
      </c>
      <c r="O1831">
        <f>B70_TR_Assessment!H148</f>
        <v>0</v>
      </c>
      <c r="P1831">
        <f>B70_TR_Assessment!I148</f>
        <v>0</v>
      </c>
      <c r="Q1831" t="str">
        <f t="shared" si="28"/>
        <v>70|146</v>
      </c>
    </row>
    <row r="1832" spans="1:17" ht="6.45" customHeight="1">
      <c r="A1832" t="s">
        <v>379</v>
      </c>
      <c r="B1832">
        <v>147</v>
      </c>
      <c r="C1832" t="s">
        <v>59</v>
      </c>
      <c r="D1832">
        <v>154</v>
      </c>
      <c r="E1832" t="s">
        <v>3347</v>
      </c>
      <c r="F1832" t="s">
        <v>5324</v>
      </c>
      <c r="G1832" t="str">
        <f>B70_TR_Assessment!A298</f>
        <v>Install patch panels.</v>
      </c>
      <c r="H1832" t="str">
        <f>B70_TR_Assessment!A149</f>
        <v>QA/QC Reports</v>
      </c>
      <c r="I1832" t="str">
        <f>B70_TR_Assessment!B149</f>
        <v>No</v>
      </c>
      <c r="J1832">
        <f>B70_TR_Assessment!C149</f>
        <v>0</v>
      </c>
      <c r="K1832">
        <f>B70_TR_Assessment!D149</f>
        <v>0</v>
      </c>
      <c r="L1832">
        <f>B70_TR_Assessment!E149</f>
        <v>0</v>
      </c>
      <c r="M1832">
        <f>B70_TR_Assessment!F149</f>
        <v>0</v>
      </c>
      <c r="N1832" t="str">
        <f>B70_TR_Assessment!G149</f>
        <v>🟡</v>
      </c>
      <c r="O1832">
        <f>B70_TR_Assessment!H149</f>
        <v>0</v>
      </c>
      <c r="P1832">
        <f>B70_TR_Assessment!I149</f>
        <v>0</v>
      </c>
      <c r="Q1832" t="str">
        <f t="shared" si="28"/>
        <v>70|147</v>
      </c>
    </row>
    <row r="1833" spans="1:17" ht="6.45" customHeight="1">
      <c r="A1833" t="s">
        <v>379</v>
      </c>
      <c r="B1833">
        <v>148</v>
      </c>
      <c r="C1833" t="s">
        <v>59</v>
      </c>
      <c r="D1833">
        <v>155</v>
      </c>
      <c r="E1833" t="s">
        <v>3347</v>
      </c>
      <c r="F1833" t="s">
        <v>5324</v>
      </c>
      <c r="G1833" t="str">
        <f>B70_TR_Assessment!A299</f>
        <v>Verify Cat6A and fiber terminations.</v>
      </c>
      <c r="H1833" t="str">
        <f>B70_TR_Assessment!A150</f>
        <v>Firestopping</v>
      </c>
      <c r="I1833" t="str">
        <f>B70_TR_Assessment!B150</f>
        <v>No</v>
      </c>
      <c r="J1833">
        <f>B70_TR_Assessment!C150</f>
        <v>0</v>
      </c>
      <c r="K1833">
        <f>B70_TR_Assessment!D150</f>
        <v>0</v>
      </c>
      <c r="L1833">
        <f>B70_TR_Assessment!E150</f>
        <v>0</v>
      </c>
      <c r="M1833">
        <f>B70_TR_Assessment!F150</f>
        <v>0</v>
      </c>
      <c r="N1833" t="str">
        <f>B70_TR_Assessment!G150</f>
        <v>🟡</v>
      </c>
      <c r="O1833">
        <f>B70_TR_Assessment!H150</f>
        <v>0</v>
      </c>
      <c r="P1833">
        <f>B70_TR_Assessment!I150</f>
        <v>0</v>
      </c>
      <c r="Q1833" t="str">
        <f t="shared" si="28"/>
        <v>70|148</v>
      </c>
    </row>
    <row r="1834" spans="1:17" ht="6.45" customHeight="1">
      <c r="A1834" t="s">
        <v>379</v>
      </c>
      <c r="B1834">
        <v>149</v>
      </c>
      <c r="C1834" t="s">
        <v>59</v>
      </c>
      <c r="D1834">
        <v>156</v>
      </c>
      <c r="E1834" t="s">
        <v>3347</v>
      </c>
      <c r="F1834" t="s">
        <v>5324</v>
      </c>
      <c r="G1834" t="str">
        <f>B70_TR_Assessment!A300</f>
        <v>Verify cable labeling.</v>
      </c>
      <c r="H1834" t="str">
        <f>B70_TR_Assessment!A151</f>
        <v>Cable Tests</v>
      </c>
      <c r="I1834" t="str">
        <f>B70_TR_Assessment!B151</f>
        <v>No</v>
      </c>
      <c r="J1834">
        <f>B70_TR_Assessment!C151</f>
        <v>0</v>
      </c>
      <c r="K1834">
        <f>B70_TR_Assessment!D151</f>
        <v>0</v>
      </c>
      <c r="L1834">
        <f>B70_TR_Assessment!E151</f>
        <v>0</v>
      </c>
      <c r="M1834">
        <f>B70_TR_Assessment!F151</f>
        <v>0</v>
      </c>
      <c r="N1834" t="str">
        <f>B70_TR_Assessment!G151</f>
        <v>🟡</v>
      </c>
      <c r="O1834">
        <f>B70_TR_Assessment!H151</f>
        <v>0</v>
      </c>
      <c r="P1834">
        <f>B70_TR_Assessment!I151</f>
        <v>0</v>
      </c>
      <c r="Q1834" t="str">
        <f t="shared" si="28"/>
        <v>70|149</v>
      </c>
    </row>
    <row r="1835" spans="1:17" ht="6.45" customHeight="1">
      <c r="A1835" t="s">
        <v>379</v>
      </c>
      <c r="B1835">
        <v>150</v>
      </c>
      <c r="C1835" t="s">
        <v>59</v>
      </c>
      <c r="D1835">
        <v>157</v>
      </c>
      <c r="E1835" t="s">
        <v>3347</v>
      </c>
      <c r="F1835" t="s">
        <v>5324</v>
      </c>
      <c r="G1835" t="str">
        <f>B70_TR_Assessment!A301</f>
        <v>Test and certify all copper and fiber cabling.</v>
      </c>
      <c r="H1835" t="str">
        <f>B70_TR_Assessment!A152</f>
        <v>OIT Acceptance</v>
      </c>
      <c r="I1835" t="str">
        <f>B70_TR_Assessment!B152</f>
        <v>No</v>
      </c>
      <c r="J1835">
        <f>B70_TR_Assessment!C152</f>
        <v>0</v>
      </c>
      <c r="K1835">
        <f>B70_TR_Assessment!D152</f>
        <v>0</v>
      </c>
      <c r="L1835">
        <f>B70_TR_Assessment!E152</f>
        <v>0</v>
      </c>
      <c r="M1835">
        <f>B70_TR_Assessment!F152</f>
        <v>0</v>
      </c>
      <c r="N1835" t="str">
        <f>B70_TR_Assessment!G152</f>
        <v>🟡</v>
      </c>
      <c r="O1835">
        <f>B70_TR_Assessment!H152</f>
        <v>0</v>
      </c>
      <c r="P1835">
        <f>B70_TR_Assessment!I152</f>
        <v>0</v>
      </c>
      <c r="Q1835" t="str">
        <f t="shared" si="28"/>
        <v>70|150</v>
      </c>
    </row>
    <row r="1836" spans="1:17" ht="6.45" customHeight="1">
      <c r="A1836" t="s">
        <v>379</v>
      </c>
      <c r="B1836">
        <v>151</v>
      </c>
      <c r="C1836" t="s">
        <v>59</v>
      </c>
      <c r="D1836">
        <v>158</v>
      </c>
      <c r="E1836" t="s">
        <v>3347</v>
      </c>
      <c r="F1836" t="s">
        <v>5324</v>
      </c>
      <c r="G1836" t="str">
        <f>B70_TR_Assessment!A302</f>
        <v>Verify compliance with OIT standards.</v>
      </c>
      <c r="H1836" t="str">
        <f>B70_TR_Assessment!A153</f>
        <v>Photos</v>
      </c>
      <c r="I1836" t="str">
        <f>B70_TR_Assessment!B153</f>
        <v>No</v>
      </c>
      <c r="J1836">
        <f>B70_TR_Assessment!C153</f>
        <v>0</v>
      </c>
      <c r="K1836">
        <f>B70_TR_Assessment!D153</f>
        <v>0</v>
      </c>
      <c r="L1836">
        <f>B70_TR_Assessment!E153</f>
        <v>0</v>
      </c>
      <c r="M1836">
        <f>B70_TR_Assessment!F153</f>
        <v>0</v>
      </c>
      <c r="N1836" t="str">
        <f>B70_TR_Assessment!G153</f>
        <v>🟡</v>
      </c>
      <c r="O1836">
        <f>B70_TR_Assessment!H153</f>
        <v>0</v>
      </c>
      <c r="P1836">
        <f>B70_TR_Assessment!I153</f>
        <v>0</v>
      </c>
      <c r="Q1836" t="str">
        <f t="shared" si="28"/>
        <v>70|151</v>
      </c>
    </row>
    <row r="1837" spans="1:17" ht="6.45" customHeight="1">
      <c r="A1837" t="s">
        <v>379</v>
      </c>
      <c r="B1837">
        <v>152</v>
      </c>
      <c r="C1837" t="s">
        <v>59</v>
      </c>
      <c r="D1837">
        <v>159</v>
      </c>
      <c r="E1837" t="s">
        <v>3347</v>
      </c>
      <c r="F1837" t="s">
        <v>5325</v>
      </c>
      <c r="G1837">
        <f>B70_TR_Assessment!A303</f>
        <v>0</v>
      </c>
      <c r="H1837" t="str">
        <f>B70_TR_Assessment!A154</f>
        <v>Zero Critical Punch Items</v>
      </c>
      <c r="I1837" t="str">
        <f>B70_TR_Assessment!B154</f>
        <v>No</v>
      </c>
      <c r="J1837">
        <f>B70_TR_Assessment!C154</f>
        <v>0</v>
      </c>
      <c r="K1837">
        <f>B70_TR_Assessment!D154</f>
        <v>0</v>
      </c>
      <c r="L1837">
        <f>B70_TR_Assessment!E154</f>
        <v>0</v>
      </c>
      <c r="M1837">
        <f>B70_TR_Assessment!F154</f>
        <v>0</v>
      </c>
      <c r="N1837" t="str">
        <f>B70_TR_Assessment!G154</f>
        <v>🟡</v>
      </c>
      <c r="O1837">
        <f>B70_TR_Assessment!H154</f>
        <v>0</v>
      </c>
      <c r="P1837">
        <f>B70_TR_Assessment!I154</f>
        <v>0</v>
      </c>
      <c r="Q1837" t="str">
        <f t="shared" si="28"/>
        <v>70|152</v>
      </c>
    </row>
    <row r="1838" spans="1:17" ht="6.45" customHeight="1">
      <c r="A1838" t="s">
        <v>379</v>
      </c>
      <c r="B1838">
        <v>153</v>
      </c>
      <c r="C1838" t="s">
        <v>59</v>
      </c>
      <c r="D1838">
        <v>160</v>
      </c>
      <c r="E1838" t="s">
        <v>3347</v>
      </c>
      <c r="F1838" t="s">
        <v>5324</v>
      </c>
      <c r="G1838" t="str">
        <f>B70_TR_Assessment!A304</f>
        <v>Security</v>
      </c>
      <c r="H1838" t="str">
        <f>B70_TR_Assessment!A155</f>
        <v>Requirement</v>
      </c>
      <c r="I1838" t="str">
        <f>B70_TR_Assessment!B155</f>
        <v>What it Means</v>
      </c>
      <c r="J1838">
        <f>B70_TR_Assessment!C155</f>
        <v>0</v>
      </c>
      <c r="K1838">
        <f>B70_TR_Assessment!D155</f>
        <v>0</v>
      </c>
      <c r="L1838" t="str">
        <f>B70_TR_Assessment!E155</f>
        <v>Verification</v>
      </c>
      <c r="M1838">
        <f>B70_TR_Assessment!F155</f>
        <v>0</v>
      </c>
      <c r="N1838">
        <f>B70_TR_Assessment!G155</f>
        <v>0</v>
      </c>
      <c r="O1838">
        <f>B70_TR_Assessment!H155</f>
        <v>0</v>
      </c>
      <c r="P1838">
        <f>B70_TR_Assessment!I155</f>
        <v>0</v>
      </c>
      <c r="Q1838" t="str">
        <f t="shared" si="28"/>
        <v>70|153</v>
      </c>
    </row>
    <row r="1839" spans="1:17" ht="6.45" customHeight="1">
      <c r="A1839" t="s">
        <v>379</v>
      </c>
      <c r="B1839">
        <v>154</v>
      </c>
      <c r="C1839" t="s">
        <v>59</v>
      </c>
      <c r="D1839">
        <v>161</v>
      </c>
      <c r="E1839" t="s">
        <v>3347</v>
      </c>
      <c r="F1839" t="s">
        <v>5325</v>
      </c>
      <c r="G1839">
        <f>B70_TR_Assessment!A305</f>
        <v>0</v>
      </c>
      <c r="H1839" t="str">
        <f>B70_TR_Assessment!A156</f>
        <v>Approved Submittals</v>
      </c>
      <c r="I1839" t="str">
        <f>B70_TR_Assessment!B156</f>
        <v>Every material and piece of equipment installed in the pilot area has been reviewed and approved through the submittal process. Nothing unapproved was installed.</v>
      </c>
      <c r="J1839">
        <f>B70_TR_Assessment!C156</f>
        <v>0</v>
      </c>
      <c r="K1839">
        <f>B70_TR_Assessment!D156</f>
        <v>0</v>
      </c>
      <c r="L1839" t="str">
        <f>B70_TR_Assessment!E156</f>
        <v>Verify approved submittals exist for all installed systems and that field installations match the approved documents.</v>
      </c>
      <c r="M1839">
        <f>B70_TR_Assessment!F156</f>
        <v>0</v>
      </c>
      <c r="N1839">
        <f>B70_TR_Assessment!G156</f>
        <v>0</v>
      </c>
      <c r="O1839">
        <f>B70_TR_Assessment!H156</f>
        <v>0</v>
      </c>
      <c r="P1839">
        <f>B70_TR_Assessment!I156</f>
        <v>0</v>
      </c>
      <c r="Q1839" t="str">
        <f t="shared" si="28"/>
        <v>70|154</v>
      </c>
    </row>
    <row r="1840" spans="1:17" ht="6.45" customHeight="1">
      <c r="A1840" t="s">
        <v>379</v>
      </c>
      <c r="B1840">
        <v>155</v>
      </c>
      <c r="C1840" t="s">
        <v>59</v>
      </c>
      <c r="D1840">
        <v>162</v>
      </c>
      <c r="E1840" t="s">
        <v>3347</v>
      </c>
      <c r="F1840" t="s">
        <v>5324</v>
      </c>
      <c r="G1840" t="str">
        <f>B70_TR_Assessment!A306</f>
        <v>Verify PACS access control for all TR doors.</v>
      </c>
      <c r="H1840" t="str">
        <f>B70_TR_Assessment!A157</f>
        <v>ICRA / PCRA</v>
      </c>
      <c r="I1840" t="str">
        <f>B70_TR_Assessment!B157</f>
        <v>The required Infection Control Risk Assessment and Pre-Construction Risk Assessment were approved, implemented, and maintained throughout construction.</v>
      </c>
      <c r="J1840">
        <f>B70_TR_Assessment!C157</f>
        <v>0</v>
      </c>
      <c r="K1840">
        <f>B70_TR_Assessment!D157</f>
        <v>0</v>
      </c>
      <c r="L1840" t="str">
        <f>B70_TR_Assessment!E157</f>
        <v>Confirm approved plans, barrier inspections, negative air documentation (if applicable), housekeeping, and final removal procedures.</v>
      </c>
      <c r="M1840">
        <f>B70_TR_Assessment!F157</f>
        <v>0</v>
      </c>
      <c r="N1840">
        <f>B70_TR_Assessment!G157</f>
        <v>0</v>
      </c>
      <c r="O1840">
        <f>B70_TR_Assessment!H157</f>
        <v>0</v>
      </c>
      <c r="P1840">
        <f>B70_TR_Assessment!I157</f>
        <v>0</v>
      </c>
      <c r="Q1840" t="str">
        <f t="shared" si="28"/>
        <v>70|155</v>
      </c>
    </row>
    <row r="1841" spans="1:17" ht="6.45" customHeight="1">
      <c r="A1841" t="s">
        <v>379</v>
      </c>
      <c r="B1841">
        <v>156</v>
      </c>
      <c r="C1841" t="s">
        <v>59</v>
      </c>
      <c r="D1841">
        <v>163</v>
      </c>
      <c r="E1841" t="s">
        <v>3347</v>
      </c>
      <c r="F1841" t="s">
        <v>5324</v>
      </c>
      <c r="G1841" t="str">
        <f>B70_TR_Assessment!A307</f>
        <v>Verify card reader operation.</v>
      </c>
      <c r="H1841" t="str">
        <f>B70_TR_Assessment!A158</f>
        <v>QA/QC Reports</v>
      </c>
      <c r="I1841" t="str">
        <f>B70_TR_Assessment!B158</f>
        <v>Contractor quality inspections have been completed and documented.</v>
      </c>
      <c r="J1841">
        <f>B70_TR_Assessment!C158</f>
        <v>0</v>
      </c>
      <c r="K1841">
        <f>B70_TR_Assessment!D158</f>
        <v>0</v>
      </c>
      <c r="L1841" t="str">
        <f>B70_TR_Assessment!E158</f>
        <v>Review QC reports, inspection checklists, deficiency logs, corrective actions, and daily QC documentation.</v>
      </c>
      <c r="M1841">
        <f>B70_TR_Assessment!F158</f>
        <v>0</v>
      </c>
      <c r="N1841">
        <f>B70_TR_Assessment!G158</f>
        <v>0</v>
      </c>
      <c r="O1841">
        <f>B70_TR_Assessment!H158</f>
        <v>0</v>
      </c>
      <c r="P1841">
        <f>B70_TR_Assessment!I158</f>
        <v>0</v>
      </c>
      <c r="Q1841" t="str">
        <f t="shared" si="28"/>
        <v>70|156</v>
      </c>
    </row>
    <row r="1842" spans="1:17" ht="6.45" customHeight="1">
      <c r="A1842" t="s">
        <v>379</v>
      </c>
      <c r="B1842">
        <v>157</v>
      </c>
      <c r="C1842" t="s">
        <v>59</v>
      </c>
      <c r="D1842">
        <v>164</v>
      </c>
      <c r="E1842" t="s">
        <v>3347</v>
      </c>
      <c r="F1842" t="s">
        <v>5324</v>
      </c>
      <c r="G1842" t="str">
        <f>B70_TR_Assessment!A308</f>
        <v>Verify door position monitoring.</v>
      </c>
      <c r="H1842" t="str">
        <f>B70_TR_Assessment!A159</f>
        <v>Firestopping</v>
      </c>
      <c r="I1842" t="str">
        <f>B70_TR_Assessment!B159</f>
        <v>Every penetration through rated walls, floors, and ceilings has been properly firestopped with approved systems.</v>
      </c>
      <c r="J1842">
        <f>B70_TR_Assessment!C159</f>
        <v>0</v>
      </c>
      <c r="K1842">
        <f>B70_TR_Assessment!D159</f>
        <v>0</v>
      </c>
      <c r="L1842" t="str">
        <f>B70_TR_Assessment!E159</f>
        <v>Inspect penetrations, verify UL systems, labels, installation quality, and documentation/photos.</v>
      </c>
      <c r="M1842">
        <f>B70_TR_Assessment!F159</f>
        <v>0</v>
      </c>
      <c r="N1842">
        <f>B70_TR_Assessment!G159</f>
        <v>0</v>
      </c>
      <c r="O1842">
        <f>B70_TR_Assessment!H159</f>
        <v>0</v>
      </c>
      <c r="P1842">
        <f>B70_TR_Assessment!I159</f>
        <v>0</v>
      </c>
      <c r="Q1842" t="str">
        <f t="shared" si="28"/>
        <v>70|157</v>
      </c>
    </row>
    <row r="1843" spans="1:17" ht="6.45" customHeight="1">
      <c r="A1843" t="s">
        <v>379</v>
      </c>
      <c r="B1843">
        <v>158</v>
      </c>
      <c r="C1843" t="s">
        <v>59</v>
      </c>
      <c r="D1843">
        <v>165</v>
      </c>
      <c r="E1843" t="s">
        <v>3347</v>
      </c>
      <c r="F1843" t="s">
        <v>5324</v>
      </c>
      <c r="G1843" t="str">
        <f>B70_TR_Assessment!A309</f>
        <v>Verify camera coverage where required.</v>
      </c>
      <c r="H1843" t="str">
        <f>B70_TR_Assessment!A160</f>
        <v>Cable Tests</v>
      </c>
      <c r="I1843" t="str">
        <f>B70_TR_Assessment!B160</f>
        <v>All network, fiber, and communication cabling has passed required testing.</v>
      </c>
      <c r="J1843">
        <f>B70_TR_Assessment!C160</f>
        <v>0</v>
      </c>
      <c r="K1843">
        <f>B70_TR_Assessment!D160</f>
        <v>0</v>
      </c>
      <c r="L1843" t="str">
        <f>B70_TR_Assessment!E160</f>
        <v>Verify copper certification reports, fiber OTDR/power meter results, labeling, and test documentation.</v>
      </c>
      <c r="M1843">
        <f>B70_TR_Assessment!F160</f>
        <v>0</v>
      </c>
      <c r="N1843">
        <f>B70_TR_Assessment!G160</f>
        <v>0</v>
      </c>
      <c r="O1843">
        <f>B70_TR_Assessment!H160</f>
        <v>0</v>
      </c>
      <c r="P1843">
        <f>B70_TR_Assessment!I160</f>
        <v>0</v>
      </c>
      <c r="Q1843" t="str">
        <f t="shared" si="28"/>
        <v>70|158</v>
      </c>
    </row>
    <row r="1844" spans="1:17" ht="6.45" customHeight="1">
      <c r="A1844" t="s">
        <v>379</v>
      </c>
      <c r="B1844">
        <v>159</v>
      </c>
      <c r="C1844" t="s">
        <v>59</v>
      </c>
      <c r="D1844">
        <v>166</v>
      </c>
      <c r="E1844" t="s">
        <v>3347</v>
      </c>
      <c r="F1844" t="s">
        <v>5324</v>
      </c>
      <c r="G1844" t="str">
        <f>B70_TR_Assessment!A310</f>
        <v>Verify integration with existing VA security systems.</v>
      </c>
      <c r="H1844" t="str">
        <f>B70_TR_Assessment!A161</f>
        <v>OIT Acceptance</v>
      </c>
      <c r="I1844" t="str">
        <f>B70_TR_Assessment!B161</f>
        <v>VA Office of Information &amp; Technology has inspected and accepted the installed IT infrastructure.</v>
      </c>
      <c r="J1844">
        <f>B70_TR_Assessment!C161</f>
        <v>0</v>
      </c>
      <c r="K1844">
        <f>B70_TR_Assessment!D161</f>
        <v>0</v>
      </c>
      <c r="L1844" t="str">
        <f>B70_TR_Assessment!E161</f>
        <v>Obtain written acceptance or signoff from OIT confirming systems are operational and acceptable.</v>
      </c>
      <c r="M1844">
        <f>B70_TR_Assessment!F161</f>
        <v>0</v>
      </c>
      <c r="N1844">
        <f>B70_TR_Assessment!G161</f>
        <v>0</v>
      </c>
      <c r="O1844">
        <f>B70_TR_Assessment!H161</f>
        <v>0</v>
      </c>
      <c r="P1844">
        <f>B70_TR_Assessment!I161</f>
        <v>0</v>
      </c>
      <c r="Q1844" t="str">
        <f t="shared" si="28"/>
        <v>70|159</v>
      </c>
    </row>
    <row r="1845" spans="1:17" ht="6.45" customHeight="1">
      <c r="A1845" t="s">
        <v>379</v>
      </c>
      <c r="B1845">
        <v>160</v>
      </c>
      <c r="C1845" t="s">
        <v>59</v>
      </c>
      <c r="D1845">
        <v>167</v>
      </c>
      <c r="E1845" t="s">
        <v>3347</v>
      </c>
      <c r="F1845" t="s">
        <v>5325</v>
      </c>
      <c r="G1845">
        <f>B70_TR_Assessment!A311</f>
        <v>0</v>
      </c>
      <c r="H1845" t="str">
        <f>B70_TR_Assessment!A162</f>
        <v>Photos</v>
      </c>
      <c r="I1845" t="str">
        <f>B70_TR_Assessment!B162</f>
        <v>Construction has been photographically documented.</v>
      </c>
      <c r="J1845">
        <f>B70_TR_Assessment!C162</f>
        <v>0</v>
      </c>
      <c r="K1845">
        <f>B70_TR_Assessment!D162</f>
        <v>0</v>
      </c>
      <c r="L1845" t="str">
        <f>B70_TR_Assessment!E162</f>
        <v>Ensure pre-construction, rough-in, above-ceiling, concealed work, and final condition photographs are complete and organized.</v>
      </c>
      <c r="M1845">
        <f>B70_TR_Assessment!F162</f>
        <v>0</v>
      </c>
      <c r="N1845">
        <f>B70_TR_Assessment!G162</f>
        <v>0</v>
      </c>
      <c r="O1845">
        <f>B70_TR_Assessment!H162</f>
        <v>0</v>
      </c>
      <c r="P1845">
        <f>B70_TR_Assessment!I162</f>
        <v>0</v>
      </c>
      <c r="Q1845" t="str">
        <f t="shared" si="28"/>
        <v>70|160</v>
      </c>
    </row>
    <row r="1846" spans="1:17" ht="6.45" customHeight="1">
      <c r="A1846" t="s">
        <v>379</v>
      </c>
      <c r="B1846">
        <v>161</v>
      </c>
      <c r="C1846" t="s">
        <v>59</v>
      </c>
      <c r="D1846">
        <v>168</v>
      </c>
      <c r="E1846" t="s">
        <v>3347</v>
      </c>
      <c r="F1846" t="s">
        <v>5324</v>
      </c>
      <c r="G1846" t="str">
        <f>B70_TR_Assessment!A312</f>
        <v>Operational Risk Review</v>
      </c>
      <c r="H1846" t="str">
        <f>B70_TR_Assessment!A163</f>
        <v>Zero Critical Punch Items</v>
      </c>
      <c r="I1846" t="str">
        <f>B70_TR_Assessment!B163</f>
        <v>No life safety, code, operational, or mission-critical deficiencies remain. Minor cosmetic items may remain only if allowed by contract.</v>
      </c>
      <c r="J1846">
        <f>B70_TR_Assessment!C163</f>
        <v>0</v>
      </c>
      <c r="K1846">
        <f>B70_TR_Assessment!D163</f>
        <v>0</v>
      </c>
      <c r="L1846" t="str">
        <f>B70_TR_Assessment!E163</f>
        <v>Walk the space and confirm all critical deficiencies have been corrected prior to turnover.</v>
      </c>
      <c r="M1846">
        <f>B70_TR_Assessment!F163</f>
        <v>0</v>
      </c>
      <c r="N1846">
        <f>B70_TR_Assessment!G163</f>
        <v>0</v>
      </c>
      <c r="O1846">
        <f>B70_TR_Assessment!H163</f>
        <v>0</v>
      </c>
      <c r="P1846">
        <f>B70_TR_Assessment!I163</f>
        <v>0</v>
      </c>
      <c r="Q1846" t="str">
        <f t="shared" si="28"/>
        <v>70|161</v>
      </c>
    </row>
    <row r="1847" spans="1:17" ht="6.45" customHeight="1">
      <c r="A1847" t="s">
        <v>379</v>
      </c>
      <c r="B1847">
        <v>162</v>
      </c>
      <c r="C1847" t="s">
        <v>59</v>
      </c>
      <c r="D1847">
        <v>169</v>
      </c>
      <c r="E1847" t="s">
        <v>3347</v>
      </c>
      <c r="F1847" t="s">
        <v>5325</v>
      </c>
      <c r="G1847">
        <f>B70_TR_Assessment!A313</f>
        <v>0</v>
      </c>
      <c r="H1847" t="str">
        <f>B70_TR_Assessment!A164</f>
        <v>Acceptance Gate Result</v>
      </c>
      <c r="I1847" t="str">
        <f>B70_TR_Assessment!B164</f>
        <v>🟡 NOT COMPLETE — ACCEPTANCE GATES OPEN</v>
      </c>
      <c r="J1847">
        <f>B70_TR_Assessment!C164</f>
        <v>0</v>
      </c>
      <c r="K1847">
        <f>B70_TR_Assessment!D164</f>
        <v>0</v>
      </c>
      <c r="L1847">
        <f>B70_TR_Assessment!E164</f>
        <v>0</v>
      </c>
      <c r="M1847">
        <f>B70_TR_Assessment!F164</f>
        <v>0</v>
      </c>
      <c r="N1847">
        <f>B70_TR_Assessment!G164</f>
        <v>0</v>
      </c>
      <c r="O1847">
        <f>B70_TR_Assessment!H164</f>
        <v>0</v>
      </c>
      <c r="P1847">
        <f>B70_TR_Assessment!I164</f>
        <v>0</v>
      </c>
      <c r="Q1847" t="str">
        <f t="shared" si="28"/>
        <v>70|162</v>
      </c>
    </row>
    <row r="1848" spans="1:17" ht="6.45" customHeight="1">
      <c r="A1848" t="s">
        <v>379</v>
      </c>
      <c r="B1848">
        <v>163</v>
      </c>
      <c r="C1848" t="s">
        <v>59</v>
      </c>
      <c r="D1848">
        <v>170</v>
      </c>
      <c r="E1848" t="s">
        <v>3347</v>
      </c>
      <c r="F1848" t="s">
        <v>5324</v>
      </c>
      <c r="G1848" t="str">
        <f>B70_TR_Assessment!A314</f>
        <v>Identify systems requiring uninterrupted operation.</v>
      </c>
      <c r="H1848" t="str">
        <f>B70_TR_Assessment!A165</f>
        <v>Open Gate Count</v>
      </c>
      <c r="I1848">
        <f>B70_TR_Assessment!B165</f>
        <v>8</v>
      </c>
      <c r="J1848">
        <f>B70_TR_Assessment!C165</f>
        <v>0</v>
      </c>
      <c r="K1848">
        <f>B70_TR_Assessment!D165</f>
        <v>0</v>
      </c>
      <c r="L1848">
        <f>B70_TR_Assessment!E165</f>
        <v>0</v>
      </c>
      <c r="M1848">
        <f>B70_TR_Assessment!F165</f>
        <v>0</v>
      </c>
      <c r="N1848">
        <f>B70_TR_Assessment!G165</f>
        <v>0</v>
      </c>
      <c r="O1848">
        <f>B70_TR_Assessment!H165</f>
        <v>0</v>
      </c>
      <c r="P1848">
        <f>B70_TR_Assessment!I165</f>
        <v>0</v>
      </c>
      <c r="Q1848" t="str">
        <f t="shared" si="28"/>
        <v>70|163</v>
      </c>
    </row>
    <row r="1849" spans="1:17" ht="6.45" customHeight="1">
      <c r="A1849" t="s">
        <v>379</v>
      </c>
      <c r="B1849">
        <v>164</v>
      </c>
      <c r="C1849" t="s">
        <v>59</v>
      </c>
      <c r="D1849">
        <v>171</v>
      </c>
      <c r="E1849" t="s">
        <v>3347</v>
      </c>
      <c r="F1849" t="s">
        <v>5324</v>
      </c>
      <c r="G1849" t="str">
        <f>B70_TR_Assessment!A315</f>
        <v>Develop cutover strategy.</v>
      </c>
      <c r="H1849" t="str">
        <f>B70_TR_Assessment!A166</f>
        <v>Gate Completion</v>
      </c>
      <c r="I1849" t="str">
        <f>B70_TR_Assessment!B166</f>
        <v>0 / 8 Complete</v>
      </c>
      <c r="J1849">
        <f>B70_TR_Assessment!C166</f>
        <v>0</v>
      </c>
      <c r="K1849">
        <f>B70_TR_Assessment!D166</f>
        <v>0</v>
      </c>
      <c r="L1849">
        <f>B70_TR_Assessment!E166</f>
        <v>0</v>
      </c>
      <c r="M1849">
        <f>B70_TR_Assessment!F166</f>
        <v>0</v>
      </c>
      <c r="N1849">
        <f>B70_TR_Assessment!G166</f>
        <v>0</v>
      </c>
      <c r="O1849">
        <f>B70_TR_Assessment!H166</f>
        <v>0</v>
      </c>
      <c r="P1849">
        <f>B70_TR_Assessment!I166</f>
        <v>0</v>
      </c>
      <c r="Q1849" t="str">
        <f t="shared" si="28"/>
        <v>70|164</v>
      </c>
    </row>
    <row r="1850" spans="1:17" ht="6.45" customHeight="1">
      <c r="A1850" t="s">
        <v>379</v>
      </c>
      <c r="B1850">
        <v>165</v>
      </c>
      <c r="C1850" t="s">
        <v>59</v>
      </c>
      <c r="D1850">
        <v>172</v>
      </c>
      <c r="E1850" t="s">
        <v>3347</v>
      </c>
      <c r="F1850" t="s">
        <v>5324</v>
      </c>
      <c r="G1850" t="str">
        <f>B70_TR_Assessment!A316</f>
        <v>Review outage requirements with VA OIT.</v>
      </c>
      <c r="H1850" t="str">
        <f>B70_TR_Assessment!A167</f>
        <v>Command Center Rule</v>
      </c>
      <c r="I1850" t="str">
        <f>B70_TR_Assessment!B167</f>
        <v>Tile remains YELLOW until B15 returns "🟢 PILOT COMPLETE / ACCEPTANCE READY"; then tile may turn GREEN.</v>
      </c>
      <c r="J1850">
        <f>B70_TR_Assessment!C167</f>
        <v>0</v>
      </c>
      <c r="K1850">
        <f>B70_TR_Assessment!D167</f>
        <v>0</v>
      </c>
      <c r="L1850">
        <f>B70_TR_Assessment!E167</f>
        <v>0</v>
      </c>
      <c r="M1850">
        <f>B70_TR_Assessment!F167</f>
        <v>0</v>
      </c>
      <c r="N1850">
        <f>B70_TR_Assessment!G167</f>
        <v>0</v>
      </c>
      <c r="O1850">
        <f>B70_TR_Assessment!H167</f>
        <v>0</v>
      </c>
      <c r="P1850">
        <f>B70_TR_Assessment!I167</f>
        <v>0</v>
      </c>
      <c r="Q1850" t="str">
        <f t="shared" si="28"/>
        <v>70|165</v>
      </c>
    </row>
    <row r="1851" spans="1:17" ht="6.45" customHeight="1">
      <c r="A1851" t="s">
        <v>379</v>
      </c>
      <c r="B1851">
        <v>166</v>
      </c>
      <c r="C1851" t="s">
        <v>59</v>
      </c>
      <c r="D1851">
        <v>173</v>
      </c>
      <c r="E1851" t="s">
        <v>3347</v>
      </c>
      <c r="F1851" t="s">
        <v>5324</v>
      </c>
      <c r="G1851" t="str">
        <f>B70_TR_Assessment!A317</f>
        <v>Review shutdown requirements with facilities staff.</v>
      </c>
      <c r="H1851">
        <f>B70_TR_Assessment!A168</f>
        <v>0</v>
      </c>
      <c r="I1851">
        <f>B70_TR_Assessment!B168</f>
        <v>0</v>
      </c>
      <c r="J1851">
        <f>B70_TR_Assessment!C168</f>
        <v>0</v>
      </c>
      <c r="K1851">
        <f>B70_TR_Assessment!D168</f>
        <v>0</v>
      </c>
      <c r="L1851">
        <f>B70_TR_Assessment!E168</f>
        <v>0</v>
      </c>
      <c r="M1851">
        <f>B70_TR_Assessment!F168</f>
        <v>0</v>
      </c>
      <c r="N1851">
        <f>B70_TR_Assessment!G168</f>
        <v>0</v>
      </c>
      <c r="O1851">
        <f>B70_TR_Assessment!H168</f>
        <v>0</v>
      </c>
      <c r="P1851">
        <f>B70_TR_Assessment!I168</f>
        <v>0</v>
      </c>
      <c r="Q1851" t="str">
        <f t="shared" si="28"/>
        <v>70|166</v>
      </c>
    </row>
    <row r="1852" spans="1:17" ht="6.45" customHeight="1">
      <c r="A1852" t="s">
        <v>379</v>
      </c>
      <c r="B1852">
        <v>167</v>
      </c>
      <c r="C1852" t="s">
        <v>59</v>
      </c>
      <c r="D1852">
        <v>174</v>
      </c>
      <c r="E1852" t="s">
        <v>3347</v>
      </c>
      <c r="F1852" t="s">
        <v>5324</v>
      </c>
      <c r="G1852" t="str">
        <f>B70_TR_Assessment!A318</f>
        <v>Verify no active services are removed before migration.</v>
      </c>
      <c r="H1852" t="str">
        <f>B70_TR_Assessment!A169</f>
        <v>Suggested Building Tile Logic</v>
      </c>
      <c r="I1852" t="str">
        <f>B70_TR_Assessment!B169</f>
        <v>Example only: =IF(COUNTIF(&lt;building_gate_status_range&gt;,"No")=0,"GREEN","YELLOW")</v>
      </c>
      <c r="J1852">
        <f>B70_TR_Assessment!C169</f>
        <v>0</v>
      </c>
      <c r="K1852">
        <f>B70_TR_Assessment!D169</f>
        <v>0</v>
      </c>
      <c r="L1852">
        <f>B70_TR_Assessment!E169</f>
        <v>0</v>
      </c>
      <c r="M1852">
        <f>B70_TR_Assessment!F169</f>
        <v>0</v>
      </c>
      <c r="N1852">
        <f>B70_TR_Assessment!G169</f>
        <v>0</v>
      </c>
      <c r="O1852">
        <f>B70_TR_Assessment!H169</f>
        <v>0</v>
      </c>
      <c r="P1852">
        <f>B70_TR_Assessment!I169</f>
        <v>0</v>
      </c>
      <c r="Q1852" t="str">
        <f t="shared" si="28"/>
        <v>70|167</v>
      </c>
    </row>
    <row r="1853" spans="1:17" ht="6.45" customHeight="1">
      <c r="A1853" t="s">
        <v>379</v>
      </c>
      <c r="B1853">
        <v>168</v>
      </c>
      <c r="C1853" t="s">
        <v>59</v>
      </c>
      <c r="D1853">
        <v>175</v>
      </c>
      <c r="E1853" t="s">
        <v>3347</v>
      </c>
      <c r="F1853" t="s">
        <v>5325</v>
      </c>
      <c r="G1853">
        <f>B70_TR_Assessment!A319</f>
        <v>0</v>
      </c>
      <c r="H1853" t="str">
        <f>B70_TR_Assessment!A170</f>
        <v>17. OWNER DECISION SUMMARY</v>
      </c>
      <c r="I1853">
        <f>B70_TR_Assessment!B170</f>
        <v>0</v>
      </c>
      <c r="J1853">
        <f>B70_TR_Assessment!C170</f>
        <v>0</v>
      </c>
      <c r="K1853">
        <f>B70_TR_Assessment!D170</f>
        <v>0</v>
      </c>
      <c r="L1853">
        <f>B70_TR_Assessment!E170</f>
        <v>0</v>
      </c>
      <c r="M1853">
        <f>B70_TR_Assessment!F170</f>
        <v>0</v>
      </c>
      <c r="N1853">
        <f>B70_TR_Assessment!G170</f>
        <v>0</v>
      </c>
      <c r="O1853">
        <f>B70_TR_Assessment!H170</f>
        <v>0</v>
      </c>
      <c r="P1853">
        <f>B70_TR_Assessment!I170</f>
        <v>0</v>
      </c>
      <c r="Q1853" t="str">
        <f t="shared" si="28"/>
        <v>70|168</v>
      </c>
    </row>
    <row r="1854" spans="1:17" ht="6.45" customHeight="1">
      <c r="A1854" t="s">
        <v>379</v>
      </c>
      <c r="B1854">
        <v>169</v>
      </c>
      <c r="C1854" t="s">
        <v>59</v>
      </c>
      <c r="D1854">
        <v>176</v>
      </c>
      <c r="E1854" t="s">
        <v>3347</v>
      </c>
      <c r="F1854" t="s">
        <v>5324</v>
      </c>
      <c r="G1854" t="str">
        <f>B70_TR_Assessment!A320</f>
        <v>Commissioning &amp; Acceptance</v>
      </c>
      <c r="H1854" t="str">
        <f>B70_TR_Assessment!A171</f>
        <v>Recommended Payment</v>
      </c>
      <c r="I1854">
        <f>B70_TR_Assessment!B171</f>
        <v>0</v>
      </c>
      <c r="J1854">
        <f>B70_TR_Assessment!C171</f>
        <v>0</v>
      </c>
      <c r="K1854">
        <f>B70_TR_Assessment!D171</f>
        <v>0</v>
      </c>
      <c r="L1854">
        <f>B70_TR_Assessment!E171</f>
        <v>0</v>
      </c>
      <c r="M1854">
        <f>B70_TR_Assessment!F171</f>
        <v>0</v>
      </c>
      <c r="N1854">
        <f>B70_TR_Assessment!G171</f>
        <v>0</v>
      </c>
      <c r="O1854">
        <f>B70_TR_Assessment!H171</f>
        <v>0</v>
      </c>
      <c r="P1854">
        <f>B70_TR_Assessment!I171</f>
        <v>0</v>
      </c>
      <c r="Q1854" t="str">
        <f t="shared" si="28"/>
        <v>70|169</v>
      </c>
    </row>
    <row r="1855" spans="1:17" ht="6.45" customHeight="1">
      <c r="A1855" t="s">
        <v>379</v>
      </c>
      <c r="B1855">
        <v>170</v>
      </c>
      <c r="C1855" t="s">
        <v>59</v>
      </c>
      <c r="D1855">
        <v>177</v>
      </c>
      <c r="E1855" t="s">
        <v>3347</v>
      </c>
      <c r="F1855" t="s">
        <v>5325</v>
      </c>
      <c r="G1855">
        <f>B70_TR_Assessment!A321</f>
        <v>0</v>
      </c>
      <c r="H1855">
        <f>B70_TR_Assessment!A172</f>
        <v>0</v>
      </c>
      <c r="I1855">
        <f>B70_TR_Assessment!B172</f>
        <v>0</v>
      </c>
      <c r="J1855">
        <f>B70_TR_Assessment!C172</f>
        <v>0</v>
      </c>
      <c r="K1855">
        <f>B70_TR_Assessment!D172</f>
        <v>0</v>
      </c>
      <c r="L1855">
        <f>B70_TR_Assessment!E172</f>
        <v>0</v>
      </c>
      <c r="M1855">
        <f>B70_TR_Assessment!F172</f>
        <v>0</v>
      </c>
      <c r="N1855">
        <f>B70_TR_Assessment!G172</f>
        <v>0</v>
      </c>
      <c r="O1855">
        <f>B70_TR_Assessment!H172</f>
        <v>0</v>
      </c>
      <c r="P1855">
        <f>B70_TR_Assessment!I172</f>
        <v>0</v>
      </c>
      <c r="Q1855" t="str">
        <f t="shared" si="28"/>
        <v>70|170</v>
      </c>
    </row>
    <row r="1856" spans="1:17" ht="6.45" customHeight="1">
      <c r="A1856" t="s">
        <v>379</v>
      </c>
      <c r="B1856">
        <v>171</v>
      </c>
      <c r="C1856" t="s">
        <v>59</v>
      </c>
      <c r="D1856">
        <v>178</v>
      </c>
      <c r="E1856" t="s">
        <v>3347</v>
      </c>
      <c r="F1856" t="s">
        <v>5324</v>
      </c>
      <c r="G1856" t="str">
        <f>B70_TR_Assessment!A322</f>
        <v>HVAC commissioning.</v>
      </c>
      <c r="H1856" t="str">
        <f>B70_TR_Assessment!A173</f>
        <v>☐ Full</v>
      </c>
      <c r="I1856">
        <f>B70_TR_Assessment!B173</f>
        <v>0</v>
      </c>
      <c r="J1856">
        <f>B70_TR_Assessment!C173</f>
        <v>0</v>
      </c>
      <c r="K1856">
        <f>B70_TR_Assessment!D173</f>
        <v>0</v>
      </c>
      <c r="L1856">
        <f>B70_TR_Assessment!E173</f>
        <v>0</v>
      </c>
      <c r="M1856">
        <f>B70_TR_Assessment!F173</f>
        <v>0</v>
      </c>
      <c r="N1856">
        <f>B70_TR_Assessment!G173</f>
        <v>0</v>
      </c>
      <c r="O1856">
        <f>B70_TR_Assessment!H173</f>
        <v>0</v>
      </c>
      <c r="P1856">
        <f>B70_TR_Assessment!I173</f>
        <v>0</v>
      </c>
      <c r="Q1856" t="str">
        <f t="shared" si="28"/>
        <v>70|171</v>
      </c>
    </row>
    <row r="1857" spans="1:17" ht="6.45" customHeight="1">
      <c r="A1857" t="s">
        <v>379</v>
      </c>
      <c r="B1857">
        <v>172</v>
      </c>
      <c r="C1857" t="s">
        <v>59</v>
      </c>
      <c r="D1857">
        <v>179</v>
      </c>
      <c r="E1857" t="s">
        <v>3347</v>
      </c>
      <c r="F1857" t="s">
        <v>5324</v>
      </c>
      <c r="G1857" t="str">
        <f>B70_TR_Assessment!A323</f>
        <v>Electrical commissioning.</v>
      </c>
      <c r="H1857">
        <f>B70_TR_Assessment!A174</f>
        <v>0</v>
      </c>
      <c r="I1857">
        <f>B70_TR_Assessment!B174</f>
        <v>0</v>
      </c>
      <c r="J1857">
        <f>B70_TR_Assessment!C174</f>
        <v>0</v>
      </c>
      <c r="K1857">
        <f>B70_TR_Assessment!D174</f>
        <v>0</v>
      </c>
      <c r="L1857">
        <f>B70_TR_Assessment!E174</f>
        <v>0</v>
      </c>
      <c r="M1857">
        <f>B70_TR_Assessment!F174</f>
        <v>0</v>
      </c>
      <c r="N1857">
        <f>B70_TR_Assessment!G174</f>
        <v>0</v>
      </c>
      <c r="O1857">
        <f>B70_TR_Assessment!H174</f>
        <v>0</v>
      </c>
      <c r="P1857">
        <f>B70_TR_Assessment!I174</f>
        <v>0</v>
      </c>
      <c r="Q1857" t="str">
        <f t="shared" si="28"/>
        <v>70|172</v>
      </c>
    </row>
    <row r="1858" spans="1:17" ht="6.45" customHeight="1">
      <c r="A1858" t="s">
        <v>379</v>
      </c>
      <c r="B1858">
        <v>173</v>
      </c>
      <c r="C1858" t="s">
        <v>59</v>
      </c>
      <c r="D1858">
        <v>180</v>
      </c>
      <c r="E1858" t="s">
        <v>3347</v>
      </c>
      <c r="F1858" t="s">
        <v>5324</v>
      </c>
      <c r="G1858" t="str">
        <f>B70_TR_Assessment!A324</f>
        <v>Telecom testing and certification.</v>
      </c>
      <c r="H1858" t="str">
        <f>B70_TR_Assessment!A175</f>
        <v>☐ Partial</v>
      </c>
      <c r="I1858">
        <f>B70_TR_Assessment!B175</f>
        <v>0</v>
      </c>
      <c r="J1858">
        <f>B70_TR_Assessment!C175</f>
        <v>0</v>
      </c>
      <c r="K1858">
        <f>B70_TR_Assessment!D175</f>
        <v>0</v>
      </c>
      <c r="L1858">
        <f>B70_TR_Assessment!E175</f>
        <v>0</v>
      </c>
      <c r="M1858">
        <f>B70_TR_Assessment!F175</f>
        <v>0</v>
      </c>
      <c r="N1858">
        <f>B70_TR_Assessment!G175</f>
        <v>0</v>
      </c>
      <c r="O1858">
        <f>B70_TR_Assessment!H175</f>
        <v>0</v>
      </c>
      <c r="P1858">
        <f>B70_TR_Assessment!I175</f>
        <v>0</v>
      </c>
      <c r="Q1858" t="str">
        <f t="shared" ref="Q1858:Q1921" si="29">A1858&amp;"|"&amp;B1858</f>
        <v>70|173</v>
      </c>
    </row>
    <row r="1859" spans="1:17" ht="6.45" customHeight="1">
      <c r="A1859" t="s">
        <v>379</v>
      </c>
      <c r="B1859">
        <v>174</v>
      </c>
      <c r="C1859" t="s">
        <v>59</v>
      </c>
      <c r="D1859">
        <v>181</v>
      </c>
      <c r="E1859" t="s">
        <v>3347</v>
      </c>
      <c r="F1859" t="s">
        <v>5324</v>
      </c>
      <c r="G1859" t="str">
        <f>B70_TR_Assessment!A325</f>
        <v>Fire alarm testing.</v>
      </c>
      <c r="H1859">
        <f>B70_TR_Assessment!A176</f>
        <v>0</v>
      </c>
      <c r="I1859">
        <f>B70_TR_Assessment!B176</f>
        <v>0</v>
      </c>
      <c r="J1859">
        <f>B70_TR_Assessment!C176</f>
        <v>0</v>
      </c>
      <c r="K1859">
        <f>B70_TR_Assessment!D176</f>
        <v>0</v>
      </c>
      <c r="L1859">
        <f>B70_TR_Assessment!E176</f>
        <v>0</v>
      </c>
      <c r="M1859">
        <f>B70_TR_Assessment!F176</f>
        <v>0</v>
      </c>
      <c r="N1859">
        <f>B70_TR_Assessment!G176</f>
        <v>0</v>
      </c>
      <c r="O1859">
        <f>B70_TR_Assessment!H176</f>
        <v>0</v>
      </c>
      <c r="P1859">
        <f>B70_TR_Assessment!I176</f>
        <v>0</v>
      </c>
      <c r="Q1859" t="str">
        <f t="shared" si="29"/>
        <v>70|174</v>
      </c>
    </row>
    <row r="1860" spans="1:17" ht="6.45" customHeight="1">
      <c r="A1860" t="s">
        <v>379</v>
      </c>
      <c r="B1860">
        <v>175</v>
      </c>
      <c r="C1860" t="s">
        <v>59</v>
      </c>
      <c r="D1860">
        <v>182</v>
      </c>
      <c r="E1860" t="s">
        <v>3347</v>
      </c>
      <c r="F1860" t="s">
        <v>5324</v>
      </c>
      <c r="G1860" t="str">
        <f>B70_TR_Assessment!A326</f>
        <v>Fire protection testing.</v>
      </c>
      <c r="H1860" t="str">
        <f>B70_TR_Assessment!A177</f>
        <v>☐ Withhold</v>
      </c>
      <c r="I1860">
        <f>B70_TR_Assessment!B177</f>
        <v>0</v>
      </c>
      <c r="J1860">
        <f>B70_TR_Assessment!C177</f>
        <v>0</v>
      </c>
      <c r="K1860">
        <f>B70_TR_Assessment!D177</f>
        <v>0</v>
      </c>
      <c r="L1860">
        <f>B70_TR_Assessment!E177</f>
        <v>0</v>
      </c>
      <c r="M1860">
        <f>B70_TR_Assessment!F177</f>
        <v>0</v>
      </c>
      <c r="N1860">
        <f>B70_TR_Assessment!G177</f>
        <v>0</v>
      </c>
      <c r="O1860">
        <f>B70_TR_Assessment!H177</f>
        <v>0</v>
      </c>
      <c r="P1860">
        <f>B70_TR_Assessment!I177</f>
        <v>0</v>
      </c>
      <c r="Q1860" t="str">
        <f t="shared" si="29"/>
        <v>70|175</v>
      </c>
    </row>
    <row r="1861" spans="1:17" ht="6.45" customHeight="1">
      <c r="A1861" t="s">
        <v>379</v>
      </c>
      <c r="B1861">
        <v>176</v>
      </c>
      <c r="C1861" t="s">
        <v>59</v>
      </c>
      <c r="D1861">
        <v>183</v>
      </c>
      <c r="E1861" t="s">
        <v>3347</v>
      </c>
      <c r="F1861" t="s">
        <v>5324</v>
      </c>
      <c r="G1861" t="str">
        <f>B70_TR_Assessment!A327</f>
        <v>Security testing.</v>
      </c>
      <c r="H1861">
        <f>B70_TR_Assessment!A178</f>
        <v>0</v>
      </c>
      <c r="I1861">
        <f>B70_TR_Assessment!B178</f>
        <v>0</v>
      </c>
      <c r="J1861">
        <f>B70_TR_Assessment!C178</f>
        <v>0</v>
      </c>
      <c r="K1861">
        <f>B70_TR_Assessment!D178</f>
        <v>0</v>
      </c>
      <c r="L1861">
        <f>B70_TR_Assessment!E178</f>
        <v>0</v>
      </c>
      <c r="M1861">
        <f>B70_TR_Assessment!F178</f>
        <v>0</v>
      </c>
      <c r="N1861">
        <f>B70_TR_Assessment!G178</f>
        <v>0</v>
      </c>
      <c r="O1861">
        <f>B70_TR_Assessment!H178</f>
        <v>0</v>
      </c>
      <c r="P1861">
        <f>B70_TR_Assessment!I178</f>
        <v>0</v>
      </c>
      <c r="Q1861" t="str">
        <f t="shared" si="29"/>
        <v>70|176</v>
      </c>
    </row>
    <row r="1862" spans="1:17" ht="6.45" customHeight="1">
      <c r="A1862" t="s">
        <v>379</v>
      </c>
      <c r="B1862">
        <v>177</v>
      </c>
      <c r="C1862" t="s">
        <v>59</v>
      </c>
      <c r="D1862">
        <v>184</v>
      </c>
      <c r="E1862" t="s">
        <v>3347</v>
      </c>
      <c r="F1862" t="s">
        <v>5324</v>
      </c>
      <c r="G1862" t="str">
        <f>B70_TR_Assessment!A328</f>
        <v>Final owner acceptance walkthrough.</v>
      </c>
      <c r="H1862">
        <f>B70_TR_Assessment!A179</f>
        <v>0</v>
      </c>
      <c r="I1862">
        <f>B70_TR_Assessment!B179</f>
        <v>0</v>
      </c>
      <c r="J1862">
        <f>B70_TR_Assessment!C179</f>
        <v>0</v>
      </c>
      <c r="K1862">
        <f>B70_TR_Assessment!D179</f>
        <v>0</v>
      </c>
      <c r="L1862">
        <f>B70_TR_Assessment!E179</f>
        <v>0</v>
      </c>
      <c r="M1862">
        <f>B70_TR_Assessment!F179</f>
        <v>0</v>
      </c>
      <c r="N1862">
        <f>B70_TR_Assessment!G179</f>
        <v>0</v>
      </c>
      <c r="O1862">
        <f>B70_TR_Assessment!H179</f>
        <v>0</v>
      </c>
      <c r="P1862">
        <f>B70_TR_Assessment!I179</f>
        <v>0</v>
      </c>
      <c r="Q1862" t="str">
        <f t="shared" si="29"/>
        <v>70|177</v>
      </c>
    </row>
    <row r="1863" spans="1:17" ht="6.45" customHeight="1">
      <c r="A1863" t="s">
        <v>379</v>
      </c>
      <c r="B1863">
        <v>178</v>
      </c>
      <c r="C1863" t="s">
        <v>59</v>
      </c>
      <c r="D1863">
        <v>185</v>
      </c>
      <c r="E1863" t="s">
        <v>3347</v>
      </c>
      <c r="F1863" t="s">
        <v>5324</v>
      </c>
      <c r="G1863" t="str">
        <f>B70_TR_Assessment!A329</f>
        <v>Turnover documentation.</v>
      </c>
      <c r="H1863">
        <f>B70_TR_Assessment!A180</f>
        <v>0</v>
      </c>
      <c r="I1863">
        <f>B70_TR_Assessment!B180</f>
        <v>0</v>
      </c>
      <c r="J1863">
        <f>B70_TR_Assessment!C180</f>
        <v>0</v>
      </c>
      <c r="K1863">
        <f>B70_TR_Assessment!D180</f>
        <v>0</v>
      </c>
      <c r="L1863">
        <f>B70_TR_Assessment!E180</f>
        <v>0</v>
      </c>
      <c r="M1863">
        <f>B70_TR_Assessment!F180</f>
        <v>0</v>
      </c>
      <c r="N1863">
        <f>B70_TR_Assessment!G180</f>
        <v>0</v>
      </c>
      <c r="O1863">
        <f>B70_TR_Assessment!H180</f>
        <v>0</v>
      </c>
      <c r="P1863">
        <f>B70_TR_Assessment!I180</f>
        <v>0</v>
      </c>
      <c r="Q1863" t="str">
        <f t="shared" si="29"/>
        <v>70|178</v>
      </c>
    </row>
    <row r="1864" spans="1:17" ht="6.45" customHeight="1">
      <c r="A1864" t="s">
        <v>379</v>
      </c>
      <c r="B1864">
        <v>179</v>
      </c>
      <c r="C1864" t="s">
        <v>59</v>
      </c>
      <c r="D1864">
        <v>186</v>
      </c>
      <c r="E1864" t="s">
        <v>3347</v>
      </c>
      <c r="F1864" t="s">
        <v>5325</v>
      </c>
      <c r="G1864">
        <f>B70_TR_Assessment!A330</f>
        <v>0</v>
      </c>
      <c r="H1864" t="str">
        <f>B70_TR_Assessment!A181</f>
        <v>18. Construction Status</v>
      </c>
      <c r="I1864">
        <f>B70_TR_Assessment!B181</f>
        <v>0</v>
      </c>
      <c r="J1864">
        <f>B70_TR_Assessment!C181</f>
        <v>0</v>
      </c>
      <c r="K1864">
        <f>B70_TR_Assessment!D181</f>
        <v>0</v>
      </c>
      <c r="L1864">
        <f>B70_TR_Assessment!E181</f>
        <v>0</v>
      </c>
      <c r="M1864">
        <f>B70_TR_Assessment!F181</f>
        <v>0</v>
      </c>
      <c r="N1864">
        <f>B70_TR_Assessment!G181</f>
        <v>0</v>
      </c>
      <c r="O1864">
        <f>B70_TR_Assessment!H181</f>
        <v>0</v>
      </c>
      <c r="P1864">
        <f>B70_TR_Assessment!I181</f>
        <v>0</v>
      </c>
      <c r="Q1864" t="str">
        <f t="shared" si="29"/>
        <v>70|179</v>
      </c>
    </row>
    <row r="1865" spans="1:17" ht="6.45" customHeight="1">
      <c r="A1865" t="s">
        <v>379</v>
      </c>
      <c r="B1865">
        <v>180</v>
      </c>
      <c r="C1865" t="s">
        <v>59</v>
      </c>
      <c r="D1865">
        <v>187</v>
      </c>
      <c r="E1865" t="s">
        <v>3347</v>
      </c>
      <c r="F1865" t="s">
        <v>5324</v>
      </c>
      <c r="G1865" t="str">
        <f>B70_TR_Assessment!A331</f>
        <v>Owner Risks Identified</v>
      </c>
      <c r="H1865">
        <f>B70_TR_Assessment!A182</f>
        <v>0</v>
      </c>
      <c r="I1865">
        <f>B70_TR_Assessment!B182</f>
        <v>0</v>
      </c>
      <c r="J1865">
        <f>B70_TR_Assessment!C182</f>
        <v>0</v>
      </c>
      <c r="K1865">
        <f>B70_TR_Assessment!D182</f>
        <v>0</v>
      </c>
      <c r="L1865">
        <f>B70_TR_Assessment!E182</f>
        <v>0</v>
      </c>
      <c r="M1865">
        <f>B70_TR_Assessment!F182</f>
        <v>0</v>
      </c>
      <c r="N1865">
        <f>B70_TR_Assessment!G182</f>
        <v>0</v>
      </c>
      <c r="O1865">
        <f>B70_TR_Assessment!H182</f>
        <v>0</v>
      </c>
      <c r="P1865">
        <f>B70_TR_Assessment!I182</f>
        <v>0</v>
      </c>
      <c r="Q1865" t="str">
        <f t="shared" si="29"/>
        <v>70|180</v>
      </c>
    </row>
    <row r="1866" spans="1:17" ht="6.45" customHeight="1">
      <c r="A1866" t="s">
        <v>379</v>
      </c>
      <c r="B1866">
        <v>181</v>
      </c>
      <c r="C1866" t="s">
        <v>59</v>
      </c>
      <c r="D1866">
        <v>188</v>
      </c>
      <c r="E1866" t="s">
        <v>3347</v>
      </c>
      <c r="F1866" t="s">
        <v>5325</v>
      </c>
      <c r="G1866">
        <f>B70_TR_Assessment!A332</f>
        <v>0</v>
      </c>
      <c r="H1866" t="str">
        <f>B70_TR_Assessment!A183</f>
        <v>☐ On Schedule</v>
      </c>
      <c r="I1866">
        <f>B70_TR_Assessment!B183</f>
        <v>0</v>
      </c>
      <c r="J1866">
        <f>B70_TR_Assessment!C183</f>
        <v>0</v>
      </c>
      <c r="K1866">
        <f>B70_TR_Assessment!D183</f>
        <v>0</v>
      </c>
      <c r="L1866">
        <f>B70_TR_Assessment!E183</f>
        <v>0</v>
      </c>
      <c r="M1866">
        <f>B70_TR_Assessment!F183</f>
        <v>0</v>
      </c>
      <c r="N1866">
        <f>B70_TR_Assessment!G183</f>
        <v>0</v>
      </c>
      <c r="O1866">
        <f>B70_TR_Assessment!H183</f>
        <v>0</v>
      </c>
      <c r="P1866">
        <f>B70_TR_Assessment!I183</f>
        <v>0</v>
      </c>
      <c r="Q1866" t="str">
        <f t="shared" si="29"/>
        <v>70|181</v>
      </c>
    </row>
    <row r="1867" spans="1:17" ht="6.45" customHeight="1">
      <c r="A1867" t="s">
        <v>379</v>
      </c>
      <c r="B1867">
        <v>182</v>
      </c>
      <c r="C1867" t="s">
        <v>59</v>
      </c>
      <c r="D1867">
        <v>189</v>
      </c>
      <c r="E1867" t="s">
        <v>3347</v>
      </c>
      <c r="F1867" t="s">
        <v>5324</v>
      </c>
      <c r="G1867" t="str">
        <f>B70_TR_Assessment!A333</f>
        <v>High Risk</v>
      </c>
      <c r="H1867">
        <f>B70_TR_Assessment!A184</f>
        <v>0</v>
      </c>
      <c r="I1867">
        <f>B70_TR_Assessment!B184</f>
        <v>0</v>
      </c>
      <c r="J1867">
        <f>B70_TR_Assessment!C184</f>
        <v>0</v>
      </c>
      <c r="K1867">
        <f>B70_TR_Assessment!D184</f>
        <v>0</v>
      </c>
      <c r="L1867">
        <f>B70_TR_Assessment!E184</f>
        <v>0</v>
      </c>
      <c r="M1867">
        <f>B70_TR_Assessment!F184</f>
        <v>0</v>
      </c>
      <c r="N1867">
        <f>B70_TR_Assessment!G184</f>
        <v>0</v>
      </c>
      <c r="O1867">
        <f>B70_TR_Assessment!H184</f>
        <v>0</v>
      </c>
      <c r="P1867">
        <f>B70_TR_Assessment!I184</f>
        <v>0</v>
      </c>
      <c r="Q1867" t="str">
        <f t="shared" si="29"/>
        <v>70|182</v>
      </c>
    </row>
    <row r="1868" spans="1:17" ht="6.45" customHeight="1">
      <c r="A1868" t="s">
        <v>379</v>
      </c>
      <c r="B1868">
        <v>183</v>
      </c>
      <c r="C1868" t="s">
        <v>59</v>
      </c>
      <c r="D1868">
        <v>190</v>
      </c>
      <c r="E1868" t="s">
        <v>3347</v>
      </c>
      <c r="F1868" t="s">
        <v>5325</v>
      </c>
      <c r="G1868">
        <f>B70_TR_Assessment!A334</f>
        <v>0</v>
      </c>
      <c r="H1868" t="str">
        <f>B70_TR_Assessment!A185</f>
        <v>☐ Behind Schedule</v>
      </c>
      <c r="I1868">
        <f>B70_TR_Assessment!B185</f>
        <v>0</v>
      </c>
      <c r="J1868">
        <f>B70_TR_Assessment!C185</f>
        <v>0</v>
      </c>
      <c r="K1868">
        <f>B70_TR_Assessment!D185</f>
        <v>0</v>
      </c>
      <c r="L1868">
        <f>B70_TR_Assessment!E185</f>
        <v>0</v>
      </c>
      <c r="M1868">
        <f>B70_TR_Assessment!F185</f>
        <v>0</v>
      </c>
      <c r="N1868">
        <f>B70_TR_Assessment!G185</f>
        <v>0</v>
      </c>
      <c r="O1868">
        <f>B70_TR_Assessment!H185</f>
        <v>0</v>
      </c>
      <c r="P1868">
        <f>B70_TR_Assessment!I185</f>
        <v>0</v>
      </c>
      <c r="Q1868" t="str">
        <f t="shared" si="29"/>
        <v>70|183</v>
      </c>
    </row>
    <row r="1869" spans="1:17" ht="6.45" customHeight="1">
      <c r="A1869" t="s">
        <v>381</v>
      </c>
      <c r="B1869">
        <v>1</v>
      </c>
      <c r="C1869" t="s">
        <v>61</v>
      </c>
      <c r="D1869">
        <v>8</v>
      </c>
      <c r="E1869" t="s">
        <v>918</v>
      </c>
      <c r="F1869" t="s">
        <v>5322</v>
      </c>
      <c r="G1869" t="str">
        <f>B78_Assessment!A8</f>
        <v>1. ROOM INVENTORY</v>
      </c>
      <c r="H1869">
        <f>B78_Assessment!B8</f>
        <v>0</v>
      </c>
      <c r="I1869">
        <f>B78_Assessment!C8</f>
        <v>0</v>
      </c>
      <c r="J1869">
        <f>B78_Assessment!D8</f>
        <v>0</v>
      </c>
      <c r="K1869">
        <f>B78_Assessment!E8</f>
        <v>0</v>
      </c>
      <c r="L1869">
        <f>B78_Assessment!F8</f>
        <v>0</v>
      </c>
      <c r="M1869">
        <f>B78_Assessment!G8</f>
        <v>0</v>
      </c>
      <c r="N1869">
        <f>B78_Assessment!H8</f>
        <v>0</v>
      </c>
      <c r="O1869">
        <f>B78_Assessment!I8</f>
        <v>0</v>
      </c>
      <c r="P1869">
        <f>B78_Assessment!J8</f>
        <v>0</v>
      </c>
      <c r="Q1869" t="str">
        <f t="shared" si="29"/>
        <v>78|1</v>
      </c>
    </row>
    <row r="1870" spans="1:17" ht="6.45" customHeight="1">
      <c r="A1870" t="s">
        <v>381</v>
      </c>
      <c r="B1870">
        <v>2</v>
      </c>
      <c r="C1870" t="s">
        <v>61</v>
      </c>
      <c r="D1870">
        <v>9</v>
      </c>
      <c r="E1870" t="s">
        <v>918</v>
      </c>
      <c r="F1870" t="s">
        <v>5323</v>
      </c>
      <c r="G1870" t="str">
        <f>B78_Assessment!A9</f>
        <v>Building</v>
      </c>
      <c r="H1870" t="str">
        <f>B78_Assessment!B9</f>
        <v>Room</v>
      </c>
      <c r="I1870" t="str">
        <f>B78_Assessment!C9</f>
        <v>Floor</v>
      </c>
      <c r="J1870" t="str">
        <f>B78_Assessment!D9</f>
        <v>Existing Use</v>
      </c>
      <c r="K1870" t="str">
        <f>B78_Assessment!E9</f>
        <v>New Use</v>
      </c>
      <c r="L1870" t="str">
        <f>B78_Assessment!F9</f>
        <v>Rack Count</v>
      </c>
      <c r="M1870" t="str">
        <f>B78_Assessment!G9</f>
        <v>Future Rack</v>
      </c>
      <c r="N1870" t="str">
        <f>B78_Assessment!H9</f>
        <v>Status</v>
      </c>
      <c r="O1870" t="str">
        <f>B78_Assessment!I9</f>
        <v>Drawing Ref</v>
      </c>
      <c r="P1870" t="str">
        <f>B78_Assessment!J9</f>
        <v>Notes</v>
      </c>
      <c r="Q1870" t="str">
        <f t="shared" si="29"/>
        <v>78|2</v>
      </c>
    </row>
    <row r="1871" spans="1:17" ht="6.45" customHeight="1">
      <c r="A1871" t="s">
        <v>381</v>
      </c>
      <c r="B1871">
        <v>3</v>
      </c>
      <c r="C1871" t="s">
        <v>61</v>
      </c>
      <c r="D1871">
        <v>10</v>
      </c>
      <c r="E1871" t="s">
        <v>918</v>
      </c>
      <c r="F1871" t="s">
        <v>5324</v>
      </c>
      <c r="G1871" t="str">
        <f>B78_Assessment!A10</f>
        <v>78/78A</v>
      </c>
      <c r="H1871" t="str">
        <f>B78_Assessment!B10</f>
        <v>B30</v>
      </c>
      <c r="I1871" t="str">
        <f>B78_Assessment!C10</f>
        <v>Basement</v>
      </c>
      <c r="J1871" t="str">
        <f>B78_Assessment!D10</f>
        <v>Basement telecom area / existing rack transfer</v>
      </c>
      <c r="K1871" t="str">
        <f>B78_Assessment!E10</f>
        <v>Telecom Room</v>
      </c>
      <c r="L1871">
        <f>B78_Assessment!F10</f>
        <v>2</v>
      </c>
      <c r="M1871">
        <f>B78_Assessment!G10</f>
        <v>1</v>
      </c>
      <c r="N1871" t="str">
        <f>B78_Assessment!H10</f>
        <v>Verify</v>
      </c>
      <c r="O1871" t="str">
        <f>B78_Assessment!I10</f>
        <v>78_78AA-400 / 78_78AE-401 / 78_78AT-100 / 78_78AT-604 / 78_78AT-701</v>
      </c>
      <c r="P1871" t="str">
        <f>B78_Assessment!J10</f>
        <v>Basement primary TR. Schedule identifies RM B30 with 210 WAO total, 23 active ports, 311 scheduled ports, 342 total ports with 10% allowance. Rack IDs include TR01-B30-1 and TR01-B30-2.</v>
      </c>
      <c r="Q1871" t="str">
        <f t="shared" si="29"/>
        <v>78|3</v>
      </c>
    </row>
    <row r="1872" spans="1:17" ht="6.45" customHeight="1">
      <c r="A1872" t="s">
        <v>381</v>
      </c>
      <c r="B1872">
        <v>4</v>
      </c>
      <c r="C1872" t="s">
        <v>61</v>
      </c>
      <c r="D1872">
        <v>11</v>
      </c>
      <c r="E1872" t="s">
        <v>918</v>
      </c>
      <c r="F1872" t="s">
        <v>5324</v>
      </c>
      <c r="G1872" t="str">
        <f>B78_Assessment!A11</f>
        <v>78/78A</v>
      </c>
      <c r="H1872" t="str">
        <f>B78_Assessment!B11</f>
        <v>B35</v>
      </c>
      <c r="I1872" t="str">
        <f>B78_Assessment!C11</f>
        <v>Basement</v>
      </c>
      <c r="J1872" t="str">
        <f>B78_Assessment!D11</f>
        <v>Basement telecom area / existing rack transfer</v>
      </c>
      <c r="K1872" t="str">
        <f>B78_Assessment!E11</f>
        <v>Telecom Room</v>
      </c>
      <c r="L1872">
        <f>B78_Assessment!F11</f>
        <v>1</v>
      </c>
      <c r="M1872">
        <f>B78_Assessment!G11</f>
        <v>1</v>
      </c>
      <c r="N1872" t="str">
        <f>B78_Assessment!H11</f>
        <v>Verify</v>
      </c>
      <c r="O1872" t="str">
        <f>B78_Assessment!I11</f>
        <v>78_78AT-100 / 78_78AT-605 / 78_78AT-702</v>
      </c>
      <c r="P1872" t="str">
        <f>B78_Assessment!J11</f>
        <v>Basement TR/closet. Schedule identifies RM B35 with 53 WAO total, 23 active ports, 64 scheduled ports, 70 total ports with 10% allowance. Verify relationship to existing basement telecom room 15E photo reference.</v>
      </c>
      <c r="Q1872" t="str">
        <f t="shared" si="29"/>
        <v>78|4</v>
      </c>
    </row>
    <row r="1873" spans="1:17" ht="6.45" customHeight="1">
      <c r="A1873" t="s">
        <v>381</v>
      </c>
      <c r="B1873">
        <v>5</v>
      </c>
      <c r="C1873" t="s">
        <v>61</v>
      </c>
      <c r="D1873">
        <v>12</v>
      </c>
      <c r="E1873" t="s">
        <v>918</v>
      </c>
      <c r="F1873" t="s">
        <v>5324</v>
      </c>
      <c r="G1873" t="str">
        <f>B78_Assessment!A12</f>
        <v>78/78A</v>
      </c>
      <c r="H1873" t="str">
        <f>B78_Assessment!B12</f>
        <v>1232</v>
      </c>
      <c r="I1873" t="str">
        <f>B78_Assessment!C12</f>
        <v>First</v>
      </c>
      <c r="J1873" t="str">
        <f>B78_Assessment!D12</f>
        <v>First-level telecom room / existing rack transfer</v>
      </c>
      <c r="K1873" t="str">
        <f>B78_Assessment!E12</f>
        <v>Telecom Room</v>
      </c>
      <c r="L1873">
        <f>B78_Assessment!F12</f>
        <v>1</v>
      </c>
      <c r="M1873">
        <f>B78_Assessment!G12</f>
        <v>1</v>
      </c>
      <c r="N1873" t="str">
        <f>B78_Assessment!H12</f>
        <v>Verify</v>
      </c>
      <c r="O1873" t="str">
        <f>B78_Assessment!I12</f>
        <v>78_78AA-401 / 78_78AE-402 / 78_78AT-101 / 78_78AT-606 / 78_78AT-702/703</v>
      </c>
      <c r="P1873" t="str">
        <f>B78_Assessment!J12</f>
        <v>First-level TR. Schedule identifies RM 1232 with 301 WAO total, 388 active ports, 404 scheduled ports, 444 total ports with 10% allowance. Existing photo references show first-level existing telecom room 1234; verify room-name mapping.</v>
      </c>
      <c r="Q1873" t="str">
        <f t="shared" si="29"/>
        <v>78|5</v>
      </c>
    </row>
    <row r="1874" spans="1:17" ht="6.45" customHeight="1">
      <c r="A1874" t="s">
        <v>381</v>
      </c>
      <c r="B1874">
        <v>6</v>
      </c>
      <c r="C1874" t="s">
        <v>61</v>
      </c>
      <c r="D1874">
        <v>13</v>
      </c>
      <c r="E1874" t="s">
        <v>918</v>
      </c>
      <c r="F1874" t="s">
        <v>5324</v>
      </c>
      <c r="G1874" t="str">
        <f>B78_Assessment!A13</f>
        <v>78/78A</v>
      </c>
      <c r="H1874" t="str">
        <f>B78_Assessment!B13</f>
        <v>227A</v>
      </c>
      <c r="I1874" t="str">
        <f>B78_Assessment!C13</f>
        <v>Second</v>
      </c>
      <c r="J1874" t="str">
        <f>B78_Assessment!D13</f>
        <v>Second-level telecom room / existing rack transfer</v>
      </c>
      <c r="K1874" t="str">
        <f>B78_Assessment!E13</f>
        <v>Telecom Room</v>
      </c>
      <c r="L1874">
        <f>B78_Assessment!F13</f>
        <v>1</v>
      </c>
      <c r="M1874">
        <f>B78_Assessment!G13</f>
        <v>1</v>
      </c>
      <c r="N1874" t="str">
        <f>B78_Assessment!H13</f>
        <v>Verify</v>
      </c>
      <c r="O1874" t="str">
        <f>B78_Assessment!I13</f>
        <v>78_78AA-401 / 78_78AE-402 / 78_78AT-102 / 78_78AT-606 / 78_78AT-703/704</v>
      </c>
      <c r="P1874" t="str">
        <f>B78_Assessment!J13</f>
        <v>Second-level TR. Schedule identifies RM 227A with 256 WAO total, 153 active ports, 348 scheduled ports, 383 total ports with 10% allowance. Existing photo references show second-level existing telecom room 1234; verify field room ID.</v>
      </c>
      <c r="Q1874" t="str">
        <f t="shared" si="29"/>
        <v>78|6</v>
      </c>
    </row>
    <row r="1875" spans="1:17" ht="6.45" customHeight="1">
      <c r="A1875" t="s">
        <v>381</v>
      </c>
      <c r="B1875">
        <v>7</v>
      </c>
      <c r="C1875" t="s">
        <v>61</v>
      </c>
      <c r="D1875">
        <v>14</v>
      </c>
      <c r="E1875" t="s">
        <v>918</v>
      </c>
      <c r="F1875" t="s">
        <v>5324</v>
      </c>
      <c r="G1875" t="str">
        <f>B78_Assessment!A14</f>
        <v>78/78A</v>
      </c>
      <c r="H1875" t="str">
        <f>B78_Assessment!B14</f>
        <v>342</v>
      </c>
      <c r="I1875" t="str">
        <f>B78_Assessment!C14</f>
        <v>Third</v>
      </c>
      <c r="J1875" t="str">
        <f>B78_Assessment!D14</f>
        <v>Third-level telecom room / existing rack transfer</v>
      </c>
      <c r="K1875" t="str">
        <f>B78_Assessment!E14</f>
        <v>Telecom Room</v>
      </c>
      <c r="L1875">
        <f>B78_Assessment!F14</f>
        <v>2</v>
      </c>
      <c r="M1875">
        <f>B78_Assessment!G14</f>
        <v>1</v>
      </c>
      <c r="N1875" t="str">
        <f>B78_Assessment!H14</f>
        <v>Verify</v>
      </c>
      <c r="O1875" t="str">
        <f>B78_Assessment!I14</f>
        <v>78_78AA-402 / 78_78AE-403 / 78_78AT-103 / 78_78AT-607 / 78_78AT-704</v>
      </c>
      <c r="P1875" t="str">
        <f>B78_Assessment!J14</f>
        <v>Third-level TR. Schedule identifies RM 342 with 158 WAO total, 163 active ports, 289 scheduled ports, 318 total ports with 10% allowance. Rack IDs include TR01-342-1 and TR01-342-2.</v>
      </c>
      <c r="Q1875" t="str">
        <f t="shared" si="29"/>
        <v>78|7</v>
      </c>
    </row>
    <row r="1876" spans="1:17" ht="6.45" customHeight="1">
      <c r="A1876" t="s">
        <v>381</v>
      </c>
      <c r="B1876">
        <v>8</v>
      </c>
      <c r="C1876" t="s">
        <v>61</v>
      </c>
      <c r="D1876">
        <v>15</v>
      </c>
      <c r="E1876" t="s">
        <v>918</v>
      </c>
      <c r="F1876" t="s">
        <v>5324</v>
      </c>
      <c r="G1876" t="str">
        <f>B78_Assessment!A15</f>
        <v>78/78A</v>
      </c>
      <c r="H1876" t="str">
        <f>B78_Assessment!B15</f>
        <v>401</v>
      </c>
      <c r="I1876" t="str">
        <f>B78_Assessment!C15</f>
        <v>Fourth</v>
      </c>
      <c r="J1876" t="str">
        <f>B78_Assessment!D15</f>
        <v>Fourth-level telecom room / existing rack transfer</v>
      </c>
      <c r="K1876" t="str">
        <f>B78_Assessment!E15</f>
        <v>Telecom Room</v>
      </c>
      <c r="L1876">
        <f>B78_Assessment!F15</f>
        <v>1</v>
      </c>
      <c r="M1876">
        <f>B78_Assessment!G15</f>
        <v>1</v>
      </c>
      <c r="N1876" t="str">
        <f>B78_Assessment!H15</f>
        <v>Verify</v>
      </c>
      <c r="O1876" t="str">
        <f>B78_Assessment!I15</f>
        <v>78_78AA-402 / 78_78AE-404 / 78_78AT-104 / 78_78AT-607 / 78_78AT-705</v>
      </c>
      <c r="P1876" t="str">
        <f>B78_Assessment!J15</f>
        <v>Fourth-level TR. Schedule identifies RM 401 with 89 WAO total, 65 active ports, 123 scheduled ports, 135 total ports with 10% allowance.</v>
      </c>
      <c r="Q1876" t="str">
        <f t="shared" si="29"/>
        <v>78|8</v>
      </c>
    </row>
    <row r="1877" spans="1:17" ht="6.45" customHeight="1">
      <c r="A1877" t="s">
        <v>381</v>
      </c>
      <c r="B1877">
        <v>9</v>
      </c>
      <c r="C1877" t="s">
        <v>61</v>
      </c>
      <c r="D1877">
        <v>16</v>
      </c>
      <c r="E1877" t="s">
        <v>918</v>
      </c>
      <c r="F1877" t="s">
        <v>5324</v>
      </c>
      <c r="G1877" t="str">
        <f>B78_Assessment!A16</f>
        <v>78/78A</v>
      </c>
      <c r="H1877" t="str">
        <f>B78_Assessment!B16</f>
        <v>15E / 1234 / 353 / 308A / 408A</v>
      </c>
      <c r="I1877" t="str">
        <f>B78_Assessment!C16</f>
        <v>Existing levels</v>
      </c>
      <c r="J1877" t="str">
        <f>B78_Assessment!D16</f>
        <v>Existing telecom rooms / photo references</v>
      </c>
      <c r="K1877" t="str">
        <f>B78_Assessment!E16</f>
        <v>Existing telecom transition points</v>
      </c>
      <c r="L1877">
        <f>B78_Assessment!F16</f>
        <v>5</v>
      </c>
      <c r="M1877">
        <f>B78_Assessment!G16</f>
        <v>0</v>
      </c>
      <c r="N1877" t="str">
        <f>B78_Assessment!H16</f>
        <v>Verify</v>
      </c>
      <c r="O1877" t="str">
        <f>B78_Assessment!I16</f>
        <v>78_78AR-900 / 901 / 902 / 903</v>
      </c>
      <c r="P1877" t="str">
        <f>B78_Assessment!J16</f>
        <v>Photo references identify existing telecom rooms: basement 15E, first-level 1234, second-level 1234, third-level 353, fourth-level 308A and 408A. Protect active equipment and verify transfer/abandonment scope.</v>
      </c>
      <c r="Q1877" t="str">
        <f t="shared" si="29"/>
        <v>78|9</v>
      </c>
    </row>
    <row r="1878" spans="1:17" ht="6.45" customHeight="1">
      <c r="A1878" t="s">
        <v>381</v>
      </c>
      <c r="B1878">
        <v>10</v>
      </c>
      <c r="C1878" t="s">
        <v>61</v>
      </c>
      <c r="D1878">
        <v>17</v>
      </c>
      <c r="E1878" t="s">
        <v>918</v>
      </c>
      <c r="F1878" t="s">
        <v>5325</v>
      </c>
      <c r="G1878">
        <f>B78_Assessment!A17</f>
        <v>0</v>
      </c>
      <c r="H1878">
        <f>B78_Assessment!B17</f>
        <v>0</v>
      </c>
      <c r="I1878">
        <f>B78_Assessment!C17</f>
        <v>0</v>
      </c>
      <c r="J1878">
        <f>B78_Assessment!D17</f>
        <v>0</v>
      </c>
      <c r="K1878">
        <f>B78_Assessment!E17</f>
        <v>0</v>
      </c>
      <c r="L1878">
        <f>B78_Assessment!F17</f>
        <v>0</v>
      </c>
      <c r="M1878">
        <f>B78_Assessment!G17</f>
        <v>0</v>
      </c>
      <c r="N1878">
        <f>B78_Assessment!H17</f>
        <v>0</v>
      </c>
      <c r="O1878">
        <f>B78_Assessment!I17</f>
        <v>0</v>
      </c>
      <c r="P1878">
        <f>B78_Assessment!J17</f>
        <v>0</v>
      </c>
      <c r="Q1878" t="str">
        <f t="shared" si="29"/>
        <v>78|10</v>
      </c>
    </row>
    <row r="1879" spans="1:17" ht="6.45" customHeight="1">
      <c r="A1879" t="s">
        <v>381</v>
      </c>
      <c r="B1879">
        <v>11</v>
      </c>
      <c r="C1879" t="s">
        <v>61</v>
      </c>
      <c r="D1879">
        <v>18</v>
      </c>
      <c r="E1879" t="s">
        <v>936</v>
      </c>
      <c r="F1879" t="s">
        <v>5322</v>
      </c>
      <c r="G1879" t="str">
        <f>B78_Assessment!A18</f>
        <v>2. ROOM READINESS</v>
      </c>
      <c r="H1879">
        <f>B78_Assessment!B18</f>
        <v>0</v>
      </c>
      <c r="I1879">
        <f>B78_Assessment!C18</f>
        <v>0</v>
      </c>
      <c r="J1879">
        <f>B78_Assessment!D18</f>
        <v>0</v>
      </c>
      <c r="K1879">
        <f>B78_Assessment!E18</f>
        <v>0</v>
      </c>
      <c r="L1879">
        <f>B78_Assessment!F18</f>
        <v>0</v>
      </c>
      <c r="M1879">
        <f>B78_Assessment!G18</f>
        <v>0</v>
      </c>
      <c r="N1879">
        <f>B78_Assessment!H18</f>
        <v>0</v>
      </c>
      <c r="O1879">
        <f>B78_Assessment!I18</f>
        <v>0</v>
      </c>
      <c r="P1879">
        <f>B78_Assessment!J18</f>
        <v>0</v>
      </c>
      <c r="Q1879" t="str">
        <f t="shared" si="29"/>
        <v>78|11</v>
      </c>
    </row>
    <row r="1880" spans="1:17" ht="6.45" customHeight="1">
      <c r="A1880" t="s">
        <v>381</v>
      </c>
      <c r="B1880">
        <v>12</v>
      </c>
      <c r="C1880" t="s">
        <v>61</v>
      </c>
      <c r="D1880">
        <v>19</v>
      </c>
      <c r="E1880" t="s">
        <v>936</v>
      </c>
      <c r="F1880" t="s">
        <v>5323</v>
      </c>
      <c r="G1880" t="str">
        <f>B78_Assessment!A19</f>
        <v>Room</v>
      </c>
      <c r="H1880" t="str">
        <f>B78_Assessment!B19</f>
        <v>Walls / 1-hr Rating</v>
      </c>
      <c r="I1880" t="str">
        <f>B78_Assessment!C19</f>
        <v>Ceiling</v>
      </c>
      <c r="J1880" t="str">
        <f>B78_Assessment!D19</f>
        <v>Floor / SDC</v>
      </c>
      <c r="K1880" t="str">
        <f>B78_Assessment!E19</f>
        <v>Penetrations</v>
      </c>
      <c r="L1880" t="str">
        <f>B78_Assessment!F19</f>
        <v>Access Control</v>
      </c>
      <c r="M1880" t="str">
        <f>B78_Assessment!G19</f>
        <v>Clearances</v>
      </c>
      <c r="N1880" t="str">
        <f>B78_Assessment!H19</f>
        <v>Housekeeping</v>
      </c>
      <c r="O1880" t="str">
        <f>B78_Assessment!I19</f>
        <v>Overall</v>
      </c>
      <c r="P1880" t="str">
        <f>B78_Assessment!J19</f>
        <v>Comments</v>
      </c>
      <c r="Q1880" t="str">
        <f t="shared" si="29"/>
        <v>78|12</v>
      </c>
    </row>
    <row r="1881" spans="1:17" ht="6.45" customHeight="1">
      <c r="A1881" t="s">
        <v>381</v>
      </c>
      <c r="B1881">
        <v>13</v>
      </c>
      <c r="C1881" t="s">
        <v>61</v>
      </c>
      <c r="D1881">
        <v>20</v>
      </c>
      <c r="E1881" t="s">
        <v>936</v>
      </c>
      <c r="F1881" t="s">
        <v>5324</v>
      </c>
      <c r="G1881" t="str">
        <f>B78_Assessment!A20</f>
        <v>B30</v>
      </c>
      <c r="H1881" t="str">
        <f>B78_Assessment!B20</f>
        <v>Verify</v>
      </c>
      <c r="I1881" t="str">
        <f>B78_Assessment!C20</f>
        <v>Verify</v>
      </c>
      <c r="J1881" t="str">
        <f>B78_Assessment!D20</f>
        <v>Verify</v>
      </c>
      <c r="K1881" t="str">
        <f>B78_Assessment!E20</f>
        <v>Verify</v>
      </c>
      <c r="L1881" t="str">
        <f>B78_Assessment!F20</f>
        <v>Verify</v>
      </c>
      <c r="M1881" t="str">
        <f>B78_Assessment!G20</f>
        <v>Verify</v>
      </c>
      <c r="N1881" t="str">
        <f>B78_Assessment!H20</f>
        <v>Verify</v>
      </c>
      <c r="O1881" t="str">
        <f>B78_Assessment!I20</f>
        <v>Verify</v>
      </c>
      <c r="P1881" t="str">
        <f>B78_Assessment!J20</f>
        <v>Basement TR; verify rated enclosure/open-to-deck conditions, door/PACS, future rack space, wall backing, ladder rack, and basement pathway entry points.</v>
      </c>
      <c r="Q1881" t="str">
        <f t="shared" si="29"/>
        <v>78|13</v>
      </c>
    </row>
    <row r="1882" spans="1:17" ht="6.45" customHeight="1">
      <c r="A1882" t="s">
        <v>381</v>
      </c>
      <c r="B1882">
        <v>14</v>
      </c>
      <c r="C1882" t="s">
        <v>61</v>
      </c>
      <c r="D1882">
        <v>21</v>
      </c>
      <c r="E1882" t="s">
        <v>936</v>
      </c>
      <c r="F1882" t="s">
        <v>5324</v>
      </c>
      <c r="G1882" t="str">
        <f>B78_Assessment!A21</f>
        <v>B35</v>
      </c>
      <c r="H1882" t="str">
        <f>B78_Assessment!B21</f>
        <v>Verify</v>
      </c>
      <c r="I1882" t="str">
        <f>B78_Assessment!C21</f>
        <v>Verify</v>
      </c>
      <c r="J1882" t="str">
        <f>B78_Assessment!D21</f>
        <v>Verify</v>
      </c>
      <c r="K1882" t="str">
        <f>B78_Assessment!E21</f>
        <v>Verify</v>
      </c>
      <c r="L1882" t="str">
        <f>B78_Assessment!F21</f>
        <v>Verify</v>
      </c>
      <c r="M1882" t="str">
        <f>B78_Assessment!G21</f>
        <v>Verify</v>
      </c>
      <c r="N1882" t="str">
        <f>B78_Assessment!H21</f>
        <v>Verify</v>
      </c>
      <c r="O1882" t="str">
        <f>B78_Assessment!I21</f>
        <v>Verify</v>
      </c>
      <c r="P1882" t="str">
        <f>B78_Assessment!J21</f>
        <v>Basement TR/closet; verify existing conditions, rack transfer, floor/wall conditions, clearance, pathway and firestop scope.</v>
      </c>
      <c r="Q1882" t="str">
        <f t="shared" si="29"/>
        <v>78|14</v>
      </c>
    </row>
    <row r="1883" spans="1:17" ht="6.45" customHeight="1">
      <c r="A1883" t="s">
        <v>381</v>
      </c>
      <c r="B1883">
        <v>15</v>
      </c>
      <c r="C1883" t="s">
        <v>61</v>
      </c>
      <c r="D1883">
        <v>22</v>
      </c>
      <c r="E1883" t="s">
        <v>936</v>
      </c>
      <c r="F1883" t="s">
        <v>5324</v>
      </c>
      <c r="G1883" t="str">
        <f>B78_Assessment!A22</f>
        <v>1232</v>
      </c>
      <c r="H1883" t="str">
        <f>B78_Assessment!B22</f>
        <v>Verify</v>
      </c>
      <c r="I1883" t="str">
        <f>B78_Assessment!C22</f>
        <v>Verify</v>
      </c>
      <c r="J1883" t="str">
        <f>B78_Assessment!D22</f>
        <v>Verify</v>
      </c>
      <c r="K1883" t="str">
        <f>B78_Assessment!E22</f>
        <v>Verify</v>
      </c>
      <c r="L1883" t="str">
        <f>B78_Assessment!F22</f>
        <v>Verify</v>
      </c>
      <c r="M1883" t="str">
        <f>B78_Assessment!G22</f>
        <v>Verify</v>
      </c>
      <c r="N1883" t="str">
        <f>B78_Assessment!H22</f>
        <v>Verify</v>
      </c>
      <c r="O1883" t="str">
        <f>B78_Assessment!I22</f>
        <v>Verify</v>
      </c>
      <c r="P1883" t="str">
        <f>B78_Assessment!J22</f>
        <v>First-level TR; verify rated construction, door hardware/access, ceiling/deck, rack/future rack clearance, wall backing and pathway entries.</v>
      </c>
      <c r="Q1883" t="str">
        <f t="shared" si="29"/>
        <v>78|15</v>
      </c>
    </row>
    <row r="1884" spans="1:17" ht="6.45" customHeight="1">
      <c r="A1884" t="s">
        <v>381</v>
      </c>
      <c r="B1884">
        <v>16</v>
      </c>
      <c r="C1884" t="s">
        <v>61</v>
      </c>
      <c r="D1884">
        <v>23</v>
      </c>
      <c r="E1884" t="s">
        <v>936</v>
      </c>
      <c r="F1884" t="s">
        <v>5324</v>
      </c>
      <c r="G1884" t="str">
        <f>B78_Assessment!A23</f>
        <v>227A</v>
      </c>
      <c r="H1884" t="str">
        <f>B78_Assessment!B23</f>
        <v>Verify</v>
      </c>
      <c r="I1884" t="str">
        <f>B78_Assessment!C23</f>
        <v>Verify</v>
      </c>
      <c r="J1884" t="str">
        <f>B78_Assessment!D23</f>
        <v>Verify</v>
      </c>
      <c r="K1884" t="str">
        <f>B78_Assessment!E23</f>
        <v>Verify</v>
      </c>
      <c r="L1884" t="str">
        <f>B78_Assessment!F23</f>
        <v>Verify</v>
      </c>
      <c r="M1884" t="str">
        <f>B78_Assessment!G23</f>
        <v>Verify</v>
      </c>
      <c r="N1884" t="str">
        <f>B78_Assessment!H23</f>
        <v>Verify</v>
      </c>
      <c r="O1884" t="str">
        <f>B78_Assessment!I23</f>
        <v>Verify</v>
      </c>
      <c r="P1884" t="str">
        <f>B78_Assessment!J23</f>
        <v>Second-level TR; verify rated construction, door hardware/access, rack/future rack clearance and vertical riser/firestop conditions.</v>
      </c>
      <c r="Q1884" t="str">
        <f t="shared" si="29"/>
        <v>78|16</v>
      </c>
    </row>
    <row r="1885" spans="1:17" ht="6.45" customHeight="1">
      <c r="A1885" t="s">
        <v>381</v>
      </c>
      <c r="B1885">
        <v>17</v>
      </c>
      <c r="C1885" t="s">
        <v>61</v>
      </c>
      <c r="D1885">
        <v>24</v>
      </c>
      <c r="E1885" t="s">
        <v>936</v>
      </c>
      <c r="F1885" t="s">
        <v>5324</v>
      </c>
      <c r="G1885" t="str">
        <f>B78_Assessment!A24</f>
        <v>342</v>
      </c>
      <c r="H1885" t="str">
        <f>B78_Assessment!B24</f>
        <v>Verify</v>
      </c>
      <c r="I1885" t="str">
        <f>B78_Assessment!C24</f>
        <v>Verify</v>
      </c>
      <c r="J1885" t="str">
        <f>B78_Assessment!D24</f>
        <v>Verify</v>
      </c>
      <c r="K1885" t="str">
        <f>B78_Assessment!E24</f>
        <v>Verify</v>
      </c>
      <c r="L1885" t="str">
        <f>B78_Assessment!F24</f>
        <v>Verify</v>
      </c>
      <c r="M1885" t="str">
        <f>B78_Assessment!G24</f>
        <v>Verify</v>
      </c>
      <c r="N1885" t="str">
        <f>B78_Assessment!H24</f>
        <v>Verify</v>
      </c>
      <c r="O1885" t="str">
        <f>B78_Assessment!I24</f>
        <v>Verify</v>
      </c>
      <c r="P1885" t="str">
        <f>B78_Assessment!J24</f>
        <v>Third-level TR; verify rack/future rack clearances, access control, firestopping and pathway routes.</v>
      </c>
      <c r="Q1885" t="str">
        <f t="shared" si="29"/>
        <v>78|17</v>
      </c>
    </row>
    <row r="1886" spans="1:17" ht="6.45" customHeight="1">
      <c r="A1886" t="s">
        <v>381</v>
      </c>
      <c r="B1886">
        <v>18</v>
      </c>
      <c r="C1886" t="s">
        <v>61</v>
      </c>
      <c r="D1886">
        <v>25</v>
      </c>
      <c r="E1886" t="s">
        <v>936</v>
      </c>
      <c r="F1886" t="s">
        <v>5324</v>
      </c>
      <c r="G1886" t="str">
        <f>B78_Assessment!A25</f>
        <v>401</v>
      </c>
      <c r="H1886" t="str">
        <f>B78_Assessment!B25</f>
        <v>Verify</v>
      </c>
      <c r="I1886" t="str">
        <f>B78_Assessment!C25</f>
        <v>Verify</v>
      </c>
      <c r="J1886" t="str">
        <f>B78_Assessment!D25</f>
        <v>Verify</v>
      </c>
      <c r="K1886" t="str">
        <f>B78_Assessment!E25</f>
        <v>Verify</v>
      </c>
      <c r="L1886" t="str">
        <f>B78_Assessment!F25</f>
        <v>Verify</v>
      </c>
      <c r="M1886" t="str">
        <f>B78_Assessment!G25</f>
        <v>Verify</v>
      </c>
      <c r="N1886" t="str">
        <f>B78_Assessment!H25</f>
        <v>Verify</v>
      </c>
      <c r="O1886" t="str">
        <f>B78_Assessment!I25</f>
        <v>Verify</v>
      </c>
      <c r="P1886" t="str">
        <f>B78_Assessment!J25</f>
        <v>Fourth-level TR; verify rack/future rack clearances, access control, firestopping and pathway routes.</v>
      </c>
      <c r="Q1886" t="str">
        <f t="shared" si="29"/>
        <v>78|18</v>
      </c>
    </row>
    <row r="1887" spans="1:17" ht="6.45" customHeight="1">
      <c r="A1887" t="s">
        <v>381</v>
      </c>
      <c r="B1887">
        <v>19</v>
      </c>
      <c r="C1887" t="s">
        <v>61</v>
      </c>
      <c r="D1887">
        <v>26</v>
      </c>
      <c r="E1887" t="s">
        <v>936</v>
      </c>
      <c r="F1887" t="s">
        <v>5324</v>
      </c>
      <c r="G1887" t="str">
        <f>B78_Assessment!A26</f>
        <v>Existing rooms</v>
      </c>
      <c r="H1887" t="str">
        <f>B78_Assessment!B26</f>
        <v>Existing / Verify</v>
      </c>
      <c r="I1887" t="str">
        <f>B78_Assessment!C26</f>
        <v>Existing / Verify</v>
      </c>
      <c r="J1887" t="str">
        <f>B78_Assessment!D26</f>
        <v>Existing / Verify</v>
      </c>
      <c r="K1887" t="str">
        <f>B78_Assessment!E26</f>
        <v>Verify</v>
      </c>
      <c r="L1887" t="str">
        <f>B78_Assessment!F26</f>
        <v>Verify</v>
      </c>
      <c r="M1887" t="str">
        <f>B78_Assessment!G26</f>
        <v>Verify</v>
      </c>
      <c r="N1887" t="str">
        <f>B78_Assessment!H26</f>
        <v>Verify</v>
      </c>
      <c r="O1887" t="str">
        <f>B78_Assessment!I26</f>
        <v>Verify</v>
      </c>
      <c r="P1887" t="str">
        <f>B78_Assessment!J26</f>
        <v>Existing telecom rooms must be field verified for active equipment, protection-in-place and final abandonment/transfer condition.</v>
      </c>
      <c r="Q1887" t="str">
        <f t="shared" si="29"/>
        <v>78|19</v>
      </c>
    </row>
    <row r="1888" spans="1:17" ht="6.45" customHeight="1">
      <c r="A1888" t="s">
        <v>381</v>
      </c>
      <c r="B1888">
        <v>20</v>
      </c>
      <c r="C1888" t="s">
        <v>61</v>
      </c>
      <c r="D1888">
        <v>27</v>
      </c>
      <c r="E1888" t="s">
        <v>936</v>
      </c>
      <c r="F1888" t="s">
        <v>5325</v>
      </c>
      <c r="G1888">
        <f>B78_Assessment!A27</f>
        <v>0</v>
      </c>
      <c r="H1888">
        <f>B78_Assessment!B27</f>
        <v>0</v>
      </c>
      <c r="I1888">
        <f>B78_Assessment!C27</f>
        <v>0</v>
      </c>
      <c r="J1888">
        <f>B78_Assessment!D27</f>
        <v>0</v>
      </c>
      <c r="K1888">
        <f>B78_Assessment!E27</f>
        <v>0</v>
      </c>
      <c r="L1888">
        <f>B78_Assessment!F27</f>
        <v>0</v>
      </c>
      <c r="M1888">
        <f>B78_Assessment!G27</f>
        <v>0</v>
      </c>
      <c r="N1888">
        <f>B78_Assessment!H27</f>
        <v>0</v>
      </c>
      <c r="O1888">
        <f>B78_Assessment!I27</f>
        <v>0</v>
      </c>
      <c r="P1888">
        <f>B78_Assessment!J27</f>
        <v>0</v>
      </c>
      <c r="Q1888" t="str">
        <f t="shared" si="29"/>
        <v>78|20</v>
      </c>
    </row>
    <row r="1889" spans="1:17" ht="6.45" customHeight="1">
      <c r="A1889" t="s">
        <v>381</v>
      </c>
      <c r="B1889">
        <v>21</v>
      </c>
      <c r="C1889" t="s">
        <v>61</v>
      </c>
      <c r="D1889">
        <v>28</v>
      </c>
      <c r="E1889" t="s">
        <v>951</v>
      </c>
      <c r="F1889" t="s">
        <v>5322</v>
      </c>
      <c r="G1889" t="str">
        <f>B78_Assessment!A28</f>
        <v>3. FIRE PROTECTION</v>
      </c>
      <c r="H1889">
        <f>B78_Assessment!B28</f>
        <v>0</v>
      </c>
      <c r="I1889">
        <f>B78_Assessment!C28</f>
        <v>0</v>
      </c>
      <c r="J1889">
        <f>B78_Assessment!D28</f>
        <v>0</v>
      </c>
      <c r="K1889">
        <f>B78_Assessment!E28</f>
        <v>0</v>
      </c>
      <c r="L1889">
        <f>B78_Assessment!F28</f>
        <v>0</v>
      </c>
      <c r="M1889">
        <f>B78_Assessment!G28</f>
        <v>0</v>
      </c>
      <c r="N1889">
        <f>B78_Assessment!H28</f>
        <v>0</v>
      </c>
      <c r="O1889">
        <f>B78_Assessment!I28</f>
        <v>0</v>
      </c>
      <c r="P1889">
        <f>B78_Assessment!J28</f>
        <v>0</v>
      </c>
      <c r="Q1889" t="str">
        <f t="shared" si="29"/>
        <v>78|21</v>
      </c>
    </row>
    <row r="1890" spans="1:17" ht="6.45" customHeight="1">
      <c r="A1890" t="s">
        <v>381</v>
      </c>
      <c r="B1890">
        <v>22</v>
      </c>
      <c r="C1890" t="s">
        <v>61</v>
      </c>
      <c r="D1890">
        <v>29</v>
      </c>
      <c r="E1890" t="s">
        <v>951</v>
      </c>
      <c r="F1890" t="s">
        <v>5323</v>
      </c>
      <c r="G1890" t="str">
        <f>B78_Assessment!A29</f>
        <v>Room</v>
      </c>
      <c r="H1890" t="str">
        <f>B78_Assessment!B29</f>
        <v>Sprinkler</v>
      </c>
      <c r="I1890" t="str">
        <f>B78_Assessment!C29</f>
        <v>Cage</v>
      </c>
      <c r="J1890" t="str">
        <f>B78_Assessment!D29</f>
        <v>Detector</v>
      </c>
      <c r="K1890" t="str">
        <f>B78_Assessment!E29</f>
        <v>Horn/Strobe</v>
      </c>
      <c r="L1890" t="str">
        <f>B78_Assessment!F29</f>
        <v>Extinguisher &lt;75 ft</v>
      </c>
      <c r="M1890" t="str">
        <f>B78_Assessment!G29</f>
        <v>Firestop</v>
      </c>
      <c r="N1890" t="str">
        <f>B78_Assessment!H29</f>
        <v>Temp Firestop</v>
      </c>
      <c r="O1890" t="str">
        <f>B78_Assessment!I29</f>
        <v>Overall</v>
      </c>
      <c r="P1890" t="str">
        <f>B78_Assessment!J29</f>
        <v>Risk / Notes</v>
      </c>
      <c r="Q1890" t="str">
        <f t="shared" si="29"/>
        <v>78|22</v>
      </c>
    </row>
    <row r="1891" spans="1:17" ht="6.45" customHeight="1">
      <c r="A1891" t="s">
        <v>381</v>
      </c>
      <c r="B1891">
        <v>23</v>
      </c>
      <c r="C1891" t="s">
        <v>61</v>
      </c>
      <c r="D1891">
        <v>30</v>
      </c>
      <c r="E1891" t="s">
        <v>951</v>
      </c>
      <c r="F1891" t="s">
        <v>5324</v>
      </c>
      <c r="G1891" t="str">
        <f>B78_Assessment!A30</f>
        <v>B30</v>
      </c>
      <c r="H1891" t="str">
        <f>B78_Assessment!B30</f>
        <v>Verify</v>
      </c>
      <c r="I1891" t="str">
        <f>B78_Assessment!C30</f>
        <v>Verify</v>
      </c>
      <c r="J1891" t="str">
        <f>B78_Assessment!D30</f>
        <v>Verify</v>
      </c>
      <c r="K1891" t="str">
        <f>B78_Assessment!E30</f>
        <v>Verify</v>
      </c>
      <c r="L1891" t="str">
        <f>B78_Assessment!F30</f>
        <v>Verify</v>
      </c>
      <c r="M1891" t="str">
        <f>B78_Assessment!G30</f>
        <v>Verify</v>
      </c>
      <c r="N1891" t="str">
        <f>B78_Assessment!H30</f>
        <v>Verify</v>
      </c>
      <c r="O1891" t="str">
        <f>B78_Assessment!I30</f>
        <v>Verify</v>
      </c>
      <c r="P1891" t="str">
        <f>B78_Assessment!J30</f>
        <v>Full fire protection scope included. Verify sprinkler modifications, fire alarm devices, clean-agent 2A:10B:C FEC within 75 ft, and rated penetrations.</v>
      </c>
      <c r="Q1891" t="str">
        <f t="shared" si="29"/>
        <v>78|23</v>
      </c>
    </row>
    <row r="1892" spans="1:17" ht="6.45" customHeight="1">
      <c r="A1892" t="s">
        <v>381</v>
      </c>
      <c r="B1892">
        <v>24</v>
      </c>
      <c r="C1892" t="s">
        <v>61</v>
      </c>
      <c r="D1892">
        <v>31</v>
      </c>
      <c r="E1892" t="s">
        <v>951</v>
      </c>
      <c r="F1892" t="s">
        <v>5324</v>
      </c>
      <c r="G1892" t="str">
        <f>B78_Assessment!A31</f>
        <v>B35</v>
      </c>
      <c r="H1892" t="str">
        <f>B78_Assessment!B31</f>
        <v>Verify</v>
      </c>
      <c r="I1892" t="str">
        <f>B78_Assessment!C31</f>
        <v>Verify</v>
      </c>
      <c r="J1892" t="str">
        <f>B78_Assessment!D31</f>
        <v>Verify</v>
      </c>
      <c r="K1892" t="str">
        <f>B78_Assessment!E31</f>
        <v>Verify</v>
      </c>
      <c r="L1892" t="str">
        <f>B78_Assessment!F31</f>
        <v>Verify</v>
      </c>
      <c r="M1892" t="str">
        <f>B78_Assessment!G31</f>
        <v>Verify</v>
      </c>
      <c r="N1892" t="str">
        <f>B78_Assessment!H31</f>
        <v>Verify</v>
      </c>
      <c r="O1892" t="str">
        <f>B78_Assessment!I31</f>
        <v>Verify</v>
      </c>
      <c r="P1892" t="str">
        <f>B78_Assessment!J31</f>
        <v>Verify FP/FA modifications, FEC location, temporary firestopping and final UL systems.</v>
      </c>
      <c r="Q1892" t="str">
        <f t="shared" si="29"/>
        <v>78|24</v>
      </c>
    </row>
    <row r="1893" spans="1:17" ht="6.45" customHeight="1">
      <c r="A1893" t="s">
        <v>381</v>
      </c>
      <c r="B1893">
        <v>25</v>
      </c>
      <c r="C1893" t="s">
        <v>61</v>
      </c>
      <c r="D1893">
        <v>32</v>
      </c>
      <c r="E1893" t="s">
        <v>951</v>
      </c>
      <c r="F1893" t="s">
        <v>5324</v>
      </c>
      <c r="G1893" t="str">
        <f>B78_Assessment!A32</f>
        <v>1232</v>
      </c>
      <c r="H1893" t="str">
        <f>B78_Assessment!B32</f>
        <v>Verify</v>
      </c>
      <c r="I1893" t="str">
        <f>B78_Assessment!C32</f>
        <v>Verify</v>
      </c>
      <c r="J1893" t="str">
        <f>B78_Assessment!D32</f>
        <v>Verify</v>
      </c>
      <c r="K1893" t="str">
        <f>B78_Assessment!E32</f>
        <v>Verify</v>
      </c>
      <c r="L1893" t="str">
        <f>B78_Assessment!F32</f>
        <v>Verify</v>
      </c>
      <c r="M1893" t="str">
        <f>B78_Assessment!G32</f>
        <v>Verify</v>
      </c>
      <c r="N1893" t="str">
        <f>B78_Assessment!H32</f>
        <v>Verify</v>
      </c>
      <c r="O1893" t="str">
        <f>B78_Assessment!I32</f>
        <v>Verify</v>
      </c>
      <c r="P1893" t="str">
        <f>B78_Assessment!J32</f>
        <v>Verify first-level TR sprinkler/FA work, FEC location and cable tray penetrations.</v>
      </c>
      <c r="Q1893" t="str">
        <f t="shared" si="29"/>
        <v>78|25</v>
      </c>
    </row>
    <row r="1894" spans="1:17" ht="6.45" customHeight="1">
      <c r="A1894" t="s">
        <v>381</v>
      </c>
      <c r="B1894">
        <v>26</v>
      </c>
      <c r="C1894" t="s">
        <v>61</v>
      </c>
      <c r="D1894">
        <v>33</v>
      </c>
      <c r="E1894" t="s">
        <v>951</v>
      </c>
      <c r="F1894" t="s">
        <v>5324</v>
      </c>
      <c r="G1894" t="str">
        <f>B78_Assessment!A33</f>
        <v>227A</v>
      </c>
      <c r="H1894" t="str">
        <f>B78_Assessment!B33</f>
        <v>Verify</v>
      </c>
      <c r="I1894" t="str">
        <f>B78_Assessment!C33</f>
        <v>Verify</v>
      </c>
      <c r="J1894" t="str">
        <f>B78_Assessment!D33</f>
        <v>Verify</v>
      </c>
      <c r="K1894" t="str">
        <f>B78_Assessment!E33</f>
        <v>Verify</v>
      </c>
      <c r="L1894" t="str">
        <f>B78_Assessment!F33</f>
        <v>Verify</v>
      </c>
      <c r="M1894" t="str">
        <f>B78_Assessment!G33</f>
        <v>Verify</v>
      </c>
      <c r="N1894" t="str">
        <f>B78_Assessment!H33</f>
        <v>Verify</v>
      </c>
      <c r="O1894" t="str">
        <f>B78_Assessment!I33</f>
        <v>Verify</v>
      </c>
      <c r="P1894" t="str">
        <f>B78_Assessment!J33</f>
        <v>Verify second-level TR sprinkler/FA work, FEC location, vertical riser penetrations and firestopping.</v>
      </c>
      <c r="Q1894" t="str">
        <f t="shared" si="29"/>
        <v>78|26</v>
      </c>
    </row>
    <row r="1895" spans="1:17" ht="6.45" customHeight="1">
      <c r="A1895" t="s">
        <v>381</v>
      </c>
      <c r="B1895">
        <v>27</v>
      </c>
      <c r="C1895" t="s">
        <v>61</v>
      </c>
      <c r="D1895">
        <v>34</v>
      </c>
      <c r="E1895" t="s">
        <v>951</v>
      </c>
      <c r="F1895" t="s">
        <v>5324</v>
      </c>
      <c r="G1895" t="str">
        <f>B78_Assessment!A34</f>
        <v>342</v>
      </c>
      <c r="H1895" t="str">
        <f>B78_Assessment!B34</f>
        <v>Verify</v>
      </c>
      <c r="I1895" t="str">
        <f>B78_Assessment!C34</f>
        <v>Verify</v>
      </c>
      <c r="J1895" t="str">
        <f>B78_Assessment!D34</f>
        <v>Verify</v>
      </c>
      <c r="K1895" t="str">
        <f>B78_Assessment!E34</f>
        <v>Verify</v>
      </c>
      <c r="L1895" t="str">
        <f>B78_Assessment!F34</f>
        <v>Verify</v>
      </c>
      <c r="M1895" t="str">
        <f>B78_Assessment!G34</f>
        <v>Verify</v>
      </c>
      <c r="N1895" t="str">
        <f>B78_Assessment!H34</f>
        <v>Verify</v>
      </c>
      <c r="O1895" t="str">
        <f>B78_Assessment!I34</f>
        <v>Verify</v>
      </c>
      <c r="P1895" t="str">
        <f>B78_Assessment!J34</f>
        <v>Verify third-level TR fire protection/fire alarm coordination and firestop work.</v>
      </c>
      <c r="Q1895" t="str">
        <f t="shared" si="29"/>
        <v>78|27</v>
      </c>
    </row>
    <row r="1896" spans="1:17" ht="6.45" customHeight="1">
      <c r="A1896" t="s">
        <v>381</v>
      </c>
      <c r="B1896">
        <v>28</v>
      </c>
      <c r="C1896" t="s">
        <v>61</v>
      </c>
      <c r="D1896">
        <v>35</v>
      </c>
      <c r="E1896" t="s">
        <v>951</v>
      </c>
      <c r="F1896" t="s">
        <v>5324</v>
      </c>
      <c r="G1896" t="str">
        <f>B78_Assessment!A35</f>
        <v>401</v>
      </c>
      <c r="H1896" t="str">
        <f>B78_Assessment!B35</f>
        <v>Verify</v>
      </c>
      <c r="I1896" t="str">
        <f>B78_Assessment!C35</f>
        <v>Verify</v>
      </c>
      <c r="J1896" t="str">
        <f>B78_Assessment!D35</f>
        <v>Verify</v>
      </c>
      <c r="K1896" t="str">
        <f>B78_Assessment!E35</f>
        <v>Verify</v>
      </c>
      <c r="L1896" t="str">
        <f>B78_Assessment!F35</f>
        <v>Verify</v>
      </c>
      <c r="M1896" t="str">
        <f>B78_Assessment!G35</f>
        <v>Verify</v>
      </c>
      <c r="N1896" t="str">
        <f>B78_Assessment!H35</f>
        <v>Verify</v>
      </c>
      <c r="O1896" t="str">
        <f>B78_Assessment!I35</f>
        <v>Verify</v>
      </c>
      <c r="P1896" t="str">
        <f>B78_Assessment!J35</f>
        <v>Verify fourth-level TR fire protection/fire alarm coordination and firestop work.</v>
      </c>
      <c r="Q1896" t="str">
        <f t="shared" si="29"/>
        <v>78|28</v>
      </c>
    </row>
    <row r="1897" spans="1:17" ht="6.45" customHeight="1">
      <c r="A1897" t="s">
        <v>381</v>
      </c>
      <c r="B1897">
        <v>29</v>
      </c>
      <c r="C1897" t="s">
        <v>61</v>
      </c>
      <c r="D1897">
        <v>36</v>
      </c>
      <c r="E1897" t="s">
        <v>951</v>
      </c>
      <c r="F1897" t="s">
        <v>5324</v>
      </c>
      <c r="G1897" t="str">
        <f>B78_Assessment!A36</f>
        <v>Existing rooms</v>
      </c>
      <c r="H1897" t="str">
        <f>B78_Assessment!B36</f>
        <v>Verify</v>
      </c>
      <c r="I1897" t="str">
        <f>B78_Assessment!C36</f>
        <v>N/A</v>
      </c>
      <c r="J1897" t="str">
        <f>B78_Assessment!D36</f>
        <v>Verify</v>
      </c>
      <c r="K1897" t="str">
        <f>B78_Assessment!E36</f>
        <v>Verify</v>
      </c>
      <c r="L1897" t="str">
        <f>B78_Assessment!F36</f>
        <v>Verify</v>
      </c>
      <c r="M1897" t="str">
        <f>B78_Assessment!G36</f>
        <v>Verify</v>
      </c>
      <c r="N1897" t="str">
        <f>B78_Assessment!H36</f>
        <v>Verify</v>
      </c>
      <c r="O1897" t="str">
        <f>B78_Assessment!I36</f>
        <v>Verify</v>
      </c>
      <c r="P1897" t="str">
        <f>B78_Assessment!J36</f>
        <v>Verify existing rooms remain protected during cutover and no unsealed penetrations remain.</v>
      </c>
      <c r="Q1897" t="str">
        <f t="shared" si="29"/>
        <v>78|29</v>
      </c>
    </row>
    <row r="1898" spans="1:17" ht="6.45" customHeight="1">
      <c r="A1898" t="s">
        <v>381</v>
      </c>
      <c r="B1898">
        <v>30</v>
      </c>
      <c r="C1898" t="s">
        <v>61</v>
      </c>
      <c r="D1898">
        <v>37</v>
      </c>
      <c r="E1898" t="s">
        <v>951</v>
      </c>
      <c r="F1898" t="s">
        <v>5325</v>
      </c>
      <c r="G1898">
        <f>B78_Assessment!A37</f>
        <v>0</v>
      </c>
      <c r="H1898">
        <f>B78_Assessment!B37</f>
        <v>0</v>
      </c>
      <c r="I1898">
        <f>B78_Assessment!C37</f>
        <v>0</v>
      </c>
      <c r="J1898">
        <f>B78_Assessment!D37</f>
        <v>0</v>
      </c>
      <c r="K1898">
        <f>B78_Assessment!E37</f>
        <v>0</v>
      </c>
      <c r="L1898">
        <f>B78_Assessment!F37</f>
        <v>0</v>
      </c>
      <c r="M1898">
        <f>B78_Assessment!G37</f>
        <v>0</v>
      </c>
      <c r="N1898">
        <f>B78_Assessment!H37</f>
        <v>0</v>
      </c>
      <c r="O1898">
        <f>B78_Assessment!I37</f>
        <v>0</v>
      </c>
      <c r="P1898">
        <f>B78_Assessment!J37</f>
        <v>0</v>
      </c>
      <c r="Q1898" t="str">
        <f t="shared" si="29"/>
        <v>78|30</v>
      </c>
    </row>
    <row r="1899" spans="1:17" ht="6.45" customHeight="1">
      <c r="A1899" t="s">
        <v>381</v>
      </c>
      <c r="B1899">
        <v>31</v>
      </c>
      <c r="C1899" t="s">
        <v>61</v>
      </c>
      <c r="D1899">
        <v>38</v>
      </c>
      <c r="E1899" t="s">
        <v>964</v>
      </c>
      <c r="F1899" t="s">
        <v>5322</v>
      </c>
      <c r="G1899" t="str">
        <f>B78_Assessment!A38</f>
        <v>4. HVAC / COOLING</v>
      </c>
      <c r="H1899">
        <f>B78_Assessment!B38</f>
        <v>0</v>
      </c>
      <c r="I1899">
        <f>B78_Assessment!C38</f>
        <v>0</v>
      </c>
      <c r="J1899">
        <f>B78_Assessment!D38</f>
        <v>0</v>
      </c>
      <c r="K1899">
        <f>B78_Assessment!E38</f>
        <v>0</v>
      </c>
      <c r="L1899">
        <f>B78_Assessment!F38</f>
        <v>0</v>
      </c>
      <c r="M1899">
        <f>B78_Assessment!G38</f>
        <v>0</v>
      </c>
      <c r="N1899">
        <f>B78_Assessment!H38</f>
        <v>0</v>
      </c>
      <c r="O1899">
        <f>B78_Assessment!I38</f>
        <v>0</v>
      </c>
      <c r="P1899">
        <f>B78_Assessment!J38</f>
        <v>0</v>
      </c>
      <c r="Q1899" t="str">
        <f t="shared" si="29"/>
        <v>78|31</v>
      </c>
    </row>
    <row r="1900" spans="1:17" ht="6.45" customHeight="1">
      <c r="A1900" t="s">
        <v>381</v>
      </c>
      <c r="B1900">
        <v>32</v>
      </c>
      <c r="C1900" t="s">
        <v>61</v>
      </c>
      <c r="D1900">
        <v>39</v>
      </c>
      <c r="E1900" t="s">
        <v>964</v>
      </c>
      <c r="F1900" t="s">
        <v>5323</v>
      </c>
      <c r="G1900" t="str">
        <f>B78_Assessment!A39</f>
        <v>Room</v>
      </c>
      <c r="H1900" t="str">
        <f>B78_Assessment!B39</f>
        <v>Dedicated Unit</v>
      </c>
      <c r="I1900" t="str">
        <f>B78_Assessment!C39</f>
        <v>Capacity Verified</v>
      </c>
      <c r="J1900" t="str">
        <f>B78_Assessment!D39</f>
        <v>Emergency Power</v>
      </c>
      <c r="K1900" t="str">
        <f>B78_Assessment!E39</f>
        <v>Controls / BACnet</v>
      </c>
      <c r="L1900" t="str">
        <f>B78_Assessment!F39</f>
        <v>Condensate Routed</v>
      </c>
      <c r="M1900" t="str">
        <f>B78_Assessment!G39</f>
        <v>High Temp Alarm</v>
      </c>
      <c r="N1900" t="str">
        <f>B78_Assessment!H39</f>
        <v>24/7 Operation</v>
      </c>
      <c r="O1900" t="str">
        <f>B78_Assessment!I39</f>
        <v>Overall</v>
      </c>
      <c r="P1900" t="str">
        <f>B78_Assessment!J39</f>
        <v>Risk / Notes</v>
      </c>
      <c r="Q1900" t="str">
        <f t="shared" si="29"/>
        <v>78|32</v>
      </c>
    </row>
    <row r="1901" spans="1:17" ht="6.45" customHeight="1">
      <c r="A1901" t="s">
        <v>381</v>
      </c>
      <c r="B1901">
        <v>33</v>
      </c>
      <c r="C1901" t="s">
        <v>61</v>
      </c>
      <c r="D1901">
        <v>40</v>
      </c>
      <c r="E1901" t="s">
        <v>964</v>
      </c>
      <c r="F1901" t="s">
        <v>5324</v>
      </c>
      <c r="G1901" t="str">
        <f>B78_Assessment!A40</f>
        <v>B30</v>
      </c>
      <c r="H1901" t="str">
        <f>B78_Assessment!B40</f>
        <v>Dedicated TR cooling shown / verify</v>
      </c>
      <c r="I1901" t="str">
        <f>B78_Assessment!C40</f>
        <v>Verify</v>
      </c>
      <c r="J1901" t="str">
        <f>B78_Assessment!D40</f>
        <v>Verify</v>
      </c>
      <c r="K1901" t="str">
        <f>B78_Assessment!E40</f>
        <v>Verify</v>
      </c>
      <c r="L1901" t="str">
        <f>B78_Assessment!F40</f>
        <v>Verify</v>
      </c>
      <c r="M1901" t="str">
        <f>B78_Assessment!G40</f>
        <v>Verify</v>
      </c>
      <c r="N1901" t="str">
        <f>B78_Assessment!H40</f>
        <v>Verify</v>
      </c>
      <c r="O1901" t="str">
        <f>B78_Assessment!I40</f>
        <v>Verify</v>
      </c>
      <c r="P1901" t="str">
        <f>B78_Assessment!J40</f>
        <v>Mechanical sheets included for basement. Verify dedicated cooling equipment, capacity, condensate, emergency source, controls/BACnet and high-temperature alarm.</v>
      </c>
      <c r="Q1901" t="str">
        <f t="shared" si="29"/>
        <v>78|33</v>
      </c>
    </row>
    <row r="1902" spans="1:17" ht="6.45" customHeight="1">
      <c r="A1902" t="s">
        <v>381</v>
      </c>
      <c r="B1902">
        <v>34</v>
      </c>
      <c r="C1902" t="s">
        <v>61</v>
      </c>
      <c r="D1902">
        <v>41</v>
      </c>
      <c r="E1902" t="s">
        <v>964</v>
      </c>
      <c r="F1902" t="s">
        <v>5324</v>
      </c>
      <c r="G1902" t="str">
        <f>B78_Assessment!A41</f>
        <v>B35</v>
      </c>
      <c r="H1902" t="str">
        <f>B78_Assessment!B41</f>
        <v>Dedicated TR cooling shown / verify</v>
      </c>
      <c r="I1902" t="str">
        <f>B78_Assessment!C41</f>
        <v>Verify</v>
      </c>
      <c r="J1902" t="str">
        <f>B78_Assessment!D41</f>
        <v>Verify</v>
      </c>
      <c r="K1902" t="str">
        <f>B78_Assessment!E41</f>
        <v>Verify</v>
      </c>
      <c r="L1902" t="str">
        <f>B78_Assessment!F41</f>
        <v>Verify</v>
      </c>
      <c r="M1902" t="str">
        <f>B78_Assessment!G41</f>
        <v>Verify</v>
      </c>
      <c r="N1902" t="str">
        <f>B78_Assessment!H41</f>
        <v>Verify</v>
      </c>
      <c r="O1902" t="str">
        <f>B78_Assessment!I41</f>
        <v>Verify</v>
      </c>
      <c r="P1902" t="str">
        <f>B78_Assessment!J41</f>
        <v>Verify dedicated cooling and relationship to B30/B35 telecom buildout.</v>
      </c>
      <c r="Q1902" t="str">
        <f t="shared" si="29"/>
        <v>78|34</v>
      </c>
    </row>
    <row r="1903" spans="1:17" ht="6.45" customHeight="1">
      <c r="A1903" t="s">
        <v>381</v>
      </c>
      <c r="B1903">
        <v>35</v>
      </c>
      <c r="C1903" t="s">
        <v>61</v>
      </c>
      <c r="D1903">
        <v>42</v>
      </c>
      <c r="E1903" t="s">
        <v>964</v>
      </c>
      <c r="F1903" t="s">
        <v>5324</v>
      </c>
      <c r="G1903" t="str">
        <f>B78_Assessment!A42</f>
        <v>1232</v>
      </c>
      <c r="H1903" t="str">
        <f>B78_Assessment!B42</f>
        <v>Dedicated TR cooling shown / verify</v>
      </c>
      <c r="I1903" t="str">
        <f>B78_Assessment!C42</f>
        <v>Verify</v>
      </c>
      <c r="J1903" t="str">
        <f>B78_Assessment!D42</f>
        <v>Verify</v>
      </c>
      <c r="K1903" t="str">
        <f>B78_Assessment!E42</f>
        <v>Verify</v>
      </c>
      <c r="L1903" t="str">
        <f>B78_Assessment!F42</f>
        <v>Verify</v>
      </c>
      <c r="M1903" t="str">
        <f>B78_Assessment!G42</f>
        <v>Verify</v>
      </c>
      <c r="N1903" t="str">
        <f>B78_Assessment!H42</f>
        <v>Verify</v>
      </c>
      <c r="O1903" t="str">
        <f>B78_Assessment!I42</f>
        <v>Verify</v>
      </c>
      <c r="P1903" t="str">
        <f>B78_Assessment!J42</f>
        <v>Verify first-level TR cooling, controls, emergency power and alarm tie-in.</v>
      </c>
      <c r="Q1903" t="str">
        <f t="shared" si="29"/>
        <v>78|35</v>
      </c>
    </row>
    <row r="1904" spans="1:17" ht="6.45" customHeight="1">
      <c r="A1904" t="s">
        <v>381</v>
      </c>
      <c r="B1904">
        <v>36</v>
      </c>
      <c r="C1904" t="s">
        <v>61</v>
      </c>
      <c r="D1904">
        <v>43</v>
      </c>
      <c r="E1904" t="s">
        <v>964</v>
      </c>
      <c r="F1904" t="s">
        <v>5324</v>
      </c>
      <c r="G1904" t="str">
        <f>B78_Assessment!A43</f>
        <v>227A</v>
      </c>
      <c r="H1904" t="str">
        <f>B78_Assessment!B43</f>
        <v>Dedicated TR cooling shown / verify</v>
      </c>
      <c r="I1904" t="str">
        <f>B78_Assessment!C43</f>
        <v>Verify</v>
      </c>
      <c r="J1904" t="str">
        <f>B78_Assessment!D43</f>
        <v>Verify</v>
      </c>
      <c r="K1904" t="str">
        <f>B78_Assessment!E43</f>
        <v>Verify</v>
      </c>
      <c r="L1904" t="str">
        <f>B78_Assessment!F43</f>
        <v>Verify</v>
      </c>
      <c r="M1904" t="str">
        <f>B78_Assessment!G43</f>
        <v>Verify</v>
      </c>
      <c r="N1904" t="str">
        <f>B78_Assessment!H43</f>
        <v>Verify</v>
      </c>
      <c r="O1904" t="str">
        <f>B78_Assessment!I43</f>
        <v>Verify</v>
      </c>
      <c r="P1904" t="str">
        <f>B78_Assessment!J43</f>
        <v>Verify second-level TR cooling, condensate route and 24/7 operation.</v>
      </c>
      <c r="Q1904" t="str">
        <f t="shared" si="29"/>
        <v>78|36</v>
      </c>
    </row>
    <row r="1905" spans="1:17" ht="6.45" customHeight="1">
      <c r="A1905" t="s">
        <v>381</v>
      </c>
      <c r="B1905">
        <v>37</v>
      </c>
      <c r="C1905" t="s">
        <v>61</v>
      </c>
      <c r="D1905">
        <v>44</v>
      </c>
      <c r="E1905" t="s">
        <v>964</v>
      </c>
      <c r="F1905" t="s">
        <v>5324</v>
      </c>
      <c r="G1905" t="str">
        <f>B78_Assessment!A44</f>
        <v>342</v>
      </c>
      <c r="H1905" t="str">
        <f>B78_Assessment!B44</f>
        <v>Dedicated TR cooling shown / verify</v>
      </c>
      <c r="I1905" t="str">
        <f>B78_Assessment!C44</f>
        <v>Verify</v>
      </c>
      <c r="J1905" t="str">
        <f>B78_Assessment!D44</f>
        <v>Verify</v>
      </c>
      <c r="K1905" t="str">
        <f>B78_Assessment!E44</f>
        <v>Verify</v>
      </c>
      <c r="L1905" t="str">
        <f>B78_Assessment!F44</f>
        <v>Verify</v>
      </c>
      <c r="M1905" t="str">
        <f>B78_Assessment!G44</f>
        <v>Verify</v>
      </c>
      <c r="N1905" t="str">
        <f>B78_Assessment!H44</f>
        <v>Verify</v>
      </c>
      <c r="O1905" t="str">
        <f>B78_Assessment!I44</f>
        <v>Verify</v>
      </c>
      <c r="P1905" t="str">
        <f>B78_Assessment!J44</f>
        <v>Verify third-level TR cooling and control/alarm integration.</v>
      </c>
      <c r="Q1905" t="str">
        <f t="shared" si="29"/>
        <v>78|37</v>
      </c>
    </row>
    <row r="1906" spans="1:17" ht="6.45" customHeight="1">
      <c r="A1906" t="s">
        <v>381</v>
      </c>
      <c r="B1906">
        <v>38</v>
      </c>
      <c r="C1906" t="s">
        <v>61</v>
      </c>
      <c r="D1906">
        <v>45</v>
      </c>
      <c r="E1906" t="s">
        <v>964</v>
      </c>
      <c r="F1906" t="s">
        <v>5324</v>
      </c>
      <c r="G1906" t="str">
        <f>B78_Assessment!A45</f>
        <v>401</v>
      </c>
      <c r="H1906" t="str">
        <f>B78_Assessment!B45</f>
        <v>Dedicated TR cooling shown / verify</v>
      </c>
      <c r="I1906" t="str">
        <f>B78_Assessment!C45</f>
        <v>Verify</v>
      </c>
      <c r="J1906" t="str">
        <f>B78_Assessment!D45</f>
        <v>Verify</v>
      </c>
      <c r="K1906" t="str">
        <f>B78_Assessment!E45</f>
        <v>Verify</v>
      </c>
      <c r="L1906" t="str">
        <f>B78_Assessment!F45</f>
        <v>Verify</v>
      </c>
      <c r="M1906" t="str">
        <f>B78_Assessment!G45</f>
        <v>Verify</v>
      </c>
      <c r="N1906" t="str">
        <f>B78_Assessment!H45</f>
        <v>Verify</v>
      </c>
      <c r="O1906" t="str">
        <f>B78_Assessment!I45</f>
        <v>Verify</v>
      </c>
      <c r="P1906" t="str">
        <f>B78_Assessment!J45</f>
        <v>Verify fourth-level TR cooling and control/alarm integration.</v>
      </c>
      <c r="Q1906" t="str">
        <f t="shared" si="29"/>
        <v>78|38</v>
      </c>
    </row>
    <row r="1907" spans="1:17" ht="6.45" customHeight="1">
      <c r="A1907" t="s">
        <v>381</v>
      </c>
      <c r="B1907">
        <v>39</v>
      </c>
      <c r="C1907" t="s">
        <v>61</v>
      </c>
      <c r="D1907">
        <v>46</v>
      </c>
      <c r="E1907" t="s">
        <v>964</v>
      </c>
      <c r="F1907" t="s">
        <v>5324</v>
      </c>
      <c r="G1907" t="str">
        <f>B78_Assessment!A46</f>
        <v>Existing rooms</v>
      </c>
      <c r="H1907" t="str">
        <f>B78_Assessment!B46</f>
        <v>Existing / Verify</v>
      </c>
      <c r="I1907" t="str">
        <f>B78_Assessment!C46</f>
        <v>Verify</v>
      </c>
      <c r="J1907" t="str">
        <f>B78_Assessment!D46</f>
        <v>Verify</v>
      </c>
      <c r="K1907" t="str">
        <f>B78_Assessment!E46</f>
        <v>Verify</v>
      </c>
      <c r="L1907" t="str">
        <f>B78_Assessment!F46</f>
        <v>Verify</v>
      </c>
      <c r="M1907" t="str">
        <f>B78_Assessment!G46</f>
        <v>Verify</v>
      </c>
      <c r="N1907" t="str">
        <f>B78_Assessment!H46</f>
        <v>Verify</v>
      </c>
      <c r="O1907" t="str">
        <f>B78_Assessment!I46</f>
        <v>Verify</v>
      </c>
      <c r="P1907" t="str">
        <f>B78_Assessment!J46</f>
        <v>Existing telecom rooms likely have legacy cooling dependencies. Verify active equipment temperature and any protect-in-place cooling requirements.</v>
      </c>
      <c r="Q1907" t="str">
        <f t="shared" si="29"/>
        <v>78|39</v>
      </c>
    </row>
    <row r="1908" spans="1:17" ht="6.45" customHeight="1">
      <c r="A1908" t="s">
        <v>381</v>
      </c>
      <c r="B1908">
        <v>40</v>
      </c>
      <c r="C1908" t="s">
        <v>61</v>
      </c>
      <c r="D1908">
        <v>47</v>
      </c>
      <c r="E1908" t="s">
        <v>964</v>
      </c>
      <c r="F1908" t="s">
        <v>5325</v>
      </c>
      <c r="G1908">
        <f>B78_Assessment!A47</f>
        <v>0</v>
      </c>
      <c r="H1908">
        <f>B78_Assessment!B47</f>
        <v>0</v>
      </c>
      <c r="I1908">
        <f>B78_Assessment!C47</f>
        <v>0</v>
      </c>
      <c r="J1908">
        <f>B78_Assessment!D47</f>
        <v>0</v>
      </c>
      <c r="K1908">
        <f>B78_Assessment!E47</f>
        <v>0</v>
      </c>
      <c r="L1908">
        <f>B78_Assessment!F47</f>
        <v>0</v>
      </c>
      <c r="M1908">
        <f>B78_Assessment!G47</f>
        <v>0</v>
      </c>
      <c r="N1908">
        <f>B78_Assessment!H47</f>
        <v>0</v>
      </c>
      <c r="O1908">
        <f>B78_Assessment!I47</f>
        <v>0</v>
      </c>
      <c r="P1908">
        <f>B78_Assessment!J47</f>
        <v>0</v>
      </c>
      <c r="Q1908" t="str">
        <f t="shared" si="29"/>
        <v>78|40</v>
      </c>
    </row>
    <row r="1909" spans="1:17" ht="6.45" customHeight="1">
      <c r="A1909" t="s">
        <v>381</v>
      </c>
      <c r="B1909">
        <v>41</v>
      </c>
      <c r="C1909" t="s">
        <v>61</v>
      </c>
      <c r="D1909">
        <v>48</v>
      </c>
      <c r="E1909" t="s">
        <v>977</v>
      </c>
      <c r="F1909" t="s">
        <v>5322</v>
      </c>
      <c r="G1909" t="str">
        <f>B78_Assessment!A48</f>
        <v>5. ELECTRICAL / UPS</v>
      </c>
      <c r="H1909">
        <f>B78_Assessment!B48</f>
        <v>0</v>
      </c>
      <c r="I1909">
        <f>B78_Assessment!C48</f>
        <v>0</v>
      </c>
      <c r="J1909">
        <f>B78_Assessment!D48</f>
        <v>0</v>
      </c>
      <c r="K1909">
        <f>B78_Assessment!E48</f>
        <v>0</v>
      </c>
      <c r="L1909">
        <f>B78_Assessment!F48</f>
        <v>0</v>
      </c>
      <c r="M1909">
        <f>B78_Assessment!G48</f>
        <v>0</v>
      </c>
      <c r="N1909">
        <f>B78_Assessment!H48</f>
        <v>0</v>
      </c>
      <c r="O1909">
        <f>B78_Assessment!I48</f>
        <v>0</v>
      </c>
      <c r="P1909">
        <f>B78_Assessment!J48</f>
        <v>0</v>
      </c>
      <c r="Q1909" t="str">
        <f t="shared" si="29"/>
        <v>78|41</v>
      </c>
    </row>
    <row r="1910" spans="1:17" ht="6.45" customHeight="1">
      <c r="A1910" t="s">
        <v>381</v>
      </c>
      <c r="B1910">
        <v>42</v>
      </c>
      <c r="C1910" t="s">
        <v>61</v>
      </c>
      <c r="D1910">
        <v>49</v>
      </c>
      <c r="E1910" t="s">
        <v>977</v>
      </c>
      <c r="F1910" t="s">
        <v>5323</v>
      </c>
      <c r="G1910" t="str">
        <f>B78_Assessment!A49</f>
        <v>Room</v>
      </c>
      <c r="H1910" t="str">
        <f>B78_Assessment!B49</f>
        <v>UPS Installed</v>
      </c>
      <c r="I1910" t="str">
        <f>B78_Assessment!C49</f>
        <v>UPS Size</v>
      </c>
      <c r="J1910" t="str">
        <f>B78_Assessment!D49</f>
        <v>PDU Installed</v>
      </c>
      <c r="K1910" t="str">
        <f>B78_Assessment!E49</f>
        <v>Rack Receptacles</v>
      </c>
      <c r="L1910" t="str">
        <f>B78_Assessment!F49</f>
        <v>Panel Assigned</v>
      </c>
      <c r="M1910" t="str">
        <f>B78_Assessment!G49</f>
        <v>Emergency Source</v>
      </c>
      <c r="N1910" t="str">
        <f>B78_Assessment!H49</f>
        <v>SPD / Labeling</v>
      </c>
      <c r="O1910" t="str">
        <f>B78_Assessment!I49</f>
        <v>Overall</v>
      </c>
      <c r="P1910" t="str">
        <f>B78_Assessment!J49</f>
        <v>Notes</v>
      </c>
      <c r="Q1910" t="str">
        <f t="shared" si="29"/>
        <v>78|42</v>
      </c>
    </row>
    <row r="1911" spans="1:17" ht="6.45" customHeight="1">
      <c r="A1911" t="s">
        <v>381</v>
      </c>
      <c r="B1911">
        <v>43</v>
      </c>
      <c r="C1911" t="s">
        <v>61</v>
      </c>
      <c r="D1911">
        <v>50</v>
      </c>
      <c r="E1911" t="s">
        <v>977</v>
      </c>
      <c r="F1911" t="s">
        <v>5324</v>
      </c>
      <c r="G1911" t="str">
        <f>B78_Assessment!A50</f>
        <v>B30</v>
      </c>
      <c r="H1911" t="str">
        <f>B78_Assessment!B50</f>
        <v>Verify</v>
      </c>
      <c r="I1911" t="str">
        <f>B78_Assessment!C50</f>
        <v>5 kW / 208V rack UPS</v>
      </c>
      <c r="J1911" t="str">
        <f>B78_Assessment!D50</f>
        <v>Verify</v>
      </c>
      <c r="K1911" t="str">
        <f>B78_Assessment!E50</f>
        <v>Verify</v>
      </c>
      <c r="L1911" t="str">
        <f>B78_Assessment!F50</f>
        <v>B78-TRB30 panels / verify</v>
      </c>
      <c r="M1911" t="str">
        <f>B78_Assessment!G50</f>
        <v>Verify</v>
      </c>
      <c r="N1911" t="str">
        <f>B78_Assessment!H50</f>
        <v>Verify</v>
      </c>
      <c r="O1911" t="str">
        <f>B78_Assessment!I50</f>
        <v>Verify</v>
      </c>
      <c r="P1911" t="str">
        <f>B78_Assessment!J50</f>
        <v>Rack elevations identify new rack UPS/PDU and future rack. Verify panelboard/source, SPD, rack receptacles, PDU feeds, labels, load measurement and LOTO.</v>
      </c>
      <c r="Q1911" t="str">
        <f t="shared" si="29"/>
        <v>78|43</v>
      </c>
    </row>
    <row r="1912" spans="1:17" ht="6.45" customHeight="1">
      <c r="A1912" t="s">
        <v>381</v>
      </c>
      <c r="B1912">
        <v>44</v>
      </c>
      <c r="C1912" t="s">
        <v>61</v>
      </c>
      <c r="D1912">
        <v>51</v>
      </c>
      <c r="E1912" t="s">
        <v>977</v>
      </c>
      <c r="F1912" t="s">
        <v>5324</v>
      </c>
      <c r="G1912" t="str">
        <f>B78_Assessment!A51</f>
        <v>B35</v>
      </c>
      <c r="H1912" t="str">
        <f>B78_Assessment!B51</f>
        <v>Verify</v>
      </c>
      <c r="I1912" t="str">
        <f>B78_Assessment!C51</f>
        <v>5 kW / 208V rack UPS</v>
      </c>
      <c r="J1912" t="str">
        <f>B78_Assessment!D51</f>
        <v>Verify</v>
      </c>
      <c r="K1912" t="str">
        <f>B78_Assessment!E51</f>
        <v>Verify</v>
      </c>
      <c r="L1912" t="str">
        <f>B78_Assessment!F51</f>
        <v>B78-TRB35 panels / verify</v>
      </c>
      <c r="M1912" t="str">
        <f>B78_Assessment!G51</f>
        <v>Verify</v>
      </c>
      <c r="N1912" t="str">
        <f>B78_Assessment!H51</f>
        <v>Verify</v>
      </c>
      <c r="O1912" t="str">
        <f>B78_Assessment!I51</f>
        <v>Verify</v>
      </c>
      <c r="P1912" t="str">
        <f>B78_Assessment!J51</f>
        <v>Verify rack UPS/PDU source, spare/future rack provisions and grounding/bonding.</v>
      </c>
      <c r="Q1912" t="str">
        <f t="shared" si="29"/>
        <v>78|44</v>
      </c>
    </row>
    <row r="1913" spans="1:17" ht="6.45" customHeight="1">
      <c r="A1913" t="s">
        <v>381</v>
      </c>
      <c r="B1913">
        <v>45</v>
      </c>
      <c r="C1913" t="s">
        <v>61</v>
      </c>
      <c r="D1913">
        <v>52</v>
      </c>
      <c r="E1913" t="s">
        <v>977</v>
      </c>
      <c r="F1913" t="s">
        <v>5324</v>
      </c>
      <c r="G1913" t="str">
        <f>B78_Assessment!A52</f>
        <v>1232</v>
      </c>
      <c r="H1913" t="str">
        <f>B78_Assessment!B52</f>
        <v>Verify</v>
      </c>
      <c r="I1913" t="str">
        <f>B78_Assessment!C52</f>
        <v>5 kW / 208V rack UPS</v>
      </c>
      <c r="J1913" t="str">
        <f>B78_Assessment!D52</f>
        <v>Verify</v>
      </c>
      <c r="K1913" t="str">
        <f>B78_Assessment!E52</f>
        <v>Verify</v>
      </c>
      <c r="L1913" t="str">
        <f>B78_Assessment!F52</f>
        <v>B78-TR1232 panels / verify</v>
      </c>
      <c r="M1913" t="str">
        <f>B78_Assessment!G52</f>
        <v>Verify</v>
      </c>
      <c r="N1913" t="str">
        <f>B78_Assessment!H52</f>
        <v>Verify</v>
      </c>
      <c r="O1913" t="str">
        <f>B78_Assessment!I52</f>
        <v>Verify</v>
      </c>
      <c r="P1913" t="str">
        <f>B78_Assessment!J52</f>
        <v>Verify first-level rack receptacles, UPS/PDU, panel sources, SPDs and labeling.</v>
      </c>
      <c r="Q1913" t="str">
        <f t="shared" si="29"/>
        <v>78|45</v>
      </c>
    </row>
    <row r="1914" spans="1:17" ht="6.45" customHeight="1">
      <c r="A1914" t="s">
        <v>381</v>
      </c>
      <c r="B1914">
        <v>46</v>
      </c>
      <c r="C1914" t="s">
        <v>61</v>
      </c>
      <c r="D1914">
        <v>53</v>
      </c>
      <c r="E1914" t="s">
        <v>977</v>
      </c>
      <c r="F1914" t="s">
        <v>5324</v>
      </c>
      <c r="G1914" t="str">
        <f>B78_Assessment!A53</f>
        <v>227A</v>
      </c>
      <c r="H1914" t="str">
        <f>B78_Assessment!B53</f>
        <v>Verify</v>
      </c>
      <c r="I1914" t="str">
        <f>B78_Assessment!C53</f>
        <v>5 kW / 208V rack UPS</v>
      </c>
      <c r="J1914" t="str">
        <f>B78_Assessment!D53</f>
        <v>Verify</v>
      </c>
      <c r="K1914" t="str">
        <f>B78_Assessment!E53</f>
        <v>Verify</v>
      </c>
      <c r="L1914" t="str">
        <f>B78_Assessment!F53</f>
        <v>B78-TR227A panels / verify</v>
      </c>
      <c r="M1914" t="str">
        <f>B78_Assessment!G53</f>
        <v>Verify</v>
      </c>
      <c r="N1914" t="str">
        <f>B78_Assessment!H53</f>
        <v>Verify</v>
      </c>
      <c r="O1914" t="str">
        <f>B78_Assessment!I53</f>
        <v>Verify</v>
      </c>
      <c r="P1914" t="str">
        <f>B78_Assessment!J53</f>
        <v>Verify second-level rack receptacles, UPS/PDU, panel sources, SPDs and labeling.</v>
      </c>
      <c r="Q1914" t="str">
        <f t="shared" si="29"/>
        <v>78|46</v>
      </c>
    </row>
    <row r="1915" spans="1:17" ht="6.45" customHeight="1">
      <c r="A1915" t="s">
        <v>381</v>
      </c>
      <c r="B1915">
        <v>47</v>
      </c>
      <c r="C1915" t="s">
        <v>61</v>
      </c>
      <c r="D1915">
        <v>54</v>
      </c>
      <c r="E1915" t="s">
        <v>977</v>
      </c>
      <c r="F1915" t="s">
        <v>5324</v>
      </c>
      <c r="G1915" t="str">
        <f>B78_Assessment!A54</f>
        <v>342</v>
      </c>
      <c r="H1915" t="str">
        <f>B78_Assessment!B54</f>
        <v>Verify</v>
      </c>
      <c r="I1915" t="str">
        <f>B78_Assessment!C54</f>
        <v>5 kW / 208V rack UPS</v>
      </c>
      <c r="J1915" t="str">
        <f>B78_Assessment!D54</f>
        <v>Verify</v>
      </c>
      <c r="K1915" t="str">
        <f>B78_Assessment!E54</f>
        <v>Verify</v>
      </c>
      <c r="L1915" t="str">
        <f>B78_Assessment!F54</f>
        <v>B78-TR342 panels / verify</v>
      </c>
      <c r="M1915" t="str">
        <f>B78_Assessment!G54</f>
        <v>Verify</v>
      </c>
      <c r="N1915" t="str">
        <f>B78_Assessment!H54</f>
        <v>Verify</v>
      </c>
      <c r="O1915" t="str">
        <f>B78_Assessment!I54</f>
        <v>Verify</v>
      </c>
      <c r="P1915" t="str">
        <f>B78_Assessment!J54</f>
        <v>Verify third-level rack receptacles for two racks, UPS/PDU, panel sources and labels.</v>
      </c>
      <c r="Q1915" t="str">
        <f t="shared" si="29"/>
        <v>78|47</v>
      </c>
    </row>
    <row r="1916" spans="1:17" ht="6.45" customHeight="1">
      <c r="A1916" t="s">
        <v>381</v>
      </c>
      <c r="B1916">
        <v>48</v>
      </c>
      <c r="C1916" t="s">
        <v>61</v>
      </c>
      <c r="D1916">
        <v>55</v>
      </c>
      <c r="E1916" t="s">
        <v>977</v>
      </c>
      <c r="F1916" t="s">
        <v>5324</v>
      </c>
      <c r="G1916" t="str">
        <f>B78_Assessment!A55</f>
        <v>401</v>
      </c>
      <c r="H1916" t="str">
        <f>B78_Assessment!B55</f>
        <v>Verify</v>
      </c>
      <c r="I1916" t="str">
        <f>B78_Assessment!C55</f>
        <v>5 kW / 208V rack UPS</v>
      </c>
      <c r="J1916" t="str">
        <f>B78_Assessment!D55</f>
        <v>Verify</v>
      </c>
      <c r="K1916" t="str">
        <f>B78_Assessment!E55</f>
        <v>Verify</v>
      </c>
      <c r="L1916" t="str">
        <f>B78_Assessment!F55</f>
        <v>B78-TR401 panels / verify</v>
      </c>
      <c r="M1916" t="str">
        <f>B78_Assessment!G55</f>
        <v>Verify</v>
      </c>
      <c r="N1916" t="str">
        <f>B78_Assessment!H55</f>
        <v>Verify</v>
      </c>
      <c r="O1916" t="str">
        <f>B78_Assessment!I55</f>
        <v>Verify</v>
      </c>
      <c r="P1916" t="str">
        <f>B78_Assessment!J55</f>
        <v>Verify fourth-level rack receptacles, UPS/PDU, panel sources and labels.</v>
      </c>
      <c r="Q1916" t="str">
        <f t="shared" si="29"/>
        <v>78|48</v>
      </c>
    </row>
    <row r="1917" spans="1:17" ht="6.45" customHeight="1">
      <c r="A1917" t="s">
        <v>381</v>
      </c>
      <c r="B1917">
        <v>49</v>
      </c>
      <c r="C1917" t="s">
        <v>61</v>
      </c>
      <c r="D1917">
        <v>56</v>
      </c>
      <c r="E1917" t="s">
        <v>977</v>
      </c>
      <c r="F1917" t="s">
        <v>5324</v>
      </c>
      <c r="G1917" t="str">
        <f>B78_Assessment!A56</f>
        <v>Existing rooms</v>
      </c>
      <c r="H1917" t="str">
        <f>B78_Assessment!B56</f>
        <v>Existing / Verify</v>
      </c>
      <c r="I1917" t="str">
        <f>B78_Assessment!C56</f>
        <v>Existing UPS / PDU</v>
      </c>
      <c r="J1917" t="str">
        <f>B78_Assessment!D56</f>
        <v>Existing / Verify</v>
      </c>
      <c r="K1917" t="str">
        <f>B78_Assessment!E56</f>
        <v>Verify</v>
      </c>
      <c r="L1917" t="str">
        <f>B78_Assessment!F56</f>
        <v>Existing / verify</v>
      </c>
      <c r="M1917" t="str">
        <f>B78_Assessment!G56</f>
        <v>Verify</v>
      </c>
      <c r="N1917" t="str">
        <f>B78_Assessment!H56</f>
        <v>Verify</v>
      </c>
      <c r="O1917" t="str">
        <f>B78_Assessment!I56</f>
        <v>Verify</v>
      </c>
      <c r="P1917" t="str">
        <f>B78_Assessment!J56</f>
        <v>Existing rack elevations show wall-mounted racks/2-post racks, existing UPS/PDU and demarc/fiber equipment. Confirm active power and transfer needs.</v>
      </c>
      <c r="Q1917" t="str">
        <f t="shared" si="29"/>
        <v>78|49</v>
      </c>
    </row>
    <row r="1918" spans="1:17" ht="6.45" customHeight="1">
      <c r="A1918" t="s">
        <v>381</v>
      </c>
      <c r="B1918">
        <v>50</v>
      </c>
      <c r="C1918" t="s">
        <v>61</v>
      </c>
      <c r="D1918">
        <v>57</v>
      </c>
      <c r="E1918" t="s">
        <v>977</v>
      </c>
      <c r="F1918" t="s">
        <v>5325</v>
      </c>
      <c r="G1918">
        <f>B78_Assessment!A57</f>
        <v>0</v>
      </c>
      <c r="H1918">
        <f>B78_Assessment!B57</f>
        <v>0</v>
      </c>
      <c r="I1918">
        <f>B78_Assessment!C57</f>
        <v>0</v>
      </c>
      <c r="J1918">
        <f>B78_Assessment!D57</f>
        <v>0</v>
      </c>
      <c r="K1918">
        <f>B78_Assessment!E57</f>
        <v>0</v>
      </c>
      <c r="L1918">
        <f>B78_Assessment!F57</f>
        <v>0</v>
      </c>
      <c r="M1918">
        <f>B78_Assessment!G57</f>
        <v>0</v>
      </c>
      <c r="N1918">
        <f>B78_Assessment!H57</f>
        <v>0</v>
      </c>
      <c r="O1918">
        <f>B78_Assessment!I57</f>
        <v>0</v>
      </c>
      <c r="P1918">
        <f>B78_Assessment!J57</f>
        <v>0</v>
      </c>
      <c r="Q1918" t="str">
        <f t="shared" si="29"/>
        <v>78|50</v>
      </c>
    </row>
    <row r="1919" spans="1:17" ht="6.45" customHeight="1">
      <c r="A1919" t="s">
        <v>381</v>
      </c>
      <c r="B1919">
        <v>51</v>
      </c>
      <c r="C1919" t="s">
        <v>61</v>
      </c>
      <c r="D1919">
        <v>58</v>
      </c>
      <c r="E1919" t="s">
        <v>994</v>
      </c>
      <c r="F1919" t="s">
        <v>5322</v>
      </c>
      <c r="G1919" t="str">
        <f>B78_Assessment!A58</f>
        <v>6. TELECOMMUNICATIONS</v>
      </c>
      <c r="H1919">
        <f>B78_Assessment!B58</f>
        <v>0</v>
      </c>
      <c r="I1919">
        <f>B78_Assessment!C58</f>
        <v>0</v>
      </c>
      <c r="J1919">
        <f>B78_Assessment!D58</f>
        <v>0</v>
      </c>
      <c r="K1919">
        <f>B78_Assessment!E58</f>
        <v>0</v>
      </c>
      <c r="L1919">
        <f>B78_Assessment!F58</f>
        <v>0</v>
      </c>
      <c r="M1919">
        <f>B78_Assessment!G58</f>
        <v>0</v>
      </c>
      <c r="N1919">
        <f>B78_Assessment!H58</f>
        <v>0</v>
      </c>
      <c r="O1919">
        <f>B78_Assessment!I58</f>
        <v>0</v>
      </c>
      <c r="P1919">
        <f>B78_Assessment!J58</f>
        <v>0</v>
      </c>
      <c r="Q1919" t="str">
        <f t="shared" si="29"/>
        <v>78|51</v>
      </c>
    </row>
    <row r="1920" spans="1:17" ht="6.45" customHeight="1">
      <c r="A1920" t="s">
        <v>381</v>
      </c>
      <c r="B1920">
        <v>52</v>
      </c>
      <c r="C1920" t="s">
        <v>61</v>
      </c>
      <c r="D1920">
        <v>59</v>
      </c>
      <c r="E1920" t="s">
        <v>994</v>
      </c>
      <c r="F1920" t="s">
        <v>5323</v>
      </c>
      <c r="G1920" t="str">
        <f>B78_Assessment!A59</f>
        <v>Room</v>
      </c>
      <c r="H1920" t="str">
        <f>B78_Assessment!B59</f>
        <v>Rack Installed</v>
      </c>
      <c r="I1920" t="str">
        <f>B78_Assessment!C59</f>
        <v>Ladder Tray</v>
      </c>
      <c r="J1920" t="str">
        <f>B78_Assessment!D59</f>
        <v>Fiber Installed</v>
      </c>
      <c r="K1920" t="str">
        <f>B78_Assessment!E59</f>
        <v>Grounding</v>
      </c>
      <c r="L1920" t="str">
        <f>B78_Assessment!F59</f>
        <v>Labeling</v>
      </c>
      <c r="M1920" t="str">
        <f>B78_Assessment!G59</f>
        <v>Testing</v>
      </c>
      <c r="N1920" t="str">
        <f>B78_Assessment!H59</f>
        <v>VA Acceptance</v>
      </c>
      <c r="O1920" t="str">
        <f>B78_Assessment!I59</f>
        <v>Overall</v>
      </c>
      <c r="P1920" t="str">
        <f>B78_Assessment!J59</f>
        <v>Notes</v>
      </c>
      <c r="Q1920" t="str">
        <f t="shared" si="29"/>
        <v>78|52</v>
      </c>
    </row>
    <row r="1921" spans="1:17" ht="6.45" customHeight="1">
      <c r="A1921" t="s">
        <v>381</v>
      </c>
      <c r="B1921">
        <v>53</v>
      </c>
      <c r="C1921" t="s">
        <v>61</v>
      </c>
      <c r="D1921">
        <v>60</v>
      </c>
      <c r="E1921" t="s">
        <v>994</v>
      </c>
      <c r="F1921" t="s">
        <v>5324</v>
      </c>
      <c r="G1921" t="str">
        <f>B78_Assessment!A60</f>
        <v>B30</v>
      </c>
      <c r="H1921" t="str">
        <f>B78_Assessment!B60</f>
        <v>Verify</v>
      </c>
      <c r="I1921" t="str">
        <f>B78_Assessment!C60</f>
        <v>Verify</v>
      </c>
      <c r="J1921" t="str">
        <f>B78_Assessment!D60</f>
        <v>Verify</v>
      </c>
      <c r="K1921" t="str">
        <f>B78_Assessment!E60</f>
        <v>Verify</v>
      </c>
      <c r="L1921" t="str">
        <f>B78_Assessment!F60</f>
        <v>Verify</v>
      </c>
      <c r="M1921" t="str">
        <f>B78_Assessment!G60</f>
        <v>Verify</v>
      </c>
      <c r="N1921" t="str">
        <f>B78_Assessment!H60</f>
        <v>Verify</v>
      </c>
      <c r="O1921" t="str">
        <f>B78_Assessment!I60</f>
        <v>Verify</v>
      </c>
      <c r="P1921" t="str">
        <f>B78_Assessment!J60</f>
        <v>78_78AT-701: 210 WAO total, 23 active ports, 311 scheduled ports, 342 with allowance; rack IDs TR01-B30-1/-2. Basement cable tray total 1,702 ft.</v>
      </c>
      <c r="Q1921" t="str">
        <f t="shared" si="29"/>
        <v>78|53</v>
      </c>
    </row>
    <row r="1922" spans="1:17" ht="6.45" customHeight="1">
      <c r="A1922" t="s">
        <v>381</v>
      </c>
      <c r="B1922">
        <v>54</v>
      </c>
      <c r="C1922" t="s">
        <v>61</v>
      </c>
      <c r="D1922">
        <v>61</v>
      </c>
      <c r="E1922" t="s">
        <v>994</v>
      </c>
      <c r="F1922" t="s">
        <v>5324</v>
      </c>
      <c r="G1922" t="str">
        <f>B78_Assessment!A61</f>
        <v>B35</v>
      </c>
      <c r="H1922" t="str">
        <f>B78_Assessment!B61</f>
        <v>Verify</v>
      </c>
      <c r="I1922" t="str">
        <f>B78_Assessment!C61</f>
        <v>Verify</v>
      </c>
      <c r="J1922" t="str">
        <f>B78_Assessment!D61</f>
        <v>Verify</v>
      </c>
      <c r="K1922" t="str">
        <f>B78_Assessment!E61</f>
        <v>Verify</v>
      </c>
      <c r="L1922" t="str">
        <f>B78_Assessment!F61</f>
        <v>Verify</v>
      </c>
      <c r="M1922" t="str">
        <f>B78_Assessment!G61</f>
        <v>Verify</v>
      </c>
      <c r="N1922" t="str">
        <f>B78_Assessment!H61</f>
        <v>Verify</v>
      </c>
      <c r="O1922" t="str">
        <f>B78_Assessment!I61</f>
        <v>Verify</v>
      </c>
      <c r="P1922" t="str">
        <f>B78_Assessment!J61</f>
        <v>78_78AT-702: 53 WAO total, 23 active ports, 64 scheduled ports, 70 with allowance. Confirm rack ID/room relation and active services.</v>
      </c>
      <c r="Q1922" t="str">
        <f t="shared" ref="Q1922:Q1985" si="30">A1922&amp;"|"&amp;B1922</f>
        <v>78|54</v>
      </c>
    </row>
    <row r="1923" spans="1:17" ht="6.45" customHeight="1">
      <c r="A1923" t="s">
        <v>381</v>
      </c>
      <c r="B1923">
        <v>55</v>
      </c>
      <c r="C1923" t="s">
        <v>61</v>
      </c>
      <c r="D1923">
        <v>62</v>
      </c>
      <c r="E1923" t="s">
        <v>994</v>
      </c>
      <c r="F1923" t="s">
        <v>5324</v>
      </c>
      <c r="G1923" t="str">
        <f>B78_Assessment!A62</f>
        <v>1232</v>
      </c>
      <c r="H1923" t="str">
        <f>B78_Assessment!B62</f>
        <v>Verify</v>
      </c>
      <c r="I1923" t="str">
        <f>B78_Assessment!C62</f>
        <v>Verify</v>
      </c>
      <c r="J1923" t="str">
        <f>B78_Assessment!D62</f>
        <v>Verify</v>
      </c>
      <c r="K1923" t="str">
        <f>B78_Assessment!E62</f>
        <v>Verify</v>
      </c>
      <c r="L1923" t="str">
        <f>B78_Assessment!F62</f>
        <v>Verify</v>
      </c>
      <c r="M1923" t="str">
        <f>B78_Assessment!G62</f>
        <v>Verify</v>
      </c>
      <c r="N1923" t="str">
        <f>B78_Assessment!H62</f>
        <v>Verify</v>
      </c>
      <c r="O1923" t="str">
        <f>B78_Assessment!I62</f>
        <v>Verify</v>
      </c>
      <c r="P1923" t="str">
        <f>B78_Assessment!J62</f>
        <v>78_78AT-702/703: 301 WAO total, 388 active ports, 404 scheduled ports, 444 with allowance. Large active port count; high cutover risk.</v>
      </c>
      <c r="Q1923" t="str">
        <f t="shared" si="30"/>
        <v>78|55</v>
      </c>
    </row>
    <row r="1924" spans="1:17" ht="6.45" customHeight="1">
      <c r="A1924" t="s">
        <v>381</v>
      </c>
      <c r="B1924">
        <v>56</v>
      </c>
      <c r="C1924" t="s">
        <v>61</v>
      </c>
      <c r="D1924">
        <v>63</v>
      </c>
      <c r="E1924" t="s">
        <v>994</v>
      </c>
      <c r="F1924" t="s">
        <v>5324</v>
      </c>
      <c r="G1924" t="str">
        <f>B78_Assessment!A63</f>
        <v>227A</v>
      </c>
      <c r="H1924" t="str">
        <f>B78_Assessment!B63</f>
        <v>Verify</v>
      </c>
      <c r="I1924" t="str">
        <f>B78_Assessment!C63</f>
        <v>Verify</v>
      </c>
      <c r="J1924" t="str">
        <f>B78_Assessment!D63</f>
        <v>Verify</v>
      </c>
      <c r="K1924" t="str">
        <f>B78_Assessment!E63</f>
        <v>Verify</v>
      </c>
      <c r="L1924" t="str">
        <f>B78_Assessment!F63</f>
        <v>Verify</v>
      </c>
      <c r="M1924" t="str">
        <f>B78_Assessment!G63</f>
        <v>Verify</v>
      </c>
      <c r="N1924" t="str">
        <f>B78_Assessment!H63</f>
        <v>Verify</v>
      </c>
      <c r="O1924" t="str">
        <f>B78_Assessment!I63</f>
        <v>Verify</v>
      </c>
      <c r="P1924" t="str">
        <f>B78_Assessment!J63</f>
        <v>78_78AT-703/704: 256 WAO total, 153 active ports, 348 scheduled ports, 383 with allowance. Verify second-level test records and riser labels.</v>
      </c>
      <c r="Q1924" t="str">
        <f t="shared" si="30"/>
        <v>78|56</v>
      </c>
    </row>
    <row r="1925" spans="1:17" ht="6.45" customHeight="1">
      <c r="A1925" t="s">
        <v>381</v>
      </c>
      <c r="B1925">
        <v>57</v>
      </c>
      <c r="C1925" t="s">
        <v>61</v>
      </c>
      <c r="D1925">
        <v>64</v>
      </c>
      <c r="E1925" t="s">
        <v>994</v>
      </c>
      <c r="F1925" t="s">
        <v>5324</v>
      </c>
      <c r="G1925" t="str">
        <f>B78_Assessment!A64</f>
        <v>342</v>
      </c>
      <c r="H1925" t="str">
        <f>B78_Assessment!B64</f>
        <v>Verify</v>
      </c>
      <c r="I1925" t="str">
        <f>B78_Assessment!C64</f>
        <v>Verify</v>
      </c>
      <c r="J1925" t="str">
        <f>B78_Assessment!D64</f>
        <v>Verify</v>
      </c>
      <c r="K1925" t="str">
        <f>B78_Assessment!E64</f>
        <v>Verify</v>
      </c>
      <c r="L1925" t="str">
        <f>B78_Assessment!F64</f>
        <v>Verify</v>
      </c>
      <c r="M1925" t="str">
        <f>B78_Assessment!G64</f>
        <v>Verify</v>
      </c>
      <c r="N1925" t="str">
        <f>B78_Assessment!H64</f>
        <v>Verify</v>
      </c>
      <c r="O1925" t="str">
        <f>B78_Assessment!I64</f>
        <v>Verify</v>
      </c>
      <c r="P1925" t="str">
        <f>B78_Assessment!J64</f>
        <v>78_78AT-704: 158 WAO total, 163 active ports, 289 scheduled ports, 318 with allowance. Rack IDs TR01-342-1/-2.</v>
      </c>
      <c r="Q1925" t="str">
        <f t="shared" si="30"/>
        <v>78|57</v>
      </c>
    </row>
    <row r="1926" spans="1:17" ht="6.45" customHeight="1">
      <c r="A1926" t="s">
        <v>381</v>
      </c>
      <c r="B1926">
        <v>58</v>
      </c>
      <c r="C1926" t="s">
        <v>61</v>
      </c>
      <c r="D1926">
        <v>65</v>
      </c>
      <c r="E1926" t="s">
        <v>994</v>
      </c>
      <c r="F1926" t="s">
        <v>5324</v>
      </c>
      <c r="G1926" t="str">
        <f>B78_Assessment!A65</f>
        <v>401</v>
      </c>
      <c r="H1926" t="str">
        <f>B78_Assessment!B65</f>
        <v>Verify</v>
      </c>
      <c r="I1926" t="str">
        <f>B78_Assessment!C65</f>
        <v>Verify</v>
      </c>
      <c r="J1926" t="str">
        <f>B78_Assessment!D65</f>
        <v>Verify</v>
      </c>
      <c r="K1926" t="str">
        <f>B78_Assessment!E65</f>
        <v>Verify</v>
      </c>
      <c r="L1926" t="str">
        <f>B78_Assessment!F65</f>
        <v>Verify</v>
      </c>
      <c r="M1926" t="str">
        <f>B78_Assessment!G65</f>
        <v>Verify</v>
      </c>
      <c r="N1926" t="str">
        <f>B78_Assessment!H65</f>
        <v>Verify</v>
      </c>
      <c r="O1926" t="str">
        <f>B78_Assessment!I65</f>
        <v>Verify</v>
      </c>
      <c r="P1926" t="str">
        <f>B78_Assessment!J65</f>
        <v>78_78AT-705: 89 WAO total, 65 active ports, 123 scheduled ports, 135 with allowance.</v>
      </c>
      <c r="Q1926" t="str">
        <f t="shared" si="30"/>
        <v>78|58</v>
      </c>
    </row>
    <row r="1927" spans="1:17" ht="6.45" customHeight="1">
      <c r="A1927" t="s">
        <v>381</v>
      </c>
      <c r="B1927">
        <v>59</v>
      </c>
      <c r="C1927" t="s">
        <v>61</v>
      </c>
      <c r="D1927">
        <v>66</v>
      </c>
      <c r="E1927" t="s">
        <v>994</v>
      </c>
      <c r="F1927" t="s">
        <v>5324</v>
      </c>
      <c r="G1927" t="str">
        <f>B78_Assessment!A66</f>
        <v>Existing rooms</v>
      </c>
      <c r="H1927" t="str">
        <f>B78_Assessment!B66</f>
        <v>Existing / Verify</v>
      </c>
      <c r="I1927" t="str">
        <f>B78_Assessment!C66</f>
        <v>Existing / Verify</v>
      </c>
      <c r="J1927" t="str">
        <f>B78_Assessment!D66</f>
        <v>Existing / Verify</v>
      </c>
      <c r="K1927" t="str">
        <f>B78_Assessment!E66</f>
        <v>Verify</v>
      </c>
      <c r="L1927" t="str">
        <f>B78_Assessment!F66</f>
        <v>Verify</v>
      </c>
      <c r="M1927" t="str">
        <f>B78_Assessment!G66</f>
        <v>Verify</v>
      </c>
      <c r="N1927" t="str">
        <f>B78_Assessment!H66</f>
        <v>Verify</v>
      </c>
      <c r="O1927" t="str">
        <f>B78_Assessment!I66</f>
        <v>Verify</v>
      </c>
      <c r="P1927" t="str">
        <f>B78_Assessment!J66</f>
        <v>Photo references identify existing telecom rooms 15E, 1234, 353, 308A and 408A; verify all active services and transfer plan.</v>
      </c>
      <c r="Q1927" t="str">
        <f t="shared" si="30"/>
        <v>78|59</v>
      </c>
    </row>
    <row r="1928" spans="1:17" ht="6.45" customHeight="1">
      <c r="A1928" t="s">
        <v>381</v>
      </c>
      <c r="B1928">
        <v>60</v>
      </c>
      <c r="C1928" t="s">
        <v>61</v>
      </c>
      <c r="D1928">
        <v>67</v>
      </c>
      <c r="E1928" t="s">
        <v>994</v>
      </c>
      <c r="F1928" t="s">
        <v>5325</v>
      </c>
      <c r="G1928">
        <f>B78_Assessment!A67</f>
        <v>0</v>
      </c>
      <c r="H1928">
        <f>B78_Assessment!B67</f>
        <v>0</v>
      </c>
      <c r="I1928">
        <f>B78_Assessment!C67</f>
        <v>0</v>
      </c>
      <c r="J1928">
        <f>B78_Assessment!D67</f>
        <v>0</v>
      </c>
      <c r="K1928">
        <f>B78_Assessment!E67</f>
        <v>0</v>
      </c>
      <c r="L1928">
        <f>B78_Assessment!F67</f>
        <v>0</v>
      </c>
      <c r="M1928">
        <f>B78_Assessment!G67</f>
        <v>0</v>
      </c>
      <c r="N1928">
        <f>B78_Assessment!H67</f>
        <v>0</v>
      </c>
      <c r="O1928">
        <f>B78_Assessment!I67</f>
        <v>0</v>
      </c>
      <c r="P1928">
        <f>B78_Assessment!J67</f>
        <v>0</v>
      </c>
      <c r="Q1928" t="str">
        <f t="shared" si="30"/>
        <v>78|60</v>
      </c>
    </row>
    <row r="1929" spans="1:17" ht="6.45" customHeight="1">
      <c r="A1929" t="s">
        <v>381</v>
      </c>
      <c r="B1929">
        <v>61</v>
      </c>
      <c r="C1929" t="s">
        <v>61</v>
      </c>
      <c r="D1929">
        <v>68</v>
      </c>
      <c r="E1929" t="s">
        <v>1007</v>
      </c>
      <c r="F1929" t="s">
        <v>5322</v>
      </c>
      <c r="G1929" t="str">
        <f>B78_Assessment!A68</f>
        <v>7. SECURITY / PACS / CCTV</v>
      </c>
      <c r="H1929">
        <f>B78_Assessment!B68</f>
        <v>0</v>
      </c>
      <c r="I1929">
        <f>B78_Assessment!C68</f>
        <v>0</v>
      </c>
      <c r="J1929">
        <f>B78_Assessment!D68</f>
        <v>0</v>
      </c>
      <c r="K1929">
        <f>B78_Assessment!E68</f>
        <v>0</v>
      </c>
      <c r="L1929">
        <f>B78_Assessment!F68</f>
        <v>0</v>
      </c>
      <c r="M1929">
        <f>B78_Assessment!G68</f>
        <v>0</v>
      </c>
      <c r="N1929">
        <f>B78_Assessment!H68</f>
        <v>0</v>
      </c>
      <c r="O1929">
        <f>B78_Assessment!I68</f>
        <v>0</v>
      </c>
      <c r="P1929">
        <f>B78_Assessment!J68</f>
        <v>0</v>
      </c>
      <c r="Q1929" t="str">
        <f t="shared" si="30"/>
        <v>78|61</v>
      </c>
    </row>
    <row r="1930" spans="1:17" ht="6.45" customHeight="1">
      <c r="A1930" t="s">
        <v>381</v>
      </c>
      <c r="B1930">
        <v>62</v>
      </c>
      <c r="C1930" t="s">
        <v>61</v>
      </c>
      <c r="D1930">
        <v>69</v>
      </c>
      <c r="E1930" t="s">
        <v>1007</v>
      </c>
      <c r="F1930" t="s">
        <v>5323</v>
      </c>
      <c r="G1930" t="str">
        <f>B78_Assessment!A69</f>
        <v>Room</v>
      </c>
      <c r="H1930" t="str">
        <f>B78_Assessment!B69</f>
        <v>PACS</v>
      </c>
      <c r="I1930" t="str">
        <f>B78_Assessment!C69</f>
        <v>Card Reader</v>
      </c>
      <c r="J1930" t="str">
        <f>B78_Assessment!D69</f>
        <v>Door Position</v>
      </c>
      <c r="K1930" t="str">
        <f>B78_Assessment!E69</f>
        <v>Electric Strike</v>
      </c>
      <c r="L1930" t="str">
        <f>B78_Assessment!F69</f>
        <v>CCTV</v>
      </c>
      <c r="M1930" t="str">
        <f>B78_Assessment!G69</f>
        <v>Motion Sensor</v>
      </c>
      <c r="N1930" t="str">
        <f>B78_Assessment!H69</f>
        <v>Integration</v>
      </c>
      <c r="O1930" t="str">
        <f>B78_Assessment!I69</f>
        <v>Overall</v>
      </c>
      <c r="P1930" t="str">
        <f>B78_Assessment!J69</f>
        <v>Notes</v>
      </c>
      <c r="Q1930" t="str">
        <f t="shared" si="30"/>
        <v>78|62</v>
      </c>
    </row>
    <row r="1931" spans="1:17" ht="6.45" customHeight="1">
      <c r="A1931" t="s">
        <v>381</v>
      </c>
      <c r="B1931">
        <v>63</v>
      </c>
      <c r="C1931" t="s">
        <v>61</v>
      </c>
      <c r="D1931">
        <v>70</v>
      </c>
      <c r="E1931" t="s">
        <v>1007</v>
      </c>
      <c r="F1931" t="s">
        <v>5324</v>
      </c>
      <c r="G1931" t="str">
        <f>B78_Assessment!A70</f>
        <v>B30</v>
      </c>
      <c r="H1931" t="str">
        <f>B78_Assessment!B70</f>
        <v>Verify</v>
      </c>
      <c r="I1931" t="str">
        <f>B78_Assessment!C70</f>
        <v>Verify</v>
      </c>
      <c r="J1931" t="str">
        <f>B78_Assessment!D70</f>
        <v>Verify</v>
      </c>
      <c r="K1931" t="str">
        <f>B78_Assessment!E70</f>
        <v>Verify</v>
      </c>
      <c r="L1931" t="str">
        <f>B78_Assessment!F70</f>
        <v>Verify</v>
      </c>
      <c r="M1931" t="str">
        <f>B78_Assessment!G70</f>
        <v>Verify</v>
      </c>
      <c r="N1931" t="str">
        <f>B78_Assessment!H70</f>
        <v>Verify</v>
      </c>
      <c r="O1931" t="str">
        <f>B78_Assessment!I70</f>
        <v>Verify</v>
      </c>
      <c r="P1931" t="str">
        <f>B78_Assessment!J70</f>
        <v>TR scope includes wall-mounted CCTV cameras and PACS for TR doors. Verify CR/RX/DC/ES/MD, controller and VMS integration.</v>
      </c>
      <c r="Q1931" t="str">
        <f t="shared" si="30"/>
        <v>78|63</v>
      </c>
    </row>
    <row r="1932" spans="1:17" ht="6.45" customHeight="1">
      <c r="A1932" t="s">
        <v>381</v>
      </c>
      <c r="B1932">
        <v>64</v>
      </c>
      <c r="C1932" t="s">
        <v>61</v>
      </c>
      <c r="D1932">
        <v>71</v>
      </c>
      <c r="E1932" t="s">
        <v>1007</v>
      </c>
      <c r="F1932" t="s">
        <v>5324</v>
      </c>
      <c r="G1932" t="str">
        <f>B78_Assessment!A71</f>
        <v>B35</v>
      </c>
      <c r="H1932" t="str">
        <f>B78_Assessment!B71</f>
        <v>Verify</v>
      </c>
      <c r="I1932" t="str">
        <f>B78_Assessment!C71</f>
        <v>Verify</v>
      </c>
      <c r="J1932" t="str">
        <f>B78_Assessment!D71</f>
        <v>Verify</v>
      </c>
      <c r="K1932" t="str">
        <f>B78_Assessment!E71</f>
        <v>Verify</v>
      </c>
      <c r="L1932" t="str">
        <f>B78_Assessment!F71</f>
        <v>Verify</v>
      </c>
      <c r="M1932" t="str">
        <f>B78_Assessment!G71</f>
        <v>Verify</v>
      </c>
      <c r="N1932" t="str">
        <f>B78_Assessment!H71</f>
        <v>Verify</v>
      </c>
      <c r="O1932" t="str">
        <f>B78_Assessment!I71</f>
        <v>Verify</v>
      </c>
      <c r="P1932" t="str">
        <f>B78_Assessment!J71</f>
        <v>Verify PACS/CCTV integration and door hardware coordination.</v>
      </c>
      <c r="Q1932" t="str">
        <f t="shared" si="30"/>
        <v>78|64</v>
      </c>
    </row>
    <row r="1933" spans="1:17" ht="6.45" customHeight="1">
      <c r="A1933" t="s">
        <v>381</v>
      </c>
      <c r="B1933">
        <v>65</v>
      </c>
      <c r="C1933" t="s">
        <v>61</v>
      </c>
      <c r="D1933">
        <v>72</v>
      </c>
      <c r="E1933" t="s">
        <v>1007</v>
      </c>
      <c r="F1933" t="s">
        <v>5324</v>
      </c>
      <c r="G1933" t="str">
        <f>B78_Assessment!A72</f>
        <v>1232</v>
      </c>
      <c r="H1933" t="str">
        <f>B78_Assessment!B72</f>
        <v>Verify</v>
      </c>
      <c r="I1933" t="str">
        <f>B78_Assessment!C72</f>
        <v>Verify</v>
      </c>
      <c r="J1933" t="str">
        <f>B78_Assessment!D72</f>
        <v>Verify</v>
      </c>
      <c r="K1933" t="str">
        <f>B78_Assessment!E72</f>
        <v>Verify</v>
      </c>
      <c r="L1933" t="str">
        <f>B78_Assessment!F72</f>
        <v>Verify</v>
      </c>
      <c r="M1933" t="str">
        <f>B78_Assessment!G72</f>
        <v>Verify</v>
      </c>
      <c r="N1933" t="str">
        <f>B78_Assessment!H72</f>
        <v>Verify</v>
      </c>
      <c r="O1933" t="str">
        <f>B78_Assessment!I72</f>
        <v>Verify</v>
      </c>
      <c r="P1933" t="str">
        <f>B78_Assessment!J72</f>
        <v>Verify first-level TR PACS/CCTV and VMS integration.</v>
      </c>
      <c r="Q1933" t="str">
        <f t="shared" si="30"/>
        <v>78|65</v>
      </c>
    </row>
    <row r="1934" spans="1:17" ht="6.45" customHeight="1">
      <c r="A1934" t="s">
        <v>381</v>
      </c>
      <c r="B1934">
        <v>66</v>
      </c>
      <c r="C1934" t="s">
        <v>61</v>
      </c>
      <c r="D1934">
        <v>73</v>
      </c>
      <c r="E1934" t="s">
        <v>1007</v>
      </c>
      <c r="F1934" t="s">
        <v>5324</v>
      </c>
      <c r="G1934" t="str">
        <f>B78_Assessment!A73</f>
        <v>227A</v>
      </c>
      <c r="H1934" t="str">
        <f>B78_Assessment!B73</f>
        <v>Verify</v>
      </c>
      <c r="I1934" t="str">
        <f>B78_Assessment!C73</f>
        <v>Verify</v>
      </c>
      <c r="J1934" t="str">
        <f>B78_Assessment!D73</f>
        <v>Verify</v>
      </c>
      <c r="K1934" t="str">
        <f>B78_Assessment!E73</f>
        <v>Verify</v>
      </c>
      <c r="L1934" t="str">
        <f>B78_Assessment!F73</f>
        <v>Verify</v>
      </c>
      <c r="M1934" t="str">
        <f>B78_Assessment!G73</f>
        <v>Verify</v>
      </c>
      <c r="N1934" t="str">
        <f>B78_Assessment!H73</f>
        <v>Verify</v>
      </c>
      <c r="O1934" t="str">
        <f>B78_Assessment!I73</f>
        <v>Verify</v>
      </c>
      <c r="P1934" t="str">
        <f>B78_Assessment!J73</f>
        <v>Verify second-level TR PACS/CCTV and VMS integration.</v>
      </c>
      <c r="Q1934" t="str">
        <f t="shared" si="30"/>
        <v>78|66</v>
      </c>
    </row>
    <row r="1935" spans="1:17" ht="6.45" customHeight="1">
      <c r="A1935" t="s">
        <v>381</v>
      </c>
      <c r="B1935">
        <v>67</v>
      </c>
      <c r="C1935" t="s">
        <v>61</v>
      </c>
      <c r="D1935">
        <v>74</v>
      </c>
      <c r="E1935" t="s">
        <v>1007</v>
      </c>
      <c r="F1935" t="s">
        <v>5324</v>
      </c>
      <c r="G1935" t="str">
        <f>B78_Assessment!A74</f>
        <v>342</v>
      </c>
      <c r="H1935" t="str">
        <f>B78_Assessment!B74</f>
        <v>Verify</v>
      </c>
      <c r="I1935" t="str">
        <f>B78_Assessment!C74</f>
        <v>Verify</v>
      </c>
      <c r="J1935" t="str">
        <f>B78_Assessment!D74</f>
        <v>Verify</v>
      </c>
      <c r="K1935" t="str">
        <f>B78_Assessment!E74</f>
        <v>Verify</v>
      </c>
      <c r="L1935" t="str">
        <f>B78_Assessment!F74</f>
        <v>Verify</v>
      </c>
      <c r="M1935" t="str">
        <f>B78_Assessment!G74</f>
        <v>Verify</v>
      </c>
      <c r="N1935" t="str">
        <f>B78_Assessment!H74</f>
        <v>Verify</v>
      </c>
      <c r="O1935" t="str">
        <f>B78_Assessment!I74</f>
        <v>Verify</v>
      </c>
      <c r="P1935" t="str">
        <f>B78_Assessment!J74</f>
        <v>Verify third-level TR PACS/CCTV and VMS integration.</v>
      </c>
      <c r="Q1935" t="str">
        <f t="shared" si="30"/>
        <v>78|67</v>
      </c>
    </row>
    <row r="1936" spans="1:17" ht="6.45" customHeight="1">
      <c r="A1936" t="s">
        <v>381</v>
      </c>
      <c r="B1936">
        <v>68</v>
      </c>
      <c r="C1936" t="s">
        <v>61</v>
      </c>
      <c r="D1936">
        <v>75</v>
      </c>
      <c r="E1936" t="s">
        <v>1007</v>
      </c>
      <c r="F1936" t="s">
        <v>5324</v>
      </c>
      <c r="G1936" t="str">
        <f>B78_Assessment!A75</f>
        <v>401</v>
      </c>
      <c r="H1936" t="str">
        <f>B78_Assessment!B75</f>
        <v>Verify</v>
      </c>
      <c r="I1936" t="str">
        <f>B78_Assessment!C75</f>
        <v>Verify</v>
      </c>
      <c r="J1936" t="str">
        <f>B78_Assessment!D75</f>
        <v>Verify</v>
      </c>
      <c r="K1936" t="str">
        <f>B78_Assessment!E75</f>
        <v>Verify</v>
      </c>
      <c r="L1936" t="str">
        <f>B78_Assessment!F75</f>
        <v>Verify</v>
      </c>
      <c r="M1936" t="str">
        <f>B78_Assessment!G75</f>
        <v>Verify</v>
      </c>
      <c r="N1936" t="str">
        <f>B78_Assessment!H75</f>
        <v>Verify</v>
      </c>
      <c r="O1936" t="str">
        <f>B78_Assessment!I75</f>
        <v>Verify</v>
      </c>
      <c r="P1936" t="str">
        <f>B78_Assessment!J75</f>
        <v>Verify fourth-level TR PACS/CCTV and VMS integration.</v>
      </c>
      <c r="Q1936" t="str">
        <f t="shared" si="30"/>
        <v>78|68</v>
      </c>
    </row>
    <row r="1937" spans="1:17" ht="6.45" customHeight="1">
      <c r="A1937" t="s">
        <v>381</v>
      </c>
      <c r="B1937">
        <v>69</v>
      </c>
      <c r="C1937" t="s">
        <v>61</v>
      </c>
      <c r="D1937">
        <v>76</v>
      </c>
      <c r="E1937" t="s">
        <v>1007</v>
      </c>
      <c r="F1937" t="s">
        <v>5324</v>
      </c>
      <c r="G1937" t="str">
        <f>B78_Assessment!A76</f>
        <v>Existing rooms</v>
      </c>
      <c r="H1937" t="str">
        <f>B78_Assessment!B76</f>
        <v>Existing / Verify</v>
      </c>
      <c r="I1937" t="str">
        <f>B78_Assessment!C76</f>
        <v>Existing / Verify</v>
      </c>
      <c r="J1937" t="str">
        <f>B78_Assessment!D76</f>
        <v>Existing / Verify</v>
      </c>
      <c r="K1937" t="str">
        <f>B78_Assessment!E76</f>
        <v>Existing / Verify</v>
      </c>
      <c r="L1937" t="str">
        <f>B78_Assessment!F76</f>
        <v>Verify</v>
      </c>
      <c r="M1937" t="str">
        <f>B78_Assessment!G76</f>
        <v>Verify</v>
      </c>
      <c r="N1937" t="str">
        <f>B78_Assessment!H76</f>
        <v>Verify</v>
      </c>
      <c r="O1937" t="str">
        <f>B78_Assessment!I76</f>
        <v>Verify</v>
      </c>
      <c r="P1937" t="str">
        <f>B78_Assessment!J76</f>
        <v>Verify existing PACS/security devices are protected-in-place or recabled without VMS/PACS disruption.</v>
      </c>
      <c r="Q1937" t="str">
        <f t="shared" si="30"/>
        <v>78|69</v>
      </c>
    </row>
    <row r="1938" spans="1:17" ht="6.45" customHeight="1">
      <c r="A1938" t="s">
        <v>381</v>
      </c>
      <c r="B1938">
        <v>70</v>
      </c>
      <c r="C1938" t="s">
        <v>61</v>
      </c>
      <c r="D1938">
        <v>77</v>
      </c>
      <c r="E1938" t="s">
        <v>1007</v>
      </c>
      <c r="F1938" t="s">
        <v>5325</v>
      </c>
      <c r="G1938">
        <f>B78_Assessment!A77</f>
        <v>0</v>
      </c>
      <c r="H1938">
        <f>B78_Assessment!B77</f>
        <v>0</v>
      </c>
      <c r="I1938">
        <f>B78_Assessment!C77</f>
        <v>0</v>
      </c>
      <c r="J1938">
        <f>B78_Assessment!D77</f>
        <v>0</v>
      </c>
      <c r="K1938">
        <f>B78_Assessment!E77</f>
        <v>0</v>
      </c>
      <c r="L1938">
        <f>B78_Assessment!F77</f>
        <v>0</v>
      </c>
      <c r="M1938">
        <f>B78_Assessment!G77</f>
        <v>0</v>
      </c>
      <c r="N1938">
        <f>B78_Assessment!H77</f>
        <v>0</v>
      </c>
      <c r="O1938">
        <f>B78_Assessment!I77</f>
        <v>0</v>
      </c>
      <c r="P1938">
        <f>B78_Assessment!J77</f>
        <v>0</v>
      </c>
      <c r="Q1938" t="str">
        <f t="shared" si="30"/>
        <v>78|70</v>
      </c>
    </row>
    <row r="1939" spans="1:17" ht="6.45" customHeight="1">
      <c r="A1939" t="s">
        <v>381</v>
      </c>
      <c r="B1939">
        <v>71</v>
      </c>
      <c r="C1939" t="s">
        <v>61</v>
      </c>
      <c r="D1939">
        <v>78</v>
      </c>
      <c r="E1939" t="s">
        <v>1019</v>
      </c>
      <c r="F1939" t="s">
        <v>5322</v>
      </c>
      <c r="G1939" t="str">
        <f>B78_Assessment!A78</f>
        <v>8. OWNER RISKS</v>
      </c>
      <c r="H1939">
        <f>B78_Assessment!B78</f>
        <v>0</v>
      </c>
      <c r="I1939">
        <f>B78_Assessment!C78</f>
        <v>0</v>
      </c>
      <c r="J1939">
        <f>B78_Assessment!D78</f>
        <v>0</v>
      </c>
      <c r="K1939">
        <f>B78_Assessment!E78</f>
        <v>0</v>
      </c>
      <c r="L1939">
        <f>B78_Assessment!F78</f>
        <v>0</v>
      </c>
      <c r="M1939">
        <f>B78_Assessment!G78</f>
        <v>0</v>
      </c>
      <c r="N1939">
        <f>B78_Assessment!H78</f>
        <v>0</v>
      </c>
      <c r="O1939">
        <f>B78_Assessment!I78</f>
        <v>0</v>
      </c>
      <c r="P1939">
        <f>B78_Assessment!J78</f>
        <v>0</v>
      </c>
      <c r="Q1939" t="str">
        <f t="shared" si="30"/>
        <v>78|71</v>
      </c>
    </row>
    <row r="1940" spans="1:17" ht="6.45" customHeight="1">
      <c r="A1940" t="s">
        <v>381</v>
      </c>
      <c r="B1940">
        <v>72</v>
      </c>
      <c r="C1940" t="s">
        <v>61</v>
      </c>
      <c r="D1940">
        <v>79</v>
      </c>
      <c r="E1940" t="s">
        <v>1019</v>
      </c>
      <c r="F1940" t="s">
        <v>5323</v>
      </c>
      <c r="G1940" t="str">
        <f>B78_Assessment!A79</f>
        <v>Risk ID</v>
      </c>
      <c r="H1940" t="str">
        <f>B78_Assessment!B79</f>
        <v>Room</v>
      </c>
      <c r="I1940" t="str">
        <f>B78_Assessment!C79</f>
        <v>Risk</v>
      </c>
      <c r="J1940" t="str">
        <f>B78_Assessment!D79</f>
        <v>Impact</v>
      </c>
      <c r="K1940" t="str">
        <f>B78_Assessment!E79</f>
        <v>Probability</v>
      </c>
      <c r="L1940" t="str">
        <f>B78_Assessment!F79</f>
        <v>Score</v>
      </c>
      <c r="M1940" t="str">
        <f>B78_Assessment!G79</f>
        <v>Mitigation</v>
      </c>
      <c r="N1940" t="str">
        <f>B78_Assessment!H79</f>
        <v>Owner</v>
      </c>
      <c r="O1940" t="str">
        <f>B78_Assessment!I79</f>
        <v>Status</v>
      </c>
      <c r="P1940" t="str">
        <f>B78_Assessment!J79</f>
        <v>Notes</v>
      </c>
      <c r="Q1940" t="str">
        <f t="shared" si="30"/>
        <v>78|72</v>
      </c>
    </row>
    <row r="1941" spans="1:17" ht="6.45" customHeight="1">
      <c r="A1941" t="s">
        <v>381</v>
      </c>
      <c r="B1941">
        <v>73</v>
      </c>
      <c r="C1941" t="s">
        <v>61</v>
      </c>
      <c r="D1941">
        <v>80</v>
      </c>
      <c r="E1941" t="s">
        <v>1019</v>
      </c>
      <c r="F1941" t="s">
        <v>5324</v>
      </c>
      <c r="G1941" t="str">
        <f>B78_Assessment!A80</f>
        <v>B78-R1</v>
      </c>
      <c r="H1941" t="str">
        <f>B78_Assessment!B80</f>
        <v>All</v>
      </c>
      <c r="I1941" t="str">
        <f>B78_Assessment!C80</f>
        <v>Existing conditions and active equipment across six TRs and existing telecom rooms not field verified</v>
      </c>
      <c r="J1941" t="str">
        <f>B78_Assessment!D80</f>
        <v>High</v>
      </c>
      <c r="K1941" t="str">
        <f>B78_Assessment!E80</f>
        <v>Medium</v>
      </c>
      <c r="L1941">
        <f>B78_Assessment!F80</f>
        <v>6</v>
      </c>
      <c r="M1941" t="str">
        <f>B78_Assessment!G80</f>
        <v>Perform detailed room-by-room existing condition survey with photos and active-service inventory</v>
      </c>
      <c r="N1941" t="str">
        <f>B78_Assessment!H80</f>
        <v>GCC / Contractor</v>
      </c>
      <c r="O1941" t="str">
        <f>B78_Assessment!I80</f>
        <v>Closed</v>
      </c>
      <c r="P1941" t="str">
        <f>B78_Assessment!J80</f>
        <v>B78/78A has six major TR areas and several existing transition rooms.</v>
      </c>
      <c r="Q1941" t="str">
        <f t="shared" si="30"/>
        <v>78|73</v>
      </c>
    </row>
    <row r="1942" spans="1:17" ht="6.45" customHeight="1">
      <c r="A1942" t="s">
        <v>381</v>
      </c>
      <c r="B1942">
        <v>74</v>
      </c>
      <c r="C1942" t="s">
        <v>61</v>
      </c>
      <c r="D1942">
        <v>81</v>
      </c>
      <c r="E1942" t="s">
        <v>1019</v>
      </c>
      <c r="F1942" t="s">
        <v>5324</v>
      </c>
      <c r="G1942" t="str">
        <f>B78_Assessment!A81</f>
        <v>B78-R2</v>
      </c>
      <c r="H1942" t="str">
        <f>B78_Assessment!B81</f>
        <v>Basement / Third</v>
      </c>
      <c r="I1942" t="str">
        <f>B78_Assessment!C81</f>
        <v>Hazardous material abatement plans exist for basement and third level</v>
      </c>
      <c r="J1942" t="str">
        <f>B78_Assessment!D81</f>
        <v>High</v>
      </c>
      <c r="K1942" t="str">
        <f>B78_Assessment!E81</f>
        <v>Medium</v>
      </c>
      <c r="L1942">
        <f>B78_Assessment!F81</f>
        <v>6</v>
      </c>
      <c r="M1942" t="str">
        <f>B78_Assessment!G81</f>
        <v>Coordinate IH/abatement review before penetrations, wall/ceiling work, cabling or MEP installation</v>
      </c>
      <c r="N1942" t="str">
        <f>B78_Assessment!H81</f>
        <v>GC / IH / COR</v>
      </c>
      <c r="O1942" t="str">
        <f>B78_Assessment!I81</f>
        <v>Closed</v>
      </c>
      <c r="P1942" t="str">
        <f>B78_Assessment!J81</f>
        <v>Drawing index includes 78_78AH-100 and 78_78AH-103.</v>
      </c>
      <c r="Q1942" t="str">
        <f t="shared" si="30"/>
        <v>78|74</v>
      </c>
    </row>
    <row r="1943" spans="1:17" ht="6.45" customHeight="1">
      <c r="A1943" t="s">
        <v>381</v>
      </c>
      <c r="B1943">
        <v>75</v>
      </c>
      <c r="C1943" t="s">
        <v>61</v>
      </c>
      <c r="D1943">
        <v>82</v>
      </c>
      <c r="E1943" t="s">
        <v>1019</v>
      </c>
      <c r="F1943" t="s">
        <v>5324</v>
      </c>
      <c r="G1943" t="str">
        <f>B78_Assessment!A82</f>
        <v>B78-R3</v>
      </c>
      <c r="H1943" t="str">
        <f>B78_Assessment!B82</f>
        <v>Existing rooms</v>
      </c>
      <c r="I1943" t="str">
        <f>B78_Assessment!C82</f>
        <v>Existing telecom equipment may remain active during cutover</v>
      </c>
      <c r="J1943" t="str">
        <f>B78_Assessment!D82</f>
        <v>Critical</v>
      </c>
      <c r="K1943" t="str">
        <f>B78_Assessment!E82</f>
        <v>Medium</v>
      </c>
      <c r="L1943">
        <f>B78_Assessment!F82</f>
        <v>8</v>
      </c>
      <c r="M1943" t="str">
        <f>B78_Assessment!G82</f>
        <v>Document active services, OIT windows, rack inventory, temporary utilities and rollback plan</v>
      </c>
      <c r="N1943" t="str">
        <f>B78_Assessment!H82</f>
        <v>Telecom / OIT</v>
      </c>
      <c r="O1943" t="str">
        <f>B78_Assessment!I82</f>
        <v>Closed</v>
      </c>
      <c r="P1943" t="str">
        <f>B78_Assessment!J82</f>
        <v>Photo references include 15E, 1234, 353, 308A, 408A.</v>
      </c>
      <c r="Q1943" t="str">
        <f t="shared" si="30"/>
        <v>78|75</v>
      </c>
    </row>
    <row r="1944" spans="1:17" ht="6.45" customHeight="1">
      <c r="A1944" t="s">
        <v>381</v>
      </c>
      <c r="B1944">
        <v>76</v>
      </c>
      <c r="C1944" t="s">
        <v>61</v>
      </c>
      <c r="D1944">
        <v>83</v>
      </c>
      <c r="E1944" t="s">
        <v>1019</v>
      </c>
      <c r="F1944" t="s">
        <v>5324</v>
      </c>
      <c r="G1944" t="str">
        <f>B78_Assessment!A83</f>
        <v>B78-R4</v>
      </c>
      <c r="H1944" t="str">
        <f>B78_Assessment!B83</f>
        <v>All TRs</v>
      </c>
      <c r="I1944" t="str">
        <f>B78_Assessment!C83</f>
        <v>Dedicated cooling sequence, emergency power, condensate and alarms not verified</v>
      </c>
      <c r="J1944" t="str">
        <f>B78_Assessment!D83</f>
        <v>Critical</v>
      </c>
      <c r="K1944" t="str">
        <f>B78_Assessment!E83</f>
        <v>Medium</v>
      </c>
      <c r="L1944">
        <f>B78_Assessment!F83</f>
        <v>8</v>
      </c>
      <c r="M1944" t="str">
        <f>B78_Assessment!G83</f>
        <v>Confirm HVAC equipment serving each TR, emergency source, condensate, controls/BACnet and high-temp alarms</v>
      </c>
      <c r="N1944" t="str">
        <f>B78_Assessment!H83</f>
        <v>Mechanical / Electrical</v>
      </c>
      <c r="O1944" t="str">
        <f>B78_Assessment!I83</f>
        <v>Closed</v>
      </c>
      <c r="P1944" t="str">
        <f>B78_Assessment!J83</f>
        <v>Mechanical sheets are included for basement through fourth level.</v>
      </c>
      <c r="Q1944" t="str">
        <f t="shared" si="30"/>
        <v>78|76</v>
      </c>
    </row>
    <row r="1945" spans="1:17" ht="6.45" customHeight="1">
      <c r="A1945" t="s">
        <v>381</v>
      </c>
      <c r="B1945">
        <v>77</v>
      </c>
      <c r="C1945" t="s">
        <v>61</v>
      </c>
      <c r="D1945">
        <v>84</v>
      </c>
      <c r="E1945" t="s">
        <v>1019</v>
      </c>
      <c r="F1945" t="s">
        <v>5324</v>
      </c>
      <c r="G1945" t="str">
        <f>B78_Assessment!A84</f>
        <v>B78-R5</v>
      </c>
      <c r="H1945" t="str">
        <f>B78_Assessment!B84</f>
        <v>All TRs</v>
      </c>
      <c r="I1945" t="str">
        <f>B78_Assessment!C84</f>
        <v>Panel source, UPS/PDU and rack receptacle coordination could delay energization</v>
      </c>
      <c r="J1945" t="str">
        <f>B78_Assessment!D84</f>
        <v>Critical</v>
      </c>
      <c r="K1945" t="str">
        <f>B78_Assessment!E84</f>
        <v>Medium</v>
      </c>
      <c r="L1945">
        <f>B78_Assessment!F84</f>
        <v>8</v>
      </c>
      <c r="M1945" t="str">
        <f>B78_Assessment!G84</f>
        <v>Verify telecom panelboards, breakers, rack receptacles, UPS/PDU sources, SPDs, labels and LOTO requirements</v>
      </c>
      <c r="N1945" t="str">
        <f>B78_Assessment!H84</f>
        <v>Electrical / GCC</v>
      </c>
      <c r="O1945" t="str">
        <f>B78_Assessment!I84</f>
        <v>Closed</v>
      </c>
      <c r="P1945" t="str">
        <f>B78_Assessment!J84</f>
        <v>Electrical plans/schedules are extensive; confirm all panel IDs in field.</v>
      </c>
      <c r="Q1945" t="str">
        <f t="shared" si="30"/>
        <v>78|77</v>
      </c>
    </row>
    <row r="1946" spans="1:17" ht="6.45" customHeight="1">
      <c r="A1946" t="s">
        <v>381</v>
      </c>
      <c r="B1946">
        <v>78</v>
      </c>
      <c r="C1946" t="s">
        <v>61</v>
      </c>
      <c r="D1946">
        <v>85</v>
      </c>
      <c r="E1946" t="s">
        <v>1019</v>
      </c>
      <c r="F1946" t="s">
        <v>5324</v>
      </c>
      <c r="G1946" t="str">
        <f>B78_Assessment!A85</f>
        <v>B78-R6</v>
      </c>
      <c r="H1946" t="str">
        <f>B78_Assessment!B85</f>
        <v>All</v>
      </c>
      <c r="I1946" t="str">
        <f>B78_Assessment!C85</f>
        <v>Large cable tray scope creates coordination and firestop risk</v>
      </c>
      <c r="J1946" t="str">
        <f>B78_Assessment!D85</f>
        <v>High</v>
      </c>
      <c r="K1946" t="str">
        <f>B78_Assessment!E85</f>
        <v>Medium</v>
      </c>
      <c r="L1946">
        <f>B78_Assessment!F85</f>
        <v>6</v>
      </c>
      <c r="M1946" t="str">
        <f>B78_Assessment!G85</f>
        <v>Verify 4,849 ft cable tray route, supports, seismic bracing, 40% fill, MEP conflicts, sleeves and final firestop assemblies</v>
      </c>
      <c r="N1946" t="str">
        <f>B78_Assessment!H85</f>
        <v>Telecom / GC</v>
      </c>
      <c r="O1946" t="str">
        <f>B78_Assessment!I85</f>
        <v>Closed</v>
      </c>
      <c r="P1946" t="str">
        <f>B78_Assessment!J85</f>
        <v>Cable tray schedule: basement 1,702 ft, first 959 ft, second 804 ft, third 695 ft, fourth 689 ft.</v>
      </c>
      <c r="Q1946" t="str">
        <f t="shared" si="30"/>
        <v>78|78</v>
      </c>
    </row>
    <row r="1947" spans="1:17" ht="6.45" customHeight="1">
      <c r="A1947" t="s">
        <v>381</v>
      </c>
      <c r="B1947">
        <v>79</v>
      </c>
      <c r="C1947" t="s">
        <v>61</v>
      </c>
      <c r="D1947">
        <v>86</v>
      </c>
      <c r="E1947" t="s">
        <v>1019</v>
      </c>
      <c r="F1947" t="s">
        <v>5324</v>
      </c>
      <c r="G1947" t="str">
        <f>B78_Assessment!A86</f>
        <v>B78-R7</v>
      </c>
      <c r="H1947" t="str">
        <f>B78_Assessment!B86</f>
        <v>All</v>
      </c>
      <c r="I1947" t="str">
        <f>B78_Assessment!C86</f>
        <v>Telecom/fiber cutover could affect active hospital communications across B78 and B78A</v>
      </c>
      <c r="J1947" t="str">
        <f>B78_Assessment!D86</f>
        <v>Critical</v>
      </c>
      <c r="K1947" t="str">
        <f>B78_Assessment!E86</f>
        <v>Medium</v>
      </c>
      <c r="L1947">
        <f>B78_Assessment!F86</f>
        <v>8</v>
      </c>
      <c r="M1947" t="str">
        <f>B78_Assessment!G86</f>
        <v>Require cutover plan, test records, labels, as-builts, OIT coordination and VA acceptance before active connection</v>
      </c>
      <c r="N1947" t="str">
        <f>B78_Assessment!H86</f>
        <v>Telecom / OIT</v>
      </c>
      <c r="O1947" t="str">
        <f>B78_Assessment!I86</f>
        <v>Closed</v>
      </c>
      <c r="P1947" t="str">
        <f>B78_Assessment!J86</f>
        <v>Total scheduled ports exceed 1,300 across the primary schedules.</v>
      </c>
      <c r="Q1947" t="str">
        <f t="shared" si="30"/>
        <v>78|79</v>
      </c>
    </row>
    <row r="1948" spans="1:17" ht="6.45" customHeight="1">
      <c r="A1948" t="s">
        <v>381</v>
      </c>
      <c r="B1948">
        <v>80</v>
      </c>
      <c r="C1948" t="s">
        <v>61</v>
      </c>
      <c r="D1948">
        <v>87</v>
      </c>
      <c r="E1948" t="s">
        <v>1019</v>
      </c>
      <c r="F1948" t="s">
        <v>5324</v>
      </c>
      <c r="G1948" t="str">
        <f>B78_Assessment!A87</f>
        <v>B78-R8</v>
      </c>
      <c r="H1948" t="str">
        <f>B78_Assessment!B87</f>
        <v>All</v>
      </c>
      <c r="I1948" t="str">
        <f>B78_Assessment!C87</f>
        <v>Commissioning/third-party inspection reports may not be complete at turnover</v>
      </c>
      <c r="J1948" t="str">
        <f>B78_Assessment!D87</f>
        <v>High</v>
      </c>
      <c r="K1948" t="str">
        <f>B78_Assessment!E87</f>
        <v>Medium</v>
      </c>
      <c r="L1948">
        <f>B78_Assessment!F87</f>
        <v>6</v>
      </c>
      <c r="M1948" t="str">
        <f>B78_Assessment!G87</f>
        <v>Track commissioning, inspections, FA/FP acceptance, power verification, cabling tests, labels and as-builts</v>
      </c>
      <c r="N1948" t="str">
        <f>B78_Assessment!H87</f>
        <v>GC / Cx Manager</v>
      </c>
      <c r="O1948" t="str">
        <f>B78_Assessment!I87</f>
        <v>Closed</v>
      </c>
      <c r="P1948" t="str">
        <f>B78_Assessment!J87</f>
        <v>Full-scope 102-sheet IFC package with multiple divisions.</v>
      </c>
      <c r="Q1948" t="str">
        <f t="shared" si="30"/>
        <v>78|80</v>
      </c>
    </row>
    <row r="1949" spans="1:17" ht="6.45" customHeight="1">
      <c r="A1949" t="s">
        <v>381</v>
      </c>
      <c r="B1949">
        <v>81</v>
      </c>
      <c r="C1949" t="s">
        <v>61</v>
      </c>
      <c r="D1949">
        <v>88</v>
      </c>
      <c r="E1949" t="s">
        <v>1019</v>
      </c>
      <c r="F1949" t="s">
        <v>5325</v>
      </c>
      <c r="G1949">
        <f>B78_Assessment!A88</f>
        <v>0</v>
      </c>
      <c r="H1949">
        <f>B78_Assessment!B88</f>
        <v>0</v>
      </c>
      <c r="I1949">
        <f>B78_Assessment!C88</f>
        <v>0</v>
      </c>
      <c r="J1949">
        <f>B78_Assessment!D88</f>
        <v>0</v>
      </c>
      <c r="K1949">
        <f>B78_Assessment!E88</f>
        <v>0</v>
      </c>
      <c r="L1949">
        <f>B78_Assessment!F88</f>
        <v>0</v>
      </c>
      <c r="M1949">
        <f>B78_Assessment!G88</f>
        <v>0</v>
      </c>
      <c r="N1949">
        <f>B78_Assessment!H88</f>
        <v>0</v>
      </c>
      <c r="O1949">
        <f>B78_Assessment!I88</f>
        <v>0</v>
      </c>
      <c r="P1949">
        <f>B78_Assessment!J88</f>
        <v>0</v>
      </c>
      <c r="Q1949" t="str">
        <f t="shared" si="30"/>
        <v>78|81</v>
      </c>
    </row>
    <row r="1950" spans="1:17" ht="6.45" customHeight="1">
      <c r="A1950" t="s">
        <v>381</v>
      </c>
      <c r="B1950">
        <v>82</v>
      </c>
      <c r="C1950" t="s">
        <v>61</v>
      </c>
      <c r="D1950">
        <v>89</v>
      </c>
      <c r="E1950" t="s">
        <v>1051</v>
      </c>
      <c r="F1950" t="s">
        <v>5322</v>
      </c>
      <c r="G1950" t="str">
        <f>B78_Assessment!A89</f>
        <v>9. OPEN QUESTIONS</v>
      </c>
      <c r="H1950">
        <f>B78_Assessment!B89</f>
        <v>0</v>
      </c>
      <c r="I1950">
        <f>B78_Assessment!C89</f>
        <v>0</v>
      </c>
      <c r="J1950">
        <f>B78_Assessment!D89</f>
        <v>0</v>
      </c>
      <c r="K1950">
        <f>B78_Assessment!E89</f>
        <v>0</v>
      </c>
      <c r="L1950">
        <f>B78_Assessment!F89</f>
        <v>0</v>
      </c>
      <c r="M1950">
        <f>B78_Assessment!G89</f>
        <v>0</v>
      </c>
      <c r="N1950">
        <f>B78_Assessment!H89</f>
        <v>0</v>
      </c>
      <c r="O1950">
        <f>B78_Assessment!I89</f>
        <v>0</v>
      </c>
      <c r="P1950">
        <f>B78_Assessment!J89</f>
        <v>0</v>
      </c>
      <c r="Q1950" t="str">
        <f t="shared" si="30"/>
        <v>78|82</v>
      </c>
    </row>
    <row r="1951" spans="1:17" ht="6.45" customHeight="1">
      <c r="A1951" t="s">
        <v>381</v>
      </c>
      <c r="B1951">
        <v>83</v>
      </c>
      <c r="C1951" t="s">
        <v>61</v>
      </c>
      <c r="D1951">
        <v>90</v>
      </c>
      <c r="E1951" t="s">
        <v>1051</v>
      </c>
      <c r="F1951" t="s">
        <v>5323</v>
      </c>
      <c r="G1951" t="str">
        <f>B78_Assessment!A90</f>
        <v>Question ID</v>
      </c>
      <c r="H1951" t="str">
        <f>B78_Assessment!B90</f>
        <v>Question</v>
      </c>
      <c r="I1951" t="str">
        <f>B78_Assessment!C90</f>
        <v>Assigned To</v>
      </c>
      <c r="J1951" t="str">
        <f>B78_Assessment!D90</f>
        <v>Status</v>
      </c>
      <c r="K1951" t="str">
        <f>B78_Assessment!E90</f>
        <v>Needed By</v>
      </c>
      <c r="L1951" t="str">
        <f>B78_Assessment!F90</f>
        <v>Answer / Resolution</v>
      </c>
      <c r="M1951" t="str">
        <f>B78_Assessment!G90</f>
        <v>Impact if Unanswered</v>
      </c>
      <c r="N1951" t="str">
        <f>B78_Assessment!H90</f>
        <v>Follow-up</v>
      </c>
      <c r="O1951" t="str">
        <f>B78_Assessment!I90</f>
        <v>Date Closed</v>
      </c>
      <c r="P1951" t="str">
        <f>B78_Assessment!J90</f>
        <v>Notes</v>
      </c>
      <c r="Q1951" t="str">
        <f t="shared" si="30"/>
        <v>78|83</v>
      </c>
    </row>
    <row r="1952" spans="1:17" ht="6.45" customHeight="1">
      <c r="A1952" t="s">
        <v>381</v>
      </c>
      <c r="B1952">
        <v>84</v>
      </c>
      <c r="C1952" t="s">
        <v>61</v>
      </c>
      <c r="D1952">
        <v>91</v>
      </c>
      <c r="E1952" t="s">
        <v>1051</v>
      </c>
      <c r="F1952" t="s">
        <v>5324</v>
      </c>
      <c r="G1952" t="str">
        <f>B78_Assessment!A91</f>
        <v>B78-Q1</v>
      </c>
      <c r="H1952" t="str">
        <f>B78_Assessment!B91</f>
        <v>Confirm final telecom room list and PMIS mapping: B30, B35, 1232, 227A, 342, 401 plus existing rooms 15E/1234/353/308A/408A?</v>
      </c>
      <c r="I1952" t="str">
        <f>B78_Assessment!C91</f>
        <v>VA / OIT / Designer</v>
      </c>
      <c r="J1952" t="str">
        <f>B78_Assessment!D91</f>
        <v>Closed</v>
      </c>
      <c r="K1952">
        <f>B78_Assessment!E91</f>
        <v>0</v>
      </c>
      <c r="L1952">
        <f>B78_Assessment!F91</f>
        <v>0</v>
      </c>
      <c r="M1952" t="str">
        <f>B78_Assessment!G91</f>
        <v>Room inventory could miss scope</v>
      </c>
      <c r="N1952">
        <f>B78_Assessment!H91</f>
        <v>0</v>
      </c>
      <c r="O1952">
        <f>B78_Assessment!I91</f>
        <v>0</v>
      </c>
      <c r="P1952">
        <f>B78_Assessment!J91</f>
        <v>0</v>
      </c>
      <c r="Q1952" t="str">
        <f t="shared" si="30"/>
        <v>78|84</v>
      </c>
    </row>
    <row r="1953" spans="1:17" ht="6.45" customHeight="1">
      <c r="A1953" t="s">
        <v>381</v>
      </c>
      <c r="B1953">
        <v>85</v>
      </c>
      <c r="C1953" t="s">
        <v>61</v>
      </c>
      <c r="D1953">
        <v>92</v>
      </c>
      <c r="E1953" t="s">
        <v>1051</v>
      </c>
      <c r="F1953" t="s">
        <v>5324</v>
      </c>
      <c r="G1953" t="str">
        <f>B78_Assessment!A92</f>
        <v>B78-Q2</v>
      </c>
      <c r="H1953" t="str">
        <f>B78_Assessment!B92</f>
        <v>What active services currently remain in each existing telecom room/photo reference location?</v>
      </c>
      <c r="I1953" t="str">
        <f>B78_Assessment!C92</f>
        <v>OIT / Contractor</v>
      </c>
      <c r="J1953" t="str">
        <f>B78_Assessment!D92</f>
        <v>Closed</v>
      </c>
      <c r="K1953">
        <f>B78_Assessment!E92</f>
        <v>0</v>
      </c>
      <c r="L1953">
        <f>B78_Assessment!F92</f>
        <v>0</v>
      </c>
      <c r="M1953" t="str">
        <f>B78_Assessment!G92</f>
        <v>Potential outage/cutover risk</v>
      </c>
      <c r="N1953">
        <f>B78_Assessment!H92</f>
        <v>0</v>
      </c>
      <c r="O1953">
        <f>B78_Assessment!I92</f>
        <v>0</v>
      </c>
      <c r="P1953">
        <f>B78_Assessment!J92</f>
        <v>0</v>
      </c>
      <c r="Q1953" t="str">
        <f t="shared" si="30"/>
        <v>78|85</v>
      </c>
    </row>
    <row r="1954" spans="1:17" ht="6.45" customHeight="1">
      <c r="A1954" t="s">
        <v>381</v>
      </c>
      <c r="B1954">
        <v>86</v>
      </c>
      <c r="C1954" t="s">
        <v>61</v>
      </c>
      <c r="D1954">
        <v>93</v>
      </c>
      <c r="E1954" t="s">
        <v>1051</v>
      </c>
      <c r="F1954" t="s">
        <v>5324</v>
      </c>
      <c r="G1954" t="str">
        <f>B78_Assessment!A93</f>
        <v>B78-Q3</v>
      </c>
      <c r="H1954" t="str">
        <f>B78_Assessment!B93</f>
        <v>Are Room 1232 and existing Room 1234 separate rooms or naming/mapping references for the same telecom space?</v>
      </c>
      <c r="I1954" t="str">
        <f>B78_Assessment!C93</f>
        <v>VA / Designer / OIT</v>
      </c>
      <c r="J1954" t="str">
        <f>B78_Assessment!D93</f>
        <v>Closed</v>
      </c>
      <c r="K1954">
        <f>B78_Assessment!E93</f>
        <v>0</v>
      </c>
      <c r="L1954">
        <f>B78_Assessment!F93</f>
        <v>0</v>
      </c>
      <c r="M1954" t="str">
        <f>B78_Assessment!G93</f>
        <v>PMIS mapping risk</v>
      </c>
      <c r="N1954">
        <f>B78_Assessment!H93</f>
        <v>0</v>
      </c>
      <c r="O1954">
        <f>B78_Assessment!I93</f>
        <v>0</v>
      </c>
      <c r="P1954">
        <f>B78_Assessment!J93</f>
        <v>0</v>
      </c>
      <c r="Q1954" t="str">
        <f t="shared" si="30"/>
        <v>78|86</v>
      </c>
    </row>
    <row r="1955" spans="1:17" ht="6.45" customHeight="1">
      <c r="A1955" t="s">
        <v>381</v>
      </c>
      <c r="B1955">
        <v>87</v>
      </c>
      <c r="C1955" t="s">
        <v>61</v>
      </c>
      <c r="D1955">
        <v>94</v>
      </c>
      <c r="E1955" t="s">
        <v>1051</v>
      </c>
      <c r="F1955" t="s">
        <v>5324</v>
      </c>
      <c r="G1955" t="str">
        <f>B78_Assessment!A94</f>
        <v>B78-Q4</v>
      </c>
      <c r="H1955" t="str">
        <f>B78_Assessment!B94</f>
        <v>Which dedicated cooling units serve each TR and are they on emergency/backup power?</v>
      </c>
      <c r="I1955" t="str">
        <f>B78_Assessment!C94</f>
        <v>Mechanical / Electrical / VA</v>
      </c>
      <c r="J1955" t="str">
        <f>B78_Assessment!D94</f>
        <v>Closed</v>
      </c>
      <c r="K1955">
        <f>B78_Assessment!E94</f>
        <v>0</v>
      </c>
      <c r="L1955">
        <f>B78_Assessment!F94</f>
        <v>0</v>
      </c>
      <c r="M1955" t="str">
        <f>B78_Assessment!G94</f>
        <v>Cooling continuity unclear</v>
      </c>
      <c r="N1955">
        <f>B78_Assessment!H94</f>
        <v>0</v>
      </c>
      <c r="O1955">
        <f>B78_Assessment!I94</f>
        <v>0</v>
      </c>
      <c r="P1955">
        <f>B78_Assessment!J94</f>
        <v>0</v>
      </c>
      <c r="Q1955" t="str">
        <f t="shared" si="30"/>
        <v>78|87</v>
      </c>
    </row>
    <row r="1956" spans="1:17" ht="6.45" customHeight="1">
      <c r="A1956" t="s">
        <v>381</v>
      </c>
      <c r="B1956">
        <v>88</v>
      </c>
      <c r="C1956" t="s">
        <v>61</v>
      </c>
      <c r="D1956">
        <v>95</v>
      </c>
      <c r="E1956" t="s">
        <v>1051</v>
      </c>
      <c r="F1956" t="s">
        <v>5324</v>
      </c>
      <c r="G1956" t="str">
        <f>B78_Assessment!A95</f>
        <v>B78-Q5</v>
      </c>
      <c r="H1956" t="str">
        <f>B78_Assessment!B95</f>
        <v>Where are clean-agent/CO2 FEC cabinets located within 75 ft of each new TR?</v>
      </c>
      <c r="I1956" t="str">
        <f>B78_Assessment!C95</f>
        <v>GC / COR</v>
      </c>
      <c r="J1956" t="str">
        <f>B78_Assessment!D95</f>
        <v>Closed</v>
      </c>
      <c r="K1956">
        <f>B78_Assessment!E95</f>
        <v>0</v>
      </c>
      <c r="L1956">
        <f>B78_Assessment!F95</f>
        <v>0</v>
      </c>
      <c r="M1956" t="str">
        <f>B78_Assessment!G95</f>
        <v>Life-safety acceptance risk</v>
      </c>
      <c r="N1956">
        <f>B78_Assessment!H95</f>
        <v>0</v>
      </c>
      <c r="O1956">
        <f>B78_Assessment!I95</f>
        <v>0</v>
      </c>
      <c r="P1956">
        <f>B78_Assessment!J95</f>
        <v>0</v>
      </c>
      <c r="Q1956" t="str">
        <f t="shared" si="30"/>
        <v>78|88</v>
      </c>
    </row>
    <row r="1957" spans="1:17" ht="6.45" customHeight="1">
      <c r="A1957" t="s">
        <v>381</v>
      </c>
      <c r="B1957">
        <v>89</v>
      </c>
      <c r="C1957" t="s">
        <v>61</v>
      </c>
      <c r="D1957">
        <v>96</v>
      </c>
      <c r="E1957" t="s">
        <v>1051</v>
      </c>
      <c r="F1957" t="s">
        <v>5324</v>
      </c>
      <c r="G1957" t="str">
        <f>B78_Assessment!A96</f>
        <v>B78-Q6</v>
      </c>
      <c r="H1957" t="str">
        <f>B78_Assessment!B96</f>
        <v>Are rack UPS/PDU circuits, SPDs, labels, load measurements and LOTO requirements approved for all TR panelboards?</v>
      </c>
      <c r="I1957" t="str">
        <f>B78_Assessment!C96</f>
        <v>Electrical / Designer</v>
      </c>
      <c r="J1957" t="str">
        <f>B78_Assessment!D96</f>
        <v>Closed</v>
      </c>
      <c r="K1957">
        <f>B78_Assessment!E96</f>
        <v>0</v>
      </c>
      <c r="L1957">
        <f>B78_Assessment!F96</f>
        <v>0</v>
      </c>
      <c r="M1957" t="str">
        <f>B78_Assessment!G96</f>
        <v>Electrical readiness unknown</v>
      </c>
      <c r="N1957">
        <f>B78_Assessment!H96</f>
        <v>0</v>
      </c>
      <c r="O1957">
        <f>B78_Assessment!I96</f>
        <v>0</v>
      </c>
      <c r="P1957">
        <f>B78_Assessment!J96</f>
        <v>0</v>
      </c>
      <c r="Q1957" t="str">
        <f t="shared" si="30"/>
        <v>78|89</v>
      </c>
    </row>
    <row r="1958" spans="1:17" ht="6.45" customHeight="1">
      <c r="A1958" t="s">
        <v>381</v>
      </c>
      <c r="B1958">
        <v>90</v>
      </c>
      <c r="C1958" t="s">
        <v>61</v>
      </c>
      <c r="D1958">
        <v>97</v>
      </c>
      <c r="E1958" t="s">
        <v>1051</v>
      </c>
      <c r="F1958" t="s">
        <v>5324</v>
      </c>
      <c r="G1958" t="str">
        <f>B78_Assessment!A97</f>
        <v>B78-Q7</v>
      </c>
      <c r="H1958" t="str">
        <f>B78_Assessment!B97</f>
        <v>Are all rated wall/floor penetrations, sleeves, cable tray entries and temporary firestopping details identified?</v>
      </c>
      <c r="I1958" t="str">
        <f>B78_Assessment!C97</f>
        <v>GC / Firestop</v>
      </c>
      <c r="J1958" t="str">
        <f>B78_Assessment!D97</f>
        <v>Closed</v>
      </c>
      <c r="K1958">
        <f>B78_Assessment!E97</f>
        <v>0</v>
      </c>
      <c r="L1958">
        <f>B78_Assessment!F97</f>
        <v>0</v>
      </c>
      <c r="M1958" t="str">
        <f>B78_Assessment!G97</f>
        <v>Fire/smoke spread risk</v>
      </c>
      <c r="N1958">
        <f>B78_Assessment!H97</f>
        <v>0</v>
      </c>
      <c r="O1958">
        <f>B78_Assessment!I97</f>
        <v>0</v>
      </c>
      <c r="P1958">
        <f>B78_Assessment!J97</f>
        <v>0</v>
      </c>
      <c r="Q1958" t="str">
        <f t="shared" si="30"/>
        <v>78|90</v>
      </c>
    </row>
    <row r="1959" spans="1:17" ht="6.45" customHeight="1">
      <c r="A1959" t="s">
        <v>381</v>
      </c>
      <c r="B1959">
        <v>91</v>
      </c>
      <c r="C1959" t="s">
        <v>61</v>
      </c>
      <c r="D1959">
        <v>98</v>
      </c>
      <c r="E1959" t="s">
        <v>1051</v>
      </c>
      <c r="F1959" t="s">
        <v>5324</v>
      </c>
      <c r="G1959" t="str">
        <f>B78_Assessment!A98</f>
        <v>B78-Q8</v>
      </c>
      <c r="H1959" t="str">
        <f>B78_Assessment!B98</f>
        <v>Which third-party inspections, commissioning forms and OIT acceptance records are required before turnover?</v>
      </c>
      <c r="I1959" t="str">
        <f>B78_Assessment!C98</f>
        <v>GC / Cx Manager / OIT</v>
      </c>
      <c r="J1959" t="str">
        <f>B78_Assessment!D98</f>
        <v>Closed</v>
      </c>
      <c r="K1959">
        <f>B78_Assessment!E98</f>
        <v>0</v>
      </c>
      <c r="L1959">
        <f>B78_Assessment!F98</f>
        <v>0</v>
      </c>
      <c r="M1959" t="str">
        <f>B78_Assessment!G98</f>
        <v>Turnover package gap</v>
      </c>
      <c r="N1959">
        <f>B78_Assessment!H98</f>
        <v>0</v>
      </c>
      <c r="O1959">
        <f>B78_Assessment!I98</f>
        <v>0</v>
      </c>
      <c r="P1959">
        <f>B78_Assessment!J98</f>
        <v>0</v>
      </c>
      <c r="Q1959" t="str">
        <f t="shared" si="30"/>
        <v>78|91</v>
      </c>
    </row>
    <row r="1960" spans="1:17" ht="6.45" customHeight="1">
      <c r="A1960" t="s">
        <v>381</v>
      </c>
      <c r="B1960">
        <v>92</v>
      </c>
      <c r="C1960" t="s">
        <v>61</v>
      </c>
      <c r="D1960">
        <v>99</v>
      </c>
      <c r="E1960" t="s">
        <v>1051</v>
      </c>
      <c r="F1960" t="s">
        <v>5325</v>
      </c>
      <c r="G1960">
        <f>B78_Assessment!A99</f>
        <v>0</v>
      </c>
      <c r="H1960">
        <f>B78_Assessment!B99</f>
        <v>0</v>
      </c>
      <c r="I1960">
        <f>B78_Assessment!C99</f>
        <v>0</v>
      </c>
      <c r="J1960">
        <f>B78_Assessment!D99</f>
        <v>0</v>
      </c>
      <c r="K1960">
        <f>B78_Assessment!E99</f>
        <v>0</v>
      </c>
      <c r="L1960">
        <f>B78_Assessment!F99</f>
        <v>0</v>
      </c>
      <c r="M1960">
        <f>B78_Assessment!G99</f>
        <v>0</v>
      </c>
      <c r="N1960">
        <f>B78_Assessment!H99</f>
        <v>0</v>
      </c>
      <c r="O1960">
        <f>B78_Assessment!I99</f>
        <v>0</v>
      </c>
      <c r="P1960">
        <f>B78_Assessment!J99</f>
        <v>0</v>
      </c>
      <c r="Q1960" t="str">
        <f t="shared" si="30"/>
        <v>78|92</v>
      </c>
    </row>
    <row r="1961" spans="1:17" ht="6.45" customHeight="1">
      <c r="A1961" t="s">
        <v>381</v>
      </c>
      <c r="B1961">
        <v>93</v>
      </c>
      <c r="C1961" t="s">
        <v>61</v>
      </c>
      <c r="D1961">
        <v>100</v>
      </c>
      <c r="E1961" t="s">
        <v>1052</v>
      </c>
      <c r="F1961" t="s">
        <v>5322</v>
      </c>
      <c r="G1961" t="str">
        <f>B78_Assessment!A100</f>
        <v>10. PHOTO LOG</v>
      </c>
      <c r="H1961">
        <f>B78_Assessment!B100</f>
        <v>0</v>
      </c>
      <c r="I1961">
        <f>B78_Assessment!C100</f>
        <v>0</v>
      </c>
      <c r="J1961">
        <f>B78_Assessment!D100</f>
        <v>0</v>
      </c>
      <c r="K1961">
        <f>B78_Assessment!E100</f>
        <v>0</v>
      </c>
      <c r="L1961">
        <f>B78_Assessment!F100</f>
        <v>0</v>
      </c>
      <c r="M1961">
        <f>B78_Assessment!G100</f>
        <v>0</v>
      </c>
      <c r="N1961">
        <f>B78_Assessment!H100</f>
        <v>0</v>
      </c>
      <c r="O1961">
        <f>B78_Assessment!I100</f>
        <v>0</v>
      </c>
      <c r="P1961">
        <f>B78_Assessment!J100</f>
        <v>0</v>
      </c>
      <c r="Q1961" t="str">
        <f t="shared" si="30"/>
        <v>78|93</v>
      </c>
    </row>
    <row r="1962" spans="1:17" ht="6.45" customHeight="1">
      <c r="A1962" t="s">
        <v>381</v>
      </c>
      <c r="B1962">
        <v>94</v>
      </c>
      <c r="C1962" t="s">
        <v>61</v>
      </c>
      <c r="D1962">
        <v>101</v>
      </c>
      <c r="E1962" t="s">
        <v>1052</v>
      </c>
      <c r="F1962" t="s">
        <v>5323</v>
      </c>
      <c r="G1962" t="str">
        <f>B78_Assessment!A101</f>
        <v>Photo ID</v>
      </c>
      <c r="H1962" t="str">
        <f>B78_Assessment!B101</f>
        <v>Room</v>
      </c>
      <c r="I1962" t="str">
        <f>B78_Assessment!C101</f>
        <v>Category</v>
      </c>
      <c r="J1962" t="str">
        <f>B78_Assessment!D101</f>
        <v>Description</v>
      </c>
      <c r="K1962" t="str">
        <f>B78_Assessment!E101</f>
        <v>Date</v>
      </c>
      <c r="L1962" t="str">
        <f>B78_Assessment!F101</f>
        <v>Taken By</v>
      </c>
      <c r="M1962" t="str">
        <f>B78_Assessment!G101</f>
        <v>File / Link</v>
      </c>
      <c r="N1962" t="str">
        <f>B78_Assessment!H101</f>
        <v>Related Risk</v>
      </c>
      <c r="O1962" t="str">
        <f>B78_Assessment!I101</f>
        <v>Status</v>
      </c>
      <c r="P1962" t="str">
        <f>B78_Assessment!J101</f>
        <v>Notes</v>
      </c>
      <c r="Q1962" t="str">
        <f t="shared" si="30"/>
        <v>78|94</v>
      </c>
    </row>
    <row r="1963" spans="1:17" ht="6.45" customHeight="1">
      <c r="A1963" t="s">
        <v>381</v>
      </c>
      <c r="B1963">
        <v>95</v>
      </c>
      <c r="C1963" t="s">
        <v>61</v>
      </c>
      <c r="D1963">
        <v>102</v>
      </c>
      <c r="E1963" t="s">
        <v>1052</v>
      </c>
      <c r="F1963" t="s">
        <v>5324</v>
      </c>
      <c r="G1963" t="str">
        <f>B78_Assessment!A102</f>
        <v>B78-P001</v>
      </c>
      <c r="H1963" t="str">
        <f>B78_Assessment!B102</f>
        <v>B30</v>
      </c>
      <c r="I1963" t="str">
        <f>B78_Assessment!C102</f>
        <v>Existing Condition</v>
      </c>
      <c r="J1963" t="str">
        <f>B78_Assessment!D102</f>
        <v>Basement RM B30 walls, ceiling/deck, floor, door, racks/future rack, power, HVAC, cable tray and penetrations</v>
      </c>
      <c r="K1963">
        <f>B78_Assessment!E102</f>
        <v>0</v>
      </c>
      <c r="L1963" t="str">
        <f>B78_Assessment!F102</f>
        <v>Paul</v>
      </c>
      <c r="M1963">
        <f>B78_Assessment!G102</f>
        <v>0</v>
      </c>
      <c r="N1963" t="str">
        <f>B78_Assessment!H102</f>
        <v>B78-R1/B78-R6</v>
      </c>
      <c r="O1963" t="str">
        <f>B78_Assessment!I102</f>
        <v>Closed</v>
      </c>
      <c r="P1963">
        <f>B78_Assessment!J102</f>
        <v>0</v>
      </c>
      <c r="Q1963" t="str">
        <f t="shared" si="30"/>
        <v>78|95</v>
      </c>
    </row>
    <row r="1964" spans="1:17" ht="6.45" customHeight="1">
      <c r="A1964" t="s">
        <v>381</v>
      </c>
      <c r="B1964">
        <v>96</v>
      </c>
      <c r="C1964" t="s">
        <v>61</v>
      </c>
      <c r="D1964">
        <v>103</v>
      </c>
      <c r="E1964" t="s">
        <v>1052</v>
      </c>
      <c r="F1964" t="s">
        <v>5324</v>
      </c>
      <c r="G1964" t="str">
        <f>B78_Assessment!A103</f>
        <v>B78-P002</v>
      </c>
      <c r="H1964" t="str">
        <f>B78_Assessment!B103</f>
        <v>B35</v>
      </c>
      <c r="I1964" t="str">
        <f>B78_Assessment!C103</f>
        <v>Existing Condition</v>
      </c>
      <c r="J1964" t="str">
        <f>B78_Assessment!D103</f>
        <v>Basement RM B35 and relationship to existing telecom room 15E; rack/equipment, pathway, power, HVAC and penetrations</v>
      </c>
      <c r="K1964">
        <f>B78_Assessment!E103</f>
        <v>0</v>
      </c>
      <c r="L1964" t="str">
        <f>B78_Assessment!F103</f>
        <v>Paul</v>
      </c>
      <c r="M1964">
        <f>B78_Assessment!G103</f>
        <v>0</v>
      </c>
      <c r="N1964" t="str">
        <f>B78_Assessment!H103</f>
        <v>B78-R1/B78-R3</v>
      </c>
      <c r="O1964" t="str">
        <f>B78_Assessment!I103</f>
        <v>Closed</v>
      </c>
      <c r="P1964">
        <f>B78_Assessment!J103</f>
        <v>0</v>
      </c>
      <c r="Q1964" t="str">
        <f t="shared" si="30"/>
        <v>78|96</v>
      </c>
    </row>
    <row r="1965" spans="1:17" ht="6.45" customHeight="1">
      <c r="A1965" t="s">
        <v>381</v>
      </c>
      <c r="B1965">
        <v>97</v>
      </c>
      <c r="C1965" t="s">
        <v>61</v>
      </c>
      <c r="D1965">
        <v>104</v>
      </c>
      <c r="E1965" t="s">
        <v>1052</v>
      </c>
      <c r="F1965" t="s">
        <v>5324</v>
      </c>
      <c r="G1965" t="str">
        <f>B78_Assessment!A104</f>
        <v>B78-P003</v>
      </c>
      <c r="H1965" t="str">
        <f>B78_Assessment!B104</f>
        <v>1232 / 1234</v>
      </c>
      <c r="I1965" t="str">
        <f>B78_Assessment!C104</f>
        <v>Existing Condition</v>
      </c>
      <c r="J1965" t="str">
        <f>B78_Assessment!D104</f>
        <v>First-level RM 1232/new TR and existing telecom room 1234 photo reference, active equipment, cable paths and rack transfer scope</v>
      </c>
      <c r="K1965">
        <f>B78_Assessment!E104</f>
        <v>0</v>
      </c>
      <c r="L1965" t="str">
        <f>B78_Assessment!F104</f>
        <v>Paul</v>
      </c>
      <c r="M1965">
        <f>B78_Assessment!G104</f>
        <v>0</v>
      </c>
      <c r="N1965" t="str">
        <f>B78_Assessment!H104</f>
        <v>B78-R1/B78-R3</v>
      </c>
      <c r="O1965" t="str">
        <f>B78_Assessment!I104</f>
        <v>Closed</v>
      </c>
      <c r="P1965">
        <f>B78_Assessment!J104</f>
        <v>0</v>
      </c>
      <c r="Q1965" t="str">
        <f t="shared" si="30"/>
        <v>78|97</v>
      </c>
    </row>
    <row r="1966" spans="1:17" ht="6.45" customHeight="1">
      <c r="A1966" t="s">
        <v>381</v>
      </c>
      <c r="B1966">
        <v>98</v>
      </c>
      <c r="C1966" t="s">
        <v>61</v>
      </c>
      <c r="D1966">
        <v>105</v>
      </c>
      <c r="E1966" t="s">
        <v>1052</v>
      </c>
      <c r="F1966" t="s">
        <v>5324</v>
      </c>
      <c r="G1966" t="str">
        <f>B78_Assessment!A105</f>
        <v>B78-P004</v>
      </c>
      <c r="H1966" t="str">
        <f>B78_Assessment!B105</f>
        <v>227A / 1234</v>
      </c>
      <c r="I1966" t="str">
        <f>B78_Assessment!C105</f>
        <v>Existing Condition</v>
      </c>
      <c r="J1966" t="str">
        <f>B78_Assessment!D105</f>
        <v>Second-level RM 227A/new TR and existing telecom room 1234 photo reference, active equipment, cable paths and rack transfer scope</v>
      </c>
      <c r="K1966">
        <f>B78_Assessment!E105</f>
        <v>0</v>
      </c>
      <c r="L1966" t="str">
        <f>B78_Assessment!F105</f>
        <v>Paul</v>
      </c>
      <c r="M1966">
        <f>B78_Assessment!G105</f>
        <v>0</v>
      </c>
      <c r="N1966" t="str">
        <f>B78_Assessment!H105</f>
        <v>B78-R1/B78-R3</v>
      </c>
      <c r="O1966" t="str">
        <f>B78_Assessment!I105</f>
        <v>Closed</v>
      </c>
      <c r="P1966">
        <f>B78_Assessment!J105</f>
        <v>0</v>
      </c>
      <c r="Q1966" t="str">
        <f t="shared" si="30"/>
        <v>78|98</v>
      </c>
    </row>
    <row r="1967" spans="1:17" ht="6.45" customHeight="1">
      <c r="A1967" t="s">
        <v>381</v>
      </c>
      <c r="B1967">
        <v>99</v>
      </c>
      <c r="C1967" t="s">
        <v>61</v>
      </c>
      <c r="D1967">
        <v>106</v>
      </c>
      <c r="E1967" t="s">
        <v>1052</v>
      </c>
      <c r="F1967" t="s">
        <v>5324</v>
      </c>
      <c r="G1967" t="str">
        <f>B78_Assessment!A106</f>
        <v>B78-P005</v>
      </c>
      <c r="H1967" t="str">
        <f>B78_Assessment!B106</f>
        <v>342 / 353</v>
      </c>
      <c r="I1967" t="str">
        <f>B78_Assessment!C106</f>
        <v>Existing Condition</v>
      </c>
      <c r="J1967" t="str">
        <f>B78_Assessment!D106</f>
        <v>Third-level RM 342/new TR and existing telecom room 353 photo reference, active equipment, cable paths and rack transfer scope</v>
      </c>
      <c r="K1967">
        <f>B78_Assessment!E106</f>
        <v>0</v>
      </c>
      <c r="L1967" t="str">
        <f>B78_Assessment!F106</f>
        <v>Paul</v>
      </c>
      <c r="M1967">
        <f>B78_Assessment!G106</f>
        <v>0</v>
      </c>
      <c r="N1967" t="str">
        <f>B78_Assessment!H106</f>
        <v>B78-R1/B78-R3</v>
      </c>
      <c r="O1967" t="str">
        <f>B78_Assessment!I106</f>
        <v>Closed</v>
      </c>
      <c r="P1967">
        <f>B78_Assessment!J106</f>
        <v>0</v>
      </c>
      <c r="Q1967" t="str">
        <f t="shared" si="30"/>
        <v>78|99</v>
      </c>
    </row>
    <row r="1968" spans="1:17" ht="6.45" customHeight="1">
      <c r="A1968" t="s">
        <v>381</v>
      </c>
      <c r="B1968">
        <v>100</v>
      </c>
      <c r="C1968" t="s">
        <v>61</v>
      </c>
      <c r="D1968">
        <v>107</v>
      </c>
      <c r="E1968" t="s">
        <v>1052</v>
      </c>
      <c r="F1968" t="s">
        <v>5324</v>
      </c>
      <c r="G1968" t="str">
        <f>B78_Assessment!A107</f>
        <v>B78-P006</v>
      </c>
      <c r="H1968" t="str">
        <f>B78_Assessment!B107</f>
        <v>401 / 308A / 408A</v>
      </c>
      <c r="I1968" t="str">
        <f>B78_Assessment!C107</f>
        <v>Existing Condition</v>
      </c>
      <c r="J1968" t="str">
        <f>B78_Assessment!D107</f>
        <v>Fourth-level RM 401 and existing telecom rooms 308A/408A photo references, active equipment, cable paths and transfer scope</v>
      </c>
      <c r="K1968">
        <f>B78_Assessment!E107</f>
        <v>0</v>
      </c>
      <c r="L1968" t="str">
        <f>B78_Assessment!F107</f>
        <v>Paul</v>
      </c>
      <c r="M1968">
        <f>B78_Assessment!G107</f>
        <v>0</v>
      </c>
      <c r="N1968" t="str">
        <f>B78_Assessment!H107</f>
        <v>B78-R1/B78-R3</v>
      </c>
      <c r="O1968" t="str">
        <f>B78_Assessment!I107</f>
        <v>Closed</v>
      </c>
      <c r="P1968">
        <f>B78_Assessment!J107</f>
        <v>0</v>
      </c>
      <c r="Q1968" t="str">
        <f t="shared" si="30"/>
        <v>78|100</v>
      </c>
    </row>
    <row r="1969" spans="1:17" ht="6.45" customHeight="1">
      <c r="A1969" t="s">
        <v>381</v>
      </c>
      <c r="B1969">
        <v>101</v>
      </c>
      <c r="C1969" t="s">
        <v>61</v>
      </c>
      <c r="D1969">
        <v>108</v>
      </c>
      <c r="E1969" t="s">
        <v>1052</v>
      </c>
      <c r="F1969" t="s">
        <v>5324</v>
      </c>
      <c r="G1969" t="str">
        <f>B78_Assessment!A108</f>
        <v>B78-P007</v>
      </c>
      <c r="H1969" t="str">
        <f>B78_Assessment!B108</f>
        <v>All</v>
      </c>
      <c r="I1969" t="str">
        <f>B78_Assessment!C108</f>
        <v>Cable Tray / Firestop</v>
      </c>
      <c r="J1969" t="str">
        <f>B78_Assessment!D108</f>
        <v>Basement through fourth-level cable tray routes, supports, seismic bracing, penetrations and before/after firestopping</v>
      </c>
      <c r="K1969">
        <f>B78_Assessment!E108</f>
        <v>0</v>
      </c>
      <c r="L1969" t="str">
        <f>B78_Assessment!F108</f>
        <v>Paul</v>
      </c>
      <c r="M1969">
        <f>B78_Assessment!G108</f>
        <v>0</v>
      </c>
      <c r="N1969" t="str">
        <f>B78_Assessment!H108</f>
        <v>B78-R6</v>
      </c>
      <c r="O1969" t="str">
        <f>B78_Assessment!I108</f>
        <v>Closed</v>
      </c>
      <c r="P1969">
        <f>B78_Assessment!J108</f>
        <v>0</v>
      </c>
      <c r="Q1969" t="str">
        <f t="shared" si="30"/>
        <v>78|101</v>
      </c>
    </row>
    <row r="1970" spans="1:17" ht="6.45" customHeight="1">
      <c r="A1970" t="s">
        <v>381</v>
      </c>
      <c r="B1970">
        <v>102</v>
      </c>
      <c r="C1970" t="s">
        <v>61</v>
      </c>
      <c r="D1970">
        <v>109</v>
      </c>
      <c r="E1970" t="s">
        <v>1052</v>
      </c>
      <c r="F1970" t="s">
        <v>5324</v>
      </c>
      <c r="G1970" t="str">
        <f>B78_Assessment!A109</f>
        <v>B78-P008</v>
      </c>
      <c r="H1970" t="str">
        <f>B78_Assessment!B109</f>
        <v>All</v>
      </c>
      <c r="I1970" t="str">
        <f>B78_Assessment!C109</f>
        <v>Telecom / Security / HVAC</v>
      </c>
      <c r="J1970" t="str">
        <f>B78_Assessment!D109</f>
        <v>Racks, Fiber LIU, Cat6A, patch panels, UPS/PDU, labels/test records, CCTV, PACS, HVAC units and existing transfer work</v>
      </c>
      <c r="K1970">
        <f>B78_Assessment!E109</f>
        <v>0</v>
      </c>
      <c r="L1970" t="str">
        <f>B78_Assessment!F109</f>
        <v>Paul</v>
      </c>
      <c r="M1970">
        <f>B78_Assessment!G109</f>
        <v>0</v>
      </c>
      <c r="N1970" t="str">
        <f>B78_Assessment!H109</f>
        <v>B78-R4/B78-R7/B78-R8</v>
      </c>
      <c r="O1970" t="str">
        <f>B78_Assessment!I109</f>
        <v>Closed</v>
      </c>
      <c r="P1970">
        <f>B78_Assessment!J109</f>
        <v>0</v>
      </c>
      <c r="Q1970" t="str">
        <f t="shared" si="30"/>
        <v>78|102</v>
      </c>
    </row>
    <row r="1971" spans="1:17" ht="6.45" customHeight="1">
      <c r="A1971" t="s">
        <v>381</v>
      </c>
      <c r="B1971">
        <v>103</v>
      </c>
      <c r="C1971" t="s">
        <v>61</v>
      </c>
      <c r="D1971">
        <v>110</v>
      </c>
      <c r="E1971" t="s">
        <v>1052</v>
      </c>
      <c r="F1971" t="s">
        <v>5325</v>
      </c>
      <c r="G1971">
        <f>B78_Assessment!A110</f>
        <v>0</v>
      </c>
      <c r="H1971">
        <f>B78_Assessment!B110</f>
        <v>0</v>
      </c>
      <c r="I1971">
        <f>B78_Assessment!C110</f>
        <v>0</v>
      </c>
      <c r="J1971">
        <f>B78_Assessment!D110</f>
        <v>0</v>
      </c>
      <c r="K1971">
        <f>B78_Assessment!E110</f>
        <v>0</v>
      </c>
      <c r="L1971">
        <f>B78_Assessment!F110</f>
        <v>0</v>
      </c>
      <c r="M1971">
        <f>B78_Assessment!G110</f>
        <v>0</v>
      </c>
      <c r="N1971">
        <f>B78_Assessment!H110</f>
        <v>0</v>
      </c>
      <c r="O1971">
        <f>B78_Assessment!I110</f>
        <v>0</v>
      </c>
      <c r="P1971">
        <f>B78_Assessment!J110</f>
        <v>0</v>
      </c>
      <c r="Q1971" t="str">
        <f t="shared" si="30"/>
        <v>78|103</v>
      </c>
    </row>
    <row r="1972" spans="1:17" ht="6.45" customHeight="1">
      <c r="A1972" t="s">
        <v>384</v>
      </c>
      <c r="B1972">
        <v>1</v>
      </c>
      <c r="C1972" t="s">
        <v>63</v>
      </c>
      <c r="D1972">
        <v>8</v>
      </c>
      <c r="E1972" t="s">
        <v>918</v>
      </c>
      <c r="F1972" t="s">
        <v>5322</v>
      </c>
      <c r="G1972" t="str">
        <f>B80_Assessment!A8</f>
        <v>1. ROOM INVENTORY</v>
      </c>
      <c r="H1972">
        <f>B80_Assessment!B8</f>
        <v>0</v>
      </c>
      <c r="I1972">
        <f>B80_Assessment!C8</f>
        <v>0</v>
      </c>
      <c r="J1972">
        <f>B80_Assessment!D8</f>
        <v>0</v>
      </c>
      <c r="K1972">
        <f>B80_Assessment!E8</f>
        <v>0</v>
      </c>
      <c r="L1972">
        <f>B80_Assessment!F8</f>
        <v>0</v>
      </c>
      <c r="M1972">
        <f>B80_Assessment!G8</f>
        <v>0</v>
      </c>
      <c r="N1972">
        <f>B80_Assessment!H8</f>
        <v>0</v>
      </c>
      <c r="O1972">
        <f>B80_Assessment!I8</f>
        <v>0</v>
      </c>
      <c r="P1972">
        <f>B80_Assessment!J8</f>
        <v>0</v>
      </c>
      <c r="Q1972" t="str">
        <f t="shared" si="30"/>
        <v>80|1</v>
      </c>
    </row>
    <row r="1973" spans="1:17" ht="6.45" customHeight="1">
      <c r="A1973" t="s">
        <v>384</v>
      </c>
      <c r="B1973">
        <v>2</v>
      </c>
      <c r="C1973" t="s">
        <v>63</v>
      </c>
      <c r="D1973">
        <v>9</v>
      </c>
      <c r="E1973" t="s">
        <v>918</v>
      </c>
      <c r="F1973" t="s">
        <v>5323</v>
      </c>
      <c r="G1973" t="str">
        <f>B80_Assessment!A9</f>
        <v>Building</v>
      </c>
      <c r="H1973" t="str">
        <f>B80_Assessment!B9</f>
        <v>Room</v>
      </c>
      <c r="I1973" t="str">
        <f>B80_Assessment!C9</f>
        <v>Floor</v>
      </c>
      <c r="J1973" t="str">
        <f>B80_Assessment!D9</f>
        <v>Existing Use</v>
      </c>
      <c r="K1973" t="str">
        <f>B80_Assessment!E9</f>
        <v>New Use</v>
      </c>
      <c r="L1973" t="str">
        <f>B80_Assessment!F9</f>
        <v>Rack Count</v>
      </c>
      <c r="M1973" t="str">
        <f>B80_Assessment!G9</f>
        <v>Future Rack</v>
      </c>
      <c r="N1973" t="str">
        <f>B80_Assessment!H9</f>
        <v>Status</v>
      </c>
      <c r="O1973" t="str">
        <f>B80_Assessment!I9</f>
        <v>Drawing Ref</v>
      </c>
      <c r="P1973" t="str">
        <f>B80_Assessment!J9</f>
        <v>Notes</v>
      </c>
      <c r="Q1973" t="str">
        <f t="shared" si="30"/>
        <v>80|2</v>
      </c>
    </row>
    <row r="1974" spans="1:17" ht="6.45" customHeight="1">
      <c r="A1974" t="s">
        <v>384</v>
      </c>
      <c r="B1974">
        <v>3</v>
      </c>
      <c r="C1974" t="s">
        <v>63</v>
      </c>
      <c r="D1974">
        <v>10</v>
      </c>
      <c r="E1974" t="s">
        <v>918</v>
      </c>
      <c r="F1974" t="s">
        <v>5324</v>
      </c>
      <c r="G1974" t="str">
        <f>B80_Assessment!A10</f>
        <v>80</v>
      </c>
      <c r="H1974" t="str">
        <f>B80_Assessment!B10</f>
        <v>102</v>
      </c>
      <c r="I1974" t="str">
        <f>B80_Assessment!C10</f>
        <v>First</v>
      </c>
      <c r="J1974" t="str">
        <f>B80_Assessment!D10</f>
        <v>Telecom Room / new TR build area</v>
      </c>
      <c r="K1974" t="str">
        <f>B80_Assessment!E10</f>
        <v>Telecom Room</v>
      </c>
      <c r="L1974">
        <f>B80_Assessment!F10</f>
        <v>1</v>
      </c>
      <c r="M1974">
        <f>B80_Assessment!G10</f>
        <v>1</v>
      </c>
      <c r="N1974" t="str">
        <f>B80_Assessment!H10</f>
        <v>Verify</v>
      </c>
      <c r="O1974" t="str">
        <f>B80_Assessment!I10</f>
        <v>80A-401 / 80E-101 / 80E-401 / 80T-101 / 80T-604 / 80T-701</v>
      </c>
      <c r="P1974" t="str">
        <f>B80_Assessment!J10</f>
        <v>Primary Building 80 TR. Plans identify Telecom Room 102 at 140 SF, new Rack ID TR01-102-1 plus future rack, panels B80-TR102A/B, 5kW 208V UPS/PDU rack power, IU-1-01/CU-1-01 dedicated cooling, camera 102-CAM-1, and 215 total ports with 10% allowance.</v>
      </c>
      <c r="Q1974" t="str">
        <f t="shared" si="30"/>
        <v>80|3</v>
      </c>
    </row>
    <row r="1975" spans="1:17" ht="6.45" customHeight="1">
      <c r="A1975" t="s">
        <v>384</v>
      </c>
      <c r="B1975">
        <v>4</v>
      </c>
      <c r="C1975" t="s">
        <v>63</v>
      </c>
      <c r="D1975">
        <v>11</v>
      </c>
      <c r="E1975" t="s">
        <v>918</v>
      </c>
      <c r="F1975" t="s">
        <v>5324</v>
      </c>
      <c r="G1975" t="str">
        <f>B80_Assessment!A11</f>
        <v>80</v>
      </c>
      <c r="H1975" t="str">
        <f>B80_Assessment!B11</f>
        <v>127A / 126</v>
      </c>
      <c r="I1975" t="str">
        <f>B80_Assessment!C11</f>
        <v>First</v>
      </c>
      <c r="J1975" t="str">
        <f>B80_Assessment!D11</f>
        <v>Existing Tel Closet / existing telecom room photo reference</v>
      </c>
      <c r="K1975" t="str">
        <f>B80_Assessment!E11</f>
        <v>Existing telecom transition point</v>
      </c>
      <c r="L1975">
        <f>B80_Assessment!F11</f>
        <v>1</v>
      </c>
      <c r="M1975">
        <f>B80_Assessment!G11</f>
        <v>0</v>
      </c>
      <c r="N1975" t="str">
        <f>B80_Assessment!H11</f>
        <v>Verify</v>
      </c>
      <c r="O1975" t="str">
        <f>B80_Assessment!I11</f>
        <v>80T-101 / 80T-604 / 80R-900</v>
      </c>
      <c r="P1975" t="str">
        <f>B80_Assessment!J11</f>
        <v>Existing Tel Closet 127A shown at 9 SF with existing plywood backboard, ground bar, patch panel, equipment box and two-post TR. Rack elevation/photo reference identify existing room 126/127-A with existing wall/wall-mount TE, Cisco switches, legacy optical Fiber LIU, multiple legacy Ortronics patch panels, Cat5e patch panel and APC floor UPS. Verify room-number mapping and active services.</v>
      </c>
      <c r="Q1975" t="str">
        <f t="shared" si="30"/>
        <v>80|4</v>
      </c>
    </row>
    <row r="1976" spans="1:17" ht="6.45" customHeight="1">
      <c r="A1976" t="s">
        <v>384</v>
      </c>
      <c r="B1976">
        <v>5</v>
      </c>
      <c r="C1976" t="s">
        <v>63</v>
      </c>
      <c r="D1976">
        <v>12</v>
      </c>
      <c r="E1976" t="s">
        <v>918</v>
      </c>
      <c r="F1976" t="s">
        <v>5325</v>
      </c>
      <c r="G1976">
        <f>B80_Assessment!A12</f>
        <v>0</v>
      </c>
      <c r="H1976">
        <f>B80_Assessment!B12</f>
        <v>0</v>
      </c>
      <c r="I1976">
        <f>B80_Assessment!C12</f>
        <v>0</v>
      </c>
      <c r="J1976">
        <f>B80_Assessment!D12</f>
        <v>0</v>
      </c>
      <c r="K1976">
        <f>B80_Assessment!E12</f>
        <v>0</v>
      </c>
      <c r="L1976">
        <f>B80_Assessment!F12</f>
        <v>0</v>
      </c>
      <c r="M1976">
        <f>B80_Assessment!G12</f>
        <v>0</v>
      </c>
      <c r="N1976">
        <f>B80_Assessment!H12</f>
        <v>0</v>
      </c>
      <c r="O1976">
        <f>B80_Assessment!I12</f>
        <v>0</v>
      </c>
      <c r="P1976">
        <f>B80_Assessment!J12</f>
        <v>0</v>
      </c>
      <c r="Q1976" t="str">
        <f t="shared" si="30"/>
        <v>80|5</v>
      </c>
    </row>
    <row r="1977" spans="1:17" ht="6.45" customHeight="1">
      <c r="A1977" t="s">
        <v>384</v>
      </c>
      <c r="B1977">
        <v>6</v>
      </c>
      <c r="C1977" t="s">
        <v>63</v>
      </c>
      <c r="D1977">
        <v>13</v>
      </c>
      <c r="E1977" t="s">
        <v>936</v>
      </c>
      <c r="F1977" t="s">
        <v>5322</v>
      </c>
      <c r="G1977" t="str">
        <f>B80_Assessment!A13</f>
        <v>2. ROOM READINESS</v>
      </c>
      <c r="H1977">
        <f>B80_Assessment!B13</f>
        <v>0</v>
      </c>
      <c r="I1977">
        <f>B80_Assessment!C13</f>
        <v>0</v>
      </c>
      <c r="J1977">
        <f>B80_Assessment!D13</f>
        <v>0</v>
      </c>
      <c r="K1977">
        <f>B80_Assessment!E13</f>
        <v>0</v>
      </c>
      <c r="L1977">
        <f>B80_Assessment!F13</f>
        <v>0</v>
      </c>
      <c r="M1977">
        <f>B80_Assessment!G13</f>
        <v>0</v>
      </c>
      <c r="N1977">
        <f>B80_Assessment!H13</f>
        <v>0</v>
      </c>
      <c r="O1977">
        <f>B80_Assessment!I13</f>
        <v>0</v>
      </c>
      <c r="P1977">
        <f>B80_Assessment!J13</f>
        <v>0</v>
      </c>
      <c r="Q1977" t="str">
        <f t="shared" si="30"/>
        <v>80|6</v>
      </c>
    </row>
    <row r="1978" spans="1:17" ht="6.45" customHeight="1">
      <c r="A1978" t="s">
        <v>384</v>
      </c>
      <c r="B1978">
        <v>7</v>
      </c>
      <c r="C1978" t="s">
        <v>63</v>
      </c>
      <c r="D1978">
        <v>14</v>
      </c>
      <c r="E1978" t="s">
        <v>936</v>
      </c>
      <c r="F1978" t="s">
        <v>5323</v>
      </c>
      <c r="G1978" t="str">
        <f>B80_Assessment!A14</f>
        <v>Room</v>
      </c>
      <c r="H1978" t="str">
        <f>B80_Assessment!B14</f>
        <v>Walls / 1-hr Rating</v>
      </c>
      <c r="I1978" t="str">
        <f>B80_Assessment!C14</f>
        <v>Ceiling</v>
      </c>
      <c r="J1978" t="str">
        <f>B80_Assessment!D14</f>
        <v>Floor / SDC</v>
      </c>
      <c r="K1978" t="str">
        <f>B80_Assessment!E14</f>
        <v>Penetrations</v>
      </c>
      <c r="L1978" t="str">
        <f>B80_Assessment!F14</f>
        <v>Access Control</v>
      </c>
      <c r="M1978" t="str">
        <f>B80_Assessment!G14</f>
        <v>Clearances</v>
      </c>
      <c r="N1978" t="str">
        <f>B80_Assessment!H14</f>
        <v>Housekeeping</v>
      </c>
      <c r="O1978" t="str">
        <f>B80_Assessment!I14</f>
        <v>Overall</v>
      </c>
      <c r="P1978" t="str">
        <f>B80_Assessment!J14</f>
        <v>Comments</v>
      </c>
      <c r="Q1978" t="str">
        <f t="shared" si="30"/>
        <v>80|7</v>
      </c>
    </row>
    <row r="1979" spans="1:17" ht="6.45" customHeight="1">
      <c r="A1979" t="s">
        <v>384</v>
      </c>
      <c r="B1979">
        <v>8</v>
      </c>
      <c r="C1979" t="s">
        <v>63</v>
      </c>
      <c r="D1979">
        <v>15</v>
      </c>
      <c r="E1979" t="s">
        <v>936</v>
      </c>
      <c r="F1979" t="s">
        <v>5324</v>
      </c>
      <c r="G1979" t="str">
        <f>B80_Assessment!A15</f>
        <v>102</v>
      </c>
      <c r="H1979" t="str">
        <f>B80_Assessment!B15</f>
        <v>Verify</v>
      </c>
      <c r="I1979" t="str">
        <f>B80_Assessment!C15</f>
        <v>Verify</v>
      </c>
      <c r="J1979" t="str">
        <f>B80_Assessment!D15</f>
        <v>Verify</v>
      </c>
      <c r="K1979" t="str">
        <f>B80_Assessment!E15</f>
        <v>Verify</v>
      </c>
      <c r="L1979" t="str">
        <f>B80_Assessment!F15</f>
        <v>Verify</v>
      </c>
      <c r="M1979" t="str">
        <f>B80_Assessment!G15</f>
        <v>Verify</v>
      </c>
      <c r="N1979" t="str">
        <f>B80_Assessment!H15</f>
        <v>Verify</v>
      </c>
      <c r="O1979" t="str">
        <f>B80_Assessment!I15</f>
        <v>Verify</v>
      </c>
      <c r="P1979" t="str">
        <f>B80_Assessment!J15</f>
        <v>First-level TR; verify 1-hour/smoke-rated enclosure, open-to-deck conditions, door hardware/access control, floor sealer, rack/future rack clearances, wall backing, cable tray and fiber path A/B entry points.</v>
      </c>
      <c r="Q1979" t="str">
        <f t="shared" si="30"/>
        <v>80|8</v>
      </c>
    </row>
    <row r="1980" spans="1:17" ht="6.45" customHeight="1">
      <c r="A1980" t="s">
        <v>384</v>
      </c>
      <c r="B1980">
        <v>9</v>
      </c>
      <c r="C1980" t="s">
        <v>63</v>
      </c>
      <c r="D1980">
        <v>16</v>
      </c>
      <c r="E1980" t="s">
        <v>936</v>
      </c>
      <c r="F1980" t="s">
        <v>5324</v>
      </c>
      <c r="G1980" t="str">
        <f>B80_Assessment!A16</f>
        <v>127A / 126</v>
      </c>
      <c r="H1980" t="str">
        <f>B80_Assessment!B16</f>
        <v>Existing / Verify</v>
      </c>
      <c r="I1980" t="str">
        <f>B80_Assessment!C16</f>
        <v>Existing / Verify</v>
      </c>
      <c r="J1980" t="str">
        <f>B80_Assessment!D16</f>
        <v>Existing / Verify</v>
      </c>
      <c r="K1980" t="str">
        <f>B80_Assessment!E16</f>
        <v>Verify</v>
      </c>
      <c r="L1980" t="str">
        <f>B80_Assessment!F16</f>
        <v>Verify Existing</v>
      </c>
      <c r="M1980" t="str">
        <f>B80_Assessment!G16</f>
        <v>Verify</v>
      </c>
      <c r="N1980" t="str">
        <f>B80_Assessment!H16</f>
        <v>Verify</v>
      </c>
      <c r="O1980" t="str">
        <f>B80_Assessment!I16</f>
        <v>Verify</v>
      </c>
      <c r="P1980" t="str">
        <f>B80_Assessment!J16</f>
        <v>Existing telecom closet/room; verify active equipment status, two-post rack/wall rack, backboard, UPS, patch panels, Fiber LIU, and transition/abandonment scope.</v>
      </c>
      <c r="Q1980" t="str">
        <f t="shared" si="30"/>
        <v>80|9</v>
      </c>
    </row>
    <row r="1981" spans="1:17" ht="6.45" customHeight="1">
      <c r="A1981" t="s">
        <v>384</v>
      </c>
      <c r="B1981">
        <v>10</v>
      </c>
      <c r="C1981" t="s">
        <v>63</v>
      </c>
      <c r="D1981">
        <v>17</v>
      </c>
      <c r="E1981" t="s">
        <v>936</v>
      </c>
      <c r="F1981" t="s">
        <v>5325</v>
      </c>
      <c r="G1981">
        <f>B80_Assessment!A17</f>
        <v>0</v>
      </c>
      <c r="H1981">
        <f>B80_Assessment!B17</f>
        <v>0</v>
      </c>
      <c r="I1981">
        <f>B80_Assessment!C17</f>
        <v>0</v>
      </c>
      <c r="J1981">
        <f>B80_Assessment!D17</f>
        <v>0</v>
      </c>
      <c r="K1981">
        <f>B80_Assessment!E17</f>
        <v>0</v>
      </c>
      <c r="L1981">
        <f>B80_Assessment!F17</f>
        <v>0</v>
      </c>
      <c r="M1981">
        <f>B80_Assessment!G17</f>
        <v>0</v>
      </c>
      <c r="N1981">
        <f>B80_Assessment!H17</f>
        <v>0</v>
      </c>
      <c r="O1981">
        <f>B80_Assessment!I17</f>
        <v>0</v>
      </c>
      <c r="P1981">
        <f>B80_Assessment!J17</f>
        <v>0</v>
      </c>
      <c r="Q1981" t="str">
        <f t="shared" si="30"/>
        <v>80|10</v>
      </c>
    </row>
    <row r="1982" spans="1:17" ht="6.45" customHeight="1">
      <c r="A1982" t="s">
        <v>384</v>
      </c>
      <c r="B1982">
        <v>11</v>
      </c>
      <c r="C1982" t="s">
        <v>63</v>
      </c>
      <c r="D1982">
        <v>18</v>
      </c>
      <c r="E1982" t="s">
        <v>951</v>
      </c>
      <c r="F1982" t="s">
        <v>5322</v>
      </c>
      <c r="G1982" t="str">
        <f>B80_Assessment!A18</f>
        <v>3. FIRE PROTECTION</v>
      </c>
      <c r="H1982">
        <f>B80_Assessment!B18</f>
        <v>0</v>
      </c>
      <c r="I1982">
        <f>B80_Assessment!C18</f>
        <v>0</v>
      </c>
      <c r="J1982">
        <f>B80_Assessment!D18</f>
        <v>0</v>
      </c>
      <c r="K1982">
        <f>B80_Assessment!E18</f>
        <v>0</v>
      </c>
      <c r="L1982">
        <f>B80_Assessment!F18</f>
        <v>0</v>
      </c>
      <c r="M1982">
        <f>B80_Assessment!G18</f>
        <v>0</v>
      </c>
      <c r="N1982">
        <f>B80_Assessment!H18</f>
        <v>0</v>
      </c>
      <c r="O1982">
        <f>B80_Assessment!I18</f>
        <v>0</v>
      </c>
      <c r="P1982">
        <f>B80_Assessment!J18</f>
        <v>0</v>
      </c>
      <c r="Q1982" t="str">
        <f t="shared" si="30"/>
        <v>80|11</v>
      </c>
    </row>
    <row r="1983" spans="1:17" ht="6.45" customHeight="1">
      <c r="A1983" t="s">
        <v>384</v>
      </c>
      <c r="B1983">
        <v>12</v>
      </c>
      <c r="C1983" t="s">
        <v>63</v>
      </c>
      <c r="D1983">
        <v>19</v>
      </c>
      <c r="E1983" t="s">
        <v>951</v>
      </c>
      <c r="F1983" t="s">
        <v>5323</v>
      </c>
      <c r="G1983" t="str">
        <f>B80_Assessment!A19</f>
        <v>Room</v>
      </c>
      <c r="H1983" t="str">
        <f>B80_Assessment!B19</f>
        <v>Sprinkler</v>
      </c>
      <c r="I1983" t="str">
        <f>B80_Assessment!C19</f>
        <v>Cage</v>
      </c>
      <c r="J1983" t="str">
        <f>B80_Assessment!D19</f>
        <v>Detector</v>
      </c>
      <c r="K1983" t="str">
        <f>B80_Assessment!E19</f>
        <v>Horn/Strobe</v>
      </c>
      <c r="L1983" t="str">
        <f>B80_Assessment!F19</f>
        <v>Extinguisher &lt;75 ft</v>
      </c>
      <c r="M1983" t="str">
        <f>B80_Assessment!G19</f>
        <v>Firestop</v>
      </c>
      <c r="N1983" t="str">
        <f>B80_Assessment!H19</f>
        <v>Temp Firestop</v>
      </c>
      <c r="O1983" t="str">
        <f>B80_Assessment!I19</f>
        <v>Overall</v>
      </c>
      <c r="P1983" t="str">
        <f>B80_Assessment!J19</f>
        <v>Risk / Notes</v>
      </c>
      <c r="Q1983" t="str">
        <f t="shared" si="30"/>
        <v>80|12</v>
      </c>
    </row>
    <row r="1984" spans="1:17" ht="6.45" customHeight="1">
      <c r="A1984" t="s">
        <v>384</v>
      </c>
      <c r="B1984">
        <v>13</v>
      </c>
      <c r="C1984" t="s">
        <v>63</v>
      </c>
      <c r="D1984">
        <v>20</v>
      </c>
      <c r="E1984" t="s">
        <v>951</v>
      </c>
      <c r="F1984" t="s">
        <v>5324</v>
      </c>
      <c r="G1984" t="str">
        <f>B80_Assessment!A20</f>
        <v>102</v>
      </c>
      <c r="H1984" t="str">
        <f>B80_Assessment!B20</f>
        <v>Verify</v>
      </c>
      <c r="I1984" t="str">
        <f>B80_Assessment!C20</f>
        <v>Verify</v>
      </c>
      <c r="J1984" t="str">
        <f>B80_Assessment!D20</f>
        <v>Verify</v>
      </c>
      <c r="K1984" t="str">
        <f>B80_Assessment!E20</f>
        <v>Verify</v>
      </c>
      <c r="L1984" t="str">
        <f>B80_Assessment!F20</f>
        <v>Verify</v>
      </c>
      <c r="M1984" t="str">
        <f>B80_Assessment!G20</f>
        <v>Verify</v>
      </c>
      <c r="N1984" t="str">
        <f>B80_Assessment!H20</f>
        <v>Verify</v>
      </c>
      <c r="O1984" t="str">
        <f>B80_Assessment!I20</f>
        <v>Verify</v>
      </c>
      <c r="P1984" t="str">
        <f>B80_Assessment!J20</f>
        <v>Full fire protection scope included. Verify sprinkler modifications, fire alarm devices, clean-agent 2A:10B:C FEC within 75 ft, rated wall/floor penetrations, and temporary firestopping during cable pulls.</v>
      </c>
      <c r="Q1984" t="str">
        <f t="shared" si="30"/>
        <v>80|13</v>
      </c>
    </row>
    <row r="1985" spans="1:17" ht="6.45" customHeight="1">
      <c r="A1985" t="s">
        <v>384</v>
      </c>
      <c r="B1985">
        <v>14</v>
      </c>
      <c r="C1985" t="s">
        <v>63</v>
      </c>
      <c r="D1985">
        <v>21</v>
      </c>
      <c r="E1985" t="s">
        <v>951</v>
      </c>
      <c r="F1985" t="s">
        <v>5324</v>
      </c>
      <c r="G1985" t="str">
        <f>B80_Assessment!A21</f>
        <v>127A / 126</v>
      </c>
      <c r="H1985" t="str">
        <f>B80_Assessment!B21</f>
        <v>Existing / Verify</v>
      </c>
      <c r="I1985" t="str">
        <f>B80_Assessment!C21</f>
        <v>N/A</v>
      </c>
      <c r="J1985" t="str">
        <f>B80_Assessment!D21</f>
        <v>Verify Existing</v>
      </c>
      <c r="K1985" t="str">
        <f>B80_Assessment!E21</f>
        <v>Verify Existing</v>
      </c>
      <c r="L1985" t="str">
        <f>B80_Assessment!F21</f>
        <v>Verify</v>
      </c>
      <c r="M1985" t="str">
        <f>B80_Assessment!G21</f>
        <v>Verify</v>
      </c>
      <c r="N1985" t="str">
        <f>B80_Assessment!H21</f>
        <v>Verify</v>
      </c>
      <c r="O1985" t="str">
        <f>B80_Assessment!I21</f>
        <v>Verify</v>
      </c>
      <c r="P1985" t="str">
        <f>B80_Assessment!J21</f>
        <v>Existing telecom closet/room; verify fire alarm/sprinkler protection-in-place and seal removed/reused penetrations after cutover.</v>
      </c>
      <c r="Q1985" t="str">
        <f t="shared" si="30"/>
        <v>80|14</v>
      </c>
    </row>
    <row r="1986" spans="1:17" ht="6.45" customHeight="1">
      <c r="A1986" t="s">
        <v>384</v>
      </c>
      <c r="B1986">
        <v>15</v>
      </c>
      <c r="C1986" t="s">
        <v>63</v>
      </c>
      <c r="D1986">
        <v>22</v>
      </c>
      <c r="E1986" t="s">
        <v>951</v>
      </c>
      <c r="F1986" t="s">
        <v>5325</v>
      </c>
      <c r="G1986">
        <f>B80_Assessment!A22</f>
        <v>0</v>
      </c>
      <c r="H1986">
        <f>B80_Assessment!B22</f>
        <v>0</v>
      </c>
      <c r="I1986">
        <f>B80_Assessment!C22</f>
        <v>0</v>
      </c>
      <c r="J1986">
        <f>B80_Assessment!D22</f>
        <v>0</v>
      </c>
      <c r="K1986">
        <f>B80_Assessment!E22</f>
        <v>0</v>
      </c>
      <c r="L1986">
        <f>B80_Assessment!F22</f>
        <v>0</v>
      </c>
      <c r="M1986">
        <f>B80_Assessment!G22</f>
        <v>0</v>
      </c>
      <c r="N1986">
        <f>B80_Assessment!H22</f>
        <v>0</v>
      </c>
      <c r="O1986">
        <f>B80_Assessment!I22</f>
        <v>0</v>
      </c>
      <c r="P1986">
        <f>B80_Assessment!J22</f>
        <v>0</v>
      </c>
      <c r="Q1986" t="str">
        <f t="shared" ref="Q1986:Q2049" si="31">A1986&amp;"|"&amp;B1986</f>
        <v>80|15</v>
      </c>
    </row>
    <row r="1987" spans="1:17" ht="6.45" customHeight="1">
      <c r="A1987" t="s">
        <v>384</v>
      </c>
      <c r="B1987">
        <v>16</v>
      </c>
      <c r="C1987" t="s">
        <v>63</v>
      </c>
      <c r="D1987">
        <v>23</v>
      </c>
      <c r="E1987" t="s">
        <v>964</v>
      </c>
      <c r="F1987" t="s">
        <v>5322</v>
      </c>
      <c r="G1987" t="str">
        <f>B80_Assessment!A23</f>
        <v>4. HVAC / COOLING</v>
      </c>
      <c r="H1987">
        <f>B80_Assessment!B23</f>
        <v>0</v>
      </c>
      <c r="I1987">
        <f>B80_Assessment!C23</f>
        <v>0</v>
      </c>
      <c r="J1987">
        <f>B80_Assessment!D23</f>
        <v>0</v>
      </c>
      <c r="K1987">
        <f>B80_Assessment!E23</f>
        <v>0</v>
      </c>
      <c r="L1987">
        <f>B80_Assessment!F23</f>
        <v>0</v>
      </c>
      <c r="M1987">
        <f>B80_Assessment!G23</f>
        <v>0</v>
      </c>
      <c r="N1987">
        <f>B80_Assessment!H23</f>
        <v>0</v>
      </c>
      <c r="O1987">
        <f>B80_Assessment!I23</f>
        <v>0</v>
      </c>
      <c r="P1987">
        <f>B80_Assessment!J23</f>
        <v>0</v>
      </c>
      <c r="Q1987" t="str">
        <f t="shared" si="31"/>
        <v>80|16</v>
      </c>
    </row>
    <row r="1988" spans="1:17" ht="6.45" customHeight="1">
      <c r="A1988" t="s">
        <v>384</v>
      </c>
      <c r="B1988">
        <v>17</v>
      </c>
      <c r="C1988" t="s">
        <v>63</v>
      </c>
      <c r="D1988">
        <v>24</v>
      </c>
      <c r="E1988" t="s">
        <v>964</v>
      </c>
      <c r="F1988" t="s">
        <v>5323</v>
      </c>
      <c r="G1988" t="str">
        <f>B80_Assessment!A24</f>
        <v>Room</v>
      </c>
      <c r="H1988" t="str">
        <f>B80_Assessment!B24</f>
        <v>Dedicated Unit</v>
      </c>
      <c r="I1988" t="str">
        <f>B80_Assessment!C24</f>
        <v>Capacity Verified</v>
      </c>
      <c r="J1988" t="str">
        <f>B80_Assessment!D24</f>
        <v>Emergency Power</v>
      </c>
      <c r="K1988" t="str">
        <f>B80_Assessment!E24</f>
        <v>Controls / BACnet</v>
      </c>
      <c r="L1988" t="str">
        <f>B80_Assessment!F24</f>
        <v>Condensate Routed</v>
      </c>
      <c r="M1988" t="str">
        <f>B80_Assessment!G24</f>
        <v>High Temp Alarm</v>
      </c>
      <c r="N1988" t="str">
        <f>B80_Assessment!H24</f>
        <v>24/7 Operation</v>
      </c>
      <c r="O1988" t="str">
        <f>B80_Assessment!I24</f>
        <v>Overall</v>
      </c>
      <c r="P1988" t="str">
        <f>B80_Assessment!J24</f>
        <v>Risk / Notes</v>
      </c>
      <c r="Q1988" t="str">
        <f t="shared" si="31"/>
        <v>80|17</v>
      </c>
    </row>
    <row r="1989" spans="1:17" ht="6.45" customHeight="1">
      <c r="A1989" t="s">
        <v>384</v>
      </c>
      <c r="B1989">
        <v>18</v>
      </c>
      <c r="C1989" t="s">
        <v>63</v>
      </c>
      <c r="D1989">
        <v>25</v>
      </c>
      <c r="E1989" t="s">
        <v>964</v>
      </c>
      <c r="F1989" t="s">
        <v>5324</v>
      </c>
      <c r="G1989" t="str">
        <f>B80_Assessment!A25</f>
        <v>102</v>
      </c>
      <c r="H1989" t="str">
        <f>B80_Assessment!B25</f>
        <v>IU-1-01 / CU-1-01</v>
      </c>
      <c r="I1989" t="str">
        <f>B80_Assessment!C25</f>
        <v>Verify</v>
      </c>
      <c r="J1989" t="str">
        <f>B80_Assessment!D25</f>
        <v>Verify</v>
      </c>
      <c r="K1989" t="str">
        <f>B80_Assessment!E25</f>
        <v>Verify</v>
      </c>
      <c r="L1989" t="str">
        <f>B80_Assessment!F25</f>
        <v>Verify</v>
      </c>
      <c r="M1989" t="str">
        <f>B80_Assessment!G25</f>
        <v>Verify</v>
      </c>
      <c r="N1989" t="str">
        <f>B80_Assessment!H25</f>
        <v>Verify</v>
      </c>
      <c r="O1989" t="str">
        <f>B80_Assessment!I25</f>
        <v>Verify</v>
      </c>
      <c r="P1989" t="str">
        <f>B80_Assessment!J25</f>
        <v>Mechanical/electrical drawings show IU-1-01 in Telecom Room 102 and CU-1-01 outdoor unit. Confirm capacity, emergency/standby source, BACnet interface, thermostat/control point, condensate pump/path, disconnects, and high-temperature alarm.</v>
      </c>
      <c r="Q1989" t="str">
        <f t="shared" si="31"/>
        <v>80|18</v>
      </c>
    </row>
    <row r="1990" spans="1:17" ht="6.45" customHeight="1">
      <c r="A1990" t="s">
        <v>384</v>
      </c>
      <c r="B1990">
        <v>19</v>
      </c>
      <c r="C1990" t="s">
        <v>63</v>
      </c>
      <c r="D1990">
        <v>26</v>
      </c>
      <c r="E1990" t="s">
        <v>964</v>
      </c>
      <c r="F1990" t="s">
        <v>5324</v>
      </c>
      <c r="G1990" t="str">
        <f>B80_Assessment!A26</f>
        <v>127A / 126</v>
      </c>
      <c r="H1990" t="str">
        <f>B80_Assessment!B26</f>
        <v>Existing / Verify</v>
      </c>
      <c r="I1990" t="str">
        <f>B80_Assessment!C26</f>
        <v>Verify</v>
      </c>
      <c r="J1990" t="str">
        <f>B80_Assessment!D26</f>
        <v>Verify</v>
      </c>
      <c r="K1990" t="str">
        <f>B80_Assessment!E26</f>
        <v>Verify</v>
      </c>
      <c r="L1990" t="str">
        <f>B80_Assessment!F26</f>
        <v>Verify</v>
      </c>
      <c r="M1990" t="str">
        <f>B80_Assessment!G26</f>
        <v>Verify</v>
      </c>
      <c r="N1990" t="str">
        <f>B80_Assessment!H26</f>
        <v>Verify</v>
      </c>
      <c r="O1990" t="str">
        <f>B80_Assessment!I26</f>
        <v>Verify</v>
      </c>
      <c r="P1990" t="str">
        <f>B80_Assessment!J26</f>
        <v>Existing telecom room/closet may remain active during cutover. Verify existing environmental condition and whether any active equipment remains after migration to Room 102.</v>
      </c>
      <c r="Q1990" t="str">
        <f t="shared" si="31"/>
        <v>80|19</v>
      </c>
    </row>
    <row r="1991" spans="1:17" ht="6.45" customHeight="1">
      <c r="A1991" t="s">
        <v>384</v>
      </c>
      <c r="B1991">
        <v>20</v>
      </c>
      <c r="C1991" t="s">
        <v>63</v>
      </c>
      <c r="D1991">
        <v>27</v>
      </c>
      <c r="E1991" t="s">
        <v>964</v>
      </c>
      <c r="F1991" t="s">
        <v>5325</v>
      </c>
      <c r="G1991">
        <f>B80_Assessment!A27</f>
        <v>0</v>
      </c>
      <c r="H1991">
        <f>B80_Assessment!B27</f>
        <v>0</v>
      </c>
      <c r="I1991">
        <f>B80_Assessment!C27</f>
        <v>0</v>
      </c>
      <c r="J1991">
        <f>B80_Assessment!D27</f>
        <v>0</v>
      </c>
      <c r="K1991">
        <f>B80_Assessment!E27</f>
        <v>0</v>
      </c>
      <c r="L1991">
        <f>B80_Assessment!F27</f>
        <v>0</v>
      </c>
      <c r="M1991">
        <f>B80_Assessment!G27</f>
        <v>0</v>
      </c>
      <c r="N1991">
        <f>B80_Assessment!H27</f>
        <v>0</v>
      </c>
      <c r="O1991">
        <f>B80_Assessment!I27</f>
        <v>0</v>
      </c>
      <c r="P1991">
        <f>B80_Assessment!J27</f>
        <v>0</v>
      </c>
      <c r="Q1991" t="str">
        <f t="shared" si="31"/>
        <v>80|20</v>
      </c>
    </row>
    <row r="1992" spans="1:17" ht="6.45" customHeight="1">
      <c r="A1992" t="s">
        <v>384</v>
      </c>
      <c r="B1992">
        <v>21</v>
      </c>
      <c r="C1992" t="s">
        <v>63</v>
      </c>
      <c r="D1992">
        <v>28</v>
      </c>
      <c r="E1992" t="s">
        <v>977</v>
      </c>
      <c r="F1992" t="s">
        <v>5322</v>
      </c>
      <c r="G1992" t="str">
        <f>B80_Assessment!A28</f>
        <v>5. ELECTRICAL / UPS</v>
      </c>
      <c r="H1992">
        <f>B80_Assessment!B28</f>
        <v>0</v>
      </c>
      <c r="I1992">
        <f>B80_Assessment!C28</f>
        <v>0</v>
      </c>
      <c r="J1992">
        <f>B80_Assessment!D28</f>
        <v>0</v>
      </c>
      <c r="K1992">
        <f>B80_Assessment!E28</f>
        <v>0</v>
      </c>
      <c r="L1992">
        <f>B80_Assessment!F28</f>
        <v>0</v>
      </c>
      <c r="M1992">
        <f>B80_Assessment!G28</f>
        <v>0</v>
      </c>
      <c r="N1992">
        <f>B80_Assessment!H28</f>
        <v>0</v>
      </c>
      <c r="O1992">
        <f>B80_Assessment!I28</f>
        <v>0</v>
      </c>
      <c r="P1992">
        <f>B80_Assessment!J28</f>
        <v>0</v>
      </c>
      <c r="Q1992" t="str">
        <f t="shared" si="31"/>
        <v>80|21</v>
      </c>
    </row>
    <row r="1993" spans="1:17" ht="6.45" customHeight="1">
      <c r="A1993" t="s">
        <v>384</v>
      </c>
      <c r="B1993">
        <v>22</v>
      </c>
      <c r="C1993" t="s">
        <v>63</v>
      </c>
      <c r="D1993">
        <v>29</v>
      </c>
      <c r="E1993" t="s">
        <v>977</v>
      </c>
      <c r="F1993" t="s">
        <v>5323</v>
      </c>
      <c r="G1993" t="str">
        <f>B80_Assessment!A29</f>
        <v>Room</v>
      </c>
      <c r="H1993" t="str">
        <f>B80_Assessment!B29</f>
        <v>UPS Installed</v>
      </c>
      <c r="I1993" t="str">
        <f>B80_Assessment!C29</f>
        <v>UPS Size</v>
      </c>
      <c r="J1993" t="str">
        <f>B80_Assessment!D29</f>
        <v>PDU Installed</v>
      </c>
      <c r="K1993" t="str">
        <f>B80_Assessment!E29</f>
        <v>Rack Receptacles</v>
      </c>
      <c r="L1993" t="str">
        <f>B80_Assessment!F29</f>
        <v>Panel Assigned</v>
      </c>
      <c r="M1993" t="str">
        <f>B80_Assessment!G29</f>
        <v>Emergency Source</v>
      </c>
      <c r="N1993" t="str">
        <f>B80_Assessment!H29</f>
        <v>SPD / Labeling</v>
      </c>
      <c r="O1993" t="str">
        <f>B80_Assessment!I29</f>
        <v>Overall</v>
      </c>
      <c r="P1993" t="str">
        <f>B80_Assessment!J29</f>
        <v>Notes</v>
      </c>
      <c r="Q1993" t="str">
        <f t="shared" si="31"/>
        <v>80|22</v>
      </c>
    </row>
    <row r="1994" spans="1:17" ht="6.45" customHeight="1">
      <c r="A1994" t="s">
        <v>384</v>
      </c>
      <c r="B1994">
        <v>23</v>
      </c>
      <c r="C1994" t="s">
        <v>63</v>
      </c>
      <c r="D1994">
        <v>30</v>
      </c>
      <c r="E1994" t="s">
        <v>977</v>
      </c>
      <c r="F1994" t="s">
        <v>5324</v>
      </c>
      <c r="G1994" t="str">
        <f>B80_Assessment!A30</f>
        <v>102</v>
      </c>
      <c r="H1994" t="str">
        <f>B80_Assessment!B30</f>
        <v>Verify</v>
      </c>
      <c r="I1994" t="str">
        <f>B80_Assessment!C30</f>
        <v>5 kW / 208V rack UPS</v>
      </c>
      <c r="J1994" t="str">
        <f>B80_Assessment!D30</f>
        <v>Verify</v>
      </c>
      <c r="K1994" t="str">
        <f>B80_Assessment!E30</f>
        <v>Verify</v>
      </c>
      <c r="L1994" t="str">
        <f>B80_Assessment!F30</f>
        <v>B80-TR102A / B80-TR102B</v>
      </c>
      <c r="M1994" t="str">
        <f>B80_Assessment!G30</f>
        <v>Verify</v>
      </c>
      <c r="N1994" t="str">
        <f>B80_Assessment!H30</f>
        <v>Verify</v>
      </c>
      <c r="O1994" t="str">
        <f>B80_Assessment!I30</f>
        <v>Verify</v>
      </c>
      <c r="P1994" t="str">
        <f>B80_Assessment!J30</f>
        <v>Electrical plans/schedules identify B80-TR102A fed from BUS-B80-MDP and B80-TR102B fed from BUS-B80-E1, with rack receptacles, normal/emergency circuits, CU-1-01, SPD requirements and 30-day load measurement requirements.</v>
      </c>
      <c r="Q1994" t="str">
        <f t="shared" si="31"/>
        <v>80|23</v>
      </c>
    </row>
    <row r="1995" spans="1:17" ht="6.45" customHeight="1">
      <c r="A1995" t="s">
        <v>384</v>
      </c>
      <c r="B1995">
        <v>24</v>
      </c>
      <c r="C1995" t="s">
        <v>63</v>
      </c>
      <c r="D1995">
        <v>31</v>
      </c>
      <c r="E1995" t="s">
        <v>977</v>
      </c>
      <c r="F1995" t="s">
        <v>5324</v>
      </c>
      <c r="G1995" t="str">
        <f>B80_Assessment!A31</f>
        <v>127A / 126</v>
      </c>
      <c r="H1995" t="str">
        <f>B80_Assessment!B31</f>
        <v>Existing</v>
      </c>
      <c r="I1995" t="str">
        <f>B80_Assessment!C31</f>
        <v>Existing APC floor UPS</v>
      </c>
      <c r="J1995" t="str">
        <f>B80_Assessment!D31</f>
        <v>Existing</v>
      </c>
      <c r="K1995" t="str">
        <f>B80_Assessment!E31</f>
        <v>Verify</v>
      </c>
      <c r="L1995" t="str">
        <f>B80_Assessment!F31</f>
        <v>Existing / Verify</v>
      </c>
      <c r="M1995" t="str">
        <f>B80_Assessment!G31</f>
        <v>Verify</v>
      </c>
      <c r="N1995" t="str">
        <f>B80_Assessment!H31</f>
        <v>Verify</v>
      </c>
      <c r="O1995" t="str">
        <f>B80_Assessment!I31</f>
        <v>Verify</v>
      </c>
      <c r="P1995" t="str">
        <f>B80_Assessment!J31</f>
        <v>Existing rack/equipment area includes APC floor UPS and legacy telecom power. Verify source circuits, active equipment, UPS status, and transfer requirements before disconnect/removal.</v>
      </c>
      <c r="Q1995" t="str">
        <f t="shared" si="31"/>
        <v>80|24</v>
      </c>
    </row>
    <row r="1996" spans="1:17" ht="6.45" customHeight="1">
      <c r="A1996" t="s">
        <v>384</v>
      </c>
      <c r="B1996">
        <v>25</v>
      </c>
      <c r="C1996" t="s">
        <v>63</v>
      </c>
      <c r="D1996">
        <v>32</v>
      </c>
      <c r="E1996" t="s">
        <v>977</v>
      </c>
      <c r="F1996" t="s">
        <v>5325</v>
      </c>
      <c r="G1996">
        <f>B80_Assessment!A32</f>
        <v>0</v>
      </c>
      <c r="H1996">
        <f>B80_Assessment!B32</f>
        <v>0</v>
      </c>
      <c r="I1996">
        <f>B80_Assessment!C32</f>
        <v>0</v>
      </c>
      <c r="J1996">
        <f>B80_Assessment!D32</f>
        <v>0</v>
      </c>
      <c r="K1996">
        <f>B80_Assessment!E32</f>
        <v>0</v>
      </c>
      <c r="L1996">
        <f>B80_Assessment!F32</f>
        <v>0</v>
      </c>
      <c r="M1996">
        <f>B80_Assessment!G32</f>
        <v>0</v>
      </c>
      <c r="N1996">
        <f>B80_Assessment!H32</f>
        <v>0</v>
      </c>
      <c r="O1996">
        <f>B80_Assessment!I32</f>
        <v>0</v>
      </c>
      <c r="P1996">
        <f>B80_Assessment!J32</f>
        <v>0</v>
      </c>
      <c r="Q1996" t="str">
        <f t="shared" si="31"/>
        <v>80|25</v>
      </c>
    </row>
    <row r="1997" spans="1:17" ht="6.45" customHeight="1">
      <c r="A1997" t="s">
        <v>384</v>
      </c>
      <c r="B1997">
        <v>26</v>
      </c>
      <c r="C1997" t="s">
        <v>63</v>
      </c>
      <c r="D1997">
        <v>33</v>
      </c>
      <c r="E1997" t="s">
        <v>994</v>
      </c>
      <c r="F1997" t="s">
        <v>5322</v>
      </c>
      <c r="G1997" t="str">
        <f>B80_Assessment!A33</f>
        <v>6. TELECOMMUNICATIONS</v>
      </c>
      <c r="H1997">
        <f>B80_Assessment!B33</f>
        <v>0</v>
      </c>
      <c r="I1997">
        <f>B80_Assessment!C33</f>
        <v>0</v>
      </c>
      <c r="J1997">
        <f>B80_Assessment!D33</f>
        <v>0</v>
      </c>
      <c r="K1997">
        <f>B80_Assessment!E33</f>
        <v>0</v>
      </c>
      <c r="L1997">
        <f>B80_Assessment!F33</f>
        <v>0</v>
      </c>
      <c r="M1997">
        <f>B80_Assessment!G33</f>
        <v>0</v>
      </c>
      <c r="N1997">
        <f>B80_Assessment!H33</f>
        <v>0</v>
      </c>
      <c r="O1997">
        <f>B80_Assessment!I33</f>
        <v>0</v>
      </c>
      <c r="P1997">
        <f>B80_Assessment!J33</f>
        <v>0</v>
      </c>
      <c r="Q1997" t="str">
        <f t="shared" si="31"/>
        <v>80|26</v>
      </c>
    </row>
    <row r="1998" spans="1:17" ht="6.45" customHeight="1">
      <c r="A1998" t="s">
        <v>384</v>
      </c>
      <c r="B1998">
        <v>27</v>
      </c>
      <c r="C1998" t="s">
        <v>63</v>
      </c>
      <c r="D1998">
        <v>34</v>
      </c>
      <c r="E1998" t="s">
        <v>994</v>
      </c>
      <c r="F1998" t="s">
        <v>5323</v>
      </c>
      <c r="G1998" t="str">
        <f>B80_Assessment!A34</f>
        <v>Room</v>
      </c>
      <c r="H1998" t="str">
        <f>B80_Assessment!B34</f>
        <v>Rack Installed</v>
      </c>
      <c r="I1998" t="str">
        <f>B80_Assessment!C34</f>
        <v>Ladder Tray</v>
      </c>
      <c r="J1998" t="str">
        <f>B80_Assessment!D34</f>
        <v>Fiber Installed</v>
      </c>
      <c r="K1998" t="str">
        <f>B80_Assessment!E34</f>
        <v>Grounding</v>
      </c>
      <c r="L1998" t="str">
        <f>B80_Assessment!F34</f>
        <v>Labeling</v>
      </c>
      <c r="M1998" t="str">
        <f>B80_Assessment!G34</f>
        <v>Testing</v>
      </c>
      <c r="N1998" t="str">
        <f>B80_Assessment!H34</f>
        <v>VA Acceptance</v>
      </c>
      <c r="O1998" t="str">
        <f>B80_Assessment!I34</f>
        <v>Overall</v>
      </c>
      <c r="P1998" t="str">
        <f>B80_Assessment!J34</f>
        <v>Notes</v>
      </c>
      <c r="Q1998" t="str">
        <f t="shared" si="31"/>
        <v>80|27</v>
      </c>
    </row>
    <row r="1999" spans="1:17" ht="6.45" customHeight="1">
      <c r="A1999" t="s">
        <v>384</v>
      </c>
      <c r="B1999">
        <v>28</v>
      </c>
      <c r="C1999" t="s">
        <v>63</v>
      </c>
      <c r="D1999">
        <v>35</v>
      </c>
      <c r="E1999" t="s">
        <v>994</v>
      </c>
      <c r="F1999" t="s">
        <v>5324</v>
      </c>
      <c r="G1999" t="str">
        <f>B80_Assessment!A35</f>
        <v>102</v>
      </c>
      <c r="H1999" t="str">
        <f>B80_Assessment!B35</f>
        <v>Verify</v>
      </c>
      <c r="I1999" t="str">
        <f>B80_Assessment!C35</f>
        <v>Verify</v>
      </c>
      <c r="J1999" t="str">
        <f>B80_Assessment!D35</f>
        <v>Verify</v>
      </c>
      <c r="K1999" t="str">
        <f>B80_Assessment!E35</f>
        <v>Verify</v>
      </c>
      <c r="L1999" t="str">
        <f>B80_Assessment!F35</f>
        <v>Verify</v>
      </c>
      <c r="M1999" t="str">
        <f>B80_Assessment!G35</f>
        <v>Verify</v>
      </c>
      <c r="N1999" t="str">
        <f>B80_Assessment!H35</f>
        <v>Verify</v>
      </c>
      <c r="O1999" t="str">
        <f>B80_Assessment!I35</f>
        <v>Verify</v>
      </c>
      <c r="P1999" t="str">
        <f>B80_Assessment!J35</f>
        <v>80T-701 identifies RM102 with 117 WAO total, 98 active ports per survey, 195 total ports per schedule, and 215 total ports with 10% allowance. Rack IDs include TR01-102-1 and TR01-102-2; rack elevation shows 1 new rack plus future rack with switches, Cat6A patch panels, Cat5e patch panel, Fiber LIU, UPS and PDU.</v>
      </c>
      <c r="Q1999" t="str">
        <f t="shared" si="31"/>
        <v>80|28</v>
      </c>
    </row>
    <row r="2000" spans="1:17" ht="6.45" customHeight="1">
      <c r="A2000" t="s">
        <v>384</v>
      </c>
      <c r="B2000">
        <v>29</v>
      </c>
      <c r="C2000" t="s">
        <v>63</v>
      </c>
      <c r="D2000">
        <v>36</v>
      </c>
      <c r="E2000" t="s">
        <v>994</v>
      </c>
      <c r="F2000" t="s">
        <v>5324</v>
      </c>
      <c r="G2000" t="str">
        <f>B80_Assessment!A36</f>
        <v>127A / 126</v>
      </c>
      <c r="H2000" t="str">
        <f>B80_Assessment!B36</f>
        <v>Existing</v>
      </c>
      <c r="I2000" t="str">
        <f>B80_Assessment!C36</f>
        <v>Existing</v>
      </c>
      <c r="J2000" t="str">
        <f>B80_Assessment!D36</f>
        <v>Existing</v>
      </c>
      <c r="K2000" t="str">
        <f>B80_Assessment!E36</f>
        <v>Verify</v>
      </c>
      <c r="L2000" t="str">
        <f>B80_Assessment!F36</f>
        <v>Verify</v>
      </c>
      <c r="M2000" t="str">
        <f>B80_Assessment!G36</f>
        <v>Verify</v>
      </c>
      <c r="N2000" t="str">
        <f>B80_Assessment!H36</f>
        <v>Verify</v>
      </c>
      <c r="O2000" t="str">
        <f>B80_Assessment!I36</f>
        <v>Verify</v>
      </c>
      <c r="P2000" t="str">
        <f>B80_Assessment!J36</f>
        <v>Existing rack elevation shows Cisco switches, legacy optical Fiber LIU on wall, multiple legacy Ortronics 24/48-port patch panels, legacy Cat5e 24-port patch panel, and APC floor UPS. Contractor must transfer existing devices to new rack and protect active services.</v>
      </c>
      <c r="Q2000" t="str">
        <f t="shared" si="31"/>
        <v>80|29</v>
      </c>
    </row>
    <row r="2001" spans="1:17" ht="6.45" customHeight="1">
      <c r="A2001" t="s">
        <v>384</v>
      </c>
      <c r="B2001">
        <v>30</v>
      </c>
      <c r="C2001" t="s">
        <v>63</v>
      </c>
      <c r="D2001">
        <v>37</v>
      </c>
      <c r="E2001" t="s">
        <v>994</v>
      </c>
      <c r="F2001" t="s">
        <v>5325</v>
      </c>
      <c r="G2001">
        <f>B80_Assessment!A37</f>
        <v>0</v>
      </c>
      <c r="H2001">
        <f>B80_Assessment!B37</f>
        <v>0</v>
      </c>
      <c r="I2001">
        <f>B80_Assessment!C37</f>
        <v>0</v>
      </c>
      <c r="J2001">
        <f>B80_Assessment!D37</f>
        <v>0</v>
      </c>
      <c r="K2001">
        <f>B80_Assessment!E37</f>
        <v>0</v>
      </c>
      <c r="L2001">
        <f>B80_Assessment!F37</f>
        <v>0</v>
      </c>
      <c r="M2001">
        <f>B80_Assessment!G37</f>
        <v>0</v>
      </c>
      <c r="N2001">
        <f>B80_Assessment!H37</f>
        <v>0</v>
      </c>
      <c r="O2001">
        <f>B80_Assessment!I37</f>
        <v>0</v>
      </c>
      <c r="P2001">
        <f>B80_Assessment!J37</f>
        <v>0</v>
      </c>
      <c r="Q2001" t="str">
        <f t="shared" si="31"/>
        <v>80|30</v>
      </c>
    </row>
    <row r="2002" spans="1:17" ht="6.45" customHeight="1">
      <c r="A2002" t="s">
        <v>384</v>
      </c>
      <c r="B2002">
        <v>31</v>
      </c>
      <c r="C2002" t="s">
        <v>63</v>
      </c>
      <c r="D2002">
        <v>38</v>
      </c>
      <c r="E2002" t="s">
        <v>1007</v>
      </c>
      <c r="F2002" t="s">
        <v>5322</v>
      </c>
      <c r="G2002" t="str">
        <f>B80_Assessment!A38</f>
        <v>7. SECURITY / PACS / CCTV</v>
      </c>
      <c r="H2002">
        <f>B80_Assessment!B38</f>
        <v>0</v>
      </c>
      <c r="I2002">
        <f>B80_Assessment!C38</f>
        <v>0</v>
      </c>
      <c r="J2002">
        <f>B80_Assessment!D38</f>
        <v>0</v>
      </c>
      <c r="K2002">
        <f>B80_Assessment!E38</f>
        <v>0</v>
      </c>
      <c r="L2002">
        <f>B80_Assessment!F38</f>
        <v>0</v>
      </c>
      <c r="M2002">
        <f>B80_Assessment!G38</f>
        <v>0</v>
      </c>
      <c r="N2002">
        <f>B80_Assessment!H38</f>
        <v>0</v>
      </c>
      <c r="O2002">
        <f>B80_Assessment!I38</f>
        <v>0</v>
      </c>
      <c r="P2002">
        <f>B80_Assessment!J38</f>
        <v>0</v>
      </c>
      <c r="Q2002" t="str">
        <f t="shared" si="31"/>
        <v>80|31</v>
      </c>
    </row>
    <row r="2003" spans="1:17" ht="6.45" customHeight="1">
      <c r="A2003" t="s">
        <v>384</v>
      </c>
      <c r="B2003">
        <v>32</v>
      </c>
      <c r="C2003" t="s">
        <v>63</v>
      </c>
      <c r="D2003">
        <v>39</v>
      </c>
      <c r="E2003" t="s">
        <v>1007</v>
      </c>
      <c r="F2003" t="s">
        <v>5323</v>
      </c>
      <c r="G2003" t="str">
        <f>B80_Assessment!A39</f>
        <v>Room</v>
      </c>
      <c r="H2003" t="str">
        <f>B80_Assessment!B39</f>
        <v>PACS</v>
      </c>
      <c r="I2003" t="str">
        <f>B80_Assessment!C39</f>
        <v>Card Reader</v>
      </c>
      <c r="J2003" t="str">
        <f>B80_Assessment!D39</f>
        <v>Door Position</v>
      </c>
      <c r="K2003" t="str">
        <f>B80_Assessment!E39</f>
        <v>Electric Strike</v>
      </c>
      <c r="L2003" t="str">
        <f>B80_Assessment!F39</f>
        <v>CCTV</v>
      </c>
      <c r="M2003" t="str">
        <f>B80_Assessment!G39</f>
        <v>Motion Sensor</v>
      </c>
      <c r="N2003" t="str">
        <f>B80_Assessment!H39</f>
        <v>Integration</v>
      </c>
      <c r="O2003" t="str">
        <f>B80_Assessment!I39</f>
        <v>Overall</v>
      </c>
      <c r="P2003" t="str">
        <f>B80_Assessment!J39</f>
        <v>Notes</v>
      </c>
      <c r="Q2003" t="str">
        <f t="shared" si="31"/>
        <v>80|32</v>
      </c>
    </row>
    <row r="2004" spans="1:17" ht="6.45" customHeight="1">
      <c r="A2004" t="s">
        <v>384</v>
      </c>
      <c r="B2004">
        <v>33</v>
      </c>
      <c r="C2004" t="s">
        <v>63</v>
      </c>
      <c r="D2004">
        <v>40</v>
      </c>
      <c r="E2004" t="s">
        <v>1007</v>
      </c>
      <c r="F2004" t="s">
        <v>5324</v>
      </c>
      <c r="G2004" t="str">
        <f>B80_Assessment!A40</f>
        <v>102</v>
      </c>
      <c r="H2004" t="str">
        <f>B80_Assessment!B40</f>
        <v>Verify</v>
      </c>
      <c r="I2004" t="str">
        <f>B80_Assessment!C40</f>
        <v>Verify</v>
      </c>
      <c r="J2004" t="str">
        <f>B80_Assessment!D40</f>
        <v>Verify</v>
      </c>
      <c r="K2004" t="str">
        <f>B80_Assessment!E40</f>
        <v>Verify</v>
      </c>
      <c r="L2004" t="str">
        <f>B80_Assessment!F40</f>
        <v>Verify</v>
      </c>
      <c r="M2004" t="str">
        <f>B80_Assessment!G40</f>
        <v>Verify</v>
      </c>
      <c r="N2004" t="str">
        <f>B80_Assessment!H40</f>
        <v>Verify</v>
      </c>
      <c r="O2004" t="str">
        <f>B80_Assessment!I40</f>
        <v>Verify</v>
      </c>
      <c r="P2004" t="str">
        <f>B80_Assessment!J40</f>
        <v>Electrical/telecom plans show access-control scope and camera 102-CAM-1. Verify CR/RX/DC/ES/MD devices, controller, electric strike, camera/VMS integration, and door hardware coordination.</v>
      </c>
      <c r="Q2004" t="str">
        <f t="shared" si="31"/>
        <v>80|33</v>
      </c>
    </row>
    <row r="2005" spans="1:17" ht="6.45" customHeight="1">
      <c r="A2005" t="s">
        <v>384</v>
      </c>
      <c r="B2005">
        <v>34</v>
      </c>
      <c r="C2005" t="s">
        <v>63</v>
      </c>
      <c r="D2005">
        <v>41</v>
      </c>
      <c r="E2005" t="s">
        <v>1007</v>
      </c>
      <c r="F2005" t="s">
        <v>5324</v>
      </c>
      <c r="G2005" t="str">
        <f>B80_Assessment!A41</f>
        <v>127A / 126</v>
      </c>
      <c r="H2005" t="str">
        <f>B80_Assessment!B41</f>
        <v>Verify Existing</v>
      </c>
      <c r="I2005" t="str">
        <f>B80_Assessment!C41</f>
        <v>Verify Existing</v>
      </c>
      <c r="J2005" t="str">
        <f>B80_Assessment!D41</f>
        <v>Verify Existing</v>
      </c>
      <c r="K2005" t="str">
        <f>B80_Assessment!E41</f>
        <v>Verify Existing</v>
      </c>
      <c r="L2005" t="str">
        <f>B80_Assessment!F41</f>
        <v>Verify Existing</v>
      </c>
      <c r="M2005" t="str">
        <f>B80_Assessment!G41</f>
        <v>Verify Existing</v>
      </c>
      <c r="N2005" t="str">
        <f>B80_Assessment!H41</f>
        <v>Verify</v>
      </c>
      <c r="O2005" t="str">
        <f>B80_Assessment!I41</f>
        <v>Verify</v>
      </c>
      <c r="P2005" t="str">
        <f>B80_Assessment!J41</f>
        <v>Verify existing security/PACS equipment conditions and whether any existing camera/security device is protected, recabled, or removed during cutover.</v>
      </c>
      <c r="Q2005" t="str">
        <f t="shared" si="31"/>
        <v>80|34</v>
      </c>
    </row>
    <row r="2006" spans="1:17" ht="6.45" customHeight="1">
      <c r="A2006" t="s">
        <v>384</v>
      </c>
      <c r="B2006">
        <v>35</v>
      </c>
      <c r="C2006" t="s">
        <v>63</v>
      </c>
      <c r="D2006">
        <v>42</v>
      </c>
      <c r="E2006" t="s">
        <v>1007</v>
      </c>
      <c r="F2006" t="s">
        <v>5325</v>
      </c>
      <c r="G2006">
        <f>B80_Assessment!A42</f>
        <v>0</v>
      </c>
      <c r="H2006">
        <f>B80_Assessment!B42</f>
        <v>0</v>
      </c>
      <c r="I2006">
        <f>B80_Assessment!C42</f>
        <v>0</v>
      </c>
      <c r="J2006">
        <f>B80_Assessment!D42</f>
        <v>0</v>
      </c>
      <c r="K2006">
        <f>B80_Assessment!E42</f>
        <v>0</v>
      </c>
      <c r="L2006">
        <f>B80_Assessment!F42</f>
        <v>0</v>
      </c>
      <c r="M2006">
        <f>B80_Assessment!G42</f>
        <v>0</v>
      </c>
      <c r="N2006">
        <f>B80_Assessment!H42</f>
        <v>0</v>
      </c>
      <c r="O2006">
        <f>B80_Assessment!I42</f>
        <v>0</v>
      </c>
      <c r="P2006">
        <f>B80_Assessment!J42</f>
        <v>0</v>
      </c>
      <c r="Q2006" t="str">
        <f t="shared" si="31"/>
        <v>80|35</v>
      </c>
    </row>
    <row r="2007" spans="1:17" ht="6.45" customHeight="1">
      <c r="A2007" t="s">
        <v>384</v>
      </c>
      <c r="B2007">
        <v>36</v>
      </c>
      <c r="C2007" t="s">
        <v>63</v>
      </c>
      <c r="D2007">
        <v>43</v>
      </c>
      <c r="E2007" t="s">
        <v>1019</v>
      </c>
      <c r="F2007" t="s">
        <v>5322</v>
      </c>
      <c r="G2007" t="str">
        <f>B80_Assessment!A43</f>
        <v>8. OWNER RISKS</v>
      </c>
      <c r="H2007">
        <f>B80_Assessment!B43</f>
        <v>0</v>
      </c>
      <c r="I2007">
        <f>B80_Assessment!C43</f>
        <v>0</v>
      </c>
      <c r="J2007">
        <f>B80_Assessment!D43</f>
        <v>0</v>
      </c>
      <c r="K2007">
        <f>B80_Assessment!E43</f>
        <v>0</v>
      </c>
      <c r="L2007">
        <f>B80_Assessment!F43</f>
        <v>0</v>
      </c>
      <c r="M2007">
        <f>B80_Assessment!G43</f>
        <v>0</v>
      </c>
      <c r="N2007">
        <f>B80_Assessment!H43</f>
        <v>0</v>
      </c>
      <c r="O2007">
        <f>B80_Assessment!I43</f>
        <v>0</v>
      </c>
      <c r="P2007">
        <f>B80_Assessment!J43</f>
        <v>0</v>
      </c>
      <c r="Q2007" t="str">
        <f t="shared" si="31"/>
        <v>80|36</v>
      </c>
    </row>
    <row r="2008" spans="1:17" ht="6.45" customHeight="1">
      <c r="A2008" t="s">
        <v>384</v>
      </c>
      <c r="B2008">
        <v>37</v>
      </c>
      <c r="C2008" t="s">
        <v>63</v>
      </c>
      <c r="D2008">
        <v>44</v>
      </c>
      <c r="E2008" t="s">
        <v>1019</v>
      </c>
      <c r="F2008" t="s">
        <v>5323</v>
      </c>
      <c r="G2008" t="str">
        <f>B80_Assessment!A44</f>
        <v>Risk ID</v>
      </c>
      <c r="H2008" t="str">
        <f>B80_Assessment!B44</f>
        <v>Room</v>
      </c>
      <c r="I2008" t="str">
        <f>B80_Assessment!C44</f>
        <v>Risk</v>
      </c>
      <c r="J2008" t="str">
        <f>B80_Assessment!D44</f>
        <v>Impact</v>
      </c>
      <c r="K2008" t="str">
        <f>B80_Assessment!E44</f>
        <v>Probability</v>
      </c>
      <c r="L2008" t="str">
        <f>B80_Assessment!F44</f>
        <v>Score</v>
      </c>
      <c r="M2008" t="str">
        <f>B80_Assessment!G44</f>
        <v>Mitigation</v>
      </c>
      <c r="N2008" t="str">
        <f>B80_Assessment!H44</f>
        <v>Owner</v>
      </c>
      <c r="O2008" t="str">
        <f>B80_Assessment!I44</f>
        <v>Status</v>
      </c>
      <c r="P2008" t="str">
        <f>B80_Assessment!J44</f>
        <v>Notes</v>
      </c>
      <c r="Q2008" t="str">
        <f t="shared" si="31"/>
        <v>80|37</v>
      </c>
    </row>
    <row r="2009" spans="1:17" ht="6.45" customHeight="1">
      <c r="A2009" t="s">
        <v>384</v>
      </c>
      <c r="B2009">
        <v>38</v>
      </c>
      <c r="C2009" t="s">
        <v>63</v>
      </c>
      <c r="D2009">
        <v>45</v>
      </c>
      <c r="E2009" t="s">
        <v>1019</v>
      </c>
      <c r="F2009" t="s">
        <v>5324</v>
      </c>
      <c r="G2009" t="str">
        <f>B80_Assessment!A45</f>
        <v>B80-R1</v>
      </c>
      <c r="H2009" t="str">
        <f>B80_Assessment!B45</f>
        <v>All</v>
      </c>
      <c r="I2009" t="str">
        <f>B80_Assessment!C45</f>
        <v>Existing conditions for Room 102 and existing 127A/126 not field verified</v>
      </c>
      <c r="J2009" t="str">
        <f>B80_Assessment!D45</f>
        <v>High</v>
      </c>
      <c r="K2009" t="str">
        <f>B80_Assessment!E45</f>
        <v>Medium</v>
      </c>
      <c r="L2009">
        <f>B80_Assessment!F45</f>
        <v>6</v>
      </c>
      <c r="M2009" t="str">
        <f>B80_Assessment!G45</f>
        <v>Perform existing conditions survey with photos before mobilization</v>
      </c>
      <c r="N2009" t="str">
        <f>B80_Assessment!H45</f>
        <v>GCC / Contractor</v>
      </c>
      <c r="O2009" t="str">
        <f>B80_Assessment!I45</f>
        <v>Closed</v>
      </c>
      <c r="P2009" t="str">
        <f>B80_Assessment!J45</f>
        <v>B80 includes new TR plus existing telecom transition point.</v>
      </c>
      <c r="Q2009" t="str">
        <f t="shared" si="31"/>
        <v>80|38</v>
      </c>
    </row>
    <row r="2010" spans="1:17" ht="6.45" customHeight="1">
      <c r="A2010" t="s">
        <v>384</v>
      </c>
      <c r="B2010">
        <v>39</v>
      </c>
      <c r="C2010" t="s">
        <v>63</v>
      </c>
      <c r="D2010">
        <v>46</v>
      </c>
      <c r="E2010" t="s">
        <v>1019</v>
      </c>
      <c r="F2010" t="s">
        <v>5324</v>
      </c>
      <c r="G2010" t="str">
        <f>B80_Assessment!A46</f>
        <v>B80-R2</v>
      </c>
      <c r="H2010" t="str">
        <f>B80_Assessment!B46</f>
        <v>127A / 126</v>
      </c>
      <c r="I2010" t="str">
        <f>B80_Assessment!C46</f>
        <v>Existing telecom equipment may remain active during transfer to Room 102</v>
      </c>
      <c r="J2010" t="str">
        <f>B80_Assessment!D46</f>
        <v>Critical</v>
      </c>
      <c r="K2010" t="str">
        <f>B80_Assessment!E46</f>
        <v>Medium</v>
      </c>
      <c r="L2010">
        <f>B80_Assessment!F46</f>
        <v>8</v>
      </c>
      <c r="M2010" t="str">
        <f>B80_Assessment!G46</f>
        <v>Document active services, protect in place, identify OIT cutover windows, phasing and rollback plan</v>
      </c>
      <c r="N2010" t="str">
        <f>B80_Assessment!H46</f>
        <v>Telecom / OIT</v>
      </c>
      <c r="O2010" t="str">
        <f>B80_Assessment!I46</f>
        <v>Closed</v>
      </c>
      <c r="P2010" t="str">
        <f>B80_Assessment!J46</f>
        <v>Existing rack elevation shows Cisco switches, legacy patch panels, Fiber LIU and APC floor UPS.</v>
      </c>
      <c r="Q2010" t="str">
        <f t="shared" si="31"/>
        <v>80|39</v>
      </c>
    </row>
    <row r="2011" spans="1:17" ht="6.45" customHeight="1">
      <c r="A2011" t="s">
        <v>384</v>
      </c>
      <c r="B2011">
        <v>40</v>
      </c>
      <c r="C2011" t="s">
        <v>63</v>
      </c>
      <c r="D2011">
        <v>47</v>
      </c>
      <c r="E2011" t="s">
        <v>1019</v>
      </c>
      <c r="F2011" t="s">
        <v>5324</v>
      </c>
      <c r="G2011" t="str">
        <f>B80_Assessment!A47</f>
        <v>B80-R3</v>
      </c>
      <c r="H2011" t="str">
        <f>B80_Assessment!B47</f>
        <v>102 / 127A</v>
      </c>
      <c r="I2011" t="str">
        <f>B80_Assessment!C47</f>
        <v>Room-number mismatch between Tel Closet 127A and photo/rack reference Room 126/127-A</v>
      </c>
      <c r="J2011" t="str">
        <f>B80_Assessment!D47</f>
        <v>High</v>
      </c>
      <c r="K2011" t="str">
        <f>B80_Assessment!E47</f>
        <v>Medium</v>
      </c>
      <c r="L2011">
        <f>B80_Assessment!F47</f>
        <v>6</v>
      </c>
      <c r="M2011" t="str">
        <f>B80_Assessment!G47</f>
        <v>Track both IDs in PMIS and confirm field room signage/owner mapping before punch list and turnover</v>
      </c>
      <c r="N2011" t="str">
        <f>B80_Assessment!H47</f>
        <v>GCC / VA / Designer</v>
      </c>
      <c r="O2011" t="str">
        <f>B80_Assessment!I47</f>
        <v>Closed</v>
      </c>
      <c r="P2011" t="str">
        <f>B80_Assessment!J47</f>
        <v>80T-101 calls Tel Closet 127A; 80R-900 photo reference calls existing telecom room 126; 80T-604 lists room 126/127-A.</v>
      </c>
      <c r="Q2011" t="str">
        <f t="shared" si="31"/>
        <v>80|40</v>
      </c>
    </row>
    <row r="2012" spans="1:17" ht="6.45" customHeight="1">
      <c r="A2012" t="s">
        <v>384</v>
      </c>
      <c r="B2012">
        <v>41</v>
      </c>
      <c r="C2012" t="s">
        <v>63</v>
      </c>
      <c r="D2012">
        <v>48</v>
      </c>
      <c r="E2012" t="s">
        <v>1019</v>
      </c>
      <c r="F2012" t="s">
        <v>5324</v>
      </c>
      <c r="G2012" t="str">
        <f>B80_Assessment!A48</f>
        <v>B80-R4</v>
      </c>
      <c r="H2012" t="str">
        <f>B80_Assessment!B48</f>
        <v>102</v>
      </c>
      <c r="I2012" t="str">
        <f>B80_Assessment!C48</f>
        <v>Dedicated cooling emergency power, condensate, BACnet and alarms not verified</v>
      </c>
      <c r="J2012" t="str">
        <f>B80_Assessment!D48</f>
        <v>Critical</v>
      </c>
      <c r="K2012" t="str">
        <f>B80_Assessment!E48</f>
        <v>Medium</v>
      </c>
      <c r="L2012">
        <f>B80_Assessment!F48</f>
        <v>8</v>
      </c>
      <c r="M2012" t="str">
        <f>B80_Assessment!G48</f>
        <v>Confirm IU-1-01/CU-1-01 power source, condensate route, controls, BACnet adapter, thermostat and high-temp alarm</v>
      </c>
      <c r="N2012" t="str">
        <f>B80_Assessment!H48</f>
        <v>Mechanical / Electrical</v>
      </c>
      <c r="O2012" t="str">
        <f>B80_Assessment!I48</f>
        <v>Closed</v>
      </c>
      <c r="P2012" t="str">
        <f>B80_Assessment!J48</f>
        <v>Cooling is central to TR readiness.</v>
      </c>
      <c r="Q2012" t="str">
        <f t="shared" si="31"/>
        <v>80|41</v>
      </c>
    </row>
    <row r="2013" spans="1:17" ht="6.45" customHeight="1">
      <c r="A2013" t="s">
        <v>384</v>
      </c>
      <c r="B2013">
        <v>42</v>
      </c>
      <c r="C2013" t="s">
        <v>63</v>
      </c>
      <c r="D2013">
        <v>49</v>
      </c>
      <c r="E2013" t="s">
        <v>1019</v>
      </c>
      <c r="F2013" t="s">
        <v>5324</v>
      </c>
      <c r="G2013" t="str">
        <f>B80_Assessment!A49</f>
        <v>B80-R5</v>
      </c>
      <c r="H2013" t="str">
        <f>B80_Assessment!B49</f>
        <v>102</v>
      </c>
      <c r="I2013" t="str">
        <f>B80_Assessment!C49</f>
        <v>B80-TR102A/B UPS/PDU and panel source coordination could delay energization</v>
      </c>
      <c r="J2013" t="str">
        <f>B80_Assessment!D49</f>
        <v>High</v>
      </c>
      <c r="K2013" t="str">
        <f>B80_Assessment!E49</f>
        <v>Medium</v>
      </c>
      <c r="L2013">
        <f>B80_Assessment!F49</f>
        <v>6</v>
      </c>
      <c r="M2013" t="str">
        <f>B80_Assessment!G49</f>
        <v>Verify panel sources BUS-B80-MDP and BUS-B80-E1, breakers, receptacles, SPD, labels, load measurement and LOTO needs</v>
      </c>
      <c r="N2013" t="str">
        <f>B80_Assessment!H49</f>
        <v>Electrical / GCC</v>
      </c>
      <c r="O2013" t="str">
        <f>B80_Assessment!I49</f>
        <v>Closed</v>
      </c>
      <c r="P2013" t="str">
        <f>B80_Assessment!J49</f>
        <v>B80-TR102A/B panel schedules and one-line show normal/emergency source split.</v>
      </c>
      <c r="Q2013" t="str">
        <f t="shared" si="31"/>
        <v>80|42</v>
      </c>
    </row>
    <row r="2014" spans="1:17" ht="6.45" customHeight="1">
      <c r="A2014" t="s">
        <v>384</v>
      </c>
      <c r="B2014">
        <v>43</v>
      </c>
      <c r="C2014" t="s">
        <v>63</v>
      </c>
      <c r="D2014">
        <v>50</v>
      </c>
      <c r="E2014" t="s">
        <v>1019</v>
      </c>
      <c r="F2014" t="s">
        <v>5324</v>
      </c>
      <c r="G2014" t="str">
        <f>B80_Assessment!A50</f>
        <v>B80-R6</v>
      </c>
      <c r="H2014" t="str">
        <f>B80_Assessment!B50</f>
        <v>All</v>
      </c>
      <c r="I2014" t="str">
        <f>B80_Assessment!C50</f>
        <v>811 feet of cable tray/pathway requires coordination and firestop tracking</v>
      </c>
      <c r="J2014" t="str">
        <f>B80_Assessment!D50</f>
        <v>High</v>
      </c>
      <c r="K2014" t="str">
        <f>B80_Assessment!E50</f>
        <v>Medium</v>
      </c>
      <c r="L2014">
        <f>B80_Assessment!F50</f>
        <v>6</v>
      </c>
      <c r="M2014" t="str">
        <f>B80_Assessment!G50</f>
        <v>Verify route, supports, seismic bracing, 40% fill, penetrations, lighting/HVAC conflicts and firestop assemblies</v>
      </c>
      <c r="N2014" t="str">
        <f>B80_Assessment!H50</f>
        <v>Telecom / GC</v>
      </c>
      <c r="O2014" t="str">
        <f>B80_Assessment!I50</f>
        <v>Closed</v>
      </c>
      <c r="P2014" t="str">
        <f>B80_Assessment!J50</f>
        <v>80T-701 cable tray schedule: basement 122 ft, first level 688 ft, grand total 811 ft.</v>
      </c>
      <c r="Q2014" t="str">
        <f t="shared" si="31"/>
        <v>80|43</v>
      </c>
    </row>
    <row r="2015" spans="1:17" ht="6.45" customHeight="1">
      <c r="A2015" t="s">
        <v>384</v>
      </c>
      <c r="B2015">
        <v>44</v>
      </c>
      <c r="C2015" t="s">
        <v>63</v>
      </c>
      <c r="D2015">
        <v>51</v>
      </c>
      <c r="E2015" t="s">
        <v>1019</v>
      </c>
      <c r="F2015" t="s">
        <v>5324</v>
      </c>
      <c r="G2015" t="str">
        <f>B80_Assessment!A51</f>
        <v>B80-R7</v>
      </c>
      <c r="H2015" t="str">
        <f>B80_Assessment!B51</f>
        <v>All</v>
      </c>
      <c r="I2015" t="str">
        <f>B80_Assessment!C51</f>
        <v>Telecom/fiber cutover could affect active hospital communications on first-level operations</v>
      </c>
      <c r="J2015" t="str">
        <f>B80_Assessment!D51</f>
        <v>Critical</v>
      </c>
      <c r="K2015" t="str">
        <f>B80_Assessment!E51</f>
        <v>Medium</v>
      </c>
      <c r="L2015">
        <f>B80_Assessment!F51</f>
        <v>8</v>
      </c>
      <c r="M2015" t="str">
        <f>B80_Assessment!G51</f>
        <v>Require cutover plan, test records, labels, as-builts, OIT coordination and VA acceptance before active connection</v>
      </c>
      <c r="N2015" t="str">
        <f>B80_Assessment!H51</f>
        <v>Telecom / OIT</v>
      </c>
      <c r="O2015" t="str">
        <f>B80_Assessment!I51</f>
        <v>Closed</v>
      </c>
      <c r="P2015" t="str">
        <f>B80_Assessment!J51</f>
        <v>RM102 supports 215 total ports including allowance and existing rack transfer.</v>
      </c>
      <c r="Q2015" t="str">
        <f t="shared" si="31"/>
        <v>80|44</v>
      </c>
    </row>
    <row r="2016" spans="1:17" ht="6.45" customHeight="1">
      <c r="A2016" t="s">
        <v>384</v>
      </c>
      <c r="B2016">
        <v>45</v>
      </c>
      <c r="C2016" t="s">
        <v>63</v>
      </c>
      <c r="D2016">
        <v>52</v>
      </c>
      <c r="E2016" t="s">
        <v>1019</v>
      </c>
      <c r="F2016" t="s">
        <v>5324</v>
      </c>
      <c r="G2016" t="str">
        <f>B80_Assessment!A52</f>
        <v>B80-R8</v>
      </c>
      <c r="H2016" t="str">
        <f>B80_Assessment!B52</f>
        <v>All</v>
      </c>
      <c r="I2016" t="str">
        <f>B80_Assessment!C52</f>
        <v>Commissioning/third-party inspection reports may not be complete at turnover</v>
      </c>
      <c r="J2016" t="str">
        <f>B80_Assessment!D52</f>
        <v>High</v>
      </c>
      <c r="K2016" t="str">
        <f>B80_Assessment!E52</f>
        <v>Medium</v>
      </c>
      <c r="L2016">
        <f>B80_Assessment!F52</f>
        <v>6</v>
      </c>
      <c r="M2016" t="str">
        <f>B80_Assessment!G52</f>
        <v>Track commissioning, inspections, FA/FP acceptance, power verification, cabling tests, labels and as-builts</v>
      </c>
      <c r="N2016" t="str">
        <f>B80_Assessment!H52</f>
        <v>GC / Cx Manager</v>
      </c>
      <c r="O2016" t="str">
        <f>B80_Assessment!I52</f>
        <v>Closed</v>
      </c>
      <c r="P2016" t="str">
        <f>B80_Assessment!J52</f>
        <v>Full-scope 52-sheet IFC package with mechanical, electrical, FP and telecom work.</v>
      </c>
      <c r="Q2016" t="str">
        <f t="shared" si="31"/>
        <v>80|45</v>
      </c>
    </row>
    <row r="2017" spans="1:17" ht="6.45" customHeight="1">
      <c r="A2017" t="s">
        <v>384</v>
      </c>
      <c r="B2017">
        <v>46</v>
      </c>
      <c r="C2017" t="s">
        <v>63</v>
      </c>
      <c r="D2017">
        <v>53</v>
      </c>
      <c r="E2017" t="s">
        <v>1019</v>
      </c>
      <c r="F2017" t="s">
        <v>5325</v>
      </c>
      <c r="G2017">
        <f>B80_Assessment!A53</f>
        <v>0</v>
      </c>
      <c r="H2017">
        <f>B80_Assessment!B53</f>
        <v>0</v>
      </c>
      <c r="I2017">
        <f>B80_Assessment!C53</f>
        <v>0</v>
      </c>
      <c r="J2017">
        <f>B80_Assessment!D53</f>
        <v>0</v>
      </c>
      <c r="K2017">
        <f>B80_Assessment!E53</f>
        <v>0</v>
      </c>
      <c r="L2017">
        <f>B80_Assessment!F53</f>
        <v>0</v>
      </c>
      <c r="M2017">
        <f>B80_Assessment!G53</f>
        <v>0</v>
      </c>
      <c r="N2017">
        <f>B80_Assessment!H53</f>
        <v>0</v>
      </c>
      <c r="O2017">
        <f>B80_Assessment!I53</f>
        <v>0</v>
      </c>
      <c r="P2017">
        <f>B80_Assessment!J53</f>
        <v>0</v>
      </c>
      <c r="Q2017" t="str">
        <f t="shared" si="31"/>
        <v>80|46</v>
      </c>
    </row>
    <row r="2018" spans="1:17" ht="6.45" customHeight="1">
      <c r="A2018" t="s">
        <v>384</v>
      </c>
      <c r="B2018">
        <v>47</v>
      </c>
      <c r="C2018" t="s">
        <v>63</v>
      </c>
      <c r="D2018">
        <v>54</v>
      </c>
      <c r="E2018" t="s">
        <v>1051</v>
      </c>
      <c r="F2018" t="s">
        <v>5322</v>
      </c>
      <c r="G2018" t="str">
        <f>B80_Assessment!A54</f>
        <v>9. OPEN QUESTIONS</v>
      </c>
      <c r="H2018">
        <f>B80_Assessment!B54</f>
        <v>0</v>
      </c>
      <c r="I2018">
        <f>B80_Assessment!C54</f>
        <v>0</v>
      </c>
      <c r="J2018">
        <f>B80_Assessment!D54</f>
        <v>0</v>
      </c>
      <c r="K2018">
        <f>B80_Assessment!E54</f>
        <v>0</v>
      </c>
      <c r="L2018">
        <f>B80_Assessment!F54</f>
        <v>0</v>
      </c>
      <c r="M2018">
        <f>B80_Assessment!G54</f>
        <v>0</v>
      </c>
      <c r="N2018">
        <f>B80_Assessment!H54</f>
        <v>0</v>
      </c>
      <c r="O2018">
        <f>B80_Assessment!I54</f>
        <v>0</v>
      </c>
      <c r="P2018">
        <f>B80_Assessment!J54</f>
        <v>0</v>
      </c>
      <c r="Q2018" t="str">
        <f t="shared" si="31"/>
        <v>80|47</v>
      </c>
    </row>
    <row r="2019" spans="1:17" ht="6.45" customHeight="1">
      <c r="A2019" t="s">
        <v>384</v>
      </c>
      <c r="B2019">
        <v>48</v>
      </c>
      <c r="C2019" t="s">
        <v>63</v>
      </c>
      <c r="D2019">
        <v>55</v>
      </c>
      <c r="E2019" t="s">
        <v>1051</v>
      </c>
      <c r="F2019" t="s">
        <v>5323</v>
      </c>
      <c r="G2019" t="str">
        <f>B80_Assessment!A55</f>
        <v>Question ID</v>
      </c>
      <c r="H2019" t="str">
        <f>B80_Assessment!B55</f>
        <v>Question</v>
      </c>
      <c r="I2019" t="str">
        <f>B80_Assessment!C55</f>
        <v>Assigned To</v>
      </c>
      <c r="J2019" t="str">
        <f>B80_Assessment!D55</f>
        <v>Status</v>
      </c>
      <c r="K2019" t="str">
        <f>B80_Assessment!E55</f>
        <v>Needed By</v>
      </c>
      <c r="L2019" t="str">
        <f>B80_Assessment!F55</f>
        <v>Answer / Resolution</v>
      </c>
      <c r="M2019" t="str">
        <f>B80_Assessment!G55</f>
        <v>Impact if Unanswered</v>
      </c>
      <c r="N2019" t="str">
        <f>B80_Assessment!H55</f>
        <v>Follow-up</v>
      </c>
      <c r="O2019" t="str">
        <f>B80_Assessment!I55</f>
        <v>Date Closed</v>
      </c>
      <c r="P2019" t="str">
        <f>B80_Assessment!J55</f>
        <v>Notes</v>
      </c>
      <c r="Q2019" t="str">
        <f t="shared" si="31"/>
        <v>80|48</v>
      </c>
    </row>
    <row r="2020" spans="1:17" ht="6.45" customHeight="1">
      <c r="A2020" t="s">
        <v>384</v>
      </c>
      <c r="B2020">
        <v>49</v>
      </c>
      <c r="C2020" t="s">
        <v>63</v>
      </c>
      <c r="D2020">
        <v>56</v>
      </c>
      <c r="E2020" t="s">
        <v>1051</v>
      </c>
      <c r="F2020" t="s">
        <v>5324</v>
      </c>
      <c r="G2020" t="str">
        <f>B80_Assessment!A56</f>
        <v>B80-Q1</v>
      </c>
      <c r="H2020" t="str">
        <f>B80_Assessment!B56</f>
        <v>Confirm final telecom scope: new Room 102 with existing 127A/126 transition only?</v>
      </c>
      <c r="I2020" t="str">
        <f>B80_Assessment!C56</f>
        <v>VA / OIT / Designer</v>
      </c>
      <c r="J2020" t="str">
        <f>B80_Assessment!D56</f>
        <v>Closed</v>
      </c>
      <c r="K2020">
        <f>B80_Assessment!E56</f>
        <v>0</v>
      </c>
      <c r="L2020">
        <f>B80_Assessment!F56</f>
        <v>0</v>
      </c>
      <c r="M2020" t="str">
        <f>B80_Assessment!G56</f>
        <v>Room inventory could miss scope</v>
      </c>
      <c r="N2020">
        <f>B80_Assessment!H56</f>
        <v>0</v>
      </c>
      <c r="O2020">
        <f>B80_Assessment!I56</f>
        <v>0</v>
      </c>
      <c r="P2020">
        <f>B80_Assessment!J56</f>
        <v>0</v>
      </c>
      <c r="Q2020" t="str">
        <f t="shared" si="31"/>
        <v>80|49</v>
      </c>
    </row>
    <row r="2021" spans="1:17" ht="6.45" customHeight="1">
      <c r="A2021" t="s">
        <v>384</v>
      </c>
      <c r="B2021">
        <v>50</v>
      </c>
      <c r="C2021" t="s">
        <v>63</v>
      </c>
      <c r="D2021">
        <v>57</v>
      </c>
      <c r="E2021" t="s">
        <v>1051</v>
      </c>
      <c r="F2021" t="s">
        <v>5324</v>
      </c>
      <c r="G2021" t="str">
        <f>B80_Assessment!A57</f>
        <v>B80-Q2</v>
      </c>
      <c r="H2021" t="str">
        <f>B80_Assessment!B57</f>
        <v>What active services are currently fed from existing Room 127A/126 equipment?</v>
      </c>
      <c r="I2021" t="str">
        <f>B80_Assessment!C57</f>
        <v>OIT / Contractor</v>
      </c>
      <c r="J2021" t="str">
        <f>B80_Assessment!D57</f>
        <v>Closed</v>
      </c>
      <c r="K2021">
        <f>B80_Assessment!E57</f>
        <v>0</v>
      </c>
      <c r="L2021">
        <f>B80_Assessment!F57</f>
        <v>0</v>
      </c>
      <c r="M2021" t="str">
        <f>B80_Assessment!G57</f>
        <v>Potential communications/security outage</v>
      </c>
      <c r="N2021">
        <f>B80_Assessment!H57</f>
        <v>0</v>
      </c>
      <c r="O2021">
        <f>B80_Assessment!I57</f>
        <v>0</v>
      </c>
      <c r="P2021">
        <f>B80_Assessment!J57</f>
        <v>0</v>
      </c>
      <c r="Q2021" t="str">
        <f t="shared" si="31"/>
        <v>80|50</v>
      </c>
    </row>
    <row r="2022" spans="1:17" ht="6.45" customHeight="1">
      <c r="A2022" t="s">
        <v>384</v>
      </c>
      <c r="B2022">
        <v>51</v>
      </c>
      <c r="C2022" t="s">
        <v>63</v>
      </c>
      <c r="D2022">
        <v>58</v>
      </c>
      <c r="E2022" t="s">
        <v>1051</v>
      </c>
      <c r="F2022" t="s">
        <v>5324</v>
      </c>
      <c r="G2022" t="str">
        <f>B80_Assessment!A58</f>
        <v>B80-Q3</v>
      </c>
      <c r="H2022" t="str">
        <f>B80_Assessment!B58</f>
        <v>Are Room 127A and Room 126 the same telecom room, or separate locations?</v>
      </c>
      <c r="I2022" t="str">
        <f>B80_Assessment!C58</f>
        <v>VA / Designer / OIT</v>
      </c>
      <c r="J2022" t="str">
        <f>B80_Assessment!D58</f>
        <v>Closed</v>
      </c>
      <c r="K2022">
        <f>B80_Assessment!E58</f>
        <v>0</v>
      </c>
      <c r="L2022">
        <f>B80_Assessment!F58</f>
        <v>0</v>
      </c>
      <c r="M2022" t="str">
        <f>B80_Assessment!G58</f>
        <v>PMIS mapping and turnover risk</v>
      </c>
      <c r="N2022">
        <f>B80_Assessment!H58</f>
        <v>0</v>
      </c>
      <c r="O2022">
        <f>B80_Assessment!I58</f>
        <v>0</v>
      </c>
      <c r="P2022">
        <f>B80_Assessment!J58</f>
        <v>0</v>
      </c>
      <c r="Q2022" t="str">
        <f t="shared" si="31"/>
        <v>80|51</v>
      </c>
    </row>
    <row r="2023" spans="1:17" ht="6.45" customHeight="1">
      <c r="A2023" t="s">
        <v>384</v>
      </c>
      <c r="B2023">
        <v>52</v>
      </c>
      <c r="C2023" t="s">
        <v>63</v>
      </c>
      <c r="D2023">
        <v>59</v>
      </c>
      <c r="E2023" t="s">
        <v>1051</v>
      </c>
      <c r="F2023" t="s">
        <v>5324</v>
      </c>
      <c r="G2023" t="str">
        <f>B80_Assessment!A59</f>
        <v>B80-Q4</v>
      </c>
      <c r="H2023" t="str">
        <f>B80_Assessment!B59</f>
        <v>Is IU-1-01/CU-1-01 on emergency/backup power and dedicated to Room 102?</v>
      </c>
      <c r="I2023" t="str">
        <f>B80_Assessment!C59</f>
        <v>Mechanical / Electrical / VA</v>
      </c>
      <c r="J2023" t="str">
        <f>B80_Assessment!D59</f>
        <v>Closed</v>
      </c>
      <c r="K2023">
        <f>B80_Assessment!E59</f>
        <v>0</v>
      </c>
      <c r="L2023">
        <f>B80_Assessment!F59</f>
        <v>0</v>
      </c>
      <c r="M2023" t="str">
        <f>B80_Assessment!G59</f>
        <v>Cooling continuity unclear</v>
      </c>
      <c r="N2023">
        <f>B80_Assessment!H59</f>
        <v>0</v>
      </c>
      <c r="O2023">
        <f>B80_Assessment!I59</f>
        <v>0</v>
      </c>
      <c r="P2023">
        <f>B80_Assessment!J59</f>
        <v>0</v>
      </c>
      <c r="Q2023" t="str">
        <f t="shared" si="31"/>
        <v>80|52</v>
      </c>
    </row>
    <row r="2024" spans="1:17" ht="6.45" customHeight="1">
      <c r="A2024" t="s">
        <v>384</v>
      </c>
      <c r="B2024">
        <v>53</v>
      </c>
      <c r="C2024" t="s">
        <v>63</v>
      </c>
      <c r="D2024">
        <v>60</v>
      </c>
      <c r="E2024" t="s">
        <v>1051</v>
      </c>
      <c r="F2024" t="s">
        <v>5324</v>
      </c>
      <c r="G2024" t="str">
        <f>B80_Assessment!A60</f>
        <v>B80-Q5</v>
      </c>
      <c r="H2024" t="str">
        <f>B80_Assessment!B60</f>
        <v>Where is the clean-agent/CO2 extinguisher cabinet located within 75 ft of Room 102?</v>
      </c>
      <c r="I2024" t="str">
        <f>B80_Assessment!C60</f>
        <v>GC / COR</v>
      </c>
      <c r="J2024" t="str">
        <f>B80_Assessment!D60</f>
        <v>Closed</v>
      </c>
      <c r="K2024">
        <f>B80_Assessment!E60</f>
        <v>0</v>
      </c>
      <c r="L2024">
        <f>B80_Assessment!F60</f>
        <v>0</v>
      </c>
      <c r="M2024" t="str">
        <f>B80_Assessment!G60</f>
        <v>Life-safety acceptance risk</v>
      </c>
      <c r="N2024">
        <f>B80_Assessment!H60</f>
        <v>0</v>
      </c>
      <c r="O2024">
        <f>B80_Assessment!I60</f>
        <v>0</v>
      </c>
      <c r="P2024">
        <f>B80_Assessment!J60</f>
        <v>0</v>
      </c>
      <c r="Q2024" t="str">
        <f t="shared" si="31"/>
        <v>80|53</v>
      </c>
    </row>
    <row r="2025" spans="1:17" ht="6.45" customHeight="1">
      <c r="A2025" t="s">
        <v>384</v>
      </c>
      <c r="B2025">
        <v>54</v>
      </c>
      <c r="C2025" t="s">
        <v>63</v>
      </c>
      <c r="D2025">
        <v>61</v>
      </c>
      <c r="E2025" t="s">
        <v>1051</v>
      </c>
      <c r="F2025" t="s">
        <v>5324</v>
      </c>
      <c r="G2025" t="str">
        <f>B80_Assessment!A61</f>
        <v>B80-Q6</v>
      </c>
      <c r="H2025" t="str">
        <f>B80_Assessment!B61</f>
        <v>Are B80-TR102A/B sources, rack receptacles, SPDs, circuit labels and load measurements approved?</v>
      </c>
      <c r="I2025" t="str">
        <f>B80_Assessment!C61</f>
        <v>Electrical / Designer</v>
      </c>
      <c r="J2025" t="str">
        <f>B80_Assessment!D61</f>
        <v>Closed</v>
      </c>
      <c r="K2025">
        <f>B80_Assessment!E61</f>
        <v>0</v>
      </c>
      <c r="L2025">
        <f>B80_Assessment!F61</f>
        <v>0</v>
      </c>
      <c r="M2025" t="str">
        <f>B80_Assessment!G61</f>
        <v>Electrical readiness unknown</v>
      </c>
      <c r="N2025">
        <f>B80_Assessment!H61</f>
        <v>0</v>
      </c>
      <c r="O2025">
        <f>B80_Assessment!I61</f>
        <v>0</v>
      </c>
      <c r="P2025">
        <f>B80_Assessment!J61</f>
        <v>0</v>
      </c>
      <c r="Q2025" t="str">
        <f t="shared" si="31"/>
        <v>80|54</v>
      </c>
    </row>
    <row r="2026" spans="1:17" ht="6.45" customHeight="1">
      <c r="A2026" t="s">
        <v>384</v>
      </c>
      <c r="B2026">
        <v>55</v>
      </c>
      <c r="C2026" t="s">
        <v>63</v>
      </c>
      <c r="D2026">
        <v>62</v>
      </c>
      <c r="E2026" t="s">
        <v>1051</v>
      </c>
      <c r="F2026" t="s">
        <v>5324</v>
      </c>
      <c r="G2026" t="str">
        <f>B80_Assessment!A62</f>
        <v>B80-Q7</v>
      </c>
      <c r="H2026" t="str">
        <f>B80_Assessment!B62</f>
        <v>Are all rated wall/floor penetrations, sleeves, cable tray entries and firestopping details identified?</v>
      </c>
      <c r="I2026" t="str">
        <f>B80_Assessment!C62</f>
        <v>GC / Firestop</v>
      </c>
      <c r="J2026" t="str">
        <f>B80_Assessment!D62</f>
        <v>Closed</v>
      </c>
      <c r="K2026">
        <f>B80_Assessment!E62</f>
        <v>0</v>
      </c>
      <c r="L2026">
        <f>B80_Assessment!F62</f>
        <v>0</v>
      </c>
      <c r="M2026" t="str">
        <f>B80_Assessment!G62</f>
        <v>Fire/smoke spread risk</v>
      </c>
      <c r="N2026">
        <f>B80_Assessment!H62</f>
        <v>0</v>
      </c>
      <c r="O2026">
        <f>B80_Assessment!I62</f>
        <v>0</v>
      </c>
      <c r="P2026">
        <f>B80_Assessment!J62</f>
        <v>0</v>
      </c>
      <c r="Q2026" t="str">
        <f t="shared" si="31"/>
        <v>80|55</v>
      </c>
    </row>
    <row r="2027" spans="1:17" ht="6.45" customHeight="1">
      <c r="A2027" t="s">
        <v>384</v>
      </c>
      <c r="B2027">
        <v>56</v>
      </c>
      <c r="C2027" t="s">
        <v>63</v>
      </c>
      <c r="D2027">
        <v>63</v>
      </c>
      <c r="E2027" t="s">
        <v>1051</v>
      </c>
      <c r="F2027" t="s">
        <v>5324</v>
      </c>
      <c r="G2027" t="str">
        <f>B80_Assessment!A63</f>
        <v>B80-Q8</v>
      </c>
      <c r="H2027" t="str">
        <f>B80_Assessment!B63</f>
        <v>Which third-party inspections and commissioning forms are required before VA/OIT acceptance?</v>
      </c>
      <c r="I2027" t="str">
        <f>B80_Assessment!C63</f>
        <v>GC / Cx Manager / OIT</v>
      </c>
      <c r="J2027" t="str">
        <f>B80_Assessment!D63</f>
        <v>Closed</v>
      </c>
      <c r="K2027">
        <f>B80_Assessment!E63</f>
        <v>0</v>
      </c>
      <c r="L2027">
        <f>B80_Assessment!F63</f>
        <v>0</v>
      </c>
      <c r="M2027" t="str">
        <f>B80_Assessment!G63</f>
        <v>Turnover package gap</v>
      </c>
      <c r="N2027">
        <f>B80_Assessment!H63</f>
        <v>0</v>
      </c>
      <c r="O2027">
        <f>B80_Assessment!I63</f>
        <v>0</v>
      </c>
      <c r="P2027">
        <f>B80_Assessment!J63</f>
        <v>0</v>
      </c>
      <c r="Q2027" t="str">
        <f t="shared" si="31"/>
        <v>80|56</v>
      </c>
    </row>
    <row r="2028" spans="1:17" ht="6.45" customHeight="1">
      <c r="A2028" t="s">
        <v>384</v>
      </c>
      <c r="B2028">
        <v>57</v>
      </c>
      <c r="C2028" t="s">
        <v>63</v>
      </c>
      <c r="D2028">
        <v>64</v>
      </c>
      <c r="E2028" t="s">
        <v>1051</v>
      </c>
      <c r="F2028" t="s">
        <v>5325</v>
      </c>
      <c r="G2028">
        <f>B80_Assessment!A64</f>
        <v>0</v>
      </c>
      <c r="H2028">
        <f>B80_Assessment!B64</f>
        <v>0</v>
      </c>
      <c r="I2028">
        <f>B80_Assessment!C64</f>
        <v>0</v>
      </c>
      <c r="J2028">
        <f>B80_Assessment!D64</f>
        <v>0</v>
      </c>
      <c r="K2028">
        <f>B80_Assessment!E64</f>
        <v>0</v>
      </c>
      <c r="L2028">
        <f>B80_Assessment!F64</f>
        <v>0</v>
      </c>
      <c r="M2028">
        <f>B80_Assessment!G64</f>
        <v>0</v>
      </c>
      <c r="N2028">
        <f>B80_Assessment!H64</f>
        <v>0</v>
      </c>
      <c r="O2028">
        <f>B80_Assessment!I64</f>
        <v>0</v>
      </c>
      <c r="P2028">
        <f>B80_Assessment!J64</f>
        <v>0</v>
      </c>
      <c r="Q2028" t="str">
        <f t="shared" si="31"/>
        <v>80|57</v>
      </c>
    </row>
    <row r="2029" spans="1:17" ht="6.45" customHeight="1">
      <c r="A2029" t="s">
        <v>384</v>
      </c>
      <c r="B2029">
        <v>58</v>
      </c>
      <c r="C2029" t="s">
        <v>63</v>
      </c>
      <c r="D2029">
        <v>65</v>
      </c>
      <c r="E2029" t="s">
        <v>1052</v>
      </c>
      <c r="F2029" t="s">
        <v>5322</v>
      </c>
      <c r="G2029" t="str">
        <f>B80_Assessment!A65</f>
        <v>10. PHOTO LOG</v>
      </c>
      <c r="H2029">
        <f>B80_Assessment!B65</f>
        <v>0</v>
      </c>
      <c r="I2029">
        <f>B80_Assessment!C65</f>
        <v>0</v>
      </c>
      <c r="J2029">
        <f>B80_Assessment!D65</f>
        <v>0</v>
      </c>
      <c r="K2029">
        <f>B80_Assessment!E65</f>
        <v>0</v>
      </c>
      <c r="L2029">
        <f>B80_Assessment!F65</f>
        <v>0</v>
      </c>
      <c r="M2029">
        <f>B80_Assessment!G65</f>
        <v>0</v>
      </c>
      <c r="N2029">
        <f>B80_Assessment!H65</f>
        <v>0</v>
      </c>
      <c r="O2029">
        <f>B80_Assessment!I65</f>
        <v>0</v>
      </c>
      <c r="P2029">
        <f>B80_Assessment!J65</f>
        <v>0</v>
      </c>
      <c r="Q2029" t="str">
        <f t="shared" si="31"/>
        <v>80|58</v>
      </c>
    </row>
    <row r="2030" spans="1:17" ht="6.45" customHeight="1">
      <c r="A2030" t="s">
        <v>384</v>
      </c>
      <c r="B2030">
        <v>59</v>
      </c>
      <c r="C2030" t="s">
        <v>63</v>
      </c>
      <c r="D2030">
        <v>66</v>
      </c>
      <c r="E2030" t="s">
        <v>1052</v>
      </c>
      <c r="F2030" t="s">
        <v>5323</v>
      </c>
      <c r="G2030" t="str">
        <f>B80_Assessment!A66</f>
        <v>Photo ID</v>
      </c>
      <c r="H2030" t="str">
        <f>B80_Assessment!B66</f>
        <v>Room</v>
      </c>
      <c r="I2030" t="str">
        <f>B80_Assessment!C66</f>
        <v>Category</v>
      </c>
      <c r="J2030" t="str">
        <f>B80_Assessment!D66</f>
        <v>Description</v>
      </c>
      <c r="K2030" t="str">
        <f>B80_Assessment!E66</f>
        <v>Date</v>
      </c>
      <c r="L2030" t="str">
        <f>B80_Assessment!F66</f>
        <v>Taken By</v>
      </c>
      <c r="M2030" t="str">
        <f>B80_Assessment!G66</f>
        <v>File / Link</v>
      </c>
      <c r="N2030" t="str">
        <f>B80_Assessment!H66</f>
        <v>Related Risk</v>
      </c>
      <c r="O2030" t="str">
        <f>B80_Assessment!I66</f>
        <v>Status</v>
      </c>
      <c r="P2030" t="str">
        <f>B80_Assessment!J66</f>
        <v>Notes</v>
      </c>
      <c r="Q2030" t="str">
        <f t="shared" si="31"/>
        <v>80|59</v>
      </c>
    </row>
    <row r="2031" spans="1:17" ht="6.45" customHeight="1">
      <c r="A2031" t="s">
        <v>384</v>
      </c>
      <c r="B2031">
        <v>60</v>
      </c>
      <c r="C2031" t="s">
        <v>63</v>
      </c>
      <c r="D2031">
        <v>67</v>
      </c>
      <c r="E2031" t="s">
        <v>1052</v>
      </c>
      <c r="F2031" t="s">
        <v>5324</v>
      </c>
      <c r="G2031" t="str">
        <f>B80_Assessment!A67</f>
        <v>B80-P001</v>
      </c>
      <c r="H2031" t="str">
        <f>B80_Assessment!B67</f>
        <v>102</v>
      </c>
      <c r="I2031" t="str">
        <f>B80_Assessment!C67</f>
        <v>Existing Condition</v>
      </c>
      <c r="J2031" t="str">
        <f>B80_Assessment!D67</f>
        <v>Room 102 walls, ceiling/deck, floor, door, rack/future rack, power, HVAC, fiber path A/B, cable tray and penetrations</v>
      </c>
      <c r="K2031">
        <f>B80_Assessment!E67</f>
        <v>0</v>
      </c>
      <c r="L2031" t="str">
        <f>B80_Assessment!F67</f>
        <v>Paul</v>
      </c>
      <c r="M2031">
        <f>B80_Assessment!G67</f>
        <v>0</v>
      </c>
      <c r="N2031" t="str">
        <f>B80_Assessment!H67</f>
        <v>B80-R1/B80-R4</v>
      </c>
      <c r="O2031" t="str">
        <f>B80_Assessment!I67</f>
        <v>Closed</v>
      </c>
      <c r="P2031">
        <f>B80_Assessment!J67</f>
        <v>0</v>
      </c>
      <c r="Q2031" t="str">
        <f t="shared" si="31"/>
        <v>80|60</v>
      </c>
    </row>
    <row r="2032" spans="1:17" ht="6.45" customHeight="1">
      <c r="A2032" t="s">
        <v>384</v>
      </c>
      <c r="B2032">
        <v>61</v>
      </c>
      <c r="C2032" t="s">
        <v>63</v>
      </c>
      <c r="D2032">
        <v>68</v>
      </c>
      <c r="E2032" t="s">
        <v>1052</v>
      </c>
      <c r="F2032" t="s">
        <v>5324</v>
      </c>
      <c r="G2032" t="str">
        <f>B80_Assessment!A68</f>
        <v>B80-P002</v>
      </c>
      <c r="H2032" t="str">
        <f>B80_Assessment!B68</f>
        <v>127A / 126</v>
      </c>
      <c r="I2032" t="str">
        <f>B80_Assessment!C68</f>
        <v>Existing Condition</v>
      </c>
      <c r="J2032" t="str">
        <f>B80_Assessment!D68</f>
        <v>Existing Tel Closet/telecom room with plywood backboard, ground bar, patch panel, equipment box, two-post rack/wall TE and cable entries</v>
      </c>
      <c r="K2032">
        <f>B80_Assessment!E68</f>
        <v>0</v>
      </c>
      <c r="L2032" t="str">
        <f>B80_Assessment!F68</f>
        <v>Paul</v>
      </c>
      <c r="M2032">
        <f>B80_Assessment!G68</f>
        <v>0</v>
      </c>
      <c r="N2032" t="str">
        <f>B80_Assessment!H68</f>
        <v>B80-R1/B80-R2</v>
      </c>
      <c r="O2032" t="str">
        <f>B80_Assessment!I68</f>
        <v>Closed</v>
      </c>
      <c r="P2032">
        <f>B80_Assessment!J68</f>
        <v>0</v>
      </c>
      <c r="Q2032" t="str">
        <f t="shared" si="31"/>
        <v>80|61</v>
      </c>
    </row>
    <row r="2033" spans="1:17" ht="6.45" customHeight="1">
      <c r="A2033" t="s">
        <v>384</v>
      </c>
      <c r="B2033">
        <v>62</v>
      </c>
      <c r="C2033" t="s">
        <v>63</v>
      </c>
      <c r="D2033">
        <v>69</v>
      </c>
      <c r="E2033" t="s">
        <v>1052</v>
      </c>
      <c r="F2033" t="s">
        <v>5324</v>
      </c>
      <c r="G2033" t="str">
        <f>B80_Assessment!A69</f>
        <v>B80-P003</v>
      </c>
      <c r="H2033" t="str">
        <f>B80_Assessment!B69</f>
        <v>127A / 126</v>
      </c>
      <c r="I2033" t="str">
        <f>B80_Assessment!C69</f>
        <v>Existing Equipment</v>
      </c>
      <c r="J2033" t="str">
        <f>B80_Assessment!D69</f>
        <v>Cisco switches, legacy Fiber LIU, Ortronics patch panels, Cat5e patch panel, APC floor UPS and active service labels</v>
      </c>
      <c r="K2033">
        <f>B80_Assessment!E69</f>
        <v>0</v>
      </c>
      <c r="L2033" t="str">
        <f>B80_Assessment!F69</f>
        <v>Paul</v>
      </c>
      <c r="M2033">
        <f>B80_Assessment!G69</f>
        <v>0</v>
      </c>
      <c r="N2033" t="str">
        <f>B80_Assessment!H69</f>
        <v>B80-R2/B80-R3</v>
      </c>
      <c r="O2033" t="str">
        <f>B80_Assessment!I69</f>
        <v>Closed</v>
      </c>
      <c r="P2033">
        <f>B80_Assessment!J69</f>
        <v>0</v>
      </c>
      <c r="Q2033" t="str">
        <f t="shared" si="31"/>
        <v>80|62</v>
      </c>
    </row>
    <row r="2034" spans="1:17" ht="6.45" customHeight="1">
      <c r="A2034" t="s">
        <v>384</v>
      </c>
      <c r="B2034">
        <v>63</v>
      </c>
      <c r="C2034" t="s">
        <v>63</v>
      </c>
      <c r="D2034">
        <v>70</v>
      </c>
      <c r="E2034" t="s">
        <v>1052</v>
      </c>
      <c r="F2034" t="s">
        <v>5324</v>
      </c>
      <c r="G2034" t="str">
        <f>B80_Assessment!A70</f>
        <v>B80-P004</v>
      </c>
      <c r="H2034" t="str">
        <f>B80_Assessment!B70</f>
        <v>102</v>
      </c>
      <c r="I2034" t="str">
        <f>B80_Assessment!C70</f>
        <v>HVAC</v>
      </c>
      <c r="J2034" t="str">
        <f>B80_Assessment!D70</f>
        <v>IU-1-01/CU-1-01, condensate, thermostat, BACnet adapter, disconnects, high-temp alarm and power source</v>
      </c>
      <c r="K2034">
        <f>B80_Assessment!E70</f>
        <v>0</v>
      </c>
      <c r="L2034" t="str">
        <f>B80_Assessment!F70</f>
        <v>Paul</v>
      </c>
      <c r="M2034">
        <f>B80_Assessment!G70</f>
        <v>0</v>
      </c>
      <c r="N2034" t="str">
        <f>B80_Assessment!H70</f>
        <v>B80-R4</v>
      </c>
      <c r="O2034" t="str">
        <f>B80_Assessment!I70</f>
        <v>Closed</v>
      </c>
      <c r="P2034">
        <f>B80_Assessment!J70</f>
        <v>0</v>
      </c>
      <c r="Q2034" t="str">
        <f t="shared" si="31"/>
        <v>80|63</v>
      </c>
    </row>
    <row r="2035" spans="1:17" ht="6.45" customHeight="1">
      <c r="A2035" t="s">
        <v>384</v>
      </c>
      <c r="B2035">
        <v>64</v>
      </c>
      <c r="C2035" t="s">
        <v>63</v>
      </c>
      <c r="D2035">
        <v>71</v>
      </c>
      <c r="E2035" t="s">
        <v>1052</v>
      </c>
      <c r="F2035" t="s">
        <v>5324</v>
      </c>
      <c r="G2035" t="str">
        <f>B80_Assessment!A71</f>
        <v>B80-P005</v>
      </c>
      <c r="H2035" t="str">
        <f>B80_Assessment!B71</f>
        <v>102</v>
      </c>
      <c r="I2035" t="str">
        <f>B80_Assessment!C71</f>
        <v>Electrical</v>
      </c>
      <c r="J2035" t="str">
        <f>B80_Assessment!D71</f>
        <v>B80-TR102A/B panels, rack receptacles, breakers, SPD, access controller, lighting, CU-1-01 and labels</v>
      </c>
      <c r="K2035">
        <f>B80_Assessment!E71</f>
        <v>0</v>
      </c>
      <c r="L2035" t="str">
        <f>B80_Assessment!F71</f>
        <v>Paul</v>
      </c>
      <c r="M2035">
        <f>B80_Assessment!G71</f>
        <v>0</v>
      </c>
      <c r="N2035" t="str">
        <f>B80_Assessment!H71</f>
        <v>B80-R5</v>
      </c>
      <c r="O2035" t="str">
        <f>B80_Assessment!I71</f>
        <v>Closed</v>
      </c>
      <c r="P2035">
        <f>B80_Assessment!J71</f>
        <v>0</v>
      </c>
      <c r="Q2035" t="str">
        <f t="shared" si="31"/>
        <v>80|64</v>
      </c>
    </row>
    <row r="2036" spans="1:17" ht="6.45" customHeight="1">
      <c r="A2036" t="s">
        <v>384</v>
      </c>
      <c r="B2036">
        <v>65</v>
      </c>
      <c r="C2036" t="s">
        <v>63</v>
      </c>
      <c r="D2036">
        <v>72</v>
      </c>
      <c r="E2036" t="s">
        <v>1052</v>
      </c>
      <c r="F2036" t="s">
        <v>5324</v>
      </c>
      <c r="G2036" t="str">
        <f>B80_Assessment!A72</f>
        <v>B80-P006</v>
      </c>
      <c r="H2036" t="str">
        <f>B80_Assessment!B72</f>
        <v>All</v>
      </c>
      <c r="I2036" t="str">
        <f>B80_Assessment!C72</f>
        <v>Cable Tray / Firestop</v>
      </c>
      <c r="J2036" t="str">
        <f>B80_Assessment!D72</f>
        <v>Basement and first-level cable tray route, supports, seismic bracing, 40% fill, penetrations and before/after firestopping</v>
      </c>
      <c r="K2036">
        <f>B80_Assessment!E72</f>
        <v>0</v>
      </c>
      <c r="L2036" t="str">
        <f>B80_Assessment!F72</f>
        <v>Paul</v>
      </c>
      <c r="M2036">
        <f>B80_Assessment!G72</f>
        <v>0</v>
      </c>
      <c r="N2036" t="str">
        <f>B80_Assessment!H72</f>
        <v>B80-R6</v>
      </c>
      <c r="O2036" t="str">
        <f>B80_Assessment!I72</f>
        <v>Closed</v>
      </c>
      <c r="P2036">
        <f>B80_Assessment!J72</f>
        <v>0</v>
      </c>
      <c r="Q2036" t="str">
        <f t="shared" si="31"/>
        <v>80|65</v>
      </c>
    </row>
    <row r="2037" spans="1:17" ht="6.45" customHeight="1">
      <c r="A2037" t="s">
        <v>384</v>
      </c>
      <c r="B2037">
        <v>66</v>
      </c>
      <c r="C2037" t="s">
        <v>63</v>
      </c>
      <c r="D2037">
        <v>73</v>
      </c>
      <c r="E2037" t="s">
        <v>1052</v>
      </c>
      <c r="F2037" t="s">
        <v>5324</v>
      </c>
      <c r="G2037" t="str">
        <f>B80_Assessment!A73</f>
        <v>B80-P007</v>
      </c>
      <c r="H2037" t="str">
        <f>B80_Assessment!B73</f>
        <v>102 / 127A</v>
      </c>
      <c r="I2037" t="str">
        <f>B80_Assessment!C73</f>
        <v>Telecom</v>
      </c>
      <c r="J2037" t="str">
        <f>B80_Assessment!D73</f>
        <v>New rack/future rack, Fiber LIU, Cat6A, patch panels, labels/test records and existing rack transfer work</v>
      </c>
      <c r="K2037">
        <f>B80_Assessment!E73</f>
        <v>0</v>
      </c>
      <c r="L2037" t="str">
        <f>B80_Assessment!F73</f>
        <v>Paul</v>
      </c>
      <c r="M2037">
        <f>B80_Assessment!G73</f>
        <v>0</v>
      </c>
      <c r="N2037" t="str">
        <f>B80_Assessment!H73</f>
        <v>B80-R7</v>
      </c>
      <c r="O2037" t="str">
        <f>B80_Assessment!I73</f>
        <v>Closed</v>
      </c>
      <c r="P2037">
        <f>B80_Assessment!J73</f>
        <v>0</v>
      </c>
      <c r="Q2037" t="str">
        <f t="shared" si="31"/>
        <v>80|66</v>
      </c>
    </row>
    <row r="2038" spans="1:17" ht="6.45" customHeight="1">
      <c r="A2038" t="s">
        <v>384</v>
      </c>
      <c r="B2038">
        <v>67</v>
      </c>
      <c r="C2038" t="s">
        <v>63</v>
      </c>
      <c r="D2038">
        <v>74</v>
      </c>
      <c r="E2038" t="s">
        <v>1052</v>
      </c>
      <c r="F2038" t="s">
        <v>5324</v>
      </c>
      <c r="G2038" t="str">
        <f>B80_Assessment!A74</f>
        <v>B80-P008</v>
      </c>
      <c r="H2038" t="str">
        <f>B80_Assessment!B74</f>
        <v>102</v>
      </c>
      <c r="I2038" t="str">
        <f>B80_Assessment!C74</f>
        <v>Security</v>
      </c>
      <c r="J2038" t="str">
        <f>B80_Assessment!D74</f>
        <v>102-CAM-1, card reader, electric strike, door position, motion sensor, existing security devices and VMS/PACS integration</v>
      </c>
      <c r="K2038">
        <f>B80_Assessment!E74</f>
        <v>0</v>
      </c>
      <c r="L2038" t="str">
        <f>B80_Assessment!F74</f>
        <v>Paul</v>
      </c>
      <c r="M2038">
        <f>B80_Assessment!G74</f>
        <v>0</v>
      </c>
      <c r="N2038" t="str">
        <f>B80_Assessment!H74</f>
        <v>B80-R8</v>
      </c>
      <c r="O2038" t="str">
        <f>B80_Assessment!I74</f>
        <v>Closed</v>
      </c>
      <c r="P2038">
        <f>B80_Assessment!J74</f>
        <v>0</v>
      </c>
      <c r="Q2038" t="str">
        <f t="shared" si="31"/>
        <v>80|67</v>
      </c>
    </row>
    <row r="2039" spans="1:17" ht="6.45" customHeight="1">
      <c r="A2039" t="s">
        <v>384</v>
      </c>
      <c r="B2039">
        <v>68</v>
      </c>
      <c r="C2039" t="s">
        <v>63</v>
      </c>
      <c r="D2039">
        <v>75</v>
      </c>
      <c r="E2039" t="s">
        <v>1052</v>
      </c>
      <c r="F2039" t="s">
        <v>5325</v>
      </c>
      <c r="G2039">
        <f>B80_Assessment!A75</f>
        <v>0</v>
      </c>
      <c r="H2039">
        <f>B80_Assessment!B75</f>
        <v>0</v>
      </c>
      <c r="I2039">
        <f>B80_Assessment!C75</f>
        <v>0</v>
      </c>
      <c r="J2039">
        <f>B80_Assessment!D75</f>
        <v>0</v>
      </c>
      <c r="K2039">
        <f>B80_Assessment!E75</f>
        <v>0</v>
      </c>
      <c r="L2039">
        <f>B80_Assessment!F75</f>
        <v>0</v>
      </c>
      <c r="M2039">
        <f>B80_Assessment!G75</f>
        <v>0</v>
      </c>
      <c r="N2039">
        <f>B80_Assessment!H75</f>
        <v>0</v>
      </c>
      <c r="O2039">
        <f>B80_Assessment!I75</f>
        <v>0</v>
      </c>
      <c r="P2039">
        <f>B80_Assessment!J75</f>
        <v>0</v>
      </c>
      <c r="Q2039" t="str">
        <f t="shared" si="31"/>
        <v>80|68</v>
      </c>
    </row>
    <row r="2040" spans="1:17" ht="6.45" customHeight="1">
      <c r="A2040" t="s">
        <v>388</v>
      </c>
      <c r="B2040">
        <v>1</v>
      </c>
      <c r="C2040" t="s">
        <v>65</v>
      </c>
      <c r="D2040">
        <v>8</v>
      </c>
      <c r="E2040" t="s">
        <v>918</v>
      </c>
      <c r="F2040" t="s">
        <v>5322</v>
      </c>
      <c r="G2040" t="str">
        <f>B82_Assessment!A8</f>
        <v>1. ROOM INVENTORY</v>
      </c>
      <c r="H2040">
        <f>B82_Assessment!B8</f>
        <v>0</v>
      </c>
      <c r="I2040">
        <f>B82_Assessment!C8</f>
        <v>0</v>
      </c>
      <c r="J2040">
        <f>B82_Assessment!D8</f>
        <v>0</v>
      </c>
      <c r="K2040">
        <f>B82_Assessment!E8</f>
        <v>0</v>
      </c>
      <c r="L2040">
        <f>B82_Assessment!F8</f>
        <v>0</v>
      </c>
      <c r="M2040">
        <f>B82_Assessment!G8</f>
        <v>0</v>
      </c>
      <c r="N2040">
        <f>B82_Assessment!H8</f>
        <v>0</v>
      </c>
      <c r="O2040">
        <f>B82_Assessment!I8</f>
        <v>0</v>
      </c>
      <c r="P2040">
        <f>B82_Assessment!J8</f>
        <v>0</v>
      </c>
      <c r="Q2040" t="str">
        <f t="shared" si="31"/>
        <v>82|1</v>
      </c>
    </row>
    <row r="2041" spans="1:17" ht="6.45" customHeight="1">
      <c r="A2041" t="s">
        <v>388</v>
      </c>
      <c r="B2041">
        <v>2</v>
      </c>
      <c r="C2041" t="s">
        <v>65</v>
      </c>
      <c r="D2041">
        <v>9</v>
      </c>
      <c r="E2041" t="s">
        <v>918</v>
      </c>
      <c r="F2041" t="s">
        <v>5323</v>
      </c>
      <c r="G2041" t="str">
        <f>B82_Assessment!A9</f>
        <v>Building</v>
      </c>
      <c r="H2041" t="str">
        <f>B82_Assessment!B9</f>
        <v>Room</v>
      </c>
      <c r="I2041" t="str">
        <f>B82_Assessment!C9</f>
        <v>Floor</v>
      </c>
      <c r="J2041" t="str">
        <f>B82_Assessment!D9</f>
        <v>Existing Use</v>
      </c>
      <c r="K2041" t="str">
        <f>B82_Assessment!E9</f>
        <v>New Use</v>
      </c>
      <c r="L2041" t="str">
        <f>B82_Assessment!F9</f>
        <v>Rack Count</v>
      </c>
      <c r="M2041" t="str">
        <f>B82_Assessment!G9</f>
        <v>Future Rack</v>
      </c>
      <c r="N2041" t="str">
        <f>B82_Assessment!H9</f>
        <v>Status</v>
      </c>
      <c r="O2041" t="str">
        <f>B82_Assessment!I9</f>
        <v>Drawing Ref</v>
      </c>
      <c r="P2041" t="str">
        <f>B82_Assessment!J9</f>
        <v>Notes</v>
      </c>
      <c r="Q2041" t="str">
        <f t="shared" si="31"/>
        <v>82|2</v>
      </c>
    </row>
    <row r="2042" spans="1:17" ht="6.45" customHeight="1">
      <c r="A2042" t="s">
        <v>388</v>
      </c>
      <c r="B2042">
        <v>3</v>
      </c>
      <c r="C2042" t="s">
        <v>65</v>
      </c>
      <c r="D2042">
        <v>10</v>
      </c>
      <c r="E2042" t="s">
        <v>918</v>
      </c>
      <c r="F2042" t="s">
        <v>5324</v>
      </c>
      <c r="G2042" t="str">
        <f>B82_Assessment!A10</f>
        <v>82</v>
      </c>
      <c r="H2042" t="str">
        <f>B82_Assessment!B10</f>
        <v>102</v>
      </c>
      <c r="I2042" t="str">
        <f>B82_Assessment!C10</f>
        <v>First</v>
      </c>
      <c r="J2042" t="str">
        <f>B82_Assessment!D10</f>
        <v>Telecom Room / new TE location</v>
      </c>
      <c r="K2042" t="str">
        <f>B82_Assessment!E10</f>
        <v>Telecom Enclosure</v>
      </c>
      <c r="L2042">
        <f>B82_Assessment!F10</f>
        <v>1</v>
      </c>
      <c r="M2042">
        <f>B82_Assessment!G10</f>
        <v>0</v>
      </c>
      <c r="N2042" t="str">
        <f>B82_Assessment!H10</f>
        <v>Verify</v>
      </c>
      <c r="O2042" t="str">
        <f>B82_Assessment!I10</f>
        <v>82A-401 / 82M-101 / 82E-101 / 82T-101 / 82T-604 / 82T-701</v>
      </c>
      <c r="P2042" t="str">
        <f>B82_Assessment!J10</f>
        <v>Primary Building 82 TE. Plans identify Telecom Room 102 at 86 SF with new 12RU telecom enclosure, Rack ID TR01-102-01, APC UPS, two PDUs, network switch, 48-port Cat6A patch panel, Fiber LIU, IU-1-01/CU-1-01 cooling, and 40 total ports with 10% allowance.</v>
      </c>
      <c r="Q2042" t="str">
        <f t="shared" si="31"/>
        <v>82|3</v>
      </c>
    </row>
    <row r="2043" spans="1:17" ht="6.45" customHeight="1">
      <c r="A2043" t="s">
        <v>388</v>
      </c>
      <c r="B2043">
        <v>4</v>
      </c>
      <c r="C2043" t="s">
        <v>65</v>
      </c>
      <c r="D2043">
        <v>11</v>
      </c>
      <c r="E2043" t="s">
        <v>918</v>
      </c>
      <c r="F2043" t="s">
        <v>5324</v>
      </c>
      <c r="G2043" t="str">
        <f>B82_Assessment!A11</f>
        <v>82</v>
      </c>
      <c r="H2043" t="str">
        <f>B82_Assessment!B11</f>
        <v>B01-A</v>
      </c>
      <c r="I2043" t="str">
        <f>B82_Assessment!C11</f>
        <v>First</v>
      </c>
      <c r="J2043" t="str">
        <f>B82_Assessment!D11</f>
        <v>Existing telecom room / wall rack and patch panels</v>
      </c>
      <c r="K2043" t="str">
        <f>B82_Assessment!E11</f>
        <v>Existing telecom transition point</v>
      </c>
      <c r="L2043">
        <f>B82_Assessment!F11</f>
        <v>1</v>
      </c>
      <c r="M2043">
        <f>B82_Assessment!G11</f>
        <v>0</v>
      </c>
      <c r="N2043" t="str">
        <f>B82_Assessment!H11</f>
        <v>Verify</v>
      </c>
      <c r="O2043" t="str">
        <f>B82_Assessment!I11</f>
        <v>82T-101 / 82T-604 / 82R-900</v>
      </c>
      <c r="P2043" t="str">
        <f>B82_Assessment!J11</f>
        <v>Existing first-level telecom room B01-A shown with existing wall rack, Cisco switches, cable management, Ortronics 24-port patch panels, APC floor UPS, and photo reference. Protect active services and verify transfer to Room 102 TE.</v>
      </c>
      <c r="Q2043" t="str">
        <f t="shared" si="31"/>
        <v>82|4</v>
      </c>
    </row>
    <row r="2044" spans="1:17" ht="6.45" customHeight="1">
      <c r="A2044" t="s">
        <v>388</v>
      </c>
      <c r="B2044">
        <v>5</v>
      </c>
      <c r="C2044" t="s">
        <v>65</v>
      </c>
      <c r="D2044">
        <v>12</v>
      </c>
      <c r="E2044" t="s">
        <v>918</v>
      </c>
      <c r="F2044" t="s">
        <v>5325</v>
      </c>
      <c r="G2044">
        <f>B82_Assessment!A12</f>
        <v>0</v>
      </c>
      <c r="H2044">
        <f>B82_Assessment!B12</f>
        <v>0</v>
      </c>
      <c r="I2044">
        <f>B82_Assessment!C12</f>
        <v>0</v>
      </c>
      <c r="J2044">
        <f>B82_Assessment!D12</f>
        <v>0</v>
      </c>
      <c r="K2044">
        <f>B82_Assessment!E12</f>
        <v>0</v>
      </c>
      <c r="L2044">
        <f>B82_Assessment!F12</f>
        <v>0</v>
      </c>
      <c r="M2044">
        <f>B82_Assessment!G12</f>
        <v>0</v>
      </c>
      <c r="N2044">
        <f>B82_Assessment!H12</f>
        <v>0</v>
      </c>
      <c r="O2044">
        <f>B82_Assessment!I12</f>
        <v>0</v>
      </c>
      <c r="P2044">
        <f>B82_Assessment!J12</f>
        <v>0</v>
      </c>
      <c r="Q2044" t="str">
        <f t="shared" si="31"/>
        <v>82|5</v>
      </c>
    </row>
    <row r="2045" spans="1:17" ht="6.45" customHeight="1">
      <c r="A2045" t="s">
        <v>388</v>
      </c>
      <c r="B2045">
        <v>6</v>
      </c>
      <c r="C2045" t="s">
        <v>65</v>
      </c>
      <c r="D2045">
        <v>13</v>
      </c>
      <c r="E2045" t="s">
        <v>936</v>
      </c>
      <c r="F2045" t="s">
        <v>5322</v>
      </c>
      <c r="G2045" t="str">
        <f>B82_Assessment!A13</f>
        <v>2. ROOM READINESS</v>
      </c>
      <c r="H2045">
        <f>B82_Assessment!B13</f>
        <v>0</v>
      </c>
      <c r="I2045">
        <f>B82_Assessment!C13</f>
        <v>0</v>
      </c>
      <c r="J2045">
        <f>B82_Assessment!D13</f>
        <v>0</v>
      </c>
      <c r="K2045">
        <f>B82_Assessment!E13</f>
        <v>0</v>
      </c>
      <c r="L2045">
        <f>B82_Assessment!F13</f>
        <v>0</v>
      </c>
      <c r="M2045">
        <f>B82_Assessment!G13</f>
        <v>0</v>
      </c>
      <c r="N2045">
        <f>B82_Assessment!H13</f>
        <v>0</v>
      </c>
      <c r="O2045">
        <f>B82_Assessment!I13</f>
        <v>0</v>
      </c>
      <c r="P2045">
        <f>B82_Assessment!J13</f>
        <v>0</v>
      </c>
      <c r="Q2045" t="str">
        <f t="shared" si="31"/>
        <v>82|6</v>
      </c>
    </row>
    <row r="2046" spans="1:17" ht="6.45" customHeight="1">
      <c r="A2046" t="s">
        <v>388</v>
      </c>
      <c r="B2046">
        <v>7</v>
      </c>
      <c r="C2046" t="s">
        <v>65</v>
      </c>
      <c r="D2046">
        <v>14</v>
      </c>
      <c r="E2046" t="s">
        <v>936</v>
      </c>
      <c r="F2046" t="s">
        <v>5323</v>
      </c>
      <c r="G2046" t="str">
        <f>B82_Assessment!A14</f>
        <v>Room</v>
      </c>
      <c r="H2046" t="str">
        <f>B82_Assessment!B14</f>
        <v>Walls / 1-hr Rating</v>
      </c>
      <c r="I2046" t="str">
        <f>B82_Assessment!C14</f>
        <v>Ceiling</v>
      </c>
      <c r="J2046" t="str">
        <f>B82_Assessment!D14</f>
        <v>Floor / SDC</v>
      </c>
      <c r="K2046" t="str">
        <f>B82_Assessment!E14</f>
        <v>Penetrations</v>
      </c>
      <c r="L2046" t="str">
        <f>B82_Assessment!F14</f>
        <v>Access Control</v>
      </c>
      <c r="M2046" t="str">
        <f>B82_Assessment!G14</f>
        <v>Clearances</v>
      </c>
      <c r="N2046" t="str">
        <f>B82_Assessment!H14</f>
        <v>Housekeeping</v>
      </c>
      <c r="O2046" t="str">
        <f>B82_Assessment!I14</f>
        <v>Overall</v>
      </c>
      <c r="P2046" t="str">
        <f>B82_Assessment!J14</f>
        <v>Comments</v>
      </c>
      <c r="Q2046" t="str">
        <f t="shared" si="31"/>
        <v>82|7</v>
      </c>
    </row>
    <row r="2047" spans="1:17" ht="6.45" customHeight="1">
      <c r="A2047" t="s">
        <v>388</v>
      </c>
      <c r="B2047">
        <v>8</v>
      </c>
      <c r="C2047" t="s">
        <v>65</v>
      </c>
      <c r="D2047">
        <v>15</v>
      </c>
      <c r="E2047" t="s">
        <v>936</v>
      </c>
      <c r="F2047" t="s">
        <v>5324</v>
      </c>
      <c r="G2047" t="str">
        <f>B82_Assessment!A15</f>
        <v>102</v>
      </c>
      <c r="H2047" t="str">
        <f>B82_Assessment!B15</f>
        <v>Verify</v>
      </c>
      <c r="I2047" t="str">
        <f>B82_Assessment!C15</f>
        <v>Verify</v>
      </c>
      <c r="J2047" t="str">
        <f>B82_Assessment!D15</f>
        <v>N/A / TE Room</v>
      </c>
      <c r="K2047" t="str">
        <f>B82_Assessment!E15</f>
        <v>Verify</v>
      </c>
      <c r="L2047" t="str">
        <f>B82_Assessment!F15</f>
        <v>Verify Existing</v>
      </c>
      <c r="M2047" t="str">
        <f>B82_Assessment!G15</f>
        <v>Verify</v>
      </c>
      <c r="N2047" t="str">
        <f>B82_Assessment!H15</f>
        <v>Verify</v>
      </c>
      <c r="O2047" t="str">
        <f>B82_Assessment!I15</f>
        <v>Verify</v>
      </c>
      <c r="P2047" t="str">
        <f>B82_Assessment!J15</f>
        <v>New TE enclosure location in Telecom Room 102; verify wall backing, mounting height, access clearance, power, fiber/copper path, 4-inch speed sleeve, fire/smoke wall rating, ceiling/deck conditions and that 86 SF is adequate for equipment maintenance.</v>
      </c>
      <c r="Q2047" t="str">
        <f t="shared" si="31"/>
        <v>82|8</v>
      </c>
    </row>
    <row r="2048" spans="1:17" ht="6.45" customHeight="1">
      <c r="A2048" t="s">
        <v>388</v>
      </c>
      <c r="B2048">
        <v>9</v>
      </c>
      <c r="C2048" t="s">
        <v>65</v>
      </c>
      <c r="D2048">
        <v>16</v>
      </c>
      <c r="E2048" t="s">
        <v>936</v>
      </c>
      <c r="F2048" t="s">
        <v>5324</v>
      </c>
      <c r="G2048" t="str">
        <f>B82_Assessment!A16</f>
        <v>B01-A</v>
      </c>
      <c r="H2048" t="str">
        <f>B82_Assessment!B16</f>
        <v>Existing / Verify</v>
      </c>
      <c r="I2048" t="str">
        <f>B82_Assessment!C16</f>
        <v>Existing / Verify</v>
      </c>
      <c r="J2048" t="str">
        <f>B82_Assessment!D16</f>
        <v>Existing / Verify</v>
      </c>
      <c r="K2048" t="str">
        <f>B82_Assessment!E16</f>
        <v>Verify</v>
      </c>
      <c r="L2048" t="str">
        <f>B82_Assessment!F16</f>
        <v>Verify Existing</v>
      </c>
      <c r="M2048" t="str">
        <f>B82_Assessment!G16</f>
        <v>Verify</v>
      </c>
      <c r="N2048" t="str">
        <f>B82_Assessment!H16</f>
        <v>Verify</v>
      </c>
      <c r="O2048" t="str">
        <f>B82_Assessment!I16</f>
        <v>Verify</v>
      </c>
      <c r="P2048" t="str">
        <f>B82_Assessment!J16</f>
        <v>Existing telecom room; verify active equipment status, wall rack, UPS, patch panels, cable management, pathway, and transition/abandonment scope.</v>
      </c>
      <c r="Q2048" t="str">
        <f t="shared" si="31"/>
        <v>82|9</v>
      </c>
    </row>
    <row r="2049" spans="1:17" ht="6.45" customHeight="1">
      <c r="A2049" t="s">
        <v>388</v>
      </c>
      <c r="B2049">
        <v>10</v>
      </c>
      <c r="C2049" t="s">
        <v>65</v>
      </c>
      <c r="D2049">
        <v>17</v>
      </c>
      <c r="E2049" t="s">
        <v>936</v>
      </c>
      <c r="F2049" t="s">
        <v>5325</v>
      </c>
      <c r="G2049">
        <f>B82_Assessment!A17</f>
        <v>0</v>
      </c>
      <c r="H2049">
        <f>B82_Assessment!B17</f>
        <v>0</v>
      </c>
      <c r="I2049">
        <f>B82_Assessment!C17</f>
        <v>0</v>
      </c>
      <c r="J2049">
        <f>B82_Assessment!D17</f>
        <v>0</v>
      </c>
      <c r="K2049">
        <f>B82_Assessment!E17</f>
        <v>0</v>
      </c>
      <c r="L2049">
        <f>B82_Assessment!F17</f>
        <v>0</v>
      </c>
      <c r="M2049">
        <f>B82_Assessment!G17</f>
        <v>0</v>
      </c>
      <c r="N2049">
        <f>B82_Assessment!H17</f>
        <v>0</v>
      </c>
      <c r="O2049">
        <f>B82_Assessment!I17</f>
        <v>0</v>
      </c>
      <c r="P2049">
        <f>B82_Assessment!J17</f>
        <v>0</v>
      </c>
      <c r="Q2049" t="str">
        <f t="shared" si="31"/>
        <v>82|10</v>
      </c>
    </row>
    <row r="2050" spans="1:17" ht="6.45" customHeight="1">
      <c r="A2050" t="s">
        <v>388</v>
      </c>
      <c r="B2050">
        <v>11</v>
      </c>
      <c r="C2050" t="s">
        <v>65</v>
      </c>
      <c r="D2050">
        <v>18</v>
      </c>
      <c r="E2050" t="s">
        <v>951</v>
      </c>
      <c r="F2050" t="s">
        <v>5322</v>
      </c>
      <c r="G2050" t="str">
        <f>B82_Assessment!A18</f>
        <v>3. FIRE PROTECTION</v>
      </c>
      <c r="H2050">
        <f>B82_Assessment!B18</f>
        <v>0</v>
      </c>
      <c r="I2050">
        <f>B82_Assessment!C18</f>
        <v>0</v>
      </c>
      <c r="J2050">
        <f>B82_Assessment!D18</f>
        <v>0</v>
      </c>
      <c r="K2050">
        <f>B82_Assessment!E18</f>
        <v>0</v>
      </c>
      <c r="L2050">
        <f>B82_Assessment!F18</f>
        <v>0</v>
      </c>
      <c r="M2050">
        <f>B82_Assessment!G18</f>
        <v>0</v>
      </c>
      <c r="N2050">
        <f>B82_Assessment!H18</f>
        <v>0</v>
      </c>
      <c r="O2050">
        <f>B82_Assessment!I18</f>
        <v>0</v>
      </c>
      <c r="P2050">
        <f>B82_Assessment!J18</f>
        <v>0</v>
      </c>
      <c r="Q2050" t="str">
        <f t="shared" ref="Q2050:Q2113" si="32">A2050&amp;"|"&amp;B2050</f>
        <v>82|11</v>
      </c>
    </row>
    <row r="2051" spans="1:17" ht="6.45" customHeight="1">
      <c r="A2051" t="s">
        <v>388</v>
      </c>
      <c r="B2051">
        <v>12</v>
      </c>
      <c r="C2051" t="s">
        <v>65</v>
      </c>
      <c r="D2051">
        <v>19</v>
      </c>
      <c r="E2051" t="s">
        <v>951</v>
      </c>
      <c r="F2051" t="s">
        <v>5323</v>
      </c>
      <c r="G2051" t="str">
        <f>B82_Assessment!A19</f>
        <v>Room</v>
      </c>
      <c r="H2051" t="str">
        <f>B82_Assessment!B19</f>
        <v>Sprinkler</v>
      </c>
      <c r="I2051" t="str">
        <f>B82_Assessment!C19</f>
        <v>Cage</v>
      </c>
      <c r="J2051" t="str">
        <f>B82_Assessment!D19</f>
        <v>Detector</v>
      </c>
      <c r="K2051" t="str">
        <f>B82_Assessment!E19</f>
        <v>Horn/Strobe</v>
      </c>
      <c r="L2051" t="str">
        <f>B82_Assessment!F19</f>
        <v>Extinguisher &lt;75 ft</v>
      </c>
      <c r="M2051" t="str">
        <f>B82_Assessment!G19</f>
        <v>Firestop</v>
      </c>
      <c r="N2051" t="str">
        <f>B82_Assessment!H19</f>
        <v>Temp Firestop</v>
      </c>
      <c r="O2051" t="str">
        <f>B82_Assessment!I19</f>
        <v>Overall</v>
      </c>
      <c r="P2051" t="str">
        <f>B82_Assessment!J19</f>
        <v>Risk / Notes</v>
      </c>
      <c r="Q2051" t="str">
        <f t="shared" si="32"/>
        <v>82|12</v>
      </c>
    </row>
    <row r="2052" spans="1:17" ht="6.45" customHeight="1">
      <c r="A2052" t="s">
        <v>388</v>
      </c>
      <c r="B2052">
        <v>13</v>
      </c>
      <c r="C2052" t="s">
        <v>65</v>
      </c>
      <c r="D2052">
        <v>20</v>
      </c>
      <c r="E2052" t="s">
        <v>951</v>
      </c>
      <c r="F2052" t="s">
        <v>5324</v>
      </c>
      <c r="G2052" t="str">
        <f>B82_Assessment!A20</f>
        <v>102</v>
      </c>
      <c r="H2052" t="str">
        <f>B82_Assessment!B20</f>
        <v>Excluded / Verify</v>
      </c>
      <c r="I2052" t="str">
        <f>B82_Assessment!C20</f>
        <v>N/A</v>
      </c>
      <c r="J2052" t="str">
        <f>B82_Assessment!D20</f>
        <v>Verify Existing</v>
      </c>
      <c r="K2052" t="str">
        <f>B82_Assessment!E20</f>
        <v>Verify Existing</v>
      </c>
      <c r="L2052" t="str">
        <f>B82_Assessment!F20</f>
        <v>N/A / Verify</v>
      </c>
      <c r="M2052" t="str">
        <f>B82_Assessment!G20</f>
        <v>Verify</v>
      </c>
      <c r="N2052" t="str">
        <f>B82_Assessment!H20</f>
        <v>Verify</v>
      </c>
      <c r="O2052" t="str">
        <f>B82_Assessment!I20</f>
        <v>Verify</v>
      </c>
      <c r="P2052" t="str">
        <f>B82_Assessment!J20</f>
        <v>Cover sheet states Building 82 receives a Telecom Enclosure and fire protection scope is excluded. Still verify rated penetrations, 4-inch sleeve, wall/floor openings, temporary firestopping, and life-safety device impacts.</v>
      </c>
      <c r="Q2052" t="str">
        <f t="shared" si="32"/>
        <v>82|13</v>
      </c>
    </row>
    <row r="2053" spans="1:17" ht="6.45" customHeight="1">
      <c r="A2053" t="s">
        <v>388</v>
      </c>
      <c r="B2053">
        <v>14</v>
      </c>
      <c r="C2053" t="s">
        <v>65</v>
      </c>
      <c r="D2053">
        <v>21</v>
      </c>
      <c r="E2053" t="s">
        <v>951</v>
      </c>
      <c r="F2053" t="s">
        <v>5324</v>
      </c>
      <c r="G2053" t="str">
        <f>B82_Assessment!A21</f>
        <v>B01-A</v>
      </c>
      <c r="H2053" t="str">
        <f>B82_Assessment!B21</f>
        <v>Existing / Verify</v>
      </c>
      <c r="I2053" t="str">
        <f>B82_Assessment!C21</f>
        <v>N/A</v>
      </c>
      <c r="J2053" t="str">
        <f>B82_Assessment!D21</f>
        <v>Verify Existing</v>
      </c>
      <c r="K2053" t="str">
        <f>B82_Assessment!E21</f>
        <v>Verify Existing</v>
      </c>
      <c r="L2053" t="str">
        <f>B82_Assessment!F21</f>
        <v>N/A / Verify</v>
      </c>
      <c r="M2053" t="str">
        <f>B82_Assessment!G21</f>
        <v>Verify</v>
      </c>
      <c r="N2053" t="str">
        <f>B82_Assessment!H21</f>
        <v>Verify</v>
      </c>
      <c r="O2053" t="str">
        <f>B82_Assessment!I21</f>
        <v>Verify</v>
      </c>
      <c r="P2053" t="str">
        <f>B82_Assessment!J21</f>
        <v>Existing telecom room; verify protection-in-place and firestopping after cable transfer or reuse.</v>
      </c>
      <c r="Q2053" t="str">
        <f t="shared" si="32"/>
        <v>82|14</v>
      </c>
    </row>
    <row r="2054" spans="1:17" ht="6.45" customHeight="1">
      <c r="A2054" t="s">
        <v>388</v>
      </c>
      <c r="B2054">
        <v>15</v>
      </c>
      <c r="C2054" t="s">
        <v>65</v>
      </c>
      <c r="D2054">
        <v>22</v>
      </c>
      <c r="E2054" t="s">
        <v>951</v>
      </c>
      <c r="F2054" t="s">
        <v>5325</v>
      </c>
      <c r="G2054">
        <f>B82_Assessment!A22</f>
        <v>0</v>
      </c>
      <c r="H2054">
        <f>B82_Assessment!B22</f>
        <v>0</v>
      </c>
      <c r="I2054">
        <f>B82_Assessment!C22</f>
        <v>0</v>
      </c>
      <c r="J2054">
        <f>B82_Assessment!D22</f>
        <v>0</v>
      </c>
      <c r="K2054">
        <f>B82_Assessment!E22</f>
        <v>0</v>
      </c>
      <c r="L2054">
        <f>B82_Assessment!F22</f>
        <v>0</v>
      </c>
      <c r="M2054">
        <f>B82_Assessment!G22</f>
        <v>0</v>
      </c>
      <c r="N2054">
        <f>B82_Assessment!H22</f>
        <v>0</v>
      </c>
      <c r="O2054">
        <f>B82_Assessment!I22</f>
        <v>0</v>
      </c>
      <c r="P2054">
        <f>B82_Assessment!J22</f>
        <v>0</v>
      </c>
      <c r="Q2054" t="str">
        <f t="shared" si="32"/>
        <v>82|15</v>
      </c>
    </row>
    <row r="2055" spans="1:17" ht="6.45" customHeight="1">
      <c r="A2055" t="s">
        <v>388</v>
      </c>
      <c r="B2055">
        <v>16</v>
      </c>
      <c r="C2055" t="s">
        <v>65</v>
      </c>
      <c r="D2055">
        <v>23</v>
      </c>
      <c r="E2055" t="s">
        <v>964</v>
      </c>
      <c r="F2055" t="s">
        <v>5322</v>
      </c>
      <c r="G2055" t="str">
        <f>B82_Assessment!A23</f>
        <v>4. HVAC / COOLING</v>
      </c>
      <c r="H2055">
        <f>B82_Assessment!B23</f>
        <v>0</v>
      </c>
      <c r="I2055">
        <f>B82_Assessment!C23</f>
        <v>0</v>
      </c>
      <c r="J2055">
        <f>B82_Assessment!D23</f>
        <v>0</v>
      </c>
      <c r="K2055">
        <f>B82_Assessment!E23</f>
        <v>0</v>
      </c>
      <c r="L2055">
        <f>B82_Assessment!F23</f>
        <v>0</v>
      </c>
      <c r="M2055">
        <f>B82_Assessment!G23</f>
        <v>0</v>
      </c>
      <c r="N2055">
        <f>B82_Assessment!H23</f>
        <v>0</v>
      </c>
      <c r="O2055">
        <f>B82_Assessment!I23</f>
        <v>0</v>
      </c>
      <c r="P2055">
        <f>B82_Assessment!J23</f>
        <v>0</v>
      </c>
      <c r="Q2055" t="str">
        <f t="shared" si="32"/>
        <v>82|16</v>
      </c>
    </row>
    <row r="2056" spans="1:17" ht="6.45" customHeight="1">
      <c r="A2056" t="s">
        <v>388</v>
      </c>
      <c r="B2056">
        <v>17</v>
      </c>
      <c r="C2056" t="s">
        <v>65</v>
      </c>
      <c r="D2056">
        <v>24</v>
      </c>
      <c r="E2056" t="s">
        <v>964</v>
      </c>
      <c r="F2056" t="s">
        <v>5323</v>
      </c>
      <c r="G2056" t="str">
        <f>B82_Assessment!A24</f>
        <v>Room</v>
      </c>
      <c r="H2056" t="str">
        <f>B82_Assessment!B24</f>
        <v>Dedicated Unit</v>
      </c>
      <c r="I2056" t="str">
        <f>B82_Assessment!C24</f>
        <v>Capacity Verified</v>
      </c>
      <c r="J2056" t="str">
        <f>B82_Assessment!D24</f>
        <v>Emergency Power</v>
      </c>
      <c r="K2056" t="str">
        <f>B82_Assessment!E24</f>
        <v>Controls / BACnet</v>
      </c>
      <c r="L2056" t="str">
        <f>B82_Assessment!F24</f>
        <v>Condensate Routed</v>
      </c>
      <c r="M2056" t="str">
        <f>B82_Assessment!G24</f>
        <v>High Temp Alarm</v>
      </c>
      <c r="N2056" t="str">
        <f>B82_Assessment!H24</f>
        <v>24/7 Operation</v>
      </c>
      <c r="O2056" t="str">
        <f>B82_Assessment!I24</f>
        <v>Overall</v>
      </c>
      <c r="P2056" t="str">
        <f>B82_Assessment!J24</f>
        <v>Risk / Notes</v>
      </c>
      <c r="Q2056" t="str">
        <f t="shared" si="32"/>
        <v>82|17</v>
      </c>
    </row>
    <row r="2057" spans="1:17" ht="6.45" customHeight="1">
      <c r="A2057" t="s">
        <v>388</v>
      </c>
      <c r="B2057">
        <v>18</v>
      </c>
      <c r="C2057" t="s">
        <v>65</v>
      </c>
      <c r="D2057">
        <v>25</v>
      </c>
      <c r="E2057" t="s">
        <v>964</v>
      </c>
      <c r="F2057" t="s">
        <v>5324</v>
      </c>
      <c r="G2057" t="str">
        <f>B82_Assessment!A25</f>
        <v>102</v>
      </c>
      <c r="H2057" t="str">
        <f>B82_Assessment!B25</f>
        <v>IU-1-01 / CU-1-01</v>
      </c>
      <c r="I2057" t="str">
        <f>B82_Assessment!C25</f>
        <v>Verify</v>
      </c>
      <c r="J2057" t="str">
        <f>B82_Assessment!D25</f>
        <v>Verify</v>
      </c>
      <c r="K2057" t="str">
        <f>B82_Assessment!E25</f>
        <v>Verify</v>
      </c>
      <c r="L2057" t="str">
        <f>B82_Assessment!F25</f>
        <v>Verify</v>
      </c>
      <c r="M2057" t="str">
        <f>B82_Assessment!G25</f>
        <v>Verify</v>
      </c>
      <c r="N2057" t="str">
        <f>B82_Assessment!H25</f>
        <v>Verify</v>
      </c>
      <c r="O2057" t="str">
        <f>B82_Assessment!I25</f>
        <v>Verify</v>
      </c>
      <c r="P2057" t="str">
        <f>B82_Assessment!J25</f>
        <v>Mechanical and electrical drawings show IU-1-01 in/near Telecom Room 102 and CU-1-01 outdoor unit. Mechanical notes call for BACnet adapter mounted adjacent to unit in telecom room. Confirm capacity, emergency/standby source, condensate pump/path, disconnects, controls, and high-temp alarm.</v>
      </c>
      <c r="Q2057" t="str">
        <f t="shared" si="32"/>
        <v>82|18</v>
      </c>
    </row>
    <row r="2058" spans="1:17" ht="6.45" customHeight="1">
      <c r="A2058" t="s">
        <v>388</v>
      </c>
      <c r="B2058">
        <v>19</v>
      </c>
      <c r="C2058" t="s">
        <v>65</v>
      </c>
      <c r="D2058">
        <v>26</v>
      </c>
      <c r="E2058" t="s">
        <v>964</v>
      </c>
      <c r="F2058" t="s">
        <v>5324</v>
      </c>
      <c r="G2058" t="str">
        <f>B82_Assessment!A26</f>
        <v>B01-A</v>
      </c>
      <c r="H2058" t="str">
        <f>B82_Assessment!B26</f>
        <v>Existing / Verify</v>
      </c>
      <c r="I2058" t="str">
        <f>B82_Assessment!C26</f>
        <v>Verify</v>
      </c>
      <c r="J2058" t="str">
        <f>B82_Assessment!D26</f>
        <v>Verify</v>
      </c>
      <c r="K2058" t="str">
        <f>B82_Assessment!E26</f>
        <v>Verify</v>
      </c>
      <c r="L2058" t="str">
        <f>B82_Assessment!F26</f>
        <v>Verify</v>
      </c>
      <c r="M2058" t="str">
        <f>B82_Assessment!G26</f>
        <v>Verify</v>
      </c>
      <c r="N2058" t="str">
        <f>B82_Assessment!H26</f>
        <v>Verify</v>
      </c>
      <c r="O2058" t="str">
        <f>B82_Assessment!I26</f>
        <v>Verify</v>
      </c>
      <c r="P2058" t="str">
        <f>B82_Assessment!J26</f>
        <v>Existing telecom room may remain active during cutover. Verify existing environmental conditions and whether active equipment remains after transfer to Room 102.</v>
      </c>
      <c r="Q2058" t="str">
        <f t="shared" si="32"/>
        <v>82|19</v>
      </c>
    </row>
    <row r="2059" spans="1:17" ht="6.45" customHeight="1">
      <c r="A2059" t="s">
        <v>388</v>
      </c>
      <c r="B2059">
        <v>20</v>
      </c>
      <c r="C2059" t="s">
        <v>65</v>
      </c>
      <c r="D2059">
        <v>27</v>
      </c>
      <c r="E2059" t="s">
        <v>964</v>
      </c>
      <c r="F2059" t="s">
        <v>5325</v>
      </c>
      <c r="G2059">
        <f>B82_Assessment!A27</f>
        <v>0</v>
      </c>
      <c r="H2059">
        <f>B82_Assessment!B27</f>
        <v>0</v>
      </c>
      <c r="I2059">
        <f>B82_Assessment!C27</f>
        <v>0</v>
      </c>
      <c r="J2059">
        <f>B82_Assessment!D27</f>
        <v>0</v>
      </c>
      <c r="K2059">
        <f>B82_Assessment!E27</f>
        <v>0</v>
      </c>
      <c r="L2059">
        <f>B82_Assessment!F27</f>
        <v>0</v>
      </c>
      <c r="M2059">
        <f>B82_Assessment!G27</f>
        <v>0</v>
      </c>
      <c r="N2059">
        <f>B82_Assessment!H27</f>
        <v>0</v>
      </c>
      <c r="O2059">
        <f>B82_Assessment!I27</f>
        <v>0</v>
      </c>
      <c r="P2059">
        <f>B82_Assessment!J27</f>
        <v>0</v>
      </c>
      <c r="Q2059" t="str">
        <f t="shared" si="32"/>
        <v>82|20</v>
      </c>
    </row>
    <row r="2060" spans="1:17" ht="6.45" customHeight="1">
      <c r="A2060" t="s">
        <v>388</v>
      </c>
      <c r="B2060">
        <v>21</v>
      </c>
      <c r="C2060" t="s">
        <v>65</v>
      </c>
      <c r="D2060">
        <v>28</v>
      </c>
      <c r="E2060" t="s">
        <v>977</v>
      </c>
      <c r="F2060" t="s">
        <v>5322</v>
      </c>
      <c r="G2060" t="str">
        <f>B82_Assessment!A28</f>
        <v>5. ELECTRICAL / UPS</v>
      </c>
      <c r="H2060">
        <f>B82_Assessment!B28</f>
        <v>0</v>
      </c>
      <c r="I2060">
        <f>B82_Assessment!C28</f>
        <v>0</v>
      </c>
      <c r="J2060">
        <f>B82_Assessment!D28</f>
        <v>0</v>
      </c>
      <c r="K2060">
        <f>B82_Assessment!E28</f>
        <v>0</v>
      </c>
      <c r="L2060">
        <f>B82_Assessment!F28</f>
        <v>0</v>
      </c>
      <c r="M2060">
        <f>B82_Assessment!G28</f>
        <v>0</v>
      </c>
      <c r="N2060">
        <f>B82_Assessment!H28</f>
        <v>0</v>
      </c>
      <c r="O2060">
        <f>B82_Assessment!I28</f>
        <v>0</v>
      </c>
      <c r="P2060">
        <f>B82_Assessment!J28</f>
        <v>0</v>
      </c>
      <c r="Q2060" t="str">
        <f t="shared" si="32"/>
        <v>82|21</v>
      </c>
    </row>
    <row r="2061" spans="1:17" ht="6.45" customHeight="1">
      <c r="A2061" t="s">
        <v>388</v>
      </c>
      <c r="B2061">
        <v>22</v>
      </c>
      <c r="C2061" t="s">
        <v>65</v>
      </c>
      <c r="D2061">
        <v>29</v>
      </c>
      <c r="E2061" t="s">
        <v>977</v>
      </c>
      <c r="F2061" t="s">
        <v>5323</v>
      </c>
      <c r="G2061" t="str">
        <f>B82_Assessment!A29</f>
        <v>Room</v>
      </c>
      <c r="H2061" t="str">
        <f>B82_Assessment!B29</f>
        <v>UPS Installed</v>
      </c>
      <c r="I2061" t="str">
        <f>B82_Assessment!C29</f>
        <v>UPS Size</v>
      </c>
      <c r="J2061" t="str">
        <f>B82_Assessment!D29</f>
        <v>PDU Installed</v>
      </c>
      <c r="K2061" t="str">
        <f>B82_Assessment!E29</f>
        <v>Rack Receptacles</v>
      </c>
      <c r="L2061" t="str">
        <f>B82_Assessment!F29</f>
        <v>Panel Assigned</v>
      </c>
      <c r="M2061" t="str">
        <f>B82_Assessment!G29</f>
        <v>Emergency Source</v>
      </c>
      <c r="N2061" t="str">
        <f>B82_Assessment!H29</f>
        <v>SPD / Labeling</v>
      </c>
      <c r="O2061" t="str">
        <f>B82_Assessment!I29</f>
        <v>Overall</v>
      </c>
      <c r="P2061" t="str">
        <f>B82_Assessment!J29</f>
        <v>Notes</v>
      </c>
      <c r="Q2061" t="str">
        <f t="shared" si="32"/>
        <v>82|22</v>
      </c>
    </row>
    <row r="2062" spans="1:17" ht="6.45" customHeight="1">
      <c r="A2062" t="s">
        <v>388</v>
      </c>
      <c r="B2062">
        <v>23</v>
      </c>
      <c r="C2062" t="s">
        <v>65</v>
      </c>
      <c r="D2062">
        <v>30</v>
      </c>
      <c r="E2062" t="s">
        <v>977</v>
      </c>
      <c r="F2062" t="s">
        <v>5324</v>
      </c>
      <c r="G2062" t="str">
        <f>B82_Assessment!A30</f>
        <v>102</v>
      </c>
      <c r="H2062" t="str">
        <f>B82_Assessment!B30</f>
        <v>Verify</v>
      </c>
      <c r="I2062" t="str">
        <f>B82_Assessment!C30</f>
        <v>APC UPS / 12RU enclosure</v>
      </c>
      <c r="J2062" t="str">
        <f>B82_Assessment!D30</f>
        <v>Verify</v>
      </c>
      <c r="K2062" t="str">
        <f>B82_Assessment!E30</f>
        <v>Verify</v>
      </c>
      <c r="L2062" t="str">
        <f>B82_Assessment!F30</f>
        <v>B82-MDP / B82-P-EMER source to verify</v>
      </c>
      <c r="M2062" t="str">
        <f>B82_Assessment!G30</f>
        <v>Verify</v>
      </c>
      <c r="N2062" t="str">
        <f>B82_Assessment!H30</f>
        <v>Verify</v>
      </c>
      <c r="O2062" t="str">
        <f>B82_Assessment!I30</f>
        <v>Verify</v>
      </c>
      <c r="P2062" t="str">
        <f>B82_Assessment!J30</f>
        <v>Electrical plans/schedules identify TE receptacle, CU-1-01, B82-MDP and B82-P-EMER sources, with SPD devices integral to new telecom panelboards. Verify receptacle type, grounding/bonding, emergency source, labels, and circuit loading.</v>
      </c>
      <c r="Q2062" t="str">
        <f t="shared" si="32"/>
        <v>82|23</v>
      </c>
    </row>
    <row r="2063" spans="1:17" ht="6.45" customHeight="1">
      <c r="A2063" t="s">
        <v>388</v>
      </c>
      <c r="B2063">
        <v>24</v>
      </c>
      <c r="C2063" t="s">
        <v>65</v>
      </c>
      <c r="D2063">
        <v>31</v>
      </c>
      <c r="E2063" t="s">
        <v>977</v>
      </c>
      <c r="F2063" t="s">
        <v>5324</v>
      </c>
      <c r="G2063" t="str">
        <f>B82_Assessment!A31</f>
        <v>B01-A</v>
      </c>
      <c r="H2063" t="str">
        <f>B82_Assessment!B31</f>
        <v>Existing</v>
      </c>
      <c r="I2063" t="str">
        <f>B82_Assessment!C31</f>
        <v>Existing APC floor UPS</v>
      </c>
      <c r="J2063" t="str">
        <f>B82_Assessment!D31</f>
        <v>Existing</v>
      </c>
      <c r="K2063" t="str">
        <f>B82_Assessment!E31</f>
        <v>Verify</v>
      </c>
      <c r="L2063" t="str">
        <f>B82_Assessment!F31</f>
        <v>Existing / Verify</v>
      </c>
      <c r="M2063" t="str">
        <f>B82_Assessment!G31</f>
        <v>Verify</v>
      </c>
      <c r="N2063" t="str">
        <f>B82_Assessment!H31</f>
        <v>Verify</v>
      </c>
      <c r="O2063" t="str">
        <f>B82_Assessment!I31</f>
        <v>Verify</v>
      </c>
      <c r="P2063" t="str">
        <f>B82_Assessment!J31</f>
        <v>Existing rack/equipment area includes APC floor UPS and legacy telecom power. Verify source circuits, active equipment, UPS status, and transfer requirements before disconnect/removal.</v>
      </c>
      <c r="Q2063" t="str">
        <f t="shared" si="32"/>
        <v>82|24</v>
      </c>
    </row>
    <row r="2064" spans="1:17" ht="6.45" customHeight="1">
      <c r="A2064" t="s">
        <v>388</v>
      </c>
      <c r="B2064">
        <v>25</v>
      </c>
      <c r="C2064" t="s">
        <v>65</v>
      </c>
      <c r="D2064">
        <v>32</v>
      </c>
      <c r="E2064" t="s">
        <v>977</v>
      </c>
      <c r="F2064" t="s">
        <v>5325</v>
      </c>
      <c r="G2064">
        <f>B82_Assessment!A32</f>
        <v>0</v>
      </c>
      <c r="H2064">
        <f>B82_Assessment!B32</f>
        <v>0</v>
      </c>
      <c r="I2064">
        <f>B82_Assessment!C32</f>
        <v>0</v>
      </c>
      <c r="J2064">
        <f>B82_Assessment!D32</f>
        <v>0</v>
      </c>
      <c r="K2064">
        <f>B82_Assessment!E32</f>
        <v>0</v>
      </c>
      <c r="L2064">
        <f>B82_Assessment!F32</f>
        <v>0</v>
      </c>
      <c r="M2064">
        <f>B82_Assessment!G32</f>
        <v>0</v>
      </c>
      <c r="N2064">
        <f>B82_Assessment!H32</f>
        <v>0</v>
      </c>
      <c r="O2064">
        <f>B82_Assessment!I32</f>
        <v>0</v>
      </c>
      <c r="P2064">
        <f>B82_Assessment!J32</f>
        <v>0</v>
      </c>
      <c r="Q2064" t="str">
        <f t="shared" si="32"/>
        <v>82|25</v>
      </c>
    </row>
    <row r="2065" spans="1:17" ht="6.45" customHeight="1">
      <c r="A2065" t="s">
        <v>388</v>
      </c>
      <c r="B2065">
        <v>26</v>
      </c>
      <c r="C2065" t="s">
        <v>65</v>
      </c>
      <c r="D2065">
        <v>33</v>
      </c>
      <c r="E2065" t="s">
        <v>994</v>
      </c>
      <c r="F2065" t="s">
        <v>5322</v>
      </c>
      <c r="G2065" t="str">
        <f>B82_Assessment!A33</f>
        <v>6. TELECOMMUNICATIONS</v>
      </c>
      <c r="H2065">
        <f>B82_Assessment!B33</f>
        <v>0</v>
      </c>
      <c r="I2065">
        <f>B82_Assessment!C33</f>
        <v>0</v>
      </c>
      <c r="J2065">
        <f>B82_Assessment!D33</f>
        <v>0</v>
      </c>
      <c r="K2065">
        <f>B82_Assessment!E33</f>
        <v>0</v>
      </c>
      <c r="L2065">
        <f>B82_Assessment!F33</f>
        <v>0</v>
      </c>
      <c r="M2065">
        <f>B82_Assessment!G33</f>
        <v>0</v>
      </c>
      <c r="N2065">
        <f>B82_Assessment!H33</f>
        <v>0</v>
      </c>
      <c r="O2065">
        <f>B82_Assessment!I33</f>
        <v>0</v>
      </c>
      <c r="P2065">
        <f>B82_Assessment!J33</f>
        <v>0</v>
      </c>
      <c r="Q2065" t="str">
        <f t="shared" si="32"/>
        <v>82|26</v>
      </c>
    </row>
    <row r="2066" spans="1:17" ht="6.45" customHeight="1">
      <c r="A2066" t="s">
        <v>388</v>
      </c>
      <c r="B2066">
        <v>27</v>
      </c>
      <c r="C2066" t="s">
        <v>65</v>
      </c>
      <c r="D2066">
        <v>34</v>
      </c>
      <c r="E2066" t="s">
        <v>994</v>
      </c>
      <c r="F2066" t="s">
        <v>5323</v>
      </c>
      <c r="G2066" t="str">
        <f>B82_Assessment!A34</f>
        <v>Room</v>
      </c>
      <c r="H2066" t="str">
        <f>B82_Assessment!B34</f>
        <v>Rack Installed</v>
      </c>
      <c r="I2066" t="str">
        <f>B82_Assessment!C34</f>
        <v>Ladder Tray</v>
      </c>
      <c r="J2066" t="str">
        <f>B82_Assessment!D34</f>
        <v>Fiber Installed</v>
      </c>
      <c r="K2066" t="str">
        <f>B82_Assessment!E34</f>
        <v>Grounding</v>
      </c>
      <c r="L2066" t="str">
        <f>B82_Assessment!F34</f>
        <v>Labeling</v>
      </c>
      <c r="M2066" t="str">
        <f>B82_Assessment!G34</f>
        <v>Testing</v>
      </c>
      <c r="N2066" t="str">
        <f>B82_Assessment!H34</f>
        <v>VA Acceptance</v>
      </c>
      <c r="O2066" t="str">
        <f>B82_Assessment!I34</f>
        <v>Overall</v>
      </c>
      <c r="P2066" t="str">
        <f>B82_Assessment!J34</f>
        <v>Notes</v>
      </c>
      <c r="Q2066" t="str">
        <f t="shared" si="32"/>
        <v>82|27</v>
      </c>
    </row>
    <row r="2067" spans="1:17" ht="6.45" customHeight="1">
      <c r="A2067" t="s">
        <v>388</v>
      </c>
      <c r="B2067">
        <v>28</v>
      </c>
      <c r="C2067" t="s">
        <v>65</v>
      </c>
      <c r="D2067">
        <v>35</v>
      </c>
      <c r="E2067" t="s">
        <v>994</v>
      </c>
      <c r="F2067" t="s">
        <v>5324</v>
      </c>
      <c r="G2067" t="str">
        <f>B82_Assessment!A35</f>
        <v>102</v>
      </c>
      <c r="H2067" t="str">
        <f>B82_Assessment!B35</f>
        <v>Verify</v>
      </c>
      <c r="I2067" t="str">
        <f>B82_Assessment!C35</f>
        <v>Verify</v>
      </c>
      <c r="J2067" t="str">
        <f>B82_Assessment!D35</f>
        <v>Verify</v>
      </c>
      <c r="K2067" t="str">
        <f>B82_Assessment!E35</f>
        <v>Verify</v>
      </c>
      <c r="L2067" t="str">
        <f>B82_Assessment!F35</f>
        <v>Verify</v>
      </c>
      <c r="M2067" t="str">
        <f>B82_Assessment!G35</f>
        <v>Verify</v>
      </c>
      <c r="N2067" t="str">
        <f>B82_Assessment!H35</f>
        <v>Verify</v>
      </c>
      <c r="O2067" t="str">
        <f>B82_Assessment!I35</f>
        <v>Verify</v>
      </c>
      <c r="P2067" t="str">
        <f>B82_Assessment!J35</f>
        <v>82T-701 identifies RM102 with 26 WAO total, 31 active ports per survey, 36 total ports per schedule, and 40 total ports with 10% allowance. Rack ID TR01-102-01. Cable tray schedule totals 278 ft on first level. New enclosure includes APC UPS, two PDUs, network switch, Cat6A patch panel and Fiber LIU.</v>
      </c>
      <c r="Q2067" t="str">
        <f t="shared" si="32"/>
        <v>82|28</v>
      </c>
    </row>
    <row r="2068" spans="1:17" ht="6.45" customHeight="1">
      <c r="A2068" t="s">
        <v>388</v>
      </c>
      <c r="B2068">
        <v>29</v>
      </c>
      <c r="C2068" t="s">
        <v>65</v>
      </c>
      <c r="D2068">
        <v>36</v>
      </c>
      <c r="E2068" t="s">
        <v>994</v>
      </c>
      <c r="F2068" t="s">
        <v>5324</v>
      </c>
      <c r="G2068" t="str">
        <f>B82_Assessment!A36</f>
        <v>B01-A</v>
      </c>
      <c r="H2068" t="str">
        <f>B82_Assessment!B36</f>
        <v>Existing</v>
      </c>
      <c r="I2068" t="str">
        <f>B82_Assessment!C36</f>
        <v>Existing</v>
      </c>
      <c r="J2068" t="str">
        <f>B82_Assessment!D36</f>
        <v>Existing</v>
      </c>
      <c r="K2068" t="str">
        <f>B82_Assessment!E36</f>
        <v>Verify</v>
      </c>
      <c r="L2068" t="str">
        <f>B82_Assessment!F36</f>
        <v>Verify</v>
      </c>
      <c r="M2068" t="str">
        <f>B82_Assessment!G36</f>
        <v>Verify</v>
      </c>
      <c r="N2068" t="str">
        <f>B82_Assessment!H36</f>
        <v>Verify</v>
      </c>
      <c r="O2068" t="str">
        <f>B82_Assessment!I36</f>
        <v>Verify</v>
      </c>
      <c r="P2068" t="str">
        <f>B82_Assessment!J36</f>
        <v>Existing B01-A elevations identify Cisco switches, cable management, two Ortronics 24-port patch panels with 11 and 6 used, existing patch panels and APC floor UPS. Field verify active services and transfer plan to new TE.</v>
      </c>
      <c r="Q2068" t="str">
        <f t="shared" si="32"/>
        <v>82|29</v>
      </c>
    </row>
    <row r="2069" spans="1:17" ht="6.45" customHeight="1">
      <c r="A2069" t="s">
        <v>388</v>
      </c>
      <c r="B2069">
        <v>30</v>
      </c>
      <c r="C2069" t="s">
        <v>65</v>
      </c>
      <c r="D2069">
        <v>37</v>
      </c>
      <c r="E2069" t="s">
        <v>994</v>
      </c>
      <c r="F2069" t="s">
        <v>5325</v>
      </c>
      <c r="G2069">
        <f>B82_Assessment!A37</f>
        <v>0</v>
      </c>
      <c r="H2069">
        <f>B82_Assessment!B37</f>
        <v>0</v>
      </c>
      <c r="I2069">
        <f>B82_Assessment!C37</f>
        <v>0</v>
      </c>
      <c r="J2069">
        <f>B82_Assessment!D37</f>
        <v>0</v>
      </c>
      <c r="K2069">
        <f>B82_Assessment!E37</f>
        <v>0</v>
      </c>
      <c r="L2069">
        <f>B82_Assessment!F37</f>
        <v>0</v>
      </c>
      <c r="M2069">
        <f>B82_Assessment!G37</f>
        <v>0</v>
      </c>
      <c r="N2069">
        <f>B82_Assessment!H37</f>
        <v>0</v>
      </c>
      <c r="O2069">
        <f>B82_Assessment!I37</f>
        <v>0</v>
      </c>
      <c r="P2069">
        <f>B82_Assessment!J37</f>
        <v>0</v>
      </c>
      <c r="Q2069" t="str">
        <f t="shared" si="32"/>
        <v>82|30</v>
      </c>
    </row>
    <row r="2070" spans="1:17" ht="6.45" customHeight="1">
      <c r="A2070" t="s">
        <v>388</v>
      </c>
      <c r="B2070">
        <v>31</v>
      </c>
      <c r="C2070" t="s">
        <v>65</v>
      </c>
      <c r="D2070">
        <v>38</v>
      </c>
      <c r="E2070" t="s">
        <v>1007</v>
      </c>
      <c r="F2070" t="s">
        <v>5322</v>
      </c>
      <c r="G2070" t="str">
        <f>B82_Assessment!A38</f>
        <v>7. SECURITY / PACS / CCTV</v>
      </c>
      <c r="H2070">
        <f>B82_Assessment!B38</f>
        <v>0</v>
      </c>
      <c r="I2070">
        <f>B82_Assessment!C38</f>
        <v>0</v>
      </c>
      <c r="J2070">
        <f>B82_Assessment!D38</f>
        <v>0</v>
      </c>
      <c r="K2070">
        <f>B82_Assessment!E38</f>
        <v>0</v>
      </c>
      <c r="L2070">
        <f>B82_Assessment!F38</f>
        <v>0</v>
      </c>
      <c r="M2070">
        <f>B82_Assessment!G38</f>
        <v>0</v>
      </c>
      <c r="N2070">
        <f>B82_Assessment!H38</f>
        <v>0</v>
      </c>
      <c r="O2070">
        <f>B82_Assessment!I38</f>
        <v>0</v>
      </c>
      <c r="P2070">
        <f>B82_Assessment!J38</f>
        <v>0</v>
      </c>
      <c r="Q2070" t="str">
        <f t="shared" si="32"/>
        <v>82|31</v>
      </c>
    </row>
    <row r="2071" spans="1:17" ht="6.45" customHeight="1">
      <c r="A2071" t="s">
        <v>388</v>
      </c>
      <c r="B2071">
        <v>32</v>
      </c>
      <c r="C2071" t="s">
        <v>65</v>
      </c>
      <c r="D2071">
        <v>39</v>
      </c>
      <c r="E2071" t="s">
        <v>1007</v>
      </c>
      <c r="F2071" t="s">
        <v>5323</v>
      </c>
      <c r="G2071" t="str">
        <f>B82_Assessment!A39</f>
        <v>Room</v>
      </c>
      <c r="H2071" t="str">
        <f>B82_Assessment!B39</f>
        <v>PACS</v>
      </c>
      <c r="I2071" t="str">
        <f>B82_Assessment!C39</f>
        <v>Card Reader</v>
      </c>
      <c r="J2071" t="str">
        <f>B82_Assessment!D39</f>
        <v>Door Position</v>
      </c>
      <c r="K2071" t="str">
        <f>B82_Assessment!E39</f>
        <v>Electric Strike</v>
      </c>
      <c r="L2071" t="str">
        <f>B82_Assessment!F39</f>
        <v>CCTV</v>
      </c>
      <c r="M2071" t="str">
        <f>B82_Assessment!G39</f>
        <v>Motion Sensor</v>
      </c>
      <c r="N2071" t="str">
        <f>B82_Assessment!H39</f>
        <v>Integration</v>
      </c>
      <c r="O2071" t="str">
        <f>B82_Assessment!I39</f>
        <v>Overall</v>
      </c>
      <c r="P2071" t="str">
        <f>B82_Assessment!J39</f>
        <v>Notes</v>
      </c>
      <c r="Q2071" t="str">
        <f t="shared" si="32"/>
        <v>82|32</v>
      </c>
    </row>
    <row r="2072" spans="1:17" ht="6.45" customHeight="1">
      <c r="A2072" t="s">
        <v>388</v>
      </c>
      <c r="B2072">
        <v>33</v>
      </c>
      <c r="C2072" t="s">
        <v>65</v>
      </c>
      <c r="D2072">
        <v>40</v>
      </c>
      <c r="E2072" t="s">
        <v>1007</v>
      </c>
      <c r="F2072" t="s">
        <v>5324</v>
      </c>
      <c r="G2072" t="str">
        <f>B82_Assessment!A40</f>
        <v>102</v>
      </c>
      <c r="H2072" t="str">
        <f>B82_Assessment!B40</f>
        <v>N/A / Verify</v>
      </c>
      <c r="I2072" t="str">
        <f>B82_Assessment!C40</f>
        <v>N/A / Verify</v>
      </c>
      <c r="J2072" t="str">
        <f>B82_Assessment!D40</f>
        <v>N/A / Verify</v>
      </c>
      <c r="K2072" t="str">
        <f>B82_Assessment!E40</f>
        <v>N/A / Verify</v>
      </c>
      <c r="L2072" t="str">
        <f>B82_Assessment!F40</f>
        <v>Verify Existing</v>
      </c>
      <c r="M2072" t="str">
        <f>B82_Assessment!G40</f>
        <v>Verify Existing</v>
      </c>
      <c r="N2072" t="str">
        <f>B82_Assessment!H40</f>
        <v>Verify</v>
      </c>
      <c r="O2072" t="str">
        <f>B82_Assessment!I40</f>
        <v>Verify</v>
      </c>
      <c r="P2072" t="str">
        <f>B82_Assessment!J40</f>
        <v>Building 82 appears to create a TE enclosure rather than a full TR door/PACS package. Verify existing cameras/security devices in Room 102 and ensure no camera angle or VMS integration is disrupted.</v>
      </c>
      <c r="Q2072" t="str">
        <f t="shared" si="32"/>
        <v>82|33</v>
      </c>
    </row>
    <row r="2073" spans="1:17" ht="6.45" customHeight="1">
      <c r="A2073" t="s">
        <v>388</v>
      </c>
      <c r="B2073">
        <v>34</v>
      </c>
      <c r="C2073" t="s">
        <v>65</v>
      </c>
      <c r="D2073">
        <v>41</v>
      </c>
      <c r="E2073" t="s">
        <v>1007</v>
      </c>
      <c r="F2073" t="s">
        <v>5324</v>
      </c>
      <c r="G2073" t="str">
        <f>B82_Assessment!A41</f>
        <v>B01-A</v>
      </c>
      <c r="H2073" t="str">
        <f>B82_Assessment!B41</f>
        <v>N/A / Verify</v>
      </c>
      <c r="I2073" t="str">
        <f>B82_Assessment!C41</f>
        <v>N/A / Verify</v>
      </c>
      <c r="J2073" t="str">
        <f>B82_Assessment!D41</f>
        <v>N/A / Verify</v>
      </c>
      <c r="K2073" t="str">
        <f>B82_Assessment!E41</f>
        <v>N/A / Verify</v>
      </c>
      <c r="L2073" t="str">
        <f>B82_Assessment!F41</f>
        <v>Verify Existing</v>
      </c>
      <c r="M2073" t="str">
        <f>B82_Assessment!G41</f>
        <v>Verify Existing</v>
      </c>
      <c r="N2073" t="str">
        <f>B82_Assessment!H41</f>
        <v>Verify</v>
      </c>
      <c r="O2073" t="str">
        <f>B82_Assessment!I41</f>
        <v>Verify</v>
      </c>
      <c r="P2073" t="str">
        <f>B82_Assessment!J41</f>
        <v>Keynotes indicate existing cameras are to be retained and re-used. Verify security/access conditions and whether any legacy security equipment is present at existing telecom room.</v>
      </c>
      <c r="Q2073" t="str">
        <f t="shared" si="32"/>
        <v>82|34</v>
      </c>
    </row>
    <row r="2074" spans="1:17" ht="6.45" customHeight="1">
      <c r="A2074" t="s">
        <v>388</v>
      </c>
      <c r="B2074">
        <v>35</v>
      </c>
      <c r="C2074" t="s">
        <v>65</v>
      </c>
      <c r="D2074">
        <v>42</v>
      </c>
      <c r="E2074" t="s">
        <v>1007</v>
      </c>
      <c r="F2074" t="s">
        <v>5325</v>
      </c>
      <c r="G2074">
        <f>B82_Assessment!A42</f>
        <v>0</v>
      </c>
      <c r="H2074">
        <f>B82_Assessment!B42</f>
        <v>0</v>
      </c>
      <c r="I2074">
        <f>B82_Assessment!C42</f>
        <v>0</v>
      </c>
      <c r="J2074">
        <f>B82_Assessment!D42</f>
        <v>0</v>
      </c>
      <c r="K2074">
        <f>B82_Assessment!E42</f>
        <v>0</v>
      </c>
      <c r="L2074">
        <f>B82_Assessment!F42</f>
        <v>0</v>
      </c>
      <c r="M2074">
        <f>B82_Assessment!G42</f>
        <v>0</v>
      </c>
      <c r="N2074">
        <f>B82_Assessment!H42</f>
        <v>0</v>
      </c>
      <c r="O2074">
        <f>B82_Assessment!I42</f>
        <v>0</v>
      </c>
      <c r="P2074">
        <f>B82_Assessment!J42</f>
        <v>0</v>
      </c>
      <c r="Q2074" t="str">
        <f t="shared" si="32"/>
        <v>82|35</v>
      </c>
    </row>
    <row r="2075" spans="1:17" ht="6.45" customHeight="1">
      <c r="A2075" t="s">
        <v>388</v>
      </c>
      <c r="B2075">
        <v>36</v>
      </c>
      <c r="C2075" t="s">
        <v>65</v>
      </c>
      <c r="D2075">
        <v>43</v>
      </c>
      <c r="E2075" t="s">
        <v>1019</v>
      </c>
      <c r="F2075" t="s">
        <v>5322</v>
      </c>
      <c r="G2075" t="str">
        <f>B82_Assessment!A43</f>
        <v>8. OWNER RISKS</v>
      </c>
      <c r="H2075">
        <f>B82_Assessment!B43</f>
        <v>0</v>
      </c>
      <c r="I2075">
        <f>B82_Assessment!C43</f>
        <v>0</v>
      </c>
      <c r="J2075">
        <f>B82_Assessment!D43</f>
        <v>0</v>
      </c>
      <c r="K2075">
        <f>B82_Assessment!E43</f>
        <v>0</v>
      </c>
      <c r="L2075">
        <f>B82_Assessment!F43</f>
        <v>0</v>
      </c>
      <c r="M2075">
        <f>B82_Assessment!G43</f>
        <v>0</v>
      </c>
      <c r="N2075">
        <f>B82_Assessment!H43</f>
        <v>0</v>
      </c>
      <c r="O2075">
        <f>B82_Assessment!I43</f>
        <v>0</v>
      </c>
      <c r="P2075">
        <f>B82_Assessment!J43</f>
        <v>0</v>
      </c>
      <c r="Q2075" t="str">
        <f t="shared" si="32"/>
        <v>82|36</v>
      </c>
    </row>
    <row r="2076" spans="1:17" ht="6.45" customHeight="1">
      <c r="A2076" t="s">
        <v>388</v>
      </c>
      <c r="B2076">
        <v>37</v>
      </c>
      <c r="C2076" t="s">
        <v>65</v>
      </c>
      <c r="D2076">
        <v>44</v>
      </c>
      <c r="E2076" t="s">
        <v>1019</v>
      </c>
      <c r="F2076" t="s">
        <v>5323</v>
      </c>
      <c r="G2076" t="str">
        <f>B82_Assessment!A44</f>
        <v>Risk ID</v>
      </c>
      <c r="H2076" t="str">
        <f>B82_Assessment!B44</f>
        <v>Room</v>
      </c>
      <c r="I2076" t="str">
        <f>B82_Assessment!C44</f>
        <v>Risk</v>
      </c>
      <c r="J2076" t="str">
        <f>B82_Assessment!D44</f>
        <v>Impact</v>
      </c>
      <c r="K2076" t="str">
        <f>B82_Assessment!E44</f>
        <v>Probability</v>
      </c>
      <c r="L2076" t="str">
        <f>B82_Assessment!F44</f>
        <v>Score</v>
      </c>
      <c r="M2076" t="str">
        <f>B82_Assessment!G44</f>
        <v>Mitigation</v>
      </c>
      <c r="N2076" t="str">
        <f>B82_Assessment!H44</f>
        <v>Owner</v>
      </c>
      <c r="O2076" t="str">
        <f>B82_Assessment!I44</f>
        <v>Status</v>
      </c>
      <c r="P2076" t="str">
        <f>B82_Assessment!J44</f>
        <v>Notes</v>
      </c>
      <c r="Q2076" t="str">
        <f t="shared" si="32"/>
        <v>82|37</v>
      </c>
    </row>
    <row r="2077" spans="1:17" ht="6.45" customHeight="1">
      <c r="A2077" t="s">
        <v>388</v>
      </c>
      <c r="B2077">
        <v>38</v>
      </c>
      <c r="C2077" t="s">
        <v>65</v>
      </c>
      <c r="D2077">
        <v>45</v>
      </c>
      <c r="E2077" t="s">
        <v>1019</v>
      </c>
      <c r="F2077" t="s">
        <v>5324</v>
      </c>
      <c r="G2077" t="str">
        <f>B82_Assessment!A45</f>
        <v>B82-R1</v>
      </c>
      <c r="H2077" t="str">
        <f>B82_Assessment!B45</f>
        <v>All</v>
      </c>
      <c r="I2077" t="str">
        <f>B82_Assessment!C45</f>
        <v>Existing conditions for new Room 102 TE and existing B01-A not field verified</v>
      </c>
      <c r="J2077" t="str">
        <f>B82_Assessment!D45</f>
        <v>High</v>
      </c>
      <c r="K2077" t="str">
        <f>B82_Assessment!E45</f>
        <v>Medium</v>
      </c>
      <c r="L2077">
        <f>B82_Assessment!F45</f>
        <v>6</v>
      </c>
      <c r="M2077" t="str">
        <f>B82_Assessment!G45</f>
        <v>Perform existing conditions survey with photos before mobilization</v>
      </c>
      <c r="N2077" t="str">
        <f>B82_Assessment!H45</f>
        <v>GCC / Contractor</v>
      </c>
      <c r="O2077" t="str">
        <f>B82_Assessment!I45</f>
        <v>Closed</v>
      </c>
      <c r="P2077" t="str">
        <f>B82_Assessment!J45</f>
        <v>B82 has a compact TE scope but still depends on field conditions and existing equipment transfer.</v>
      </c>
      <c r="Q2077" t="str">
        <f t="shared" si="32"/>
        <v>82|38</v>
      </c>
    </row>
    <row r="2078" spans="1:17" ht="6.45" customHeight="1">
      <c r="A2078" t="s">
        <v>388</v>
      </c>
      <c r="B2078">
        <v>39</v>
      </c>
      <c r="C2078" t="s">
        <v>65</v>
      </c>
      <c r="D2078">
        <v>46</v>
      </c>
      <c r="E2078" t="s">
        <v>1019</v>
      </c>
      <c r="F2078" t="s">
        <v>5324</v>
      </c>
      <c r="G2078" t="str">
        <f>B82_Assessment!A46</f>
        <v>B82-R2</v>
      </c>
      <c r="H2078" t="str">
        <f>B82_Assessment!B46</f>
        <v>102 / B01-A</v>
      </c>
      <c r="I2078" t="str">
        <f>B82_Assessment!C46</f>
        <v>Existing equipment in B01-A may remain active during transfer to new TE in 102</v>
      </c>
      <c r="J2078" t="str">
        <f>B82_Assessment!D46</f>
        <v>Critical</v>
      </c>
      <c r="K2078" t="str">
        <f>B82_Assessment!E46</f>
        <v>Medium</v>
      </c>
      <c r="L2078">
        <f>B82_Assessment!F46</f>
        <v>8</v>
      </c>
      <c r="M2078" t="str">
        <f>B82_Assessment!G46</f>
        <v>Document active services, protect in place, identify OIT cutover windows, phasing, rollback path and temporary utilities</v>
      </c>
      <c r="N2078" t="str">
        <f>B82_Assessment!H46</f>
        <v>Telecom / OIT</v>
      </c>
      <c r="O2078" t="str">
        <f>B82_Assessment!I46</f>
        <v>Closed</v>
      </c>
      <c r="P2078" t="str">
        <f>B82_Assessment!J46</f>
        <v>82T-101 keynotes require phasing plan and transfer of existing devices to new rack/enclosure.</v>
      </c>
      <c r="Q2078" t="str">
        <f t="shared" si="32"/>
        <v>82|39</v>
      </c>
    </row>
    <row r="2079" spans="1:17" ht="6.45" customHeight="1">
      <c r="A2079" t="s">
        <v>388</v>
      </c>
      <c r="B2079">
        <v>40</v>
      </c>
      <c r="C2079" t="s">
        <v>65</v>
      </c>
      <c r="D2079">
        <v>47</v>
      </c>
      <c r="E2079" t="s">
        <v>1019</v>
      </c>
      <c r="F2079" t="s">
        <v>5324</v>
      </c>
      <c r="G2079" t="str">
        <f>B82_Assessment!A47</f>
        <v>B82-R3</v>
      </c>
      <c r="H2079" t="str">
        <f>B82_Assessment!B47</f>
        <v>102</v>
      </c>
      <c r="I2079" t="str">
        <f>B82_Assessment!C47</f>
        <v>Cover sheet says TE, but mechanical cooling is included for Room 102</v>
      </c>
      <c r="J2079" t="str">
        <f>B82_Assessment!D47</f>
        <v>High</v>
      </c>
      <c r="K2079" t="str">
        <f>B82_Assessment!E47</f>
        <v>Medium</v>
      </c>
      <c r="L2079">
        <f>B82_Assessment!F47</f>
        <v>6</v>
      </c>
      <c r="M2079" t="str">
        <f>B82_Assessment!G47</f>
        <v>Confirm scope interpretation with VA/AE and ensure cooling is commissioned if it serves active TE equipment</v>
      </c>
      <c r="N2079" t="str">
        <f>B82_Assessment!H47</f>
        <v>GCC / VA / Designer</v>
      </c>
      <c r="O2079" t="str">
        <f>B82_Assessment!I47</f>
        <v>Closed</v>
      </c>
      <c r="P2079" t="str">
        <f>B82_Assessment!J47</f>
        <v>Unlike some TE buildings, B82 includes IU-1-01/CU-1-01 mechanical/electrical scope.</v>
      </c>
      <c r="Q2079" t="str">
        <f t="shared" si="32"/>
        <v>82|40</v>
      </c>
    </row>
    <row r="2080" spans="1:17" ht="6.45" customHeight="1">
      <c r="A2080" t="s">
        <v>388</v>
      </c>
      <c r="B2080">
        <v>41</v>
      </c>
      <c r="C2080" t="s">
        <v>65</v>
      </c>
      <c r="D2080">
        <v>48</v>
      </c>
      <c r="E2080" t="s">
        <v>1019</v>
      </c>
      <c r="F2080" t="s">
        <v>5324</v>
      </c>
      <c r="G2080" t="str">
        <f>B82_Assessment!A48</f>
        <v>B82-R4</v>
      </c>
      <c r="H2080" t="str">
        <f>B82_Assessment!B48</f>
        <v>102</v>
      </c>
      <c r="I2080" t="str">
        <f>B82_Assessment!C48</f>
        <v>Dedicated cooling emergency power, condensate, BACnet and alarms not verified</v>
      </c>
      <c r="J2080" t="str">
        <f>B82_Assessment!D48</f>
        <v>Critical</v>
      </c>
      <c r="K2080" t="str">
        <f>B82_Assessment!E48</f>
        <v>Medium</v>
      </c>
      <c r="L2080">
        <f>B82_Assessment!F48</f>
        <v>8</v>
      </c>
      <c r="M2080" t="str">
        <f>B82_Assessment!G48</f>
        <v>Confirm IU-1-01/CU-1-01 power source, condensate, controls, BACnet adapter, thermostat and high-temp alarm</v>
      </c>
      <c r="N2080" t="str">
        <f>B82_Assessment!H48</f>
        <v>Mechanical / Electrical</v>
      </c>
      <c r="O2080" t="str">
        <f>B82_Assessment!I48</f>
        <v>Closed</v>
      </c>
      <c r="P2080" t="str">
        <f>B82_Assessment!J48</f>
        <v>Cooling appears included and must be verified before acceptance.</v>
      </c>
      <c r="Q2080" t="str">
        <f t="shared" si="32"/>
        <v>82|41</v>
      </c>
    </row>
    <row r="2081" spans="1:17" ht="6.45" customHeight="1">
      <c r="A2081" t="s">
        <v>388</v>
      </c>
      <c r="B2081">
        <v>42</v>
      </c>
      <c r="C2081" t="s">
        <v>65</v>
      </c>
      <c r="D2081">
        <v>49</v>
      </c>
      <c r="E2081" t="s">
        <v>1019</v>
      </c>
      <c r="F2081" t="s">
        <v>5324</v>
      </c>
      <c r="G2081" t="str">
        <f>B82_Assessment!A49</f>
        <v>B82-R5</v>
      </c>
      <c r="H2081" t="str">
        <f>B82_Assessment!B49</f>
        <v>102</v>
      </c>
      <c r="I2081" t="str">
        <f>B82_Assessment!C49</f>
        <v>UPS/PDU/receptacle source and grounding/bonding not verified</v>
      </c>
      <c r="J2081" t="str">
        <f>B82_Assessment!D49</f>
        <v>High</v>
      </c>
      <c r="K2081" t="str">
        <f>B82_Assessment!E49</f>
        <v>Medium</v>
      </c>
      <c r="L2081">
        <f>B82_Assessment!F49</f>
        <v>6</v>
      </c>
      <c r="M2081" t="str">
        <f>B82_Assessment!G49</f>
        <v>Verify circuit source, receptacle type, UPS/PDU load, grounding bar, bonding, SPD and labels</v>
      </c>
      <c r="N2081" t="str">
        <f>B82_Assessment!H49</f>
        <v>Electrical / Telecom</v>
      </c>
      <c r="O2081" t="str">
        <f>B82_Assessment!I49</f>
        <v>Closed</v>
      </c>
      <c r="P2081" t="str">
        <f>B82_Assessment!J49</f>
        <v>New TE enclosure includes APC UPS and two PDUs.</v>
      </c>
      <c r="Q2081" t="str">
        <f t="shared" si="32"/>
        <v>82|42</v>
      </c>
    </row>
    <row r="2082" spans="1:17" ht="6.45" customHeight="1">
      <c r="A2082" t="s">
        <v>388</v>
      </c>
      <c r="B2082">
        <v>43</v>
      </c>
      <c r="C2082" t="s">
        <v>65</v>
      </c>
      <c r="D2082">
        <v>50</v>
      </c>
      <c r="E2082" t="s">
        <v>1019</v>
      </c>
      <c r="F2082" t="s">
        <v>5324</v>
      </c>
      <c r="G2082" t="str">
        <f>B82_Assessment!A50</f>
        <v>B82-R6</v>
      </c>
      <c r="H2082" t="str">
        <f>B82_Assessment!B50</f>
        <v>All</v>
      </c>
      <c r="I2082" t="str">
        <f>B82_Assessment!C50</f>
        <v>278 feet of first-level cable tray/pathway requires coordination and firestop tracking</v>
      </c>
      <c r="J2082" t="str">
        <f>B82_Assessment!D50</f>
        <v>High</v>
      </c>
      <c r="K2082" t="str">
        <f>B82_Assessment!E50</f>
        <v>Medium</v>
      </c>
      <c r="L2082">
        <f>B82_Assessment!F50</f>
        <v>6</v>
      </c>
      <c r="M2082" t="str">
        <f>B82_Assessment!G50</f>
        <v>Verify route, supports, seismic bracing, 40% fill, penetrations, light/HVAC conflicts and firestop assemblies</v>
      </c>
      <c r="N2082" t="str">
        <f>B82_Assessment!H50</f>
        <v>Telecom / GC</v>
      </c>
      <c r="O2082" t="str">
        <f>B82_Assessment!I50</f>
        <v>Closed</v>
      </c>
      <c r="P2082" t="str">
        <f>B82_Assessment!J50</f>
        <v>82T-701 cable tray schedule lists first level estimated length of 278 ft.</v>
      </c>
      <c r="Q2082" t="str">
        <f t="shared" si="32"/>
        <v>82|43</v>
      </c>
    </row>
    <row r="2083" spans="1:17" ht="6.45" customHeight="1">
      <c r="A2083" t="s">
        <v>388</v>
      </c>
      <c r="B2083">
        <v>44</v>
      </c>
      <c r="C2083" t="s">
        <v>65</v>
      </c>
      <c r="D2083">
        <v>51</v>
      </c>
      <c r="E2083" t="s">
        <v>1019</v>
      </c>
      <c r="F2083" t="s">
        <v>5324</v>
      </c>
      <c r="G2083" t="str">
        <f>B82_Assessment!A51</f>
        <v>B82-R7</v>
      </c>
      <c r="H2083" t="str">
        <f>B82_Assessment!B51</f>
        <v>All</v>
      </c>
      <c r="I2083" t="str">
        <f>B82_Assessment!C51</f>
        <v>Firestopping/rated sleeve work could be missed because FP scope is excluded</v>
      </c>
      <c r="J2083" t="str">
        <f>B82_Assessment!D51</f>
        <v>High</v>
      </c>
      <c r="K2083" t="str">
        <f>B82_Assessment!E51</f>
        <v>Medium</v>
      </c>
      <c r="L2083">
        <f>B82_Assessment!F51</f>
        <v>6</v>
      </c>
      <c r="M2083" t="str">
        <f>B82_Assessment!G51</f>
        <v>Track 4-inch speed sleeve, rated penetrations, fire caulk, temporary firestopping and patching even without FP sheet scope</v>
      </c>
      <c r="N2083" t="str">
        <f>B82_Assessment!H51</f>
        <v>GC / Firestop</v>
      </c>
      <c r="O2083" t="str">
        <f>B82_Assessment!I51</f>
        <v>Closed</v>
      </c>
      <c r="P2083" t="str">
        <f>B82_Assessment!J51</f>
        <v>Cover excludes fire protection; telecom notes require fire caulk and rated penetrations.</v>
      </c>
      <c r="Q2083" t="str">
        <f t="shared" si="32"/>
        <v>82|44</v>
      </c>
    </row>
    <row r="2084" spans="1:17" ht="6.45" customHeight="1">
      <c r="A2084" t="s">
        <v>388</v>
      </c>
      <c r="B2084">
        <v>45</v>
      </c>
      <c r="C2084" t="s">
        <v>65</v>
      </c>
      <c r="D2084">
        <v>52</v>
      </c>
      <c r="E2084" t="s">
        <v>1019</v>
      </c>
      <c r="F2084" t="s">
        <v>5324</v>
      </c>
      <c r="G2084" t="str">
        <f>B82_Assessment!A52</f>
        <v>B82-R8</v>
      </c>
      <c r="H2084" t="str">
        <f>B82_Assessment!B52</f>
        <v>All</v>
      </c>
      <c r="I2084" t="str">
        <f>B82_Assessment!C52</f>
        <v>Commissioning/test documentation may be overlooked due to TE-only scope</v>
      </c>
      <c r="J2084" t="str">
        <f>B82_Assessment!D52</f>
        <v>High</v>
      </c>
      <c r="K2084" t="str">
        <f>B82_Assessment!E52</f>
        <v>Medium</v>
      </c>
      <c r="L2084">
        <f>B82_Assessment!F52</f>
        <v>6</v>
      </c>
      <c r="M2084" t="str">
        <f>B82_Assessment!G52</f>
        <v>Track cable test records, labels, as-builts, laminated schedules, OIT acceptance, UPS/PDU verification, HVAC startup/controls and owner signoff</v>
      </c>
      <c r="N2084" t="str">
        <f>B82_Assessment!H52</f>
        <v>GC / Cx Manager</v>
      </c>
      <c r="O2084" t="str">
        <f>B82_Assessment!I52</f>
        <v>Closed</v>
      </c>
      <c r="P2084" t="str">
        <f>B82_Assessment!J52</f>
        <v>General notes still require testing, acceptance and documentation.</v>
      </c>
      <c r="Q2084" t="str">
        <f t="shared" si="32"/>
        <v>82|45</v>
      </c>
    </row>
    <row r="2085" spans="1:17" ht="6.45" customHeight="1">
      <c r="A2085" t="s">
        <v>388</v>
      </c>
      <c r="B2085">
        <v>46</v>
      </c>
      <c r="C2085" t="s">
        <v>65</v>
      </c>
      <c r="D2085">
        <v>53</v>
      </c>
      <c r="E2085" t="s">
        <v>1019</v>
      </c>
      <c r="F2085" t="s">
        <v>5325</v>
      </c>
      <c r="G2085">
        <f>B82_Assessment!A53</f>
        <v>0</v>
      </c>
      <c r="H2085">
        <f>B82_Assessment!B53</f>
        <v>0</v>
      </c>
      <c r="I2085">
        <f>B82_Assessment!C53</f>
        <v>0</v>
      </c>
      <c r="J2085">
        <f>B82_Assessment!D53</f>
        <v>0</v>
      </c>
      <c r="K2085">
        <f>B82_Assessment!E53</f>
        <v>0</v>
      </c>
      <c r="L2085">
        <f>B82_Assessment!F53</f>
        <v>0</v>
      </c>
      <c r="M2085">
        <f>B82_Assessment!G53</f>
        <v>0</v>
      </c>
      <c r="N2085">
        <f>B82_Assessment!H53</f>
        <v>0</v>
      </c>
      <c r="O2085">
        <f>B82_Assessment!I53</f>
        <v>0</v>
      </c>
      <c r="P2085">
        <f>B82_Assessment!J53</f>
        <v>0</v>
      </c>
      <c r="Q2085" t="str">
        <f t="shared" si="32"/>
        <v>82|46</v>
      </c>
    </row>
    <row r="2086" spans="1:17" ht="6.45" customHeight="1">
      <c r="A2086" t="s">
        <v>388</v>
      </c>
      <c r="B2086">
        <v>47</v>
      </c>
      <c r="C2086" t="s">
        <v>65</v>
      </c>
      <c r="D2086">
        <v>54</v>
      </c>
      <c r="E2086" t="s">
        <v>1051</v>
      </c>
      <c r="F2086" t="s">
        <v>5322</v>
      </c>
      <c r="G2086" t="str">
        <f>B82_Assessment!A54</f>
        <v>9. OPEN QUESTIONS</v>
      </c>
      <c r="H2086">
        <f>B82_Assessment!B54</f>
        <v>0</v>
      </c>
      <c r="I2086">
        <f>B82_Assessment!C54</f>
        <v>0</v>
      </c>
      <c r="J2086">
        <f>B82_Assessment!D54</f>
        <v>0</v>
      </c>
      <c r="K2086">
        <f>B82_Assessment!E54</f>
        <v>0</v>
      </c>
      <c r="L2086">
        <f>B82_Assessment!F54</f>
        <v>0</v>
      </c>
      <c r="M2086">
        <f>B82_Assessment!G54</f>
        <v>0</v>
      </c>
      <c r="N2086">
        <f>B82_Assessment!H54</f>
        <v>0</v>
      </c>
      <c r="O2086">
        <f>B82_Assessment!I54</f>
        <v>0</v>
      </c>
      <c r="P2086">
        <f>B82_Assessment!J54</f>
        <v>0</v>
      </c>
      <c r="Q2086" t="str">
        <f t="shared" si="32"/>
        <v>82|47</v>
      </c>
    </row>
    <row r="2087" spans="1:17" ht="6.45" customHeight="1">
      <c r="A2087" t="s">
        <v>388</v>
      </c>
      <c r="B2087">
        <v>48</v>
      </c>
      <c r="C2087" t="s">
        <v>65</v>
      </c>
      <c r="D2087">
        <v>55</v>
      </c>
      <c r="E2087" t="s">
        <v>1051</v>
      </c>
      <c r="F2087" t="s">
        <v>5323</v>
      </c>
      <c r="G2087" t="str">
        <f>B82_Assessment!A55</f>
        <v>Question ID</v>
      </c>
      <c r="H2087" t="str">
        <f>B82_Assessment!B55</f>
        <v>Question</v>
      </c>
      <c r="I2087" t="str">
        <f>B82_Assessment!C55</f>
        <v>Assigned To</v>
      </c>
      <c r="J2087" t="str">
        <f>B82_Assessment!D55</f>
        <v>Status</v>
      </c>
      <c r="K2087" t="str">
        <f>B82_Assessment!E55</f>
        <v>Needed By</v>
      </c>
      <c r="L2087" t="str">
        <f>B82_Assessment!F55</f>
        <v>Answer / Resolution</v>
      </c>
      <c r="M2087" t="str">
        <f>B82_Assessment!G55</f>
        <v>Impact if Unanswered</v>
      </c>
      <c r="N2087" t="str">
        <f>B82_Assessment!H55</f>
        <v>Follow-up</v>
      </c>
      <c r="O2087" t="str">
        <f>B82_Assessment!I55</f>
        <v>Date Closed</v>
      </c>
      <c r="P2087" t="str">
        <f>B82_Assessment!J55</f>
        <v>Notes</v>
      </c>
      <c r="Q2087" t="str">
        <f t="shared" si="32"/>
        <v>82|48</v>
      </c>
    </row>
    <row r="2088" spans="1:17" ht="6.45" customHeight="1">
      <c r="A2088" t="s">
        <v>388</v>
      </c>
      <c r="B2088">
        <v>49</v>
      </c>
      <c r="C2088" t="s">
        <v>65</v>
      </c>
      <c r="D2088">
        <v>56</v>
      </c>
      <c r="E2088" t="s">
        <v>1051</v>
      </c>
      <c r="F2088" t="s">
        <v>5324</v>
      </c>
      <c r="G2088" t="str">
        <f>B82_Assessment!A56</f>
        <v>B82-Q1</v>
      </c>
      <c r="H2088" t="str">
        <f>B82_Assessment!B56</f>
        <v>Confirm final scope: new 12RU wall-mount TE enclosure in Room 102 and existing B01-A transition only?</v>
      </c>
      <c r="I2088" t="str">
        <f>B82_Assessment!C56</f>
        <v>VA / OIT / Designer</v>
      </c>
      <c r="J2088" t="str">
        <f>B82_Assessment!D56</f>
        <v>Closed</v>
      </c>
      <c r="K2088">
        <f>B82_Assessment!E56</f>
        <v>0</v>
      </c>
      <c r="L2088">
        <f>B82_Assessment!F56</f>
        <v>0</v>
      </c>
      <c r="M2088" t="str">
        <f>B82_Assessment!G56</f>
        <v>Room inventory or PMIS mapping could miss scope</v>
      </c>
      <c r="N2088">
        <f>B82_Assessment!H56</f>
        <v>0</v>
      </c>
      <c r="O2088">
        <f>B82_Assessment!I56</f>
        <v>0</v>
      </c>
      <c r="P2088">
        <f>B82_Assessment!J56</f>
        <v>0</v>
      </c>
      <c r="Q2088" t="str">
        <f t="shared" si="32"/>
        <v>82|49</v>
      </c>
    </row>
    <row r="2089" spans="1:17" ht="6.45" customHeight="1">
      <c r="A2089" t="s">
        <v>388</v>
      </c>
      <c r="B2089">
        <v>50</v>
      </c>
      <c r="C2089" t="s">
        <v>65</v>
      </c>
      <c r="D2089">
        <v>57</v>
      </c>
      <c r="E2089" t="s">
        <v>1051</v>
      </c>
      <c r="F2089" t="s">
        <v>5324</v>
      </c>
      <c r="G2089" t="str">
        <f>B82_Assessment!A57</f>
        <v>B82-Q2</v>
      </c>
      <c r="H2089" t="str">
        <f>B82_Assessment!B57</f>
        <v>What active services are currently fed from existing B01-A equipment?</v>
      </c>
      <c r="I2089" t="str">
        <f>B82_Assessment!C57</f>
        <v>OIT / Contractor</v>
      </c>
      <c r="J2089" t="str">
        <f>B82_Assessment!D57</f>
        <v>Closed</v>
      </c>
      <c r="K2089">
        <f>B82_Assessment!E57</f>
        <v>0</v>
      </c>
      <c r="L2089">
        <f>B82_Assessment!F57</f>
        <v>0</v>
      </c>
      <c r="M2089" t="str">
        <f>B82_Assessment!G57</f>
        <v>Potential communications/security outage</v>
      </c>
      <c r="N2089">
        <f>B82_Assessment!H57</f>
        <v>0</v>
      </c>
      <c r="O2089">
        <f>B82_Assessment!I57</f>
        <v>0</v>
      </c>
      <c r="P2089">
        <f>B82_Assessment!J57</f>
        <v>0</v>
      </c>
      <c r="Q2089" t="str">
        <f t="shared" si="32"/>
        <v>82|50</v>
      </c>
    </row>
    <row r="2090" spans="1:17" ht="6.45" customHeight="1">
      <c r="A2090" t="s">
        <v>388</v>
      </c>
      <c r="B2090">
        <v>51</v>
      </c>
      <c r="C2090" t="s">
        <v>65</v>
      </c>
      <c r="D2090">
        <v>58</v>
      </c>
      <c r="E2090" t="s">
        <v>1051</v>
      </c>
      <c r="F2090" t="s">
        <v>5324</v>
      </c>
      <c r="G2090" t="str">
        <f>B82_Assessment!A58</f>
        <v>B82-Q3</v>
      </c>
      <c r="H2090" t="str">
        <f>B82_Assessment!B58</f>
        <v>Is Room 102 officially a TE-only scope or a conditioned telecom room with mechanical support?</v>
      </c>
      <c r="I2090" t="str">
        <f>B82_Assessment!C58</f>
        <v>VA / AE / COR</v>
      </c>
      <c r="J2090" t="str">
        <f>B82_Assessment!D58</f>
        <v>Closed</v>
      </c>
      <c r="K2090">
        <f>B82_Assessment!E58</f>
        <v>0</v>
      </c>
      <c r="L2090">
        <f>B82_Assessment!F58</f>
        <v>0</v>
      </c>
      <c r="M2090" t="str">
        <f>B82_Assessment!G58</f>
        <v>Scope and commissioning responsibility unclear</v>
      </c>
      <c r="N2090">
        <f>B82_Assessment!H58</f>
        <v>0</v>
      </c>
      <c r="O2090">
        <f>B82_Assessment!I58</f>
        <v>0</v>
      </c>
      <c r="P2090">
        <f>B82_Assessment!J58</f>
        <v>0</v>
      </c>
      <c r="Q2090" t="str">
        <f t="shared" si="32"/>
        <v>82|51</v>
      </c>
    </row>
    <row r="2091" spans="1:17" ht="6.45" customHeight="1">
      <c r="A2091" t="s">
        <v>388</v>
      </c>
      <c r="B2091">
        <v>52</v>
      </c>
      <c r="C2091" t="s">
        <v>65</v>
      </c>
      <c r="D2091">
        <v>59</v>
      </c>
      <c r="E2091" t="s">
        <v>1051</v>
      </c>
      <c r="F2091" t="s">
        <v>5324</v>
      </c>
      <c r="G2091" t="str">
        <f>B82_Assessment!A59</f>
        <v>B82-Q4</v>
      </c>
      <c r="H2091" t="str">
        <f>B82_Assessment!B59</f>
        <v>Is IU-1-01/CU-1-01 on emergency/backup power and dedicated to Room 102?</v>
      </c>
      <c r="I2091" t="str">
        <f>B82_Assessment!C59</f>
        <v>Mechanical / Electrical / VA</v>
      </c>
      <c r="J2091" t="str">
        <f>B82_Assessment!D59</f>
        <v>Closed</v>
      </c>
      <c r="K2091">
        <f>B82_Assessment!E59</f>
        <v>0</v>
      </c>
      <c r="L2091">
        <f>B82_Assessment!F59</f>
        <v>0</v>
      </c>
      <c r="M2091" t="str">
        <f>B82_Assessment!G59</f>
        <v>Cooling continuity unclear</v>
      </c>
      <c r="N2091">
        <f>B82_Assessment!H59</f>
        <v>0</v>
      </c>
      <c r="O2091">
        <f>B82_Assessment!I59</f>
        <v>0</v>
      </c>
      <c r="P2091">
        <f>B82_Assessment!J59</f>
        <v>0</v>
      </c>
      <c r="Q2091" t="str">
        <f t="shared" si="32"/>
        <v>82|52</v>
      </c>
    </row>
    <row r="2092" spans="1:17" ht="6.45" customHeight="1">
      <c r="A2092" t="s">
        <v>388</v>
      </c>
      <c r="B2092">
        <v>53</v>
      </c>
      <c r="C2092" t="s">
        <v>65</v>
      </c>
      <c r="D2092">
        <v>60</v>
      </c>
      <c r="E2092" t="s">
        <v>1051</v>
      </c>
      <c r="F2092" t="s">
        <v>5324</v>
      </c>
      <c r="G2092" t="str">
        <f>B82_Assessment!A60</f>
        <v>B82-Q5</v>
      </c>
      <c r="H2092" t="str">
        <f>B82_Assessment!B60</f>
        <v>What is the approved power source, receptacle type and circuit capacity for the new APC UPS/PDU in Room 102?</v>
      </c>
      <c r="I2092" t="str">
        <f>B82_Assessment!C60</f>
        <v>Electrical / Designer</v>
      </c>
      <c r="J2092" t="str">
        <f>B82_Assessment!D60</f>
        <v>Closed</v>
      </c>
      <c r="K2092">
        <f>B82_Assessment!E60</f>
        <v>0</v>
      </c>
      <c r="L2092">
        <f>B82_Assessment!F60</f>
        <v>0</v>
      </c>
      <c r="M2092" t="str">
        <f>B82_Assessment!G60</f>
        <v>Electrical readiness unknown</v>
      </c>
      <c r="N2092">
        <f>B82_Assessment!H60</f>
        <v>0</v>
      </c>
      <c r="O2092">
        <f>B82_Assessment!I60</f>
        <v>0</v>
      </c>
      <c r="P2092">
        <f>B82_Assessment!J60</f>
        <v>0</v>
      </c>
      <c r="Q2092" t="str">
        <f t="shared" si="32"/>
        <v>82|53</v>
      </c>
    </row>
    <row r="2093" spans="1:17" ht="6.45" customHeight="1">
      <c r="A2093" t="s">
        <v>388</v>
      </c>
      <c r="B2093">
        <v>54</v>
      </c>
      <c r="C2093" t="s">
        <v>65</v>
      </c>
      <c r="D2093">
        <v>61</v>
      </c>
      <c r="E2093" t="s">
        <v>1051</v>
      </c>
      <c r="F2093" t="s">
        <v>5324</v>
      </c>
      <c r="G2093" t="str">
        <f>B82_Assessment!A61</f>
        <v>B82-Q6</v>
      </c>
      <c r="H2093" t="str">
        <f>B82_Assessment!B61</f>
        <v>Are all 278 feet of cable tray route, sleeves, supports and firestopping details field verified?</v>
      </c>
      <c r="I2093" t="str">
        <f>B82_Assessment!C61</f>
        <v>Telecom / GC / Firestop</v>
      </c>
      <c r="J2093" t="str">
        <f>B82_Assessment!D61</f>
        <v>Closed</v>
      </c>
      <c r="K2093">
        <f>B82_Assessment!E61</f>
        <v>0</v>
      </c>
      <c r="L2093">
        <f>B82_Assessment!F61</f>
        <v>0</v>
      </c>
      <c r="M2093" t="str">
        <f>B82_Assessment!G61</f>
        <v>Install delay or firestop gap</v>
      </c>
      <c r="N2093">
        <f>B82_Assessment!H61</f>
        <v>0</v>
      </c>
      <c r="O2093">
        <f>B82_Assessment!I61</f>
        <v>0</v>
      </c>
      <c r="P2093">
        <f>B82_Assessment!J61</f>
        <v>0</v>
      </c>
      <c r="Q2093" t="str">
        <f t="shared" si="32"/>
        <v>82|54</v>
      </c>
    </row>
    <row r="2094" spans="1:17" ht="6.45" customHeight="1">
      <c r="A2094" t="s">
        <v>388</v>
      </c>
      <c r="B2094">
        <v>55</v>
      </c>
      <c r="C2094" t="s">
        <v>65</v>
      </c>
      <c r="D2094">
        <v>62</v>
      </c>
      <c r="E2094" t="s">
        <v>1051</v>
      </c>
      <c r="F2094" t="s">
        <v>5324</v>
      </c>
      <c r="G2094" t="str">
        <f>B82_Assessment!A62</f>
        <v>B82-Q7</v>
      </c>
      <c r="H2094" t="str">
        <f>B82_Assessment!B62</f>
        <v>Are existing cameras/security devices protected and retained with no VMS/PACS disruption?</v>
      </c>
      <c r="I2094" t="str">
        <f>B82_Assessment!C62</f>
        <v>Security / OIT</v>
      </c>
      <c r="J2094" t="str">
        <f>B82_Assessment!D62</f>
        <v>Closed</v>
      </c>
      <c r="K2094">
        <f>B82_Assessment!E62</f>
        <v>0</v>
      </c>
      <c r="L2094">
        <f>B82_Assessment!F62</f>
        <v>0</v>
      </c>
      <c r="M2094" t="str">
        <f>B82_Assessment!G62</f>
        <v>Security continuity unclear</v>
      </c>
      <c r="N2094">
        <f>B82_Assessment!H62</f>
        <v>0</v>
      </c>
      <c r="O2094">
        <f>B82_Assessment!I62</f>
        <v>0</v>
      </c>
      <c r="P2094">
        <f>B82_Assessment!J62</f>
        <v>0</v>
      </c>
      <c r="Q2094" t="str">
        <f t="shared" si="32"/>
        <v>82|55</v>
      </c>
    </row>
    <row r="2095" spans="1:17" ht="6.45" customHeight="1">
      <c r="A2095" t="s">
        <v>388</v>
      </c>
      <c r="B2095">
        <v>56</v>
      </c>
      <c r="C2095" t="s">
        <v>65</v>
      </c>
      <c r="D2095">
        <v>63</v>
      </c>
      <c r="E2095" t="s">
        <v>1051</v>
      </c>
      <c r="F2095" t="s">
        <v>5324</v>
      </c>
      <c r="G2095" t="str">
        <f>B82_Assessment!A63</f>
        <v>B82-Q8</v>
      </c>
      <c r="H2095" t="str">
        <f>B82_Assessment!B63</f>
        <v>Which test records, HVAC startup records and turnover documents are required for TE acceptance?</v>
      </c>
      <c r="I2095" t="str">
        <f>B82_Assessment!C63</f>
        <v>GC / Cx Manager / OIT</v>
      </c>
      <c r="J2095" t="str">
        <f>B82_Assessment!D63</f>
        <v>Closed</v>
      </c>
      <c r="K2095">
        <f>B82_Assessment!E63</f>
        <v>0</v>
      </c>
      <c r="L2095">
        <f>B82_Assessment!F63</f>
        <v>0</v>
      </c>
      <c r="M2095" t="str">
        <f>B82_Assessment!G63</f>
        <v>Turnover package gap</v>
      </c>
      <c r="N2095">
        <f>B82_Assessment!H63</f>
        <v>0</v>
      </c>
      <c r="O2095">
        <f>B82_Assessment!I63</f>
        <v>0</v>
      </c>
      <c r="P2095">
        <f>B82_Assessment!J63</f>
        <v>0</v>
      </c>
      <c r="Q2095" t="str">
        <f t="shared" si="32"/>
        <v>82|56</v>
      </c>
    </row>
    <row r="2096" spans="1:17" ht="6.45" customHeight="1">
      <c r="A2096" t="s">
        <v>388</v>
      </c>
      <c r="B2096">
        <v>57</v>
      </c>
      <c r="C2096" t="s">
        <v>65</v>
      </c>
      <c r="D2096">
        <v>64</v>
      </c>
      <c r="E2096" t="s">
        <v>1051</v>
      </c>
      <c r="F2096" t="s">
        <v>5325</v>
      </c>
      <c r="G2096">
        <f>B82_Assessment!A64</f>
        <v>0</v>
      </c>
      <c r="H2096">
        <f>B82_Assessment!B64</f>
        <v>0</v>
      </c>
      <c r="I2096">
        <f>B82_Assessment!C64</f>
        <v>0</v>
      </c>
      <c r="J2096">
        <f>B82_Assessment!D64</f>
        <v>0</v>
      </c>
      <c r="K2096">
        <f>B82_Assessment!E64</f>
        <v>0</v>
      </c>
      <c r="L2096">
        <f>B82_Assessment!F64</f>
        <v>0</v>
      </c>
      <c r="M2096">
        <f>B82_Assessment!G64</f>
        <v>0</v>
      </c>
      <c r="N2096">
        <f>B82_Assessment!H64</f>
        <v>0</v>
      </c>
      <c r="O2096">
        <f>B82_Assessment!I64</f>
        <v>0</v>
      </c>
      <c r="P2096">
        <f>B82_Assessment!J64</f>
        <v>0</v>
      </c>
      <c r="Q2096" t="str">
        <f t="shared" si="32"/>
        <v>82|57</v>
      </c>
    </row>
    <row r="2097" spans="1:17" ht="6.45" customHeight="1">
      <c r="A2097" t="s">
        <v>388</v>
      </c>
      <c r="B2097">
        <v>58</v>
      </c>
      <c r="C2097" t="s">
        <v>65</v>
      </c>
      <c r="D2097">
        <v>65</v>
      </c>
      <c r="E2097" t="s">
        <v>1052</v>
      </c>
      <c r="F2097" t="s">
        <v>5322</v>
      </c>
      <c r="G2097" t="str">
        <f>B82_Assessment!A65</f>
        <v>10. PHOTO LOG</v>
      </c>
      <c r="H2097">
        <f>B82_Assessment!B65</f>
        <v>0</v>
      </c>
      <c r="I2097">
        <f>B82_Assessment!C65</f>
        <v>0</v>
      </c>
      <c r="J2097">
        <f>B82_Assessment!D65</f>
        <v>0</v>
      </c>
      <c r="K2097">
        <f>B82_Assessment!E65</f>
        <v>0</v>
      </c>
      <c r="L2097">
        <f>B82_Assessment!F65</f>
        <v>0</v>
      </c>
      <c r="M2097">
        <f>B82_Assessment!G65</f>
        <v>0</v>
      </c>
      <c r="N2097">
        <f>B82_Assessment!H65</f>
        <v>0</v>
      </c>
      <c r="O2097">
        <f>B82_Assessment!I65</f>
        <v>0</v>
      </c>
      <c r="P2097">
        <f>B82_Assessment!J65</f>
        <v>0</v>
      </c>
      <c r="Q2097" t="str">
        <f t="shared" si="32"/>
        <v>82|58</v>
      </c>
    </row>
    <row r="2098" spans="1:17" ht="6.45" customHeight="1">
      <c r="A2098" t="s">
        <v>388</v>
      </c>
      <c r="B2098">
        <v>59</v>
      </c>
      <c r="C2098" t="s">
        <v>65</v>
      </c>
      <c r="D2098">
        <v>66</v>
      </c>
      <c r="E2098" t="s">
        <v>1052</v>
      </c>
      <c r="F2098" t="s">
        <v>5323</v>
      </c>
      <c r="G2098" t="str">
        <f>B82_Assessment!A66</f>
        <v>Photo ID</v>
      </c>
      <c r="H2098" t="str">
        <f>B82_Assessment!B66</f>
        <v>Room</v>
      </c>
      <c r="I2098" t="str">
        <f>B82_Assessment!C66</f>
        <v>Category</v>
      </c>
      <c r="J2098" t="str">
        <f>B82_Assessment!D66</f>
        <v>Description</v>
      </c>
      <c r="K2098" t="str">
        <f>B82_Assessment!E66</f>
        <v>Date</v>
      </c>
      <c r="L2098" t="str">
        <f>B82_Assessment!F66</f>
        <v>Taken By</v>
      </c>
      <c r="M2098" t="str">
        <f>B82_Assessment!G66</f>
        <v>File / Link</v>
      </c>
      <c r="N2098" t="str">
        <f>B82_Assessment!H66</f>
        <v>Related Risk</v>
      </c>
      <c r="O2098" t="str">
        <f>B82_Assessment!I66</f>
        <v>Status</v>
      </c>
      <c r="P2098" t="str">
        <f>B82_Assessment!J66</f>
        <v>Notes</v>
      </c>
      <c r="Q2098" t="str">
        <f t="shared" si="32"/>
        <v>82|59</v>
      </c>
    </row>
    <row r="2099" spans="1:17" ht="6.45" customHeight="1">
      <c r="A2099" t="s">
        <v>388</v>
      </c>
      <c r="B2099">
        <v>60</v>
      </c>
      <c r="C2099" t="s">
        <v>65</v>
      </c>
      <c r="D2099">
        <v>67</v>
      </c>
      <c r="E2099" t="s">
        <v>1052</v>
      </c>
      <c r="F2099" t="s">
        <v>5324</v>
      </c>
      <c r="G2099" t="str">
        <f>B82_Assessment!A67</f>
        <v>B82-P001</v>
      </c>
      <c r="H2099" t="str">
        <f>B82_Assessment!B67</f>
        <v>102</v>
      </c>
      <c r="I2099" t="str">
        <f>B82_Assessment!C67</f>
        <v>Existing Condition</v>
      </c>
      <c r="J2099" t="str">
        <f>B82_Assessment!D67</f>
        <v>Room 102 wall location, wall backing, clearances, ceiling, power source, cable path, fiber path A/B and new TE enclosure location</v>
      </c>
      <c r="K2099">
        <f>B82_Assessment!E67</f>
        <v>0</v>
      </c>
      <c r="L2099" t="str">
        <f>B82_Assessment!F67</f>
        <v>Paul</v>
      </c>
      <c r="M2099">
        <f>B82_Assessment!G67</f>
        <v>0</v>
      </c>
      <c r="N2099" t="str">
        <f>B82_Assessment!H67</f>
        <v>B82-R1/B82-R3</v>
      </c>
      <c r="O2099" t="str">
        <f>B82_Assessment!I67</f>
        <v>Closed</v>
      </c>
      <c r="P2099">
        <f>B82_Assessment!J67</f>
        <v>0</v>
      </c>
      <c r="Q2099" t="str">
        <f t="shared" si="32"/>
        <v>82|60</v>
      </c>
    </row>
    <row r="2100" spans="1:17" ht="6.45" customHeight="1">
      <c r="A2100" t="s">
        <v>388</v>
      </c>
      <c r="B2100">
        <v>61</v>
      </c>
      <c r="C2100" t="s">
        <v>65</v>
      </c>
      <c r="D2100">
        <v>68</v>
      </c>
      <c r="E2100" t="s">
        <v>1052</v>
      </c>
      <c r="F2100" t="s">
        <v>5324</v>
      </c>
      <c r="G2100" t="str">
        <f>B82_Assessment!A68</f>
        <v>B82-P002</v>
      </c>
      <c r="H2100" t="str">
        <f>B82_Assessment!B68</f>
        <v>B01-A</v>
      </c>
      <c r="I2100" t="str">
        <f>B82_Assessment!C68</f>
        <v>Existing Condition</v>
      </c>
      <c r="J2100" t="str">
        <f>B82_Assessment!D68</f>
        <v>Existing first-level telecom room B01-A wall rack, Cisco switches, cable management, Ortronics patch panels, APC floor UPS and cable entries</v>
      </c>
      <c r="K2100">
        <f>B82_Assessment!E68</f>
        <v>0</v>
      </c>
      <c r="L2100" t="str">
        <f>B82_Assessment!F68</f>
        <v>Paul</v>
      </c>
      <c r="M2100">
        <f>B82_Assessment!G68</f>
        <v>0</v>
      </c>
      <c r="N2100" t="str">
        <f>B82_Assessment!H68</f>
        <v>B82-R1/B82-R2</v>
      </c>
      <c r="O2100" t="str">
        <f>B82_Assessment!I68</f>
        <v>Closed</v>
      </c>
      <c r="P2100">
        <f>B82_Assessment!J68</f>
        <v>0</v>
      </c>
      <c r="Q2100" t="str">
        <f t="shared" si="32"/>
        <v>82|61</v>
      </c>
    </row>
    <row r="2101" spans="1:17" ht="6.45" customHeight="1">
      <c r="A2101" t="s">
        <v>388</v>
      </c>
      <c r="B2101">
        <v>62</v>
      </c>
      <c r="C2101" t="s">
        <v>65</v>
      </c>
      <c r="D2101">
        <v>69</v>
      </c>
      <c r="E2101" t="s">
        <v>1052</v>
      </c>
      <c r="F2101" t="s">
        <v>5324</v>
      </c>
      <c r="G2101" t="str">
        <f>B82_Assessment!A69</f>
        <v>B82-P003</v>
      </c>
      <c r="H2101" t="str">
        <f>B82_Assessment!B69</f>
        <v>102 / B01-A</v>
      </c>
      <c r="I2101" t="str">
        <f>B82_Assessment!C69</f>
        <v>Pathway</v>
      </c>
      <c r="J2101" t="str">
        <f>B82_Assessment!D69</f>
        <v>278 ft first-level cable tray route, 4-inch sleeve, wall/floor penetrations, support points, light/HVAC conflicts and 40% fill concerns</v>
      </c>
      <c r="K2101">
        <f>B82_Assessment!E69</f>
        <v>0</v>
      </c>
      <c r="L2101" t="str">
        <f>B82_Assessment!F69</f>
        <v>Paul</v>
      </c>
      <c r="M2101">
        <f>B82_Assessment!G69</f>
        <v>0</v>
      </c>
      <c r="N2101" t="str">
        <f>B82_Assessment!H69</f>
        <v>B82-R6/B82-R7</v>
      </c>
      <c r="O2101" t="str">
        <f>B82_Assessment!I69</f>
        <v>Closed</v>
      </c>
      <c r="P2101">
        <f>B82_Assessment!J69</f>
        <v>0</v>
      </c>
      <c r="Q2101" t="str">
        <f t="shared" si="32"/>
        <v>82|62</v>
      </c>
    </row>
    <row r="2102" spans="1:17" ht="6.45" customHeight="1">
      <c r="A2102" t="s">
        <v>388</v>
      </c>
      <c r="B2102">
        <v>63</v>
      </c>
      <c r="C2102" t="s">
        <v>65</v>
      </c>
      <c r="D2102">
        <v>70</v>
      </c>
      <c r="E2102" t="s">
        <v>1052</v>
      </c>
      <c r="F2102" t="s">
        <v>5324</v>
      </c>
      <c r="G2102" t="str">
        <f>B82_Assessment!A70</f>
        <v>B82-P004</v>
      </c>
      <c r="H2102" t="str">
        <f>B82_Assessment!B70</f>
        <v>102</v>
      </c>
      <c r="I2102" t="str">
        <f>B82_Assessment!C70</f>
        <v>HVAC</v>
      </c>
      <c r="J2102" t="str">
        <f>B82_Assessment!D70</f>
        <v>IU-1-01/CU-1-01, condensate pump/path, thermostat, BACnet adapter, disconnects, high-temp alarm and power source</v>
      </c>
      <c r="K2102">
        <f>B82_Assessment!E70</f>
        <v>0</v>
      </c>
      <c r="L2102" t="str">
        <f>B82_Assessment!F70</f>
        <v>Paul</v>
      </c>
      <c r="M2102">
        <f>B82_Assessment!G70</f>
        <v>0</v>
      </c>
      <c r="N2102" t="str">
        <f>B82_Assessment!H70</f>
        <v>B82-R4</v>
      </c>
      <c r="O2102" t="str">
        <f>B82_Assessment!I70</f>
        <v>Closed</v>
      </c>
      <c r="P2102">
        <f>B82_Assessment!J70</f>
        <v>0</v>
      </c>
      <c r="Q2102" t="str">
        <f t="shared" si="32"/>
        <v>82|63</v>
      </c>
    </row>
    <row r="2103" spans="1:17" ht="6.45" customHeight="1">
      <c r="A2103" t="s">
        <v>388</v>
      </c>
      <c r="B2103">
        <v>64</v>
      </c>
      <c r="C2103" t="s">
        <v>65</v>
      </c>
      <c r="D2103">
        <v>71</v>
      </c>
      <c r="E2103" t="s">
        <v>1052</v>
      </c>
      <c r="F2103" t="s">
        <v>5324</v>
      </c>
      <c r="G2103" t="str">
        <f>B82_Assessment!A71</f>
        <v>B82-P005</v>
      </c>
      <c r="H2103" t="str">
        <f>B82_Assessment!B71</f>
        <v>102</v>
      </c>
      <c r="I2103" t="str">
        <f>B82_Assessment!C71</f>
        <v>Electrical</v>
      </c>
      <c r="J2103" t="str">
        <f>B82_Assessment!D71</f>
        <v>New TE enclosure UPS/PDU receptacles, circuit source, B82-MDP/B82-P-EMER connections, grounding/bonding, SPD, labels and access</v>
      </c>
      <c r="K2103">
        <f>B82_Assessment!E71</f>
        <v>0</v>
      </c>
      <c r="L2103" t="str">
        <f>B82_Assessment!F71</f>
        <v>Paul</v>
      </c>
      <c r="M2103">
        <f>B82_Assessment!G71</f>
        <v>0</v>
      </c>
      <c r="N2103" t="str">
        <f>B82_Assessment!H71</f>
        <v>B82-R5</v>
      </c>
      <c r="O2103" t="str">
        <f>B82_Assessment!I71</f>
        <v>Closed</v>
      </c>
      <c r="P2103">
        <f>B82_Assessment!J71</f>
        <v>0</v>
      </c>
      <c r="Q2103" t="str">
        <f t="shared" si="32"/>
        <v>82|64</v>
      </c>
    </row>
    <row r="2104" spans="1:17" ht="6.45" customHeight="1">
      <c r="A2104" t="s">
        <v>388</v>
      </c>
      <c r="B2104">
        <v>65</v>
      </c>
      <c r="C2104" t="s">
        <v>65</v>
      </c>
      <c r="D2104">
        <v>72</v>
      </c>
      <c r="E2104" t="s">
        <v>1052</v>
      </c>
      <c r="F2104" t="s">
        <v>5324</v>
      </c>
      <c r="G2104" t="str">
        <f>B82_Assessment!A72</f>
        <v>B82-P006</v>
      </c>
      <c r="H2104" t="str">
        <f>B82_Assessment!B72</f>
        <v>102 / B01-A</v>
      </c>
      <c r="I2104" t="str">
        <f>B82_Assessment!C72</f>
        <v>Telecom</v>
      </c>
      <c r="J2104" t="str">
        <f>B82_Assessment!D72</f>
        <v>TR01-102-01 enclosure, cross-connect/cutover cabling, Fiber LIU, patch panels, labels, test results and existing equipment transfer</v>
      </c>
      <c r="K2104">
        <f>B82_Assessment!E72</f>
        <v>0</v>
      </c>
      <c r="L2104" t="str">
        <f>B82_Assessment!F72</f>
        <v>Paul</v>
      </c>
      <c r="M2104">
        <f>B82_Assessment!G72</f>
        <v>0</v>
      </c>
      <c r="N2104" t="str">
        <f>B82_Assessment!H72</f>
        <v>B82-R2/B82-R8</v>
      </c>
      <c r="O2104" t="str">
        <f>B82_Assessment!I72</f>
        <v>Closed</v>
      </c>
      <c r="P2104">
        <f>B82_Assessment!J72</f>
        <v>0</v>
      </c>
      <c r="Q2104" t="str">
        <f t="shared" si="32"/>
        <v>82|65</v>
      </c>
    </row>
    <row r="2105" spans="1:17" ht="6.45" customHeight="1">
      <c r="A2105" t="s">
        <v>388</v>
      </c>
      <c r="B2105">
        <v>66</v>
      </c>
      <c r="C2105" t="s">
        <v>65</v>
      </c>
      <c r="D2105">
        <v>73</v>
      </c>
      <c r="E2105" t="s">
        <v>1052</v>
      </c>
      <c r="F2105" t="s">
        <v>5324</v>
      </c>
      <c r="G2105" t="str">
        <f>B82_Assessment!A73</f>
        <v>B82-P007</v>
      </c>
      <c r="H2105" t="str">
        <f>B82_Assessment!B73</f>
        <v>All</v>
      </c>
      <c r="I2105" t="str">
        <f>B82_Assessment!C73</f>
        <v>Firestop</v>
      </c>
      <c r="J2105" t="str">
        <f>B82_Assessment!D73</f>
        <v>4-inch speed sleeve, wall/floor penetrations and fire caulk before/after photos</v>
      </c>
      <c r="K2105">
        <f>B82_Assessment!E73</f>
        <v>0</v>
      </c>
      <c r="L2105" t="str">
        <f>B82_Assessment!F73</f>
        <v>Paul</v>
      </c>
      <c r="M2105">
        <f>B82_Assessment!G73</f>
        <v>0</v>
      </c>
      <c r="N2105" t="str">
        <f>B82_Assessment!H73</f>
        <v>B82-R7</v>
      </c>
      <c r="O2105" t="str">
        <f>B82_Assessment!I73</f>
        <v>Closed</v>
      </c>
      <c r="P2105">
        <f>B82_Assessment!J73</f>
        <v>0</v>
      </c>
      <c r="Q2105" t="str">
        <f t="shared" si="32"/>
        <v>82|66</v>
      </c>
    </row>
    <row r="2106" spans="1:17" ht="6.45" customHeight="1">
      <c r="A2106" t="s">
        <v>388</v>
      </c>
      <c r="B2106">
        <v>67</v>
      </c>
      <c r="C2106" t="s">
        <v>65</v>
      </c>
      <c r="D2106">
        <v>74</v>
      </c>
      <c r="E2106" t="s">
        <v>1052</v>
      </c>
      <c r="F2106" t="s">
        <v>5324</v>
      </c>
      <c r="G2106" t="str">
        <f>B82_Assessment!A74</f>
        <v>B82-P008</v>
      </c>
      <c r="H2106" t="str">
        <f>B82_Assessment!B74</f>
        <v>All</v>
      </c>
      <c r="I2106" t="str">
        <f>B82_Assessment!C74</f>
        <v>Security / Existing Devices</v>
      </c>
      <c r="J2106" t="str">
        <f>B82_Assessment!D74</f>
        <v>Existing cameras/security devices to remain, protection-in-place and final operating condition</v>
      </c>
      <c r="K2106">
        <f>B82_Assessment!E74</f>
        <v>0</v>
      </c>
      <c r="L2106" t="str">
        <f>B82_Assessment!F74</f>
        <v>Paul</v>
      </c>
      <c r="M2106">
        <f>B82_Assessment!G74</f>
        <v>0</v>
      </c>
      <c r="N2106" t="str">
        <f>B82_Assessment!H74</f>
        <v>B82-R8</v>
      </c>
      <c r="O2106" t="str">
        <f>B82_Assessment!I74</f>
        <v>Closed</v>
      </c>
      <c r="P2106">
        <f>B82_Assessment!J74</f>
        <v>0</v>
      </c>
      <c r="Q2106" t="str">
        <f t="shared" si="32"/>
        <v>82|67</v>
      </c>
    </row>
    <row r="2107" spans="1:17" ht="6.45" customHeight="1">
      <c r="A2107" t="s">
        <v>388</v>
      </c>
      <c r="B2107">
        <v>68</v>
      </c>
      <c r="C2107" t="s">
        <v>65</v>
      </c>
      <c r="D2107">
        <v>75</v>
      </c>
      <c r="E2107" t="s">
        <v>1052</v>
      </c>
      <c r="F2107" t="s">
        <v>5325</v>
      </c>
      <c r="G2107">
        <f>B82_Assessment!A75</f>
        <v>0</v>
      </c>
      <c r="H2107">
        <f>B82_Assessment!B75</f>
        <v>0</v>
      </c>
      <c r="I2107">
        <f>B82_Assessment!C75</f>
        <v>0</v>
      </c>
      <c r="J2107">
        <f>B82_Assessment!D75</f>
        <v>0</v>
      </c>
      <c r="K2107">
        <f>B82_Assessment!E75</f>
        <v>0</v>
      </c>
      <c r="L2107">
        <f>B82_Assessment!F75</f>
        <v>0</v>
      </c>
      <c r="M2107">
        <f>B82_Assessment!G75</f>
        <v>0</v>
      </c>
      <c r="N2107">
        <f>B82_Assessment!H75</f>
        <v>0</v>
      </c>
      <c r="O2107">
        <f>B82_Assessment!I75</f>
        <v>0</v>
      </c>
      <c r="P2107">
        <f>B82_Assessment!J75</f>
        <v>0</v>
      </c>
      <c r="Q2107" t="str">
        <f t="shared" si="32"/>
        <v>82|68</v>
      </c>
    </row>
    <row r="2108" spans="1:17" ht="6.45" customHeight="1">
      <c r="A2108" t="s">
        <v>3884</v>
      </c>
      <c r="B2108">
        <v>1</v>
      </c>
      <c r="C2108" t="s">
        <v>67</v>
      </c>
      <c r="D2108">
        <v>8</v>
      </c>
      <c r="E2108" t="s">
        <v>918</v>
      </c>
      <c r="F2108" t="s">
        <v>5322</v>
      </c>
      <c r="G2108" t="str">
        <f>BCH_Assessment!A8</f>
        <v>1. ROOM INVENTORY</v>
      </c>
      <c r="H2108">
        <f>BCH_Assessment!B8</f>
        <v>0</v>
      </c>
      <c r="I2108">
        <f>BCH_Assessment!C8</f>
        <v>0</v>
      </c>
      <c r="J2108">
        <f>BCH_Assessment!D8</f>
        <v>0</v>
      </c>
      <c r="K2108">
        <f>BCH_Assessment!E8</f>
        <v>0</v>
      </c>
      <c r="L2108">
        <f>BCH_Assessment!F8</f>
        <v>0</v>
      </c>
      <c r="M2108">
        <f>BCH_Assessment!G8</f>
        <v>0</v>
      </c>
      <c r="N2108">
        <f>BCH_Assessment!H8</f>
        <v>0</v>
      </c>
      <c r="O2108">
        <f>BCH_Assessment!I8</f>
        <v>0</v>
      </c>
      <c r="P2108">
        <f>BCH_Assessment!J8</f>
        <v>0</v>
      </c>
      <c r="Q2108" t="str">
        <f t="shared" si="32"/>
        <v>BCH|1</v>
      </c>
    </row>
    <row r="2109" spans="1:17" ht="6.45" customHeight="1">
      <c r="A2109" t="s">
        <v>3884</v>
      </c>
      <c r="B2109">
        <v>2</v>
      </c>
      <c r="C2109" t="s">
        <v>67</v>
      </c>
      <c r="D2109">
        <v>9</v>
      </c>
      <c r="E2109" t="s">
        <v>918</v>
      </c>
      <c r="F2109" t="s">
        <v>5323</v>
      </c>
      <c r="G2109" t="str">
        <f>BCH_Assessment!A9</f>
        <v>Building</v>
      </c>
      <c r="H2109" t="str">
        <f>BCH_Assessment!B9</f>
        <v>Room</v>
      </c>
      <c r="I2109" t="str">
        <f>BCH_Assessment!C9</f>
        <v>Floor</v>
      </c>
      <c r="J2109" t="str">
        <f>BCH_Assessment!D9</f>
        <v>Existing Use</v>
      </c>
      <c r="K2109" t="str">
        <f>BCH_Assessment!E9</f>
        <v>New Use</v>
      </c>
      <c r="L2109" t="str">
        <f>BCH_Assessment!F9</f>
        <v>Rack Count</v>
      </c>
      <c r="M2109" t="str">
        <f>BCH_Assessment!G9</f>
        <v>Future Rack</v>
      </c>
      <c r="N2109" t="str">
        <f>BCH_Assessment!H9</f>
        <v>Status</v>
      </c>
      <c r="O2109" t="str">
        <f>BCH_Assessment!I9</f>
        <v>Drawing Ref</v>
      </c>
      <c r="P2109" t="str">
        <f>BCH_Assessment!J9</f>
        <v>Notes</v>
      </c>
      <c r="Q2109" t="str">
        <f t="shared" si="32"/>
        <v>BCH|2</v>
      </c>
    </row>
    <row r="2110" spans="1:17" ht="6.45" customHeight="1">
      <c r="A2110" t="s">
        <v>3884</v>
      </c>
      <c r="B2110">
        <v>3</v>
      </c>
      <c r="C2110" t="s">
        <v>67</v>
      </c>
      <c r="D2110">
        <v>10</v>
      </c>
      <c r="E2110" t="s">
        <v>918</v>
      </c>
      <c r="F2110" t="s">
        <v>5324</v>
      </c>
      <c r="G2110" t="str">
        <f>BCH_Assessment!A10</f>
        <v>BCH</v>
      </c>
      <c r="H2110" t="str">
        <f>BCH_Assessment!B10</f>
        <v>107</v>
      </c>
      <c r="I2110" t="str">
        <f>BCH_Assessment!C10</f>
        <v>First</v>
      </c>
      <c r="J2110" t="str">
        <f>BCH_Assessment!D10</f>
        <v>Existing Crescent House room area / telecom work area</v>
      </c>
      <c r="K2110" t="str">
        <f>BCH_Assessment!E10</f>
        <v>Telecom Enclosure / Telecom Room</v>
      </c>
      <c r="L2110">
        <f>BCH_Assessment!F10</f>
        <v>1</v>
      </c>
      <c r="M2110">
        <f>BCH_Assessment!G10</f>
        <v>0</v>
      </c>
      <c r="N2110" t="str">
        <f>BCH_Assessment!H10</f>
        <v>Verify</v>
      </c>
      <c r="O2110" t="str">
        <f>BCH_Assessment!I10</f>
        <v>BCHGA-401 / BCHE-101 / BCHT-101 / BCHT-604</v>
      </c>
      <c r="P2110" t="str">
        <f>BCH_Assessment!J10</f>
        <v>Primary BCH telecom location. Architectural/electrical/telecom plans reference first-level Room 107. BCHT-101 enlarged plan identifies RM 107 new telecom work. BCHT-604 shows BCH Crescent House Room 107 as new telecom room / no existing elevations.</v>
      </c>
      <c r="Q2110" t="str">
        <f t="shared" si="32"/>
        <v>BCH|3</v>
      </c>
    </row>
    <row r="2111" spans="1:17" ht="6.45" customHeight="1">
      <c r="A2111" t="s">
        <v>3884</v>
      </c>
      <c r="B2111">
        <v>4</v>
      </c>
      <c r="C2111" t="s">
        <v>67</v>
      </c>
      <c r="D2111">
        <v>11</v>
      </c>
      <c r="E2111" t="s">
        <v>918</v>
      </c>
      <c r="F2111" t="s">
        <v>5324</v>
      </c>
      <c r="G2111" t="str">
        <f>BCH_Assessment!A11</f>
        <v>BCH</v>
      </c>
      <c r="H2111" t="str">
        <f>BCH_Assessment!B11</f>
        <v>00 / 107</v>
      </c>
      <c r="I2111" t="str">
        <f>BCH_Assessment!C11</f>
        <v>First</v>
      </c>
      <c r="J2111" t="str">
        <f>BCH_Assessment!D11</f>
        <v>Rack/elevation reference location</v>
      </c>
      <c r="K2111" t="str">
        <f>BCH_Assessment!E11</f>
        <v>Telecom Enclosure</v>
      </c>
      <c r="L2111">
        <f>BCH_Assessment!F11</f>
        <v>1</v>
      </c>
      <c r="M2111">
        <f>BCH_Assessment!G11</f>
        <v>0</v>
      </c>
      <c r="N2111" t="str">
        <f>BCH_Assessment!H11</f>
        <v>Verify</v>
      </c>
      <c r="O2111" t="str">
        <f>BCH_Assessment!I11</f>
        <v>BCHT-604</v>
      </c>
      <c r="P2111" t="str">
        <f>BCH_Assessment!J11</f>
        <v>Rack elevation shows 12RU telecom enclosure with APC UPS, two PDUs, network switch, 48-port Cat6A patch panel, Fiber LIU, and first-level mounting. Also includes separate BCH Crescent House Room 107 / new telecom room elevation; field confirm correct configuration.</v>
      </c>
      <c r="Q2111" t="str">
        <f t="shared" si="32"/>
        <v>BCH|4</v>
      </c>
    </row>
    <row r="2112" spans="1:17" ht="6.45" customHeight="1">
      <c r="A2112" t="s">
        <v>3884</v>
      </c>
      <c r="B2112">
        <v>5</v>
      </c>
      <c r="C2112" t="s">
        <v>67</v>
      </c>
      <c r="D2112">
        <v>12</v>
      </c>
      <c r="E2112" t="s">
        <v>918</v>
      </c>
      <c r="F2112" t="s">
        <v>5325</v>
      </c>
      <c r="G2112">
        <f>BCH_Assessment!A12</f>
        <v>0</v>
      </c>
      <c r="H2112">
        <f>BCH_Assessment!B12</f>
        <v>0</v>
      </c>
      <c r="I2112">
        <f>BCH_Assessment!C12</f>
        <v>0</v>
      </c>
      <c r="J2112">
        <f>BCH_Assessment!D12</f>
        <v>0</v>
      </c>
      <c r="K2112">
        <f>BCH_Assessment!E12</f>
        <v>0</v>
      </c>
      <c r="L2112">
        <f>BCH_Assessment!F12</f>
        <v>0</v>
      </c>
      <c r="M2112">
        <f>BCH_Assessment!G12</f>
        <v>0</v>
      </c>
      <c r="N2112">
        <f>BCH_Assessment!H12</f>
        <v>0</v>
      </c>
      <c r="O2112">
        <f>BCH_Assessment!I12</f>
        <v>0</v>
      </c>
      <c r="P2112">
        <f>BCH_Assessment!J12</f>
        <v>0</v>
      </c>
      <c r="Q2112" t="str">
        <f t="shared" si="32"/>
        <v>BCH|5</v>
      </c>
    </row>
    <row r="2113" spans="1:17" ht="6.45" customHeight="1">
      <c r="A2113" t="s">
        <v>3884</v>
      </c>
      <c r="B2113">
        <v>6</v>
      </c>
      <c r="C2113" t="s">
        <v>67</v>
      </c>
      <c r="D2113">
        <v>13</v>
      </c>
      <c r="E2113" t="s">
        <v>936</v>
      </c>
      <c r="F2113" t="s">
        <v>5322</v>
      </c>
      <c r="G2113" t="str">
        <f>BCH_Assessment!A13</f>
        <v>2. ROOM READINESS</v>
      </c>
      <c r="H2113">
        <f>BCH_Assessment!B13</f>
        <v>0</v>
      </c>
      <c r="I2113">
        <f>BCH_Assessment!C13</f>
        <v>0</v>
      </c>
      <c r="J2113">
        <f>BCH_Assessment!D13</f>
        <v>0</v>
      </c>
      <c r="K2113">
        <f>BCH_Assessment!E13</f>
        <v>0</v>
      </c>
      <c r="L2113">
        <f>BCH_Assessment!F13</f>
        <v>0</v>
      </c>
      <c r="M2113">
        <f>BCH_Assessment!G13</f>
        <v>0</v>
      </c>
      <c r="N2113">
        <f>BCH_Assessment!H13</f>
        <v>0</v>
      </c>
      <c r="O2113">
        <f>BCH_Assessment!I13</f>
        <v>0</v>
      </c>
      <c r="P2113">
        <f>BCH_Assessment!J13</f>
        <v>0</v>
      </c>
      <c r="Q2113" t="str">
        <f t="shared" si="32"/>
        <v>BCH|6</v>
      </c>
    </row>
    <row r="2114" spans="1:17" ht="6.45" customHeight="1">
      <c r="A2114" t="s">
        <v>3884</v>
      </c>
      <c r="B2114">
        <v>7</v>
      </c>
      <c r="C2114" t="s">
        <v>67</v>
      </c>
      <c r="D2114">
        <v>14</v>
      </c>
      <c r="E2114" t="s">
        <v>936</v>
      </c>
      <c r="F2114" t="s">
        <v>5323</v>
      </c>
      <c r="G2114" t="str">
        <f>BCH_Assessment!A14</f>
        <v>Room</v>
      </c>
      <c r="H2114" t="str">
        <f>BCH_Assessment!B14</f>
        <v>Walls / 1-hr Rating</v>
      </c>
      <c r="I2114" t="str">
        <f>BCH_Assessment!C14</f>
        <v>Ceiling</v>
      </c>
      <c r="J2114" t="str">
        <f>BCH_Assessment!D14</f>
        <v>Floor / SDC</v>
      </c>
      <c r="K2114" t="str">
        <f>BCH_Assessment!E14</f>
        <v>Penetrations</v>
      </c>
      <c r="L2114" t="str">
        <f>BCH_Assessment!F14</f>
        <v>Access Control</v>
      </c>
      <c r="M2114" t="str">
        <f>BCH_Assessment!G14</f>
        <v>Clearances</v>
      </c>
      <c r="N2114" t="str">
        <f>BCH_Assessment!H14</f>
        <v>Housekeeping</v>
      </c>
      <c r="O2114" t="str">
        <f>BCH_Assessment!I14</f>
        <v>Overall</v>
      </c>
      <c r="P2114" t="str">
        <f>BCH_Assessment!J14</f>
        <v>Comments</v>
      </c>
      <c r="Q2114" t="str">
        <f t="shared" ref="Q2114:Q2177" si="33">A2114&amp;"|"&amp;B2114</f>
        <v>BCH|7</v>
      </c>
    </row>
    <row r="2115" spans="1:17" ht="6.45" customHeight="1">
      <c r="A2115" t="s">
        <v>3884</v>
      </c>
      <c r="B2115">
        <v>8</v>
      </c>
      <c r="C2115" t="s">
        <v>67</v>
      </c>
      <c r="D2115">
        <v>15</v>
      </c>
      <c r="E2115" t="s">
        <v>936</v>
      </c>
      <c r="F2115" t="s">
        <v>5324</v>
      </c>
      <c r="G2115" t="str">
        <f>BCH_Assessment!A15</f>
        <v>107</v>
      </c>
      <c r="H2115" t="str">
        <f>BCH_Assessment!B15</f>
        <v>Verify</v>
      </c>
      <c r="I2115" t="str">
        <f>BCH_Assessment!C15</f>
        <v>Verify</v>
      </c>
      <c r="J2115" t="str">
        <f>BCH_Assessment!D15</f>
        <v>N/A / TE Scope</v>
      </c>
      <c r="K2115" t="str">
        <f>BCH_Assessment!E15</f>
        <v>Verify</v>
      </c>
      <c r="L2115" t="str">
        <f>BCH_Assessment!F15</f>
        <v>Verify Existing</v>
      </c>
      <c r="M2115" t="str">
        <f>BCH_Assessment!G15</f>
        <v>Verify</v>
      </c>
      <c r="N2115" t="str">
        <f>BCH_Assessment!H15</f>
        <v>Verify</v>
      </c>
      <c r="O2115" t="str">
        <f>BCH_Assessment!I15</f>
        <v>Verify</v>
      </c>
      <c r="P2115" t="str">
        <f>BCH_Assessment!J15</f>
        <v>Verify wall backing, mounting height, access clearance, cable tray/sleeve entry, rated wall/firestop requirements, floor/ceiling conditions, ICRA barriers, and whether Room 107 functions as a TE-only space or a telecom room.</v>
      </c>
      <c r="Q2115" t="str">
        <f t="shared" si="33"/>
        <v>BCH|8</v>
      </c>
    </row>
    <row r="2116" spans="1:17" ht="6.45" customHeight="1">
      <c r="A2116" t="s">
        <v>3884</v>
      </c>
      <c r="B2116">
        <v>9</v>
      </c>
      <c r="C2116" t="s">
        <v>67</v>
      </c>
      <c r="D2116">
        <v>16</v>
      </c>
      <c r="E2116" t="s">
        <v>936</v>
      </c>
      <c r="F2116" t="s">
        <v>5324</v>
      </c>
      <c r="G2116" t="str">
        <f>BCH_Assessment!A16</f>
        <v>00 / 107</v>
      </c>
      <c r="H2116" t="str">
        <f>BCH_Assessment!B16</f>
        <v>Verify</v>
      </c>
      <c r="I2116" t="str">
        <f>BCH_Assessment!C16</f>
        <v>Verify</v>
      </c>
      <c r="J2116" t="str">
        <f>BCH_Assessment!D16</f>
        <v>N/A / TE Scope</v>
      </c>
      <c r="K2116" t="str">
        <f>BCH_Assessment!E16</f>
        <v>Verify</v>
      </c>
      <c r="L2116" t="str">
        <f>BCH_Assessment!F16</f>
        <v>Verify Existing</v>
      </c>
      <c r="M2116" t="str">
        <f>BCH_Assessment!G16</f>
        <v>Verify</v>
      </c>
      <c r="N2116" t="str">
        <f>BCH_Assessment!H16</f>
        <v>Verify</v>
      </c>
      <c r="O2116" t="str">
        <f>BCH_Assessment!I16</f>
        <v>Verify</v>
      </c>
      <c r="P2116" t="str">
        <f>BCH_Assessment!J16</f>
        <v>Rack elevation conflict requires field/AE confirmation before PMIS closeout. Confirm whether the 12RU wall enclosure or 45RU telecom room rack configuration is the governing installation.</v>
      </c>
      <c r="Q2116" t="str">
        <f t="shared" si="33"/>
        <v>BCH|9</v>
      </c>
    </row>
    <row r="2117" spans="1:17" ht="6.45" customHeight="1">
      <c r="A2117" t="s">
        <v>3884</v>
      </c>
      <c r="B2117">
        <v>10</v>
      </c>
      <c r="C2117" t="s">
        <v>67</v>
      </c>
      <c r="D2117">
        <v>17</v>
      </c>
      <c r="E2117" t="s">
        <v>936</v>
      </c>
      <c r="F2117" t="s">
        <v>5325</v>
      </c>
      <c r="G2117">
        <f>BCH_Assessment!A17</f>
        <v>0</v>
      </c>
      <c r="H2117">
        <f>BCH_Assessment!B17</f>
        <v>0</v>
      </c>
      <c r="I2117">
        <f>BCH_Assessment!C17</f>
        <v>0</v>
      </c>
      <c r="J2117">
        <f>BCH_Assessment!D17</f>
        <v>0</v>
      </c>
      <c r="K2117">
        <f>BCH_Assessment!E17</f>
        <v>0</v>
      </c>
      <c r="L2117">
        <f>BCH_Assessment!F17</f>
        <v>0</v>
      </c>
      <c r="M2117">
        <f>BCH_Assessment!G17</f>
        <v>0</v>
      </c>
      <c r="N2117">
        <f>BCH_Assessment!H17</f>
        <v>0</v>
      </c>
      <c r="O2117">
        <f>BCH_Assessment!I17</f>
        <v>0</v>
      </c>
      <c r="P2117">
        <f>BCH_Assessment!J17</f>
        <v>0</v>
      </c>
      <c r="Q2117" t="str">
        <f t="shared" si="33"/>
        <v>BCH|10</v>
      </c>
    </row>
    <row r="2118" spans="1:17" ht="6.45" customHeight="1">
      <c r="A2118" t="s">
        <v>3884</v>
      </c>
      <c r="B2118">
        <v>11</v>
      </c>
      <c r="C2118" t="s">
        <v>67</v>
      </c>
      <c r="D2118">
        <v>18</v>
      </c>
      <c r="E2118" t="s">
        <v>951</v>
      </c>
      <c r="F2118" t="s">
        <v>5322</v>
      </c>
      <c r="G2118" t="str">
        <f>BCH_Assessment!A18</f>
        <v>3. FIRE PROTECTION</v>
      </c>
      <c r="H2118">
        <f>BCH_Assessment!B18</f>
        <v>0</v>
      </c>
      <c r="I2118">
        <f>BCH_Assessment!C18</f>
        <v>0</v>
      </c>
      <c r="J2118">
        <f>BCH_Assessment!D18</f>
        <v>0</v>
      </c>
      <c r="K2118">
        <f>BCH_Assessment!E18</f>
        <v>0</v>
      </c>
      <c r="L2118">
        <f>BCH_Assessment!F18</f>
        <v>0</v>
      </c>
      <c r="M2118">
        <f>BCH_Assessment!G18</f>
        <v>0</v>
      </c>
      <c r="N2118">
        <f>BCH_Assessment!H18</f>
        <v>0</v>
      </c>
      <c r="O2118">
        <f>BCH_Assessment!I18</f>
        <v>0</v>
      </c>
      <c r="P2118">
        <f>BCH_Assessment!J18</f>
        <v>0</v>
      </c>
      <c r="Q2118" t="str">
        <f t="shared" si="33"/>
        <v>BCH|11</v>
      </c>
    </row>
    <row r="2119" spans="1:17" ht="6.45" customHeight="1">
      <c r="A2119" t="s">
        <v>3884</v>
      </c>
      <c r="B2119">
        <v>12</v>
      </c>
      <c r="C2119" t="s">
        <v>67</v>
      </c>
      <c r="D2119">
        <v>19</v>
      </c>
      <c r="E2119" t="s">
        <v>951</v>
      </c>
      <c r="F2119" t="s">
        <v>5323</v>
      </c>
      <c r="G2119" t="str">
        <f>BCH_Assessment!A19</f>
        <v>Room</v>
      </c>
      <c r="H2119" t="str">
        <f>BCH_Assessment!B19</f>
        <v>Sprinkler</v>
      </c>
      <c r="I2119" t="str">
        <f>BCH_Assessment!C19</f>
        <v>Cage</v>
      </c>
      <c r="J2119" t="str">
        <f>BCH_Assessment!D19</f>
        <v>Detector</v>
      </c>
      <c r="K2119" t="str">
        <f>BCH_Assessment!E19</f>
        <v>Horn/Strobe</v>
      </c>
      <c r="L2119" t="str">
        <f>BCH_Assessment!F19</f>
        <v>Extinguisher &lt;75 ft</v>
      </c>
      <c r="M2119" t="str">
        <f>BCH_Assessment!G19</f>
        <v>Firestop</v>
      </c>
      <c r="N2119" t="str">
        <f>BCH_Assessment!H19</f>
        <v>Temp Firestop</v>
      </c>
      <c r="O2119" t="str">
        <f>BCH_Assessment!I19</f>
        <v>Overall</v>
      </c>
      <c r="P2119" t="str">
        <f>BCH_Assessment!J19</f>
        <v>Risk / Notes</v>
      </c>
      <c r="Q2119" t="str">
        <f t="shared" si="33"/>
        <v>BCH|12</v>
      </c>
    </row>
    <row r="2120" spans="1:17" ht="6.45" customHeight="1">
      <c r="A2120" t="s">
        <v>3884</v>
      </c>
      <c r="B2120">
        <v>13</v>
      </c>
      <c r="C2120" t="s">
        <v>67</v>
      </c>
      <c r="D2120">
        <v>20</v>
      </c>
      <c r="E2120" t="s">
        <v>951</v>
      </c>
      <c r="F2120" t="s">
        <v>5324</v>
      </c>
      <c r="G2120" t="str">
        <f>BCH_Assessment!A20</f>
        <v>107</v>
      </c>
      <c r="H2120" t="str">
        <f>BCH_Assessment!B20</f>
        <v>Excluded / Verify</v>
      </c>
      <c r="I2120" t="str">
        <f>BCH_Assessment!C20</f>
        <v>N/A</v>
      </c>
      <c r="J2120" t="str">
        <f>BCH_Assessment!D20</f>
        <v>Verify Existing</v>
      </c>
      <c r="K2120" t="str">
        <f>BCH_Assessment!E20</f>
        <v>Verify Existing</v>
      </c>
      <c r="L2120" t="str">
        <f>BCH_Assessment!F20</f>
        <v>N/A / Verify</v>
      </c>
      <c r="M2120" t="str">
        <f>BCH_Assessment!G20</f>
        <v>Verify</v>
      </c>
      <c r="N2120" t="str">
        <f>BCH_Assessment!H20</f>
        <v>Verify</v>
      </c>
      <c r="O2120" t="str">
        <f>BCH_Assessment!I20</f>
        <v>Verify</v>
      </c>
      <c r="P2120" t="str">
        <f>BCH_Assessment!J20</f>
        <v>Cover sheet states BCH receives a Telecom Enclosure and mechanical/fire protection scope has been excluded. Still verify existing life-safety protection, rated penetrations, 4-inch sleeve fire caulk, temporary firestopping and abandoned penetration patching.</v>
      </c>
      <c r="Q2120" t="str">
        <f t="shared" si="33"/>
        <v>BCH|13</v>
      </c>
    </row>
    <row r="2121" spans="1:17" ht="6.45" customHeight="1">
      <c r="A2121" t="s">
        <v>3884</v>
      </c>
      <c r="B2121">
        <v>14</v>
      </c>
      <c r="C2121" t="s">
        <v>67</v>
      </c>
      <c r="D2121">
        <v>21</v>
      </c>
      <c r="E2121" t="s">
        <v>951</v>
      </c>
      <c r="F2121" t="s">
        <v>5324</v>
      </c>
      <c r="G2121" t="str">
        <f>BCH_Assessment!A21</f>
        <v>00 / 107</v>
      </c>
      <c r="H2121" t="str">
        <f>BCH_Assessment!B21</f>
        <v>Excluded / Verify</v>
      </c>
      <c r="I2121" t="str">
        <f>BCH_Assessment!C21</f>
        <v>N/A</v>
      </c>
      <c r="J2121" t="str">
        <f>BCH_Assessment!D21</f>
        <v>Verify Existing</v>
      </c>
      <c r="K2121" t="str">
        <f>BCH_Assessment!E21</f>
        <v>Verify Existing</v>
      </c>
      <c r="L2121" t="str">
        <f>BCH_Assessment!F21</f>
        <v>N/A / Verify</v>
      </c>
      <c r="M2121" t="str">
        <f>BCH_Assessment!G21</f>
        <v>Verify</v>
      </c>
      <c r="N2121" t="str">
        <f>BCH_Assessment!H21</f>
        <v>Verify</v>
      </c>
      <c r="O2121" t="str">
        <f>BCH_Assessment!I21</f>
        <v>Verify</v>
      </c>
      <c r="P2121" t="str">
        <f>BCH_Assessment!J21</f>
        <v>TE-only scope does not appear to require new FEC/fire sprinkler work, but all wall/floor/ceiling penetrations must be sealed and rated assemblies maintained.</v>
      </c>
      <c r="Q2121" t="str">
        <f t="shared" si="33"/>
        <v>BCH|14</v>
      </c>
    </row>
    <row r="2122" spans="1:17" ht="6.45" customHeight="1">
      <c r="A2122" t="s">
        <v>3884</v>
      </c>
      <c r="B2122">
        <v>15</v>
      </c>
      <c r="C2122" t="s">
        <v>67</v>
      </c>
      <c r="D2122">
        <v>22</v>
      </c>
      <c r="E2122" t="s">
        <v>951</v>
      </c>
      <c r="F2122" t="s">
        <v>5325</v>
      </c>
      <c r="G2122">
        <f>BCH_Assessment!A22</f>
        <v>0</v>
      </c>
      <c r="H2122">
        <f>BCH_Assessment!B22</f>
        <v>0</v>
      </c>
      <c r="I2122">
        <f>BCH_Assessment!C22</f>
        <v>0</v>
      </c>
      <c r="J2122">
        <f>BCH_Assessment!D22</f>
        <v>0</v>
      </c>
      <c r="K2122">
        <f>BCH_Assessment!E22</f>
        <v>0</v>
      </c>
      <c r="L2122">
        <f>BCH_Assessment!F22</f>
        <v>0</v>
      </c>
      <c r="M2122">
        <f>BCH_Assessment!G22</f>
        <v>0</v>
      </c>
      <c r="N2122">
        <f>BCH_Assessment!H22</f>
        <v>0</v>
      </c>
      <c r="O2122">
        <f>BCH_Assessment!I22</f>
        <v>0</v>
      </c>
      <c r="P2122">
        <f>BCH_Assessment!J22</f>
        <v>0</v>
      </c>
      <c r="Q2122" t="str">
        <f t="shared" si="33"/>
        <v>BCH|15</v>
      </c>
    </row>
    <row r="2123" spans="1:17" ht="6.45" customHeight="1">
      <c r="A2123" t="s">
        <v>3884</v>
      </c>
      <c r="B2123">
        <v>16</v>
      </c>
      <c r="C2123" t="s">
        <v>67</v>
      </c>
      <c r="D2123">
        <v>23</v>
      </c>
      <c r="E2123" t="s">
        <v>964</v>
      </c>
      <c r="F2123" t="s">
        <v>5322</v>
      </c>
      <c r="G2123" t="str">
        <f>BCH_Assessment!A23</f>
        <v>4. HVAC / COOLING</v>
      </c>
      <c r="H2123">
        <f>BCH_Assessment!B23</f>
        <v>0</v>
      </c>
      <c r="I2123">
        <f>BCH_Assessment!C23</f>
        <v>0</v>
      </c>
      <c r="J2123">
        <f>BCH_Assessment!D23</f>
        <v>0</v>
      </c>
      <c r="K2123">
        <f>BCH_Assessment!E23</f>
        <v>0</v>
      </c>
      <c r="L2123">
        <f>BCH_Assessment!F23</f>
        <v>0</v>
      </c>
      <c r="M2123">
        <f>BCH_Assessment!G23</f>
        <v>0</v>
      </c>
      <c r="N2123">
        <f>BCH_Assessment!H23</f>
        <v>0</v>
      </c>
      <c r="O2123">
        <f>BCH_Assessment!I23</f>
        <v>0</v>
      </c>
      <c r="P2123">
        <f>BCH_Assessment!J23</f>
        <v>0</v>
      </c>
      <c r="Q2123" t="str">
        <f t="shared" si="33"/>
        <v>BCH|16</v>
      </c>
    </row>
    <row r="2124" spans="1:17" ht="6.45" customHeight="1">
      <c r="A2124" t="s">
        <v>3884</v>
      </c>
      <c r="B2124">
        <v>17</v>
      </c>
      <c r="C2124" t="s">
        <v>67</v>
      </c>
      <c r="D2124">
        <v>24</v>
      </c>
      <c r="E2124" t="s">
        <v>964</v>
      </c>
      <c r="F2124" t="s">
        <v>5323</v>
      </c>
      <c r="G2124" t="str">
        <f>BCH_Assessment!A24</f>
        <v>Room</v>
      </c>
      <c r="H2124" t="str">
        <f>BCH_Assessment!B24</f>
        <v>Dedicated Unit</v>
      </c>
      <c r="I2124" t="str">
        <f>BCH_Assessment!C24</f>
        <v>Capacity Verified</v>
      </c>
      <c r="J2124" t="str">
        <f>BCH_Assessment!D24</f>
        <v>Emergency Power</v>
      </c>
      <c r="K2124" t="str">
        <f>BCH_Assessment!E24</f>
        <v>Controls / BACnet</v>
      </c>
      <c r="L2124" t="str">
        <f>BCH_Assessment!F24</f>
        <v>Condensate Routed</v>
      </c>
      <c r="M2124" t="str">
        <f>BCH_Assessment!G24</f>
        <v>High Temp Alarm</v>
      </c>
      <c r="N2124" t="str">
        <f>BCH_Assessment!H24</f>
        <v>24/7 Operation</v>
      </c>
      <c r="O2124" t="str">
        <f>BCH_Assessment!I24</f>
        <v>Overall</v>
      </c>
      <c r="P2124" t="str">
        <f>BCH_Assessment!J24</f>
        <v>Risk / Notes</v>
      </c>
      <c r="Q2124" t="str">
        <f t="shared" si="33"/>
        <v>BCH|17</v>
      </c>
    </row>
    <row r="2125" spans="1:17" ht="6.45" customHeight="1">
      <c r="A2125" t="s">
        <v>3884</v>
      </c>
      <c r="B2125">
        <v>18</v>
      </c>
      <c r="C2125" t="s">
        <v>67</v>
      </c>
      <c r="D2125">
        <v>25</v>
      </c>
      <c r="E2125" t="s">
        <v>964</v>
      </c>
      <c r="F2125" t="s">
        <v>5324</v>
      </c>
      <c r="G2125" t="str">
        <f>BCH_Assessment!A25</f>
        <v>107</v>
      </c>
      <c r="H2125" t="str">
        <f>BCH_Assessment!B25</f>
        <v>Excluded</v>
      </c>
      <c r="I2125" t="str">
        <f>BCH_Assessment!C25</f>
        <v>N/A</v>
      </c>
      <c r="J2125" t="str">
        <f>BCH_Assessment!D25</f>
        <v>N/A</v>
      </c>
      <c r="K2125" t="str">
        <f>BCH_Assessment!E25</f>
        <v>N/A</v>
      </c>
      <c r="L2125" t="str">
        <f>BCH_Assessment!F25</f>
        <v>N/A</v>
      </c>
      <c r="M2125" t="str">
        <f>BCH_Assessment!G25</f>
        <v>N/A</v>
      </c>
      <c r="N2125" t="str">
        <f>BCH_Assessment!H25</f>
        <v>N/A</v>
      </c>
      <c r="O2125" t="str">
        <f>BCH_Assessment!I25</f>
        <v>N/A</v>
      </c>
      <c r="P2125" t="str">
        <f>BCH_Assessment!J25</f>
        <v>Cover sheet explicitly excludes mechanical scope. Verify existing room ambient conditions are acceptable for TE equipment and that no active network equipment will overheat.</v>
      </c>
      <c r="Q2125" t="str">
        <f t="shared" si="33"/>
        <v>BCH|18</v>
      </c>
    </row>
    <row r="2126" spans="1:17" ht="6.45" customHeight="1">
      <c r="A2126" t="s">
        <v>3884</v>
      </c>
      <c r="B2126">
        <v>19</v>
      </c>
      <c r="C2126" t="s">
        <v>67</v>
      </c>
      <c r="D2126">
        <v>26</v>
      </c>
      <c r="E2126" t="s">
        <v>964</v>
      </c>
      <c r="F2126" t="s">
        <v>5324</v>
      </c>
      <c r="G2126" t="str">
        <f>BCH_Assessment!A26</f>
        <v>00 / 107</v>
      </c>
      <c r="H2126" t="str">
        <f>BCH_Assessment!B26</f>
        <v>Excluded</v>
      </c>
      <c r="I2126" t="str">
        <f>BCH_Assessment!C26</f>
        <v>N/A</v>
      </c>
      <c r="J2126" t="str">
        <f>BCH_Assessment!D26</f>
        <v>N/A</v>
      </c>
      <c r="K2126" t="str">
        <f>BCH_Assessment!E26</f>
        <v>N/A</v>
      </c>
      <c r="L2126" t="str">
        <f>BCH_Assessment!F26</f>
        <v>N/A</v>
      </c>
      <c r="M2126" t="str">
        <f>BCH_Assessment!G26</f>
        <v>N/A</v>
      </c>
      <c r="N2126" t="str">
        <f>BCH_Assessment!H26</f>
        <v>N/A</v>
      </c>
      <c r="O2126" t="str">
        <f>BCH_Assessment!I26</f>
        <v>N/A</v>
      </c>
      <c r="P2126" t="str">
        <f>BCH_Assessment!J26</f>
        <v>If the final scope is a 45RU new telecom room rather than a small TE, HVAC exclusion should be confirmed with VA/AE because telecom-room heat load may differ from TE assumptions.</v>
      </c>
      <c r="Q2126" t="str">
        <f t="shared" si="33"/>
        <v>BCH|19</v>
      </c>
    </row>
    <row r="2127" spans="1:17" ht="6.45" customHeight="1">
      <c r="A2127" t="s">
        <v>3884</v>
      </c>
      <c r="B2127">
        <v>20</v>
      </c>
      <c r="C2127" t="s">
        <v>67</v>
      </c>
      <c r="D2127">
        <v>27</v>
      </c>
      <c r="E2127" t="s">
        <v>964</v>
      </c>
      <c r="F2127" t="s">
        <v>5325</v>
      </c>
      <c r="G2127">
        <f>BCH_Assessment!A27</f>
        <v>0</v>
      </c>
      <c r="H2127">
        <f>BCH_Assessment!B27</f>
        <v>0</v>
      </c>
      <c r="I2127">
        <f>BCH_Assessment!C27</f>
        <v>0</v>
      </c>
      <c r="J2127">
        <f>BCH_Assessment!D27</f>
        <v>0</v>
      </c>
      <c r="K2127">
        <f>BCH_Assessment!E27</f>
        <v>0</v>
      </c>
      <c r="L2127">
        <f>BCH_Assessment!F27</f>
        <v>0</v>
      </c>
      <c r="M2127">
        <f>BCH_Assessment!G27</f>
        <v>0</v>
      </c>
      <c r="N2127">
        <f>BCH_Assessment!H27</f>
        <v>0</v>
      </c>
      <c r="O2127">
        <f>BCH_Assessment!I27</f>
        <v>0</v>
      </c>
      <c r="P2127">
        <f>BCH_Assessment!J27</f>
        <v>0</v>
      </c>
      <c r="Q2127" t="str">
        <f t="shared" si="33"/>
        <v>BCH|20</v>
      </c>
    </row>
    <row r="2128" spans="1:17" ht="6.45" customHeight="1">
      <c r="A2128" t="s">
        <v>3884</v>
      </c>
      <c r="B2128">
        <v>21</v>
      </c>
      <c r="C2128" t="s">
        <v>67</v>
      </c>
      <c r="D2128">
        <v>28</v>
      </c>
      <c r="E2128" t="s">
        <v>977</v>
      </c>
      <c r="F2128" t="s">
        <v>5322</v>
      </c>
      <c r="G2128" t="str">
        <f>BCH_Assessment!A28</f>
        <v>5. ELECTRICAL / UPS</v>
      </c>
      <c r="H2128">
        <f>BCH_Assessment!B28</f>
        <v>0</v>
      </c>
      <c r="I2128">
        <f>BCH_Assessment!C28</f>
        <v>0</v>
      </c>
      <c r="J2128">
        <f>BCH_Assessment!D28</f>
        <v>0</v>
      </c>
      <c r="K2128">
        <f>BCH_Assessment!E28</f>
        <v>0</v>
      </c>
      <c r="L2128">
        <f>BCH_Assessment!F28</f>
        <v>0</v>
      </c>
      <c r="M2128">
        <f>BCH_Assessment!G28</f>
        <v>0</v>
      </c>
      <c r="N2128">
        <f>BCH_Assessment!H28</f>
        <v>0</v>
      </c>
      <c r="O2128">
        <f>BCH_Assessment!I28</f>
        <v>0</v>
      </c>
      <c r="P2128">
        <f>BCH_Assessment!J28</f>
        <v>0</v>
      </c>
      <c r="Q2128" t="str">
        <f t="shared" si="33"/>
        <v>BCH|21</v>
      </c>
    </row>
    <row r="2129" spans="1:17" ht="6.45" customHeight="1">
      <c r="A2129" t="s">
        <v>3884</v>
      </c>
      <c r="B2129">
        <v>22</v>
      </c>
      <c r="C2129" t="s">
        <v>67</v>
      </c>
      <c r="D2129">
        <v>29</v>
      </c>
      <c r="E2129" t="s">
        <v>977</v>
      </c>
      <c r="F2129" t="s">
        <v>5323</v>
      </c>
      <c r="G2129" t="str">
        <f>BCH_Assessment!A29</f>
        <v>Room</v>
      </c>
      <c r="H2129" t="str">
        <f>BCH_Assessment!B29</f>
        <v>UPS Installed</v>
      </c>
      <c r="I2129" t="str">
        <f>BCH_Assessment!C29</f>
        <v>UPS Size</v>
      </c>
      <c r="J2129" t="str">
        <f>BCH_Assessment!D29</f>
        <v>PDU Installed</v>
      </c>
      <c r="K2129" t="str">
        <f>BCH_Assessment!E29</f>
        <v>Rack Receptacles</v>
      </c>
      <c r="L2129" t="str">
        <f>BCH_Assessment!F29</f>
        <v>Panel Assigned</v>
      </c>
      <c r="M2129" t="str">
        <f>BCH_Assessment!G29</f>
        <v>Emergency Source</v>
      </c>
      <c r="N2129" t="str">
        <f>BCH_Assessment!H29</f>
        <v>SPD / Labeling</v>
      </c>
      <c r="O2129" t="str">
        <f>BCH_Assessment!I29</f>
        <v>Overall</v>
      </c>
      <c r="P2129" t="str">
        <f>BCH_Assessment!J29</f>
        <v>Notes</v>
      </c>
      <c r="Q2129" t="str">
        <f t="shared" si="33"/>
        <v>BCH|22</v>
      </c>
    </row>
    <row r="2130" spans="1:17" ht="6.45" customHeight="1">
      <c r="A2130" t="s">
        <v>3884</v>
      </c>
      <c r="B2130">
        <v>23</v>
      </c>
      <c r="C2130" t="s">
        <v>67</v>
      </c>
      <c r="D2130">
        <v>30</v>
      </c>
      <c r="E2130" t="s">
        <v>977</v>
      </c>
      <c r="F2130" t="s">
        <v>5324</v>
      </c>
      <c r="G2130" t="str">
        <f>BCH_Assessment!A30</f>
        <v>107</v>
      </c>
      <c r="H2130" t="str">
        <f>BCH_Assessment!B30</f>
        <v>Verify</v>
      </c>
      <c r="I2130" t="str">
        <f>BCH_Assessment!C30</f>
        <v>APC UPS / TE enclosure</v>
      </c>
      <c r="J2130" t="str">
        <f>BCH_Assessment!D30</f>
        <v>Verify</v>
      </c>
      <c r="K2130" t="str">
        <f>BCH_Assessment!E30</f>
        <v>Verify</v>
      </c>
      <c r="L2130" t="str">
        <f>BCH_Assessment!F30</f>
        <v>BCHE-101 / BCHE-601 source to verify</v>
      </c>
      <c r="M2130" t="str">
        <f>BCH_Assessment!G30</f>
        <v>Verify</v>
      </c>
      <c r="N2130" t="str">
        <f>BCH_Assessment!H30</f>
        <v>Verify</v>
      </c>
      <c r="O2130" t="str">
        <f>BCH_Assessment!I30</f>
        <v>Verify</v>
      </c>
      <c r="P2130" t="str">
        <f>BCH_Assessment!J30</f>
        <v>Electrical plan includes first-level electrical work and notes for new wall-mount telecom enclosure, grounding/bonding and camera. Verify circuit source, receptacle type, UPS/PDU load, emergency source if required, grounding/bonding and labels.</v>
      </c>
      <c r="Q2130" t="str">
        <f t="shared" si="33"/>
        <v>BCH|23</v>
      </c>
    </row>
    <row r="2131" spans="1:17" ht="6.45" customHeight="1">
      <c r="A2131" t="s">
        <v>3884</v>
      </c>
      <c r="B2131">
        <v>24</v>
      </c>
      <c r="C2131" t="s">
        <v>67</v>
      </c>
      <c r="D2131">
        <v>31</v>
      </c>
      <c r="E2131" t="s">
        <v>977</v>
      </c>
      <c r="F2131" t="s">
        <v>5324</v>
      </c>
      <c r="G2131" t="str">
        <f>BCH_Assessment!A31</f>
        <v>00 / 107</v>
      </c>
      <c r="H2131" t="str">
        <f>BCH_Assessment!B31</f>
        <v>Verify</v>
      </c>
      <c r="I2131" t="str">
        <f>BCH_Assessment!C31</f>
        <v>APC UPS / 12RU enclosure or 5kW rack UPS if room rack governs</v>
      </c>
      <c r="J2131" t="str">
        <f>BCH_Assessment!D31</f>
        <v>Verify</v>
      </c>
      <c r="K2131" t="str">
        <f>BCH_Assessment!E31</f>
        <v>Verify</v>
      </c>
      <c r="L2131" t="str">
        <f>BCH_Assessment!F31</f>
        <v>Verify</v>
      </c>
      <c r="M2131" t="str">
        <f>BCH_Assessment!G31</f>
        <v>Verify</v>
      </c>
      <c r="N2131" t="str">
        <f>BCH_Assessment!H31</f>
        <v>Verify</v>
      </c>
      <c r="O2131" t="str">
        <f>BCH_Assessment!I31</f>
        <v>Verify</v>
      </c>
      <c r="P2131" t="str">
        <f>BCH_Assessment!J31</f>
        <v>BCHT-604 shows 12RU TE equipment with APC UPS and PDUs and also a BCH 45RU new telecom room elevation. Confirm exact UPS/PDU/rack power requirement before acceptance.</v>
      </c>
      <c r="Q2131" t="str">
        <f t="shared" si="33"/>
        <v>BCH|24</v>
      </c>
    </row>
    <row r="2132" spans="1:17" ht="6.45" customHeight="1">
      <c r="A2132" t="s">
        <v>3884</v>
      </c>
      <c r="B2132">
        <v>25</v>
      </c>
      <c r="C2132" t="s">
        <v>67</v>
      </c>
      <c r="D2132">
        <v>32</v>
      </c>
      <c r="E2132" t="s">
        <v>977</v>
      </c>
      <c r="F2132" t="s">
        <v>5325</v>
      </c>
      <c r="G2132">
        <f>BCH_Assessment!A32</f>
        <v>0</v>
      </c>
      <c r="H2132">
        <f>BCH_Assessment!B32</f>
        <v>0</v>
      </c>
      <c r="I2132">
        <f>BCH_Assessment!C32</f>
        <v>0</v>
      </c>
      <c r="J2132">
        <f>BCH_Assessment!D32</f>
        <v>0</v>
      </c>
      <c r="K2132">
        <f>BCH_Assessment!E32</f>
        <v>0</v>
      </c>
      <c r="L2132">
        <f>BCH_Assessment!F32</f>
        <v>0</v>
      </c>
      <c r="M2132">
        <f>BCH_Assessment!G32</f>
        <v>0</v>
      </c>
      <c r="N2132">
        <f>BCH_Assessment!H32</f>
        <v>0</v>
      </c>
      <c r="O2132">
        <f>BCH_Assessment!I32</f>
        <v>0</v>
      </c>
      <c r="P2132">
        <f>BCH_Assessment!J32</f>
        <v>0</v>
      </c>
      <c r="Q2132" t="str">
        <f t="shared" si="33"/>
        <v>BCH|25</v>
      </c>
    </row>
    <row r="2133" spans="1:17" ht="6.45" customHeight="1">
      <c r="A2133" t="s">
        <v>3884</v>
      </c>
      <c r="B2133">
        <v>26</v>
      </c>
      <c r="C2133" t="s">
        <v>67</v>
      </c>
      <c r="D2133">
        <v>33</v>
      </c>
      <c r="E2133" t="s">
        <v>994</v>
      </c>
      <c r="F2133" t="s">
        <v>5322</v>
      </c>
      <c r="G2133" t="str">
        <f>BCH_Assessment!A33</f>
        <v>6. TELECOMMUNICATIONS</v>
      </c>
      <c r="H2133">
        <f>BCH_Assessment!B33</f>
        <v>0</v>
      </c>
      <c r="I2133">
        <f>BCH_Assessment!C33</f>
        <v>0</v>
      </c>
      <c r="J2133">
        <f>BCH_Assessment!D33</f>
        <v>0</v>
      </c>
      <c r="K2133">
        <f>BCH_Assessment!E33</f>
        <v>0</v>
      </c>
      <c r="L2133">
        <f>BCH_Assessment!F33</f>
        <v>0</v>
      </c>
      <c r="M2133">
        <f>BCH_Assessment!G33</f>
        <v>0</v>
      </c>
      <c r="N2133">
        <f>BCH_Assessment!H33</f>
        <v>0</v>
      </c>
      <c r="O2133">
        <f>BCH_Assessment!I33</f>
        <v>0</v>
      </c>
      <c r="P2133">
        <f>BCH_Assessment!J33</f>
        <v>0</v>
      </c>
      <c r="Q2133" t="str">
        <f t="shared" si="33"/>
        <v>BCH|26</v>
      </c>
    </row>
    <row r="2134" spans="1:17" ht="6.45" customHeight="1">
      <c r="A2134" t="s">
        <v>3884</v>
      </c>
      <c r="B2134">
        <v>27</v>
      </c>
      <c r="C2134" t="s">
        <v>67</v>
      </c>
      <c r="D2134">
        <v>34</v>
      </c>
      <c r="E2134" t="s">
        <v>994</v>
      </c>
      <c r="F2134" t="s">
        <v>5323</v>
      </c>
      <c r="G2134" t="str">
        <f>BCH_Assessment!A34</f>
        <v>Room</v>
      </c>
      <c r="H2134" t="str">
        <f>BCH_Assessment!B34</f>
        <v>Rack Installed</v>
      </c>
      <c r="I2134" t="str">
        <f>BCH_Assessment!C34</f>
        <v>Ladder Tray</v>
      </c>
      <c r="J2134" t="str">
        <f>BCH_Assessment!D34</f>
        <v>Fiber Installed</v>
      </c>
      <c r="K2134" t="str">
        <f>BCH_Assessment!E34</f>
        <v>Grounding</v>
      </c>
      <c r="L2134" t="str">
        <f>BCH_Assessment!F34</f>
        <v>Labeling</v>
      </c>
      <c r="M2134" t="str">
        <f>BCH_Assessment!G34</f>
        <v>Testing</v>
      </c>
      <c r="N2134" t="str">
        <f>BCH_Assessment!H34</f>
        <v>VA Acceptance</v>
      </c>
      <c r="O2134" t="str">
        <f>BCH_Assessment!I34</f>
        <v>Overall</v>
      </c>
      <c r="P2134" t="str">
        <f>BCH_Assessment!J34</f>
        <v>Notes</v>
      </c>
      <c r="Q2134" t="str">
        <f t="shared" si="33"/>
        <v>BCH|27</v>
      </c>
    </row>
    <row r="2135" spans="1:17" ht="6.45" customHeight="1">
      <c r="A2135" t="s">
        <v>3884</v>
      </c>
      <c r="B2135">
        <v>28</v>
      </c>
      <c r="C2135" t="s">
        <v>67</v>
      </c>
      <c r="D2135">
        <v>35</v>
      </c>
      <c r="E2135" t="s">
        <v>994</v>
      </c>
      <c r="F2135" t="s">
        <v>5324</v>
      </c>
      <c r="G2135" t="str">
        <f>BCH_Assessment!A35</f>
        <v>107</v>
      </c>
      <c r="H2135" t="str">
        <f>BCH_Assessment!B35</f>
        <v>Verify</v>
      </c>
      <c r="I2135" t="str">
        <f>BCH_Assessment!C35</f>
        <v>Verify</v>
      </c>
      <c r="J2135" t="str">
        <f>BCH_Assessment!D35</f>
        <v>Verify</v>
      </c>
      <c r="K2135" t="str">
        <f>BCH_Assessment!E35</f>
        <v>Verify</v>
      </c>
      <c r="L2135" t="str">
        <f>BCH_Assessment!F35</f>
        <v>Verify</v>
      </c>
      <c r="M2135" t="str">
        <f>BCH_Assessment!G35</f>
        <v>Verify</v>
      </c>
      <c r="N2135" t="str">
        <f>BCH_Assessment!H35</f>
        <v>Verify</v>
      </c>
      <c r="O2135" t="str">
        <f>BCH_Assessment!I35</f>
        <v>Verify</v>
      </c>
      <c r="P2135" t="str">
        <f>BCH_Assessment!J35</f>
        <v>BCHT-101 identifies telecom plan first level and enlarged Room 107. BCHT-604 identifies new telecom room/no existing elevations. There is no BCHT-701 schedule in the drawing index, so WAO/cable-tray totals must be field verified from plans and contractor coordination drawings.</v>
      </c>
      <c r="Q2135" t="str">
        <f t="shared" si="33"/>
        <v>BCH|28</v>
      </c>
    </row>
    <row r="2136" spans="1:17" ht="6.45" customHeight="1">
      <c r="A2136" t="s">
        <v>3884</v>
      </c>
      <c r="B2136">
        <v>29</v>
      </c>
      <c r="C2136" t="s">
        <v>67</v>
      </c>
      <c r="D2136">
        <v>36</v>
      </c>
      <c r="E2136" t="s">
        <v>994</v>
      </c>
      <c r="F2136" t="s">
        <v>5324</v>
      </c>
      <c r="G2136" t="str">
        <f>BCH_Assessment!A36</f>
        <v>00 / 107</v>
      </c>
      <c r="H2136" t="str">
        <f>BCH_Assessment!B36</f>
        <v>Verify</v>
      </c>
      <c r="I2136" t="str">
        <f>BCH_Assessment!C36</f>
        <v>Verify</v>
      </c>
      <c r="J2136" t="str">
        <f>BCH_Assessment!D36</f>
        <v>Verify</v>
      </c>
      <c r="K2136" t="str">
        <f>BCH_Assessment!E36</f>
        <v>Verify</v>
      </c>
      <c r="L2136" t="str">
        <f>BCH_Assessment!F36</f>
        <v>Verify</v>
      </c>
      <c r="M2136" t="str">
        <f>BCH_Assessment!G36</f>
        <v>Verify</v>
      </c>
      <c r="N2136" t="str">
        <f>BCH_Assessment!H36</f>
        <v>Verify</v>
      </c>
      <c r="O2136" t="str">
        <f>BCH_Assessment!I36</f>
        <v>Verify</v>
      </c>
      <c r="P2136" t="str">
        <f>BCH_Assessment!J36</f>
        <v>BCHT-604 identifies a 12RU TE elevation: APC UPS, two PDUs, network switch, 48-port Cat6A patch panel and Fiber LIU. Also shows BCH Crescent House Room 107 new telecom room elevation. Confirm governing rack/enclosure and labeling.</v>
      </c>
      <c r="Q2136" t="str">
        <f t="shared" si="33"/>
        <v>BCH|29</v>
      </c>
    </row>
    <row r="2137" spans="1:17" ht="6.45" customHeight="1">
      <c r="A2137" t="s">
        <v>3884</v>
      </c>
      <c r="B2137">
        <v>30</v>
      </c>
      <c r="C2137" t="s">
        <v>67</v>
      </c>
      <c r="D2137">
        <v>37</v>
      </c>
      <c r="E2137" t="s">
        <v>994</v>
      </c>
      <c r="F2137" t="s">
        <v>5325</v>
      </c>
      <c r="G2137">
        <f>BCH_Assessment!A37</f>
        <v>0</v>
      </c>
      <c r="H2137">
        <f>BCH_Assessment!B37</f>
        <v>0</v>
      </c>
      <c r="I2137">
        <f>BCH_Assessment!C37</f>
        <v>0</v>
      </c>
      <c r="J2137">
        <f>BCH_Assessment!D37</f>
        <v>0</v>
      </c>
      <c r="K2137">
        <f>BCH_Assessment!E37</f>
        <v>0</v>
      </c>
      <c r="L2137">
        <f>BCH_Assessment!F37</f>
        <v>0</v>
      </c>
      <c r="M2137">
        <f>BCH_Assessment!G37</f>
        <v>0</v>
      </c>
      <c r="N2137">
        <f>BCH_Assessment!H37</f>
        <v>0</v>
      </c>
      <c r="O2137">
        <f>BCH_Assessment!I37</f>
        <v>0</v>
      </c>
      <c r="P2137">
        <f>BCH_Assessment!J37</f>
        <v>0</v>
      </c>
      <c r="Q2137" t="str">
        <f t="shared" si="33"/>
        <v>BCH|30</v>
      </c>
    </row>
    <row r="2138" spans="1:17" ht="6.45" customHeight="1">
      <c r="A2138" t="s">
        <v>3884</v>
      </c>
      <c r="B2138">
        <v>31</v>
      </c>
      <c r="C2138" t="s">
        <v>67</v>
      </c>
      <c r="D2138">
        <v>38</v>
      </c>
      <c r="E2138" t="s">
        <v>1007</v>
      </c>
      <c r="F2138" t="s">
        <v>5322</v>
      </c>
      <c r="G2138" t="str">
        <f>BCH_Assessment!A38</f>
        <v>7. SECURITY / PACS / CCTV</v>
      </c>
      <c r="H2138">
        <f>BCH_Assessment!B38</f>
        <v>0</v>
      </c>
      <c r="I2138">
        <f>BCH_Assessment!C38</f>
        <v>0</v>
      </c>
      <c r="J2138">
        <f>BCH_Assessment!D38</f>
        <v>0</v>
      </c>
      <c r="K2138">
        <f>BCH_Assessment!E38</f>
        <v>0</v>
      </c>
      <c r="L2138">
        <f>BCH_Assessment!F38</f>
        <v>0</v>
      </c>
      <c r="M2138">
        <f>BCH_Assessment!G38</f>
        <v>0</v>
      </c>
      <c r="N2138">
        <f>BCH_Assessment!H38</f>
        <v>0</v>
      </c>
      <c r="O2138">
        <f>BCH_Assessment!I38</f>
        <v>0</v>
      </c>
      <c r="P2138">
        <f>BCH_Assessment!J38</f>
        <v>0</v>
      </c>
      <c r="Q2138" t="str">
        <f t="shared" si="33"/>
        <v>BCH|31</v>
      </c>
    </row>
    <row r="2139" spans="1:17" ht="6.45" customHeight="1">
      <c r="A2139" t="s">
        <v>3884</v>
      </c>
      <c r="B2139">
        <v>32</v>
      </c>
      <c r="C2139" t="s">
        <v>67</v>
      </c>
      <c r="D2139">
        <v>39</v>
      </c>
      <c r="E2139" t="s">
        <v>1007</v>
      </c>
      <c r="F2139" t="s">
        <v>5323</v>
      </c>
      <c r="G2139" t="str">
        <f>BCH_Assessment!A39</f>
        <v>Room</v>
      </c>
      <c r="H2139" t="str">
        <f>BCH_Assessment!B39</f>
        <v>PACS</v>
      </c>
      <c r="I2139" t="str">
        <f>BCH_Assessment!C39</f>
        <v>Card Reader</v>
      </c>
      <c r="J2139" t="str">
        <f>BCH_Assessment!D39</f>
        <v>Door Position</v>
      </c>
      <c r="K2139" t="str">
        <f>BCH_Assessment!E39</f>
        <v>Electric Strike</v>
      </c>
      <c r="L2139" t="str">
        <f>BCH_Assessment!F39</f>
        <v>CCTV</v>
      </c>
      <c r="M2139" t="str">
        <f>BCH_Assessment!G39</f>
        <v>Motion Sensor</v>
      </c>
      <c r="N2139" t="str">
        <f>BCH_Assessment!H39</f>
        <v>Integration</v>
      </c>
      <c r="O2139" t="str">
        <f>BCH_Assessment!I39</f>
        <v>Overall</v>
      </c>
      <c r="P2139" t="str">
        <f>BCH_Assessment!J39</f>
        <v>Notes</v>
      </c>
      <c r="Q2139" t="str">
        <f t="shared" si="33"/>
        <v>BCH|32</v>
      </c>
    </row>
    <row r="2140" spans="1:17" ht="6.45" customHeight="1">
      <c r="A2140" t="s">
        <v>3884</v>
      </c>
      <c r="B2140">
        <v>33</v>
      </c>
      <c r="C2140" t="s">
        <v>67</v>
      </c>
      <c r="D2140">
        <v>40</v>
      </c>
      <c r="E2140" t="s">
        <v>1007</v>
      </c>
      <c r="F2140" t="s">
        <v>5324</v>
      </c>
      <c r="G2140" t="str">
        <f>BCH_Assessment!A40</f>
        <v>107</v>
      </c>
      <c r="H2140" t="str">
        <f>BCH_Assessment!B40</f>
        <v>N/A / Verify</v>
      </c>
      <c r="I2140" t="str">
        <f>BCH_Assessment!C40</f>
        <v>N/A / Verify</v>
      </c>
      <c r="J2140" t="str">
        <f>BCH_Assessment!D40</f>
        <v>N/A / Verify</v>
      </c>
      <c r="K2140" t="str">
        <f>BCH_Assessment!E40</f>
        <v>N/A / Verify</v>
      </c>
      <c r="L2140" t="str">
        <f>BCH_Assessment!F40</f>
        <v>Verify</v>
      </c>
      <c r="M2140" t="str">
        <f>BCH_Assessment!G40</f>
        <v>Verify</v>
      </c>
      <c r="N2140" t="str">
        <f>BCH_Assessment!H40</f>
        <v>Verify</v>
      </c>
      <c r="O2140" t="str">
        <f>BCH_Assessment!I40</f>
        <v>Verify</v>
      </c>
      <c r="P2140" t="str">
        <f>BCH_Assessment!J40</f>
        <v>Telecom/electrical notes reference new IP-addressable camera with wall mount at 8'-6" A.F.F. and VMS integration. Verify whether PACS applies; TE buildings typically do not create full TR door/PACS scope.</v>
      </c>
      <c r="Q2140" t="str">
        <f t="shared" si="33"/>
        <v>BCH|33</v>
      </c>
    </row>
    <row r="2141" spans="1:17" ht="6.45" customHeight="1">
      <c r="A2141" t="s">
        <v>3884</v>
      </c>
      <c r="B2141">
        <v>34</v>
      </c>
      <c r="C2141" t="s">
        <v>67</v>
      </c>
      <c r="D2141">
        <v>41</v>
      </c>
      <c r="E2141" t="s">
        <v>1007</v>
      </c>
      <c r="F2141" t="s">
        <v>5324</v>
      </c>
      <c r="G2141" t="str">
        <f>BCH_Assessment!A41</f>
        <v>00 / 107</v>
      </c>
      <c r="H2141" t="str">
        <f>BCH_Assessment!B41</f>
        <v>N/A / Verify</v>
      </c>
      <c r="I2141" t="str">
        <f>BCH_Assessment!C41</f>
        <v>N/A / Verify</v>
      </c>
      <c r="J2141" t="str">
        <f>BCH_Assessment!D41</f>
        <v>N/A / Verify</v>
      </c>
      <c r="K2141" t="str">
        <f>BCH_Assessment!E41</f>
        <v>N/A / Verify</v>
      </c>
      <c r="L2141" t="str">
        <f>BCH_Assessment!F41</f>
        <v>Verify</v>
      </c>
      <c r="M2141" t="str">
        <f>BCH_Assessment!G41</f>
        <v>Verify</v>
      </c>
      <c r="N2141" t="str">
        <f>BCH_Assessment!H41</f>
        <v>Verify</v>
      </c>
      <c r="O2141" t="str">
        <f>BCH_Assessment!I41</f>
        <v>Verify</v>
      </c>
      <c r="P2141" t="str">
        <f>BCH_Assessment!J41</f>
        <v>Verify existing camera/security conditions, protection-in-place, and any recabling or VMS integration required.</v>
      </c>
      <c r="Q2141" t="str">
        <f t="shared" si="33"/>
        <v>BCH|34</v>
      </c>
    </row>
    <row r="2142" spans="1:17" ht="6.45" customHeight="1">
      <c r="A2142" t="s">
        <v>3884</v>
      </c>
      <c r="B2142">
        <v>35</v>
      </c>
      <c r="C2142" t="s">
        <v>67</v>
      </c>
      <c r="D2142">
        <v>42</v>
      </c>
      <c r="E2142" t="s">
        <v>1007</v>
      </c>
      <c r="F2142" t="s">
        <v>5325</v>
      </c>
      <c r="G2142">
        <f>BCH_Assessment!A42</f>
        <v>0</v>
      </c>
      <c r="H2142">
        <f>BCH_Assessment!B42</f>
        <v>0</v>
      </c>
      <c r="I2142">
        <f>BCH_Assessment!C42</f>
        <v>0</v>
      </c>
      <c r="J2142">
        <f>BCH_Assessment!D42</f>
        <v>0</v>
      </c>
      <c r="K2142">
        <f>BCH_Assessment!E42</f>
        <v>0</v>
      </c>
      <c r="L2142">
        <f>BCH_Assessment!F42</f>
        <v>0</v>
      </c>
      <c r="M2142">
        <f>BCH_Assessment!G42</f>
        <v>0</v>
      </c>
      <c r="N2142">
        <f>BCH_Assessment!H42</f>
        <v>0</v>
      </c>
      <c r="O2142">
        <f>BCH_Assessment!I42</f>
        <v>0</v>
      </c>
      <c r="P2142">
        <f>BCH_Assessment!J42</f>
        <v>0</v>
      </c>
      <c r="Q2142" t="str">
        <f t="shared" si="33"/>
        <v>BCH|35</v>
      </c>
    </row>
    <row r="2143" spans="1:17" ht="6.45" customHeight="1">
      <c r="A2143" t="s">
        <v>3884</v>
      </c>
      <c r="B2143">
        <v>36</v>
      </c>
      <c r="C2143" t="s">
        <v>67</v>
      </c>
      <c r="D2143">
        <v>43</v>
      </c>
      <c r="E2143" t="s">
        <v>1019</v>
      </c>
      <c r="F2143" t="s">
        <v>5322</v>
      </c>
      <c r="G2143" t="str">
        <f>BCH_Assessment!A43</f>
        <v>8. OWNER RISKS</v>
      </c>
      <c r="H2143">
        <f>BCH_Assessment!B43</f>
        <v>0</v>
      </c>
      <c r="I2143">
        <f>BCH_Assessment!C43</f>
        <v>0</v>
      </c>
      <c r="J2143">
        <f>BCH_Assessment!D43</f>
        <v>0</v>
      </c>
      <c r="K2143">
        <f>BCH_Assessment!E43</f>
        <v>0</v>
      </c>
      <c r="L2143">
        <f>BCH_Assessment!F43</f>
        <v>0</v>
      </c>
      <c r="M2143">
        <f>BCH_Assessment!G43</f>
        <v>0</v>
      </c>
      <c r="N2143">
        <f>BCH_Assessment!H43</f>
        <v>0</v>
      </c>
      <c r="O2143">
        <f>BCH_Assessment!I43</f>
        <v>0</v>
      </c>
      <c r="P2143">
        <f>BCH_Assessment!J43</f>
        <v>0</v>
      </c>
      <c r="Q2143" t="str">
        <f t="shared" si="33"/>
        <v>BCH|36</v>
      </c>
    </row>
    <row r="2144" spans="1:17" ht="6.45" customHeight="1">
      <c r="A2144" t="s">
        <v>3884</v>
      </c>
      <c r="B2144">
        <v>37</v>
      </c>
      <c r="C2144" t="s">
        <v>67</v>
      </c>
      <c r="D2144">
        <v>44</v>
      </c>
      <c r="E2144" t="s">
        <v>1019</v>
      </c>
      <c r="F2144" t="s">
        <v>5323</v>
      </c>
      <c r="G2144" t="str">
        <f>BCH_Assessment!A44</f>
        <v>Risk ID</v>
      </c>
      <c r="H2144" t="str">
        <f>BCH_Assessment!B44</f>
        <v>Room</v>
      </c>
      <c r="I2144" t="str">
        <f>BCH_Assessment!C44</f>
        <v>Risk</v>
      </c>
      <c r="J2144" t="str">
        <f>BCH_Assessment!D44</f>
        <v>Impact</v>
      </c>
      <c r="K2144" t="str">
        <f>BCH_Assessment!E44</f>
        <v>Probability</v>
      </c>
      <c r="L2144" t="str">
        <f>BCH_Assessment!F44</f>
        <v>Score</v>
      </c>
      <c r="M2144" t="str">
        <f>BCH_Assessment!G44</f>
        <v>Mitigation</v>
      </c>
      <c r="N2144" t="str">
        <f>BCH_Assessment!H44</f>
        <v>Owner</v>
      </c>
      <c r="O2144" t="str">
        <f>BCH_Assessment!I44</f>
        <v>Status</v>
      </c>
      <c r="P2144" t="str">
        <f>BCH_Assessment!J44</f>
        <v>Notes</v>
      </c>
      <c r="Q2144" t="str">
        <f t="shared" si="33"/>
        <v>BCH|37</v>
      </c>
    </row>
    <row r="2145" spans="1:17" ht="6.45" customHeight="1">
      <c r="A2145" t="s">
        <v>3884</v>
      </c>
      <c r="B2145">
        <v>38</v>
      </c>
      <c r="C2145" t="s">
        <v>67</v>
      </c>
      <c r="D2145">
        <v>45</v>
      </c>
      <c r="E2145" t="s">
        <v>1019</v>
      </c>
      <c r="F2145" t="s">
        <v>5324</v>
      </c>
      <c r="G2145" t="str">
        <f>BCH_Assessment!A45</f>
        <v>BCH-R1</v>
      </c>
      <c r="H2145" t="str">
        <f>BCH_Assessment!B45</f>
        <v>All</v>
      </c>
      <c r="I2145" t="str">
        <f>BCH_Assessment!C45</f>
        <v>Existing conditions for Crescent House Room 107 not field verified</v>
      </c>
      <c r="J2145" t="str">
        <f>BCH_Assessment!D45</f>
        <v>High</v>
      </c>
      <c r="K2145" t="str">
        <f>BCH_Assessment!E45</f>
        <v>Medium</v>
      </c>
      <c r="L2145">
        <f>BCH_Assessment!F45</f>
        <v>6</v>
      </c>
      <c r="M2145" t="str">
        <f>BCH_Assessment!G45</f>
        <v>Perform existing conditions survey with photos before mobilization</v>
      </c>
      <c r="N2145" t="str">
        <f>BCH_Assessment!H45</f>
        <v>GCC / Contractor</v>
      </c>
      <c r="O2145" t="str">
        <f>BCH_Assessment!I45</f>
        <v>Closed</v>
      </c>
      <c r="P2145" t="str">
        <f>BCH_Assessment!J45</f>
        <v>BCH is off-site at 15 Veterans Way, Lowell and requires careful field verification.</v>
      </c>
      <c r="Q2145" t="str">
        <f t="shared" si="33"/>
        <v>BCH|38</v>
      </c>
    </row>
    <row r="2146" spans="1:17" ht="6.45" customHeight="1">
      <c r="A2146" t="s">
        <v>3884</v>
      </c>
      <c r="B2146">
        <v>39</v>
      </c>
      <c r="C2146" t="s">
        <v>67</v>
      </c>
      <c r="D2146">
        <v>46</v>
      </c>
      <c r="E2146" t="s">
        <v>1019</v>
      </c>
      <c r="F2146" t="s">
        <v>5324</v>
      </c>
      <c r="G2146" t="str">
        <f>BCH_Assessment!A46</f>
        <v>BCH-R2</v>
      </c>
      <c r="H2146" t="str">
        <f>BCH_Assessment!B46</f>
        <v>107</v>
      </c>
      <c r="I2146" t="str">
        <f>BCH_Assessment!C46</f>
        <v>Mechanical and fire protection are excluded despite telecom/electronics installation</v>
      </c>
      <c r="J2146" t="str">
        <f>BCH_Assessment!D46</f>
        <v>High</v>
      </c>
      <c r="K2146" t="str">
        <f>BCH_Assessment!E46</f>
        <v>Medium</v>
      </c>
      <c r="L2146">
        <f>BCH_Assessment!F46</f>
        <v>6</v>
      </c>
      <c r="M2146" t="str">
        <f>BCH_Assessment!G46</f>
        <v>Verify existing environmental and life-safety conditions support TE equipment; confirm no dedicated HVAC/FP requirement applies</v>
      </c>
      <c r="N2146" t="str">
        <f>BCH_Assessment!H46</f>
        <v>GCC / VA / AE</v>
      </c>
      <c r="O2146" t="str">
        <f>BCH_Assessment!I46</f>
        <v>Closed</v>
      </c>
      <c r="P2146" t="str">
        <f>BCH_Assessment!J46</f>
        <v>Cover sheet explicitly excludes mechanical and fire protection.</v>
      </c>
      <c r="Q2146" t="str">
        <f t="shared" si="33"/>
        <v>BCH|39</v>
      </c>
    </row>
    <row r="2147" spans="1:17" ht="6.45" customHeight="1">
      <c r="A2147" t="s">
        <v>3884</v>
      </c>
      <c r="B2147">
        <v>40</v>
      </c>
      <c r="C2147" t="s">
        <v>67</v>
      </c>
      <c r="D2147">
        <v>47</v>
      </c>
      <c r="E2147" t="s">
        <v>1019</v>
      </c>
      <c r="F2147" t="s">
        <v>5324</v>
      </c>
      <c r="G2147" t="str">
        <f>BCH_Assessment!A47</f>
        <v>BCH-R3</v>
      </c>
      <c r="H2147" t="str">
        <f>BCH_Assessment!B47</f>
        <v>107 / 00</v>
      </c>
      <c r="I2147" t="str">
        <f>BCH_Assessment!C47</f>
        <v>Rack/elevation conflict: TE 12RU enclosure versus BCH Room 107 new telecom room elevation</v>
      </c>
      <c r="J2147" t="str">
        <f>BCH_Assessment!D47</f>
        <v>High</v>
      </c>
      <c r="K2147" t="str">
        <f>BCH_Assessment!E47</f>
        <v>Medium</v>
      </c>
      <c r="L2147">
        <f>BCH_Assessment!F47</f>
        <v>6</v>
      </c>
      <c r="M2147" t="str">
        <f>BCH_Assessment!G47</f>
        <v>Submit RFI/confirm with AE which elevation governs and map room/equipment in PMIS</v>
      </c>
      <c r="N2147" t="str">
        <f>BCH_Assessment!H47</f>
        <v>Telecom / Designer</v>
      </c>
      <c r="O2147" t="str">
        <f>BCH_Assessment!I47</f>
        <v>Closed</v>
      </c>
      <c r="P2147" t="str">
        <f>BCH_Assessment!J47</f>
        <v>BCHT-604 includes both TE enclosure and BCH 45RU new telecom room/no existing elevations.</v>
      </c>
      <c r="Q2147" t="str">
        <f t="shared" si="33"/>
        <v>BCH|40</v>
      </c>
    </row>
    <row r="2148" spans="1:17" ht="6.45" customHeight="1">
      <c r="A2148" t="s">
        <v>3884</v>
      </c>
      <c r="B2148">
        <v>41</v>
      </c>
      <c r="C2148" t="s">
        <v>67</v>
      </c>
      <c r="D2148">
        <v>48</v>
      </c>
      <c r="E2148" t="s">
        <v>1019</v>
      </c>
      <c r="F2148" t="s">
        <v>5324</v>
      </c>
      <c r="G2148" t="str">
        <f>BCH_Assessment!A48</f>
        <v>BCH-R4</v>
      </c>
      <c r="H2148" t="str">
        <f>BCH_Assessment!B48</f>
        <v>107</v>
      </c>
      <c r="I2148" t="str">
        <f>BCH_Assessment!C48</f>
        <v>Active services and existing devices may require phasing/temporary service</v>
      </c>
      <c r="J2148" t="str">
        <f>BCH_Assessment!D48</f>
        <v>Critical</v>
      </c>
      <c r="K2148" t="str">
        <f>BCH_Assessment!E48</f>
        <v>Medium</v>
      </c>
      <c r="L2148">
        <f>BCH_Assessment!F48</f>
        <v>8</v>
      </c>
      <c r="M2148" t="str">
        <f>BCH_Assessment!G48</f>
        <v>Document active services, maintain existing service, use phasing plan, temporary utilities and OIT cutover windows</v>
      </c>
      <c r="N2148" t="str">
        <f>BCH_Assessment!H48</f>
        <v>Telecom / OIT</v>
      </c>
      <c r="O2148" t="str">
        <f>BCH_Assessment!I48</f>
        <v>Closed</v>
      </c>
      <c r="P2148" t="str">
        <f>BCH_Assessment!J48</f>
        <v>General telecom notes require transfer/phasing and avoiding shutdowns.</v>
      </c>
      <c r="Q2148" t="str">
        <f t="shared" si="33"/>
        <v>BCH|41</v>
      </c>
    </row>
    <row r="2149" spans="1:17" ht="6.45" customHeight="1">
      <c r="A2149" t="s">
        <v>3884</v>
      </c>
      <c r="B2149">
        <v>42</v>
      </c>
      <c r="C2149" t="s">
        <v>67</v>
      </c>
      <c r="D2149">
        <v>49</v>
      </c>
      <c r="E2149" t="s">
        <v>1019</v>
      </c>
      <c r="F2149" t="s">
        <v>5324</v>
      </c>
      <c r="G2149" t="str">
        <f>BCH_Assessment!A49</f>
        <v>BCH-R5</v>
      </c>
      <c r="H2149" t="str">
        <f>BCH_Assessment!B49</f>
        <v>107</v>
      </c>
      <c r="I2149" t="str">
        <f>BCH_Assessment!C49</f>
        <v>UPS/PDU/receptacle source and grounding/bonding not verified</v>
      </c>
      <c r="J2149" t="str">
        <f>BCH_Assessment!D49</f>
        <v>High</v>
      </c>
      <c r="K2149" t="str">
        <f>BCH_Assessment!E49</f>
        <v>Medium</v>
      </c>
      <c r="L2149">
        <f>BCH_Assessment!F49</f>
        <v>6</v>
      </c>
      <c r="M2149" t="str">
        <f>BCH_Assessment!G49</f>
        <v>Verify circuit source, receptacle type, UPS/PDU load, grounding bar, bonding and labels</v>
      </c>
      <c r="N2149" t="str">
        <f>BCH_Assessment!H49</f>
        <v>Electrical / Telecom</v>
      </c>
      <c r="O2149" t="str">
        <f>BCH_Assessment!I49</f>
        <v>Closed</v>
      </c>
      <c r="P2149" t="str">
        <f>BCH_Assessment!J49</f>
        <v>Electrical sheets included but no full mechanical/FP package.</v>
      </c>
      <c r="Q2149" t="str">
        <f t="shared" si="33"/>
        <v>BCH|42</v>
      </c>
    </row>
    <row r="2150" spans="1:17" ht="6.45" customHeight="1">
      <c r="A2150" t="s">
        <v>3884</v>
      </c>
      <c r="B2150">
        <v>43</v>
      </c>
      <c r="C2150" t="s">
        <v>67</v>
      </c>
      <c r="D2150">
        <v>50</v>
      </c>
      <c r="E2150" t="s">
        <v>1019</v>
      </c>
      <c r="F2150" t="s">
        <v>5324</v>
      </c>
      <c r="G2150" t="str">
        <f>BCH_Assessment!A50</f>
        <v>BCH-R6</v>
      </c>
      <c r="H2150" t="str">
        <f>BCH_Assessment!B50</f>
        <v>All</v>
      </c>
      <c r="I2150" t="str">
        <f>BCH_Assessment!C50</f>
        <v>Cable tray, sleeve and pathway quantities not scheduled in a BCHT-701 sheet</v>
      </c>
      <c r="J2150" t="str">
        <f>BCH_Assessment!D50</f>
        <v>High</v>
      </c>
      <c r="K2150" t="str">
        <f>BCH_Assessment!E50</f>
        <v>Medium</v>
      </c>
      <c r="L2150">
        <f>BCH_Assessment!F50</f>
        <v>6</v>
      </c>
      <c r="M2150" t="str">
        <f>BCH_Assessment!G50</f>
        <v>Require coordination drawings showing route, supports, fill, penetrations, sleeves and cable counts</v>
      </c>
      <c r="N2150" t="str">
        <f>BCH_Assessment!H50</f>
        <v>Telecom / GC</v>
      </c>
      <c r="O2150" t="str">
        <f>BCH_Assessment!I50</f>
        <v>Closed</v>
      </c>
      <c r="P2150" t="str">
        <f>BCH_Assessment!J50</f>
        <v>Drawing index does not list BCHT-701 telecom schedules.</v>
      </c>
      <c r="Q2150" t="str">
        <f t="shared" si="33"/>
        <v>BCH|43</v>
      </c>
    </row>
    <row r="2151" spans="1:17" ht="6.45" customHeight="1">
      <c r="A2151" t="s">
        <v>3884</v>
      </c>
      <c r="B2151">
        <v>44</v>
      </c>
      <c r="C2151" t="s">
        <v>67</v>
      </c>
      <c r="D2151">
        <v>51</v>
      </c>
      <c r="E2151" t="s">
        <v>1019</v>
      </c>
      <c r="F2151" t="s">
        <v>5324</v>
      </c>
      <c r="G2151" t="str">
        <f>BCH_Assessment!A51</f>
        <v>BCH-R7</v>
      </c>
      <c r="H2151" t="str">
        <f>BCH_Assessment!B51</f>
        <v>All</v>
      </c>
      <c r="I2151" t="str">
        <f>BCH_Assessment!C51</f>
        <v>Firestopping/rated sleeve work could be missed because FP scope is excluded</v>
      </c>
      <c r="J2151" t="str">
        <f>BCH_Assessment!D51</f>
        <v>High</v>
      </c>
      <c r="K2151" t="str">
        <f>BCH_Assessment!E51</f>
        <v>Medium</v>
      </c>
      <c r="L2151">
        <f>BCH_Assessment!F51</f>
        <v>6</v>
      </c>
      <c r="M2151" t="str">
        <f>BCH_Assessment!G51</f>
        <v>Track 4-inch sleeves, rated penetrations, fire caulk, temporary firestopping and patching even without FP scope</v>
      </c>
      <c r="N2151" t="str">
        <f>BCH_Assessment!H51</f>
        <v>GC / Firestop</v>
      </c>
      <c r="O2151" t="str">
        <f>BCH_Assessment!I51</f>
        <v>Closed</v>
      </c>
      <c r="P2151" t="str">
        <f>BCH_Assessment!J51</f>
        <v>Telecom plan notes still require fire caulk and rated penetration protection.</v>
      </c>
      <c r="Q2151" t="str">
        <f t="shared" si="33"/>
        <v>BCH|44</v>
      </c>
    </row>
    <row r="2152" spans="1:17" ht="6.45" customHeight="1">
      <c r="A2152" t="s">
        <v>3884</v>
      </c>
      <c r="B2152">
        <v>45</v>
      </c>
      <c r="C2152" t="s">
        <v>67</v>
      </c>
      <c r="D2152">
        <v>52</v>
      </c>
      <c r="E2152" t="s">
        <v>1019</v>
      </c>
      <c r="F2152" t="s">
        <v>5324</v>
      </c>
      <c r="G2152" t="str">
        <f>BCH_Assessment!A52</f>
        <v>BCH-R8</v>
      </c>
      <c r="H2152" t="str">
        <f>BCH_Assessment!B52</f>
        <v>All</v>
      </c>
      <c r="I2152" t="str">
        <f>BCH_Assessment!C52</f>
        <v>Turnover documentation may be incomplete due to TE-only/off-site scope</v>
      </c>
      <c r="J2152" t="str">
        <f>BCH_Assessment!D52</f>
        <v>High</v>
      </c>
      <c r="K2152" t="str">
        <f>BCH_Assessment!E52</f>
        <v>Medium</v>
      </c>
      <c r="L2152">
        <f>BCH_Assessment!F52</f>
        <v>6</v>
      </c>
      <c r="M2152" t="str">
        <f>BCH_Assessment!G52</f>
        <v>Track cable test records, labels, as-builts, laminated schedules, OIT acceptance, UPS/PDU verification and owner signoff</v>
      </c>
      <c r="N2152" t="str">
        <f>BCH_Assessment!H52</f>
        <v>GC / Cx Manager</v>
      </c>
      <c r="O2152" t="str">
        <f>BCH_Assessment!I52</f>
        <v>Closed</v>
      </c>
      <c r="P2152" t="str">
        <f>BCH_Assessment!J52</f>
        <v>Commissioning/testing requirements still apply to impacted systems.</v>
      </c>
      <c r="Q2152" t="str">
        <f t="shared" si="33"/>
        <v>BCH|45</v>
      </c>
    </row>
    <row r="2153" spans="1:17" ht="6.45" customHeight="1">
      <c r="A2153" t="s">
        <v>3884</v>
      </c>
      <c r="B2153">
        <v>46</v>
      </c>
      <c r="C2153" t="s">
        <v>67</v>
      </c>
      <c r="D2153">
        <v>53</v>
      </c>
      <c r="E2153" t="s">
        <v>1019</v>
      </c>
      <c r="F2153" t="s">
        <v>5325</v>
      </c>
      <c r="G2153">
        <f>BCH_Assessment!A53</f>
        <v>0</v>
      </c>
      <c r="H2153">
        <f>BCH_Assessment!B53</f>
        <v>0</v>
      </c>
      <c r="I2153">
        <f>BCH_Assessment!C53</f>
        <v>0</v>
      </c>
      <c r="J2153">
        <f>BCH_Assessment!D53</f>
        <v>0</v>
      </c>
      <c r="K2153">
        <f>BCH_Assessment!E53</f>
        <v>0</v>
      </c>
      <c r="L2153">
        <f>BCH_Assessment!F53</f>
        <v>0</v>
      </c>
      <c r="M2153">
        <f>BCH_Assessment!G53</f>
        <v>0</v>
      </c>
      <c r="N2153">
        <f>BCH_Assessment!H53</f>
        <v>0</v>
      </c>
      <c r="O2153">
        <f>BCH_Assessment!I53</f>
        <v>0</v>
      </c>
      <c r="P2153">
        <f>BCH_Assessment!J53</f>
        <v>0</v>
      </c>
      <c r="Q2153" t="str">
        <f t="shared" si="33"/>
        <v>BCH|46</v>
      </c>
    </row>
    <row r="2154" spans="1:17" ht="6.45" customHeight="1">
      <c r="A2154" t="s">
        <v>3884</v>
      </c>
      <c r="B2154">
        <v>47</v>
      </c>
      <c r="C2154" t="s">
        <v>67</v>
      </c>
      <c r="D2154">
        <v>54</v>
      </c>
      <c r="E2154" t="s">
        <v>1051</v>
      </c>
      <c r="F2154" t="s">
        <v>5322</v>
      </c>
      <c r="G2154" t="str">
        <f>BCH_Assessment!A54</f>
        <v>9. OPEN QUESTIONS</v>
      </c>
      <c r="H2154">
        <f>BCH_Assessment!B54</f>
        <v>0</v>
      </c>
      <c r="I2154">
        <f>BCH_Assessment!C54</f>
        <v>0</v>
      </c>
      <c r="J2154">
        <f>BCH_Assessment!D54</f>
        <v>0</v>
      </c>
      <c r="K2154">
        <f>BCH_Assessment!E54</f>
        <v>0</v>
      </c>
      <c r="L2154">
        <f>BCH_Assessment!F54</f>
        <v>0</v>
      </c>
      <c r="M2154">
        <f>BCH_Assessment!G54</f>
        <v>0</v>
      </c>
      <c r="N2154">
        <f>BCH_Assessment!H54</f>
        <v>0</v>
      </c>
      <c r="O2154">
        <f>BCH_Assessment!I54</f>
        <v>0</v>
      </c>
      <c r="P2154">
        <f>BCH_Assessment!J54</f>
        <v>0</v>
      </c>
      <c r="Q2154" t="str">
        <f t="shared" si="33"/>
        <v>BCH|47</v>
      </c>
    </row>
    <row r="2155" spans="1:17" ht="6.45" customHeight="1">
      <c r="A2155" t="s">
        <v>3884</v>
      </c>
      <c r="B2155">
        <v>48</v>
      </c>
      <c r="C2155" t="s">
        <v>67</v>
      </c>
      <c r="D2155">
        <v>55</v>
      </c>
      <c r="E2155" t="s">
        <v>1051</v>
      </c>
      <c r="F2155" t="s">
        <v>5323</v>
      </c>
      <c r="G2155" t="str">
        <f>BCH_Assessment!A55</f>
        <v>Question ID</v>
      </c>
      <c r="H2155" t="str">
        <f>BCH_Assessment!B55</f>
        <v>Question</v>
      </c>
      <c r="I2155" t="str">
        <f>BCH_Assessment!C55</f>
        <v>Assigned To</v>
      </c>
      <c r="J2155" t="str">
        <f>BCH_Assessment!D55</f>
        <v>Status</v>
      </c>
      <c r="K2155" t="str">
        <f>BCH_Assessment!E55</f>
        <v>Needed By</v>
      </c>
      <c r="L2155" t="str">
        <f>BCH_Assessment!F55</f>
        <v>Answer / Resolution</v>
      </c>
      <c r="M2155" t="str">
        <f>BCH_Assessment!G55</f>
        <v>Impact if Unanswered</v>
      </c>
      <c r="N2155" t="str">
        <f>BCH_Assessment!H55</f>
        <v>Follow-up</v>
      </c>
      <c r="O2155" t="str">
        <f>BCH_Assessment!I55</f>
        <v>Date Closed</v>
      </c>
      <c r="P2155" t="str">
        <f>BCH_Assessment!J55</f>
        <v>Notes</v>
      </c>
      <c r="Q2155" t="str">
        <f t="shared" si="33"/>
        <v>BCH|48</v>
      </c>
    </row>
    <row r="2156" spans="1:17" ht="6.45" customHeight="1">
      <c r="A2156" t="s">
        <v>3884</v>
      </c>
      <c r="B2156">
        <v>49</v>
      </c>
      <c r="C2156" t="s">
        <v>67</v>
      </c>
      <c r="D2156">
        <v>56</v>
      </c>
      <c r="E2156" t="s">
        <v>1051</v>
      </c>
      <c r="F2156" t="s">
        <v>5324</v>
      </c>
      <c r="G2156" t="str">
        <f>BCH_Assessment!A56</f>
        <v>BCH-Q1</v>
      </c>
      <c r="H2156" t="str">
        <f>BCH_Assessment!B56</f>
        <v>Confirm final BCH scope: Room 107 TE enclosure only, or a new telecom room/rack buildout?</v>
      </c>
      <c r="I2156" t="str">
        <f>BCH_Assessment!C56</f>
        <v>VA / AE / OIT</v>
      </c>
      <c r="J2156" t="str">
        <f>BCH_Assessment!D56</f>
        <v>Closed</v>
      </c>
      <c r="K2156">
        <f>BCH_Assessment!E56</f>
        <v>0</v>
      </c>
      <c r="L2156">
        <f>BCH_Assessment!F56</f>
        <v>0</v>
      </c>
      <c r="M2156" t="str">
        <f>BCH_Assessment!G56</f>
        <v>PMIS scope and acceptance criteria unclear</v>
      </c>
      <c r="N2156">
        <f>BCH_Assessment!H56</f>
        <v>0</v>
      </c>
      <c r="O2156">
        <f>BCH_Assessment!I56</f>
        <v>0</v>
      </c>
      <c r="P2156">
        <f>BCH_Assessment!J56</f>
        <v>0</v>
      </c>
      <c r="Q2156" t="str">
        <f t="shared" si="33"/>
        <v>BCH|49</v>
      </c>
    </row>
    <row r="2157" spans="1:17" ht="6.45" customHeight="1">
      <c r="A2157" t="s">
        <v>3884</v>
      </c>
      <c r="B2157">
        <v>50</v>
      </c>
      <c r="C2157" t="s">
        <v>67</v>
      </c>
      <c r="D2157">
        <v>57</v>
      </c>
      <c r="E2157" t="s">
        <v>1051</v>
      </c>
      <c r="F2157" t="s">
        <v>5324</v>
      </c>
      <c r="G2157" t="str">
        <f>BCH_Assessment!A57</f>
        <v>BCH-Q2</v>
      </c>
      <c r="H2157" t="str">
        <f>BCH_Assessment!B57</f>
        <v>Why does BCHT-604 show a T78 12RU TE enclosure and a separate BCH Crescent House Room 107 new telecom room elevation?</v>
      </c>
      <c r="I2157" t="str">
        <f>BCH_Assessment!C57</f>
        <v>VA / Designer</v>
      </c>
      <c r="J2157" t="str">
        <f>BCH_Assessment!D57</f>
        <v>Closed</v>
      </c>
      <c r="K2157">
        <f>BCH_Assessment!E57</f>
        <v>0</v>
      </c>
      <c r="L2157">
        <f>BCH_Assessment!F57</f>
        <v>0</v>
      </c>
      <c r="M2157" t="str">
        <f>BCH_Assessment!G57</f>
        <v>Rack/equipment mapping conflict</v>
      </c>
      <c r="N2157">
        <f>BCH_Assessment!H57</f>
        <v>0</v>
      </c>
      <c r="O2157">
        <f>BCH_Assessment!I57</f>
        <v>0</v>
      </c>
      <c r="P2157">
        <f>BCH_Assessment!J57</f>
        <v>0</v>
      </c>
      <c r="Q2157" t="str">
        <f t="shared" si="33"/>
        <v>BCH|50</v>
      </c>
    </row>
    <row r="2158" spans="1:17" ht="6.45" customHeight="1">
      <c r="A2158" t="s">
        <v>3884</v>
      </c>
      <c r="B2158">
        <v>51</v>
      </c>
      <c r="C2158" t="s">
        <v>67</v>
      </c>
      <c r="D2158">
        <v>58</v>
      </c>
      <c r="E2158" t="s">
        <v>1051</v>
      </c>
      <c r="F2158" t="s">
        <v>5324</v>
      </c>
      <c r="G2158" t="str">
        <f>BCH_Assessment!A58</f>
        <v>BCH-Q3</v>
      </c>
      <c r="H2158" t="str">
        <f>BCH_Assessment!B58</f>
        <v>What active services currently serve Crescent House and where are existing terminations located?</v>
      </c>
      <c r="I2158" t="str">
        <f>BCH_Assessment!C58</f>
        <v>OIT / Contractor</v>
      </c>
      <c r="J2158" t="str">
        <f>BCH_Assessment!D58</f>
        <v>Closed</v>
      </c>
      <c r="K2158">
        <f>BCH_Assessment!E58</f>
        <v>0</v>
      </c>
      <c r="L2158">
        <f>BCH_Assessment!F58</f>
        <v>0</v>
      </c>
      <c r="M2158" t="str">
        <f>BCH_Assessment!G58</f>
        <v>Cutover/outage risk</v>
      </c>
      <c r="N2158">
        <f>BCH_Assessment!H58</f>
        <v>0</v>
      </c>
      <c r="O2158">
        <f>BCH_Assessment!I58</f>
        <v>0</v>
      </c>
      <c r="P2158">
        <f>BCH_Assessment!J58</f>
        <v>0</v>
      </c>
      <c r="Q2158" t="str">
        <f t="shared" si="33"/>
        <v>BCH|51</v>
      </c>
    </row>
    <row r="2159" spans="1:17" ht="6.45" customHeight="1">
      <c r="A2159" t="s">
        <v>3884</v>
      </c>
      <c r="B2159">
        <v>52</v>
      </c>
      <c r="C2159" t="s">
        <v>67</v>
      </c>
      <c r="D2159">
        <v>59</v>
      </c>
      <c r="E2159" t="s">
        <v>1051</v>
      </c>
      <c r="F2159" t="s">
        <v>5324</v>
      </c>
      <c r="G2159" t="str">
        <f>BCH_Assessment!A59</f>
        <v>BCH-Q4</v>
      </c>
      <c r="H2159" t="str">
        <f>BCH_Assessment!B59</f>
        <v>What is the approved power source, receptacle type and circuit capacity for the new UPS/PDU?</v>
      </c>
      <c r="I2159" t="str">
        <f>BCH_Assessment!C59</f>
        <v>Electrical / Designer</v>
      </c>
      <c r="J2159" t="str">
        <f>BCH_Assessment!D59</f>
        <v>Closed</v>
      </c>
      <c r="K2159">
        <f>BCH_Assessment!E59</f>
        <v>0</v>
      </c>
      <c r="L2159">
        <f>BCH_Assessment!F59</f>
        <v>0</v>
      </c>
      <c r="M2159" t="str">
        <f>BCH_Assessment!G59</f>
        <v>Electrical readiness unknown</v>
      </c>
      <c r="N2159">
        <f>BCH_Assessment!H59</f>
        <v>0</v>
      </c>
      <c r="O2159">
        <f>BCH_Assessment!I59</f>
        <v>0</v>
      </c>
      <c r="P2159">
        <f>BCH_Assessment!J59</f>
        <v>0</v>
      </c>
      <c r="Q2159" t="str">
        <f t="shared" si="33"/>
        <v>BCH|52</v>
      </c>
    </row>
    <row r="2160" spans="1:17" ht="6.45" customHeight="1">
      <c r="A2160" t="s">
        <v>3884</v>
      </c>
      <c r="B2160">
        <v>53</v>
      </c>
      <c r="C2160" t="s">
        <v>67</v>
      </c>
      <c r="D2160">
        <v>60</v>
      </c>
      <c r="E2160" t="s">
        <v>1051</v>
      </c>
      <c r="F2160" t="s">
        <v>5324</v>
      </c>
      <c r="G2160" t="str">
        <f>BCH_Assessment!A60</f>
        <v>BCH-Q5</v>
      </c>
      <c r="H2160" t="str">
        <f>BCH_Assessment!B60</f>
        <v>Is existing HVAC/ambient condition acceptable for TE/network equipment since mechanical scope is excluded?</v>
      </c>
      <c r="I2160" t="str">
        <f>BCH_Assessment!C60</f>
        <v>VA / OIT / Facilities</v>
      </c>
      <c r="J2160" t="str">
        <f>BCH_Assessment!D60</f>
        <v>Closed</v>
      </c>
      <c r="K2160">
        <f>BCH_Assessment!E60</f>
        <v>0</v>
      </c>
      <c r="L2160">
        <f>BCH_Assessment!F60</f>
        <v>0</v>
      </c>
      <c r="M2160" t="str">
        <f>BCH_Assessment!G60</f>
        <v>Heat/load risk</v>
      </c>
      <c r="N2160">
        <f>BCH_Assessment!H60</f>
        <v>0</v>
      </c>
      <c r="O2160">
        <f>BCH_Assessment!I60</f>
        <v>0</v>
      </c>
      <c r="P2160">
        <f>BCH_Assessment!J60</f>
        <v>0</v>
      </c>
      <c r="Q2160" t="str">
        <f t="shared" si="33"/>
        <v>BCH|53</v>
      </c>
    </row>
    <row r="2161" spans="1:17" ht="6.45" customHeight="1">
      <c r="A2161" t="s">
        <v>3884</v>
      </c>
      <c r="B2161">
        <v>54</v>
      </c>
      <c r="C2161" t="s">
        <v>67</v>
      </c>
      <c r="D2161">
        <v>61</v>
      </c>
      <c r="E2161" t="s">
        <v>1051</v>
      </c>
      <c r="F2161" t="s">
        <v>5324</v>
      </c>
      <c r="G2161" t="str">
        <f>BCH_Assessment!A61</f>
        <v>BCH-Q6</v>
      </c>
      <c r="H2161" t="str">
        <f>BCH_Assessment!B61</f>
        <v>Are cable tray route, sleeve locations, supports and firestopping details shown/field verified without a BCHT-701 schedule?</v>
      </c>
      <c r="I2161" t="str">
        <f>BCH_Assessment!C61</f>
        <v>Telecom / GC / Firestop</v>
      </c>
      <c r="J2161" t="str">
        <f>BCH_Assessment!D61</f>
        <v>Closed</v>
      </c>
      <c r="K2161">
        <f>BCH_Assessment!E61</f>
        <v>0</v>
      </c>
      <c r="L2161">
        <f>BCH_Assessment!F61</f>
        <v>0</v>
      </c>
      <c r="M2161" t="str">
        <f>BCH_Assessment!G61</f>
        <v>Install delay or firestop gap</v>
      </c>
      <c r="N2161">
        <f>BCH_Assessment!H61</f>
        <v>0</v>
      </c>
      <c r="O2161">
        <f>BCH_Assessment!I61</f>
        <v>0</v>
      </c>
      <c r="P2161">
        <f>BCH_Assessment!J61</f>
        <v>0</v>
      </c>
      <c r="Q2161" t="str">
        <f t="shared" si="33"/>
        <v>BCH|54</v>
      </c>
    </row>
    <row r="2162" spans="1:17" ht="6.45" customHeight="1">
      <c r="A2162" t="s">
        <v>3884</v>
      </c>
      <c r="B2162">
        <v>55</v>
      </c>
      <c r="C2162" t="s">
        <v>67</v>
      </c>
      <c r="D2162">
        <v>62</v>
      </c>
      <c r="E2162" t="s">
        <v>1051</v>
      </c>
      <c r="F2162" t="s">
        <v>5324</v>
      </c>
      <c r="G2162" t="str">
        <f>BCH_Assessment!A62</f>
        <v>BCH-Q7</v>
      </c>
      <c r="H2162" t="str">
        <f>BCH_Assessment!B62</f>
        <v>Are camera/security devices required, protected and integrated into VMS for Room 107?</v>
      </c>
      <c r="I2162" t="str">
        <f>BCH_Assessment!C62</f>
        <v>Security / OIT</v>
      </c>
      <c r="J2162" t="str">
        <f>BCH_Assessment!D62</f>
        <v>Closed</v>
      </c>
      <c r="K2162">
        <f>BCH_Assessment!E62</f>
        <v>0</v>
      </c>
      <c r="L2162">
        <f>BCH_Assessment!F62</f>
        <v>0</v>
      </c>
      <c r="M2162" t="str">
        <f>BCH_Assessment!G62</f>
        <v>Security continuity unclear</v>
      </c>
      <c r="N2162">
        <f>BCH_Assessment!H62</f>
        <v>0</v>
      </c>
      <c r="O2162">
        <f>BCH_Assessment!I62</f>
        <v>0</v>
      </c>
      <c r="P2162">
        <f>BCH_Assessment!J62</f>
        <v>0</v>
      </c>
      <c r="Q2162" t="str">
        <f t="shared" si="33"/>
        <v>BCH|55</v>
      </c>
    </row>
    <row r="2163" spans="1:17" ht="6.45" customHeight="1">
      <c r="A2163" t="s">
        <v>3884</v>
      </c>
      <c r="B2163">
        <v>56</v>
      </c>
      <c r="C2163" t="s">
        <v>67</v>
      </c>
      <c r="D2163">
        <v>63</v>
      </c>
      <c r="E2163" t="s">
        <v>1051</v>
      </c>
      <c r="F2163" t="s">
        <v>5324</v>
      </c>
      <c r="G2163" t="str">
        <f>BCH_Assessment!A63</f>
        <v>BCH-Q8</v>
      </c>
      <c r="H2163" t="str">
        <f>BCH_Assessment!B63</f>
        <v>Which test records and turnover documents are required for BCH TE/off-site acceptance?</v>
      </c>
      <c r="I2163" t="str">
        <f>BCH_Assessment!C63</f>
        <v>GC / Cx Manager / OIT</v>
      </c>
      <c r="J2163" t="str">
        <f>BCH_Assessment!D63</f>
        <v>Closed</v>
      </c>
      <c r="K2163">
        <f>BCH_Assessment!E63</f>
        <v>0</v>
      </c>
      <c r="L2163">
        <f>BCH_Assessment!F63</f>
        <v>0</v>
      </c>
      <c r="M2163" t="str">
        <f>BCH_Assessment!G63</f>
        <v>Turnover package gap</v>
      </c>
      <c r="N2163">
        <f>BCH_Assessment!H63</f>
        <v>0</v>
      </c>
      <c r="O2163">
        <f>BCH_Assessment!I63</f>
        <v>0</v>
      </c>
      <c r="P2163">
        <f>BCH_Assessment!J63</f>
        <v>0</v>
      </c>
      <c r="Q2163" t="str">
        <f t="shared" si="33"/>
        <v>BCH|56</v>
      </c>
    </row>
    <row r="2164" spans="1:17" ht="6.45" customHeight="1">
      <c r="A2164" t="s">
        <v>3884</v>
      </c>
      <c r="B2164">
        <v>57</v>
      </c>
      <c r="C2164" t="s">
        <v>67</v>
      </c>
      <c r="D2164">
        <v>64</v>
      </c>
      <c r="E2164" t="s">
        <v>1051</v>
      </c>
      <c r="F2164" t="s">
        <v>5325</v>
      </c>
      <c r="G2164">
        <f>BCH_Assessment!A64</f>
        <v>0</v>
      </c>
      <c r="H2164">
        <f>BCH_Assessment!B64</f>
        <v>0</v>
      </c>
      <c r="I2164">
        <f>BCH_Assessment!C64</f>
        <v>0</v>
      </c>
      <c r="J2164">
        <f>BCH_Assessment!D64</f>
        <v>0</v>
      </c>
      <c r="K2164">
        <f>BCH_Assessment!E64</f>
        <v>0</v>
      </c>
      <c r="L2164">
        <f>BCH_Assessment!F64</f>
        <v>0</v>
      </c>
      <c r="M2164">
        <f>BCH_Assessment!G64</f>
        <v>0</v>
      </c>
      <c r="N2164">
        <f>BCH_Assessment!H64</f>
        <v>0</v>
      </c>
      <c r="O2164">
        <f>BCH_Assessment!I64</f>
        <v>0</v>
      </c>
      <c r="P2164">
        <f>BCH_Assessment!J64</f>
        <v>0</v>
      </c>
      <c r="Q2164" t="str">
        <f t="shared" si="33"/>
        <v>BCH|57</v>
      </c>
    </row>
    <row r="2165" spans="1:17" ht="6.45" customHeight="1">
      <c r="A2165" t="s">
        <v>3884</v>
      </c>
      <c r="B2165">
        <v>58</v>
      </c>
      <c r="C2165" t="s">
        <v>67</v>
      </c>
      <c r="D2165">
        <v>65</v>
      </c>
      <c r="E2165" t="s">
        <v>1052</v>
      </c>
      <c r="F2165" t="s">
        <v>5322</v>
      </c>
      <c r="G2165" t="str">
        <f>BCH_Assessment!A65</f>
        <v>10. PHOTO LOG</v>
      </c>
      <c r="H2165">
        <f>BCH_Assessment!B65</f>
        <v>0</v>
      </c>
      <c r="I2165">
        <f>BCH_Assessment!C65</f>
        <v>0</v>
      </c>
      <c r="J2165">
        <f>BCH_Assessment!D65</f>
        <v>0</v>
      </c>
      <c r="K2165">
        <f>BCH_Assessment!E65</f>
        <v>0</v>
      </c>
      <c r="L2165">
        <f>BCH_Assessment!F65</f>
        <v>0</v>
      </c>
      <c r="M2165">
        <f>BCH_Assessment!G65</f>
        <v>0</v>
      </c>
      <c r="N2165">
        <f>BCH_Assessment!H65</f>
        <v>0</v>
      </c>
      <c r="O2165">
        <f>BCH_Assessment!I65</f>
        <v>0</v>
      </c>
      <c r="P2165">
        <f>BCH_Assessment!J65</f>
        <v>0</v>
      </c>
      <c r="Q2165" t="str">
        <f t="shared" si="33"/>
        <v>BCH|58</v>
      </c>
    </row>
    <row r="2166" spans="1:17" ht="6.45" customHeight="1">
      <c r="A2166" t="s">
        <v>3884</v>
      </c>
      <c r="B2166">
        <v>59</v>
      </c>
      <c r="C2166" t="s">
        <v>67</v>
      </c>
      <c r="D2166">
        <v>66</v>
      </c>
      <c r="E2166" t="s">
        <v>1052</v>
      </c>
      <c r="F2166" t="s">
        <v>5323</v>
      </c>
      <c r="G2166" t="str">
        <f>BCH_Assessment!A66</f>
        <v>Photo ID</v>
      </c>
      <c r="H2166" t="str">
        <f>BCH_Assessment!B66</f>
        <v>Room</v>
      </c>
      <c r="I2166" t="str">
        <f>BCH_Assessment!C66</f>
        <v>Category</v>
      </c>
      <c r="J2166" t="str">
        <f>BCH_Assessment!D66</f>
        <v>Description</v>
      </c>
      <c r="K2166" t="str">
        <f>BCH_Assessment!E66</f>
        <v>Date</v>
      </c>
      <c r="L2166" t="str">
        <f>BCH_Assessment!F66</f>
        <v>Taken By</v>
      </c>
      <c r="M2166" t="str">
        <f>BCH_Assessment!G66</f>
        <v>File / Link</v>
      </c>
      <c r="N2166" t="str">
        <f>BCH_Assessment!H66</f>
        <v>Related Risk</v>
      </c>
      <c r="O2166" t="str">
        <f>BCH_Assessment!I66</f>
        <v>Status</v>
      </c>
      <c r="P2166" t="str">
        <f>BCH_Assessment!J66</f>
        <v>Notes</v>
      </c>
      <c r="Q2166" t="str">
        <f t="shared" si="33"/>
        <v>BCH|59</v>
      </c>
    </row>
    <row r="2167" spans="1:17" ht="6.45" customHeight="1">
      <c r="A2167" t="s">
        <v>3884</v>
      </c>
      <c r="B2167">
        <v>60</v>
      </c>
      <c r="C2167" t="s">
        <v>67</v>
      </c>
      <c r="D2167">
        <v>67</v>
      </c>
      <c r="E2167" t="s">
        <v>1052</v>
      </c>
      <c r="F2167" t="s">
        <v>5324</v>
      </c>
      <c r="G2167" t="str">
        <f>BCH_Assessment!A67</f>
        <v>BCH-P001</v>
      </c>
      <c r="H2167" t="str">
        <f>BCH_Assessment!B67</f>
        <v>107</v>
      </c>
      <c r="I2167" t="str">
        <f>BCH_Assessment!C67</f>
        <v>Existing Condition</v>
      </c>
      <c r="J2167" t="str">
        <f>BCH_Assessment!D67</f>
        <v>Room 107 walls, ceiling, floor, wall backing, clearances, existing devices, power source, cable path, and proposed TE/rack location</v>
      </c>
      <c r="K2167">
        <f>BCH_Assessment!E67</f>
        <v>0</v>
      </c>
      <c r="L2167" t="str">
        <f>BCH_Assessment!F67</f>
        <v>Paul</v>
      </c>
      <c r="M2167">
        <f>BCH_Assessment!G67</f>
        <v>0</v>
      </c>
      <c r="N2167" t="str">
        <f>BCH_Assessment!H67</f>
        <v>BCH-R1/BCH-R3</v>
      </c>
      <c r="O2167" t="str">
        <f>BCH_Assessment!I67</f>
        <v>Closed</v>
      </c>
      <c r="P2167">
        <f>BCH_Assessment!J67</f>
        <v>0</v>
      </c>
      <c r="Q2167" t="str">
        <f t="shared" si="33"/>
        <v>BCH|60</v>
      </c>
    </row>
    <row r="2168" spans="1:17" ht="6.45" customHeight="1">
      <c r="A2168" t="s">
        <v>3884</v>
      </c>
      <c r="B2168">
        <v>61</v>
      </c>
      <c r="C2168" t="s">
        <v>67</v>
      </c>
      <c r="D2168">
        <v>68</v>
      </c>
      <c r="E2168" t="s">
        <v>1052</v>
      </c>
      <c r="F2168" t="s">
        <v>5324</v>
      </c>
      <c r="G2168" t="str">
        <f>BCH_Assessment!A68</f>
        <v>BCH-P002</v>
      </c>
      <c r="H2168" t="str">
        <f>BCH_Assessment!B68</f>
        <v>107</v>
      </c>
      <c r="I2168" t="str">
        <f>BCH_Assessment!C68</f>
        <v>Electrical</v>
      </c>
      <c r="J2168" t="str">
        <f>BCH_Assessment!D68</f>
        <v>Panel/source, receptacles, UPS/PDU location, grounding/bonding bar, labels and access clearance</v>
      </c>
      <c r="K2168">
        <f>BCH_Assessment!E68</f>
        <v>0</v>
      </c>
      <c r="L2168" t="str">
        <f>BCH_Assessment!F68</f>
        <v>Paul</v>
      </c>
      <c r="M2168">
        <f>BCH_Assessment!G68</f>
        <v>0</v>
      </c>
      <c r="N2168" t="str">
        <f>BCH_Assessment!H68</f>
        <v>BCH-R5</v>
      </c>
      <c r="O2168" t="str">
        <f>BCH_Assessment!I68</f>
        <v>Closed</v>
      </c>
      <c r="P2168">
        <f>BCH_Assessment!J68</f>
        <v>0</v>
      </c>
      <c r="Q2168" t="str">
        <f t="shared" si="33"/>
        <v>BCH|61</v>
      </c>
    </row>
    <row r="2169" spans="1:17" ht="6.45" customHeight="1">
      <c r="A2169" t="s">
        <v>3884</v>
      </c>
      <c r="B2169">
        <v>62</v>
      </c>
      <c r="C2169" t="s">
        <v>67</v>
      </c>
      <c r="D2169">
        <v>69</v>
      </c>
      <c r="E2169" t="s">
        <v>1052</v>
      </c>
      <c r="F2169" t="s">
        <v>5324</v>
      </c>
      <c r="G2169" t="str">
        <f>BCH_Assessment!A69</f>
        <v>BCH-P003</v>
      </c>
      <c r="H2169" t="str">
        <f>BCH_Assessment!B69</f>
        <v>107</v>
      </c>
      <c r="I2169" t="str">
        <f>BCH_Assessment!C69</f>
        <v>Telecom</v>
      </c>
      <c r="J2169" t="str">
        <f>BCH_Assessment!D69</f>
        <v>12RU enclosure or rack location, Fiber LIU, patch panel, network switch, Cat6A terminations, labels and test records</v>
      </c>
      <c r="K2169">
        <f>BCH_Assessment!E69</f>
        <v>0</v>
      </c>
      <c r="L2169" t="str">
        <f>BCH_Assessment!F69</f>
        <v>Paul</v>
      </c>
      <c r="M2169">
        <f>BCH_Assessment!G69</f>
        <v>0</v>
      </c>
      <c r="N2169" t="str">
        <f>BCH_Assessment!H69</f>
        <v>BCH-R3/BCH-R8</v>
      </c>
      <c r="O2169" t="str">
        <f>BCH_Assessment!I69</f>
        <v>Closed</v>
      </c>
      <c r="P2169">
        <f>BCH_Assessment!J69</f>
        <v>0</v>
      </c>
      <c r="Q2169" t="str">
        <f t="shared" si="33"/>
        <v>BCH|62</v>
      </c>
    </row>
    <row r="2170" spans="1:17" ht="6.45" customHeight="1">
      <c r="A2170" t="s">
        <v>3884</v>
      </c>
      <c r="B2170">
        <v>63</v>
      </c>
      <c r="C2170" t="s">
        <v>67</v>
      </c>
      <c r="D2170">
        <v>70</v>
      </c>
      <c r="E2170" t="s">
        <v>1052</v>
      </c>
      <c r="F2170" t="s">
        <v>5324</v>
      </c>
      <c r="G2170" t="str">
        <f>BCH_Assessment!A70</f>
        <v>BCH-P004</v>
      </c>
      <c r="H2170" t="str">
        <f>BCH_Assessment!B70</f>
        <v>107</v>
      </c>
      <c r="I2170" t="str">
        <f>BCH_Assessment!C70</f>
        <v>Pathway</v>
      </c>
      <c r="J2170" t="str">
        <f>BCH_Assessment!D70</f>
        <v>Cable tray route, 4-inch sleeves, wall/floor penetrations, support points and 40% fill concerns</v>
      </c>
      <c r="K2170">
        <f>BCH_Assessment!E70</f>
        <v>0</v>
      </c>
      <c r="L2170" t="str">
        <f>BCH_Assessment!F70</f>
        <v>Paul</v>
      </c>
      <c r="M2170">
        <f>BCH_Assessment!G70</f>
        <v>0</v>
      </c>
      <c r="N2170" t="str">
        <f>BCH_Assessment!H70</f>
        <v>BCH-R6/BCH-R7</v>
      </c>
      <c r="O2170" t="str">
        <f>BCH_Assessment!I70</f>
        <v>Closed</v>
      </c>
      <c r="P2170">
        <f>BCH_Assessment!J70</f>
        <v>0</v>
      </c>
      <c r="Q2170" t="str">
        <f t="shared" si="33"/>
        <v>BCH|63</v>
      </c>
    </row>
    <row r="2171" spans="1:17" ht="6.45" customHeight="1">
      <c r="A2171" t="s">
        <v>3884</v>
      </c>
      <c r="B2171">
        <v>64</v>
      </c>
      <c r="C2171" t="s">
        <v>67</v>
      </c>
      <c r="D2171">
        <v>71</v>
      </c>
      <c r="E2171" t="s">
        <v>1052</v>
      </c>
      <c r="F2171" t="s">
        <v>5324</v>
      </c>
      <c r="G2171" t="str">
        <f>BCH_Assessment!A71</f>
        <v>BCH-P005</v>
      </c>
      <c r="H2171" t="str">
        <f>BCH_Assessment!B71</f>
        <v>107</v>
      </c>
      <c r="I2171" t="str">
        <f>BCH_Assessment!C71</f>
        <v>Firestop</v>
      </c>
      <c r="J2171" t="str">
        <f>BCH_Assessment!D71</f>
        <v>Rated penetrations, fire caulk and temporary/final firestopping before/after photos</v>
      </c>
      <c r="K2171">
        <f>BCH_Assessment!E71</f>
        <v>0</v>
      </c>
      <c r="L2171" t="str">
        <f>BCH_Assessment!F71</f>
        <v>Paul</v>
      </c>
      <c r="M2171">
        <f>BCH_Assessment!G71</f>
        <v>0</v>
      </c>
      <c r="N2171" t="str">
        <f>BCH_Assessment!H71</f>
        <v>BCH-R7</v>
      </c>
      <c r="O2171" t="str">
        <f>BCH_Assessment!I71</f>
        <v>Closed</v>
      </c>
      <c r="P2171">
        <f>BCH_Assessment!J71</f>
        <v>0</v>
      </c>
      <c r="Q2171" t="str">
        <f t="shared" si="33"/>
        <v>BCH|64</v>
      </c>
    </row>
    <row r="2172" spans="1:17" ht="6.45" customHeight="1">
      <c r="A2172" t="s">
        <v>3884</v>
      </c>
      <c r="B2172">
        <v>65</v>
      </c>
      <c r="C2172" t="s">
        <v>67</v>
      </c>
      <c r="D2172">
        <v>72</v>
      </c>
      <c r="E2172" t="s">
        <v>1052</v>
      </c>
      <c r="F2172" t="s">
        <v>5324</v>
      </c>
      <c r="G2172" t="str">
        <f>BCH_Assessment!A72</f>
        <v>BCH-P006</v>
      </c>
      <c r="H2172" t="str">
        <f>BCH_Assessment!B72</f>
        <v>107</v>
      </c>
      <c r="I2172" t="str">
        <f>BCH_Assessment!C72</f>
        <v>HVAC / Existing Environment</v>
      </c>
      <c r="J2172" t="str">
        <f>BCH_Assessment!D72</f>
        <v>Existing room cooling/ventilation and ambient condition for TE equipment</v>
      </c>
      <c r="K2172">
        <f>BCH_Assessment!E72</f>
        <v>0</v>
      </c>
      <c r="L2172" t="str">
        <f>BCH_Assessment!F72</f>
        <v>Paul</v>
      </c>
      <c r="M2172">
        <f>BCH_Assessment!G72</f>
        <v>0</v>
      </c>
      <c r="N2172" t="str">
        <f>BCH_Assessment!H72</f>
        <v>BCH-R2/BCH-R5</v>
      </c>
      <c r="O2172" t="str">
        <f>BCH_Assessment!I72</f>
        <v>Closed</v>
      </c>
      <c r="P2172">
        <f>BCH_Assessment!J72</f>
        <v>0</v>
      </c>
      <c r="Q2172" t="str">
        <f t="shared" si="33"/>
        <v>BCH|65</v>
      </c>
    </row>
    <row r="2173" spans="1:17" ht="6.45" customHeight="1">
      <c r="A2173" t="s">
        <v>3884</v>
      </c>
      <c r="B2173">
        <v>66</v>
      </c>
      <c r="C2173" t="s">
        <v>67</v>
      </c>
      <c r="D2173">
        <v>73</v>
      </c>
      <c r="E2173" t="s">
        <v>1052</v>
      </c>
      <c r="F2173" t="s">
        <v>5324</v>
      </c>
      <c r="G2173" t="str">
        <f>BCH_Assessment!A73</f>
        <v>BCH-P007</v>
      </c>
      <c r="H2173" t="str">
        <f>BCH_Assessment!B73</f>
        <v>107</v>
      </c>
      <c r="I2173" t="str">
        <f>BCH_Assessment!C73</f>
        <v>Security / CCTV</v>
      </c>
      <c r="J2173" t="str">
        <f>BCH_Assessment!D73</f>
        <v>Camera location, existing/security devices, VMS integration, access conditions and protection-in-place</v>
      </c>
      <c r="K2173">
        <f>BCH_Assessment!E73</f>
        <v>0</v>
      </c>
      <c r="L2173" t="str">
        <f>BCH_Assessment!F73</f>
        <v>Paul</v>
      </c>
      <c r="M2173">
        <f>BCH_Assessment!G73</f>
        <v>0</v>
      </c>
      <c r="N2173" t="str">
        <f>BCH_Assessment!H73</f>
        <v>BCH-R8</v>
      </c>
      <c r="O2173" t="str">
        <f>BCH_Assessment!I73</f>
        <v>Closed</v>
      </c>
      <c r="P2173">
        <f>BCH_Assessment!J73</f>
        <v>0</v>
      </c>
      <c r="Q2173" t="str">
        <f t="shared" si="33"/>
        <v>BCH|66</v>
      </c>
    </row>
    <row r="2174" spans="1:17" ht="6.45" customHeight="1">
      <c r="A2174" t="s">
        <v>3884</v>
      </c>
      <c r="B2174">
        <v>67</v>
      </c>
      <c r="C2174" t="s">
        <v>67</v>
      </c>
      <c r="D2174">
        <v>74</v>
      </c>
      <c r="E2174" t="s">
        <v>1052</v>
      </c>
      <c r="F2174" t="s">
        <v>5324</v>
      </c>
      <c r="G2174" t="str">
        <f>BCH_Assessment!A74</f>
        <v>BCH-P008</v>
      </c>
      <c r="H2174" t="str">
        <f>BCH_Assessment!B74</f>
        <v>All</v>
      </c>
      <c r="I2174" t="str">
        <f>BCH_Assessment!C74</f>
        <v>Off-site Coordination</v>
      </c>
      <c r="J2174" t="str">
        <f>BCH_Assessment!D74</f>
        <v>Site access, staging, ICRA/dust control, work area barriers and temporary service conditions</v>
      </c>
      <c r="K2174">
        <f>BCH_Assessment!E74</f>
        <v>0</v>
      </c>
      <c r="L2174" t="str">
        <f>BCH_Assessment!F74</f>
        <v>Paul</v>
      </c>
      <c r="M2174">
        <f>BCH_Assessment!G74</f>
        <v>0</v>
      </c>
      <c r="N2174" t="str">
        <f>BCH_Assessment!H74</f>
        <v>BCH-R1/BCH-R4</v>
      </c>
      <c r="O2174" t="str">
        <f>BCH_Assessment!I74</f>
        <v>Closed</v>
      </c>
      <c r="P2174">
        <f>BCH_Assessment!J74</f>
        <v>0</v>
      </c>
      <c r="Q2174" t="str">
        <f t="shared" si="33"/>
        <v>BCH|67</v>
      </c>
    </row>
    <row r="2175" spans="1:17" ht="6.45" customHeight="1">
      <c r="A2175" t="s">
        <v>3884</v>
      </c>
      <c r="B2175">
        <v>68</v>
      </c>
      <c r="C2175" t="s">
        <v>67</v>
      </c>
      <c r="D2175">
        <v>75</v>
      </c>
      <c r="E2175" t="s">
        <v>1052</v>
      </c>
      <c r="F2175" t="s">
        <v>5325</v>
      </c>
      <c r="G2175">
        <f>BCH_Assessment!A75</f>
        <v>0</v>
      </c>
      <c r="H2175">
        <f>BCH_Assessment!B75</f>
        <v>0</v>
      </c>
      <c r="I2175">
        <f>BCH_Assessment!C75</f>
        <v>0</v>
      </c>
      <c r="J2175">
        <f>BCH_Assessment!D75</f>
        <v>0</v>
      </c>
      <c r="K2175">
        <f>BCH_Assessment!E75</f>
        <v>0</v>
      </c>
      <c r="L2175">
        <f>BCH_Assessment!F75</f>
        <v>0</v>
      </c>
      <c r="M2175">
        <f>BCH_Assessment!G75</f>
        <v>0</v>
      </c>
      <c r="N2175">
        <f>BCH_Assessment!H75</f>
        <v>0</v>
      </c>
      <c r="O2175">
        <f>BCH_Assessment!I75</f>
        <v>0</v>
      </c>
      <c r="P2175">
        <f>BCH_Assessment!J75</f>
        <v>0</v>
      </c>
      <c r="Q2175" t="str">
        <f t="shared" si="33"/>
        <v>BCH|68</v>
      </c>
    </row>
    <row r="2176" spans="1:17" ht="6.45" customHeight="1">
      <c r="A2176" t="s">
        <v>68</v>
      </c>
      <c r="B2176">
        <v>1</v>
      </c>
      <c r="C2176" t="s">
        <v>69</v>
      </c>
      <c r="D2176">
        <v>8</v>
      </c>
      <c r="E2176" t="s">
        <v>918</v>
      </c>
      <c r="F2176" t="s">
        <v>5322</v>
      </c>
      <c r="G2176" t="str">
        <f>MCR_Assessment!A8</f>
        <v>1. ROOM INVENTORY</v>
      </c>
      <c r="H2176">
        <f>MCR_Assessment!B8</f>
        <v>0</v>
      </c>
      <c r="I2176">
        <f>MCR_Assessment!C8</f>
        <v>0</v>
      </c>
      <c r="J2176">
        <f>MCR_Assessment!D8</f>
        <v>0</v>
      </c>
      <c r="K2176">
        <f>MCR_Assessment!E8</f>
        <v>0</v>
      </c>
      <c r="L2176">
        <f>MCR_Assessment!F8</f>
        <v>0</v>
      </c>
      <c r="M2176">
        <f>MCR_Assessment!G8</f>
        <v>0</v>
      </c>
      <c r="N2176">
        <f>MCR_Assessment!H8</f>
        <v>0</v>
      </c>
      <c r="O2176">
        <f>MCR_Assessment!I8</f>
        <v>0</v>
      </c>
      <c r="P2176">
        <f>MCR_Assessment!J8</f>
        <v>0</v>
      </c>
      <c r="Q2176" t="str">
        <f t="shared" si="33"/>
        <v>MCR|1</v>
      </c>
    </row>
    <row r="2177" spans="1:17" ht="6.45" customHeight="1">
      <c r="A2177" t="s">
        <v>68</v>
      </c>
      <c r="B2177">
        <v>2</v>
      </c>
      <c r="C2177" t="s">
        <v>69</v>
      </c>
      <c r="D2177">
        <v>9</v>
      </c>
      <c r="E2177" t="s">
        <v>918</v>
      </c>
      <c r="F2177" t="s">
        <v>5323</v>
      </c>
      <c r="G2177" t="str">
        <f>MCR_Assessment!A9</f>
        <v>Building</v>
      </c>
      <c r="H2177" t="str">
        <f>MCR_Assessment!B9</f>
        <v>Room</v>
      </c>
      <c r="I2177" t="str">
        <f>MCR_Assessment!C9</f>
        <v>Floor</v>
      </c>
      <c r="J2177" t="str">
        <f>MCR_Assessment!D9</f>
        <v>Existing Use</v>
      </c>
      <c r="K2177" t="str">
        <f>MCR_Assessment!E9</f>
        <v>New Use</v>
      </c>
      <c r="L2177" t="str">
        <f>MCR_Assessment!F9</f>
        <v>Rack Count</v>
      </c>
      <c r="M2177" t="str">
        <f>MCR_Assessment!G9</f>
        <v>Future Rack</v>
      </c>
      <c r="N2177" t="str">
        <f>MCR_Assessment!H9</f>
        <v>Status</v>
      </c>
      <c r="O2177" t="str">
        <f>MCR_Assessment!I9</f>
        <v>Drawing Ref</v>
      </c>
      <c r="P2177" t="str">
        <f>MCR_Assessment!J9</f>
        <v>Notes</v>
      </c>
      <c r="Q2177" t="str">
        <f t="shared" si="33"/>
        <v>MCR|2</v>
      </c>
    </row>
    <row r="2178" spans="1:17" ht="6.45" customHeight="1">
      <c r="A2178" t="s">
        <v>68</v>
      </c>
      <c r="B2178">
        <v>3</v>
      </c>
      <c r="C2178" t="s">
        <v>69</v>
      </c>
      <c r="D2178">
        <v>10</v>
      </c>
      <c r="E2178" t="s">
        <v>918</v>
      </c>
      <c r="F2178" t="s">
        <v>5324</v>
      </c>
      <c r="G2178" t="str">
        <f>MCR_Assessment!A10</f>
        <v>MCR</v>
      </c>
      <c r="H2178" t="str">
        <f>MCR_Assessment!B10</f>
        <v>107 / MCR</v>
      </c>
      <c r="I2178" t="str">
        <f>MCR_Assessment!C10</f>
        <v>Ground</v>
      </c>
      <c r="J2178" t="str">
        <f>MCR_Assessment!D10</f>
        <v>New Main Computer Room / MCR building</v>
      </c>
      <c r="K2178" t="str">
        <f>MCR_Assessment!E10</f>
        <v>Main Computer Room</v>
      </c>
      <c r="L2178">
        <f>MCR_Assessment!F10</f>
        <v>12</v>
      </c>
      <c r="M2178">
        <f>MCR_Assessment!G10</f>
        <v>0</v>
      </c>
      <c r="N2178" t="str">
        <f>MCR_Assessment!H10</f>
        <v>Verify</v>
      </c>
      <c r="O2178" t="str">
        <f>MCR_Assessment!I10</f>
        <v>MCRA-101 / MCRT-100 / MCRT-101 / MCRT-401 / MCRT-607-609 / MCRT-701</v>
      </c>
      <c r="P2178" t="str">
        <f>MCR_Assessment!J10</f>
        <v>Primary new MCR space. Telecom plans show MDA-A1/A2/A3, MDA-B1/B2/B3, HDA-A, HDA-B, UPS-A and UPS-B. Rack elevations identify MDA A/B racks, HDA A/B server cabinets, existing server cabinet transfer references, 10 WAO total and 359 ft cable tray.</v>
      </c>
      <c r="Q2178" t="str">
        <f t="shared" ref="Q2178:Q2241" si="34">A2178&amp;"|"&amp;B2178</f>
        <v>MCR|3</v>
      </c>
    </row>
    <row r="2179" spans="1:17" ht="6.45" customHeight="1">
      <c r="A2179" t="s">
        <v>68</v>
      </c>
      <c r="B2179">
        <v>4</v>
      </c>
      <c r="C2179" t="s">
        <v>69</v>
      </c>
      <c r="D2179">
        <v>11</v>
      </c>
      <c r="E2179" t="s">
        <v>918</v>
      </c>
      <c r="F2179" t="s">
        <v>5324</v>
      </c>
      <c r="G2179" t="str">
        <f>MCR_Assessment!A11</f>
        <v>MCR</v>
      </c>
      <c r="H2179" t="str">
        <f>MCR_Assessment!B11</f>
        <v>031 / Fiber Entrance Room 1</v>
      </c>
      <c r="I2179" t="str">
        <f>MCR_Assessment!C11</f>
        <v>Ground</v>
      </c>
      <c r="J2179" t="str">
        <f>MCR_Assessment!D11</f>
        <v>Fiber entrance / telecom pathway space</v>
      </c>
      <c r="K2179" t="str">
        <f>MCR_Assessment!E11</f>
        <v>Fiber Entrance / support room</v>
      </c>
      <c r="L2179">
        <f>MCR_Assessment!F11</f>
        <v>1</v>
      </c>
      <c r="M2179">
        <f>MCR_Assessment!G11</f>
        <v>0</v>
      </c>
      <c r="N2179" t="str">
        <f>MCR_Assessment!H11</f>
        <v>Verify</v>
      </c>
      <c r="O2179" t="str">
        <f>MCR_Assessment!I11</f>
        <v>MCRT-401 / MCRT-701</v>
      </c>
      <c r="P2179" t="str">
        <f>MCR_Assessment!J11</f>
        <v>MCRT-701 schedule is titled Data Device and Circuit Schedule - Fiber Entrance Room 1 and identifies Rack ID TR01-031-1, four data outlets 31-A/B/C/D and security camera/data devices 07-CAM-03/04/07/08/11.</v>
      </c>
      <c r="Q2179" t="str">
        <f t="shared" si="34"/>
        <v>MCR|4</v>
      </c>
    </row>
    <row r="2180" spans="1:17" ht="6.45" customHeight="1">
      <c r="A2180" t="s">
        <v>68</v>
      </c>
      <c r="B2180">
        <v>5</v>
      </c>
      <c r="C2180" t="s">
        <v>69</v>
      </c>
      <c r="D2180">
        <v>12</v>
      </c>
      <c r="E2180" t="s">
        <v>918</v>
      </c>
      <c r="F2180" t="s">
        <v>5324</v>
      </c>
      <c r="G2180" t="str">
        <f>MCR_Assessment!A12</f>
        <v>MCR</v>
      </c>
      <c r="H2180" t="str">
        <f>MCR_Assessment!B12</f>
        <v>MDA-A1/A2/A3</v>
      </c>
      <c r="I2180" t="str">
        <f>MCR_Assessment!C12</f>
        <v>Ground</v>
      </c>
      <c r="J2180" t="str">
        <f>MCR_Assessment!D12</f>
        <v>New MDA row A</v>
      </c>
      <c r="K2180" t="str">
        <f>MCR_Assessment!E12</f>
        <v>Main Distribution Area A</v>
      </c>
      <c r="L2180">
        <f>MCR_Assessment!F12</f>
        <v>3</v>
      </c>
      <c r="M2180">
        <f>MCR_Assessment!G12</f>
        <v>0</v>
      </c>
      <c r="N2180" t="str">
        <f>MCR_Assessment!H12</f>
        <v>Verify</v>
      </c>
      <c r="O2180" t="str">
        <f>MCR_Assessment!I12</f>
        <v>MCRT-607</v>
      </c>
      <c r="P2180" t="str">
        <f>MCR_Assessment!J12</f>
        <v>New MDA A racks: MDA-A-1, MDA-A-2, MDA-A-3. MDA A-2 includes 1RU LIU for hybrid FOC to HDA and 48x Cat6A to HDA. MDA A-1/A-3 reserved for LAN elements/leaf/access or spine/aggregation.</v>
      </c>
      <c r="Q2180" t="str">
        <f t="shared" si="34"/>
        <v>MCR|5</v>
      </c>
    </row>
    <row r="2181" spans="1:17" ht="6.45" customHeight="1">
      <c r="A2181" t="s">
        <v>68</v>
      </c>
      <c r="B2181">
        <v>6</v>
      </c>
      <c r="C2181" t="s">
        <v>69</v>
      </c>
      <c r="D2181">
        <v>13</v>
      </c>
      <c r="E2181" t="s">
        <v>918</v>
      </c>
      <c r="F2181" t="s">
        <v>5324</v>
      </c>
      <c r="G2181" t="str">
        <f>MCR_Assessment!A13</f>
        <v>MCR</v>
      </c>
      <c r="H2181" t="str">
        <f>MCR_Assessment!B13</f>
        <v>MDA-B1/B2/B3</v>
      </c>
      <c r="I2181" t="str">
        <f>MCR_Assessment!C13</f>
        <v>Ground</v>
      </c>
      <c r="J2181" t="str">
        <f>MCR_Assessment!D13</f>
        <v>New MDA row B</v>
      </c>
      <c r="K2181" t="str">
        <f>MCR_Assessment!E13</f>
        <v>Main Distribution Area B</v>
      </c>
      <c r="L2181">
        <f>MCR_Assessment!F13</f>
        <v>3</v>
      </c>
      <c r="M2181">
        <f>MCR_Assessment!G13</f>
        <v>0</v>
      </c>
      <c r="N2181" t="str">
        <f>MCR_Assessment!H13</f>
        <v>Verify</v>
      </c>
      <c r="O2181" t="str">
        <f>MCR_Assessment!I13</f>
        <v>MCRT-607</v>
      </c>
      <c r="P2181" t="str">
        <f>MCR_Assessment!J13</f>
        <v>New MDA B racks: MDA-B-1, MDA-B-2, MDA-B-3. MDA B-2 includes 1RU LIU for hybrid FOC to HDA and 48x Cat6A to HDA. Supports redundant B-side backbone/distribution.</v>
      </c>
      <c r="Q2181" t="str">
        <f t="shared" si="34"/>
        <v>MCR|6</v>
      </c>
    </row>
    <row r="2182" spans="1:17" ht="6.45" customHeight="1">
      <c r="A2182" t="s">
        <v>68</v>
      </c>
      <c r="B2182">
        <v>7</v>
      </c>
      <c r="C2182" t="s">
        <v>69</v>
      </c>
      <c r="D2182">
        <v>14</v>
      </c>
      <c r="E2182" t="s">
        <v>918</v>
      </c>
      <c r="F2182" t="s">
        <v>5324</v>
      </c>
      <c r="G2182" t="str">
        <f>MCR_Assessment!A14</f>
        <v>MCR</v>
      </c>
      <c r="H2182" t="str">
        <f>MCR_Assessment!B14</f>
        <v>HDA-A</v>
      </c>
      <c r="I2182" t="str">
        <f>MCR_Assessment!C14</f>
        <v>Ground</v>
      </c>
      <c r="J2182" t="str">
        <f>MCR_Assessment!D14</f>
        <v>New HDA A row</v>
      </c>
      <c r="K2182" t="str">
        <f>MCR_Assessment!E14</f>
        <v>Horizontal Distribution Area A</v>
      </c>
      <c r="L2182">
        <f>MCR_Assessment!F14</f>
        <v>1</v>
      </c>
      <c r="M2182">
        <f>MCR_Assessment!G14</f>
        <v>0</v>
      </c>
      <c r="N2182" t="str">
        <f>MCR_Assessment!H14</f>
        <v>Verify</v>
      </c>
      <c r="O2182" t="str">
        <f>MCR_Assessment!I14</f>
        <v>MCRT-608</v>
      </c>
      <c r="P2182" t="str">
        <f>MCR_Assessment!J14</f>
        <v>HDA A-1 new server cabinet front/rear elevation, 48-port Cat6A patch panels, HD fiber LIUs, HD Cat6A patch panel to MDA-A2, and backbone side A/B LIU. Also includes existing B61 server cabinet transfer references.</v>
      </c>
      <c r="Q2182" t="str">
        <f t="shared" si="34"/>
        <v>MCR|7</v>
      </c>
    </row>
    <row r="2183" spans="1:17" ht="6.45" customHeight="1">
      <c r="A2183" t="s">
        <v>68</v>
      </c>
      <c r="B2183">
        <v>8</v>
      </c>
      <c r="C2183" t="s">
        <v>69</v>
      </c>
      <c r="D2183">
        <v>15</v>
      </c>
      <c r="E2183" t="s">
        <v>918</v>
      </c>
      <c r="F2183" t="s">
        <v>5324</v>
      </c>
      <c r="G2183" t="str">
        <f>MCR_Assessment!A15</f>
        <v>MCR</v>
      </c>
      <c r="H2183" t="str">
        <f>MCR_Assessment!B15</f>
        <v>HDA-B</v>
      </c>
      <c r="I2183" t="str">
        <f>MCR_Assessment!C15</f>
        <v>Ground</v>
      </c>
      <c r="J2183" t="str">
        <f>MCR_Assessment!D15</f>
        <v>New HDA B row</v>
      </c>
      <c r="K2183" t="str">
        <f>MCR_Assessment!E15</f>
        <v>Horizontal Distribution Area B</v>
      </c>
      <c r="L2183">
        <f>MCR_Assessment!F15</f>
        <v>1</v>
      </c>
      <c r="M2183">
        <f>MCR_Assessment!G15</f>
        <v>0</v>
      </c>
      <c r="N2183" t="str">
        <f>MCR_Assessment!H15</f>
        <v>Verify</v>
      </c>
      <c r="O2183" t="str">
        <f>MCR_Assessment!I15</f>
        <v>MCRT-609</v>
      </c>
      <c r="P2183" t="str">
        <f>MCR_Assessment!J15</f>
        <v>HDA B-1 new server cabinet front/rear elevation, 48-port Cat6A patch panels, HD fiber LIUs, HD Cat6A patch panel to MDA-B2, and duplicate existing B61 server cabinet transfer references.</v>
      </c>
      <c r="Q2183" t="str">
        <f t="shared" si="34"/>
        <v>MCR|8</v>
      </c>
    </row>
    <row r="2184" spans="1:17" ht="6.45" customHeight="1">
      <c r="A2184" t="s">
        <v>68</v>
      </c>
      <c r="B2184">
        <v>9</v>
      </c>
      <c r="C2184" t="s">
        <v>69</v>
      </c>
      <c r="D2184">
        <v>16</v>
      </c>
      <c r="E2184" t="s">
        <v>918</v>
      </c>
      <c r="F2184" t="s">
        <v>5324</v>
      </c>
      <c r="G2184" t="str">
        <f>MCR_Assessment!A16</f>
        <v>MCR</v>
      </c>
      <c r="H2184" t="str">
        <f>MCR_Assessment!B16</f>
        <v>Existing 107 / 137 Server MCR</v>
      </c>
      <c r="I2184" t="str">
        <f>MCR_Assessment!C16</f>
        <v>Existing / transition</v>
      </c>
      <c r="J2184" t="str">
        <f>MCR_Assessment!D16</f>
        <v>Existing MCR/server/core equipment</v>
      </c>
      <c r="K2184" t="str">
        <f>MCR_Assessment!E16</f>
        <v>Existing equipment transition point</v>
      </c>
      <c r="L2184">
        <f>MCR_Assessment!F16</f>
        <v>20</v>
      </c>
      <c r="M2184">
        <f>MCR_Assessment!G16</f>
        <v>0</v>
      </c>
      <c r="N2184" t="str">
        <f>MCR_Assessment!H16</f>
        <v>Verify</v>
      </c>
      <c r="O2184" t="str">
        <f>MCR_Assessment!I16</f>
        <v>MCRT-604 / MCRT-605 / MCRT-606 / MCRT-608 / MCRT-609</v>
      </c>
      <c r="P2184" t="str">
        <f>MCR_Assessment!J16</f>
        <v>Existing MCR elevations include Rows 1-3 and existing server cabinet B61 equipment, Cisco core, WAN aggregation, NetScout, Canoga Perkins, Cisco switches, legacy Ortronics patch panels, LIUs, APC/Chatsworth/HP PDUs and UPS equipment. Protect and phase transfer.</v>
      </c>
      <c r="Q2184" t="str">
        <f t="shared" si="34"/>
        <v>MCR|9</v>
      </c>
    </row>
    <row r="2185" spans="1:17" ht="6.45" customHeight="1">
      <c r="A2185" t="s">
        <v>68</v>
      </c>
      <c r="B2185">
        <v>10</v>
      </c>
      <c r="C2185" t="s">
        <v>69</v>
      </c>
      <c r="D2185">
        <v>17</v>
      </c>
      <c r="E2185" t="s">
        <v>918</v>
      </c>
      <c r="F2185" t="s">
        <v>5325</v>
      </c>
      <c r="G2185">
        <f>MCR_Assessment!A17</f>
        <v>0</v>
      </c>
      <c r="H2185">
        <f>MCR_Assessment!B17</f>
        <v>0</v>
      </c>
      <c r="I2185">
        <f>MCR_Assessment!C17</f>
        <v>0</v>
      </c>
      <c r="J2185">
        <f>MCR_Assessment!D17</f>
        <v>0</v>
      </c>
      <c r="K2185">
        <f>MCR_Assessment!E17</f>
        <v>0</v>
      </c>
      <c r="L2185">
        <f>MCR_Assessment!F17</f>
        <v>0</v>
      </c>
      <c r="M2185">
        <f>MCR_Assessment!G17</f>
        <v>0</v>
      </c>
      <c r="N2185">
        <f>MCR_Assessment!H17</f>
        <v>0</v>
      </c>
      <c r="O2185">
        <f>MCR_Assessment!I17</f>
        <v>0</v>
      </c>
      <c r="P2185">
        <f>MCR_Assessment!J17</f>
        <v>0</v>
      </c>
      <c r="Q2185" t="str">
        <f t="shared" si="34"/>
        <v>MCR|10</v>
      </c>
    </row>
    <row r="2186" spans="1:17" ht="6.45" customHeight="1">
      <c r="A2186" t="s">
        <v>68</v>
      </c>
      <c r="B2186">
        <v>11</v>
      </c>
      <c r="C2186" t="s">
        <v>69</v>
      </c>
      <c r="D2186">
        <v>18</v>
      </c>
      <c r="E2186" t="s">
        <v>936</v>
      </c>
      <c r="F2186" t="s">
        <v>5322</v>
      </c>
      <c r="G2186" t="str">
        <f>MCR_Assessment!A18</f>
        <v>2. ROOM READINESS</v>
      </c>
      <c r="H2186">
        <f>MCR_Assessment!B18</f>
        <v>0</v>
      </c>
      <c r="I2186">
        <f>MCR_Assessment!C18</f>
        <v>0</v>
      </c>
      <c r="J2186">
        <f>MCR_Assessment!D18</f>
        <v>0</v>
      </c>
      <c r="K2186">
        <f>MCR_Assessment!E18</f>
        <v>0</v>
      </c>
      <c r="L2186">
        <f>MCR_Assessment!F18</f>
        <v>0</v>
      </c>
      <c r="M2186">
        <f>MCR_Assessment!G18</f>
        <v>0</v>
      </c>
      <c r="N2186">
        <f>MCR_Assessment!H18</f>
        <v>0</v>
      </c>
      <c r="O2186">
        <f>MCR_Assessment!I18</f>
        <v>0</v>
      </c>
      <c r="P2186">
        <f>MCR_Assessment!J18</f>
        <v>0</v>
      </c>
      <c r="Q2186" t="str">
        <f t="shared" si="34"/>
        <v>MCR|11</v>
      </c>
    </row>
    <row r="2187" spans="1:17" ht="6.45" customHeight="1">
      <c r="A2187" t="s">
        <v>68</v>
      </c>
      <c r="B2187">
        <v>12</v>
      </c>
      <c r="C2187" t="s">
        <v>69</v>
      </c>
      <c r="D2187">
        <v>19</v>
      </c>
      <c r="E2187" t="s">
        <v>936</v>
      </c>
      <c r="F2187" t="s">
        <v>5323</v>
      </c>
      <c r="G2187" t="str">
        <f>MCR_Assessment!A19</f>
        <v>Room</v>
      </c>
      <c r="H2187" t="str">
        <f>MCR_Assessment!B19</f>
        <v>Walls / 1-hr Rating</v>
      </c>
      <c r="I2187" t="str">
        <f>MCR_Assessment!C19</f>
        <v>Ceiling</v>
      </c>
      <c r="J2187" t="str">
        <f>MCR_Assessment!D19</f>
        <v>Floor / SDC</v>
      </c>
      <c r="K2187" t="str">
        <f>MCR_Assessment!E19</f>
        <v>Penetrations</v>
      </c>
      <c r="L2187" t="str">
        <f>MCR_Assessment!F19</f>
        <v>Access Control</v>
      </c>
      <c r="M2187" t="str">
        <f>MCR_Assessment!G19</f>
        <v>Clearances</v>
      </c>
      <c r="N2187" t="str">
        <f>MCR_Assessment!H19</f>
        <v>Housekeeping</v>
      </c>
      <c r="O2187" t="str">
        <f>MCR_Assessment!I19</f>
        <v>Overall</v>
      </c>
      <c r="P2187" t="str">
        <f>MCR_Assessment!J19</f>
        <v>Comments</v>
      </c>
      <c r="Q2187" t="str">
        <f t="shared" si="34"/>
        <v>MCR|12</v>
      </c>
    </row>
    <row r="2188" spans="1:17" ht="6.45" customHeight="1">
      <c r="A2188" t="s">
        <v>68</v>
      </c>
      <c r="B2188">
        <v>13</v>
      </c>
      <c r="C2188" t="s">
        <v>69</v>
      </c>
      <c r="D2188">
        <v>20</v>
      </c>
      <c r="E2188" t="s">
        <v>936</v>
      </c>
      <c r="F2188" t="s">
        <v>5324</v>
      </c>
      <c r="G2188" t="str">
        <f>MCR_Assessment!A20</f>
        <v>107 / MCR</v>
      </c>
      <c r="H2188" t="str">
        <f>MCR_Assessment!B20</f>
        <v>Verify</v>
      </c>
      <c r="I2188" t="str">
        <f>MCR_Assessment!C20</f>
        <v>Verify</v>
      </c>
      <c r="J2188" t="str">
        <f>MCR_Assessment!D20</f>
        <v>Verify</v>
      </c>
      <c r="K2188" t="str">
        <f>MCR_Assessment!E20</f>
        <v>Verify</v>
      </c>
      <c r="L2188" t="str">
        <f>MCR_Assessment!F20</f>
        <v>Verify</v>
      </c>
      <c r="M2188" t="str">
        <f>MCR_Assessment!G20</f>
        <v>Verify</v>
      </c>
      <c r="N2188" t="str">
        <f>MCR_Assessment!H20</f>
        <v>Verify</v>
      </c>
      <c r="O2188" t="str">
        <f>MCR_Assessment!I20</f>
        <v>Verify</v>
      </c>
      <c r="P2188" t="str">
        <f>MCR_Assessment!J20</f>
        <v>New MCR building requires final architectural envelope, rated walls/doors, roof/ceiling, floor finish, equipment clearances, row spacing, lighting coordination, grounding/bonding, and path separation.</v>
      </c>
      <c r="Q2188" t="str">
        <f t="shared" si="34"/>
        <v>MCR|13</v>
      </c>
    </row>
    <row r="2189" spans="1:17" ht="6.45" customHeight="1">
      <c r="A2189" t="s">
        <v>68</v>
      </c>
      <c r="B2189">
        <v>14</v>
      </c>
      <c r="C2189" t="s">
        <v>69</v>
      </c>
      <c r="D2189">
        <v>21</v>
      </c>
      <c r="E2189" t="s">
        <v>936</v>
      </c>
      <c r="F2189" t="s">
        <v>5324</v>
      </c>
      <c r="G2189" t="str">
        <f>MCR_Assessment!A21</f>
        <v>031</v>
      </c>
      <c r="H2189" t="str">
        <f>MCR_Assessment!B21</f>
        <v>Verify</v>
      </c>
      <c r="I2189" t="str">
        <f>MCR_Assessment!C21</f>
        <v>Verify</v>
      </c>
      <c r="J2189" t="str">
        <f>MCR_Assessment!D21</f>
        <v>Verify</v>
      </c>
      <c r="K2189" t="str">
        <f>MCR_Assessment!E21</f>
        <v>Verify</v>
      </c>
      <c r="L2189" t="str">
        <f>MCR_Assessment!F21</f>
        <v>Verify</v>
      </c>
      <c r="M2189" t="str">
        <f>MCR_Assessment!G21</f>
        <v>Verify</v>
      </c>
      <c r="N2189" t="str">
        <f>MCR_Assessment!H21</f>
        <v>Verify</v>
      </c>
      <c r="O2189" t="str">
        <f>MCR_Assessment!I21</f>
        <v>Verify</v>
      </c>
      <c r="P2189" t="str">
        <f>MCR_Assessment!J21</f>
        <v>Fiber Entrance Room 1 schedule requires confirmation of room naming, wall/backbox locations, penetration/firestop detail, rack/cabinet location and service provider interface.</v>
      </c>
      <c r="Q2189" t="str">
        <f t="shared" si="34"/>
        <v>MCR|14</v>
      </c>
    </row>
    <row r="2190" spans="1:17" ht="6.45" customHeight="1">
      <c r="A2190" t="s">
        <v>68</v>
      </c>
      <c r="B2190">
        <v>15</v>
      </c>
      <c r="C2190" t="s">
        <v>69</v>
      </c>
      <c r="D2190">
        <v>22</v>
      </c>
      <c r="E2190" t="s">
        <v>936</v>
      </c>
      <c r="F2190" t="s">
        <v>5324</v>
      </c>
      <c r="G2190" t="str">
        <f>MCR_Assessment!A22</f>
        <v>MDA-A/B</v>
      </c>
      <c r="H2190" t="str">
        <f>MCR_Assessment!B22</f>
        <v>Verify</v>
      </c>
      <c r="I2190" t="str">
        <f>MCR_Assessment!C22</f>
        <v>Verify</v>
      </c>
      <c r="J2190" t="str">
        <f>MCR_Assessment!D22</f>
        <v>Verify</v>
      </c>
      <c r="K2190" t="str">
        <f>MCR_Assessment!E22</f>
        <v>Verify</v>
      </c>
      <c r="L2190" t="str">
        <f>MCR_Assessment!F22</f>
        <v>Verify</v>
      </c>
      <c r="M2190" t="str">
        <f>MCR_Assessment!G22</f>
        <v>Verify</v>
      </c>
      <c r="N2190" t="str">
        <f>MCR_Assessment!H22</f>
        <v>Verify</v>
      </c>
      <c r="O2190" t="str">
        <f>MCR_Assessment!I22</f>
        <v>Verify</v>
      </c>
      <c r="P2190" t="str">
        <f>MCR_Assessment!J22</f>
        <v>MDA racks must be installed with mandatory blank panels, bonding, overhead tray, fiber/copper routing and A/B side path separation.</v>
      </c>
      <c r="Q2190" t="str">
        <f t="shared" si="34"/>
        <v>MCR|15</v>
      </c>
    </row>
    <row r="2191" spans="1:17" ht="6.45" customHeight="1">
      <c r="A2191" t="s">
        <v>68</v>
      </c>
      <c r="B2191">
        <v>16</v>
      </c>
      <c r="C2191" t="s">
        <v>69</v>
      </c>
      <c r="D2191">
        <v>23</v>
      </c>
      <c r="E2191" t="s">
        <v>936</v>
      </c>
      <c r="F2191" t="s">
        <v>5324</v>
      </c>
      <c r="G2191" t="str">
        <f>MCR_Assessment!A23</f>
        <v>HDA-A/B</v>
      </c>
      <c r="H2191" t="str">
        <f>MCR_Assessment!B23</f>
        <v>Verify</v>
      </c>
      <c r="I2191" t="str">
        <f>MCR_Assessment!C23</f>
        <v>Verify</v>
      </c>
      <c r="J2191" t="str">
        <f>MCR_Assessment!D23</f>
        <v>Verify</v>
      </c>
      <c r="K2191" t="str">
        <f>MCR_Assessment!E23</f>
        <v>Verify</v>
      </c>
      <c r="L2191" t="str">
        <f>MCR_Assessment!F23</f>
        <v>Verify</v>
      </c>
      <c r="M2191" t="str">
        <f>MCR_Assessment!G23</f>
        <v>Verify</v>
      </c>
      <c r="N2191" t="str">
        <f>MCR_Assessment!H23</f>
        <v>Verify</v>
      </c>
      <c r="O2191" t="str">
        <f>MCR_Assessment!I23</f>
        <v>Verify</v>
      </c>
      <c r="P2191" t="str">
        <f>MCR_Assessment!J23</f>
        <v>HDA server cabinets require front/rear access, blanking panels, cooling airflow coordination, patch panel/LIU arrangement and clearance for future expansion.</v>
      </c>
      <c r="Q2191" t="str">
        <f t="shared" si="34"/>
        <v>MCR|16</v>
      </c>
    </row>
    <row r="2192" spans="1:17" ht="6.45" customHeight="1">
      <c r="A2192" t="s">
        <v>68</v>
      </c>
      <c r="B2192">
        <v>17</v>
      </c>
      <c r="C2192" t="s">
        <v>69</v>
      </c>
      <c r="D2192">
        <v>24</v>
      </c>
      <c r="E2192" t="s">
        <v>936</v>
      </c>
      <c r="F2192" t="s">
        <v>5324</v>
      </c>
      <c r="G2192" t="str">
        <f>MCR_Assessment!A24</f>
        <v>Existing 107/137</v>
      </c>
      <c r="H2192" t="str">
        <f>MCR_Assessment!B24</f>
        <v>Existing / Verify</v>
      </c>
      <c r="I2192" t="str">
        <f>MCR_Assessment!C24</f>
        <v>Existing / Verify</v>
      </c>
      <c r="J2192" t="str">
        <f>MCR_Assessment!D24</f>
        <v>Existing / Verify</v>
      </c>
      <c r="K2192" t="str">
        <f>MCR_Assessment!E24</f>
        <v>Verify</v>
      </c>
      <c r="L2192" t="str">
        <f>MCR_Assessment!F24</f>
        <v>Verify</v>
      </c>
      <c r="M2192" t="str">
        <f>MCR_Assessment!G24</f>
        <v>Verify</v>
      </c>
      <c r="N2192" t="str">
        <f>MCR_Assessment!H24</f>
        <v>Verify</v>
      </c>
      <c r="O2192" t="str">
        <f>MCR_Assessment!I24</f>
        <v>Verify</v>
      </c>
      <c r="P2192" t="str">
        <f>MCR_Assessment!J24</f>
        <v>Existing equipment rooms/racks must remain operational until cutover. Verify active equipment inventory, PDUs, UPS sources, cable labels, and safe transfer pathway.</v>
      </c>
      <c r="Q2192" t="str">
        <f t="shared" si="34"/>
        <v>MCR|17</v>
      </c>
    </row>
    <row r="2193" spans="1:17" ht="6.45" customHeight="1">
      <c r="A2193" t="s">
        <v>68</v>
      </c>
      <c r="B2193">
        <v>18</v>
      </c>
      <c r="C2193" t="s">
        <v>69</v>
      </c>
      <c r="D2193">
        <v>25</v>
      </c>
      <c r="E2193" t="s">
        <v>936</v>
      </c>
      <c r="F2193" t="s">
        <v>5325</v>
      </c>
      <c r="G2193">
        <f>MCR_Assessment!A25</f>
        <v>0</v>
      </c>
      <c r="H2193">
        <f>MCR_Assessment!B25</f>
        <v>0</v>
      </c>
      <c r="I2193">
        <f>MCR_Assessment!C25</f>
        <v>0</v>
      </c>
      <c r="J2193">
        <f>MCR_Assessment!D25</f>
        <v>0</v>
      </c>
      <c r="K2193">
        <f>MCR_Assessment!E25</f>
        <v>0</v>
      </c>
      <c r="L2193">
        <f>MCR_Assessment!F25</f>
        <v>0</v>
      </c>
      <c r="M2193">
        <f>MCR_Assessment!G25</f>
        <v>0</v>
      </c>
      <c r="N2193">
        <f>MCR_Assessment!H25</f>
        <v>0</v>
      </c>
      <c r="O2193">
        <f>MCR_Assessment!I25</f>
        <v>0</v>
      </c>
      <c r="P2193">
        <f>MCR_Assessment!J25</f>
        <v>0</v>
      </c>
      <c r="Q2193" t="str">
        <f t="shared" si="34"/>
        <v>MCR|18</v>
      </c>
    </row>
    <row r="2194" spans="1:17" ht="6.45" customHeight="1">
      <c r="A2194" t="s">
        <v>68</v>
      </c>
      <c r="B2194">
        <v>19</v>
      </c>
      <c r="C2194" t="s">
        <v>69</v>
      </c>
      <c r="D2194">
        <v>26</v>
      </c>
      <c r="E2194" t="s">
        <v>951</v>
      </c>
      <c r="F2194" t="s">
        <v>5322</v>
      </c>
      <c r="G2194" t="str">
        <f>MCR_Assessment!A26</f>
        <v>3. FIRE PROTECTION</v>
      </c>
      <c r="H2194">
        <f>MCR_Assessment!B26</f>
        <v>0</v>
      </c>
      <c r="I2194">
        <f>MCR_Assessment!C26</f>
        <v>0</v>
      </c>
      <c r="J2194">
        <f>MCR_Assessment!D26</f>
        <v>0</v>
      </c>
      <c r="K2194">
        <f>MCR_Assessment!E26</f>
        <v>0</v>
      </c>
      <c r="L2194">
        <f>MCR_Assessment!F26</f>
        <v>0</v>
      </c>
      <c r="M2194">
        <f>MCR_Assessment!G26</f>
        <v>0</v>
      </c>
      <c r="N2194">
        <f>MCR_Assessment!H26</f>
        <v>0</v>
      </c>
      <c r="O2194">
        <f>MCR_Assessment!I26</f>
        <v>0</v>
      </c>
      <c r="P2194">
        <f>MCR_Assessment!J26</f>
        <v>0</v>
      </c>
      <c r="Q2194" t="str">
        <f t="shared" si="34"/>
        <v>MCR|19</v>
      </c>
    </row>
    <row r="2195" spans="1:17" ht="6.45" customHeight="1">
      <c r="A2195" t="s">
        <v>68</v>
      </c>
      <c r="B2195">
        <v>20</v>
      </c>
      <c r="C2195" t="s">
        <v>69</v>
      </c>
      <c r="D2195">
        <v>27</v>
      </c>
      <c r="E2195" t="s">
        <v>951</v>
      </c>
      <c r="F2195" t="s">
        <v>5323</v>
      </c>
      <c r="G2195" t="str">
        <f>MCR_Assessment!A27</f>
        <v>Room</v>
      </c>
      <c r="H2195" t="str">
        <f>MCR_Assessment!B27</f>
        <v>Sprinkler</v>
      </c>
      <c r="I2195" t="str">
        <f>MCR_Assessment!C27</f>
        <v>Cage</v>
      </c>
      <c r="J2195" t="str">
        <f>MCR_Assessment!D27</f>
        <v>Detector</v>
      </c>
      <c r="K2195" t="str">
        <f>MCR_Assessment!E27</f>
        <v>Horn/Strobe</v>
      </c>
      <c r="L2195" t="str">
        <f>MCR_Assessment!F27</f>
        <v>Extinguisher &lt;75 ft</v>
      </c>
      <c r="M2195" t="str">
        <f>MCR_Assessment!G27</f>
        <v>Firestop</v>
      </c>
      <c r="N2195" t="str">
        <f>MCR_Assessment!H27</f>
        <v>Temp Firestop</v>
      </c>
      <c r="O2195" t="str">
        <f>MCR_Assessment!I27</f>
        <v>Overall</v>
      </c>
      <c r="P2195" t="str">
        <f>MCR_Assessment!J27</f>
        <v>Risk / Notes</v>
      </c>
      <c r="Q2195" t="str">
        <f t="shared" si="34"/>
        <v>MCR|20</v>
      </c>
    </row>
    <row r="2196" spans="1:17" ht="6.45" customHeight="1">
      <c r="A2196" t="s">
        <v>68</v>
      </c>
      <c r="B2196">
        <v>21</v>
      </c>
      <c r="C2196" t="s">
        <v>69</v>
      </c>
      <c r="D2196">
        <v>28</v>
      </c>
      <c r="E2196" t="s">
        <v>951</v>
      </c>
      <c r="F2196" t="s">
        <v>5324</v>
      </c>
      <c r="G2196" t="str">
        <f>MCR_Assessment!A28</f>
        <v>107 / MCR</v>
      </c>
      <c r="H2196" t="str">
        <f>MCR_Assessment!B28</f>
        <v>Verify</v>
      </c>
      <c r="I2196" t="str">
        <f>MCR_Assessment!C28</f>
        <v>Verify</v>
      </c>
      <c r="J2196" t="str">
        <f>MCR_Assessment!D28</f>
        <v>Verify</v>
      </c>
      <c r="K2196" t="str">
        <f>MCR_Assessment!E28</f>
        <v>Verify</v>
      </c>
      <c r="L2196" t="str">
        <f>MCR_Assessment!F28</f>
        <v>Verify</v>
      </c>
      <c r="M2196" t="str">
        <f>MCR_Assessment!G28</f>
        <v>Verify</v>
      </c>
      <c r="N2196" t="str">
        <f>MCR_Assessment!H28</f>
        <v>Verify</v>
      </c>
      <c r="O2196" t="str">
        <f>MCR_Assessment!I28</f>
        <v>Verify</v>
      </c>
      <c r="P2196" t="str">
        <f>MCR_Assessment!J28</f>
        <v>MCR has full fire protection scope including wet pipe and clean-agent fire suppression system. Verify preaction/clean-agent design, agent release interface, fire alarm matrix, detection, abort/release stations, room integrity and acceptance testing.</v>
      </c>
      <c r="Q2196" t="str">
        <f t="shared" si="34"/>
        <v>MCR|21</v>
      </c>
    </row>
    <row r="2197" spans="1:17" ht="6.45" customHeight="1">
      <c r="A2197" t="s">
        <v>68</v>
      </c>
      <c r="B2197">
        <v>22</v>
      </c>
      <c r="C2197" t="s">
        <v>69</v>
      </c>
      <c r="D2197">
        <v>29</v>
      </c>
      <c r="E2197" t="s">
        <v>951</v>
      </c>
      <c r="F2197" t="s">
        <v>5324</v>
      </c>
      <c r="G2197" t="str">
        <f>MCR_Assessment!A29</f>
        <v>031</v>
      </c>
      <c r="H2197" t="str">
        <f>MCR_Assessment!B29</f>
        <v>Verify</v>
      </c>
      <c r="I2197" t="str">
        <f>MCR_Assessment!C29</f>
        <v>N/A</v>
      </c>
      <c r="J2197" t="str">
        <f>MCR_Assessment!D29</f>
        <v>Verify</v>
      </c>
      <c r="K2197" t="str">
        <f>MCR_Assessment!E29</f>
        <v>Verify</v>
      </c>
      <c r="L2197" t="str">
        <f>MCR_Assessment!F29</f>
        <v>Verify</v>
      </c>
      <c r="M2197" t="str">
        <f>MCR_Assessment!G29</f>
        <v>Verify</v>
      </c>
      <c r="N2197" t="str">
        <f>MCR_Assessment!H29</f>
        <v>Verify</v>
      </c>
      <c r="O2197" t="str">
        <f>MCR_Assessment!I29</f>
        <v>Verify</v>
      </c>
      <c r="P2197" t="str">
        <f>MCR_Assessment!J29</f>
        <v>Verify fiber entrance room protection, rated penetrations, firestopping, detector/strobe coverage and no gaps after cable tray installation.</v>
      </c>
      <c r="Q2197" t="str">
        <f t="shared" si="34"/>
        <v>MCR|22</v>
      </c>
    </row>
    <row r="2198" spans="1:17" ht="6.45" customHeight="1">
      <c r="A2198" t="s">
        <v>68</v>
      </c>
      <c r="B2198">
        <v>23</v>
      </c>
      <c r="C2198" t="s">
        <v>69</v>
      </c>
      <c r="D2198">
        <v>30</v>
      </c>
      <c r="E2198" t="s">
        <v>951</v>
      </c>
      <c r="F2198" t="s">
        <v>5324</v>
      </c>
      <c r="G2198" t="str">
        <f>MCR_Assessment!A30</f>
        <v>MDA-A/B</v>
      </c>
      <c r="H2198" t="str">
        <f>MCR_Assessment!B30</f>
        <v>Verify</v>
      </c>
      <c r="I2198" t="str">
        <f>MCR_Assessment!C30</f>
        <v>Verify</v>
      </c>
      <c r="J2198" t="str">
        <f>MCR_Assessment!D30</f>
        <v>Verify</v>
      </c>
      <c r="K2198" t="str">
        <f>MCR_Assessment!E30</f>
        <v>Verify</v>
      </c>
      <c r="L2198" t="str">
        <f>MCR_Assessment!F30</f>
        <v>Verify</v>
      </c>
      <c r="M2198" t="str">
        <f>MCR_Assessment!G30</f>
        <v>Verify</v>
      </c>
      <c r="N2198" t="str">
        <f>MCR_Assessment!H30</f>
        <v>Verify</v>
      </c>
      <c r="O2198" t="str">
        <f>MCR_Assessment!I30</f>
        <v>Verify</v>
      </c>
      <c r="P2198" t="str">
        <f>MCR_Assessment!J30</f>
        <v>Verify sprinkler/clean-agent coverage around MDA equipment, fire alarm devices, rack clearance and final firestop assemblies.</v>
      </c>
      <c r="Q2198" t="str">
        <f t="shared" si="34"/>
        <v>MCR|23</v>
      </c>
    </row>
    <row r="2199" spans="1:17" ht="6.45" customHeight="1">
      <c r="A2199" t="s">
        <v>68</v>
      </c>
      <c r="B2199">
        <v>24</v>
      </c>
      <c r="C2199" t="s">
        <v>69</v>
      </c>
      <c r="D2199">
        <v>31</v>
      </c>
      <c r="E2199" t="s">
        <v>951</v>
      </c>
      <c r="F2199" t="s">
        <v>5324</v>
      </c>
      <c r="G2199" t="str">
        <f>MCR_Assessment!A31</f>
        <v>HDA-A/B</v>
      </c>
      <c r="H2199" t="str">
        <f>MCR_Assessment!B31</f>
        <v>Verify</v>
      </c>
      <c r="I2199" t="str">
        <f>MCR_Assessment!C31</f>
        <v>Verify</v>
      </c>
      <c r="J2199" t="str">
        <f>MCR_Assessment!D31</f>
        <v>Verify</v>
      </c>
      <c r="K2199" t="str">
        <f>MCR_Assessment!E31</f>
        <v>Verify</v>
      </c>
      <c r="L2199" t="str">
        <f>MCR_Assessment!F31</f>
        <v>Verify</v>
      </c>
      <c r="M2199" t="str">
        <f>MCR_Assessment!G31</f>
        <v>Verify</v>
      </c>
      <c r="N2199" t="str">
        <f>MCR_Assessment!H31</f>
        <v>Verify</v>
      </c>
      <c r="O2199" t="str">
        <f>MCR_Assessment!I31</f>
        <v>Verify</v>
      </c>
      <c r="P2199" t="str">
        <f>MCR_Assessment!J31</f>
        <v>Verify clean-agent coverage, detector placement, alarm interfaces, and open cabinet airflow protection.</v>
      </c>
      <c r="Q2199" t="str">
        <f t="shared" si="34"/>
        <v>MCR|24</v>
      </c>
    </row>
    <row r="2200" spans="1:17" ht="6.45" customHeight="1">
      <c r="A2200" t="s">
        <v>68</v>
      </c>
      <c r="B2200">
        <v>25</v>
      </c>
      <c r="C2200" t="s">
        <v>69</v>
      </c>
      <c r="D2200">
        <v>32</v>
      </c>
      <c r="E2200" t="s">
        <v>951</v>
      </c>
      <c r="F2200" t="s">
        <v>5324</v>
      </c>
      <c r="G2200" t="str">
        <f>MCR_Assessment!A32</f>
        <v>Existing 107/137</v>
      </c>
      <c r="H2200" t="str">
        <f>MCR_Assessment!B32</f>
        <v>Verify</v>
      </c>
      <c r="I2200" t="str">
        <f>MCR_Assessment!C32</f>
        <v>N/A</v>
      </c>
      <c r="J2200" t="str">
        <f>MCR_Assessment!D32</f>
        <v>Verify</v>
      </c>
      <c r="K2200" t="str">
        <f>MCR_Assessment!E32</f>
        <v>Verify</v>
      </c>
      <c r="L2200" t="str">
        <f>MCR_Assessment!F32</f>
        <v>Verify</v>
      </c>
      <c r="M2200" t="str">
        <f>MCR_Assessment!G32</f>
        <v>Verify</v>
      </c>
      <c r="N2200" t="str">
        <f>MCR_Assessment!H32</f>
        <v>Verify</v>
      </c>
      <c r="O2200" t="str">
        <f>MCR_Assessment!I32</f>
        <v>Verify</v>
      </c>
      <c r="P2200" t="str">
        <f>MCR_Assessment!J32</f>
        <v>Existing systems must remain protected during temporary fiber, umbilical cord and core relocation work. Verify no impairment without approved fire watch/impairment plan.</v>
      </c>
      <c r="Q2200" t="str">
        <f t="shared" si="34"/>
        <v>MCR|25</v>
      </c>
    </row>
    <row r="2201" spans="1:17" ht="6.45" customHeight="1">
      <c r="A2201" t="s">
        <v>68</v>
      </c>
      <c r="B2201">
        <v>26</v>
      </c>
      <c r="C2201" t="s">
        <v>69</v>
      </c>
      <c r="D2201">
        <v>33</v>
      </c>
      <c r="E2201" t="s">
        <v>951</v>
      </c>
      <c r="F2201" t="s">
        <v>5325</v>
      </c>
      <c r="G2201">
        <f>MCR_Assessment!A33</f>
        <v>0</v>
      </c>
      <c r="H2201">
        <f>MCR_Assessment!B33</f>
        <v>0</v>
      </c>
      <c r="I2201">
        <f>MCR_Assessment!C33</f>
        <v>0</v>
      </c>
      <c r="J2201">
        <f>MCR_Assessment!D33</f>
        <v>0</v>
      </c>
      <c r="K2201">
        <f>MCR_Assessment!E33</f>
        <v>0</v>
      </c>
      <c r="L2201">
        <f>MCR_Assessment!F33</f>
        <v>0</v>
      </c>
      <c r="M2201">
        <f>MCR_Assessment!G33</f>
        <v>0</v>
      </c>
      <c r="N2201">
        <f>MCR_Assessment!H33</f>
        <v>0</v>
      </c>
      <c r="O2201">
        <f>MCR_Assessment!I33</f>
        <v>0</v>
      </c>
      <c r="P2201">
        <f>MCR_Assessment!J33</f>
        <v>0</v>
      </c>
      <c r="Q2201" t="str">
        <f t="shared" si="34"/>
        <v>MCR|26</v>
      </c>
    </row>
    <row r="2202" spans="1:17" ht="6.45" customHeight="1">
      <c r="A2202" t="s">
        <v>68</v>
      </c>
      <c r="B2202">
        <v>27</v>
      </c>
      <c r="C2202" t="s">
        <v>69</v>
      </c>
      <c r="D2202">
        <v>34</v>
      </c>
      <c r="E2202" t="s">
        <v>964</v>
      </c>
      <c r="F2202" t="s">
        <v>5322</v>
      </c>
      <c r="G2202" t="str">
        <f>MCR_Assessment!A34</f>
        <v>4. HVAC / COOLING</v>
      </c>
      <c r="H2202">
        <f>MCR_Assessment!B34</f>
        <v>0</v>
      </c>
      <c r="I2202">
        <f>MCR_Assessment!C34</f>
        <v>0</v>
      </c>
      <c r="J2202">
        <f>MCR_Assessment!D34</f>
        <v>0</v>
      </c>
      <c r="K2202">
        <f>MCR_Assessment!E34</f>
        <v>0</v>
      </c>
      <c r="L2202">
        <f>MCR_Assessment!F34</f>
        <v>0</v>
      </c>
      <c r="M2202">
        <f>MCR_Assessment!G34</f>
        <v>0</v>
      </c>
      <c r="N2202">
        <f>MCR_Assessment!H34</f>
        <v>0</v>
      </c>
      <c r="O2202">
        <f>MCR_Assessment!I34</f>
        <v>0</v>
      </c>
      <c r="P2202">
        <f>MCR_Assessment!J34</f>
        <v>0</v>
      </c>
      <c r="Q2202" t="str">
        <f t="shared" si="34"/>
        <v>MCR|27</v>
      </c>
    </row>
    <row r="2203" spans="1:17" ht="6.45" customHeight="1">
      <c r="A2203" t="s">
        <v>68</v>
      </c>
      <c r="B2203">
        <v>28</v>
      </c>
      <c r="C2203" t="s">
        <v>69</v>
      </c>
      <c r="D2203">
        <v>35</v>
      </c>
      <c r="E2203" t="s">
        <v>964</v>
      </c>
      <c r="F2203" t="s">
        <v>5323</v>
      </c>
      <c r="G2203" t="str">
        <f>MCR_Assessment!A35</f>
        <v>Room</v>
      </c>
      <c r="H2203" t="str">
        <f>MCR_Assessment!B35</f>
        <v>Dedicated Unit</v>
      </c>
      <c r="I2203" t="str">
        <f>MCR_Assessment!C35</f>
        <v>Capacity Verified</v>
      </c>
      <c r="J2203" t="str">
        <f>MCR_Assessment!D35</f>
        <v>Emergency Power</v>
      </c>
      <c r="K2203" t="str">
        <f>MCR_Assessment!E35</f>
        <v>Controls / BACnet</v>
      </c>
      <c r="L2203" t="str">
        <f>MCR_Assessment!F35</f>
        <v>Condensate Routed</v>
      </c>
      <c r="M2203" t="str">
        <f>MCR_Assessment!G35</f>
        <v>High Temp Alarm</v>
      </c>
      <c r="N2203" t="str">
        <f>MCR_Assessment!H35</f>
        <v>24/7 Operation</v>
      </c>
      <c r="O2203" t="str">
        <f>MCR_Assessment!I35</f>
        <v>Overall</v>
      </c>
      <c r="P2203" t="str">
        <f>MCR_Assessment!J35</f>
        <v>Risk / Notes</v>
      </c>
      <c r="Q2203" t="str">
        <f t="shared" si="34"/>
        <v>MCR|28</v>
      </c>
    </row>
    <row r="2204" spans="1:17" ht="6.45" customHeight="1">
      <c r="A2204" t="s">
        <v>68</v>
      </c>
      <c r="B2204">
        <v>29</v>
      </c>
      <c r="C2204" t="s">
        <v>69</v>
      </c>
      <c r="D2204">
        <v>36</v>
      </c>
      <c r="E2204" t="s">
        <v>964</v>
      </c>
      <c r="F2204" t="s">
        <v>5324</v>
      </c>
      <c r="G2204" t="str">
        <f>MCR_Assessment!A36</f>
        <v>107 / MCR</v>
      </c>
      <c r="H2204" t="str">
        <f>MCR_Assessment!B36</f>
        <v>CRAC units / verify</v>
      </c>
      <c r="I2204" t="str">
        <f>MCR_Assessment!C36</f>
        <v>Verify</v>
      </c>
      <c r="J2204" t="str">
        <f>MCR_Assessment!D36</f>
        <v>Verify</v>
      </c>
      <c r="K2204" t="str">
        <f>MCR_Assessment!E36</f>
        <v>Verify</v>
      </c>
      <c r="L2204" t="str">
        <f>MCR_Assessment!F36</f>
        <v>Verify</v>
      </c>
      <c r="M2204" t="str">
        <f>MCR_Assessment!G36</f>
        <v>Verify</v>
      </c>
      <c r="N2204" t="str">
        <f>MCR_Assessment!H36</f>
        <v>Verify</v>
      </c>
      <c r="O2204" t="str">
        <f>MCR_Assessment!I36</f>
        <v>Verify</v>
      </c>
      <c r="P2204" t="str">
        <f>MCR_Assessment!J36</f>
        <v>Telecom notes call for indoor computer room air conditioner (CRAC) units tied to building management system. Mechanical sheets included; verify redundant capacity, setpoints, humidity, condensate, controls, alarms and emergency power.</v>
      </c>
      <c r="Q2204" t="str">
        <f t="shared" si="34"/>
        <v>MCR|29</v>
      </c>
    </row>
    <row r="2205" spans="1:17" ht="6.45" customHeight="1">
      <c r="A2205" t="s">
        <v>68</v>
      </c>
      <c r="B2205">
        <v>30</v>
      </c>
      <c r="C2205" t="s">
        <v>69</v>
      </c>
      <c r="D2205">
        <v>37</v>
      </c>
      <c r="E2205" t="s">
        <v>964</v>
      </c>
      <c r="F2205" t="s">
        <v>5324</v>
      </c>
      <c r="G2205" t="str">
        <f>MCR_Assessment!A37</f>
        <v>UPS-A / UPS-B</v>
      </c>
      <c r="H2205" t="str">
        <f>MCR_Assessment!B37</f>
        <v>Dedicated cooling / verify</v>
      </c>
      <c r="I2205" t="str">
        <f>MCR_Assessment!C37</f>
        <v>Verify</v>
      </c>
      <c r="J2205" t="str">
        <f>MCR_Assessment!D37</f>
        <v>Verify</v>
      </c>
      <c r="K2205" t="str">
        <f>MCR_Assessment!E37</f>
        <v>Verify</v>
      </c>
      <c r="L2205" t="str">
        <f>MCR_Assessment!F37</f>
        <v>Verify</v>
      </c>
      <c r="M2205" t="str">
        <f>MCR_Assessment!G37</f>
        <v>Verify</v>
      </c>
      <c r="N2205" t="str">
        <f>MCR_Assessment!H37</f>
        <v>Verify</v>
      </c>
      <c r="O2205" t="str">
        <f>MCR_Assessment!I37</f>
        <v>Verify</v>
      </c>
      <c r="P2205" t="str">
        <f>MCR_Assessment!J37</f>
        <v>UPS rooms/equipment require thermal load validation, ventilation, emergency power and alarm integration. Verify battery/UPS environmental requirements.</v>
      </c>
      <c r="Q2205" t="str">
        <f t="shared" si="34"/>
        <v>MCR|30</v>
      </c>
    </row>
    <row r="2206" spans="1:17" ht="6.45" customHeight="1">
      <c r="A2206" t="s">
        <v>68</v>
      </c>
      <c r="B2206">
        <v>31</v>
      </c>
      <c r="C2206" t="s">
        <v>69</v>
      </c>
      <c r="D2206">
        <v>38</v>
      </c>
      <c r="E2206" t="s">
        <v>964</v>
      </c>
      <c r="F2206" t="s">
        <v>5324</v>
      </c>
      <c r="G2206" t="str">
        <f>MCR_Assessment!A38</f>
        <v>MDA-A/B</v>
      </c>
      <c r="H2206" t="str">
        <f>MCR_Assessment!B38</f>
        <v>CRAC-served MCR</v>
      </c>
      <c r="I2206" t="str">
        <f>MCR_Assessment!C38</f>
        <v>Verify</v>
      </c>
      <c r="J2206" t="str">
        <f>MCR_Assessment!D38</f>
        <v>Verify</v>
      </c>
      <c r="K2206" t="str">
        <f>MCR_Assessment!E38</f>
        <v>Verify</v>
      </c>
      <c r="L2206" t="str">
        <f>MCR_Assessment!F38</f>
        <v>Verify</v>
      </c>
      <c r="M2206" t="str">
        <f>MCR_Assessment!G38</f>
        <v>Verify</v>
      </c>
      <c r="N2206" t="str">
        <f>MCR_Assessment!H38</f>
        <v>Verify</v>
      </c>
      <c r="O2206" t="str">
        <f>MCR_Assessment!I38</f>
        <v>Verify</v>
      </c>
      <c r="P2206" t="str">
        <f>MCR_Assessment!J38</f>
        <v>Verify airflow/cold aisle/hot aisle assumptions, blanking panels, floor/ceiling distribution and temperature monitoring.</v>
      </c>
      <c r="Q2206" t="str">
        <f t="shared" si="34"/>
        <v>MCR|31</v>
      </c>
    </row>
    <row r="2207" spans="1:17" ht="6.45" customHeight="1">
      <c r="A2207" t="s">
        <v>68</v>
      </c>
      <c r="B2207">
        <v>32</v>
      </c>
      <c r="C2207" t="s">
        <v>69</v>
      </c>
      <c r="D2207">
        <v>39</v>
      </c>
      <c r="E2207" t="s">
        <v>964</v>
      </c>
      <c r="F2207" t="s">
        <v>5324</v>
      </c>
      <c r="G2207" t="str">
        <f>MCR_Assessment!A39</f>
        <v>HDA-A/B</v>
      </c>
      <c r="H2207" t="str">
        <f>MCR_Assessment!B39</f>
        <v>CRAC-served MCR</v>
      </c>
      <c r="I2207" t="str">
        <f>MCR_Assessment!C39</f>
        <v>Verify</v>
      </c>
      <c r="J2207" t="str">
        <f>MCR_Assessment!D39</f>
        <v>Verify</v>
      </c>
      <c r="K2207" t="str">
        <f>MCR_Assessment!E39</f>
        <v>Verify</v>
      </c>
      <c r="L2207" t="str">
        <f>MCR_Assessment!F39</f>
        <v>Verify</v>
      </c>
      <c r="M2207" t="str">
        <f>MCR_Assessment!G39</f>
        <v>Verify</v>
      </c>
      <c r="N2207" t="str">
        <f>MCR_Assessment!H39</f>
        <v>Verify</v>
      </c>
      <c r="O2207" t="str">
        <f>MCR_Assessment!I39</f>
        <v>Verify</v>
      </c>
      <c r="P2207" t="str">
        <f>MCR_Assessment!J39</f>
        <v>Server cabinets and patch fields require stable 24/7 cooling and monitoring. Confirm no local hot spots at dense LIU/patch panel zones.</v>
      </c>
      <c r="Q2207" t="str">
        <f t="shared" si="34"/>
        <v>MCR|32</v>
      </c>
    </row>
    <row r="2208" spans="1:17" ht="6.45" customHeight="1">
      <c r="A2208" t="s">
        <v>68</v>
      </c>
      <c r="B2208">
        <v>33</v>
      </c>
      <c r="C2208" t="s">
        <v>69</v>
      </c>
      <c r="D2208">
        <v>40</v>
      </c>
      <c r="E2208" t="s">
        <v>964</v>
      </c>
      <c r="F2208" t="s">
        <v>5324</v>
      </c>
      <c r="G2208" t="str">
        <f>MCR_Assessment!A40</f>
        <v>Existing 107/137</v>
      </c>
      <c r="H2208" t="str">
        <f>MCR_Assessment!B40</f>
        <v>Existing / Verify</v>
      </c>
      <c r="I2208" t="str">
        <f>MCR_Assessment!C40</f>
        <v>Verify</v>
      </c>
      <c r="J2208" t="str">
        <f>MCR_Assessment!D40</f>
        <v>Verify</v>
      </c>
      <c r="K2208" t="str">
        <f>MCR_Assessment!E40</f>
        <v>Verify</v>
      </c>
      <c r="L2208" t="str">
        <f>MCR_Assessment!F40</f>
        <v>Verify</v>
      </c>
      <c r="M2208" t="str">
        <f>MCR_Assessment!G40</f>
        <v>Verify</v>
      </c>
      <c r="N2208" t="str">
        <f>MCR_Assessment!H40</f>
        <v>Verify</v>
      </c>
      <c r="O2208" t="str">
        <f>MCR_Assessment!I40</f>
        <v>Verify</v>
      </c>
      <c r="P2208" t="str">
        <f>MCR_Assessment!J40</f>
        <v>During split-core temporary phase, existing MCR/server equipment remains active. Verify existing cooling remains in service until cutover and decommissioning are complete.</v>
      </c>
      <c r="Q2208" t="str">
        <f t="shared" si="34"/>
        <v>MCR|33</v>
      </c>
    </row>
    <row r="2209" spans="1:17" ht="6.45" customHeight="1">
      <c r="A2209" t="s">
        <v>68</v>
      </c>
      <c r="B2209">
        <v>34</v>
      </c>
      <c r="C2209" t="s">
        <v>69</v>
      </c>
      <c r="D2209">
        <v>41</v>
      </c>
      <c r="E2209" t="s">
        <v>964</v>
      </c>
      <c r="F2209" t="s">
        <v>5325</v>
      </c>
      <c r="G2209">
        <f>MCR_Assessment!A41</f>
        <v>0</v>
      </c>
      <c r="H2209">
        <f>MCR_Assessment!B41</f>
        <v>0</v>
      </c>
      <c r="I2209">
        <f>MCR_Assessment!C41</f>
        <v>0</v>
      </c>
      <c r="J2209">
        <f>MCR_Assessment!D41</f>
        <v>0</v>
      </c>
      <c r="K2209">
        <f>MCR_Assessment!E41</f>
        <v>0</v>
      </c>
      <c r="L2209">
        <f>MCR_Assessment!F41</f>
        <v>0</v>
      </c>
      <c r="M2209">
        <f>MCR_Assessment!G41</f>
        <v>0</v>
      </c>
      <c r="N2209">
        <f>MCR_Assessment!H41</f>
        <v>0</v>
      </c>
      <c r="O2209">
        <f>MCR_Assessment!I41</f>
        <v>0</v>
      </c>
      <c r="P2209">
        <f>MCR_Assessment!J41</f>
        <v>0</v>
      </c>
      <c r="Q2209" t="str">
        <f t="shared" si="34"/>
        <v>MCR|34</v>
      </c>
    </row>
    <row r="2210" spans="1:17" ht="6.45" customHeight="1">
      <c r="A2210" t="s">
        <v>68</v>
      </c>
      <c r="B2210">
        <v>35</v>
      </c>
      <c r="C2210" t="s">
        <v>69</v>
      </c>
      <c r="D2210">
        <v>42</v>
      </c>
      <c r="E2210" t="s">
        <v>977</v>
      </c>
      <c r="F2210" t="s">
        <v>5322</v>
      </c>
      <c r="G2210" t="str">
        <f>MCR_Assessment!A42</f>
        <v>5. ELECTRICAL / UPS</v>
      </c>
      <c r="H2210">
        <f>MCR_Assessment!B42</f>
        <v>0</v>
      </c>
      <c r="I2210">
        <f>MCR_Assessment!C42</f>
        <v>0</v>
      </c>
      <c r="J2210">
        <f>MCR_Assessment!D42</f>
        <v>0</v>
      </c>
      <c r="K2210">
        <f>MCR_Assessment!E42</f>
        <v>0</v>
      </c>
      <c r="L2210">
        <f>MCR_Assessment!F42</f>
        <v>0</v>
      </c>
      <c r="M2210">
        <f>MCR_Assessment!G42</f>
        <v>0</v>
      </c>
      <c r="N2210">
        <f>MCR_Assessment!H42</f>
        <v>0</v>
      </c>
      <c r="O2210">
        <f>MCR_Assessment!I42</f>
        <v>0</v>
      </c>
      <c r="P2210">
        <f>MCR_Assessment!J42</f>
        <v>0</v>
      </c>
      <c r="Q2210" t="str">
        <f t="shared" si="34"/>
        <v>MCR|35</v>
      </c>
    </row>
    <row r="2211" spans="1:17" ht="6.45" customHeight="1">
      <c r="A2211" t="s">
        <v>68</v>
      </c>
      <c r="B2211">
        <v>36</v>
      </c>
      <c r="C2211" t="s">
        <v>69</v>
      </c>
      <c r="D2211">
        <v>43</v>
      </c>
      <c r="E2211" t="s">
        <v>977</v>
      </c>
      <c r="F2211" t="s">
        <v>5323</v>
      </c>
      <c r="G2211" t="str">
        <f>MCR_Assessment!A43</f>
        <v>Room</v>
      </c>
      <c r="H2211" t="str">
        <f>MCR_Assessment!B43</f>
        <v>UPS Installed</v>
      </c>
      <c r="I2211" t="str">
        <f>MCR_Assessment!C43</f>
        <v>UPS Size</v>
      </c>
      <c r="J2211" t="str">
        <f>MCR_Assessment!D43</f>
        <v>PDU Installed</v>
      </c>
      <c r="K2211" t="str">
        <f>MCR_Assessment!E43</f>
        <v>Rack Receptacles</v>
      </c>
      <c r="L2211" t="str">
        <f>MCR_Assessment!F43</f>
        <v>Panel Assigned</v>
      </c>
      <c r="M2211" t="str">
        <f>MCR_Assessment!G43</f>
        <v>Emergency Source</v>
      </c>
      <c r="N2211" t="str">
        <f>MCR_Assessment!H43</f>
        <v>SPD / Labeling</v>
      </c>
      <c r="O2211" t="str">
        <f>MCR_Assessment!I43</f>
        <v>Overall</v>
      </c>
      <c r="P2211" t="str">
        <f>MCR_Assessment!J43</f>
        <v>Notes</v>
      </c>
      <c r="Q2211" t="str">
        <f t="shared" si="34"/>
        <v>MCR|36</v>
      </c>
    </row>
    <row r="2212" spans="1:17" ht="6.45" customHeight="1">
      <c r="A2212" t="s">
        <v>68</v>
      </c>
      <c r="B2212">
        <v>37</v>
      </c>
      <c r="C2212" t="s">
        <v>69</v>
      </c>
      <c r="D2212">
        <v>44</v>
      </c>
      <c r="E2212" t="s">
        <v>977</v>
      </c>
      <c r="F2212" t="s">
        <v>5324</v>
      </c>
      <c r="G2212" t="str">
        <f>MCR_Assessment!A44</f>
        <v>107 / MCR</v>
      </c>
      <c r="H2212" t="str">
        <f>MCR_Assessment!B44</f>
        <v>UPS-A / UPS-B</v>
      </c>
      <c r="I2212" t="str">
        <f>MCR_Assessment!C44</f>
        <v>Verify</v>
      </c>
      <c r="J2212" t="str">
        <f>MCR_Assessment!D44</f>
        <v>Verify</v>
      </c>
      <c r="K2212" t="str">
        <f>MCR_Assessment!E44</f>
        <v>Verify</v>
      </c>
      <c r="L2212" t="str">
        <f>MCR_Assessment!F44</f>
        <v>MCRE-401/402/403/601/701/702</v>
      </c>
      <c r="M2212" t="str">
        <f>MCR_Assessment!G44</f>
        <v>Verify</v>
      </c>
      <c r="N2212" t="str">
        <f>MCR_Assessment!H44</f>
        <v>Verify</v>
      </c>
      <c r="O2212" t="str">
        <f>MCR_Assessment!I44</f>
        <v>Verify</v>
      </c>
      <c r="P2212" t="str">
        <f>MCR_Assessment!J44</f>
        <v>Electrical set includes site plan, enlarged MCR plans, one-lines and schedules. Verify switchboard/service, ATS/generator integration, normal/emergency/UPS distribution, grounding, lightning protection, SPD, load measurements and commissioning.</v>
      </c>
      <c r="Q2212" t="str">
        <f t="shared" si="34"/>
        <v>MCR|37</v>
      </c>
    </row>
    <row r="2213" spans="1:17" ht="6.45" customHeight="1">
      <c r="A2213" t="s">
        <v>68</v>
      </c>
      <c r="B2213">
        <v>38</v>
      </c>
      <c r="C2213" t="s">
        <v>69</v>
      </c>
      <c r="D2213">
        <v>45</v>
      </c>
      <c r="E2213" t="s">
        <v>977</v>
      </c>
      <c r="F2213" t="s">
        <v>5324</v>
      </c>
      <c r="G2213" t="str">
        <f>MCR_Assessment!A45</f>
        <v>MDA-A/B</v>
      </c>
      <c r="H2213" t="str">
        <f>MCR_Assessment!B45</f>
        <v>Verify</v>
      </c>
      <c r="I2213" t="str">
        <f>MCR_Assessment!C45</f>
        <v>Rack/PDU dependent</v>
      </c>
      <c r="J2213" t="str">
        <f>MCR_Assessment!D45</f>
        <v>Verify</v>
      </c>
      <c r="K2213" t="str">
        <f>MCR_Assessment!E45</f>
        <v>Verify</v>
      </c>
      <c r="L2213" t="str">
        <f>MCR_Assessment!F45</f>
        <v>MCR telecom panels / verify</v>
      </c>
      <c r="M2213" t="str">
        <f>MCR_Assessment!G45</f>
        <v>Verify</v>
      </c>
      <c r="N2213" t="str">
        <f>MCR_Assessment!H45</f>
        <v>Verify</v>
      </c>
      <c r="O2213" t="str">
        <f>MCR_Assessment!I45</f>
        <v>Verify</v>
      </c>
      <c r="P2213" t="str">
        <f>MCR_Assessment!J45</f>
        <v>MDA rack elevations include new 4-post floor cabinets, LIUs and network elements. Verify redundant A/B power feeds and PDU arrangements.</v>
      </c>
      <c r="Q2213" t="str">
        <f t="shared" si="34"/>
        <v>MCR|38</v>
      </c>
    </row>
    <row r="2214" spans="1:17" ht="6.45" customHeight="1">
      <c r="A2214" t="s">
        <v>68</v>
      </c>
      <c r="B2214">
        <v>39</v>
      </c>
      <c r="C2214" t="s">
        <v>69</v>
      </c>
      <c r="D2214">
        <v>46</v>
      </c>
      <c r="E2214" t="s">
        <v>977</v>
      </c>
      <c r="F2214" t="s">
        <v>5324</v>
      </c>
      <c r="G2214" t="str">
        <f>MCR_Assessment!A46</f>
        <v>HDA-A/B</v>
      </c>
      <c r="H2214" t="str">
        <f>MCR_Assessment!B46</f>
        <v>Verify</v>
      </c>
      <c r="I2214" t="str">
        <f>MCR_Assessment!C46</f>
        <v>Cabinet/PDU dependent</v>
      </c>
      <c r="J2214" t="str">
        <f>MCR_Assessment!D46</f>
        <v>Verify</v>
      </c>
      <c r="K2214" t="str">
        <f>MCR_Assessment!E46</f>
        <v>Verify</v>
      </c>
      <c r="L2214" t="str">
        <f>MCR_Assessment!F46</f>
        <v>MCR telecom/UPS panels / verify</v>
      </c>
      <c r="M2214" t="str">
        <f>MCR_Assessment!G46</f>
        <v>Verify</v>
      </c>
      <c r="N2214" t="str">
        <f>MCR_Assessment!H46</f>
        <v>Verify</v>
      </c>
      <c r="O2214" t="str">
        <f>MCR_Assessment!I46</f>
        <v>Verify</v>
      </c>
      <c r="P2214" t="str">
        <f>MCR_Assessment!J46</f>
        <v>HDA cabinets include server cabinet front/rear elevations with patch panels and active equipment. Confirm A/B feed separation, PDU mounting, load capacity and labels.</v>
      </c>
      <c r="Q2214" t="str">
        <f t="shared" si="34"/>
        <v>MCR|39</v>
      </c>
    </row>
    <row r="2215" spans="1:17" ht="6.45" customHeight="1">
      <c r="A2215" t="s">
        <v>68</v>
      </c>
      <c r="B2215">
        <v>40</v>
      </c>
      <c r="C2215" t="s">
        <v>69</v>
      </c>
      <c r="D2215">
        <v>47</v>
      </c>
      <c r="E2215" t="s">
        <v>977</v>
      </c>
      <c r="F2215" t="s">
        <v>5324</v>
      </c>
      <c r="G2215" t="str">
        <f>MCR_Assessment!A47</f>
        <v>Existing 107/137</v>
      </c>
      <c r="H2215" t="str">
        <f>MCR_Assessment!B47</f>
        <v>Existing / Verify</v>
      </c>
      <c r="I2215" t="str">
        <f>MCR_Assessment!C47</f>
        <v>Existing rack UPS/PDU</v>
      </c>
      <c r="J2215" t="str">
        <f>MCR_Assessment!D47</f>
        <v>Existing / Verify</v>
      </c>
      <c r="K2215" t="str">
        <f>MCR_Assessment!E47</f>
        <v>Verify</v>
      </c>
      <c r="L2215" t="str">
        <f>MCR_Assessment!F47</f>
        <v>Existing / verify</v>
      </c>
      <c r="M2215" t="str">
        <f>MCR_Assessment!G47</f>
        <v>Verify</v>
      </c>
      <c r="N2215" t="str">
        <f>MCR_Assessment!H47</f>
        <v>Verify</v>
      </c>
      <c r="O2215" t="str">
        <f>MCR_Assessment!I47</f>
        <v>Verify</v>
      </c>
      <c r="P2215" t="str">
        <f>MCR_Assessment!J47</f>
        <v>Existing rack elevations identify multiple APC/Chatsworth/HP PDUs, APC Smart UPS and Eaton 9PX units. Verify what transfers, what stays, and temporary power during migration.</v>
      </c>
      <c r="Q2215" t="str">
        <f t="shared" si="34"/>
        <v>MCR|40</v>
      </c>
    </row>
    <row r="2216" spans="1:17" ht="6.45" customHeight="1">
      <c r="A2216" t="s">
        <v>68</v>
      </c>
      <c r="B2216">
        <v>41</v>
      </c>
      <c r="C2216" t="s">
        <v>69</v>
      </c>
      <c r="D2216">
        <v>48</v>
      </c>
      <c r="E2216" t="s">
        <v>977</v>
      </c>
      <c r="F2216" t="s">
        <v>5324</v>
      </c>
      <c r="G2216" t="str">
        <f>MCR_Assessment!A48</f>
        <v>Site / Utility</v>
      </c>
      <c r="H2216" t="str">
        <f>MCR_Assessment!B48</f>
        <v>Verify</v>
      </c>
      <c r="I2216" t="str">
        <f>MCR_Assessment!C48</f>
        <v>N/A</v>
      </c>
      <c r="J2216" t="str">
        <f>MCR_Assessment!D48</f>
        <v>N/A</v>
      </c>
      <c r="K2216" t="str">
        <f>MCR_Assessment!E48</f>
        <v>N/A</v>
      </c>
      <c r="L2216" t="str">
        <f>MCR_Assessment!F48</f>
        <v>MCRES / MCRE site one-line</v>
      </c>
      <c r="M2216" t="str">
        <f>MCR_Assessment!G48</f>
        <v>Verify</v>
      </c>
      <c r="N2216" t="str">
        <f>MCR_Assessment!H48</f>
        <v>Verify</v>
      </c>
      <c r="O2216" t="str">
        <f>MCR_Assessment!I48</f>
        <v>Verify</v>
      </c>
      <c r="P2216" t="str">
        <f>MCR_Assessment!J48</f>
        <v>New MCR is standalone critical infrastructure. Verify utility service, generator/ATS paths, emergency distribution, grounding electrode and ductbank/site electrical coordination.</v>
      </c>
      <c r="Q2216" t="str">
        <f t="shared" si="34"/>
        <v>MCR|41</v>
      </c>
    </row>
    <row r="2217" spans="1:17" ht="6.45" customHeight="1">
      <c r="A2217" t="s">
        <v>68</v>
      </c>
      <c r="B2217">
        <v>42</v>
      </c>
      <c r="C2217" t="s">
        <v>69</v>
      </c>
      <c r="D2217">
        <v>49</v>
      </c>
      <c r="E2217" t="s">
        <v>977</v>
      </c>
      <c r="F2217" t="s">
        <v>5325</v>
      </c>
      <c r="G2217">
        <f>MCR_Assessment!A49</f>
        <v>0</v>
      </c>
      <c r="H2217">
        <f>MCR_Assessment!B49</f>
        <v>0</v>
      </c>
      <c r="I2217">
        <f>MCR_Assessment!C49</f>
        <v>0</v>
      </c>
      <c r="J2217">
        <f>MCR_Assessment!D49</f>
        <v>0</v>
      </c>
      <c r="K2217">
        <f>MCR_Assessment!E49</f>
        <v>0</v>
      </c>
      <c r="L2217">
        <f>MCR_Assessment!F49</f>
        <v>0</v>
      </c>
      <c r="M2217">
        <f>MCR_Assessment!G49</f>
        <v>0</v>
      </c>
      <c r="N2217">
        <f>MCR_Assessment!H49</f>
        <v>0</v>
      </c>
      <c r="O2217">
        <f>MCR_Assessment!I49</f>
        <v>0</v>
      </c>
      <c r="P2217">
        <f>MCR_Assessment!J49</f>
        <v>0</v>
      </c>
      <c r="Q2217" t="str">
        <f t="shared" si="34"/>
        <v>MCR|42</v>
      </c>
    </row>
    <row r="2218" spans="1:17" ht="6.45" customHeight="1">
      <c r="A2218" t="s">
        <v>68</v>
      </c>
      <c r="B2218">
        <v>43</v>
      </c>
      <c r="C2218" t="s">
        <v>69</v>
      </c>
      <c r="D2218">
        <v>50</v>
      </c>
      <c r="E2218" t="s">
        <v>994</v>
      </c>
      <c r="F2218" t="s">
        <v>5322</v>
      </c>
      <c r="G2218" t="str">
        <f>MCR_Assessment!A50</f>
        <v>6. TELECOMMUNICATIONS</v>
      </c>
      <c r="H2218">
        <f>MCR_Assessment!B50</f>
        <v>0</v>
      </c>
      <c r="I2218">
        <f>MCR_Assessment!C50</f>
        <v>0</v>
      </c>
      <c r="J2218">
        <f>MCR_Assessment!D50</f>
        <v>0</v>
      </c>
      <c r="K2218">
        <f>MCR_Assessment!E50</f>
        <v>0</v>
      </c>
      <c r="L2218">
        <f>MCR_Assessment!F50</f>
        <v>0</v>
      </c>
      <c r="M2218">
        <f>MCR_Assessment!G50</f>
        <v>0</v>
      </c>
      <c r="N2218">
        <f>MCR_Assessment!H50</f>
        <v>0</v>
      </c>
      <c r="O2218">
        <f>MCR_Assessment!I50</f>
        <v>0</v>
      </c>
      <c r="P2218">
        <f>MCR_Assessment!J50</f>
        <v>0</v>
      </c>
      <c r="Q2218" t="str">
        <f t="shared" si="34"/>
        <v>MCR|43</v>
      </c>
    </row>
    <row r="2219" spans="1:17" ht="6.45" customHeight="1">
      <c r="A2219" t="s">
        <v>68</v>
      </c>
      <c r="B2219">
        <v>44</v>
      </c>
      <c r="C2219" t="s">
        <v>69</v>
      </c>
      <c r="D2219">
        <v>51</v>
      </c>
      <c r="E2219" t="s">
        <v>994</v>
      </c>
      <c r="F2219" t="s">
        <v>5323</v>
      </c>
      <c r="G2219" t="str">
        <f>MCR_Assessment!A51</f>
        <v>Room</v>
      </c>
      <c r="H2219" t="str">
        <f>MCR_Assessment!B51</f>
        <v>Rack Installed</v>
      </c>
      <c r="I2219" t="str">
        <f>MCR_Assessment!C51</f>
        <v>Ladder Tray</v>
      </c>
      <c r="J2219" t="str">
        <f>MCR_Assessment!D51</f>
        <v>Fiber Installed</v>
      </c>
      <c r="K2219" t="str">
        <f>MCR_Assessment!E51</f>
        <v>Grounding</v>
      </c>
      <c r="L2219" t="str">
        <f>MCR_Assessment!F51</f>
        <v>Labeling</v>
      </c>
      <c r="M2219" t="str">
        <f>MCR_Assessment!G51</f>
        <v>Testing</v>
      </c>
      <c r="N2219" t="str">
        <f>MCR_Assessment!H51</f>
        <v>VA Acceptance</v>
      </c>
      <c r="O2219" t="str">
        <f>MCR_Assessment!I51</f>
        <v>Overall</v>
      </c>
      <c r="P2219" t="str">
        <f>MCR_Assessment!J51</f>
        <v>Notes</v>
      </c>
      <c r="Q2219" t="str">
        <f t="shared" si="34"/>
        <v>MCR|44</v>
      </c>
    </row>
    <row r="2220" spans="1:17" ht="6.45" customHeight="1">
      <c r="A2220" t="s">
        <v>68</v>
      </c>
      <c r="B2220">
        <v>45</v>
      </c>
      <c r="C2220" t="s">
        <v>69</v>
      </c>
      <c r="D2220">
        <v>52</v>
      </c>
      <c r="E2220" t="s">
        <v>994</v>
      </c>
      <c r="F2220" t="s">
        <v>5324</v>
      </c>
      <c r="G2220" t="str">
        <f>MCR_Assessment!A52</f>
        <v>107 / MCR</v>
      </c>
      <c r="H2220" t="str">
        <f>MCR_Assessment!B52</f>
        <v>Verify</v>
      </c>
      <c r="I2220" t="str">
        <f>MCR_Assessment!C52</f>
        <v>Verify</v>
      </c>
      <c r="J2220" t="str">
        <f>MCR_Assessment!D52</f>
        <v>Verify</v>
      </c>
      <c r="K2220" t="str">
        <f>MCR_Assessment!E52</f>
        <v>Verify</v>
      </c>
      <c r="L2220" t="str">
        <f>MCR_Assessment!F52</f>
        <v>Verify</v>
      </c>
      <c r="M2220" t="str">
        <f>MCR_Assessment!G52</f>
        <v>Verify</v>
      </c>
      <c r="N2220" t="str">
        <f>MCR_Assessment!H52</f>
        <v>Verify</v>
      </c>
      <c r="O2220" t="str">
        <f>MCR_Assessment!I52</f>
        <v>Verify</v>
      </c>
      <c r="P2220" t="str">
        <f>MCR_Assessment!J52</f>
        <v>MCRT-101 shows new MCR with MDA-A/B, HDA-A/B, UPS-A/B, cameras and fiber path legend. MCRT-701 shows 10 WAO total, 720 WAO available, 98.1% expansion capacity, 10 total ports with 20% allowance and 359 ft cable tray.</v>
      </c>
      <c r="Q2220" t="str">
        <f t="shared" si="34"/>
        <v>MCR|45</v>
      </c>
    </row>
    <row r="2221" spans="1:17" ht="6.45" customHeight="1">
      <c r="A2221" t="s">
        <v>68</v>
      </c>
      <c r="B2221">
        <v>46</v>
      </c>
      <c r="C2221" t="s">
        <v>69</v>
      </c>
      <c r="D2221">
        <v>53</v>
      </c>
      <c r="E2221" t="s">
        <v>994</v>
      </c>
      <c r="F2221" t="s">
        <v>5324</v>
      </c>
      <c r="G2221" t="str">
        <f>MCR_Assessment!A53</f>
        <v>031</v>
      </c>
      <c r="H2221" t="str">
        <f>MCR_Assessment!B53</f>
        <v>Verify</v>
      </c>
      <c r="I2221" t="str">
        <f>MCR_Assessment!C53</f>
        <v>Verify</v>
      </c>
      <c r="J2221" t="str">
        <f>MCR_Assessment!D53</f>
        <v>Verify</v>
      </c>
      <c r="K2221" t="str">
        <f>MCR_Assessment!E53</f>
        <v>Verify</v>
      </c>
      <c r="L2221" t="str">
        <f>MCR_Assessment!F53</f>
        <v>Verify</v>
      </c>
      <c r="M2221" t="str">
        <f>MCR_Assessment!G53</f>
        <v>Verify</v>
      </c>
      <c r="N2221" t="str">
        <f>MCR_Assessment!H53</f>
        <v>Verify</v>
      </c>
      <c r="O2221" t="str">
        <f>MCR_Assessment!I53</f>
        <v>Verify</v>
      </c>
      <c r="P2221" t="str">
        <f>MCR_Assessment!J53</f>
        <v>MCRT-701 Data Device and Circuit Schedule - Fiber Entrance Room 1: outlets 31-A/B/C/D plus security devices 07-CAM-03/04/07/08/11; Rack ID TR01-031-1.</v>
      </c>
      <c r="Q2221" t="str">
        <f t="shared" si="34"/>
        <v>MCR|46</v>
      </c>
    </row>
    <row r="2222" spans="1:17" ht="6.45" customHeight="1">
      <c r="A2222" t="s">
        <v>68</v>
      </c>
      <c r="B2222">
        <v>47</v>
      </c>
      <c r="C2222" t="s">
        <v>69</v>
      </c>
      <c r="D2222">
        <v>54</v>
      </c>
      <c r="E2222" t="s">
        <v>994</v>
      </c>
      <c r="F2222" t="s">
        <v>5324</v>
      </c>
      <c r="G2222" t="str">
        <f>MCR_Assessment!A54</f>
        <v>MDA-A/B</v>
      </c>
      <c r="H2222" t="str">
        <f>MCR_Assessment!B54</f>
        <v>Verify</v>
      </c>
      <c r="I2222" t="str">
        <f>MCR_Assessment!C54</f>
        <v>Verify</v>
      </c>
      <c r="J2222" t="str">
        <f>MCR_Assessment!D54</f>
        <v>Verify</v>
      </c>
      <c r="K2222" t="str">
        <f>MCR_Assessment!E54</f>
        <v>Verify</v>
      </c>
      <c r="L2222" t="str">
        <f>MCR_Assessment!F54</f>
        <v>Verify</v>
      </c>
      <c r="M2222" t="str">
        <f>MCR_Assessment!G54</f>
        <v>Verify</v>
      </c>
      <c r="N2222" t="str">
        <f>MCR_Assessment!H54</f>
        <v>Verify</v>
      </c>
      <c r="O2222" t="str">
        <f>MCR_Assessment!I54</f>
        <v>Verify</v>
      </c>
      <c r="P2222" t="str">
        <f>MCR_Assessment!J54</f>
        <v>MCRT-607: MDA A/B racks contain horizontal distribution LIUs, hybrid FOC, 48x Cat6A to HDA, and reserved LAN/spine/aggregation elements. Maintain A/B path separation.</v>
      </c>
      <c r="Q2222" t="str">
        <f t="shared" si="34"/>
        <v>MCR|47</v>
      </c>
    </row>
    <row r="2223" spans="1:17" ht="6.45" customHeight="1">
      <c r="A2223" t="s">
        <v>68</v>
      </c>
      <c r="B2223">
        <v>48</v>
      </c>
      <c r="C2223" t="s">
        <v>69</v>
      </c>
      <c r="D2223">
        <v>55</v>
      </c>
      <c r="E2223" t="s">
        <v>994</v>
      </c>
      <c r="F2223" t="s">
        <v>5324</v>
      </c>
      <c r="G2223" t="str">
        <f>MCR_Assessment!A55</f>
        <v>HDA-A/B</v>
      </c>
      <c r="H2223" t="str">
        <f>MCR_Assessment!B55</f>
        <v>Verify</v>
      </c>
      <c r="I2223" t="str">
        <f>MCR_Assessment!C55</f>
        <v>Verify</v>
      </c>
      <c r="J2223" t="str">
        <f>MCR_Assessment!D55</f>
        <v>Verify</v>
      </c>
      <c r="K2223" t="str">
        <f>MCR_Assessment!E55</f>
        <v>Verify</v>
      </c>
      <c r="L2223" t="str">
        <f>MCR_Assessment!F55</f>
        <v>Verify</v>
      </c>
      <c r="M2223" t="str">
        <f>MCR_Assessment!G55</f>
        <v>Verify</v>
      </c>
      <c r="N2223" t="str">
        <f>MCR_Assessment!H55</f>
        <v>Verify</v>
      </c>
      <c r="O2223" t="str">
        <f>MCR_Assessment!I55</f>
        <v>Verify</v>
      </c>
      <c r="P2223" t="str">
        <f>MCR_Assessment!J55</f>
        <v>MCRT-608/609: HDA A/B include 48-port Cat6A patch panels, HD fiber LIUs, backbone side A/B LIU and server cabinet arrangements.</v>
      </c>
      <c r="Q2223" t="str">
        <f t="shared" si="34"/>
        <v>MCR|48</v>
      </c>
    </row>
    <row r="2224" spans="1:17" ht="6.45" customHeight="1">
      <c r="A2224" t="s">
        <v>68</v>
      </c>
      <c r="B2224">
        <v>49</v>
      </c>
      <c r="C2224" t="s">
        <v>69</v>
      </c>
      <c r="D2224">
        <v>56</v>
      </c>
      <c r="E2224" t="s">
        <v>994</v>
      </c>
      <c r="F2224" t="s">
        <v>5324</v>
      </c>
      <c r="G2224" t="str">
        <f>MCR_Assessment!A56</f>
        <v>Existing 107/137</v>
      </c>
      <c r="H2224" t="str">
        <f>MCR_Assessment!B56</f>
        <v>Existing / Verify</v>
      </c>
      <c r="I2224" t="str">
        <f>MCR_Assessment!C56</f>
        <v>Existing / Verify</v>
      </c>
      <c r="J2224" t="str">
        <f>MCR_Assessment!D56</f>
        <v>Existing / Verify</v>
      </c>
      <c r="K2224" t="str">
        <f>MCR_Assessment!E56</f>
        <v>Verify</v>
      </c>
      <c r="L2224" t="str">
        <f>MCR_Assessment!F56</f>
        <v>Verify</v>
      </c>
      <c r="M2224" t="str">
        <f>MCR_Assessment!G56</f>
        <v>Verify</v>
      </c>
      <c r="N2224" t="str">
        <f>MCR_Assessment!H56</f>
        <v>Verify</v>
      </c>
      <c r="O2224" t="str">
        <f>MCR_Assessment!I56</f>
        <v>Verify</v>
      </c>
      <c r="P2224" t="str">
        <f>MCR_Assessment!J56</f>
        <v>Existing MCR rows 1-3 and B61 server cabinet transfer references are extensive. Maintain service using temporary fiber/umbilical cords and phased core relocation.</v>
      </c>
      <c r="Q2224" t="str">
        <f t="shared" si="34"/>
        <v>MCR|49</v>
      </c>
    </row>
    <row r="2225" spans="1:17" ht="6.45" customHeight="1">
      <c r="A2225" t="s">
        <v>68</v>
      </c>
      <c r="B2225">
        <v>50</v>
      </c>
      <c r="C2225" t="s">
        <v>69</v>
      </c>
      <c r="D2225">
        <v>57</v>
      </c>
      <c r="E2225" t="s">
        <v>994</v>
      </c>
      <c r="F2225" t="s">
        <v>5325</v>
      </c>
      <c r="G2225">
        <f>MCR_Assessment!A57</f>
        <v>0</v>
      </c>
      <c r="H2225">
        <f>MCR_Assessment!B57</f>
        <v>0</v>
      </c>
      <c r="I2225">
        <f>MCR_Assessment!C57</f>
        <v>0</v>
      </c>
      <c r="J2225">
        <f>MCR_Assessment!D57</f>
        <v>0</v>
      </c>
      <c r="K2225">
        <f>MCR_Assessment!E57</f>
        <v>0</v>
      </c>
      <c r="L2225">
        <f>MCR_Assessment!F57</f>
        <v>0</v>
      </c>
      <c r="M2225">
        <f>MCR_Assessment!G57</f>
        <v>0</v>
      </c>
      <c r="N2225">
        <f>MCR_Assessment!H57</f>
        <v>0</v>
      </c>
      <c r="O2225">
        <f>MCR_Assessment!I57</f>
        <v>0</v>
      </c>
      <c r="P2225">
        <f>MCR_Assessment!J57</f>
        <v>0</v>
      </c>
      <c r="Q2225" t="str">
        <f t="shared" si="34"/>
        <v>MCR|50</v>
      </c>
    </row>
    <row r="2226" spans="1:17" ht="6.45" customHeight="1">
      <c r="A2226" t="s">
        <v>68</v>
      </c>
      <c r="B2226">
        <v>51</v>
      </c>
      <c r="C2226" t="s">
        <v>69</v>
      </c>
      <c r="D2226">
        <v>58</v>
      </c>
      <c r="E2226" t="s">
        <v>1007</v>
      </c>
      <c r="F2226" t="s">
        <v>5322</v>
      </c>
      <c r="G2226" t="str">
        <f>MCR_Assessment!A58</f>
        <v>7. SECURITY / PACS / CCTV</v>
      </c>
      <c r="H2226">
        <f>MCR_Assessment!B58</f>
        <v>0</v>
      </c>
      <c r="I2226">
        <f>MCR_Assessment!C58</f>
        <v>0</v>
      </c>
      <c r="J2226">
        <f>MCR_Assessment!D58</f>
        <v>0</v>
      </c>
      <c r="K2226">
        <f>MCR_Assessment!E58</f>
        <v>0</v>
      </c>
      <c r="L2226">
        <f>MCR_Assessment!F58</f>
        <v>0</v>
      </c>
      <c r="M2226">
        <f>MCR_Assessment!G58</f>
        <v>0</v>
      </c>
      <c r="N2226">
        <f>MCR_Assessment!H58</f>
        <v>0</v>
      </c>
      <c r="O2226">
        <f>MCR_Assessment!I58</f>
        <v>0</v>
      </c>
      <c r="P2226">
        <f>MCR_Assessment!J58</f>
        <v>0</v>
      </c>
      <c r="Q2226" t="str">
        <f t="shared" si="34"/>
        <v>MCR|51</v>
      </c>
    </row>
    <row r="2227" spans="1:17" ht="6.45" customHeight="1">
      <c r="A2227" t="s">
        <v>68</v>
      </c>
      <c r="B2227">
        <v>52</v>
      </c>
      <c r="C2227" t="s">
        <v>69</v>
      </c>
      <c r="D2227">
        <v>59</v>
      </c>
      <c r="E2227" t="s">
        <v>1007</v>
      </c>
      <c r="F2227" t="s">
        <v>5323</v>
      </c>
      <c r="G2227" t="str">
        <f>MCR_Assessment!A59</f>
        <v>Room</v>
      </c>
      <c r="H2227" t="str">
        <f>MCR_Assessment!B59</f>
        <v>PACS</v>
      </c>
      <c r="I2227" t="str">
        <f>MCR_Assessment!C59</f>
        <v>Card Reader</v>
      </c>
      <c r="J2227" t="str">
        <f>MCR_Assessment!D59</f>
        <v>Door Position</v>
      </c>
      <c r="K2227" t="str">
        <f>MCR_Assessment!E59</f>
        <v>Electric Strike</v>
      </c>
      <c r="L2227" t="str">
        <f>MCR_Assessment!F59</f>
        <v>CCTV</v>
      </c>
      <c r="M2227" t="str">
        <f>MCR_Assessment!G59</f>
        <v>Motion Sensor</v>
      </c>
      <c r="N2227" t="str">
        <f>MCR_Assessment!H59</f>
        <v>Integration</v>
      </c>
      <c r="O2227" t="str">
        <f>MCR_Assessment!I59</f>
        <v>Overall</v>
      </c>
      <c r="P2227" t="str">
        <f>MCR_Assessment!J59</f>
        <v>Notes</v>
      </c>
      <c r="Q2227" t="str">
        <f t="shared" si="34"/>
        <v>MCR|52</v>
      </c>
    </row>
    <row r="2228" spans="1:17" ht="6.45" customHeight="1">
      <c r="A2228" t="s">
        <v>68</v>
      </c>
      <c r="B2228">
        <v>53</v>
      </c>
      <c r="C2228" t="s">
        <v>69</v>
      </c>
      <c r="D2228">
        <v>60</v>
      </c>
      <c r="E2228" t="s">
        <v>1007</v>
      </c>
      <c r="F2228" t="s">
        <v>5324</v>
      </c>
      <c r="G2228" t="str">
        <f>MCR_Assessment!A60</f>
        <v>107 / MCR</v>
      </c>
      <c r="H2228" t="str">
        <f>MCR_Assessment!B60</f>
        <v>Verify</v>
      </c>
      <c r="I2228" t="str">
        <f>MCR_Assessment!C60</f>
        <v>Verify</v>
      </c>
      <c r="J2228" t="str">
        <f>MCR_Assessment!D60</f>
        <v>Verify</v>
      </c>
      <c r="K2228" t="str">
        <f>MCR_Assessment!E60</f>
        <v>Verify</v>
      </c>
      <c r="L2228" t="str">
        <f>MCR_Assessment!F60</f>
        <v>Verify</v>
      </c>
      <c r="M2228" t="str">
        <f>MCR_Assessment!G60</f>
        <v>Verify</v>
      </c>
      <c r="N2228" t="str">
        <f>MCR_Assessment!H60</f>
        <v>Verify</v>
      </c>
      <c r="O2228" t="str">
        <f>MCR_Assessment!I60</f>
        <v>Verify</v>
      </c>
      <c r="P2228" t="str">
        <f>MCR_Assessment!J60</f>
        <v>MCRT-101 identifies cameras 07-CAM-01 through 07-CAM-12 around the MCR. Telecom notes call for IP-addressable network cameras integrated into existing VMS and PACS/access-control systems including iSTAR Edge/Avigilon ACM controller.</v>
      </c>
      <c r="Q2228" t="str">
        <f t="shared" si="34"/>
        <v>MCR|53</v>
      </c>
    </row>
    <row r="2229" spans="1:17" ht="6.45" customHeight="1">
      <c r="A2229" t="s">
        <v>68</v>
      </c>
      <c r="B2229">
        <v>54</v>
      </c>
      <c r="C2229" t="s">
        <v>69</v>
      </c>
      <c r="D2229">
        <v>61</v>
      </c>
      <c r="E2229" t="s">
        <v>1007</v>
      </c>
      <c r="F2229" t="s">
        <v>5324</v>
      </c>
      <c r="G2229" t="str">
        <f>MCR_Assessment!A61</f>
        <v>031</v>
      </c>
      <c r="H2229" t="str">
        <f>MCR_Assessment!B61</f>
        <v>Verify</v>
      </c>
      <c r="I2229" t="str">
        <f>MCR_Assessment!C61</f>
        <v>Verify</v>
      </c>
      <c r="J2229" t="str">
        <f>MCR_Assessment!D61</f>
        <v>Verify</v>
      </c>
      <c r="K2229" t="str">
        <f>MCR_Assessment!E61</f>
        <v>Verify</v>
      </c>
      <c r="L2229" t="str">
        <f>MCR_Assessment!F61</f>
        <v>Verify</v>
      </c>
      <c r="M2229" t="str">
        <f>MCR_Assessment!G61</f>
        <v>Verify</v>
      </c>
      <c r="N2229" t="str">
        <f>MCR_Assessment!H61</f>
        <v>Verify</v>
      </c>
      <c r="O2229" t="str">
        <f>MCR_Assessment!I61</f>
        <v>Verify</v>
      </c>
      <c r="P2229" t="str">
        <f>MCR_Assessment!J61</f>
        <v>MCRT-701 includes security camera/data devices assigned to TR01-031-1. Confirm camera IDs, mounting, cabling, and VMS commissioning.</v>
      </c>
      <c r="Q2229" t="str">
        <f t="shared" si="34"/>
        <v>MCR|54</v>
      </c>
    </row>
    <row r="2230" spans="1:17" ht="6.45" customHeight="1">
      <c r="A2230" t="s">
        <v>68</v>
      </c>
      <c r="B2230">
        <v>55</v>
      </c>
      <c r="C2230" t="s">
        <v>69</v>
      </c>
      <c r="D2230">
        <v>62</v>
      </c>
      <c r="E2230" t="s">
        <v>1007</v>
      </c>
      <c r="F2230" t="s">
        <v>5324</v>
      </c>
      <c r="G2230" t="str">
        <f>MCR_Assessment!A62</f>
        <v>MDA-A/B</v>
      </c>
      <c r="H2230" t="str">
        <f>MCR_Assessment!B62</f>
        <v>Verify</v>
      </c>
      <c r="I2230" t="str">
        <f>MCR_Assessment!C62</f>
        <v>Verify</v>
      </c>
      <c r="J2230" t="str">
        <f>MCR_Assessment!D62</f>
        <v>Verify</v>
      </c>
      <c r="K2230" t="str">
        <f>MCR_Assessment!E62</f>
        <v>Verify</v>
      </c>
      <c r="L2230" t="str">
        <f>MCR_Assessment!F62</f>
        <v>Verify</v>
      </c>
      <c r="M2230" t="str">
        <f>MCR_Assessment!G62</f>
        <v>Verify</v>
      </c>
      <c r="N2230" t="str">
        <f>MCR_Assessment!H62</f>
        <v>Verify</v>
      </c>
      <c r="O2230" t="str">
        <f>MCR_Assessment!I62</f>
        <v>Verify</v>
      </c>
      <c r="P2230" t="str">
        <f>MCR_Assessment!J62</f>
        <v>Verify camera coverage, door/access points, VMS monitoring and access control zones for critical equipment.</v>
      </c>
      <c r="Q2230" t="str">
        <f t="shared" si="34"/>
        <v>MCR|55</v>
      </c>
    </row>
    <row r="2231" spans="1:17" ht="6.45" customHeight="1">
      <c r="A2231" t="s">
        <v>68</v>
      </c>
      <c r="B2231">
        <v>56</v>
      </c>
      <c r="C2231" t="s">
        <v>69</v>
      </c>
      <c r="D2231">
        <v>63</v>
      </c>
      <c r="E2231" t="s">
        <v>1007</v>
      </c>
      <c r="F2231" t="s">
        <v>5324</v>
      </c>
      <c r="G2231" t="str">
        <f>MCR_Assessment!A63</f>
        <v>HDA-A/B</v>
      </c>
      <c r="H2231" t="str">
        <f>MCR_Assessment!B63</f>
        <v>Verify</v>
      </c>
      <c r="I2231" t="str">
        <f>MCR_Assessment!C63</f>
        <v>Verify</v>
      </c>
      <c r="J2231" t="str">
        <f>MCR_Assessment!D63</f>
        <v>Verify</v>
      </c>
      <c r="K2231" t="str">
        <f>MCR_Assessment!E63</f>
        <v>Verify</v>
      </c>
      <c r="L2231" t="str">
        <f>MCR_Assessment!F63</f>
        <v>Verify</v>
      </c>
      <c r="M2231" t="str">
        <f>MCR_Assessment!G63</f>
        <v>Verify</v>
      </c>
      <c r="N2231" t="str">
        <f>MCR_Assessment!H63</f>
        <v>Verify</v>
      </c>
      <c r="O2231" t="str">
        <f>MCR_Assessment!I63</f>
        <v>Verify</v>
      </c>
      <c r="P2231" t="str">
        <f>MCR_Assessment!J63</f>
        <v>Verify coverage of HDA cabinets, doors, motion detection and any lockable cabinet/security requirements.</v>
      </c>
      <c r="Q2231" t="str">
        <f t="shared" si="34"/>
        <v>MCR|56</v>
      </c>
    </row>
    <row r="2232" spans="1:17" ht="6.45" customHeight="1">
      <c r="A2232" t="s">
        <v>68</v>
      </c>
      <c r="B2232">
        <v>57</v>
      </c>
      <c r="C2232" t="s">
        <v>69</v>
      </c>
      <c r="D2232">
        <v>64</v>
      </c>
      <c r="E2232" t="s">
        <v>1007</v>
      </c>
      <c r="F2232" t="s">
        <v>5324</v>
      </c>
      <c r="G2232" t="str">
        <f>MCR_Assessment!A64</f>
        <v>Existing 107/137</v>
      </c>
      <c r="H2232" t="str">
        <f>MCR_Assessment!B64</f>
        <v>Existing / Verify</v>
      </c>
      <c r="I2232" t="str">
        <f>MCR_Assessment!C64</f>
        <v>Existing / Verify</v>
      </c>
      <c r="J2232" t="str">
        <f>MCR_Assessment!D64</f>
        <v>Existing / Verify</v>
      </c>
      <c r="K2232" t="str">
        <f>MCR_Assessment!E64</f>
        <v>Existing / Verify</v>
      </c>
      <c r="L2232" t="str">
        <f>MCR_Assessment!F64</f>
        <v>Verify</v>
      </c>
      <c r="M2232" t="str">
        <f>MCR_Assessment!G64</f>
        <v>Verify</v>
      </c>
      <c r="N2232" t="str">
        <f>MCR_Assessment!H64</f>
        <v>Verify</v>
      </c>
      <c r="O2232" t="str">
        <f>MCR_Assessment!I64</f>
        <v>Verify</v>
      </c>
      <c r="P2232" t="str">
        <f>MCR_Assessment!J64</f>
        <v>Existing security systems must remain functional during transition; protect existing camera angles and access controls until final turnover.</v>
      </c>
      <c r="Q2232" t="str">
        <f t="shared" si="34"/>
        <v>MCR|57</v>
      </c>
    </row>
    <row r="2233" spans="1:17" ht="6.45" customHeight="1">
      <c r="A2233" t="s">
        <v>68</v>
      </c>
      <c r="B2233">
        <v>58</v>
      </c>
      <c r="C2233" t="s">
        <v>69</v>
      </c>
      <c r="D2233">
        <v>65</v>
      </c>
      <c r="E2233" t="s">
        <v>1007</v>
      </c>
      <c r="F2233" t="s">
        <v>5325</v>
      </c>
      <c r="G2233">
        <f>MCR_Assessment!A65</f>
        <v>0</v>
      </c>
      <c r="H2233">
        <f>MCR_Assessment!B65</f>
        <v>0</v>
      </c>
      <c r="I2233">
        <f>MCR_Assessment!C65</f>
        <v>0</v>
      </c>
      <c r="J2233">
        <f>MCR_Assessment!D65</f>
        <v>0</v>
      </c>
      <c r="K2233">
        <f>MCR_Assessment!E65</f>
        <v>0</v>
      </c>
      <c r="L2233">
        <f>MCR_Assessment!F65</f>
        <v>0</v>
      </c>
      <c r="M2233">
        <f>MCR_Assessment!G65</f>
        <v>0</v>
      </c>
      <c r="N2233">
        <f>MCR_Assessment!H65</f>
        <v>0</v>
      </c>
      <c r="O2233">
        <f>MCR_Assessment!I65</f>
        <v>0</v>
      </c>
      <c r="P2233">
        <f>MCR_Assessment!J65</f>
        <v>0</v>
      </c>
      <c r="Q2233" t="str">
        <f t="shared" si="34"/>
        <v>MCR|58</v>
      </c>
    </row>
    <row r="2234" spans="1:17" ht="6.45" customHeight="1">
      <c r="A2234" t="s">
        <v>68</v>
      </c>
      <c r="B2234">
        <v>59</v>
      </c>
      <c r="C2234" t="s">
        <v>69</v>
      </c>
      <c r="D2234">
        <v>66</v>
      </c>
      <c r="E2234" t="s">
        <v>1019</v>
      </c>
      <c r="F2234" t="s">
        <v>5322</v>
      </c>
      <c r="G2234" t="str">
        <f>MCR_Assessment!A66</f>
        <v>8. OWNER RISKS</v>
      </c>
      <c r="H2234">
        <f>MCR_Assessment!B66</f>
        <v>0</v>
      </c>
      <c r="I2234">
        <f>MCR_Assessment!C66</f>
        <v>0</v>
      </c>
      <c r="J2234">
        <f>MCR_Assessment!D66</f>
        <v>0</v>
      </c>
      <c r="K2234">
        <f>MCR_Assessment!E66</f>
        <v>0</v>
      </c>
      <c r="L2234">
        <f>MCR_Assessment!F66</f>
        <v>0</v>
      </c>
      <c r="M2234">
        <f>MCR_Assessment!G66</f>
        <v>0</v>
      </c>
      <c r="N2234">
        <f>MCR_Assessment!H66</f>
        <v>0</v>
      </c>
      <c r="O2234">
        <f>MCR_Assessment!I66</f>
        <v>0</v>
      </c>
      <c r="P2234">
        <f>MCR_Assessment!J66</f>
        <v>0</v>
      </c>
      <c r="Q2234" t="str">
        <f t="shared" si="34"/>
        <v>MCR|59</v>
      </c>
    </row>
    <row r="2235" spans="1:17" ht="6.45" customHeight="1">
      <c r="A2235" t="s">
        <v>68</v>
      </c>
      <c r="B2235">
        <v>60</v>
      </c>
      <c r="C2235" t="s">
        <v>69</v>
      </c>
      <c r="D2235">
        <v>67</v>
      </c>
      <c r="E2235" t="s">
        <v>1019</v>
      </c>
      <c r="F2235" t="s">
        <v>5323</v>
      </c>
      <c r="G2235" t="str">
        <f>MCR_Assessment!A67</f>
        <v>Risk ID</v>
      </c>
      <c r="H2235" t="str">
        <f>MCR_Assessment!B67</f>
        <v>Room</v>
      </c>
      <c r="I2235" t="str">
        <f>MCR_Assessment!C67</f>
        <v>Risk</v>
      </c>
      <c r="J2235" t="str">
        <f>MCR_Assessment!D67</f>
        <v>Impact</v>
      </c>
      <c r="K2235" t="str">
        <f>MCR_Assessment!E67</f>
        <v>Probability</v>
      </c>
      <c r="L2235" t="str">
        <f>MCR_Assessment!F67</f>
        <v>Score</v>
      </c>
      <c r="M2235" t="str">
        <f>MCR_Assessment!G67</f>
        <v>Mitigation</v>
      </c>
      <c r="N2235" t="str">
        <f>MCR_Assessment!H67</f>
        <v>Owner</v>
      </c>
      <c r="O2235" t="str">
        <f>MCR_Assessment!I67</f>
        <v>Status</v>
      </c>
      <c r="P2235" t="str">
        <f>MCR_Assessment!J67</f>
        <v>Notes</v>
      </c>
      <c r="Q2235" t="str">
        <f t="shared" si="34"/>
        <v>MCR|60</v>
      </c>
    </row>
    <row r="2236" spans="1:17" ht="6.45" customHeight="1">
      <c r="A2236" t="s">
        <v>68</v>
      </c>
      <c r="B2236">
        <v>61</v>
      </c>
      <c r="C2236" t="s">
        <v>69</v>
      </c>
      <c r="D2236">
        <v>68</v>
      </c>
      <c r="E2236" t="s">
        <v>1019</v>
      </c>
      <c r="F2236" t="s">
        <v>5324</v>
      </c>
      <c r="G2236" t="str">
        <f>MCR_Assessment!A68</f>
        <v>MCR-R1</v>
      </c>
      <c r="H2236" t="str">
        <f>MCR_Assessment!B68</f>
        <v>All</v>
      </c>
      <c r="I2236" t="str">
        <f>MCR_Assessment!C68</f>
        <v>MCR is a new standalone critical facility with 120-sheet multi-discipline scope</v>
      </c>
      <c r="J2236" t="str">
        <f>MCR_Assessment!D68</f>
        <v>Critical</v>
      </c>
      <c r="K2236" t="str">
        <f>MCR_Assessment!E68</f>
        <v>Medium</v>
      </c>
      <c r="L2236">
        <f>MCR_Assessment!F68</f>
        <v>8</v>
      </c>
      <c r="M2236" t="str">
        <f>MCR_Assessment!G68</f>
        <v>Use discipline-by-discipline pre-install checklist, coordination drawings, third-party inspections and commissioning tracker</v>
      </c>
      <c r="N2236" t="str">
        <f>MCR_Assessment!H68</f>
        <v>GCC / VA / Cx</v>
      </c>
      <c r="O2236" t="str">
        <f>MCR_Assessment!I68</f>
        <v>Closed</v>
      </c>
      <c r="P2236" t="str">
        <f>MCR_Assessment!J68</f>
        <v>New MCR cannot depend on another project or funding source to be usable.</v>
      </c>
      <c r="Q2236" t="str">
        <f t="shared" si="34"/>
        <v>MCR|61</v>
      </c>
    </row>
    <row r="2237" spans="1:17" ht="6.45" customHeight="1">
      <c r="A2237" t="s">
        <v>68</v>
      </c>
      <c r="B2237">
        <v>62</v>
      </c>
      <c r="C2237" t="s">
        <v>69</v>
      </c>
      <c r="D2237">
        <v>69</v>
      </c>
      <c r="E2237" t="s">
        <v>1019</v>
      </c>
      <c r="F2237" t="s">
        <v>5324</v>
      </c>
      <c r="G2237" t="str">
        <f>MCR_Assessment!A69</f>
        <v>MCR-R2</v>
      </c>
      <c r="H2237" t="str">
        <f>MCR_Assessment!B69</f>
        <v>Existing 107/137</v>
      </c>
      <c r="I2237" t="str">
        <f>MCR_Assessment!C69</f>
        <v>Existing MCR/server/core equipment transfer may interrupt hospital network operations</v>
      </c>
      <c r="J2237" t="str">
        <f>MCR_Assessment!D69</f>
        <v>Critical</v>
      </c>
      <c r="K2237" t="str">
        <f>MCR_Assessment!E69</f>
        <v>Medium</v>
      </c>
      <c r="L2237">
        <f>MCR_Assessment!F69</f>
        <v>8</v>
      </c>
      <c r="M2237" t="str">
        <f>MCR_Assessment!G69</f>
        <v>Require detailed OIT cutover plan, temporary fiber/umbilicals, rollback plan, VA activation windows and after-hours phasing</v>
      </c>
      <c r="N2237" t="str">
        <f>MCR_Assessment!H69</f>
        <v>OIT / Telecom</v>
      </c>
      <c r="O2237" t="str">
        <f>MCR_Assessment!I69</f>
        <v>Closed</v>
      </c>
      <c r="P2237" t="str">
        <f>MCR_Assessment!J69</f>
        <v>Notes state MCR activation may need 3-6 months and WAO activation depends on fiber/core connections.</v>
      </c>
      <c r="Q2237" t="str">
        <f t="shared" si="34"/>
        <v>MCR|62</v>
      </c>
    </row>
    <row r="2238" spans="1:17" ht="6.45" customHeight="1">
      <c r="A2238" t="s">
        <v>68</v>
      </c>
      <c r="B2238">
        <v>63</v>
      </c>
      <c r="C2238" t="s">
        <v>69</v>
      </c>
      <c r="D2238">
        <v>70</v>
      </c>
      <c r="E2238" t="s">
        <v>1019</v>
      </c>
      <c r="F2238" t="s">
        <v>5324</v>
      </c>
      <c r="G2238" t="str">
        <f>MCR_Assessment!A70</f>
        <v>MCR-R3</v>
      </c>
      <c r="H2238" t="str">
        <f>MCR_Assessment!B70</f>
        <v>MDA/HDA</v>
      </c>
      <c r="I2238" t="str">
        <f>MCR_Assessment!C70</f>
        <v>A/B fiber path diversity and backbone commissioning not verified</v>
      </c>
      <c r="J2238" t="str">
        <f>MCR_Assessment!D70</f>
        <v>Critical</v>
      </c>
      <c r="K2238" t="str">
        <f>MCR_Assessment!E70</f>
        <v>Medium</v>
      </c>
      <c r="L2238">
        <f>MCR_Assessment!F70</f>
        <v>8</v>
      </c>
      <c r="M2238" t="str">
        <f>MCR_Assessment!G70</f>
        <v>Verify OSP/ISP Path A/B routing, no intermediate splices, test results, labeling and geographic diversity</v>
      </c>
      <c r="N2238" t="str">
        <f>MCR_Assessment!H70</f>
        <v>Telecom / OIT</v>
      </c>
      <c r="O2238" t="str">
        <f>MCR_Assessment!I70</f>
        <v>Closed</v>
      </c>
      <c r="P2238" t="str">
        <f>MCR_Assessment!J70</f>
        <v>New fiber risers require A-side and B-side redundant paths to every TR.</v>
      </c>
      <c r="Q2238" t="str">
        <f t="shared" si="34"/>
        <v>MCR|63</v>
      </c>
    </row>
    <row r="2239" spans="1:17" ht="6.45" customHeight="1">
      <c r="A2239" t="s">
        <v>68</v>
      </c>
      <c r="B2239">
        <v>64</v>
      </c>
      <c r="C2239" t="s">
        <v>69</v>
      </c>
      <c r="D2239">
        <v>71</v>
      </c>
      <c r="E2239" t="s">
        <v>1019</v>
      </c>
      <c r="F2239" t="s">
        <v>5324</v>
      </c>
      <c r="G2239" t="str">
        <f>MCR_Assessment!A71</f>
        <v>MCR-R4</v>
      </c>
      <c r="H2239" t="str">
        <f>MCR_Assessment!B71</f>
        <v>MCR / UPS</v>
      </c>
      <c r="I2239" t="str">
        <f>MCR_Assessment!C71</f>
        <v>UPS-A/B, ATS/generator, panel source and PDU coordination could delay activation</v>
      </c>
      <c r="J2239" t="str">
        <f>MCR_Assessment!D71</f>
        <v>Critical</v>
      </c>
      <c r="K2239" t="str">
        <f>MCR_Assessment!E71</f>
        <v>Medium</v>
      </c>
      <c r="L2239">
        <f>MCR_Assessment!F71</f>
        <v>8</v>
      </c>
      <c r="M2239" t="str">
        <f>MCR_Assessment!G71</f>
        <v>Verify one-line, load banks, breaker settings, panel labels, generator/ATS tests, UPS start-up and A/B power mapping</v>
      </c>
      <c r="N2239" t="str">
        <f>MCR_Assessment!H71</f>
        <v>Electrical / Cx</v>
      </c>
      <c r="O2239" t="str">
        <f>MCR_Assessment!I71</f>
        <v>Closed</v>
      </c>
      <c r="P2239" t="str">
        <f>MCR_Assessment!J71</f>
        <v>Electrical scope includes site electrical, enlarged MCR plans, one-lines and schedules.</v>
      </c>
      <c r="Q2239" t="str">
        <f t="shared" si="34"/>
        <v>MCR|64</v>
      </c>
    </row>
    <row r="2240" spans="1:17" ht="6.45" customHeight="1">
      <c r="A2240" t="s">
        <v>68</v>
      </c>
      <c r="B2240">
        <v>65</v>
      </c>
      <c r="C2240" t="s">
        <v>69</v>
      </c>
      <c r="D2240">
        <v>72</v>
      </c>
      <c r="E2240" t="s">
        <v>1019</v>
      </c>
      <c r="F2240" t="s">
        <v>5324</v>
      </c>
      <c r="G2240" t="str">
        <f>MCR_Assessment!A72</f>
        <v>MCR-R5</v>
      </c>
      <c r="H2240" t="str">
        <f>MCR_Assessment!B72</f>
        <v>MCR</v>
      </c>
      <c r="I2240" t="str">
        <f>MCR_Assessment!C72</f>
        <v>CRAC capacity, redundancy, condensate, BMS/FMS alarms and emergency power not verified</v>
      </c>
      <c r="J2240" t="str">
        <f>MCR_Assessment!D72</f>
        <v>Critical</v>
      </c>
      <c r="K2240" t="str">
        <f>MCR_Assessment!E72</f>
        <v>Medium</v>
      </c>
      <c r="L2240">
        <f>MCR_Assessment!F72</f>
        <v>8</v>
      </c>
      <c r="M2240" t="str">
        <f>MCR_Assessment!G72</f>
        <v>Confirm mechanical schedules, CRAC start-up, controls, alarm points, emergency source, environmental monitoring and hot/cold aisle performance</v>
      </c>
      <c r="N2240" t="str">
        <f>MCR_Assessment!H72</f>
        <v>Mechanical / Cx</v>
      </c>
      <c r="O2240" t="str">
        <f>MCR_Assessment!I72</f>
        <v>Closed</v>
      </c>
      <c r="P2240" t="str">
        <f>MCR_Assessment!J72</f>
        <v>Telecom notes explicitly call for indoor computer room air conditioner CRAC units and BMS coordination.</v>
      </c>
      <c r="Q2240" t="str">
        <f t="shared" si="34"/>
        <v>MCR|65</v>
      </c>
    </row>
    <row r="2241" spans="1:17" ht="6.45" customHeight="1">
      <c r="A2241" t="s">
        <v>68</v>
      </c>
      <c r="B2241">
        <v>66</v>
      </c>
      <c r="C2241" t="s">
        <v>69</v>
      </c>
      <c r="D2241">
        <v>73</v>
      </c>
      <c r="E2241" t="s">
        <v>1019</v>
      </c>
      <c r="F2241" t="s">
        <v>5324</v>
      </c>
      <c r="G2241" t="str">
        <f>MCR_Assessment!A73</f>
        <v>MCR-R6</v>
      </c>
      <c r="H2241" t="str">
        <f>MCR_Assessment!B73</f>
        <v>MCR</v>
      </c>
      <c r="I2241" t="str">
        <f>MCR_Assessment!C73</f>
        <v>Clean-agent/preaction/fire alarm interface and room integrity acceptance risk</v>
      </c>
      <c r="J2241" t="str">
        <f>MCR_Assessment!D73</f>
        <v>Critical</v>
      </c>
      <c r="K2241" t="str">
        <f>MCR_Assessment!E73</f>
        <v>Medium</v>
      </c>
      <c r="L2241">
        <f>MCR_Assessment!F73</f>
        <v>8</v>
      </c>
      <c r="M2241" t="str">
        <f>MCR_Assessment!G73</f>
        <v>Track clean-agent calculations, room integrity test, release/abort stations, FA matrix, sprinkler/preaction tests and AHJ/third-party acceptance</v>
      </c>
      <c r="N2241" t="str">
        <f>MCR_Assessment!H73</f>
        <v>FP / FA / Cx</v>
      </c>
      <c r="O2241" t="str">
        <f>MCR_Assessment!I73</f>
        <v>Closed</v>
      </c>
      <c r="P2241" t="str">
        <f>MCR_Assessment!J73</f>
        <v>MCR receives new fire alarm and clean-agent fire suppression system.</v>
      </c>
      <c r="Q2241" t="str">
        <f t="shared" si="34"/>
        <v>MCR|66</v>
      </c>
    </row>
    <row r="2242" spans="1:17" ht="6.45" customHeight="1">
      <c r="A2242" t="s">
        <v>68</v>
      </c>
      <c r="B2242">
        <v>67</v>
      </c>
      <c r="C2242" t="s">
        <v>69</v>
      </c>
      <c r="D2242">
        <v>74</v>
      </c>
      <c r="E2242" t="s">
        <v>1019</v>
      </c>
      <c r="F2242" t="s">
        <v>5324</v>
      </c>
      <c r="G2242" t="str">
        <f>MCR_Assessment!A74</f>
        <v>MCR-R7</v>
      </c>
      <c r="H2242" t="str">
        <f>MCR_Assessment!B74</f>
        <v>MCR / Site</v>
      </c>
      <c r="I2242" t="str">
        <f>MCR_Assessment!C74</f>
        <v>Civil/site/utility ductbank, drainage, grading and security envelope could affect substantial completion</v>
      </c>
      <c r="J2242" t="str">
        <f>MCR_Assessment!D74</f>
        <v>High</v>
      </c>
      <c r="K2242" t="str">
        <f>MCR_Assessment!E74</f>
        <v>Medium</v>
      </c>
      <c r="L2242">
        <f>MCR_Assessment!F74</f>
        <v>6</v>
      </c>
      <c r="M2242" t="str">
        <f>MCR_Assessment!G74</f>
        <v>Track civil utility plan, stormwater, grading, ductbank, site fiber conduit encasement, access and landscape/hardscape restoration</v>
      </c>
      <c r="N2242" t="str">
        <f>MCR_Assessment!H74</f>
        <v>Civil / Site / GC</v>
      </c>
      <c r="O2242" t="str">
        <f>MCR_Assessment!I74</f>
        <v>Closed</v>
      </c>
      <c r="P2242" t="str">
        <f>MCR_Assessment!J74</f>
        <v>MCR package includes civil, structural and architectural site work.</v>
      </c>
      <c r="Q2242" t="str">
        <f t="shared" ref="Q2242:Q2305" si="35">A2242&amp;"|"&amp;B2242</f>
        <v>MCR|67</v>
      </c>
    </row>
    <row r="2243" spans="1:17" ht="6.45" customHeight="1">
      <c r="A2243" t="s">
        <v>68</v>
      </c>
      <c r="B2243">
        <v>68</v>
      </c>
      <c r="C2243" t="s">
        <v>69</v>
      </c>
      <c r="D2243">
        <v>75</v>
      </c>
      <c r="E2243" t="s">
        <v>1019</v>
      </c>
      <c r="F2243" t="s">
        <v>5324</v>
      </c>
      <c r="G2243" t="str">
        <f>MCR_Assessment!A75</f>
        <v>MCR-R8</v>
      </c>
      <c r="H2243" t="str">
        <f>MCR_Assessment!B75</f>
        <v>All</v>
      </c>
      <c r="I2243" t="str">
        <f>MCR_Assessment!C75</f>
        <v>Commissioning/turnover package may be incomplete across all divisions</v>
      </c>
      <c r="J2243" t="str">
        <f>MCR_Assessment!D75</f>
        <v>High</v>
      </c>
      <c r="K2243" t="str">
        <f>MCR_Assessment!E75</f>
        <v>Medium</v>
      </c>
      <c r="L2243">
        <f>MCR_Assessment!F75</f>
        <v>6</v>
      </c>
      <c r="M2243" t="str">
        <f>MCR_Assessment!G75</f>
        <v>Maintain MCR-specific turnover matrix for electrical, mechanical, FP, FA, telecom, security, civil, structural and architectural systems</v>
      </c>
      <c r="N2243" t="str">
        <f>MCR_Assessment!H75</f>
        <v>GC / Cx Manager</v>
      </c>
      <c r="O2243" t="str">
        <f>MCR_Assessment!I75</f>
        <v>Closed</v>
      </c>
      <c r="P2243" t="str">
        <f>MCR_Assessment!J75</f>
        <v>General notes require commissioning/recommissioning, third-party inspections and written reports.</v>
      </c>
      <c r="Q2243" t="str">
        <f t="shared" si="35"/>
        <v>MCR|68</v>
      </c>
    </row>
    <row r="2244" spans="1:17" ht="6.45" customHeight="1">
      <c r="A2244" t="s">
        <v>68</v>
      </c>
      <c r="B2244">
        <v>69</v>
      </c>
      <c r="C2244" t="s">
        <v>69</v>
      </c>
      <c r="D2244">
        <v>76</v>
      </c>
      <c r="E2244" t="s">
        <v>1019</v>
      </c>
      <c r="F2244" t="s">
        <v>5325</v>
      </c>
      <c r="G2244">
        <f>MCR_Assessment!A76</f>
        <v>0</v>
      </c>
      <c r="H2244">
        <f>MCR_Assessment!B76</f>
        <v>0</v>
      </c>
      <c r="I2244">
        <f>MCR_Assessment!C76</f>
        <v>0</v>
      </c>
      <c r="J2244">
        <f>MCR_Assessment!D76</f>
        <v>0</v>
      </c>
      <c r="K2244">
        <f>MCR_Assessment!E76</f>
        <v>0</v>
      </c>
      <c r="L2244">
        <f>MCR_Assessment!F76</f>
        <v>0</v>
      </c>
      <c r="M2244">
        <f>MCR_Assessment!G76</f>
        <v>0</v>
      </c>
      <c r="N2244">
        <f>MCR_Assessment!H76</f>
        <v>0</v>
      </c>
      <c r="O2244">
        <f>MCR_Assessment!I76</f>
        <v>0</v>
      </c>
      <c r="P2244">
        <f>MCR_Assessment!J76</f>
        <v>0</v>
      </c>
      <c r="Q2244" t="str">
        <f t="shared" si="35"/>
        <v>MCR|69</v>
      </c>
    </row>
    <row r="2245" spans="1:17" ht="6.45" customHeight="1">
      <c r="A2245" t="s">
        <v>68</v>
      </c>
      <c r="B2245">
        <v>70</v>
      </c>
      <c r="C2245" t="s">
        <v>69</v>
      </c>
      <c r="D2245">
        <v>77</v>
      </c>
      <c r="E2245" t="s">
        <v>1051</v>
      </c>
      <c r="F2245" t="s">
        <v>5322</v>
      </c>
      <c r="G2245" t="str">
        <f>MCR_Assessment!A77</f>
        <v>9. OPEN QUESTIONS</v>
      </c>
      <c r="H2245">
        <f>MCR_Assessment!B77</f>
        <v>0</v>
      </c>
      <c r="I2245">
        <f>MCR_Assessment!C77</f>
        <v>0</v>
      </c>
      <c r="J2245">
        <f>MCR_Assessment!D77</f>
        <v>0</v>
      </c>
      <c r="K2245">
        <f>MCR_Assessment!E77</f>
        <v>0</v>
      </c>
      <c r="L2245">
        <f>MCR_Assessment!F77</f>
        <v>0</v>
      </c>
      <c r="M2245">
        <f>MCR_Assessment!G77</f>
        <v>0</v>
      </c>
      <c r="N2245">
        <f>MCR_Assessment!H77</f>
        <v>0</v>
      </c>
      <c r="O2245">
        <f>MCR_Assessment!I77</f>
        <v>0</v>
      </c>
      <c r="P2245">
        <f>MCR_Assessment!J77</f>
        <v>0</v>
      </c>
      <c r="Q2245" t="str">
        <f t="shared" si="35"/>
        <v>MCR|70</v>
      </c>
    </row>
    <row r="2246" spans="1:17" ht="6.45" customHeight="1">
      <c r="A2246" t="s">
        <v>68</v>
      </c>
      <c r="B2246">
        <v>71</v>
      </c>
      <c r="C2246" t="s">
        <v>69</v>
      </c>
      <c r="D2246">
        <v>78</v>
      </c>
      <c r="E2246" t="s">
        <v>1051</v>
      </c>
      <c r="F2246" t="s">
        <v>5323</v>
      </c>
      <c r="G2246" t="str">
        <f>MCR_Assessment!A78</f>
        <v>Question ID</v>
      </c>
      <c r="H2246" t="str">
        <f>MCR_Assessment!B78</f>
        <v>Question</v>
      </c>
      <c r="I2246" t="str">
        <f>MCR_Assessment!C78</f>
        <v>Assigned To</v>
      </c>
      <c r="J2246" t="str">
        <f>MCR_Assessment!D78</f>
        <v>Status</v>
      </c>
      <c r="K2246" t="str">
        <f>MCR_Assessment!E78</f>
        <v>Needed By</v>
      </c>
      <c r="L2246" t="str">
        <f>MCR_Assessment!F78</f>
        <v>Answer / Resolution</v>
      </c>
      <c r="M2246" t="str">
        <f>MCR_Assessment!G78</f>
        <v>Impact if Unanswered</v>
      </c>
      <c r="N2246" t="str">
        <f>MCR_Assessment!H78</f>
        <v>Follow-up</v>
      </c>
      <c r="O2246" t="str">
        <f>MCR_Assessment!I78</f>
        <v>Date Closed</v>
      </c>
      <c r="P2246" t="str">
        <f>MCR_Assessment!J78</f>
        <v>Notes</v>
      </c>
      <c r="Q2246" t="str">
        <f t="shared" si="35"/>
        <v>MCR|71</v>
      </c>
    </row>
    <row r="2247" spans="1:17" ht="6.45" customHeight="1">
      <c r="A2247" t="s">
        <v>68</v>
      </c>
      <c r="B2247">
        <v>72</v>
      </c>
      <c r="C2247" t="s">
        <v>69</v>
      </c>
      <c r="D2247">
        <v>79</v>
      </c>
      <c r="E2247" t="s">
        <v>1051</v>
      </c>
      <c r="F2247" t="s">
        <v>5324</v>
      </c>
      <c r="G2247" t="str">
        <f>MCR_Assessment!A79</f>
        <v>MCR-Q1</v>
      </c>
      <c r="H2247" t="str">
        <f>MCR_Assessment!B79</f>
        <v>Confirm final room naming and PMIS mapping: MCR Room 107, Fiber Entrance Room 031, Existing 107/137 server/MCR references.</v>
      </c>
      <c r="I2247" t="str">
        <f>MCR_Assessment!C79</f>
        <v>VA / OIT / Designer</v>
      </c>
      <c r="J2247" t="str">
        <f>MCR_Assessment!D79</f>
        <v>Closed</v>
      </c>
      <c r="K2247">
        <f>MCR_Assessment!E79</f>
        <v>0</v>
      </c>
      <c r="L2247">
        <f>MCR_Assessment!F79</f>
        <v>0</v>
      </c>
      <c r="M2247" t="str">
        <f>MCR_Assessment!G79</f>
        <v>Room inventory and turnover mapping could be wrong</v>
      </c>
      <c r="N2247">
        <f>MCR_Assessment!H79</f>
        <v>0</v>
      </c>
      <c r="O2247">
        <f>MCR_Assessment!I79</f>
        <v>0</v>
      </c>
      <c r="P2247">
        <f>MCR_Assessment!J79</f>
        <v>0</v>
      </c>
      <c r="Q2247" t="str">
        <f t="shared" si="35"/>
        <v>MCR|72</v>
      </c>
    </row>
    <row r="2248" spans="1:17" ht="6.45" customHeight="1">
      <c r="A2248" t="s">
        <v>68</v>
      </c>
      <c r="B2248">
        <v>73</v>
      </c>
      <c r="C2248" t="s">
        <v>69</v>
      </c>
      <c r="D2248">
        <v>80</v>
      </c>
      <c r="E2248" t="s">
        <v>1051</v>
      </c>
      <c r="F2248" t="s">
        <v>5324</v>
      </c>
      <c r="G2248" t="str">
        <f>MCR_Assessment!A80</f>
        <v>MCR-Q2</v>
      </c>
      <c r="H2248" t="str">
        <f>MCR_Assessment!B80</f>
        <v>What existing core/server/rack equipment is being relocated from the existing MCR/server rooms, and what remains?</v>
      </c>
      <c r="I2248" t="str">
        <f>MCR_Assessment!C80</f>
        <v>OIT / Contractor</v>
      </c>
      <c r="J2248" t="str">
        <f>MCR_Assessment!D80</f>
        <v>Closed</v>
      </c>
      <c r="K2248">
        <f>MCR_Assessment!E80</f>
        <v>0</v>
      </c>
      <c r="L2248">
        <f>MCR_Assessment!F80</f>
        <v>0</v>
      </c>
      <c r="M2248" t="str">
        <f>MCR_Assessment!G80</f>
        <v>Cutover and outage risk</v>
      </c>
      <c r="N2248">
        <f>MCR_Assessment!H80</f>
        <v>0</v>
      </c>
      <c r="O2248">
        <f>MCR_Assessment!I80</f>
        <v>0</v>
      </c>
      <c r="P2248">
        <f>MCR_Assessment!J80</f>
        <v>0</v>
      </c>
      <c r="Q2248" t="str">
        <f t="shared" si="35"/>
        <v>MCR|73</v>
      </c>
    </row>
    <row r="2249" spans="1:17" ht="6.45" customHeight="1">
      <c r="A2249" t="s">
        <v>68</v>
      </c>
      <c r="B2249">
        <v>74</v>
      </c>
      <c r="C2249" t="s">
        <v>69</v>
      </c>
      <c r="D2249">
        <v>81</v>
      </c>
      <c r="E2249" t="s">
        <v>1051</v>
      </c>
      <c r="F2249" t="s">
        <v>5324</v>
      </c>
      <c r="G2249" t="str">
        <f>MCR_Assessment!A81</f>
        <v>MCR-Q3</v>
      </c>
      <c r="H2249" t="str">
        <f>MCR_Assessment!B81</f>
        <v>What is the approved MCR activation sequence and required VA/OIT hold points?</v>
      </c>
      <c r="I2249" t="str">
        <f>MCR_Assessment!C81</f>
        <v>VA / OIT / COR</v>
      </c>
      <c r="J2249" t="str">
        <f>MCR_Assessment!D81</f>
        <v>Closed</v>
      </c>
      <c r="K2249">
        <f>MCR_Assessment!E81</f>
        <v>0</v>
      </c>
      <c r="L2249">
        <f>MCR_Assessment!F81</f>
        <v>0</v>
      </c>
      <c r="M2249" t="str">
        <f>MCR_Assessment!G81</f>
        <v>Schedule/cutover impact</v>
      </c>
      <c r="N2249">
        <f>MCR_Assessment!H81</f>
        <v>0</v>
      </c>
      <c r="O2249">
        <f>MCR_Assessment!I81</f>
        <v>0</v>
      </c>
      <c r="P2249" t="str">
        <f>MCR_Assessment!J81</f>
        <v>General phasing notes mention 3-6 month MCR activation and split core operation.</v>
      </c>
      <c r="Q2249" t="str">
        <f t="shared" si="35"/>
        <v>MCR|74</v>
      </c>
    </row>
    <row r="2250" spans="1:17" ht="6.45" customHeight="1">
      <c r="A2250" t="s">
        <v>68</v>
      </c>
      <c r="B2250">
        <v>75</v>
      </c>
      <c r="C2250" t="s">
        <v>69</v>
      </c>
      <c r="D2250">
        <v>82</v>
      </c>
      <c r="E2250" t="s">
        <v>1051</v>
      </c>
      <c r="F2250" t="s">
        <v>5324</v>
      </c>
      <c r="G2250" t="str">
        <f>MCR_Assessment!A82</f>
        <v>MCR-Q4</v>
      </c>
      <c r="H2250" t="str">
        <f>MCR_Assessment!B82</f>
        <v>Are UPS-A/B, generator/ATS and emergency power paths commissioned and mapped to each rack/PDU?</v>
      </c>
      <c r="I2250" t="str">
        <f>MCR_Assessment!C82</f>
        <v>Electrical / Cx</v>
      </c>
      <c r="J2250" t="str">
        <f>MCR_Assessment!D82</f>
        <v>Closed</v>
      </c>
      <c r="K2250">
        <f>MCR_Assessment!E82</f>
        <v>0</v>
      </c>
      <c r="L2250">
        <f>MCR_Assessment!F82</f>
        <v>0</v>
      </c>
      <c r="M2250" t="str">
        <f>MCR_Assessment!G82</f>
        <v>Electrical readiness unknown</v>
      </c>
      <c r="N2250">
        <f>MCR_Assessment!H82</f>
        <v>0</v>
      </c>
      <c r="O2250">
        <f>MCR_Assessment!I82</f>
        <v>0</v>
      </c>
      <c r="P2250">
        <f>MCR_Assessment!J82</f>
        <v>0</v>
      </c>
      <c r="Q2250" t="str">
        <f t="shared" si="35"/>
        <v>MCR|75</v>
      </c>
    </row>
    <row r="2251" spans="1:17" ht="6.45" customHeight="1">
      <c r="A2251" t="s">
        <v>68</v>
      </c>
      <c r="B2251">
        <v>76</v>
      </c>
      <c r="C2251" t="s">
        <v>69</v>
      </c>
      <c r="D2251">
        <v>83</v>
      </c>
      <c r="E2251" t="s">
        <v>1051</v>
      </c>
      <c r="F2251" t="s">
        <v>5324</v>
      </c>
      <c r="G2251" t="str">
        <f>MCR_Assessment!A83</f>
        <v>MCR-Q5</v>
      </c>
      <c r="H2251" t="str">
        <f>MCR_Assessment!B83</f>
        <v>Are CRAC units fully commissioned with BMS/FMS alarms, redundancy and emergency power?</v>
      </c>
      <c r="I2251" t="str">
        <f>MCR_Assessment!C83</f>
        <v>Mechanical / Cx</v>
      </c>
      <c r="J2251" t="str">
        <f>MCR_Assessment!D83</f>
        <v>Closed</v>
      </c>
      <c r="K2251">
        <f>MCR_Assessment!E83</f>
        <v>0</v>
      </c>
      <c r="L2251">
        <f>MCR_Assessment!F83</f>
        <v>0</v>
      </c>
      <c r="M2251" t="str">
        <f>MCR_Assessment!G83</f>
        <v>Cooling continuity risk</v>
      </c>
      <c r="N2251">
        <f>MCR_Assessment!H83</f>
        <v>0</v>
      </c>
      <c r="O2251">
        <f>MCR_Assessment!I83</f>
        <v>0</v>
      </c>
      <c r="P2251">
        <f>MCR_Assessment!J83</f>
        <v>0</v>
      </c>
      <c r="Q2251" t="str">
        <f t="shared" si="35"/>
        <v>MCR|76</v>
      </c>
    </row>
    <row r="2252" spans="1:17" ht="6.45" customHeight="1">
      <c r="A2252" t="s">
        <v>68</v>
      </c>
      <c r="B2252">
        <v>77</v>
      </c>
      <c r="C2252" t="s">
        <v>69</v>
      </c>
      <c r="D2252">
        <v>84</v>
      </c>
      <c r="E2252" t="s">
        <v>1051</v>
      </c>
      <c r="F2252" t="s">
        <v>5324</v>
      </c>
      <c r="G2252" t="str">
        <f>MCR_Assessment!A84</f>
        <v>MCR-Q6</v>
      </c>
      <c r="H2252" t="str">
        <f>MCR_Assessment!B84</f>
        <v>Are clean-agent/preaction/fire alarm systems fully designed, tested and accepted?</v>
      </c>
      <c r="I2252" t="str">
        <f>MCR_Assessment!C84</f>
        <v>FP / FA / AHJ</v>
      </c>
      <c r="J2252" t="str">
        <f>MCR_Assessment!D84</f>
        <v>Closed</v>
      </c>
      <c r="K2252">
        <f>MCR_Assessment!E84</f>
        <v>0</v>
      </c>
      <c r="L2252">
        <f>MCR_Assessment!F84</f>
        <v>0</v>
      </c>
      <c r="M2252" t="str">
        <f>MCR_Assessment!G84</f>
        <v>Life-safety acceptance risk</v>
      </c>
      <c r="N2252">
        <f>MCR_Assessment!H84</f>
        <v>0</v>
      </c>
      <c r="O2252">
        <f>MCR_Assessment!I84</f>
        <v>0</v>
      </c>
      <c r="P2252">
        <f>MCR_Assessment!J84</f>
        <v>0</v>
      </c>
      <c r="Q2252" t="str">
        <f t="shared" si="35"/>
        <v>MCR|77</v>
      </c>
    </row>
    <row r="2253" spans="1:17" ht="6.45" customHeight="1">
      <c r="A2253" t="s">
        <v>68</v>
      </c>
      <c r="B2253">
        <v>78</v>
      </c>
      <c r="C2253" t="s">
        <v>69</v>
      </c>
      <c r="D2253">
        <v>85</v>
      </c>
      <c r="E2253" t="s">
        <v>1051</v>
      </c>
      <c r="F2253" t="s">
        <v>5324</v>
      </c>
      <c r="G2253" t="str">
        <f>MCR_Assessment!A85</f>
        <v>MCR-Q7</v>
      </c>
      <c r="H2253" t="str">
        <f>MCR_Assessment!B85</f>
        <v>Are redundant Path A/B fiber routes geographically diverse, tested, labeled and accepted?</v>
      </c>
      <c r="I2253" t="str">
        <f>MCR_Assessment!C85</f>
        <v>Telecom / OIT</v>
      </c>
      <c r="J2253" t="str">
        <f>MCR_Assessment!D85</f>
        <v>Closed</v>
      </c>
      <c r="K2253">
        <f>MCR_Assessment!E85</f>
        <v>0</v>
      </c>
      <c r="L2253">
        <f>MCR_Assessment!F85</f>
        <v>0</v>
      </c>
      <c r="M2253" t="str">
        <f>MCR_Assessment!G85</f>
        <v>Backbone redundancy risk</v>
      </c>
      <c r="N2253">
        <f>MCR_Assessment!H85</f>
        <v>0</v>
      </c>
      <c r="O2253">
        <f>MCR_Assessment!I85</f>
        <v>0</v>
      </c>
      <c r="P2253">
        <f>MCR_Assessment!J85</f>
        <v>0</v>
      </c>
      <c r="Q2253" t="str">
        <f t="shared" si="35"/>
        <v>MCR|78</v>
      </c>
    </row>
    <row r="2254" spans="1:17" ht="6.45" customHeight="1">
      <c r="A2254" t="s">
        <v>68</v>
      </c>
      <c r="B2254">
        <v>79</v>
      </c>
      <c r="C2254" t="s">
        <v>69</v>
      </c>
      <c r="D2254">
        <v>86</v>
      </c>
      <c r="E2254" t="s">
        <v>1051</v>
      </c>
      <c r="F2254" t="s">
        <v>5324</v>
      </c>
      <c r="G2254" t="str">
        <f>MCR_Assessment!A86</f>
        <v>MCR-Q8</v>
      </c>
      <c r="H2254" t="str">
        <f>MCR_Assessment!B86</f>
        <v>Which third-party inspections, commissioning reports and OIT validation records are required before turnover/activation?</v>
      </c>
      <c r="I2254" t="str">
        <f>MCR_Assessment!C86</f>
        <v>GC / Cx Manager / OIT</v>
      </c>
      <c r="J2254" t="str">
        <f>MCR_Assessment!D86</f>
        <v>Closed</v>
      </c>
      <c r="K2254">
        <f>MCR_Assessment!E86</f>
        <v>0</v>
      </c>
      <c r="L2254">
        <f>MCR_Assessment!F86</f>
        <v>0</v>
      </c>
      <c r="M2254" t="str">
        <f>MCR_Assessment!G86</f>
        <v>Turnover package gap</v>
      </c>
      <c r="N2254">
        <f>MCR_Assessment!H86</f>
        <v>0</v>
      </c>
      <c r="O2254">
        <f>MCR_Assessment!I86</f>
        <v>0</v>
      </c>
      <c r="P2254">
        <f>MCR_Assessment!J86</f>
        <v>0</v>
      </c>
      <c r="Q2254" t="str">
        <f t="shared" si="35"/>
        <v>MCR|79</v>
      </c>
    </row>
    <row r="2255" spans="1:17" ht="6.45" customHeight="1">
      <c r="A2255" t="s">
        <v>68</v>
      </c>
      <c r="B2255">
        <v>80</v>
      </c>
      <c r="C2255" t="s">
        <v>69</v>
      </c>
      <c r="D2255">
        <v>87</v>
      </c>
      <c r="E2255" t="s">
        <v>1051</v>
      </c>
      <c r="F2255" t="s">
        <v>5325</v>
      </c>
      <c r="G2255">
        <f>MCR_Assessment!A87</f>
        <v>0</v>
      </c>
      <c r="H2255">
        <f>MCR_Assessment!B87</f>
        <v>0</v>
      </c>
      <c r="I2255">
        <f>MCR_Assessment!C87</f>
        <v>0</v>
      </c>
      <c r="J2255">
        <f>MCR_Assessment!D87</f>
        <v>0</v>
      </c>
      <c r="K2255">
        <f>MCR_Assessment!E87</f>
        <v>0</v>
      </c>
      <c r="L2255">
        <f>MCR_Assessment!F87</f>
        <v>0</v>
      </c>
      <c r="M2255">
        <f>MCR_Assessment!G87</f>
        <v>0</v>
      </c>
      <c r="N2255">
        <f>MCR_Assessment!H87</f>
        <v>0</v>
      </c>
      <c r="O2255">
        <f>MCR_Assessment!I87</f>
        <v>0</v>
      </c>
      <c r="P2255">
        <f>MCR_Assessment!J87</f>
        <v>0</v>
      </c>
      <c r="Q2255" t="str">
        <f t="shared" si="35"/>
        <v>MCR|80</v>
      </c>
    </row>
    <row r="2256" spans="1:17" ht="6.45" customHeight="1">
      <c r="A2256" t="s">
        <v>68</v>
      </c>
      <c r="B2256">
        <v>81</v>
      </c>
      <c r="C2256" t="s">
        <v>69</v>
      </c>
      <c r="D2256">
        <v>88</v>
      </c>
      <c r="E2256" t="s">
        <v>1052</v>
      </c>
      <c r="F2256" t="s">
        <v>5322</v>
      </c>
      <c r="G2256" t="str">
        <f>MCR_Assessment!A88</f>
        <v>10. PHOTO LOG</v>
      </c>
      <c r="H2256">
        <f>MCR_Assessment!B88</f>
        <v>0</v>
      </c>
      <c r="I2256">
        <f>MCR_Assessment!C88</f>
        <v>0</v>
      </c>
      <c r="J2256">
        <f>MCR_Assessment!D88</f>
        <v>0</v>
      </c>
      <c r="K2256">
        <f>MCR_Assessment!E88</f>
        <v>0</v>
      </c>
      <c r="L2256">
        <f>MCR_Assessment!F88</f>
        <v>0</v>
      </c>
      <c r="M2256">
        <f>MCR_Assessment!G88</f>
        <v>0</v>
      </c>
      <c r="N2256">
        <f>MCR_Assessment!H88</f>
        <v>0</v>
      </c>
      <c r="O2256">
        <f>MCR_Assessment!I88</f>
        <v>0</v>
      </c>
      <c r="P2256">
        <f>MCR_Assessment!J88</f>
        <v>0</v>
      </c>
      <c r="Q2256" t="str">
        <f t="shared" si="35"/>
        <v>MCR|81</v>
      </c>
    </row>
    <row r="2257" spans="1:17" ht="6.45" customHeight="1">
      <c r="A2257" t="s">
        <v>68</v>
      </c>
      <c r="B2257">
        <v>82</v>
      </c>
      <c r="C2257" t="s">
        <v>69</v>
      </c>
      <c r="D2257">
        <v>89</v>
      </c>
      <c r="E2257" t="s">
        <v>1052</v>
      </c>
      <c r="F2257" t="s">
        <v>5323</v>
      </c>
      <c r="G2257" t="str">
        <f>MCR_Assessment!A89</f>
        <v>Photo ID</v>
      </c>
      <c r="H2257" t="str">
        <f>MCR_Assessment!B89</f>
        <v>Room</v>
      </c>
      <c r="I2257" t="str">
        <f>MCR_Assessment!C89</f>
        <v>Category</v>
      </c>
      <c r="J2257" t="str">
        <f>MCR_Assessment!D89</f>
        <v>Description</v>
      </c>
      <c r="K2257" t="str">
        <f>MCR_Assessment!E89</f>
        <v>Date</v>
      </c>
      <c r="L2257" t="str">
        <f>MCR_Assessment!F89</f>
        <v>Taken By</v>
      </c>
      <c r="M2257" t="str">
        <f>MCR_Assessment!G89</f>
        <v>File / Link</v>
      </c>
      <c r="N2257" t="str">
        <f>MCR_Assessment!H89</f>
        <v>Related Risk</v>
      </c>
      <c r="O2257" t="str">
        <f>MCR_Assessment!I89</f>
        <v>Status</v>
      </c>
      <c r="P2257" t="str">
        <f>MCR_Assessment!J89</f>
        <v>Notes</v>
      </c>
      <c r="Q2257" t="str">
        <f t="shared" si="35"/>
        <v>MCR|82</v>
      </c>
    </row>
    <row r="2258" spans="1:17" ht="6.45" customHeight="1">
      <c r="A2258" t="s">
        <v>68</v>
      </c>
      <c r="B2258">
        <v>83</v>
      </c>
      <c r="C2258" t="s">
        <v>69</v>
      </c>
      <c r="D2258">
        <v>90</v>
      </c>
      <c r="E2258" t="s">
        <v>1052</v>
      </c>
      <c r="F2258" t="s">
        <v>5324</v>
      </c>
      <c r="G2258" t="str">
        <f>MCR_Assessment!A90</f>
        <v>MCR-P001</v>
      </c>
      <c r="H2258" t="str">
        <f>MCR_Assessment!B90</f>
        <v>MCR 107</v>
      </c>
      <c r="I2258" t="str">
        <f>MCR_Assessment!C90</f>
        <v>Existing / New Condition</v>
      </c>
      <c r="J2258" t="str">
        <f>MCR_Assessment!D90</f>
        <v>Full room envelope, doors, rated walls, ceiling/roof, floors, row layout, UPS-A/B, MDA/HDA, access points and cameras</v>
      </c>
      <c r="K2258">
        <f>MCR_Assessment!E90</f>
        <v>0</v>
      </c>
      <c r="L2258" t="str">
        <f>MCR_Assessment!F90</f>
        <v>Paul</v>
      </c>
      <c r="M2258">
        <f>MCR_Assessment!G90</f>
        <v>0</v>
      </c>
      <c r="N2258" t="str">
        <f>MCR_Assessment!H90</f>
        <v>MCR-R1/MCR-R6</v>
      </c>
      <c r="O2258" t="str">
        <f>MCR_Assessment!I90</f>
        <v>Closed</v>
      </c>
      <c r="P2258">
        <f>MCR_Assessment!J90</f>
        <v>0</v>
      </c>
      <c r="Q2258" t="str">
        <f t="shared" si="35"/>
        <v>MCR|83</v>
      </c>
    </row>
    <row r="2259" spans="1:17" ht="6.45" customHeight="1">
      <c r="A2259" t="s">
        <v>68</v>
      </c>
      <c r="B2259">
        <v>84</v>
      </c>
      <c r="C2259" t="s">
        <v>69</v>
      </c>
      <c r="D2259">
        <v>91</v>
      </c>
      <c r="E2259" t="s">
        <v>1052</v>
      </c>
      <c r="F2259" t="s">
        <v>5324</v>
      </c>
      <c r="G2259" t="str">
        <f>MCR_Assessment!A91</f>
        <v>MCR-P002</v>
      </c>
      <c r="H2259" t="str">
        <f>MCR_Assessment!B91</f>
        <v>031</v>
      </c>
      <c r="I2259" t="str">
        <f>MCR_Assessment!C91</f>
        <v>Fiber Entrance</v>
      </c>
      <c r="J2259" t="str">
        <f>MCR_Assessment!D91</f>
        <v>Fiber Entrance Room 1, outlet locations 31-A/B/C/D, rack/cabinet location, sleeve/firestop and service entrance pathways</v>
      </c>
      <c r="K2259">
        <f>MCR_Assessment!E91</f>
        <v>0</v>
      </c>
      <c r="L2259" t="str">
        <f>MCR_Assessment!F91</f>
        <v>Paul</v>
      </c>
      <c r="M2259">
        <f>MCR_Assessment!G91</f>
        <v>0</v>
      </c>
      <c r="N2259" t="str">
        <f>MCR_Assessment!H91</f>
        <v>MCR-R3</v>
      </c>
      <c r="O2259" t="str">
        <f>MCR_Assessment!I91</f>
        <v>Closed</v>
      </c>
      <c r="P2259">
        <f>MCR_Assessment!J91</f>
        <v>0</v>
      </c>
      <c r="Q2259" t="str">
        <f t="shared" si="35"/>
        <v>MCR|84</v>
      </c>
    </row>
    <row r="2260" spans="1:17" ht="6.45" customHeight="1">
      <c r="A2260" t="s">
        <v>68</v>
      </c>
      <c r="B2260">
        <v>85</v>
      </c>
      <c r="C2260" t="s">
        <v>69</v>
      </c>
      <c r="D2260">
        <v>92</v>
      </c>
      <c r="E2260" t="s">
        <v>1052</v>
      </c>
      <c r="F2260" t="s">
        <v>5324</v>
      </c>
      <c r="G2260" t="str">
        <f>MCR_Assessment!A92</f>
        <v>MCR-P003</v>
      </c>
      <c r="H2260" t="str">
        <f>MCR_Assessment!B92</f>
        <v>MDA-A/B</v>
      </c>
      <c r="I2260" t="str">
        <f>MCR_Assessment!C92</f>
        <v>Rack / Fiber</v>
      </c>
      <c r="J2260" t="str">
        <f>MCR_Assessment!D92</f>
        <v>MDA-A1/A2/A3 and MDA-B1/B2/B3 rack fronts/rears, LIUs, hybrid FOC, Cat6A to HDA, grounding and cable management</v>
      </c>
      <c r="K2260">
        <f>MCR_Assessment!E92</f>
        <v>0</v>
      </c>
      <c r="L2260" t="str">
        <f>MCR_Assessment!F92</f>
        <v>Paul</v>
      </c>
      <c r="M2260">
        <f>MCR_Assessment!G92</f>
        <v>0</v>
      </c>
      <c r="N2260" t="str">
        <f>MCR_Assessment!H92</f>
        <v>MCR-R3/MCR-R4</v>
      </c>
      <c r="O2260" t="str">
        <f>MCR_Assessment!I92</f>
        <v>Closed</v>
      </c>
      <c r="P2260">
        <f>MCR_Assessment!J92</f>
        <v>0</v>
      </c>
      <c r="Q2260" t="str">
        <f t="shared" si="35"/>
        <v>MCR|85</v>
      </c>
    </row>
    <row r="2261" spans="1:17" ht="6.45" customHeight="1">
      <c r="A2261" t="s">
        <v>68</v>
      </c>
      <c r="B2261">
        <v>86</v>
      </c>
      <c r="C2261" t="s">
        <v>69</v>
      </c>
      <c r="D2261">
        <v>93</v>
      </c>
      <c r="E2261" t="s">
        <v>1052</v>
      </c>
      <c r="F2261" t="s">
        <v>5324</v>
      </c>
      <c r="G2261" t="str">
        <f>MCR_Assessment!A93</f>
        <v>MCR-P004</v>
      </c>
      <c r="H2261" t="str">
        <f>MCR_Assessment!B93</f>
        <v>HDA-A/B</v>
      </c>
      <c r="I2261" t="str">
        <f>MCR_Assessment!C93</f>
        <v>Rack / Server Cabinets</v>
      </c>
      <c r="J2261" t="str">
        <f>MCR_Assessment!D93</f>
        <v>HDA-A1/HDA-B1 front/rear, patch panels, HD LIUs, cabinet blanking panels, server cabinet airflow and labels</v>
      </c>
      <c r="K2261">
        <f>MCR_Assessment!E93</f>
        <v>0</v>
      </c>
      <c r="L2261" t="str">
        <f>MCR_Assessment!F93</f>
        <v>Paul</v>
      </c>
      <c r="M2261">
        <f>MCR_Assessment!G93</f>
        <v>0</v>
      </c>
      <c r="N2261" t="str">
        <f>MCR_Assessment!H93</f>
        <v>MCR-R3/MCR-R5</v>
      </c>
      <c r="O2261" t="str">
        <f>MCR_Assessment!I93</f>
        <v>Closed</v>
      </c>
      <c r="P2261">
        <f>MCR_Assessment!J93</f>
        <v>0</v>
      </c>
      <c r="Q2261" t="str">
        <f t="shared" si="35"/>
        <v>MCR|86</v>
      </c>
    </row>
    <row r="2262" spans="1:17" ht="6.45" customHeight="1">
      <c r="A2262" t="s">
        <v>68</v>
      </c>
      <c r="B2262">
        <v>87</v>
      </c>
      <c r="C2262" t="s">
        <v>69</v>
      </c>
      <c r="D2262">
        <v>94</v>
      </c>
      <c r="E2262" t="s">
        <v>1052</v>
      </c>
      <c r="F2262" t="s">
        <v>5324</v>
      </c>
      <c r="G2262" t="str">
        <f>MCR_Assessment!A94</f>
        <v>MCR-P005</v>
      </c>
      <c r="H2262" t="str">
        <f>MCR_Assessment!B94</f>
        <v>Existing 107/137</v>
      </c>
      <c r="I2262" t="str">
        <f>MCR_Assessment!C94</f>
        <v>Existing Equipment</v>
      </c>
      <c r="J2262" t="str">
        <f>MCR_Assessment!D94</f>
        <v>Existing rows 1-3 and B61 server cabinet transfer equipment, Cisco core, WAN aggregation, NetScout, Canoga, Ortronics, LIUs, UPS/PDU labels</v>
      </c>
      <c r="K2262">
        <f>MCR_Assessment!E94</f>
        <v>0</v>
      </c>
      <c r="L2262" t="str">
        <f>MCR_Assessment!F94</f>
        <v>Paul</v>
      </c>
      <c r="M2262">
        <f>MCR_Assessment!G94</f>
        <v>0</v>
      </c>
      <c r="N2262" t="str">
        <f>MCR_Assessment!H94</f>
        <v>MCR-R2</v>
      </c>
      <c r="O2262" t="str">
        <f>MCR_Assessment!I94</f>
        <v>Closed</v>
      </c>
      <c r="P2262">
        <f>MCR_Assessment!J94</f>
        <v>0</v>
      </c>
      <c r="Q2262" t="str">
        <f t="shared" si="35"/>
        <v>MCR|87</v>
      </c>
    </row>
    <row r="2263" spans="1:17" ht="6.45" customHeight="1">
      <c r="A2263" t="s">
        <v>68</v>
      </c>
      <c r="B2263">
        <v>88</v>
      </c>
      <c r="C2263" t="s">
        <v>69</v>
      </c>
      <c r="D2263">
        <v>95</v>
      </c>
      <c r="E2263" t="s">
        <v>1052</v>
      </c>
      <c r="F2263" t="s">
        <v>5324</v>
      </c>
      <c r="G2263" t="str">
        <f>MCR_Assessment!A95</f>
        <v>MCR-P006</v>
      </c>
      <c r="H2263" t="str">
        <f>MCR_Assessment!B95</f>
        <v>MCR / Electrical</v>
      </c>
      <c r="I2263" t="str">
        <f>MCR_Assessment!C95</f>
        <v>Electrical / UPS</v>
      </c>
      <c r="J2263" t="str">
        <f>MCR_Assessment!D95</f>
        <v>UPS-A/B, switchboards, panels, ATS, generator tie, PDUs, rack receptacles, grounding, SPDs and load measurement labels</v>
      </c>
      <c r="K2263">
        <f>MCR_Assessment!E95</f>
        <v>0</v>
      </c>
      <c r="L2263" t="str">
        <f>MCR_Assessment!F95</f>
        <v>Paul</v>
      </c>
      <c r="M2263">
        <f>MCR_Assessment!G95</f>
        <v>0</v>
      </c>
      <c r="N2263" t="str">
        <f>MCR_Assessment!H95</f>
        <v>MCR-R4</v>
      </c>
      <c r="O2263" t="str">
        <f>MCR_Assessment!I95</f>
        <v>Closed</v>
      </c>
      <c r="P2263">
        <f>MCR_Assessment!J95</f>
        <v>0</v>
      </c>
      <c r="Q2263" t="str">
        <f t="shared" si="35"/>
        <v>MCR|88</v>
      </c>
    </row>
    <row r="2264" spans="1:17" ht="6.45" customHeight="1">
      <c r="A2264" t="s">
        <v>68</v>
      </c>
      <c r="B2264">
        <v>89</v>
      </c>
      <c r="C2264" t="s">
        <v>69</v>
      </c>
      <c r="D2264">
        <v>96</v>
      </c>
      <c r="E2264" t="s">
        <v>1052</v>
      </c>
      <c r="F2264" t="s">
        <v>5324</v>
      </c>
      <c r="G2264" t="str">
        <f>MCR_Assessment!A96</f>
        <v>MCR-P007</v>
      </c>
      <c r="H2264" t="str">
        <f>MCR_Assessment!B96</f>
        <v>MCR / Mechanical</v>
      </c>
      <c r="I2264" t="str">
        <f>MCR_Assessment!C96</f>
        <v>HVAC / Controls</v>
      </c>
      <c r="J2264" t="str">
        <f>MCR_Assessment!D96</f>
        <v>CRAC units, condensate, controls/BACnet/BMS/FMS points, alarms, environmental monitoring and emergency power source</v>
      </c>
      <c r="K2264">
        <f>MCR_Assessment!E96</f>
        <v>0</v>
      </c>
      <c r="L2264" t="str">
        <f>MCR_Assessment!F96</f>
        <v>Paul</v>
      </c>
      <c r="M2264">
        <f>MCR_Assessment!G96</f>
        <v>0</v>
      </c>
      <c r="N2264" t="str">
        <f>MCR_Assessment!H96</f>
        <v>MCR-R5</v>
      </c>
      <c r="O2264" t="str">
        <f>MCR_Assessment!I96</f>
        <v>Closed</v>
      </c>
      <c r="P2264">
        <f>MCR_Assessment!J96</f>
        <v>0</v>
      </c>
      <c r="Q2264" t="str">
        <f t="shared" si="35"/>
        <v>MCR|89</v>
      </c>
    </row>
    <row r="2265" spans="1:17" ht="6.45" customHeight="1">
      <c r="A2265" t="s">
        <v>68</v>
      </c>
      <c r="B2265">
        <v>90</v>
      </c>
      <c r="C2265" t="s">
        <v>69</v>
      </c>
      <c r="D2265">
        <v>97</v>
      </c>
      <c r="E2265" t="s">
        <v>1052</v>
      </c>
      <c r="F2265" t="s">
        <v>5324</v>
      </c>
      <c r="G2265" t="str">
        <f>MCR_Assessment!A97</f>
        <v>MCR-P008</v>
      </c>
      <c r="H2265" t="str">
        <f>MCR_Assessment!B97</f>
        <v>MCR / Life Safety</v>
      </c>
      <c r="I2265" t="str">
        <f>MCR_Assessment!C97</f>
        <v>Fire / Security</v>
      </c>
      <c r="J2265" t="str">
        <f>MCR_Assessment!D97</f>
        <v>Clean-agent cylinders/piping/nozzles, preaction/sprinkler, fire alarm, release/abort devices, cameras 07-CAM series, PACS/controller and door hardware</v>
      </c>
      <c r="K2265">
        <f>MCR_Assessment!E97</f>
        <v>0</v>
      </c>
      <c r="L2265" t="str">
        <f>MCR_Assessment!F97</f>
        <v>Paul</v>
      </c>
      <c r="M2265">
        <f>MCR_Assessment!G97</f>
        <v>0</v>
      </c>
      <c r="N2265" t="str">
        <f>MCR_Assessment!H97</f>
        <v>MCR-R6/MCR-R8</v>
      </c>
      <c r="O2265" t="str">
        <f>MCR_Assessment!I97</f>
        <v>Closed</v>
      </c>
      <c r="P2265">
        <f>MCR_Assessment!J97</f>
        <v>0</v>
      </c>
      <c r="Q2265" t="str">
        <f t="shared" si="35"/>
        <v>MCR|90</v>
      </c>
    </row>
    <row r="2266" spans="1:17" ht="6.45" customHeight="1">
      <c r="A2266" t="s">
        <v>68</v>
      </c>
      <c r="B2266">
        <v>91</v>
      </c>
      <c r="C2266" t="s">
        <v>69</v>
      </c>
      <c r="D2266">
        <v>98</v>
      </c>
      <c r="E2266" t="s">
        <v>1052</v>
      </c>
      <c r="F2266" t="s">
        <v>5325</v>
      </c>
      <c r="G2266">
        <f>MCR_Assessment!A98</f>
        <v>0</v>
      </c>
      <c r="H2266">
        <f>MCR_Assessment!B98</f>
        <v>0</v>
      </c>
      <c r="I2266">
        <f>MCR_Assessment!C98</f>
        <v>0</v>
      </c>
      <c r="J2266">
        <f>MCR_Assessment!D98</f>
        <v>0</v>
      </c>
      <c r="K2266">
        <f>MCR_Assessment!E98</f>
        <v>0</v>
      </c>
      <c r="L2266">
        <f>MCR_Assessment!F98</f>
        <v>0</v>
      </c>
      <c r="M2266">
        <f>MCR_Assessment!G98</f>
        <v>0</v>
      </c>
      <c r="N2266">
        <f>MCR_Assessment!H98</f>
        <v>0</v>
      </c>
      <c r="O2266">
        <f>MCR_Assessment!I98</f>
        <v>0</v>
      </c>
      <c r="P2266">
        <f>MCR_Assessment!J98</f>
        <v>0</v>
      </c>
      <c r="Q2266" t="str">
        <f t="shared" si="35"/>
        <v>MCR|91</v>
      </c>
    </row>
    <row r="2267" spans="1:17" ht="6.45" customHeight="1">
      <c r="A2267" t="s">
        <v>70</v>
      </c>
      <c r="B2267">
        <v>1</v>
      </c>
      <c r="C2267" t="s">
        <v>71</v>
      </c>
      <c r="D2267">
        <v>8</v>
      </c>
      <c r="E2267" t="s">
        <v>4200</v>
      </c>
      <c r="F2267" t="s">
        <v>5322</v>
      </c>
      <c r="G2267" t="str">
        <f>SITE_Assesment!A8</f>
        <v>1. SITE ROUTE INVENTORY</v>
      </c>
      <c r="H2267">
        <f>SITE_Assesment!B8</f>
        <v>0</v>
      </c>
      <c r="I2267">
        <f>SITE_Assesment!C8</f>
        <v>0</v>
      </c>
      <c r="J2267">
        <f>SITE_Assesment!D8</f>
        <v>0</v>
      </c>
      <c r="K2267">
        <f>SITE_Assesment!E8</f>
        <v>0</v>
      </c>
      <c r="L2267">
        <f>SITE_Assesment!F8</f>
        <v>0</v>
      </c>
      <c r="M2267">
        <f>SITE_Assesment!G8</f>
        <v>0</v>
      </c>
      <c r="N2267">
        <f>SITE_Assesment!H8</f>
        <v>0</v>
      </c>
      <c r="O2267">
        <f>SITE_Assesment!I8</f>
        <v>0</v>
      </c>
      <c r="P2267">
        <f>SITE_Assesment!J8</f>
        <v>0</v>
      </c>
      <c r="Q2267" t="str">
        <f t="shared" si="35"/>
        <v>SITE|1</v>
      </c>
    </row>
    <row r="2268" spans="1:17" ht="6.45" customHeight="1">
      <c r="A2268" t="s">
        <v>70</v>
      </c>
      <c r="B2268">
        <v>2</v>
      </c>
      <c r="C2268" t="s">
        <v>71</v>
      </c>
      <c r="D2268">
        <v>9</v>
      </c>
      <c r="E2268" t="s">
        <v>4200</v>
      </c>
      <c r="F2268" t="s">
        <v>5323</v>
      </c>
      <c r="G2268" t="str">
        <f>SITE_Assesment!A9</f>
        <v>Area / Segment</v>
      </c>
      <c r="H2268" t="str">
        <f>SITE_Assesment!B9</f>
        <v>Buildings / Nodes</v>
      </c>
      <c r="I2268" t="str">
        <f>SITE_Assesment!C9</f>
        <v>Path</v>
      </c>
      <c r="J2268" t="str">
        <f>SITE_Assesment!D9</f>
        <v>Primary Scope</v>
      </c>
      <c r="K2268" t="str">
        <f>SITE_Assesment!E9</f>
        <v>Handholes / Structures</v>
      </c>
      <c r="L2268" t="str">
        <f>SITE_Assesment!F9</f>
        <v>Conduit / Ductbank</v>
      </c>
      <c r="M2268" t="str">
        <f>SITE_Assesment!G9</f>
        <v>Status</v>
      </c>
      <c r="N2268" t="str">
        <f>SITE_Assesment!H9</f>
        <v>Drawing Ref</v>
      </c>
      <c r="O2268" t="str">
        <f>SITE_Assesment!I9</f>
        <v>Station / Length</v>
      </c>
      <c r="P2268" t="str">
        <f>SITE_Assesment!J9</f>
        <v>Notes</v>
      </c>
      <c r="Q2268" t="str">
        <f t="shared" si="35"/>
        <v>SITE|2</v>
      </c>
    </row>
    <row r="2269" spans="1:17" ht="6.45" customHeight="1">
      <c r="A2269" t="s">
        <v>70</v>
      </c>
      <c r="B2269">
        <v>3</v>
      </c>
      <c r="C2269" t="s">
        <v>71</v>
      </c>
      <c r="D2269">
        <v>10</v>
      </c>
      <c r="E2269" t="s">
        <v>4200</v>
      </c>
      <c r="F2269" t="s">
        <v>5324</v>
      </c>
      <c r="G2269" t="str">
        <f>SITE_Assesment!A10</f>
        <v>Overall Site</v>
      </c>
      <c r="H2269" t="str">
        <f>SITE_Assesment!B10</f>
        <v>Campus-wide / MCR / all EHRM buildings</v>
      </c>
      <c r="I2269" t="str">
        <f>SITE_Assesment!C10</f>
        <v>Path A &amp; B</v>
      </c>
      <c r="J2269" t="str">
        <f>SITE_Assesment!D10</f>
        <v>Redundant site fiber backbone</v>
      </c>
      <c r="K2269" t="str">
        <f>SITE_Assesment!E10</f>
        <v>THH #1-#19, communication manholes, concrete pullboxes</v>
      </c>
      <c r="L2269" t="str">
        <f>SITE_Assesment!F10</f>
        <v>4-inch PVC conduit in concrete ductbank; direct-bury communication conduit where noted</v>
      </c>
      <c r="M2269" t="str">
        <f>SITE_Assesment!G10</f>
        <v>Verify</v>
      </c>
      <c r="N2269" t="str">
        <f>SITE_Assesment!H10</f>
        <v>TS100 / T-601 / G-000</v>
      </c>
      <c r="O2269" t="str">
        <f>SITE_Assesment!I10</f>
        <v>Campus wide</v>
      </c>
      <c r="P2269" t="str">
        <f>SITE_Assesment!J10</f>
        <v>New site fiber conduit must be concrete encased. Base bid is trenching with concrete ductbank and hand digging at existing utility crossings; directional boring requires Government approval.</v>
      </c>
      <c r="Q2269" t="str">
        <f t="shared" si="35"/>
        <v>SITE|3</v>
      </c>
    </row>
    <row r="2270" spans="1:17" ht="6.45" customHeight="1">
      <c r="A2270" t="s">
        <v>70</v>
      </c>
      <c r="B2270">
        <v>4</v>
      </c>
      <c r="C2270" t="s">
        <v>71</v>
      </c>
      <c r="D2270">
        <v>11</v>
      </c>
      <c r="E2270" t="s">
        <v>4200</v>
      </c>
      <c r="F2270" t="s">
        <v>5324</v>
      </c>
      <c r="G2270" t="str">
        <f>SITE_Assesment!A11</f>
        <v>B12 to B16</v>
      </c>
      <c r="H2270" t="str">
        <f>SITE_Assesment!B11</f>
        <v>B12 / B16</v>
      </c>
      <c r="I2270" t="str">
        <f>SITE_Assesment!C11</f>
        <v>Path A &amp; B</v>
      </c>
      <c r="J2270" t="str">
        <f>SITE_Assesment!D11</f>
        <v>Telecom plan and profile</v>
      </c>
      <c r="K2270" t="str">
        <f>SITE_Assesment!E11</f>
        <v>THH #15-#19</v>
      </c>
      <c r="L2270" t="str">
        <f>SITE_Assesment!F11</f>
        <v>2x4-inch PVC concrete ductbank</v>
      </c>
      <c r="M2270" t="str">
        <f>SITE_Assesment!G11</f>
        <v>Verify</v>
      </c>
      <c r="N2270" t="str">
        <f>SITE_Assesment!H11</f>
        <v>TS201</v>
      </c>
      <c r="O2270" t="str">
        <f>SITE_Assesment!I11</f>
        <v>00+00 to 7+91.21</v>
      </c>
      <c r="P2270" t="str">
        <f>SITE_Assesment!J11</f>
        <v>Plan/profile shows B12 to B16 route with vertical ductbank angle transitions and concrete ductbank notes.</v>
      </c>
      <c r="Q2270" t="str">
        <f t="shared" si="35"/>
        <v>SITE|4</v>
      </c>
    </row>
    <row r="2271" spans="1:17" ht="6.45" customHeight="1">
      <c r="A2271" t="s">
        <v>70</v>
      </c>
      <c r="B2271">
        <v>5</v>
      </c>
      <c r="C2271" t="s">
        <v>71</v>
      </c>
      <c r="D2271">
        <v>12</v>
      </c>
      <c r="E2271" t="s">
        <v>4200</v>
      </c>
      <c r="F2271" t="s">
        <v>5324</v>
      </c>
      <c r="G2271" t="str">
        <f>SITE_Assesment!A12</f>
        <v>B1 to B70</v>
      </c>
      <c r="H2271" t="str">
        <f>SITE_Assesment!B12</f>
        <v>B1 / B70 backbone segment</v>
      </c>
      <c r="I2271" t="str">
        <f>SITE_Assesment!C12</f>
        <v>Path A &amp; B</v>
      </c>
      <c r="J2271" t="str">
        <f>SITE_Assesment!D12</f>
        <v>Telecom plan and profile</v>
      </c>
      <c r="K2271" t="str">
        <f>SITE_Assesment!E12</f>
        <v>THH #1-#7 plus pullbox</v>
      </c>
      <c r="L2271" t="str">
        <f>SITE_Assesment!F12</f>
        <v>2x4-inch and 4x4-inch PVC concrete ductbank</v>
      </c>
      <c r="M2271" t="str">
        <f>SITE_Assesment!G12</f>
        <v>Verify</v>
      </c>
      <c r="N2271" t="str">
        <f>SITE_Assesment!H12</f>
        <v>TS202 / TS203 / TS207</v>
      </c>
      <c r="O2271" t="str">
        <f>SITE_Assesment!I12</f>
        <v>00+00 to 15+92.04</v>
      </c>
      <c r="P2271" t="str">
        <f>SITE_Assesment!J12</f>
        <v>Long backbone route with multiple THHs, concrete pullbox, and B70/B81 branches. Confirm all utility crossings and trench restoration limits.</v>
      </c>
      <c r="Q2271" t="str">
        <f t="shared" si="35"/>
        <v>SITE|5</v>
      </c>
    </row>
    <row r="2272" spans="1:17" ht="6.45" customHeight="1">
      <c r="A2272" t="s">
        <v>70</v>
      </c>
      <c r="B2272">
        <v>6</v>
      </c>
      <c r="C2272" t="s">
        <v>71</v>
      </c>
      <c r="D2272">
        <v>13</v>
      </c>
      <c r="E2272" t="s">
        <v>4200</v>
      </c>
      <c r="F2272" t="s">
        <v>5324</v>
      </c>
      <c r="G2272" t="str">
        <f>SITE_Assesment!A13</f>
        <v>B20 / B22</v>
      </c>
      <c r="H2272" t="str">
        <f>SITE_Assesment!B13</f>
        <v>B20 / B22</v>
      </c>
      <c r="I2272" t="str">
        <f>SITE_Assesment!C13</f>
        <v>Path A &amp; B</v>
      </c>
      <c r="J2272" t="str">
        <f>SITE_Assesment!D13</f>
        <v>Telecom plan and profile</v>
      </c>
      <c r="K2272" t="str">
        <f>SITE_Assesment!E13</f>
        <v>THH #2, #8-#12</v>
      </c>
      <c r="L2272" t="str">
        <f>SITE_Assesment!F13</f>
        <v>2x4-inch PVC concrete ductbank</v>
      </c>
      <c r="M2272" t="str">
        <f>SITE_Assesment!G13</f>
        <v>Verify</v>
      </c>
      <c r="N2272" t="str">
        <f>SITE_Assesment!H13</f>
        <v>TS204</v>
      </c>
      <c r="O2272" t="str">
        <f>SITE_Assesment!I13</f>
        <v>B20 00+00 to 7+34.47; B22 00+00 to 1+98.18</v>
      </c>
      <c r="P2272" t="str">
        <f>SITE_Assesment!J13</f>
        <v>Route feeds Building 20 and 22. Confirm common ductbank has separate conduits for A/B path where shown.</v>
      </c>
      <c r="Q2272" t="str">
        <f t="shared" si="35"/>
        <v>SITE|6</v>
      </c>
    </row>
    <row r="2273" spans="1:17" ht="6.45" customHeight="1">
      <c r="A2273" t="s">
        <v>70</v>
      </c>
      <c r="B2273">
        <v>7</v>
      </c>
      <c r="C2273" t="s">
        <v>71</v>
      </c>
      <c r="D2273">
        <v>14</v>
      </c>
      <c r="E2273" t="s">
        <v>4200</v>
      </c>
      <c r="F2273" t="s">
        <v>5324</v>
      </c>
      <c r="G2273" t="str">
        <f>SITE_Assesment!A14</f>
        <v>B15 / B9</v>
      </c>
      <c r="H2273" t="str">
        <f>SITE_Assesment!B14</f>
        <v>B15 / B9</v>
      </c>
      <c r="I2273" t="str">
        <f>SITE_Assesment!C14</f>
        <v>Path A &amp; B</v>
      </c>
      <c r="J2273" t="str">
        <f>SITE_Assesment!D14</f>
        <v>Telecom plan and profile</v>
      </c>
      <c r="K2273" t="str">
        <f>SITE_Assesment!E14</f>
        <v>THH #14-#18</v>
      </c>
      <c r="L2273" t="str">
        <f>SITE_Assesment!F14</f>
        <v>2x4-inch PVC concrete ductbank</v>
      </c>
      <c r="M2273" t="str">
        <f>SITE_Assesment!G14</f>
        <v>Verify</v>
      </c>
      <c r="N2273" t="str">
        <f>SITE_Assesment!H14</f>
        <v>TS205</v>
      </c>
      <c r="O2273" t="str">
        <f>SITE_Assesment!I14</f>
        <v>B15 00+00 to 1+70.82; B9 00+00 to 2+01.32</v>
      </c>
      <c r="P2273" t="str">
        <f>SITE_Assesment!J14</f>
        <v>Route includes ductbank transitions and utility verification requirements.</v>
      </c>
      <c r="Q2273" t="str">
        <f t="shared" si="35"/>
        <v>SITE|7</v>
      </c>
    </row>
    <row r="2274" spans="1:17" ht="6.45" customHeight="1">
      <c r="A2274" t="s">
        <v>70</v>
      </c>
      <c r="B2274">
        <v>8</v>
      </c>
      <c r="C2274" t="s">
        <v>71</v>
      </c>
      <c r="D2274">
        <v>15</v>
      </c>
      <c r="E2274" t="s">
        <v>4200</v>
      </c>
      <c r="F2274" t="s">
        <v>5324</v>
      </c>
      <c r="G2274" t="str">
        <f>SITE_Assesment!A15</f>
        <v>B13 / B14</v>
      </c>
      <c r="H2274" t="str">
        <f>SITE_Assesment!B15</f>
        <v>B13 / B14</v>
      </c>
      <c r="I2274" t="str">
        <f>SITE_Assesment!C15</f>
        <v>Path A &amp; B</v>
      </c>
      <c r="J2274" t="str">
        <f>SITE_Assesment!D15</f>
        <v>Telecom plan and profile</v>
      </c>
      <c r="K2274" t="str">
        <f>SITE_Assesment!E15</f>
        <v>THH #15-#17</v>
      </c>
      <c r="L2274" t="str">
        <f>SITE_Assesment!F15</f>
        <v>2x4-inch PVC concrete ductbank</v>
      </c>
      <c r="M2274" t="str">
        <f>SITE_Assesment!G15</f>
        <v>Verify</v>
      </c>
      <c r="N2274" t="str">
        <f>SITE_Assesment!H15</f>
        <v>TS206</v>
      </c>
      <c r="O2274" t="str">
        <f>SITE_Assesment!I15</f>
        <v>B13 00+00 to 1+67.85; B14 00+00 to 1+79.01</v>
      </c>
      <c r="P2274" t="str">
        <f>SITE_Assesment!J15</f>
        <v>Coordinate with nearby B12/B16/B15 infrastructure and handhole locations.</v>
      </c>
      <c r="Q2274" t="str">
        <f t="shared" si="35"/>
        <v>SITE|8</v>
      </c>
    </row>
    <row r="2275" spans="1:17" ht="6.45" customHeight="1">
      <c r="A2275" t="s">
        <v>70</v>
      </c>
      <c r="B2275">
        <v>9</v>
      </c>
      <c r="C2275" t="s">
        <v>71</v>
      </c>
      <c r="D2275">
        <v>16</v>
      </c>
      <c r="E2275" t="s">
        <v>4200</v>
      </c>
      <c r="F2275" t="s">
        <v>5324</v>
      </c>
      <c r="G2275" t="str">
        <f>SITE_Assesment!A16</f>
        <v>B70 / B81</v>
      </c>
      <c r="H2275" t="str">
        <f>SITE_Assesment!B16</f>
        <v>B70 / B81</v>
      </c>
      <c r="I2275" t="str">
        <f>SITE_Assesment!C16</f>
        <v>Path A &amp; B</v>
      </c>
      <c r="J2275" t="str">
        <f>SITE_Assesment!D16</f>
        <v>Telecom plan and profile</v>
      </c>
      <c r="K2275" t="str">
        <f>SITE_Assesment!E16</f>
        <v>THH #7 / #14</v>
      </c>
      <c r="L2275" t="str">
        <f>SITE_Assesment!F16</f>
        <v>2x4-inch PVC concrete ductbank</v>
      </c>
      <c r="M2275" t="str">
        <f>SITE_Assesment!G16</f>
        <v>Verify</v>
      </c>
      <c r="N2275" t="str">
        <f>SITE_Assesment!H16</f>
        <v>TS207</v>
      </c>
      <c r="O2275" t="str">
        <f>SITE_Assesment!I16</f>
        <v>B70 15+52.38 to 15+92.04; B81 00+00 to 1+49.54</v>
      </c>
      <c r="P2275" t="str">
        <f>SITE_Assesment!J16</f>
        <v>B70/B81 extension from B1-B70 backbone; verify west-campus access and restoration.</v>
      </c>
      <c r="Q2275" t="str">
        <f t="shared" si="35"/>
        <v>SITE|9</v>
      </c>
    </row>
    <row r="2276" spans="1:17" ht="6.45" customHeight="1">
      <c r="A2276" t="s">
        <v>70</v>
      </c>
      <c r="B2276">
        <v>10</v>
      </c>
      <c r="C2276" t="s">
        <v>71</v>
      </c>
      <c r="D2276">
        <v>17</v>
      </c>
      <c r="E2276" t="s">
        <v>4200</v>
      </c>
      <c r="F2276" t="s">
        <v>5324</v>
      </c>
      <c r="G2276" t="str">
        <f>SITE_Assesment!A17</f>
        <v>B33 / B17</v>
      </c>
      <c r="H2276" t="str">
        <f>SITE_Assesment!B17</f>
        <v>B33 / B17</v>
      </c>
      <c r="I2276" t="str">
        <f>SITE_Assesment!C17</f>
        <v>B33 Path A &amp; B / B17 Path A</v>
      </c>
      <c r="J2276" t="str">
        <f>SITE_Assesment!D17</f>
        <v>Telecom plan and profile</v>
      </c>
      <c r="K2276" t="str">
        <f>SITE_Assesment!E17</f>
        <v>THH #8, #10, #13</v>
      </c>
      <c r="L2276" t="str">
        <f>SITE_Assesment!F17</f>
        <v>2x4-inch PVC concrete ductbank</v>
      </c>
      <c r="M2276" t="str">
        <f>SITE_Assesment!G17</f>
        <v>Verify</v>
      </c>
      <c r="N2276" t="str">
        <f>SITE_Assesment!H17</f>
        <v>TS208</v>
      </c>
      <c r="O2276" t="str">
        <f>SITE_Assesment!I17</f>
        <v>B33 00+00 to 0+78.16; B17 00+00 to 1+16.82</v>
      </c>
      <c r="P2276" t="str">
        <f>SITE_Assesment!J17</f>
        <v>B17 Path A only on this sheet; Path B appears on TS210. Ensure PMIS tracks both A and B legs.</v>
      </c>
      <c r="Q2276" t="str">
        <f t="shared" si="35"/>
        <v>SITE|10</v>
      </c>
    </row>
    <row r="2277" spans="1:17" ht="6.45" customHeight="1">
      <c r="A2277" t="s">
        <v>70</v>
      </c>
      <c r="B2277">
        <v>11</v>
      </c>
      <c r="C2277" t="s">
        <v>71</v>
      </c>
      <c r="D2277">
        <v>18</v>
      </c>
      <c r="E2277" t="s">
        <v>4200</v>
      </c>
      <c r="F2277" t="s">
        <v>5324</v>
      </c>
      <c r="G2277" t="str">
        <f>SITE_Assesment!A18</f>
        <v>B18 / B19</v>
      </c>
      <c r="H2277" t="str">
        <f>SITE_Assesment!B18</f>
        <v>B18 / B19</v>
      </c>
      <c r="I2277" t="str">
        <f>SITE_Assesment!C18</f>
        <v>B18 Path A / B19 Path A &amp; B</v>
      </c>
      <c r="J2277" t="str">
        <f>SITE_Assesment!D18</f>
        <v>Telecom plan and profile</v>
      </c>
      <c r="K2277" t="str">
        <f>SITE_Assesment!E18</f>
        <v>THH #9 / #10</v>
      </c>
      <c r="L2277" t="str">
        <f>SITE_Assesment!F18</f>
        <v>2x4-inch PVC concrete ductbank</v>
      </c>
      <c r="M2277" t="str">
        <f>SITE_Assesment!G18</f>
        <v>Verify</v>
      </c>
      <c r="N2277" t="str">
        <f>SITE_Assesment!H18</f>
        <v>TS209</v>
      </c>
      <c r="O2277" t="str">
        <f>SITE_Assesment!I18</f>
        <v>B18 00+00 to 0+36.94; B19 00+00 to 0+42.25</v>
      </c>
      <c r="P2277" t="str">
        <f>SITE_Assesment!J18</f>
        <v>B18 Path A only on this sheet; Path B appears on TS210. Verify B19 A/B separation and building penetration.</v>
      </c>
      <c r="Q2277" t="str">
        <f t="shared" si="35"/>
        <v>SITE|11</v>
      </c>
    </row>
    <row r="2278" spans="1:17" ht="6.45" customHeight="1">
      <c r="A2278" t="s">
        <v>70</v>
      </c>
      <c r="B2278">
        <v>12</v>
      </c>
      <c r="C2278" t="s">
        <v>71</v>
      </c>
      <c r="D2278">
        <v>19</v>
      </c>
      <c r="E2278" t="s">
        <v>4200</v>
      </c>
      <c r="F2278" t="s">
        <v>5324</v>
      </c>
      <c r="G2278" t="str">
        <f>SITE_Assesment!A19</f>
        <v>B81 / B17 to B01 / B18</v>
      </c>
      <c r="H2278" t="str">
        <f>SITE_Assesment!B19</f>
        <v>B81 / B17 / B01 / B18</v>
      </c>
      <c r="I2278" t="str">
        <f>SITE_Assesment!C19</f>
        <v>Path B</v>
      </c>
      <c r="J2278" t="str">
        <f>SITE_Assesment!D19</f>
        <v>Telecom plan and profile</v>
      </c>
      <c r="K2278" t="str">
        <f>SITE_Assesment!E19</f>
        <v>THH #7 / #13</v>
      </c>
      <c r="L2278" t="str">
        <f>SITE_Assesment!F19</f>
        <v>2x4-inch PVC concrete ductbank</v>
      </c>
      <c r="M2278" t="str">
        <f>SITE_Assesment!G19</f>
        <v>Verify</v>
      </c>
      <c r="N2278" t="str">
        <f>SITE_Assesment!H19</f>
        <v>TS210</v>
      </c>
      <c r="O2278" t="str">
        <f>SITE_Assesment!I19</f>
        <v>B17 to B01 00+00 to 1+63.50; B18 00+00 to 0+87.25</v>
      </c>
      <c r="P2278" t="str">
        <f>SITE_Assesment!J19</f>
        <v>Completes B-path routing for B17 and B18 and B81/B17-to-B01 interconnection. Critical for redundancy verification.</v>
      </c>
      <c r="Q2278" t="str">
        <f t="shared" si="35"/>
        <v>SITE|12</v>
      </c>
    </row>
    <row r="2279" spans="1:17" ht="6.45" customHeight="1">
      <c r="A2279" t="s">
        <v>70</v>
      </c>
      <c r="B2279">
        <v>13</v>
      </c>
      <c r="C2279" t="s">
        <v>71</v>
      </c>
      <c r="D2279">
        <v>20</v>
      </c>
      <c r="E2279" t="s">
        <v>4200</v>
      </c>
      <c r="F2279" t="s">
        <v>5325</v>
      </c>
      <c r="G2279">
        <f>SITE_Assesment!A20</f>
        <v>0</v>
      </c>
      <c r="H2279">
        <f>SITE_Assesment!B20</f>
        <v>0</v>
      </c>
      <c r="I2279">
        <f>SITE_Assesment!C20</f>
        <v>0</v>
      </c>
      <c r="J2279">
        <f>SITE_Assesment!D20</f>
        <v>0</v>
      </c>
      <c r="K2279">
        <f>SITE_Assesment!E20</f>
        <v>0</v>
      </c>
      <c r="L2279">
        <f>SITE_Assesment!F20</f>
        <v>0</v>
      </c>
      <c r="M2279">
        <f>SITE_Assesment!G20</f>
        <v>0</v>
      </c>
      <c r="N2279">
        <f>SITE_Assesment!H20</f>
        <v>0</v>
      </c>
      <c r="O2279">
        <f>SITE_Assesment!I20</f>
        <v>0</v>
      </c>
      <c r="P2279">
        <f>SITE_Assesment!J20</f>
        <v>0</v>
      </c>
      <c r="Q2279" t="str">
        <f t="shared" si="35"/>
        <v>SITE|13</v>
      </c>
    </row>
    <row r="2280" spans="1:17" ht="6.45" customHeight="1">
      <c r="A2280" t="s">
        <v>70</v>
      </c>
      <c r="B2280">
        <v>14</v>
      </c>
      <c r="C2280" t="s">
        <v>71</v>
      </c>
      <c r="D2280">
        <v>21</v>
      </c>
      <c r="E2280" t="s">
        <v>4271</v>
      </c>
      <c r="F2280" t="s">
        <v>5322</v>
      </c>
      <c r="G2280" t="str">
        <f>SITE_Assesment!A21</f>
        <v>2. SITE READINESS</v>
      </c>
      <c r="H2280">
        <f>SITE_Assesment!B21</f>
        <v>0</v>
      </c>
      <c r="I2280">
        <f>SITE_Assesment!C21</f>
        <v>0</v>
      </c>
      <c r="J2280">
        <f>SITE_Assesment!D21</f>
        <v>0</v>
      </c>
      <c r="K2280">
        <f>SITE_Assesment!E21</f>
        <v>0</v>
      </c>
      <c r="L2280">
        <f>SITE_Assesment!F21</f>
        <v>0</v>
      </c>
      <c r="M2280">
        <f>SITE_Assesment!G21</f>
        <v>0</v>
      </c>
      <c r="N2280">
        <f>SITE_Assesment!H21</f>
        <v>0</v>
      </c>
      <c r="O2280">
        <f>SITE_Assesment!I21</f>
        <v>0</v>
      </c>
      <c r="P2280">
        <f>SITE_Assesment!J21</f>
        <v>0</v>
      </c>
      <c r="Q2280" t="str">
        <f t="shared" si="35"/>
        <v>SITE|14</v>
      </c>
    </row>
    <row r="2281" spans="1:17" ht="6.45" customHeight="1">
      <c r="A2281" t="s">
        <v>70</v>
      </c>
      <c r="B2281">
        <v>15</v>
      </c>
      <c r="C2281" t="s">
        <v>71</v>
      </c>
      <c r="D2281">
        <v>22</v>
      </c>
      <c r="E2281" t="s">
        <v>4271</v>
      </c>
      <c r="F2281" t="s">
        <v>5323</v>
      </c>
      <c r="G2281" t="str">
        <f>SITE_Assesment!A22</f>
        <v>Scope Area</v>
      </c>
      <c r="H2281" t="str">
        <f>SITE_Assesment!B22</f>
        <v>Survey / Layout</v>
      </c>
      <c r="I2281" t="str">
        <f>SITE_Assesment!C22</f>
        <v>Utility Locate</v>
      </c>
      <c r="J2281" t="str">
        <f>SITE_Assesment!D22</f>
        <v>Access / Traffic</v>
      </c>
      <c r="K2281" t="str">
        <f>SITE_Assesment!E22</f>
        <v>Excavation Permit</v>
      </c>
      <c r="L2281" t="str">
        <f>SITE_Assesment!F22</f>
        <v>Ductbank Forms</v>
      </c>
      <c r="M2281" t="str">
        <f>SITE_Assesment!G22</f>
        <v>Inspection Hold</v>
      </c>
      <c r="N2281" t="str">
        <f>SITE_Assesment!H22</f>
        <v>Restoration</v>
      </c>
      <c r="O2281" t="str">
        <f>SITE_Assesment!I22</f>
        <v>Overall</v>
      </c>
      <c r="P2281" t="str">
        <f>SITE_Assesment!J22</f>
        <v>Comments</v>
      </c>
      <c r="Q2281" t="str">
        <f t="shared" si="35"/>
        <v>SITE|15</v>
      </c>
    </row>
    <row r="2282" spans="1:17" ht="6.45" customHeight="1">
      <c r="A2282" t="s">
        <v>70</v>
      </c>
      <c r="B2282">
        <v>16</v>
      </c>
      <c r="C2282" t="s">
        <v>71</v>
      </c>
      <c r="D2282">
        <v>23</v>
      </c>
      <c r="E2282" t="s">
        <v>4271</v>
      </c>
      <c r="F2282" t="s">
        <v>5324</v>
      </c>
      <c r="G2282" t="str">
        <f>SITE_Assesment!A23</f>
        <v>Campus Backbone</v>
      </c>
      <c r="H2282" t="str">
        <f>SITE_Assesment!B23</f>
        <v>Verify</v>
      </c>
      <c r="I2282" t="str">
        <f>SITE_Assesment!C23</f>
        <v>Verify</v>
      </c>
      <c r="J2282" t="str">
        <f>SITE_Assesment!D23</f>
        <v>Verify</v>
      </c>
      <c r="K2282" t="str">
        <f>SITE_Assesment!E23</f>
        <v>Verify</v>
      </c>
      <c r="L2282" t="str">
        <f>SITE_Assesment!F23</f>
        <v>Verify</v>
      </c>
      <c r="M2282" t="str">
        <f>SITE_Assesment!G23</f>
        <v>Verify</v>
      </c>
      <c r="N2282" t="str">
        <f>SITE_Assesment!H23</f>
        <v>Verify</v>
      </c>
      <c r="O2282" t="str">
        <f>SITE_Assesment!I23</f>
        <v>Verify</v>
      </c>
      <c r="P2282" t="str">
        <f>SITE_Assesment!J23</f>
        <v>Survey notes state utility locations are approximate and conditions may vary; contractor must provide utility location service before excavation and verify location/depth of all utilities.</v>
      </c>
      <c r="Q2282" t="str">
        <f t="shared" si="35"/>
        <v>SITE|16</v>
      </c>
    </row>
    <row r="2283" spans="1:17" ht="6.45" customHeight="1">
      <c r="A2283" t="s">
        <v>70</v>
      </c>
      <c r="B2283">
        <v>17</v>
      </c>
      <c r="C2283" t="s">
        <v>71</v>
      </c>
      <c r="D2283">
        <v>24</v>
      </c>
      <c r="E2283" t="s">
        <v>4271</v>
      </c>
      <c r="F2283" t="s">
        <v>5324</v>
      </c>
      <c r="G2283" t="str">
        <f>SITE_Assesment!A24</f>
        <v>THH / Manholes</v>
      </c>
      <c r="H2283" t="str">
        <f>SITE_Assesment!B24</f>
        <v>Verify</v>
      </c>
      <c r="I2283" t="str">
        <f>SITE_Assesment!C24</f>
        <v>Verify</v>
      </c>
      <c r="J2283" t="str">
        <f>SITE_Assesment!D24</f>
        <v>Verify</v>
      </c>
      <c r="K2283" t="str">
        <f>SITE_Assesment!E24</f>
        <v>Verify</v>
      </c>
      <c r="L2283" t="str">
        <f>SITE_Assesment!F24</f>
        <v>Verify</v>
      </c>
      <c r="M2283" t="str">
        <f>SITE_Assesment!G24</f>
        <v>Verify</v>
      </c>
      <c r="N2283" t="str">
        <f>SITE_Assesment!H24</f>
        <v>Verify</v>
      </c>
      <c r="O2283" t="str">
        <f>SITE_Assesment!I24</f>
        <v>Verify</v>
      </c>
      <c r="P2283" t="str">
        <f>SITE_Assesment!J24</f>
        <v>Field verify THH #1-#19, communication manholes, existing manholes, locking covers, drainage, elevations and pull radius before ductbank install.</v>
      </c>
      <c r="Q2283" t="str">
        <f t="shared" si="35"/>
        <v>SITE|17</v>
      </c>
    </row>
    <row r="2284" spans="1:17" ht="6.45" customHeight="1">
      <c r="A2284" t="s">
        <v>70</v>
      </c>
      <c r="B2284">
        <v>18</v>
      </c>
      <c r="C2284" t="s">
        <v>71</v>
      </c>
      <c r="D2284">
        <v>25</v>
      </c>
      <c r="E2284" t="s">
        <v>4271</v>
      </c>
      <c r="F2284" t="s">
        <v>5324</v>
      </c>
      <c r="G2284" t="str">
        <f>SITE_Assesment!A25</f>
        <v>Concrete Ductbank</v>
      </c>
      <c r="H2284" t="str">
        <f>SITE_Assesment!B25</f>
        <v>Verify</v>
      </c>
      <c r="I2284" t="str">
        <f>SITE_Assesment!C25</f>
        <v>Verify</v>
      </c>
      <c r="J2284" t="str">
        <f>SITE_Assesment!D25</f>
        <v>Verify</v>
      </c>
      <c r="K2284" t="str">
        <f>SITE_Assesment!E25</f>
        <v>Verify</v>
      </c>
      <c r="L2284" t="str">
        <f>SITE_Assesment!F25</f>
        <v>Verify</v>
      </c>
      <c r="M2284" t="str">
        <f>SITE_Assesment!G25</f>
        <v>Verify</v>
      </c>
      <c r="N2284" t="str">
        <f>SITE_Assesment!H25</f>
        <v>Verify</v>
      </c>
      <c r="O2284" t="str">
        <f>SITE_Assesment!I25</f>
        <v>Verify</v>
      </c>
      <c r="P2284" t="str">
        <f>SITE_Assesment!J25</f>
        <v>Trench must remain open until inspection of concrete duct. Confirm conduit quantity per T-601 and ductbank size/detail per T-501.</v>
      </c>
      <c r="Q2284" t="str">
        <f t="shared" si="35"/>
        <v>SITE|18</v>
      </c>
    </row>
    <row r="2285" spans="1:17" ht="6.45" customHeight="1">
      <c r="A2285" t="s">
        <v>70</v>
      </c>
      <c r="B2285">
        <v>19</v>
      </c>
      <c r="C2285" t="s">
        <v>71</v>
      </c>
      <c r="D2285">
        <v>26</v>
      </c>
      <c r="E2285" t="s">
        <v>4271</v>
      </c>
      <c r="F2285" t="s">
        <v>5324</v>
      </c>
      <c r="G2285" t="str">
        <f>SITE_Assesment!A26</f>
        <v>Building Tie-ins</v>
      </c>
      <c r="H2285" t="str">
        <f>SITE_Assesment!B26</f>
        <v>Verify</v>
      </c>
      <c r="I2285" t="str">
        <f>SITE_Assesment!C26</f>
        <v>Verify</v>
      </c>
      <c r="J2285" t="str">
        <f>SITE_Assesment!D26</f>
        <v>Verify</v>
      </c>
      <c r="K2285" t="str">
        <f>SITE_Assesment!E26</f>
        <v>Verify</v>
      </c>
      <c r="L2285" t="str">
        <f>SITE_Assesment!F26</f>
        <v>Verify</v>
      </c>
      <c r="M2285" t="str">
        <f>SITE_Assesment!G26</f>
        <v>Verify</v>
      </c>
      <c r="N2285" t="str">
        <f>SITE_Assesment!H26</f>
        <v>Verify</v>
      </c>
      <c r="O2285" t="str">
        <f>SITE_Assesment!I26</f>
        <v>Verify</v>
      </c>
      <c r="P2285" t="str">
        <f>SITE_Assesment!J26</f>
        <v>Each building sheet T-101 and T-601 riser diagram are continuation references. Confirm sleeve/penetration, firestop, patching and building downtime coordination.</v>
      </c>
      <c r="Q2285" t="str">
        <f t="shared" si="35"/>
        <v>SITE|19</v>
      </c>
    </row>
    <row r="2286" spans="1:17" ht="6.45" customHeight="1">
      <c r="A2286" t="s">
        <v>70</v>
      </c>
      <c r="B2286">
        <v>20</v>
      </c>
      <c r="C2286" t="s">
        <v>71</v>
      </c>
      <c r="D2286">
        <v>27</v>
      </c>
      <c r="E2286" t="s">
        <v>4271</v>
      </c>
      <c r="F2286" t="s">
        <v>5324</v>
      </c>
      <c r="G2286" t="str">
        <f>SITE_Assesment!A27</f>
        <v>Restoration / Site</v>
      </c>
      <c r="H2286" t="str">
        <f>SITE_Assesment!B27</f>
        <v>Verify</v>
      </c>
      <c r="I2286" t="str">
        <f>SITE_Assesment!C27</f>
        <v>Verify</v>
      </c>
      <c r="J2286" t="str">
        <f>SITE_Assesment!D27</f>
        <v>Verify</v>
      </c>
      <c r="K2286" t="str">
        <f>SITE_Assesment!E27</f>
        <v>Verify</v>
      </c>
      <c r="L2286" t="str">
        <f>SITE_Assesment!F27</f>
        <v>N/A</v>
      </c>
      <c r="M2286" t="str">
        <f>SITE_Assesment!G27</f>
        <v>Verify</v>
      </c>
      <c r="N2286" t="str">
        <f>SITE_Assesment!H27</f>
        <v>Verify</v>
      </c>
      <c r="O2286" t="str">
        <f>SITE_Assesment!I27</f>
        <v>Verify</v>
      </c>
      <c r="P2286" t="str">
        <f>SITE_Assesment!J27</f>
        <v>Restore trench/sidewalk/asphalt/landscape to match existing. Maintain fire lanes, hydrants, access and pedestrian controls.</v>
      </c>
      <c r="Q2286" t="str">
        <f t="shared" si="35"/>
        <v>SITE|20</v>
      </c>
    </row>
    <row r="2287" spans="1:17" ht="6.45" customHeight="1">
      <c r="A2287" t="s">
        <v>70</v>
      </c>
      <c r="B2287">
        <v>21</v>
      </c>
      <c r="C2287" t="s">
        <v>71</v>
      </c>
      <c r="D2287">
        <v>28</v>
      </c>
      <c r="E2287" t="s">
        <v>4271</v>
      </c>
      <c r="F2287" t="s">
        <v>5325</v>
      </c>
      <c r="G2287">
        <f>SITE_Assesment!A28</f>
        <v>0</v>
      </c>
      <c r="H2287">
        <f>SITE_Assesment!B28</f>
        <v>0</v>
      </c>
      <c r="I2287">
        <f>SITE_Assesment!C28</f>
        <v>0</v>
      </c>
      <c r="J2287">
        <f>SITE_Assesment!D28</f>
        <v>0</v>
      </c>
      <c r="K2287">
        <f>SITE_Assesment!E28</f>
        <v>0</v>
      </c>
      <c r="L2287">
        <f>SITE_Assesment!F28</f>
        <v>0</v>
      </c>
      <c r="M2287">
        <f>SITE_Assesment!G28</f>
        <v>0</v>
      </c>
      <c r="N2287">
        <f>SITE_Assesment!H28</f>
        <v>0</v>
      </c>
      <c r="O2287">
        <f>SITE_Assesment!I28</f>
        <v>0</v>
      </c>
      <c r="P2287">
        <f>SITE_Assesment!J28</f>
        <v>0</v>
      </c>
      <c r="Q2287" t="str">
        <f t="shared" si="35"/>
        <v>SITE|21</v>
      </c>
    </row>
    <row r="2288" spans="1:17" ht="6.45" customHeight="1">
      <c r="A2288" t="s">
        <v>70</v>
      </c>
      <c r="B2288">
        <v>22</v>
      </c>
      <c r="C2288" t="s">
        <v>71</v>
      </c>
      <c r="D2288">
        <v>29</v>
      </c>
      <c r="E2288" t="s">
        <v>4290</v>
      </c>
      <c r="F2288" t="s">
        <v>5322</v>
      </c>
      <c r="G2288" t="str">
        <f>SITE_Assesment!A29</f>
        <v>3. FIRE / LIFE SAFETY / SITE ACCESS</v>
      </c>
      <c r="H2288">
        <f>SITE_Assesment!B29</f>
        <v>0</v>
      </c>
      <c r="I2288">
        <f>SITE_Assesment!C29</f>
        <v>0</v>
      </c>
      <c r="J2288">
        <f>SITE_Assesment!D29</f>
        <v>0</v>
      </c>
      <c r="K2288">
        <f>SITE_Assesment!E29</f>
        <v>0</v>
      </c>
      <c r="L2288">
        <f>SITE_Assesment!F29</f>
        <v>0</v>
      </c>
      <c r="M2288">
        <f>SITE_Assesment!G29</f>
        <v>0</v>
      </c>
      <c r="N2288">
        <f>SITE_Assesment!H29</f>
        <v>0</v>
      </c>
      <c r="O2288">
        <f>SITE_Assesment!I29</f>
        <v>0</v>
      </c>
      <c r="P2288">
        <f>SITE_Assesment!J29</f>
        <v>0</v>
      </c>
      <c r="Q2288" t="str">
        <f t="shared" si="35"/>
        <v>SITE|22</v>
      </c>
    </row>
    <row r="2289" spans="1:17" ht="6.45" customHeight="1">
      <c r="A2289" t="s">
        <v>70</v>
      </c>
      <c r="B2289">
        <v>23</v>
      </c>
      <c r="C2289" t="s">
        <v>71</v>
      </c>
      <c r="D2289">
        <v>30</v>
      </c>
      <c r="E2289" t="s">
        <v>4290</v>
      </c>
      <c r="F2289" t="s">
        <v>5323</v>
      </c>
      <c r="G2289" t="str">
        <f>SITE_Assesment!A30</f>
        <v>Area</v>
      </c>
      <c r="H2289" t="str">
        <f>SITE_Assesment!B30</f>
        <v>Fire Lane</v>
      </c>
      <c r="I2289" t="str">
        <f>SITE_Assesment!C30</f>
        <v>Hydrants / FDC</v>
      </c>
      <c r="J2289" t="str">
        <f>SITE_Assesment!D30</f>
        <v>Egress</v>
      </c>
      <c r="K2289" t="str">
        <f>SITE_Assesment!E30</f>
        <v>Temp Barriers</v>
      </c>
      <c r="L2289" t="str">
        <f>SITE_Assesment!F30</f>
        <v>Hot Work</v>
      </c>
      <c r="M2289" t="str">
        <f>SITE_Assesment!G30</f>
        <v>Impairment</v>
      </c>
      <c r="N2289" t="str">
        <f>SITE_Assesment!H30</f>
        <v>Fire Watch</v>
      </c>
      <c r="O2289" t="str">
        <f>SITE_Assesment!I30</f>
        <v>Overall</v>
      </c>
      <c r="P2289" t="str">
        <f>SITE_Assesment!J30</f>
        <v>Risk / Notes</v>
      </c>
      <c r="Q2289" t="str">
        <f t="shared" si="35"/>
        <v>SITE|23</v>
      </c>
    </row>
    <row r="2290" spans="1:17" ht="6.45" customHeight="1">
      <c r="A2290" t="s">
        <v>70</v>
      </c>
      <c r="B2290">
        <v>24</v>
      </c>
      <c r="C2290" t="s">
        <v>71</v>
      </c>
      <c r="D2290">
        <v>31</v>
      </c>
      <c r="E2290" t="s">
        <v>4290</v>
      </c>
      <c r="F2290" t="s">
        <v>5324</v>
      </c>
      <c r="G2290" t="str">
        <f>SITE_Assesment!A31</f>
        <v>Campus Work Areas</v>
      </c>
      <c r="H2290" t="str">
        <f>SITE_Assesment!B31</f>
        <v>Verify</v>
      </c>
      <c r="I2290" t="str">
        <f>SITE_Assesment!C31</f>
        <v>Verify</v>
      </c>
      <c r="J2290" t="str">
        <f>SITE_Assesment!D31</f>
        <v>Verify</v>
      </c>
      <c r="K2290" t="str">
        <f>SITE_Assesment!E31</f>
        <v>Verify</v>
      </c>
      <c r="L2290" t="str">
        <f>SITE_Assesment!F31</f>
        <v>Verify</v>
      </c>
      <c r="M2290" t="str">
        <f>SITE_Assesment!G31</f>
        <v>Verify</v>
      </c>
      <c r="N2290" t="str">
        <f>SITE_Assesment!H31</f>
        <v>Verify</v>
      </c>
      <c r="O2290" t="str">
        <f>SITE_Assesment!I31</f>
        <v>Verify</v>
      </c>
      <c r="P2290" t="str">
        <f>SITE_Assesment!J31</f>
        <v>General notes require fire lanes, hydrants and fire department access roads operational at all times; maintain egress and provide fire watch/temporary protection when required.</v>
      </c>
      <c r="Q2290" t="str">
        <f t="shared" si="35"/>
        <v>SITE|24</v>
      </c>
    </row>
    <row r="2291" spans="1:17" ht="6.45" customHeight="1">
      <c r="A2291" t="s">
        <v>70</v>
      </c>
      <c r="B2291">
        <v>25</v>
      </c>
      <c r="C2291" t="s">
        <v>71</v>
      </c>
      <c r="D2291">
        <v>32</v>
      </c>
      <c r="E2291" t="s">
        <v>4290</v>
      </c>
      <c r="F2291" t="s">
        <v>5324</v>
      </c>
      <c r="G2291" t="str">
        <f>SITE_Assesment!A32</f>
        <v>Trenching / Excavation</v>
      </c>
      <c r="H2291" t="str">
        <f>SITE_Assesment!B32</f>
        <v>Verify</v>
      </c>
      <c r="I2291" t="str">
        <f>SITE_Assesment!C32</f>
        <v>Verify</v>
      </c>
      <c r="J2291" t="str">
        <f>SITE_Assesment!D32</f>
        <v>Verify</v>
      </c>
      <c r="K2291" t="str">
        <f>SITE_Assesment!E32</f>
        <v>Verify</v>
      </c>
      <c r="L2291" t="str">
        <f>SITE_Assesment!F32</f>
        <v>N/A</v>
      </c>
      <c r="M2291" t="str">
        <f>SITE_Assesment!G32</f>
        <v>N/A</v>
      </c>
      <c r="N2291" t="str">
        <f>SITE_Assesment!H32</f>
        <v>Verify</v>
      </c>
      <c r="O2291" t="str">
        <f>SITE_Assesment!I32</f>
        <v>Verify</v>
      </c>
      <c r="P2291" t="str">
        <f>SITE_Assesment!J32</f>
        <v>Trench barricades, accessible parking/public access and right-of-way impacts must be coordinated with owner prior to construction.</v>
      </c>
      <c r="Q2291" t="str">
        <f t="shared" si="35"/>
        <v>SITE|25</v>
      </c>
    </row>
    <row r="2292" spans="1:17" ht="6.45" customHeight="1">
      <c r="A2292" t="s">
        <v>70</v>
      </c>
      <c r="B2292">
        <v>26</v>
      </c>
      <c r="C2292" t="s">
        <v>71</v>
      </c>
      <c r="D2292">
        <v>33</v>
      </c>
      <c r="E2292" t="s">
        <v>4290</v>
      </c>
      <c r="F2292" t="s">
        <v>5324</v>
      </c>
      <c r="G2292" t="str">
        <f>SITE_Assesment!A33</f>
        <v>Building Penetrations</v>
      </c>
      <c r="H2292" t="str">
        <f>SITE_Assesment!B33</f>
        <v>Verify</v>
      </c>
      <c r="I2292" t="str">
        <f>SITE_Assesment!C33</f>
        <v>Verify</v>
      </c>
      <c r="J2292" t="str">
        <f>SITE_Assesment!D33</f>
        <v>Verify</v>
      </c>
      <c r="K2292" t="str">
        <f>SITE_Assesment!E33</f>
        <v>Verify</v>
      </c>
      <c r="L2292" t="str">
        <f>SITE_Assesment!F33</f>
        <v>Verify</v>
      </c>
      <c r="M2292" t="str">
        <f>SITE_Assesment!G33</f>
        <v>Verify</v>
      </c>
      <c r="N2292" t="str">
        <f>SITE_Assesment!H33</f>
        <v>Verify</v>
      </c>
      <c r="O2292" t="str">
        <f>SITE_Assesment!I33</f>
        <v>Verify</v>
      </c>
      <c r="P2292" t="str">
        <f>SITE_Assesment!J33</f>
        <v>Rated wall/floor penetrations must be firestopped; temporary firestopping required if penetrations remain open between shifts.</v>
      </c>
      <c r="Q2292" t="str">
        <f t="shared" si="35"/>
        <v>SITE|26</v>
      </c>
    </row>
    <row r="2293" spans="1:17" ht="6.45" customHeight="1">
      <c r="A2293" t="s">
        <v>70</v>
      </c>
      <c r="B2293">
        <v>27</v>
      </c>
      <c r="C2293" t="s">
        <v>71</v>
      </c>
      <c r="D2293">
        <v>34</v>
      </c>
      <c r="E2293" t="s">
        <v>4290</v>
      </c>
      <c r="F2293" t="s">
        <v>5324</v>
      </c>
      <c r="G2293" t="str">
        <f>SITE_Assesment!A34</f>
        <v>MCR / Critical Backbone</v>
      </c>
      <c r="H2293" t="str">
        <f>SITE_Assesment!B34</f>
        <v>Verify</v>
      </c>
      <c r="I2293" t="str">
        <f>SITE_Assesment!C34</f>
        <v>Verify</v>
      </c>
      <c r="J2293" t="str">
        <f>SITE_Assesment!D34</f>
        <v>Verify</v>
      </c>
      <c r="K2293" t="str">
        <f>SITE_Assesment!E34</f>
        <v>Verify</v>
      </c>
      <c r="L2293" t="str">
        <f>SITE_Assesment!F34</f>
        <v>Verify</v>
      </c>
      <c r="M2293" t="str">
        <f>SITE_Assesment!G34</f>
        <v>Verify</v>
      </c>
      <c r="N2293" t="str">
        <f>SITE_Assesment!H34</f>
        <v>Verify</v>
      </c>
      <c r="O2293" t="str">
        <f>SITE_Assesment!I34</f>
        <v>Verify</v>
      </c>
      <c r="P2293" t="str">
        <f>SITE_Assesment!J34</f>
        <v>Backbone work affects facility operations. Any required shutdowns must be limited to one at a time and coordinated with approved phasing plan.</v>
      </c>
      <c r="Q2293" t="str">
        <f t="shared" si="35"/>
        <v>SITE|27</v>
      </c>
    </row>
    <row r="2294" spans="1:17" ht="6.45" customHeight="1">
      <c r="A2294" t="s">
        <v>70</v>
      </c>
      <c r="B2294">
        <v>28</v>
      </c>
      <c r="C2294" t="s">
        <v>71</v>
      </c>
      <c r="D2294">
        <v>35</v>
      </c>
      <c r="E2294" t="s">
        <v>4290</v>
      </c>
      <c r="F2294" t="s">
        <v>5325</v>
      </c>
      <c r="G2294">
        <f>SITE_Assesment!A35</f>
        <v>0</v>
      </c>
      <c r="H2294">
        <f>SITE_Assesment!B35</f>
        <v>0</v>
      </c>
      <c r="I2294">
        <f>SITE_Assesment!C35</f>
        <v>0</v>
      </c>
      <c r="J2294">
        <f>SITE_Assesment!D35</f>
        <v>0</v>
      </c>
      <c r="K2294">
        <f>SITE_Assesment!E35</f>
        <v>0</v>
      </c>
      <c r="L2294">
        <f>SITE_Assesment!F35</f>
        <v>0</v>
      </c>
      <c r="M2294">
        <f>SITE_Assesment!G35</f>
        <v>0</v>
      </c>
      <c r="N2294">
        <f>SITE_Assesment!H35</f>
        <v>0</v>
      </c>
      <c r="O2294">
        <f>SITE_Assesment!I35</f>
        <v>0</v>
      </c>
      <c r="P2294">
        <f>SITE_Assesment!J35</f>
        <v>0</v>
      </c>
      <c r="Q2294" t="str">
        <f t="shared" si="35"/>
        <v>SITE|28</v>
      </c>
    </row>
    <row r="2295" spans="1:17" ht="6.45" customHeight="1">
      <c r="A2295" t="s">
        <v>70</v>
      </c>
      <c r="B2295">
        <v>29</v>
      </c>
      <c r="C2295" t="s">
        <v>71</v>
      </c>
      <c r="D2295">
        <v>36</v>
      </c>
      <c r="E2295" t="s">
        <v>4307</v>
      </c>
      <c r="F2295" t="s">
        <v>5322</v>
      </c>
      <c r="G2295" t="str">
        <f>SITE_Assesment!A36</f>
        <v>4. CIVIL / DUCTBANK / RESTORATION</v>
      </c>
      <c r="H2295">
        <f>SITE_Assesment!B36</f>
        <v>0</v>
      </c>
      <c r="I2295">
        <f>SITE_Assesment!C36</f>
        <v>0</v>
      </c>
      <c r="J2295">
        <f>SITE_Assesment!D36</f>
        <v>0</v>
      </c>
      <c r="K2295">
        <f>SITE_Assesment!E36</f>
        <v>0</v>
      </c>
      <c r="L2295">
        <f>SITE_Assesment!F36</f>
        <v>0</v>
      </c>
      <c r="M2295">
        <f>SITE_Assesment!G36</f>
        <v>0</v>
      </c>
      <c r="N2295">
        <f>SITE_Assesment!H36</f>
        <v>0</v>
      </c>
      <c r="O2295">
        <f>SITE_Assesment!I36</f>
        <v>0</v>
      </c>
      <c r="P2295">
        <f>SITE_Assesment!J36</f>
        <v>0</v>
      </c>
      <c r="Q2295" t="str">
        <f t="shared" si="35"/>
        <v>SITE|29</v>
      </c>
    </row>
    <row r="2296" spans="1:17" ht="6.45" customHeight="1">
      <c r="A2296" t="s">
        <v>70</v>
      </c>
      <c r="B2296">
        <v>30</v>
      </c>
      <c r="C2296" t="s">
        <v>71</v>
      </c>
      <c r="D2296">
        <v>37</v>
      </c>
      <c r="E2296" t="s">
        <v>4307</v>
      </c>
      <c r="F2296" t="s">
        <v>5323</v>
      </c>
      <c r="G2296" t="str">
        <f>SITE_Assesment!A37</f>
        <v>Segment</v>
      </c>
      <c r="H2296" t="str">
        <f>SITE_Assesment!B37</f>
        <v>Excavation Method</v>
      </c>
      <c r="I2296" t="str">
        <f>SITE_Assesment!C37</f>
        <v>Ductbank Type</v>
      </c>
      <c r="J2296" t="str">
        <f>SITE_Assesment!D37</f>
        <v>Concrete / Backfill</v>
      </c>
      <c r="K2296" t="str">
        <f>SITE_Assesment!E37</f>
        <v>Structures</v>
      </c>
      <c r="L2296" t="str">
        <f>SITE_Assesment!F37</f>
        <v>Profile Verified</v>
      </c>
      <c r="M2296" t="str">
        <f>SITE_Assesment!G37</f>
        <v>Restoration</v>
      </c>
      <c r="N2296" t="str">
        <f>SITE_Assesment!H37</f>
        <v>Testing / Inspection</v>
      </c>
      <c r="O2296" t="str">
        <f>SITE_Assesment!I37</f>
        <v>Overall</v>
      </c>
      <c r="P2296" t="str">
        <f>SITE_Assesment!J37</f>
        <v>Risk / Notes</v>
      </c>
      <c r="Q2296" t="str">
        <f t="shared" si="35"/>
        <v>SITE|30</v>
      </c>
    </row>
    <row r="2297" spans="1:17" ht="6.45" customHeight="1">
      <c r="A2297" t="s">
        <v>70</v>
      </c>
      <c r="B2297">
        <v>31</v>
      </c>
      <c r="C2297" t="s">
        <v>71</v>
      </c>
      <c r="D2297">
        <v>38</v>
      </c>
      <c r="E2297" t="s">
        <v>4307</v>
      </c>
      <c r="F2297" t="s">
        <v>5324</v>
      </c>
      <c r="G2297" t="str">
        <f>SITE_Assesment!A38</f>
        <v>All New Site Fiber</v>
      </c>
      <c r="H2297" t="str">
        <f>SITE_Assesment!B38</f>
        <v>Trenching base bid</v>
      </c>
      <c r="I2297" t="str">
        <f>SITE_Assesment!C38</f>
        <v>Concrete encased conduit</v>
      </c>
      <c r="J2297" t="str">
        <f>SITE_Assesment!D38</f>
        <v>Verify</v>
      </c>
      <c r="K2297" t="str">
        <f>SITE_Assesment!E38</f>
        <v>THH / manholes / pullboxes</v>
      </c>
      <c r="L2297" t="str">
        <f>SITE_Assesment!F38</f>
        <v>Verify</v>
      </c>
      <c r="M2297" t="str">
        <f>SITE_Assesment!G38</f>
        <v>Verify</v>
      </c>
      <c r="N2297" t="str">
        <f>SITE_Assesment!H38</f>
        <v>Verify</v>
      </c>
      <c r="O2297" t="str">
        <f>SITE_Assesment!I38</f>
        <v>Verify</v>
      </c>
      <c r="P2297" t="str">
        <f>SITE_Assesment!J38</f>
        <v>General notes require all utilities installed with this project to be in concrete ductbank; directional boring must be approved by Government.</v>
      </c>
      <c r="Q2297" t="str">
        <f t="shared" si="35"/>
        <v>SITE|31</v>
      </c>
    </row>
    <row r="2298" spans="1:17" ht="6.45" customHeight="1">
      <c r="A2298" t="s">
        <v>70</v>
      </c>
      <c r="B2298">
        <v>32</v>
      </c>
      <c r="C2298" t="s">
        <v>71</v>
      </c>
      <c r="D2298">
        <v>39</v>
      </c>
      <c r="E2298" t="s">
        <v>4307</v>
      </c>
      <c r="F2298" t="s">
        <v>5324</v>
      </c>
      <c r="G2298" t="str">
        <f>SITE_Assesment!A39</f>
        <v>B1-B70 Backbone</v>
      </c>
      <c r="H2298" t="str">
        <f>SITE_Assesment!B39</f>
        <v>Trench / hand dig at crossings</v>
      </c>
      <c r="I2298" t="str">
        <f>SITE_Assesment!C39</f>
        <v>2x4 and 4x4 PVC ductbank</v>
      </c>
      <c r="J2298" t="str">
        <f>SITE_Assesment!D39</f>
        <v>Verify</v>
      </c>
      <c r="K2298" t="str">
        <f>SITE_Assesment!E39</f>
        <v>THH #1-#7 / pullbox</v>
      </c>
      <c r="L2298" t="str">
        <f>SITE_Assesment!F39</f>
        <v>Verify</v>
      </c>
      <c r="M2298" t="str">
        <f>SITE_Assesment!G39</f>
        <v>Verify</v>
      </c>
      <c r="N2298" t="str">
        <f>SITE_Assesment!H39</f>
        <v>Verify</v>
      </c>
      <c r="O2298" t="str">
        <f>SITE_Assesment!I39</f>
        <v>Verify</v>
      </c>
      <c r="P2298" t="str">
        <f>SITE_Assesment!J39</f>
        <v>Longest route and highest exposure to existing utilities and surface restoration.</v>
      </c>
      <c r="Q2298" t="str">
        <f t="shared" si="35"/>
        <v>SITE|32</v>
      </c>
    </row>
    <row r="2299" spans="1:17" ht="6.45" customHeight="1">
      <c r="A2299" t="s">
        <v>70</v>
      </c>
      <c r="B2299">
        <v>33</v>
      </c>
      <c r="C2299" t="s">
        <v>71</v>
      </c>
      <c r="D2299">
        <v>40</v>
      </c>
      <c r="E2299" t="s">
        <v>4307</v>
      </c>
      <c r="F2299" t="s">
        <v>5324</v>
      </c>
      <c r="G2299" t="str">
        <f>SITE_Assesment!A40</f>
        <v>B12-B16 / South/East Branches</v>
      </c>
      <c r="H2299" t="str">
        <f>SITE_Assesment!B40</f>
        <v>Trench / hand dig at crossings</v>
      </c>
      <c r="I2299" t="str">
        <f>SITE_Assesment!C40</f>
        <v>2x4 PVC ductbank</v>
      </c>
      <c r="J2299" t="str">
        <f>SITE_Assesment!D40</f>
        <v>Verify</v>
      </c>
      <c r="K2299" t="str">
        <f>SITE_Assesment!E40</f>
        <v>THH #15-#19</v>
      </c>
      <c r="L2299" t="str">
        <f>SITE_Assesment!F40</f>
        <v>Verify</v>
      </c>
      <c r="M2299" t="str">
        <f>SITE_Assesment!G40</f>
        <v>Verify</v>
      </c>
      <c r="N2299" t="str">
        <f>SITE_Assesment!H40</f>
        <v>Verify</v>
      </c>
      <c r="O2299" t="str">
        <f>SITE_Assesment!I40</f>
        <v>Verify</v>
      </c>
      <c r="P2299" t="str">
        <f>SITE_Assesment!J40</f>
        <v>Verify vertical ductbank angles and utility crossing depths before concrete placement.</v>
      </c>
      <c r="Q2299" t="str">
        <f t="shared" si="35"/>
        <v>SITE|33</v>
      </c>
    </row>
    <row r="2300" spans="1:17" ht="6.45" customHeight="1">
      <c r="A2300" t="s">
        <v>70</v>
      </c>
      <c r="B2300">
        <v>34</v>
      </c>
      <c r="C2300" t="s">
        <v>71</v>
      </c>
      <c r="D2300">
        <v>41</v>
      </c>
      <c r="E2300" t="s">
        <v>4307</v>
      </c>
      <c r="F2300" t="s">
        <v>5324</v>
      </c>
      <c r="G2300" t="str">
        <f>SITE_Assesment!A41</f>
        <v>B20/B22/B33/B17/B18/B19</v>
      </c>
      <c r="H2300" t="str">
        <f>SITE_Assesment!B41</f>
        <v>Trench / hand dig at crossings</v>
      </c>
      <c r="I2300" t="str">
        <f>SITE_Assesment!C41</f>
        <v>2x4 PVC ductbank</v>
      </c>
      <c r="J2300" t="str">
        <f>SITE_Assesment!D41</f>
        <v>Verify</v>
      </c>
      <c r="K2300" t="str">
        <f>SITE_Assesment!E41</f>
        <v>THH #8-#13</v>
      </c>
      <c r="L2300" t="str">
        <f>SITE_Assesment!F41</f>
        <v>Verify</v>
      </c>
      <c r="M2300" t="str">
        <f>SITE_Assesment!G41</f>
        <v>Verify</v>
      </c>
      <c r="N2300" t="str">
        <f>SITE_Assesment!H41</f>
        <v>Verify</v>
      </c>
      <c r="O2300" t="str">
        <f>SITE_Assesment!I41</f>
        <v>Verify</v>
      </c>
      <c r="P2300" t="str">
        <f>SITE_Assesment!J41</f>
        <v>Dense campus area with multiple building tie-ins; coordinate outages and building access.</v>
      </c>
      <c r="Q2300" t="str">
        <f t="shared" si="35"/>
        <v>SITE|34</v>
      </c>
    </row>
    <row r="2301" spans="1:17" ht="6.45" customHeight="1">
      <c r="A2301" t="s">
        <v>70</v>
      </c>
      <c r="B2301">
        <v>35</v>
      </c>
      <c r="C2301" t="s">
        <v>71</v>
      </c>
      <c r="D2301">
        <v>42</v>
      </c>
      <c r="E2301" t="s">
        <v>4307</v>
      </c>
      <c r="F2301" t="s">
        <v>5324</v>
      </c>
      <c r="G2301" t="str">
        <f>SITE_Assesment!A42</f>
        <v>Restoration</v>
      </c>
      <c r="H2301" t="str">
        <f>SITE_Assesment!B42</f>
        <v>Match existing</v>
      </c>
      <c r="I2301" t="str">
        <f>SITE_Assesment!C42</f>
        <v>N/A</v>
      </c>
      <c r="J2301" t="str">
        <f>SITE_Assesment!D42</f>
        <v>Concrete/asphalt/landscape</v>
      </c>
      <c r="K2301" t="str">
        <f>SITE_Assesment!E42</f>
        <v>N/A</v>
      </c>
      <c r="L2301" t="str">
        <f>SITE_Assesment!F42</f>
        <v>N/A</v>
      </c>
      <c r="M2301" t="str">
        <f>SITE_Assesment!G42</f>
        <v>Verify</v>
      </c>
      <c r="N2301" t="str">
        <f>SITE_Assesment!H42</f>
        <v>Verify</v>
      </c>
      <c r="O2301" t="str">
        <f>SITE_Assesment!I42</f>
        <v>Verify</v>
      </c>
      <c r="P2301" t="str">
        <f>SITE_Assesment!J42</f>
        <v>T-501 details include trenching, concrete edge, pullbox, locking cover and concrete mix details. Confirm patch widths, tie bars and replacement limits.</v>
      </c>
      <c r="Q2301" t="str">
        <f t="shared" si="35"/>
        <v>SITE|35</v>
      </c>
    </row>
    <row r="2302" spans="1:17" ht="6.45" customHeight="1">
      <c r="A2302" t="s">
        <v>70</v>
      </c>
      <c r="B2302">
        <v>36</v>
      </c>
      <c r="C2302" t="s">
        <v>71</v>
      </c>
      <c r="D2302">
        <v>43</v>
      </c>
      <c r="E2302" t="s">
        <v>4307</v>
      </c>
      <c r="F2302" t="s">
        <v>5325</v>
      </c>
      <c r="G2302">
        <f>SITE_Assesment!A43</f>
        <v>0</v>
      </c>
      <c r="H2302">
        <f>SITE_Assesment!B43</f>
        <v>0</v>
      </c>
      <c r="I2302">
        <f>SITE_Assesment!C43</f>
        <v>0</v>
      </c>
      <c r="J2302">
        <f>SITE_Assesment!D43</f>
        <v>0</v>
      </c>
      <c r="K2302">
        <f>SITE_Assesment!E43</f>
        <v>0</v>
      </c>
      <c r="L2302">
        <f>SITE_Assesment!F43</f>
        <v>0</v>
      </c>
      <c r="M2302">
        <f>SITE_Assesment!G43</f>
        <v>0</v>
      </c>
      <c r="N2302">
        <f>SITE_Assesment!H43</f>
        <v>0</v>
      </c>
      <c r="O2302">
        <f>SITE_Assesment!I43</f>
        <v>0</v>
      </c>
      <c r="P2302">
        <f>SITE_Assesment!J43</f>
        <v>0</v>
      </c>
      <c r="Q2302" t="str">
        <f t="shared" si="35"/>
        <v>SITE|36</v>
      </c>
    </row>
    <row r="2303" spans="1:17" ht="6.45" customHeight="1">
      <c r="A2303" t="s">
        <v>70</v>
      </c>
      <c r="B2303">
        <v>37</v>
      </c>
      <c r="C2303" t="s">
        <v>71</v>
      </c>
      <c r="D2303">
        <v>44</v>
      </c>
      <c r="E2303" t="s">
        <v>4334</v>
      </c>
      <c r="F2303" t="s">
        <v>5322</v>
      </c>
      <c r="G2303" t="str">
        <f>SITE_Assesment!A44</f>
        <v>5. ELECTRICAL / SITE UTILITIES</v>
      </c>
      <c r="H2303">
        <f>SITE_Assesment!B44</f>
        <v>0</v>
      </c>
      <c r="I2303">
        <f>SITE_Assesment!C44</f>
        <v>0</v>
      </c>
      <c r="J2303">
        <f>SITE_Assesment!D44</f>
        <v>0</v>
      </c>
      <c r="K2303">
        <f>SITE_Assesment!E44</f>
        <v>0</v>
      </c>
      <c r="L2303">
        <f>SITE_Assesment!F44</f>
        <v>0</v>
      </c>
      <c r="M2303">
        <f>SITE_Assesment!G44</f>
        <v>0</v>
      </c>
      <c r="N2303">
        <f>SITE_Assesment!H44</f>
        <v>0</v>
      </c>
      <c r="O2303">
        <f>SITE_Assesment!I44</f>
        <v>0</v>
      </c>
      <c r="P2303">
        <f>SITE_Assesment!J44</f>
        <v>0</v>
      </c>
      <c r="Q2303" t="str">
        <f t="shared" si="35"/>
        <v>SITE|37</v>
      </c>
    </row>
    <row r="2304" spans="1:17" ht="6.45" customHeight="1">
      <c r="A2304" t="s">
        <v>70</v>
      </c>
      <c r="B2304">
        <v>38</v>
      </c>
      <c r="C2304" t="s">
        <v>71</v>
      </c>
      <c r="D2304">
        <v>45</v>
      </c>
      <c r="E2304" t="s">
        <v>4334</v>
      </c>
      <c r="F2304" t="s">
        <v>5323</v>
      </c>
      <c r="G2304" t="str">
        <f>SITE_Assesment!A45</f>
        <v>Area</v>
      </c>
      <c r="H2304" t="str">
        <f>SITE_Assesment!B45</f>
        <v>Electrical Conflict</v>
      </c>
      <c r="I2304" t="str">
        <f>SITE_Assesment!C45</f>
        <v>Telecom Conflict</v>
      </c>
      <c r="J2304" t="str">
        <f>SITE_Assesment!D45</f>
        <v>Storm/Sanitary Conflict</v>
      </c>
      <c r="K2304" t="str">
        <f>SITE_Assesment!E45</f>
        <v>Utility Locate</v>
      </c>
      <c r="L2304" t="str">
        <f>SITE_Assesment!F45</f>
        <v>Grounding/Bonding</v>
      </c>
      <c r="M2304" t="str">
        <f>SITE_Assesment!G45</f>
        <v>Site Lighting</v>
      </c>
      <c r="N2304" t="str">
        <f>SITE_Assesment!H45</f>
        <v>Power Source</v>
      </c>
      <c r="O2304" t="str">
        <f>SITE_Assesment!I45</f>
        <v>Overall</v>
      </c>
      <c r="P2304" t="str">
        <f>SITE_Assesment!J45</f>
        <v>Notes</v>
      </c>
      <c r="Q2304" t="str">
        <f t="shared" si="35"/>
        <v>SITE|38</v>
      </c>
    </row>
    <row r="2305" spans="1:17" ht="6.45" customHeight="1">
      <c r="A2305" t="s">
        <v>70</v>
      </c>
      <c r="B2305">
        <v>39</v>
      </c>
      <c r="C2305" t="s">
        <v>71</v>
      </c>
      <c r="D2305">
        <v>46</v>
      </c>
      <c r="E2305" t="s">
        <v>4334</v>
      </c>
      <c r="F2305" t="s">
        <v>5324</v>
      </c>
      <c r="G2305" t="str">
        <f>SITE_Assesment!A46</f>
        <v>Overall Site</v>
      </c>
      <c r="H2305" t="str">
        <f>SITE_Assesment!B46</f>
        <v>Verify</v>
      </c>
      <c r="I2305" t="str">
        <f>SITE_Assesment!C46</f>
        <v>Verify</v>
      </c>
      <c r="J2305" t="str">
        <f>SITE_Assesment!D46</f>
        <v>Verify</v>
      </c>
      <c r="K2305" t="str">
        <f>SITE_Assesment!E46</f>
        <v>Verify</v>
      </c>
      <c r="L2305" t="str">
        <f>SITE_Assesment!F46</f>
        <v>Verify</v>
      </c>
      <c r="M2305" t="str">
        <f>SITE_Assesment!G46</f>
        <v>Verify</v>
      </c>
      <c r="N2305" t="str">
        <f>SITE_Assesment!H46</f>
        <v>Verify</v>
      </c>
      <c r="O2305" t="str">
        <f>SITE_Assesment!I46</f>
        <v>Verify</v>
      </c>
      <c r="P2305" t="str">
        <f>SITE_Assesment!J46</f>
        <v>Electrical site plans ES101/ES401 are included. Existing utility locations are approximate; coordinate electrical vaults, underground electrical, storm drain manholes and sanitary manholes.</v>
      </c>
      <c r="Q2305" t="str">
        <f t="shared" si="35"/>
        <v>SITE|39</v>
      </c>
    </row>
    <row r="2306" spans="1:17" ht="6.45" customHeight="1">
      <c r="A2306" t="s">
        <v>70</v>
      </c>
      <c r="B2306">
        <v>40</v>
      </c>
      <c r="C2306" t="s">
        <v>71</v>
      </c>
      <c r="D2306">
        <v>47</v>
      </c>
      <c r="E2306" t="s">
        <v>4334</v>
      </c>
      <c r="F2306" t="s">
        <v>5324</v>
      </c>
      <c r="G2306" t="str">
        <f>SITE_Assesment!A47</f>
        <v>THH / Manholes</v>
      </c>
      <c r="H2306" t="str">
        <f>SITE_Assesment!B47</f>
        <v>Verify</v>
      </c>
      <c r="I2306" t="str">
        <f>SITE_Assesment!C47</f>
        <v>Verify</v>
      </c>
      <c r="J2306" t="str">
        <f>SITE_Assesment!D47</f>
        <v>Verify</v>
      </c>
      <c r="K2306" t="str">
        <f>SITE_Assesment!E47</f>
        <v>Verify</v>
      </c>
      <c r="L2306" t="str">
        <f>SITE_Assesment!F47</f>
        <v>Verify</v>
      </c>
      <c r="M2306" t="str">
        <f>SITE_Assesment!G47</f>
        <v>N/A</v>
      </c>
      <c r="N2306" t="str">
        <f>SITE_Assesment!H47</f>
        <v>N/A</v>
      </c>
      <c r="O2306" t="str">
        <f>SITE_Assesment!I47</f>
        <v>Verify</v>
      </c>
      <c r="P2306" t="str">
        <f>SITE_Assesment!J47</f>
        <v>Locking covers and handhole/manhole locations must be field verified. Confirm bonding/grounding requirements where metallic components are present.</v>
      </c>
      <c r="Q2306" t="str">
        <f t="shared" ref="Q2306:Q2355" si="36">A2306&amp;"|"&amp;B2306</f>
        <v>SITE|40</v>
      </c>
    </row>
    <row r="2307" spans="1:17" ht="6.45" customHeight="1">
      <c r="A2307" t="s">
        <v>70</v>
      </c>
      <c r="B2307">
        <v>41</v>
      </c>
      <c r="C2307" t="s">
        <v>71</v>
      </c>
      <c r="D2307">
        <v>48</v>
      </c>
      <c r="E2307" t="s">
        <v>4334</v>
      </c>
      <c r="F2307" t="s">
        <v>5324</v>
      </c>
      <c r="G2307" t="str">
        <f>SITE_Assesment!A48</f>
        <v>MCR / Provider Entrance</v>
      </c>
      <c r="H2307" t="str">
        <f>SITE_Assesment!B48</f>
        <v>Verify</v>
      </c>
      <c r="I2307" t="str">
        <f>SITE_Assesment!C48</f>
        <v>Verify</v>
      </c>
      <c r="J2307" t="str">
        <f>SITE_Assesment!D48</f>
        <v>Verify</v>
      </c>
      <c r="K2307" t="str">
        <f>SITE_Assesment!E48</f>
        <v>Verify</v>
      </c>
      <c r="L2307" t="str">
        <f>SITE_Assesment!F48</f>
        <v>Verify</v>
      </c>
      <c r="M2307" t="str">
        <f>SITE_Assesment!G48</f>
        <v>Verify</v>
      </c>
      <c r="N2307" t="str">
        <f>SITE_Assesment!H48</f>
        <v>Verify</v>
      </c>
      <c r="O2307" t="str">
        <f>SITE_Assesment!I48</f>
        <v>Verify</v>
      </c>
      <c r="P2307" t="str">
        <f>SITE_Assesment!J48</f>
        <v>T-601 shows WAN/provider fiber entrances and new fiber Path A/B to the MCR. Coordinate with Century Link/service provider and MCR activation.</v>
      </c>
      <c r="Q2307" t="str">
        <f t="shared" si="36"/>
        <v>SITE|41</v>
      </c>
    </row>
    <row r="2308" spans="1:17" ht="6.45" customHeight="1">
      <c r="A2308" t="s">
        <v>70</v>
      </c>
      <c r="B2308">
        <v>42</v>
      </c>
      <c r="C2308" t="s">
        <v>71</v>
      </c>
      <c r="D2308">
        <v>49</v>
      </c>
      <c r="E2308" t="s">
        <v>4334</v>
      </c>
      <c r="F2308" t="s">
        <v>5324</v>
      </c>
      <c r="G2308" t="str">
        <f>SITE_Assesment!A49</f>
        <v>Building Tie-ins</v>
      </c>
      <c r="H2308" t="str">
        <f>SITE_Assesment!B49</f>
        <v>Verify</v>
      </c>
      <c r="I2308" t="str">
        <f>SITE_Assesment!C49</f>
        <v>Verify</v>
      </c>
      <c r="J2308" t="str">
        <f>SITE_Assesment!D49</f>
        <v>Verify</v>
      </c>
      <c r="K2308" t="str">
        <f>SITE_Assesment!E49</f>
        <v>Verify</v>
      </c>
      <c r="L2308" t="str">
        <f>SITE_Assesment!F49</f>
        <v>Verify</v>
      </c>
      <c r="M2308" t="str">
        <f>SITE_Assesment!G49</f>
        <v>Verify</v>
      </c>
      <c r="N2308" t="str">
        <f>SITE_Assesment!H49</f>
        <v>Verify</v>
      </c>
      <c r="O2308" t="str">
        <f>SITE_Assesment!I49</f>
        <v>Verify</v>
      </c>
      <c r="P2308" t="str">
        <f>SITE_Assesment!J49</f>
        <v>Coordinate conduit penetrations with building electrical/telecom/firestop scope and avoid conflicts with existing services.</v>
      </c>
      <c r="Q2308" t="str">
        <f t="shared" si="36"/>
        <v>SITE|42</v>
      </c>
    </row>
    <row r="2309" spans="1:17" ht="6.45" customHeight="1">
      <c r="A2309" t="s">
        <v>70</v>
      </c>
      <c r="B2309">
        <v>43</v>
      </c>
      <c r="C2309" t="s">
        <v>71</v>
      </c>
      <c r="D2309">
        <v>50</v>
      </c>
      <c r="E2309" t="s">
        <v>4334</v>
      </c>
      <c r="F2309" t="s">
        <v>5325</v>
      </c>
      <c r="G2309">
        <f>SITE_Assesment!A50</f>
        <v>0</v>
      </c>
      <c r="H2309">
        <f>SITE_Assesment!B50</f>
        <v>0</v>
      </c>
      <c r="I2309">
        <f>SITE_Assesment!C50</f>
        <v>0</v>
      </c>
      <c r="J2309">
        <f>SITE_Assesment!D50</f>
        <v>0</v>
      </c>
      <c r="K2309">
        <f>SITE_Assesment!E50</f>
        <v>0</v>
      </c>
      <c r="L2309">
        <f>SITE_Assesment!F50</f>
        <v>0</v>
      </c>
      <c r="M2309">
        <f>SITE_Assesment!G50</f>
        <v>0</v>
      </c>
      <c r="N2309">
        <f>SITE_Assesment!H50</f>
        <v>0</v>
      </c>
      <c r="O2309">
        <f>SITE_Assesment!I50</f>
        <v>0</v>
      </c>
      <c r="P2309">
        <f>SITE_Assesment!J50</f>
        <v>0</v>
      </c>
      <c r="Q2309" t="str">
        <f t="shared" si="36"/>
        <v>SITE|43</v>
      </c>
    </row>
    <row r="2310" spans="1:17" ht="6.45" customHeight="1">
      <c r="A2310" t="s">
        <v>70</v>
      </c>
      <c r="B2310">
        <v>44</v>
      </c>
      <c r="C2310" t="s">
        <v>71</v>
      </c>
      <c r="D2310">
        <v>51</v>
      </c>
      <c r="E2310" t="s">
        <v>4346</v>
      </c>
      <c r="F2310" t="s">
        <v>5322</v>
      </c>
      <c r="G2310" t="str">
        <f>SITE_Assesment!A51</f>
        <v>6. TELECOMMUNICATIONS / FIBER</v>
      </c>
      <c r="H2310">
        <f>SITE_Assesment!B51</f>
        <v>0</v>
      </c>
      <c r="I2310">
        <f>SITE_Assesment!C51</f>
        <v>0</v>
      </c>
      <c r="J2310">
        <f>SITE_Assesment!D51</f>
        <v>0</v>
      </c>
      <c r="K2310">
        <f>SITE_Assesment!E51</f>
        <v>0</v>
      </c>
      <c r="L2310">
        <f>SITE_Assesment!F51</f>
        <v>0</v>
      </c>
      <c r="M2310">
        <f>SITE_Assesment!G51</f>
        <v>0</v>
      </c>
      <c r="N2310">
        <f>SITE_Assesment!H51</f>
        <v>0</v>
      </c>
      <c r="O2310">
        <f>SITE_Assesment!I51</f>
        <v>0</v>
      </c>
      <c r="P2310">
        <f>SITE_Assesment!J51</f>
        <v>0</v>
      </c>
      <c r="Q2310" t="str">
        <f t="shared" si="36"/>
        <v>SITE|44</v>
      </c>
    </row>
    <row r="2311" spans="1:17" ht="6.45" customHeight="1">
      <c r="A2311" t="s">
        <v>70</v>
      </c>
      <c r="B2311">
        <v>45</v>
      </c>
      <c r="C2311" t="s">
        <v>71</v>
      </c>
      <c r="D2311">
        <v>52</v>
      </c>
      <c r="E2311" t="s">
        <v>4346</v>
      </c>
      <c r="F2311" t="s">
        <v>5323</v>
      </c>
      <c r="G2311" t="str">
        <f>SITE_Assesment!A52</f>
        <v>Scope</v>
      </c>
      <c r="H2311" t="str">
        <f>SITE_Assesment!B52</f>
        <v>Path A</v>
      </c>
      <c r="I2311" t="str">
        <f>SITE_Assesment!C52</f>
        <v>Path B</v>
      </c>
      <c r="J2311" t="str">
        <f>SITE_Assesment!D52</f>
        <v>Fiber Type</v>
      </c>
      <c r="K2311" t="str">
        <f>SITE_Assesment!E52</f>
        <v>Conduit Separation</v>
      </c>
      <c r="L2311" t="str">
        <f>SITE_Assesment!F52</f>
        <v>Riser / Continuation</v>
      </c>
      <c r="M2311" t="str">
        <f>SITE_Assesment!G52</f>
        <v>Testing</v>
      </c>
      <c r="N2311" t="str">
        <f>SITE_Assesment!H52</f>
        <v>VA Acceptance</v>
      </c>
      <c r="O2311" t="str">
        <f>SITE_Assesment!I52</f>
        <v>Overall</v>
      </c>
      <c r="P2311" t="str">
        <f>SITE_Assesment!J52</f>
        <v>Notes</v>
      </c>
      <c r="Q2311" t="str">
        <f t="shared" si="36"/>
        <v>SITE|45</v>
      </c>
    </row>
    <row r="2312" spans="1:17" ht="6.45" customHeight="1">
      <c r="A2312" t="s">
        <v>70</v>
      </c>
      <c r="B2312">
        <v>46</v>
      </c>
      <c r="C2312" t="s">
        <v>71</v>
      </c>
      <c r="D2312">
        <v>53</v>
      </c>
      <c r="E2312" t="s">
        <v>4346</v>
      </c>
      <c r="F2312" t="s">
        <v>5324</v>
      </c>
      <c r="G2312" t="str">
        <f>SITE_Assesment!A53</f>
        <v>Campus Backbone</v>
      </c>
      <c r="H2312" t="str">
        <f>SITE_Assesment!B53</f>
        <v>Verify</v>
      </c>
      <c r="I2312" t="str">
        <f>SITE_Assesment!C53</f>
        <v>Verify</v>
      </c>
      <c r="J2312" t="str">
        <f>SITE_Assesment!D53</f>
        <v>24F OS2 10GB to each TR/building</v>
      </c>
      <c r="K2312" t="str">
        <f>SITE_Assesment!E53</f>
        <v>Separate conduit where common ductbank shown</v>
      </c>
      <c r="L2312" t="str">
        <f>SITE_Assesment!F53</f>
        <v>T-601 / building T-101 sheets</v>
      </c>
      <c r="M2312" t="str">
        <f>SITE_Assesment!G53</f>
        <v>Verify</v>
      </c>
      <c r="N2312" t="str">
        <f>SITE_Assesment!H53</f>
        <v>Verify</v>
      </c>
      <c r="O2312" t="str">
        <f>SITE_Assesment!I53</f>
        <v>Verify</v>
      </c>
      <c r="P2312" t="str">
        <f>SITE_Assesment!J53</f>
        <v>Legend identifies new fiber in A route, B route, and A+B routes in separate conduits. Confirm no cross-connect gaps at THHs/manholes.</v>
      </c>
      <c r="Q2312" t="str">
        <f t="shared" si="36"/>
        <v>SITE|46</v>
      </c>
    </row>
    <row r="2313" spans="1:17" ht="6.45" customHeight="1">
      <c r="A2313" t="s">
        <v>70</v>
      </c>
      <c r="B2313">
        <v>47</v>
      </c>
      <c r="C2313" t="s">
        <v>71</v>
      </c>
      <c r="D2313">
        <v>54</v>
      </c>
      <c r="E2313" t="s">
        <v>4346</v>
      </c>
      <c r="F2313" t="s">
        <v>5324</v>
      </c>
      <c r="G2313" t="str">
        <f>SITE_Assesment!A54</f>
        <v>MCR Provider / WAN</v>
      </c>
      <c r="H2313" t="str">
        <f>SITE_Assesment!B54</f>
        <v>Verify</v>
      </c>
      <c r="I2313" t="str">
        <f>SITE_Assesment!C54</f>
        <v>Verify</v>
      </c>
      <c r="J2313" t="str">
        <f>SITE_Assesment!D54</f>
        <v>48F OS2 temporary and provider extension noted</v>
      </c>
      <c r="K2313" t="str">
        <f>SITE_Assesment!E54</f>
        <v>Verify</v>
      </c>
      <c r="L2313" t="str">
        <f>SITE_Assesment!F54</f>
        <v>T-601 / MCR sheets</v>
      </c>
      <c r="M2313" t="str">
        <f>SITE_Assesment!G54</f>
        <v>Verify</v>
      </c>
      <c r="N2313" t="str">
        <f>SITE_Assesment!H54</f>
        <v>Verify</v>
      </c>
      <c r="O2313" t="str">
        <f>SITE_Assesment!I54</f>
        <v>Verify</v>
      </c>
      <c r="P2313" t="str">
        <f>SITE_Assesment!J54</f>
        <v>Site one-line shows WAN fiber from service provider and temporary/provider extension pathways. Coordinate with MCR activation and OIT.</v>
      </c>
      <c r="Q2313" t="str">
        <f t="shared" si="36"/>
        <v>SITE|47</v>
      </c>
    </row>
    <row r="2314" spans="1:17" ht="6.45" customHeight="1">
      <c r="A2314" t="s">
        <v>70</v>
      </c>
      <c r="B2314">
        <v>48</v>
      </c>
      <c r="C2314" t="s">
        <v>71</v>
      </c>
      <c r="D2314">
        <v>55</v>
      </c>
      <c r="E2314" t="s">
        <v>4346</v>
      </c>
      <c r="F2314" t="s">
        <v>5324</v>
      </c>
      <c r="G2314" t="str">
        <f>SITE_Assesment!A55</f>
        <v>Building Drops</v>
      </c>
      <c r="H2314" t="str">
        <f>SITE_Assesment!B55</f>
        <v>Verify</v>
      </c>
      <c r="I2314" t="str">
        <f>SITE_Assesment!C55</f>
        <v>Verify</v>
      </c>
      <c r="J2314" t="str">
        <f>SITE_Assesment!D55</f>
        <v>24F OS2 to each TR in each building</v>
      </c>
      <c r="K2314" t="str">
        <f>SITE_Assesment!E55</f>
        <v>Verify</v>
      </c>
      <c r="L2314" t="str">
        <f>SITE_Assesment!F55</f>
        <v>Building T-101 and T-601</v>
      </c>
      <c r="M2314" t="str">
        <f>SITE_Assesment!G55</f>
        <v>Verify</v>
      </c>
      <c r="N2314" t="str">
        <f>SITE_Assesment!H55</f>
        <v>Verify</v>
      </c>
      <c r="O2314" t="str">
        <f>SITE_Assesment!I55</f>
        <v>Verify</v>
      </c>
      <c r="P2314" t="str">
        <f>SITE_Assesment!J55</f>
        <v>Each building tie-in must be tested, labeled, and accepted before connection to active operations.</v>
      </c>
      <c r="Q2314" t="str">
        <f t="shared" si="36"/>
        <v>SITE|48</v>
      </c>
    </row>
    <row r="2315" spans="1:17" ht="6.45" customHeight="1">
      <c r="A2315" t="s">
        <v>70</v>
      </c>
      <c r="B2315">
        <v>49</v>
      </c>
      <c r="C2315" t="s">
        <v>71</v>
      </c>
      <c r="D2315">
        <v>56</v>
      </c>
      <c r="E2315" t="s">
        <v>4346</v>
      </c>
      <c r="F2315" t="s">
        <v>5324</v>
      </c>
      <c r="G2315" t="str">
        <f>SITE_Assesment!A56</f>
        <v>THH Network</v>
      </c>
      <c r="H2315" t="str">
        <f>SITE_Assesment!B56</f>
        <v>Verify</v>
      </c>
      <c r="I2315" t="str">
        <f>SITE_Assesment!C56</f>
        <v>Verify</v>
      </c>
      <c r="J2315" t="str">
        <f>SITE_Assesment!D56</f>
        <v>Varies by segment</v>
      </c>
      <c r="K2315" t="str">
        <f>SITE_Assesment!E56</f>
        <v>Verify</v>
      </c>
      <c r="L2315" t="str">
        <f>SITE_Assesment!F56</f>
        <v>T-601</v>
      </c>
      <c r="M2315" t="str">
        <f>SITE_Assesment!G56</f>
        <v>Verify</v>
      </c>
      <c r="N2315" t="str">
        <f>SITE_Assesment!H56</f>
        <v>Verify</v>
      </c>
      <c r="O2315" t="str">
        <f>SITE_Assesment!I56</f>
        <v>Verify</v>
      </c>
      <c r="P2315" t="str">
        <f>SITE_Assesment!J56</f>
        <v>T-601 one-line lists THH #1-#19 and path counts such as 6 Path A + 4 Path B, 6 Path A + 6 Path B, 7 Path A + 7 Path B, 5 Path A + 4 Path B, and 9 Path A + 7 Path B.</v>
      </c>
      <c r="Q2315" t="str">
        <f t="shared" si="36"/>
        <v>SITE|49</v>
      </c>
    </row>
    <row r="2316" spans="1:17" ht="6.45" customHeight="1">
      <c r="A2316" t="s">
        <v>70</v>
      </c>
      <c r="B2316">
        <v>50</v>
      </c>
      <c r="C2316" t="s">
        <v>71</v>
      </c>
      <c r="D2316">
        <v>57</v>
      </c>
      <c r="E2316" t="s">
        <v>4346</v>
      </c>
      <c r="F2316" t="s">
        <v>5325</v>
      </c>
      <c r="G2316">
        <f>SITE_Assesment!A57</f>
        <v>0</v>
      </c>
      <c r="H2316">
        <f>SITE_Assesment!B57</f>
        <v>0</v>
      </c>
      <c r="I2316">
        <f>SITE_Assesment!C57</f>
        <v>0</v>
      </c>
      <c r="J2316">
        <f>SITE_Assesment!D57</f>
        <v>0</v>
      </c>
      <c r="K2316">
        <f>SITE_Assesment!E57</f>
        <v>0</v>
      </c>
      <c r="L2316">
        <f>SITE_Assesment!F57</f>
        <v>0</v>
      </c>
      <c r="M2316">
        <f>SITE_Assesment!G57</f>
        <v>0</v>
      </c>
      <c r="N2316">
        <f>SITE_Assesment!H57</f>
        <v>0</v>
      </c>
      <c r="O2316">
        <f>SITE_Assesment!I57</f>
        <v>0</v>
      </c>
      <c r="P2316">
        <f>SITE_Assesment!J57</f>
        <v>0</v>
      </c>
      <c r="Q2316" t="str">
        <f t="shared" si="36"/>
        <v>SITE|50</v>
      </c>
    </row>
    <row r="2317" spans="1:17" ht="6.45" customHeight="1">
      <c r="A2317" t="s">
        <v>70</v>
      </c>
      <c r="B2317">
        <v>51</v>
      </c>
      <c r="C2317" t="s">
        <v>71</v>
      </c>
      <c r="D2317">
        <v>58</v>
      </c>
      <c r="E2317" t="s">
        <v>4368</v>
      </c>
      <c r="F2317" t="s">
        <v>5322</v>
      </c>
      <c r="G2317" t="str">
        <f>SITE_Assesment!A58</f>
        <v>7. SECURITY / SITE CONTROL</v>
      </c>
      <c r="H2317">
        <f>SITE_Assesment!B58</f>
        <v>0</v>
      </c>
      <c r="I2317">
        <f>SITE_Assesment!C58</f>
        <v>0</v>
      </c>
      <c r="J2317">
        <f>SITE_Assesment!D58</f>
        <v>0</v>
      </c>
      <c r="K2317">
        <f>SITE_Assesment!E58</f>
        <v>0</v>
      </c>
      <c r="L2317">
        <f>SITE_Assesment!F58</f>
        <v>0</v>
      </c>
      <c r="M2317">
        <f>SITE_Assesment!G58</f>
        <v>0</v>
      </c>
      <c r="N2317">
        <f>SITE_Assesment!H58</f>
        <v>0</v>
      </c>
      <c r="O2317">
        <f>SITE_Assesment!I58</f>
        <v>0</v>
      </c>
      <c r="P2317">
        <f>SITE_Assesment!J58</f>
        <v>0</v>
      </c>
      <c r="Q2317" t="str">
        <f t="shared" si="36"/>
        <v>SITE|51</v>
      </c>
    </row>
    <row r="2318" spans="1:17" ht="6.45" customHeight="1">
      <c r="A2318" t="s">
        <v>70</v>
      </c>
      <c r="B2318">
        <v>52</v>
      </c>
      <c r="C2318" t="s">
        <v>71</v>
      </c>
      <c r="D2318">
        <v>59</v>
      </c>
      <c r="E2318" t="s">
        <v>4368</v>
      </c>
      <c r="F2318" t="s">
        <v>5323</v>
      </c>
      <c r="G2318" t="str">
        <f>SITE_Assesment!A59</f>
        <v>Area</v>
      </c>
      <c r="H2318" t="str">
        <f>SITE_Assesment!B59</f>
        <v>Access Control</v>
      </c>
      <c r="I2318" t="str">
        <f>SITE_Assesment!C59</f>
        <v>Barricades</v>
      </c>
      <c r="J2318" t="str">
        <f>SITE_Assesment!D59</f>
        <v>Traffic Control</v>
      </c>
      <c r="K2318" t="str">
        <f>SITE_Assesment!E59</f>
        <v>Pedestrian Control</v>
      </c>
      <c r="L2318" t="str">
        <f>SITE_Assesment!F59</f>
        <v>After-hours Work</v>
      </c>
      <c r="M2318" t="str">
        <f>SITE_Assesment!G59</f>
        <v>VA Escort</v>
      </c>
      <c r="N2318" t="str">
        <f>SITE_Assesment!H59</f>
        <v>Public Impact</v>
      </c>
      <c r="O2318" t="str">
        <f>SITE_Assesment!I59</f>
        <v>Overall</v>
      </c>
      <c r="P2318" t="str">
        <f>SITE_Assesment!J59</f>
        <v>Notes</v>
      </c>
      <c r="Q2318" t="str">
        <f t="shared" si="36"/>
        <v>SITE|52</v>
      </c>
    </row>
    <row r="2319" spans="1:17" ht="6.45" customHeight="1">
      <c r="A2319" t="s">
        <v>70</v>
      </c>
      <c r="B2319">
        <v>53</v>
      </c>
      <c r="C2319" t="s">
        <v>71</v>
      </c>
      <c r="D2319">
        <v>60</v>
      </c>
      <c r="E2319" t="s">
        <v>4368</v>
      </c>
      <c r="F2319" t="s">
        <v>5324</v>
      </c>
      <c r="G2319" t="str">
        <f>SITE_Assesment!A60</f>
        <v>Campus Site Work</v>
      </c>
      <c r="H2319" t="str">
        <f>SITE_Assesment!B60</f>
        <v>Verify</v>
      </c>
      <c r="I2319" t="str">
        <f>SITE_Assesment!C60</f>
        <v>Verify</v>
      </c>
      <c r="J2319" t="str">
        <f>SITE_Assesment!D60</f>
        <v>Verify</v>
      </c>
      <c r="K2319" t="str">
        <f>SITE_Assesment!E60</f>
        <v>Verify</v>
      </c>
      <c r="L2319" t="str">
        <f>SITE_Assesment!F60</f>
        <v>Verify</v>
      </c>
      <c r="M2319" t="str">
        <f>SITE_Assesment!G60</f>
        <v>Verify</v>
      </c>
      <c r="N2319" t="str">
        <f>SITE_Assesment!H60</f>
        <v>Verify</v>
      </c>
      <c r="O2319" t="str">
        <f>SITE_Assesment!I60</f>
        <v>Verify</v>
      </c>
      <c r="P2319" t="str">
        <f>SITE_Assesment!J60</f>
        <v>Coordinate staging, access, material storage, noisy work, utility interruption, trench barricades and public access with owner.</v>
      </c>
      <c r="Q2319" t="str">
        <f t="shared" si="36"/>
        <v>SITE|53</v>
      </c>
    </row>
    <row r="2320" spans="1:17" ht="6.45" customHeight="1">
      <c r="A2320" t="s">
        <v>70</v>
      </c>
      <c r="B2320">
        <v>54</v>
      </c>
      <c r="C2320" t="s">
        <v>71</v>
      </c>
      <c r="D2320">
        <v>61</v>
      </c>
      <c r="E2320" t="s">
        <v>4368</v>
      </c>
      <c r="F2320" t="s">
        <v>5324</v>
      </c>
      <c r="G2320" t="str">
        <f>SITE_Assesment!A61</f>
        <v>Road / Parking Impacts</v>
      </c>
      <c r="H2320" t="str">
        <f>SITE_Assesment!B61</f>
        <v>Verify</v>
      </c>
      <c r="I2320" t="str">
        <f>SITE_Assesment!C61</f>
        <v>Verify</v>
      </c>
      <c r="J2320" t="str">
        <f>SITE_Assesment!D61</f>
        <v>Verify</v>
      </c>
      <c r="K2320" t="str">
        <f>SITE_Assesment!E61</f>
        <v>Verify</v>
      </c>
      <c r="L2320" t="str">
        <f>SITE_Assesment!F61</f>
        <v>Verify</v>
      </c>
      <c r="M2320" t="str">
        <f>SITE_Assesment!G61</f>
        <v>Verify</v>
      </c>
      <c r="N2320" t="str">
        <f>SITE_Assesment!H61</f>
        <v>Verify</v>
      </c>
      <c r="O2320" t="str">
        <f>SITE_Assesment!I61</f>
        <v>Verify</v>
      </c>
      <c r="P2320" t="str">
        <f>SITE_Assesment!J61</f>
        <v>General notes specifically identify accessible parking and public right-of-way impacts; temporary barricades must prevent injury and protect parking signage.</v>
      </c>
      <c r="Q2320" t="str">
        <f t="shared" si="36"/>
        <v>SITE|54</v>
      </c>
    </row>
    <row r="2321" spans="1:17" ht="6.45" customHeight="1">
      <c r="A2321" t="s">
        <v>70</v>
      </c>
      <c r="B2321">
        <v>55</v>
      </c>
      <c r="C2321" t="s">
        <v>71</v>
      </c>
      <c r="D2321">
        <v>62</v>
      </c>
      <c r="E2321" t="s">
        <v>4368</v>
      </c>
      <c r="F2321" t="s">
        <v>5324</v>
      </c>
      <c r="G2321" t="str">
        <f>SITE_Assesment!A62</f>
        <v>Critical Utility Crossings</v>
      </c>
      <c r="H2321" t="str">
        <f>SITE_Assesment!B62</f>
        <v>Verify</v>
      </c>
      <c r="I2321" t="str">
        <f>SITE_Assesment!C62</f>
        <v>Verify</v>
      </c>
      <c r="J2321" t="str">
        <f>SITE_Assesment!D62</f>
        <v>Verify</v>
      </c>
      <c r="K2321" t="str">
        <f>SITE_Assesment!E62</f>
        <v>Verify</v>
      </c>
      <c r="L2321" t="str">
        <f>SITE_Assesment!F62</f>
        <v>Verify</v>
      </c>
      <c r="M2321" t="str">
        <f>SITE_Assesment!G62</f>
        <v>Verify</v>
      </c>
      <c r="N2321" t="str">
        <f>SITE_Assesment!H62</f>
        <v>Verify</v>
      </c>
      <c r="O2321" t="str">
        <f>SITE_Assesment!I62</f>
        <v>Verify</v>
      </c>
      <c r="P2321" t="str">
        <f>SITE_Assesment!J62</f>
        <v>Hand digging at existing utility crossings is in base bid. Confirm permits, Dig Safe, VA utility locate and escort requirements before excavation.</v>
      </c>
      <c r="Q2321" t="str">
        <f t="shared" si="36"/>
        <v>SITE|55</v>
      </c>
    </row>
    <row r="2322" spans="1:17" ht="6.45" customHeight="1">
      <c r="A2322" t="s">
        <v>70</v>
      </c>
      <c r="B2322">
        <v>56</v>
      </c>
      <c r="C2322" t="s">
        <v>71</v>
      </c>
      <c r="D2322">
        <v>63</v>
      </c>
      <c r="E2322" t="s">
        <v>4368</v>
      </c>
      <c r="F2322" t="s">
        <v>5325</v>
      </c>
      <c r="G2322">
        <f>SITE_Assesment!A63</f>
        <v>0</v>
      </c>
      <c r="H2322">
        <f>SITE_Assesment!B63</f>
        <v>0</v>
      </c>
      <c r="I2322">
        <f>SITE_Assesment!C63</f>
        <v>0</v>
      </c>
      <c r="J2322">
        <f>SITE_Assesment!D63</f>
        <v>0</v>
      </c>
      <c r="K2322">
        <f>SITE_Assesment!E63</f>
        <v>0</v>
      </c>
      <c r="L2322">
        <f>SITE_Assesment!F63</f>
        <v>0</v>
      </c>
      <c r="M2322">
        <f>SITE_Assesment!G63</f>
        <v>0</v>
      </c>
      <c r="N2322">
        <f>SITE_Assesment!H63</f>
        <v>0</v>
      </c>
      <c r="O2322">
        <f>SITE_Assesment!I63</f>
        <v>0</v>
      </c>
      <c r="P2322">
        <f>SITE_Assesment!J63</f>
        <v>0</v>
      </c>
      <c r="Q2322" t="str">
        <f t="shared" si="36"/>
        <v>SITE|56</v>
      </c>
    </row>
    <row r="2323" spans="1:17" ht="6.45" customHeight="1">
      <c r="A2323" t="s">
        <v>70</v>
      </c>
      <c r="B2323">
        <v>57</v>
      </c>
      <c r="C2323" t="s">
        <v>71</v>
      </c>
      <c r="D2323">
        <v>64</v>
      </c>
      <c r="E2323" t="s">
        <v>1019</v>
      </c>
      <c r="F2323" t="s">
        <v>5322</v>
      </c>
      <c r="G2323" t="str">
        <f>SITE_Assesment!A64</f>
        <v>8. OWNER RISKS</v>
      </c>
      <c r="H2323">
        <f>SITE_Assesment!B64</f>
        <v>0</v>
      </c>
      <c r="I2323">
        <f>SITE_Assesment!C64</f>
        <v>0</v>
      </c>
      <c r="J2323">
        <f>SITE_Assesment!D64</f>
        <v>0</v>
      </c>
      <c r="K2323">
        <f>SITE_Assesment!E64</f>
        <v>0</v>
      </c>
      <c r="L2323">
        <f>SITE_Assesment!F64</f>
        <v>0</v>
      </c>
      <c r="M2323">
        <f>SITE_Assesment!G64</f>
        <v>0</v>
      </c>
      <c r="N2323">
        <f>SITE_Assesment!H64</f>
        <v>0</v>
      </c>
      <c r="O2323">
        <f>SITE_Assesment!I64</f>
        <v>0</v>
      </c>
      <c r="P2323">
        <f>SITE_Assesment!J64</f>
        <v>0</v>
      </c>
      <c r="Q2323" t="str">
        <f t="shared" si="36"/>
        <v>SITE|57</v>
      </c>
    </row>
    <row r="2324" spans="1:17" ht="6.45" customHeight="1">
      <c r="A2324" t="s">
        <v>70</v>
      </c>
      <c r="B2324">
        <v>58</v>
      </c>
      <c r="C2324" t="s">
        <v>71</v>
      </c>
      <c r="D2324">
        <v>65</v>
      </c>
      <c r="E2324" t="s">
        <v>1019</v>
      </c>
      <c r="F2324" t="s">
        <v>5323</v>
      </c>
      <c r="G2324" t="str">
        <f>SITE_Assesment!A65</f>
        <v>Risk ID</v>
      </c>
      <c r="H2324" t="str">
        <f>SITE_Assesment!B65</f>
        <v>Area</v>
      </c>
      <c r="I2324" t="str">
        <f>SITE_Assesment!C65</f>
        <v>Risk</v>
      </c>
      <c r="J2324" t="str">
        <f>SITE_Assesment!D65</f>
        <v>Impact</v>
      </c>
      <c r="K2324" t="str">
        <f>SITE_Assesment!E65</f>
        <v>Probability</v>
      </c>
      <c r="L2324" t="str">
        <f>SITE_Assesment!F65</f>
        <v>Score</v>
      </c>
      <c r="M2324" t="str">
        <f>SITE_Assesment!G65</f>
        <v>Mitigation</v>
      </c>
      <c r="N2324" t="str">
        <f>SITE_Assesment!H65</f>
        <v>Owner</v>
      </c>
      <c r="O2324" t="str">
        <f>SITE_Assesment!I65</f>
        <v>Status</v>
      </c>
      <c r="P2324" t="str">
        <f>SITE_Assesment!J65</f>
        <v>Notes</v>
      </c>
      <c r="Q2324" t="str">
        <f t="shared" si="36"/>
        <v>SITE|58</v>
      </c>
    </row>
    <row r="2325" spans="1:17" ht="6.45" customHeight="1">
      <c r="A2325" t="s">
        <v>70</v>
      </c>
      <c r="B2325">
        <v>59</v>
      </c>
      <c r="C2325" t="s">
        <v>71</v>
      </c>
      <c r="D2325">
        <v>66</v>
      </c>
      <c r="E2325" t="s">
        <v>1019</v>
      </c>
      <c r="F2325" t="s">
        <v>5324</v>
      </c>
      <c r="G2325" t="str">
        <f>SITE_Assesment!A66</f>
        <v>SITE-R1</v>
      </c>
      <c r="H2325" t="str">
        <f>SITE_Assesment!B66</f>
        <v>All</v>
      </c>
      <c r="I2325" t="str">
        <f>SITE_Assesment!C66</f>
        <v>Existing utility locations are approximate and field conditions may vary from survey</v>
      </c>
      <c r="J2325" t="str">
        <f>SITE_Assesment!D66</f>
        <v>Critical</v>
      </c>
      <c r="K2325" t="str">
        <f>SITE_Assesment!E66</f>
        <v>High</v>
      </c>
      <c r="L2325">
        <f>SITE_Assesment!F66</f>
        <v>9</v>
      </c>
      <c r="M2325" t="str">
        <f>SITE_Assesment!G66</f>
        <v>Complete utility locate, GPR review, potholing/hand-digging at crossings and VA utility coordination before excavation</v>
      </c>
      <c r="N2325" t="str">
        <f>SITE_Assesment!H66</f>
        <v>GC / Civil / VA</v>
      </c>
      <c r="O2325" t="str">
        <f>SITE_Assesment!I66</f>
        <v>Closed</v>
      </c>
      <c r="P2325" t="str">
        <f>SITE_Assesment!J66</f>
        <v>Multiple sheets repeat that survey conditions may vary and utility location service is required prior to excavation.</v>
      </c>
      <c r="Q2325" t="str">
        <f t="shared" si="36"/>
        <v>SITE|59</v>
      </c>
    </row>
    <row r="2326" spans="1:17" ht="6.45" customHeight="1">
      <c r="A2326" t="s">
        <v>70</v>
      </c>
      <c r="B2326">
        <v>60</v>
      </c>
      <c r="C2326" t="s">
        <v>71</v>
      </c>
      <c r="D2326">
        <v>67</v>
      </c>
      <c r="E2326" t="s">
        <v>1019</v>
      </c>
      <c r="F2326" t="s">
        <v>5324</v>
      </c>
      <c r="G2326" t="str">
        <f>SITE_Assesment!A67</f>
        <v>SITE-R2</v>
      </c>
      <c r="H2326" t="str">
        <f>SITE_Assesment!B67</f>
        <v>All</v>
      </c>
      <c r="I2326" t="str">
        <f>SITE_Assesment!C67</f>
        <v>A/B fiber path separation may not be maintained through common ductbank or congested areas</v>
      </c>
      <c r="J2326" t="str">
        <f>SITE_Assesment!D67</f>
        <v>Critical</v>
      </c>
      <c r="K2326" t="str">
        <f>SITE_Assesment!E67</f>
        <v>Medium</v>
      </c>
      <c r="L2326">
        <f>SITE_Assesment!F67</f>
        <v>8</v>
      </c>
      <c r="M2326" t="str">
        <f>SITE_Assesment!G67</f>
        <v>Verify separate conduits, route diversity, THH labels, T-601 path counts and as-built documentation</v>
      </c>
      <c r="N2326" t="str">
        <f>SITE_Assesment!H67</f>
        <v>Telecom / OIT</v>
      </c>
      <c r="O2326" t="str">
        <f>SITE_Assesment!I67</f>
        <v>Closed</v>
      </c>
      <c r="P2326" t="str">
        <f>SITE_Assesment!J67</f>
        <v>Legend allows A+B in common ductbank but separate conduits; redundancy must be validated.</v>
      </c>
      <c r="Q2326" t="str">
        <f t="shared" si="36"/>
        <v>SITE|60</v>
      </c>
    </row>
    <row r="2327" spans="1:17" ht="6.45" customHeight="1">
      <c r="A2327" t="s">
        <v>70</v>
      </c>
      <c r="B2327">
        <v>61</v>
      </c>
      <c r="C2327" t="s">
        <v>71</v>
      </c>
      <c r="D2327">
        <v>68</v>
      </c>
      <c r="E2327" t="s">
        <v>1019</v>
      </c>
      <c r="F2327" t="s">
        <v>5324</v>
      </c>
      <c r="G2327" t="str">
        <f>SITE_Assesment!A68</f>
        <v>SITE-R3</v>
      </c>
      <c r="H2327" t="str">
        <f>SITE_Assesment!B68</f>
        <v>All</v>
      </c>
      <c r="I2327" t="str">
        <f>SITE_Assesment!C68</f>
        <v>Concrete ductbank could be backfilled before inspection</v>
      </c>
      <c r="J2327" t="str">
        <f>SITE_Assesment!D68</f>
        <v>High</v>
      </c>
      <c r="K2327" t="str">
        <f>SITE_Assesment!E68</f>
        <v>Medium</v>
      </c>
      <c r="L2327">
        <f>SITE_Assesment!F68</f>
        <v>6</v>
      </c>
      <c r="M2327" t="str">
        <f>SITE_Assesment!G68</f>
        <v>Establish inspection hold point; trench remains open until concrete duct inspection and photos are accepted</v>
      </c>
      <c r="N2327" t="str">
        <f>SITE_Assesment!H68</f>
        <v>GC / QA / COR</v>
      </c>
      <c r="O2327" t="str">
        <f>SITE_Assesment!I68</f>
        <v>Closed</v>
      </c>
      <c r="P2327" t="str">
        <f>SITE_Assesment!J68</f>
        <v>Site notes state trench to remain open until inspection of concrete duct.</v>
      </c>
      <c r="Q2327" t="str">
        <f t="shared" si="36"/>
        <v>SITE|61</v>
      </c>
    </row>
    <row r="2328" spans="1:17" ht="6.45" customHeight="1">
      <c r="A2328" t="s">
        <v>70</v>
      </c>
      <c r="B2328">
        <v>62</v>
      </c>
      <c r="C2328" t="s">
        <v>71</v>
      </c>
      <c r="D2328">
        <v>69</v>
      </c>
      <c r="E2328" t="s">
        <v>1019</v>
      </c>
      <c r="F2328" t="s">
        <v>5324</v>
      </c>
      <c r="G2328" t="str">
        <f>SITE_Assesment!A69</f>
        <v>SITE-R4</v>
      </c>
      <c r="H2328" t="str">
        <f>SITE_Assesment!B69</f>
        <v>MCR / Provider</v>
      </c>
      <c r="I2328" t="str">
        <f>SITE_Assesment!C69</f>
        <v>WAN/provider fiber and MCR activation sequence could delay campus cutover</v>
      </c>
      <c r="J2328" t="str">
        <f>SITE_Assesment!D69</f>
        <v>Critical</v>
      </c>
      <c r="K2328" t="str">
        <f>SITE_Assesment!E69</f>
        <v>Medium</v>
      </c>
      <c r="L2328">
        <f>SITE_Assesment!F69</f>
        <v>8</v>
      </c>
      <c r="M2328" t="str">
        <f>SITE_Assesment!G69</f>
        <v>Coordinate Century Link/service provider, temporary fiber, provider extension, MCR readiness and OIT activation plan</v>
      </c>
      <c r="N2328" t="str">
        <f>SITE_Assesment!H69</f>
        <v>OIT / Telecom</v>
      </c>
      <c r="O2328" t="str">
        <f>SITE_Assesment!I69</f>
        <v>Closed</v>
      </c>
      <c r="P2328" t="str">
        <f>SITE_Assesment!J69</f>
        <v>T-601 references WAN fiber, temporary fiber and provider extension.</v>
      </c>
      <c r="Q2328" t="str">
        <f t="shared" si="36"/>
        <v>SITE|62</v>
      </c>
    </row>
    <row r="2329" spans="1:17" ht="6.45" customHeight="1">
      <c r="A2329" t="s">
        <v>70</v>
      </c>
      <c r="B2329">
        <v>63</v>
      </c>
      <c r="C2329" t="s">
        <v>71</v>
      </c>
      <c r="D2329">
        <v>70</v>
      </c>
      <c r="E2329" t="s">
        <v>1019</v>
      </c>
      <c r="F2329" t="s">
        <v>5324</v>
      </c>
      <c r="G2329" t="str">
        <f>SITE_Assesment!A70</f>
        <v>SITE-R5</v>
      </c>
      <c r="H2329" t="str">
        <f>SITE_Assesment!B70</f>
        <v>Roads / Parking / Pedestrian Areas</v>
      </c>
      <c r="I2329" t="str">
        <f>SITE_Assesment!C70</f>
        <v>Trenching/restoration may disrupt accessible parking, fire lanes, public access and campus traffic</v>
      </c>
      <c r="J2329" t="str">
        <f>SITE_Assesment!D70</f>
        <v>High</v>
      </c>
      <c r="K2329" t="str">
        <f>SITE_Assesment!E70</f>
        <v>Medium</v>
      </c>
      <c r="L2329">
        <f>SITE_Assesment!F70</f>
        <v>6</v>
      </c>
      <c r="M2329" t="str">
        <f>SITE_Assesment!G70</f>
        <v>Submit traffic/pedestrian/staging plan, maintain fire lanes/hydrants and restore surfaces to match existing</v>
      </c>
      <c r="N2329" t="str">
        <f>SITE_Assesment!H70</f>
        <v>GC / Site</v>
      </c>
      <c r="O2329" t="str">
        <f>SITE_Assesment!I70</f>
        <v>Closed</v>
      </c>
      <c r="P2329" t="str">
        <f>SITE_Assesment!J70</f>
        <v>General notes require coordination with owner and protection of accessible parking/public access.</v>
      </c>
      <c r="Q2329" t="str">
        <f t="shared" si="36"/>
        <v>SITE|63</v>
      </c>
    </row>
    <row r="2330" spans="1:17" ht="6.45" customHeight="1">
      <c r="A2330" t="s">
        <v>70</v>
      </c>
      <c r="B2330">
        <v>64</v>
      </c>
      <c r="C2330" t="s">
        <v>71</v>
      </c>
      <c r="D2330">
        <v>71</v>
      </c>
      <c r="E2330" t="s">
        <v>1019</v>
      </c>
      <c r="F2330" t="s">
        <v>5324</v>
      </c>
      <c r="G2330" t="str">
        <f>SITE_Assesment!A71</f>
        <v>SITE-R6</v>
      </c>
      <c r="H2330" t="str">
        <f>SITE_Assesment!B71</f>
        <v>All Building Tie-ins</v>
      </c>
      <c r="I2330" t="str">
        <f>SITE_Assesment!C71</f>
        <v>Building entry penetrations/firestopping may not align with building PMIS packages</v>
      </c>
      <c r="J2330" t="str">
        <f>SITE_Assesment!D71</f>
        <v>High</v>
      </c>
      <c r="K2330" t="str">
        <f>SITE_Assesment!E71</f>
        <v>Medium</v>
      </c>
      <c r="L2330">
        <f>SITE_Assesment!F71</f>
        <v>6</v>
      </c>
      <c r="M2330" t="str">
        <f>SITE_Assesment!G71</f>
        <v>Cross-check every site tie-in against building assessment, T-101 continuation sheets and firestop photos</v>
      </c>
      <c r="N2330" t="str">
        <f>SITE_Assesment!H71</f>
        <v>Telecom / Firestop / QA</v>
      </c>
      <c r="O2330" t="str">
        <f>SITE_Assesment!I71</f>
        <v>Closed</v>
      </c>
      <c r="P2330" t="str">
        <f>SITE_Assesment!J71</f>
        <v>Every building continuation references building T-101 and T-601.</v>
      </c>
      <c r="Q2330" t="str">
        <f t="shared" si="36"/>
        <v>SITE|64</v>
      </c>
    </row>
    <row r="2331" spans="1:17" ht="6.45" customHeight="1">
      <c r="A2331" t="s">
        <v>70</v>
      </c>
      <c r="B2331">
        <v>65</v>
      </c>
      <c r="C2331" t="s">
        <v>71</v>
      </c>
      <c r="D2331">
        <v>72</v>
      </c>
      <c r="E2331" t="s">
        <v>1019</v>
      </c>
      <c r="F2331" t="s">
        <v>5324</v>
      </c>
      <c r="G2331" t="str">
        <f>SITE_Assesment!A72</f>
        <v>SITE-R7</v>
      </c>
      <c r="H2331" t="str">
        <f>SITE_Assesment!B72</f>
        <v>Civil Restoration</v>
      </c>
      <c r="I2331" t="str">
        <f>SITE_Assesment!C72</f>
        <v>Asphalt/concrete/landscape restoration quantities and limits may be underestimated</v>
      </c>
      <c r="J2331" t="str">
        <f>SITE_Assesment!D72</f>
        <v>Medium</v>
      </c>
      <c r="K2331" t="str">
        <f>SITE_Assesment!E72</f>
        <v>Medium</v>
      </c>
      <c r="L2331">
        <f>SITE_Assesment!F72</f>
        <v>4</v>
      </c>
      <c r="M2331" t="str">
        <f>SITE_Assesment!G72</f>
        <v>Verify trench patch details, tie bars, concrete/asphalt specs, landscape protection and final surface restoration photo log</v>
      </c>
      <c r="N2331" t="str">
        <f>SITE_Assesment!H72</f>
        <v>GC / Civil</v>
      </c>
      <c r="O2331" t="str">
        <f>SITE_Assesment!I72</f>
        <v>Closed</v>
      </c>
      <c r="P2331" t="str">
        <f>SITE_Assesment!J72</f>
        <v>T-501 includes trenching/restoration details and concrete requirements.</v>
      </c>
      <c r="Q2331" t="str">
        <f t="shared" si="36"/>
        <v>SITE|65</v>
      </c>
    </row>
    <row r="2332" spans="1:17" ht="6.45" customHeight="1">
      <c r="A2332" t="s">
        <v>70</v>
      </c>
      <c r="B2332">
        <v>66</v>
      </c>
      <c r="C2332" t="s">
        <v>71</v>
      </c>
      <c r="D2332">
        <v>73</v>
      </c>
      <c r="E2332" t="s">
        <v>1019</v>
      </c>
      <c r="F2332" t="s">
        <v>5324</v>
      </c>
      <c r="G2332" t="str">
        <f>SITE_Assesment!A73</f>
        <v>SITE-R8</v>
      </c>
      <c r="H2332" t="str">
        <f>SITE_Assesment!B73</f>
        <v>Commissioning / Turnover</v>
      </c>
      <c r="I2332" t="str">
        <f>SITE_Assesment!C73</f>
        <v>Fiber testing, labels, as-builts and site utility commissioning may be incomplete</v>
      </c>
      <c r="J2332" t="str">
        <f>SITE_Assesment!D73</f>
        <v>High</v>
      </c>
      <c r="K2332" t="str">
        <f>SITE_Assesment!E73</f>
        <v>Medium</v>
      </c>
      <c r="L2332">
        <f>SITE_Assesment!F73</f>
        <v>6</v>
      </c>
      <c r="M2332" t="str">
        <f>SITE_Assesment!G73</f>
        <v>Track OTDR/power meter tests, conduit as-builts, THH labels, route photos, redlines, third-party inspections and VA/OIT acceptance</v>
      </c>
      <c r="N2332" t="str">
        <f>SITE_Assesment!H73</f>
        <v>GC / Cx / OIT</v>
      </c>
      <c r="O2332" t="str">
        <f>SITE_Assesment!I73</f>
        <v>Closed</v>
      </c>
      <c r="P2332" t="str">
        <f>SITE_Assesment!J73</f>
        <v>Commissioning and third-party inspection requirements apply to site utilities and communications.</v>
      </c>
      <c r="Q2332" t="str">
        <f t="shared" si="36"/>
        <v>SITE|66</v>
      </c>
    </row>
    <row r="2333" spans="1:17" ht="6.45" customHeight="1">
      <c r="A2333" t="s">
        <v>70</v>
      </c>
      <c r="B2333">
        <v>67</v>
      </c>
      <c r="C2333" t="s">
        <v>71</v>
      </c>
      <c r="D2333">
        <v>74</v>
      </c>
      <c r="E2333" t="s">
        <v>1019</v>
      </c>
      <c r="F2333" t="s">
        <v>5325</v>
      </c>
      <c r="G2333">
        <f>SITE_Assesment!A74</f>
        <v>0</v>
      </c>
      <c r="H2333">
        <f>SITE_Assesment!B74</f>
        <v>0</v>
      </c>
      <c r="I2333">
        <f>SITE_Assesment!C74</f>
        <v>0</v>
      </c>
      <c r="J2333">
        <f>SITE_Assesment!D74</f>
        <v>0</v>
      </c>
      <c r="K2333">
        <f>SITE_Assesment!E74</f>
        <v>0</v>
      </c>
      <c r="L2333">
        <f>SITE_Assesment!F74</f>
        <v>0</v>
      </c>
      <c r="M2333">
        <f>SITE_Assesment!G74</f>
        <v>0</v>
      </c>
      <c r="N2333">
        <f>SITE_Assesment!H74</f>
        <v>0</v>
      </c>
      <c r="O2333">
        <f>SITE_Assesment!I74</f>
        <v>0</v>
      </c>
      <c r="P2333">
        <f>SITE_Assesment!J74</f>
        <v>0</v>
      </c>
      <c r="Q2333" t="str">
        <f t="shared" si="36"/>
        <v>SITE|67</v>
      </c>
    </row>
    <row r="2334" spans="1:17" ht="6.45" customHeight="1">
      <c r="A2334" t="s">
        <v>70</v>
      </c>
      <c r="B2334">
        <v>68</v>
      </c>
      <c r="C2334" t="s">
        <v>71</v>
      </c>
      <c r="D2334">
        <v>75</v>
      </c>
      <c r="E2334" t="s">
        <v>1051</v>
      </c>
      <c r="F2334" t="s">
        <v>5322</v>
      </c>
      <c r="G2334" t="str">
        <f>SITE_Assesment!A75</f>
        <v>9. OPEN QUESTIONS</v>
      </c>
      <c r="H2334">
        <f>SITE_Assesment!B75</f>
        <v>0</v>
      </c>
      <c r="I2334">
        <f>SITE_Assesment!C75</f>
        <v>0</v>
      </c>
      <c r="J2334">
        <f>SITE_Assesment!D75</f>
        <v>0</v>
      </c>
      <c r="K2334">
        <f>SITE_Assesment!E75</f>
        <v>0</v>
      </c>
      <c r="L2334">
        <f>SITE_Assesment!F75</f>
        <v>0</v>
      </c>
      <c r="M2334">
        <f>SITE_Assesment!G75</f>
        <v>0</v>
      </c>
      <c r="N2334">
        <f>SITE_Assesment!H75</f>
        <v>0</v>
      </c>
      <c r="O2334">
        <f>SITE_Assesment!I75</f>
        <v>0</v>
      </c>
      <c r="P2334">
        <f>SITE_Assesment!J75</f>
        <v>0</v>
      </c>
      <c r="Q2334" t="str">
        <f t="shared" si="36"/>
        <v>SITE|68</v>
      </c>
    </row>
    <row r="2335" spans="1:17" ht="6.45" customHeight="1">
      <c r="A2335" t="s">
        <v>70</v>
      </c>
      <c r="B2335">
        <v>69</v>
      </c>
      <c r="C2335" t="s">
        <v>71</v>
      </c>
      <c r="D2335">
        <v>76</v>
      </c>
      <c r="E2335" t="s">
        <v>1051</v>
      </c>
      <c r="F2335" t="s">
        <v>5323</v>
      </c>
      <c r="G2335" t="str">
        <f>SITE_Assesment!A76</f>
        <v>Question ID</v>
      </c>
      <c r="H2335" t="str">
        <f>SITE_Assesment!B76</f>
        <v>Question</v>
      </c>
      <c r="I2335" t="str">
        <f>SITE_Assesment!C76</f>
        <v>Assigned To</v>
      </c>
      <c r="J2335" t="str">
        <f>SITE_Assesment!D76</f>
        <v>Status</v>
      </c>
      <c r="K2335" t="str">
        <f>SITE_Assesment!E76</f>
        <v>Needed By</v>
      </c>
      <c r="L2335" t="str">
        <f>SITE_Assesment!F76</f>
        <v>Answer / Resolution</v>
      </c>
      <c r="M2335" t="str">
        <f>SITE_Assesment!G76</f>
        <v>Impact if Unanswered</v>
      </c>
      <c r="N2335" t="str">
        <f>SITE_Assesment!H76</f>
        <v>Follow-up</v>
      </c>
      <c r="O2335" t="str">
        <f>SITE_Assesment!I76</f>
        <v>Date Closed</v>
      </c>
      <c r="P2335" t="str">
        <f>SITE_Assesment!J76</f>
        <v>Notes</v>
      </c>
      <c r="Q2335" t="str">
        <f t="shared" si="36"/>
        <v>SITE|69</v>
      </c>
    </row>
    <row r="2336" spans="1:17" ht="6.45" customHeight="1">
      <c r="A2336" t="s">
        <v>70</v>
      </c>
      <c r="B2336">
        <v>70</v>
      </c>
      <c r="C2336" t="s">
        <v>71</v>
      </c>
      <c r="D2336">
        <v>77</v>
      </c>
      <c r="E2336" t="s">
        <v>1051</v>
      </c>
      <c r="F2336" t="s">
        <v>5324</v>
      </c>
      <c r="G2336" t="str">
        <f>SITE_Assesment!A77</f>
        <v>SITE-Q1</v>
      </c>
      <c r="H2336" t="str">
        <f>SITE_Assesment!B77</f>
        <v>Confirm final list of all site fiber buildings and whether Buildings 1-22, 33, 61, 62, 70, 78/78A, 80, 81, 82, Crescent House and MCR are included in one site backbone turnover package.</v>
      </c>
      <c r="I2336" t="str">
        <f>SITE_Assesment!C77</f>
        <v>VA / OIT / Designer</v>
      </c>
      <c r="J2336" t="str">
        <f>SITE_Assesment!D77</f>
        <v>Closed</v>
      </c>
      <c r="K2336">
        <f>SITE_Assesment!E77</f>
        <v>0</v>
      </c>
      <c r="L2336">
        <f>SITE_Assesment!F77</f>
        <v>0</v>
      </c>
      <c r="M2336" t="str">
        <f>SITE_Assesment!G77</f>
        <v>Scope and turnover package mapping unclear</v>
      </c>
      <c r="N2336">
        <f>SITE_Assesment!H77</f>
        <v>0</v>
      </c>
      <c r="O2336">
        <f>SITE_Assesment!I77</f>
        <v>0</v>
      </c>
      <c r="P2336">
        <f>SITE_Assesment!J77</f>
        <v>0</v>
      </c>
      <c r="Q2336" t="str">
        <f t="shared" si="36"/>
        <v>SITE|70</v>
      </c>
    </row>
    <row r="2337" spans="1:17" ht="6.45" customHeight="1">
      <c r="A2337" t="s">
        <v>70</v>
      </c>
      <c r="B2337">
        <v>71</v>
      </c>
      <c r="C2337" t="s">
        <v>71</v>
      </c>
      <c r="D2337">
        <v>78</v>
      </c>
      <c r="E2337" t="s">
        <v>1051</v>
      </c>
      <c r="F2337" t="s">
        <v>5324</v>
      </c>
      <c r="G2337" t="str">
        <f>SITE_Assesment!A78</f>
        <v>SITE-Q2</v>
      </c>
      <c r="H2337" t="str">
        <f>SITE_Assesment!B78</f>
        <v>Which THH/manhole numbers are new versus existing, and which require locking cover replacement only?</v>
      </c>
      <c r="I2337" t="str">
        <f>SITE_Assesment!C78</f>
        <v>Telecom / Civil</v>
      </c>
      <c r="J2337" t="str">
        <f>SITE_Assesment!D78</f>
        <v>Closed</v>
      </c>
      <c r="K2337">
        <f>SITE_Assesment!E78</f>
        <v>0</v>
      </c>
      <c r="L2337">
        <f>SITE_Assesment!F78</f>
        <v>0</v>
      </c>
      <c r="M2337" t="str">
        <f>SITE_Assesment!G78</f>
        <v>Structure inventory and inspection scope unclear</v>
      </c>
      <c r="N2337">
        <f>SITE_Assesment!H78</f>
        <v>0</v>
      </c>
      <c r="O2337">
        <f>SITE_Assesment!I78</f>
        <v>0</v>
      </c>
      <c r="P2337">
        <f>SITE_Assesment!J78</f>
        <v>0</v>
      </c>
      <c r="Q2337" t="str">
        <f t="shared" si="36"/>
        <v>SITE|71</v>
      </c>
    </row>
    <row r="2338" spans="1:17" ht="6.45" customHeight="1">
      <c r="A2338" t="s">
        <v>70</v>
      </c>
      <c r="B2338">
        <v>72</v>
      </c>
      <c r="C2338" t="s">
        <v>71</v>
      </c>
      <c r="D2338">
        <v>79</v>
      </c>
      <c r="E2338" t="s">
        <v>1051</v>
      </c>
      <c r="F2338" t="s">
        <v>5324</v>
      </c>
      <c r="G2338" t="str">
        <f>SITE_Assesment!A79</f>
        <v>SITE-Q3</v>
      </c>
      <c r="H2338" t="str">
        <f>SITE_Assesment!B79</f>
        <v>Are all A and B routes physically diverse enough and in separate conduit wherever common ductbank is used?</v>
      </c>
      <c r="I2338" t="str">
        <f>SITE_Assesment!C79</f>
        <v>OIT / Designer</v>
      </c>
      <c r="J2338" t="str">
        <f>SITE_Assesment!D79</f>
        <v>Closed</v>
      </c>
      <c r="K2338">
        <f>SITE_Assesment!E79</f>
        <v>0</v>
      </c>
      <c r="L2338">
        <f>SITE_Assesment!F79</f>
        <v>0</v>
      </c>
      <c r="M2338" t="str">
        <f>SITE_Assesment!G79</f>
        <v>Redundancy risk</v>
      </c>
      <c r="N2338">
        <f>SITE_Assesment!H79</f>
        <v>0</v>
      </c>
      <c r="O2338">
        <f>SITE_Assesment!I79</f>
        <v>0</v>
      </c>
      <c r="P2338">
        <f>SITE_Assesment!J79</f>
        <v>0</v>
      </c>
      <c r="Q2338" t="str">
        <f t="shared" si="36"/>
        <v>SITE|72</v>
      </c>
    </row>
    <row r="2339" spans="1:17" ht="6.45" customHeight="1">
      <c r="A2339" t="s">
        <v>70</v>
      </c>
      <c r="B2339">
        <v>73</v>
      </c>
      <c r="C2339" t="s">
        <v>71</v>
      </c>
      <c r="D2339">
        <v>80</v>
      </c>
      <c r="E2339" t="s">
        <v>1051</v>
      </c>
      <c r="F2339" t="s">
        <v>5324</v>
      </c>
      <c r="G2339" t="str">
        <f>SITE_Assesment!A80</f>
        <v>SITE-Q4</v>
      </c>
      <c r="H2339" t="str">
        <f>SITE_Assesment!B80</f>
        <v>What are the approved utility-locate/potholing requirements before excavation at each crossing?</v>
      </c>
      <c r="I2339" t="str">
        <f>SITE_Assesment!C80</f>
        <v>GC / VA / Civil</v>
      </c>
      <c r="J2339" t="str">
        <f>SITE_Assesment!D80</f>
        <v>Closed</v>
      </c>
      <c r="K2339">
        <f>SITE_Assesment!E80</f>
        <v>0</v>
      </c>
      <c r="L2339">
        <f>SITE_Assesment!F80</f>
        <v>0</v>
      </c>
      <c r="M2339" t="str">
        <f>SITE_Assesment!G80</f>
        <v>Utility strike risk</v>
      </c>
      <c r="N2339">
        <f>SITE_Assesment!H80</f>
        <v>0</v>
      </c>
      <c r="O2339">
        <f>SITE_Assesment!I80</f>
        <v>0</v>
      </c>
      <c r="P2339">
        <f>SITE_Assesment!J80</f>
        <v>0</v>
      </c>
      <c r="Q2339" t="str">
        <f t="shared" si="36"/>
        <v>SITE|73</v>
      </c>
    </row>
    <row r="2340" spans="1:17" ht="6.45" customHeight="1">
      <c r="A2340" t="s">
        <v>70</v>
      </c>
      <c r="B2340">
        <v>74</v>
      </c>
      <c r="C2340" t="s">
        <v>71</v>
      </c>
      <c r="D2340">
        <v>81</v>
      </c>
      <c r="E2340" t="s">
        <v>1051</v>
      </c>
      <c r="F2340" t="s">
        <v>5324</v>
      </c>
      <c r="G2340" t="str">
        <f>SITE_Assesment!A81</f>
        <v>SITE-Q5</v>
      </c>
      <c r="H2340" t="str">
        <f>SITE_Assesment!B81</f>
        <v>What inspection hold points are required for ductbank forms, conduit placement, concrete pour, pull string, mandrel and backfill?</v>
      </c>
      <c r="I2340" t="str">
        <f>SITE_Assesment!C81</f>
        <v>QA / COR / Civil</v>
      </c>
      <c r="J2340" t="str">
        <f>SITE_Assesment!D81</f>
        <v>Closed</v>
      </c>
      <c r="K2340">
        <f>SITE_Assesment!E81</f>
        <v>0</v>
      </c>
      <c r="L2340">
        <f>SITE_Assesment!F81</f>
        <v>0</v>
      </c>
      <c r="M2340" t="str">
        <f>SITE_Assesment!G81</f>
        <v>QA acceptance risk</v>
      </c>
      <c r="N2340">
        <f>SITE_Assesment!H81</f>
        <v>0</v>
      </c>
      <c r="O2340">
        <f>SITE_Assesment!I81</f>
        <v>0</v>
      </c>
      <c r="P2340">
        <f>SITE_Assesment!J81</f>
        <v>0</v>
      </c>
      <c r="Q2340" t="str">
        <f t="shared" si="36"/>
        <v>SITE|74</v>
      </c>
    </row>
    <row r="2341" spans="1:17" ht="6.45" customHeight="1">
      <c r="A2341" t="s">
        <v>70</v>
      </c>
      <c r="B2341">
        <v>75</v>
      </c>
      <c r="C2341" t="s">
        <v>71</v>
      </c>
      <c r="D2341">
        <v>82</v>
      </c>
      <c r="E2341" t="s">
        <v>1051</v>
      </c>
      <c r="F2341" t="s">
        <v>5324</v>
      </c>
      <c r="G2341" t="str">
        <f>SITE_Assesment!A82</f>
        <v>SITE-Q6</v>
      </c>
      <c r="H2341" t="str">
        <f>SITE_Assesment!B82</f>
        <v>Are directional boring alternatives allowed anywhere, or is all base-bid work trenching unless separately approved by Government?</v>
      </c>
      <c r="I2341" t="str">
        <f>SITE_Assesment!C82</f>
        <v>VA / COR</v>
      </c>
      <c r="J2341" t="str">
        <f>SITE_Assesment!D82</f>
        <v>Closed</v>
      </c>
      <c r="K2341">
        <f>SITE_Assesment!E82</f>
        <v>0</v>
      </c>
      <c r="L2341">
        <f>SITE_Assesment!F82</f>
        <v>0</v>
      </c>
      <c r="M2341" t="str">
        <f>SITE_Assesment!G82</f>
        <v>Means/methods and cost/schedule risk</v>
      </c>
      <c r="N2341">
        <f>SITE_Assesment!H82</f>
        <v>0</v>
      </c>
      <c r="O2341">
        <f>SITE_Assesment!I82</f>
        <v>0</v>
      </c>
      <c r="P2341">
        <f>SITE_Assesment!J82</f>
        <v>0</v>
      </c>
      <c r="Q2341" t="str">
        <f t="shared" si="36"/>
        <v>SITE|75</v>
      </c>
    </row>
    <row r="2342" spans="1:17" ht="6.45" customHeight="1">
      <c r="A2342" t="s">
        <v>70</v>
      </c>
      <c r="B2342">
        <v>76</v>
      </c>
      <c r="C2342" t="s">
        <v>71</v>
      </c>
      <c r="D2342">
        <v>83</v>
      </c>
      <c r="E2342" t="s">
        <v>1051</v>
      </c>
      <c r="F2342" t="s">
        <v>5324</v>
      </c>
      <c r="G2342" t="str">
        <f>SITE_Assesment!A83</f>
        <v>SITE-Q7</v>
      </c>
      <c r="H2342" t="str">
        <f>SITE_Assesment!B83</f>
        <v>What exact fiber test package is required for each path and building tie-in before connection to active operations?</v>
      </c>
      <c r="I2342" t="str">
        <f>SITE_Assesment!C83</f>
        <v>OIT / Telecom / Cx</v>
      </c>
      <c r="J2342" t="str">
        <f>SITE_Assesment!D83</f>
        <v>Closed</v>
      </c>
      <c r="K2342">
        <f>SITE_Assesment!E83</f>
        <v>0</v>
      </c>
      <c r="L2342">
        <f>SITE_Assesment!F83</f>
        <v>0</v>
      </c>
      <c r="M2342" t="str">
        <f>SITE_Assesment!G83</f>
        <v>Acceptance/activation risk</v>
      </c>
      <c r="N2342">
        <f>SITE_Assesment!H83</f>
        <v>0</v>
      </c>
      <c r="O2342">
        <f>SITE_Assesment!I83</f>
        <v>0</v>
      </c>
      <c r="P2342">
        <f>SITE_Assesment!J83</f>
        <v>0</v>
      </c>
      <c r="Q2342" t="str">
        <f t="shared" si="36"/>
        <v>SITE|76</v>
      </c>
    </row>
    <row r="2343" spans="1:17" ht="6.45" customHeight="1">
      <c r="A2343" t="s">
        <v>70</v>
      </c>
      <c r="B2343">
        <v>77</v>
      </c>
      <c r="C2343" t="s">
        <v>71</v>
      </c>
      <c r="D2343">
        <v>84</v>
      </c>
      <c r="E2343" t="s">
        <v>1051</v>
      </c>
      <c r="F2343" t="s">
        <v>5324</v>
      </c>
      <c r="G2343" t="str">
        <f>SITE_Assesment!A84</f>
        <v>SITE-Q8</v>
      </c>
      <c r="H2343" t="str">
        <f>SITE_Assesment!B84</f>
        <v>How will MCR/provider temporary fiber, new fiber and campus building activation be sequenced to limit shutdowns to one at a time?</v>
      </c>
      <c r="I2343" t="str">
        <f>SITE_Assesment!C84</f>
        <v>OIT / GC / COR</v>
      </c>
      <c r="J2343" t="str">
        <f>SITE_Assesment!D84</f>
        <v>Closed</v>
      </c>
      <c r="K2343">
        <f>SITE_Assesment!E84</f>
        <v>0</v>
      </c>
      <c r="L2343">
        <f>SITE_Assesment!F84</f>
        <v>0</v>
      </c>
      <c r="M2343" t="str">
        <f>SITE_Assesment!G84</f>
        <v>Operational outage risk</v>
      </c>
      <c r="N2343">
        <f>SITE_Assesment!H84</f>
        <v>0</v>
      </c>
      <c r="O2343">
        <f>SITE_Assesment!I84</f>
        <v>0</v>
      </c>
      <c r="P2343">
        <f>SITE_Assesment!J84</f>
        <v>0</v>
      </c>
      <c r="Q2343" t="str">
        <f t="shared" si="36"/>
        <v>SITE|77</v>
      </c>
    </row>
    <row r="2344" spans="1:17" ht="6.45" customHeight="1">
      <c r="A2344" t="s">
        <v>70</v>
      </c>
      <c r="B2344">
        <v>78</v>
      </c>
      <c r="C2344" t="s">
        <v>71</v>
      </c>
      <c r="D2344">
        <v>85</v>
      </c>
      <c r="E2344" t="s">
        <v>1051</v>
      </c>
      <c r="F2344" t="s">
        <v>5325</v>
      </c>
      <c r="G2344">
        <f>SITE_Assesment!A85</f>
        <v>0</v>
      </c>
      <c r="H2344">
        <f>SITE_Assesment!B85</f>
        <v>0</v>
      </c>
      <c r="I2344">
        <f>SITE_Assesment!C85</f>
        <v>0</v>
      </c>
      <c r="J2344">
        <f>SITE_Assesment!D85</f>
        <v>0</v>
      </c>
      <c r="K2344">
        <f>SITE_Assesment!E85</f>
        <v>0</v>
      </c>
      <c r="L2344">
        <f>SITE_Assesment!F85</f>
        <v>0</v>
      </c>
      <c r="M2344">
        <f>SITE_Assesment!G85</f>
        <v>0</v>
      </c>
      <c r="N2344">
        <f>SITE_Assesment!H85</f>
        <v>0</v>
      </c>
      <c r="O2344">
        <f>SITE_Assesment!I85</f>
        <v>0</v>
      </c>
      <c r="P2344">
        <f>SITE_Assesment!J85</f>
        <v>0</v>
      </c>
      <c r="Q2344" t="str">
        <f t="shared" si="36"/>
        <v>SITE|78</v>
      </c>
    </row>
    <row r="2345" spans="1:17" ht="6.45" customHeight="1">
      <c r="A2345" t="s">
        <v>70</v>
      </c>
      <c r="B2345">
        <v>79</v>
      </c>
      <c r="C2345" t="s">
        <v>71</v>
      </c>
      <c r="D2345">
        <v>86</v>
      </c>
      <c r="E2345" t="s">
        <v>1052</v>
      </c>
      <c r="F2345" t="s">
        <v>5322</v>
      </c>
      <c r="G2345" t="str">
        <f>SITE_Assesment!A86</f>
        <v>10. PHOTO LOG</v>
      </c>
      <c r="H2345">
        <f>SITE_Assesment!B86</f>
        <v>0</v>
      </c>
      <c r="I2345">
        <f>SITE_Assesment!C86</f>
        <v>0</v>
      </c>
      <c r="J2345">
        <f>SITE_Assesment!D86</f>
        <v>0</v>
      </c>
      <c r="K2345">
        <f>SITE_Assesment!E86</f>
        <v>0</v>
      </c>
      <c r="L2345">
        <f>SITE_Assesment!F86</f>
        <v>0</v>
      </c>
      <c r="M2345">
        <f>SITE_Assesment!G86</f>
        <v>0</v>
      </c>
      <c r="N2345">
        <f>SITE_Assesment!H86</f>
        <v>0</v>
      </c>
      <c r="O2345">
        <f>SITE_Assesment!I86</f>
        <v>0</v>
      </c>
      <c r="P2345">
        <f>SITE_Assesment!J86</f>
        <v>0</v>
      </c>
      <c r="Q2345" t="str">
        <f t="shared" si="36"/>
        <v>SITE|79</v>
      </c>
    </row>
    <row r="2346" spans="1:17" ht="6.45" customHeight="1">
      <c r="A2346" t="s">
        <v>70</v>
      </c>
      <c r="B2346">
        <v>80</v>
      </c>
      <c r="C2346" t="s">
        <v>71</v>
      </c>
      <c r="D2346">
        <v>87</v>
      </c>
      <c r="E2346" t="s">
        <v>1052</v>
      </c>
      <c r="F2346" t="s">
        <v>5323</v>
      </c>
      <c r="G2346" t="str">
        <f>SITE_Assesment!A87</f>
        <v>Photo ID</v>
      </c>
      <c r="H2346" t="str">
        <f>SITE_Assesment!B87</f>
        <v>Area</v>
      </c>
      <c r="I2346" t="str">
        <f>SITE_Assesment!C87</f>
        <v>Category</v>
      </c>
      <c r="J2346" t="str">
        <f>SITE_Assesment!D87</f>
        <v>Description</v>
      </c>
      <c r="K2346" t="str">
        <f>SITE_Assesment!E87</f>
        <v>Date</v>
      </c>
      <c r="L2346" t="str">
        <f>SITE_Assesment!F87</f>
        <v>Taken By</v>
      </c>
      <c r="M2346" t="str">
        <f>SITE_Assesment!G87</f>
        <v>File / Link</v>
      </c>
      <c r="N2346" t="str">
        <f>SITE_Assesment!H87</f>
        <v>Related Risk</v>
      </c>
      <c r="O2346" t="str">
        <f>SITE_Assesment!I87</f>
        <v>Status</v>
      </c>
      <c r="P2346" t="str">
        <f>SITE_Assesment!J87</f>
        <v>Notes</v>
      </c>
      <c r="Q2346" t="str">
        <f t="shared" si="36"/>
        <v>SITE|80</v>
      </c>
    </row>
    <row r="2347" spans="1:17" ht="6.45" customHeight="1">
      <c r="A2347" t="s">
        <v>70</v>
      </c>
      <c r="B2347">
        <v>81</v>
      </c>
      <c r="C2347" t="s">
        <v>71</v>
      </c>
      <c r="D2347">
        <v>88</v>
      </c>
      <c r="E2347" t="s">
        <v>1052</v>
      </c>
      <c r="F2347" t="s">
        <v>5324</v>
      </c>
      <c r="G2347" t="str">
        <f>SITE_Assesment!A88</f>
        <v>SITE-P001</v>
      </c>
      <c r="H2347" t="str">
        <f>SITE_Assesment!B88</f>
        <v>Overall Site</v>
      </c>
      <c r="I2347" t="str">
        <f>SITE_Assesment!C88</f>
        <v>Existing Conditions</v>
      </c>
      <c r="J2347" t="str">
        <f>SITE_Assesment!D88</f>
        <v>Campus-wide route photos before excavation, including pavement, sidewalks, landscaping, parking, fire lanes and building entry areas</v>
      </c>
      <c r="K2347">
        <f>SITE_Assesment!E88</f>
        <v>0</v>
      </c>
      <c r="L2347">
        <f>SITE_Assesment!F88</f>
        <v>0</v>
      </c>
      <c r="M2347">
        <f>SITE_Assesment!G88</f>
        <v>0</v>
      </c>
      <c r="N2347" t="str">
        <f>SITE_Assesment!H88</f>
        <v>SITE-R1/SITE-R5</v>
      </c>
      <c r="O2347" t="str">
        <f>SITE_Assesment!I88</f>
        <v>Closed</v>
      </c>
      <c r="P2347">
        <f>SITE_Assesment!J88</f>
        <v>0</v>
      </c>
      <c r="Q2347" t="str">
        <f t="shared" si="36"/>
        <v>SITE|81</v>
      </c>
    </row>
    <row r="2348" spans="1:17" ht="6.45" customHeight="1">
      <c r="A2348" t="s">
        <v>70</v>
      </c>
      <c r="B2348">
        <v>82</v>
      </c>
      <c r="C2348" t="s">
        <v>71</v>
      </c>
      <c r="D2348">
        <v>89</v>
      </c>
      <c r="E2348" t="s">
        <v>1052</v>
      </c>
      <c r="F2348" t="s">
        <v>5324</v>
      </c>
      <c r="G2348" t="str">
        <f>SITE_Assesment!A89</f>
        <v>SITE-P002</v>
      </c>
      <c r="H2348" t="str">
        <f>SITE_Assesment!B89</f>
        <v>THH #1-#19</v>
      </c>
      <c r="I2348" t="str">
        <f>SITE_Assesment!C89</f>
        <v>Structures</v>
      </c>
      <c r="J2348" t="str">
        <f>SITE_Assesment!D89</f>
        <v>Each handhole/manhole/pullbox location, cover, label, depth, drainage, conduit entry, and final installed condition</v>
      </c>
      <c r="K2348">
        <f>SITE_Assesment!E89</f>
        <v>0</v>
      </c>
      <c r="L2348">
        <f>SITE_Assesment!F89</f>
        <v>0</v>
      </c>
      <c r="M2348">
        <f>SITE_Assesment!G89</f>
        <v>0</v>
      </c>
      <c r="N2348" t="str">
        <f>SITE_Assesment!H89</f>
        <v>SITE-R2/SITE-R8</v>
      </c>
      <c r="O2348" t="str">
        <f>SITE_Assesment!I89</f>
        <v>Closed</v>
      </c>
      <c r="P2348">
        <f>SITE_Assesment!J89</f>
        <v>0</v>
      </c>
      <c r="Q2348" t="str">
        <f t="shared" si="36"/>
        <v>SITE|82</v>
      </c>
    </row>
    <row r="2349" spans="1:17" ht="6.45" customHeight="1">
      <c r="A2349" t="s">
        <v>70</v>
      </c>
      <c r="B2349">
        <v>83</v>
      </c>
      <c r="C2349" t="s">
        <v>71</v>
      </c>
      <c r="D2349">
        <v>90</v>
      </c>
      <c r="E2349" t="s">
        <v>1052</v>
      </c>
      <c r="F2349" t="s">
        <v>5324</v>
      </c>
      <c r="G2349" t="str">
        <f>SITE_Assesment!A90</f>
        <v>SITE-P003</v>
      </c>
      <c r="H2349" t="str">
        <f>SITE_Assesment!B90</f>
        <v>Ductbank</v>
      </c>
      <c r="I2349" t="str">
        <f>SITE_Assesment!C90</f>
        <v>Pre-pour Inspection</v>
      </c>
      <c r="J2349" t="str">
        <f>SITE_Assesment!D90</f>
        <v>Conduit count, separation, supports/spacers, depth, utility crossings, warning tape, pull strings and concrete encasement before pour</v>
      </c>
      <c r="K2349">
        <f>SITE_Assesment!E90</f>
        <v>0</v>
      </c>
      <c r="L2349">
        <f>SITE_Assesment!F90</f>
        <v>0</v>
      </c>
      <c r="M2349">
        <f>SITE_Assesment!G90</f>
        <v>0</v>
      </c>
      <c r="N2349" t="str">
        <f>SITE_Assesment!H90</f>
        <v>SITE-R1/SITE-R3</v>
      </c>
      <c r="O2349" t="str">
        <f>SITE_Assesment!I90</f>
        <v>Closed</v>
      </c>
      <c r="P2349">
        <f>SITE_Assesment!J90</f>
        <v>0</v>
      </c>
      <c r="Q2349" t="str">
        <f t="shared" si="36"/>
        <v>SITE|83</v>
      </c>
    </row>
    <row r="2350" spans="1:17" ht="6.45" customHeight="1">
      <c r="A2350" t="s">
        <v>70</v>
      </c>
      <c r="B2350">
        <v>84</v>
      </c>
      <c r="C2350" t="s">
        <v>71</v>
      </c>
      <c r="D2350">
        <v>91</v>
      </c>
      <c r="E2350" t="s">
        <v>1052</v>
      </c>
      <c r="F2350" t="s">
        <v>5324</v>
      </c>
      <c r="G2350" t="str">
        <f>SITE_Assesment!A91</f>
        <v>SITE-P004</v>
      </c>
      <c r="H2350" t="str">
        <f>SITE_Assesment!B91</f>
        <v>Utility Crossings</v>
      </c>
      <c r="I2350" t="str">
        <f>SITE_Assesment!C91</f>
        <v>Existing Utilities</v>
      </c>
      <c r="J2350" t="str">
        <f>SITE_Assesment!D91</f>
        <v>Potholing/hand-dig photos showing electric, storm, sanitary, water, gas/unknown utilities and clearance to new ductbank</v>
      </c>
      <c r="K2350">
        <f>SITE_Assesment!E91</f>
        <v>0</v>
      </c>
      <c r="L2350">
        <f>SITE_Assesment!F91</f>
        <v>0</v>
      </c>
      <c r="M2350">
        <f>SITE_Assesment!G91</f>
        <v>0</v>
      </c>
      <c r="N2350" t="str">
        <f>SITE_Assesment!H91</f>
        <v>SITE-R1</v>
      </c>
      <c r="O2350" t="str">
        <f>SITE_Assesment!I91</f>
        <v>Closed</v>
      </c>
      <c r="P2350">
        <f>SITE_Assesment!J91</f>
        <v>0</v>
      </c>
      <c r="Q2350" t="str">
        <f t="shared" si="36"/>
        <v>SITE|84</v>
      </c>
    </row>
    <row r="2351" spans="1:17" ht="6.45" customHeight="1">
      <c r="A2351" t="s">
        <v>70</v>
      </c>
      <c r="B2351">
        <v>85</v>
      </c>
      <c r="C2351" t="s">
        <v>71</v>
      </c>
      <c r="D2351">
        <v>92</v>
      </c>
      <c r="E2351" t="s">
        <v>1052</v>
      </c>
      <c r="F2351" t="s">
        <v>5324</v>
      </c>
      <c r="G2351" t="str">
        <f>SITE_Assesment!A92</f>
        <v>SITE-P005</v>
      </c>
      <c r="H2351" t="str">
        <f>SITE_Assesment!B92</f>
        <v>Building Tie-ins</v>
      </c>
      <c r="I2351" t="str">
        <f>SITE_Assesment!C92</f>
        <v>Penetrations / Firestop</v>
      </c>
      <c r="J2351" t="str">
        <f>SITE_Assesment!D92</f>
        <v>Exterior entry points, wall/floor penetrations, sleeves, firestop, weatherproofing and interior continuation to building TR/TE</v>
      </c>
      <c r="K2351">
        <f>SITE_Assesment!E92</f>
        <v>0</v>
      </c>
      <c r="L2351">
        <f>SITE_Assesment!F92</f>
        <v>0</v>
      </c>
      <c r="M2351">
        <f>SITE_Assesment!G92</f>
        <v>0</v>
      </c>
      <c r="N2351" t="str">
        <f>SITE_Assesment!H92</f>
        <v>SITE-R6</v>
      </c>
      <c r="O2351" t="str">
        <f>SITE_Assesment!I92</f>
        <v>Closed</v>
      </c>
      <c r="P2351">
        <f>SITE_Assesment!J92</f>
        <v>0</v>
      </c>
      <c r="Q2351" t="str">
        <f t="shared" si="36"/>
        <v>SITE|85</v>
      </c>
    </row>
    <row r="2352" spans="1:17" ht="6.45" customHeight="1">
      <c r="A2352" t="s">
        <v>70</v>
      </c>
      <c r="B2352">
        <v>86</v>
      </c>
      <c r="C2352" t="s">
        <v>71</v>
      </c>
      <c r="D2352">
        <v>93</v>
      </c>
      <c r="E2352" t="s">
        <v>1052</v>
      </c>
      <c r="F2352" t="s">
        <v>5324</v>
      </c>
      <c r="G2352" t="str">
        <f>SITE_Assesment!A93</f>
        <v>SITE-P006</v>
      </c>
      <c r="H2352" t="str">
        <f>SITE_Assesment!B93</f>
        <v>Fiber Pull / Testing</v>
      </c>
      <c r="I2352" t="str">
        <f>SITE_Assesment!C93</f>
        <v>Telecom</v>
      </c>
      <c r="J2352" t="str">
        <f>SITE_Assesment!D93</f>
        <v>Fiber reels, pull setup, mandrel/rope, splice/termination points, labels, OTDR/power meter screenshots and OIT acceptance</v>
      </c>
      <c r="K2352">
        <f>SITE_Assesment!E93</f>
        <v>0</v>
      </c>
      <c r="L2352">
        <f>SITE_Assesment!F93</f>
        <v>0</v>
      </c>
      <c r="M2352">
        <f>SITE_Assesment!G93</f>
        <v>0</v>
      </c>
      <c r="N2352" t="str">
        <f>SITE_Assesment!H93</f>
        <v>SITE-R8</v>
      </c>
      <c r="O2352" t="str">
        <f>SITE_Assesment!I93</f>
        <v>Closed</v>
      </c>
      <c r="P2352">
        <f>SITE_Assesment!J93</f>
        <v>0</v>
      </c>
      <c r="Q2352" t="str">
        <f t="shared" si="36"/>
        <v>SITE|86</v>
      </c>
    </row>
    <row r="2353" spans="1:17" ht="6.45" customHeight="1">
      <c r="A2353" t="s">
        <v>70</v>
      </c>
      <c r="B2353">
        <v>87</v>
      </c>
      <c r="C2353" t="s">
        <v>71</v>
      </c>
      <c r="D2353">
        <v>94</v>
      </c>
      <c r="E2353" t="s">
        <v>1052</v>
      </c>
      <c r="F2353" t="s">
        <v>5324</v>
      </c>
      <c r="G2353" t="str">
        <f>SITE_Assesment!A94</f>
        <v>SITE-P007</v>
      </c>
      <c r="H2353" t="str">
        <f>SITE_Assesment!B94</f>
        <v>Restoration</v>
      </c>
      <c r="I2353" t="str">
        <f>SITE_Assesment!C94</f>
        <v>Civil</v>
      </c>
      <c r="J2353" t="str">
        <f>SITE_Assesment!D94</f>
        <v>Asphalt/concrete trench patches, sidewalk panels, landscaping, turf, drainage, curb/edge details and final cleanup</v>
      </c>
      <c r="K2353">
        <f>SITE_Assesment!E94</f>
        <v>0</v>
      </c>
      <c r="L2353">
        <f>SITE_Assesment!F94</f>
        <v>0</v>
      </c>
      <c r="M2353">
        <f>SITE_Assesment!G94</f>
        <v>0</v>
      </c>
      <c r="N2353" t="str">
        <f>SITE_Assesment!H94</f>
        <v>SITE-R5/SITE-R7</v>
      </c>
      <c r="O2353" t="str">
        <f>SITE_Assesment!I94</f>
        <v>Closed</v>
      </c>
      <c r="P2353">
        <f>SITE_Assesment!J94</f>
        <v>0</v>
      </c>
      <c r="Q2353" t="str">
        <f t="shared" si="36"/>
        <v>SITE|87</v>
      </c>
    </row>
    <row r="2354" spans="1:17" ht="6.45" customHeight="1">
      <c r="A2354" t="s">
        <v>70</v>
      </c>
      <c r="B2354">
        <v>88</v>
      </c>
      <c r="C2354" t="s">
        <v>71</v>
      </c>
      <c r="D2354">
        <v>95</v>
      </c>
      <c r="E2354" t="s">
        <v>1052</v>
      </c>
      <c r="F2354" t="s">
        <v>5324</v>
      </c>
      <c r="G2354" t="str">
        <f>SITE_Assesment!A95</f>
        <v>SITE-P008</v>
      </c>
      <c r="H2354" t="str">
        <f>SITE_Assesment!B95</f>
        <v>MCR / Provider Entrance</v>
      </c>
      <c r="I2354" t="str">
        <f>SITE_Assesment!C95</f>
        <v>Critical Cutover</v>
      </c>
      <c r="J2354" t="str">
        <f>SITE_Assesment!D95</f>
        <v>Provider handoff, WAN fiber route, temporary fiber, Path A/B into MCR and activation/cutover coordination photos</v>
      </c>
      <c r="K2354">
        <f>SITE_Assesment!E95</f>
        <v>0</v>
      </c>
      <c r="L2354">
        <f>SITE_Assesment!F95</f>
        <v>0</v>
      </c>
      <c r="M2354">
        <f>SITE_Assesment!G95</f>
        <v>0</v>
      </c>
      <c r="N2354" t="str">
        <f>SITE_Assesment!H95</f>
        <v>SITE-R4/SITE-R8</v>
      </c>
      <c r="O2354" t="str">
        <f>SITE_Assesment!I95</f>
        <v>Closed</v>
      </c>
      <c r="P2354">
        <f>SITE_Assesment!J95</f>
        <v>0</v>
      </c>
      <c r="Q2354" t="str">
        <f t="shared" si="36"/>
        <v>SITE|88</v>
      </c>
    </row>
    <row r="2355" spans="1:17" ht="6.45" customHeight="1">
      <c r="A2355" t="s">
        <v>70</v>
      </c>
      <c r="B2355">
        <v>89</v>
      </c>
      <c r="C2355" t="s">
        <v>71</v>
      </c>
      <c r="D2355">
        <v>96</v>
      </c>
      <c r="E2355" t="s">
        <v>1052</v>
      </c>
      <c r="F2355" t="s">
        <v>5325</v>
      </c>
      <c r="G2355">
        <f>SITE_Assesment!A96</f>
        <v>0</v>
      </c>
      <c r="H2355">
        <f>SITE_Assesment!B96</f>
        <v>0</v>
      </c>
      <c r="I2355">
        <f>SITE_Assesment!C96</f>
        <v>0</v>
      </c>
      <c r="J2355">
        <f>SITE_Assesment!D96</f>
        <v>0</v>
      </c>
      <c r="K2355">
        <f>SITE_Assesment!E96</f>
        <v>0</v>
      </c>
      <c r="L2355">
        <f>SITE_Assesment!F96</f>
        <v>0</v>
      </c>
      <c r="M2355">
        <f>SITE_Assesment!G96</f>
        <v>0</v>
      </c>
      <c r="N2355">
        <f>SITE_Assesment!H96</f>
        <v>0</v>
      </c>
      <c r="O2355">
        <f>SITE_Assesment!I96</f>
        <v>0</v>
      </c>
      <c r="P2355">
        <f>SITE_Assesment!J96</f>
        <v>0</v>
      </c>
      <c r="Q2355" t="str">
        <f t="shared" si="36"/>
        <v>SITE|89</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EB504-18E5-48F5-9C4D-F4D6CDEE7724}">
  <sheetPr>
    <tabColor rgb="FF0B1220"/>
  </sheetPr>
  <dimension ref="A1:D12"/>
  <sheetViews>
    <sheetView showGridLines="0" workbookViewId="0">
      <selection sqref="A1:D1"/>
    </sheetView>
  </sheetViews>
  <sheetFormatPr defaultColWidth="8.6640625" defaultRowHeight="13.2"/>
  <cols>
    <col min="1" max="1" width="18" customWidth="1"/>
    <col min="2" max="2" width="24" customWidth="1"/>
    <col min="3" max="3" width="36" customWidth="1"/>
    <col min="4" max="4" width="60" customWidth="1"/>
  </cols>
  <sheetData>
    <row r="1" spans="1:4" ht="27.75" customHeight="1">
      <c r="A1" s="896" t="s">
        <v>5425</v>
      </c>
      <c r="B1" s="897"/>
      <c r="C1" s="897"/>
      <c r="D1" s="898"/>
    </row>
    <row r="2" spans="1:4" ht="18" customHeight="1">
      <c r="A2" s="899" t="s">
        <v>5426</v>
      </c>
      <c r="B2" s="897"/>
      <c r="C2" s="897"/>
      <c r="D2" s="898"/>
    </row>
    <row r="3" spans="1:4" ht="18" customHeight="1">
      <c r="A3" s="158" t="s">
        <v>5427</v>
      </c>
      <c r="B3" s="158" t="s">
        <v>5428</v>
      </c>
      <c r="C3" s="158" t="s">
        <v>5429</v>
      </c>
      <c r="D3" s="158" t="s">
        <v>5430</v>
      </c>
    </row>
    <row r="4" spans="1:4" ht="18" customHeight="1">
      <c r="A4" s="158" t="s">
        <v>5431</v>
      </c>
      <c r="B4" s="158" t="s">
        <v>5412</v>
      </c>
      <c r="C4" s="158" t="s">
        <v>5432</v>
      </c>
      <c r="D4" s="158" t="s">
        <v>5433</v>
      </c>
    </row>
    <row r="5" spans="1:4" ht="18" customHeight="1">
      <c r="A5" s="158" t="s">
        <v>5434</v>
      </c>
      <c r="B5" s="158" t="s">
        <v>5435</v>
      </c>
      <c r="C5" s="158" t="s">
        <v>5436</v>
      </c>
      <c r="D5" s="158" t="s">
        <v>5437</v>
      </c>
    </row>
    <row r="6" spans="1:4" ht="18" customHeight="1">
      <c r="A6" s="158" t="s">
        <v>5438</v>
      </c>
      <c r="B6" s="158" t="s">
        <v>5439</v>
      </c>
      <c r="C6" s="158" t="s">
        <v>5440</v>
      </c>
      <c r="D6" s="158" t="s">
        <v>5441</v>
      </c>
    </row>
    <row r="7" spans="1:4" ht="18" customHeight="1">
      <c r="A7" s="158" t="s">
        <v>5442</v>
      </c>
      <c r="B7" s="158" t="s">
        <v>5443</v>
      </c>
      <c r="C7" s="158" t="s">
        <v>5444</v>
      </c>
      <c r="D7" s="158" t="s">
        <v>5445</v>
      </c>
    </row>
    <row r="12" spans="1:4" ht="18" customHeight="1">
      <c r="A12" s="713"/>
      <c r="B12" s="558"/>
      <c r="C12" s="558"/>
      <c r="D12" s="558"/>
    </row>
  </sheetData>
  <mergeCells count="3">
    <mergeCell ref="A1:D1"/>
    <mergeCell ref="A12:D12"/>
    <mergeCell ref="A2:D2"/>
  </mergeCell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75A66-F121-4B41-9E44-243D576BEF08}">
  <dimension ref="A1:V200"/>
  <sheetViews>
    <sheetView showGridLines="0" workbookViewId="0"/>
  </sheetViews>
  <sheetFormatPr defaultColWidth="8.6640625" defaultRowHeight="13.2"/>
  <cols>
    <col min="1" max="1" width="8" customWidth="1"/>
    <col min="2" max="2" width="10" customWidth="1"/>
    <col min="3" max="3" width="22" customWidth="1"/>
    <col min="4" max="5" width="12" customWidth="1"/>
    <col min="6" max="6" width="26" customWidth="1"/>
    <col min="7" max="7" width="42" customWidth="1"/>
    <col min="8" max="8" width="44" customWidth="1"/>
    <col min="9" max="10" width="10" customWidth="1"/>
    <col min="11" max="12" width="8" customWidth="1"/>
    <col min="13" max="13" width="10" customWidth="1"/>
    <col min="14" max="14" width="8" customWidth="1"/>
    <col min="15" max="15" width="10" customWidth="1"/>
    <col min="16" max="16" width="22" customWidth="1"/>
    <col min="17" max="17" width="16" customWidth="1"/>
    <col min="21" max="21" width="12" customWidth="1"/>
  </cols>
  <sheetData>
    <row r="1" spans="1:22" ht="15" customHeight="1">
      <c r="A1" s="159" t="s">
        <v>5446</v>
      </c>
      <c r="B1" s="160"/>
      <c r="C1" s="160"/>
      <c r="D1" s="160"/>
      <c r="E1" s="160"/>
      <c r="F1" s="160"/>
      <c r="G1" s="160"/>
      <c r="H1" s="160"/>
      <c r="I1" s="160"/>
      <c r="J1" s="160"/>
      <c r="K1" s="160"/>
      <c r="L1" s="160"/>
      <c r="M1" s="160"/>
      <c r="N1" s="160"/>
      <c r="O1" s="160"/>
      <c r="P1" s="160"/>
      <c r="Q1" s="160"/>
      <c r="R1" s="160"/>
      <c r="S1" s="160"/>
      <c r="T1" s="160"/>
      <c r="U1" s="160"/>
      <c r="V1" s="160"/>
    </row>
    <row r="2" spans="1:22" ht="15" customHeight="1">
      <c r="A2" s="161" t="s">
        <v>5447</v>
      </c>
      <c r="B2" s="160"/>
      <c r="C2" s="160"/>
      <c r="D2" s="160"/>
      <c r="E2" s="160"/>
      <c r="F2" s="160"/>
      <c r="G2" s="160"/>
      <c r="H2" s="160"/>
      <c r="I2" s="160"/>
      <c r="J2" s="160"/>
      <c r="K2" s="160"/>
      <c r="L2" s="160"/>
      <c r="M2" s="160"/>
      <c r="N2" s="160"/>
      <c r="O2" s="160"/>
      <c r="P2" s="160"/>
      <c r="Q2" s="160"/>
      <c r="R2" s="160"/>
      <c r="S2" s="160"/>
      <c r="T2" s="160"/>
      <c r="U2" s="160"/>
      <c r="V2" s="160"/>
    </row>
    <row r="3" spans="1:22" ht="41.25" customHeight="1">
      <c r="A3" s="162" t="s">
        <v>5448</v>
      </c>
      <c r="B3" s="162" t="s">
        <v>142</v>
      </c>
      <c r="C3" s="162" t="s">
        <v>5449</v>
      </c>
      <c r="D3" s="162" t="s">
        <v>5450</v>
      </c>
      <c r="E3" s="162" t="s">
        <v>5451</v>
      </c>
      <c r="F3" s="162" t="s">
        <v>5452</v>
      </c>
      <c r="G3" s="162" t="s">
        <v>5453</v>
      </c>
      <c r="H3" s="162" t="s">
        <v>869</v>
      </c>
      <c r="I3" s="162" t="s">
        <v>174</v>
      </c>
      <c r="J3" s="162" t="s">
        <v>77</v>
      </c>
      <c r="K3" s="162" t="s">
        <v>175</v>
      </c>
      <c r="L3" s="162" t="s">
        <v>176</v>
      </c>
      <c r="M3" s="162" t="s">
        <v>177</v>
      </c>
      <c r="N3" s="162" t="s">
        <v>178</v>
      </c>
      <c r="O3" s="162" t="s">
        <v>179</v>
      </c>
      <c r="P3" s="162" t="s">
        <v>874</v>
      </c>
      <c r="Q3" s="162" t="s">
        <v>875</v>
      </c>
      <c r="R3" s="162" t="s">
        <v>871</v>
      </c>
      <c r="S3" s="162" t="s">
        <v>872</v>
      </c>
      <c r="T3" s="162" t="s">
        <v>873</v>
      </c>
      <c r="U3" s="162" t="s">
        <v>5454</v>
      </c>
      <c r="V3" s="160"/>
    </row>
    <row r="4" spans="1:22" ht="370.5" customHeight="1">
      <c r="A4" s="163">
        <f t="shared" ref="A4:A33" si="0">IF(B4="","",1+COUNTIF($D$4:$D$33,"&gt;"&amp;D4))</f>
        <v>1</v>
      </c>
      <c r="B4" s="163" t="str">
        <f>PMIS_Data!A3&amp;""</f>
        <v>01</v>
      </c>
      <c r="C4" s="163" t="str">
        <f>PMIS_Data!B3</f>
        <v>B01_Assessment</v>
      </c>
      <c r="D4" s="163">
        <f t="shared" ref="D4:D33" si="1">IF(B4="",0,U4+(100-ROW())/10000)</f>
        <v>75.009600000000006</v>
      </c>
      <c r="E4" s="163" t="str">
        <f t="shared" ref="E4:E33" si="2">IF(B4="","",IF(U4&gt;=200,"Critical",IF(U4&gt;=125,"High",IF(U4&gt;=60,"Medium","Low"))))</f>
        <v>Medium</v>
      </c>
      <c r="F4" s="163" t="str">
        <f t="shared" ref="F4:F33" si="3">IF(B4="","",IF(O4&gt;0,"COORDINATE SHUTDOWN",IF(L4&gt;0,"CLEAR RISK",IF(M4&gt;0,"ANSWER OPEN QUESTION",IF(N4&gt;0,"CLOSE PHOTO/CONDITION ITEM",IF(K4="No","READY BUILDING","MONITOR"))))))</f>
        <v>READY BUILDING</v>
      </c>
      <c r="G4" s="163" t="str">
        <f t="shared" ref="G4:G33" si="4">IF(B4="","",IF(O4&gt;0,"Active shutdown signal blocks readiness.",IF(L4&gt;0,"Open risks need owner/action before execution.",IF(M4&gt;0,"Open plan-review questions need answers.",IF(N4&gt;0,"Photo/field condition items remain open.","No major exception detected.")))))</f>
        <v>No major exception detected.</v>
      </c>
      <c r="H4" s="163" t="str">
        <f t="shared" ref="H4:H33" si="5">IF(B4="","",IF(O4&gt;0,"Verify outage need, owner, timing, and clearance path.",IF(L4&gt;0,"Assign owner and mitigation for open risks.",IF(M4&gt;0,"Route question to VA/GCC/design team for answer.",IF(N4&gt;0,"Review field photo and close condition item.","Maintain monitoring.")))))</f>
        <v>Maintain monitoring.</v>
      </c>
      <c r="I4" s="163">
        <f>IFERROR(PMIS_Data!E3,0)</f>
        <v>0.5</v>
      </c>
      <c r="J4" s="163" t="str">
        <f>PMIS_Data!C3</f>
        <v>Yellow</v>
      </c>
      <c r="K4" s="163" t="str">
        <f>PMIS_Data!F3</f>
        <v>No</v>
      </c>
      <c r="L4" s="163">
        <f>IFERROR(PMIS_Data!H3,0)</f>
        <v>0</v>
      </c>
      <c r="M4" s="163">
        <f>IFERROR(PMIS_Data!I3,0)</f>
        <v>0</v>
      </c>
      <c r="N4" s="163">
        <f>IFERROR(PMIS_Data!J3,0)</f>
        <v>0</v>
      </c>
      <c r="O4" s="163">
        <f>IFERROR(PMIS_Data!X3,0)</f>
        <v>0</v>
      </c>
      <c r="P4" s="163" t="str">
        <f>PMIS_Data!V3</f>
        <v>Monitor</v>
      </c>
      <c r="Q4" s="163" t="str">
        <f>PMIS_Data!W3</f>
        <v>Review</v>
      </c>
      <c r="R4" s="163">
        <f>IFERROR(PMIS_Data!S3,0)</f>
        <v>0</v>
      </c>
      <c r="S4" s="163">
        <f>IFERROR(PMIS_Data!T3,0)</f>
        <v>0</v>
      </c>
      <c r="T4" s="163">
        <f>IFERROR(PMIS_Data!U3,0)</f>
        <v>0</v>
      </c>
      <c r="U4" s="163">
        <f t="shared" ref="U4:U33" si="6">IF(B4="","",L4*20+M4*10+N4*3+O4*75+IF(K4="No",40,0)+IF(J4="Red",50,IF(J4="Yellow",20,0))+(1-I4)*30)</f>
        <v>75</v>
      </c>
      <c r="V4" s="160"/>
    </row>
    <row r="5" spans="1:22" ht="370.5" customHeight="1">
      <c r="A5" s="163">
        <f t="shared" si="0"/>
        <v>2</v>
      </c>
      <c r="B5" s="163" t="str">
        <f>PMIS_Data!A4&amp;""</f>
        <v>02</v>
      </c>
      <c r="C5" s="163" t="str">
        <f>PMIS_Data!B4</f>
        <v>B02_Assessment</v>
      </c>
      <c r="D5" s="163">
        <f t="shared" si="1"/>
        <v>75.009500000000003</v>
      </c>
      <c r="E5" s="163" t="str">
        <f t="shared" si="2"/>
        <v>Medium</v>
      </c>
      <c r="F5" s="163" t="str">
        <f t="shared" si="3"/>
        <v>READY BUILDING</v>
      </c>
      <c r="G5" s="163" t="str">
        <f t="shared" si="4"/>
        <v>No major exception detected.</v>
      </c>
      <c r="H5" s="163" t="str">
        <f t="shared" si="5"/>
        <v>Maintain monitoring.</v>
      </c>
      <c r="I5" s="163">
        <f>IFERROR(PMIS_Data!E4,0)</f>
        <v>0.5</v>
      </c>
      <c r="J5" s="163" t="str">
        <f>PMIS_Data!C4</f>
        <v>Yellow</v>
      </c>
      <c r="K5" s="163" t="str">
        <f>PMIS_Data!F4</f>
        <v>No</v>
      </c>
      <c r="L5" s="163">
        <f>IFERROR(PMIS_Data!H4,0)</f>
        <v>0</v>
      </c>
      <c r="M5" s="163">
        <f>IFERROR(PMIS_Data!I4,0)</f>
        <v>0</v>
      </c>
      <c r="N5" s="163">
        <f>IFERROR(PMIS_Data!J4,0)</f>
        <v>0</v>
      </c>
      <c r="O5" s="163">
        <f>IFERROR(PMIS_Data!X4,0)</f>
        <v>0</v>
      </c>
      <c r="P5" s="163" t="str">
        <f>PMIS_Data!V4</f>
        <v>Monitor</v>
      </c>
      <c r="Q5" s="163" t="str">
        <f>PMIS_Data!W4</f>
        <v>Review</v>
      </c>
      <c r="R5" s="163">
        <f>IFERROR(PMIS_Data!S4,0)</f>
        <v>0</v>
      </c>
      <c r="S5" s="163">
        <f>IFERROR(PMIS_Data!T4,0)</f>
        <v>0</v>
      </c>
      <c r="T5" s="163">
        <f>IFERROR(PMIS_Data!U4,0)</f>
        <v>0</v>
      </c>
      <c r="U5" s="163">
        <f t="shared" si="6"/>
        <v>75</v>
      </c>
      <c r="V5" s="160"/>
    </row>
    <row r="6" spans="1:22" ht="370.5" customHeight="1">
      <c r="A6" s="163">
        <f t="shared" si="0"/>
        <v>3</v>
      </c>
      <c r="B6" s="163" t="str">
        <f>PMIS_Data!A5&amp;""</f>
        <v>03</v>
      </c>
      <c r="C6" s="163" t="str">
        <f>PMIS_Data!B5</f>
        <v>B03_Assessment</v>
      </c>
      <c r="D6" s="163">
        <f t="shared" si="1"/>
        <v>75.009399999999999</v>
      </c>
      <c r="E6" s="163" t="str">
        <f t="shared" si="2"/>
        <v>Medium</v>
      </c>
      <c r="F6" s="163" t="str">
        <f t="shared" si="3"/>
        <v>READY BUILDING</v>
      </c>
      <c r="G6" s="163" t="str">
        <f t="shared" si="4"/>
        <v>No major exception detected.</v>
      </c>
      <c r="H6" s="163" t="str">
        <f t="shared" si="5"/>
        <v>Maintain monitoring.</v>
      </c>
      <c r="I6" s="163">
        <f>IFERROR(PMIS_Data!E5,0)</f>
        <v>0.5</v>
      </c>
      <c r="J6" s="163" t="str">
        <f>PMIS_Data!C5</f>
        <v>Yellow</v>
      </c>
      <c r="K6" s="163" t="str">
        <f>PMIS_Data!F5</f>
        <v>No</v>
      </c>
      <c r="L6" s="163">
        <f>IFERROR(PMIS_Data!H5,0)</f>
        <v>0</v>
      </c>
      <c r="M6" s="163">
        <f>IFERROR(PMIS_Data!I5,0)</f>
        <v>0</v>
      </c>
      <c r="N6" s="163">
        <f>IFERROR(PMIS_Data!J5,0)</f>
        <v>0</v>
      </c>
      <c r="O6" s="163">
        <f>IFERROR(PMIS_Data!X5,0)</f>
        <v>0</v>
      </c>
      <c r="P6" s="163" t="str">
        <f>PMIS_Data!V5</f>
        <v>Monitor</v>
      </c>
      <c r="Q6" s="163" t="str">
        <f>PMIS_Data!W5</f>
        <v>Review</v>
      </c>
      <c r="R6" s="163">
        <f>IFERROR(PMIS_Data!S5,0)</f>
        <v>0</v>
      </c>
      <c r="S6" s="163">
        <f>IFERROR(PMIS_Data!T5,0)</f>
        <v>0</v>
      </c>
      <c r="T6" s="163">
        <f>IFERROR(PMIS_Data!U5,0)</f>
        <v>0</v>
      </c>
      <c r="U6" s="163">
        <f t="shared" si="6"/>
        <v>75</v>
      </c>
      <c r="V6" s="160"/>
    </row>
    <row r="7" spans="1:22" ht="370.5" customHeight="1">
      <c r="A7" s="163">
        <f t="shared" si="0"/>
        <v>4</v>
      </c>
      <c r="B7" s="163" t="str">
        <f>PMIS_Data!A6&amp;""</f>
        <v>04</v>
      </c>
      <c r="C7" s="163" t="str">
        <f>PMIS_Data!B6</f>
        <v>B04_Assessment</v>
      </c>
      <c r="D7" s="163">
        <f t="shared" si="1"/>
        <v>75.009299999999996</v>
      </c>
      <c r="E7" s="163" t="str">
        <f t="shared" si="2"/>
        <v>Medium</v>
      </c>
      <c r="F7" s="163" t="str">
        <f t="shared" si="3"/>
        <v>READY BUILDING</v>
      </c>
      <c r="G7" s="163" t="str">
        <f t="shared" si="4"/>
        <v>No major exception detected.</v>
      </c>
      <c r="H7" s="163" t="str">
        <f t="shared" si="5"/>
        <v>Maintain monitoring.</v>
      </c>
      <c r="I7" s="163">
        <f>IFERROR(PMIS_Data!E6,0)</f>
        <v>0.5</v>
      </c>
      <c r="J7" s="163" t="str">
        <f>PMIS_Data!C6</f>
        <v>Yellow</v>
      </c>
      <c r="K7" s="163" t="str">
        <f>PMIS_Data!F6</f>
        <v>No</v>
      </c>
      <c r="L7" s="163">
        <f>IFERROR(PMIS_Data!H6,0)</f>
        <v>0</v>
      </c>
      <c r="M7" s="163">
        <f>IFERROR(PMIS_Data!I6,0)</f>
        <v>0</v>
      </c>
      <c r="N7" s="163">
        <f>IFERROR(PMIS_Data!J6,0)</f>
        <v>0</v>
      </c>
      <c r="O7" s="163">
        <f>IFERROR(PMIS_Data!X6,0)</f>
        <v>0</v>
      </c>
      <c r="P7" s="163" t="str">
        <f>PMIS_Data!V6</f>
        <v>Monitor</v>
      </c>
      <c r="Q7" s="163" t="str">
        <f>PMIS_Data!W6</f>
        <v>Review</v>
      </c>
      <c r="R7" s="163">
        <f>IFERROR(PMIS_Data!S6,0)</f>
        <v>0</v>
      </c>
      <c r="S7" s="163">
        <f>IFERROR(PMIS_Data!T6,0)</f>
        <v>0</v>
      </c>
      <c r="T7" s="163">
        <f>IFERROR(PMIS_Data!U6,0)</f>
        <v>0</v>
      </c>
      <c r="U7" s="163">
        <f t="shared" si="6"/>
        <v>75</v>
      </c>
      <c r="V7" s="160"/>
    </row>
    <row r="8" spans="1:22" ht="370.5" customHeight="1">
      <c r="A8" s="163">
        <f t="shared" si="0"/>
        <v>28</v>
      </c>
      <c r="B8" s="163" t="str">
        <f>PMIS_Data!A7&amp;""</f>
        <v>05</v>
      </c>
      <c r="C8" s="163" t="str">
        <f>PMIS_Data!B7</f>
        <v>B05_Assessment</v>
      </c>
      <c r="D8" s="163">
        <f t="shared" si="1"/>
        <v>73.509200000000007</v>
      </c>
      <c r="E8" s="163" t="str">
        <f t="shared" si="2"/>
        <v>Medium</v>
      </c>
      <c r="F8" s="163" t="str">
        <f t="shared" si="3"/>
        <v>READY BUILDING</v>
      </c>
      <c r="G8" s="163" t="str">
        <f t="shared" si="4"/>
        <v>No major exception detected.</v>
      </c>
      <c r="H8" s="163" t="str">
        <f t="shared" si="5"/>
        <v>Maintain monitoring.</v>
      </c>
      <c r="I8" s="163">
        <f>IFERROR(PMIS_Data!E7,0)</f>
        <v>0.55000000000000004</v>
      </c>
      <c r="J8" s="163" t="str">
        <f>PMIS_Data!C7</f>
        <v>Yellow</v>
      </c>
      <c r="K8" s="163" t="str">
        <f>PMIS_Data!F7</f>
        <v>No</v>
      </c>
      <c r="L8" s="163">
        <f>IFERROR(PMIS_Data!H7,0)</f>
        <v>0</v>
      </c>
      <c r="M8" s="163">
        <f>IFERROR(PMIS_Data!I7,0)</f>
        <v>0</v>
      </c>
      <c r="N8" s="163">
        <f>IFERROR(PMIS_Data!J7,0)</f>
        <v>0</v>
      </c>
      <c r="O8" s="163">
        <f>IFERROR(PMIS_Data!X7,0)</f>
        <v>0</v>
      </c>
      <c r="P8" s="163" t="str">
        <f>PMIS_Data!V7</f>
        <v>Monitor</v>
      </c>
      <c r="Q8" s="163" t="str">
        <f>PMIS_Data!W7</f>
        <v>Review</v>
      </c>
      <c r="R8" s="163">
        <f>IFERROR(PMIS_Data!S7,0)</f>
        <v>0</v>
      </c>
      <c r="S8" s="163">
        <f>IFERROR(PMIS_Data!T7,0)</f>
        <v>0</v>
      </c>
      <c r="T8" s="163">
        <f>IFERROR(PMIS_Data!U7,0)</f>
        <v>0</v>
      </c>
      <c r="U8" s="163">
        <f t="shared" si="6"/>
        <v>73.5</v>
      </c>
      <c r="V8" s="160"/>
    </row>
    <row r="9" spans="1:22" ht="370.5" customHeight="1">
      <c r="A9" s="163">
        <f t="shared" si="0"/>
        <v>5</v>
      </c>
      <c r="B9" s="163" t="str">
        <f>PMIS_Data!A8&amp;""</f>
        <v>06</v>
      </c>
      <c r="C9" s="163" t="str">
        <f>PMIS_Data!B8</f>
        <v>B06_Assessment</v>
      </c>
      <c r="D9" s="163">
        <f t="shared" si="1"/>
        <v>75.009100000000004</v>
      </c>
      <c r="E9" s="163" t="str">
        <f t="shared" si="2"/>
        <v>Medium</v>
      </c>
      <c r="F9" s="163" t="str">
        <f t="shared" si="3"/>
        <v>READY BUILDING</v>
      </c>
      <c r="G9" s="163" t="str">
        <f t="shared" si="4"/>
        <v>No major exception detected.</v>
      </c>
      <c r="H9" s="163" t="str">
        <f t="shared" si="5"/>
        <v>Maintain monitoring.</v>
      </c>
      <c r="I9" s="163">
        <f>IFERROR(PMIS_Data!E8,0)</f>
        <v>0.5</v>
      </c>
      <c r="J9" s="163" t="str">
        <f>PMIS_Data!C8</f>
        <v>Yellow</v>
      </c>
      <c r="K9" s="163" t="str">
        <f>PMIS_Data!F8</f>
        <v>No</v>
      </c>
      <c r="L9" s="163">
        <f>IFERROR(PMIS_Data!H8,0)</f>
        <v>0</v>
      </c>
      <c r="M9" s="163">
        <f>IFERROR(PMIS_Data!I8,0)</f>
        <v>0</v>
      </c>
      <c r="N9" s="163">
        <f>IFERROR(PMIS_Data!J8,0)</f>
        <v>0</v>
      </c>
      <c r="O9" s="163">
        <f>IFERROR(PMIS_Data!X8,0)</f>
        <v>0</v>
      </c>
      <c r="P9" s="163" t="str">
        <f>PMIS_Data!V8</f>
        <v>Monitor</v>
      </c>
      <c r="Q9" s="163" t="str">
        <f>PMIS_Data!W8</f>
        <v>Review</v>
      </c>
      <c r="R9" s="163">
        <f>IFERROR(PMIS_Data!S8,0)</f>
        <v>0</v>
      </c>
      <c r="S9" s="163">
        <f>IFERROR(PMIS_Data!T8,0)</f>
        <v>0</v>
      </c>
      <c r="T9" s="163">
        <f>IFERROR(PMIS_Data!U8,0)</f>
        <v>0</v>
      </c>
      <c r="U9" s="163">
        <f t="shared" si="6"/>
        <v>75</v>
      </c>
      <c r="V9" s="160"/>
    </row>
    <row r="10" spans="1:22" ht="370.5" customHeight="1">
      <c r="A10" s="163">
        <f t="shared" si="0"/>
        <v>6</v>
      </c>
      <c r="B10" s="163" t="str">
        <f>PMIS_Data!A9&amp;""</f>
        <v>07</v>
      </c>
      <c r="C10" s="163" t="str">
        <f>PMIS_Data!B9</f>
        <v>B07_Assessment</v>
      </c>
      <c r="D10" s="163">
        <f t="shared" si="1"/>
        <v>75.009</v>
      </c>
      <c r="E10" s="163" t="str">
        <f t="shared" si="2"/>
        <v>Medium</v>
      </c>
      <c r="F10" s="163" t="str">
        <f t="shared" si="3"/>
        <v>READY BUILDING</v>
      </c>
      <c r="G10" s="163" t="str">
        <f t="shared" si="4"/>
        <v>No major exception detected.</v>
      </c>
      <c r="H10" s="163" t="str">
        <f t="shared" si="5"/>
        <v>Maintain monitoring.</v>
      </c>
      <c r="I10" s="163">
        <f>IFERROR(PMIS_Data!E9,0)</f>
        <v>0.5</v>
      </c>
      <c r="J10" s="163" t="str">
        <f>PMIS_Data!C9</f>
        <v>Yellow</v>
      </c>
      <c r="K10" s="163" t="str">
        <f>PMIS_Data!F9</f>
        <v>No</v>
      </c>
      <c r="L10" s="163">
        <f>IFERROR(PMIS_Data!H9,0)</f>
        <v>0</v>
      </c>
      <c r="M10" s="163">
        <f>IFERROR(PMIS_Data!I9,0)</f>
        <v>0</v>
      </c>
      <c r="N10" s="163">
        <f>IFERROR(PMIS_Data!J9,0)</f>
        <v>0</v>
      </c>
      <c r="O10" s="163">
        <f>IFERROR(PMIS_Data!X9,0)</f>
        <v>0</v>
      </c>
      <c r="P10" s="163" t="str">
        <f>PMIS_Data!V9</f>
        <v>Monitor</v>
      </c>
      <c r="Q10" s="163" t="str">
        <f>PMIS_Data!W9</f>
        <v>Review</v>
      </c>
      <c r="R10" s="163">
        <f>IFERROR(PMIS_Data!S9,0)</f>
        <v>0</v>
      </c>
      <c r="S10" s="163">
        <f>IFERROR(PMIS_Data!T9,0)</f>
        <v>0</v>
      </c>
      <c r="T10" s="163">
        <f>IFERROR(PMIS_Data!U9,0)</f>
        <v>0</v>
      </c>
      <c r="U10" s="163">
        <f t="shared" si="6"/>
        <v>75</v>
      </c>
      <c r="V10" s="160"/>
    </row>
    <row r="11" spans="1:22" ht="370.5" customHeight="1">
      <c r="A11" s="163">
        <f t="shared" si="0"/>
        <v>7</v>
      </c>
      <c r="B11" s="163" t="str">
        <f>PMIS_Data!A10&amp;""</f>
        <v>08</v>
      </c>
      <c r="C11" s="163" t="str">
        <f>PMIS_Data!B10</f>
        <v>B08_Assessment</v>
      </c>
      <c r="D11" s="163">
        <f t="shared" si="1"/>
        <v>75.008899999999997</v>
      </c>
      <c r="E11" s="163" t="str">
        <f t="shared" si="2"/>
        <v>Medium</v>
      </c>
      <c r="F11" s="163" t="str">
        <f t="shared" si="3"/>
        <v>READY BUILDING</v>
      </c>
      <c r="G11" s="163" t="str">
        <f t="shared" si="4"/>
        <v>No major exception detected.</v>
      </c>
      <c r="H11" s="163" t="str">
        <f t="shared" si="5"/>
        <v>Maintain monitoring.</v>
      </c>
      <c r="I11" s="163">
        <f>IFERROR(PMIS_Data!E10,0)</f>
        <v>0.5</v>
      </c>
      <c r="J11" s="163" t="str">
        <f>PMIS_Data!C10</f>
        <v>Yellow</v>
      </c>
      <c r="K11" s="163" t="str">
        <f>PMIS_Data!F10</f>
        <v>No</v>
      </c>
      <c r="L11" s="163">
        <f>IFERROR(PMIS_Data!H10,0)</f>
        <v>0</v>
      </c>
      <c r="M11" s="163">
        <f>IFERROR(PMIS_Data!I10,0)</f>
        <v>0</v>
      </c>
      <c r="N11" s="163">
        <f>IFERROR(PMIS_Data!J10,0)</f>
        <v>0</v>
      </c>
      <c r="O11" s="163">
        <f>IFERROR(PMIS_Data!X10,0)</f>
        <v>0</v>
      </c>
      <c r="P11" s="163" t="str">
        <f>PMIS_Data!V10</f>
        <v>Monitor</v>
      </c>
      <c r="Q11" s="163" t="str">
        <f>PMIS_Data!W10</f>
        <v>Review</v>
      </c>
      <c r="R11" s="163">
        <f>IFERROR(PMIS_Data!S10,0)</f>
        <v>0</v>
      </c>
      <c r="S11" s="163">
        <f>IFERROR(PMIS_Data!T10,0)</f>
        <v>0</v>
      </c>
      <c r="T11" s="163">
        <f>IFERROR(PMIS_Data!U10,0)</f>
        <v>0</v>
      </c>
      <c r="U11" s="163">
        <f t="shared" si="6"/>
        <v>75</v>
      </c>
      <c r="V11" s="160"/>
    </row>
    <row r="12" spans="1:22" ht="370.5" customHeight="1">
      <c r="A12" s="163">
        <f t="shared" si="0"/>
        <v>8</v>
      </c>
      <c r="B12" s="163" t="str">
        <f>PMIS_Data!A11&amp;""</f>
        <v>09</v>
      </c>
      <c r="C12" s="163" t="str">
        <f>PMIS_Data!B11</f>
        <v>B09_Assessment</v>
      </c>
      <c r="D12" s="163">
        <f t="shared" si="1"/>
        <v>75.008799999999994</v>
      </c>
      <c r="E12" s="163" t="str">
        <f t="shared" si="2"/>
        <v>Medium</v>
      </c>
      <c r="F12" s="163" t="str">
        <f t="shared" si="3"/>
        <v>READY BUILDING</v>
      </c>
      <c r="G12" s="163" t="str">
        <f t="shared" si="4"/>
        <v>No major exception detected.</v>
      </c>
      <c r="H12" s="163" t="str">
        <f t="shared" si="5"/>
        <v>Maintain monitoring.</v>
      </c>
      <c r="I12" s="163">
        <f>IFERROR(PMIS_Data!E11,0)</f>
        <v>0.5</v>
      </c>
      <c r="J12" s="163" t="str">
        <f>PMIS_Data!C11</f>
        <v>Yellow</v>
      </c>
      <c r="K12" s="163" t="str">
        <f>PMIS_Data!F11</f>
        <v>No</v>
      </c>
      <c r="L12" s="163">
        <f>IFERROR(PMIS_Data!H11,0)</f>
        <v>0</v>
      </c>
      <c r="M12" s="163">
        <f>IFERROR(PMIS_Data!I11,0)</f>
        <v>0</v>
      </c>
      <c r="N12" s="163">
        <f>IFERROR(PMIS_Data!J11,0)</f>
        <v>0</v>
      </c>
      <c r="O12" s="163">
        <f>IFERROR(PMIS_Data!X11,0)</f>
        <v>0</v>
      </c>
      <c r="P12" s="163" t="str">
        <f>PMIS_Data!V11</f>
        <v>Monitor</v>
      </c>
      <c r="Q12" s="163" t="str">
        <f>PMIS_Data!W11</f>
        <v>Review</v>
      </c>
      <c r="R12" s="163">
        <f>IFERROR(PMIS_Data!S11,0)</f>
        <v>0</v>
      </c>
      <c r="S12" s="163">
        <f>IFERROR(PMIS_Data!T11,0)</f>
        <v>0</v>
      </c>
      <c r="T12" s="163">
        <f>IFERROR(PMIS_Data!U11,0)</f>
        <v>0</v>
      </c>
      <c r="U12" s="163">
        <f t="shared" si="6"/>
        <v>75</v>
      </c>
      <c r="V12" s="160"/>
    </row>
    <row r="13" spans="1:22" ht="370.5" customHeight="1">
      <c r="A13" s="163">
        <f t="shared" si="0"/>
        <v>9</v>
      </c>
      <c r="B13" s="163" t="str">
        <f>PMIS_Data!A12&amp;""</f>
        <v>10</v>
      </c>
      <c r="C13" s="163" t="str">
        <f>PMIS_Data!B12</f>
        <v>B10_Assessment</v>
      </c>
      <c r="D13" s="163">
        <f t="shared" si="1"/>
        <v>75.008700000000005</v>
      </c>
      <c r="E13" s="163" t="str">
        <f t="shared" si="2"/>
        <v>Medium</v>
      </c>
      <c r="F13" s="163" t="str">
        <f t="shared" si="3"/>
        <v>READY BUILDING</v>
      </c>
      <c r="G13" s="163" t="str">
        <f t="shared" si="4"/>
        <v>No major exception detected.</v>
      </c>
      <c r="H13" s="163" t="str">
        <f t="shared" si="5"/>
        <v>Maintain monitoring.</v>
      </c>
      <c r="I13" s="163">
        <f>IFERROR(PMIS_Data!E12,0)</f>
        <v>0.5</v>
      </c>
      <c r="J13" s="163" t="str">
        <f>PMIS_Data!C12</f>
        <v>Yellow</v>
      </c>
      <c r="K13" s="163" t="str">
        <f>PMIS_Data!F12</f>
        <v>No</v>
      </c>
      <c r="L13" s="163">
        <f>IFERROR(PMIS_Data!H12,0)</f>
        <v>0</v>
      </c>
      <c r="M13" s="163">
        <f>IFERROR(PMIS_Data!I12,0)</f>
        <v>0</v>
      </c>
      <c r="N13" s="163">
        <f>IFERROR(PMIS_Data!J12,0)</f>
        <v>0</v>
      </c>
      <c r="O13" s="163">
        <f>IFERROR(PMIS_Data!X12,0)</f>
        <v>0</v>
      </c>
      <c r="P13" s="163" t="str">
        <f>PMIS_Data!V12</f>
        <v>Monitor</v>
      </c>
      <c r="Q13" s="163" t="str">
        <f>PMIS_Data!W12</f>
        <v>Review</v>
      </c>
      <c r="R13" s="163">
        <f>IFERROR(PMIS_Data!S12,0)</f>
        <v>0</v>
      </c>
      <c r="S13" s="163">
        <f>IFERROR(PMIS_Data!T12,0)</f>
        <v>0</v>
      </c>
      <c r="T13" s="163">
        <f>IFERROR(PMIS_Data!U12,0)</f>
        <v>0</v>
      </c>
      <c r="U13" s="163">
        <f t="shared" si="6"/>
        <v>75</v>
      </c>
      <c r="V13" s="160"/>
    </row>
    <row r="14" spans="1:22" ht="370.5" customHeight="1">
      <c r="A14" s="163">
        <f t="shared" si="0"/>
        <v>29</v>
      </c>
      <c r="B14" s="163" t="str">
        <f>PMIS_Data!A13&amp;""</f>
        <v>12</v>
      </c>
      <c r="C14" s="163" t="str">
        <f>PMIS_Data!B13</f>
        <v>B12_Assessment</v>
      </c>
      <c r="D14" s="163">
        <f t="shared" si="1"/>
        <v>72.008600000000001</v>
      </c>
      <c r="E14" s="163" t="str">
        <f t="shared" si="2"/>
        <v>Medium</v>
      </c>
      <c r="F14" s="163" t="str">
        <f t="shared" si="3"/>
        <v>READY BUILDING</v>
      </c>
      <c r="G14" s="163" t="str">
        <f t="shared" si="4"/>
        <v>No major exception detected.</v>
      </c>
      <c r="H14" s="163" t="str">
        <f t="shared" si="5"/>
        <v>Maintain monitoring.</v>
      </c>
      <c r="I14" s="163">
        <f>IFERROR(PMIS_Data!E13,0)</f>
        <v>0.6</v>
      </c>
      <c r="J14" s="163" t="str">
        <f>PMIS_Data!C13</f>
        <v>Yellow</v>
      </c>
      <c r="K14" s="163" t="str">
        <f>PMIS_Data!F13</f>
        <v>No</v>
      </c>
      <c r="L14" s="163">
        <f>IFERROR(PMIS_Data!H13,0)</f>
        <v>0</v>
      </c>
      <c r="M14" s="163">
        <f>IFERROR(PMIS_Data!I13,0)</f>
        <v>0</v>
      </c>
      <c r="N14" s="163">
        <f>IFERROR(PMIS_Data!J13,0)</f>
        <v>0</v>
      </c>
      <c r="O14" s="163">
        <f>IFERROR(PMIS_Data!X13,0)</f>
        <v>0</v>
      </c>
      <c r="P14" s="163" t="str">
        <f>PMIS_Data!V13</f>
        <v>Monitor</v>
      </c>
      <c r="Q14" s="163" t="str">
        <f>PMIS_Data!W13</f>
        <v>Review</v>
      </c>
      <c r="R14" s="163">
        <f>IFERROR(PMIS_Data!S13,0)</f>
        <v>0</v>
      </c>
      <c r="S14" s="163">
        <f>IFERROR(PMIS_Data!T13,0)</f>
        <v>0</v>
      </c>
      <c r="T14" s="163">
        <f>IFERROR(PMIS_Data!U13,0)</f>
        <v>0</v>
      </c>
      <c r="U14" s="163">
        <f t="shared" si="6"/>
        <v>72</v>
      </c>
      <c r="V14" s="160"/>
    </row>
    <row r="15" spans="1:22" ht="381.75" customHeight="1">
      <c r="A15" s="163">
        <f t="shared" si="0"/>
        <v>10</v>
      </c>
      <c r="B15" s="163" t="str">
        <f>PMIS_Data!A14&amp;""</f>
        <v>13</v>
      </c>
      <c r="C15" s="163" t="str">
        <f>PMIS_Data!B14</f>
        <v>B13_Assessment</v>
      </c>
      <c r="D15" s="163">
        <f t="shared" si="1"/>
        <v>75.008499999999998</v>
      </c>
      <c r="E15" s="163" t="str">
        <f t="shared" si="2"/>
        <v>Medium</v>
      </c>
      <c r="F15" s="163" t="str">
        <f t="shared" si="3"/>
        <v>READY BUILDING</v>
      </c>
      <c r="G15" s="163" t="str">
        <f t="shared" si="4"/>
        <v>No major exception detected.</v>
      </c>
      <c r="H15" s="163" t="str">
        <f t="shared" si="5"/>
        <v>Maintain monitoring.</v>
      </c>
      <c r="I15" s="163">
        <f>IFERROR(PMIS_Data!E14,0)</f>
        <v>0.5</v>
      </c>
      <c r="J15" s="163" t="str">
        <f>PMIS_Data!C14</f>
        <v>Yellow</v>
      </c>
      <c r="K15" s="163" t="str">
        <f>PMIS_Data!F14</f>
        <v>No</v>
      </c>
      <c r="L15" s="163">
        <f>IFERROR(PMIS_Data!H14,0)</f>
        <v>0</v>
      </c>
      <c r="M15" s="163">
        <f>IFERROR(PMIS_Data!I14,0)</f>
        <v>0</v>
      </c>
      <c r="N15" s="163">
        <f>IFERROR(PMIS_Data!J14,0)</f>
        <v>0</v>
      </c>
      <c r="O15" s="163">
        <f>IFERROR(PMIS_Data!X14,0)</f>
        <v>0</v>
      </c>
      <c r="P15" s="163" t="str">
        <f>PMIS_Data!V14</f>
        <v>Monitor</v>
      </c>
      <c r="Q15" s="163" t="str">
        <f>PMIS_Data!W14</f>
        <v>Review</v>
      </c>
      <c r="R15" s="163">
        <f>IFERROR(PMIS_Data!S14,0)</f>
        <v>0</v>
      </c>
      <c r="S15" s="163">
        <f>IFERROR(PMIS_Data!T14,0)</f>
        <v>0</v>
      </c>
      <c r="T15" s="163">
        <f>IFERROR(PMIS_Data!U14,0)</f>
        <v>0</v>
      </c>
      <c r="U15" s="163">
        <f t="shared" si="6"/>
        <v>75</v>
      </c>
      <c r="V15" s="160"/>
    </row>
    <row r="16" spans="1:22" ht="370.5" customHeight="1">
      <c r="A16" s="163">
        <f t="shared" si="0"/>
        <v>11</v>
      </c>
      <c r="B16" s="163" t="str">
        <f>PMIS_Data!A15&amp;""</f>
        <v>14</v>
      </c>
      <c r="C16" s="163" t="str">
        <f>PMIS_Data!B15</f>
        <v>B14_Assessment</v>
      </c>
      <c r="D16" s="163">
        <f t="shared" si="1"/>
        <v>75.008399999999995</v>
      </c>
      <c r="E16" s="163" t="str">
        <f t="shared" si="2"/>
        <v>Medium</v>
      </c>
      <c r="F16" s="163" t="str">
        <f t="shared" si="3"/>
        <v>READY BUILDING</v>
      </c>
      <c r="G16" s="163" t="str">
        <f t="shared" si="4"/>
        <v>No major exception detected.</v>
      </c>
      <c r="H16" s="163" t="str">
        <f t="shared" si="5"/>
        <v>Maintain monitoring.</v>
      </c>
      <c r="I16" s="163">
        <f>IFERROR(PMIS_Data!E15,0)</f>
        <v>0.5</v>
      </c>
      <c r="J16" s="163" t="str">
        <f>PMIS_Data!C15</f>
        <v>Yellow</v>
      </c>
      <c r="K16" s="163" t="str">
        <f>PMIS_Data!F15</f>
        <v>No</v>
      </c>
      <c r="L16" s="163">
        <f>IFERROR(PMIS_Data!H15,0)</f>
        <v>0</v>
      </c>
      <c r="M16" s="163">
        <f>IFERROR(PMIS_Data!I15,0)</f>
        <v>0</v>
      </c>
      <c r="N16" s="163">
        <f>IFERROR(PMIS_Data!J15,0)</f>
        <v>0</v>
      </c>
      <c r="O16" s="163">
        <f>IFERROR(PMIS_Data!X15,0)</f>
        <v>0</v>
      </c>
      <c r="P16" s="163" t="str">
        <f>PMIS_Data!V15</f>
        <v>Monitor</v>
      </c>
      <c r="Q16" s="163" t="str">
        <f>PMIS_Data!W15</f>
        <v>Review</v>
      </c>
      <c r="R16" s="163">
        <f>IFERROR(PMIS_Data!S15,0)</f>
        <v>0</v>
      </c>
      <c r="S16" s="163">
        <f>IFERROR(PMIS_Data!T15,0)</f>
        <v>0</v>
      </c>
      <c r="T16" s="163">
        <f>IFERROR(PMIS_Data!U15,0)</f>
        <v>0</v>
      </c>
      <c r="U16" s="163">
        <f t="shared" si="6"/>
        <v>75</v>
      </c>
      <c r="V16" s="160"/>
    </row>
    <row r="17" spans="1:22" ht="370.5" customHeight="1">
      <c r="A17" s="163">
        <f t="shared" si="0"/>
        <v>12</v>
      </c>
      <c r="B17" s="163" t="str">
        <f>PMIS_Data!A16&amp;""</f>
        <v>15</v>
      </c>
      <c r="C17" s="163" t="str">
        <f>PMIS_Data!B16</f>
        <v>B15_Assessment</v>
      </c>
      <c r="D17" s="163">
        <f t="shared" si="1"/>
        <v>75.008300000000006</v>
      </c>
      <c r="E17" s="163" t="str">
        <f t="shared" si="2"/>
        <v>Medium</v>
      </c>
      <c r="F17" s="163" t="str">
        <f t="shared" si="3"/>
        <v>READY BUILDING</v>
      </c>
      <c r="G17" s="163" t="str">
        <f t="shared" si="4"/>
        <v>No major exception detected.</v>
      </c>
      <c r="H17" s="163" t="str">
        <f t="shared" si="5"/>
        <v>Maintain monitoring.</v>
      </c>
      <c r="I17" s="163">
        <f>IFERROR(PMIS_Data!E16,0)</f>
        <v>0.5</v>
      </c>
      <c r="J17" s="163" t="str">
        <f>PMIS_Data!C16</f>
        <v>Yellow</v>
      </c>
      <c r="K17" s="163" t="str">
        <f>PMIS_Data!F16</f>
        <v>No</v>
      </c>
      <c r="L17" s="163">
        <f>IFERROR(PMIS_Data!H16,0)</f>
        <v>0</v>
      </c>
      <c r="M17" s="163">
        <f>IFERROR(PMIS_Data!I16,0)</f>
        <v>0</v>
      </c>
      <c r="N17" s="163">
        <f>IFERROR(PMIS_Data!J16,0)</f>
        <v>0</v>
      </c>
      <c r="O17" s="163">
        <f>IFERROR(PMIS_Data!X16,0)</f>
        <v>0</v>
      </c>
      <c r="P17" s="163" t="str">
        <f>PMIS_Data!V16</f>
        <v>Monitor</v>
      </c>
      <c r="Q17" s="163" t="str">
        <f>PMIS_Data!W16</f>
        <v>Review</v>
      </c>
      <c r="R17" s="163">
        <f>IFERROR(PMIS_Data!S16,0)</f>
        <v>0</v>
      </c>
      <c r="S17" s="163">
        <f>IFERROR(PMIS_Data!T16,0)</f>
        <v>0</v>
      </c>
      <c r="T17" s="163">
        <f>IFERROR(PMIS_Data!U16,0)</f>
        <v>0</v>
      </c>
      <c r="U17" s="163">
        <f t="shared" si="6"/>
        <v>75</v>
      </c>
      <c r="V17" s="160"/>
    </row>
    <row r="18" spans="1:22" ht="370.5" customHeight="1">
      <c r="A18" s="163">
        <f t="shared" si="0"/>
        <v>13</v>
      </c>
      <c r="B18" s="163" t="str">
        <f>PMIS_Data!A17&amp;""</f>
        <v>16</v>
      </c>
      <c r="C18" s="163" t="str">
        <f>PMIS_Data!B17</f>
        <v>B16_Assessment</v>
      </c>
      <c r="D18" s="163">
        <f t="shared" si="1"/>
        <v>75.008200000000002</v>
      </c>
      <c r="E18" s="163" t="str">
        <f t="shared" si="2"/>
        <v>Medium</v>
      </c>
      <c r="F18" s="163" t="str">
        <f t="shared" si="3"/>
        <v>READY BUILDING</v>
      </c>
      <c r="G18" s="163" t="str">
        <f t="shared" si="4"/>
        <v>No major exception detected.</v>
      </c>
      <c r="H18" s="163" t="str">
        <f t="shared" si="5"/>
        <v>Maintain monitoring.</v>
      </c>
      <c r="I18" s="163">
        <f>IFERROR(PMIS_Data!E17,0)</f>
        <v>0.5</v>
      </c>
      <c r="J18" s="163" t="str">
        <f>PMIS_Data!C17</f>
        <v>Yellow</v>
      </c>
      <c r="K18" s="163" t="str">
        <f>PMIS_Data!F17</f>
        <v>No</v>
      </c>
      <c r="L18" s="163">
        <f>IFERROR(PMIS_Data!H17,0)</f>
        <v>0</v>
      </c>
      <c r="M18" s="163">
        <f>IFERROR(PMIS_Data!I17,0)</f>
        <v>0</v>
      </c>
      <c r="N18" s="163">
        <f>IFERROR(PMIS_Data!J17,0)</f>
        <v>0</v>
      </c>
      <c r="O18" s="163">
        <f>IFERROR(PMIS_Data!X17,0)</f>
        <v>0</v>
      </c>
      <c r="P18" s="163" t="str">
        <f>PMIS_Data!V17</f>
        <v>Monitor</v>
      </c>
      <c r="Q18" s="163" t="str">
        <f>PMIS_Data!W17</f>
        <v>Review</v>
      </c>
      <c r="R18" s="163">
        <f>IFERROR(PMIS_Data!S17,0)</f>
        <v>0</v>
      </c>
      <c r="S18" s="163">
        <f>IFERROR(PMIS_Data!T17,0)</f>
        <v>0</v>
      </c>
      <c r="T18" s="163">
        <f>IFERROR(PMIS_Data!U17,0)</f>
        <v>0</v>
      </c>
      <c r="U18" s="163">
        <f t="shared" si="6"/>
        <v>75</v>
      </c>
      <c r="V18" s="160"/>
    </row>
    <row r="19" spans="1:22" ht="370.5" customHeight="1">
      <c r="A19" s="163">
        <f t="shared" si="0"/>
        <v>14</v>
      </c>
      <c r="B19" s="163" t="str">
        <f>PMIS_Data!A18&amp;""</f>
        <v>17</v>
      </c>
      <c r="C19" s="163" t="str">
        <f>PMIS_Data!B18</f>
        <v>B17_Assessment</v>
      </c>
      <c r="D19" s="163">
        <f t="shared" si="1"/>
        <v>75.008099999999999</v>
      </c>
      <c r="E19" s="163" t="str">
        <f t="shared" si="2"/>
        <v>Medium</v>
      </c>
      <c r="F19" s="163" t="str">
        <f t="shared" si="3"/>
        <v>READY BUILDING</v>
      </c>
      <c r="G19" s="163" t="str">
        <f t="shared" si="4"/>
        <v>No major exception detected.</v>
      </c>
      <c r="H19" s="163" t="str">
        <f t="shared" si="5"/>
        <v>Maintain monitoring.</v>
      </c>
      <c r="I19" s="163">
        <f>IFERROR(PMIS_Data!E18,0)</f>
        <v>0.5</v>
      </c>
      <c r="J19" s="163" t="str">
        <f>PMIS_Data!C18</f>
        <v>Yellow</v>
      </c>
      <c r="K19" s="163" t="str">
        <f>PMIS_Data!F18</f>
        <v>No</v>
      </c>
      <c r="L19" s="163">
        <f>IFERROR(PMIS_Data!H18,0)</f>
        <v>0</v>
      </c>
      <c r="M19" s="163">
        <f>IFERROR(PMIS_Data!I18,0)</f>
        <v>0</v>
      </c>
      <c r="N19" s="163">
        <f>IFERROR(PMIS_Data!J18,0)</f>
        <v>0</v>
      </c>
      <c r="O19" s="163">
        <f>IFERROR(PMIS_Data!X18,0)</f>
        <v>0</v>
      </c>
      <c r="P19" s="163" t="str">
        <f>PMIS_Data!V18</f>
        <v>Monitor</v>
      </c>
      <c r="Q19" s="163" t="str">
        <f>PMIS_Data!W18</f>
        <v>Review</v>
      </c>
      <c r="R19" s="163">
        <f>IFERROR(PMIS_Data!S18,0)</f>
        <v>0</v>
      </c>
      <c r="S19" s="163">
        <f>IFERROR(PMIS_Data!T18,0)</f>
        <v>0</v>
      </c>
      <c r="T19" s="163">
        <f>IFERROR(PMIS_Data!U18,0)</f>
        <v>0</v>
      </c>
      <c r="U19" s="163">
        <f t="shared" si="6"/>
        <v>75</v>
      </c>
      <c r="V19" s="160"/>
    </row>
    <row r="20" spans="1:22" ht="370.5" customHeight="1">
      <c r="A20" s="163">
        <f t="shared" si="0"/>
        <v>15</v>
      </c>
      <c r="B20" s="163" t="str">
        <f>PMIS_Data!A19&amp;""</f>
        <v>18</v>
      </c>
      <c r="C20" s="163" t="str">
        <f>PMIS_Data!B19</f>
        <v>B18_Assessment</v>
      </c>
      <c r="D20" s="163">
        <f t="shared" si="1"/>
        <v>75.007999999999996</v>
      </c>
      <c r="E20" s="163" t="str">
        <f t="shared" si="2"/>
        <v>Medium</v>
      </c>
      <c r="F20" s="163" t="str">
        <f t="shared" si="3"/>
        <v>READY BUILDING</v>
      </c>
      <c r="G20" s="163" t="str">
        <f t="shared" si="4"/>
        <v>No major exception detected.</v>
      </c>
      <c r="H20" s="163" t="str">
        <f t="shared" si="5"/>
        <v>Maintain monitoring.</v>
      </c>
      <c r="I20" s="163">
        <f>IFERROR(PMIS_Data!E19,0)</f>
        <v>0.5</v>
      </c>
      <c r="J20" s="163" t="str">
        <f>PMIS_Data!C19</f>
        <v>Yellow</v>
      </c>
      <c r="K20" s="163" t="str">
        <f>PMIS_Data!F19</f>
        <v>No</v>
      </c>
      <c r="L20" s="163">
        <f>IFERROR(PMIS_Data!H19,0)</f>
        <v>0</v>
      </c>
      <c r="M20" s="163">
        <f>IFERROR(PMIS_Data!I19,0)</f>
        <v>0</v>
      </c>
      <c r="N20" s="163">
        <f>IFERROR(PMIS_Data!J19,0)</f>
        <v>0</v>
      </c>
      <c r="O20" s="163">
        <f>IFERROR(PMIS_Data!X19,0)</f>
        <v>0</v>
      </c>
      <c r="P20" s="163" t="str">
        <f>PMIS_Data!V19</f>
        <v>Monitor</v>
      </c>
      <c r="Q20" s="163" t="str">
        <f>PMIS_Data!W19</f>
        <v>Review</v>
      </c>
      <c r="R20" s="163">
        <f>IFERROR(PMIS_Data!S19,0)</f>
        <v>0</v>
      </c>
      <c r="S20" s="163">
        <f>IFERROR(PMIS_Data!T19,0)</f>
        <v>0</v>
      </c>
      <c r="T20" s="163">
        <f>IFERROR(PMIS_Data!U19,0)</f>
        <v>0</v>
      </c>
      <c r="U20" s="163">
        <f t="shared" si="6"/>
        <v>75</v>
      </c>
      <c r="V20" s="160"/>
    </row>
    <row r="21" spans="1:22" ht="370.5" customHeight="1">
      <c r="A21" s="163">
        <f t="shared" si="0"/>
        <v>16</v>
      </c>
      <c r="B21" s="163" t="str">
        <f>PMIS_Data!A20&amp;""</f>
        <v>20</v>
      </c>
      <c r="C21" s="163" t="str">
        <f>PMIS_Data!B20</f>
        <v>B20_Assessment</v>
      </c>
      <c r="D21" s="163">
        <f t="shared" si="1"/>
        <v>75.007900000000006</v>
      </c>
      <c r="E21" s="163" t="str">
        <f t="shared" si="2"/>
        <v>Medium</v>
      </c>
      <c r="F21" s="163" t="str">
        <f t="shared" si="3"/>
        <v>READY BUILDING</v>
      </c>
      <c r="G21" s="163" t="str">
        <f t="shared" si="4"/>
        <v>No major exception detected.</v>
      </c>
      <c r="H21" s="163" t="str">
        <f t="shared" si="5"/>
        <v>Maintain monitoring.</v>
      </c>
      <c r="I21" s="163">
        <f>IFERROR(PMIS_Data!E20,0)</f>
        <v>0.5</v>
      </c>
      <c r="J21" s="163" t="str">
        <f>PMIS_Data!C20</f>
        <v>Yellow</v>
      </c>
      <c r="K21" s="163" t="str">
        <f>PMIS_Data!F20</f>
        <v>No</v>
      </c>
      <c r="L21" s="163">
        <f>IFERROR(PMIS_Data!H20,0)</f>
        <v>0</v>
      </c>
      <c r="M21" s="163">
        <f>IFERROR(PMIS_Data!I20,0)</f>
        <v>0</v>
      </c>
      <c r="N21" s="163">
        <f>IFERROR(PMIS_Data!J20,0)</f>
        <v>0</v>
      </c>
      <c r="O21" s="163">
        <f>IFERROR(PMIS_Data!X20,0)</f>
        <v>0</v>
      </c>
      <c r="P21" s="163" t="str">
        <f>PMIS_Data!V20</f>
        <v>Monitor</v>
      </c>
      <c r="Q21" s="163" t="str">
        <f>PMIS_Data!W20</f>
        <v>Review</v>
      </c>
      <c r="R21" s="163">
        <f>IFERROR(PMIS_Data!S20,0)</f>
        <v>0</v>
      </c>
      <c r="S21" s="163">
        <f>IFERROR(PMIS_Data!T20,0)</f>
        <v>0</v>
      </c>
      <c r="T21" s="163">
        <f>IFERROR(PMIS_Data!U20,0)</f>
        <v>0</v>
      </c>
      <c r="U21" s="163">
        <f t="shared" si="6"/>
        <v>75</v>
      </c>
      <c r="V21" s="160"/>
    </row>
    <row r="22" spans="1:22" ht="370.5" customHeight="1">
      <c r="A22" s="163">
        <f t="shared" si="0"/>
        <v>17</v>
      </c>
      <c r="B22" s="163" t="str">
        <f>PMIS_Data!A21&amp;""</f>
        <v>21</v>
      </c>
      <c r="C22" s="163" t="str">
        <f>PMIS_Data!B21</f>
        <v>B21_Assessment</v>
      </c>
      <c r="D22" s="163">
        <f t="shared" si="1"/>
        <v>75.007800000000003</v>
      </c>
      <c r="E22" s="163" t="str">
        <f t="shared" si="2"/>
        <v>Medium</v>
      </c>
      <c r="F22" s="163" t="str">
        <f t="shared" si="3"/>
        <v>READY BUILDING</v>
      </c>
      <c r="G22" s="163" t="str">
        <f t="shared" si="4"/>
        <v>No major exception detected.</v>
      </c>
      <c r="H22" s="163" t="str">
        <f t="shared" si="5"/>
        <v>Maintain monitoring.</v>
      </c>
      <c r="I22" s="163">
        <f>IFERROR(PMIS_Data!E21,0)</f>
        <v>0.5</v>
      </c>
      <c r="J22" s="163" t="str">
        <f>PMIS_Data!C21</f>
        <v>Yellow</v>
      </c>
      <c r="K22" s="163" t="str">
        <f>PMIS_Data!F21</f>
        <v>No</v>
      </c>
      <c r="L22" s="163">
        <f>IFERROR(PMIS_Data!H21,0)</f>
        <v>0</v>
      </c>
      <c r="M22" s="163">
        <f>IFERROR(PMIS_Data!I21,0)</f>
        <v>0</v>
      </c>
      <c r="N22" s="163">
        <f>IFERROR(PMIS_Data!J21,0)</f>
        <v>0</v>
      </c>
      <c r="O22" s="163">
        <f>IFERROR(PMIS_Data!X21,0)</f>
        <v>0</v>
      </c>
      <c r="P22" s="163" t="str">
        <f>PMIS_Data!V21</f>
        <v>Monitor</v>
      </c>
      <c r="Q22" s="163" t="str">
        <f>PMIS_Data!W21</f>
        <v>Review</v>
      </c>
      <c r="R22" s="163">
        <f>IFERROR(PMIS_Data!S21,0)</f>
        <v>0</v>
      </c>
      <c r="S22" s="163">
        <f>IFERROR(PMIS_Data!T21,0)</f>
        <v>0</v>
      </c>
      <c r="T22" s="163">
        <f>IFERROR(PMIS_Data!U21,0)</f>
        <v>0</v>
      </c>
      <c r="U22" s="163">
        <f t="shared" si="6"/>
        <v>75</v>
      </c>
      <c r="V22" s="160"/>
    </row>
    <row r="23" spans="1:22" ht="370.5" customHeight="1">
      <c r="A23" s="163">
        <f t="shared" si="0"/>
        <v>18</v>
      </c>
      <c r="B23" s="163" t="str">
        <f>PMIS_Data!A22&amp;""</f>
        <v>22</v>
      </c>
      <c r="C23" s="163" t="str">
        <f>PMIS_Data!B22</f>
        <v>B22_Assessment</v>
      </c>
      <c r="D23" s="163">
        <f t="shared" si="1"/>
        <v>75.0077</v>
      </c>
      <c r="E23" s="163" t="str">
        <f t="shared" si="2"/>
        <v>Medium</v>
      </c>
      <c r="F23" s="163" t="str">
        <f t="shared" si="3"/>
        <v>READY BUILDING</v>
      </c>
      <c r="G23" s="163" t="str">
        <f t="shared" si="4"/>
        <v>No major exception detected.</v>
      </c>
      <c r="H23" s="163" t="str">
        <f t="shared" si="5"/>
        <v>Maintain monitoring.</v>
      </c>
      <c r="I23" s="163">
        <f>IFERROR(PMIS_Data!E22,0)</f>
        <v>0.5</v>
      </c>
      <c r="J23" s="163" t="str">
        <f>PMIS_Data!C22</f>
        <v>Yellow</v>
      </c>
      <c r="K23" s="163" t="str">
        <f>PMIS_Data!F22</f>
        <v>No</v>
      </c>
      <c r="L23" s="163">
        <f>IFERROR(PMIS_Data!H22,0)</f>
        <v>0</v>
      </c>
      <c r="M23" s="163">
        <f>IFERROR(PMIS_Data!I22,0)</f>
        <v>0</v>
      </c>
      <c r="N23" s="163">
        <f>IFERROR(PMIS_Data!J22,0)</f>
        <v>0</v>
      </c>
      <c r="O23" s="163">
        <f>IFERROR(PMIS_Data!X22,0)</f>
        <v>0</v>
      </c>
      <c r="P23" s="163" t="str">
        <f>PMIS_Data!V22</f>
        <v>Monitor</v>
      </c>
      <c r="Q23" s="163" t="str">
        <f>PMIS_Data!W22</f>
        <v>Review</v>
      </c>
      <c r="R23" s="163">
        <f>IFERROR(PMIS_Data!S22,0)</f>
        <v>0</v>
      </c>
      <c r="S23" s="163">
        <f>IFERROR(PMIS_Data!T22,0)</f>
        <v>0</v>
      </c>
      <c r="T23" s="163">
        <f>IFERROR(PMIS_Data!U22,0)</f>
        <v>0</v>
      </c>
      <c r="U23" s="163">
        <f t="shared" si="6"/>
        <v>75</v>
      </c>
      <c r="V23" s="160"/>
    </row>
    <row r="24" spans="1:22" ht="370.5" customHeight="1">
      <c r="A24" s="163">
        <f t="shared" si="0"/>
        <v>19</v>
      </c>
      <c r="B24" s="163" t="str">
        <f>PMIS_Data!A23&amp;""</f>
        <v>33</v>
      </c>
      <c r="C24" s="163" t="str">
        <f>PMIS_Data!B23</f>
        <v>B33_Assessment</v>
      </c>
      <c r="D24" s="163">
        <f t="shared" si="1"/>
        <v>75.007599999999996</v>
      </c>
      <c r="E24" s="163" t="str">
        <f t="shared" si="2"/>
        <v>Medium</v>
      </c>
      <c r="F24" s="163" t="str">
        <f t="shared" si="3"/>
        <v>READY BUILDING</v>
      </c>
      <c r="G24" s="163" t="str">
        <f t="shared" si="4"/>
        <v>No major exception detected.</v>
      </c>
      <c r="H24" s="163" t="str">
        <f t="shared" si="5"/>
        <v>Maintain monitoring.</v>
      </c>
      <c r="I24" s="163">
        <f>IFERROR(PMIS_Data!E23,0)</f>
        <v>0.5</v>
      </c>
      <c r="J24" s="163" t="str">
        <f>PMIS_Data!C23</f>
        <v>Yellow</v>
      </c>
      <c r="K24" s="163" t="str">
        <f>PMIS_Data!F23</f>
        <v>No</v>
      </c>
      <c r="L24" s="163">
        <f>IFERROR(PMIS_Data!H23,0)</f>
        <v>0</v>
      </c>
      <c r="M24" s="163">
        <f>IFERROR(PMIS_Data!I23,0)</f>
        <v>0</v>
      </c>
      <c r="N24" s="163">
        <f>IFERROR(PMIS_Data!J23,0)</f>
        <v>0</v>
      </c>
      <c r="O24" s="163">
        <f>IFERROR(PMIS_Data!X23,0)</f>
        <v>0</v>
      </c>
      <c r="P24" s="163" t="str">
        <f>PMIS_Data!V23</f>
        <v>Monitor</v>
      </c>
      <c r="Q24" s="163" t="str">
        <f>PMIS_Data!W23</f>
        <v>Review</v>
      </c>
      <c r="R24" s="163">
        <f>IFERROR(PMIS_Data!S23,0)</f>
        <v>0</v>
      </c>
      <c r="S24" s="163">
        <f>IFERROR(PMIS_Data!T23,0)</f>
        <v>0</v>
      </c>
      <c r="T24" s="163">
        <f>IFERROR(PMIS_Data!U23,0)</f>
        <v>0</v>
      </c>
      <c r="U24" s="163">
        <f t="shared" si="6"/>
        <v>75</v>
      </c>
      <c r="V24" s="160"/>
    </row>
    <row r="25" spans="1:22" ht="370.5" customHeight="1">
      <c r="A25" s="163">
        <f t="shared" si="0"/>
        <v>30</v>
      </c>
      <c r="B25" s="163" t="str">
        <f>PMIS_Data!A24&amp;""</f>
        <v>61</v>
      </c>
      <c r="C25" s="163" t="str">
        <f>PMIS_Data!B24</f>
        <v>B61_Assessment</v>
      </c>
      <c r="D25" s="163">
        <f t="shared" si="1"/>
        <v>13.507499999999999</v>
      </c>
      <c r="E25" s="163" t="str">
        <f t="shared" si="2"/>
        <v>Low</v>
      </c>
      <c r="F25" s="163" t="str">
        <f t="shared" si="3"/>
        <v>MONITOR</v>
      </c>
      <c r="G25" s="163" t="str">
        <f t="shared" si="4"/>
        <v>No major exception detected.</v>
      </c>
      <c r="H25" s="163" t="str">
        <f t="shared" si="5"/>
        <v>Maintain monitoring.</v>
      </c>
      <c r="I25" s="163">
        <f>IFERROR(PMIS_Data!E24,0)</f>
        <v>0.55000000000000004</v>
      </c>
      <c r="J25" s="163" t="str">
        <f>PMIS_Data!C24</f>
        <v>PILOT PHASE</v>
      </c>
      <c r="K25" s="163" t="str">
        <f>PMIS_Data!F24</f>
        <v>YES</v>
      </c>
      <c r="L25" s="163">
        <f>IFERROR(PMIS_Data!H24,0)</f>
        <v>0</v>
      </c>
      <c r="M25" s="163">
        <f>IFERROR(PMIS_Data!I24,0)</f>
        <v>0</v>
      </c>
      <c r="N25" s="163">
        <f>IFERROR(PMIS_Data!J24,0)</f>
        <v>0</v>
      </c>
      <c r="O25" s="163">
        <f>IFERROR(PMIS_Data!X24,0)</f>
        <v>0</v>
      </c>
      <c r="P25" s="163" t="str">
        <f>PMIS_Data!V24</f>
        <v>Monitor</v>
      </c>
      <c r="Q25" s="163" t="str">
        <f>PMIS_Data!W24</f>
        <v>Ready</v>
      </c>
      <c r="R25" s="163">
        <f>IFERROR(PMIS_Data!S24,0)</f>
        <v>0</v>
      </c>
      <c r="S25" s="163">
        <f>IFERROR(PMIS_Data!T24,0)</f>
        <v>0</v>
      </c>
      <c r="T25" s="163">
        <f>IFERROR(PMIS_Data!U24,0)</f>
        <v>0</v>
      </c>
      <c r="U25" s="163">
        <f t="shared" si="6"/>
        <v>13.499999999999998</v>
      </c>
      <c r="V25" s="160"/>
    </row>
    <row r="26" spans="1:22" ht="370.5" customHeight="1">
      <c r="A26" s="163">
        <f t="shared" si="0"/>
        <v>20</v>
      </c>
      <c r="B26" s="163" t="str">
        <f>PMIS_Data!A25&amp;""</f>
        <v>62</v>
      </c>
      <c r="C26" s="163" t="str">
        <f>PMIS_Data!B25</f>
        <v>B62_TR_Assessment</v>
      </c>
      <c r="D26" s="163">
        <f t="shared" si="1"/>
        <v>75.007400000000004</v>
      </c>
      <c r="E26" s="163" t="str">
        <f t="shared" si="2"/>
        <v>Medium</v>
      </c>
      <c r="F26" s="163" t="str">
        <f t="shared" si="3"/>
        <v>READY BUILDING</v>
      </c>
      <c r="G26" s="163" t="str">
        <f t="shared" si="4"/>
        <v>No major exception detected.</v>
      </c>
      <c r="H26" s="163" t="str">
        <f t="shared" si="5"/>
        <v>Maintain monitoring.</v>
      </c>
      <c r="I26" s="163">
        <f>IFERROR(PMIS_Data!E25,0)</f>
        <v>0.5</v>
      </c>
      <c r="J26" s="163" t="str">
        <f>PMIS_Data!C25</f>
        <v>Yellow</v>
      </c>
      <c r="K26" s="163" t="str">
        <f>PMIS_Data!F25</f>
        <v>No</v>
      </c>
      <c r="L26" s="163">
        <f>IFERROR(PMIS_Data!H25,0)</f>
        <v>0</v>
      </c>
      <c r="M26" s="163">
        <f>IFERROR(PMIS_Data!I25,0)</f>
        <v>0</v>
      </c>
      <c r="N26" s="163">
        <f>IFERROR(PMIS_Data!J25,0)</f>
        <v>0</v>
      </c>
      <c r="O26" s="163">
        <f>IFERROR(PMIS_Data!X25,0)</f>
        <v>0</v>
      </c>
      <c r="P26" s="163" t="str">
        <f>PMIS_Data!V25</f>
        <v>Monitor</v>
      </c>
      <c r="Q26" s="163" t="str">
        <f>PMIS_Data!W25</f>
        <v>Review</v>
      </c>
      <c r="R26" s="163">
        <f>IFERROR(PMIS_Data!S25,0)</f>
        <v>0</v>
      </c>
      <c r="S26" s="163">
        <f>IFERROR(PMIS_Data!T25,0)</f>
        <v>0</v>
      </c>
      <c r="T26" s="163">
        <f>IFERROR(PMIS_Data!U25,0)</f>
        <v>0</v>
      </c>
      <c r="U26" s="163">
        <f t="shared" si="6"/>
        <v>75</v>
      </c>
      <c r="V26" s="160"/>
    </row>
    <row r="27" spans="1:22" ht="370.5" customHeight="1">
      <c r="A27" s="163">
        <f t="shared" si="0"/>
        <v>21</v>
      </c>
      <c r="B27" s="163" t="str">
        <f>PMIS_Data!A26&amp;""</f>
        <v>70</v>
      </c>
      <c r="C27" s="163" t="str">
        <f>PMIS_Data!B26</f>
        <v>B70_TR_Assessment</v>
      </c>
      <c r="D27" s="163">
        <f t="shared" si="1"/>
        <v>75.007300000000001</v>
      </c>
      <c r="E27" s="163" t="str">
        <f t="shared" si="2"/>
        <v>Medium</v>
      </c>
      <c r="F27" s="163" t="str">
        <f t="shared" si="3"/>
        <v>READY BUILDING</v>
      </c>
      <c r="G27" s="163" t="str">
        <f t="shared" si="4"/>
        <v>No major exception detected.</v>
      </c>
      <c r="H27" s="163" t="str">
        <f t="shared" si="5"/>
        <v>Maintain monitoring.</v>
      </c>
      <c r="I27" s="163">
        <f>IFERROR(PMIS_Data!E26,0)</f>
        <v>0.5</v>
      </c>
      <c r="J27" s="163" t="str">
        <f>PMIS_Data!C26</f>
        <v>Yellow</v>
      </c>
      <c r="K27" s="163" t="str">
        <f>PMIS_Data!F26</f>
        <v>No</v>
      </c>
      <c r="L27" s="163">
        <f>IFERROR(PMIS_Data!H26,0)</f>
        <v>0</v>
      </c>
      <c r="M27" s="163">
        <f>IFERROR(PMIS_Data!I26,0)</f>
        <v>0</v>
      </c>
      <c r="N27" s="163">
        <f>IFERROR(PMIS_Data!J26,0)</f>
        <v>0</v>
      </c>
      <c r="O27" s="163">
        <f>IFERROR(PMIS_Data!X26,0)</f>
        <v>0</v>
      </c>
      <c r="P27" s="163" t="str">
        <f>PMIS_Data!V26</f>
        <v>Monitor</v>
      </c>
      <c r="Q27" s="163" t="str">
        <f>PMIS_Data!W26</f>
        <v>Review</v>
      </c>
      <c r="R27" s="163">
        <f>IFERROR(PMIS_Data!S26,0)</f>
        <v>0</v>
      </c>
      <c r="S27" s="163">
        <f>IFERROR(PMIS_Data!T26,0)</f>
        <v>0</v>
      </c>
      <c r="T27" s="163">
        <f>IFERROR(PMIS_Data!U26,0)</f>
        <v>0</v>
      </c>
      <c r="U27" s="163">
        <f t="shared" si="6"/>
        <v>75</v>
      </c>
      <c r="V27" s="160"/>
    </row>
    <row r="28" spans="1:22" ht="336.75" customHeight="1">
      <c r="A28" s="163">
        <f t="shared" si="0"/>
        <v>22</v>
      </c>
      <c r="B28" s="163" t="str">
        <f>PMIS_Data!A27&amp;""</f>
        <v>78</v>
      </c>
      <c r="C28" s="163" t="str">
        <f>PMIS_Data!B27</f>
        <v>B78_Assessment</v>
      </c>
      <c r="D28" s="163">
        <f t="shared" si="1"/>
        <v>75.007199999999997</v>
      </c>
      <c r="E28" s="163" t="str">
        <f t="shared" si="2"/>
        <v>Medium</v>
      </c>
      <c r="F28" s="163" t="str">
        <f t="shared" si="3"/>
        <v>READY BUILDING</v>
      </c>
      <c r="G28" s="163" t="str">
        <f t="shared" si="4"/>
        <v>No major exception detected.</v>
      </c>
      <c r="H28" s="163" t="str">
        <f t="shared" si="5"/>
        <v>Maintain monitoring.</v>
      </c>
      <c r="I28" s="163">
        <f>IFERROR(PMIS_Data!E27,0)</f>
        <v>0.5</v>
      </c>
      <c r="J28" s="163" t="str">
        <f>PMIS_Data!C27</f>
        <v>Yellow</v>
      </c>
      <c r="K28" s="163" t="str">
        <f>PMIS_Data!F27</f>
        <v>No</v>
      </c>
      <c r="L28" s="163">
        <f>IFERROR(PMIS_Data!H27,0)</f>
        <v>0</v>
      </c>
      <c r="M28" s="163">
        <f>IFERROR(PMIS_Data!I27,0)</f>
        <v>0</v>
      </c>
      <c r="N28" s="163">
        <f>IFERROR(PMIS_Data!J27,0)</f>
        <v>0</v>
      </c>
      <c r="O28" s="163">
        <f>IFERROR(PMIS_Data!X27,0)</f>
        <v>0</v>
      </c>
      <c r="P28" s="163" t="str">
        <f>PMIS_Data!V27</f>
        <v>Monitor</v>
      </c>
      <c r="Q28" s="163" t="str">
        <f>PMIS_Data!W27</f>
        <v>Review</v>
      </c>
      <c r="R28" s="163">
        <f>IFERROR(PMIS_Data!S27,0)</f>
        <v>0</v>
      </c>
      <c r="S28" s="163">
        <f>IFERROR(PMIS_Data!T27,0)</f>
        <v>0</v>
      </c>
      <c r="T28" s="163">
        <f>IFERROR(PMIS_Data!U27,0)</f>
        <v>0</v>
      </c>
      <c r="U28" s="163">
        <f t="shared" si="6"/>
        <v>75</v>
      </c>
      <c r="V28" s="160"/>
    </row>
    <row r="29" spans="1:22" ht="370.5" customHeight="1">
      <c r="A29" s="163">
        <f t="shared" si="0"/>
        <v>23</v>
      </c>
      <c r="B29" s="163" t="str">
        <f>PMIS_Data!A28&amp;""</f>
        <v>80</v>
      </c>
      <c r="C29" s="163" t="str">
        <f>PMIS_Data!B28</f>
        <v>B80_Assessment</v>
      </c>
      <c r="D29" s="163">
        <f t="shared" si="1"/>
        <v>75.007099999999994</v>
      </c>
      <c r="E29" s="163" t="str">
        <f t="shared" si="2"/>
        <v>Medium</v>
      </c>
      <c r="F29" s="163" t="str">
        <f t="shared" si="3"/>
        <v>READY BUILDING</v>
      </c>
      <c r="G29" s="163" t="str">
        <f t="shared" si="4"/>
        <v>No major exception detected.</v>
      </c>
      <c r="H29" s="163" t="str">
        <f t="shared" si="5"/>
        <v>Maintain monitoring.</v>
      </c>
      <c r="I29" s="163">
        <f>IFERROR(PMIS_Data!E28,0)</f>
        <v>0.5</v>
      </c>
      <c r="J29" s="163" t="str">
        <f>PMIS_Data!C28</f>
        <v>Yellow</v>
      </c>
      <c r="K29" s="163" t="str">
        <f>PMIS_Data!F28</f>
        <v>No</v>
      </c>
      <c r="L29" s="163">
        <f>IFERROR(PMIS_Data!H28,0)</f>
        <v>0</v>
      </c>
      <c r="M29" s="163">
        <f>IFERROR(PMIS_Data!I28,0)</f>
        <v>0</v>
      </c>
      <c r="N29" s="163">
        <f>IFERROR(PMIS_Data!J28,0)</f>
        <v>0</v>
      </c>
      <c r="O29" s="163">
        <f>IFERROR(PMIS_Data!X28,0)</f>
        <v>0</v>
      </c>
      <c r="P29" s="163" t="str">
        <f>PMIS_Data!V28</f>
        <v>Monitor</v>
      </c>
      <c r="Q29" s="163" t="str">
        <f>PMIS_Data!W28</f>
        <v>Review</v>
      </c>
      <c r="R29" s="163">
        <f>IFERROR(PMIS_Data!S28,0)</f>
        <v>0</v>
      </c>
      <c r="S29" s="163">
        <f>IFERROR(PMIS_Data!T28,0)</f>
        <v>0</v>
      </c>
      <c r="T29" s="163">
        <f>IFERROR(PMIS_Data!U28,0)</f>
        <v>0</v>
      </c>
      <c r="U29" s="163">
        <f t="shared" si="6"/>
        <v>75</v>
      </c>
      <c r="V29" s="160"/>
    </row>
    <row r="30" spans="1:22" ht="370.5" customHeight="1">
      <c r="A30" s="163">
        <f t="shared" si="0"/>
        <v>24</v>
      </c>
      <c r="B30" s="163" t="str">
        <f>PMIS_Data!A29&amp;""</f>
        <v>82</v>
      </c>
      <c r="C30" s="163" t="str">
        <f>PMIS_Data!B29</f>
        <v>B82_Assessment</v>
      </c>
      <c r="D30" s="163">
        <f t="shared" si="1"/>
        <v>75.007000000000005</v>
      </c>
      <c r="E30" s="163" t="str">
        <f t="shared" si="2"/>
        <v>Medium</v>
      </c>
      <c r="F30" s="163" t="str">
        <f t="shared" si="3"/>
        <v>READY BUILDING</v>
      </c>
      <c r="G30" s="163" t="str">
        <f t="shared" si="4"/>
        <v>No major exception detected.</v>
      </c>
      <c r="H30" s="163" t="str">
        <f t="shared" si="5"/>
        <v>Maintain monitoring.</v>
      </c>
      <c r="I30" s="163">
        <f>IFERROR(PMIS_Data!E29,0)</f>
        <v>0.5</v>
      </c>
      <c r="J30" s="163" t="str">
        <f>PMIS_Data!C29</f>
        <v>Yellow</v>
      </c>
      <c r="K30" s="163" t="str">
        <f>PMIS_Data!F29</f>
        <v>No</v>
      </c>
      <c r="L30" s="163">
        <f>IFERROR(PMIS_Data!H29,0)</f>
        <v>0</v>
      </c>
      <c r="M30" s="163">
        <f>IFERROR(PMIS_Data!I29,0)</f>
        <v>0</v>
      </c>
      <c r="N30" s="163">
        <f>IFERROR(PMIS_Data!J29,0)</f>
        <v>0</v>
      </c>
      <c r="O30" s="163">
        <f>IFERROR(PMIS_Data!X29,0)</f>
        <v>0</v>
      </c>
      <c r="P30" s="163" t="str">
        <f>PMIS_Data!V29</f>
        <v>Monitor</v>
      </c>
      <c r="Q30" s="163" t="str">
        <f>PMIS_Data!W29</f>
        <v>Review</v>
      </c>
      <c r="R30" s="163">
        <f>IFERROR(PMIS_Data!S29,0)</f>
        <v>0</v>
      </c>
      <c r="S30" s="163">
        <f>IFERROR(PMIS_Data!T29,0)</f>
        <v>0</v>
      </c>
      <c r="T30" s="163">
        <f>IFERROR(PMIS_Data!U29,0)</f>
        <v>0</v>
      </c>
      <c r="U30" s="163">
        <f t="shared" si="6"/>
        <v>75</v>
      </c>
      <c r="V30" s="160"/>
    </row>
    <row r="31" spans="1:22" ht="336.75" customHeight="1">
      <c r="A31" s="163">
        <f t="shared" si="0"/>
        <v>25</v>
      </c>
      <c r="B31" s="163" t="str">
        <f>PMIS_Data!A30&amp;""</f>
        <v>BCH</v>
      </c>
      <c r="C31" s="163" t="str">
        <f>PMIS_Data!B30</f>
        <v>BCH_Assessment</v>
      </c>
      <c r="D31" s="163">
        <f t="shared" si="1"/>
        <v>75.006900000000002</v>
      </c>
      <c r="E31" s="163" t="str">
        <f t="shared" si="2"/>
        <v>Medium</v>
      </c>
      <c r="F31" s="163" t="str">
        <f t="shared" si="3"/>
        <v>READY BUILDING</v>
      </c>
      <c r="G31" s="163" t="str">
        <f t="shared" si="4"/>
        <v>No major exception detected.</v>
      </c>
      <c r="H31" s="163" t="str">
        <f t="shared" si="5"/>
        <v>Maintain monitoring.</v>
      </c>
      <c r="I31" s="163">
        <f>IFERROR(PMIS_Data!E30,0)</f>
        <v>0.5</v>
      </c>
      <c r="J31" s="163" t="str">
        <f>PMIS_Data!C30</f>
        <v>Yellow</v>
      </c>
      <c r="K31" s="163" t="str">
        <f>PMIS_Data!F30</f>
        <v>No</v>
      </c>
      <c r="L31" s="163">
        <f>IFERROR(PMIS_Data!H30,0)</f>
        <v>0</v>
      </c>
      <c r="M31" s="163">
        <f>IFERROR(PMIS_Data!I30,0)</f>
        <v>0</v>
      </c>
      <c r="N31" s="163">
        <f>IFERROR(PMIS_Data!J30,0)</f>
        <v>0</v>
      </c>
      <c r="O31" s="163">
        <f>IFERROR(PMIS_Data!X30,0)</f>
        <v>0</v>
      </c>
      <c r="P31" s="163" t="str">
        <f>PMIS_Data!V30</f>
        <v>Monitor</v>
      </c>
      <c r="Q31" s="163" t="str">
        <f>PMIS_Data!W30</f>
        <v>Review</v>
      </c>
      <c r="R31" s="163">
        <f>IFERROR(PMIS_Data!S30,0)</f>
        <v>0</v>
      </c>
      <c r="S31" s="163">
        <f>IFERROR(PMIS_Data!T30,0)</f>
        <v>0</v>
      </c>
      <c r="T31" s="163">
        <f>IFERROR(PMIS_Data!U30,0)</f>
        <v>0</v>
      </c>
      <c r="U31" s="163">
        <f t="shared" si="6"/>
        <v>75</v>
      </c>
      <c r="V31" s="160"/>
    </row>
    <row r="32" spans="1:22" ht="303.75" customHeight="1">
      <c r="A32" s="163">
        <f t="shared" si="0"/>
        <v>26</v>
      </c>
      <c r="B32" s="163" t="str">
        <f>PMIS_Data!A31&amp;""</f>
        <v>MCR</v>
      </c>
      <c r="C32" s="163" t="str">
        <f>PMIS_Data!B31</f>
        <v>MCR_Assessment</v>
      </c>
      <c r="D32" s="163">
        <f t="shared" si="1"/>
        <v>75.006799999999998</v>
      </c>
      <c r="E32" s="163" t="str">
        <f t="shared" si="2"/>
        <v>Medium</v>
      </c>
      <c r="F32" s="163" t="str">
        <f t="shared" si="3"/>
        <v>READY BUILDING</v>
      </c>
      <c r="G32" s="163" t="str">
        <f t="shared" si="4"/>
        <v>No major exception detected.</v>
      </c>
      <c r="H32" s="163" t="str">
        <f t="shared" si="5"/>
        <v>Maintain monitoring.</v>
      </c>
      <c r="I32" s="163">
        <f>IFERROR(PMIS_Data!E31,0)</f>
        <v>0.5</v>
      </c>
      <c r="J32" s="163" t="str">
        <f>PMIS_Data!C31</f>
        <v>Yellow</v>
      </c>
      <c r="K32" s="163" t="str">
        <f>PMIS_Data!F31</f>
        <v>No</v>
      </c>
      <c r="L32" s="163">
        <f>IFERROR(PMIS_Data!H31,0)</f>
        <v>0</v>
      </c>
      <c r="M32" s="163">
        <f>IFERROR(PMIS_Data!I31,0)</f>
        <v>0</v>
      </c>
      <c r="N32" s="163">
        <f>IFERROR(PMIS_Data!J31,0)</f>
        <v>0</v>
      </c>
      <c r="O32" s="163">
        <f>IFERROR(PMIS_Data!X31,0)</f>
        <v>0</v>
      </c>
      <c r="P32" s="163" t="str">
        <f>PMIS_Data!V31</f>
        <v>Monitor</v>
      </c>
      <c r="Q32" s="163" t="str">
        <f>PMIS_Data!W31</f>
        <v>Review</v>
      </c>
      <c r="R32" s="163">
        <f>IFERROR(PMIS_Data!S31,0)</f>
        <v>0</v>
      </c>
      <c r="S32" s="163">
        <f>IFERROR(PMIS_Data!T31,0)</f>
        <v>0</v>
      </c>
      <c r="T32" s="163">
        <f>IFERROR(PMIS_Data!U31,0)</f>
        <v>0</v>
      </c>
      <c r="U32" s="163">
        <f t="shared" si="6"/>
        <v>75</v>
      </c>
      <c r="V32" s="160"/>
    </row>
    <row r="33" spans="1:22" ht="303.75" customHeight="1">
      <c r="A33" s="163">
        <f t="shared" si="0"/>
        <v>27</v>
      </c>
      <c r="B33" s="163" t="str">
        <f>PMIS_Data!A32&amp;""</f>
        <v>SITE</v>
      </c>
      <c r="C33" s="163" t="str">
        <f>PMIS_Data!B32</f>
        <v>SITE_Assesment</v>
      </c>
      <c r="D33" s="163">
        <f t="shared" si="1"/>
        <v>75.006699999999995</v>
      </c>
      <c r="E33" s="163" t="str">
        <f t="shared" si="2"/>
        <v>Medium</v>
      </c>
      <c r="F33" s="163" t="str">
        <f t="shared" si="3"/>
        <v>READY BUILDING</v>
      </c>
      <c r="G33" s="163" t="str">
        <f t="shared" si="4"/>
        <v>No major exception detected.</v>
      </c>
      <c r="H33" s="163" t="str">
        <f t="shared" si="5"/>
        <v>Maintain monitoring.</v>
      </c>
      <c r="I33" s="163">
        <f>IFERROR(PMIS_Data!E32,0)</f>
        <v>0.5</v>
      </c>
      <c r="J33" s="163" t="str">
        <f>PMIS_Data!C32</f>
        <v>Yellow</v>
      </c>
      <c r="K33" s="163" t="str">
        <f>PMIS_Data!F32</f>
        <v>No</v>
      </c>
      <c r="L33" s="163">
        <f>IFERROR(PMIS_Data!H32,0)</f>
        <v>0</v>
      </c>
      <c r="M33" s="163">
        <f>IFERROR(PMIS_Data!I32,0)</f>
        <v>0</v>
      </c>
      <c r="N33" s="163">
        <f>IFERROR(PMIS_Data!J32,0)</f>
        <v>0</v>
      </c>
      <c r="O33" s="163">
        <f>IFERROR(PMIS_Data!X32,0)</f>
        <v>0</v>
      </c>
      <c r="P33" s="163" t="str">
        <f>PMIS_Data!V32</f>
        <v>Monitor</v>
      </c>
      <c r="Q33" s="163" t="str">
        <f>PMIS_Data!W32</f>
        <v>Review</v>
      </c>
      <c r="R33" s="163">
        <f>IFERROR(PMIS_Data!S32,0)</f>
        <v>0</v>
      </c>
      <c r="S33" s="163">
        <f>IFERROR(PMIS_Data!T32,0)</f>
        <v>0</v>
      </c>
      <c r="T33" s="163">
        <f>IFERROR(PMIS_Data!U32,0)</f>
        <v>0</v>
      </c>
      <c r="U33" s="163">
        <f t="shared" si="6"/>
        <v>75</v>
      </c>
      <c r="V33" s="160"/>
    </row>
    <row r="34" spans="1:22" ht="336.75" customHeight="1">
      <c r="A34" s="163"/>
      <c r="B34" s="163"/>
      <c r="C34" s="163"/>
      <c r="D34" s="163"/>
      <c r="E34" s="163"/>
      <c r="F34" s="163"/>
      <c r="G34" s="163"/>
      <c r="H34" s="163"/>
      <c r="I34" s="163"/>
      <c r="J34" s="163"/>
      <c r="K34" s="163"/>
      <c r="L34" s="163"/>
      <c r="M34" s="163"/>
      <c r="N34" s="163"/>
      <c r="O34" s="163"/>
      <c r="P34" s="163"/>
      <c r="Q34" s="163"/>
      <c r="R34" s="163"/>
      <c r="S34" s="163"/>
      <c r="T34" s="163"/>
      <c r="U34" s="163"/>
      <c r="V34" s="160"/>
    </row>
    <row r="35" spans="1:22" ht="237" customHeight="1">
      <c r="A35" s="160"/>
      <c r="B35" s="160"/>
      <c r="C35" s="160"/>
      <c r="D35" s="160"/>
      <c r="E35" s="160"/>
      <c r="F35" s="160"/>
      <c r="G35" s="160"/>
      <c r="H35" s="160"/>
      <c r="I35" s="160"/>
      <c r="J35" s="160"/>
      <c r="K35" s="160"/>
      <c r="L35" s="160"/>
      <c r="M35" s="160"/>
      <c r="N35" s="160"/>
      <c r="O35" s="160"/>
      <c r="P35" s="160"/>
      <c r="Q35" s="160"/>
      <c r="R35" s="160"/>
      <c r="S35" s="160"/>
      <c r="T35" s="160"/>
      <c r="U35" s="160"/>
      <c r="V35" s="160"/>
    </row>
    <row r="36" spans="1:22" ht="12.75" customHeight="1">
      <c r="A36" s="160"/>
      <c r="B36" s="160"/>
      <c r="C36" s="160"/>
      <c r="D36" s="160"/>
      <c r="E36" s="160"/>
      <c r="F36" s="160"/>
      <c r="G36" s="160"/>
      <c r="H36" s="160"/>
      <c r="I36" s="160"/>
      <c r="J36" s="160"/>
      <c r="K36" s="160"/>
      <c r="L36" s="160"/>
      <c r="M36" s="160"/>
      <c r="N36" s="160"/>
      <c r="O36" s="160"/>
      <c r="P36" s="160"/>
      <c r="Q36" s="160"/>
      <c r="R36" s="160"/>
      <c r="S36" s="160"/>
      <c r="T36" s="160"/>
      <c r="U36" s="160"/>
      <c r="V36" s="160"/>
    </row>
    <row r="37" spans="1:22" ht="92.25" customHeight="1">
      <c r="A37" s="160"/>
      <c r="B37" s="160"/>
      <c r="C37" s="160"/>
      <c r="D37" s="160"/>
      <c r="E37" s="160"/>
      <c r="F37" s="160"/>
      <c r="G37" s="160"/>
      <c r="H37" s="160"/>
      <c r="I37" s="160"/>
      <c r="J37" s="160"/>
      <c r="K37" s="160"/>
      <c r="L37" s="160"/>
      <c r="M37" s="160"/>
      <c r="N37" s="160"/>
      <c r="O37" s="160"/>
      <c r="P37" s="160"/>
      <c r="Q37" s="160"/>
      <c r="R37" s="160"/>
      <c r="S37" s="160"/>
      <c r="T37" s="160"/>
      <c r="U37" s="160"/>
      <c r="V37" s="160"/>
    </row>
    <row r="38" spans="1:22" ht="12.75" customHeight="1">
      <c r="A38" s="160"/>
      <c r="B38" s="160"/>
      <c r="C38" s="160"/>
      <c r="D38" s="160"/>
      <c r="E38" s="160"/>
      <c r="F38" s="160"/>
      <c r="G38" s="160"/>
      <c r="H38" s="160"/>
      <c r="I38" s="160"/>
      <c r="J38" s="160"/>
      <c r="K38" s="160"/>
      <c r="L38" s="160"/>
      <c r="M38" s="160"/>
      <c r="N38" s="160"/>
      <c r="O38" s="160"/>
      <c r="P38" s="160"/>
      <c r="Q38" s="160"/>
      <c r="R38" s="160"/>
      <c r="S38" s="160"/>
      <c r="T38" s="160"/>
      <c r="U38" s="160"/>
      <c r="V38" s="160"/>
    </row>
    <row r="39" spans="1:22" ht="132" customHeight="1">
      <c r="A39" s="160"/>
      <c r="B39" s="160"/>
      <c r="C39" s="160"/>
      <c r="D39" s="160"/>
      <c r="E39" s="160"/>
      <c r="F39" s="160"/>
      <c r="G39" s="160"/>
      <c r="H39" s="160"/>
      <c r="I39" s="160"/>
      <c r="J39" s="160"/>
      <c r="K39" s="160"/>
      <c r="L39" s="160"/>
      <c r="M39" s="160"/>
      <c r="N39" s="160"/>
      <c r="O39" s="160"/>
      <c r="P39" s="160"/>
      <c r="Q39" s="160"/>
      <c r="R39" s="160"/>
      <c r="S39" s="160"/>
      <c r="T39" s="160"/>
      <c r="U39" s="160"/>
      <c r="V39" s="160"/>
    </row>
    <row r="40" spans="1:22" ht="171" customHeight="1">
      <c r="A40" s="160"/>
      <c r="B40" s="160"/>
      <c r="C40" s="160"/>
      <c r="D40" s="160"/>
      <c r="E40" s="160"/>
      <c r="F40" s="160"/>
      <c r="G40" s="160"/>
      <c r="H40" s="160"/>
      <c r="I40" s="160"/>
      <c r="J40" s="160"/>
      <c r="K40" s="160"/>
      <c r="L40" s="160"/>
      <c r="M40" s="160"/>
      <c r="N40" s="160"/>
      <c r="O40" s="160"/>
      <c r="P40" s="160"/>
      <c r="Q40" s="160"/>
      <c r="R40" s="160"/>
      <c r="S40" s="160"/>
      <c r="T40" s="160"/>
      <c r="U40" s="160"/>
      <c r="V40" s="160"/>
    </row>
    <row r="41" spans="1:22" ht="171" customHeight="1">
      <c r="A41" s="160"/>
      <c r="B41" s="160"/>
      <c r="C41" s="160"/>
      <c r="D41" s="160"/>
      <c r="E41" s="160"/>
      <c r="F41" s="160"/>
      <c r="G41" s="160"/>
      <c r="H41" s="160"/>
      <c r="I41" s="160"/>
      <c r="J41" s="160"/>
      <c r="K41" s="160"/>
      <c r="L41" s="160"/>
      <c r="M41" s="160"/>
      <c r="N41" s="160"/>
      <c r="O41" s="160"/>
      <c r="P41" s="160"/>
      <c r="Q41" s="160"/>
      <c r="R41" s="160"/>
      <c r="S41" s="160"/>
      <c r="T41" s="160"/>
      <c r="U41" s="160"/>
      <c r="V41" s="160"/>
    </row>
    <row r="42" spans="1:22" ht="118.5" customHeight="1">
      <c r="A42" s="160"/>
      <c r="B42" s="160"/>
      <c r="C42" s="160"/>
      <c r="D42" s="160"/>
      <c r="E42" s="160"/>
      <c r="F42" s="160"/>
      <c r="G42" s="160"/>
      <c r="H42" s="160"/>
      <c r="I42" s="160"/>
      <c r="J42" s="160"/>
      <c r="K42" s="160"/>
      <c r="L42" s="160"/>
      <c r="M42" s="160"/>
      <c r="N42" s="160"/>
      <c r="O42" s="160"/>
      <c r="P42" s="160"/>
      <c r="Q42" s="160"/>
      <c r="R42" s="160"/>
      <c r="S42" s="160"/>
      <c r="T42" s="160"/>
      <c r="U42" s="160"/>
      <c r="V42" s="160"/>
    </row>
    <row r="43" spans="1:22" ht="144.75" customHeight="1">
      <c r="A43" s="160"/>
      <c r="B43" s="160"/>
      <c r="C43" s="160"/>
      <c r="D43" s="160"/>
      <c r="E43" s="160"/>
      <c r="F43" s="160"/>
      <c r="G43" s="160"/>
      <c r="H43" s="160"/>
      <c r="I43" s="160"/>
      <c r="J43" s="160"/>
      <c r="K43" s="160"/>
      <c r="L43" s="160"/>
      <c r="M43" s="160"/>
      <c r="N43" s="160"/>
      <c r="O43" s="160"/>
      <c r="P43" s="160"/>
      <c r="Q43" s="160"/>
      <c r="R43" s="160"/>
      <c r="S43" s="160"/>
      <c r="T43" s="160"/>
      <c r="U43" s="160"/>
      <c r="V43" s="160"/>
    </row>
    <row r="44" spans="1:22" ht="144.75" customHeight="1">
      <c r="A44" s="160"/>
      <c r="B44" s="160"/>
      <c r="C44" s="160"/>
      <c r="D44" s="160"/>
      <c r="E44" s="160"/>
      <c r="F44" s="160"/>
      <c r="G44" s="160"/>
      <c r="H44" s="160"/>
      <c r="I44" s="160"/>
      <c r="J44" s="160"/>
      <c r="K44" s="160"/>
      <c r="L44" s="160"/>
      <c r="M44" s="160"/>
      <c r="N44" s="160"/>
      <c r="O44" s="160"/>
      <c r="P44" s="160"/>
      <c r="Q44" s="160"/>
      <c r="R44" s="160"/>
      <c r="S44" s="160"/>
      <c r="T44" s="160"/>
      <c r="U44" s="160"/>
      <c r="V44" s="160"/>
    </row>
    <row r="45" spans="1:22" ht="12.75" customHeight="1">
      <c r="A45" s="160"/>
      <c r="B45" s="160"/>
      <c r="C45" s="160"/>
      <c r="D45" s="160"/>
      <c r="E45" s="160"/>
      <c r="F45" s="160"/>
      <c r="G45" s="160"/>
      <c r="H45" s="160"/>
      <c r="I45" s="160"/>
      <c r="J45" s="160"/>
      <c r="K45" s="160"/>
      <c r="L45" s="160"/>
      <c r="M45" s="160"/>
      <c r="N45" s="160"/>
      <c r="O45" s="160"/>
      <c r="P45" s="160"/>
      <c r="Q45" s="160"/>
      <c r="R45" s="160"/>
      <c r="S45" s="160"/>
      <c r="T45" s="160"/>
      <c r="U45" s="160"/>
      <c r="V45" s="160"/>
    </row>
    <row r="46" spans="1:22" ht="12.75" customHeight="1">
      <c r="A46" s="160"/>
      <c r="B46" s="160"/>
      <c r="C46" s="160"/>
      <c r="D46" s="160"/>
      <c r="E46" s="160"/>
      <c r="F46" s="160"/>
      <c r="G46" s="160"/>
      <c r="H46" s="160"/>
      <c r="I46" s="160"/>
      <c r="J46" s="160"/>
      <c r="K46" s="160"/>
      <c r="L46" s="160"/>
      <c r="M46" s="160"/>
      <c r="N46" s="160"/>
      <c r="O46" s="160"/>
      <c r="P46" s="160"/>
      <c r="Q46" s="160"/>
      <c r="R46" s="160"/>
      <c r="S46" s="160"/>
      <c r="T46" s="160"/>
      <c r="U46" s="160"/>
      <c r="V46" s="160"/>
    </row>
    <row r="47" spans="1:22" ht="12.75" customHeight="1">
      <c r="A47" s="160"/>
      <c r="B47" s="160"/>
      <c r="C47" s="160"/>
      <c r="D47" s="160"/>
      <c r="E47" s="160"/>
      <c r="F47" s="160"/>
      <c r="G47" s="160"/>
      <c r="H47" s="160"/>
      <c r="I47" s="160"/>
      <c r="J47" s="160"/>
      <c r="K47" s="160"/>
      <c r="L47" s="160"/>
      <c r="M47" s="160"/>
      <c r="N47" s="160"/>
      <c r="O47" s="160"/>
      <c r="P47" s="160"/>
      <c r="Q47" s="160"/>
      <c r="R47" s="160"/>
      <c r="S47" s="160"/>
      <c r="T47" s="160"/>
      <c r="U47" s="160"/>
      <c r="V47" s="160"/>
    </row>
    <row r="48" spans="1:22" ht="12.75" customHeight="1">
      <c r="A48" s="160"/>
      <c r="B48" s="160"/>
      <c r="C48" s="160"/>
      <c r="D48" s="160"/>
      <c r="E48" s="160"/>
      <c r="F48" s="160"/>
      <c r="G48" s="160"/>
      <c r="H48" s="160"/>
      <c r="I48" s="160"/>
      <c r="J48" s="160"/>
      <c r="K48" s="160"/>
      <c r="L48" s="160"/>
      <c r="M48" s="160"/>
      <c r="N48" s="160"/>
      <c r="O48" s="160"/>
      <c r="P48" s="160"/>
      <c r="Q48" s="160"/>
      <c r="R48" s="160"/>
      <c r="S48" s="160"/>
      <c r="T48" s="160"/>
      <c r="U48" s="160"/>
      <c r="V48" s="160"/>
    </row>
    <row r="49" spans="1:22" ht="12.75" customHeight="1">
      <c r="A49" s="160"/>
      <c r="B49" s="160"/>
      <c r="C49" s="160"/>
      <c r="D49" s="160"/>
      <c r="E49" s="160"/>
      <c r="F49" s="160"/>
      <c r="G49" s="160"/>
      <c r="H49" s="160"/>
      <c r="I49" s="160"/>
      <c r="J49" s="160"/>
      <c r="K49" s="160"/>
      <c r="L49" s="160"/>
      <c r="M49" s="160"/>
      <c r="N49" s="160"/>
      <c r="O49" s="160"/>
      <c r="P49" s="160"/>
      <c r="Q49" s="160"/>
      <c r="R49" s="160"/>
      <c r="S49" s="160"/>
      <c r="T49" s="160"/>
      <c r="U49" s="160"/>
      <c r="V49" s="160"/>
    </row>
    <row r="50" spans="1:22" ht="12.75" customHeight="1">
      <c r="A50" s="160"/>
      <c r="B50" s="160"/>
      <c r="C50" s="160"/>
      <c r="D50" s="160"/>
      <c r="E50" s="160"/>
      <c r="F50" s="160"/>
      <c r="G50" s="160"/>
      <c r="H50" s="160"/>
      <c r="I50" s="160"/>
      <c r="J50" s="160"/>
      <c r="K50" s="160"/>
      <c r="L50" s="160"/>
      <c r="M50" s="160"/>
      <c r="N50" s="160"/>
      <c r="O50" s="160"/>
      <c r="P50" s="160"/>
      <c r="Q50" s="160"/>
      <c r="R50" s="160"/>
      <c r="S50" s="160"/>
      <c r="T50" s="160"/>
      <c r="U50" s="160"/>
      <c r="V50" s="160"/>
    </row>
    <row r="51" spans="1:22" ht="12.75" customHeight="1">
      <c r="A51" s="160"/>
      <c r="B51" s="160"/>
      <c r="C51" s="160"/>
      <c r="D51" s="160"/>
      <c r="E51" s="160"/>
      <c r="F51" s="160"/>
      <c r="G51" s="160"/>
      <c r="H51" s="160"/>
      <c r="I51" s="160"/>
      <c r="J51" s="160"/>
      <c r="K51" s="160"/>
      <c r="L51" s="160"/>
      <c r="M51" s="160"/>
      <c r="N51" s="160"/>
      <c r="O51" s="160"/>
      <c r="P51" s="160"/>
      <c r="Q51" s="160"/>
      <c r="R51" s="160"/>
      <c r="S51" s="160"/>
      <c r="T51" s="160"/>
      <c r="U51" s="160"/>
      <c r="V51" s="160"/>
    </row>
    <row r="52" spans="1:22" ht="12.75" customHeight="1">
      <c r="A52" s="160"/>
      <c r="B52" s="160"/>
      <c r="C52" s="160"/>
      <c r="D52" s="160"/>
      <c r="E52" s="160"/>
      <c r="F52" s="160"/>
      <c r="G52" s="160"/>
      <c r="H52" s="160"/>
      <c r="I52" s="160"/>
      <c r="J52" s="160"/>
      <c r="K52" s="160"/>
      <c r="L52" s="160"/>
      <c r="M52" s="160"/>
      <c r="N52" s="160"/>
      <c r="O52" s="160"/>
      <c r="P52" s="160"/>
      <c r="Q52" s="160"/>
      <c r="R52" s="160"/>
      <c r="S52" s="160"/>
      <c r="T52" s="160"/>
      <c r="U52" s="160"/>
      <c r="V52" s="160"/>
    </row>
    <row r="53" spans="1:22" ht="12.75" customHeight="1">
      <c r="A53" s="160"/>
      <c r="B53" s="160"/>
      <c r="C53" s="160"/>
      <c r="D53" s="160"/>
      <c r="E53" s="160"/>
      <c r="F53" s="160"/>
      <c r="G53" s="160"/>
      <c r="H53" s="160"/>
      <c r="I53" s="160"/>
      <c r="J53" s="160"/>
      <c r="K53" s="160"/>
      <c r="L53" s="160"/>
      <c r="M53" s="160"/>
      <c r="N53" s="160"/>
      <c r="O53" s="160"/>
      <c r="P53" s="160"/>
      <c r="Q53" s="160"/>
      <c r="R53" s="160"/>
      <c r="S53" s="160"/>
      <c r="T53" s="160"/>
      <c r="U53" s="160"/>
      <c r="V53" s="160"/>
    </row>
    <row r="54" spans="1:22" ht="12.75" customHeight="1">
      <c r="A54" s="160"/>
      <c r="B54" s="160"/>
      <c r="C54" s="160"/>
      <c r="D54" s="160"/>
      <c r="E54" s="160"/>
      <c r="F54" s="160"/>
      <c r="G54" s="160"/>
      <c r="H54" s="160"/>
      <c r="I54" s="160"/>
      <c r="J54" s="160"/>
      <c r="K54" s="160"/>
      <c r="L54" s="160"/>
      <c r="M54" s="160"/>
      <c r="N54" s="160"/>
      <c r="O54" s="160"/>
      <c r="P54" s="160"/>
      <c r="Q54" s="160"/>
      <c r="R54" s="160"/>
      <c r="S54" s="160"/>
      <c r="T54" s="160"/>
      <c r="U54" s="160"/>
      <c r="V54" s="160"/>
    </row>
    <row r="55" spans="1:22" ht="12.75" customHeight="1">
      <c r="A55" s="160"/>
      <c r="B55" s="160"/>
      <c r="C55" s="160"/>
      <c r="D55" s="160"/>
      <c r="E55" s="160"/>
      <c r="F55" s="160"/>
      <c r="G55" s="160"/>
      <c r="H55" s="160"/>
      <c r="I55" s="160"/>
      <c r="J55" s="160"/>
      <c r="K55" s="160"/>
      <c r="L55" s="160"/>
      <c r="M55" s="160"/>
      <c r="N55" s="160"/>
      <c r="O55" s="160"/>
      <c r="P55" s="160"/>
      <c r="Q55" s="160"/>
      <c r="R55" s="160"/>
      <c r="S55" s="160"/>
      <c r="T55" s="160"/>
      <c r="U55" s="160"/>
      <c r="V55" s="160"/>
    </row>
    <row r="56" spans="1:22" ht="12.75" customHeight="1">
      <c r="A56" s="160"/>
      <c r="B56" s="160"/>
      <c r="C56" s="160"/>
      <c r="D56" s="160"/>
      <c r="E56" s="160"/>
      <c r="F56" s="160"/>
      <c r="G56" s="160"/>
      <c r="H56" s="160"/>
      <c r="I56" s="160"/>
      <c r="J56" s="160"/>
      <c r="K56" s="160"/>
      <c r="L56" s="160"/>
      <c r="M56" s="160"/>
      <c r="N56" s="160"/>
      <c r="O56" s="160"/>
      <c r="P56" s="160"/>
      <c r="Q56" s="160"/>
      <c r="R56" s="160"/>
      <c r="S56" s="160"/>
      <c r="T56" s="160"/>
      <c r="U56" s="160"/>
      <c r="V56" s="160"/>
    </row>
    <row r="57" spans="1:22" ht="12.75" customHeight="1">
      <c r="A57" s="160"/>
      <c r="B57" s="160"/>
      <c r="C57" s="160"/>
      <c r="D57" s="160"/>
      <c r="E57" s="160"/>
      <c r="F57" s="160"/>
      <c r="G57" s="160"/>
      <c r="H57" s="160"/>
      <c r="I57" s="160"/>
      <c r="J57" s="160"/>
      <c r="K57" s="160"/>
      <c r="L57" s="160"/>
      <c r="M57" s="160"/>
      <c r="N57" s="160"/>
      <c r="O57" s="160"/>
      <c r="P57" s="160"/>
      <c r="Q57" s="160"/>
      <c r="R57" s="160"/>
      <c r="S57" s="160"/>
      <c r="T57" s="160"/>
      <c r="U57" s="160"/>
      <c r="V57" s="160"/>
    </row>
    <row r="58" spans="1:22" ht="12.75" customHeight="1">
      <c r="A58" s="160"/>
      <c r="B58" s="160"/>
      <c r="C58" s="160"/>
      <c r="D58" s="160"/>
      <c r="E58" s="160"/>
      <c r="F58" s="160"/>
      <c r="G58" s="160"/>
      <c r="H58" s="160"/>
      <c r="I58" s="160"/>
      <c r="J58" s="160"/>
      <c r="K58" s="160"/>
      <c r="L58" s="160"/>
      <c r="M58" s="160"/>
      <c r="N58" s="160"/>
      <c r="O58" s="160"/>
      <c r="P58" s="160"/>
      <c r="Q58" s="160"/>
      <c r="R58" s="160"/>
      <c r="S58" s="160"/>
      <c r="T58" s="160"/>
      <c r="U58" s="160"/>
      <c r="V58" s="160"/>
    </row>
    <row r="59" spans="1:22" ht="12.75" customHeight="1">
      <c r="A59" s="160"/>
      <c r="B59" s="160"/>
      <c r="C59" s="160"/>
      <c r="D59" s="160"/>
      <c r="E59" s="160"/>
      <c r="F59" s="160"/>
      <c r="G59" s="160"/>
      <c r="H59" s="160"/>
      <c r="I59" s="160"/>
      <c r="J59" s="160"/>
      <c r="K59" s="160"/>
      <c r="L59" s="160"/>
      <c r="M59" s="160"/>
      <c r="N59" s="160"/>
      <c r="O59" s="160"/>
      <c r="P59" s="160"/>
      <c r="Q59" s="160"/>
      <c r="R59" s="160"/>
      <c r="S59" s="160"/>
      <c r="T59" s="160"/>
      <c r="U59" s="160"/>
      <c r="V59" s="160"/>
    </row>
    <row r="60" spans="1:22" ht="12.75" customHeight="1">
      <c r="A60" s="160"/>
      <c r="B60" s="160"/>
      <c r="C60" s="160"/>
      <c r="D60" s="160"/>
      <c r="E60" s="160"/>
      <c r="F60" s="160"/>
      <c r="G60" s="160"/>
      <c r="H60" s="160"/>
      <c r="I60" s="160"/>
      <c r="J60" s="160"/>
      <c r="K60" s="160"/>
      <c r="L60" s="160"/>
      <c r="M60" s="160"/>
      <c r="N60" s="160"/>
      <c r="O60" s="160"/>
      <c r="P60" s="160"/>
      <c r="Q60" s="160"/>
      <c r="R60" s="160"/>
      <c r="S60" s="160"/>
      <c r="T60" s="160"/>
      <c r="U60" s="160"/>
      <c r="V60" s="160"/>
    </row>
    <row r="61" spans="1:22" ht="12.75" customHeight="1">
      <c r="A61" s="160"/>
      <c r="B61" s="160"/>
      <c r="C61" s="160"/>
      <c r="D61" s="160"/>
      <c r="E61" s="160"/>
      <c r="F61" s="160"/>
      <c r="G61" s="160"/>
      <c r="H61" s="160"/>
      <c r="I61" s="160"/>
      <c r="J61" s="160"/>
      <c r="K61" s="160"/>
      <c r="L61" s="160"/>
      <c r="M61" s="160"/>
      <c r="N61" s="160"/>
      <c r="O61" s="160"/>
      <c r="P61" s="160"/>
      <c r="Q61" s="160"/>
      <c r="R61" s="160"/>
      <c r="S61" s="160"/>
      <c r="T61" s="160"/>
      <c r="U61" s="160"/>
      <c r="V61" s="160"/>
    </row>
    <row r="62" spans="1:22" ht="12.75" customHeight="1">
      <c r="A62" s="160"/>
      <c r="B62" s="160"/>
      <c r="C62" s="160"/>
      <c r="D62" s="160"/>
      <c r="E62" s="160"/>
      <c r="F62" s="160"/>
      <c r="G62" s="160"/>
      <c r="H62" s="160"/>
      <c r="I62" s="160"/>
      <c r="J62" s="160"/>
      <c r="K62" s="160"/>
      <c r="L62" s="160"/>
      <c r="M62" s="160"/>
      <c r="N62" s="160"/>
      <c r="O62" s="160"/>
      <c r="P62" s="160"/>
      <c r="Q62" s="160"/>
      <c r="R62" s="160"/>
      <c r="S62" s="160"/>
      <c r="T62" s="160"/>
      <c r="U62" s="160"/>
      <c r="V62" s="160"/>
    </row>
    <row r="63" spans="1:22" ht="12.75" customHeight="1">
      <c r="A63" s="160"/>
      <c r="B63" s="160"/>
      <c r="C63" s="160"/>
      <c r="D63" s="160"/>
      <c r="E63" s="160"/>
      <c r="F63" s="160"/>
      <c r="G63" s="160"/>
      <c r="H63" s="160"/>
      <c r="I63" s="160"/>
      <c r="J63" s="160"/>
      <c r="K63" s="160"/>
      <c r="L63" s="160"/>
      <c r="M63" s="160"/>
      <c r="N63" s="160"/>
      <c r="O63" s="160"/>
      <c r="P63" s="160"/>
      <c r="Q63" s="160"/>
      <c r="R63" s="160"/>
      <c r="S63" s="160"/>
      <c r="T63" s="160"/>
      <c r="U63" s="160"/>
      <c r="V63" s="160"/>
    </row>
    <row r="64" spans="1:22" ht="12.75" customHeight="1">
      <c r="A64" s="160"/>
      <c r="B64" s="160"/>
      <c r="C64" s="160"/>
      <c r="D64" s="160"/>
      <c r="E64" s="160"/>
      <c r="F64" s="160"/>
      <c r="G64" s="160"/>
      <c r="H64" s="160"/>
      <c r="I64" s="160"/>
      <c r="J64" s="160"/>
      <c r="K64" s="160"/>
      <c r="L64" s="160"/>
      <c r="M64" s="160"/>
      <c r="N64" s="160"/>
      <c r="O64" s="160"/>
      <c r="P64" s="160"/>
      <c r="Q64" s="160"/>
      <c r="R64" s="160"/>
      <c r="S64" s="160"/>
      <c r="T64" s="160"/>
      <c r="U64" s="160"/>
      <c r="V64" s="160"/>
    </row>
    <row r="65" spans="1:22" ht="12.75" customHeight="1">
      <c r="A65" s="160"/>
      <c r="B65" s="160"/>
      <c r="C65" s="160"/>
      <c r="D65" s="160"/>
      <c r="E65" s="160"/>
      <c r="F65" s="160"/>
      <c r="G65" s="160"/>
      <c r="H65" s="160"/>
      <c r="I65" s="160"/>
      <c r="J65" s="160"/>
      <c r="K65" s="160"/>
      <c r="L65" s="160"/>
      <c r="M65" s="160"/>
      <c r="N65" s="160"/>
      <c r="O65" s="160"/>
      <c r="P65" s="160"/>
      <c r="Q65" s="160"/>
      <c r="R65" s="160"/>
      <c r="S65" s="160"/>
      <c r="T65" s="160"/>
      <c r="U65" s="160"/>
      <c r="V65" s="160"/>
    </row>
    <row r="66" spans="1:22" ht="12.75" customHeight="1">
      <c r="A66" s="160"/>
      <c r="B66" s="160"/>
      <c r="C66" s="160"/>
      <c r="D66" s="160"/>
      <c r="E66" s="160"/>
      <c r="F66" s="160"/>
      <c r="G66" s="160"/>
      <c r="H66" s="160"/>
      <c r="I66" s="160"/>
      <c r="J66" s="160"/>
      <c r="K66" s="160"/>
      <c r="L66" s="160"/>
      <c r="M66" s="160"/>
      <c r="N66" s="160"/>
      <c r="O66" s="160"/>
      <c r="P66" s="160"/>
      <c r="Q66" s="160"/>
      <c r="R66" s="160"/>
      <c r="S66" s="160"/>
      <c r="T66" s="160"/>
      <c r="U66" s="160"/>
      <c r="V66" s="160"/>
    </row>
    <row r="67" spans="1:22" ht="12.75" customHeight="1">
      <c r="A67" s="160"/>
      <c r="B67" s="160"/>
      <c r="C67" s="160"/>
      <c r="D67" s="160"/>
      <c r="E67" s="160"/>
      <c r="F67" s="160"/>
      <c r="G67" s="160"/>
      <c r="H67" s="160"/>
      <c r="I67" s="160"/>
      <c r="J67" s="160"/>
      <c r="K67" s="160"/>
      <c r="L67" s="160"/>
      <c r="M67" s="160"/>
      <c r="N67" s="160"/>
      <c r="O67" s="160"/>
      <c r="P67" s="160"/>
      <c r="Q67" s="160"/>
      <c r="R67" s="160"/>
      <c r="S67" s="160"/>
      <c r="T67" s="160"/>
      <c r="U67" s="160"/>
      <c r="V67" s="160"/>
    </row>
    <row r="68" spans="1:22" ht="12.75" customHeight="1">
      <c r="A68" s="160"/>
      <c r="B68" s="160"/>
      <c r="C68" s="160"/>
      <c r="D68" s="160"/>
      <c r="E68" s="160"/>
      <c r="F68" s="160"/>
      <c r="G68" s="160"/>
      <c r="H68" s="160"/>
      <c r="I68" s="160"/>
      <c r="J68" s="160"/>
      <c r="K68" s="160"/>
      <c r="L68" s="160"/>
      <c r="M68" s="160"/>
      <c r="N68" s="160"/>
      <c r="O68" s="160"/>
      <c r="P68" s="160"/>
      <c r="Q68" s="160"/>
      <c r="R68" s="160"/>
      <c r="S68" s="160"/>
      <c r="T68" s="160"/>
      <c r="U68" s="160"/>
      <c r="V68" s="160"/>
    </row>
    <row r="69" spans="1:22" ht="12.75" customHeight="1">
      <c r="A69" s="160"/>
      <c r="B69" s="160"/>
      <c r="C69" s="160"/>
      <c r="D69" s="160"/>
      <c r="E69" s="160"/>
      <c r="F69" s="160"/>
      <c r="G69" s="160"/>
      <c r="H69" s="160"/>
      <c r="I69" s="160"/>
      <c r="J69" s="160"/>
      <c r="K69" s="160"/>
      <c r="L69" s="160"/>
      <c r="M69" s="160"/>
      <c r="N69" s="160"/>
      <c r="O69" s="160"/>
      <c r="P69" s="160"/>
      <c r="Q69" s="160"/>
      <c r="R69" s="160"/>
      <c r="S69" s="160"/>
      <c r="T69" s="160"/>
      <c r="U69" s="160"/>
      <c r="V69" s="160"/>
    </row>
    <row r="70" spans="1:22" ht="12.75" customHeight="1">
      <c r="A70" s="160"/>
      <c r="B70" s="160"/>
      <c r="C70" s="160"/>
      <c r="D70" s="160"/>
      <c r="E70" s="160"/>
      <c r="F70" s="160"/>
      <c r="G70" s="160"/>
      <c r="H70" s="160"/>
      <c r="I70" s="160"/>
      <c r="J70" s="160"/>
      <c r="K70" s="160"/>
      <c r="L70" s="160"/>
      <c r="M70" s="160"/>
      <c r="N70" s="160"/>
      <c r="O70" s="160"/>
      <c r="P70" s="160"/>
      <c r="Q70" s="160"/>
      <c r="R70" s="160"/>
      <c r="S70" s="160"/>
      <c r="T70" s="160"/>
      <c r="U70" s="160"/>
      <c r="V70" s="160"/>
    </row>
    <row r="71" spans="1:22" ht="12.75" customHeight="1">
      <c r="A71" s="160"/>
      <c r="B71" s="160"/>
      <c r="C71" s="160"/>
      <c r="D71" s="160"/>
      <c r="E71" s="160"/>
      <c r="F71" s="160"/>
      <c r="G71" s="160"/>
      <c r="H71" s="160"/>
      <c r="I71" s="160"/>
      <c r="J71" s="160"/>
      <c r="K71" s="160"/>
      <c r="L71" s="160"/>
      <c r="M71" s="160"/>
      <c r="N71" s="160"/>
      <c r="O71" s="160"/>
      <c r="P71" s="160"/>
      <c r="Q71" s="160"/>
      <c r="R71" s="160"/>
      <c r="S71" s="160"/>
      <c r="T71" s="160"/>
      <c r="U71" s="160"/>
      <c r="V71" s="160"/>
    </row>
    <row r="72" spans="1:22" ht="12.75" customHeight="1">
      <c r="A72" s="160"/>
      <c r="B72" s="160"/>
      <c r="C72" s="160"/>
      <c r="D72" s="160"/>
      <c r="E72" s="160"/>
      <c r="F72" s="160"/>
      <c r="G72" s="160"/>
      <c r="H72" s="160"/>
      <c r="I72" s="160"/>
      <c r="J72" s="160"/>
      <c r="K72" s="160"/>
      <c r="L72" s="160"/>
      <c r="M72" s="160"/>
      <c r="N72" s="160"/>
      <c r="O72" s="160"/>
      <c r="P72" s="160"/>
      <c r="Q72" s="160"/>
      <c r="R72" s="160"/>
      <c r="S72" s="160"/>
      <c r="T72" s="160"/>
      <c r="U72" s="160"/>
      <c r="V72" s="160"/>
    </row>
    <row r="73" spans="1:22" ht="12.75" customHeight="1">
      <c r="A73" s="160"/>
      <c r="B73" s="160"/>
      <c r="C73" s="160"/>
      <c r="D73" s="160"/>
      <c r="E73" s="160"/>
      <c r="F73" s="160"/>
      <c r="G73" s="160"/>
      <c r="H73" s="160"/>
      <c r="I73" s="160"/>
      <c r="J73" s="160"/>
      <c r="K73" s="160"/>
      <c r="L73" s="160"/>
      <c r="M73" s="160"/>
      <c r="N73" s="160"/>
      <c r="O73" s="160"/>
      <c r="P73" s="160"/>
      <c r="Q73" s="160"/>
      <c r="R73" s="160"/>
      <c r="S73" s="160"/>
      <c r="T73" s="160"/>
      <c r="U73" s="160"/>
      <c r="V73" s="160"/>
    </row>
    <row r="74" spans="1:22" ht="12.75" customHeight="1">
      <c r="A74" s="160"/>
      <c r="B74" s="160"/>
      <c r="C74" s="160"/>
      <c r="D74" s="160"/>
      <c r="E74" s="160"/>
      <c r="F74" s="160"/>
      <c r="G74" s="160"/>
      <c r="H74" s="160"/>
      <c r="I74" s="160"/>
      <c r="J74" s="160"/>
      <c r="K74" s="160"/>
      <c r="L74" s="160"/>
      <c r="M74" s="160"/>
      <c r="N74" s="160"/>
      <c r="O74" s="160"/>
      <c r="P74" s="160"/>
      <c r="Q74" s="160"/>
      <c r="R74" s="160"/>
      <c r="S74" s="160"/>
      <c r="T74" s="160"/>
      <c r="U74" s="160"/>
      <c r="V74" s="160"/>
    </row>
    <row r="75" spans="1:22" ht="12.75" customHeight="1">
      <c r="A75" s="160"/>
      <c r="B75" s="160"/>
      <c r="C75" s="160"/>
      <c r="D75" s="160"/>
      <c r="E75" s="160"/>
      <c r="F75" s="160"/>
      <c r="G75" s="160"/>
      <c r="H75" s="160"/>
      <c r="I75" s="160"/>
      <c r="J75" s="160"/>
      <c r="K75" s="160"/>
      <c r="L75" s="160"/>
      <c r="M75" s="160"/>
      <c r="N75" s="160"/>
      <c r="O75" s="160"/>
      <c r="P75" s="160"/>
      <c r="Q75" s="160"/>
      <c r="R75" s="160"/>
      <c r="S75" s="160"/>
      <c r="T75" s="160"/>
      <c r="U75" s="160"/>
      <c r="V75" s="160"/>
    </row>
    <row r="76" spans="1:22" ht="12.75" customHeight="1">
      <c r="A76" s="160"/>
      <c r="B76" s="160"/>
      <c r="C76" s="160"/>
      <c r="D76" s="160"/>
      <c r="E76" s="160"/>
      <c r="F76" s="160"/>
      <c r="G76" s="160"/>
      <c r="H76" s="160"/>
      <c r="I76" s="160"/>
      <c r="J76" s="160"/>
      <c r="K76" s="160"/>
      <c r="L76" s="160"/>
      <c r="M76" s="160"/>
      <c r="N76" s="160"/>
      <c r="O76" s="160"/>
      <c r="P76" s="160"/>
      <c r="Q76" s="160"/>
      <c r="R76" s="160"/>
      <c r="S76" s="160"/>
      <c r="T76" s="160"/>
      <c r="U76" s="160"/>
      <c r="V76" s="160"/>
    </row>
    <row r="77" spans="1:22" ht="12.75" customHeight="1">
      <c r="A77" s="160"/>
      <c r="B77" s="160"/>
      <c r="C77" s="160"/>
      <c r="D77" s="160"/>
      <c r="E77" s="160"/>
      <c r="F77" s="160"/>
      <c r="G77" s="160"/>
      <c r="H77" s="160"/>
      <c r="I77" s="160"/>
      <c r="J77" s="160"/>
      <c r="K77" s="160"/>
      <c r="L77" s="160"/>
      <c r="M77" s="160"/>
      <c r="N77" s="160"/>
      <c r="O77" s="160"/>
      <c r="P77" s="160"/>
      <c r="Q77" s="160"/>
      <c r="R77" s="160"/>
      <c r="S77" s="160"/>
      <c r="T77" s="160"/>
      <c r="U77" s="160"/>
      <c r="V77" s="160"/>
    </row>
    <row r="78" spans="1:22" ht="12.75" customHeight="1">
      <c r="A78" s="160"/>
      <c r="B78" s="160"/>
      <c r="C78" s="160"/>
      <c r="D78" s="160"/>
      <c r="E78" s="160"/>
      <c r="F78" s="160"/>
      <c r="G78" s="160"/>
      <c r="H78" s="160"/>
      <c r="I78" s="160"/>
      <c r="J78" s="160"/>
      <c r="K78" s="160"/>
      <c r="L78" s="160"/>
      <c r="M78" s="160"/>
      <c r="N78" s="160"/>
      <c r="O78" s="160"/>
      <c r="P78" s="160"/>
      <c r="Q78" s="160"/>
      <c r="R78" s="160"/>
      <c r="S78" s="160"/>
      <c r="T78" s="160"/>
      <c r="U78" s="160"/>
      <c r="V78" s="160"/>
    </row>
    <row r="79" spans="1:22" ht="12.75" customHeight="1">
      <c r="A79" s="160"/>
      <c r="B79" s="160"/>
      <c r="C79" s="160"/>
      <c r="D79" s="160"/>
      <c r="E79" s="160"/>
      <c r="F79" s="160"/>
      <c r="G79" s="160"/>
      <c r="H79" s="160"/>
      <c r="I79" s="160"/>
      <c r="J79" s="160"/>
      <c r="K79" s="160"/>
      <c r="L79" s="160"/>
      <c r="M79" s="160"/>
      <c r="N79" s="160"/>
      <c r="O79" s="160"/>
      <c r="P79" s="160"/>
      <c r="Q79" s="160"/>
      <c r="R79" s="160"/>
      <c r="S79" s="160"/>
      <c r="T79" s="160"/>
      <c r="U79" s="160"/>
      <c r="V79" s="160"/>
    </row>
    <row r="80" spans="1:22" ht="12.75" customHeight="1">
      <c r="A80" s="160"/>
      <c r="B80" s="160"/>
      <c r="C80" s="160"/>
      <c r="D80" s="160"/>
      <c r="E80" s="160"/>
      <c r="F80" s="160"/>
      <c r="G80" s="160"/>
      <c r="H80" s="160"/>
      <c r="I80" s="160"/>
      <c r="J80" s="160"/>
      <c r="K80" s="160"/>
      <c r="L80" s="160"/>
      <c r="M80" s="160"/>
      <c r="N80" s="160"/>
      <c r="O80" s="160"/>
      <c r="P80" s="160"/>
      <c r="Q80" s="160"/>
      <c r="R80" s="160"/>
      <c r="S80" s="160"/>
      <c r="T80" s="160"/>
      <c r="U80" s="160"/>
      <c r="V80" s="160"/>
    </row>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C4610-5D66-4745-9CBA-FAAC39CD9BA8}">
  <dimension ref="A1:H33"/>
  <sheetViews>
    <sheetView workbookViewId="0"/>
  </sheetViews>
  <sheetFormatPr defaultColWidth="8.6640625" defaultRowHeight="13.2"/>
  <cols>
    <col min="1" max="1" width="12" customWidth="1"/>
    <col min="2" max="8" width="38" customWidth="1"/>
  </cols>
  <sheetData>
    <row r="1" spans="1:8" ht="7.2" customHeight="1">
      <c r="A1" s="179" t="s">
        <v>5300</v>
      </c>
      <c r="B1" s="179" t="s">
        <v>5455</v>
      </c>
      <c r="C1" s="179" t="s">
        <v>3348</v>
      </c>
      <c r="D1" s="179" t="s">
        <v>3349</v>
      </c>
      <c r="E1" s="179" t="s">
        <v>5456</v>
      </c>
      <c r="F1" s="179" t="s">
        <v>5457</v>
      </c>
      <c r="G1" s="179" t="s">
        <v>4526</v>
      </c>
      <c r="H1" s="179" t="s">
        <v>199</v>
      </c>
    </row>
    <row r="2" spans="1:8" ht="121.65" customHeight="1">
      <c r="A2" s="150" t="s">
        <v>143</v>
      </c>
      <c r="B2" s="150" t="s">
        <v>5458</v>
      </c>
      <c r="C2" s="150" t="s">
        <v>5459</v>
      </c>
      <c r="D2" s="150" t="s">
        <v>5460</v>
      </c>
      <c r="E2" s="150" t="s">
        <v>5461</v>
      </c>
      <c r="F2" s="150" t="s">
        <v>5462</v>
      </c>
      <c r="G2" s="150" t="s">
        <v>5463</v>
      </c>
      <c r="H2" s="150" t="s">
        <v>5464</v>
      </c>
    </row>
    <row r="3" spans="1:8" ht="135.15" customHeight="1">
      <c r="A3" s="150" t="s">
        <v>604</v>
      </c>
      <c r="B3" s="150" t="s">
        <v>5465</v>
      </c>
      <c r="C3" s="150" t="s">
        <v>5466</v>
      </c>
      <c r="D3" s="150" t="s">
        <v>5467</v>
      </c>
      <c r="E3" s="150" t="s">
        <v>5468</v>
      </c>
      <c r="F3" s="150" t="s">
        <v>5469</v>
      </c>
      <c r="G3" s="150" t="s">
        <v>5470</v>
      </c>
      <c r="H3" s="150" t="s">
        <v>5471</v>
      </c>
    </row>
    <row r="4" spans="1:8" ht="135.15" customHeight="1">
      <c r="A4" s="150" t="s">
        <v>625</v>
      </c>
      <c r="B4" s="150" t="s">
        <v>5472</v>
      </c>
      <c r="C4" s="150" t="s">
        <v>5473</v>
      </c>
      <c r="D4" s="150" t="s">
        <v>5474</v>
      </c>
      <c r="E4" s="150" t="s">
        <v>5475</v>
      </c>
      <c r="F4" s="150" t="s">
        <v>5476</v>
      </c>
      <c r="G4" s="150" t="s">
        <v>5477</v>
      </c>
      <c r="H4" s="150" t="s">
        <v>5478</v>
      </c>
    </row>
    <row r="5" spans="1:8" ht="114.9" customHeight="1">
      <c r="A5" s="150" t="s">
        <v>641</v>
      </c>
      <c r="B5" s="150" t="s">
        <v>5479</v>
      </c>
      <c r="C5" s="150" t="s">
        <v>5480</v>
      </c>
      <c r="D5" s="150" t="s">
        <v>5481</v>
      </c>
      <c r="E5" s="150" t="s">
        <v>5482</v>
      </c>
      <c r="F5" s="150" t="s">
        <v>5483</v>
      </c>
      <c r="G5" s="150" t="s">
        <v>5484</v>
      </c>
      <c r="H5" s="150" t="s">
        <v>5485</v>
      </c>
    </row>
    <row r="6" spans="1:8" ht="108.15" customHeight="1">
      <c r="A6" s="150" t="s">
        <v>1462</v>
      </c>
      <c r="B6" s="150" t="s">
        <v>5486</v>
      </c>
      <c r="C6" s="150" t="s">
        <v>5487</v>
      </c>
      <c r="D6" s="150" t="s">
        <v>5488</v>
      </c>
      <c r="E6" s="150" t="s">
        <v>5489</v>
      </c>
      <c r="F6" s="150" t="s">
        <v>5490</v>
      </c>
      <c r="G6" s="150" t="s">
        <v>5491</v>
      </c>
      <c r="H6" s="150" t="s">
        <v>5492</v>
      </c>
    </row>
    <row r="7" spans="1:8" ht="101.4" customHeight="1">
      <c r="A7" s="150" t="s">
        <v>1566</v>
      </c>
      <c r="B7" s="150" t="s">
        <v>5493</v>
      </c>
      <c r="C7" s="150" t="s">
        <v>5494</v>
      </c>
      <c r="D7" s="150" t="s">
        <v>5495</v>
      </c>
      <c r="E7" s="150" t="s">
        <v>5496</v>
      </c>
      <c r="F7" s="150" t="s">
        <v>5497</v>
      </c>
      <c r="G7" s="150" t="s">
        <v>5498</v>
      </c>
      <c r="H7" s="150" t="s">
        <v>5499</v>
      </c>
    </row>
    <row r="8" spans="1:8" ht="101.4" customHeight="1">
      <c r="A8" s="150" t="s">
        <v>1680</v>
      </c>
      <c r="B8" s="150" t="s">
        <v>5500</v>
      </c>
      <c r="C8" s="150" t="s">
        <v>5501</v>
      </c>
      <c r="D8" s="150" t="s">
        <v>5502</v>
      </c>
      <c r="E8" s="150" t="s">
        <v>5503</v>
      </c>
      <c r="F8" s="150" t="s">
        <v>5504</v>
      </c>
      <c r="G8" s="150" t="s">
        <v>5505</v>
      </c>
      <c r="H8" s="150" t="s">
        <v>5506</v>
      </c>
    </row>
    <row r="9" spans="1:8" ht="121.65" customHeight="1">
      <c r="A9" s="150" t="s">
        <v>1778</v>
      </c>
      <c r="B9" s="150" t="s">
        <v>5507</v>
      </c>
      <c r="C9" s="150" t="s">
        <v>5508</v>
      </c>
      <c r="D9" s="150" t="s">
        <v>5509</v>
      </c>
      <c r="E9" s="150" t="s">
        <v>5510</v>
      </c>
      <c r="F9" s="150" t="s">
        <v>5511</v>
      </c>
      <c r="G9" s="150" t="s">
        <v>5512</v>
      </c>
      <c r="H9" s="150" t="s">
        <v>5513</v>
      </c>
    </row>
    <row r="10" spans="1:8" ht="128.4" customHeight="1">
      <c r="A10" s="150" t="s">
        <v>1884</v>
      </c>
      <c r="B10" s="150" t="s">
        <v>5514</v>
      </c>
      <c r="C10" s="150" t="s">
        <v>5515</v>
      </c>
      <c r="D10" s="150" t="s">
        <v>5516</v>
      </c>
      <c r="E10" s="150" t="s">
        <v>5517</v>
      </c>
      <c r="F10" s="150" t="s">
        <v>5518</v>
      </c>
      <c r="G10" s="150" t="s">
        <v>5519</v>
      </c>
      <c r="H10" s="150" t="s">
        <v>5520</v>
      </c>
    </row>
    <row r="11" spans="1:8" ht="121.65" customHeight="1">
      <c r="A11" s="150" t="s">
        <v>697</v>
      </c>
      <c r="B11" s="150" t="s">
        <v>5521</v>
      </c>
      <c r="C11" s="150" t="s">
        <v>5522</v>
      </c>
      <c r="D11" s="150" t="s">
        <v>5523</v>
      </c>
      <c r="E11" s="150" t="s">
        <v>5524</v>
      </c>
      <c r="F11" s="150" t="s">
        <v>5525</v>
      </c>
      <c r="G11" s="150" t="s">
        <v>5526</v>
      </c>
      <c r="H11" s="150" t="s">
        <v>5527</v>
      </c>
    </row>
    <row r="12" spans="1:8" ht="128.4" customHeight="1">
      <c r="A12" s="150" t="s">
        <v>2096</v>
      </c>
      <c r="B12" s="150" t="s">
        <v>5528</v>
      </c>
      <c r="C12" s="150" t="s">
        <v>5529</v>
      </c>
      <c r="D12" s="150" t="s">
        <v>5530</v>
      </c>
      <c r="E12" s="150" t="s">
        <v>5531</v>
      </c>
      <c r="F12" s="150" t="s">
        <v>5532</v>
      </c>
      <c r="G12" s="150" t="s">
        <v>5533</v>
      </c>
      <c r="H12" s="150" t="s">
        <v>5534</v>
      </c>
    </row>
    <row r="13" spans="1:8" ht="101.4" customHeight="1">
      <c r="A13" s="150" t="s">
        <v>698</v>
      </c>
      <c r="B13" s="150" t="s">
        <v>5535</v>
      </c>
      <c r="C13" s="150" t="s">
        <v>5536</v>
      </c>
      <c r="D13" s="150" t="s">
        <v>5537</v>
      </c>
      <c r="E13" s="150" t="s">
        <v>5538</v>
      </c>
      <c r="F13" s="150" t="s">
        <v>5539</v>
      </c>
      <c r="G13" s="150" t="s">
        <v>5540</v>
      </c>
      <c r="H13" s="150" t="s">
        <v>5541</v>
      </c>
    </row>
    <row r="14" spans="1:8" ht="114.9" customHeight="1">
      <c r="A14" s="150" t="s">
        <v>700</v>
      </c>
      <c r="B14" s="150" t="s">
        <v>5542</v>
      </c>
      <c r="C14" s="150" t="s">
        <v>5543</v>
      </c>
      <c r="D14" s="150" t="s">
        <v>5544</v>
      </c>
      <c r="E14" s="150" t="s">
        <v>5545</v>
      </c>
      <c r="F14" s="150" t="s">
        <v>5546</v>
      </c>
      <c r="G14" s="150" t="s">
        <v>5547</v>
      </c>
      <c r="H14" s="150" t="s">
        <v>5548</v>
      </c>
    </row>
    <row r="15" spans="1:8" ht="128.4" customHeight="1">
      <c r="A15" s="150" t="s">
        <v>702</v>
      </c>
      <c r="B15" s="150" t="s">
        <v>5549</v>
      </c>
      <c r="C15" s="150" t="s">
        <v>5550</v>
      </c>
      <c r="D15" s="150" t="s">
        <v>5551</v>
      </c>
      <c r="E15" s="150" t="s">
        <v>5552</v>
      </c>
      <c r="F15" s="150" t="s">
        <v>5553</v>
      </c>
      <c r="G15" s="150" t="s">
        <v>5554</v>
      </c>
      <c r="H15" s="150" t="s">
        <v>5555</v>
      </c>
    </row>
    <row r="16" spans="1:8" ht="108.15" customHeight="1">
      <c r="A16" s="150" t="s">
        <v>703</v>
      </c>
      <c r="B16" s="150" t="s">
        <v>5556</v>
      </c>
      <c r="C16" s="150" t="s">
        <v>5557</v>
      </c>
      <c r="D16" s="150" t="s">
        <v>5558</v>
      </c>
      <c r="E16" s="150" t="s">
        <v>5559</v>
      </c>
      <c r="F16" s="150" t="s">
        <v>5560</v>
      </c>
      <c r="G16" s="150" t="s">
        <v>5561</v>
      </c>
      <c r="H16" s="150" t="s">
        <v>5562</v>
      </c>
    </row>
    <row r="17" spans="1:8" ht="128.4" customHeight="1">
      <c r="A17" s="150" t="s">
        <v>2557</v>
      </c>
      <c r="B17" s="150" t="s">
        <v>5563</v>
      </c>
      <c r="C17" s="150" t="s">
        <v>5564</v>
      </c>
      <c r="D17" s="150" t="s">
        <v>5565</v>
      </c>
      <c r="E17" s="150" t="s">
        <v>5566</v>
      </c>
      <c r="F17" s="150" t="s">
        <v>5567</v>
      </c>
      <c r="G17" s="150" t="s">
        <v>5568</v>
      </c>
      <c r="H17" s="150" t="s">
        <v>5569</v>
      </c>
    </row>
    <row r="18" spans="1:8" ht="135.15" customHeight="1">
      <c r="A18" s="150" t="s">
        <v>705</v>
      </c>
      <c r="B18" s="150" t="s">
        <v>5570</v>
      </c>
      <c r="C18" s="150" t="s">
        <v>5571</v>
      </c>
      <c r="D18" s="150" t="s">
        <v>5572</v>
      </c>
      <c r="E18" s="150" t="s">
        <v>5573</v>
      </c>
      <c r="F18" s="150" t="s">
        <v>5574</v>
      </c>
      <c r="G18" s="150" t="s">
        <v>5575</v>
      </c>
      <c r="H18" s="150" t="s">
        <v>5576</v>
      </c>
    </row>
    <row r="19" spans="1:8" ht="128.4" customHeight="1">
      <c r="A19" s="150" t="s">
        <v>2756</v>
      </c>
      <c r="B19" s="150" t="s">
        <v>5577</v>
      </c>
      <c r="C19" s="150" t="s">
        <v>5578</v>
      </c>
      <c r="D19" s="150" t="s">
        <v>5579</v>
      </c>
      <c r="E19" s="150" t="s">
        <v>5580</v>
      </c>
      <c r="F19" s="150" t="s">
        <v>5581</v>
      </c>
      <c r="G19" s="150" t="s">
        <v>5582</v>
      </c>
      <c r="H19" s="150" t="s">
        <v>5583</v>
      </c>
    </row>
    <row r="20" spans="1:8" ht="128.4" customHeight="1">
      <c r="A20" s="150" t="s">
        <v>2877</v>
      </c>
      <c r="B20" s="150" t="s">
        <v>5584</v>
      </c>
      <c r="C20" s="150" t="s">
        <v>5585</v>
      </c>
      <c r="D20" s="150" t="s">
        <v>5586</v>
      </c>
      <c r="E20" s="150" t="s">
        <v>5587</v>
      </c>
      <c r="F20" s="150" t="s">
        <v>5588</v>
      </c>
      <c r="G20" s="150" t="s">
        <v>5589</v>
      </c>
      <c r="H20" s="150" t="s">
        <v>5590</v>
      </c>
    </row>
    <row r="21" spans="1:8" ht="121.65" customHeight="1">
      <c r="A21" s="150" t="s">
        <v>707</v>
      </c>
      <c r="B21" s="150" t="s">
        <v>5591</v>
      </c>
      <c r="C21" s="150" t="s">
        <v>5592</v>
      </c>
      <c r="D21" s="150" t="s">
        <v>5593</v>
      </c>
      <c r="E21" s="150" t="s">
        <v>5594</v>
      </c>
      <c r="F21" s="150" t="s">
        <v>5595</v>
      </c>
      <c r="G21" s="150" t="s">
        <v>5596</v>
      </c>
      <c r="H21" s="150" t="s">
        <v>5597</v>
      </c>
    </row>
    <row r="22" spans="1:8" ht="114.9" customHeight="1">
      <c r="A22" s="150" t="s">
        <v>372</v>
      </c>
      <c r="B22" s="150" t="s">
        <v>5598</v>
      </c>
      <c r="C22" s="150" t="s">
        <v>5599</v>
      </c>
      <c r="D22" s="150" t="s">
        <v>5600</v>
      </c>
      <c r="E22" s="150" t="s">
        <v>5601</v>
      </c>
      <c r="F22" s="150" t="s">
        <v>5602</v>
      </c>
      <c r="G22" s="150" t="s">
        <v>5603</v>
      </c>
      <c r="H22" s="150" t="s">
        <v>5604</v>
      </c>
    </row>
    <row r="23" spans="1:8" ht="128.4" customHeight="1">
      <c r="A23" s="150" t="s">
        <v>374</v>
      </c>
      <c r="B23" s="150" t="s">
        <v>5605</v>
      </c>
      <c r="C23" s="150" t="s">
        <v>5606</v>
      </c>
      <c r="D23" s="150" t="s">
        <v>5607</v>
      </c>
      <c r="E23" s="150" t="s">
        <v>5608</v>
      </c>
      <c r="F23" s="150" t="s">
        <v>5609</v>
      </c>
      <c r="G23" s="150" t="s">
        <v>5610</v>
      </c>
      <c r="H23" s="150" t="s">
        <v>5611</v>
      </c>
    </row>
    <row r="24" spans="1:8" ht="101.4" customHeight="1">
      <c r="A24" s="150" t="s">
        <v>376</v>
      </c>
      <c r="B24" s="150" t="s">
        <v>5612</v>
      </c>
      <c r="C24" s="150" t="s">
        <v>5612</v>
      </c>
      <c r="D24" s="150" t="s">
        <v>5612</v>
      </c>
      <c r="E24" s="150" t="s">
        <v>5612</v>
      </c>
      <c r="F24" s="150" t="s">
        <v>5613</v>
      </c>
      <c r="G24" s="150" t="s">
        <v>5614</v>
      </c>
      <c r="H24" s="150" t="s">
        <v>5615</v>
      </c>
    </row>
    <row r="25" spans="1:8" ht="128.4" customHeight="1">
      <c r="A25" s="150" t="s">
        <v>379</v>
      </c>
      <c r="B25" s="150" t="s">
        <v>5612</v>
      </c>
      <c r="C25" s="150" t="s">
        <v>5612</v>
      </c>
      <c r="D25" s="150" t="s">
        <v>5612</v>
      </c>
      <c r="E25" s="150" t="s">
        <v>5612</v>
      </c>
      <c r="F25" s="150" t="s">
        <v>5613</v>
      </c>
      <c r="G25" s="150" t="s">
        <v>5616</v>
      </c>
      <c r="H25" s="150" t="s">
        <v>5617</v>
      </c>
    </row>
    <row r="26" spans="1:8" ht="121.65" customHeight="1">
      <c r="A26" s="150" t="s">
        <v>381</v>
      </c>
      <c r="B26" s="150" t="s">
        <v>5618</v>
      </c>
      <c r="C26" s="150" t="s">
        <v>5619</v>
      </c>
      <c r="D26" s="150" t="s">
        <v>5620</v>
      </c>
      <c r="E26" s="150" t="s">
        <v>5621</v>
      </c>
      <c r="F26" s="150" t="s">
        <v>5622</v>
      </c>
      <c r="G26" s="150" t="s">
        <v>5623</v>
      </c>
      <c r="H26" s="150" t="s">
        <v>5624</v>
      </c>
    </row>
    <row r="27" spans="1:8" ht="108.15" customHeight="1">
      <c r="A27" s="150" t="s">
        <v>384</v>
      </c>
      <c r="B27" s="150" t="s">
        <v>5625</v>
      </c>
      <c r="C27" s="150" t="s">
        <v>5626</v>
      </c>
      <c r="D27" s="150" t="s">
        <v>5627</v>
      </c>
      <c r="E27" s="150" t="s">
        <v>5628</v>
      </c>
      <c r="F27" s="150" t="s">
        <v>5629</v>
      </c>
      <c r="G27" s="150" t="s">
        <v>5630</v>
      </c>
      <c r="H27" s="150" t="s">
        <v>5631</v>
      </c>
    </row>
    <row r="28" spans="1:8" ht="128.4" customHeight="1">
      <c r="A28" s="150" t="s">
        <v>388</v>
      </c>
      <c r="B28" s="150" t="s">
        <v>5632</v>
      </c>
      <c r="C28" s="150" t="s">
        <v>5633</v>
      </c>
      <c r="D28" s="150" t="s">
        <v>5634</v>
      </c>
      <c r="E28" s="150" t="s">
        <v>5635</v>
      </c>
      <c r="F28" s="150" t="s">
        <v>5636</v>
      </c>
      <c r="G28" s="150" t="s">
        <v>5637</v>
      </c>
      <c r="H28" s="150" t="s">
        <v>5638</v>
      </c>
    </row>
    <row r="29" spans="1:8" ht="121.65" customHeight="1">
      <c r="A29" s="150" t="s">
        <v>3884</v>
      </c>
      <c r="B29" s="150" t="s">
        <v>5639</v>
      </c>
      <c r="C29" s="150" t="s">
        <v>5640</v>
      </c>
      <c r="D29" s="150" t="s">
        <v>5641</v>
      </c>
      <c r="E29" s="150" t="s">
        <v>5642</v>
      </c>
      <c r="F29" s="150" t="s">
        <v>5643</v>
      </c>
      <c r="G29" s="150" t="s">
        <v>5644</v>
      </c>
      <c r="H29" s="150" t="s">
        <v>5645</v>
      </c>
    </row>
    <row r="30" spans="1:8" ht="135.15" customHeight="1">
      <c r="A30" s="150" t="s">
        <v>68</v>
      </c>
      <c r="B30" s="150" t="s">
        <v>5646</v>
      </c>
      <c r="C30" s="150" t="s">
        <v>5647</v>
      </c>
      <c r="D30" s="150" t="s">
        <v>5648</v>
      </c>
      <c r="E30" s="150" t="s">
        <v>5649</v>
      </c>
      <c r="F30" s="150" t="s">
        <v>5650</v>
      </c>
      <c r="G30" s="150" t="s">
        <v>5651</v>
      </c>
      <c r="H30" s="150" t="s">
        <v>5652</v>
      </c>
    </row>
    <row r="31" spans="1:8" ht="128.4" customHeight="1">
      <c r="A31" s="150" t="s">
        <v>5305</v>
      </c>
      <c r="B31" s="150" t="s">
        <v>5653</v>
      </c>
      <c r="C31" s="150" t="s">
        <v>5654</v>
      </c>
      <c r="D31" s="150" t="s">
        <v>5655</v>
      </c>
      <c r="E31" s="150" t="s">
        <v>5656</v>
      </c>
      <c r="F31" s="150" t="s">
        <v>5613</v>
      </c>
      <c r="G31" s="150" t="s">
        <v>5657</v>
      </c>
      <c r="H31" s="150" t="s">
        <v>5658</v>
      </c>
    </row>
    <row r="32" spans="1:8" ht="26.4">
      <c r="A32" s="150" t="s">
        <v>394</v>
      </c>
      <c r="B32" s="150" t="s">
        <v>5653</v>
      </c>
      <c r="C32" s="150" t="s">
        <v>5654</v>
      </c>
      <c r="D32" s="150" t="s">
        <v>5655</v>
      </c>
      <c r="E32" s="150" t="s">
        <v>5656</v>
      </c>
      <c r="F32" s="150" t="s">
        <v>5613</v>
      </c>
      <c r="G32" s="150" t="s">
        <v>5657</v>
      </c>
      <c r="H32" s="150" t="s">
        <v>5658</v>
      </c>
    </row>
    <row r="33" spans="1:8" ht="262.2" customHeight="1">
      <c r="A33" s="150" t="s">
        <v>70</v>
      </c>
      <c r="B33" s="150" t="s">
        <v>5659</v>
      </c>
      <c r="C33" s="150" t="s">
        <v>5654</v>
      </c>
      <c r="D33" s="150" t="s">
        <v>5660</v>
      </c>
      <c r="E33" s="150" t="s">
        <v>5661</v>
      </c>
      <c r="F33" s="150" t="s">
        <v>5662</v>
      </c>
      <c r="G33" s="150" t="s">
        <v>5663</v>
      </c>
      <c r="H33" s="150" t="s">
        <v>5664</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9DE97-E109-4120-828D-4E6BE3F390B7}">
  <dimension ref="A1:K35"/>
  <sheetViews>
    <sheetView workbookViewId="0"/>
  </sheetViews>
  <sheetFormatPr defaultRowHeight="13.2"/>
  <cols>
    <col min="1" max="1" width="12" customWidth="1"/>
    <col min="2" max="2" width="14" customWidth="1"/>
    <col min="3" max="3" width="24" customWidth="1"/>
    <col min="4" max="10" width="38" customWidth="1"/>
    <col min="11" max="11" width="42" customWidth="1"/>
  </cols>
  <sheetData>
    <row r="1" spans="1:11">
      <c r="A1" s="176" t="s">
        <v>5300</v>
      </c>
      <c r="B1" s="176" t="s">
        <v>5302</v>
      </c>
      <c r="C1" s="176" t="s">
        <v>5301</v>
      </c>
      <c r="D1" s="176" t="s">
        <v>5455</v>
      </c>
      <c r="E1" s="176" t="s">
        <v>3348</v>
      </c>
      <c r="F1" s="176" t="s">
        <v>3349</v>
      </c>
      <c r="G1" s="176" t="s">
        <v>5456</v>
      </c>
      <c r="H1" s="176" t="s">
        <v>5457</v>
      </c>
      <c r="I1" s="176" t="s">
        <v>4526</v>
      </c>
      <c r="J1" s="176" t="s">
        <v>199</v>
      </c>
      <c r="K1" s="176" t="s">
        <v>870</v>
      </c>
    </row>
    <row r="2" spans="1:11" ht="262.2" customHeight="1">
      <c r="A2" s="178" t="str">
        <f>_Command_Source!A2</f>
        <v>01</v>
      </c>
      <c r="B2" s="178" t="str">
        <f>_Command_Source!C2</f>
        <v>B01</v>
      </c>
      <c r="C2" s="178" t="str">
        <f>_Command_Source!B2</f>
        <v>B01_Assessment</v>
      </c>
      <c r="D2" s="177" t="s">
        <v>5458</v>
      </c>
      <c r="E2" s="177" t="s">
        <v>5459</v>
      </c>
      <c r="F2" s="177" t="s">
        <v>5460</v>
      </c>
      <c r="G2" s="177" t="s">
        <v>5461</v>
      </c>
      <c r="H2" s="177" t="s">
        <v>5462</v>
      </c>
      <c r="I2" s="177" t="s">
        <v>5463</v>
      </c>
      <c r="J2" s="177" t="s">
        <v>5464</v>
      </c>
      <c r="K2" s="177" t="str">
        <f>IF($A2="","",IFERROR(INDEX(PMIS_Data!$R:$R,MATCH($A2,PMIS_Data!$A:$A,0)),IFERROR(INDEX(PMIS_Data!$R:$R,MATCH($B2,PMIS_Data!$A:$A,0)),"")))</f>
        <v>Building 01 is a full-scope telecom room building with new First-Level Telecom Room 107 and existing telecom transition rooms B02, 138, and 282. Scope includes architectural, hazardous, fire protection, mechanical, electrical, telecom, security, rack elevations, schedules, and photo references. Major open items include active service transfer from existing rooms, IU-1-01/CU-1-01 cooling, B01-TR107A/B normal/emergency power, UPS/PDU rack power, PACS/CCTV, 394 ft cable tray, firestopping, fiber Path A/B, and room/equipment cutover planning.</v>
      </c>
    </row>
    <row r="3" spans="1:11" ht="262.2" customHeight="1">
      <c r="A3" s="178" t="str">
        <f>_Command_Source!A3</f>
        <v>02</v>
      </c>
      <c r="B3" s="178" t="str">
        <f>_Command_Source!C3</f>
        <v>B02</v>
      </c>
      <c r="C3" s="178" t="str">
        <f>_Command_Source!B3</f>
        <v>B02_Assessment</v>
      </c>
      <c r="D3" s="177" t="s">
        <v>5465</v>
      </c>
      <c r="E3" s="177" t="s">
        <v>5466</v>
      </c>
      <c r="F3" s="177" t="s">
        <v>5467</v>
      </c>
      <c r="G3" s="177" t="s">
        <v>5468</v>
      </c>
      <c r="H3" s="177" t="s">
        <v>5469</v>
      </c>
      <c r="I3" s="177" t="s">
        <v>5470</v>
      </c>
      <c r="J3" s="177" t="s">
        <v>5471</v>
      </c>
      <c r="K3" s="177" t="str">
        <f>IF($A3="","",IFERROR(INDEX(PMIS_Data!$R:$R,MATCH($A3,PMIS_Data!$A:$A,0)),IFERROR(INDEX(PMIS_Data!$R:$R,MATCH($B3,PMIS_Data!$A:$A,0)),"")))</f>
        <v>Building 02 is a large full-scope telecom room building with new Telecom Rooms 141, 236, and 342, plus existing telecom transition rooms B-06, 141, and 236. Scope includes architectural, infection control, fire protection, mechanical, electrical, telecommunications, rack elevations, schedules, PACS/CCTV, and photo references. Major open items include active service transfer, multiple panel sets B02-TR141/236/342 A/B, dedicated cooling CU-1/2/3-01, firestopping, PACS/CCTV integration, 2,560 ft cable tray, and high WAO/cable quantity acceptance.</v>
      </c>
    </row>
    <row r="4" spans="1:11" ht="262.2" customHeight="1">
      <c r="A4" s="178" t="str">
        <f>_Command_Source!A4</f>
        <v>03</v>
      </c>
      <c r="B4" s="178" t="str">
        <f>_Command_Source!C4</f>
        <v>B03</v>
      </c>
      <c r="C4" s="178" t="str">
        <f>_Command_Source!B4</f>
        <v>B03_Assessment</v>
      </c>
      <c r="D4" s="177" t="s">
        <v>5472</v>
      </c>
      <c r="E4" s="177" t="s">
        <v>5473</v>
      </c>
      <c r="F4" s="177" t="s">
        <v>5474</v>
      </c>
      <c r="G4" s="177" t="s">
        <v>5475</v>
      </c>
      <c r="H4" s="177" t="s">
        <v>5476</v>
      </c>
      <c r="I4" s="177" t="s">
        <v>5477</v>
      </c>
      <c r="J4" s="177" t="s">
        <v>5478</v>
      </c>
      <c r="K4" s="177" t="str">
        <f>IF($A4="","",IFERROR(INDEX(PMIS_Data!$R:$R,MATCH($A4,PMIS_Data!$A:$A,0)),IFERROR(INDEX(PMIS_Data!$R:$R,MATCH($B4,PMIS_Data!$A:$A,0)),"")))</f>
        <v>Building 03 is a full-scope telecom room building centered on new/renovated Telecom Room 101E, with existing Basement Telecom Room 107 and existing first-floor DMARC/telecom Room 101C as transition points. Scope includes architectural, infection control, fire protection, mechanical, electrical, telecommunications, rack elevations, Room 107 inventory, PACS/CCTV, 961 ft cable tray, and 206 total ports with allowance. Major open items include transfer from existing 107/101C, active DMARC/fiber protection, B03-TR101CA/B panel sources, CU-01 cooling, firestopping, camera 101C-CAM-01, and OIT acceptance.</v>
      </c>
    </row>
    <row r="5" spans="1:11" ht="262.2" customHeight="1">
      <c r="A5" s="178" t="str">
        <f>_Command_Source!A5</f>
        <v>04</v>
      </c>
      <c r="B5" s="178" t="str">
        <f>_Command_Source!C5</f>
        <v>B04</v>
      </c>
      <c r="C5" s="178" t="str">
        <f>_Command_Source!B5</f>
        <v>B04_Assessment</v>
      </c>
      <c r="D5" s="177" t="s">
        <v>5479</v>
      </c>
      <c r="E5" s="177" t="s">
        <v>5480</v>
      </c>
      <c r="F5" s="177" t="s">
        <v>5481</v>
      </c>
      <c r="G5" s="177" t="s">
        <v>5482</v>
      </c>
      <c r="H5" s="177" t="s">
        <v>5483</v>
      </c>
      <c r="I5" s="177" t="s">
        <v>5484</v>
      </c>
      <c r="J5" s="177" t="s">
        <v>5485</v>
      </c>
      <c r="K5" s="177" t="str">
        <f>IF($A5="","",IFERROR(INDEX(PMIS_Data!$R:$R,MATCH($A5,PMIS_Data!$A:$A,0)),IFERROR(INDEX(PMIS_Data!$R:$R,MATCH($B5,PMIS_Data!$A:$A,0)),"")))</f>
        <v>B04 has multiple TRs across basement/first/second levels; field verification, abatement coordination, cooling power, firestopping, and cutover phasing remain open.</v>
      </c>
    </row>
    <row r="6" spans="1:11" ht="262.2" customHeight="1">
      <c r="A6" s="178" t="str">
        <f>_Command_Source!A6</f>
        <v>05</v>
      </c>
      <c r="B6" s="178" t="str">
        <f>_Command_Source!C6</f>
        <v>B05</v>
      </c>
      <c r="C6" s="178" t="str">
        <f>_Command_Source!B6</f>
        <v>B05_Assessment</v>
      </c>
      <c r="D6" s="177" t="s">
        <v>5486</v>
      </c>
      <c r="E6" s="177" t="s">
        <v>5487</v>
      </c>
      <c r="F6" s="177" t="s">
        <v>5488</v>
      </c>
      <c r="G6" s="177" t="s">
        <v>5489</v>
      </c>
      <c r="H6" s="177" t="s">
        <v>5490</v>
      </c>
      <c r="I6" s="177" t="s">
        <v>5491</v>
      </c>
      <c r="J6" s="177" t="s">
        <v>5492</v>
      </c>
      <c r="K6" s="177" t="str">
        <f>IF($A6="","",IFERROR(INDEX(PMIS_Data!$R:$R,MATCH($A6,PMIS_Data!$A:$A,0)),IFERROR(INDEX(PMIS_Data!$R:$R,MATCH($B6,PMIS_Data!$A:$A,0)),"")))</f>
        <v>Building 05 receives a Telecom Enclosure only; mechanical and fire protection scope is excluded, so TE power, telecom cutover, existing room conditions, and fire/life-safety interfaces must be verified.</v>
      </c>
    </row>
    <row r="7" spans="1:11" ht="262.2" customHeight="1">
      <c r="A7" s="178" t="str">
        <f>_Command_Source!A7</f>
        <v>06</v>
      </c>
      <c r="B7" s="178" t="str">
        <f>_Command_Source!C7</f>
        <v>B06</v>
      </c>
      <c r="C7" s="178" t="str">
        <f>_Command_Source!B7</f>
        <v>B06_Assessment</v>
      </c>
      <c r="D7" s="177" t="s">
        <v>5493</v>
      </c>
      <c r="E7" s="177" t="s">
        <v>5494</v>
      </c>
      <c r="F7" s="177" t="s">
        <v>5495</v>
      </c>
      <c r="G7" s="177" t="s">
        <v>5496</v>
      </c>
      <c r="H7" s="177" t="s">
        <v>5497</v>
      </c>
      <c r="I7" s="177" t="s">
        <v>5498</v>
      </c>
      <c r="J7" s="177" t="s">
        <v>5499</v>
      </c>
      <c r="K7" s="177" t="str">
        <f>IF($A7="","",IFERROR(INDEX(PMIS_Data!$R:$R,MATCH($A7,PMIS_Data!$A:$A,0)),IFERROR(INDEX(PMIS_Data!$R:$R,MATCH($B7,PMIS_Data!$A:$A,0)),"")))</f>
        <v>Building 06 has active existing telecom equipment plus new TR work in Rooms 178 and 233; field verification, cutover phasing, cooling, firestopping, and emergency power remain open.</v>
      </c>
    </row>
    <row r="8" spans="1:11" ht="262.2" customHeight="1">
      <c r="A8" s="178" t="str">
        <f>_Command_Source!A8</f>
        <v>07</v>
      </c>
      <c r="B8" s="178" t="str">
        <f>_Command_Source!C8</f>
        <v>B07</v>
      </c>
      <c r="C8" s="178" t="str">
        <f>_Command_Source!B8</f>
        <v>B07_Assessment</v>
      </c>
      <c r="D8" s="177" t="s">
        <v>5500</v>
      </c>
      <c r="E8" s="177" t="s">
        <v>5501</v>
      </c>
      <c r="F8" s="177" t="s">
        <v>5502</v>
      </c>
      <c r="G8" s="177" t="s">
        <v>5503</v>
      </c>
      <c r="H8" s="177" t="s">
        <v>5504</v>
      </c>
      <c r="I8" s="177" t="s">
        <v>5505</v>
      </c>
      <c r="J8" s="177" t="s">
        <v>5506</v>
      </c>
      <c r="K8" s="177" t="str">
        <f>IF($A8="","",IFERROR(INDEX(PMIS_Data!$R:$R,MATCH($A8,PMIS_Data!$A:$A,0)),IFERROR(INDEX(PMIS_Data!$R:$R,MATCH($B8,PMIS_Data!$A:$A,0)),"")))</f>
        <v>Building 07 includes basement TR B-18 and second-level TR 228A; field verification, active-service cutover, cooling, firestopping, rated construction, and power source confirmation remain open.</v>
      </c>
    </row>
    <row r="9" spans="1:11" ht="262.2" customHeight="1">
      <c r="A9" s="178" t="str">
        <f>_Command_Source!A9</f>
        <v>08</v>
      </c>
      <c r="B9" s="178" t="str">
        <f>_Command_Source!C9</f>
        <v>B08</v>
      </c>
      <c r="C9" s="178" t="str">
        <f>_Command_Source!B9</f>
        <v>B08_Assessment</v>
      </c>
      <c r="D9" s="177" t="s">
        <v>5507</v>
      </c>
      <c r="E9" s="177" t="s">
        <v>5508</v>
      </c>
      <c r="F9" s="177" t="s">
        <v>5509</v>
      </c>
      <c r="G9" s="177" t="s">
        <v>5510</v>
      </c>
      <c r="H9" s="177" t="s">
        <v>5511</v>
      </c>
      <c r="I9" s="177" t="s">
        <v>5512</v>
      </c>
      <c r="J9" s="177" t="s">
        <v>5513</v>
      </c>
      <c r="K9" s="177" t="str">
        <f>IF($A9="","",IFERROR(INDEX(PMIS_Data!$R:$R,MATCH($A9,PMIS_Data!$A:$A,0)),IFERROR(INDEX(PMIS_Data!$R:$R,MATCH($B9,PMIS_Data!$A:$A,0)),"")))</f>
        <v>Building 08 includes existing basement telecom equipment at B-15, basement TE/cabling scope at B12B, and new second-level TR 2065A; field verification, abatement, rated construction, cooling/power, firestopping, and cutover phasing remain open.</v>
      </c>
    </row>
    <row r="10" spans="1:11" ht="262.2" customHeight="1">
      <c r="A10" s="178" t="str">
        <f>_Command_Source!A10</f>
        <v>09</v>
      </c>
      <c r="B10" s="178" t="str">
        <f>_Command_Source!C10</f>
        <v>B09</v>
      </c>
      <c r="C10" s="178" t="str">
        <f>_Command_Source!B10</f>
        <v>B09_Assessment</v>
      </c>
      <c r="D10" s="177" t="s">
        <v>5514</v>
      </c>
      <c r="E10" s="177" t="s">
        <v>5515</v>
      </c>
      <c r="F10" s="177" t="s">
        <v>5516</v>
      </c>
      <c r="G10" s="177" t="s">
        <v>5517</v>
      </c>
      <c r="H10" s="177" t="s">
        <v>5518</v>
      </c>
      <c r="I10" s="177" t="s">
        <v>5519</v>
      </c>
      <c r="J10" s="177" t="s">
        <v>5520</v>
      </c>
      <c r="K10" s="177" t="str">
        <f>IF($A10="","",IFERROR(INDEX(PMIS_Data!$R:$R,MATCH($A10,PMIS_Data!$A:$A,0)),IFERROR(INDEX(PMIS_Data!$R:$R,MATCH($B10,PMIS_Data!$A:$A,0)),"")))</f>
        <v>Building 09 includes three telecom spaces across basement, first, and second levels; field verification, hazardous material coordination, active service cutover, cooling, power/panel source, firestopping, and rated wall/door work remain open.</v>
      </c>
    </row>
    <row r="11" spans="1:11" ht="262.2" customHeight="1">
      <c r="A11" s="178" t="str">
        <f>_Command_Source!A11</f>
        <v>10</v>
      </c>
      <c r="B11" s="178" t="str">
        <f>_Command_Source!C11</f>
        <v>B10</v>
      </c>
      <c r="C11" s="178" t="str">
        <f>_Command_Source!B11</f>
        <v>B10_Assessment</v>
      </c>
      <c r="D11" s="177" t="s">
        <v>5521</v>
      </c>
      <c r="E11" s="177" t="s">
        <v>5522</v>
      </c>
      <c r="F11" s="177" t="s">
        <v>5523</v>
      </c>
      <c r="G11" s="177" t="s">
        <v>5524</v>
      </c>
      <c r="H11" s="177" t="s">
        <v>5525</v>
      </c>
      <c r="I11" s="177" t="s">
        <v>5526</v>
      </c>
      <c r="J11" s="177" t="s">
        <v>5527</v>
      </c>
      <c r="K11" s="177" t="str">
        <f>IF($A11="","",IFERROR(INDEX(PMIS_Data!$R:$R,MATCH($A11,PMIS_Data!$A:$A,0)),IFERROR(INDEX(PMIS_Data!$R:$R,MATCH($B11,PMIS_Data!$A:$A,0)),"")))</f>
        <v>Building 10 scope centers on attic Telecom Room 200A with related basement electrical source rooms B24/B25, attic hazardous material abatement, dedicated cooling, new telecom panels, rack/UPS/PDU equipment, firestopping, and cutover coordination.</v>
      </c>
    </row>
    <row r="12" spans="1:11" ht="262.2" customHeight="1">
      <c r="A12" s="178" t="str">
        <f>_Command_Source!A12</f>
        <v>12</v>
      </c>
      <c r="B12" s="178" t="str">
        <f>_Command_Source!C12</f>
        <v>B12</v>
      </c>
      <c r="C12" s="178" t="str">
        <f>_Command_Source!B12</f>
        <v>B12_Assessment</v>
      </c>
      <c r="D12" s="177" t="s">
        <v>5528</v>
      </c>
      <c r="E12" s="177" t="s">
        <v>5529</v>
      </c>
      <c r="F12" s="177" t="s">
        <v>5530</v>
      </c>
      <c r="G12" s="177" t="s">
        <v>5531</v>
      </c>
      <c r="H12" s="177" t="s">
        <v>5532</v>
      </c>
      <c r="I12" s="177" t="s">
        <v>5533</v>
      </c>
      <c r="J12" s="177" t="s">
        <v>5534</v>
      </c>
      <c r="K12" s="177" t="str">
        <f>IF($A12="","",IFERROR(INDEX(PMIS_Data!$R:$R,MATCH($A12,PMIS_Data!$A:$A,0)),IFERROR(INDEX(PMIS_Data!$R:$R,MATCH($B12,PMIS_Data!$A:$A,0)),"")))</f>
        <v>Building 12 is explicitly identified as fiber-only with no new TR buildout, no new rack, and no electrical/HVAC/fire protection drawing packages; key owner risk is confirming pull-through fiber path, existing service continuity, pathway/firestopping, and VA/OIT acceptance before cutover.</v>
      </c>
    </row>
    <row r="13" spans="1:11" ht="262.2" customHeight="1">
      <c r="A13" s="178" t="str">
        <f>_Command_Source!A13</f>
        <v>13</v>
      </c>
      <c r="B13" s="178" t="str">
        <f>_Command_Source!C13</f>
        <v>B13</v>
      </c>
      <c r="C13" s="178" t="str">
        <f>_Command_Source!B13</f>
        <v>B13_Assessment</v>
      </c>
      <c r="D13" s="177" t="s">
        <v>5535</v>
      </c>
      <c r="E13" s="177" t="s">
        <v>5536</v>
      </c>
      <c r="F13" s="177" t="s">
        <v>5537</v>
      </c>
      <c r="G13" s="177" t="s">
        <v>5538</v>
      </c>
      <c r="H13" s="177" t="s">
        <v>5539</v>
      </c>
      <c r="I13" s="177" t="s">
        <v>5540</v>
      </c>
      <c r="J13" s="177" t="s">
        <v>5541</v>
      </c>
      <c r="K13" s="177" t="str">
        <f>IF($A13="","",IFERROR(INDEX(PMIS_Data!$R:$R,MATCH($A13,PMIS_Data!$A:$A,0)),IFERROR(INDEX(PMIS_Data!$R:$R,MATCH($B13,PMIS_Data!$A:$A,0)),"")))</f>
        <v>Building 13 includes new first-level Telecom Room 124 and existing second-level Tel Room 222; field verification, active service cutover, 240V UPS/PDU power, dedicated cooling, first-level hazardous material coordination, firestopping, and PACS/CCTV integration remain open.</v>
      </c>
    </row>
    <row r="14" spans="1:11" ht="262.2" customHeight="1">
      <c r="A14" s="178" t="str">
        <f>_Command_Source!A14</f>
        <v>14</v>
      </c>
      <c r="B14" s="178" t="str">
        <f>_Command_Source!C14</f>
        <v>B14</v>
      </c>
      <c r="C14" s="178" t="str">
        <f>_Command_Source!B14</f>
        <v>B14_Assessment</v>
      </c>
      <c r="D14" s="177" t="s">
        <v>5542</v>
      </c>
      <c r="E14" s="177" t="s">
        <v>5543</v>
      </c>
      <c r="F14" s="177" t="s">
        <v>5544</v>
      </c>
      <c r="G14" s="177" t="s">
        <v>5545</v>
      </c>
      <c r="H14" s="177" t="s">
        <v>5546</v>
      </c>
      <c r="I14" s="177" t="s">
        <v>5547</v>
      </c>
      <c r="J14" s="177" t="s">
        <v>5548</v>
      </c>
      <c r="K14" s="177" t="str">
        <f>IF($A14="","",IFERROR(INDEX(PMIS_Data!$R:$R,MATCH($A14,PMIS_Data!$A:$A,0)),IFERROR(INDEX(PMIS_Data!$R:$R,MATCH($B14,PMIS_Data!$A:$A,0)),"")))</f>
        <v>Building 14 includes new first-level Telecom Room 119 and existing basement telecom rooms B.01/B2; field verification, active service cutover, 240V UPS/PDU power, dedicated cooling, first-level hazardous material coordination, firestopping, and PACS/CCTV integration remain open.</v>
      </c>
    </row>
    <row r="15" spans="1:11" ht="262.2" customHeight="1">
      <c r="A15" s="178" t="str">
        <f>_Command_Source!A15</f>
        <v>15</v>
      </c>
      <c r="B15" s="178" t="str">
        <f>_Command_Source!C15</f>
        <v>B15</v>
      </c>
      <c r="C15" s="178" t="str">
        <f>_Command_Source!B15</f>
        <v>B15_Assessment</v>
      </c>
      <c r="D15" s="177" t="s">
        <v>5549</v>
      </c>
      <c r="E15" s="177" t="s">
        <v>5550</v>
      </c>
      <c r="F15" s="177" t="s">
        <v>5551</v>
      </c>
      <c r="G15" s="177" t="s">
        <v>5552</v>
      </c>
      <c r="H15" s="177" t="s">
        <v>5553</v>
      </c>
      <c r="I15" s="177" t="s">
        <v>5554</v>
      </c>
      <c r="J15" s="177" t="s">
        <v>5555</v>
      </c>
      <c r="K15" s="177" t="str">
        <f>IF($A15="","",IFERROR(INDEX(PMIS_Data!$R:$R,MATCH($A15,PMIS_Data!$A:$A,0)),IFERROR(INDEX(PMIS_Data!$R:$R,MATCH($B15,PMIS_Data!$A:$A,0)),"")))</f>
        <v>Building 15 includes new first-level Telecom Room 124A and existing telecom transition points at second-level Tel Room 222 and basement B01; field verification, active service cutover, 240V UPS/PDU power, dedicated heat-pump cooling, first-level hazardous material coordination, firestopping, and PACS/CCTV integration remain open.</v>
      </c>
    </row>
    <row r="16" spans="1:11" ht="262.2" customHeight="1">
      <c r="A16" s="178" t="str">
        <f>_Command_Source!A16</f>
        <v>16</v>
      </c>
      <c r="B16" s="178" t="str">
        <f>_Command_Source!C16</f>
        <v>B16</v>
      </c>
      <c r="C16" s="178" t="str">
        <f>_Command_Source!B16</f>
        <v>B16_Assessment</v>
      </c>
      <c r="D16" s="177" t="s">
        <v>5556</v>
      </c>
      <c r="E16" s="177" t="s">
        <v>5557</v>
      </c>
      <c r="F16" s="177" t="s">
        <v>5558</v>
      </c>
      <c r="G16" s="177" t="s">
        <v>5559</v>
      </c>
      <c r="H16" s="177" t="s">
        <v>5560</v>
      </c>
      <c r="I16" s="177" t="s">
        <v>5561</v>
      </c>
      <c r="J16" s="177" t="s">
        <v>5562</v>
      </c>
      <c r="K16" s="177" t="str">
        <f>IF($A16="","",IFERROR(INDEX(PMIS_Data!$R:$R,MATCH($A16,PMIS_Data!$A:$A,0)),IFERROR(INDEX(PMIS_Data!$R:$R,MATCH($B16,PMIS_Data!$A:$A,0)),"")))</f>
        <v>Building 16 includes new basement Telecom Room 015 and existing basement Telecom Room 014; field verification, active service transfer, 240V UPS/PDU power, dedicated cooling, panel replacement/source coordination, firestopping, PACS/CCTV integration, and cable tray coordination remain open.</v>
      </c>
    </row>
    <row r="17" spans="1:11" ht="262.2" customHeight="1">
      <c r="A17" s="178" t="str">
        <f>_Command_Source!A17</f>
        <v>17</v>
      </c>
      <c r="B17" s="178" t="str">
        <f>_Command_Source!C17</f>
        <v>B17</v>
      </c>
      <c r="C17" s="178" t="str">
        <f>_Command_Source!B17</f>
        <v>B17_Assessment</v>
      </c>
      <c r="D17" s="177" t="s">
        <v>5563</v>
      </c>
      <c r="E17" s="177" t="s">
        <v>5564</v>
      </c>
      <c r="F17" s="177" t="s">
        <v>5565</v>
      </c>
      <c r="G17" s="177" t="s">
        <v>5566</v>
      </c>
      <c r="H17" s="177" t="s">
        <v>5567</v>
      </c>
      <c r="I17" s="177" t="s">
        <v>5568</v>
      </c>
      <c r="J17" s="177" t="s">
        <v>5569</v>
      </c>
      <c r="K17" s="177" t="str">
        <f>IF($A17="","",IFERROR(INDEX(PMIS_Data!$R:$R,MATCH($A17,PMIS_Data!$A:$A,0)),IFERROR(INDEX(PMIS_Data!$R:$R,MATCH($B17,PMIS_Data!$A:$A,0)),"")))</f>
        <v>Building 17_29 includes new first-level Telecom Room 118 serving Building 17 and Building 29, plus existing basement Telecom Closet B35A; field verification, active-service transfer, 208V UPS/PDU power, dedicated cooling, first-level hazardous material coordination, cable tray, firestopping, and PACS/CCTV integration remain open.</v>
      </c>
    </row>
    <row r="18" spans="1:11" ht="262.2" customHeight="1">
      <c r="A18" s="178" t="str">
        <f>_Command_Source!A18</f>
        <v>18</v>
      </c>
      <c r="B18" s="178" t="str">
        <f>_Command_Source!C18</f>
        <v>B18</v>
      </c>
      <c r="C18" s="178" t="str">
        <f>_Command_Source!B18</f>
        <v>B18_Assessment</v>
      </c>
      <c r="D18" s="177" t="s">
        <v>5570</v>
      </c>
      <c r="E18" s="177" t="s">
        <v>5571</v>
      </c>
      <c r="F18" s="177" t="s">
        <v>5572</v>
      </c>
      <c r="G18" s="177" t="s">
        <v>5573</v>
      </c>
      <c r="H18" s="177" t="s">
        <v>5574</v>
      </c>
      <c r="I18" s="177" t="s">
        <v>5575</v>
      </c>
      <c r="J18" s="177" t="s">
        <v>5576</v>
      </c>
      <c r="K18" s="177" t="str">
        <f>IF($A18="","",IFERROR(INDEX(PMIS_Data!$R:$R,MATCH($A18,PMIS_Data!$A:$A,0)),IFERROR(INDEX(PMIS_Data!$R:$R,MATCH($B18,PMIS_Data!$A:$A,0)),"")))</f>
        <v>Building 18 includes new first-level Telecom Room 110 and existing telecom transition rooms 111B and 213; field verification, active-service transfer, 208V UPS/PDU power, dedicated cooling, lead-paint/first-level hazardous material coordination, firestopping, cable tray, and PACS/CCTV integration remain open.</v>
      </c>
    </row>
    <row r="19" spans="1:11" ht="262.2" customHeight="1">
      <c r="A19" s="178" t="str">
        <f>_Command_Source!A19</f>
        <v>20</v>
      </c>
      <c r="B19" s="178" t="str">
        <f>_Command_Source!C19</f>
        <v>B20</v>
      </c>
      <c r="C19" s="178" t="str">
        <f>_Command_Source!B19</f>
        <v>B20_Assessment</v>
      </c>
      <c r="D19" s="177" t="s">
        <v>5577</v>
      </c>
      <c r="E19" s="177" t="s">
        <v>5578</v>
      </c>
      <c r="F19" s="177" t="s">
        <v>5579</v>
      </c>
      <c r="G19" s="177" t="s">
        <v>5580</v>
      </c>
      <c r="H19" s="177" t="s">
        <v>5581</v>
      </c>
      <c r="I19" s="177" t="s">
        <v>5582</v>
      </c>
      <c r="J19" s="177" t="s">
        <v>5583</v>
      </c>
      <c r="K19" s="177" t="str">
        <f>IF($A19="","",IFERROR(INDEX(PMIS_Data!$R:$R,MATCH($A19,PMIS_Data!$A:$A,0)),IFERROR(INDEX(PMIS_Data!$R:$R,MATCH($B19,PMIS_Data!$A:$A,0)),"")))</f>
        <v>Building 20 is a telecom-enclosure building, not a full TR buildout. Scope centers on new first-level Office 1B wall-mount TE enclosure and existing Tel/Data Closet 8A; mechanical and fire protection scope are excluded by the cover sheet, but field verification, active equipment transfer, fiber/copper cutover, cable tray, firestopping, power/UPS/PDU, and existing equipment protection remain open.</v>
      </c>
    </row>
    <row r="20" spans="1:11" ht="262.2" customHeight="1">
      <c r="A20" s="178" t="str">
        <f>_Command_Source!A20</f>
        <v>21</v>
      </c>
      <c r="B20" s="178" t="str">
        <f>_Command_Source!C20</f>
        <v>B21</v>
      </c>
      <c r="C20" s="178" t="str">
        <f>_Command_Source!B20</f>
        <v>B21_Assessment</v>
      </c>
      <c r="D20" s="177" t="s">
        <v>5584</v>
      </c>
      <c r="E20" s="177" t="s">
        <v>5585</v>
      </c>
      <c r="F20" s="177" t="s">
        <v>5586</v>
      </c>
      <c r="G20" s="177" t="s">
        <v>5587</v>
      </c>
      <c r="H20" s="177" t="s">
        <v>5588</v>
      </c>
      <c r="I20" s="177" t="s">
        <v>5589</v>
      </c>
      <c r="J20" s="177" t="s">
        <v>5590</v>
      </c>
      <c r="K20" s="177" t="str">
        <f>IF($A20="","",IFERROR(INDEX(PMIS_Data!$R:$R,MATCH($A20,PMIS_Data!$A:$A,0)),IFERROR(INDEX(PMIS_Data!$R:$R,MATCH($B20,PMIS_Data!$A:$A,0)),"")))</f>
        <v>Building 21 is combined with Building 19 and is primarily a telecom-enclosure scope. New first-level M&amp;O Foreman Office 100A / RM 104 schedule is served by a new 12RU TE enclosure, while existing Building 21 B1.TR and Building 19 B05TR equipment remain transition points. Fire protection scope is excluded, but mechanical/electrical sheets exist for equipment support. Field verification, active-service transfer, 659 ft cable tray, firestopping, UPS/PDU power, fiber/copper cutover, and B19/B21 scope boundary remain open.</v>
      </c>
    </row>
    <row r="21" spans="1:11" ht="262.2" customHeight="1">
      <c r="A21" s="178" t="str">
        <f>_Command_Source!A21</f>
        <v>22</v>
      </c>
      <c r="B21" s="178" t="str">
        <f>_Command_Source!C21</f>
        <v>B22</v>
      </c>
      <c r="C21" s="178" t="str">
        <f>_Command_Source!B21</f>
        <v>B22_Assessment</v>
      </c>
      <c r="D21" s="177" t="s">
        <v>5591</v>
      </c>
      <c r="E21" s="177" t="s">
        <v>5592</v>
      </c>
      <c r="F21" s="177" t="s">
        <v>5593</v>
      </c>
      <c r="G21" s="177" t="s">
        <v>5594</v>
      </c>
      <c r="H21" s="177" t="s">
        <v>5595</v>
      </c>
      <c r="I21" s="177" t="s">
        <v>5596</v>
      </c>
      <c r="J21" s="177" t="s">
        <v>5597</v>
      </c>
      <c r="K21" s="177" t="str">
        <f>IF($A21="","",IFERROR(INDEX(PMIS_Data!$R:$R,MATCH($A21,PMIS_Data!$A:$A,0)),IFERROR(INDEX(PMIS_Data!$R:$R,MATCH($B21,PMIS_Data!$A:$A,0)),"")))</f>
        <v>Building 22 is a telecom-enclosure building with mechanical and fire protection scope excluded. Scope centers on new first-level Break Room 102 TE enclosure and existing first-level wall/wall-mount TE Room 103. Field verification, active service transfer, 139 ft cable tray, 10 Cat6A cross-connect cables, UPS/PDU power, firestopping, and B19 utility service relationship remain open.</v>
      </c>
    </row>
    <row r="22" spans="1:11" ht="262.2" customHeight="1">
      <c r="A22" s="178" t="str">
        <f>_Command_Source!A22</f>
        <v>33</v>
      </c>
      <c r="B22" s="178" t="str">
        <f>_Command_Source!C22</f>
        <v>B33</v>
      </c>
      <c r="C22" s="178" t="str">
        <f>_Command_Source!B22</f>
        <v>B33_Assessment</v>
      </c>
      <c r="D22" s="177" t="s">
        <v>5598</v>
      </c>
      <c r="E22" s="177" t="s">
        <v>5599</v>
      </c>
      <c r="F22" s="177" t="s">
        <v>5600</v>
      </c>
      <c r="G22" s="177" t="s">
        <v>5601</v>
      </c>
      <c r="H22" s="177" t="s">
        <v>5602</v>
      </c>
      <c r="I22" s="177" t="s">
        <v>5603</v>
      </c>
      <c r="J22" s="177" t="s">
        <v>5604</v>
      </c>
      <c r="K22" s="177" t="str">
        <f>IF($A22="","",IFERROR(INDEX(PMIS_Data!$R:$R,MATCH($A22,PMIS_Data!$A:$A,0)),IFERROR(INDEX(PMIS_Data!$R:$R,MATCH($B22,PMIS_Data!$A:$A,0)),"")))</f>
        <v>Building 33 is a telecom-enclosure building with mechanical and fire protection scope excluded. Scope centers on new basement EEO Manager Office B23 TE enclosure and existing Tel Closet B17. Field verification, active service transfer, 102 ft basement cable tray, 10 Cat6A cross-connect cables, UPS/PDU power, firestopping, fiber/copper cutover, and legacy service relationships to Buildings 3, 80 and 82 remain open.</v>
      </c>
    </row>
    <row r="23" spans="1:11" ht="262.2" customHeight="1">
      <c r="A23" s="178" t="str">
        <f>_Command_Source!A23</f>
        <v>61</v>
      </c>
      <c r="B23" s="178" t="str">
        <f>_Command_Source!C23</f>
        <v>B61</v>
      </c>
      <c r="C23" s="178" t="str">
        <f>_Command_Source!B23</f>
        <v>B61_Assessment</v>
      </c>
      <c r="D23" s="177" t="s">
        <v>5605</v>
      </c>
      <c r="E23" s="177" t="s">
        <v>5606</v>
      </c>
      <c r="F23" s="177" t="s">
        <v>5607</v>
      </c>
      <c r="G23" s="177" t="s">
        <v>5608</v>
      </c>
      <c r="H23" s="177" t="s">
        <v>5609</v>
      </c>
      <c r="I23" s="177" t="s">
        <v>5610</v>
      </c>
      <c r="J23" s="177" t="s">
        <v>5611</v>
      </c>
      <c r="K23" s="177" t="str">
        <f>IF($A23="","",IFERROR(INDEX(PMIS_Data!$R:$R,MATCH($A23,PMIS_Data!$A:$A,0)),IFERROR(INDEX(PMIS_Data!$R:$R,MATCH($B23,PMIS_Data!$A:$A,0)),"")))</f>
        <v>Building 61 is a large full-scope TR building with hazardous abatement, architectural, fire protection, plumbing, mechanical, electrical, security, telecom, server/demarc and rack elevation scope. Primary new telecom rooms include basement B13H-A, first-level 124, second-level 226, and existing Room 137/137A demarc/server equipment. Major open issues include active-service cutover, dedicated cooling IU/CU-0-01/1-01/2-01, panel source coordination, rack UPS/PDU power, cable tray coordination, firestopping, PACS/CCTV, and turnover testing.</v>
      </c>
    </row>
    <row r="24" spans="1:11" ht="158.4">
      <c r="A24" s="178" t="str">
        <f>_Command_Source!A24</f>
        <v>62</v>
      </c>
      <c r="B24" s="178" t="str">
        <f>_Command_Source!C24</f>
        <v>B62</v>
      </c>
      <c r="C24" s="178" t="str">
        <f>_Command_Source!B24</f>
        <v>B62_TR_Assessment</v>
      </c>
      <c r="D24" s="177" t="s">
        <v>5612</v>
      </c>
      <c r="E24" s="177" t="s">
        <v>5612</v>
      </c>
      <c r="F24" s="177" t="s">
        <v>5612</v>
      </c>
      <c r="G24" s="177" t="s">
        <v>5612</v>
      </c>
      <c r="H24" s="177" t="s">
        <v>5613</v>
      </c>
      <c r="I24" s="177" t="s">
        <v>5614</v>
      </c>
      <c r="J24" s="177" t="s">
        <v>5615</v>
      </c>
      <c r="K24" s="177" t="str">
        <f>IF($A24="","",IFERROR(INDEX(PMIS_Data!$R:$R,MATCH($A24,PMIS_Data!$A:$A,0)),IFERROR(INDEX(PMIS_Data!$R:$R,MATCH($B24,PMIS_Data!$A:$A,0)),"")))</f>
        <v>Cooling / emergency power not verified</v>
      </c>
    </row>
    <row r="25" spans="1:11" ht="76.2" customHeight="1">
      <c r="A25" s="178" t="str">
        <f>_Command_Source!A25</f>
        <v>70</v>
      </c>
      <c r="B25" s="178" t="str">
        <f>_Command_Source!C25</f>
        <v>B70</v>
      </c>
      <c r="C25" s="178" t="str">
        <f>_Command_Source!B25</f>
        <v>B70_TR_Assessment</v>
      </c>
      <c r="D25" s="177" t="s">
        <v>5612</v>
      </c>
      <c r="E25" s="177" t="s">
        <v>5612</v>
      </c>
      <c r="F25" s="177" t="s">
        <v>5612</v>
      </c>
      <c r="G25" s="177" t="s">
        <v>5612</v>
      </c>
      <c r="H25" s="177" t="s">
        <v>5613</v>
      </c>
      <c r="I25" s="177" t="s">
        <v>5616</v>
      </c>
      <c r="J25" s="177" t="s">
        <v>5617</v>
      </c>
      <c r="K25" s="177" t="str">
        <f>IF($A25="","",IFERROR(INDEX(PMIS_Data!$R:$R,MATCH($A25,PMIS_Data!$A:$A,0)),IFERROR(INDEX(PMIS_Data!$R:$R,MATCH($B25,PMIS_Data!$A:$A,0)),"")))</f>
        <v>Cooling / emergency power and existing TR phasing not verified</v>
      </c>
    </row>
    <row r="26" spans="1:11" ht="262.2" customHeight="1">
      <c r="A26" s="178" t="str">
        <f>_Command_Source!A26</f>
        <v>78</v>
      </c>
      <c r="B26" s="178" t="str">
        <f>_Command_Source!C26</f>
        <v>B78</v>
      </c>
      <c r="C26" s="178" t="str">
        <f>_Command_Source!B26</f>
        <v>B78_Assessment</v>
      </c>
      <c r="D26" s="177" t="s">
        <v>5618</v>
      </c>
      <c r="E26" s="177" t="s">
        <v>5619</v>
      </c>
      <c r="F26" s="177" t="s">
        <v>5620</v>
      </c>
      <c r="G26" s="177" t="s">
        <v>5621</v>
      </c>
      <c r="H26" s="177" t="s">
        <v>5622</v>
      </c>
      <c r="I26" s="177" t="s">
        <v>5623</v>
      </c>
      <c r="J26" s="177" t="s">
        <v>5624</v>
      </c>
      <c r="K26" s="177" t="str">
        <f>IF($A26="","",IFERROR(INDEX(PMIS_Data!$R:$R,MATCH($A26,PMIS_Data!$A:$A,0)),IFERROR(INDEX(PMIS_Data!$R:$R,MATCH($B26,PMIS_Data!$A:$A,0)),"")))</f>
        <v>Building 78/78A is a very large full-scope TR building with basement through fourth-level telecom rooms, existing telecom rooms, hazardous abatement, architectural, fire protection, mechanical, electrical, security, telecom, rack elevations and photo references. Major open issues include active service cutover, dedicated HVAC validation, panel/UPS/PDU coordination, 4,849 ft cable tray routes, firestopping, PACS/CCTV, existing rack transfers, and turnover testing.</v>
      </c>
    </row>
    <row r="27" spans="1:11" ht="262.2" customHeight="1">
      <c r="A27" s="178" t="str">
        <f>_Command_Source!A27</f>
        <v>80</v>
      </c>
      <c r="B27" s="178" t="str">
        <f>_Command_Source!C27</f>
        <v>B80</v>
      </c>
      <c r="C27" s="178" t="str">
        <f>_Command_Source!B27</f>
        <v>B80_Assessment</v>
      </c>
      <c r="D27" s="177" t="s">
        <v>5625</v>
      </c>
      <c r="E27" s="177" t="s">
        <v>5626</v>
      </c>
      <c r="F27" s="177" t="s">
        <v>5627</v>
      </c>
      <c r="G27" s="177" t="s">
        <v>5628</v>
      </c>
      <c r="H27" s="177" t="s">
        <v>5629</v>
      </c>
      <c r="I27" s="177" t="s">
        <v>5630</v>
      </c>
      <c r="J27" s="177" t="s">
        <v>5631</v>
      </c>
      <c r="K27" s="177" t="str">
        <f>IF($A27="","",IFERROR(INDEX(PMIS_Data!$R:$R,MATCH($A27,PMIS_Data!$A:$A,0)),IFERROR(INDEX(PMIS_Data!$R:$R,MATCH($B27,PMIS_Data!$A:$A,0)),"")))</f>
        <v>Building 80 includes a new first-level Telecom Room 102 and existing Tel Closet 127A / photo-reference Room 126 transition point. Field verification, active equipment transfer, dedicated cooling IU-1-01/CU-1-01, B80-TR102A/B power, 811 ft cable tray, firestopping, PACS/CCTV, existing two-post rack migration, and room-number mapping remain open.</v>
      </c>
    </row>
    <row r="28" spans="1:11" ht="262.2" customHeight="1">
      <c r="A28" s="178" t="str">
        <f>_Command_Source!A28</f>
        <v>82</v>
      </c>
      <c r="B28" s="178" t="str">
        <f>_Command_Source!C28</f>
        <v>B82</v>
      </c>
      <c r="C28" s="178" t="str">
        <f>_Command_Source!B28</f>
        <v>B82_Assessment</v>
      </c>
      <c r="D28" s="177" t="s">
        <v>5632</v>
      </c>
      <c r="E28" s="177" t="s">
        <v>5633</v>
      </c>
      <c r="F28" s="177" t="s">
        <v>5634</v>
      </c>
      <c r="G28" s="177" t="s">
        <v>5635</v>
      </c>
      <c r="H28" s="177" t="s">
        <v>5636</v>
      </c>
      <c r="I28" s="177" t="s">
        <v>5637</v>
      </c>
      <c r="J28" s="177" t="s">
        <v>5638</v>
      </c>
      <c r="K28" s="177" t="str">
        <f>IF($A28="","",IFERROR(INDEX(PMIS_Data!$R:$R,MATCH($A28,PMIS_Data!$A:$A,0)),IFERROR(INDEX(PMIS_Data!$R:$R,MATCH($B28,PMIS_Data!$A:$A,0)),"")))</f>
        <v>Building 82 is identified as a Telecom Enclosure (TE) building on the cover sheet, with fire protection scope excluded, but mechanical sheets show IU-1-01/CU-1-01 dedicated cooling for Room 102 and electrical drawings show B82-MDP/B82-P-EMER power. Scope centers on new first-level Telecom Room 102 / 12RU enclosure and existing first-level Telecom Room B01-A transition point. Field verification, active-equipment transfer, 278 ft cable tray, firestopping, UPS/PDU power, HVAC controls, fiber/copper cutover, and room/equipment mapping remain open.</v>
      </c>
    </row>
    <row r="29" spans="1:11" ht="262.2" customHeight="1">
      <c r="A29" s="178" t="str">
        <f>_Command_Source!A29</f>
        <v>BCH</v>
      </c>
      <c r="B29" s="178" t="str">
        <f>_Command_Source!C29</f>
        <v>BCH</v>
      </c>
      <c r="C29" s="178" t="str">
        <f>_Command_Source!B29</f>
        <v>BCH_Assessment</v>
      </c>
      <c r="D29" s="177" t="s">
        <v>5639</v>
      </c>
      <c r="E29" s="177" t="s">
        <v>5640</v>
      </c>
      <c r="F29" s="177" t="s">
        <v>5641</v>
      </c>
      <c r="G29" s="177" t="s">
        <v>5642</v>
      </c>
      <c r="H29" s="177" t="s">
        <v>5643</v>
      </c>
      <c r="I29" s="177" t="s">
        <v>5644</v>
      </c>
      <c r="J29" s="177" t="s">
        <v>5645</v>
      </c>
      <c r="K29" s="177" t="str">
        <f>IF($A29="","",IFERROR(INDEX(PMIS_Data!$R:$R,MATCH($A29,PMIS_Data!$A:$A,0)),IFERROR(INDEX(PMIS_Data!$R:$R,MATCH($B29,PMIS_Data!$A:$A,0)),"")))</f>
        <v>Crescent House/BCH is a Telecom Enclosure (TE) scope with mechanical and fire protection excluded by the cover sheet. Scope centers on first-level Room 107 and rack/equipment location shown as Room 00-107 / BCH Crescent House. Field verification, room naming, wall-mounted TE versus 45RU room/rack elevation conflict, active-service cutover, power/UPS/PDU source, firestopping, fiber A/B routing, and cable tray/WAO quantities remain open.</v>
      </c>
    </row>
    <row r="30" spans="1:11" ht="262.2" customHeight="1">
      <c r="A30" s="178" t="str">
        <f>_Command_Source!A30</f>
        <v>MCR</v>
      </c>
      <c r="B30" s="178" t="str">
        <f>_Command_Source!C30</f>
        <v>MCR</v>
      </c>
      <c r="C30" s="178" t="str">
        <f>_Command_Source!B30</f>
        <v>MCR_Assessment</v>
      </c>
      <c r="D30" s="177" t="s">
        <v>5646</v>
      </c>
      <c r="E30" s="177" t="s">
        <v>5647</v>
      </c>
      <c r="F30" s="177" t="s">
        <v>5648</v>
      </c>
      <c r="G30" s="177" t="s">
        <v>5649</v>
      </c>
      <c r="H30" s="177" t="s">
        <v>5650</v>
      </c>
      <c r="I30" s="177" t="s">
        <v>5651</v>
      </c>
      <c r="J30" s="177" t="s">
        <v>5652</v>
      </c>
      <c r="K30" s="177" t="str">
        <f>IF($A30="","",IFERROR(INDEX(PMIS_Data!$R:$R,MATCH($A30,PMIS_Data!$A:$A,0)),IFERROR(INDEX(PMIS_Data!$R:$R,MATCH($B30,PMIS_Data!$A:$A,0)),"")))</f>
        <v>MCR is the most critical EHRM infrastructure building. Scope includes new Main Computer Room, new MDA A/B rows, HDA A/B rows, existing server/MCR equipment transfer from 107/137, redundant fiber Path A/B, new CRAC cooling, UPS A/B, electrical service/ATS/generator integration, clean-agent fire suppression, wet sprinkler/fire alarm interfaces, PACS/CCTV, 359 ft cable tray, and MCR activation window. Major risk is service continuity during backbone/core migration and VA activation.</v>
      </c>
    </row>
    <row r="31" spans="1:11" ht="26.4">
      <c r="A31" s="178" t="str">
        <f>_Command_Source!A31</f>
        <v>SPEC</v>
      </c>
      <c r="B31" s="178" t="str">
        <f>_Command_Source!C31</f>
        <v>SPEC</v>
      </c>
      <c r="C31" s="178" t="str">
        <f>_Command_Source!B31</f>
        <v>SPEC_Assessment</v>
      </c>
      <c r="D31" s="177" t="s">
        <v>5653</v>
      </c>
      <c r="E31" s="177" t="s">
        <v>5654</v>
      </c>
      <c r="F31" s="177" t="s">
        <v>5655</v>
      </c>
      <c r="G31" s="177" t="s">
        <v>5656</v>
      </c>
      <c r="H31" s="177" t="s">
        <v>5613</v>
      </c>
      <c r="I31" s="177" t="s">
        <v>5657</v>
      </c>
      <c r="J31" s="177" t="s">
        <v>5658</v>
      </c>
      <c r="K31" s="177" t="str">
        <f>IF($A31="","",IFERROR(INDEX(PMIS_Data!$R:$R,MATCH($A31,PMIS_Data!$A:$A,0)),IFERROR(INDEX(PMIS_Data!$R:$R,MATCH($B31,PMIS_Data!$A:$A,0)),"")))</f>
        <v/>
      </c>
    </row>
    <row r="32" spans="1:11" ht="26.4">
      <c r="A32" s="178" t="str">
        <f>_Command_Source!A32</f>
        <v>Campus</v>
      </c>
      <c r="B32" s="178" t="str">
        <f>_Command_Source!C32</f>
        <v>Campus</v>
      </c>
      <c r="C32" s="178" t="str">
        <f>_Command_Source!B32</f>
        <v>Campus</v>
      </c>
      <c r="D32" s="177" t="s">
        <v>5653</v>
      </c>
      <c r="E32" s="177" t="s">
        <v>5654</v>
      </c>
      <c r="F32" s="177" t="s">
        <v>5655</v>
      </c>
      <c r="G32" s="177" t="s">
        <v>5656</v>
      </c>
      <c r="H32" s="177" t="s">
        <v>5613</v>
      </c>
      <c r="I32" s="177" t="s">
        <v>5657</v>
      </c>
      <c r="J32" s="177" t="s">
        <v>5658</v>
      </c>
      <c r="K32" s="177" t="str">
        <f>IF($A32="","",IFERROR(INDEX(PMIS_Data!$R:$R,MATCH($A32,PMIS_Data!$A:$A,0)),IFERROR(INDEX(PMIS_Data!$R:$R,MATCH($B32,PMIS_Data!$A:$A,0)),"")))</f>
        <v/>
      </c>
    </row>
    <row r="33" spans="1:11" ht="262.2" customHeight="1">
      <c r="A33" s="178" t="str">
        <f>_Command_Source!A33</f>
        <v>SITE</v>
      </c>
      <c r="B33" s="178" t="str">
        <f>_Command_Source!C33</f>
        <v>SITE</v>
      </c>
      <c r="C33" s="178" t="str">
        <f>_Command_Source!B33</f>
        <v>SITE_Assesment</v>
      </c>
      <c r="D33" s="177" t="s">
        <v>5659</v>
      </c>
      <c r="E33" s="177" t="s">
        <v>5654</v>
      </c>
      <c r="F33" s="177" t="s">
        <v>5660</v>
      </c>
      <c r="G33" s="177" t="s">
        <v>5661</v>
      </c>
      <c r="H33" s="177" t="s">
        <v>5662</v>
      </c>
      <c r="I33" s="177" t="s">
        <v>5663</v>
      </c>
      <c r="J33" s="177" t="s">
        <v>5664</v>
      </c>
      <c r="K33" s="177" t="str">
        <f>IF($A33="","",IFERROR(INDEX(PMIS_Data!$R:$R,MATCH($A33,PMIS_Data!$A:$A,0)),IFERROR(INDEX(PMIS_Data!$R:$R,MATCH($B33,PMIS_Data!$A:$A,0)),"")))</f>
        <v>Site package controls the redundant telecommunications backbone for the full EHRM campus. Scope includes site survey, electrical site plans, telecom site plans, enlarged views, plan/profile sheets for Path A/B, concrete ductbank, direct-bury conduit, handholes THH #1-#19, communication manholes with locking covers, concrete pullboxes, trench restoration, and the site one-line fiber diagram. Major risks are existing utility conflicts, A/B path separation, ductbank inspection before backfill, MCR activation sequencing, and coordination of multiple building tie-ins.</v>
      </c>
    </row>
    <row r="35" spans="1:11" ht="177.45" customHeight="1">
      <c r="A35" s="180" t="s">
        <v>5665</v>
      </c>
      <c r="B35" s="180"/>
      <c r="C35" s="180"/>
      <c r="D35" s="180"/>
      <c r="E35" s="180"/>
      <c r="F35" s="180"/>
      <c r="G35" s="180"/>
      <c r="H35" s="180"/>
      <c r="I35" s="180"/>
      <c r="J35" s="180"/>
      <c r="K35" s="180"/>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472A5-1A98-4161-8C85-211CC676449F}">
  <dimension ref="A1:K44"/>
  <sheetViews>
    <sheetView topLeftCell="A60" workbookViewId="0">
      <selection activeCell="D6" sqref="D6"/>
    </sheetView>
  </sheetViews>
  <sheetFormatPr defaultRowHeight="13.2"/>
  <cols>
    <col min="1" max="1" width="14" customWidth="1"/>
    <col min="2" max="2" width="24" customWidth="1"/>
    <col min="3" max="4" width="12" customWidth="1"/>
    <col min="5" max="5" width="14" customWidth="1"/>
    <col min="6" max="6" width="12" customWidth="1"/>
    <col min="7" max="7" width="48" customWidth="1"/>
    <col min="8" max="8" width="14" customWidth="1"/>
    <col min="9" max="9" width="32" customWidth="1"/>
    <col min="10" max="10" width="18" customWidth="1"/>
    <col min="11" max="11" width="4" customWidth="1"/>
  </cols>
  <sheetData>
    <row r="1" spans="1:11" ht="28.2" customHeight="1">
      <c r="A1" s="902" t="s">
        <v>5666</v>
      </c>
      <c r="B1" s="558"/>
      <c r="C1" s="558"/>
      <c r="D1" s="558"/>
      <c r="E1" s="558"/>
      <c r="F1" s="558"/>
      <c r="G1" s="558"/>
      <c r="H1" s="558"/>
      <c r="I1" s="558"/>
      <c r="J1" s="558"/>
      <c r="K1" s="558"/>
    </row>
    <row r="2" spans="1:11" ht="17.399999999999999" customHeight="1">
      <c r="A2" s="900" t="s">
        <v>5667</v>
      </c>
      <c r="B2" s="558"/>
      <c r="C2" s="558"/>
      <c r="D2" s="558"/>
      <c r="E2" s="558"/>
      <c r="F2" s="558"/>
      <c r="G2" s="558"/>
      <c r="H2" s="558"/>
      <c r="I2" s="558"/>
      <c r="J2" s="558"/>
      <c r="K2" s="558"/>
    </row>
    <row r="4" spans="1:11" ht="25.35" customHeight="1">
      <c r="A4" s="187" t="s">
        <v>224</v>
      </c>
      <c r="B4" s="187" t="s">
        <v>142</v>
      </c>
      <c r="C4" s="187" t="s">
        <v>5668</v>
      </c>
      <c r="D4" s="187" t="s">
        <v>5669</v>
      </c>
      <c r="E4" s="187" t="s">
        <v>5670</v>
      </c>
      <c r="F4" s="187" t="s">
        <v>5403</v>
      </c>
      <c r="H4" s="901" t="s">
        <v>5671</v>
      </c>
      <c r="I4" s="558"/>
      <c r="J4" s="558"/>
      <c r="K4" s="558"/>
    </row>
    <row r="5" spans="1:11" ht="21.45" customHeight="1">
      <c r="A5" s="177">
        <f>IFERROR(LARGE($K$15:$K$44,1),"")</f>
        <v>10.0044</v>
      </c>
      <c r="B5" s="177" t="str">
        <f>IFERROR(INDEX($A$15:$A$44,MATCH($A5,$K$15:$K$44,0)),"")</f>
        <v>SITE</v>
      </c>
      <c r="C5" s="177" t="str">
        <f>IFERROR(INDEX($G$15:$G$44,MATCH($A5,$K$15:$K$44,0)),"")</f>
        <v>Site package controls the redundant telecommunications backbone for the full EHRM campus. Scope includes site survey, electrical site plans, telecom site plans, enlarged views, plan/profile sheets for Path A/B, concrete ductbank, direct-bury conduit, handholes THH #1-#19, communication manholes with locking covers, concrete pullboxes, trench restoration, and the site one-line fiber diagram. Major risks are existing utility conflicts, A/B path separation, ductbank inspection before backfill, MCR activation sequencing, and coordination of multiple building tie-ins.</v>
      </c>
      <c r="D5" s="177" t="str">
        <f>IFERROR(INDEX($I$15:$I$44,MATCH($A5,$K$15:$K$44,0)),"")</f>
        <v>Complete assessment gaps</v>
      </c>
      <c r="E5" s="177" t="str">
        <f>IFERROR(HYPERLINK("#'"&amp;INDEX($B$15:$B$44,MATCH($A5,$K$15:$K$44,0))&amp;"'!A1","Open Assessment"),"")</f>
        <v>Open Assessment</v>
      </c>
      <c r="F5" s="177" t="str">
        <f>HYPERLINK("#'Command_Center'!C7","Go to Selector")</f>
        <v>Go to Selector</v>
      </c>
      <c r="H5" s="188" t="s">
        <v>161</v>
      </c>
      <c r="I5" s="188">
        <f>SUM(PMIS_Data!H3:H44)</f>
        <v>0</v>
      </c>
    </row>
    <row r="6" spans="1:11" ht="21.45" customHeight="1">
      <c r="A6" s="177">
        <f>IFERROR(LARGE($K$15:$K$44,2),"")</f>
        <v>10.004300000000001</v>
      </c>
      <c r="B6" s="177" t="str">
        <f>IFERROR(INDEX($A$15:$A$44,MATCH($A6,$K$15:$K$44,0)),"")</f>
        <v>MCR</v>
      </c>
      <c r="C6" s="177" t="str">
        <f>IFERROR(INDEX($G$15:$G$44,MATCH($A6,$K$15:$K$44,0)),"")</f>
        <v>MCR is the most critical EHRM infrastructure building. Scope includes new Main Computer Room, new MDA A/B rows, HDA A/B rows, existing server/MCR equipment transfer from 107/137, redundant fiber Path A/B, new CRAC cooling, UPS A/B, electrical service/ATS/generator integration, clean-agent fire suppression, wet sprinkler/fire alarm interfaces, PACS/CCTV, 359 ft cable tray, and MCR activation window. Major risk is service continuity during backbone/core migration and VA activation.</v>
      </c>
      <c r="D6" s="177" t="str">
        <f>IFERROR(INDEX($I$15:$I$44,MATCH($A6,$K$15:$K$44,0)),"")</f>
        <v>Complete assessment gaps</v>
      </c>
      <c r="E6" s="177" t="str">
        <f>IFERROR(HYPERLINK("#'"&amp;INDEX($B$15:$B$44,MATCH($A6,$K$15:$K$44,0))&amp;"'!A1","Open Assessment"),"")</f>
        <v>Open Assessment</v>
      </c>
      <c r="F6" s="177" t="str">
        <f>HYPERLINK("#'Command_Center'!C7","Go to Selector")</f>
        <v>Go to Selector</v>
      </c>
      <c r="H6" s="188" t="s">
        <v>199</v>
      </c>
      <c r="I6" s="188">
        <f>SUM(PMIS_Data!I3:I44)</f>
        <v>0</v>
      </c>
    </row>
    <row r="7" spans="1:11" ht="21.45" customHeight="1">
      <c r="A7" s="177">
        <f>IFERROR(LARGE($K$15:$K$44,3),"")</f>
        <v>10.004200000000001</v>
      </c>
      <c r="B7" s="177" t="str">
        <f>IFERROR(INDEX($A$15:$A$44,MATCH($A7,$K$15:$K$44,0)),"")</f>
        <v>BCH</v>
      </c>
      <c r="C7" s="177" t="str">
        <f>IFERROR(INDEX($G$15:$G$44,MATCH($A7,$K$15:$K$44,0)),"")</f>
        <v>Crescent House/BCH is a Telecom Enclosure (TE) scope with mechanical and fire protection excluded by the cover sheet. Scope centers on first-level Room 107 and rack/equipment location shown as Room 00-107 / BCH Crescent House. Field verification, room naming, wall-mounted TE versus 45RU room/rack elevation conflict, active-service cutover, power/UPS/PDU source, firestopping, fiber A/B routing, and cable tray/WAO quantities remain open.</v>
      </c>
      <c r="D7" s="177" t="str">
        <f>IFERROR(INDEX($I$15:$I$44,MATCH($A7,$K$15:$K$44,0)),"")</f>
        <v>Complete assessment gaps</v>
      </c>
      <c r="E7" s="177" t="str">
        <f>IFERROR(HYPERLINK("#'"&amp;INDEX($B$15:$B$44,MATCH($A7,$K$15:$K$44,0))&amp;"'!A1","Open Assessment"),"")</f>
        <v>Open Assessment</v>
      </c>
      <c r="F7" s="177" t="str">
        <f>HYPERLINK("#'Command_Center'!C7","Go to Selector")</f>
        <v>Go to Selector</v>
      </c>
      <c r="H7" s="188" t="s">
        <v>5672</v>
      </c>
      <c r="I7" s="188">
        <f>SUM(PMIS_Data!X3:X44)</f>
        <v>0</v>
      </c>
    </row>
    <row r="8" spans="1:11" ht="21.45" customHeight="1">
      <c r="A8" s="177">
        <f>IFERROR(LARGE($K$15:$K$44,4),"")</f>
        <v>10.004099999999999</v>
      </c>
      <c r="B8" s="177" t="str">
        <f>IFERROR(INDEX($A$15:$A$44,MATCH($A8,$K$15:$K$44,0)),"")</f>
        <v>82</v>
      </c>
      <c r="C8" s="177" t="str">
        <f>IFERROR(INDEX($G$15:$G$44,MATCH($A8,$K$15:$K$44,0)),"")</f>
        <v>Building 82 is identified as a Telecom Enclosure (TE) building on the cover sheet, with fire protection scope excluded, but mechanical sheets show IU-1-01/CU-1-01 dedicated cooling for Room 102 and electrical drawings show B82-MDP/B82-P-EMER power. Scope centers on new first-level Telecom Room 102 / 12RU enclosure and existing first-level Telecom Room B01-A transition point. Field verification, active-equipment transfer, 278 ft cable tray, firestopping, UPS/PDU power, HVAC controls, fiber/copper cutover, and room/equipment mapping remain open.</v>
      </c>
      <c r="D8" s="177" t="str">
        <f>IFERROR(INDEX($I$15:$I$44,MATCH($A8,$K$15:$K$44,0)),"")</f>
        <v>Complete assessment gaps</v>
      </c>
      <c r="E8" s="177" t="str">
        <f>IFERROR(HYPERLINK("#'"&amp;INDEX($B$15:$B$44,MATCH($A8,$K$15:$K$44,0))&amp;"'!A1","Open Assessment"),"")</f>
        <v>Open Assessment</v>
      </c>
      <c r="F8" s="177" t="str">
        <f>HYPERLINK("#'Command_Center'!C7","Go to Selector")</f>
        <v>Go to Selector</v>
      </c>
      <c r="H8" s="188" t="s">
        <v>538</v>
      </c>
      <c r="I8" s="189">
        <f>IFERROR(AVERAGEIF(PMIS_Data!E3:E44,"&gt;0"),0)</f>
        <v>0.5066666666666666</v>
      </c>
    </row>
    <row r="9" spans="1:11" ht="21.45" customHeight="1">
      <c r="A9" s="177">
        <f>IFERROR(LARGE($K$15:$K$44,5),"")</f>
        <v>10.004</v>
      </c>
      <c r="B9" s="177" t="str">
        <f>IFERROR(INDEX($A$15:$A$44,MATCH($A9,$K$15:$K$44,0)),"")</f>
        <v>80</v>
      </c>
      <c r="C9" s="177" t="str">
        <f>IFERROR(INDEX($G$15:$G$44,MATCH($A9,$K$15:$K$44,0)),"")</f>
        <v>Building 80 includes a new first-level Telecom Room 102 and existing Tel Closet 127A / photo-reference Room 126 transition point. Field verification, active equipment transfer, dedicated cooling IU-1-01/CU-1-01, B80-TR102A/B power, 811 ft cable tray, firestopping, PACS/CCTV, existing two-post rack migration, and room-number mapping remain open.</v>
      </c>
      <c r="D9" s="177" t="str">
        <f>IFERROR(INDEX($I$15:$I$44,MATCH($A9,$K$15:$K$44,0)),"")</f>
        <v>Complete assessment gaps</v>
      </c>
      <c r="E9" s="177" t="str">
        <f>IFERROR(HYPERLINK("#'"&amp;INDEX($B$15:$B$44,MATCH($A9,$K$15:$K$44,0))&amp;"'!A1","Open Assessment"),"")</f>
        <v>Open Assessment</v>
      </c>
      <c r="F9" s="177" t="str">
        <f>HYPERLINK("#'Command_Center'!C7","Go to Selector")</f>
        <v>Go to Selector</v>
      </c>
      <c r="H9" s="188" t="s">
        <v>171</v>
      </c>
      <c r="I9" s="188">
        <f>COUNTIF(PMIS_Data!F3:F44,"No")</f>
        <v>29</v>
      </c>
    </row>
    <row r="13" spans="1:11" ht="59.1" customHeight="1">
      <c r="A13" s="190" t="s">
        <v>142</v>
      </c>
      <c r="B13" s="190" t="s">
        <v>5</v>
      </c>
      <c r="C13" s="190" t="s">
        <v>174</v>
      </c>
      <c r="D13" s="190" t="s">
        <v>161</v>
      </c>
      <c r="E13" s="190" t="s">
        <v>199</v>
      </c>
      <c r="F13" s="190" t="s">
        <v>179</v>
      </c>
      <c r="G13" s="190" t="s">
        <v>870</v>
      </c>
      <c r="H13" s="190" t="s">
        <v>5450</v>
      </c>
      <c r="I13" s="190" t="s">
        <v>5669</v>
      </c>
      <c r="J13" s="190" t="s">
        <v>5670</v>
      </c>
      <c r="K13" s="190" t="s">
        <v>5673</v>
      </c>
    </row>
    <row r="15" spans="1:11" ht="24.6" customHeight="1">
      <c r="A15" s="177" t="str">
        <f>PMIS_Data!A3</f>
        <v>01</v>
      </c>
      <c r="B15" s="177" t="str">
        <f>PMIS_Data!B3</f>
        <v>B01_Assessment</v>
      </c>
      <c r="C15" s="191">
        <f>PMIS_Data!E3</f>
        <v>0.5</v>
      </c>
      <c r="D15" s="177">
        <f>PMIS_Data!H3</f>
        <v>0</v>
      </c>
      <c r="E15" s="177">
        <f>PMIS_Data!I3</f>
        <v>0</v>
      </c>
      <c r="F15" s="177">
        <f>PMIS_Data!X3</f>
        <v>0</v>
      </c>
      <c r="G15" s="177" t="str">
        <f>PMIS_Data!R3</f>
        <v>Building 01 is a full-scope telecom room building with new First-Level Telecom Room 107 and existing telecom transition rooms B02, 138, and 282. Scope includes architectural, hazardous, fire protection, mechanical, electrical, telecom, security, rack elevations, schedules, and photo references. Major open items include active service transfer from existing rooms, IU-1-01/CU-1-01 cooling, B01-TR107A/B normal/emergency power, UPS/PDU rack power, PACS/CCTV, 394 ft cable tray, firestopping, fiber Path A/B, and room/equipment cutover planning.</v>
      </c>
      <c r="H15" s="192">
        <f t="shared" ref="H15:H44" si="0">IF($A15="",0,IF($F15&gt;0,50,0)+N($D15)*5+N($E15)*3+IF(N($C15)&lt;0.5,25,IF(N($C15)&lt;0.75,10,0)))</f>
        <v>10</v>
      </c>
      <c r="I15" s="177" t="str">
        <f t="shared" ref="I15:I44" si="1">IF($A15="","",IF($F15&gt;0,"Coordinate shutdown / outage risk",IF($D15&gt;0,"Resolve open risks",IF($E15&gt;0,"Close open questions",IF($C15&lt;0.8,"Complete assessment gaps","Maintain / monitor")))))</f>
        <v>Complete assessment gaps</v>
      </c>
      <c r="J15" s="177" t="str">
        <f t="shared" ref="J15:J44" si="2">IFERROR(HYPERLINK("#'"&amp;$B15&amp;"'!A1","Open"),"")</f>
        <v>Open</v>
      </c>
      <c r="K15" s="193">
        <f t="shared" ref="K15:K44" si="3">H15+ROW()/10000</f>
        <v>10.0015</v>
      </c>
    </row>
    <row r="16" spans="1:11" ht="24.6" customHeight="1">
      <c r="A16" s="177" t="str">
        <f>PMIS_Data!A4</f>
        <v>02</v>
      </c>
      <c r="B16" s="177" t="str">
        <f>PMIS_Data!B4</f>
        <v>B02_Assessment</v>
      </c>
      <c r="C16" s="191">
        <f>PMIS_Data!E4</f>
        <v>0.5</v>
      </c>
      <c r="D16" s="177">
        <f>PMIS_Data!H4</f>
        <v>0</v>
      </c>
      <c r="E16" s="177">
        <f>PMIS_Data!I4</f>
        <v>0</v>
      </c>
      <c r="F16" s="177">
        <f>PMIS_Data!X4</f>
        <v>0</v>
      </c>
      <c r="G16" s="177" t="str">
        <f>PMIS_Data!R4</f>
        <v>Building 02 is a large full-scope telecom room building with new Telecom Rooms 141, 236, and 342, plus existing telecom transition rooms B-06, 141, and 236. Scope includes architectural, infection control, fire protection, mechanical, electrical, telecommunications, rack elevations, schedules, PACS/CCTV, and photo references. Major open items include active service transfer, multiple panel sets B02-TR141/236/342 A/B, dedicated cooling CU-1/2/3-01, firestopping, PACS/CCTV integration, 2,560 ft cable tray, and high WAO/cable quantity acceptance.</v>
      </c>
      <c r="H16" s="192">
        <f t="shared" si="0"/>
        <v>10</v>
      </c>
      <c r="I16" s="177" t="str">
        <f t="shared" si="1"/>
        <v>Complete assessment gaps</v>
      </c>
      <c r="J16" s="177" t="str">
        <f t="shared" si="2"/>
        <v>Open</v>
      </c>
      <c r="K16" s="193">
        <f t="shared" si="3"/>
        <v>10.0016</v>
      </c>
    </row>
    <row r="17" spans="1:11" ht="24.6" customHeight="1">
      <c r="A17" s="177" t="str">
        <f>PMIS_Data!A5</f>
        <v>03</v>
      </c>
      <c r="B17" s="177" t="str">
        <f>PMIS_Data!B5</f>
        <v>B03_Assessment</v>
      </c>
      <c r="C17" s="191">
        <f>PMIS_Data!E5</f>
        <v>0.5</v>
      </c>
      <c r="D17" s="177">
        <f>PMIS_Data!H5</f>
        <v>0</v>
      </c>
      <c r="E17" s="177">
        <f>PMIS_Data!I5</f>
        <v>0</v>
      </c>
      <c r="F17" s="177">
        <f>PMIS_Data!X5</f>
        <v>0</v>
      </c>
      <c r="G17" s="177" t="str">
        <f>PMIS_Data!R5</f>
        <v>Building 03 is a full-scope telecom room building centered on new/renovated Telecom Room 101E, with existing Basement Telecom Room 107 and existing first-floor DMARC/telecom Room 101C as transition points. Scope includes architectural, infection control, fire protection, mechanical, electrical, telecommunications, rack elevations, Room 107 inventory, PACS/CCTV, 961 ft cable tray, and 206 total ports with allowance. Major open items include transfer from existing 107/101C, active DMARC/fiber protection, B03-TR101CA/B panel sources, CU-01 cooling, firestopping, camera 101C-CAM-01, and OIT acceptance.</v>
      </c>
      <c r="H17" s="192">
        <f t="shared" si="0"/>
        <v>10</v>
      </c>
      <c r="I17" s="177" t="str">
        <f t="shared" si="1"/>
        <v>Complete assessment gaps</v>
      </c>
      <c r="J17" s="177" t="str">
        <f t="shared" si="2"/>
        <v>Open</v>
      </c>
      <c r="K17" s="193">
        <f t="shared" si="3"/>
        <v>10.0017</v>
      </c>
    </row>
    <row r="18" spans="1:11" ht="24.6" customHeight="1">
      <c r="A18" s="177" t="str">
        <f>PMIS_Data!A6</f>
        <v>04</v>
      </c>
      <c r="B18" s="177" t="str">
        <f>PMIS_Data!B6</f>
        <v>B04_Assessment</v>
      </c>
      <c r="C18" s="191">
        <f>PMIS_Data!E6</f>
        <v>0.5</v>
      </c>
      <c r="D18" s="177">
        <f>PMIS_Data!H6</f>
        <v>0</v>
      </c>
      <c r="E18" s="177">
        <f>PMIS_Data!I6</f>
        <v>0</v>
      </c>
      <c r="F18" s="177">
        <f>PMIS_Data!X6</f>
        <v>0</v>
      </c>
      <c r="G18" s="177" t="str">
        <f>PMIS_Data!R6</f>
        <v>B04 has multiple TRs across basement/first/second levels; field verification, abatement coordination, cooling power, firestopping, and cutover phasing remain open.</v>
      </c>
      <c r="H18" s="192">
        <f t="shared" si="0"/>
        <v>10</v>
      </c>
      <c r="I18" s="177" t="str">
        <f t="shared" si="1"/>
        <v>Complete assessment gaps</v>
      </c>
      <c r="J18" s="177" t="str">
        <f t="shared" si="2"/>
        <v>Open</v>
      </c>
      <c r="K18" s="193">
        <f t="shared" si="3"/>
        <v>10.001799999999999</v>
      </c>
    </row>
    <row r="19" spans="1:11" ht="24.6" customHeight="1">
      <c r="A19" s="177" t="str">
        <f>PMIS_Data!A7</f>
        <v>05</v>
      </c>
      <c r="B19" s="177" t="str">
        <f>PMIS_Data!B7</f>
        <v>B05_Assessment</v>
      </c>
      <c r="C19" s="191">
        <f>PMIS_Data!E7</f>
        <v>0.55000000000000004</v>
      </c>
      <c r="D19" s="177">
        <f>PMIS_Data!H7</f>
        <v>0</v>
      </c>
      <c r="E19" s="177">
        <f>PMIS_Data!I7</f>
        <v>0</v>
      </c>
      <c r="F19" s="177">
        <f>PMIS_Data!X7</f>
        <v>0</v>
      </c>
      <c r="G19" s="177" t="str">
        <f>PMIS_Data!R7</f>
        <v>Building 05 receives a Telecom Enclosure only; mechanical and fire protection scope is excluded, so TE power, telecom cutover, existing room conditions, and fire/life-safety interfaces must be verified.</v>
      </c>
      <c r="H19" s="192">
        <f t="shared" si="0"/>
        <v>10</v>
      </c>
      <c r="I19" s="177" t="str">
        <f t="shared" si="1"/>
        <v>Complete assessment gaps</v>
      </c>
      <c r="J19" s="177" t="str">
        <f t="shared" si="2"/>
        <v>Open</v>
      </c>
      <c r="K19" s="193">
        <f t="shared" si="3"/>
        <v>10.001899999999999</v>
      </c>
    </row>
    <row r="20" spans="1:11" ht="24.6" customHeight="1">
      <c r="A20" s="177" t="str">
        <f>PMIS_Data!A8</f>
        <v>06</v>
      </c>
      <c r="B20" s="177" t="str">
        <f>PMIS_Data!B8</f>
        <v>B06_Assessment</v>
      </c>
      <c r="C20" s="191">
        <f>PMIS_Data!E8</f>
        <v>0.5</v>
      </c>
      <c r="D20" s="177">
        <f>PMIS_Data!H8</f>
        <v>0</v>
      </c>
      <c r="E20" s="177">
        <f>PMIS_Data!I8</f>
        <v>0</v>
      </c>
      <c r="F20" s="177">
        <f>PMIS_Data!X8</f>
        <v>0</v>
      </c>
      <c r="G20" s="177" t="str">
        <f>PMIS_Data!R8</f>
        <v>Building 06 has active existing telecom equipment plus new TR work in Rooms 178 and 233; field verification, cutover phasing, cooling, firestopping, and emergency power remain open.</v>
      </c>
      <c r="H20" s="192">
        <f t="shared" si="0"/>
        <v>10</v>
      </c>
      <c r="I20" s="177" t="str">
        <f t="shared" si="1"/>
        <v>Complete assessment gaps</v>
      </c>
      <c r="J20" s="177" t="str">
        <f t="shared" si="2"/>
        <v>Open</v>
      </c>
      <c r="K20" s="193">
        <f t="shared" si="3"/>
        <v>10.002000000000001</v>
      </c>
    </row>
    <row r="21" spans="1:11" ht="24.6" customHeight="1">
      <c r="A21" s="177" t="str">
        <f>PMIS_Data!A9</f>
        <v>07</v>
      </c>
      <c r="B21" s="177" t="str">
        <f>PMIS_Data!B9</f>
        <v>B07_Assessment</v>
      </c>
      <c r="C21" s="191">
        <f>PMIS_Data!E9</f>
        <v>0.5</v>
      </c>
      <c r="D21" s="177">
        <f>PMIS_Data!H9</f>
        <v>0</v>
      </c>
      <c r="E21" s="177">
        <f>PMIS_Data!I9</f>
        <v>0</v>
      </c>
      <c r="F21" s="177">
        <f>PMIS_Data!X9</f>
        <v>0</v>
      </c>
      <c r="G21" s="177" t="str">
        <f>PMIS_Data!R9</f>
        <v>Building 07 includes basement TR B-18 and second-level TR 228A; field verification, active-service cutover, cooling, firestopping, rated construction, and power source confirmation remain open.</v>
      </c>
      <c r="H21" s="192">
        <f t="shared" si="0"/>
        <v>10</v>
      </c>
      <c r="I21" s="177" t="str">
        <f t="shared" si="1"/>
        <v>Complete assessment gaps</v>
      </c>
      <c r="J21" s="177" t="str">
        <f t="shared" si="2"/>
        <v>Open</v>
      </c>
      <c r="K21" s="193">
        <f t="shared" si="3"/>
        <v>10.0021</v>
      </c>
    </row>
    <row r="22" spans="1:11" ht="24.6" customHeight="1">
      <c r="A22" s="177" t="str">
        <f>PMIS_Data!A10</f>
        <v>08</v>
      </c>
      <c r="B22" s="177" t="str">
        <f>PMIS_Data!B10</f>
        <v>B08_Assessment</v>
      </c>
      <c r="C22" s="191">
        <f>PMIS_Data!E10</f>
        <v>0.5</v>
      </c>
      <c r="D22" s="177">
        <f>PMIS_Data!H10</f>
        <v>0</v>
      </c>
      <c r="E22" s="177">
        <f>PMIS_Data!I10</f>
        <v>0</v>
      </c>
      <c r="F22" s="177">
        <f>PMIS_Data!X10</f>
        <v>0</v>
      </c>
      <c r="G22" s="177" t="str">
        <f>PMIS_Data!R10</f>
        <v>Building 08 includes existing basement telecom equipment at B-15, basement TE/cabling scope at B12B, and new second-level TR 2065A; field verification, abatement, rated construction, cooling/power, firestopping, and cutover phasing remain open.</v>
      </c>
      <c r="H22" s="192">
        <f t="shared" si="0"/>
        <v>10</v>
      </c>
      <c r="I22" s="177" t="str">
        <f t="shared" si="1"/>
        <v>Complete assessment gaps</v>
      </c>
      <c r="J22" s="177" t="str">
        <f t="shared" si="2"/>
        <v>Open</v>
      </c>
      <c r="K22" s="193">
        <f t="shared" si="3"/>
        <v>10.0022</v>
      </c>
    </row>
    <row r="23" spans="1:11" ht="24.6" customHeight="1">
      <c r="A23" s="177" t="str">
        <f>PMIS_Data!A11</f>
        <v>09</v>
      </c>
      <c r="B23" s="177" t="str">
        <f>PMIS_Data!B11</f>
        <v>B09_Assessment</v>
      </c>
      <c r="C23" s="191">
        <f>PMIS_Data!E11</f>
        <v>0.5</v>
      </c>
      <c r="D23" s="177">
        <f>PMIS_Data!H11</f>
        <v>0</v>
      </c>
      <c r="E23" s="177">
        <f>PMIS_Data!I11</f>
        <v>0</v>
      </c>
      <c r="F23" s="177">
        <f>PMIS_Data!X11</f>
        <v>0</v>
      </c>
      <c r="G23" s="177" t="str">
        <f>PMIS_Data!R11</f>
        <v>Building 09 includes three telecom spaces across basement, first, and second levels; field verification, hazardous material coordination, active service cutover, cooling, power/panel source, firestopping, and rated wall/door work remain open.</v>
      </c>
      <c r="H23" s="192">
        <f t="shared" si="0"/>
        <v>10</v>
      </c>
      <c r="I23" s="177" t="str">
        <f t="shared" si="1"/>
        <v>Complete assessment gaps</v>
      </c>
      <c r="J23" s="177" t="str">
        <f t="shared" si="2"/>
        <v>Open</v>
      </c>
      <c r="K23" s="193">
        <f t="shared" si="3"/>
        <v>10.0023</v>
      </c>
    </row>
    <row r="24" spans="1:11" ht="24.6" customHeight="1">
      <c r="A24" s="177" t="str">
        <f>PMIS_Data!A12</f>
        <v>10</v>
      </c>
      <c r="B24" s="177" t="str">
        <f>PMIS_Data!B12</f>
        <v>B10_Assessment</v>
      </c>
      <c r="C24" s="191">
        <f>PMIS_Data!E12</f>
        <v>0.5</v>
      </c>
      <c r="D24" s="177">
        <f>PMIS_Data!H12</f>
        <v>0</v>
      </c>
      <c r="E24" s="177">
        <f>PMIS_Data!I12</f>
        <v>0</v>
      </c>
      <c r="F24" s="177">
        <f>PMIS_Data!X12</f>
        <v>0</v>
      </c>
      <c r="G24" s="177" t="str">
        <f>PMIS_Data!R12</f>
        <v>Building 10 scope centers on attic Telecom Room 200A with related basement electrical source rooms B24/B25, attic hazardous material abatement, dedicated cooling, new telecom panels, rack/UPS/PDU equipment, firestopping, and cutover coordination.</v>
      </c>
      <c r="H24" s="192">
        <f t="shared" si="0"/>
        <v>10</v>
      </c>
      <c r="I24" s="177" t="str">
        <f t="shared" si="1"/>
        <v>Complete assessment gaps</v>
      </c>
      <c r="J24" s="177" t="str">
        <f t="shared" si="2"/>
        <v>Open</v>
      </c>
      <c r="K24" s="193">
        <f t="shared" si="3"/>
        <v>10.0024</v>
      </c>
    </row>
    <row r="25" spans="1:11" ht="24.6" customHeight="1">
      <c r="A25" s="177" t="str">
        <f>PMIS_Data!A13</f>
        <v>12</v>
      </c>
      <c r="B25" s="177" t="str">
        <f>PMIS_Data!B13</f>
        <v>B12_Assessment</v>
      </c>
      <c r="C25" s="191">
        <f>PMIS_Data!E13</f>
        <v>0.6</v>
      </c>
      <c r="D25" s="177">
        <f>PMIS_Data!H13</f>
        <v>0</v>
      </c>
      <c r="E25" s="177">
        <f>PMIS_Data!I13</f>
        <v>0</v>
      </c>
      <c r="F25" s="177">
        <f>PMIS_Data!X13</f>
        <v>0</v>
      </c>
      <c r="G25" s="177" t="str">
        <f>PMIS_Data!R13</f>
        <v>Building 12 is explicitly identified as fiber-only with no new TR buildout, no new rack, and no electrical/HVAC/fire protection drawing packages; key owner risk is confirming pull-through fiber path, existing service continuity, pathway/firestopping, and VA/OIT acceptance before cutover.</v>
      </c>
      <c r="H25" s="192">
        <f t="shared" si="0"/>
        <v>10</v>
      </c>
      <c r="I25" s="177" t="str">
        <f t="shared" si="1"/>
        <v>Complete assessment gaps</v>
      </c>
      <c r="J25" s="177" t="str">
        <f t="shared" si="2"/>
        <v>Open</v>
      </c>
      <c r="K25" s="193">
        <f t="shared" si="3"/>
        <v>10.0025</v>
      </c>
    </row>
    <row r="26" spans="1:11" ht="24.6" customHeight="1">
      <c r="A26" s="177" t="str">
        <f>PMIS_Data!A14</f>
        <v>13</v>
      </c>
      <c r="B26" s="177" t="str">
        <f>PMIS_Data!B14</f>
        <v>B13_Assessment</v>
      </c>
      <c r="C26" s="191">
        <f>PMIS_Data!E14</f>
        <v>0.5</v>
      </c>
      <c r="D26" s="177">
        <f>PMIS_Data!H14</f>
        <v>0</v>
      </c>
      <c r="E26" s="177">
        <f>PMIS_Data!I14</f>
        <v>0</v>
      </c>
      <c r="F26" s="177">
        <f>PMIS_Data!X14</f>
        <v>0</v>
      </c>
      <c r="G26" s="177" t="str">
        <f>PMIS_Data!R14</f>
        <v>Building 13 includes new first-level Telecom Room 124 and existing second-level Tel Room 222; field verification, active service cutover, 240V UPS/PDU power, dedicated cooling, first-level hazardous material coordination, firestopping, and PACS/CCTV integration remain open.</v>
      </c>
      <c r="H26" s="192">
        <f t="shared" si="0"/>
        <v>10</v>
      </c>
      <c r="I26" s="177" t="str">
        <f t="shared" si="1"/>
        <v>Complete assessment gaps</v>
      </c>
      <c r="J26" s="177" t="str">
        <f t="shared" si="2"/>
        <v>Open</v>
      </c>
      <c r="K26" s="193">
        <f t="shared" si="3"/>
        <v>10.002599999999999</v>
      </c>
    </row>
    <row r="27" spans="1:11" ht="24.6" customHeight="1">
      <c r="A27" s="177" t="str">
        <f>PMIS_Data!A15</f>
        <v>14</v>
      </c>
      <c r="B27" s="177" t="str">
        <f>PMIS_Data!B15</f>
        <v>B14_Assessment</v>
      </c>
      <c r="C27" s="191">
        <f>PMIS_Data!E15</f>
        <v>0.5</v>
      </c>
      <c r="D27" s="177">
        <f>PMIS_Data!H15</f>
        <v>0</v>
      </c>
      <c r="E27" s="177">
        <f>PMIS_Data!I15</f>
        <v>0</v>
      </c>
      <c r="F27" s="177">
        <f>PMIS_Data!X15</f>
        <v>0</v>
      </c>
      <c r="G27" s="177" t="str">
        <f>PMIS_Data!R15</f>
        <v>Building 14 includes new first-level Telecom Room 119 and existing basement telecom rooms B.01/B2; field verification, active service cutover, 240V UPS/PDU power, dedicated cooling, first-level hazardous material coordination, firestopping, and PACS/CCTV integration remain open.</v>
      </c>
      <c r="H27" s="192">
        <f t="shared" si="0"/>
        <v>10</v>
      </c>
      <c r="I27" s="177" t="str">
        <f t="shared" si="1"/>
        <v>Complete assessment gaps</v>
      </c>
      <c r="J27" s="177" t="str">
        <f t="shared" si="2"/>
        <v>Open</v>
      </c>
      <c r="K27" s="193">
        <f t="shared" si="3"/>
        <v>10.002700000000001</v>
      </c>
    </row>
    <row r="28" spans="1:11" ht="24.6" customHeight="1">
      <c r="A28" s="177" t="str">
        <f>PMIS_Data!A16</f>
        <v>15</v>
      </c>
      <c r="B28" s="177" t="str">
        <f>PMIS_Data!B16</f>
        <v>B15_Assessment</v>
      </c>
      <c r="C28" s="191">
        <f>PMIS_Data!E16</f>
        <v>0.5</v>
      </c>
      <c r="D28" s="177">
        <f>PMIS_Data!H16</f>
        <v>0</v>
      </c>
      <c r="E28" s="177">
        <f>PMIS_Data!I16</f>
        <v>0</v>
      </c>
      <c r="F28" s="177">
        <f>PMIS_Data!X16</f>
        <v>0</v>
      </c>
      <c r="G28" s="177" t="str">
        <f>PMIS_Data!R16</f>
        <v>Building 15 includes new first-level Telecom Room 124A and existing telecom transition points at second-level Tel Room 222 and basement B01; field verification, active service cutover, 240V UPS/PDU power, dedicated heat-pump cooling, first-level hazardous material coordination, firestopping, and PACS/CCTV integration remain open.</v>
      </c>
      <c r="H28" s="192">
        <f t="shared" si="0"/>
        <v>10</v>
      </c>
      <c r="I28" s="177" t="str">
        <f t="shared" si="1"/>
        <v>Complete assessment gaps</v>
      </c>
      <c r="J28" s="177" t="str">
        <f t="shared" si="2"/>
        <v>Open</v>
      </c>
      <c r="K28" s="193">
        <f t="shared" si="3"/>
        <v>10.002800000000001</v>
      </c>
    </row>
    <row r="29" spans="1:11" ht="24.6" customHeight="1">
      <c r="A29" s="177" t="str">
        <f>PMIS_Data!A17</f>
        <v>16</v>
      </c>
      <c r="B29" s="177" t="str">
        <f>PMIS_Data!B17</f>
        <v>B16_Assessment</v>
      </c>
      <c r="C29" s="191">
        <f>PMIS_Data!E17</f>
        <v>0.5</v>
      </c>
      <c r="D29" s="177">
        <f>PMIS_Data!H17</f>
        <v>0</v>
      </c>
      <c r="E29" s="177">
        <f>PMIS_Data!I17</f>
        <v>0</v>
      </c>
      <c r="F29" s="177">
        <f>PMIS_Data!X17</f>
        <v>0</v>
      </c>
      <c r="G29" s="177" t="str">
        <f>PMIS_Data!R17</f>
        <v>Building 16 includes new basement Telecom Room 015 and existing basement Telecom Room 014; field verification, active service transfer, 240V UPS/PDU power, dedicated cooling, panel replacement/source coordination, firestopping, PACS/CCTV integration, and cable tray coordination remain open.</v>
      </c>
      <c r="H29" s="192">
        <f t="shared" si="0"/>
        <v>10</v>
      </c>
      <c r="I29" s="177" t="str">
        <f t="shared" si="1"/>
        <v>Complete assessment gaps</v>
      </c>
      <c r="J29" s="177" t="str">
        <f t="shared" si="2"/>
        <v>Open</v>
      </c>
      <c r="K29" s="193">
        <f t="shared" si="3"/>
        <v>10.0029</v>
      </c>
    </row>
    <row r="30" spans="1:11" ht="24.6" customHeight="1">
      <c r="A30" s="177" t="str">
        <f>PMIS_Data!A18</f>
        <v>17</v>
      </c>
      <c r="B30" s="177" t="str">
        <f>PMIS_Data!B18</f>
        <v>B17_Assessment</v>
      </c>
      <c r="C30" s="191">
        <f>PMIS_Data!E18</f>
        <v>0.5</v>
      </c>
      <c r="D30" s="177">
        <f>PMIS_Data!H18</f>
        <v>0</v>
      </c>
      <c r="E30" s="177">
        <f>PMIS_Data!I18</f>
        <v>0</v>
      </c>
      <c r="F30" s="177">
        <f>PMIS_Data!X18</f>
        <v>0</v>
      </c>
      <c r="G30" s="177" t="str">
        <f>PMIS_Data!R18</f>
        <v>Building 17_29 includes new first-level Telecom Room 118 serving Building 17 and Building 29, plus existing basement Telecom Closet B35A; field verification, active-service transfer, 208V UPS/PDU power, dedicated cooling, first-level hazardous material coordination, cable tray, firestopping, and PACS/CCTV integration remain open.</v>
      </c>
      <c r="H30" s="192">
        <f t="shared" si="0"/>
        <v>10</v>
      </c>
      <c r="I30" s="177" t="str">
        <f t="shared" si="1"/>
        <v>Complete assessment gaps</v>
      </c>
      <c r="J30" s="177" t="str">
        <f t="shared" si="2"/>
        <v>Open</v>
      </c>
      <c r="K30" s="193">
        <f t="shared" si="3"/>
        <v>10.003</v>
      </c>
    </row>
    <row r="31" spans="1:11" ht="24.6" customHeight="1">
      <c r="A31" s="177" t="str">
        <f>PMIS_Data!A19</f>
        <v>18</v>
      </c>
      <c r="B31" s="177" t="str">
        <f>PMIS_Data!B19</f>
        <v>B18_Assessment</v>
      </c>
      <c r="C31" s="191">
        <f>PMIS_Data!E19</f>
        <v>0.5</v>
      </c>
      <c r="D31" s="177">
        <f>PMIS_Data!H19</f>
        <v>0</v>
      </c>
      <c r="E31" s="177">
        <f>PMIS_Data!I19</f>
        <v>0</v>
      </c>
      <c r="F31" s="177">
        <f>PMIS_Data!X19</f>
        <v>0</v>
      </c>
      <c r="G31" s="177" t="str">
        <f>PMIS_Data!R19</f>
        <v>Building 18 includes new first-level Telecom Room 110 and existing telecom transition rooms 111B and 213; field verification, active-service transfer, 208V UPS/PDU power, dedicated cooling, lead-paint/first-level hazardous material coordination, firestopping, cable tray, and PACS/CCTV integration remain open.</v>
      </c>
      <c r="H31" s="192">
        <f t="shared" si="0"/>
        <v>10</v>
      </c>
      <c r="I31" s="177" t="str">
        <f t="shared" si="1"/>
        <v>Complete assessment gaps</v>
      </c>
      <c r="J31" s="177" t="str">
        <f t="shared" si="2"/>
        <v>Open</v>
      </c>
      <c r="K31" s="193">
        <f t="shared" si="3"/>
        <v>10.0031</v>
      </c>
    </row>
    <row r="32" spans="1:11" ht="24.6" customHeight="1">
      <c r="A32" s="177" t="str">
        <f>PMIS_Data!A20</f>
        <v>20</v>
      </c>
      <c r="B32" s="177" t="str">
        <f>PMIS_Data!B20</f>
        <v>B20_Assessment</v>
      </c>
      <c r="C32" s="191">
        <f>PMIS_Data!E20</f>
        <v>0.5</v>
      </c>
      <c r="D32" s="177">
        <f>PMIS_Data!H20</f>
        <v>0</v>
      </c>
      <c r="E32" s="177">
        <f>PMIS_Data!I20</f>
        <v>0</v>
      </c>
      <c r="F32" s="177">
        <f>PMIS_Data!X20</f>
        <v>0</v>
      </c>
      <c r="G32" s="177" t="str">
        <f>PMIS_Data!R20</f>
        <v>Building 20 is a telecom-enclosure building, not a full TR buildout. Scope centers on new first-level Office 1B wall-mount TE enclosure and existing Tel/Data Closet 8A; mechanical and fire protection scope are excluded by the cover sheet, but field verification, active equipment transfer, fiber/copper cutover, cable tray, firestopping, power/UPS/PDU, and existing equipment protection remain open.</v>
      </c>
      <c r="H32" s="192">
        <f t="shared" si="0"/>
        <v>10</v>
      </c>
      <c r="I32" s="177" t="str">
        <f t="shared" si="1"/>
        <v>Complete assessment gaps</v>
      </c>
      <c r="J32" s="177" t="str">
        <f t="shared" si="2"/>
        <v>Open</v>
      </c>
      <c r="K32" s="193">
        <f t="shared" si="3"/>
        <v>10.0032</v>
      </c>
    </row>
    <row r="33" spans="1:11" ht="24.6" customHeight="1">
      <c r="A33" s="177" t="str">
        <f>PMIS_Data!A21</f>
        <v>21</v>
      </c>
      <c r="B33" s="177" t="str">
        <f>PMIS_Data!B21</f>
        <v>B21_Assessment</v>
      </c>
      <c r="C33" s="191">
        <f>PMIS_Data!E21</f>
        <v>0.5</v>
      </c>
      <c r="D33" s="177">
        <f>PMIS_Data!H21</f>
        <v>0</v>
      </c>
      <c r="E33" s="177">
        <f>PMIS_Data!I21</f>
        <v>0</v>
      </c>
      <c r="F33" s="177">
        <f>PMIS_Data!X21</f>
        <v>0</v>
      </c>
      <c r="G33" s="177" t="str">
        <f>PMIS_Data!R21</f>
        <v>Building 21 is combined with Building 19 and is primarily a telecom-enclosure scope. New first-level M&amp;O Foreman Office 100A / RM 104 schedule is served by a new 12RU TE enclosure, while existing Building 21 B1.TR and Building 19 B05TR equipment remain transition points. Fire protection scope is excluded, but mechanical/electrical sheets exist for equipment support. Field verification, active-service transfer, 659 ft cable tray, firestopping, UPS/PDU power, fiber/copper cutover, and B19/B21 scope boundary remain open.</v>
      </c>
      <c r="H33" s="192">
        <f t="shared" si="0"/>
        <v>10</v>
      </c>
      <c r="I33" s="177" t="str">
        <f t="shared" si="1"/>
        <v>Complete assessment gaps</v>
      </c>
      <c r="J33" s="177" t="str">
        <f t="shared" si="2"/>
        <v>Open</v>
      </c>
      <c r="K33" s="193">
        <f t="shared" si="3"/>
        <v>10.003299999999999</v>
      </c>
    </row>
    <row r="34" spans="1:11" ht="24.6" customHeight="1">
      <c r="A34" s="177" t="str">
        <f>PMIS_Data!A22</f>
        <v>22</v>
      </c>
      <c r="B34" s="177" t="str">
        <f>PMIS_Data!B22</f>
        <v>B22_Assessment</v>
      </c>
      <c r="C34" s="191">
        <f>PMIS_Data!E22</f>
        <v>0.5</v>
      </c>
      <c r="D34" s="177">
        <f>PMIS_Data!H22</f>
        <v>0</v>
      </c>
      <c r="E34" s="177">
        <f>PMIS_Data!I22</f>
        <v>0</v>
      </c>
      <c r="F34" s="177">
        <f>PMIS_Data!X22</f>
        <v>0</v>
      </c>
      <c r="G34" s="177" t="str">
        <f>PMIS_Data!R22</f>
        <v>Building 22 is a telecom-enclosure building with mechanical and fire protection scope excluded. Scope centers on new first-level Break Room 102 TE enclosure and existing first-level wall/wall-mount TE Room 103. Field verification, active service transfer, 139 ft cable tray, 10 Cat6A cross-connect cables, UPS/PDU power, firestopping, and B19 utility service relationship remain open.</v>
      </c>
      <c r="H34" s="192">
        <f t="shared" si="0"/>
        <v>10</v>
      </c>
      <c r="I34" s="177" t="str">
        <f t="shared" si="1"/>
        <v>Complete assessment gaps</v>
      </c>
      <c r="J34" s="177" t="str">
        <f t="shared" si="2"/>
        <v>Open</v>
      </c>
      <c r="K34" s="193">
        <f t="shared" si="3"/>
        <v>10.003399999999999</v>
      </c>
    </row>
    <row r="35" spans="1:11" ht="24.6" customHeight="1">
      <c r="A35" s="177" t="str">
        <f>PMIS_Data!A23</f>
        <v>33</v>
      </c>
      <c r="B35" s="177" t="str">
        <f>PMIS_Data!B23</f>
        <v>B33_Assessment</v>
      </c>
      <c r="C35" s="191">
        <f>PMIS_Data!E23</f>
        <v>0.5</v>
      </c>
      <c r="D35" s="177">
        <f>PMIS_Data!H23</f>
        <v>0</v>
      </c>
      <c r="E35" s="177">
        <f>PMIS_Data!I23</f>
        <v>0</v>
      </c>
      <c r="F35" s="177">
        <f>PMIS_Data!X23</f>
        <v>0</v>
      </c>
      <c r="G35" s="177" t="str">
        <f>PMIS_Data!R23</f>
        <v>Building 33 is a telecom-enclosure building with mechanical and fire protection scope excluded. Scope centers on new basement EEO Manager Office B23 TE enclosure and existing Tel Closet B17. Field verification, active service transfer, 102 ft basement cable tray, 10 Cat6A cross-connect cables, UPS/PDU power, firestopping, fiber/copper cutover, and legacy service relationships to Buildings 3, 80 and 82 remain open.</v>
      </c>
      <c r="H35" s="192">
        <f t="shared" si="0"/>
        <v>10</v>
      </c>
      <c r="I35" s="177" t="str">
        <f t="shared" si="1"/>
        <v>Complete assessment gaps</v>
      </c>
      <c r="J35" s="177" t="str">
        <f t="shared" si="2"/>
        <v>Open</v>
      </c>
      <c r="K35" s="193">
        <f t="shared" si="3"/>
        <v>10.003500000000001</v>
      </c>
    </row>
    <row r="36" spans="1:11" ht="24.6" customHeight="1">
      <c r="A36" s="177" t="str">
        <f>PMIS_Data!A24</f>
        <v>61</v>
      </c>
      <c r="B36" s="177" t="str">
        <f>PMIS_Data!B24</f>
        <v>B61_Assessment</v>
      </c>
      <c r="C36" s="191">
        <f>PMIS_Data!E24</f>
        <v>0.55000000000000004</v>
      </c>
      <c r="D36" s="177">
        <f>PMIS_Data!H24</f>
        <v>0</v>
      </c>
      <c r="E36" s="177">
        <f>PMIS_Data!I24</f>
        <v>0</v>
      </c>
      <c r="F36" s="177">
        <f>PMIS_Data!X24</f>
        <v>0</v>
      </c>
      <c r="G36" s="177" t="str">
        <f>PMIS_Data!R24</f>
        <v>Building 61 is a large full-scope TR building with hazardous abatement, architectural, fire protection, plumbing, mechanical, electrical, security, telecom, server/demarc and rack elevation scope. Primary new telecom rooms include basement B13H-A, first-level 124, second-level 226, and existing Room 137/137A demarc/server equipment. Major open issues include active-service cutover, dedicated cooling IU/CU-0-01/1-01/2-01, panel source coordination, rack UPS/PDU power, cable tray coordination, firestopping, PACS/CCTV, and turnover testing.</v>
      </c>
      <c r="H36" s="192">
        <f t="shared" si="0"/>
        <v>10</v>
      </c>
      <c r="I36" s="177" t="str">
        <f t="shared" si="1"/>
        <v>Complete assessment gaps</v>
      </c>
      <c r="J36" s="177" t="str">
        <f t="shared" si="2"/>
        <v>Open</v>
      </c>
      <c r="K36" s="193">
        <f t="shared" si="3"/>
        <v>10.0036</v>
      </c>
    </row>
    <row r="37" spans="1:11" ht="24.6" customHeight="1">
      <c r="A37" s="177" t="str">
        <f>PMIS_Data!A25</f>
        <v>62</v>
      </c>
      <c r="B37" s="177" t="str">
        <f>PMIS_Data!B25</f>
        <v>B62_TR_Assessment</v>
      </c>
      <c r="C37" s="191">
        <f>PMIS_Data!E25</f>
        <v>0.5</v>
      </c>
      <c r="D37" s="177">
        <f>PMIS_Data!H25</f>
        <v>0</v>
      </c>
      <c r="E37" s="177">
        <f>PMIS_Data!I25</f>
        <v>0</v>
      </c>
      <c r="F37" s="177">
        <f>PMIS_Data!X25</f>
        <v>0</v>
      </c>
      <c r="G37" s="177" t="str">
        <f>PMIS_Data!R25</f>
        <v>Cooling / emergency power not verified</v>
      </c>
      <c r="H37" s="192">
        <f t="shared" si="0"/>
        <v>10</v>
      </c>
      <c r="I37" s="177" t="str">
        <f t="shared" si="1"/>
        <v>Complete assessment gaps</v>
      </c>
      <c r="J37" s="177" t="str">
        <f t="shared" si="2"/>
        <v>Open</v>
      </c>
      <c r="K37" s="193">
        <f t="shared" si="3"/>
        <v>10.0037</v>
      </c>
    </row>
    <row r="38" spans="1:11" ht="24.6" customHeight="1">
      <c r="A38" s="177" t="str">
        <f>PMIS_Data!A26</f>
        <v>70</v>
      </c>
      <c r="B38" s="177" t="str">
        <f>PMIS_Data!B26</f>
        <v>B70_TR_Assessment</v>
      </c>
      <c r="C38" s="191">
        <f>PMIS_Data!E26</f>
        <v>0.5</v>
      </c>
      <c r="D38" s="177">
        <f>PMIS_Data!H26</f>
        <v>0</v>
      </c>
      <c r="E38" s="177">
        <f>PMIS_Data!I26</f>
        <v>0</v>
      </c>
      <c r="F38" s="177">
        <f>PMIS_Data!X26</f>
        <v>0</v>
      </c>
      <c r="G38" s="177" t="str">
        <f>PMIS_Data!R26</f>
        <v>Cooling / emergency power and existing TR phasing not verified</v>
      </c>
      <c r="H38" s="192">
        <f t="shared" si="0"/>
        <v>10</v>
      </c>
      <c r="I38" s="177" t="str">
        <f t="shared" si="1"/>
        <v>Complete assessment gaps</v>
      </c>
      <c r="J38" s="177" t="str">
        <f t="shared" si="2"/>
        <v>Open</v>
      </c>
      <c r="K38" s="193">
        <f t="shared" si="3"/>
        <v>10.0038</v>
      </c>
    </row>
    <row r="39" spans="1:11" ht="24.6" customHeight="1">
      <c r="A39" s="177" t="str">
        <f>PMIS_Data!A27</f>
        <v>78</v>
      </c>
      <c r="B39" s="177" t="str">
        <f>PMIS_Data!B27</f>
        <v>B78_Assessment</v>
      </c>
      <c r="C39" s="191">
        <f>PMIS_Data!E27</f>
        <v>0.5</v>
      </c>
      <c r="D39" s="177">
        <f>PMIS_Data!H27</f>
        <v>0</v>
      </c>
      <c r="E39" s="177">
        <f>PMIS_Data!I27</f>
        <v>0</v>
      </c>
      <c r="F39" s="177">
        <f>PMIS_Data!X27</f>
        <v>0</v>
      </c>
      <c r="G39" s="177" t="str">
        <f>PMIS_Data!R27</f>
        <v>Building 78/78A is a very large full-scope TR building with basement through fourth-level telecom rooms, existing telecom rooms, hazardous abatement, architectural, fire protection, mechanical, electrical, security, telecom, rack elevations and photo references. Major open issues include active service cutover, dedicated HVAC validation, panel/UPS/PDU coordination, 4,849 ft cable tray routes, firestopping, PACS/CCTV, existing rack transfers, and turnover testing.</v>
      </c>
      <c r="H39" s="192">
        <f t="shared" si="0"/>
        <v>10</v>
      </c>
      <c r="I39" s="177" t="str">
        <f t="shared" si="1"/>
        <v>Complete assessment gaps</v>
      </c>
      <c r="J39" s="177" t="str">
        <f t="shared" si="2"/>
        <v>Open</v>
      </c>
      <c r="K39" s="193">
        <f t="shared" si="3"/>
        <v>10.0039</v>
      </c>
    </row>
    <row r="40" spans="1:11" ht="24.6" customHeight="1">
      <c r="A40" s="177" t="str">
        <f>PMIS_Data!A28</f>
        <v>80</v>
      </c>
      <c r="B40" s="177" t="str">
        <f>PMIS_Data!B28</f>
        <v>B80_Assessment</v>
      </c>
      <c r="C40" s="191">
        <f>PMIS_Data!E28</f>
        <v>0.5</v>
      </c>
      <c r="D40" s="177">
        <f>PMIS_Data!H28</f>
        <v>0</v>
      </c>
      <c r="E40" s="177">
        <f>PMIS_Data!I28</f>
        <v>0</v>
      </c>
      <c r="F40" s="177">
        <f>PMIS_Data!X28</f>
        <v>0</v>
      </c>
      <c r="G40" s="177" t="str">
        <f>PMIS_Data!R28</f>
        <v>Building 80 includes a new first-level Telecom Room 102 and existing Tel Closet 127A / photo-reference Room 126 transition point. Field verification, active equipment transfer, dedicated cooling IU-1-01/CU-1-01, B80-TR102A/B power, 811 ft cable tray, firestopping, PACS/CCTV, existing two-post rack migration, and room-number mapping remain open.</v>
      </c>
      <c r="H40" s="192">
        <f t="shared" si="0"/>
        <v>10</v>
      </c>
      <c r="I40" s="177" t="str">
        <f t="shared" si="1"/>
        <v>Complete assessment gaps</v>
      </c>
      <c r="J40" s="177" t="str">
        <f t="shared" si="2"/>
        <v>Open</v>
      </c>
      <c r="K40" s="193">
        <f t="shared" si="3"/>
        <v>10.004</v>
      </c>
    </row>
    <row r="41" spans="1:11" ht="24.6" customHeight="1">
      <c r="A41" s="177" t="str">
        <f>PMIS_Data!A29</f>
        <v>82</v>
      </c>
      <c r="B41" s="177" t="str">
        <f>PMIS_Data!B29</f>
        <v>B82_Assessment</v>
      </c>
      <c r="C41" s="191">
        <f>PMIS_Data!E29</f>
        <v>0.5</v>
      </c>
      <c r="D41" s="177">
        <f>PMIS_Data!H29</f>
        <v>0</v>
      </c>
      <c r="E41" s="177">
        <f>PMIS_Data!I29</f>
        <v>0</v>
      </c>
      <c r="F41" s="177">
        <f>PMIS_Data!X29</f>
        <v>0</v>
      </c>
      <c r="G41" s="177" t="str">
        <f>PMIS_Data!R29</f>
        <v>Building 82 is identified as a Telecom Enclosure (TE) building on the cover sheet, with fire protection scope excluded, but mechanical sheets show IU-1-01/CU-1-01 dedicated cooling for Room 102 and electrical drawings show B82-MDP/B82-P-EMER power. Scope centers on new first-level Telecom Room 102 / 12RU enclosure and existing first-level Telecom Room B01-A transition point. Field verification, active-equipment transfer, 278 ft cable tray, firestopping, UPS/PDU power, HVAC controls, fiber/copper cutover, and room/equipment mapping remain open.</v>
      </c>
      <c r="H41" s="192">
        <f t="shared" si="0"/>
        <v>10</v>
      </c>
      <c r="I41" s="177" t="str">
        <f t="shared" si="1"/>
        <v>Complete assessment gaps</v>
      </c>
      <c r="J41" s="177" t="str">
        <f t="shared" si="2"/>
        <v>Open</v>
      </c>
      <c r="K41" s="193">
        <f t="shared" si="3"/>
        <v>10.004099999999999</v>
      </c>
    </row>
    <row r="42" spans="1:11" ht="24.6" customHeight="1">
      <c r="A42" s="177" t="str">
        <f>PMIS_Data!A30</f>
        <v>BCH</v>
      </c>
      <c r="B42" s="177" t="str">
        <f>PMIS_Data!B30</f>
        <v>BCH_Assessment</v>
      </c>
      <c r="C42" s="191">
        <f>PMIS_Data!E30</f>
        <v>0.5</v>
      </c>
      <c r="D42" s="177">
        <f>PMIS_Data!H30</f>
        <v>0</v>
      </c>
      <c r="E42" s="177">
        <f>PMIS_Data!I30</f>
        <v>0</v>
      </c>
      <c r="F42" s="177">
        <f>PMIS_Data!X30</f>
        <v>0</v>
      </c>
      <c r="G42" s="177" t="str">
        <f>PMIS_Data!R30</f>
        <v>Crescent House/BCH is a Telecom Enclosure (TE) scope with mechanical and fire protection excluded by the cover sheet. Scope centers on first-level Room 107 and rack/equipment location shown as Room 00-107 / BCH Crescent House. Field verification, room naming, wall-mounted TE versus 45RU room/rack elevation conflict, active-service cutover, power/UPS/PDU source, firestopping, fiber A/B routing, and cable tray/WAO quantities remain open.</v>
      </c>
      <c r="H42" s="192">
        <f t="shared" si="0"/>
        <v>10</v>
      </c>
      <c r="I42" s="177" t="str">
        <f t="shared" si="1"/>
        <v>Complete assessment gaps</v>
      </c>
      <c r="J42" s="177" t="str">
        <f t="shared" si="2"/>
        <v>Open</v>
      </c>
      <c r="K42" s="193">
        <f t="shared" si="3"/>
        <v>10.004200000000001</v>
      </c>
    </row>
    <row r="43" spans="1:11" ht="24.6" customHeight="1">
      <c r="A43" s="177" t="str">
        <f>PMIS_Data!A31</f>
        <v>MCR</v>
      </c>
      <c r="B43" s="177" t="str">
        <f>PMIS_Data!B31</f>
        <v>MCR_Assessment</v>
      </c>
      <c r="C43" s="191">
        <f>PMIS_Data!E31</f>
        <v>0.5</v>
      </c>
      <c r="D43" s="177">
        <f>PMIS_Data!H31</f>
        <v>0</v>
      </c>
      <c r="E43" s="177">
        <f>PMIS_Data!I31</f>
        <v>0</v>
      </c>
      <c r="F43" s="177">
        <f>PMIS_Data!X31</f>
        <v>0</v>
      </c>
      <c r="G43" s="177" t="str">
        <f>PMIS_Data!R31</f>
        <v>MCR is the most critical EHRM infrastructure building. Scope includes new Main Computer Room, new MDA A/B rows, HDA A/B rows, existing server/MCR equipment transfer from 107/137, redundant fiber Path A/B, new CRAC cooling, UPS A/B, electrical service/ATS/generator integration, clean-agent fire suppression, wet sprinkler/fire alarm interfaces, PACS/CCTV, 359 ft cable tray, and MCR activation window. Major risk is service continuity during backbone/core migration and VA activation.</v>
      </c>
      <c r="H43" s="192">
        <f t="shared" si="0"/>
        <v>10</v>
      </c>
      <c r="I43" s="177" t="str">
        <f t="shared" si="1"/>
        <v>Complete assessment gaps</v>
      </c>
      <c r="J43" s="177" t="str">
        <f t="shared" si="2"/>
        <v>Open</v>
      </c>
      <c r="K43" s="193">
        <f t="shared" si="3"/>
        <v>10.004300000000001</v>
      </c>
    </row>
    <row r="44" spans="1:11" ht="24.6" customHeight="1">
      <c r="A44" s="177" t="str">
        <f>PMIS_Data!A32</f>
        <v>SITE</v>
      </c>
      <c r="B44" s="177" t="str">
        <f>PMIS_Data!B32</f>
        <v>SITE_Assesment</v>
      </c>
      <c r="C44" s="191">
        <f>PMIS_Data!E32</f>
        <v>0.5</v>
      </c>
      <c r="D44" s="177">
        <f>PMIS_Data!H32</f>
        <v>0</v>
      </c>
      <c r="E44" s="177">
        <f>PMIS_Data!I32</f>
        <v>0</v>
      </c>
      <c r="F44" s="177">
        <f>PMIS_Data!X32</f>
        <v>0</v>
      </c>
      <c r="G44" s="177" t="str">
        <f>PMIS_Data!R32</f>
        <v>Site package controls the redundant telecommunications backbone for the full EHRM campus. Scope includes site survey, electrical site plans, telecom site plans, enlarged views, plan/profile sheets for Path A/B, concrete ductbank, direct-bury conduit, handholes THH #1-#19, communication manholes with locking covers, concrete pullboxes, trench restoration, and the site one-line fiber diagram. Major risks are existing utility conflicts, A/B path separation, ductbank inspection before backfill, MCR activation sequencing, and coordination of multiple building tie-ins.</v>
      </c>
      <c r="H44" s="192">
        <f t="shared" si="0"/>
        <v>10</v>
      </c>
      <c r="I44" s="177" t="str">
        <f t="shared" si="1"/>
        <v>Complete assessment gaps</v>
      </c>
      <c r="J44" s="177" t="str">
        <f t="shared" si="2"/>
        <v>Open</v>
      </c>
      <c r="K44" s="193">
        <f t="shared" si="3"/>
        <v>10.0044</v>
      </c>
    </row>
  </sheetData>
  <mergeCells count="3">
    <mergeCell ref="A2:K2"/>
    <mergeCell ref="H4:K4"/>
    <mergeCell ref="A1:K1"/>
  </mergeCells>
  <conditionalFormatting sqref="C15:C44">
    <cfRule type="dataBar" priority="4">
      <dataBar>
        <cfvo type="min"/>
        <cfvo type="max"/>
        <color rgb="FF2F80ED"/>
      </dataBar>
    </cfRule>
    <cfRule type="dataBar" priority="5">
      <dataBar>
        <cfvo type="min"/>
        <cfvo type="max"/>
        <color rgb="FF2F80ED"/>
      </dataBar>
    </cfRule>
  </conditionalFormatting>
  <conditionalFormatting sqref="D15:E44">
    <cfRule type="colorScale" priority="3">
      <colorScale>
        <cfvo type="min"/>
        <cfvo type="percentile" val="50"/>
        <cfvo type="max"/>
        <color rgb="FFDCFCE7"/>
        <color rgb="FFFEF3C7"/>
        <color rgb="FFFECACA"/>
      </colorScale>
    </cfRule>
  </conditionalFormatting>
  <conditionalFormatting sqref="F15:F44">
    <cfRule type="cellIs" dxfId="0" priority="2" operator="greaterThan">
      <formula>0</formula>
    </cfRule>
  </conditionalFormatting>
  <conditionalFormatting sqref="H15:H44">
    <cfRule type="colorScale" priority="1">
      <colorScale>
        <cfvo type="min"/>
        <cfvo type="percentile" val="50"/>
        <cfvo type="max"/>
        <color rgb="FFDCFCE7"/>
        <color rgb="FFFEF3C7"/>
        <color rgb="FFFECACA"/>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68</vt:i4>
      </vt:variant>
      <vt:variant>
        <vt:lpstr>Named Ranges</vt:lpstr>
      </vt:variant>
      <vt:variant>
        <vt:i4>16</vt:i4>
      </vt:variant>
    </vt:vector>
  </HeadingPairs>
  <TitlesOfParts>
    <vt:vector size="84" baseType="lpstr">
      <vt:lpstr>PMIS_Config</vt:lpstr>
      <vt:lpstr>Data_Health</vt:lpstr>
      <vt:lpstr>README_ARCHITECTURE</vt:lpstr>
      <vt:lpstr>V4_Mission_Control</vt:lpstr>
      <vt:lpstr>Dashboard</vt:lpstr>
      <vt:lpstr>Building_View</vt:lpstr>
      <vt:lpstr>Command_Center</vt:lpstr>
      <vt:lpstr>COMMAND CENTERS</vt:lpstr>
      <vt:lpstr>Command_Tile_Copy_Block</vt:lpstr>
      <vt:lpstr>Executive Brief</vt:lpstr>
      <vt:lpstr>Pilot</vt:lpstr>
      <vt:lpstr>Stakeholders</vt:lpstr>
      <vt:lpstr>_Command_Lists</vt:lpstr>
      <vt:lpstr>_PMIS_Config</vt:lpstr>
      <vt:lpstr>Lookup_Lists</vt:lpstr>
      <vt:lpstr>System_Map</vt:lpstr>
      <vt:lpstr>PMIS_Home</vt:lpstr>
      <vt:lpstr>Lists</vt:lpstr>
      <vt:lpstr>Telecom_Rooms</vt:lpstr>
      <vt:lpstr>Building_Stakeholders</vt:lpstr>
      <vt:lpstr>Existing_Conditions</vt:lpstr>
      <vt:lpstr>Doc_Register</vt:lpstr>
      <vt:lpstr>Documentation</vt:lpstr>
      <vt:lpstr>PMIS_Data (2)</vt:lpstr>
      <vt:lpstr>B61_Assessment</vt:lpstr>
      <vt:lpstr>CM_PM Operations</vt:lpstr>
      <vt:lpstr>COR_Report</vt:lpstr>
      <vt:lpstr>Project_Register</vt:lpstr>
      <vt:lpstr>Shutdown_Tracker</vt:lpstr>
      <vt:lpstr>Building_Register</vt:lpstr>
      <vt:lpstr>PMIS_Data</vt:lpstr>
      <vt:lpstr>B01_Assessment</vt:lpstr>
      <vt:lpstr>B02_Assessment</vt:lpstr>
      <vt:lpstr>B03_Assessment</vt:lpstr>
      <vt:lpstr>B04_Assessment</vt:lpstr>
      <vt:lpstr>B05_Assessment</vt:lpstr>
      <vt:lpstr>B06_Assessment</vt:lpstr>
      <vt:lpstr>B07_Assessment</vt:lpstr>
      <vt:lpstr>B08_Assessment</vt:lpstr>
      <vt:lpstr>B09_Assessment</vt:lpstr>
      <vt:lpstr>B10_Assessment</vt:lpstr>
      <vt:lpstr>B12_Assessment</vt:lpstr>
      <vt:lpstr>B13_Assessment</vt:lpstr>
      <vt:lpstr>B14_Assessment</vt:lpstr>
      <vt:lpstr>B15_Assessment</vt:lpstr>
      <vt:lpstr>B16_Assessment</vt:lpstr>
      <vt:lpstr>B17_Assessment</vt:lpstr>
      <vt:lpstr>B18_Assessment</vt:lpstr>
      <vt:lpstr>B20_Assessment</vt:lpstr>
      <vt:lpstr>B21_Assessment</vt:lpstr>
      <vt:lpstr>B22_Assessment</vt:lpstr>
      <vt:lpstr>B33_Assessment</vt:lpstr>
      <vt:lpstr>B62_TR_Assessment</vt:lpstr>
      <vt:lpstr>B70_TR_Assessment</vt:lpstr>
      <vt:lpstr>B78_Assessment</vt:lpstr>
      <vt:lpstr>B80_Assessment</vt:lpstr>
      <vt:lpstr>B82_Assessment</vt:lpstr>
      <vt:lpstr>BCH_Assessment</vt:lpstr>
      <vt:lpstr>MCR_Assessment</vt:lpstr>
      <vt:lpstr>SITE_Assesment</vt:lpstr>
      <vt:lpstr>SPEC_Assessment</vt:lpstr>
      <vt:lpstr>_Command_Source</vt:lpstr>
      <vt:lpstr>_Assessment_Full_View</vt:lpstr>
      <vt:lpstr>V4_Architecture_Map</vt:lpstr>
      <vt:lpstr>_V4_ActionQueue</vt:lpstr>
      <vt:lpstr>_Command_Trade_Notes</vt:lpstr>
      <vt:lpstr>PMIS_Trade_Notes</vt:lpstr>
      <vt:lpstr>Today's_Focus</vt:lpstr>
      <vt:lpstr>'PMIS_Data (2)'!PMIS_Building_List</vt:lpstr>
      <vt:lpstr>PMIS_Building_List</vt:lpstr>
      <vt:lpstr>PMIS_Config_Navigation</vt:lpstr>
      <vt:lpstr>PMIS_Config_Theme</vt:lpstr>
      <vt:lpstr>PMIS_Config_Thresholds</vt:lpstr>
      <vt:lpstr>'PMIS_Data (2)'!PMIS_Open_Questions</vt:lpstr>
      <vt:lpstr>PMIS_Open_Questions</vt:lpstr>
      <vt:lpstr>'PMIS_Data (2)'!PMIS_Open_Risks</vt:lpstr>
      <vt:lpstr>PMIS_Open_Risks</vt:lpstr>
      <vt:lpstr>'PMIS_Data (2)'!PMIS_Readiness</vt:lpstr>
      <vt:lpstr>PMIS_Readiness</vt:lpstr>
      <vt:lpstr>'PMIS_Data (2)'!PMIS_Shutdowns</vt:lpstr>
      <vt:lpstr>PMIS_Shutdowns</vt:lpstr>
      <vt:lpstr>V4_Action_Queue</vt:lpstr>
      <vt:lpstr>V4_Active_Building</vt:lpstr>
      <vt:lpstr>V4_PriorityQueue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Paul Thibodeau</dc:creator>
  <cp:lastModifiedBy>Paul Thibodeau</cp:lastModifiedBy>
  <cp:lastPrinted>2026-07-15T16:14:50Z</cp:lastPrinted>
  <dcterms:created xsi:type="dcterms:W3CDTF">2026-07-03T18:01:48Z</dcterms:created>
  <dcterms:modified xsi:type="dcterms:W3CDTF">2026-07-17T12:43:39Z</dcterms:modified>
</cp:coreProperties>
</file>